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5.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slicers/slicer1.xml" ContentType="application/vnd.ms-excel.slicer+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9.xml" ContentType="application/vnd.openxmlformats-officedocument.drawing+xml"/>
  <Override PartName="/xl/slicers/slicer2.xml" ContentType="application/vnd.ms-excel.slicer+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10.xml" ContentType="application/vnd.openxmlformats-officedocument.drawing+xml"/>
  <Override PartName="/xl/slicers/slicer3.xml" ContentType="application/vnd.ms-excel.slicer+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11.xml" ContentType="application/vnd.openxmlformats-officedocument.drawing+xml"/>
  <Override PartName="/xl/charts/chart37.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drawings/drawing1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hidePivotFieldList="1" defaultThemeVersion="166925"/>
  <mc:AlternateContent xmlns:mc="http://schemas.openxmlformats.org/markup-compatibility/2006">
    <mc:Choice Requires="x15">
      <x15ac:absPath xmlns:x15ac="http://schemas.microsoft.com/office/spreadsheetml/2010/11/ac" url="C:\Users\hao.zhang\repo\cft\model\"/>
    </mc:Choice>
  </mc:AlternateContent>
  <xr:revisionPtr revIDLastSave="0" documentId="13_ncr:1_{2BDABED4-D081-4764-B14E-822E3B08D0AC}" xr6:coauthVersionLast="41" xr6:coauthVersionMax="41" xr10:uidLastSave="{00000000-0000-0000-0000-000000000000}"/>
  <bookViews>
    <workbookView xWindow="23880" yWindow="-11055" windowWidth="29040" windowHeight="17640" tabRatio="816" xr2:uid="{D3F0056A-49FB-4D31-BB69-2E08C46C368C}"/>
  </bookViews>
  <sheets>
    <sheet name="FRONT_PAGE" sheetId="47" r:id="rId1"/>
    <sheet name="M_BRAND_FC" sheetId="32" r:id="rId2"/>
    <sheet name="Q_BRAND_FC" sheetId="7" r:id="rId3"/>
    <sheet name="M_BUSAREA_FC" sheetId="37" r:id="rId4"/>
    <sheet name="Q_BUSAREA_FC" sheetId="30" r:id="rId5"/>
    <sheet name="ST_OVERVIEW" sheetId="44" r:id="rId6"/>
    <sheet name="LT_OVERVIEW" sheetId="15" r:id="rId7"/>
    <sheet name="DASHBOARD" sheetId="45" r:id="rId8"/>
    <sheet name="NWC_FC_NOOS" sheetId="41" r:id="rId9"/>
    <sheet name="NWC_FC_NON-NOOS" sheetId="25" r:id="rId10"/>
    <sheet name="LAST_FC" sheetId="27" state="hidden" r:id="rId11"/>
    <sheet name="PLANNING_FC" sheetId="56" r:id="rId12"/>
    <sheet name="STOCK_OVERVIEW" sheetId="53" r:id="rId13"/>
    <sheet name="FC_DATA" sheetId="9" r:id="rId14"/>
    <sheet name="HIS_SALES" sheetId="49" state="hidden" r:id="rId15"/>
    <sheet name="HIS_STOCK" sheetId="50" state="hidden" r:id="rId16"/>
    <sheet name="OPEN_ORDERS" sheetId="58" state="hidden" r:id="rId17"/>
    <sheet name="DEV" sheetId="52" r:id="rId18"/>
    <sheet name="PIVOT TABLE" sheetId="12" state="hidden" r:id="rId19"/>
    <sheet name="TIME" sheetId="10" state="hidden" r:id="rId20"/>
  </sheets>
  <externalReferences>
    <externalReference r:id="rId21"/>
    <externalReference r:id="rId22"/>
  </externalReferences>
  <definedNames>
    <definedName name="_xlnm._FilterDatabase" localSheetId="13" hidden="1">FC_DATA!$A$1:$AM$1000</definedName>
    <definedName name="_xlnm._FilterDatabase" localSheetId="10" hidden="1">LAST_FC!$A$1:$AG$586</definedName>
    <definedName name="Categories" localSheetId="11">[1]categories!$D$4:$D$15</definedName>
    <definedName name="Categories" localSheetId="12">[1]categories!$D$4:$D$15</definedName>
    <definedName name="Categories">[1]categories!$D$4:$D$15</definedName>
    <definedName name="Category">OFFSET([2]Category!$B$4,,,COUNTIF([2]Category!$B$4:$B$92,"?*"))</definedName>
    <definedName name="d" localSheetId="3">OFFSET(#REF!,,,COUNTIF(#REF!,"?*"))</definedName>
    <definedName name="d" localSheetId="8">OFFSET(#REF!,,,COUNTIF(#REF!,"?*"))</definedName>
    <definedName name="d" localSheetId="11">OFFSET(#REF!,,,COUNTIF(#REF!,"?*"))</definedName>
    <definedName name="d" localSheetId="5">OFFSET(#REF!,,,COUNTIF(#REF!,"?*"))</definedName>
    <definedName name="d" localSheetId="12">OFFSET(#REF!,,,COUNTIF(#REF!,"?*"))</definedName>
    <definedName name="d">OFFSET(#REF!,,,COUNTIF(#REF!,"?*"))</definedName>
    <definedName name="ExternalData_1" localSheetId="15" hidden="1">HIS_STOCK!$A$1:$H$786</definedName>
    <definedName name="ExternalData_1" localSheetId="16" hidden="1">OPEN_ORDERS!$A$1:$E$171</definedName>
    <definedName name="ExternalData_2" localSheetId="14" hidden="1">HIS_SALES!$A$1:$U$1249</definedName>
    <definedName name="i">#REF!</definedName>
    <definedName name="Open_To_Buy" localSheetId="1">#REF!</definedName>
    <definedName name="Open_To_Buy" localSheetId="3">#REF!</definedName>
    <definedName name="Open_To_Buy" localSheetId="8">#REF!</definedName>
    <definedName name="Open_To_Buy" localSheetId="11">#REF!</definedName>
    <definedName name="Open_To_Buy" localSheetId="4">#REF!</definedName>
    <definedName name="Open_To_Buy" localSheetId="5">#REF!</definedName>
    <definedName name="Open_To_Buy" localSheetId="12">#REF!</definedName>
    <definedName name="Open_To_Buy">#REF!</definedName>
    <definedName name="Slicer_BUSINESS_AREA">#N/A</definedName>
    <definedName name="Slicer_PRODUCT_CATEGORY">#N/A</definedName>
    <definedName name="Slicer_PRODUCT_CATEGORY1">#N/A</definedName>
    <definedName name="Slicer_PRODUCT_CATEGORY2">#N/A</definedName>
    <definedName name="Style_Lookup" localSheetId="1">OFFSET(#REF!,,,COUNTIF(#REF!,"?*"))</definedName>
    <definedName name="Style_Lookup" localSheetId="3">OFFSET(#REF!,,,COUNTIF(#REF!,"?*"))</definedName>
    <definedName name="Style_Lookup" localSheetId="8">OFFSET(#REF!,,,COUNTIF(#REF!,"?*"))</definedName>
    <definedName name="Style_Lookup" localSheetId="11">OFFSET(#REF!,,,COUNTIF(#REF!,"?*"))</definedName>
    <definedName name="Style_Lookup" localSheetId="4">OFFSET(#REF!,,,COUNTIF(#REF!,"?*"))</definedName>
    <definedName name="Style_Lookup" localSheetId="5">OFFSET(#REF!,,,COUNTIF(#REF!,"?*"))</definedName>
    <definedName name="Style_Lookup" localSheetId="12">OFFSET(#REF!,,,COUNTIF(#REF!,"?*"))</definedName>
    <definedName name="Style_Lookup">OFFSET(#REF!,,,COUNTIF(#REF!,"?*"))</definedName>
    <definedName name="What" localSheetId="11">#REF!</definedName>
    <definedName name="What" localSheetId="12">#REF!</definedName>
    <definedName name="What">#REF!</definedName>
  </definedNames>
  <calcPr calcId="191029"/>
  <customWorkbookViews>
    <customWorkbookView name="hao.zhang - Personal View" guid="{4E4C3A2B-78A6-44EC-95FC-744D5C195817}" mergeInterval="0" personalView="1" maximized="1" xWindow="-8" yWindow="-8" windowWidth="1936" windowHeight="1056" activeSheetId="2"/>
    <customWorkbookView name="lex.zimmermann - Personal View" guid="{A2447232-033E-43AF-8E0C-9EA7004B0C7E}" mergeInterval="0" personalView="1" maximized="1" xWindow="-8" yWindow="-8" windowWidth="1936" windowHeight="1056" activeSheetId="1"/>
  </customWorkbookViews>
  <pivotCaches>
    <pivotCache cacheId="0" r:id="rId23"/>
    <pivotCache cacheId="1" r:id="rId24"/>
    <pivotCache cacheId="2" r:id="rId25"/>
    <pivotCache cacheId="3" r:id="rId26"/>
  </pivotCaches>
  <fileRecoveryPr autoRecover="0"/>
  <extLst>
    <ext xmlns:x14="http://schemas.microsoft.com/office/spreadsheetml/2009/9/main" uri="{BBE1A952-AA13-448e-AADC-164F8A28A991}">
      <x14:slicerCaches>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PC_1bd2d4d7-d84b-4260-8da1-046421509e92" name="PC" connection="Excel OPEN_ORDERS"/>
        </x15:modelTables>
      </x15:dataModel>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C1000" i="9" l="1"/>
  <c r="BB1000" i="9"/>
  <c r="BC999" i="9"/>
  <c r="BB999" i="9"/>
  <c r="BC998" i="9"/>
  <c r="BB998" i="9"/>
  <c r="BC997" i="9"/>
  <c r="BB997" i="9"/>
  <c r="BC996" i="9"/>
  <c r="BB996" i="9"/>
  <c r="BC995" i="9"/>
  <c r="BB995" i="9"/>
  <c r="BC994" i="9"/>
  <c r="BB994" i="9"/>
  <c r="BC993" i="9"/>
  <c r="BB993" i="9"/>
  <c r="BC992" i="9"/>
  <c r="BB992" i="9"/>
  <c r="BC991" i="9"/>
  <c r="BB991" i="9"/>
  <c r="BC990" i="9"/>
  <c r="BB990" i="9"/>
  <c r="BC989" i="9"/>
  <c r="BB989" i="9"/>
  <c r="BC988" i="9"/>
  <c r="BB988" i="9"/>
  <c r="BC987" i="9"/>
  <c r="BB987" i="9"/>
  <c r="BC986" i="9"/>
  <c r="BB986" i="9"/>
  <c r="BC985" i="9"/>
  <c r="BB985" i="9"/>
  <c r="BC984" i="9"/>
  <c r="BB984" i="9"/>
  <c r="BC983" i="9"/>
  <c r="BB983" i="9"/>
  <c r="BC982" i="9"/>
  <c r="BB982" i="9"/>
  <c r="BC981" i="9"/>
  <c r="BB981" i="9"/>
  <c r="BC980" i="9"/>
  <c r="BB980" i="9"/>
  <c r="BC979" i="9"/>
  <c r="BB979" i="9"/>
  <c r="BC978" i="9"/>
  <c r="BB978" i="9"/>
  <c r="BC977" i="9"/>
  <c r="BB977" i="9"/>
  <c r="BC976" i="9"/>
  <c r="BB976" i="9"/>
  <c r="BC975" i="9"/>
  <c r="BB975" i="9"/>
  <c r="BC974" i="9"/>
  <c r="BB974" i="9"/>
  <c r="BC973" i="9"/>
  <c r="BB973" i="9"/>
  <c r="BC972" i="9"/>
  <c r="BB972" i="9"/>
  <c r="BC971" i="9"/>
  <c r="BB971" i="9"/>
  <c r="BC970" i="9"/>
  <c r="BB970" i="9"/>
  <c r="BC969" i="9"/>
  <c r="BB969" i="9"/>
  <c r="BC968" i="9"/>
  <c r="BB968" i="9"/>
  <c r="BC967" i="9"/>
  <c r="BB967" i="9"/>
  <c r="BC966" i="9"/>
  <c r="BB966" i="9"/>
  <c r="BC965" i="9"/>
  <c r="BB965" i="9"/>
  <c r="BC964" i="9"/>
  <c r="BB964" i="9"/>
  <c r="BC963" i="9"/>
  <c r="BB963" i="9"/>
  <c r="BC962" i="9"/>
  <c r="BB962" i="9"/>
  <c r="BC961" i="9"/>
  <c r="BB961" i="9"/>
  <c r="BC960" i="9"/>
  <c r="BB960" i="9"/>
  <c r="BC959" i="9"/>
  <c r="BB959" i="9"/>
  <c r="BC958" i="9"/>
  <c r="BB958" i="9"/>
  <c r="BC957" i="9"/>
  <c r="BB957" i="9"/>
  <c r="BC956" i="9"/>
  <c r="BB956" i="9"/>
  <c r="BC955" i="9"/>
  <c r="BB955" i="9"/>
  <c r="BC954" i="9"/>
  <c r="BB954" i="9"/>
  <c r="BC953" i="9"/>
  <c r="BB953" i="9"/>
  <c r="BC952" i="9"/>
  <c r="BB952" i="9"/>
  <c r="BC951" i="9"/>
  <c r="BB951" i="9"/>
  <c r="BC950" i="9"/>
  <c r="BB950" i="9"/>
  <c r="BC949" i="9"/>
  <c r="BB949" i="9"/>
  <c r="BC948" i="9"/>
  <c r="BB948" i="9"/>
  <c r="BC947" i="9"/>
  <c r="BB947" i="9"/>
  <c r="BC946" i="9"/>
  <c r="BB946" i="9"/>
  <c r="BC945" i="9"/>
  <c r="BB945" i="9"/>
  <c r="BC944" i="9"/>
  <c r="BB944" i="9"/>
  <c r="BC943" i="9"/>
  <c r="BB943" i="9"/>
  <c r="BC942" i="9"/>
  <c r="BB942" i="9"/>
  <c r="BC941" i="9"/>
  <c r="BB941" i="9"/>
  <c r="BC940" i="9"/>
  <c r="BB940" i="9"/>
  <c r="BC939" i="9"/>
  <c r="BB939" i="9"/>
  <c r="BC938" i="9"/>
  <c r="BB938" i="9"/>
  <c r="BC937" i="9"/>
  <c r="BB937" i="9"/>
  <c r="BC936" i="9"/>
  <c r="BB936" i="9"/>
  <c r="BC935" i="9"/>
  <c r="BB935" i="9"/>
  <c r="BC934" i="9"/>
  <c r="BB934" i="9"/>
  <c r="BC933" i="9"/>
  <c r="BB933" i="9"/>
  <c r="BC932" i="9"/>
  <c r="BB932" i="9"/>
  <c r="BC931" i="9"/>
  <c r="BB931" i="9"/>
  <c r="BC930" i="9"/>
  <c r="BB930" i="9"/>
  <c r="BC929" i="9"/>
  <c r="BB929" i="9"/>
  <c r="BC928" i="9"/>
  <c r="BB928" i="9"/>
  <c r="BC927" i="9"/>
  <c r="BB927" i="9"/>
  <c r="BC926" i="9"/>
  <c r="BB926" i="9"/>
  <c r="BC925" i="9"/>
  <c r="BB925" i="9"/>
  <c r="BC924" i="9"/>
  <c r="BB924" i="9"/>
  <c r="BC923" i="9"/>
  <c r="BB923" i="9"/>
  <c r="BC922" i="9"/>
  <c r="BB922" i="9"/>
  <c r="BC921" i="9"/>
  <c r="BB921" i="9"/>
  <c r="BC920" i="9"/>
  <c r="BB920" i="9"/>
  <c r="BC919" i="9"/>
  <c r="BB919" i="9"/>
  <c r="BC918" i="9"/>
  <c r="BB918" i="9"/>
  <c r="BC917" i="9"/>
  <c r="BB917" i="9"/>
  <c r="BC916" i="9"/>
  <c r="BB916" i="9"/>
  <c r="BC915" i="9"/>
  <c r="BB915" i="9"/>
  <c r="BC914" i="9"/>
  <c r="BB914" i="9"/>
  <c r="BC913" i="9"/>
  <c r="BB913" i="9"/>
  <c r="BC912" i="9"/>
  <c r="BB912" i="9"/>
  <c r="BC911" i="9"/>
  <c r="BB911" i="9"/>
  <c r="BC910" i="9"/>
  <c r="BB910" i="9"/>
  <c r="BC909" i="9"/>
  <c r="BB909" i="9"/>
  <c r="BC908" i="9"/>
  <c r="BB908" i="9"/>
  <c r="BC907" i="9"/>
  <c r="BB907" i="9"/>
  <c r="BC906" i="9"/>
  <c r="BB906" i="9"/>
  <c r="BC905" i="9"/>
  <c r="BB905" i="9"/>
  <c r="BC904" i="9"/>
  <c r="BB904" i="9"/>
  <c r="BC903" i="9"/>
  <c r="BB903" i="9"/>
  <c r="BC902" i="9"/>
  <c r="BB902" i="9"/>
  <c r="BC901" i="9"/>
  <c r="BB901" i="9"/>
  <c r="BC900" i="9"/>
  <c r="BB900" i="9"/>
  <c r="BC899" i="9"/>
  <c r="BB899" i="9"/>
  <c r="BC898" i="9"/>
  <c r="BB898" i="9"/>
  <c r="BC897" i="9"/>
  <c r="BB897" i="9"/>
  <c r="BC896" i="9"/>
  <c r="BB896" i="9"/>
  <c r="BC895" i="9"/>
  <c r="BB895" i="9"/>
  <c r="BC894" i="9"/>
  <c r="BB894" i="9"/>
  <c r="BC893" i="9"/>
  <c r="BB893" i="9"/>
  <c r="BC892" i="9"/>
  <c r="BB892" i="9"/>
  <c r="BC891" i="9"/>
  <c r="BB891" i="9"/>
  <c r="BC890" i="9"/>
  <c r="BB890" i="9"/>
  <c r="BC889" i="9"/>
  <c r="BB889" i="9"/>
  <c r="BC888" i="9"/>
  <c r="BB888" i="9"/>
  <c r="BC887" i="9"/>
  <c r="BB887" i="9"/>
  <c r="BC886" i="9"/>
  <c r="BB886" i="9"/>
  <c r="BC885" i="9"/>
  <c r="BB885" i="9"/>
  <c r="BC884" i="9"/>
  <c r="BB884" i="9"/>
  <c r="BC883" i="9"/>
  <c r="BB883" i="9"/>
  <c r="BC882" i="9"/>
  <c r="BB882" i="9"/>
  <c r="BC881" i="9"/>
  <c r="BB881" i="9"/>
  <c r="BC880" i="9"/>
  <c r="BB880" i="9"/>
  <c r="BC879" i="9"/>
  <c r="BB879" i="9"/>
  <c r="BC878" i="9"/>
  <c r="BB878" i="9"/>
  <c r="BC877" i="9"/>
  <c r="BB877" i="9"/>
  <c r="BC876" i="9"/>
  <c r="BB876" i="9"/>
  <c r="BC875" i="9"/>
  <c r="BB875" i="9"/>
  <c r="BC874" i="9"/>
  <c r="BB874" i="9"/>
  <c r="BC873" i="9"/>
  <c r="BB873" i="9"/>
  <c r="BC872" i="9"/>
  <c r="BB872" i="9"/>
  <c r="BC871" i="9"/>
  <c r="BB871" i="9"/>
  <c r="BC870" i="9"/>
  <c r="BB870" i="9"/>
  <c r="BC869" i="9"/>
  <c r="BB869" i="9"/>
  <c r="BC868" i="9"/>
  <c r="BB868" i="9"/>
  <c r="BC867" i="9"/>
  <c r="BB867" i="9"/>
  <c r="BC866" i="9"/>
  <c r="BB866" i="9"/>
  <c r="BC865" i="9"/>
  <c r="BB865" i="9"/>
  <c r="BC864" i="9"/>
  <c r="BB864" i="9"/>
  <c r="BC863" i="9"/>
  <c r="BB863" i="9"/>
  <c r="BC862" i="9"/>
  <c r="BB862" i="9"/>
  <c r="BC861" i="9"/>
  <c r="BB861" i="9"/>
  <c r="BC860" i="9"/>
  <c r="BB860" i="9"/>
  <c r="BC859" i="9"/>
  <c r="BB859" i="9"/>
  <c r="BC858" i="9"/>
  <c r="BB858" i="9"/>
  <c r="BC857" i="9"/>
  <c r="BB857" i="9"/>
  <c r="BC856" i="9"/>
  <c r="BB856" i="9"/>
  <c r="BC855" i="9"/>
  <c r="BB855" i="9"/>
  <c r="BC854" i="9"/>
  <c r="BB854" i="9"/>
  <c r="BC853" i="9"/>
  <c r="BB853" i="9"/>
  <c r="BC852" i="9"/>
  <c r="BB852" i="9"/>
  <c r="BC851" i="9"/>
  <c r="BB851" i="9"/>
  <c r="BC850" i="9"/>
  <c r="BB850" i="9"/>
  <c r="BC849" i="9"/>
  <c r="BB849" i="9"/>
  <c r="BC848" i="9"/>
  <c r="BB848" i="9"/>
  <c r="BC847" i="9"/>
  <c r="BB847" i="9"/>
  <c r="BC846" i="9"/>
  <c r="BB846" i="9"/>
  <c r="BC845" i="9"/>
  <c r="BB845" i="9"/>
  <c r="BC844" i="9"/>
  <c r="BB844" i="9"/>
  <c r="BC843" i="9"/>
  <c r="BB843" i="9"/>
  <c r="BC842" i="9"/>
  <c r="BB842" i="9"/>
  <c r="BC841" i="9"/>
  <c r="BB841" i="9"/>
  <c r="BC840" i="9"/>
  <c r="BB840" i="9"/>
  <c r="BC839" i="9"/>
  <c r="BB839" i="9"/>
  <c r="BC838" i="9"/>
  <c r="BB838" i="9"/>
  <c r="BC837" i="9"/>
  <c r="BB837" i="9"/>
  <c r="BC836" i="9"/>
  <c r="BB836" i="9"/>
  <c r="BC835" i="9"/>
  <c r="BB835" i="9"/>
  <c r="BC834" i="9"/>
  <c r="BB834" i="9"/>
  <c r="BC833" i="9"/>
  <c r="BB833" i="9"/>
  <c r="BC832" i="9"/>
  <c r="BB832" i="9"/>
  <c r="BC831" i="9"/>
  <c r="BB831" i="9"/>
  <c r="BC830" i="9"/>
  <c r="BB830" i="9"/>
  <c r="BC829" i="9"/>
  <c r="BB829" i="9"/>
  <c r="BC828" i="9"/>
  <c r="BB828" i="9"/>
  <c r="BC827" i="9"/>
  <c r="BB827" i="9"/>
  <c r="BC826" i="9"/>
  <c r="BB826" i="9"/>
  <c r="BC825" i="9"/>
  <c r="BB825" i="9"/>
  <c r="BC824" i="9"/>
  <c r="BB824" i="9"/>
  <c r="BC823" i="9"/>
  <c r="BB823" i="9"/>
  <c r="BC822" i="9"/>
  <c r="BB822" i="9"/>
  <c r="BC821" i="9"/>
  <c r="BB821" i="9"/>
  <c r="BC820" i="9"/>
  <c r="BB820" i="9"/>
  <c r="BC819" i="9"/>
  <c r="BB819" i="9"/>
  <c r="BC818" i="9"/>
  <c r="BB818" i="9"/>
  <c r="BC817" i="9"/>
  <c r="BB817" i="9"/>
  <c r="BC816" i="9"/>
  <c r="BB816" i="9"/>
  <c r="BC815" i="9"/>
  <c r="BB815" i="9"/>
  <c r="BC814" i="9"/>
  <c r="BB814" i="9"/>
  <c r="BC813" i="9"/>
  <c r="BB813" i="9"/>
  <c r="BC812" i="9"/>
  <c r="BB812" i="9"/>
  <c r="BC811" i="9"/>
  <c r="BB811" i="9"/>
  <c r="BC810" i="9"/>
  <c r="BB810" i="9"/>
  <c r="BC809" i="9"/>
  <c r="BB809" i="9"/>
  <c r="BC808" i="9"/>
  <c r="BB808" i="9"/>
  <c r="BC807" i="9"/>
  <c r="BB807" i="9"/>
  <c r="BC806" i="9"/>
  <c r="BB806" i="9"/>
  <c r="BC805" i="9"/>
  <c r="BB805" i="9"/>
  <c r="BC804" i="9"/>
  <c r="BB804" i="9"/>
  <c r="BC803" i="9"/>
  <c r="BB803" i="9"/>
  <c r="BC802" i="9"/>
  <c r="BB802" i="9"/>
  <c r="BC801" i="9"/>
  <c r="BB801" i="9"/>
  <c r="BC800" i="9"/>
  <c r="BB800" i="9"/>
  <c r="BC799" i="9"/>
  <c r="BB799" i="9"/>
  <c r="BC798" i="9"/>
  <c r="BB798" i="9"/>
  <c r="BC797" i="9"/>
  <c r="BB797" i="9"/>
  <c r="BC796" i="9"/>
  <c r="BB796" i="9"/>
  <c r="BC795" i="9"/>
  <c r="BB795" i="9"/>
  <c r="BC794" i="9"/>
  <c r="BB794" i="9"/>
  <c r="BC793" i="9"/>
  <c r="BB793" i="9"/>
  <c r="BC792" i="9"/>
  <c r="BB792" i="9"/>
  <c r="BC791" i="9"/>
  <c r="BB791" i="9"/>
  <c r="BC790" i="9"/>
  <c r="BB790" i="9"/>
  <c r="BC789" i="9"/>
  <c r="BB789" i="9"/>
  <c r="BC788" i="9"/>
  <c r="BB788" i="9"/>
  <c r="BC787" i="9"/>
  <c r="BB787" i="9"/>
  <c r="BC786" i="9"/>
  <c r="BB786" i="9"/>
  <c r="BC785" i="9"/>
  <c r="BB785" i="9"/>
  <c r="BC784" i="9"/>
  <c r="BB784" i="9"/>
  <c r="BC783" i="9"/>
  <c r="BB783" i="9"/>
  <c r="BC782" i="9"/>
  <c r="BB782" i="9"/>
  <c r="BC781" i="9"/>
  <c r="BB781" i="9"/>
  <c r="BC780" i="9"/>
  <c r="BB780" i="9"/>
  <c r="BC779" i="9"/>
  <c r="BB779" i="9"/>
  <c r="BC778" i="9"/>
  <c r="BB778" i="9"/>
  <c r="BC777" i="9"/>
  <c r="BB777" i="9"/>
  <c r="BC776" i="9"/>
  <c r="BB776" i="9"/>
  <c r="BC775" i="9"/>
  <c r="BB775" i="9"/>
  <c r="BC774" i="9"/>
  <c r="BB774" i="9"/>
  <c r="BC773" i="9"/>
  <c r="BB773" i="9"/>
  <c r="BC772" i="9"/>
  <c r="BB772" i="9"/>
  <c r="BC771" i="9"/>
  <c r="BB771" i="9"/>
  <c r="BC770" i="9"/>
  <c r="BB770" i="9"/>
  <c r="BC769" i="9"/>
  <c r="BB769" i="9"/>
  <c r="BC768" i="9"/>
  <c r="BB768" i="9"/>
  <c r="BC767" i="9"/>
  <c r="BB767" i="9"/>
  <c r="BC766" i="9"/>
  <c r="BB766" i="9"/>
  <c r="BC765" i="9"/>
  <c r="BB765" i="9"/>
  <c r="BC764" i="9"/>
  <c r="BB764" i="9"/>
  <c r="BC763" i="9"/>
  <c r="BB763" i="9"/>
  <c r="BC762" i="9"/>
  <c r="BB762" i="9"/>
  <c r="BC761" i="9"/>
  <c r="BB761" i="9"/>
  <c r="BC760" i="9"/>
  <c r="BB760" i="9"/>
  <c r="BC759" i="9"/>
  <c r="BB759" i="9"/>
  <c r="BC758" i="9"/>
  <c r="BB758" i="9"/>
  <c r="BC757" i="9"/>
  <c r="BB757" i="9"/>
  <c r="BC756" i="9"/>
  <c r="BB756" i="9"/>
  <c r="BC755" i="9"/>
  <c r="BB755" i="9"/>
  <c r="BC754" i="9"/>
  <c r="BB754" i="9"/>
  <c r="BC753" i="9"/>
  <c r="BB753" i="9"/>
  <c r="BC752" i="9"/>
  <c r="BB752" i="9"/>
  <c r="BC751" i="9"/>
  <c r="BB751" i="9"/>
  <c r="BC750" i="9"/>
  <c r="BB750" i="9"/>
  <c r="BC749" i="9"/>
  <c r="BB749" i="9"/>
  <c r="BC748" i="9"/>
  <c r="BB748" i="9"/>
  <c r="BC747" i="9"/>
  <c r="BB747" i="9"/>
  <c r="BC746" i="9"/>
  <c r="BB746" i="9"/>
  <c r="BC745" i="9"/>
  <c r="BB745" i="9"/>
  <c r="BC744" i="9"/>
  <c r="BB744" i="9"/>
  <c r="BC743" i="9"/>
  <c r="BB743" i="9"/>
  <c r="BC742" i="9"/>
  <c r="BB742" i="9"/>
  <c r="BC741" i="9"/>
  <c r="BB741" i="9"/>
  <c r="BC740" i="9"/>
  <c r="BB740" i="9"/>
  <c r="BC739" i="9"/>
  <c r="BB739" i="9"/>
  <c r="BC738" i="9"/>
  <c r="BB738" i="9"/>
  <c r="BC737" i="9"/>
  <c r="BB737" i="9"/>
  <c r="BC736" i="9"/>
  <c r="BB736" i="9"/>
  <c r="BC735" i="9"/>
  <c r="BB735" i="9"/>
  <c r="BC734" i="9"/>
  <c r="BB734" i="9"/>
  <c r="BC733" i="9"/>
  <c r="BB733" i="9"/>
  <c r="BC732" i="9"/>
  <c r="BB732" i="9"/>
  <c r="BC731" i="9"/>
  <c r="BB731" i="9"/>
  <c r="BC730" i="9"/>
  <c r="BB730" i="9"/>
  <c r="BC729" i="9"/>
  <c r="BB729" i="9"/>
  <c r="BC728" i="9"/>
  <c r="BB728" i="9"/>
  <c r="BC727" i="9"/>
  <c r="BB727" i="9"/>
  <c r="BC726" i="9"/>
  <c r="BB726" i="9"/>
  <c r="BC725" i="9"/>
  <c r="BB725" i="9"/>
  <c r="BC724" i="9"/>
  <c r="BB724" i="9"/>
  <c r="BC723" i="9"/>
  <c r="BB723" i="9"/>
  <c r="BC722" i="9"/>
  <c r="BB722" i="9"/>
  <c r="BC721" i="9"/>
  <c r="BB721" i="9"/>
  <c r="BC720" i="9"/>
  <c r="BB720" i="9"/>
  <c r="BC719" i="9"/>
  <c r="BB719" i="9"/>
  <c r="BC718" i="9"/>
  <c r="BB718" i="9"/>
  <c r="BC717" i="9"/>
  <c r="BB717" i="9"/>
  <c r="BC716" i="9"/>
  <c r="BB716" i="9"/>
  <c r="BC715" i="9"/>
  <c r="BB715" i="9"/>
  <c r="BC714" i="9"/>
  <c r="BB714" i="9"/>
  <c r="BC713" i="9"/>
  <c r="BB713" i="9"/>
  <c r="BC712" i="9"/>
  <c r="BB712" i="9"/>
  <c r="BC711" i="9"/>
  <c r="BB711" i="9"/>
  <c r="BC710" i="9"/>
  <c r="BB710" i="9"/>
  <c r="BC709" i="9"/>
  <c r="BB709" i="9"/>
  <c r="BC708" i="9"/>
  <c r="BB708" i="9"/>
  <c r="BC707" i="9"/>
  <c r="BB707" i="9"/>
  <c r="BC706" i="9"/>
  <c r="BB706" i="9"/>
  <c r="BC705" i="9"/>
  <c r="BB705" i="9"/>
  <c r="BC704" i="9"/>
  <c r="BB704" i="9"/>
  <c r="BC703" i="9"/>
  <c r="BB703" i="9"/>
  <c r="BC702" i="9"/>
  <c r="BB702" i="9"/>
  <c r="BC701" i="9"/>
  <c r="BB701" i="9"/>
  <c r="BC700" i="9"/>
  <c r="BB700" i="9"/>
  <c r="BC699" i="9"/>
  <c r="BB699" i="9"/>
  <c r="BC698" i="9"/>
  <c r="BB698" i="9"/>
  <c r="BC697" i="9"/>
  <c r="BB697" i="9"/>
  <c r="BC696" i="9"/>
  <c r="BB696" i="9"/>
  <c r="BC695" i="9"/>
  <c r="BB695" i="9"/>
  <c r="BC694" i="9"/>
  <c r="BB694" i="9"/>
  <c r="BC693" i="9"/>
  <c r="BB693" i="9"/>
  <c r="BC692" i="9"/>
  <c r="BB692" i="9"/>
  <c r="BC691" i="9"/>
  <c r="BB691" i="9"/>
  <c r="BC690" i="9"/>
  <c r="BB690" i="9"/>
  <c r="BC689" i="9"/>
  <c r="BB689" i="9"/>
  <c r="BC688" i="9"/>
  <c r="BB688" i="9"/>
  <c r="BC687" i="9"/>
  <c r="BB687" i="9"/>
  <c r="BC686" i="9"/>
  <c r="BB686" i="9"/>
  <c r="BC685" i="9"/>
  <c r="BB685" i="9"/>
  <c r="BC684" i="9"/>
  <c r="BB684" i="9"/>
  <c r="BC683" i="9"/>
  <c r="BB683" i="9"/>
  <c r="BC682" i="9"/>
  <c r="BB682" i="9"/>
  <c r="BC681" i="9"/>
  <c r="BB681" i="9"/>
  <c r="BC680" i="9"/>
  <c r="BB680" i="9"/>
  <c r="BC679" i="9"/>
  <c r="BB679" i="9"/>
  <c r="BC678" i="9"/>
  <c r="BB678" i="9"/>
  <c r="BC677" i="9"/>
  <c r="BB677" i="9"/>
  <c r="BC676" i="9"/>
  <c r="BB676" i="9"/>
  <c r="BC675" i="9"/>
  <c r="BB675" i="9"/>
  <c r="BC674" i="9"/>
  <c r="BB674" i="9"/>
  <c r="BC673" i="9"/>
  <c r="BB673" i="9"/>
  <c r="BC672" i="9"/>
  <c r="BB672" i="9"/>
  <c r="BC671" i="9"/>
  <c r="BB671" i="9"/>
  <c r="BC670" i="9"/>
  <c r="BB670" i="9"/>
  <c r="BC669" i="9"/>
  <c r="BB669" i="9"/>
  <c r="BC668" i="9"/>
  <c r="BB668" i="9"/>
  <c r="BC667" i="9"/>
  <c r="BB667" i="9"/>
  <c r="BC666" i="9"/>
  <c r="BB666" i="9"/>
  <c r="BC665" i="9"/>
  <c r="BB665" i="9"/>
  <c r="BC664" i="9"/>
  <c r="BB664" i="9"/>
  <c r="BC663" i="9"/>
  <c r="BB663" i="9"/>
  <c r="BC662" i="9"/>
  <c r="BB662" i="9"/>
  <c r="BC661" i="9"/>
  <c r="BB661" i="9"/>
  <c r="BC660" i="9"/>
  <c r="BB660" i="9"/>
  <c r="BC659" i="9"/>
  <c r="BB659" i="9"/>
  <c r="BC658" i="9"/>
  <c r="BB658" i="9"/>
  <c r="BC657" i="9"/>
  <c r="BB657" i="9"/>
  <c r="BC656" i="9"/>
  <c r="BB656" i="9"/>
  <c r="BC655" i="9"/>
  <c r="BB655" i="9"/>
  <c r="BC654" i="9"/>
  <c r="BB654" i="9"/>
  <c r="BC653" i="9"/>
  <c r="BB653" i="9"/>
  <c r="BC652" i="9"/>
  <c r="BB652" i="9"/>
  <c r="BC651" i="9"/>
  <c r="BB651" i="9"/>
  <c r="BC650" i="9"/>
  <c r="BB650" i="9"/>
  <c r="BC649" i="9"/>
  <c r="BB649" i="9"/>
  <c r="BC648" i="9"/>
  <c r="BB648" i="9"/>
  <c r="BC647" i="9"/>
  <c r="BB647" i="9"/>
  <c r="BC646" i="9"/>
  <c r="BB646" i="9"/>
  <c r="BC645" i="9"/>
  <c r="BB645" i="9"/>
  <c r="BC644" i="9"/>
  <c r="BB644" i="9"/>
  <c r="BC643" i="9"/>
  <c r="BB643" i="9"/>
  <c r="BC642" i="9"/>
  <c r="BB642" i="9"/>
  <c r="BC641" i="9"/>
  <c r="BB641" i="9"/>
  <c r="BC640" i="9"/>
  <c r="BB640" i="9"/>
  <c r="BC639" i="9"/>
  <c r="BB639" i="9"/>
  <c r="BC638" i="9"/>
  <c r="BB638" i="9"/>
  <c r="BC637" i="9"/>
  <c r="BB637" i="9"/>
  <c r="BC636" i="9"/>
  <c r="BB636" i="9"/>
  <c r="BC635" i="9"/>
  <c r="BB635" i="9"/>
  <c r="BC634" i="9"/>
  <c r="BB634" i="9"/>
  <c r="BC633" i="9"/>
  <c r="BB633" i="9"/>
  <c r="BC632" i="9"/>
  <c r="BB632" i="9"/>
  <c r="BC631" i="9"/>
  <c r="BB631" i="9"/>
  <c r="BC630" i="9"/>
  <c r="BB630" i="9"/>
  <c r="BC629" i="9"/>
  <c r="BB629" i="9"/>
  <c r="BC628" i="9"/>
  <c r="BB628" i="9"/>
  <c r="BC627" i="9"/>
  <c r="BB627" i="9"/>
  <c r="BC626" i="9"/>
  <c r="BB626" i="9"/>
  <c r="BC625" i="9"/>
  <c r="BB625" i="9"/>
  <c r="BC624" i="9"/>
  <c r="BB624" i="9"/>
  <c r="BC623" i="9"/>
  <c r="BB623" i="9"/>
  <c r="BC622" i="9"/>
  <c r="BB622" i="9"/>
  <c r="BC621" i="9"/>
  <c r="BB621" i="9"/>
  <c r="BC620" i="9"/>
  <c r="BB620" i="9"/>
  <c r="BC619" i="9"/>
  <c r="BB619" i="9"/>
  <c r="BC618" i="9"/>
  <c r="BB618" i="9"/>
  <c r="BC617" i="9"/>
  <c r="BB617" i="9"/>
  <c r="BC616" i="9"/>
  <c r="BB616" i="9"/>
  <c r="BC615" i="9"/>
  <c r="BB615" i="9"/>
  <c r="BC614" i="9"/>
  <c r="BB614" i="9"/>
  <c r="BC613" i="9"/>
  <c r="BB613" i="9"/>
  <c r="BC612" i="9"/>
  <c r="BB612" i="9"/>
  <c r="BC611" i="9"/>
  <c r="BB611" i="9"/>
  <c r="BC610" i="9"/>
  <c r="BB610" i="9"/>
  <c r="BC609" i="9"/>
  <c r="BB609" i="9"/>
  <c r="BC608" i="9"/>
  <c r="BB608" i="9"/>
  <c r="BC607" i="9"/>
  <c r="BB607" i="9"/>
  <c r="BC606" i="9"/>
  <c r="BB606" i="9"/>
  <c r="BC605" i="9"/>
  <c r="BB605" i="9"/>
  <c r="BC604" i="9"/>
  <c r="BB604" i="9"/>
  <c r="BC603" i="9"/>
  <c r="BB603" i="9"/>
  <c r="BC602" i="9"/>
  <c r="BB602" i="9"/>
  <c r="BC601" i="9"/>
  <c r="BB601" i="9"/>
  <c r="BC600" i="9"/>
  <c r="BB600" i="9"/>
  <c r="BC599" i="9"/>
  <c r="BB599" i="9"/>
  <c r="BC598" i="9"/>
  <c r="BB598" i="9"/>
  <c r="BC597" i="9"/>
  <c r="BB597" i="9"/>
  <c r="BC596" i="9"/>
  <c r="BB596" i="9"/>
  <c r="BC595" i="9"/>
  <c r="BB595" i="9"/>
  <c r="BC594" i="9"/>
  <c r="BB594" i="9"/>
  <c r="BC593" i="9"/>
  <c r="BB593" i="9"/>
  <c r="BC592" i="9"/>
  <c r="BB592" i="9"/>
  <c r="BC591" i="9"/>
  <c r="BB591" i="9"/>
  <c r="BC590" i="9"/>
  <c r="BB590" i="9"/>
  <c r="BC589" i="9"/>
  <c r="BB589" i="9"/>
  <c r="BC588" i="9"/>
  <c r="BB588" i="9"/>
  <c r="BC587" i="9"/>
  <c r="BB587" i="9"/>
  <c r="BC586" i="9"/>
  <c r="BB586" i="9"/>
  <c r="BC585" i="9"/>
  <c r="BB585" i="9"/>
  <c r="BC584" i="9"/>
  <c r="BB584" i="9"/>
  <c r="BC583" i="9"/>
  <c r="BB583" i="9"/>
  <c r="BC582" i="9"/>
  <c r="BB582" i="9"/>
  <c r="BC581" i="9"/>
  <c r="BB581" i="9"/>
  <c r="BC580" i="9"/>
  <c r="BB580" i="9"/>
  <c r="BC579" i="9"/>
  <c r="BB579" i="9"/>
  <c r="BC578" i="9"/>
  <c r="BB578" i="9"/>
  <c r="BC577" i="9"/>
  <c r="BB577" i="9"/>
  <c r="BC576" i="9"/>
  <c r="BB576" i="9"/>
  <c r="BC575" i="9"/>
  <c r="BB575" i="9"/>
  <c r="BC574" i="9"/>
  <c r="BB574" i="9"/>
  <c r="BC573" i="9"/>
  <c r="BB573" i="9"/>
  <c r="BC572" i="9"/>
  <c r="BB572" i="9"/>
  <c r="BC571" i="9"/>
  <c r="BB571" i="9"/>
  <c r="BC570" i="9"/>
  <c r="BB570" i="9"/>
  <c r="BC569" i="9"/>
  <c r="BB569" i="9"/>
  <c r="BC568" i="9"/>
  <c r="BB568" i="9"/>
  <c r="BC567" i="9"/>
  <c r="BB567" i="9"/>
  <c r="BC566" i="9"/>
  <c r="BB566" i="9"/>
  <c r="BC565" i="9"/>
  <c r="BB565" i="9"/>
  <c r="BC564" i="9"/>
  <c r="BB564" i="9"/>
  <c r="BC563" i="9"/>
  <c r="BB563" i="9"/>
  <c r="BC562" i="9"/>
  <c r="BB562" i="9"/>
  <c r="BC561" i="9"/>
  <c r="BB561" i="9"/>
  <c r="BC560" i="9"/>
  <c r="BB560" i="9"/>
  <c r="BC559" i="9"/>
  <c r="BB559" i="9"/>
  <c r="BC558" i="9"/>
  <c r="BB558" i="9"/>
  <c r="BC557" i="9"/>
  <c r="BB557" i="9"/>
  <c r="BC556" i="9"/>
  <c r="BB556" i="9"/>
  <c r="BC555" i="9"/>
  <c r="BB555" i="9"/>
  <c r="BC554" i="9"/>
  <c r="BB554" i="9"/>
  <c r="BC553" i="9"/>
  <c r="BB553" i="9"/>
  <c r="BC552" i="9"/>
  <c r="BB552" i="9"/>
  <c r="BC551" i="9"/>
  <c r="BB551" i="9"/>
  <c r="BC550" i="9"/>
  <c r="BB550" i="9"/>
  <c r="BC549" i="9"/>
  <c r="BB549" i="9"/>
  <c r="BC548" i="9"/>
  <c r="BB548" i="9"/>
  <c r="BC547" i="9"/>
  <c r="BB547" i="9"/>
  <c r="BC546" i="9"/>
  <c r="BB546" i="9"/>
  <c r="BC545" i="9"/>
  <c r="BB545" i="9"/>
  <c r="BC544" i="9"/>
  <c r="BB544" i="9"/>
  <c r="BC543" i="9"/>
  <c r="BB543" i="9"/>
  <c r="BC542" i="9"/>
  <c r="BB542" i="9"/>
  <c r="BC541" i="9"/>
  <c r="BB541" i="9"/>
  <c r="BC540" i="9"/>
  <c r="BB540" i="9"/>
  <c r="BC539" i="9"/>
  <c r="BB539" i="9"/>
  <c r="BC538" i="9"/>
  <c r="BB538" i="9"/>
  <c r="BC537" i="9"/>
  <c r="BB537" i="9"/>
  <c r="BC536" i="9"/>
  <c r="BB536" i="9"/>
  <c r="BC535" i="9"/>
  <c r="BB535" i="9"/>
  <c r="BC534" i="9"/>
  <c r="BB534" i="9"/>
  <c r="BC533" i="9"/>
  <c r="BB533" i="9"/>
  <c r="BC532" i="9"/>
  <c r="BB532" i="9"/>
  <c r="BC531" i="9"/>
  <c r="BB531" i="9"/>
  <c r="BC530" i="9"/>
  <c r="BB530" i="9"/>
  <c r="BC529" i="9"/>
  <c r="BB529" i="9"/>
  <c r="BC528" i="9"/>
  <c r="BB528" i="9"/>
  <c r="BC527" i="9"/>
  <c r="BB527" i="9"/>
  <c r="BC526" i="9"/>
  <c r="BB526" i="9"/>
  <c r="BC525" i="9"/>
  <c r="BB525" i="9"/>
  <c r="BC524" i="9"/>
  <c r="BB524" i="9"/>
  <c r="BC523" i="9"/>
  <c r="BB523" i="9"/>
  <c r="BC522" i="9"/>
  <c r="BB522" i="9"/>
  <c r="BC521" i="9"/>
  <c r="BB521" i="9"/>
  <c r="BC520" i="9"/>
  <c r="BB520" i="9"/>
  <c r="BC519" i="9"/>
  <c r="BB519" i="9"/>
  <c r="BC518" i="9"/>
  <c r="BB518" i="9"/>
  <c r="BC517" i="9"/>
  <c r="BB517" i="9"/>
  <c r="BC516" i="9"/>
  <c r="BB516" i="9"/>
  <c r="BC515" i="9"/>
  <c r="BB515" i="9"/>
  <c r="BC514" i="9"/>
  <c r="BB514" i="9"/>
  <c r="BC513" i="9"/>
  <c r="BB513" i="9"/>
  <c r="BC512" i="9"/>
  <c r="BB512" i="9"/>
  <c r="BC511" i="9"/>
  <c r="BB511" i="9"/>
  <c r="BC510" i="9"/>
  <c r="BB510" i="9"/>
  <c r="BC509" i="9"/>
  <c r="BB509" i="9"/>
  <c r="BC508" i="9"/>
  <c r="BB508" i="9"/>
  <c r="BC507" i="9"/>
  <c r="BB507" i="9"/>
  <c r="BC506" i="9"/>
  <c r="BB506" i="9"/>
  <c r="BC505" i="9"/>
  <c r="BB505" i="9"/>
  <c r="BC504" i="9"/>
  <c r="BB504" i="9"/>
  <c r="BC503" i="9"/>
  <c r="BB503" i="9"/>
  <c r="BC502" i="9"/>
  <c r="BB502" i="9"/>
  <c r="BC501" i="9"/>
  <c r="BB501" i="9"/>
  <c r="BC500" i="9"/>
  <c r="BB500" i="9"/>
  <c r="BC499" i="9"/>
  <c r="BB499" i="9"/>
  <c r="BC498" i="9"/>
  <c r="BB498" i="9"/>
  <c r="BC497" i="9"/>
  <c r="BB497" i="9"/>
  <c r="BC496" i="9"/>
  <c r="BB496" i="9"/>
  <c r="BC495" i="9"/>
  <c r="BB495" i="9"/>
  <c r="BC494" i="9"/>
  <c r="BB494" i="9"/>
  <c r="BC493" i="9"/>
  <c r="BB493" i="9"/>
  <c r="BC492" i="9"/>
  <c r="BB492" i="9"/>
  <c r="BC491" i="9"/>
  <c r="BB491" i="9"/>
  <c r="BC490" i="9"/>
  <c r="BB490" i="9"/>
  <c r="BC489" i="9"/>
  <c r="BB489" i="9"/>
  <c r="BC488" i="9"/>
  <c r="BB488" i="9"/>
  <c r="BC487" i="9"/>
  <c r="BB487" i="9"/>
  <c r="BC486" i="9"/>
  <c r="BB486" i="9"/>
  <c r="BC485" i="9"/>
  <c r="BB485" i="9"/>
  <c r="BC484" i="9"/>
  <c r="BB484" i="9"/>
  <c r="BC483" i="9"/>
  <c r="BB483" i="9"/>
  <c r="BC482" i="9"/>
  <c r="BB482" i="9"/>
  <c r="BC481" i="9"/>
  <c r="BB481" i="9"/>
  <c r="BC480" i="9"/>
  <c r="BB480" i="9"/>
  <c r="BC479" i="9"/>
  <c r="BB479" i="9"/>
  <c r="BC478" i="9"/>
  <c r="BB478" i="9"/>
  <c r="BC477" i="9"/>
  <c r="BB477" i="9"/>
  <c r="BC476" i="9"/>
  <c r="BB476" i="9"/>
  <c r="BC475" i="9"/>
  <c r="BB475" i="9"/>
  <c r="BC474" i="9"/>
  <c r="BB474" i="9"/>
  <c r="BC473" i="9"/>
  <c r="BB473" i="9"/>
  <c r="BC472" i="9"/>
  <c r="BB472" i="9"/>
  <c r="BC471" i="9"/>
  <c r="BB471" i="9"/>
  <c r="BC470" i="9"/>
  <c r="BB470" i="9"/>
  <c r="BC469" i="9"/>
  <c r="BB469" i="9"/>
  <c r="BC468" i="9"/>
  <c r="BB468" i="9"/>
  <c r="BC467" i="9"/>
  <c r="BB467" i="9"/>
  <c r="BC466" i="9"/>
  <c r="BB466" i="9"/>
  <c r="BC465" i="9"/>
  <c r="BB465" i="9"/>
  <c r="BC464" i="9"/>
  <c r="BB464" i="9"/>
  <c r="BC463" i="9"/>
  <c r="BB463" i="9"/>
  <c r="BC462" i="9"/>
  <c r="BB462" i="9"/>
  <c r="BC461" i="9"/>
  <c r="BB461" i="9"/>
  <c r="BC460" i="9"/>
  <c r="BB460" i="9"/>
  <c r="BC459" i="9"/>
  <c r="BB459" i="9"/>
  <c r="BC458" i="9"/>
  <c r="BB458" i="9"/>
  <c r="BC457" i="9"/>
  <c r="BB457" i="9"/>
  <c r="BC456" i="9"/>
  <c r="BB456" i="9"/>
  <c r="BC455" i="9"/>
  <c r="BB455" i="9"/>
  <c r="BC454" i="9"/>
  <c r="BB454" i="9"/>
  <c r="BC453" i="9"/>
  <c r="BB453" i="9"/>
  <c r="BC452" i="9"/>
  <c r="BB452" i="9"/>
  <c r="BC451" i="9"/>
  <c r="BB451" i="9"/>
  <c r="BC450" i="9"/>
  <c r="BB450" i="9"/>
  <c r="BC449" i="9"/>
  <c r="BB449" i="9"/>
  <c r="BC448" i="9"/>
  <c r="BB448" i="9"/>
  <c r="BC447" i="9"/>
  <c r="BB447" i="9"/>
  <c r="BC446" i="9"/>
  <c r="BB446" i="9"/>
  <c r="BC445" i="9"/>
  <c r="BB445" i="9"/>
  <c r="BC444" i="9"/>
  <c r="BB444" i="9"/>
  <c r="BC443" i="9"/>
  <c r="BB443" i="9"/>
  <c r="BC442" i="9"/>
  <c r="BB442" i="9"/>
  <c r="BC441" i="9"/>
  <c r="BB441" i="9"/>
  <c r="BC440" i="9"/>
  <c r="BB440" i="9"/>
  <c r="BC439" i="9"/>
  <c r="BB439" i="9"/>
  <c r="BC438" i="9"/>
  <c r="BB438" i="9"/>
  <c r="BC437" i="9"/>
  <c r="BB437" i="9"/>
  <c r="BC436" i="9"/>
  <c r="BB436" i="9"/>
  <c r="BC435" i="9"/>
  <c r="BB435" i="9"/>
  <c r="BC434" i="9"/>
  <c r="BB434" i="9"/>
  <c r="BC433" i="9"/>
  <c r="BB433" i="9"/>
  <c r="BC432" i="9"/>
  <c r="BB432" i="9"/>
  <c r="BC431" i="9"/>
  <c r="BB431" i="9"/>
  <c r="BC430" i="9"/>
  <c r="BB430" i="9"/>
  <c r="BC429" i="9"/>
  <c r="BB429" i="9"/>
  <c r="BC428" i="9"/>
  <c r="BB428" i="9"/>
  <c r="BC427" i="9"/>
  <c r="BB427" i="9"/>
  <c r="BC426" i="9"/>
  <c r="BB426" i="9"/>
  <c r="BC425" i="9"/>
  <c r="BB425" i="9"/>
  <c r="BC424" i="9"/>
  <c r="BB424" i="9"/>
  <c r="BC423" i="9"/>
  <c r="BB423" i="9"/>
  <c r="BC422" i="9"/>
  <c r="BB422" i="9"/>
  <c r="BC421" i="9"/>
  <c r="BB421" i="9"/>
  <c r="BC420" i="9"/>
  <c r="BB420" i="9"/>
  <c r="BC419" i="9"/>
  <c r="BB419" i="9"/>
  <c r="BC418" i="9"/>
  <c r="BB418" i="9"/>
  <c r="BC417" i="9"/>
  <c r="BB417" i="9"/>
  <c r="BC416" i="9"/>
  <c r="BB416" i="9"/>
  <c r="BC415" i="9"/>
  <c r="BB415" i="9"/>
  <c r="BC414" i="9"/>
  <c r="BB414" i="9"/>
  <c r="BC413" i="9"/>
  <c r="BB413" i="9"/>
  <c r="BC412" i="9"/>
  <c r="BB412" i="9"/>
  <c r="BC411" i="9"/>
  <c r="BB411" i="9"/>
  <c r="BC410" i="9"/>
  <c r="BB410" i="9"/>
  <c r="BC409" i="9"/>
  <c r="BB409" i="9"/>
  <c r="BC408" i="9"/>
  <c r="BB408" i="9"/>
  <c r="BC407" i="9"/>
  <c r="BB407" i="9"/>
  <c r="BC406" i="9"/>
  <c r="BB406" i="9"/>
  <c r="BC405" i="9"/>
  <c r="BB405" i="9"/>
  <c r="BC404" i="9"/>
  <c r="BB404" i="9"/>
  <c r="BC403" i="9"/>
  <c r="BB403" i="9"/>
  <c r="BC402" i="9"/>
  <c r="BB402" i="9"/>
  <c r="BC401" i="9"/>
  <c r="BB401" i="9"/>
  <c r="BC400" i="9"/>
  <c r="BB400" i="9"/>
  <c r="BC399" i="9"/>
  <c r="BB399" i="9"/>
  <c r="BC398" i="9"/>
  <c r="BB398" i="9"/>
  <c r="BC397" i="9"/>
  <c r="BB397" i="9"/>
  <c r="BC396" i="9"/>
  <c r="BB396" i="9"/>
  <c r="BC395" i="9"/>
  <c r="BB395" i="9"/>
  <c r="BC394" i="9"/>
  <c r="BB394" i="9"/>
  <c r="BC393" i="9"/>
  <c r="BB393" i="9"/>
  <c r="BC392" i="9"/>
  <c r="BB392" i="9"/>
  <c r="BC391" i="9"/>
  <c r="BB391" i="9"/>
  <c r="BC390" i="9"/>
  <c r="BB390" i="9"/>
  <c r="BC389" i="9"/>
  <c r="BB389" i="9"/>
  <c r="BC388" i="9"/>
  <c r="BB388" i="9"/>
  <c r="BC387" i="9"/>
  <c r="BB387" i="9"/>
  <c r="BC386" i="9"/>
  <c r="BB386" i="9"/>
  <c r="BC385" i="9"/>
  <c r="BB385" i="9"/>
  <c r="BC384" i="9"/>
  <c r="BB384" i="9"/>
  <c r="BC383" i="9"/>
  <c r="BB383" i="9"/>
  <c r="BC382" i="9"/>
  <c r="BB382" i="9"/>
  <c r="BC381" i="9"/>
  <c r="BB381" i="9"/>
  <c r="BC380" i="9"/>
  <c r="BB380" i="9"/>
  <c r="BC379" i="9"/>
  <c r="BB379" i="9"/>
  <c r="BC378" i="9"/>
  <c r="BB378" i="9"/>
  <c r="BC377" i="9"/>
  <c r="BB377" i="9"/>
  <c r="BC376" i="9"/>
  <c r="BB376" i="9"/>
  <c r="BC375" i="9"/>
  <c r="BB375" i="9"/>
  <c r="BC374" i="9"/>
  <c r="BB374" i="9"/>
  <c r="BC373" i="9"/>
  <c r="BB373" i="9"/>
  <c r="BC372" i="9"/>
  <c r="BB372" i="9"/>
  <c r="BC371" i="9"/>
  <c r="BB371" i="9"/>
  <c r="BC370" i="9"/>
  <c r="BB370" i="9"/>
  <c r="BC369" i="9"/>
  <c r="BB369" i="9"/>
  <c r="BC368" i="9"/>
  <c r="BB368" i="9"/>
  <c r="BC367" i="9"/>
  <c r="BB367" i="9"/>
  <c r="BC366" i="9"/>
  <c r="BB366" i="9"/>
  <c r="BC365" i="9"/>
  <c r="BB365" i="9"/>
  <c r="BC364" i="9"/>
  <c r="BB364" i="9"/>
  <c r="BC363" i="9"/>
  <c r="BB363" i="9"/>
  <c r="BC362" i="9"/>
  <c r="BB362" i="9"/>
  <c r="BC361" i="9"/>
  <c r="BB361" i="9"/>
  <c r="BC360" i="9"/>
  <c r="BB360" i="9"/>
  <c r="BC359" i="9"/>
  <c r="BB359" i="9"/>
  <c r="BC358" i="9"/>
  <c r="BB358" i="9"/>
  <c r="BC357" i="9"/>
  <c r="BB357" i="9"/>
  <c r="BC356" i="9"/>
  <c r="BB356" i="9"/>
  <c r="BC355" i="9"/>
  <c r="BB355" i="9"/>
  <c r="BC354" i="9"/>
  <c r="BB354" i="9"/>
  <c r="BC353" i="9"/>
  <c r="BB353" i="9"/>
  <c r="BC352" i="9"/>
  <c r="BB352" i="9"/>
  <c r="BC351" i="9"/>
  <c r="BB351" i="9"/>
  <c r="BC350" i="9"/>
  <c r="BB350" i="9"/>
  <c r="BC349" i="9"/>
  <c r="BB349" i="9"/>
  <c r="BC348" i="9"/>
  <c r="BB348" i="9"/>
  <c r="BC347" i="9"/>
  <c r="BB347" i="9"/>
  <c r="BC346" i="9"/>
  <c r="BB346" i="9"/>
  <c r="BC345" i="9"/>
  <c r="BB345" i="9"/>
  <c r="BC344" i="9"/>
  <c r="BB344" i="9"/>
  <c r="BC343" i="9"/>
  <c r="BB343" i="9"/>
  <c r="BC342" i="9"/>
  <c r="BB342" i="9"/>
  <c r="BC341" i="9"/>
  <c r="BB341" i="9"/>
  <c r="BC340" i="9"/>
  <c r="BB340" i="9"/>
  <c r="BC339" i="9"/>
  <c r="BB339" i="9"/>
  <c r="BC338" i="9"/>
  <c r="BB338" i="9"/>
  <c r="BC337" i="9"/>
  <c r="BB337" i="9"/>
  <c r="BC336" i="9"/>
  <c r="BB336" i="9"/>
  <c r="BC335" i="9"/>
  <c r="BB335" i="9"/>
  <c r="BC334" i="9"/>
  <c r="BB334" i="9"/>
  <c r="BC333" i="9"/>
  <c r="BB333" i="9"/>
  <c r="BC332" i="9"/>
  <c r="BB332" i="9"/>
  <c r="BC331" i="9"/>
  <c r="BB331" i="9"/>
  <c r="BC330" i="9"/>
  <c r="BB330" i="9"/>
  <c r="BC329" i="9"/>
  <c r="BB329" i="9"/>
  <c r="BC328" i="9"/>
  <c r="BB328" i="9"/>
  <c r="BC327" i="9"/>
  <c r="BB327" i="9"/>
  <c r="BC326" i="9"/>
  <c r="BB326" i="9"/>
  <c r="BC325" i="9"/>
  <c r="BB325" i="9"/>
  <c r="BC324" i="9"/>
  <c r="BB324" i="9"/>
  <c r="BC323" i="9"/>
  <c r="BB323" i="9"/>
  <c r="BC322" i="9"/>
  <c r="BB322" i="9"/>
  <c r="BC321" i="9"/>
  <c r="BB321" i="9"/>
  <c r="BC320" i="9"/>
  <c r="BB320" i="9"/>
  <c r="BC319" i="9"/>
  <c r="BB319" i="9"/>
  <c r="BC318" i="9"/>
  <c r="BB318" i="9"/>
  <c r="BC317" i="9"/>
  <c r="BB317" i="9"/>
  <c r="BC316" i="9"/>
  <c r="BB316" i="9"/>
  <c r="BC315" i="9"/>
  <c r="BB315" i="9"/>
  <c r="BC314" i="9"/>
  <c r="BB314" i="9"/>
  <c r="BC313" i="9"/>
  <c r="BB313" i="9"/>
  <c r="BC312" i="9"/>
  <c r="BB312" i="9"/>
  <c r="BC311" i="9"/>
  <c r="BB311" i="9"/>
  <c r="BC310" i="9"/>
  <c r="BB310" i="9"/>
  <c r="BC309" i="9"/>
  <c r="BB309" i="9"/>
  <c r="BC308" i="9"/>
  <c r="BB308" i="9"/>
  <c r="BC307" i="9"/>
  <c r="BB307" i="9"/>
  <c r="BC306" i="9"/>
  <c r="BB306" i="9"/>
  <c r="BC305" i="9"/>
  <c r="BB305" i="9"/>
  <c r="BC304" i="9"/>
  <c r="BB304" i="9"/>
  <c r="BC303" i="9"/>
  <c r="BB303" i="9"/>
  <c r="BC302" i="9"/>
  <c r="BB302" i="9"/>
  <c r="BC301" i="9"/>
  <c r="BB301" i="9"/>
  <c r="BC300" i="9"/>
  <c r="BB300" i="9"/>
  <c r="BC299" i="9"/>
  <c r="BB299" i="9"/>
  <c r="BC298" i="9"/>
  <c r="BB298" i="9"/>
  <c r="BC297" i="9"/>
  <c r="BB297" i="9"/>
  <c r="BC296" i="9"/>
  <c r="BB296" i="9"/>
  <c r="BC295" i="9"/>
  <c r="BB295" i="9"/>
  <c r="BC294" i="9"/>
  <c r="BB294" i="9"/>
  <c r="BC293" i="9"/>
  <c r="BB293" i="9"/>
  <c r="BC292" i="9"/>
  <c r="BB292" i="9"/>
  <c r="BC291" i="9"/>
  <c r="BB291" i="9"/>
  <c r="BC290" i="9"/>
  <c r="BB290" i="9"/>
  <c r="BC289" i="9"/>
  <c r="BB289" i="9"/>
  <c r="BC288" i="9"/>
  <c r="BB288" i="9"/>
  <c r="BC287" i="9"/>
  <c r="BB287" i="9"/>
  <c r="BC286" i="9"/>
  <c r="BB286" i="9"/>
  <c r="BC285" i="9"/>
  <c r="BB285" i="9"/>
  <c r="BC284" i="9"/>
  <c r="BB284" i="9"/>
  <c r="BC283" i="9"/>
  <c r="BB283" i="9"/>
  <c r="BC282" i="9"/>
  <c r="BB282" i="9"/>
  <c r="BC281" i="9"/>
  <c r="BB281" i="9"/>
  <c r="BC280" i="9"/>
  <c r="BB280" i="9"/>
  <c r="BC279" i="9"/>
  <c r="BB279" i="9"/>
  <c r="BC278" i="9"/>
  <c r="BB278" i="9"/>
  <c r="BC277" i="9"/>
  <c r="BB277" i="9"/>
  <c r="BC276" i="9"/>
  <c r="BB276" i="9"/>
  <c r="BC275" i="9"/>
  <c r="BB275" i="9"/>
  <c r="BC274" i="9"/>
  <c r="BB274" i="9"/>
  <c r="BC273" i="9"/>
  <c r="BB273" i="9"/>
  <c r="BC272" i="9"/>
  <c r="BB272" i="9"/>
  <c r="BC271" i="9"/>
  <c r="BB271" i="9"/>
  <c r="BC270" i="9"/>
  <c r="BB270" i="9"/>
  <c r="BC269" i="9"/>
  <c r="BB269" i="9"/>
  <c r="BC268" i="9"/>
  <c r="BB268" i="9"/>
  <c r="BC267" i="9"/>
  <c r="BB267" i="9"/>
  <c r="BC266" i="9"/>
  <c r="BB266" i="9"/>
  <c r="BC265" i="9"/>
  <c r="BB265" i="9"/>
  <c r="BC264" i="9"/>
  <c r="BB264" i="9"/>
  <c r="BC263" i="9"/>
  <c r="BB263" i="9"/>
  <c r="BC262" i="9"/>
  <c r="BB262" i="9"/>
  <c r="BC261" i="9"/>
  <c r="BB261" i="9"/>
  <c r="BC260" i="9"/>
  <c r="BB260" i="9"/>
  <c r="BC259" i="9"/>
  <c r="BB259" i="9"/>
  <c r="BC258" i="9"/>
  <c r="BB258" i="9"/>
  <c r="BC257" i="9"/>
  <c r="BB257" i="9"/>
  <c r="BC256" i="9"/>
  <c r="BB256" i="9"/>
  <c r="BC255" i="9"/>
  <c r="BB255" i="9"/>
  <c r="BC254" i="9"/>
  <c r="BB254" i="9"/>
  <c r="BC253" i="9"/>
  <c r="BB253" i="9"/>
  <c r="BC252" i="9"/>
  <c r="BB252" i="9"/>
  <c r="BC251" i="9"/>
  <c r="BB251" i="9"/>
  <c r="BC250" i="9"/>
  <c r="BB250" i="9"/>
  <c r="BC249" i="9"/>
  <c r="BB249" i="9"/>
  <c r="BC248" i="9"/>
  <c r="BB248" i="9"/>
  <c r="BC247" i="9"/>
  <c r="BB247" i="9"/>
  <c r="BC246" i="9"/>
  <c r="BB246" i="9"/>
  <c r="BC245" i="9"/>
  <c r="BB245" i="9"/>
  <c r="BC244" i="9"/>
  <c r="BB244" i="9"/>
  <c r="BC243" i="9"/>
  <c r="BB243" i="9"/>
  <c r="BC242" i="9"/>
  <c r="BB242" i="9"/>
  <c r="BC241" i="9"/>
  <c r="BB241" i="9"/>
  <c r="BC240" i="9"/>
  <c r="BB240" i="9"/>
  <c r="BC239" i="9"/>
  <c r="BB239" i="9"/>
  <c r="BC238" i="9"/>
  <c r="BB238" i="9"/>
  <c r="BC237" i="9"/>
  <c r="BB237" i="9"/>
  <c r="BC236" i="9"/>
  <c r="BB236" i="9"/>
  <c r="BC235" i="9"/>
  <c r="BB235" i="9"/>
  <c r="BC234" i="9"/>
  <c r="BB234" i="9"/>
  <c r="BC233" i="9"/>
  <c r="BB233" i="9"/>
  <c r="BC232" i="9"/>
  <c r="BB232" i="9"/>
  <c r="BC231" i="9"/>
  <c r="BB231" i="9"/>
  <c r="BC230" i="9"/>
  <c r="BB230" i="9"/>
  <c r="BC229" i="9"/>
  <c r="BB229" i="9"/>
  <c r="BC228" i="9"/>
  <c r="BB228" i="9"/>
  <c r="BC227" i="9"/>
  <c r="BB227" i="9"/>
  <c r="BC226" i="9"/>
  <c r="BB226" i="9"/>
  <c r="BC225" i="9"/>
  <c r="BB225" i="9"/>
  <c r="BC224" i="9"/>
  <c r="BB224" i="9"/>
  <c r="BC223" i="9"/>
  <c r="BB223" i="9"/>
  <c r="BC222" i="9"/>
  <c r="BB222" i="9"/>
  <c r="BC221" i="9"/>
  <c r="BB221" i="9"/>
  <c r="BC220" i="9"/>
  <c r="BB220" i="9"/>
  <c r="BC219" i="9"/>
  <c r="BB219" i="9"/>
  <c r="BC218" i="9"/>
  <c r="BB218" i="9"/>
  <c r="BC217" i="9"/>
  <c r="BB217" i="9"/>
  <c r="BC216" i="9"/>
  <c r="BB216" i="9"/>
  <c r="BC215" i="9"/>
  <c r="BB215" i="9"/>
  <c r="BC214" i="9"/>
  <c r="BB214" i="9"/>
  <c r="BC213" i="9"/>
  <c r="BB213" i="9"/>
  <c r="BC212" i="9"/>
  <c r="BB212" i="9"/>
  <c r="BC211" i="9"/>
  <c r="BB211" i="9"/>
  <c r="BC210" i="9"/>
  <c r="BB210" i="9"/>
  <c r="BC209" i="9"/>
  <c r="BB209" i="9"/>
  <c r="BC208" i="9"/>
  <c r="BB208" i="9"/>
  <c r="BC207" i="9"/>
  <c r="BB207" i="9"/>
  <c r="BC206" i="9"/>
  <c r="BB206" i="9"/>
  <c r="BC205" i="9"/>
  <c r="BB205" i="9"/>
  <c r="BC204" i="9"/>
  <c r="BB204" i="9"/>
  <c r="BC203" i="9"/>
  <c r="BB203" i="9"/>
  <c r="BC202" i="9"/>
  <c r="BB202" i="9"/>
  <c r="BC201" i="9"/>
  <c r="BB201" i="9"/>
  <c r="BC200" i="9"/>
  <c r="BB200" i="9"/>
  <c r="BC199" i="9"/>
  <c r="BB199" i="9"/>
  <c r="BC198" i="9"/>
  <c r="BB198" i="9"/>
  <c r="BC197" i="9"/>
  <c r="BB197" i="9"/>
  <c r="BC196" i="9"/>
  <c r="BB196" i="9"/>
  <c r="BC195" i="9"/>
  <c r="BB195" i="9"/>
  <c r="BC194" i="9"/>
  <c r="BB194" i="9"/>
  <c r="BC193" i="9"/>
  <c r="BB193" i="9"/>
  <c r="BC192" i="9"/>
  <c r="BB192" i="9"/>
  <c r="BC191" i="9"/>
  <c r="BB191" i="9"/>
  <c r="BC190" i="9"/>
  <c r="BB190" i="9"/>
  <c r="BC189" i="9"/>
  <c r="BB189" i="9"/>
  <c r="BC188" i="9"/>
  <c r="BB188" i="9"/>
  <c r="BC187" i="9"/>
  <c r="BB187" i="9"/>
  <c r="BC186" i="9"/>
  <c r="BB186" i="9"/>
  <c r="BC185" i="9"/>
  <c r="BB185" i="9"/>
  <c r="BC184" i="9"/>
  <c r="BB184" i="9"/>
  <c r="BC183" i="9"/>
  <c r="BB183" i="9"/>
  <c r="BC182" i="9"/>
  <c r="BB182" i="9"/>
  <c r="BC181" i="9"/>
  <c r="BB181" i="9"/>
  <c r="BC180" i="9"/>
  <c r="BB180" i="9"/>
  <c r="BC179" i="9"/>
  <c r="BB179" i="9"/>
  <c r="BC178" i="9"/>
  <c r="BB178" i="9"/>
  <c r="BC177" i="9"/>
  <c r="BB177" i="9"/>
  <c r="BC176" i="9"/>
  <c r="BB176" i="9"/>
  <c r="BC175" i="9"/>
  <c r="BB175" i="9"/>
  <c r="BC174" i="9"/>
  <c r="BB174" i="9"/>
  <c r="BC173" i="9"/>
  <c r="BB173" i="9"/>
  <c r="BC172" i="9"/>
  <c r="BB172" i="9"/>
  <c r="BC171" i="9"/>
  <c r="BB171" i="9"/>
  <c r="BC170" i="9"/>
  <c r="BB170" i="9"/>
  <c r="BC169" i="9"/>
  <c r="BB169" i="9"/>
  <c r="BC168" i="9"/>
  <c r="BB168" i="9"/>
  <c r="BC167" i="9"/>
  <c r="BB167" i="9"/>
  <c r="BC166" i="9"/>
  <c r="BB166" i="9"/>
  <c r="BC165" i="9"/>
  <c r="BB165" i="9"/>
  <c r="BC164" i="9"/>
  <c r="BB164" i="9"/>
  <c r="BC163" i="9"/>
  <c r="BB163" i="9"/>
  <c r="BC162" i="9"/>
  <c r="BB162" i="9"/>
  <c r="BC161" i="9"/>
  <c r="BB161" i="9"/>
  <c r="BC160" i="9"/>
  <c r="BB160" i="9"/>
  <c r="BC159" i="9"/>
  <c r="BB159" i="9"/>
  <c r="BC158" i="9"/>
  <c r="BB158" i="9"/>
  <c r="BC157" i="9"/>
  <c r="BB157" i="9"/>
  <c r="BC156" i="9"/>
  <c r="BB156" i="9"/>
  <c r="BC155" i="9"/>
  <c r="BB155" i="9"/>
  <c r="BC154" i="9"/>
  <c r="BB154" i="9"/>
  <c r="BC153" i="9"/>
  <c r="BB153" i="9"/>
  <c r="BC152" i="9"/>
  <c r="BB152" i="9"/>
  <c r="BC151" i="9"/>
  <c r="BB151" i="9"/>
  <c r="BC150" i="9"/>
  <c r="BB150" i="9"/>
  <c r="BC149" i="9"/>
  <c r="BB149" i="9"/>
  <c r="BC148" i="9"/>
  <c r="BB148" i="9"/>
  <c r="BC147" i="9"/>
  <c r="BB147" i="9"/>
  <c r="BC146" i="9"/>
  <c r="BB146" i="9"/>
  <c r="BC145" i="9"/>
  <c r="BB145" i="9"/>
  <c r="BC144" i="9"/>
  <c r="BB144" i="9"/>
  <c r="BC143" i="9"/>
  <c r="BB143" i="9"/>
  <c r="BC142" i="9"/>
  <c r="BB142" i="9"/>
  <c r="BC141" i="9"/>
  <c r="BB141" i="9"/>
  <c r="BC140" i="9"/>
  <c r="BB140" i="9"/>
  <c r="BC139" i="9"/>
  <c r="BB139" i="9"/>
  <c r="BC138" i="9"/>
  <c r="BB138" i="9"/>
  <c r="BC137" i="9"/>
  <c r="BB137" i="9"/>
  <c r="BC136" i="9"/>
  <c r="BB136" i="9"/>
  <c r="BC135" i="9"/>
  <c r="BB135" i="9"/>
  <c r="BC134" i="9"/>
  <c r="BB134" i="9"/>
  <c r="BC133" i="9"/>
  <c r="BB133" i="9"/>
  <c r="BC132" i="9"/>
  <c r="BB132" i="9"/>
  <c r="BC131" i="9"/>
  <c r="BB131" i="9"/>
  <c r="BC130" i="9"/>
  <c r="BB130" i="9"/>
  <c r="BC129" i="9"/>
  <c r="BB129" i="9"/>
  <c r="BC128" i="9"/>
  <c r="BB128" i="9"/>
  <c r="BC127" i="9"/>
  <c r="BB127" i="9"/>
  <c r="BC126" i="9"/>
  <c r="BB126" i="9"/>
  <c r="BC125" i="9"/>
  <c r="BB125" i="9"/>
  <c r="BC124" i="9"/>
  <c r="BB124" i="9"/>
  <c r="BC123" i="9"/>
  <c r="BB123" i="9"/>
  <c r="BC122" i="9"/>
  <c r="BB122" i="9"/>
  <c r="BC121" i="9"/>
  <c r="BB121" i="9"/>
  <c r="BC120" i="9"/>
  <c r="BB120" i="9"/>
  <c r="BC119" i="9"/>
  <c r="BB119" i="9"/>
  <c r="BC118" i="9"/>
  <c r="BB118" i="9"/>
  <c r="BC117" i="9"/>
  <c r="BB117" i="9"/>
  <c r="BC116" i="9"/>
  <c r="BB116" i="9"/>
  <c r="BC115" i="9"/>
  <c r="BB115" i="9"/>
  <c r="BC114" i="9"/>
  <c r="BB114" i="9"/>
  <c r="BC113" i="9"/>
  <c r="BB113" i="9"/>
  <c r="BC112" i="9"/>
  <c r="BB112" i="9"/>
  <c r="BC111" i="9"/>
  <c r="BB111" i="9"/>
  <c r="BC110" i="9"/>
  <c r="BB110" i="9"/>
  <c r="BC109" i="9"/>
  <c r="BB109" i="9"/>
  <c r="BC108" i="9"/>
  <c r="BB108" i="9"/>
  <c r="BC107" i="9"/>
  <c r="BB107" i="9"/>
  <c r="BC106" i="9"/>
  <c r="BB106" i="9"/>
  <c r="BC105" i="9"/>
  <c r="BB105" i="9"/>
  <c r="BC104" i="9"/>
  <c r="BB104" i="9"/>
  <c r="BC103" i="9"/>
  <c r="BB103" i="9"/>
  <c r="BC102" i="9"/>
  <c r="BB102" i="9"/>
  <c r="BC101" i="9"/>
  <c r="BB101" i="9"/>
  <c r="BC100" i="9"/>
  <c r="BB100" i="9"/>
  <c r="BC99" i="9"/>
  <c r="BB99" i="9"/>
  <c r="BC98" i="9"/>
  <c r="BB98" i="9"/>
  <c r="BC97" i="9"/>
  <c r="BB97" i="9"/>
  <c r="BC96" i="9"/>
  <c r="BB96" i="9"/>
  <c r="BC95" i="9"/>
  <c r="BB95" i="9"/>
  <c r="BC94" i="9"/>
  <c r="BB94" i="9"/>
  <c r="BC93" i="9"/>
  <c r="BB93" i="9"/>
  <c r="BC92" i="9"/>
  <c r="BB92" i="9"/>
  <c r="BC91" i="9"/>
  <c r="BB91" i="9"/>
  <c r="BC90" i="9"/>
  <c r="BB90" i="9"/>
  <c r="BC89" i="9"/>
  <c r="BB89" i="9"/>
  <c r="BC88" i="9"/>
  <c r="BB88" i="9"/>
  <c r="BC87" i="9"/>
  <c r="BB87" i="9"/>
  <c r="BC86" i="9"/>
  <c r="BB86" i="9"/>
  <c r="BC85" i="9"/>
  <c r="BB85" i="9"/>
  <c r="BC84" i="9"/>
  <c r="BB84" i="9"/>
  <c r="BC83" i="9"/>
  <c r="BB83" i="9"/>
  <c r="BC82" i="9"/>
  <c r="BB82" i="9"/>
  <c r="BC81" i="9"/>
  <c r="BB81" i="9"/>
  <c r="BC80" i="9"/>
  <c r="BB80" i="9"/>
  <c r="BC79" i="9"/>
  <c r="BB79" i="9"/>
  <c r="BC78" i="9"/>
  <c r="BB78" i="9"/>
  <c r="BC77" i="9"/>
  <c r="BB77" i="9"/>
  <c r="BC76" i="9"/>
  <c r="BB76" i="9"/>
  <c r="BC75" i="9"/>
  <c r="BB75" i="9"/>
  <c r="BC74" i="9"/>
  <c r="BB74" i="9"/>
  <c r="BC73" i="9"/>
  <c r="BB73" i="9"/>
  <c r="BC72" i="9"/>
  <c r="BB72" i="9"/>
  <c r="BC71" i="9"/>
  <c r="BB71" i="9"/>
  <c r="BC70" i="9"/>
  <c r="BB70" i="9"/>
  <c r="BC69" i="9"/>
  <c r="BB69" i="9"/>
  <c r="BC68" i="9"/>
  <c r="BB68" i="9"/>
  <c r="BC67" i="9"/>
  <c r="BB67" i="9"/>
  <c r="BC66" i="9"/>
  <c r="BB66" i="9"/>
  <c r="BC65" i="9"/>
  <c r="BB65" i="9"/>
  <c r="BC64" i="9"/>
  <c r="BB64" i="9"/>
  <c r="BC63" i="9"/>
  <c r="BB63" i="9"/>
  <c r="BC62" i="9"/>
  <c r="BB62" i="9"/>
  <c r="BC61" i="9"/>
  <c r="BB61" i="9"/>
  <c r="BC60" i="9"/>
  <c r="BB60" i="9"/>
  <c r="BC59" i="9"/>
  <c r="BB59" i="9"/>
  <c r="BC58" i="9"/>
  <c r="BB58" i="9"/>
  <c r="BC57" i="9"/>
  <c r="BB57" i="9"/>
  <c r="BC56" i="9"/>
  <c r="BB56" i="9"/>
  <c r="BC55" i="9"/>
  <c r="BB55" i="9"/>
  <c r="BC54" i="9"/>
  <c r="BB54" i="9"/>
  <c r="BC53" i="9"/>
  <c r="BB53" i="9"/>
  <c r="BC52" i="9"/>
  <c r="BB52" i="9"/>
  <c r="BC51" i="9"/>
  <c r="BB51" i="9"/>
  <c r="BC50" i="9"/>
  <c r="BB50" i="9"/>
  <c r="BC49" i="9"/>
  <c r="BB49" i="9"/>
  <c r="BC48" i="9"/>
  <c r="BB48" i="9"/>
  <c r="BC47" i="9"/>
  <c r="BB47" i="9"/>
  <c r="BC46" i="9"/>
  <c r="BB46" i="9"/>
  <c r="BC45" i="9"/>
  <c r="BB45" i="9"/>
  <c r="BC44" i="9"/>
  <c r="BB44" i="9"/>
  <c r="BC43" i="9"/>
  <c r="BB43" i="9"/>
  <c r="BC42" i="9"/>
  <c r="BB42" i="9"/>
  <c r="BC41" i="9"/>
  <c r="BB41" i="9"/>
  <c r="BC40" i="9"/>
  <c r="BB40" i="9"/>
  <c r="BC39" i="9"/>
  <c r="BB39" i="9"/>
  <c r="BC38" i="9"/>
  <c r="BB38" i="9"/>
  <c r="BC37" i="9"/>
  <c r="BB37" i="9"/>
  <c r="BC36" i="9"/>
  <c r="BB36" i="9"/>
  <c r="BC35" i="9"/>
  <c r="BB35" i="9"/>
  <c r="BC34" i="9"/>
  <c r="BB34" i="9"/>
  <c r="BC33" i="9"/>
  <c r="BB33" i="9"/>
  <c r="BC32" i="9"/>
  <c r="BB32" i="9"/>
  <c r="BC31" i="9"/>
  <c r="BB31" i="9"/>
  <c r="BC30" i="9"/>
  <c r="BB30" i="9"/>
  <c r="BC29" i="9"/>
  <c r="BB29" i="9"/>
  <c r="BC28" i="9"/>
  <c r="BB28" i="9"/>
  <c r="BC27" i="9"/>
  <c r="BB27" i="9"/>
  <c r="BC26" i="9"/>
  <c r="BB26" i="9"/>
  <c r="BC25" i="9"/>
  <c r="BB25" i="9"/>
  <c r="BC24" i="9"/>
  <c r="BB24" i="9"/>
  <c r="BC23" i="9"/>
  <c r="BB23" i="9"/>
  <c r="BC22" i="9"/>
  <c r="BB22" i="9"/>
  <c r="BC21" i="9"/>
  <c r="BB21" i="9"/>
  <c r="BC20" i="9"/>
  <c r="BB20" i="9"/>
  <c r="BC19" i="9"/>
  <c r="BB19" i="9"/>
  <c r="BC18" i="9"/>
  <c r="BB18" i="9"/>
  <c r="BC17" i="9"/>
  <c r="BB17" i="9"/>
  <c r="BC16" i="9"/>
  <c r="BB16" i="9"/>
  <c r="BC15" i="9"/>
  <c r="BB15" i="9"/>
  <c r="BC14" i="9"/>
  <c r="BB14" i="9"/>
  <c r="BC13" i="9"/>
  <c r="BB13" i="9"/>
  <c r="BC12" i="9"/>
  <c r="BB12" i="9"/>
  <c r="BC11" i="9"/>
  <c r="BB11" i="9"/>
  <c r="BC10" i="9"/>
  <c r="BB10" i="9"/>
  <c r="BC9" i="9"/>
  <c r="BB9" i="9"/>
  <c r="BC8" i="9"/>
  <c r="BB8" i="9"/>
  <c r="BC7" i="9"/>
  <c r="BB7" i="9"/>
  <c r="BC6" i="9"/>
  <c r="BB6" i="9"/>
  <c r="BC5" i="9"/>
  <c r="BB5" i="9"/>
  <c r="BC4" i="9"/>
  <c r="BB4" i="9"/>
  <c r="BC3" i="9"/>
  <c r="BB3" i="9"/>
  <c r="BC2" i="9"/>
  <c r="BB2" i="9"/>
  <c r="A48" i="10" l="1"/>
  <c r="B48" i="10"/>
  <c r="C48" i="10"/>
  <c r="A49" i="10"/>
  <c r="B49" i="10"/>
  <c r="C49" i="10"/>
  <c r="A50" i="10"/>
  <c r="B50" i="10"/>
  <c r="C50" i="10"/>
  <c r="A51" i="10"/>
  <c r="B51" i="10"/>
  <c r="C51" i="10"/>
  <c r="A52" i="10"/>
  <c r="B52" i="10"/>
  <c r="C52" i="10"/>
  <c r="A53" i="10"/>
  <c r="B53" i="10"/>
  <c r="C53" i="10"/>
  <c r="A54" i="10"/>
  <c r="B54" i="10"/>
  <c r="C54" i="10"/>
  <c r="A55" i="10"/>
  <c r="B55" i="10"/>
  <c r="C55" i="10"/>
  <c r="A56" i="10"/>
  <c r="B56" i="10"/>
  <c r="C56" i="10"/>
  <c r="A57" i="10"/>
  <c r="B57" i="10"/>
  <c r="C57" i="10"/>
  <c r="A58" i="10"/>
  <c r="B58" i="10"/>
  <c r="C58" i="10"/>
  <c r="A59" i="10"/>
  <c r="B59" i="10"/>
  <c r="C59" i="10"/>
  <c r="A60" i="10"/>
  <c r="B60" i="10"/>
  <c r="C60" i="10"/>
  <c r="A61" i="10"/>
  <c r="B61" i="10"/>
  <c r="C61" i="10"/>
  <c r="A62" i="10"/>
  <c r="B62" i="10"/>
  <c r="C62" i="10"/>
  <c r="A63" i="10"/>
  <c r="B63" i="10"/>
  <c r="C63" i="10"/>
  <c r="A64" i="10"/>
  <c r="B64" i="10"/>
  <c r="C64" i="10"/>
  <c r="A65" i="10"/>
  <c r="B65" i="10"/>
  <c r="C65" i="10"/>
  <c r="A66" i="10"/>
  <c r="B66" i="10"/>
  <c r="C66" i="10"/>
  <c r="A67" i="10"/>
  <c r="B67" i="10"/>
  <c r="C67" i="10"/>
  <c r="A68" i="10"/>
  <c r="B68" i="10"/>
  <c r="C68" i="10"/>
  <c r="A69" i="10"/>
  <c r="B69" i="10"/>
  <c r="C69" i="10"/>
  <c r="A70" i="10"/>
  <c r="B70" i="10"/>
  <c r="C70" i="10"/>
  <c r="A71" i="10"/>
  <c r="B71" i="10"/>
  <c r="C71" i="10"/>
  <c r="K48" i="10"/>
  <c r="K49" i="10"/>
  <c r="K50" i="10"/>
  <c r="K51" i="10"/>
  <c r="K52" i="10"/>
  <c r="K53" i="10"/>
  <c r="K54" i="10"/>
  <c r="K55" i="10"/>
  <c r="K56" i="10"/>
  <c r="K57" i="10"/>
  <c r="K58" i="10"/>
  <c r="K59" i="10"/>
  <c r="K60" i="10"/>
  <c r="K61" i="10"/>
  <c r="K62" i="10"/>
  <c r="K63" i="10"/>
  <c r="K64" i="10"/>
  <c r="K65" i="10"/>
  <c r="K66" i="10"/>
  <c r="K67" i="10"/>
  <c r="K68" i="10"/>
  <c r="K69" i="10"/>
  <c r="K70" i="10"/>
  <c r="K71" i="10"/>
  <c r="G130" i="53" l="1"/>
  <c r="AY69" i="56" l="1"/>
  <c r="AX69" i="56"/>
  <c r="AW69" i="56"/>
  <c r="AU69" i="56"/>
  <c r="AT69" i="56"/>
  <c r="AS69" i="56"/>
  <c r="AQ69" i="56"/>
  <c r="AP69" i="56"/>
  <c r="AO69" i="56"/>
  <c r="AM69" i="56"/>
  <c r="AL69" i="56"/>
  <c r="AK69" i="56"/>
  <c r="AY68" i="56"/>
  <c r="AX68" i="56"/>
  <c r="AW68" i="56"/>
  <c r="AU68" i="56"/>
  <c r="AT68" i="56"/>
  <c r="AS68" i="56"/>
  <c r="AQ68" i="56"/>
  <c r="AP68" i="56"/>
  <c r="AO68" i="56"/>
  <c r="AM68" i="56"/>
  <c r="AL68" i="56"/>
  <c r="AK68" i="56"/>
  <c r="AY67" i="56"/>
  <c r="AX67" i="56"/>
  <c r="AW67" i="56"/>
  <c r="AU67" i="56"/>
  <c r="AT67" i="56"/>
  <c r="AS67" i="56"/>
  <c r="AQ67" i="56"/>
  <c r="AP67" i="56"/>
  <c r="AO67" i="56"/>
  <c r="AM67" i="56"/>
  <c r="AL67" i="56"/>
  <c r="AK67" i="56"/>
  <c r="AY66" i="56"/>
  <c r="AX66" i="56"/>
  <c r="AW66" i="56"/>
  <c r="AU66" i="56"/>
  <c r="AT66" i="56"/>
  <c r="AS66" i="56"/>
  <c r="AQ66" i="56"/>
  <c r="AP66" i="56"/>
  <c r="AO66" i="56"/>
  <c r="AM66" i="56"/>
  <c r="AL66" i="56"/>
  <c r="AK66" i="56"/>
  <c r="AY65" i="56"/>
  <c r="AX65" i="56"/>
  <c r="AW65" i="56"/>
  <c r="AU65" i="56"/>
  <c r="AT65" i="56"/>
  <c r="AS65" i="56"/>
  <c r="AQ65" i="56"/>
  <c r="AP65" i="56"/>
  <c r="AO65" i="56"/>
  <c r="AM65" i="56"/>
  <c r="AL65" i="56"/>
  <c r="AK65" i="56"/>
  <c r="AY64" i="56"/>
  <c r="AX64" i="56"/>
  <c r="AW64" i="56"/>
  <c r="AU64" i="56"/>
  <c r="AT64" i="56"/>
  <c r="AS64" i="56"/>
  <c r="AQ64" i="56"/>
  <c r="AP64" i="56"/>
  <c r="AO64" i="56"/>
  <c r="AM64" i="56"/>
  <c r="AL64" i="56"/>
  <c r="AK64" i="56"/>
  <c r="AY63" i="56"/>
  <c r="AX63" i="56"/>
  <c r="AW63" i="56"/>
  <c r="AU63" i="56"/>
  <c r="AT63" i="56"/>
  <c r="AS63" i="56"/>
  <c r="AQ63" i="56"/>
  <c r="AP63" i="56"/>
  <c r="AO63" i="56"/>
  <c r="AM63" i="56"/>
  <c r="AL63" i="56"/>
  <c r="AK63" i="56"/>
  <c r="AY62" i="56"/>
  <c r="AX62" i="56"/>
  <c r="AW62" i="56"/>
  <c r="AU62" i="56"/>
  <c r="AT62" i="56"/>
  <c r="AS62" i="56"/>
  <c r="AQ62" i="56"/>
  <c r="AP62" i="56"/>
  <c r="AO62" i="56"/>
  <c r="AM62" i="56"/>
  <c r="AL62" i="56"/>
  <c r="AK62" i="56"/>
  <c r="AY61" i="56"/>
  <c r="AX61" i="56"/>
  <c r="AW61" i="56"/>
  <c r="AU61" i="56"/>
  <c r="AT61" i="56"/>
  <c r="AS61" i="56"/>
  <c r="AQ61" i="56"/>
  <c r="AP61" i="56"/>
  <c r="AO61" i="56"/>
  <c r="AM61" i="56"/>
  <c r="AL61" i="56"/>
  <c r="AK61" i="56"/>
  <c r="AY60" i="56"/>
  <c r="AX60" i="56"/>
  <c r="AW60" i="56"/>
  <c r="AU60" i="56"/>
  <c r="AT60" i="56"/>
  <c r="AS60" i="56"/>
  <c r="AQ60" i="56"/>
  <c r="AP60" i="56"/>
  <c r="AO60" i="56"/>
  <c r="AM60" i="56"/>
  <c r="AL60" i="56"/>
  <c r="AK60" i="56"/>
  <c r="AY59" i="56"/>
  <c r="AX59" i="56"/>
  <c r="AW59" i="56"/>
  <c r="AU59" i="56"/>
  <c r="AT59" i="56"/>
  <c r="AS59" i="56"/>
  <c r="AQ59" i="56"/>
  <c r="AP59" i="56"/>
  <c r="AO59" i="56"/>
  <c r="AM59" i="56"/>
  <c r="AL59" i="56"/>
  <c r="AK59" i="56"/>
  <c r="AY58" i="56"/>
  <c r="AX58" i="56"/>
  <c r="AW58" i="56"/>
  <c r="AU58" i="56"/>
  <c r="AT58" i="56"/>
  <c r="AS58" i="56"/>
  <c r="AQ58" i="56"/>
  <c r="AP58" i="56"/>
  <c r="AO58" i="56"/>
  <c r="AM58" i="56"/>
  <c r="AL58" i="56"/>
  <c r="AK58" i="56"/>
  <c r="AY57" i="56"/>
  <c r="AX57" i="56"/>
  <c r="AW57" i="56"/>
  <c r="AU57" i="56"/>
  <c r="AT57" i="56"/>
  <c r="AS57" i="56"/>
  <c r="AQ57" i="56"/>
  <c r="AP57" i="56"/>
  <c r="AO57" i="56"/>
  <c r="AM57" i="56"/>
  <c r="AL57" i="56"/>
  <c r="AK57" i="56"/>
  <c r="AY56" i="56"/>
  <c r="AX56" i="56"/>
  <c r="AW56" i="56"/>
  <c r="AU56" i="56"/>
  <c r="AT56" i="56"/>
  <c r="AS56" i="56"/>
  <c r="AQ56" i="56"/>
  <c r="AP56" i="56"/>
  <c r="AO56" i="56"/>
  <c r="AM56" i="56"/>
  <c r="AL56" i="56"/>
  <c r="AK56" i="56"/>
  <c r="AY55" i="56"/>
  <c r="AX55" i="56"/>
  <c r="AW55" i="56"/>
  <c r="AU55" i="56"/>
  <c r="AT55" i="56"/>
  <c r="AS55" i="56"/>
  <c r="AQ55" i="56"/>
  <c r="AP55" i="56"/>
  <c r="AO55" i="56"/>
  <c r="AM55" i="56"/>
  <c r="AL55" i="56"/>
  <c r="AK55" i="56"/>
  <c r="AY54" i="56"/>
  <c r="AX54" i="56"/>
  <c r="AW54" i="56"/>
  <c r="AW70" i="56" s="1"/>
  <c r="AU54" i="56"/>
  <c r="AT54" i="56"/>
  <c r="AS54" i="56"/>
  <c r="AS70" i="56" s="1"/>
  <c r="AQ54" i="56"/>
  <c r="AP54" i="56"/>
  <c r="AO54" i="56"/>
  <c r="AM54" i="56"/>
  <c r="AL54" i="56"/>
  <c r="AL70" i="56" s="1"/>
  <c r="AK54" i="56"/>
  <c r="AY47" i="56"/>
  <c r="AX47" i="56"/>
  <c r="AW47" i="56"/>
  <c r="AU47" i="56"/>
  <c r="AT47" i="56"/>
  <c r="AS47" i="56"/>
  <c r="AQ47" i="56"/>
  <c r="AP47" i="56"/>
  <c r="AO47" i="56"/>
  <c r="AM47" i="56"/>
  <c r="AL47" i="56"/>
  <c r="AK47" i="56"/>
  <c r="AJ47" i="56"/>
  <c r="AJ24" i="56"/>
  <c r="AY24" i="56"/>
  <c r="AX24" i="56"/>
  <c r="AW24" i="56"/>
  <c r="AU24" i="56"/>
  <c r="AT24" i="56"/>
  <c r="AS24" i="56"/>
  <c r="AQ24" i="56"/>
  <c r="AP24" i="56"/>
  <c r="AO24" i="56"/>
  <c r="AM24" i="56"/>
  <c r="AL24" i="56"/>
  <c r="AK24" i="56"/>
  <c r="BE27" i="56"/>
  <c r="BI27" i="56"/>
  <c r="BM27" i="56"/>
  <c r="AY70" i="56" l="1"/>
  <c r="AQ70" i="56"/>
  <c r="AM70" i="56"/>
  <c r="AT70" i="56"/>
  <c r="AO70" i="56"/>
  <c r="AU70" i="56"/>
  <c r="AX70" i="56"/>
  <c r="AK70" i="56"/>
  <c r="AP70" i="56"/>
  <c r="R70" i="56"/>
  <c r="Q70" i="56"/>
  <c r="P70" i="56"/>
  <c r="N70" i="56"/>
  <c r="M70" i="56"/>
  <c r="L70" i="56"/>
  <c r="J70" i="56"/>
  <c r="I70" i="56"/>
  <c r="H70" i="56"/>
  <c r="F70" i="56"/>
  <c r="E70" i="56"/>
  <c r="D70" i="56"/>
  <c r="N13" i="32"/>
  <c r="B48" i="32"/>
  <c r="E38" i="30" l="1"/>
  <c r="R26" i="15" l="1"/>
  <c r="M26" i="15"/>
  <c r="H26" i="15"/>
  <c r="C26" i="15"/>
  <c r="O27" i="44"/>
  <c r="K27" i="44"/>
  <c r="G27" i="44"/>
  <c r="C27" i="44"/>
  <c r="B11" i="37"/>
  <c r="N11" i="37" s="1"/>
  <c r="M1" i="10" l="1"/>
  <c r="L1" i="10"/>
  <c r="E2" i="10" l="1"/>
  <c r="M4" i="53" l="1"/>
  <c r="O4" i="53"/>
  <c r="CU7" i="56" l="1"/>
  <c r="CQ7" i="56"/>
  <c r="CM7" i="56"/>
  <c r="AH6" i="56" l="1"/>
  <c r="AG6" i="56"/>
  <c r="AD6" i="56"/>
  <c r="AC6" i="56"/>
  <c r="Z6" i="56"/>
  <c r="Y6" i="56"/>
  <c r="V6" i="56"/>
  <c r="U6" i="56"/>
  <c r="AH5" i="56"/>
  <c r="AG5" i="56"/>
  <c r="AD5" i="56"/>
  <c r="AC5" i="56"/>
  <c r="Z5" i="56"/>
  <c r="Y5" i="56"/>
  <c r="V5" i="56"/>
  <c r="U5" i="56"/>
  <c r="AE27" i="56"/>
  <c r="AA27" i="56"/>
  <c r="W27" i="56"/>
  <c r="R47" i="56"/>
  <c r="Q47" i="56"/>
  <c r="P47" i="56"/>
  <c r="N47" i="56"/>
  <c r="M47" i="56"/>
  <c r="L47" i="56"/>
  <c r="J47" i="56"/>
  <c r="I47" i="56"/>
  <c r="H47" i="56"/>
  <c r="F47" i="56"/>
  <c r="E47" i="56"/>
  <c r="D47" i="56"/>
  <c r="O27" i="56"/>
  <c r="K27" i="56"/>
  <c r="G27" i="56"/>
  <c r="R24" i="56"/>
  <c r="Q24" i="56"/>
  <c r="P24" i="56"/>
  <c r="N24" i="56"/>
  <c r="M24" i="56"/>
  <c r="L24" i="56"/>
  <c r="J24" i="56"/>
  <c r="I24" i="56"/>
  <c r="H24" i="56"/>
  <c r="S2" i="9" l="1"/>
  <c r="U2" i="9"/>
  <c r="V2" i="9"/>
  <c r="W2" i="9"/>
  <c r="X2" i="9"/>
  <c r="Y2" i="9"/>
  <c r="AE2" i="9"/>
  <c r="AK2" i="9" s="1"/>
  <c r="AF2" i="9"/>
  <c r="S3" i="9"/>
  <c r="U3" i="9"/>
  <c r="V3" i="9"/>
  <c r="W3" i="9"/>
  <c r="X3" i="9"/>
  <c r="Y3" i="9"/>
  <c r="AE3" i="9"/>
  <c r="AK3" i="9" s="1"/>
  <c r="AF3" i="9"/>
  <c r="S4" i="9"/>
  <c r="U4" i="9"/>
  <c r="V4" i="9"/>
  <c r="W4" i="9"/>
  <c r="X4" i="9"/>
  <c r="Y4" i="9"/>
  <c r="AE4" i="9"/>
  <c r="AK4" i="9" s="1"/>
  <c r="AF4" i="9"/>
  <c r="S5" i="9"/>
  <c r="U5" i="9"/>
  <c r="V5" i="9"/>
  <c r="W5" i="9"/>
  <c r="X5" i="9"/>
  <c r="Y5" i="9"/>
  <c r="AE5" i="9"/>
  <c r="AK5" i="9" s="1"/>
  <c r="AF5" i="9"/>
  <c r="S6" i="9"/>
  <c r="U6" i="9"/>
  <c r="V6" i="9"/>
  <c r="W6" i="9"/>
  <c r="X6" i="9"/>
  <c r="Y6" i="9"/>
  <c r="AE6" i="9"/>
  <c r="AK6" i="9" s="1"/>
  <c r="AF6" i="9"/>
  <c r="S7" i="9"/>
  <c r="U7" i="9"/>
  <c r="V7" i="9"/>
  <c r="W7" i="9"/>
  <c r="X7" i="9"/>
  <c r="Y7" i="9"/>
  <c r="AE7" i="9"/>
  <c r="AK7" i="9" s="1"/>
  <c r="AF7" i="9"/>
  <c r="S8" i="9"/>
  <c r="U8" i="9"/>
  <c r="V8" i="9"/>
  <c r="W8" i="9"/>
  <c r="X8" i="9"/>
  <c r="Y8" i="9"/>
  <c r="AE8" i="9"/>
  <c r="AK8" i="9" s="1"/>
  <c r="AF8" i="9"/>
  <c r="S9" i="9"/>
  <c r="U9" i="9"/>
  <c r="V9" i="9"/>
  <c r="W9" i="9"/>
  <c r="X9" i="9"/>
  <c r="Y9" i="9"/>
  <c r="AE9" i="9"/>
  <c r="AK9" i="9" s="1"/>
  <c r="AF9" i="9"/>
  <c r="S10" i="9"/>
  <c r="U10" i="9"/>
  <c r="V10" i="9"/>
  <c r="W10" i="9"/>
  <c r="X10" i="9"/>
  <c r="Y10" i="9"/>
  <c r="AE10" i="9"/>
  <c r="AK10" i="9" s="1"/>
  <c r="AF10" i="9"/>
  <c r="S11" i="9"/>
  <c r="U11" i="9"/>
  <c r="V11" i="9"/>
  <c r="W11" i="9"/>
  <c r="X11" i="9"/>
  <c r="Y11" i="9"/>
  <c r="AE11" i="9"/>
  <c r="AK11" i="9" s="1"/>
  <c r="AF11" i="9"/>
  <c r="S12" i="9"/>
  <c r="U12" i="9"/>
  <c r="V12" i="9"/>
  <c r="W12" i="9"/>
  <c r="X12" i="9"/>
  <c r="Y12" i="9"/>
  <c r="AE12" i="9"/>
  <c r="AK12" i="9" s="1"/>
  <c r="AF12" i="9"/>
  <c r="S13" i="9"/>
  <c r="U13" i="9"/>
  <c r="V13" i="9"/>
  <c r="W13" i="9"/>
  <c r="X13" i="9"/>
  <c r="Y13" i="9"/>
  <c r="AE13" i="9"/>
  <c r="AK13" i="9" s="1"/>
  <c r="AF13" i="9"/>
  <c r="S14" i="9"/>
  <c r="U14" i="9"/>
  <c r="V14" i="9"/>
  <c r="W14" i="9"/>
  <c r="X14" i="9"/>
  <c r="Y14" i="9"/>
  <c r="AE14" i="9"/>
  <c r="AK14" i="9" s="1"/>
  <c r="AF14" i="9"/>
  <c r="S15" i="9"/>
  <c r="U15" i="9"/>
  <c r="V15" i="9"/>
  <c r="W15" i="9"/>
  <c r="X15" i="9"/>
  <c r="Y15" i="9"/>
  <c r="AE15" i="9"/>
  <c r="AK15" i="9" s="1"/>
  <c r="AF15" i="9"/>
  <c r="S16" i="9"/>
  <c r="U16" i="9"/>
  <c r="V16" i="9"/>
  <c r="W16" i="9"/>
  <c r="X16" i="9"/>
  <c r="Y16" i="9"/>
  <c r="AE16" i="9"/>
  <c r="AK16" i="9" s="1"/>
  <c r="AF16" i="9"/>
  <c r="S17" i="9"/>
  <c r="U17" i="9"/>
  <c r="V17" i="9"/>
  <c r="W17" i="9"/>
  <c r="X17" i="9"/>
  <c r="Y17" i="9"/>
  <c r="AE17" i="9"/>
  <c r="AK17" i="9" s="1"/>
  <c r="AF17" i="9"/>
  <c r="S18" i="9"/>
  <c r="U18" i="9"/>
  <c r="V18" i="9"/>
  <c r="W18" i="9"/>
  <c r="X18" i="9"/>
  <c r="Y18" i="9"/>
  <c r="AE18" i="9"/>
  <c r="AK18" i="9" s="1"/>
  <c r="AF18" i="9"/>
  <c r="S19" i="9"/>
  <c r="U19" i="9"/>
  <c r="V19" i="9"/>
  <c r="W19" i="9"/>
  <c r="X19" i="9"/>
  <c r="Y19" i="9"/>
  <c r="AE19" i="9"/>
  <c r="AK19" i="9" s="1"/>
  <c r="AF19" i="9"/>
  <c r="S20" i="9"/>
  <c r="U20" i="9"/>
  <c r="V20" i="9"/>
  <c r="W20" i="9"/>
  <c r="X20" i="9"/>
  <c r="Y20" i="9"/>
  <c r="AE20" i="9"/>
  <c r="AK20" i="9" s="1"/>
  <c r="AF20" i="9"/>
  <c r="S21" i="9"/>
  <c r="U21" i="9"/>
  <c r="V21" i="9"/>
  <c r="W21" i="9"/>
  <c r="X21" i="9"/>
  <c r="Y21" i="9"/>
  <c r="AE21" i="9"/>
  <c r="AK21" i="9" s="1"/>
  <c r="AF21" i="9"/>
  <c r="S22" i="9"/>
  <c r="U22" i="9"/>
  <c r="V22" i="9"/>
  <c r="W22" i="9"/>
  <c r="X22" i="9"/>
  <c r="Y22" i="9"/>
  <c r="AE22" i="9"/>
  <c r="AK22" i="9" s="1"/>
  <c r="AF22" i="9"/>
  <c r="S23" i="9"/>
  <c r="U23" i="9"/>
  <c r="V23" i="9"/>
  <c r="W23" i="9"/>
  <c r="X23" i="9"/>
  <c r="Y23" i="9"/>
  <c r="AE23" i="9"/>
  <c r="AK23" i="9" s="1"/>
  <c r="AF23" i="9"/>
  <c r="S24" i="9"/>
  <c r="U24" i="9"/>
  <c r="V24" i="9"/>
  <c r="W24" i="9"/>
  <c r="X24" i="9"/>
  <c r="Y24" i="9"/>
  <c r="AE24" i="9"/>
  <c r="AK24" i="9" s="1"/>
  <c r="AF24" i="9"/>
  <c r="S25" i="9"/>
  <c r="U25" i="9"/>
  <c r="V25" i="9"/>
  <c r="W25" i="9"/>
  <c r="X25" i="9"/>
  <c r="Y25" i="9"/>
  <c r="AE25" i="9"/>
  <c r="AK25" i="9" s="1"/>
  <c r="AF25" i="9"/>
  <c r="S26" i="9"/>
  <c r="U26" i="9"/>
  <c r="V26" i="9"/>
  <c r="W26" i="9"/>
  <c r="X26" i="9"/>
  <c r="Y26" i="9"/>
  <c r="AE26" i="9"/>
  <c r="AK26" i="9" s="1"/>
  <c r="AF26" i="9"/>
  <c r="S27" i="9"/>
  <c r="U27" i="9"/>
  <c r="V27" i="9"/>
  <c r="W27" i="9"/>
  <c r="X27" i="9"/>
  <c r="Y27" i="9"/>
  <c r="AE27" i="9"/>
  <c r="AK27" i="9" s="1"/>
  <c r="AF27" i="9"/>
  <c r="S28" i="9"/>
  <c r="U28" i="9"/>
  <c r="V28" i="9"/>
  <c r="W28" i="9"/>
  <c r="X28" i="9"/>
  <c r="Y28" i="9"/>
  <c r="AE28" i="9"/>
  <c r="AK28" i="9" s="1"/>
  <c r="AF28" i="9"/>
  <c r="S29" i="9"/>
  <c r="U29" i="9"/>
  <c r="V29" i="9"/>
  <c r="W29" i="9"/>
  <c r="X29" i="9"/>
  <c r="Y29" i="9"/>
  <c r="AE29" i="9"/>
  <c r="AK29" i="9" s="1"/>
  <c r="AF29" i="9"/>
  <c r="S30" i="9"/>
  <c r="U30" i="9"/>
  <c r="V30" i="9"/>
  <c r="W30" i="9"/>
  <c r="X30" i="9"/>
  <c r="Y30" i="9"/>
  <c r="AE30" i="9"/>
  <c r="AK30" i="9" s="1"/>
  <c r="AF30" i="9"/>
  <c r="S31" i="9"/>
  <c r="U31" i="9"/>
  <c r="V31" i="9"/>
  <c r="W31" i="9"/>
  <c r="X31" i="9"/>
  <c r="Y31" i="9"/>
  <c r="AE31" i="9"/>
  <c r="AK31" i="9" s="1"/>
  <c r="AF31" i="9"/>
  <c r="S32" i="9"/>
  <c r="U32" i="9"/>
  <c r="V32" i="9"/>
  <c r="W32" i="9"/>
  <c r="X32" i="9"/>
  <c r="Y32" i="9"/>
  <c r="AE32" i="9"/>
  <c r="AK32" i="9" s="1"/>
  <c r="AF32" i="9"/>
  <c r="S33" i="9"/>
  <c r="U33" i="9"/>
  <c r="V33" i="9"/>
  <c r="W33" i="9"/>
  <c r="X33" i="9"/>
  <c r="Y33" i="9"/>
  <c r="AE33" i="9"/>
  <c r="AK33" i="9" s="1"/>
  <c r="AF33" i="9"/>
  <c r="S34" i="9"/>
  <c r="U34" i="9"/>
  <c r="V34" i="9"/>
  <c r="W34" i="9"/>
  <c r="X34" i="9"/>
  <c r="Y34" i="9"/>
  <c r="AE34" i="9"/>
  <c r="AK34" i="9" s="1"/>
  <c r="AF34" i="9"/>
  <c r="S35" i="9"/>
  <c r="U35" i="9"/>
  <c r="V35" i="9"/>
  <c r="W35" i="9"/>
  <c r="X35" i="9"/>
  <c r="Y35" i="9"/>
  <c r="AE35" i="9"/>
  <c r="AK35" i="9" s="1"/>
  <c r="AF35" i="9"/>
  <c r="S36" i="9"/>
  <c r="U36" i="9"/>
  <c r="V36" i="9"/>
  <c r="W36" i="9"/>
  <c r="X36" i="9"/>
  <c r="Y36" i="9"/>
  <c r="AE36" i="9"/>
  <c r="AK36" i="9" s="1"/>
  <c r="AF36" i="9"/>
  <c r="S37" i="9"/>
  <c r="U37" i="9"/>
  <c r="V37" i="9"/>
  <c r="W37" i="9"/>
  <c r="X37" i="9"/>
  <c r="Y37" i="9"/>
  <c r="AE37" i="9"/>
  <c r="AK37" i="9" s="1"/>
  <c r="AF37" i="9"/>
  <c r="S38" i="9"/>
  <c r="U38" i="9"/>
  <c r="V38" i="9"/>
  <c r="W38" i="9"/>
  <c r="X38" i="9"/>
  <c r="Y38" i="9"/>
  <c r="AE38" i="9"/>
  <c r="AK38" i="9" s="1"/>
  <c r="AF38" i="9"/>
  <c r="S39" i="9"/>
  <c r="U39" i="9"/>
  <c r="V39" i="9"/>
  <c r="W39" i="9"/>
  <c r="X39" i="9"/>
  <c r="Y39" i="9"/>
  <c r="AE39" i="9"/>
  <c r="AK39" i="9" s="1"/>
  <c r="AF39" i="9"/>
  <c r="S40" i="9"/>
  <c r="U40" i="9"/>
  <c r="V40" i="9"/>
  <c r="W40" i="9"/>
  <c r="X40" i="9"/>
  <c r="Y40" i="9"/>
  <c r="AE40" i="9"/>
  <c r="AK40" i="9" s="1"/>
  <c r="AF40" i="9"/>
  <c r="S41" i="9"/>
  <c r="U41" i="9"/>
  <c r="V41" i="9"/>
  <c r="W41" i="9"/>
  <c r="X41" i="9"/>
  <c r="Y41" i="9"/>
  <c r="AE41" i="9"/>
  <c r="AK41" i="9" s="1"/>
  <c r="AF41" i="9"/>
  <c r="S42" i="9"/>
  <c r="U42" i="9"/>
  <c r="V42" i="9"/>
  <c r="W42" i="9"/>
  <c r="X42" i="9"/>
  <c r="Y42" i="9"/>
  <c r="AE42" i="9"/>
  <c r="AK42" i="9" s="1"/>
  <c r="AF42" i="9"/>
  <c r="S43" i="9"/>
  <c r="U43" i="9"/>
  <c r="V43" i="9"/>
  <c r="W43" i="9"/>
  <c r="X43" i="9"/>
  <c r="Y43" i="9"/>
  <c r="AE43" i="9"/>
  <c r="AK43" i="9" s="1"/>
  <c r="AF43" i="9"/>
  <c r="S44" i="9"/>
  <c r="U44" i="9"/>
  <c r="V44" i="9"/>
  <c r="W44" i="9"/>
  <c r="X44" i="9"/>
  <c r="Y44" i="9"/>
  <c r="AE44" i="9"/>
  <c r="AK44" i="9" s="1"/>
  <c r="AF44" i="9"/>
  <c r="S45" i="9"/>
  <c r="U45" i="9"/>
  <c r="V45" i="9"/>
  <c r="W45" i="9"/>
  <c r="X45" i="9"/>
  <c r="Y45" i="9"/>
  <c r="AE45" i="9"/>
  <c r="AK45" i="9" s="1"/>
  <c r="AF45" i="9"/>
  <c r="S46" i="9"/>
  <c r="U46" i="9"/>
  <c r="V46" i="9"/>
  <c r="W46" i="9"/>
  <c r="X46" i="9"/>
  <c r="Y46" i="9"/>
  <c r="AE46" i="9"/>
  <c r="AK46" i="9" s="1"/>
  <c r="AF46" i="9"/>
  <c r="S47" i="9"/>
  <c r="U47" i="9"/>
  <c r="V47" i="9"/>
  <c r="W47" i="9"/>
  <c r="X47" i="9"/>
  <c r="Y47" i="9"/>
  <c r="AE47" i="9"/>
  <c r="AK47" i="9" s="1"/>
  <c r="AF47" i="9"/>
  <c r="S48" i="9"/>
  <c r="U48" i="9"/>
  <c r="V48" i="9"/>
  <c r="W48" i="9"/>
  <c r="X48" i="9"/>
  <c r="Y48" i="9"/>
  <c r="AE48" i="9"/>
  <c r="AK48" i="9" s="1"/>
  <c r="AF48" i="9"/>
  <c r="S49" i="9"/>
  <c r="U49" i="9"/>
  <c r="V49" i="9"/>
  <c r="W49" i="9"/>
  <c r="X49" i="9"/>
  <c r="Y49" i="9"/>
  <c r="AE49" i="9"/>
  <c r="AK49" i="9" s="1"/>
  <c r="AF49" i="9"/>
  <c r="S50" i="9"/>
  <c r="U50" i="9"/>
  <c r="V50" i="9"/>
  <c r="W50" i="9"/>
  <c r="X50" i="9"/>
  <c r="Y50" i="9"/>
  <c r="AE50" i="9"/>
  <c r="AK50" i="9" s="1"/>
  <c r="AF50" i="9"/>
  <c r="S51" i="9"/>
  <c r="U51" i="9"/>
  <c r="V51" i="9"/>
  <c r="W51" i="9"/>
  <c r="X51" i="9"/>
  <c r="Y51" i="9"/>
  <c r="AE51" i="9"/>
  <c r="AK51" i="9" s="1"/>
  <c r="AF51" i="9"/>
  <c r="S52" i="9"/>
  <c r="U52" i="9"/>
  <c r="V52" i="9"/>
  <c r="W52" i="9"/>
  <c r="X52" i="9"/>
  <c r="Y52" i="9"/>
  <c r="AE52" i="9"/>
  <c r="AK52" i="9" s="1"/>
  <c r="AF52" i="9"/>
  <c r="S53" i="9"/>
  <c r="U53" i="9"/>
  <c r="V53" i="9"/>
  <c r="W53" i="9"/>
  <c r="X53" i="9"/>
  <c r="Y53" i="9"/>
  <c r="AE53" i="9"/>
  <c r="AK53" i="9" s="1"/>
  <c r="AF53" i="9"/>
  <c r="S54" i="9"/>
  <c r="U54" i="9"/>
  <c r="V54" i="9"/>
  <c r="W54" i="9"/>
  <c r="X54" i="9"/>
  <c r="Y54" i="9"/>
  <c r="AE54" i="9"/>
  <c r="AK54" i="9" s="1"/>
  <c r="AF54" i="9"/>
  <c r="S55" i="9"/>
  <c r="U55" i="9"/>
  <c r="V55" i="9"/>
  <c r="W55" i="9"/>
  <c r="X55" i="9"/>
  <c r="Y55" i="9"/>
  <c r="AE55" i="9"/>
  <c r="AK55" i="9" s="1"/>
  <c r="AF55" i="9"/>
  <c r="S56" i="9"/>
  <c r="U56" i="9"/>
  <c r="V56" i="9"/>
  <c r="W56" i="9"/>
  <c r="X56" i="9"/>
  <c r="Y56" i="9"/>
  <c r="AE56" i="9"/>
  <c r="AK56" i="9" s="1"/>
  <c r="AF56" i="9"/>
  <c r="S57" i="9"/>
  <c r="U57" i="9"/>
  <c r="V57" i="9"/>
  <c r="W57" i="9"/>
  <c r="X57" i="9"/>
  <c r="Y57" i="9"/>
  <c r="AE57" i="9"/>
  <c r="AK57" i="9" s="1"/>
  <c r="AF57" i="9"/>
  <c r="S58" i="9"/>
  <c r="U58" i="9"/>
  <c r="V58" i="9"/>
  <c r="W58" i="9"/>
  <c r="X58" i="9"/>
  <c r="Y58" i="9"/>
  <c r="AE58" i="9"/>
  <c r="AK58" i="9" s="1"/>
  <c r="AF58" i="9"/>
  <c r="S59" i="9"/>
  <c r="U59" i="9"/>
  <c r="V59" i="9"/>
  <c r="W59" i="9"/>
  <c r="X59" i="9"/>
  <c r="Y59" i="9"/>
  <c r="AE59" i="9"/>
  <c r="AK59" i="9" s="1"/>
  <c r="AF59" i="9"/>
  <c r="S60" i="9"/>
  <c r="U60" i="9"/>
  <c r="V60" i="9"/>
  <c r="W60" i="9"/>
  <c r="X60" i="9"/>
  <c r="Y60" i="9"/>
  <c r="AE60" i="9"/>
  <c r="AK60" i="9" s="1"/>
  <c r="AF60" i="9"/>
  <c r="S61" i="9"/>
  <c r="U61" i="9"/>
  <c r="V61" i="9"/>
  <c r="W61" i="9"/>
  <c r="X61" i="9"/>
  <c r="Y61" i="9"/>
  <c r="AE61" i="9"/>
  <c r="AK61" i="9" s="1"/>
  <c r="AF61" i="9"/>
  <c r="S62" i="9"/>
  <c r="U62" i="9"/>
  <c r="V62" i="9"/>
  <c r="W62" i="9"/>
  <c r="X62" i="9"/>
  <c r="Y62" i="9"/>
  <c r="AE62" i="9"/>
  <c r="AK62" i="9" s="1"/>
  <c r="AF62" i="9"/>
  <c r="S63" i="9"/>
  <c r="U63" i="9"/>
  <c r="V63" i="9"/>
  <c r="W63" i="9"/>
  <c r="X63" i="9"/>
  <c r="Y63" i="9"/>
  <c r="AE63" i="9"/>
  <c r="AK63" i="9" s="1"/>
  <c r="AF63" i="9"/>
  <c r="S64" i="9"/>
  <c r="U64" i="9"/>
  <c r="V64" i="9"/>
  <c r="W64" i="9"/>
  <c r="X64" i="9"/>
  <c r="Y64" i="9"/>
  <c r="AE64" i="9"/>
  <c r="AK64" i="9" s="1"/>
  <c r="AF64" i="9"/>
  <c r="S65" i="9"/>
  <c r="U65" i="9"/>
  <c r="V65" i="9"/>
  <c r="W65" i="9"/>
  <c r="X65" i="9"/>
  <c r="Y65" i="9"/>
  <c r="AE65" i="9"/>
  <c r="AK65" i="9" s="1"/>
  <c r="AF65" i="9"/>
  <c r="S66" i="9"/>
  <c r="U66" i="9"/>
  <c r="V66" i="9"/>
  <c r="W66" i="9"/>
  <c r="X66" i="9"/>
  <c r="Y66" i="9"/>
  <c r="AE66" i="9"/>
  <c r="AK66" i="9" s="1"/>
  <c r="AF66" i="9"/>
  <c r="S67" i="9"/>
  <c r="U67" i="9"/>
  <c r="V67" i="9"/>
  <c r="W67" i="9"/>
  <c r="X67" i="9"/>
  <c r="Y67" i="9"/>
  <c r="AE67" i="9"/>
  <c r="AK67" i="9" s="1"/>
  <c r="AF67" i="9"/>
  <c r="S68" i="9"/>
  <c r="U68" i="9"/>
  <c r="V68" i="9"/>
  <c r="W68" i="9"/>
  <c r="X68" i="9"/>
  <c r="Y68" i="9"/>
  <c r="AE68" i="9"/>
  <c r="AK68" i="9" s="1"/>
  <c r="AF68" i="9"/>
  <c r="S69" i="9"/>
  <c r="U69" i="9"/>
  <c r="V69" i="9"/>
  <c r="W69" i="9"/>
  <c r="X69" i="9"/>
  <c r="Y69" i="9"/>
  <c r="AE69" i="9"/>
  <c r="AK69" i="9" s="1"/>
  <c r="AF69" i="9"/>
  <c r="S70" i="9"/>
  <c r="U70" i="9"/>
  <c r="V70" i="9"/>
  <c r="W70" i="9"/>
  <c r="X70" i="9"/>
  <c r="Y70" i="9"/>
  <c r="AE70" i="9"/>
  <c r="AK70" i="9" s="1"/>
  <c r="AF70" i="9"/>
  <c r="S71" i="9"/>
  <c r="U71" i="9"/>
  <c r="V71" i="9"/>
  <c r="W71" i="9"/>
  <c r="X71" i="9"/>
  <c r="Y71" i="9"/>
  <c r="AE71" i="9"/>
  <c r="AK71" i="9" s="1"/>
  <c r="AF71" i="9"/>
  <c r="S72" i="9"/>
  <c r="U72" i="9"/>
  <c r="V72" i="9"/>
  <c r="W72" i="9"/>
  <c r="X72" i="9"/>
  <c r="Y72" i="9"/>
  <c r="AE72" i="9"/>
  <c r="AK72" i="9" s="1"/>
  <c r="AF72" i="9"/>
  <c r="S73" i="9"/>
  <c r="U73" i="9"/>
  <c r="V73" i="9"/>
  <c r="W73" i="9"/>
  <c r="X73" i="9"/>
  <c r="Y73" i="9"/>
  <c r="AE73" i="9"/>
  <c r="AK73" i="9" s="1"/>
  <c r="AF73" i="9"/>
  <c r="S74" i="9"/>
  <c r="U74" i="9"/>
  <c r="V74" i="9"/>
  <c r="W74" i="9"/>
  <c r="X74" i="9"/>
  <c r="Y74" i="9"/>
  <c r="AE74" i="9"/>
  <c r="AK74" i="9" s="1"/>
  <c r="AF74" i="9"/>
  <c r="S75" i="9"/>
  <c r="U75" i="9"/>
  <c r="V75" i="9"/>
  <c r="W75" i="9"/>
  <c r="X75" i="9"/>
  <c r="Y75" i="9"/>
  <c r="AE75" i="9"/>
  <c r="AK75" i="9" s="1"/>
  <c r="AF75" i="9"/>
  <c r="S76" i="9"/>
  <c r="U76" i="9"/>
  <c r="V76" i="9"/>
  <c r="W76" i="9"/>
  <c r="X76" i="9"/>
  <c r="Y76" i="9"/>
  <c r="AE76" i="9"/>
  <c r="AK76" i="9" s="1"/>
  <c r="AF76" i="9"/>
  <c r="S77" i="9"/>
  <c r="U77" i="9"/>
  <c r="V77" i="9"/>
  <c r="W77" i="9"/>
  <c r="X77" i="9"/>
  <c r="Y77" i="9"/>
  <c r="AE77" i="9"/>
  <c r="AK77" i="9" s="1"/>
  <c r="AF77" i="9"/>
  <c r="S78" i="9"/>
  <c r="U78" i="9"/>
  <c r="V78" i="9"/>
  <c r="W78" i="9"/>
  <c r="X78" i="9"/>
  <c r="Y78" i="9"/>
  <c r="AE78" i="9"/>
  <c r="AK78" i="9" s="1"/>
  <c r="AF78" i="9"/>
  <c r="S79" i="9"/>
  <c r="U79" i="9"/>
  <c r="V79" i="9"/>
  <c r="W79" i="9"/>
  <c r="X79" i="9"/>
  <c r="Y79" i="9"/>
  <c r="AE79" i="9"/>
  <c r="AK79" i="9" s="1"/>
  <c r="AF79" i="9"/>
  <c r="S80" i="9"/>
  <c r="U80" i="9"/>
  <c r="V80" i="9"/>
  <c r="W80" i="9"/>
  <c r="X80" i="9"/>
  <c r="Y80" i="9"/>
  <c r="AE80" i="9"/>
  <c r="AK80" i="9" s="1"/>
  <c r="AF80" i="9"/>
  <c r="S81" i="9"/>
  <c r="U81" i="9"/>
  <c r="V81" i="9"/>
  <c r="W81" i="9"/>
  <c r="X81" i="9"/>
  <c r="Y81" i="9"/>
  <c r="AE81" i="9"/>
  <c r="AK81" i="9" s="1"/>
  <c r="AF81" i="9"/>
  <c r="S82" i="9"/>
  <c r="U82" i="9"/>
  <c r="V82" i="9"/>
  <c r="W82" i="9"/>
  <c r="X82" i="9"/>
  <c r="Y82" i="9"/>
  <c r="AE82" i="9"/>
  <c r="AK82" i="9" s="1"/>
  <c r="AF82" i="9"/>
  <c r="S83" i="9"/>
  <c r="U83" i="9"/>
  <c r="V83" i="9"/>
  <c r="W83" i="9"/>
  <c r="X83" i="9"/>
  <c r="Y83" i="9"/>
  <c r="AE83" i="9"/>
  <c r="AK83" i="9" s="1"/>
  <c r="AF83" i="9"/>
  <c r="S84" i="9"/>
  <c r="U84" i="9"/>
  <c r="V84" i="9"/>
  <c r="W84" i="9"/>
  <c r="X84" i="9"/>
  <c r="Y84" i="9"/>
  <c r="AE84" i="9"/>
  <c r="AK84" i="9" s="1"/>
  <c r="AF84" i="9"/>
  <c r="S85" i="9"/>
  <c r="U85" i="9"/>
  <c r="V85" i="9"/>
  <c r="W85" i="9"/>
  <c r="X85" i="9"/>
  <c r="Y85" i="9"/>
  <c r="AE85" i="9"/>
  <c r="AK85" i="9" s="1"/>
  <c r="AF85" i="9"/>
  <c r="S86" i="9"/>
  <c r="U86" i="9"/>
  <c r="V86" i="9"/>
  <c r="W86" i="9"/>
  <c r="X86" i="9"/>
  <c r="Y86" i="9"/>
  <c r="AE86" i="9"/>
  <c r="AK86" i="9" s="1"/>
  <c r="AF86" i="9"/>
  <c r="S87" i="9"/>
  <c r="U87" i="9"/>
  <c r="V87" i="9"/>
  <c r="W87" i="9"/>
  <c r="X87" i="9"/>
  <c r="Y87" i="9"/>
  <c r="AE87" i="9"/>
  <c r="AK87" i="9" s="1"/>
  <c r="AF87" i="9"/>
  <c r="S88" i="9"/>
  <c r="U88" i="9"/>
  <c r="V88" i="9"/>
  <c r="W88" i="9"/>
  <c r="X88" i="9"/>
  <c r="Y88" i="9"/>
  <c r="AE88" i="9"/>
  <c r="AK88" i="9" s="1"/>
  <c r="AF88" i="9"/>
  <c r="S89" i="9"/>
  <c r="U89" i="9"/>
  <c r="V89" i="9"/>
  <c r="W89" i="9"/>
  <c r="X89" i="9"/>
  <c r="Y89" i="9"/>
  <c r="AE89" i="9"/>
  <c r="AK89" i="9" s="1"/>
  <c r="AF89" i="9"/>
  <c r="S90" i="9"/>
  <c r="U90" i="9"/>
  <c r="V90" i="9"/>
  <c r="W90" i="9"/>
  <c r="X90" i="9"/>
  <c r="Y90" i="9"/>
  <c r="AE90" i="9"/>
  <c r="AK90" i="9" s="1"/>
  <c r="AF90" i="9"/>
  <c r="S91" i="9"/>
  <c r="U91" i="9"/>
  <c r="V91" i="9"/>
  <c r="W91" i="9"/>
  <c r="X91" i="9"/>
  <c r="Y91" i="9"/>
  <c r="AE91" i="9"/>
  <c r="AK91" i="9" s="1"/>
  <c r="AF91" i="9"/>
  <c r="S92" i="9"/>
  <c r="U92" i="9"/>
  <c r="V92" i="9"/>
  <c r="W92" i="9"/>
  <c r="X92" i="9"/>
  <c r="Y92" i="9"/>
  <c r="AE92" i="9"/>
  <c r="AK92" i="9" s="1"/>
  <c r="AF92" i="9"/>
  <c r="S93" i="9"/>
  <c r="U93" i="9"/>
  <c r="V93" i="9"/>
  <c r="W93" i="9"/>
  <c r="X93" i="9"/>
  <c r="Y93" i="9"/>
  <c r="AE93" i="9"/>
  <c r="AK93" i="9" s="1"/>
  <c r="AF93" i="9"/>
  <c r="S94" i="9"/>
  <c r="U94" i="9"/>
  <c r="V94" i="9"/>
  <c r="W94" i="9"/>
  <c r="X94" i="9"/>
  <c r="Y94" i="9"/>
  <c r="AE94" i="9"/>
  <c r="AK94" i="9" s="1"/>
  <c r="AF94" i="9"/>
  <c r="S95" i="9"/>
  <c r="U95" i="9"/>
  <c r="V95" i="9"/>
  <c r="W95" i="9"/>
  <c r="X95" i="9"/>
  <c r="Y95" i="9"/>
  <c r="AE95" i="9"/>
  <c r="AK95" i="9" s="1"/>
  <c r="AF95" i="9"/>
  <c r="S96" i="9"/>
  <c r="U96" i="9"/>
  <c r="V96" i="9"/>
  <c r="W96" i="9"/>
  <c r="X96" i="9"/>
  <c r="Y96" i="9"/>
  <c r="AE96" i="9"/>
  <c r="AK96" i="9" s="1"/>
  <c r="AF96" i="9"/>
  <c r="S97" i="9"/>
  <c r="U97" i="9"/>
  <c r="V97" i="9"/>
  <c r="W97" i="9"/>
  <c r="X97" i="9"/>
  <c r="Y97" i="9"/>
  <c r="AE97" i="9"/>
  <c r="AK97" i="9" s="1"/>
  <c r="AF97" i="9"/>
  <c r="S98" i="9"/>
  <c r="U98" i="9"/>
  <c r="V98" i="9"/>
  <c r="W98" i="9"/>
  <c r="X98" i="9"/>
  <c r="Y98" i="9"/>
  <c r="AE98" i="9"/>
  <c r="AK98" i="9" s="1"/>
  <c r="AF98" i="9"/>
  <c r="S99" i="9"/>
  <c r="U99" i="9"/>
  <c r="V99" i="9"/>
  <c r="W99" i="9"/>
  <c r="X99" i="9"/>
  <c r="Y99" i="9"/>
  <c r="AE99" i="9"/>
  <c r="AK99" i="9" s="1"/>
  <c r="AF99" i="9"/>
  <c r="S100" i="9"/>
  <c r="U100" i="9"/>
  <c r="V100" i="9"/>
  <c r="W100" i="9"/>
  <c r="X100" i="9"/>
  <c r="Y100" i="9"/>
  <c r="AE100" i="9"/>
  <c r="AK100" i="9" s="1"/>
  <c r="AF100" i="9"/>
  <c r="S101" i="9"/>
  <c r="U101" i="9"/>
  <c r="V101" i="9"/>
  <c r="W101" i="9"/>
  <c r="X101" i="9"/>
  <c r="Y101" i="9"/>
  <c r="AE101" i="9"/>
  <c r="AK101" i="9" s="1"/>
  <c r="AF101" i="9"/>
  <c r="S102" i="9"/>
  <c r="U102" i="9"/>
  <c r="V102" i="9"/>
  <c r="W102" i="9"/>
  <c r="X102" i="9"/>
  <c r="Y102" i="9"/>
  <c r="AE102" i="9"/>
  <c r="AK102" i="9" s="1"/>
  <c r="AF102" i="9"/>
  <c r="S103" i="9"/>
  <c r="U103" i="9"/>
  <c r="V103" i="9"/>
  <c r="W103" i="9"/>
  <c r="X103" i="9"/>
  <c r="Y103" i="9"/>
  <c r="AE103" i="9"/>
  <c r="AK103" i="9" s="1"/>
  <c r="AF103" i="9"/>
  <c r="S104" i="9"/>
  <c r="U104" i="9"/>
  <c r="V104" i="9"/>
  <c r="W104" i="9"/>
  <c r="X104" i="9"/>
  <c r="Y104" i="9"/>
  <c r="AE104" i="9"/>
  <c r="AK104" i="9" s="1"/>
  <c r="AF104" i="9"/>
  <c r="S105" i="9"/>
  <c r="U105" i="9"/>
  <c r="V105" i="9"/>
  <c r="W105" i="9"/>
  <c r="X105" i="9"/>
  <c r="Y105" i="9"/>
  <c r="AE105" i="9"/>
  <c r="AK105" i="9" s="1"/>
  <c r="AF105" i="9"/>
  <c r="S106" i="9"/>
  <c r="U106" i="9"/>
  <c r="V106" i="9"/>
  <c r="W106" i="9"/>
  <c r="X106" i="9"/>
  <c r="Y106" i="9"/>
  <c r="AE106" i="9"/>
  <c r="AK106" i="9" s="1"/>
  <c r="AF106" i="9"/>
  <c r="S107" i="9"/>
  <c r="U107" i="9"/>
  <c r="V107" i="9"/>
  <c r="W107" i="9"/>
  <c r="X107" i="9"/>
  <c r="Y107" i="9"/>
  <c r="AE107" i="9"/>
  <c r="AK107" i="9" s="1"/>
  <c r="AF107" i="9"/>
  <c r="S108" i="9"/>
  <c r="U108" i="9"/>
  <c r="V108" i="9"/>
  <c r="W108" i="9"/>
  <c r="X108" i="9"/>
  <c r="Y108" i="9"/>
  <c r="AE108" i="9"/>
  <c r="AK108" i="9" s="1"/>
  <c r="AF108" i="9"/>
  <c r="S109" i="9"/>
  <c r="U109" i="9"/>
  <c r="V109" i="9"/>
  <c r="W109" i="9"/>
  <c r="X109" i="9"/>
  <c r="Y109" i="9"/>
  <c r="AE109" i="9"/>
  <c r="AK109" i="9" s="1"/>
  <c r="AF109" i="9"/>
  <c r="S110" i="9"/>
  <c r="U110" i="9"/>
  <c r="V110" i="9"/>
  <c r="W110" i="9"/>
  <c r="X110" i="9"/>
  <c r="Y110" i="9"/>
  <c r="AE110" i="9"/>
  <c r="AK110" i="9" s="1"/>
  <c r="AF110" i="9"/>
  <c r="S111" i="9"/>
  <c r="U111" i="9"/>
  <c r="V111" i="9"/>
  <c r="W111" i="9"/>
  <c r="X111" i="9"/>
  <c r="Y111" i="9"/>
  <c r="AE111" i="9"/>
  <c r="AK111" i="9" s="1"/>
  <c r="AF111" i="9"/>
  <c r="S112" i="9"/>
  <c r="U112" i="9"/>
  <c r="V112" i="9"/>
  <c r="W112" i="9"/>
  <c r="X112" i="9"/>
  <c r="Y112" i="9"/>
  <c r="AE112" i="9"/>
  <c r="AK112" i="9" s="1"/>
  <c r="AF112" i="9"/>
  <c r="S113" i="9"/>
  <c r="U113" i="9"/>
  <c r="V113" i="9"/>
  <c r="W113" i="9"/>
  <c r="X113" i="9"/>
  <c r="Y113" i="9"/>
  <c r="AE113" i="9"/>
  <c r="AK113" i="9" s="1"/>
  <c r="AF113" i="9"/>
  <c r="S114" i="9"/>
  <c r="U114" i="9"/>
  <c r="V114" i="9"/>
  <c r="W114" i="9"/>
  <c r="X114" i="9"/>
  <c r="Y114" i="9"/>
  <c r="AE114" i="9"/>
  <c r="AK114" i="9" s="1"/>
  <c r="AF114" i="9"/>
  <c r="S115" i="9"/>
  <c r="U115" i="9"/>
  <c r="V115" i="9"/>
  <c r="W115" i="9"/>
  <c r="X115" i="9"/>
  <c r="Y115" i="9"/>
  <c r="AE115" i="9"/>
  <c r="AK115" i="9" s="1"/>
  <c r="AF115" i="9"/>
  <c r="S116" i="9"/>
  <c r="U116" i="9"/>
  <c r="V116" i="9"/>
  <c r="W116" i="9"/>
  <c r="X116" i="9"/>
  <c r="Y116" i="9"/>
  <c r="AE116" i="9"/>
  <c r="AK116" i="9" s="1"/>
  <c r="AF116" i="9"/>
  <c r="S117" i="9"/>
  <c r="U117" i="9"/>
  <c r="V117" i="9"/>
  <c r="W117" i="9"/>
  <c r="X117" i="9"/>
  <c r="Y117" i="9"/>
  <c r="AE117" i="9"/>
  <c r="AK117" i="9" s="1"/>
  <c r="AF117" i="9"/>
  <c r="S118" i="9"/>
  <c r="U118" i="9"/>
  <c r="V118" i="9"/>
  <c r="W118" i="9"/>
  <c r="X118" i="9"/>
  <c r="Y118" i="9"/>
  <c r="AE118" i="9"/>
  <c r="AK118" i="9" s="1"/>
  <c r="AF118" i="9"/>
  <c r="S119" i="9"/>
  <c r="U119" i="9"/>
  <c r="V119" i="9"/>
  <c r="W119" i="9"/>
  <c r="X119" i="9"/>
  <c r="Y119" i="9"/>
  <c r="AE119" i="9"/>
  <c r="AK119" i="9" s="1"/>
  <c r="AF119" i="9"/>
  <c r="S120" i="9"/>
  <c r="U120" i="9"/>
  <c r="V120" i="9"/>
  <c r="W120" i="9"/>
  <c r="X120" i="9"/>
  <c r="Y120" i="9"/>
  <c r="AE120" i="9"/>
  <c r="AK120" i="9" s="1"/>
  <c r="AF120" i="9"/>
  <c r="S121" i="9"/>
  <c r="U121" i="9"/>
  <c r="V121" i="9"/>
  <c r="W121" i="9"/>
  <c r="X121" i="9"/>
  <c r="Y121" i="9"/>
  <c r="AE121" i="9"/>
  <c r="AK121" i="9" s="1"/>
  <c r="AF121" i="9"/>
  <c r="S122" i="9"/>
  <c r="U122" i="9"/>
  <c r="V122" i="9"/>
  <c r="W122" i="9"/>
  <c r="X122" i="9"/>
  <c r="Y122" i="9"/>
  <c r="AE122" i="9"/>
  <c r="AK122" i="9" s="1"/>
  <c r="AF122" i="9"/>
  <c r="S123" i="9"/>
  <c r="U123" i="9"/>
  <c r="V123" i="9"/>
  <c r="W123" i="9"/>
  <c r="X123" i="9"/>
  <c r="Y123" i="9"/>
  <c r="AE123" i="9"/>
  <c r="AK123" i="9" s="1"/>
  <c r="AF123" i="9"/>
  <c r="S124" i="9"/>
  <c r="U124" i="9"/>
  <c r="V124" i="9"/>
  <c r="W124" i="9"/>
  <c r="X124" i="9"/>
  <c r="Y124" i="9"/>
  <c r="AE124" i="9"/>
  <c r="AK124" i="9" s="1"/>
  <c r="AF124" i="9"/>
  <c r="S125" i="9"/>
  <c r="U125" i="9"/>
  <c r="V125" i="9"/>
  <c r="W125" i="9"/>
  <c r="X125" i="9"/>
  <c r="Y125" i="9"/>
  <c r="AE125" i="9"/>
  <c r="AK125" i="9" s="1"/>
  <c r="AF125" i="9"/>
  <c r="S126" i="9"/>
  <c r="U126" i="9"/>
  <c r="V126" i="9"/>
  <c r="W126" i="9"/>
  <c r="X126" i="9"/>
  <c r="Y126" i="9"/>
  <c r="AE126" i="9"/>
  <c r="AK126" i="9" s="1"/>
  <c r="AF126" i="9"/>
  <c r="S127" i="9"/>
  <c r="U127" i="9"/>
  <c r="V127" i="9"/>
  <c r="W127" i="9"/>
  <c r="X127" i="9"/>
  <c r="Y127" i="9"/>
  <c r="AE127" i="9"/>
  <c r="AK127" i="9" s="1"/>
  <c r="AF127" i="9"/>
  <c r="S128" i="9"/>
  <c r="U128" i="9"/>
  <c r="V128" i="9"/>
  <c r="W128" i="9"/>
  <c r="X128" i="9"/>
  <c r="Y128" i="9"/>
  <c r="AE128" i="9"/>
  <c r="AK128" i="9" s="1"/>
  <c r="AF128" i="9"/>
  <c r="S129" i="9"/>
  <c r="U129" i="9"/>
  <c r="V129" i="9"/>
  <c r="W129" i="9"/>
  <c r="X129" i="9"/>
  <c r="Y129" i="9"/>
  <c r="AE129" i="9"/>
  <c r="AK129" i="9" s="1"/>
  <c r="AF129" i="9"/>
  <c r="S130" i="9"/>
  <c r="U130" i="9"/>
  <c r="V130" i="9"/>
  <c r="W130" i="9"/>
  <c r="X130" i="9"/>
  <c r="Y130" i="9"/>
  <c r="AE130" i="9"/>
  <c r="AK130" i="9" s="1"/>
  <c r="AF130" i="9"/>
  <c r="S131" i="9"/>
  <c r="U131" i="9"/>
  <c r="V131" i="9"/>
  <c r="W131" i="9"/>
  <c r="X131" i="9"/>
  <c r="Y131" i="9"/>
  <c r="AE131" i="9"/>
  <c r="AK131" i="9" s="1"/>
  <c r="AF131" i="9"/>
  <c r="S132" i="9"/>
  <c r="U132" i="9"/>
  <c r="V132" i="9"/>
  <c r="W132" i="9"/>
  <c r="X132" i="9"/>
  <c r="Y132" i="9"/>
  <c r="AE132" i="9"/>
  <c r="AK132" i="9" s="1"/>
  <c r="AF132" i="9"/>
  <c r="S133" i="9"/>
  <c r="U133" i="9"/>
  <c r="V133" i="9"/>
  <c r="W133" i="9"/>
  <c r="X133" i="9"/>
  <c r="Y133" i="9"/>
  <c r="AE133" i="9"/>
  <c r="AK133" i="9" s="1"/>
  <c r="AF133" i="9"/>
  <c r="S134" i="9"/>
  <c r="U134" i="9"/>
  <c r="V134" i="9"/>
  <c r="W134" i="9"/>
  <c r="X134" i="9"/>
  <c r="Y134" i="9"/>
  <c r="AE134" i="9"/>
  <c r="AK134" i="9" s="1"/>
  <c r="AF134" i="9"/>
  <c r="S135" i="9"/>
  <c r="U135" i="9"/>
  <c r="V135" i="9"/>
  <c r="W135" i="9"/>
  <c r="X135" i="9"/>
  <c r="Y135" i="9"/>
  <c r="AE135" i="9"/>
  <c r="AK135" i="9" s="1"/>
  <c r="AF135" i="9"/>
  <c r="S136" i="9"/>
  <c r="U136" i="9"/>
  <c r="V136" i="9"/>
  <c r="W136" i="9"/>
  <c r="X136" i="9"/>
  <c r="Y136" i="9"/>
  <c r="AE136" i="9"/>
  <c r="AK136" i="9" s="1"/>
  <c r="AF136" i="9"/>
  <c r="S137" i="9"/>
  <c r="U137" i="9"/>
  <c r="V137" i="9"/>
  <c r="W137" i="9"/>
  <c r="X137" i="9"/>
  <c r="Y137" i="9"/>
  <c r="AE137" i="9"/>
  <c r="AK137" i="9" s="1"/>
  <c r="AF137" i="9"/>
  <c r="S138" i="9"/>
  <c r="U138" i="9"/>
  <c r="V138" i="9"/>
  <c r="W138" i="9"/>
  <c r="X138" i="9"/>
  <c r="Y138" i="9"/>
  <c r="AE138" i="9"/>
  <c r="AK138" i="9" s="1"/>
  <c r="AF138" i="9"/>
  <c r="S139" i="9"/>
  <c r="U139" i="9"/>
  <c r="V139" i="9"/>
  <c r="W139" i="9"/>
  <c r="X139" i="9"/>
  <c r="Y139" i="9"/>
  <c r="AE139" i="9"/>
  <c r="AK139" i="9" s="1"/>
  <c r="AF139" i="9"/>
  <c r="S140" i="9"/>
  <c r="U140" i="9"/>
  <c r="V140" i="9"/>
  <c r="W140" i="9"/>
  <c r="X140" i="9"/>
  <c r="Y140" i="9"/>
  <c r="AE140" i="9"/>
  <c r="AK140" i="9" s="1"/>
  <c r="AF140" i="9"/>
  <c r="S141" i="9"/>
  <c r="U141" i="9"/>
  <c r="V141" i="9"/>
  <c r="W141" i="9"/>
  <c r="X141" i="9"/>
  <c r="Y141" i="9"/>
  <c r="AE141" i="9"/>
  <c r="AK141" i="9" s="1"/>
  <c r="AF141" i="9"/>
  <c r="S142" i="9"/>
  <c r="U142" i="9"/>
  <c r="V142" i="9"/>
  <c r="W142" i="9"/>
  <c r="X142" i="9"/>
  <c r="Y142" i="9"/>
  <c r="AE142" i="9"/>
  <c r="AK142" i="9" s="1"/>
  <c r="AF142" i="9"/>
  <c r="S143" i="9"/>
  <c r="U143" i="9"/>
  <c r="V143" i="9"/>
  <c r="W143" i="9"/>
  <c r="X143" i="9"/>
  <c r="Y143" i="9"/>
  <c r="AE143" i="9"/>
  <c r="AK143" i="9" s="1"/>
  <c r="AF143" i="9"/>
  <c r="S144" i="9"/>
  <c r="U144" i="9"/>
  <c r="V144" i="9"/>
  <c r="W144" i="9"/>
  <c r="X144" i="9"/>
  <c r="Y144" i="9"/>
  <c r="AE144" i="9"/>
  <c r="AK144" i="9" s="1"/>
  <c r="AF144" i="9"/>
  <c r="S145" i="9"/>
  <c r="U145" i="9"/>
  <c r="V145" i="9"/>
  <c r="W145" i="9"/>
  <c r="X145" i="9"/>
  <c r="Y145" i="9"/>
  <c r="AE145" i="9"/>
  <c r="AK145" i="9" s="1"/>
  <c r="AF145" i="9"/>
  <c r="S146" i="9"/>
  <c r="U146" i="9"/>
  <c r="V146" i="9"/>
  <c r="W146" i="9"/>
  <c r="X146" i="9"/>
  <c r="Y146" i="9"/>
  <c r="AE146" i="9"/>
  <c r="AK146" i="9" s="1"/>
  <c r="AF146" i="9"/>
  <c r="S147" i="9"/>
  <c r="U147" i="9"/>
  <c r="V147" i="9"/>
  <c r="W147" i="9"/>
  <c r="X147" i="9"/>
  <c r="Y147" i="9"/>
  <c r="AE147" i="9"/>
  <c r="AK147" i="9" s="1"/>
  <c r="AF147" i="9"/>
  <c r="S148" i="9"/>
  <c r="U148" i="9"/>
  <c r="V148" i="9"/>
  <c r="W148" i="9"/>
  <c r="X148" i="9"/>
  <c r="Y148" i="9"/>
  <c r="AE148" i="9"/>
  <c r="AK148" i="9" s="1"/>
  <c r="AF148" i="9"/>
  <c r="S149" i="9"/>
  <c r="U149" i="9"/>
  <c r="V149" i="9"/>
  <c r="W149" i="9"/>
  <c r="X149" i="9"/>
  <c r="Y149" i="9"/>
  <c r="AE149" i="9"/>
  <c r="AK149" i="9" s="1"/>
  <c r="AF149" i="9"/>
  <c r="S150" i="9"/>
  <c r="U150" i="9"/>
  <c r="V150" i="9"/>
  <c r="W150" i="9"/>
  <c r="X150" i="9"/>
  <c r="Y150" i="9"/>
  <c r="AE150" i="9"/>
  <c r="AK150" i="9" s="1"/>
  <c r="AF150" i="9"/>
  <c r="S151" i="9"/>
  <c r="U151" i="9"/>
  <c r="V151" i="9"/>
  <c r="W151" i="9"/>
  <c r="X151" i="9"/>
  <c r="Y151" i="9"/>
  <c r="AE151" i="9"/>
  <c r="AK151" i="9" s="1"/>
  <c r="AF151" i="9"/>
  <c r="S152" i="9"/>
  <c r="U152" i="9"/>
  <c r="V152" i="9"/>
  <c r="W152" i="9"/>
  <c r="X152" i="9"/>
  <c r="Y152" i="9"/>
  <c r="AE152" i="9"/>
  <c r="AK152" i="9" s="1"/>
  <c r="AF152" i="9"/>
  <c r="S153" i="9"/>
  <c r="U153" i="9"/>
  <c r="V153" i="9"/>
  <c r="W153" i="9"/>
  <c r="X153" i="9"/>
  <c r="Y153" i="9"/>
  <c r="AE153" i="9"/>
  <c r="AK153" i="9" s="1"/>
  <c r="AF153" i="9"/>
  <c r="S154" i="9"/>
  <c r="U154" i="9"/>
  <c r="V154" i="9"/>
  <c r="W154" i="9"/>
  <c r="X154" i="9"/>
  <c r="Y154" i="9"/>
  <c r="AE154" i="9"/>
  <c r="AK154" i="9" s="1"/>
  <c r="AF154" i="9"/>
  <c r="S155" i="9"/>
  <c r="U155" i="9"/>
  <c r="V155" i="9"/>
  <c r="W155" i="9"/>
  <c r="X155" i="9"/>
  <c r="Y155" i="9"/>
  <c r="AE155" i="9"/>
  <c r="AK155" i="9" s="1"/>
  <c r="AF155" i="9"/>
  <c r="S156" i="9"/>
  <c r="U156" i="9"/>
  <c r="V156" i="9"/>
  <c r="W156" i="9"/>
  <c r="X156" i="9"/>
  <c r="Y156" i="9"/>
  <c r="AE156" i="9"/>
  <c r="AK156" i="9" s="1"/>
  <c r="AF156" i="9"/>
  <c r="S157" i="9"/>
  <c r="U157" i="9"/>
  <c r="V157" i="9"/>
  <c r="W157" i="9"/>
  <c r="X157" i="9"/>
  <c r="Y157" i="9"/>
  <c r="AE157" i="9"/>
  <c r="AK157" i="9" s="1"/>
  <c r="AF157" i="9"/>
  <c r="S158" i="9"/>
  <c r="U158" i="9"/>
  <c r="V158" i="9"/>
  <c r="W158" i="9"/>
  <c r="X158" i="9"/>
  <c r="Y158" i="9"/>
  <c r="AE158" i="9"/>
  <c r="AK158" i="9" s="1"/>
  <c r="AF158" i="9"/>
  <c r="S159" i="9"/>
  <c r="U159" i="9"/>
  <c r="V159" i="9"/>
  <c r="W159" i="9"/>
  <c r="X159" i="9"/>
  <c r="Y159" i="9"/>
  <c r="AE159" i="9"/>
  <c r="AK159" i="9" s="1"/>
  <c r="AF159" i="9"/>
  <c r="S160" i="9"/>
  <c r="U160" i="9"/>
  <c r="V160" i="9"/>
  <c r="W160" i="9"/>
  <c r="X160" i="9"/>
  <c r="Y160" i="9"/>
  <c r="AE160" i="9"/>
  <c r="AK160" i="9" s="1"/>
  <c r="AF160" i="9"/>
  <c r="S161" i="9"/>
  <c r="U161" i="9"/>
  <c r="V161" i="9"/>
  <c r="W161" i="9"/>
  <c r="X161" i="9"/>
  <c r="Y161" i="9"/>
  <c r="AE161" i="9"/>
  <c r="AK161" i="9" s="1"/>
  <c r="AF161" i="9"/>
  <c r="S162" i="9"/>
  <c r="U162" i="9"/>
  <c r="V162" i="9"/>
  <c r="W162" i="9"/>
  <c r="X162" i="9"/>
  <c r="Y162" i="9"/>
  <c r="AE162" i="9"/>
  <c r="AK162" i="9" s="1"/>
  <c r="AF162" i="9"/>
  <c r="S163" i="9"/>
  <c r="U163" i="9"/>
  <c r="V163" i="9"/>
  <c r="W163" i="9"/>
  <c r="X163" i="9"/>
  <c r="Y163" i="9"/>
  <c r="AE163" i="9"/>
  <c r="AK163" i="9" s="1"/>
  <c r="AF163" i="9"/>
  <c r="S164" i="9"/>
  <c r="U164" i="9"/>
  <c r="V164" i="9"/>
  <c r="W164" i="9"/>
  <c r="X164" i="9"/>
  <c r="Y164" i="9"/>
  <c r="AE164" i="9"/>
  <c r="AK164" i="9" s="1"/>
  <c r="AF164" i="9"/>
  <c r="S165" i="9"/>
  <c r="U165" i="9"/>
  <c r="V165" i="9"/>
  <c r="W165" i="9"/>
  <c r="X165" i="9"/>
  <c r="Y165" i="9"/>
  <c r="AE165" i="9"/>
  <c r="AK165" i="9" s="1"/>
  <c r="AF165" i="9"/>
  <c r="S166" i="9"/>
  <c r="U166" i="9"/>
  <c r="V166" i="9"/>
  <c r="W166" i="9"/>
  <c r="X166" i="9"/>
  <c r="Y166" i="9"/>
  <c r="AE166" i="9"/>
  <c r="AK166" i="9" s="1"/>
  <c r="AF166" i="9"/>
  <c r="S167" i="9"/>
  <c r="U167" i="9"/>
  <c r="V167" i="9"/>
  <c r="W167" i="9"/>
  <c r="X167" i="9"/>
  <c r="Y167" i="9"/>
  <c r="AE167" i="9"/>
  <c r="AK167" i="9" s="1"/>
  <c r="AF167" i="9"/>
  <c r="S168" i="9"/>
  <c r="U168" i="9"/>
  <c r="V168" i="9"/>
  <c r="W168" i="9"/>
  <c r="X168" i="9"/>
  <c r="Y168" i="9"/>
  <c r="AE168" i="9"/>
  <c r="AK168" i="9" s="1"/>
  <c r="AF168" i="9"/>
  <c r="S169" i="9"/>
  <c r="U169" i="9"/>
  <c r="V169" i="9"/>
  <c r="W169" i="9"/>
  <c r="X169" i="9"/>
  <c r="Y169" i="9"/>
  <c r="AE169" i="9"/>
  <c r="AK169" i="9" s="1"/>
  <c r="AF169" i="9"/>
  <c r="S170" i="9"/>
  <c r="U170" i="9"/>
  <c r="V170" i="9"/>
  <c r="W170" i="9"/>
  <c r="X170" i="9"/>
  <c r="Y170" i="9"/>
  <c r="AE170" i="9"/>
  <c r="AK170" i="9" s="1"/>
  <c r="AF170" i="9"/>
  <c r="S171" i="9"/>
  <c r="U171" i="9"/>
  <c r="V171" i="9"/>
  <c r="W171" i="9"/>
  <c r="X171" i="9"/>
  <c r="Y171" i="9"/>
  <c r="AE171" i="9"/>
  <c r="AK171" i="9" s="1"/>
  <c r="AF171" i="9"/>
  <c r="S172" i="9"/>
  <c r="U172" i="9"/>
  <c r="V172" i="9"/>
  <c r="W172" i="9"/>
  <c r="X172" i="9"/>
  <c r="Y172" i="9"/>
  <c r="AE172" i="9"/>
  <c r="AK172" i="9" s="1"/>
  <c r="AF172" i="9"/>
  <c r="S173" i="9"/>
  <c r="U173" i="9"/>
  <c r="V173" i="9"/>
  <c r="W173" i="9"/>
  <c r="X173" i="9"/>
  <c r="Y173" i="9"/>
  <c r="AE173" i="9"/>
  <c r="AK173" i="9" s="1"/>
  <c r="AF173" i="9"/>
  <c r="S174" i="9"/>
  <c r="U174" i="9"/>
  <c r="V174" i="9"/>
  <c r="W174" i="9"/>
  <c r="X174" i="9"/>
  <c r="Y174" i="9"/>
  <c r="AE174" i="9"/>
  <c r="AK174" i="9" s="1"/>
  <c r="AF174" i="9"/>
  <c r="S175" i="9"/>
  <c r="U175" i="9"/>
  <c r="V175" i="9"/>
  <c r="W175" i="9"/>
  <c r="X175" i="9"/>
  <c r="Y175" i="9"/>
  <c r="AE175" i="9"/>
  <c r="AK175" i="9" s="1"/>
  <c r="AF175" i="9"/>
  <c r="S176" i="9"/>
  <c r="U176" i="9"/>
  <c r="V176" i="9"/>
  <c r="W176" i="9"/>
  <c r="X176" i="9"/>
  <c r="Y176" i="9"/>
  <c r="AE176" i="9"/>
  <c r="AK176" i="9" s="1"/>
  <c r="AF176" i="9"/>
  <c r="S177" i="9"/>
  <c r="U177" i="9"/>
  <c r="V177" i="9"/>
  <c r="W177" i="9"/>
  <c r="X177" i="9"/>
  <c r="Y177" i="9"/>
  <c r="AE177" i="9"/>
  <c r="AK177" i="9" s="1"/>
  <c r="AF177" i="9"/>
  <c r="S178" i="9"/>
  <c r="U178" i="9"/>
  <c r="V178" i="9"/>
  <c r="W178" i="9"/>
  <c r="X178" i="9"/>
  <c r="Y178" i="9"/>
  <c r="AE178" i="9"/>
  <c r="AK178" i="9" s="1"/>
  <c r="AF178" i="9"/>
  <c r="S179" i="9"/>
  <c r="U179" i="9"/>
  <c r="V179" i="9"/>
  <c r="W179" i="9"/>
  <c r="X179" i="9"/>
  <c r="Y179" i="9"/>
  <c r="AE179" i="9"/>
  <c r="AK179" i="9" s="1"/>
  <c r="AF179" i="9"/>
  <c r="S180" i="9"/>
  <c r="U180" i="9"/>
  <c r="V180" i="9"/>
  <c r="W180" i="9"/>
  <c r="X180" i="9"/>
  <c r="Y180" i="9"/>
  <c r="AE180" i="9"/>
  <c r="AK180" i="9" s="1"/>
  <c r="AF180" i="9"/>
  <c r="S181" i="9"/>
  <c r="U181" i="9"/>
  <c r="V181" i="9"/>
  <c r="W181" i="9"/>
  <c r="X181" i="9"/>
  <c r="Y181" i="9"/>
  <c r="AE181" i="9"/>
  <c r="AK181" i="9" s="1"/>
  <c r="AF181" i="9"/>
  <c r="S182" i="9"/>
  <c r="U182" i="9"/>
  <c r="V182" i="9"/>
  <c r="W182" i="9"/>
  <c r="X182" i="9"/>
  <c r="Y182" i="9"/>
  <c r="AE182" i="9"/>
  <c r="AK182" i="9" s="1"/>
  <c r="AF182" i="9"/>
  <c r="S183" i="9"/>
  <c r="U183" i="9"/>
  <c r="V183" i="9"/>
  <c r="W183" i="9"/>
  <c r="X183" i="9"/>
  <c r="Y183" i="9"/>
  <c r="AE183" i="9"/>
  <c r="AK183" i="9" s="1"/>
  <c r="AF183" i="9"/>
  <c r="S184" i="9"/>
  <c r="U184" i="9"/>
  <c r="V184" i="9"/>
  <c r="W184" i="9"/>
  <c r="X184" i="9"/>
  <c r="Y184" i="9"/>
  <c r="AE184" i="9"/>
  <c r="AK184" i="9" s="1"/>
  <c r="AF184" i="9"/>
  <c r="S185" i="9"/>
  <c r="U185" i="9"/>
  <c r="V185" i="9"/>
  <c r="W185" i="9"/>
  <c r="X185" i="9"/>
  <c r="Y185" i="9"/>
  <c r="AE185" i="9"/>
  <c r="AK185" i="9" s="1"/>
  <c r="AF185" i="9"/>
  <c r="S186" i="9"/>
  <c r="U186" i="9"/>
  <c r="V186" i="9"/>
  <c r="W186" i="9"/>
  <c r="X186" i="9"/>
  <c r="Y186" i="9"/>
  <c r="AE186" i="9"/>
  <c r="AK186" i="9" s="1"/>
  <c r="AF186" i="9"/>
  <c r="S187" i="9"/>
  <c r="U187" i="9"/>
  <c r="V187" i="9"/>
  <c r="W187" i="9"/>
  <c r="X187" i="9"/>
  <c r="Y187" i="9"/>
  <c r="AE187" i="9"/>
  <c r="AK187" i="9" s="1"/>
  <c r="AF187" i="9"/>
  <c r="S188" i="9"/>
  <c r="U188" i="9"/>
  <c r="V188" i="9"/>
  <c r="W188" i="9"/>
  <c r="X188" i="9"/>
  <c r="Y188" i="9"/>
  <c r="AE188" i="9"/>
  <c r="AK188" i="9" s="1"/>
  <c r="AF188" i="9"/>
  <c r="S189" i="9"/>
  <c r="U189" i="9"/>
  <c r="V189" i="9"/>
  <c r="W189" i="9"/>
  <c r="X189" i="9"/>
  <c r="Y189" i="9"/>
  <c r="AE189" i="9"/>
  <c r="AK189" i="9" s="1"/>
  <c r="AF189" i="9"/>
  <c r="S190" i="9"/>
  <c r="U190" i="9"/>
  <c r="V190" i="9"/>
  <c r="W190" i="9"/>
  <c r="X190" i="9"/>
  <c r="Y190" i="9"/>
  <c r="AE190" i="9"/>
  <c r="AK190" i="9" s="1"/>
  <c r="AF190" i="9"/>
  <c r="S191" i="9"/>
  <c r="U191" i="9"/>
  <c r="V191" i="9"/>
  <c r="W191" i="9"/>
  <c r="X191" i="9"/>
  <c r="Y191" i="9"/>
  <c r="AE191" i="9"/>
  <c r="AK191" i="9" s="1"/>
  <c r="AF191" i="9"/>
  <c r="S192" i="9"/>
  <c r="U192" i="9"/>
  <c r="V192" i="9"/>
  <c r="W192" i="9"/>
  <c r="X192" i="9"/>
  <c r="Y192" i="9"/>
  <c r="AE192" i="9"/>
  <c r="AK192" i="9" s="1"/>
  <c r="AF192" i="9"/>
  <c r="S193" i="9"/>
  <c r="U193" i="9"/>
  <c r="V193" i="9"/>
  <c r="W193" i="9"/>
  <c r="X193" i="9"/>
  <c r="Y193" i="9"/>
  <c r="AE193" i="9"/>
  <c r="AK193" i="9" s="1"/>
  <c r="AF193" i="9"/>
  <c r="S194" i="9"/>
  <c r="U194" i="9"/>
  <c r="V194" i="9"/>
  <c r="W194" i="9"/>
  <c r="X194" i="9"/>
  <c r="Y194" i="9"/>
  <c r="AE194" i="9"/>
  <c r="AK194" i="9" s="1"/>
  <c r="AF194" i="9"/>
  <c r="S195" i="9"/>
  <c r="U195" i="9"/>
  <c r="V195" i="9"/>
  <c r="W195" i="9"/>
  <c r="X195" i="9"/>
  <c r="Y195" i="9"/>
  <c r="AE195" i="9"/>
  <c r="AK195" i="9" s="1"/>
  <c r="AF195" i="9"/>
  <c r="S196" i="9"/>
  <c r="U196" i="9"/>
  <c r="V196" i="9"/>
  <c r="W196" i="9"/>
  <c r="X196" i="9"/>
  <c r="Y196" i="9"/>
  <c r="AE196" i="9"/>
  <c r="AK196" i="9" s="1"/>
  <c r="AF196" i="9"/>
  <c r="S197" i="9"/>
  <c r="U197" i="9"/>
  <c r="V197" i="9"/>
  <c r="W197" i="9"/>
  <c r="X197" i="9"/>
  <c r="Y197" i="9"/>
  <c r="AE197" i="9"/>
  <c r="AK197" i="9" s="1"/>
  <c r="AF197" i="9"/>
  <c r="S198" i="9"/>
  <c r="U198" i="9"/>
  <c r="V198" i="9"/>
  <c r="W198" i="9"/>
  <c r="X198" i="9"/>
  <c r="Y198" i="9"/>
  <c r="AE198" i="9"/>
  <c r="AK198" i="9" s="1"/>
  <c r="AF198" i="9"/>
  <c r="S199" i="9"/>
  <c r="U199" i="9"/>
  <c r="V199" i="9"/>
  <c r="W199" i="9"/>
  <c r="X199" i="9"/>
  <c r="Y199" i="9"/>
  <c r="AE199" i="9"/>
  <c r="AK199" i="9" s="1"/>
  <c r="AF199" i="9"/>
  <c r="S200" i="9"/>
  <c r="U200" i="9"/>
  <c r="V200" i="9"/>
  <c r="W200" i="9"/>
  <c r="X200" i="9"/>
  <c r="Y200" i="9"/>
  <c r="AE200" i="9"/>
  <c r="AK200" i="9" s="1"/>
  <c r="AF200" i="9"/>
  <c r="S201" i="9"/>
  <c r="U201" i="9"/>
  <c r="V201" i="9"/>
  <c r="W201" i="9"/>
  <c r="X201" i="9"/>
  <c r="Y201" i="9"/>
  <c r="AE201" i="9"/>
  <c r="AK201" i="9" s="1"/>
  <c r="AF201" i="9"/>
  <c r="S202" i="9"/>
  <c r="U202" i="9"/>
  <c r="V202" i="9"/>
  <c r="W202" i="9"/>
  <c r="X202" i="9"/>
  <c r="Y202" i="9"/>
  <c r="AE202" i="9"/>
  <c r="AK202" i="9" s="1"/>
  <c r="AF202" i="9"/>
  <c r="S203" i="9"/>
  <c r="U203" i="9"/>
  <c r="V203" i="9"/>
  <c r="W203" i="9"/>
  <c r="X203" i="9"/>
  <c r="Y203" i="9"/>
  <c r="AE203" i="9"/>
  <c r="AK203" i="9" s="1"/>
  <c r="AF203" i="9"/>
  <c r="S204" i="9"/>
  <c r="U204" i="9"/>
  <c r="V204" i="9"/>
  <c r="W204" i="9"/>
  <c r="X204" i="9"/>
  <c r="Y204" i="9"/>
  <c r="AE204" i="9"/>
  <c r="AK204" i="9" s="1"/>
  <c r="AF204" i="9"/>
  <c r="S205" i="9"/>
  <c r="U205" i="9"/>
  <c r="V205" i="9"/>
  <c r="W205" i="9"/>
  <c r="X205" i="9"/>
  <c r="Y205" i="9"/>
  <c r="AE205" i="9"/>
  <c r="AK205" i="9" s="1"/>
  <c r="AF205" i="9"/>
  <c r="S206" i="9"/>
  <c r="U206" i="9"/>
  <c r="V206" i="9"/>
  <c r="W206" i="9"/>
  <c r="X206" i="9"/>
  <c r="Y206" i="9"/>
  <c r="AE206" i="9"/>
  <c r="AK206" i="9" s="1"/>
  <c r="AF206" i="9"/>
  <c r="S207" i="9"/>
  <c r="U207" i="9"/>
  <c r="V207" i="9"/>
  <c r="W207" i="9"/>
  <c r="X207" i="9"/>
  <c r="Y207" i="9"/>
  <c r="AE207" i="9"/>
  <c r="AK207" i="9" s="1"/>
  <c r="AF207" i="9"/>
  <c r="S208" i="9"/>
  <c r="U208" i="9"/>
  <c r="V208" i="9"/>
  <c r="W208" i="9"/>
  <c r="X208" i="9"/>
  <c r="Y208" i="9"/>
  <c r="AE208" i="9"/>
  <c r="AK208" i="9" s="1"/>
  <c r="AF208" i="9"/>
  <c r="S209" i="9"/>
  <c r="U209" i="9"/>
  <c r="V209" i="9"/>
  <c r="W209" i="9"/>
  <c r="X209" i="9"/>
  <c r="Y209" i="9"/>
  <c r="AE209" i="9"/>
  <c r="AK209" i="9" s="1"/>
  <c r="AF209" i="9"/>
  <c r="S210" i="9"/>
  <c r="U210" i="9"/>
  <c r="V210" i="9"/>
  <c r="W210" i="9"/>
  <c r="X210" i="9"/>
  <c r="Y210" i="9"/>
  <c r="AE210" i="9"/>
  <c r="AK210" i="9" s="1"/>
  <c r="AF210" i="9"/>
  <c r="S211" i="9"/>
  <c r="U211" i="9"/>
  <c r="V211" i="9"/>
  <c r="W211" i="9"/>
  <c r="X211" i="9"/>
  <c r="Y211" i="9"/>
  <c r="AE211" i="9"/>
  <c r="AK211" i="9" s="1"/>
  <c r="AF211" i="9"/>
  <c r="S212" i="9"/>
  <c r="U212" i="9"/>
  <c r="V212" i="9"/>
  <c r="W212" i="9"/>
  <c r="X212" i="9"/>
  <c r="Y212" i="9"/>
  <c r="AE212" i="9"/>
  <c r="AK212" i="9" s="1"/>
  <c r="AF212" i="9"/>
  <c r="S213" i="9"/>
  <c r="U213" i="9"/>
  <c r="V213" i="9"/>
  <c r="W213" i="9"/>
  <c r="X213" i="9"/>
  <c r="Y213" i="9"/>
  <c r="AE213" i="9"/>
  <c r="AK213" i="9" s="1"/>
  <c r="AF213" i="9"/>
  <c r="S214" i="9"/>
  <c r="U214" i="9"/>
  <c r="V214" i="9"/>
  <c r="W214" i="9"/>
  <c r="X214" i="9"/>
  <c r="Y214" i="9"/>
  <c r="AE214" i="9"/>
  <c r="AK214" i="9" s="1"/>
  <c r="AF214" i="9"/>
  <c r="S215" i="9"/>
  <c r="U215" i="9"/>
  <c r="V215" i="9"/>
  <c r="W215" i="9"/>
  <c r="X215" i="9"/>
  <c r="Y215" i="9"/>
  <c r="AE215" i="9"/>
  <c r="AK215" i="9" s="1"/>
  <c r="AF215" i="9"/>
  <c r="S216" i="9"/>
  <c r="U216" i="9"/>
  <c r="V216" i="9"/>
  <c r="W216" i="9"/>
  <c r="X216" i="9"/>
  <c r="Y216" i="9"/>
  <c r="AE216" i="9"/>
  <c r="AK216" i="9" s="1"/>
  <c r="AF216" i="9"/>
  <c r="S217" i="9"/>
  <c r="U217" i="9"/>
  <c r="V217" i="9"/>
  <c r="W217" i="9"/>
  <c r="X217" i="9"/>
  <c r="Y217" i="9"/>
  <c r="AE217" i="9"/>
  <c r="AK217" i="9" s="1"/>
  <c r="AF217" i="9"/>
  <c r="S218" i="9"/>
  <c r="U218" i="9"/>
  <c r="V218" i="9"/>
  <c r="W218" i="9"/>
  <c r="X218" i="9"/>
  <c r="Y218" i="9"/>
  <c r="AE218" i="9"/>
  <c r="AK218" i="9" s="1"/>
  <c r="AF218" i="9"/>
  <c r="S219" i="9"/>
  <c r="U219" i="9"/>
  <c r="V219" i="9"/>
  <c r="W219" i="9"/>
  <c r="X219" i="9"/>
  <c r="Y219" i="9"/>
  <c r="AE219" i="9"/>
  <c r="AK219" i="9" s="1"/>
  <c r="AF219" i="9"/>
  <c r="S220" i="9"/>
  <c r="U220" i="9"/>
  <c r="V220" i="9"/>
  <c r="W220" i="9"/>
  <c r="X220" i="9"/>
  <c r="Y220" i="9"/>
  <c r="AE220" i="9"/>
  <c r="AK220" i="9" s="1"/>
  <c r="AF220" i="9"/>
  <c r="S221" i="9"/>
  <c r="U221" i="9"/>
  <c r="V221" i="9"/>
  <c r="W221" i="9"/>
  <c r="X221" i="9"/>
  <c r="Y221" i="9"/>
  <c r="AE221" i="9"/>
  <c r="AK221" i="9" s="1"/>
  <c r="AF221" i="9"/>
  <c r="S222" i="9"/>
  <c r="U222" i="9"/>
  <c r="V222" i="9"/>
  <c r="W222" i="9"/>
  <c r="X222" i="9"/>
  <c r="Y222" i="9"/>
  <c r="AE222" i="9"/>
  <c r="AK222" i="9" s="1"/>
  <c r="AF222" i="9"/>
  <c r="S223" i="9"/>
  <c r="U223" i="9"/>
  <c r="V223" i="9"/>
  <c r="W223" i="9"/>
  <c r="X223" i="9"/>
  <c r="Y223" i="9"/>
  <c r="AE223" i="9"/>
  <c r="AK223" i="9" s="1"/>
  <c r="AF223" i="9"/>
  <c r="S224" i="9"/>
  <c r="U224" i="9"/>
  <c r="V224" i="9"/>
  <c r="W224" i="9"/>
  <c r="X224" i="9"/>
  <c r="Y224" i="9"/>
  <c r="AE224" i="9"/>
  <c r="AK224" i="9" s="1"/>
  <c r="AF224" i="9"/>
  <c r="S225" i="9"/>
  <c r="U225" i="9"/>
  <c r="V225" i="9"/>
  <c r="W225" i="9"/>
  <c r="X225" i="9"/>
  <c r="Y225" i="9"/>
  <c r="AE225" i="9"/>
  <c r="AK225" i="9" s="1"/>
  <c r="AF225" i="9"/>
  <c r="S226" i="9"/>
  <c r="U226" i="9"/>
  <c r="V226" i="9"/>
  <c r="W226" i="9"/>
  <c r="X226" i="9"/>
  <c r="Y226" i="9"/>
  <c r="AE226" i="9"/>
  <c r="AK226" i="9" s="1"/>
  <c r="AF226" i="9"/>
  <c r="S227" i="9"/>
  <c r="U227" i="9"/>
  <c r="V227" i="9"/>
  <c r="W227" i="9"/>
  <c r="X227" i="9"/>
  <c r="Y227" i="9"/>
  <c r="AE227" i="9"/>
  <c r="AK227" i="9" s="1"/>
  <c r="AF227" i="9"/>
  <c r="S228" i="9"/>
  <c r="U228" i="9"/>
  <c r="V228" i="9"/>
  <c r="W228" i="9"/>
  <c r="X228" i="9"/>
  <c r="Y228" i="9"/>
  <c r="AE228" i="9"/>
  <c r="AK228" i="9" s="1"/>
  <c r="AF228" i="9"/>
  <c r="S229" i="9"/>
  <c r="U229" i="9"/>
  <c r="V229" i="9"/>
  <c r="W229" i="9"/>
  <c r="X229" i="9"/>
  <c r="Y229" i="9"/>
  <c r="AE229" i="9"/>
  <c r="AK229" i="9" s="1"/>
  <c r="AF229" i="9"/>
  <c r="S230" i="9"/>
  <c r="U230" i="9"/>
  <c r="V230" i="9"/>
  <c r="W230" i="9"/>
  <c r="X230" i="9"/>
  <c r="Y230" i="9"/>
  <c r="AE230" i="9"/>
  <c r="AK230" i="9" s="1"/>
  <c r="AF230" i="9"/>
  <c r="S231" i="9"/>
  <c r="U231" i="9"/>
  <c r="V231" i="9"/>
  <c r="W231" i="9"/>
  <c r="X231" i="9"/>
  <c r="Y231" i="9"/>
  <c r="AE231" i="9"/>
  <c r="AK231" i="9" s="1"/>
  <c r="AF231" i="9"/>
  <c r="S232" i="9"/>
  <c r="U232" i="9"/>
  <c r="V232" i="9"/>
  <c r="W232" i="9"/>
  <c r="X232" i="9"/>
  <c r="Y232" i="9"/>
  <c r="AE232" i="9"/>
  <c r="AK232" i="9" s="1"/>
  <c r="AF232" i="9"/>
  <c r="S233" i="9"/>
  <c r="U233" i="9"/>
  <c r="V233" i="9"/>
  <c r="W233" i="9"/>
  <c r="X233" i="9"/>
  <c r="Y233" i="9"/>
  <c r="AE233" i="9"/>
  <c r="AK233" i="9" s="1"/>
  <c r="AF233" i="9"/>
  <c r="S234" i="9"/>
  <c r="U234" i="9"/>
  <c r="V234" i="9"/>
  <c r="W234" i="9"/>
  <c r="X234" i="9"/>
  <c r="Y234" i="9"/>
  <c r="AE234" i="9"/>
  <c r="AK234" i="9" s="1"/>
  <c r="AF234" i="9"/>
  <c r="S235" i="9"/>
  <c r="U235" i="9"/>
  <c r="V235" i="9"/>
  <c r="W235" i="9"/>
  <c r="X235" i="9"/>
  <c r="Y235" i="9"/>
  <c r="AE235" i="9"/>
  <c r="AK235" i="9" s="1"/>
  <c r="AF235" i="9"/>
  <c r="S236" i="9"/>
  <c r="U236" i="9"/>
  <c r="V236" i="9"/>
  <c r="W236" i="9"/>
  <c r="X236" i="9"/>
  <c r="Y236" i="9"/>
  <c r="AE236" i="9"/>
  <c r="AK236" i="9" s="1"/>
  <c r="AF236" i="9"/>
  <c r="S237" i="9"/>
  <c r="U237" i="9"/>
  <c r="V237" i="9"/>
  <c r="W237" i="9"/>
  <c r="X237" i="9"/>
  <c r="Y237" i="9"/>
  <c r="AE237" i="9"/>
  <c r="AK237" i="9" s="1"/>
  <c r="AF237" i="9"/>
  <c r="S238" i="9"/>
  <c r="U238" i="9"/>
  <c r="V238" i="9"/>
  <c r="W238" i="9"/>
  <c r="X238" i="9"/>
  <c r="Y238" i="9"/>
  <c r="AE238" i="9"/>
  <c r="AK238" i="9" s="1"/>
  <c r="AF238" i="9"/>
  <c r="S239" i="9"/>
  <c r="U239" i="9"/>
  <c r="V239" i="9"/>
  <c r="W239" i="9"/>
  <c r="X239" i="9"/>
  <c r="Y239" i="9"/>
  <c r="AE239" i="9"/>
  <c r="AK239" i="9" s="1"/>
  <c r="AF239" i="9"/>
  <c r="S240" i="9"/>
  <c r="U240" i="9"/>
  <c r="V240" i="9"/>
  <c r="W240" i="9"/>
  <c r="X240" i="9"/>
  <c r="Y240" i="9"/>
  <c r="AE240" i="9"/>
  <c r="AK240" i="9" s="1"/>
  <c r="AF240" i="9"/>
  <c r="S241" i="9"/>
  <c r="U241" i="9"/>
  <c r="V241" i="9"/>
  <c r="W241" i="9"/>
  <c r="X241" i="9"/>
  <c r="Y241" i="9"/>
  <c r="AE241" i="9"/>
  <c r="AK241" i="9" s="1"/>
  <c r="AF241" i="9"/>
  <c r="S242" i="9"/>
  <c r="U242" i="9"/>
  <c r="V242" i="9"/>
  <c r="W242" i="9"/>
  <c r="X242" i="9"/>
  <c r="Y242" i="9"/>
  <c r="AE242" i="9"/>
  <c r="AK242" i="9" s="1"/>
  <c r="AF242" i="9"/>
  <c r="S243" i="9"/>
  <c r="U243" i="9"/>
  <c r="V243" i="9"/>
  <c r="W243" i="9"/>
  <c r="X243" i="9"/>
  <c r="Y243" i="9"/>
  <c r="AE243" i="9"/>
  <c r="AK243" i="9" s="1"/>
  <c r="AF243" i="9"/>
  <c r="S244" i="9"/>
  <c r="U244" i="9"/>
  <c r="V244" i="9"/>
  <c r="W244" i="9"/>
  <c r="X244" i="9"/>
  <c r="Y244" i="9"/>
  <c r="AE244" i="9"/>
  <c r="AK244" i="9" s="1"/>
  <c r="AF244" i="9"/>
  <c r="S245" i="9"/>
  <c r="U245" i="9"/>
  <c r="V245" i="9"/>
  <c r="W245" i="9"/>
  <c r="X245" i="9"/>
  <c r="Y245" i="9"/>
  <c r="AE245" i="9"/>
  <c r="AK245" i="9" s="1"/>
  <c r="AF245" i="9"/>
  <c r="S246" i="9"/>
  <c r="U246" i="9"/>
  <c r="V246" i="9"/>
  <c r="W246" i="9"/>
  <c r="X246" i="9"/>
  <c r="Y246" i="9"/>
  <c r="AE246" i="9"/>
  <c r="AK246" i="9" s="1"/>
  <c r="AF246" i="9"/>
  <c r="S247" i="9"/>
  <c r="U247" i="9"/>
  <c r="V247" i="9"/>
  <c r="W247" i="9"/>
  <c r="X247" i="9"/>
  <c r="Y247" i="9"/>
  <c r="AE247" i="9"/>
  <c r="AK247" i="9" s="1"/>
  <c r="AF247" i="9"/>
  <c r="S248" i="9"/>
  <c r="U248" i="9"/>
  <c r="V248" i="9"/>
  <c r="W248" i="9"/>
  <c r="X248" i="9"/>
  <c r="Y248" i="9"/>
  <c r="AE248" i="9"/>
  <c r="AK248" i="9" s="1"/>
  <c r="AF248" i="9"/>
  <c r="S249" i="9"/>
  <c r="U249" i="9"/>
  <c r="V249" i="9"/>
  <c r="W249" i="9"/>
  <c r="X249" i="9"/>
  <c r="Y249" i="9"/>
  <c r="AE249" i="9"/>
  <c r="AK249" i="9" s="1"/>
  <c r="AF249" i="9"/>
  <c r="S250" i="9"/>
  <c r="U250" i="9"/>
  <c r="V250" i="9"/>
  <c r="W250" i="9"/>
  <c r="X250" i="9"/>
  <c r="Y250" i="9"/>
  <c r="AE250" i="9"/>
  <c r="AK250" i="9" s="1"/>
  <c r="AF250" i="9"/>
  <c r="S251" i="9"/>
  <c r="U251" i="9"/>
  <c r="V251" i="9"/>
  <c r="W251" i="9"/>
  <c r="X251" i="9"/>
  <c r="Y251" i="9"/>
  <c r="AE251" i="9"/>
  <c r="AK251" i="9" s="1"/>
  <c r="AF251" i="9"/>
  <c r="S252" i="9"/>
  <c r="U252" i="9"/>
  <c r="V252" i="9"/>
  <c r="W252" i="9"/>
  <c r="X252" i="9"/>
  <c r="Y252" i="9"/>
  <c r="AE252" i="9"/>
  <c r="AK252" i="9" s="1"/>
  <c r="AF252" i="9"/>
  <c r="S253" i="9"/>
  <c r="U253" i="9"/>
  <c r="V253" i="9"/>
  <c r="W253" i="9"/>
  <c r="X253" i="9"/>
  <c r="Y253" i="9"/>
  <c r="AE253" i="9"/>
  <c r="AK253" i="9" s="1"/>
  <c r="AF253" i="9"/>
  <c r="S254" i="9"/>
  <c r="U254" i="9"/>
  <c r="V254" i="9"/>
  <c r="W254" i="9"/>
  <c r="X254" i="9"/>
  <c r="Y254" i="9"/>
  <c r="AE254" i="9"/>
  <c r="AK254" i="9" s="1"/>
  <c r="AF254" i="9"/>
  <c r="S255" i="9"/>
  <c r="U255" i="9"/>
  <c r="V255" i="9"/>
  <c r="W255" i="9"/>
  <c r="X255" i="9"/>
  <c r="Y255" i="9"/>
  <c r="AE255" i="9"/>
  <c r="AK255" i="9" s="1"/>
  <c r="AF255" i="9"/>
  <c r="S256" i="9"/>
  <c r="U256" i="9"/>
  <c r="V256" i="9"/>
  <c r="W256" i="9"/>
  <c r="X256" i="9"/>
  <c r="Y256" i="9"/>
  <c r="AE256" i="9"/>
  <c r="AK256" i="9" s="1"/>
  <c r="AF256" i="9"/>
  <c r="S257" i="9"/>
  <c r="U257" i="9"/>
  <c r="V257" i="9"/>
  <c r="W257" i="9"/>
  <c r="X257" i="9"/>
  <c r="Y257" i="9"/>
  <c r="AE257" i="9"/>
  <c r="AK257" i="9" s="1"/>
  <c r="AF257" i="9"/>
  <c r="S258" i="9"/>
  <c r="U258" i="9"/>
  <c r="V258" i="9"/>
  <c r="W258" i="9"/>
  <c r="X258" i="9"/>
  <c r="Y258" i="9"/>
  <c r="AE258" i="9"/>
  <c r="AK258" i="9" s="1"/>
  <c r="AF258" i="9"/>
  <c r="S259" i="9"/>
  <c r="U259" i="9"/>
  <c r="V259" i="9"/>
  <c r="W259" i="9"/>
  <c r="X259" i="9"/>
  <c r="Y259" i="9"/>
  <c r="AE259" i="9"/>
  <c r="AK259" i="9" s="1"/>
  <c r="AF259" i="9"/>
  <c r="S260" i="9"/>
  <c r="U260" i="9"/>
  <c r="V260" i="9"/>
  <c r="W260" i="9"/>
  <c r="X260" i="9"/>
  <c r="Y260" i="9"/>
  <c r="AE260" i="9"/>
  <c r="AK260" i="9" s="1"/>
  <c r="AF260" i="9"/>
  <c r="S261" i="9"/>
  <c r="U261" i="9"/>
  <c r="V261" i="9"/>
  <c r="W261" i="9"/>
  <c r="X261" i="9"/>
  <c r="Y261" i="9"/>
  <c r="AE261" i="9"/>
  <c r="AK261" i="9" s="1"/>
  <c r="AF261" i="9"/>
  <c r="S262" i="9"/>
  <c r="U262" i="9"/>
  <c r="V262" i="9"/>
  <c r="W262" i="9"/>
  <c r="X262" i="9"/>
  <c r="Y262" i="9"/>
  <c r="AE262" i="9"/>
  <c r="AK262" i="9" s="1"/>
  <c r="AF262" i="9"/>
  <c r="S263" i="9"/>
  <c r="U263" i="9"/>
  <c r="V263" i="9"/>
  <c r="W263" i="9"/>
  <c r="X263" i="9"/>
  <c r="Y263" i="9"/>
  <c r="AE263" i="9"/>
  <c r="AK263" i="9" s="1"/>
  <c r="AF263" i="9"/>
  <c r="S264" i="9"/>
  <c r="U264" i="9"/>
  <c r="V264" i="9"/>
  <c r="W264" i="9"/>
  <c r="X264" i="9"/>
  <c r="Y264" i="9"/>
  <c r="AE264" i="9"/>
  <c r="AK264" i="9" s="1"/>
  <c r="AF264" i="9"/>
  <c r="S265" i="9"/>
  <c r="U265" i="9"/>
  <c r="V265" i="9"/>
  <c r="W265" i="9"/>
  <c r="X265" i="9"/>
  <c r="Y265" i="9"/>
  <c r="AE265" i="9"/>
  <c r="AK265" i="9" s="1"/>
  <c r="AF265" i="9"/>
  <c r="S266" i="9"/>
  <c r="U266" i="9"/>
  <c r="V266" i="9"/>
  <c r="W266" i="9"/>
  <c r="X266" i="9"/>
  <c r="Y266" i="9"/>
  <c r="AE266" i="9"/>
  <c r="AK266" i="9" s="1"/>
  <c r="AF266" i="9"/>
  <c r="S267" i="9"/>
  <c r="U267" i="9"/>
  <c r="V267" i="9"/>
  <c r="W267" i="9"/>
  <c r="X267" i="9"/>
  <c r="Y267" i="9"/>
  <c r="AE267" i="9"/>
  <c r="AK267" i="9" s="1"/>
  <c r="AF267" i="9"/>
  <c r="S268" i="9"/>
  <c r="U268" i="9"/>
  <c r="V268" i="9"/>
  <c r="W268" i="9"/>
  <c r="X268" i="9"/>
  <c r="Y268" i="9"/>
  <c r="AE268" i="9"/>
  <c r="AK268" i="9" s="1"/>
  <c r="AF268" i="9"/>
  <c r="S269" i="9"/>
  <c r="U269" i="9"/>
  <c r="V269" i="9"/>
  <c r="W269" i="9"/>
  <c r="X269" i="9"/>
  <c r="Y269" i="9"/>
  <c r="AE269" i="9"/>
  <c r="AK269" i="9" s="1"/>
  <c r="AF269" i="9"/>
  <c r="S270" i="9"/>
  <c r="U270" i="9"/>
  <c r="V270" i="9"/>
  <c r="W270" i="9"/>
  <c r="X270" i="9"/>
  <c r="Y270" i="9"/>
  <c r="AE270" i="9"/>
  <c r="AK270" i="9" s="1"/>
  <c r="AF270" i="9"/>
  <c r="S271" i="9"/>
  <c r="U271" i="9"/>
  <c r="V271" i="9"/>
  <c r="W271" i="9"/>
  <c r="X271" i="9"/>
  <c r="Y271" i="9"/>
  <c r="AE271" i="9"/>
  <c r="AK271" i="9" s="1"/>
  <c r="AF271" i="9"/>
  <c r="S272" i="9"/>
  <c r="U272" i="9"/>
  <c r="V272" i="9"/>
  <c r="W272" i="9"/>
  <c r="X272" i="9"/>
  <c r="Y272" i="9"/>
  <c r="AE272" i="9"/>
  <c r="AK272" i="9" s="1"/>
  <c r="AF272" i="9"/>
  <c r="S273" i="9"/>
  <c r="U273" i="9"/>
  <c r="V273" i="9"/>
  <c r="W273" i="9"/>
  <c r="X273" i="9"/>
  <c r="Y273" i="9"/>
  <c r="AE273" i="9"/>
  <c r="AK273" i="9" s="1"/>
  <c r="AF273" i="9"/>
  <c r="S274" i="9"/>
  <c r="U274" i="9"/>
  <c r="V274" i="9"/>
  <c r="W274" i="9"/>
  <c r="X274" i="9"/>
  <c r="Y274" i="9"/>
  <c r="AE274" i="9"/>
  <c r="AK274" i="9" s="1"/>
  <c r="AF274" i="9"/>
  <c r="S275" i="9"/>
  <c r="U275" i="9"/>
  <c r="V275" i="9"/>
  <c r="W275" i="9"/>
  <c r="X275" i="9"/>
  <c r="Y275" i="9"/>
  <c r="AE275" i="9"/>
  <c r="AK275" i="9" s="1"/>
  <c r="AF275" i="9"/>
  <c r="S276" i="9"/>
  <c r="U276" i="9"/>
  <c r="V276" i="9"/>
  <c r="W276" i="9"/>
  <c r="X276" i="9"/>
  <c r="Y276" i="9"/>
  <c r="AE276" i="9"/>
  <c r="AK276" i="9" s="1"/>
  <c r="AF276" i="9"/>
  <c r="S277" i="9"/>
  <c r="U277" i="9"/>
  <c r="V277" i="9"/>
  <c r="W277" i="9"/>
  <c r="X277" i="9"/>
  <c r="Y277" i="9"/>
  <c r="AE277" i="9"/>
  <c r="AK277" i="9" s="1"/>
  <c r="AF277" i="9"/>
  <c r="S278" i="9"/>
  <c r="U278" i="9"/>
  <c r="V278" i="9"/>
  <c r="W278" i="9"/>
  <c r="X278" i="9"/>
  <c r="Y278" i="9"/>
  <c r="AE278" i="9"/>
  <c r="AK278" i="9" s="1"/>
  <c r="AF278" i="9"/>
  <c r="S279" i="9"/>
  <c r="U279" i="9"/>
  <c r="V279" i="9"/>
  <c r="W279" i="9"/>
  <c r="X279" i="9"/>
  <c r="Y279" i="9"/>
  <c r="AE279" i="9"/>
  <c r="AK279" i="9" s="1"/>
  <c r="AF279" i="9"/>
  <c r="S280" i="9"/>
  <c r="U280" i="9"/>
  <c r="V280" i="9"/>
  <c r="W280" i="9"/>
  <c r="X280" i="9"/>
  <c r="Y280" i="9"/>
  <c r="AE280" i="9"/>
  <c r="AK280" i="9" s="1"/>
  <c r="AF280" i="9"/>
  <c r="S281" i="9"/>
  <c r="U281" i="9"/>
  <c r="V281" i="9"/>
  <c r="W281" i="9"/>
  <c r="X281" i="9"/>
  <c r="Y281" i="9"/>
  <c r="AE281" i="9"/>
  <c r="AK281" i="9" s="1"/>
  <c r="AF281" i="9"/>
  <c r="S282" i="9"/>
  <c r="U282" i="9"/>
  <c r="V282" i="9"/>
  <c r="W282" i="9"/>
  <c r="X282" i="9"/>
  <c r="Y282" i="9"/>
  <c r="AE282" i="9"/>
  <c r="AK282" i="9" s="1"/>
  <c r="AF282" i="9"/>
  <c r="S283" i="9"/>
  <c r="U283" i="9"/>
  <c r="V283" i="9"/>
  <c r="W283" i="9"/>
  <c r="X283" i="9"/>
  <c r="Y283" i="9"/>
  <c r="AE283" i="9"/>
  <c r="AK283" i="9" s="1"/>
  <c r="AF283" i="9"/>
  <c r="S284" i="9"/>
  <c r="U284" i="9"/>
  <c r="V284" i="9"/>
  <c r="W284" i="9"/>
  <c r="X284" i="9"/>
  <c r="Y284" i="9"/>
  <c r="AE284" i="9"/>
  <c r="AK284" i="9" s="1"/>
  <c r="AF284" i="9"/>
  <c r="S285" i="9"/>
  <c r="U285" i="9"/>
  <c r="V285" i="9"/>
  <c r="W285" i="9"/>
  <c r="X285" i="9"/>
  <c r="Y285" i="9"/>
  <c r="AE285" i="9"/>
  <c r="AK285" i="9" s="1"/>
  <c r="AF285" i="9"/>
  <c r="S286" i="9"/>
  <c r="U286" i="9"/>
  <c r="V286" i="9"/>
  <c r="W286" i="9"/>
  <c r="X286" i="9"/>
  <c r="Y286" i="9"/>
  <c r="AE286" i="9"/>
  <c r="AK286" i="9" s="1"/>
  <c r="AF286" i="9"/>
  <c r="S287" i="9"/>
  <c r="U287" i="9"/>
  <c r="V287" i="9"/>
  <c r="W287" i="9"/>
  <c r="X287" i="9"/>
  <c r="Y287" i="9"/>
  <c r="AE287" i="9"/>
  <c r="AK287" i="9" s="1"/>
  <c r="AF287" i="9"/>
  <c r="S288" i="9"/>
  <c r="U288" i="9"/>
  <c r="V288" i="9"/>
  <c r="W288" i="9"/>
  <c r="X288" i="9"/>
  <c r="Y288" i="9"/>
  <c r="AE288" i="9"/>
  <c r="AK288" i="9" s="1"/>
  <c r="AF288" i="9"/>
  <c r="S289" i="9"/>
  <c r="U289" i="9"/>
  <c r="V289" i="9"/>
  <c r="W289" i="9"/>
  <c r="X289" i="9"/>
  <c r="Y289" i="9"/>
  <c r="AE289" i="9"/>
  <c r="AK289" i="9" s="1"/>
  <c r="AF289" i="9"/>
  <c r="S290" i="9"/>
  <c r="U290" i="9"/>
  <c r="V290" i="9"/>
  <c r="W290" i="9"/>
  <c r="X290" i="9"/>
  <c r="Y290" i="9"/>
  <c r="AE290" i="9"/>
  <c r="AK290" i="9" s="1"/>
  <c r="AF290" i="9"/>
  <c r="S291" i="9"/>
  <c r="U291" i="9"/>
  <c r="V291" i="9"/>
  <c r="W291" i="9"/>
  <c r="X291" i="9"/>
  <c r="Y291" i="9"/>
  <c r="AE291" i="9"/>
  <c r="AK291" i="9" s="1"/>
  <c r="AF291" i="9"/>
  <c r="S292" i="9"/>
  <c r="U292" i="9"/>
  <c r="V292" i="9"/>
  <c r="W292" i="9"/>
  <c r="X292" i="9"/>
  <c r="Y292" i="9"/>
  <c r="AE292" i="9"/>
  <c r="AK292" i="9" s="1"/>
  <c r="AF292" i="9"/>
  <c r="S293" i="9"/>
  <c r="U293" i="9"/>
  <c r="V293" i="9"/>
  <c r="W293" i="9"/>
  <c r="X293" i="9"/>
  <c r="Y293" i="9"/>
  <c r="AE293" i="9"/>
  <c r="AK293" i="9" s="1"/>
  <c r="AF293" i="9"/>
  <c r="S294" i="9"/>
  <c r="U294" i="9"/>
  <c r="V294" i="9"/>
  <c r="W294" i="9"/>
  <c r="X294" i="9"/>
  <c r="Y294" i="9"/>
  <c r="AE294" i="9"/>
  <c r="AK294" i="9" s="1"/>
  <c r="AF294" i="9"/>
  <c r="S295" i="9"/>
  <c r="U295" i="9"/>
  <c r="V295" i="9"/>
  <c r="W295" i="9"/>
  <c r="X295" i="9"/>
  <c r="Y295" i="9"/>
  <c r="AE295" i="9"/>
  <c r="AK295" i="9" s="1"/>
  <c r="AF295" i="9"/>
  <c r="S296" i="9"/>
  <c r="U296" i="9"/>
  <c r="V296" i="9"/>
  <c r="W296" i="9"/>
  <c r="X296" i="9"/>
  <c r="Y296" i="9"/>
  <c r="AE296" i="9"/>
  <c r="AK296" i="9" s="1"/>
  <c r="AF296" i="9"/>
  <c r="S297" i="9"/>
  <c r="U297" i="9"/>
  <c r="V297" i="9"/>
  <c r="W297" i="9"/>
  <c r="X297" i="9"/>
  <c r="Y297" i="9"/>
  <c r="AE297" i="9"/>
  <c r="AK297" i="9" s="1"/>
  <c r="AF297" i="9"/>
  <c r="S298" i="9"/>
  <c r="U298" i="9"/>
  <c r="V298" i="9"/>
  <c r="W298" i="9"/>
  <c r="X298" i="9"/>
  <c r="Y298" i="9"/>
  <c r="AE298" i="9"/>
  <c r="AK298" i="9" s="1"/>
  <c r="AF298" i="9"/>
  <c r="S299" i="9"/>
  <c r="U299" i="9"/>
  <c r="V299" i="9"/>
  <c r="W299" i="9"/>
  <c r="X299" i="9"/>
  <c r="Y299" i="9"/>
  <c r="AE299" i="9"/>
  <c r="AK299" i="9" s="1"/>
  <c r="AF299" i="9"/>
  <c r="S300" i="9"/>
  <c r="U300" i="9"/>
  <c r="V300" i="9"/>
  <c r="W300" i="9"/>
  <c r="X300" i="9"/>
  <c r="Y300" i="9"/>
  <c r="AE300" i="9"/>
  <c r="AK300" i="9" s="1"/>
  <c r="AF300" i="9"/>
  <c r="S301" i="9"/>
  <c r="U301" i="9"/>
  <c r="V301" i="9"/>
  <c r="W301" i="9"/>
  <c r="X301" i="9"/>
  <c r="Y301" i="9"/>
  <c r="AE301" i="9"/>
  <c r="AK301" i="9" s="1"/>
  <c r="AF301" i="9"/>
  <c r="S302" i="9"/>
  <c r="U302" i="9"/>
  <c r="V302" i="9"/>
  <c r="W302" i="9"/>
  <c r="X302" i="9"/>
  <c r="Y302" i="9"/>
  <c r="AE302" i="9"/>
  <c r="AK302" i="9" s="1"/>
  <c r="AF302" i="9"/>
  <c r="S303" i="9"/>
  <c r="U303" i="9"/>
  <c r="V303" i="9"/>
  <c r="W303" i="9"/>
  <c r="X303" i="9"/>
  <c r="Y303" i="9"/>
  <c r="AE303" i="9"/>
  <c r="AK303" i="9" s="1"/>
  <c r="AF303" i="9"/>
  <c r="S304" i="9"/>
  <c r="U304" i="9"/>
  <c r="V304" i="9"/>
  <c r="W304" i="9"/>
  <c r="X304" i="9"/>
  <c r="Y304" i="9"/>
  <c r="AE304" i="9"/>
  <c r="AK304" i="9" s="1"/>
  <c r="AF304" i="9"/>
  <c r="S305" i="9"/>
  <c r="U305" i="9"/>
  <c r="V305" i="9"/>
  <c r="W305" i="9"/>
  <c r="X305" i="9"/>
  <c r="Y305" i="9"/>
  <c r="AE305" i="9"/>
  <c r="AK305" i="9" s="1"/>
  <c r="AF305" i="9"/>
  <c r="S306" i="9"/>
  <c r="U306" i="9"/>
  <c r="V306" i="9"/>
  <c r="W306" i="9"/>
  <c r="X306" i="9"/>
  <c r="Y306" i="9"/>
  <c r="AE306" i="9"/>
  <c r="AK306" i="9" s="1"/>
  <c r="AF306" i="9"/>
  <c r="S307" i="9"/>
  <c r="U307" i="9"/>
  <c r="V307" i="9"/>
  <c r="W307" i="9"/>
  <c r="X307" i="9"/>
  <c r="Y307" i="9"/>
  <c r="AE307" i="9"/>
  <c r="AK307" i="9" s="1"/>
  <c r="AF307" i="9"/>
  <c r="S308" i="9"/>
  <c r="U308" i="9"/>
  <c r="V308" i="9"/>
  <c r="W308" i="9"/>
  <c r="X308" i="9"/>
  <c r="Y308" i="9"/>
  <c r="AE308" i="9"/>
  <c r="AK308" i="9" s="1"/>
  <c r="AF308" i="9"/>
  <c r="S309" i="9"/>
  <c r="U309" i="9"/>
  <c r="V309" i="9"/>
  <c r="W309" i="9"/>
  <c r="X309" i="9"/>
  <c r="Y309" i="9"/>
  <c r="AE309" i="9"/>
  <c r="AK309" i="9" s="1"/>
  <c r="AF309" i="9"/>
  <c r="S310" i="9"/>
  <c r="U310" i="9"/>
  <c r="V310" i="9"/>
  <c r="W310" i="9"/>
  <c r="X310" i="9"/>
  <c r="Y310" i="9"/>
  <c r="AE310" i="9"/>
  <c r="AK310" i="9" s="1"/>
  <c r="AF310" i="9"/>
  <c r="S311" i="9"/>
  <c r="U311" i="9"/>
  <c r="V311" i="9"/>
  <c r="W311" i="9"/>
  <c r="X311" i="9"/>
  <c r="Y311" i="9"/>
  <c r="AE311" i="9"/>
  <c r="AK311" i="9" s="1"/>
  <c r="AF311" i="9"/>
  <c r="S312" i="9"/>
  <c r="U312" i="9"/>
  <c r="V312" i="9"/>
  <c r="W312" i="9"/>
  <c r="X312" i="9"/>
  <c r="Y312" i="9"/>
  <c r="AE312" i="9"/>
  <c r="AK312" i="9" s="1"/>
  <c r="AF312" i="9"/>
  <c r="S313" i="9"/>
  <c r="U313" i="9"/>
  <c r="V313" i="9"/>
  <c r="W313" i="9"/>
  <c r="X313" i="9"/>
  <c r="Y313" i="9"/>
  <c r="AE313" i="9"/>
  <c r="AK313" i="9" s="1"/>
  <c r="AF313" i="9"/>
  <c r="S314" i="9"/>
  <c r="U314" i="9"/>
  <c r="V314" i="9"/>
  <c r="W314" i="9"/>
  <c r="X314" i="9"/>
  <c r="Y314" i="9"/>
  <c r="AE314" i="9"/>
  <c r="AK314" i="9" s="1"/>
  <c r="AF314" i="9"/>
  <c r="S315" i="9"/>
  <c r="U315" i="9"/>
  <c r="V315" i="9"/>
  <c r="W315" i="9"/>
  <c r="X315" i="9"/>
  <c r="Y315" i="9"/>
  <c r="AE315" i="9"/>
  <c r="AK315" i="9" s="1"/>
  <c r="AF315" i="9"/>
  <c r="S316" i="9"/>
  <c r="U316" i="9"/>
  <c r="V316" i="9"/>
  <c r="W316" i="9"/>
  <c r="X316" i="9"/>
  <c r="Y316" i="9"/>
  <c r="AE316" i="9"/>
  <c r="AK316" i="9" s="1"/>
  <c r="AF316" i="9"/>
  <c r="S317" i="9"/>
  <c r="U317" i="9"/>
  <c r="V317" i="9"/>
  <c r="W317" i="9"/>
  <c r="X317" i="9"/>
  <c r="Y317" i="9"/>
  <c r="AE317" i="9"/>
  <c r="AK317" i="9" s="1"/>
  <c r="AF317" i="9"/>
  <c r="S318" i="9"/>
  <c r="U318" i="9"/>
  <c r="V318" i="9"/>
  <c r="W318" i="9"/>
  <c r="X318" i="9"/>
  <c r="Y318" i="9"/>
  <c r="AE318" i="9"/>
  <c r="AK318" i="9" s="1"/>
  <c r="AF318" i="9"/>
  <c r="S319" i="9"/>
  <c r="U319" i="9"/>
  <c r="V319" i="9"/>
  <c r="W319" i="9"/>
  <c r="X319" i="9"/>
  <c r="Y319" i="9"/>
  <c r="AE319" i="9"/>
  <c r="AK319" i="9" s="1"/>
  <c r="AF319" i="9"/>
  <c r="S320" i="9"/>
  <c r="U320" i="9"/>
  <c r="V320" i="9"/>
  <c r="W320" i="9"/>
  <c r="X320" i="9"/>
  <c r="Y320" i="9"/>
  <c r="AE320" i="9"/>
  <c r="AK320" i="9" s="1"/>
  <c r="AF320" i="9"/>
  <c r="S321" i="9"/>
  <c r="U321" i="9"/>
  <c r="V321" i="9"/>
  <c r="W321" i="9"/>
  <c r="X321" i="9"/>
  <c r="Y321" i="9"/>
  <c r="AE321" i="9"/>
  <c r="AK321" i="9" s="1"/>
  <c r="AF321" i="9"/>
  <c r="S322" i="9"/>
  <c r="U322" i="9"/>
  <c r="V322" i="9"/>
  <c r="W322" i="9"/>
  <c r="X322" i="9"/>
  <c r="Y322" i="9"/>
  <c r="AE322" i="9"/>
  <c r="AK322" i="9" s="1"/>
  <c r="AF322" i="9"/>
  <c r="S323" i="9"/>
  <c r="U323" i="9"/>
  <c r="V323" i="9"/>
  <c r="W323" i="9"/>
  <c r="X323" i="9"/>
  <c r="Y323" i="9"/>
  <c r="AE323" i="9"/>
  <c r="AK323" i="9" s="1"/>
  <c r="AF323" i="9"/>
  <c r="S324" i="9"/>
  <c r="U324" i="9"/>
  <c r="V324" i="9"/>
  <c r="W324" i="9"/>
  <c r="X324" i="9"/>
  <c r="Y324" i="9"/>
  <c r="AE324" i="9"/>
  <c r="AK324" i="9" s="1"/>
  <c r="AF324" i="9"/>
  <c r="S325" i="9"/>
  <c r="U325" i="9"/>
  <c r="V325" i="9"/>
  <c r="W325" i="9"/>
  <c r="X325" i="9"/>
  <c r="Y325" i="9"/>
  <c r="AE325" i="9"/>
  <c r="AK325" i="9" s="1"/>
  <c r="AF325" i="9"/>
  <c r="S326" i="9"/>
  <c r="U326" i="9"/>
  <c r="V326" i="9"/>
  <c r="W326" i="9"/>
  <c r="X326" i="9"/>
  <c r="Y326" i="9"/>
  <c r="AE326" i="9"/>
  <c r="AK326" i="9" s="1"/>
  <c r="AF326" i="9"/>
  <c r="S327" i="9"/>
  <c r="U327" i="9"/>
  <c r="V327" i="9"/>
  <c r="W327" i="9"/>
  <c r="X327" i="9"/>
  <c r="Y327" i="9"/>
  <c r="AE327" i="9"/>
  <c r="AK327" i="9" s="1"/>
  <c r="AF327" i="9"/>
  <c r="S328" i="9"/>
  <c r="U328" i="9"/>
  <c r="V328" i="9"/>
  <c r="W328" i="9"/>
  <c r="X328" i="9"/>
  <c r="Y328" i="9"/>
  <c r="AE328" i="9"/>
  <c r="AK328" i="9" s="1"/>
  <c r="AF328" i="9"/>
  <c r="S329" i="9"/>
  <c r="U329" i="9"/>
  <c r="V329" i="9"/>
  <c r="W329" i="9"/>
  <c r="X329" i="9"/>
  <c r="Y329" i="9"/>
  <c r="AE329" i="9"/>
  <c r="AK329" i="9" s="1"/>
  <c r="AF329" i="9"/>
  <c r="S330" i="9"/>
  <c r="U330" i="9"/>
  <c r="V330" i="9"/>
  <c r="W330" i="9"/>
  <c r="X330" i="9"/>
  <c r="Y330" i="9"/>
  <c r="AE330" i="9"/>
  <c r="AK330" i="9" s="1"/>
  <c r="AF330" i="9"/>
  <c r="S331" i="9"/>
  <c r="U331" i="9"/>
  <c r="V331" i="9"/>
  <c r="W331" i="9"/>
  <c r="X331" i="9"/>
  <c r="Y331" i="9"/>
  <c r="AE331" i="9"/>
  <c r="AK331" i="9" s="1"/>
  <c r="AF331" i="9"/>
  <c r="S332" i="9"/>
  <c r="U332" i="9"/>
  <c r="V332" i="9"/>
  <c r="W332" i="9"/>
  <c r="X332" i="9"/>
  <c r="Y332" i="9"/>
  <c r="AE332" i="9"/>
  <c r="AK332" i="9" s="1"/>
  <c r="AF332" i="9"/>
  <c r="S333" i="9"/>
  <c r="U333" i="9"/>
  <c r="V333" i="9"/>
  <c r="W333" i="9"/>
  <c r="X333" i="9"/>
  <c r="Y333" i="9"/>
  <c r="AE333" i="9"/>
  <c r="AK333" i="9" s="1"/>
  <c r="AF333" i="9"/>
  <c r="S334" i="9"/>
  <c r="U334" i="9"/>
  <c r="V334" i="9"/>
  <c r="W334" i="9"/>
  <c r="X334" i="9"/>
  <c r="Y334" i="9"/>
  <c r="AE334" i="9"/>
  <c r="AK334" i="9" s="1"/>
  <c r="AF334" i="9"/>
  <c r="S335" i="9"/>
  <c r="U335" i="9"/>
  <c r="V335" i="9"/>
  <c r="W335" i="9"/>
  <c r="X335" i="9"/>
  <c r="Y335" i="9"/>
  <c r="AE335" i="9"/>
  <c r="AK335" i="9" s="1"/>
  <c r="AF335" i="9"/>
  <c r="S336" i="9"/>
  <c r="U336" i="9"/>
  <c r="V336" i="9"/>
  <c r="W336" i="9"/>
  <c r="X336" i="9"/>
  <c r="Y336" i="9"/>
  <c r="AE336" i="9"/>
  <c r="AK336" i="9" s="1"/>
  <c r="AF336" i="9"/>
  <c r="S337" i="9"/>
  <c r="U337" i="9"/>
  <c r="V337" i="9"/>
  <c r="W337" i="9"/>
  <c r="X337" i="9"/>
  <c r="Y337" i="9"/>
  <c r="AE337" i="9"/>
  <c r="AK337" i="9" s="1"/>
  <c r="AF337" i="9"/>
  <c r="S338" i="9"/>
  <c r="U338" i="9"/>
  <c r="V338" i="9"/>
  <c r="W338" i="9"/>
  <c r="X338" i="9"/>
  <c r="Y338" i="9"/>
  <c r="AE338" i="9"/>
  <c r="AK338" i="9" s="1"/>
  <c r="AF338" i="9"/>
  <c r="S339" i="9"/>
  <c r="U339" i="9"/>
  <c r="V339" i="9"/>
  <c r="W339" i="9"/>
  <c r="X339" i="9"/>
  <c r="Y339" i="9"/>
  <c r="AE339" i="9"/>
  <c r="AK339" i="9" s="1"/>
  <c r="AF339" i="9"/>
  <c r="S340" i="9"/>
  <c r="U340" i="9"/>
  <c r="V340" i="9"/>
  <c r="W340" i="9"/>
  <c r="X340" i="9"/>
  <c r="Y340" i="9"/>
  <c r="AE340" i="9"/>
  <c r="AK340" i="9" s="1"/>
  <c r="AF340" i="9"/>
  <c r="S341" i="9"/>
  <c r="U341" i="9"/>
  <c r="V341" i="9"/>
  <c r="W341" i="9"/>
  <c r="X341" i="9"/>
  <c r="Y341" i="9"/>
  <c r="AE341" i="9"/>
  <c r="AK341" i="9" s="1"/>
  <c r="AF341" i="9"/>
  <c r="S342" i="9"/>
  <c r="U342" i="9"/>
  <c r="V342" i="9"/>
  <c r="W342" i="9"/>
  <c r="X342" i="9"/>
  <c r="Y342" i="9"/>
  <c r="AE342" i="9"/>
  <c r="AK342" i="9" s="1"/>
  <c r="AF342" i="9"/>
  <c r="S343" i="9"/>
  <c r="U343" i="9"/>
  <c r="V343" i="9"/>
  <c r="W343" i="9"/>
  <c r="X343" i="9"/>
  <c r="Y343" i="9"/>
  <c r="AE343" i="9"/>
  <c r="AK343" i="9" s="1"/>
  <c r="AF343" i="9"/>
  <c r="S344" i="9"/>
  <c r="U344" i="9"/>
  <c r="V344" i="9"/>
  <c r="W344" i="9"/>
  <c r="X344" i="9"/>
  <c r="Y344" i="9"/>
  <c r="AE344" i="9"/>
  <c r="AK344" i="9" s="1"/>
  <c r="AF344" i="9"/>
  <c r="S345" i="9"/>
  <c r="U345" i="9"/>
  <c r="V345" i="9"/>
  <c r="W345" i="9"/>
  <c r="X345" i="9"/>
  <c r="Y345" i="9"/>
  <c r="AE345" i="9"/>
  <c r="AK345" i="9" s="1"/>
  <c r="AF345" i="9"/>
  <c r="S346" i="9"/>
  <c r="U346" i="9"/>
  <c r="V346" i="9"/>
  <c r="W346" i="9"/>
  <c r="X346" i="9"/>
  <c r="Y346" i="9"/>
  <c r="AE346" i="9"/>
  <c r="AK346" i="9" s="1"/>
  <c r="AF346" i="9"/>
  <c r="S347" i="9"/>
  <c r="U347" i="9"/>
  <c r="V347" i="9"/>
  <c r="W347" i="9"/>
  <c r="X347" i="9"/>
  <c r="Y347" i="9"/>
  <c r="AE347" i="9"/>
  <c r="AK347" i="9" s="1"/>
  <c r="AF347" i="9"/>
  <c r="S348" i="9"/>
  <c r="U348" i="9"/>
  <c r="V348" i="9"/>
  <c r="W348" i="9"/>
  <c r="X348" i="9"/>
  <c r="Y348" i="9"/>
  <c r="AE348" i="9"/>
  <c r="AK348" i="9" s="1"/>
  <c r="AF348" i="9"/>
  <c r="S349" i="9"/>
  <c r="U349" i="9"/>
  <c r="V349" i="9"/>
  <c r="W349" i="9"/>
  <c r="X349" i="9"/>
  <c r="Y349" i="9"/>
  <c r="AE349" i="9"/>
  <c r="AK349" i="9" s="1"/>
  <c r="AF349" i="9"/>
  <c r="S350" i="9"/>
  <c r="U350" i="9"/>
  <c r="V350" i="9"/>
  <c r="W350" i="9"/>
  <c r="X350" i="9"/>
  <c r="Y350" i="9"/>
  <c r="AE350" i="9"/>
  <c r="AK350" i="9" s="1"/>
  <c r="AF350" i="9"/>
  <c r="S351" i="9"/>
  <c r="U351" i="9"/>
  <c r="V351" i="9"/>
  <c r="W351" i="9"/>
  <c r="X351" i="9"/>
  <c r="Y351" i="9"/>
  <c r="AE351" i="9"/>
  <c r="AK351" i="9" s="1"/>
  <c r="AF351" i="9"/>
  <c r="S352" i="9"/>
  <c r="U352" i="9"/>
  <c r="V352" i="9"/>
  <c r="W352" i="9"/>
  <c r="X352" i="9"/>
  <c r="Y352" i="9"/>
  <c r="AE352" i="9"/>
  <c r="AK352" i="9" s="1"/>
  <c r="AF352" i="9"/>
  <c r="S353" i="9"/>
  <c r="U353" i="9"/>
  <c r="V353" i="9"/>
  <c r="W353" i="9"/>
  <c r="X353" i="9"/>
  <c r="Y353" i="9"/>
  <c r="AE353" i="9"/>
  <c r="AK353" i="9" s="1"/>
  <c r="AF353" i="9"/>
  <c r="S354" i="9"/>
  <c r="U354" i="9"/>
  <c r="V354" i="9"/>
  <c r="W354" i="9"/>
  <c r="X354" i="9"/>
  <c r="Y354" i="9"/>
  <c r="AE354" i="9"/>
  <c r="AK354" i="9" s="1"/>
  <c r="AF354" i="9"/>
  <c r="S355" i="9"/>
  <c r="U355" i="9"/>
  <c r="V355" i="9"/>
  <c r="W355" i="9"/>
  <c r="X355" i="9"/>
  <c r="Y355" i="9"/>
  <c r="AE355" i="9"/>
  <c r="AK355" i="9" s="1"/>
  <c r="AF355" i="9"/>
  <c r="S356" i="9"/>
  <c r="U356" i="9"/>
  <c r="V356" i="9"/>
  <c r="W356" i="9"/>
  <c r="X356" i="9"/>
  <c r="Y356" i="9"/>
  <c r="AE356" i="9"/>
  <c r="AK356" i="9" s="1"/>
  <c r="AF356" i="9"/>
  <c r="S357" i="9"/>
  <c r="U357" i="9"/>
  <c r="V357" i="9"/>
  <c r="W357" i="9"/>
  <c r="X357" i="9"/>
  <c r="Y357" i="9"/>
  <c r="AE357" i="9"/>
  <c r="AK357" i="9" s="1"/>
  <c r="AF357" i="9"/>
  <c r="S358" i="9"/>
  <c r="U358" i="9"/>
  <c r="V358" i="9"/>
  <c r="W358" i="9"/>
  <c r="X358" i="9"/>
  <c r="Y358" i="9"/>
  <c r="AE358" i="9"/>
  <c r="AK358" i="9" s="1"/>
  <c r="AF358" i="9"/>
  <c r="S359" i="9"/>
  <c r="U359" i="9"/>
  <c r="V359" i="9"/>
  <c r="W359" i="9"/>
  <c r="X359" i="9"/>
  <c r="Y359" i="9"/>
  <c r="AE359" i="9"/>
  <c r="AK359" i="9" s="1"/>
  <c r="AF359" i="9"/>
  <c r="S360" i="9"/>
  <c r="U360" i="9"/>
  <c r="V360" i="9"/>
  <c r="W360" i="9"/>
  <c r="X360" i="9"/>
  <c r="Y360" i="9"/>
  <c r="AE360" i="9"/>
  <c r="AK360" i="9" s="1"/>
  <c r="AF360" i="9"/>
  <c r="S361" i="9"/>
  <c r="U361" i="9"/>
  <c r="V361" i="9"/>
  <c r="W361" i="9"/>
  <c r="X361" i="9"/>
  <c r="Y361" i="9"/>
  <c r="AE361" i="9"/>
  <c r="AK361" i="9" s="1"/>
  <c r="AF361" i="9"/>
  <c r="S362" i="9"/>
  <c r="U362" i="9"/>
  <c r="V362" i="9"/>
  <c r="W362" i="9"/>
  <c r="X362" i="9"/>
  <c r="Y362" i="9"/>
  <c r="AE362" i="9"/>
  <c r="AK362" i="9" s="1"/>
  <c r="AF362" i="9"/>
  <c r="S363" i="9"/>
  <c r="U363" i="9"/>
  <c r="V363" i="9"/>
  <c r="W363" i="9"/>
  <c r="X363" i="9"/>
  <c r="Y363" i="9"/>
  <c r="AE363" i="9"/>
  <c r="AK363" i="9" s="1"/>
  <c r="AF363" i="9"/>
  <c r="S364" i="9"/>
  <c r="U364" i="9"/>
  <c r="V364" i="9"/>
  <c r="W364" i="9"/>
  <c r="X364" i="9"/>
  <c r="Y364" i="9"/>
  <c r="AE364" i="9"/>
  <c r="AK364" i="9" s="1"/>
  <c r="AF364" i="9"/>
  <c r="S365" i="9"/>
  <c r="U365" i="9"/>
  <c r="V365" i="9"/>
  <c r="W365" i="9"/>
  <c r="X365" i="9"/>
  <c r="Y365" i="9"/>
  <c r="AE365" i="9"/>
  <c r="AK365" i="9" s="1"/>
  <c r="AF365" i="9"/>
  <c r="S366" i="9"/>
  <c r="U366" i="9"/>
  <c r="V366" i="9"/>
  <c r="W366" i="9"/>
  <c r="X366" i="9"/>
  <c r="Y366" i="9"/>
  <c r="AE366" i="9"/>
  <c r="AK366" i="9" s="1"/>
  <c r="AF366" i="9"/>
  <c r="S367" i="9"/>
  <c r="U367" i="9"/>
  <c r="V367" i="9"/>
  <c r="W367" i="9"/>
  <c r="X367" i="9"/>
  <c r="Y367" i="9"/>
  <c r="AE367" i="9"/>
  <c r="AK367" i="9" s="1"/>
  <c r="AF367" i="9"/>
  <c r="S368" i="9"/>
  <c r="U368" i="9"/>
  <c r="V368" i="9"/>
  <c r="W368" i="9"/>
  <c r="X368" i="9"/>
  <c r="Y368" i="9"/>
  <c r="AE368" i="9"/>
  <c r="AK368" i="9" s="1"/>
  <c r="AF368" i="9"/>
  <c r="S369" i="9"/>
  <c r="U369" i="9"/>
  <c r="V369" i="9"/>
  <c r="W369" i="9"/>
  <c r="X369" i="9"/>
  <c r="Y369" i="9"/>
  <c r="AE369" i="9"/>
  <c r="AK369" i="9" s="1"/>
  <c r="AF369" i="9"/>
  <c r="S370" i="9"/>
  <c r="U370" i="9"/>
  <c r="V370" i="9"/>
  <c r="W370" i="9"/>
  <c r="X370" i="9"/>
  <c r="Y370" i="9"/>
  <c r="AE370" i="9"/>
  <c r="AK370" i="9" s="1"/>
  <c r="AF370" i="9"/>
  <c r="S371" i="9"/>
  <c r="U371" i="9"/>
  <c r="V371" i="9"/>
  <c r="W371" i="9"/>
  <c r="X371" i="9"/>
  <c r="Y371" i="9"/>
  <c r="AE371" i="9"/>
  <c r="AK371" i="9" s="1"/>
  <c r="AF371" i="9"/>
  <c r="S372" i="9"/>
  <c r="U372" i="9"/>
  <c r="V372" i="9"/>
  <c r="W372" i="9"/>
  <c r="X372" i="9"/>
  <c r="Y372" i="9"/>
  <c r="AE372" i="9"/>
  <c r="AK372" i="9" s="1"/>
  <c r="AF372" i="9"/>
  <c r="S373" i="9"/>
  <c r="U373" i="9"/>
  <c r="V373" i="9"/>
  <c r="W373" i="9"/>
  <c r="X373" i="9"/>
  <c r="Y373" i="9"/>
  <c r="AE373" i="9"/>
  <c r="AK373" i="9" s="1"/>
  <c r="AF373" i="9"/>
  <c r="S374" i="9"/>
  <c r="U374" i="9"/>
  <c r="V374" i="9"/>
  <c r="W374" i="9"/>
  <c r="X374" i="9"/>
  <c r="Y374" i="9"/>
  <c r="AE374" i="9"/>
  <c r="AK374" i="9" s="1"/>
  <c r="AF374" i="9"/>
  <c r="S375" i="9"/>
  <c r="U375" i="9"/>
  <c r="V375" i="9"/>
  <c r="W375" i="9"/>
  <c r="X375" i="9"/>
  <c r="Y375" i="9"/>
  <c r="AE375" i="9"/>
  <c r="AK375" i="9" s="1"/>
  <c r="AF375" i="9"/>
  <c r="S376" i="9"/>
  <c r="U376" i="9"/>
  <c r="V376" i="9"/>
  <c r="W376" i="9"/>
  <c r="X376" i="9"/>
  <c r="Y376" i="9"/>
  <c r="AE376" i="9"/>
  <c r="AK376" i="9" s="1"/>
  <c r="AF376" i="9"/>
  <c r="S377" i="9"/>
  <c r="U377" i="9"/>
  <c r="V377" i="9"/>
  <c r="W377" i="9"/>
  <c r="X377" i="9"/>
  <c r="Y377" i="9"/>
  <c r="AE377" i="9"/>
  <c r="AK377" i="9" s="1"/>
  <c r="AF377" i="9"/>
  <c r="S378" i="9"/>
  <c r="U378" i="9"/>
  <c r="V378" i="9"/>
  <c r="W378" i="9"/>
  <c r="X378" i="9"/>
  <c r="Y378" i="9"/>
  <c r="AE378" i="9"/>
  <c r="AK378" i="9" s="1"/>
  <c r="AF378" i="9"/>
  <c r="S379" i="9"/>
  <c r="U379" i="9"/>
  <c r="V379" i="9"/>
  <c r="W379" i="9"/>
  <c r="X379" i="9"/>
  <c r="Y379" i="9"/>
  <c r="AE379" i="9"/>
  <c r="AK379" i="9" s="1"/>
  <c r="AF379" i="9"/>
  <c r="S380" i="9"/>
  <c r="U380" i="9"/>
  <c r="V380" i="9"/>
  <c r="W380" i="9"/>
  <c r="X380" i="9"/>
  <c r="Y380" i="9"/>
  <c r="AE380" i="9"/>
  <c r="AK380" i="9" s="1"/>
  <c r="AF380" i="9"/>
  <c r="S381" i="9"/>
  <c r="U381" i="9"/>
  <c r="V381" i="9"/>
  <c r="W381" i="9"/>
  <c r="X381" i="9"/>
  <c r="Y381" i="9"/>
  <c r="AE381" i="9"/>
  <c r="AK381" i="9" s="1"/>
  <c r="AF381" i="9"/>
  <c r="S382" i="9"/>
  <c r="U382" i="9"/>
  <c r="V382" i="9"/>
  <c r="W382" i="9"/>
  <c r="X382" i="9"/>
  <c r="Y382" i="9"/>
  <c r="AE382" i="9"/>
  <c r="AK382" i="9" s="1"/>
  <c r="AF382" i="9"/>
  <c r="S383" i="9"/>
  <c r="U383" i="9"/>
  <c r="V383" i="9"/>
  <c r="W383" i="9"/>
  <c r="X383" i="9"/>
  <c r="Y383" i="9"/>
  <c r="AE383" i="9"/>
  <c r="AK383" i="9" s="1"/>
  <c r="AF383" i="9"/>
  <c r="S384" i="9"/>
  <c r="U384" i="9"/>
  <c r="V384" i="9"/>
  <c r="W384" i="9"/>
  <c r="X384" i="9"/>
  <c r="Y384" i="9"/>
  <c r="AE384" i="9"/>
  <c r="AK384" i="9" s="1"/>
  <c r="AF384" i="9"/>
  <c r="S385" i="9"/>
  <c r="U385" i="9"/>
  <c r="V385" i="9"/>
  <c r="W385" i="9"/>
  <c r="X385" i="9"/>
  <c r="Y385" i="9"/>
  <c r="AE385" i="9"/>
  <c r="AK385" i="9" s="1"/>
  <c r="AF385" i="9"/>
  <c r="S386" i="9"/>
  <c r="U386" i="9"/>
  <c r="V386" i="9"/>
  <c r="W386" i="9"/>
  <c r="X386" i="9"/>
  <c r="Y386" i="9"/>
  <c r="AE386" i="9"/>
  <c r="AK386" i="9" s="1"/>
  <c r="AF386" i="9"/>
  <c r="S387" i="9"/>
  <c r="U387" i="9"/>
  <c r="V387" i="9"/>
  <c r="W387" i="9"/>
  <c r="X387" i="9"/>
  <c r="Y387" i="9"/>
  <c r="AE387" i="9"/>
  <c r="AK387" i="9" s="1"/>
  <c r="AF387" i="9"/>
  <c r="S388" i="9"/>
  <c r="U388" i="9"/>
  <c r="V388" i="9"/>
  <c r="W388" i="9"/>
  <c r="X388" i="9"/>
  <c r="Y388" i="9"/>
  <c r="AE388" i="9"/>
  <c r="AK388" i="9" s="1"/>
  <c r="AF388" i="9"/>
  <c r="S389" i="9"/>
  <c r="U389" i="9"/>
  <c r="V389" i="9"/>
  <c r="W389" i="9"/>
  <c r="X389" i="9"/>
  <c r="Y389" i="9"/>
  <c r="AE389" i="9"/>
  <c r="AK389" i="9" s="1"/>
  <c r="AF389" i="9"/>
  <c r="S390" i="9"/>
  <c r="U390" i="9"/>
  <c r="V390" i="9"/>
  <c r="W390" i="9"/>
  <c r="X390" i="9"/>
  <c r="Y390" i="9"/>
  <c r="AE390" i="9"/>
  <c r="AK390" i="9" s="1"/>
  <c r="AF390" i="9"/>
  <c r="S391" i="9"/>
  <c r="U391" i="9"/>
  <c r="V391" i="9"/>
  <c r="W391" i="9"/>
  <c r="X391" i="9"/>
  <c r="Y391" i="9"/>
  <c r="AE391" i="9"/>
  <c r="AK391" i="9" s="1"/>
  <c r="AF391" i="9"/>
  <c r="S392" i="9"/>
  <c r="U392" i="9"/>
  <c r="V392" i="9"/>
  <c r="W392" i="9"/>
  <c r="X392" i="9"/>
  <c r="Y392" i="9"/>
  <c r="AE392" i="9"/>
  <c r="AK392" i="9" s="1"/>
  <c r="AF392" i="9"/>
  <c r="S393" i="9"/>
  <c r="U393" i="9"/>
  <c r="V393" i="9"/>
  <c r="W393" i="9"/>
  <c r="X393" i="9"/>
  <c r="Y393" i="9"/>
  <c r="AE393" i="9"/>
  <c r="AK393" i="9" s="1"/>
  <c r="AF393" i="9"/>
  <c r="S394" i="9"/>
  <c r="U394" i="9"/>
  <c r="V394" i="9"/>
  <c r="W394" i="9"/>
  <c r="X394" i="9"/>
  <c r="Y394" i="9"/>
  <c r="AE394" i="9"/>
  <c r="AK394" i="9" s="1"/>
  <c r="AF394" i="9"/>
  <c r="S395" i="9"/>
  <c r="U395" i="9"/>
  <c r="V395" i="9"/>
  <c r="W395" i="9"/>
  <c r="X395" i="9"/>
  <c r="Y395" i="9"/>
  <c r="AE395" i="9"/>
  <c r="AK395" i="9" s="1"/>
  <c r="AF395" i="9"/>
  <c r="S396" i="9"/>
  <c r="U396" i="9"/>
  <c r="V396" i="9"/>
  <c r="W396" i="9"/>
  <c r="X396" i="9"/>
  <c r="Y396" i="9"/>
  <c r="AE396" i="9"/>
  <c r="AK396" i="9" s="1"/>
  <c r="AF396" i="9"/>
  <c r="S397" i="9"/>
  <c r="U397" i="9"/>
  <c r="V397" i="9"/>
  <c r="W397" i="9"/>
  <c r="X397" i="9"/>
  <c r="Y397" i="9"/>
  <c r="AE397" i="9"/>
  <c r="AK397" i="9" s="1"/>
  <c r="AF397" i="9"/>
  <c r="S398" i="9"/>
  <c r="U398" i="9"/>
  <c r="V398" i="9"/>
  <c r="W398" i="9"/>
  <c r="X398" i="9"/>
  <c r="Y398" i="9"/>
  <c r="AE398" i="9"/>
  <c r="AK398" i="9" s="1"/>
  <c r="AF398" i="9"/>
  <c r="S399" i="9"/>
  <c r="U399" i="9"/>
  <c r="V399" i="9"/>
  <c r="W399" i="9"/>
  <c r="X399" i="9"/>
  <c r="Y399" i="9"/>
  <c r="AE399" i="9"/>
  <c r="AK399" i="9" s="1"/>
  <c r="AF399" i="9"/>
  <c r="S400" i="9"/>
  <c r="U400" i="9"/>
  <c r="V400" i="9"/>
  <c r="W400" i="9"/>
  <c r="X400" i="9"/>
  <c r="Y400" i="9"/>
  <c r="AE400" i="9"/>
  <c r="AK400" i="9" s="1"/>
  <c r="AF400" i="9"/>
  <c r="S401" i="9"/>
  <c r="U401" i="9"/>
  <c r="V401" i="9"/>
  <c r="W401" i="9"/>
  <c r="X401" i="9"/>
  <c r="Y401" i="9"/>
  <c r="AE401" i="9"/>
  <c r="AK401" i="9" s="1"/>
  <c r="AF401" i="9"/>
  <c r="S402" i="9"/>
  <c r="U402" i="9"/>
  <c r="V402" i="9"/>
  <c r="W402" i="9"/>
  <c r="X402" i="9"/>
  <c r="Y402" i="9"/>
  <c r="AE402" i="9"/>
  <c r="AK402" i="9" s="1"/>
  <c r="AF402" i="9"/>
  <c r="S403" i="9"/>
  <c r="U403" i="9"/>
  <c r="V403" i="9"/>
  <c r="W403" i="9"/>
  <c r="X403" i="9"/>
  <c r="Y403" i="9"/>
  <c r="AE403" i="9"/>
  <c r="AK403" i="9" s="1"/>
  <c r="AF403" i="9"/>
  <c r="S404" i="9"/>
  <c r="U404" i="9"/>
  <c r="V404" i="9"/>
  <c r="W404" i="9"/>
  <c r="X404" i="9"/>
  <c r="Y404" i="9"/>
  <c r="AE404" i="9"/>
  <c r="AK404" i="9" s="1"/>
  <c r="AF404" i="9"/>
  <c r="S405" i="9"/>
  <c r="U405" i="9"/>
  <c r="V405" i="9"/>
  <c r="W405" i="9"/>
  <c r="X405" i="9"/>
  <c r="Y405" i="9"/>
  <c r="AE405" i="9"/>
  <c r="AK405" i="9" s="1"/>
  <c r="AF405" i="9"/>
  <c r="S406" i="9"/>
  <c r="U406" i="9"/>
  <c r="V406" i="9"/>
  <c r="W406" i="9"/>
  <c r="X406" i="9"/>
  <c r="Y406" i="9"/>
  <c r="AE406" i="9"/>
  <c r="AK406" i="9" s="1"/>
  <c r="AF406" i="9"/>
  <c r="S407" i="9"/>
  <c r="U407" i="9"/>
  <c r="V407" i="9"/>
  <c r="W407" i="9"/>
  <c r="X407" i="9"/>
  <c r="Y407" i="9"/>
  <c r="AE407" i="9"/>
  <c r="AK407" i="9" s="1"/>
  <c r="AF407" i="9"/>
  <c r="S408" i="9"/>
  <c r="U408" i="9"/>
  <c r="V408" i="9"/>
  <c r="W408" i="9"/>
  <c r="X408" i="9"/>
  <c r="Y408" i="9"/>
  <c r="AE408" i="9"/>
  <c r="AK408" i="9" s="1"/>
  <c r="AF408" i="9"/>
  <c r="S409" i="9"/>
  <c r="U409" i="9"/>
  <c r="V409" i="9"/>
  <c r="W409" i="9"/>
  <c r="X409" i="9"/>
  <c r="Y409" i="9"/>
  <c r="AE409" i="9"/>
  <c r="AK409" i="9" s="1"/>
  <c r="AF409" i="9"/>
  <c r="S410" i="9"/>
  <c r="U410" i="9"/>
  <c r="V410" i="9"/>
  <c r="W410" i="9"/>
  <c r="X410" i="9"/>
  <c r="Y410" i="9"/>
  <c r="AE410" i="9"/>
  <c r="AK410" i="9" s="1"/>
  <c r="AF410" i="9"/>
  <c r="S411" i="9"/>
  <c r="U411" i="9"/>
  <c r="V411" i="9"/>
  <c r="W411" i="9"/>
  <c r="X411" i="9"/>
  <c r="Y411" i="9"/>
  <c r="AE411" i="9"/>
  <c r="AK411" i="9" s="1"/>
  <c r="AF411" i="9"/>
  <c r="S412" i="9"/>
  <c r="U412" i="9"/>
  <c r="V412" i="9"/>
  <c r="W412" i="9"/>
  <c r="X412" i="9"/>
  <c r="Y412" i="9"/>
  <c r="AE412" i="9"/>
  <c r="AK412" i="9" s="1"/>
  <c r="AF412" i="9"/>
  <c r="S413" i="9"/>
  <c r="U413" i="9"/>
  <c r="V413" i="9"/>
  <c r="W413" i="9"/>
  <c r="X413" i="9"/>
  <c r="Y413" i="9"/>
  <c r="AE413" i="9"/>
  <c r="AK413" i="9" s="1"/>
  <c r="AF413" i="9"/>
  <c r="S414" i="9"/>
  <c r="U414" i="9"/>
  <c r="V414" i="9"/>
  <c r="W414" i="9"/>
  <c r="X414" i="9"/>
  <c r="Y414" i="9"/>
  <c r="AE414" i="9"/>
  <c r="AK414" i="9" s="1"/>
  <c r="AF414" i="9"/>
  <c r="S415" i="9"/>
  <c r="U415" i="9"/>
  <c r="V415" i="9"/>
  <c r="W415" i="9"/>
  <c r="X415" i="9"/>
  <c r="Y415" i="9"/>
  <c r="AE415" i="9"/>
  <c r="AK415" i="9" s="1"/>
  <c r="AF415" i="9"/>
  <c r="S416" i="9"/>
  <c r="U416" i="9"/>
  <c r="V416" i="9"/>
  <c r="W416" i="9"/>
  <c r="X416" i="9"/>
  <c r="Y416" i="9"/>
  <c r="AE416" i="9"/>
  <c r="AK416" i="9" s="1"/>
  <c r="AF416" i="9"/>
  <c r="S417" i="9"/>
  <c r="U417" i="9"/>
  <c r="V417" i="9"/>
  <c r="W417" i="9"/>
  <c r="X417" i="9"/>
  <c r="Y417" i="9"/>
  <c r="AE417" i="9"/>
  <c r="AK417" i="9" s="1"/>
  <c r="AF417" i="9"/>
  <c r="S418" i="9"/>
  <c r="U418" i="9"/>
  <c r="V418" i="9"/>
  <c r="W418" i="9"/>
  <c r="X418" i="9"/>
  <c r="Y418" i="9"/>
  <c r="AE418" i="9"/>
  <c r="AK418" i="9" s="1"/>
  <c r="AF418" i="9"/>
  <c r="S419" i="9"/>
  <c r="U419" i="9"/>
  <c r="V419" i="9"/>
  <c r="W419" i="9"/>
  <c r="X419" i="9"/>
  <c r="Y419" i="9"/>
  <c r="AE419" i="9"/>
  <c r="AK419" i="9" s="1"/>
  <c r="AF419" i="9"/>
  <c r="S420" i="9"/>
  <c r="U420" i="9"/>
  <c r="V420" i="9"/>
  <c r="W420" i="9"/>
  <c r="X420" i="9"/>
  <c r="Y420" i="9"/>
  <c r="AE420" i="9"/>
  <c r="AK420" i="9" s="1"/>
  <c r="AF420" i="9"/>
  <c r="S421" i="9"/>
  <c r="U421" i="9"/>
  <c r="V421" i="9"/>
  <c r="W421" i="9"/>
  <c r="X421" i="9"/>
  <c r="Y421" i="9"/>
  <c r="AE421" i="9"/>
  <c r="AK421" i="9" s="1"/>
  <c r="AF421" i="9"/>
  <c r="S422" i="9"/>
  <c r="U422" i="9"/>
  <c r="V422" i="9"/>
  <c r="W422" i="9"/>
  <c r="X422" i="9"/>
  <c r="Y422" i="9"/>
  <c r="AE422" i="9"/>
  <c r="AK422" i="9" s="1"/>
  <c r="AF422" i="9"/>
  <c r="S423" i="9"/>
  <c r="U423" i="9"/>
  <c r="V423" i="9"/>
  <c r="W423" i="9"/>
  <c r="X423" i="9"/>
  <c r="Y423" i="9"/>
  <c r="AE423" i="9"/>
  <c r="AK423" i="9" s="1"/>
  <c r="AF423" i="9"/>
  <c r="S424" i="9"/>
  <c r="U424" i="9"/>
  <c r="V424" i="9"/>
  <c r="W424" i="9"/>
  <c r="X424" i="9"/>
  <c r="Y424" i="9"/>
  <c r="AE424" i="9"/>
  <c r="AK424" i="9" s="1"/>
  <c r="AF424" i="9"/>
  <c r="S425" i="9"/>
  <c r="U425" i="9"/>
  <c r="V425" i="9"/>
  <c r="W425" i="9"/>
  <c r="X425" i="9"/>
  <c r="Y425" i="9"/>
  <c r="AE425" i="9"/>
  <c r="AK425" i="9" s="1"/>
  <c r="AF425" i="9"/>
  <c r="S426" i="9"/>
  <c r="U426" i="9"/>
  <c r="V426" i="9"/>
  <c r="W426" i="9"/>
  <c r="X426" i="9"/>
  <c r="Y426" i="9"/>
  <c r="AE426" i="9"/>
  <c r="AK426" i="9" s="1"/>
  <c r="AF426" i="9"/>
  <c r="S427" i="9"/>
  <c r="U427" i="9"/>
  <c r="V427" i="9"/>
  <c r="W427" i="9"/>
  <c r="X427" i="9"/>
  <c r="Y427" i="9"/>
  <c r="AE427" i="9"/>
  <c r="AK427" i="9" s="1"/>
  <c r="AF427" i="9"/>
  <c r="S428" i="9"/>
  <c r="U428" i="9"/>
  <c r="V428" i="9"/>
  <c r="W428" i="9"/>
  <c r="X428" i="9"/>
  <c r="Y428" i="9"/>
  <c r="AE428" i="9"/>
  <c r="AK428" i="9" s="1"/>
  <c r="AF428" i="9"/>
  <c r="S429" i="9"/>
  <c r="U429" i="9"/>
  <c r="V429" i="9"/>
  <c r="W429" i="9"/>
  <c r="X429" i="9"/>
  <c r="Y429" i="9"/>
  <c r="AE429" i="9"/>
  <c r="AK429" i="9" s="1"/>
  <c r="AF429" i="9"/>
  <c r="S430" i="9"/>
  <c r="U430" i="9"/>
  <c r="V430" i="9"/>
  <c r="W430" i="9"/>
  <c r="X430" i="9"/>
  <c r="Y430" i="9"/>
  <c r="AE430" i="9"/>
  <c r="AK430" i="9" s="1"/>
  <c r="AF430" i="9"/>
  <c r="S431" i="9"/>
  <c r="U431" i="9"/>
  <c r="V431" i="9"/>
  <c r="W431" i="9"/>
  <c r="X431" i="9"/>
  <c r="Y431" i="9"/>
  <c r="AE431" i="9"/>
  <c r="AK431" i="9" s="1"/>
  <c r="AF431" i="9"/>
  <c r="S432" i="9"/>
  <c r="U432" i="9"/>
  <c r="V432" i="9"/>
  <c r="W432" i="9"/>
  <c r="X432" i="9"/>
  <c r="Y432" i="9"/>
  <c r="AE432" i="9"/>
  <c r="AK432" i="9" s="1"/>
  <c r="AF432" i="9"/>
  <c r="S433" i="9"/>
  <c r="U433" i="9"/>
  <c r="V433" i="9"/>
  <c r="W433" i="9"/>
  <c r="X433" i="9"/>
  <c r="Y433" i="9"/>
  <c r="AE433" i="9"/>
  <c r="AK433" i="9" s="1"/>
  <c r="AF433" i="9"/>
  <c r="S434" i="9"/>
  <c r="U434" i="9"/>
  <c r="V434" i="9"/>
  <c r="W434" i="9"/>
  <c r="X434" i="9"/>
  <c r="Y434" i="9"/>
  <c r="AE434" i="9"/>
  <c r="AK434" i="9" s="1"/>
  <c r="AF434" i="9"/>
  <c r="S435" i="9"/>
  <c r="U435" i="9"/>
  <c r="V435" i="9"/>
  <c r="W435" i="9"/>
  <c r="X435" i="9"/>
  <c r="Y435" i="9"/>
  <c r="AE435" i="9"/>
  <c r="AK435" i="9" s="1"/>
  <c r="AF435" i="9"/>
  <c r="S436" i="9"/>
  <c r="U436" i="9"/>
  <c r="V436" i="9"/>
  <c r="W436" i="9"/>
  <c r="X436" i="9"/>
  <c r="Y436" i="9"/>
  <c r="AE436" i="9"/>
  <c r="AK436" i="9" s="1"/>
  <c r="AF436" i="9"/>
  <c r="S437" i="9"/>
  <c r="U437" i="9"/>
  <c r="V437" i="9"/>
  <c r="W437" i="9"/>
  <c r="X437" i="9"/>
  <c r="Y437" i="9"/>
  <c r="AE437" i="9"/>
  <c r="AK437" i="9" s="1"/>
  <c r="AF437" i="9"/>
  <c r="S438" i="9"/>
  <c r="U438" i="9"/>
  <c r="V438" i="9"/>
  <c r="W438" i="9"/>
  <c r="X438" i="9"/>
  <c r="Y438" i="9"/>
  <c r="AE438" i="9"/>
  <c r="AK438" i="9" s="1"/>
  <c r="AF438" i="9"/>
  <c r="S439" i="9"/>
  <c r="U439" i="9"/>
  <c r="V439" i="9"/>
  <c r="W439" i="9"/>
  <c r="X439" i="9"/>
  <c r="Y439" i="9"/>
  <c r="AE439" i="9"/>
  <c r="AK439" i="9" s="1"/>
  <c r="AF439" i="9"/>
  <c r="S440" i="9"/>
  <c r="U440" i="9"/>
  <c r="V440" i="9"/>
  <c r="W440" i="9"/>
  <c r="X440" i="9"/>
  <c r="Y440" i="9"/>
  <c r="AE440" i="9"/>
  <c r="AK440" i="9" s="1"/>
  <c r="AF440" i="9"/>
  <c r="S441" i="9"/>
  <c r="U441" i="9"/>
  <c r="V441" i="9"/>
  <c r="W441" i="9"/>
  <c r="X441" i="9"/>
  <c r="Y441" i="9"/>
  <c r="AE441" i="9"/>
  <c r="AK441" i="9" s="1"/>
  <c r="AF441" i="9"/>
  <c r="S442" i="9"/>
  <c r="U442" i="9"/>
  <c r="V442" i="9"/>
  <c r="W442" i="9"/>
  <c r="X442" i="9"/>
  <c r="Y442" i="9"/>
  <c r="AE442" i="9"/>
  <c r="AK442" i="9" s="1"/>
  <c r="AF442" i="9"/>
  <c r="S443" i="9"/>
  <c r="U443" i="9"/>
  <c r="V443" i="9"/>
  <c r="W443" i="9"/>
  <c r="X443" i="9"/>
  <c r="Y443" i="9"/>
  <c r="AE443" i="9"/>
  <c r="AK443" i="9" s="1"/>
  <c r="AF443" i="9"/>
  <c r="S444" i="9"/>
  <c r="U444" i="9"/>
  <c r="V444" i="9"/>
  <c r="W444" i="9"/>
  <c r="X444" i="9"/>
  <c r="Y444" i="9"/>
  <c r="AE444" i="9"/>
  <c r="AK444" i="9" s="1"/>
  <c r="AF444" i="9"/>
  <c r="S445" i="9"/>
  <c r="U445" i="9"/>
  <c r="V445" i="9"/>
  <c r="W445" i="9"/>
  <c r="X445" i="9"/>
  <c r="Y445" i="9"/>
  <c r="AE445" i="9"/>
  <c r="AK445" i="9" s="1"/>
  <c r="AF445" i="9"/>
  <c r="S446" i="9"/>
  <c r="U446" i="9"/>
  <c r="V446" i="9"/>
  <c r="W446" i="9"/>
  <c r="X446" i="9"/>
  <c r="Y446" i="9"/>
  <c r="AE446" i="9"/>
  <c r="AK446" i="9" s="1"/>
  <c r="AF446" i="9"/>
  <c r="S447" i="9"/>
  <c r="U447" i="9"/>
  <c r="V447" i="9"/>
  <c r="W447" i="9"/>
  <c r="X447" i="9"/>
  <c r="Y447" i="9"/>
  <c r="AE447" i="9"/>
  <c r="AK447" i="9" s="1"/>
  <c r="AF447" i="9"/>
  <c r="S448" i="9"/>
  <c r="U448" i="9"/>
  <c r="V448" i="9"/>
  <c r="W448" i="9"/>
  <c r="X448" i="9"/>
  <c r="Y448" i="9"/>
  <c r="AE448" i="9"/>
  <c r="AK448" i="9" s="1"/>
  <c r="AF448" i="9"/>
  <c r="S449" i="9"/>
  <c r="U449" i="9"/>
  <c r="V449" i="9"/>
  <c r="W449" i="9"/>
  <c r="X449" i="9"/>
  <c r="Y449" i="9"/>
  <c r="AE449" i="9"/>
  <c r="AK449" i="9" s="1"/>
  <c r="AF449" i="9"/>
  <c r="S450" i="9"/>
  <c r="U450" i="9"/>
  <c r="V450" i="9"/>
  <c r="W450" i="9"/>
  <c r="X450" i="9"/>
  <c r="Y450" i="9"/>
  <c r="AE450" i="9"/>
  <c r="AK450" i="9" s="1"/>
  <c r="AF450" i="9"/>
  <c r="S451" i="9"/>
  <c r="U451" i="9"/>
  <c r="V451" i="9"/>
  <c r="W451" i="9"/>
  <c r="X451" i="9"/>
  <c r="Y451" i="9"/>
  <c r="AE451" i="9"/>
  <c r="AK451" i="9" s="1"/>
  <c r="AF451" i="9"/>
  <c r="S452" i="9"/>
  <c r="U452" i="9"/>
  <c r="V452" i="9"/>
  <c r="W452" i="9"/>
  <c r="X452" i="9"/>
  <c r="Y452" i="9"/>
  <c r="AE452" i="9"/>
  <c r="AK452" i="9" s="1"/>
  <c r="AF452" i="9"/>
  <c r="S453" i="9"/>
  <c r="U453" i="9"/>
  <c r="V453" i="9"/>
  <c r="W453" i="9"/>
  <c r="X453" i="9"/>
  <c r="Y453" i="9"/>
  <c r="AE453" i="9"/>
  <c r="AK453" i="9" s="1"/>
  <c r="AF453" i="9"/>
  <c r="S454" i="9"/>
  <c r="U454" i="9"/>
  <c r="V454" i="9"/>
  <c r="W454" i="9"/>
  <c r="X454" i="9"/>
  <c r="Y454" i="9"/>
  <c r="AE454" i="9"/>
  <c r="AK454" i="9" s="1"/>
  <c r="AF454" i="9"/>
  <c r="S455" i="9"/>
  <c r="U455" i="9"/>
  <c r="V455" i="9"/>
  <c r="W455" i="9"/>
  <c r="X455" i="9"/>
  <c r="Y455" i="9"/>
  <c r="AE455" i="9"/>
  <c r="AK455" i="9" s="1"/>
  <c r="AF455" i="9"/>
  <c r="S456" i="9"/>
  <c r="U456" i="9"/>
  <c r="V456" i="9"/>
  <c r="W456" i="9"/>
  <c r="X456" i="9"/>
  <c r="Y456" i="9"/>
  <c r="AE456" i="9"/>
  <c r="AK456" i="9" s="1"/>
  <c r="AF456" i="9"/>
  <c r="S457" i="9"/>
  <c r="U457" i="9"/>
  <c r="V457" i="9"/>
  <c r="W457" i="9"/>
  <c r="X457" i="9"/>
  <c r="Y457" i="9"/>
  <c r="AE457" i="9"/>
  <c r="AK457" i="9" s="1"/>
  <c r="AF457" i="9"/>
  <c r="S458" i="9"/>
  <c r="U458" i="9"/>
  <c r="V458" i="9"/>
  <c r="W458" i="9"/>
  <c r="X458" i="9"/>
  <c r="Y458" i="9"/>
  <c r="AE458" i="9"/>
  <c r="AK458" i="9" s="1"/>
  <c r="AF458" i="9"/>
  <c r="S459" i="9"/>
  <c r="U459" i="9"/>
  <c r="V459" i="9"/>
  <c r="W459" i="9"/>
  <c r="X459" i="9"/>
  <c r="Y459" i="9"/>
  <c r="AE459" i="9"/>
  <c r="AK459" i="9" s="1"/>
  <c r="AF459" i="9"/>
  <c r="S460" i="9"/>
  <c r="U460" i="9"/>
  <c r="V460" i="9"/>
  <c r="W460" i="9"/>
  <c r="X460" i="9"/>
  <c r="Y460" i="9"/>
  <c r="AE460" i="9"/>
  <c r="AK460" i="9" s="1"/>
  <c r="AF460" i="9"/>
  <c r="S461" i="9"/>
  <c r="U461" i="9"/>
  <c r="V461" i="9"/>
  <c r="W461" i="9"/>
  <c r="X461" i="9"/>
  <c r="Y461" i="9"/>
  <c r="AE461" i="9"/>
  <c r="AK461" i="9" s="1"/>
  <c r="AF461" i="9"/>
  <c r="S462" i="9"/>
  <c r="U462" i="9"/>
  <c r="V462" i="9"/>
  <c r="W462" i="9"/>
  <c r="X462" i="9"/>
  <c r="Y462" i="9"/>
  <c r="AE462" i="9"/>
  <c r="AK462" i="9" s="1"/>
  <c r="AF462" i="9"/>
  <c r="S463" i="9"/>
  <c r="U463" i="9"/>
  <c r="V463" i="9"/>
  <c r="W463" i="9"/>
  <c r="X463" i="9"/>
  <c r="Y463" i="9"/>
  <c r="AE463" i="9"/>
  <c r="AK463" i="9" s="1"/>
  <c r="AF463" i="9"/>
  <c r="S464" i="9"/>
  <c r="U464" i="9"/>
  <c r="V464" i="9"/>
  <c r="W464" i="9"/>
  <c r="X464" i="9"/>
  <c r="Y464" i="9"/>
  <c r="AE464" i="9"/>
  <c r="AK464" i="9" s="1"/>
  <c r="AF464" i="9"/>
  <c r="S465" i="9"/>
  <c r="U465" i="9"/>
  <c r="V465" i="9"/>
  <c r="W465" i="9"/>
  <c r="X465" i="9"/>
  <c r="Y465" i="9"/>
  <c r="AE465" i="9"/>
  <c r="AK465" i="9" s="1"/>
  <c r="AF465" i="9"/>
  <c r="S466" i="9"/>
  <c r="U466" i="9"/>
  <c r="V466" i="9"/>
  <c r="W466" i="9"/>
  <c r="X466" i="9"/>
  <c r="Y466" i="9"/>
  <c r="AE466" i="9"/>
  <c r="AK466" i="9" s="1"/>
  <c r="AF466" i="9"/>
  <c r="S467" i="9"/>
  <c r="U467" i="9"/>
  <c r="V467" i="9"/>
  <c r="W467" i="9"/>
  <c r="X467" i="9"/>
  <c r="Y467" i="9"/>
  <c r="AE467" i="9"/>
  <c r="AK467" i="9" s="1"/>
  <c r="AF467" i="9"/>
  <c r="S468" i="9"/>
  <c r="U468" i="9"/>
  <c r="V468" i="9"/>
  <c r="W468" i="9"/>
  <c r="X468" i="9"/>
  <c r="Y468" i="9"/>
  <c r="AE468" i="9"/>
  <c r="AK468" i="9" s="1"/>
  <c r="AF468" i="9"/>
  <c r="S469" i="9"/>
  <c r="U469" i="9"/>
  <c r="V469" i="9"/>
  <c r="W469" i="9"/>
  <c r="X469" i="9"/>
  <c r="Y469" i="9"/>
  <c r="AE469" i="9"/>
  <c r="AK469" i="9" s="1"/>
  <c r="AF469" i="9"/>
  <c r="S470" i="9"/>
  <c r="U470" i="9"/>
  <c r="V470" i="9"/>
  <c r="W470" i="9"/>
  <c r="X470" i="9"/>
  <c r="Y470" i="9"/>
  <c r="AE470" i="9"/>
  <c r="AK470" i="9" s="1"/>
  <c r="AF470" i="9"/>
  <c r="S471" i="9"/>
  <c r="U471" i="9"/>
  <c r="V471" i="9"/>
  <c r="W471" i="9"/>
  <c r="X471" i="9"/>
  <c r="Y471" i="9"/>
  <c r="AE471" i="9"/>
  <c r="AK471" i="9" s="1"/>
  <c r="AF471" i="9"/>
  <c r="S472" i="9"/>
  <c r="U472" i="9"/>
  <c r="V472" i="9"/>
  <c r="W472" i="9"/>
  <c r="X472" i="9"/>
  <c r="Y472" i="9"/>
  <c r="AE472" i="9"/>
  <c r="AK472" i="9" s="1"/>
  <c r="AF472" i="9"/>
  <c r="S473" i="9"/>
  <c r="U473" i="9"/>
  <c r="V473" i="9"/>
  <c r="W473" i="9"/>
  <c r="X473" i="9"/>
  <c r="Y473" i="9"/>
  <c r="AE473" i="9"/>
  <c r="AK473" i="9" s="1"/>
  <c r="AF473" i="9"/>
  <c r="S474" i="9"/>
  <c r="U474" i="9"/>
  <c r="V474" i="9"/>
  <c r="W474" i="9"/>
  <c r="X474" i="9"/>
  <c r="Y474" i="9"/>
  <c r="AE474" i="9"/>
  <c r="AK474" i="9" s="1"/>
  <c r="AF474" i="9"/>
  <c r="S475" i="9"/>
  <c r="U475" i="9"/>
  <c r="V475" i="9"/>
  <c r="W475" i="9"/>
  <c r="X475" i="9"/>
  <c r="Y475" i="9"/>
  <c r="AE475" i="9"/>
  <c r="AK475" i="9" s="1"/>
  <c r="AF475" i="9"/>
  <c r="S476" i="9"/>
  <c r="U476" i="9"/>
  <c r="V476" i="9"/>
  <c r="W476" i="9"/>
  <c r="X476" i="9"/>
  <c r="Y476" i="9"/>
  <c r="AE476" i="9"/>
  <c r="AK476" i="9" s="1"/>
  <c r="AF476" i="9"/>
  <c r="S477" i="9"/>
  <c r="U477" i="9"/>
  <c r="V477" i="9"/>
  <c r="W477" i="9"/>
  <c r="X477" i="9"/>
  <c r="Y477" i="9"/>
  <c r="AE477" i="9"/>
  <c r="AK477" i="9" s="1"/>
  <c r="AF477" i="9"/>
  <c r="S478" i="9"/>
  <c r="U478" i="9"/>
  <c r="V478" i="9"/>
  <c r="W478" i="9"/>
  <c r="X478" i="9"/>
  <c r="Y478" i="9"/>
  <c r="AE478" i="9"/>
  <c r="AK478" i="9" s="1"/>
  <c r="AF478" i="9"/>
  <c r="S479" i="9"/>
  <c r="U479" i="9"/>
  <c r="V479" i="9"/>
  <c r="W479" i="9"/>
  <c r="X479" i="9"/>
  <c r="Y479" i="9"/>
  <c r="AE479" i="9"/>
  <c r="AK479" i="9" s="1"/>
  <c r="AF479" i="9"/>
  <c r="S480" i="9"/>
  <c r="U480" i="9"/>
  <c r="V480" i="9"/>
  <c r="W480" i="9"/>
  <c r="X480" i="9"/>
  <c r="Y480" i="9"/>
  <c r="AE480" i="9"/>
  <c r="AK480" i="9" s="1"/>
  <c r="AF480" i="9"/>
  <c r="S481" i="9"/>
  <c r="U481" i="9"/>
  <c r="V481" i="9"/>
  <c r="W481" i="9"/>
  <c r="X481" i="9"/>
  <c r="Y481" i="9"/>
  <c r="AE481" i="9"/>
  <c r="AK481" i="9" s="1"/>
  <c r="AF481" i="9"/>
  <c r="S482" i="9"/>
  <c r="U482" i="9"/>
  <c r="V482" i="9"/>
  <c r="W482" i="9"/>
  <c r="X482" i="9"/>
  <c r="Y482" i="9"/>
  <c r="AE482" i="9"/>
  <c r="AK482" i="9" s="1"/>
  <c r="AF482" i="9"/>
  <c r="S483" i="9"/>
  <c r="U483" i="9"/>
  <c r="V483" i="9"/>
  <c r="W483" i="9"/>
  <c r="X483" i="9"/>
  <c r="Y483" i="9"/>
  <c r="AE483" i="9"/>
  <c r="AK483" i="9" s="1"/>
  <c r="AF483" i="9"/>
  <c r="S484" i="9"/>
  <c r="U484" i="9"/>
  <c r="V484" i="9"/>
  <c r="W484" i="9"/>
  <c r="X484" i="9"/>
  <c r="Y484" i="9"/>
  <c r="AE484" i="9"/>
  <c r="AK484" i="9" s="1"/>
  <c r="AF484" i="9"/>
  <c r="S485" i="9"/>
  <c r="U485" i="9"/>
  <c r="V485" i="9"/>
  <c r="W485" i="9"/>
  <c r="X485" i="9"/>
  <c r="Y485" i="9"/>
  <c r="AE485" i="9"/>
  <c r="AK485" i="9" s="1"/>
  <c r="AF485" i="9"/>
  <c r="S486" i="9"/>
  <c r="U486" i="9"/>
  <c r="V486" i="9"/>
  <c r="W486" i="9"/>
  <c r="X486" i="9"/>
  <c r="Y486" i="9"/>
  <c r="AE486" i="9"/>
  <c r="AK486" i="9" s="1"/>
  <c r="AF486" i="9"/>
  <c r="S487" i="9"/>
  <c r="U487" i="9"/>
  <c r="V487" i="9"/>
  <c r="W487" i="9"/>
  <c r="X487" i="9"/>
  <c r="Y487" i="9"/>
  <c r="AE487" i="9"/>
  <c r="AK487" i="9" s="1"/>
  <c r="AF487" i="9"/>
  <c r="S488" i="9"/>
  <c r="U488" i="9"/>
  <c r="V488" i="9"/>
  <c r="W488" i="9"/>
  <c r="X488" i="9"/>
  <c r="Y488" i="9"/>
  <c r="AE488" i="9"/>
  <c r="AK488" i="9" s="1"/>
  <c r="AF488" i="9"/>
  <c r="S489" i="9"/>
  <c r="U489" i="9"/>
  <c r="V489" i="9"/>
  <c r="W489" i="9"/>
  <c r="X489" i="9"/>
  <c r="Y489" i="9"/>
  <c r="AE489" i="9"/>
  <c r="AK489" i="9" s="1"/>
  <c r="AF489" i="9"/>
  <c r="S490" i="9"/>
  <c r="U490" i="9"/>
  <c r="V490" i="9"/>
  <c r="W490" i="9"/>
  <c r="X490" i="9"/>
  <c r="Y490" i="9"/>
  <c r="AE490" i="9"/>
  <c r="AK490" i="9" s="1"/>
  <c r="AF490" i="9"/>
  <c r="S491" i="9"/>
  <c r="U491" i="9"/>
  <c r="V491" i="9"/>
  <c r="W491" i="9"/>
  <c r="X491" i="9"/>
  <c r="Y491" i="9"/>
  <c r="AE491" i="9"/>
  <c r="AK491" i="9" s="1"/>
  <c r="AF491" i="9"/>
  <c r="S492" i="9"/>
  <c r="U492" i="9"/>
  <c r="V492" i="9"/>
  <c r="W492" i="9"/>
  <c r="X492" i="9"/>
  <c r="Y492" i="9"/>
  <c r="AE492" i="9"/>
  <c r="AK492" i="9" s="1"/>
  <c r="AF492" i="9"/>
  <c r="S493" i="9"/>
  <c r="U493" i="9"/>
  <c r="V493" i="9"/>
  <c r="W493" i="9"/>
  <c r="X493" i="9"/>
  <c r="Y493" i="9"/>
  <c r="AE493" i="9"/>
  <c r="AK493" i="9" s="1"/>
  <c r="AF493" i="9"/>
  <c r="S494" i="9"/>
  <c r="U494" i="9"/>
  <c r="V494" i="9"/>
  <c r="W494" i="9"/>
  <c r="X494" i="9"/>
  <c r="Y494" i="9"/>
  <c r="AE494" i="9"/>
  <c r="AK494" i="9" s="1"/>
  <c r="AF494" i="9"/>
  <c r="S495" i="9"/>
  <c r="U495" i="9"/>
  <c r="V495" i="9"/>
  <c r="W495" i="9"/>
  <c r="X495" i="9"/>
  <c r="Y495" i="9"/>
  <c r="AE495" i="9"/>
  <c r="AK495" i="9" s="1"/>
  <c r="AF495" i="9"/>
  <c r="S496" i="9"/>
  <c r="U496" i="9"/>
  <c r="V496" i="9"/>
  <c r="W496" i="9"/>
  <c r="X496" i="9"/>
  <c r="Y496" i="9"/>
  <c r="AE496" i="9"/>
  <c r="AK496" i="9" s="1"/>
  <c r="AF496" i="9"/>
  <c r="S497" i="9"/>
  <c r="U497" i="9"/>
  <c r="V497" i="9"/>
  <c r="W497" i="9"/>
  <c r="X497" i="9"/>
  <c r="Y497" i="9"/>
  <c r="AE497" i="9"/>
  <c r="AK497" i="9" s="1"/>
  <c r="AF497" i="9"/>
  <c r="S498" i="9"/>
  <c r="U498" i="9"/>
  <c r="V498" i="9"/>
  <c r="W498" i="9"/>
  <c r="X498" i="9"/>
  <c r="Y498" i="9"/>
  <c r="AE498" i="9"/>
  <c r="AK498" i="9" s="1"/>
  <c r="AF498" i="9"/>
  <c r="S499" i="9"/>
  <c r="U499" i="9"/>
  <c r="V499" i="9"/>
  <c r="W499" i="9"/>
  <c r="X499" i="9"/>
  <c r="Y499" i="9"/>
  <c r="AE499" i="9"/>
  <c r="AK499" i="9" s="1"/>
  <c r="AF499" i="9"/>
  <c r="S500" i="9"/>
  <c r="U500" i="9"/>
  <c r="V500" i="9"/>
  <c r="W500" i="9"/>
  <c r="X500" i="9"/>
  <c r="Y500" i="9"/>
  <c r="AE500" i="9"/>
  <c r="AK500" i="9" s="1"/>
  <c r="AF500" i="9"/>
  <c r="S501" i="9"/>
  <c r="U501" i="9"/>
  <c r="V501" i="9"/>
  <c r="W501" i="9"/>
  <c r="X501" i="9"/>
  <c r="Y501" i="9"/>
  <c r="AE501" i="9"/>
  <c r="AK501" i="9" s="1"/>
  <c r="AF501" i="9"/>
  <c r="S502" i="9"/>
  <c r="U502" i="9"/>
  <c r="V502" i="9"/>
  <c r="W502" i="9"/>
  <c r="X502" i="9"/>
  <c r="Y502" i="9"/>
  <c r="AE502" i="9"/>
  <c r="AK502" i="9" s="1"/>
  <c r="AF502" i="9"/>
  <c r="S503" i="9"/>
  <c r="U503" i="9"/>
  <c r="V503" i="9"/>
  <c r="W503" i="9"/>
  <c r="X503" i="9"/>
  <c r="Y503" i="9"/>
  <c r="AE503" i="9"/>
  <c r="AK503" i="9" s="1"/>
  <c r="AF503" i="9"/>
  <c r="S504" i="9"/>
  <c r="U504" i="9"/>
  <c r="V504" i="9"/>
  <c r="W504" i="9"/>
  <c r="X504" i="9"/>
  <c r="Y504" i="9"/>
  <c r="AE504" i="9"/>
  <c r="AK504" i="9" s="1"/>
  <c r="AF504" i="9"/>
  <c r="S505" i="9"/>
  <c r="U505" i="9"/>
  <c r="V505" i="9"/>
  <c r="W505" i="9"/>
  <c r="X505" i="9"/>
  <c r="Y505" i="9"/>
  <c r="AE505" i="9"/>
  <c r="AK505" i="9" s="1"/>
  <c r="AF505" i="9"/>
  <c r="S506" i="9"/>
  <c r="U506" i="9"/>
  <c r="V506" i="9"/>
  <c r="W506" i="9"/>
  <c r="X506" i="9"/>
  <c r="Y506" i="9"/>
  <c r="AE506" i="9"/>
  <c r="AK506" i="9" s="1"/>
  <c r="AF506" i="9"/>
  <c r="S507" i="9"/>
  <c r="U507" i="9"/>
  <c r="V507" i="9"/>
  <c r="W507" i="9"/>
  <c r="X507" i="9"/>
  <c r="Y507" i="9"/>
  <c r="AE507" i="9"/>
  <c r="AK507" i="9" s="1"/>
  <c r="AF507" i="9"/>
  <c r="S508" i="9"/>
  <c r="U508" i="9"/>
  <c r="V508" i="9"/>
  <c r="W508" i="9"/>
  <c r="X508" i="9"/>
  <c r="Y508" i="9"/>
  <c r="AE508" i="9"/>
  <c r="AK508" i="9" s="1"/>
  <c r="AF508" i="9"/>
  <c r="S509" i="9"/>
  <c r="U509" i="9"/>
  <c r="V509" i="9"/>
  <c r="W509" i="9"/>
  <c r="X509" i="9"/>
  <c r="Y509" i="9"/>
  <c r="AE509" i="9"/>
  <c r="AK509" i="9" s="1"/>
  <c r="AF509" i="9"/>
  <c r="S510" i="9"/>
  <c r="U510" i="9"/>
  <c r="V510" i="9"/>
  <c r="W510" i="9"/>
  <c r="X510" i="9"/>
  <c r="Y510" i="9"/>
  <c r="AE510" i="9"/>
  <c r="AK510" i="9" s="1"/>
  <c r="AF510" i="9"/>
  <c r="S511" i="9"/>
  <c r="U511" i="9"/>
  <c r="V511" i="9"/>
  <c r="W511" i="9"/>
  <c r="X511" i="9"/>
  <c r="Y511" i="9"/>
  <c r="AE511" i="9"/>
  <c r="AK511" i="9" s="1"/>
  <c r="AF511" i="9"/>
  <c r="S512" i="9"/>
  <c r="U512" i="9"/>
  <c r="V512" i="9"/>
  <c r="W512" i="9"/>
  <c r="X512" i="9"/>
  <c r="Y512" i="9"/>
  <c r="AE512" i="9"/>
  <c r="AK512" i="9" s="1"/>
  <c r="AF512" i="9"/>
  <c r="S513" i="9"/>
  <c r="U513" i="9"/>
  <c r="V513" i="9"/>
  <c r="W513" i="9"/>
  <c r="X513" i="9"/>
  <c r="Y513" i="9"/>
  <c r="AE513" i="9"/>
  <c r="AK513" i="9" s="1"/>
  <c r="AF513" i="9"/>
  <c r="S514" i="9"/>
  <c r="U514" i="9"/>
  <c r="V514" i="9"/>
  <c r="W514" i="9"/>
  <c r="X514" i="9"/>
  <c r="Y514" i="9"/>
  <c r="AE514" i="9"/>
  <c r="AK514" i="9" s="1"/>
  <c r="AF514" i="9"/>
  <c r="S515" i="9"/>
  <c r="U515" i="9"/>
  <c r="V515" i="9"/>
  <c r="W515" i="9"/>
  <c r="X515" i="9"/>
  <c r="Y515" i="9"/>
  <c r="AE515" i="9"/>
  <c r="AK515" i="9" s="1"/>
  <c r="AF515" i="9"/>
  <c r="S516" i="9"/>
  <c r="U516" i="9"/>
  <c r="V516" i="9"/>
  <c r="W516" i="9"/>
  <c r="X516" i="9"/>
  <c r="Y516" i="9"/>
  <c r="AE516" i="9"/>
  <c r="AK516" i="9" s="1"/>
  <c r="AF516" i="9"/>
  <c r="S517" i="9"/>
  <c r="U517" i="9"/>
  <c r="V517" i="9"/>
  <c r="W517" i="9"/>
  <c r="X517" i="9"/>
  <c r="Y517" i="9"/>
  <c r="AE517" i="9"/>
  <c r="AK517" i="9" s="1"/>
  <c r="AF517" i="9"/>
  <c r="S518" i="9"/>
  <c r="U518" i="9"/>
  <c r="V518" i="9"/>
  <c r="W518" i="9"/>
  <c r="X518" i="9"/>
  <c r="Y518" i="9"/>
  <c r="AE518" i="9"/>
  <c r="AK518" i="9" s="1"/>
  <c r="AF518" i="9"/>
  <c r="S519" i="9"/>
  <c r="U519" i="9"/>
  <c r="V519" i="9"/>
  <c r="W519" i="9"/>
  <c r="X519" i="9"/>
  <c r="Y519" i="9"/>
  <c r="AE519" i="9"/>
  <c r="AK519" i="9" s="1"/>
  <c r="AF519" i="9"/>
  <c r="S520" i="9"/>
  <c r="U520" i="9"/>
  <c r="V520" i="9"/>
  <c r="W520" i="9"/>
  <c r="X520" i="9"/>
  <c r="Y520" i="9"/>
  <c r="AE520" i="9"/>
  <c r="AK520" i="9" s="1"/>
  <c r="AF520" i="9"/>
  <c r="S521" i="9"/>
  <c r="U521" i="9"/>
  <c r="V521" i="9"/>
  <c r="W521" i="9"/>
  <c r="X521" i="9"/>
  <c r="Y521" i="9"/>
  <c r="AE521" i="9"/>
  <c r="AK521" i="9" s="1"/>
  <c r="AF521" i="9"/>
  <c r="S522" i="9"/>
  <c r="U522" i="9"/>
  <c r="V522" i="9"/>
  <c r="W522" i="9"/>
  <c r="X522" i="9"/>
  <c r="Y522" i="9"/>
  <c r="AE522" i="9"/>
  <c r="AK522" i="9" s="1"/>
  <c r="AF522" i="9"/>
  <c r="S523" i="9"/>
  <c r="U523" i="9"/>
  <c r="V523" i="9"/>
  <c r="W523" i="9"/>
  <c r="X523" i="9"/>
  <c r="Y523" i="9"/>
  <c r="AE523" i="9"/>
  <c r="AK523" i="9" s="1"/>
  <c r="AF523" i="9"/>
  <c r="S524" i="9"/>
  <c r="U524" i="9"/>
  <c r="V524" i="9"/>
  <c r="W524" i="9"/>
  <c r="X524" i="9"/>
  <c r="Y524" i="9"/>
  <c r="AE524" i="9"/>
  <c r="AK524" i="9" s="1"/>
  <c r="AF524" i="9"/>
  <c r="S525" i="9"/>
  <c r="U525" i="9"/>
  <c r="V525" i="9"/>
  <c r="W525" i="9"/>
  <c r="X525" i="9"/>
  <c r="Y525" i="9"/>
  <c r="AE525" i="9"/>
  <c r="AK525" i="9" s="1"/>
  <c r="AF525" i="9"/>
  <c r="S526" i="9"/>
  <c r="U526" i="9"/>
  <c r="V526" i="9"/>
  <c r="W526" i="9"/>
  <c r="X526" i="9"/>
  <c r="Y526" i="9"/>
  <c r="AE526" i="9"/>
  <c r="AK526" i="9" s="1"/>
  <c r="AF526" i="9"/>
  <c r="S527" i="9"/>
  <c r="U527" i="9"/>
  <c r="V527" i="9"/>
  <c r="W527" i="9"/>
  <c r="X527" i="9"/>
  <c r="Y527" i="9"/>
  <c r="AE527" i="9"/>
  <c r="AK527" i="9" s="1"/>
  <c r="AF527" i="9"/>
  <c r="S528" i="9"/>
  <c r="U528" i="9"/>
  <c r="V528" i="9"/>
  <c r="W528" i="9"/>
  <c r="X528" i="9"/>
  <c r="Y528" i="9"/>
  <c r="AE528" i="9"/>
  <c r="AK528" i="9" s="1"/>
  <c r="AF528" i="9"/>
  <c r="S529" i="9"/>
  <c r="U529" i="9"/>
  <c r="V529" i="9"/>
  <c r="W529" i="9"/>
  <c r="X529" i="9"/>
  <c r="Y529" i="9"/>
  <c r="AE529" i="9"/>
  <c r="AK529" i="9" s="1"/>
  <c r="AF529" i="9"/>
  <c r="S530" i="9"/>
  <c r="U530" i="9"/>
  <c r="V530" i="9"/>
  <c r="W530" i="9"/>
  <c r="X530" i="9"/>
  <c r="Y530" i="9"/>
  <c r="AE530" i="9"/>
  <c r="AK530" i="9" s="1"/>
  <c r="AF530" i="9"/>
  <c r="S531" i="9"/>
  <c r="U531" i="9"/>
  <c r="V531" i="9"/>
  <c r="W531" i="9"/>
  <c r="X531" i="9"/>
  <c r="Y531" i="9"/>
  <c r="AE531" i="9"/>
  <c r="AK531" i="9" s="1"/>
  <c r="AF531" i="9"/>
  <c r="S532" i="9"/>
  <c r="U532" i="9"/>
  <c r="V532" i="9"/>
  <c r="W532" i="9"/>
  <c r="X532" i="9"/>
  <c r="Y532" i="9"/>
  <c r="AE532" i="9"/>
  <c r="AK532" i="9" s="1"/>
  <c r="AF532" i="9"/>
  <c r="S533" i="9"/>
  <c r="U533" i="9"/>
  <c r="V533" i="9"/>
  <c r="W533" i="9"/>
  <c r="X533" i="9"/>
  <c r="Y533" i="9"/>
  <c r="AE533" i="9"/>
  <c r="AK533" i="9" s="1"/>
  <c r="AF533" i="9"/>
  <c r="S534" i="9"/>
  <c r="U534" i="9"/>
  <c r="V534" i="9"/>
  <c r="W534" i="9"/>
  <c r="X534" i="9"/>
  <c r="Y534" i="9"/>
  <c r="AE534" i="9"/>
  <c r="AK534" i="9" s="1"/>
  <c r="AF534" i="9"/>
  <c r="S535" i="9"/>
  <c r="U535" i="9"/>
  <c r="V535" i="9"/>
  <c r="W535" i="9"/>
  <c r="X535" i="9"/>
  <c r="Y535" i="9"/>
  <c r="AE535" i="9"/>
  <c r="AK535" i="9" s="1"/>
  <c r="AF535" i="9"/>
  <c r="S536" i="9"/>
  <c r="U536" i="9"/>
  <c r="V536" i="9"/>
  <c r="W536" i="9"/>
  <c r="X536" i="9"/>
  <c r="Y536" i="9"/>
  <c r="AE536" i="9"/>
  <c r="AK536" i="9" s="1"/>
  <c r="AF536" i="9"/>
  <c r="S537" i="9"/>
  <c r="U537" i="9"/>
  <c r="V537" i="9"/>
  <c r="W537" i="9"/>
  <c r="X537" i="9"/>
  <c r="Y537" i="9"/>
  <c r="AE537" i="9"/>
  <c r="AK537" i="9" s="1"/>
  <c r="AF537" i="9"/>
  <c r="S538" i="9"/>
  <c r="U538" i="9"/>
  <c r="V538" i="9"/>
  <c r="W538" i="9"/>
  <c r="X538" i="9"/>
  <c r="Y538" i="9"/>
  <c r="AE538" i="9"/>
  <c r="AK538" i="9" s="1"/>
  <c r="AF538" i="9"/>
  <c r="S539" i="9"/>
  <c r="U539" i="9"/>
  <c r="V539" i="9"/>
  <c r="W539" i="9"/>
  <c r="X539" i="9"/>
  <c r="Y539" i="9"/>
  <c r="AE539" i="9"/>
  <c r="AK539" i="9" s="1"/>
  <c r="AF539" i="9"/>
  <c r="S540" i="9"/>
  <c r="U540" i="9"/>
  <c r="V540" i="9"/>
  <c r="W540" i="9"/>
  <c r="X540" i="9"/>
  <c r="Y540" i="9"/>
  <c r="AE540" i="9"/>
  <c r="AK540" i="9" s="1"/>
  <c r="AF540" i="9"/>
  <c r="S541" i="9"/>
  <c r="U541" i="9"/>
  <c r="V541" i="9"/>
  <c r="W541" i="9"/>
  <c r="X541" i="9"/>
  <c r="Y541" i="9"/>
  <c r="AE541" i="9"/>
  <c r="AK541" i="9" s="1"/>
  <c r="AF541" i="9"/>
  <c r="S542" i="9"/>
  <c r="U542" i="9"/>
  <c r="V542" i="9"/>
  <c r="W542" i="9"/>
  <c r="X542" i="9"/>
  <c r="Y542" i="9"/>
  <c r="AE542" i="9"/>
  <c r="AK542" i="9" s="1"/>
  <c r="AF542" i="9"/>
  <c r="S543" i="9"/>
  <c r="U543" i="9"/>
  <c r="V543" i="9"/>
  <c r="W543" i="9"/>
  <c r="X543" i="9"/>
  <c r="Y543" i="9"/>
  <c r="AE543" i="9"/>
  <c r="AK543" i="9" s="1"/>
  <c r="AF543" i="9"/>
  <c r="S544" i="9"/>
  <c r="U544" i="9"/>
  <c r="V544" i="9"/>
  <c r="W544" i="9"/>
  <c r="X544" i="9"/>
  <c r="Y544" i="9"/>
  <c r="AE544" i="9"/>
  <c r="AK544" i="9" s="1"/>
  <c r="AF544" i="9"/>
  <c r="S545" i="9"/>
  <c r="U545" i="9"/>
  <c r="V545" i="9"/>
  <c r="W545" i="9"/>
  <c r="X545" i="9"/>
  <c r="Y545" i="9"/>
  <c r="AE545" i="9"/>
  <c r="AK545" i="9" s="1"/>
  <c r="AF545" i="9"/>
  <c r="S546" i="9"/>
  <c r="U546" i="9"/>
  <c r="V546" i="9"/>
  <c r="W546" i="9"/>
  <c r="X546" i="9"/>
  <c r="Y546" i="9"/>
  <c r="AE546" i="9"/>
  <c r="AK546" i="9" s="1"/>
  <c r="AF546" i="9"/>
  <c r="S547" i="9"/>
  <c r="U547" i="9"/>
  <c r="V547" i="9"/>
  <c r="W547" i="9"/>
  <c r="X547" i="9"/>
  <c r="Y547" i="9"/>
  <c r="AE547" i="9"/>
  <c r="AK547" i="9" s="1"/>
  <c r="AF547" i="9"/>
  <c r="S548" i="9"/>
  <c r="U548" i="9"/>
  <c r="V548" i="9"/>
  <c r="W548" i="9"/>
  <c r="X548" i="9"/>
  <c r="Y548" i="9"/>
  <c r="AE548" i="9"/>
  <c r="AK548" i="9" s="1"/>
  <c r="AF548" i="9"/>
  <c r="S549" i="9"/>
  <c r="U549" i="9"/>
  <c r="V549" i="9"/>
  <c r="W549" i="9"/>
  <c r="X549" i="9"/>
  <c r="Y549" i="9"/>
  <c r="AE549" i="9"/>
  <c r="AK549" i="9" s="1"/>
  <c r="AF549" i="9"/>
  <c r="S550" i="9"/>
  <c r="U550" i="9"/>
  <c r="V550" i="9"/>
  <c r="W550" i="9"/>
  <c r="X550" i="9"/>
  <c r="Y550" i="9"/>
  <c r="AE550" i="9"/>
  <c r="AK550" i="9" s="1"/>
  <c r="AF550" i="9"/>
  <c r="S551" i="9"/>
  <c r="U551" i="9"/>
  <c r="V551" i="9"/>
  <c r="W551" i="9"/>
  <c r="X551" i="9"/>
  <c r="Y551" i="9"/>
  <c r="AE551" i="9"/>
  <c r="AK551" i="9" s="1"/>
  <c r="AF551" i="9"/>
  <c r="S552" i="9"/>
  <c r="U552" i="9"/>
  <c r="V552" i="9"/>
  <c r="W552" i="9"/>
  <c r="X552" i="9"/>
  <c r="Y552" i="9"/>
  <c r="AE552" i="9"/>
  <c r="AK552" i="9" s="1"/>
  <c r="AF552" i="9"/>
  <c r="S553" i="9"/>
  <c r="U553" i="9"/>
  <c r="V553" i="9"/>
  <c r="W553" i="9"/>
  <c r="X553" i="9"/>
  <c r="Y553" i="9"/>
  <c r="AE553" i="9"/>
  <c r="AK553" i="9" s="1"/>
  <c r="AF553" i="9"/>
  <c r="S554" i="9"/>
  <c r="U554" i="9"/>
  <c r="V554" i="9"/>
  <c r="W554" i="9"/>
  <c r="X554" i="9"/>
  <c r="Y554" i="9"/>
  <c r="AE554" i="9"/>
  <c r="AK554" i="9" s="1"/>
  <c r="AF554" i="9"/>
  <c r="S555" i="9"/>
  <c r="U555" i="9"/>
  <c r="V555" i="9"/>
  <c r="W555" i="9"/>
  <c r="X555" i="9"/>
  <c r="Y555" i="9"/>
  <c r="AE555" i="9"/>
  <c r="AK555" i="9" s="1"/>
  <c r="AF555" i="9"/>
  <c r="S556" i="9"/>
  <c r="U556" i="9"/>
  <c r="V556" i="9"/>
  <c r="W556" i="9"/>
  <c r="X556" i="9"/>
  <c r="Y556" i="9"/>
  <c r="AE556" i="9"/>
  <c r="AK556" i="9" s="1"/>
  <c r="AF556" i="9"/>
  <c r="S557" i="9"/>
  <c r="U557" i="9"/>
  <c r="V557" i="9"/>
  <c r="W557" i="9"/>
  <c r="X557" i="9"/>
  <c r="Y557" i="9"/>
  <c r="AE557" i="9"/>
  <c r="AK557" i="9" s="1"/>
  <c r="AF557" i="9"/>
  <c r="S558" i="9"/>
  <c r="U558" i="9"/>
  <c r="V558" i="9"/>
  <c r="W558" i="9"/>
  <c r="X558" i="9"/>
  <c r="Y558" i="9"/>
  <c r="AE558" i="9"/>
  <c r="AK558" i="9" s="1"/>
  <c r="AF558" i="9"/>
  <c r="S559" i="9"/>
  <c r="U559" i="9"/>
  <c r="V559" i="9"/>
  <c r="W559" i="9"/>
  <c r="X559" i="9"/>
  <c r="Y559" i="9"/>
  <c r="AE559" i="9"/>
  <c r="AK559" i="9" s="1"/>
  <c r="AF559" i="9"/>
  <c r="S560" i="9"/>
  <c r="U560" i="9"/>
  <c r="V560" i="9"/>
  <c r="W560" i="9"/>
  <c r="X560" i="9"/>
  <c r="Y560" i="9"/>
  <c r="AE560" i="9"/>
  <c r="AK560" i="9" s="1"/>
  <c r="AF560" i="9"/>
  <c r="S561" i="9"/>
  <c r="U561" i="9"/>
  <c r="V561" i="9"/>
  <c r="W561" i="9"/>
  <c r="X561" i="9"/>
  <c r="Y561" i="9"/>
  <c r="AE561" i="9"/>
  <c r="AK561" i="9" s="1"/>
  <c r="AF561" i="9"/>
  <c r="S562" i="9"/>
  <c r="U562" i="9"/>
  <c r="V562" i="9"/>
  <c r="W562" i="9"/>
  <c r="X562" i="9"/>
  <c r="Y562" i="9"/>
  <c r="AE562" i="9"/>
  <c r="AK562" i="9" s="1"/>
  <c r="AF562" i="9"/>
  <c r="S563" i="9"/>
  <c r="U563" i="9"/>
  <c r="V563" i="9"/>
  <c r="W563" i="9"/>
  <c r="X563" i="9"/>
  <c r="Y563" i="9"/>
  <c r="AE563" i="9"/>
  <c r="AK563" i="9" s="1"/>
  <c r="AF563" i="9"/>
  <c r="S564" i="9"/>
  <c r="U564" i="9"/>
  <c r="V564" i="9"/>
  <c r="W564" i="9"/>
  <c r="X564" i="9"/>
  <c r="Y564" i="9"/>
  <c r="AE564" i="9"/>
  <c r="AK564" i="9" s="1"/>
  <c r="AF564" i="9"/>
  <c r="S565" i="9"/>
  <c r="U565" i="9"/>
  <c r="V565" i="9"/>
  <c r="W565" i="9"/>
  <c r="X565" i="9"/>
  <c r="Y565" i="9"/>
  <c r="AE565" i="9"/>
  <c r="AK565" i="9" s="1"/>
  <c r="AF565" i="9"/>
  <c r="BA541" i="9" l="1"/>
  <c r="AZ541" i="9"/>
  <c r="AY541" i="9"/>
  <c r="AX541" i="9"/>
  <c r="AV541" i="9"/>
  <c r="AW541" i="9"/>
  <c r="BA540" i="9"/>
  <c r="AZ540" i="9"/>
  <c r="AX540" i="9"/>
  <c r="AY540" i="9"/>
  <c r="AV540" i="9"/>
  <c r="AW540" i="9"/>
  <c r="BA539" i="9"/>
  <c r="AZ539" i="9"/>
  <c r="AY539" i="9"/>
  <c r="AV539" i="9"/>
  <c r="AX539" i="9"/>
  <c r="AW539" i="9"/>
  <c r="BA538" i="9"/>
  <c r="AZ538" i="9"/>
  <c r="AX538" i="9"/>
  <c r="AY538" i="9"/>
  <c r="AV538" i="9"/>
  <c r="AW538" i="9"/>
  <c r="BA537" i="9"/>
  <c r="AZ537" i="9"/>
  <c r="AY537" i="9"/>
  <c r="AX537" i="9"/>
  <c r="AV537" i="9"/>
  <c r="AW537" i="9"/>
  <c r="BA536" i="9"/>
  <c r="AZ536" i="9"/>
  <c r="AX536" i="9"/>
  <c r="AY536" i="9"/>
  <c r="AV536" i="9"/>
  <c r="AW536" i="9"/>
  <c r="BA535" i="9"/>
  <c r="AZ535" i="9"/>
  <c r="AY535" i="9"/>
  <c r="AX535" i="9"/>
  <c r="AV535" i="9"/>
  <c r="AW535" i="9"/>
  <c r="BA534" i="9"/>
  <c r="AZ534" i="9"/>
  <c r="AX534" i="9"/>
  <c r="AY534" i="9"/>
  <c r="AV534" i="9"/>
  <c r="AW534" i="9"/>
  <c r="BA121" i="9"/>
  <c r="AZ121" i="9"/>
  <c r="AX121" i="9"/>
  <c r="AY121" i="9"/>
  <c r="AW121" i="9"/>
  <c r="AV121" i="9"/>
  <c r="BA120" i="9"/>
  <c r="AZ120" i="9"/>
  <c r="AX120" i="9"/>
  <c r="AY120" i="9"/>
  <c r="AW120" i="9"/>
  <c r="AV120" i="9"/>
  <c r="BA119" i="9"/>
  <c r="AZ119" i="9"/>
  <c r="AX119" i="9"/>
  <c r="AW119" i="9"/>
  <c r="AY119" i="9"/>
  <c r="AV119" i="9"/>
  <c r="BA118" i="9"/>
  <c r="AZ118" i="9"/>
  <c r="AX118" i="9"/>
  <c r="AY118" i="9"/>
  <c r="AW118" i="9"/>
  <c r="AV118" i="9"/>
  <c r="BA117" i="9"/>
  <c r="AZ117" i="9"/>
  <c r="AX117" i="9"/>
  <c r="AY117" i="9"/>
  <c r="AW117" i="9"/>
  <c r="AV117" i="9"/>
  <c r="BA116" i="9"/>
  <c r="AZ116" i="9"/>
  <c r="AX116" i="9"/>
  <c r="AY116" i="9"/>
  <c r="AW116" i="9"/>
  <c r="AV116" i="9"/>
  <c r="BA115" i="9"/>
  <c r="AZ115" i="9"/>
  <c r="AX115" i="9"/>
  <c r="AY115" i="9"/>
  <c r="AW115" i="9"/>
  <c r="AV115" i="9"/>
  <c r="BA114" i="9"/>
  <c r="AZ114" i="9"/>
  <c r="AX114" i="9"/>
  <c r="AY114" i="9"/>
  <c r="AW114" i="9"/>
  <c r="AV114" i="9"/>
  <c r="BA109" i="9"/>
  <c r="AZ109" i="9"/>
  <c r="AX109" i="9"/>
  <c r="AY109" i="9"/>
  <c r="AW109" i="9"/>
  <c r="AV109" i="9"/>
  <c r="BA108" i="9"/>
  <c r="AZ108" i="9"/>
  <c r="AX108" i="9"/>
  <c r="AY108" i="9"/>
  <c r="AW108" i="9"/>
  <c r="AV108" i="9"/>
  <c r="BA107" i="9"/>
  <c r="AZ107" i="9"/>
  <c r="AX107" i="9"/>
  <c r="AW107" i="9"/>
  <c r="AY107" i="9"/>
  <c r="AV107" i="9"/>
  <c r="BA106" i="9"/>
  <c r="AZ106" i="9"/>
  <c r="AX106" i="9"/>
  <c r="AY106" i="9"/>
  <c r="AW106" i="9"/>
  <c r="AV106" i="9"/>
  <c r="BA105" i="9"/>
  <c r="AX105" i="9"/>
  <c r="AZ105" i="9"/>
  <c r="AY105" i="9"/>
  <c r="AW105" i="9"/>
  <c r="AV105" i="9"/>
  <c r="BA104" i="9"/>
  <c r="AZ104" i="9"/>
  <c r="AX104" i="9"/>
  <c r="AY104" i="9"/>
  <c r="AW104" i="9"/>
  <c r="AV104" i="9"/>
  <c r="BA103" i="9"/>
  <c r="AZ103" i="9"/>
  <c r="AX103" i="9"/>
  <c r="AY103" i="9"/>
  <c r="AW103" i="9"/>
  <c r="AV103" i="9"/>
  <c r="BA102" i="9"/>
  <c r="AZ102" i="9"/>
  <c r="AX102" i="9"/>
  <c r="AY102" i="9"/>
  <c r="AW102" i="9"/>
  <c r="AV102" i="9"/>
  <c r="AZ97" i="9"/>
  <c r="BA97" i="9"/>
  <c r="AX97" i="9"/>
  <c r="AY97" i="9"/>
  <c r="AW97" i="9"/>
  <c r="AV97" i="9"/>
  <c r="BA96" i="9"/>
  <c r="AZ96" i="9"/>
  <c r="AX96" i="9"/>
  <c r="AY96" i="9"/>
  <c r="AW96" i="9"/>
  <c r="AV96" i="9"/>
  <c r="BA95" i="9"/>
  <c r="AZ95" i="9"/>
  <c r="AX95" i="9"/>
  <c r="AW95" i="9"/>
  <c r="AV95" i="9"/>
  <c r="AY95" i="9"/>
  <c r="BA94" i="9"/>
  <c r="AZ94" i="9"/>
  <c r="AX94" i="9"/>
  <c r="AY94" i="9"/>
  <c r="AW94" i="9"/>
  <c r="AV94" i="9"/>
  <c r="BA93" i="9"/>
  <c r="AZ93" i="9"/>
  <c r="AX93" i="9"/>
  <c r="AV93" i="9"/>
  <c r="AY93" i="9"/>
  <c r="AW93" i="9"/>
  <c r="BA92" i="9"/>
  <c r="AZ92" i="9"/>
  <c r="AX92" i="9"/>
  <c r="AY92" i="9"/>
  <c r="AW92" i="9"/>
  <c r="AV92" i="9"/>
  <c r="BA91" i="9"/>
  <c r="AZ91" i="9"/>
  <c r="AX91" i="9"/>
  <c r="AY91" i="9"/>
  <c r="AV91" i="9"/>
  <c r="AW91" i="9"/>
  <c r="BA90" i="9"/>
  <c r="AZ90" i="9"/>
  <c r="AX90" i="9"/>
  <c r="AY90" i="9"/>
  <c r="AW90" i="9"/>
  <c r="AV90" i="9"/>
  <c r="BA85" i="9"/>
  <c r="AZ85" i="9"/>
  <c r="AX85" i="9"/>
  <c r="AY85" i="9"/>
  <c r="AV85" i="9"/>
  <c r="AW85" i="9"/>
  <c r="BA84" i="9"/>
  <c r="AZ84" i="9"/>
  <c r="AX84" i="9"/>
  <c r="AY84" i="9"/>
  <c r="AW84" i="9"/>
  <c r="AV84" i="9"/>
  <c r="BA83" i="9"/>
  <c r="AZ83" i="9"/>
  <c r="AX83" i="9"/>
  <c r="AV83" i="9"/>
  <c r="AW83" i="9"/>
  <c r="AY83" i="9"/>
  <c r="BA82" i="9"/>
  <c r="AZ82" i="9"/>
  <c r="AX82" i="9"/>
  <c r="AY82" i="9"/>
  <c r="AW82" i="9"/>
  <c r="AV82" i="9"/>
  <c r="BA81" i="9"/>
  <c r="AZ81" i="9"/>
  <c r="AX81" i="9"/>
  <c r="AV81" i="9"/>
  <c r="AY81" i="9"/>
  <c r="AW81" i="9"/>
  <c r="BA80" i="9"/>
  <c r="AZ80" i="9"/>
  <c r="AX80" i="9"/>
  <c r="AY80" i="9"/>
  <c r="AW80" i="9"/>
  <c r="AV80" i="9"/>
  <c r="BA79" i="9"/>
  <c r="AZ79" i="9"/>
  <c r="AX79" i="9"/>
  <c r="AY79" i="9"/>
  <c r="AV79" i="9"/>
  <c r="AW79" i="9"/>
  <c r="BA78" i="9"/>
  <c r="AZ78" i="9"/>
  <c r="AX78" i="9"/>
  <c r="AY78" i="9"/>
  <c r="AW78" i="9"/>
  <c r="AV78" i="9"/>
  <c r="BA73" i="9"/>
  <c r="AZ73" i="9"/>
  <c r="AX73" i="9"/>
  <c r="AY73" i="9"/>
  <c r="AV73" i="9"/>
  <c r="AW73" i="9"/>
  <c r="BA72" i="9"/>
  <c r="AZ72" i="9"/>
  <c r="AX72" i="9"/>
  <c r="AY72" i="9"/>
  <c r="AW72" i="9"/>
  <c r="AV72" i="9"/>
  <c r="BA71" i="9"/>
  <c r="AZ71" i="9"/>
  <c r="AX71" i="9"/>
  <c r="AV71" i="9"/>
  <c r="AW71" i="9"/>
  <c r="AY71" i="9"/>
  <c r="BA70" i="9"/>
  <c r="AZ70" i="9"/>
  <c r="AX70" i="9"/>
  <c r="AY70" i="9"/>
  <c r="AW70" i="9"/>
  <c r="AV70" i="9"/>
  <c r="BA69" i="9"/>
  <c r="AZ69" i="9"/>
  <c r="AX69" i="9"/>
  <c r="AV69" i="9"/>
  <c r="AY69" i="9"/>
  <c r="AW69" i="9"/>
  <c r="BA68" i="9"/>
  <c r="AZ68" i="9"/>
  <c r="AX68" i="9"/>
  <c r="AY68" i="9"/>
  <c r="AW68" i="9"/>
  <c r="AV68" i="9"/>
  <c r="BA67" i="9"/>
  <c r="AZ67" i="9"/>
  <c r="AY67" i="9"/>
  <c r="AX67" i="9"/>
  <c r="AV67" i="9"/>
  <c r="AW67" i="9"/>
  <c r="BA66" i="9"/>
  <c r="AZ66" i="9"/>
  <c r="AX66" i="9"/>
  <c r="AY66" i="9"/>
  <c r="AW66" i="9"/>
  <c r="AV66" i="9"/>
  <c r="BA61" i="9"/>
  <c r="AZ61" i="9"/>
  <c r="AX61" i="9"/>
  <c r="AY61" i="9"/>
  <c r="AV61" i="9"/>
  <c r="AW61" i="9"/>
  <c r="BA60" i="9"/>
  <c r="AZ60" i="9"/>
  <c r="AX60" i="9"/>
  <c r="AY60" i="9"/>
  <c r="AW60" i="9"/>
  <c r="AV60" i="9"/>
  <c r="BA59" i="9"/>
  <c r="AZ59" i="9"/>
  <c r="AY59" i="9"/>
  <c r="AX59" i="9"/>
  <c r="AV59" i="9"/>
  <c r="AW59" i="9"/>
  <c r="BA58" i="9"/>
  <c r="AZ58" i="9"/>
  <c r="AX58" i="9"/>
  <c r="AY58" i="9"/>
  <c r="AW58" i="9"/>
  <c r="AV58" i="9"/>
  <c r="BA57" i="9"/>
  <c r="AZ57" i="9"/>
  <c r="AX57" i="9"/>
  <c r="AY57" i="9"/>
  <c r="AV57" i="9"/>
  <c r="AW57" i="9"/>
  <c r="BA56" i="9"/>
  <c r="AZ56" i="9"/>
  <c r="AX56" i="9"/>
  <c r="AY56" i="9"/>
  <c r="AW56" i="9"/>
  <c r="AV56" i="9"/>
  <c r="BA55" i="9"/>
  <c r="AZ55" i="9"/>
  <c r="AY55" i="9"/>
  <c r="AV55" i="9"/>
  <c r="AW55" i="9"/>
  <c r="AX55" i="9"/>
  <c r="BA54" i="9"/>
  <c r="AZ54" i="9"/>
  <c r="AX54" i="9"/>
  <c r="AY54" i="9"/>
  <c r="AW54" i="9"/>
  <c r="AV54" i="9"/>
  <c r="BA49" i="9"/>
  <c r="AZ49" i="9"/>
  <c r="AX49" i="9"/>
  <c r="AY49" i="9"/>
  <c r="AV49" i="9"/>
  <c r="AW49" i="9"/>
  <c r="BA48" i="9"/>
  <c r="AZ48" i="9"/>
  <c r="AX48" i="9"/>
  <c r="AY48" i="9"/>
  <c r="AW48" i="9"/>
  <c r="AV48" i="9"/>
  <c r="BA47" i="9"/>
  <c r="AZ47" i="9"/>
  <c r="AY47" i="9"/>
  <c r="AV47" i="9"/>
  <c r="AX47" i="9"/>
  <c r="AW47" i="9"/>
  <c r="BA46" i="9"/>
  <c r="AZ46" i="9"/>
  <c r="AX46" i="9"/>
  <c r="AY46" i="9"/>
  <c r="AW46" i="9"/>
  <c r="AV46" i="9"/>
  <c r="BA45" i="9"/>
  <c r="AZ45" i="9"/>
  <c r="AX45" i="9"/>
  <c r="AY45" i="9"/>
  <c r="AV45" i="9"/>
  <c r="AW45" i="9"/>
  <c r="BA44" i="9"/>
  <c r="AZ44" i="9"/>
  <c r="AX44" i="9"/>
  <c r="AY44" i="9"/>
  <c r="AW44" i="9"/>
  <c r="AV44" i="9"/>
  <c r="BA43" i="9"/>
  <c r="AZ43" i="9"/>
  <c r="AY43" i="9"/>
  <c r="AX43" i="9"/>
  <c r="AV43" i="9"/>
  <c r="AW43" i="9"/>
  <c r="BA42" i="9"/>
  <c r="AZ42" i="9"/>
  <c r="AX42" i="9"/>
  <c r="AY42" i="9"/>
  <c r="AW42" i="9"/>
  <c r="AV42" i="9"/>
  <c r="BA37" i="9"/>
  <c r="AZ37" i="9"/>
  <c r="AX37" i="9"/>
  <c r="AY37" i="9"/>
  <c r="AV37" i="9"/>
  <c r="AW37" i="9"/>
  <c r="BA36" i="9"/>
  <c r="AZ36" i="9"/>
  <c r="AX36" i="9"/>
  <c r="AY36" i="9"/>
  <c r="AW36" i="9"/>
  <c r="AV36" i="9"/>
  <c r="BA35" i="9"/>
  <c r="AZ35" i="9"/>
  <c r="AY35" i="9"/>
  <c r="AX35" i="9"/>
  <c r="AV35" i="9"/>
  <c r="AW35" i="9"/>
  <c r="BA34" i="9"/>
  <c r="AZ34" i="9"/>
  <c r="AX34" i="9"/>
  <c r="AY34" i="9"/>
  <c r="AW34" i="9"/>
  <c r="AV34" i="9"/>
  <c r="BA33" i="9"/>
  <c r="AZ33" i="9"/>
  <c r="AX33" i="9"/>
  <c r="AY33" i="9"/>
  <c r="AV33" i="9"/>
  <c r="AW33" i="9"/>
  <c r="BA32" i="9"/>
  <c r="AZ32" i="9"/>
  <c r="AX32" i="9"/>
  <c r="AY32" i="9"/>
  <c r="AW32" i="9"/>
  <c r="AV32" i="9"/>
  <c r="BA31" i="9"/>
  <c r="AZ31" i="9"/>
  <c r="AY31" i="9"/>
  <c r="AV31" i="9"/>
  <c r="AW31" i="9"/>
  <c r="AX31" i="9"/>
  <c r="BA30" i="9"/>
  <c r="AZ30" i="9"/>
  <c r="AX30" i="9"/>
  <c r="AY30" i="9"/>
  <c r="AW30" i="9"/>
  <c r="AV30" i="9"/>
  <c r="AA8" i="53" l="1"/>
  <c r="C130" i="53"/>
  <c r="D130" i="53"/>
  <c r="E130" i="53"/>
  <c r="F130" i="53"/>
  <c r="H130" i="53"/>
  <c r="I130" i="53"/>
  <c r="AA4" i="53" l="1"/>
  <c r="AA5" i="53"/>
  <c r="AA6" i="53"/>
  <c r="AA7" i="53"/>
  <c r="AA9" i="53"/>
  <c r="AA10" i="53"/>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P8" i="50" l="1"/>
  <c r="P9" i="50"/>
  <c r="P10" i="50"/>
  <c r="P11" i="50"/>
  <c r="P12" i="50"/>
  <c r="P13" i="50"/>
  <c r="P14" i="50"/>
  <c r="P15" i="50"/>
  <c r="P16" i="50"/>
  <c r="P17" i="50"/>
  <c r="P18" i="50"/>
  <c r="P19" i="50"/>
  <c r="P20" i="50"/>
  <c r="P48" i="50"/>
  <c r="P49" i="50"/>
  <c r="P50" i="50"/>
  <c r="P51" i="50"/>
  <c r="P52" i="50"/>
  <c r="P53" i="50"/>
  <c r="P54" i="50"/>
  <c r="P55" i="50"/>
  <c r="P56" i="50"/>
  <c r="P57" i="50"/>
  <c r="P58" i="50"/>
  <c r="P59" i="50"/>
  <c r="P60" i="50"/>
  <c r="P70" i="50"/>
  <c r="P71" i="50"/>
  <c r="P72" i="50"/>
  <c r="P73" i="50"/>
  <c r="P74" i="50"/>
  <c r="P75" i="50"/>
  <c r="P76" i="50"/>
  <c r="P77" i="50"/>
  <c r="P78" i="50"/>
  <c r="P79" i="50"/>
  <c r="P80" i="50"/>
  <c r="P81" i="50"/>
  <c r="P82" i="50"/>
  <c r="P110" i="50"/>
  <c r="P111" i="50"/>
  <c r="P112" i="50"/>
  <c r="P113" i="50"/>
  <c r="P114" i="50"/>
  <c r="P115" i="50"/>
  <c r="P116" i="50"/>
  <c r="P117" i="50"/>
  <c r="P118" i="50"/>
  <c r="P119" i="50"/>
  <c r="P120" i="50"/>
  <c r="P121" i="50"/>
  <c r="P122" i="50"/>
  <c r="P90" i="50"/>
  <c r="P91" i="50"/>
  <c r="P92" i="50"/>
  <c r="P93" i="50"/>
  <c r="P94" i="50"/>
  <c r="P95" i="50"/>
  <c r="P96" i="50"/>
  <c r="P97" i="50"/>
  <c r="P98" i="50"/>
  <c r="P99" i="50"/>
  <c r="P100" i="50"/>
  <c r="P101" i="50"/>
  <c r="P102" i="50"/>
  <c r="P29" i="50"/>
  <c r="P30" i="50"/>
  <c r="P31" i="50"/>
  <c r="P32" i="50"/>
  <c r="P33" i="50"/>
  <c r="P34" i="50"/>
  <c r="P35" i="50"/>
  <c r="P36" i="50"/>
  <c r="P37" i="50"/>
  <c r="P38" i="50"/>
  <c r="P39" i="50"/>
  <c r="P40" i="50"/>
  <c r="P28" i="50"/>
  <c r="AA243" i="53" l="1"/>
  <c r="AA242" i="53"/>
  <c r="AA241" i="53"/>
  <c r="AA240" i="53"/>
  <c r="AA239" i="53"/>
  <c r="AA238" i="53"/>
  <c r="AA237" i="53"/>
  <c r="AA236" i="53"/>
  <c r="AA235" i="53"/>
  <c r="AA234" i="53"/>
  <c r="AA233" i="53"/>
  <c r="AA232" i="53"/>
  <c r="AA231" i="53"/>
  <c r="AA230" i="53"/>
  <c r="AA229" i="53"/>
  <c r="AA228" i="53"/>
  <c r="AA227" i="53"/>
  <c r="AA226" i="53"/>
  <c r="AA225" i="53"/>
  <c r="AA224" i="53"/>
  <c r="AA223" i="53"/>
  <c r="AA222" i="53"/>
  <c r="AA221" i="53"/>
  <c r="AA220" i="53"/>
  <c r="AA219" i="53"/>
  <c r="AA218" i="53"/>
  <c r="AA217" i="53"/>
  <c r="AA216" i="53"/>
  <c r="AA215" i="53"/>
  <c r="AA214" i="53"/>
  <c r="AA213" i="53"/>
  <c r="AA212" i="53"/>
  <c r="AA211" i="53"/>
  <c r="AA210" i="53"/>
  <c r="AA209" i="53"/>
  <c r="AA208" i="53"/>
  <c r="AA207" i="53"/>
  <c r="AA206" i="53"/>
  <c r="AA205" i="53"/>
  <c r="AA204" i="53"/>
  <c r="AA203" i="53"/>
  <c r="AA202" i="53"/>
  <c r="AA201" i="53"/>
  <c r="AA200" i="53"/>
  <c r="AA199" i="53"/>
  <c r="AA198" i="53"/>
  <c r="AA197" i="53"/>
  <c r="AA196" i="53"/>
  <c r="AA195" i="53"/>
  <c r="AA194" i="53"/>
  <c r="AA193" i="53"/>
  <c r="AA192" i="53"/>
  <c r="AA191" i="53"/>
  <c r="AA190" i="53"/>
  <c r="AA189" i="53"/>
  <c r="AA188" i="53"/>
  <c r="AA187" i="53"/>
  <c r="AA186" i="53"/>
  <c r="AA185" i="53"/>
  <c r="AA184" i="53"/>
  <c r="AA183" i="53"/>
  <c r="AA182" i="53"/>
  <c r="AA181" i="53"/>
  <c r="AA180" i="53"/>
  <c r="AA179" i="53"/>
  <c r="AA178" i="53"/>
  <c r="AA177" i="53"/>
  <c r="AA176" i="53"/>
  <c r="AA175" i="53"/>
  <c r="AA174" i="53"/>
  <c r="AA173" i="53"/>
  <c r="AA172" i="53"/>
  <c r="AA171" i="53"/>
  <c r="AA170" i="53"/>
  <c r="AA169" i="53"/>
  <c r="AA168" i="53"/>
  <c r="AA167" i="53"/>
  <c r="AA166" i="53"/>
  <c r="AA165" i="53"/>
  <c r="AA164" i="53"/>
  <c r="AA163" i="53"/>
  <c r="AA162" i="53"/>
  <c r="AA161" i="53"/>
  <c r="AA160" i="53"/>
  <c r="AA159" i="53"/>
  <c r="AA158" i="53"/>
  <c r="AA157" i="53"/>
  <c r="AA156" i="53"/>
  <c r="AA155" i="53"/>
  <c r="AA154" i="53"/>
  <c r="AA153" i="53"/>
  <c r="AA152" i="53"/>
  <c r="AA151" i="53"/>
  <c r="AA150" i="53"/>
  <c r="AA149" i="53"/>
  <c r="AA148" i="53"/>
  <c r="AA147" i="53"/>
  <c r="AA146" i="53"/>
  <c r="AA145" i="53"/>
  <c r="AA144" i="53"/>
  <c r="AA143" i="53"/>
  <c r="AA142" i="53"/>
  <c r="AA141" i="53"/>
  <c r="AA140" i="53"/>
  <c r="AA139" i="53"/>
  <c r="AA138" i="53"/>
  <c r="AA137" i="53"/>
  <c r="AA136" i="53"/>
  <c r="AA135" i="53"/>
  <c r="AA134" i="53"/>
  <c r="AA133" i="53"/>
  <c r="AA132" i="53"/>
  <c r="AA131" i="53"/>
  <c r="AA130" i="53"/>
  <c r="AA129" i="53"/>
  <c r="AA128" i="53"/>
  <c r="AA127" i="53"/>
  <c r="AA126" i="53"/>
  <c r="AA125" i="53"/>
  <c r="AA124" i="53"/>
  <c r="AA123" i="53"/>
  <c r="AA122" i="53"/>
  <c r="AA121" i="53"/>
  <c r="AA120" i="53"/>
  <c r="AA119" i="53"/>
  <c r="AA118" i="53"/>
  <c r="AA117" i="53"/>
  <c r="AA116" i="53"/>
  <c r="AA115" i="53"/>
  <c r="AA114" i="53"/>
  <c r="AA113" i="53"/>
  <c r="AA112" i="53"/>
  <c r="AA111" i="53"/>
  <c r="AA110" i="53"/>
  <c r="AA109" i="53"/>
  <c r="AA108" i="53"/>
  <c r="AA107" i="53"/>
  <c r="AA106" i="53"/>
  <c r="AA105" i="53"/>
  <c r="AA104" i="53"/>
  <c r="AA103" i="53"/>
  <c r="AA102" i="53"/>
  <c r="AA101" i="53"/>
  <c r="AA100" i="53"/>
  <c r="AA99" i="53"/>
  <c r="AA98" i="53"/>
  <c r="AA97" i="53"/>
  <c r="AA96" i="53"/>
  <c r="AA95" i="53"/>
  <c r="AA94" i="53"/>
  <c r="AA93" i="53"/>
  <c r="AA92" i="53"/>
  <c r="AA91" i="53"/>
  <c r="AA90" i="53"/>
  <c r="AA89" i="53"/>
  <c r="AA88" i="53"/>
  <c r="AA87" i="53"/>
  <c r="AA86" i="53"/>
  <c r="AA85" i="53"/>
  <c r="AA84" i="53"/>
  <c r="AA83" i="53"/>
  <c r="AA82" i="53"/>
  <c r="AA81" i="53"/>
  <c r="AA80" i="53"/>
  <c r="AA79" i="53"/>
  <c r="AA78" i="53"/>
  <c r="AA77" i="53"/>
  <c r="AA76" i="53"/>
  <c r="AA75" i="53"/>
  <c r="AA74" i="53"/>
  <c r="AA73" i="53"/>
  <c r="AA72" i="53"/>
  <c r="AA71" i="53"/>
  <c r="AA70" i="53"/>
  <c r="AA69" i="53"/>
  <c r="AA68" i="53"/>
  <c r="AA67" i="53"/>
  <c r="AA66" i="53"/>
  <c r="AA65" i="53"/>
  <c r="AA64" i="53"/>
  <c r="AA63" i="53"/>
  <c r="AA62" i="53"/>
  <c r="AA61" i="53"/>
  <c r="AA60" i="53"/>
  <c r="AA59" i="53"/>
  <c r="AA58" i="53"/>
  <c r="AA57" i="53"/>
  <c r="AA56" i="53"/>
  <c r="AA55" i="53"/>
  <c r="AA54" i="53"/>
  <c r="AA53" i="53"/>
  <c r="AA52" i="53"/>
  <c r="AA51" i="53"/>
  <c r="AA50" i="53"/>
  <c r="AA49" i="53"/>
  <c r="AA48" i="53"/>
  <c r="AA47" i="53"/>
  <c r="AA46" i="53"/>
  <c r="AA45" i="53"/>
  <c r="AA44" i="53"/>
  <c r="AA43" i="53"/>
  <c r="AA42" i="53"/>
  <c r="AA41" i="53"/>
  <c r="AA40" i="53"/>
  <c r="AA39" i="53"/>
  <c r="AA38" i="53"/>
  <c r="AA37" i="53"/>
  <c r="AA36" i="53"/>
  <c r="AA35" i="53"/>
  <c r="AA34" i="53"/>
  <c r="AA33" i="53"/>
  <c r="AA32" i="53"/>
  <c r="AA31" i="53"/>
  <c r="AA30" i="53"/>
  <c r="AA29" i="53"/>
  <c r="AA28" i="53"/>
  <c r="AA27" i="53"/>
  <c r="AA26" i="53"/>
  <c r="AA25" i="53"/>
  <c r="AA24" i="53"/>
  <c r="AA23" i="53"/>
  <c r="AA22" i="53"/>
  <c r="AA21" i="53"/>
  <c r="AA20" i="53"/>
  <c r="AA19" i="53"/>
  <c r="AA18" i="53"/>
  <c r="AA17" i="53"/>
  <c r="AA16" i="53"/>
  <c r="AA15" i="53"/>
  <c r="AA14" i="53"/>
  <c r="AA13" i="53"/>
  <c r="AA12" i="53"/>
  <c r="AA11" i="53"/>
  <c r="Q8" i="50" l="1"/>
  <c r="R8" i="50"/>
  <c r="Q9" i="50"/>
  <c r="R9" i="50"/>
  <c r="Q10" i="50"/>
  <c r="R10" i="50"/>
  <c r="Q11" i="50"/>
  <c r="R11" i="50"/>
  <c r="Q12" i="50"/>
  <c r="R12" i="50"/>
  <c r="Q13" i="50"/>
  <c r="R13" i="50"/>
  <c r="Q14" i="50"/>
  <c r="R14" i="50"/>
  <c r="Q15" i="50"/>
  <c r="R15" i="50"/>
  <c r="Q16" i="50"/>
  <c r="R16" i="50"/>
  <c r="Q17" i="50"/>
  <c r="R17" i="50"/>
  <c r="Q18" i="50"/>
  <c r="R18" i="50"/>
  <c r="Q19" i="50"/>
  <c r="R19" i="50"/>
  <c r="Q20" i="50"/>
  <c r="R20" i="50"/>
  <c r="O25" i="50"/>
  <c r="Q28" i="50"/>
  <c r="R28" i="50"/>
  <c r="Q29" i="50"/>
  <c r="R29" i="50"/>
  <c r="Q30" i="50"/>
  <c r="R30" i="50"/>
  <c r="Q31" i="50"/>
  <c r="R31" i="50"/>
  <c r="Q32" i="50"/>
  <c r="R32" i="50"/>
  <c r="Q33" i="50"/>
  <c r="R33" i="50"/>
  <c r="Q34" i="50"/>
  <c r="R34" i="50"/>
  <c r="Q35" i="50"/>
  <c r="R35" i="50"/>
  <c r="Q36" i="50"/>
  <c r="R36" i="50"/>
  <c r="Q37" i="50"/>
  <c r="R37" i="50"/>
  <c r="Q38" i="50"/>
  <c r="R38" i="50"/>
  <c r="Q39" i="50"/>
  <c r="R39" i="50"/>
  <c r="Q40" i="50"/>
  <c r="R40" i="50"/>
  <c r="Q48" i="50"/>
  <c r="R48" i="50"/>
  <c r="Q49" i="50"/>
  <c r="R49" i="50"/>
  <c r="Q50" i="50"/>
  <c r="R50" i="50"/>
  <c r="Q51" i="50"/>
  <c r="R51" i="50"/>
  <c r="Q52" i="50"/>
  <c r="R52" i="50"/>
  <c r="Q53" i="50"/>
  <c r="R53" i="50"/>
  <c r="Q54" i="50"/>
  <c r="R54" i="50"/>
  <c r="Q55" i="50"/>
  <c r="R55" i="50"/>
  <c r="Q56" i="50"/>
  <c r="R56" i="50"/>
  <c r="Q57" i="50"/>
  <c r="R57" i="50"/>
  <c r="Q58" i="50"/>
  <c r="R58" i="50"/>
  <c r="Q59" i="50"/>
  <c r="R59" i="50"/>
  <c r="Q60" i="50"/>
  <c r="R60" i="50"/>
  <c r="Q70" i="50"/>
  <c r="R70" i="50"/>
  <c r="Q71" i="50"/>
  <c r="R71" i="50"/>
  <c r="Q72" i="50"/>
  <c r="R72" i="50"/>
  <c r="Q73" i="50"/>
  <c r="R73" i="50"/>
  <c r="Q74" i="50"/>
  <c r="R74" i="50"/>
  <c r="Q75" i="50"/>
  <c r="R75" i="50"/>
  <c r="Q76" i="50"/>
  <c r="R76" i="50"/>
  <c r="Q77" i="50"/>
  <c r="R77" i="50"/>
  <c r="Q78" i="50"/>
  <c r="R78" i="50"/>
  <c r="Q79" i="50"/>
  <c r="R79" i="50"/>
  <c r="Q80" i="50"/>
  <c r="R80" i="50"/>
  <c r="Q81" i="50"/>
  <c r="R81" i="50"/>
  <c r="Q82" i="50"/>
  <c r="R82" i="50"/>
  <c r="O87" i="50"/>
  <c r="Q90" i="50"/>
  <c r="R90" i="50"/>
  <c r="Q91" i="50"/>
  <c r="R91" i="50"/>
  <c r="Q92" i="50"/>
  <c r="R92" i="50"/>
  <c r="Q93" i="50"/>
  <c r="R93" i="50"/>
  <c r="Q94" i="50"/>
  <c r="R94" i="50"/>
  <c r="Q95" i="50"/>
  <c r="R95" i="50"/>
  <c r="Q96" i="50"/>
  <c r="R96" i="50"/>
  <c r="Q97" i="50"/>
  <c r="R97" i="50"/>
  <c r="Q98" i="50"/>
  <c r="R98" i="50"/>
  <c r="Q99" i="50"/>
  <c r="R99" i="50"/>
  <c r="Q100" i="50"/>
  <c r="R100" i="50"/>
  <c r="Q101" i="50"/>
  <c r="R101" i="50"/>
  <c r="Q102" i="50"/>
  <c r="R102" i="50"/>
  <c r="Q110" i="50"/>
  <c r="R110" i="50"/>
  <c r="Q111" i="50"/>
  <c r="R111" i="50"/>
  <c r="Q112" i="50"/>
  <c r="R112" i="50"/>
  <c r="Q113" i="50"/>
  <c r="R113" i="50"/>
  <c r="Q114" i="50"/>
  <c r="R114" i="50"/>
  <c r="Q115" i="50"/>
  <c r="R115" i="50"/>
  <c r="Q116" i="50"/>
  <c r="R116" i="50"/>
  <c r="Q117" i="50"/>
  <c r="R117" i="50"/>
  <c r="Q118" i="50"/>
  <c r="R118" i="50"/>
  <c r="Q119" i="50"/>
  <c r="R119" i="50"/>
  <c r="Q120" i="50"/>
  <c r="R120" i="50"/>
  <c r="Q121" i="50"/>
  <c r="R121" i="50"/>
  <c r="Q122" i="50"/>
  <c r="R122" i="50"/>
  <c r="B3" i="12" l="1"/>
  <c r="A115" i="44" l="1"/>
  <c r="F115" i="44" s="1"/>
  <c r="E3" i="10"/>
  <c r="A13" i="10" l="1"/>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12" i="10"/>
  <c r="B3" i="45" l="1"/>
  <c r="Q5" i="9" l="1"/>
  <c r="Q8" i="9"/>
  <c r="Q11" i="9"/>
  <c r="Q14" i="9"/>
  <c r="Q17" i="9"/>
  <c r="Q20" i="9"/>
  <c r="Z20" i="9" s="1"/>
  <c r="Q23" i="9"/>
  <c r="Q26" i="9"/>
  <c r="Q29" i="9"/>
  <c r="Q32" i="9"/>
  <c r="Q35" i="9"/>
  <c r="Q38" i="9"/>
  <c r="Z38" i="9" s="1"/>
  <c r="AA38" i="9" s="1"/>
  <c r="T38" i="9" s="1"/>
  <c r="Q41" i="9"/>
  <c r="Q44" i="9"/>
  <c r="Q47" i="9"/>
  <c r="Q50" i="9"/>
  <c r="Q53" i="9"/>
  <c r="Q56" i="9"/>
  <c r="Q59" i="9"/>
  <c r="Q62" i="9"/>
  <c r="Q65" i="9"/>
  <c r="Q68" i="9"/>
  <c r="Z68" i="9" s="1"/>
  <c r="AA68" i="9" s="1"/>
  <c r="T68" i="9" s="1"/>
  <c r="Q71" i="9"/>
  <c r="Q74" i="9"/>
  <c r="Q77" i="9"/>
  <c r="Q80" i="9"/>
  <c r="Z80" i="9" s="1"/>
  <c r="AA80" i="9" s="1"/>
  <c r="T80" i="9" s="1"/>
  <c r="Q83" i="9"/>
  <c r="Q86" i="9"/>
  <c r="Z86" i="9" s="1"/>
  <c r="AA86" i="9" s="1"/>
  <c r="T86" i="9" s="1"/>
  <c r="Q89" i="9"/>
  <c r="Q92" i="9"/>
  <c r="Q95" i="9"/>
  <c r="Q98" i="9"/>
  <c r="Z98" i="9" s="1"/>
  <c r="AA98" i="9" s="1"/>
  <c r="T98" i="9" s="1"/>
  <c r="Q101" i="9"/>
  <c r="Z101" i="9" s="1"/>
  <c r="AA101" i="9" s="1"/>
  <c r="T101" i="9" s="1"/>
  <c r="Q104" i="9"/>
  <c r="Q107" i="9"/>
  <c r="Q110" i="9"/>
  <c r="Q113" i="9"/>
  <c r="Z113" i="9" s="1"/>
  <c r="AA113" i="9" s="1"/>
  <c r="T113" i="9" s="1"/>
  <c r="Q116" i="9"/>
  <c r="Q119" i="9"/>
  <c r="Z119" i="9" s="1"/>
  <c r="AA119" i="9" s="1"/>
  <c r="T119" i="9" s="1"/>
  <c r="Q122" i="9"/>
  <c r="Z122" i="9" s="1"/>
  <c r="AA122" i="9" s="1"/>
  <c r="T122" i="9" s="1"/>
  <c r="Q125" i="9"/>
  <c r="Z125" i="9" s="1"/>
  <c r="AA125" i="9" s="1"/>
  <c r="T125" i="9" s="1"/>
  <c r="Q128" i="9"/>
  <c r="Q131" i="9"/>
  <c r="Q134" i="9"/>
  <c r="Z134" i="9" s="1"/>
  <c r="AA134" i="9" s="1"/>
  <c r="T134" i="9" s="1"/>
  <c r="Q137" i="9"/>
  <c r="Q143" i="9"/>
  <c r="Q146" i="9"/>
  <c r="Q149" i="9"/>
  <c r="Q152" i="9"/>
  <c r="Q155" i="9"/>
  <c r="Q158" i="9"/>
  <c r="Z158" i="9" s="1"/>
  <c r="AA158" i="9" s="1"/>
  <c r="T158" i="9" s="1"/>
  <c r="Q161" i="9"/>
  <c r="Z161" i="9" s="1"/>
  <c r="AA161" i="9" s="1"/>
  <c r="T161" i="9" s="1"/>
  <c r="Q164" i="9"/>
  <c r="Q167" i="9"/>
  <c r="Z167" i="9" s="1"/>
  <c r="AA167" i="9" s="1"/>
  <c r="T167" i="9" s="1"/>
  <c r="Q170" i="9"/>
  <c r="Q173" i="9"/>
  <c r="Q176" i="9"/>
  <c r="Z176" i="9" s="1"/>
  <c r="AA176" i="9" s="1"/>
  <c r="T176" i="9" s="1"/>
  <c r="Q179" i="9"/>
  <c r="Q182" i="9"/>
  <c r="Z182" i="9" s="1"/>
  <c r="AA182" i="9" s="1"/>
  <c r="T182" i="9" s="1"/>
  <c r="Q185" i="9"/>
  <c r="Q188" i="9"/>
  <c r="Z188" i="9" s="1"/>
  <c r="AA188" i="9" s="1"/>
  <c r="T188" i="9" s="1"/>
  <c r="Q191" i="9"/>
  <c r="Z191" i="9" s="1"/>
  <c r="AA191" i="9" s="1"/>
  <c r="T191" i="9" s="1"/>
  <c r="Q194" i="9"/>
  <c r="Z194" i="9" s="1"/>
  <c r="AA194" i="9" s="1"/>
  <c r="T194" i="9" s="1"/>
  <c r="Q197" i="9"/>
  <c r="Q200" i="9"/>
  <c r="Z200" i="9" s="1"/>
  <c r="AA200" i="9" s="1"/>
  <c r="T200" i="9" s="1"/>
  <c r="Q203" i="9"/>
  <c r="Q206" i="9"/>
  <c r="Q209" i="9"/>
  <c r="Q212" i="9"/>
  <c r="Z212" i="9" s="1"/>
  <c r="AA212" i="9" s="1"/>
  <c r="T212" i="9" s="1"/>
  <c r="Q215" i="9"/>
  <c r="Z215" i="9" s="1"/>
  <c r="AA215" i="9" s="1"/>
  <c r="T215" i="9" s="1"/>
  <c r="Q218" i="9"/>
  <c r="Q221" i="9"/>
  <c r="Z221" i="9" s="1"/>
  <c r="AA221" i="9" s="1"/>
  <c r="T221" i="9" s="1"/>
  <c r="Q224" i="9"/>
  <c r="Q227" i="9"/>
  <c r="Z227" i="9" s="1"/>
  <c r="AA227" i="9" s="1"/>
  <c r="T227" i="9" s="1"/>
  <c r="Q230" i="9"/>
  <c r="Z230" i="9" s="1"/>
  <c r="AA230" i="9" s="1"/>
  <c r="T230" i="9" s="1"/>
  <c r="Q233" i="9"/>
  <c r="Q236" i="9"/>
  <c r="Q239" i="9"/>
  <c r="Q242" i="9"/>
  <c r="Q245" i="9"/>
  <c r="Q248" i="9"/>
  <c r="Q251" i="9"/>
  <c r="Q254" i="9"/>
  <c r="Q257" i="9"/>
  <c r="Q260" i="9"/>
  <c r="Q263" i="9"/>
  <c r="Q266" i="9"/>
  <c r="Q269" i="9"/>
  <c r="Z269" i="9" s="1"/>
  <c r="AA269" i="9" s="1"/>
  <c r="T269" i="9" s="1"/>
  <c r="Q272" i="9"/>
  <c r="Q275" i="9"/>
  <c r="Q278" i="9"/>
  <c r="Q281" i="9"/>
  <c r="Z281" i="9" s="1"/>
  <c r="AA281" i="9" s="1"/>
  <c r="T281" i="9" s="1"/>
  <c r="Q284" i="9"/>
  <c r="Q287" i="9"/>
  <c r="Q290" i="9"/>
  <c r="Q293" i="9"/>
  <c r="Q296" i="9"/>
  <c r="Q299" i="9"/>
  <c r="Z299" i="9" s="1"/>
  <c r="AA299" i="9" s="1"/>
  <c r="T299" i="9" s="1"/>
  <c r="Q302" i="9"/>
  <c r="Z302" i="9" s="1"/>
  <c r="AA302" i="9" s="1"/>
  <c r="T302" i="9" s="1"/>
  <c r="Q305" i="9"/>
  <c r="Q308" i="9"/>
  <c r="Q311" i="9"/>
  <c r="Z311" i="9" s="1"/>
  <c r="AA311" i="9" s="1"/>
  <c r="T311" i="9" s="1"/>
  <c r="Q314" i="9"/>
  <c r="Z314" i="9" s="1"/>
  <c r="AA314" i="9" s="1"/>
  <c r="T314" i="9" s="1"/>
  <c r="Q317" i="9"/>
  <c r="Z317" i="9" s="1"/>
  <c r="AA317" i="9" s="1"/>
  <c r="T317" i="9" s="1"/>
  <c r="Q320" i="9"/>
  <c r="Z320" i="9" s="1"/>
  <c r="AA320" i="9" s="1"/>
  <c r="T320" i="9" s="1"/>
  <c r="Q323" i="9"/>
  <c r="Q326" i="9"/>
  <c r="Z326" i="9" s="1"/>
  <c r="AA326" i="9" s="1"/>
  <c r="T326" i="9" s="1"/>
  <c r="Q329" i="9"/>
  <c r="Q332" i="9"/>
  <c r="Z332" i="9" s="1"/>
  <c r="AA332" i="9" s="1"/>
  <c r="T332" i="9" s="1"/>
  <c r="Q335" i="9"/>
  <c r="Q338" i="9"/>
  <c r="Z338" i="9" s="1"/>
  <c r="AA338" i="9" s="1"/>
  <c r="T338" i="9" s="1"/>
  <c r="Q341" i="9"/>
  <c r="Q344" i="9"/>
  <c r="Q347" i="9"/>
  <c r="Q350" i="9"/>
  <c r="Z350" i="9" s="1"/>
  <c r="AA350" i="9" s="1"/>
  <c r="T350" i="9" s="1"/>
  <c r="Q353" i="9"/>
  <c r="Q356" i="9"/>
  <c r="Q359" i="9"/>
  <c r="Q362" i="9"/>
  <c r="Q365" i="9"/>
  <c r="Q368" i="9"/>
  <c r="Q371" i="9"/>
  <c r="Z371" i="9" s="1"/>
  <c r="AA371" i="9" s="1"/>
  <c r="T371" i="9" s="1"/>
  <c r="Q374" i="9"/>
  <c r="Q377" i="9"/>
  <c r="Q380" i="9"/>
  <c r="Z380" i="9" s="1"/>
  <c r="AA380" i="9" s="1"/>
  <c r="T380" i="9" s="1"/>
  <c r="Q383" i="9"/>
  <c r="Q386" i="9"/>
  <c r="Q389" i="9"/>
  <c r="Q392" i="9"/>
  <c r="Z392" i="9" s="1"/>
  <c r="AA392" i="9" s="1"/>
  <c r="T392" i="9" s="1"/>
  <c r="Q395" i="9"/>
  <c r="Q398" i="9"/>
  <c r="Z398" i="9" s="1"/>
  <c r="AA398" i="9" s="1"/>
  <c r="T398" i="9" s="1"/>
  <c r="Q401" i="9"/>
  <c r="Q404" i="9"/>
  <c r="Z404" i="9" s="1"/>
  <c r="AA404" i="9" s="1"/>
  <c r="T404" i="9" s="1"/>
  <c r="Q407" i="9"/>
  <c r="Q410" i="9"/>
  <c r="Z410" i="9" s="1"/>
  <c r="AA410" i="9" s="1"/>
  <c r="T410" i="9" s="1"/>
  <c r="Q413" i="9"/>
  <c r="Z413" i="9" s="1"/>
  <c r="AA413" i="9" s="1"/>
  <c r="T413" i="9" s="1"/>
  <c r="Q416" i="9"/>
  <c r="Q419" i="9"/>
  <c r="Z419" i="9" s="1"/>
  <c r="AA419" i="9" s="1"/>
  <c r="T419" i="9" s="1"/>
  <c r="Q422" i="9"/>
  <c r="Z422" i="9" s="1"/>
  <c r="AA422" i="9" s="1"/>
  <c r="T422" i="9" s="1"/>
  <c r="Q425" i="9"/>
  <c r="Q428" i="9"/>
  <c r="Z428" i="9" s="1"/>
  <c r="AA428" i="9" s="1"/>
  <c r="T428" i="9" s="1"/>
  <c r="Q431" i="9"/>
  <c r="Q434" i="9"/>
  <c r="Q437" i="9"/>
  <c r="Q440" i="9"/>
  <c r="Q443" i="9"/>
  <c r="Q446" i="9"/>
  <c r="Z446" i="9" s="1"/>
  <c r="AA446" i="9" s="1"/>
  <c r="T446" i="9" s="1"/>
  <c r="Q449" i="9"/>
  <c r="Q452" i="9"/>
  <c r="Q455" i="9"/>
  <c r="Z455" i="9" s="1"/>
  <c r="AA455" i="9" s="1"/>
  <c r="T455" i="9" s="1"/>
  <c r="Q458" i="9"/>
  <c r="Q461" i="9"/>
  <c r="Q464" i="9"/>
  <c r="Q467" i="9"/>
  <c r="Z467" i="9" s="1"/>
  <c r="AA467" i="9" s="1"/>
  <c r="T467" i="9" s="1"/>
  <c r="Q470" i="9"/>
  <c r="Q473" i="9"/>
  <c r="Q476" i="9"/>
  <c r="Q479" i="9"/>
  <c r="Z479" i="9" s="1"/>
  <c r="AA479" i="9" s="1"/>
  <c r="T479" i="9" s="1"/>
  <c r="Q482" i="9"/>
  <c r="Z482" i="9" s="1"/>
  <c r="AA482" i="9" s="1"/>
  <c r="T482" i="9" s="1"/>
  <c r="Q485" i="9"/>
  <c r="Q488" i="9"/>
  <c r="Q491" i="9"/>
  <c r="Z491" i="9" s="1"/>
  <c r="AA491" i="9" s="1"/>
  <c r="T491" i="9" s="1"/>
  <c r="Q494" i="9"/>
  <c r="Z494" i="9" s="1"/>
  <c r="AA494" i="9" s="1"/>
  <c r="T494" i="9" s="1"/>
  <c r="Q497" i="9"/>
  <c r="Q500" i="9"/>
  <c r="Q503" i="9"/>
  <c r="Z503" i="9" s="1"/>
  <c r="AA503" i="9" s="1"/>
  <c r="T503" i="9" s="1"/>
  <c r="Q506" i="9"/>
  <c r="Q509" i="9"/>
  <c r="Q512" i="9"/>
  <c r="Q515" i="9"/>
  <c r="Z515" i="9" s="1"/>
  <c r="AA515" i="9" s="1"/>
  <c r="T515" i="9" s="1"/>
  <c r="Q518" i="9"/>
  <c r="Q521" i="9"/>
  <c r="Q524" i="9"/>
  <c r="Q527" i="9"/>
  <c r="Z527" i="9" s="1"/>
  <c r="AA527" i="9" s="1"/>
  <c r="T527" i="9" s="1"/>
  <c r="Q530" i="9"/>
  <c r="Q533" i="9"/>
  <c r="Z533" i="9" s="1"/>
  <c r="AA533" i="9" s="1"/>
  <c r="T533" i="9" s="1"/>
  <c r="Q536" i="9"/>
  <c r="Z536" i="9" s="1"/>
  <c r="AA536" i="9" s="1"/>
  <c r="T536" i="9" s="1"/>
  <c r="Q539" i="9"/>
  <c r="Q542" i="9"/>
  <c r="Q545" i="9"/>
  <c r="Z545" i="9" s="1"/>
  <c r="AA545" i="9" s="1"/>
  <c r="T545" i="9" s="1"/>
  <c r="Q548" i="9"/>
  <c r="Z548" i="9" s="1"/>
  <c r="AA548" i="9" s="1"/>
  <c r="T548" i="9" s="1"/>
  <c r="Q551" i="9"/>
  <c r="Q554" i="9"/>
  <c r="Q557" i="9"/>
  <c r="Z557" i="9" s="1"/>
  <c r="AA557" i="9" s="1"/>
  <c r="T557" i="9" s="1"/>
  <c r="Q560" i="9"/>
  <c r="Z560" i="9" s="1"/>
  <c r="AA560" i="9" s="1"/>
  <c r="T560" i="9" s="1"/>
  <c r="Q563" i="9"/>
  <c r="Q566" i="9"/>
  <c r="Q567" i="9" s="1"/>
  <c r="S566" i="9"/>
  <c r="U566" i="9"/>
  <c r="V566" i="9"/>
  <c r="W566" i="9"/>
  <c r="X566" i="9"/>
  <c r="Y566" i="9"/>
  <c r="AE566" i="9"/>
  <c r="AK566" i="9" s="1"/>
  <c r="AF566" i="9"/>
  <c r="S567" i="9"/>
  <c r="U567" i="9"/>
  <c r="V567" i="9"/>
  <c r="W567" i="9"/>
  <c r="X567" i="9"/>
  <c r="Y567" i="9"/>
  <c r="AE567" i="9"/>
  <c r="AK567" i="9" s="1"/>
  <c r="AF567" i="9"/>
  <c r="S568" i="9"/>
  <c r="U568" i="9"/>
  <c r="V568" i="9"/>
  <c r="W568" i="9"/>
  <c r="X568" i="9"/>
  <c r="Y568" i="9"/>
  <c r="AE568" i="9"/>
  <c r="AK568" i="9" s="1"/>
  <c r="AF568" i="9"/>
  <c r="Q569" i="9"/>
  <c r="Q570" i="9" s="1"/>
  <c r="S569" i="9"/>
  <c r="U569" i="9"/>
  <c r="V569" i="9"/>
  <c r="W569" i="9"/>
  <c r="X569" i="9"/>
  <c r="Y569" i="9"/>
  <c r="AE569" i="9"/>
  <c r="AK569" i="9" s="1"/>
  <c r="AF569" i="9"/>
  <c r="S570" i="9"/>
  <c r="U570" i="9"/>
  <c r="V570" i="9"/>
  <c r="W570" i="9"/>
  <c r="X570" i="9"/>
  <c r="Y570" i="9"/>
  <c r="AE570" i="9"/>
  <c r="AK570" i="9" s="1"/>
  <c r="AF570" i="9"/>
  <c r="S571" i="9"/>
  <c r="U571" i="9"/>
  <c r="V571" i="9"/>
  <c r="W571" i="9"/>
  <c r="X571" i="9"/>
  <c r="Y571" i="9"/>
  <c r="AE571" i="9"/>
  <c r="AK571" i="9" s="1"/>
  <c r="AF571" i="9"/>
  <c r="Q572" i="9"/>
  <c r="Q573" i="9" s="1"/>
  <c r="Q574" i="9" s="1"/>
  <c r="S572" i="9"/>
  <c r="U572" i="9"/>
  <c r="V572" i="9"/>
  <c r="W572" i="9"/>
  <c r="X572" i="9"/>
  <c r="Y572" i="9"/>
  <c r="AE572" i="9"/>
  <c r="AK572" i="9" s="1"/>
  <c r="AF572" i="9"/>
  <c r="S573" i="9"/>
  <c r="U573" i="9"/>
  <c r="V573" i="9"/>
  <c r="W573" i="9"/>
  <c r="X573" i="9"/>
  <c r="Y573" i="9"/>
  <c r="AE573" i="9"/>
  <c r="AK573" i="9" s="1"/>
  <c r="AF573" i="9"/>
  <c r="S574" i="9"/>
  <c r="U574" i="9"/>
  <c r="V574" i="9"/>
  <c r="W574" i="9"/>
  <c r="X574" i="9"/>
  <c r="Y574" i="9"/>
  <c r="AE574" i="9"/>
  <c r="AK574" i="9" s="1"/>
  <c r="AF574" i="9"/>
  <c r="Q575" i="9"/>
  <c r="S575" i="9"/>
  <c r="U575" i="9"/>
  <c r="V575" i="9"/>
  <c r="W575" i="9"/>
  <c r="X575" i="9"/>
  <c r="Y575" i="9"/>
  <c r="AE575" i="9"/>
  <c r="AK575" i="9" s="1"/>
  <c r="AF575" i="9"/>
  <c r="S576" i="9"/>
  <c r="U576" i="9"/>
  <c r="V576" i="9"/>
  <c r="W576" i="9"/>
  <c r="X576" i="9"/>
  <c r="Y576" i="9"/>
  <c r="AE576" i="9"/>
  <c r="AK576" i="9" s="1"/>
  <c r="AF576" i="9"/>
  <c r="S577" i="9"/>
  <c r="U577" i="9"/>
  <c r="V577" i="9"/>
  <c r="W577" i="9"/>
  <c r="X577" i="9"/>
  <c r="Y577" i="9"/>
  <c r="AE577" i="9"/>
  <c r="AK577" i="9" s="1"/>
  <c r="AF577" i="9"/>
  <c r="Q578" i="9"/>
  <c r="Q579" i="9" s="1"/>
  <c r="S578" i="9"/>
  <c r="U578" i="9"/>
  <c r="V578" i="9"/>
  <c r="W578" i="9"/>
  <c r="X578" i="9"/>
  <c r="Y578" i="9"/>
  <c r="AE578" i="9"/>
  <c r="AK578" i="9" s="1"/>
  <c r="AF578" i="9"/>
  <c r="S579" i="9"/>
  <c r="U579" i="9"/>
  <c r="V579" i="9"/>
  <c r="W579" i="9"/>
  <c r="X579" i="9"/>
  <c r="Y579" i="9"/>
  <c r="AE579" i="9"/>
  <c r="AK579" i="9" s="1"/>
  <c r="AF579" i="9"/>
  <c r="S580" i="9"/>
  <c r="U580" i="9"/>
  <c r="V580" i="9"/>
  <c r="W580" i="9"/>
  <c r="X580" i="9"/>
  <c r="Y580" i="9"/>
  <c r="AE580" i="9"/>
  <c r="AK580" i="9" s="1"/>
  <c r="AF580" i="9"/>
  <c r="Q581" i="9"/>
  <c r="Q582" i="9" s="1"/>
  <c r="S581" i="9"/>
  <c r="U581" i="9"/>
  <c r="V581" i="9"/>
  <c r="W581" i="9"/>
  <c r="X581" i="9"/>
  <c r="Y581" i="9"/>
  <c r="AE581" i="9"/>
  <c r="AK581" i="9" s="1"/>
  <c r="AF581" i="9"/>
  <c r="S582" i="9"/>
  <c r="U582" i="9"/>
  <c r="V582" i="9"/>
  <c r="W582" i="9"/>
  <c r="X582" i="9"/>
  <c r="Y582" i="9"/>
  <c r="AE582" i="9"/>
  <c r="AK582" i="9" s="1"/>
  <c r="AF582" i="9"/>
  <c r="S583" i="9"/>
  <c r="U583" i="9"/>
  <c r="V583" i="9"/>
  <c r="W583" i="9"/>
  <c r="X583" i="9"/>
  <c r="Y583" i="9"/>
  <c r="AE583" i="9"/>
  <c r="AK583" i="9" s="1"/>
  <c r="AF583" i="9"/>
  <c r="Q584" i="9"/>
  <c r="Q585" i="9" s="1"/>
  <c r="Q586" i="9" s="1"/>
  <c r="Z586" i="9" s="1"/>
  <c r="S584" i="9"/>
  <c r="U584" i="9"/>
  <c r="V584" i="9"/>
  <c r="W584" i="9"/>
  <c r="X584" i="9"/>
  <c r="Y584" i="9"/>
  <c r="AE584" i="9"/>
  <c r="AK584" i="9" s="1"/>
  <c r="AF584" i="9"/>
  <c r="S585" i="9"/>
  <c r="U585" i="9"/>
  <c r="V585" i="9"/>
  <c r="W585" i="9"/>
  <c r="X585" i="9"/>
  <c r="Y585" i="9"/>
  <c r="AE585" i="9"/>
  <c r="AK585" i="9" s="1"/>
  <c r="AF585" i="9"/>
  <c r="S586" i="9"/>
  <c r="U586" i="9"/>
  <c r="V586" i="9"/>
  <c r="W586" i="9"/>
  <c r="X586" i="9"/>
  <c r="Y586" i="9"/>
  <c r="AE586" i="9"/>
  <c r="AK586" i="9" s="1"/>
  <c r="AF586" i="9"/>
  <c r="Q587" i="9"/>
  <c r="S587" i="9"/>
  <c r="U587" i="9"/>
  <c r="V587" i="9"/>
  <c r="W587" i="9"/>
  <c r="X587" i="9"/>
  <c r="Y587" i="9"/>
  <c r="AE587" i="9"/>
  <c r="AK587" i="9" s="1"/>
  <c r="AF587" i="9"/>
  <c r="S588" i="9"/>
  <c r="U588" i="9"/>
  <c r="V588" i="9"/>
  <c r="W588" i="9"/>
  <c r="X588" i="9"/>
  <c r="Y588" i="9"/>
  <c r="AE588" i="9"/>
  <c r="AK588" i="9" s="1"/>
  <c r="AF588" i="9"/>
  <c r="S589" i="9"/>
  <c r="U589" i="9"/>
  <c r="V589" i="9"/>
  <c r="W589" i="9"/>
  <c r="X589" i="9"/>
  <c r="Y589" i="9"/>
  <c r="AE589" i="9"/>
  <c r="AK589" i="9" s="1"/>
  <c r="AF589" i="9"/>
  <c r="Q590" i="9"/>
  <c r="S590" i="9"/>
  <c r="U590" i="9"/>
  <c r="V590" i="9"/>
  <c r="W590" i="9"/>
  <c r="X590" i="9"/>
  <c r="Y590" i="9"/>
  <c r="AE590" i="9"/>
  <c r="AK590" i="9" s="1"/>
  <c r="AF590" i="9"/>
  <c r="S591" i="9"/>
  <c r="U591" i="9"/>
  <c r="V591" i="9"/>
  <c r="W591" i="9"/>
  <c r="X591" i="9"/>
  <c r="Y591" i="9"/>
  <c r="AE591" i="9"/>
  <c r="AK591" i="9" s="1"/>
  <c r="AF591" i="9"/>
  <c r="S592" i="9"/>
  <c r="U592" i="9"/>
  <c r="V592" i="9"/>
  <c r="W592" i="9"/>
  <c r="X592" i="9"/>
  <c r="Y592" i="9"/>
  <c r="AE592" i="9"/>
  <c r="AK592" i="9" s="1"/>
  <c r="AF592" i="9"/>
  <c r="Q593" i="9"/>
  <c r="Q594" i="9" s="1"/>
  <c r="Q595" i="9" s="1"/>
  <c r="S593" i="9"/>
  <c r="U593" i="9"/>
  <c r="V593" i="9"/>
  <c r="W593" i="9"/>
  <c r="X593" i="9"/>
  <c r="Y593" i="9"/>
  <c r="AE593" i="9"/>
  <c r="AK593" i="9" s="1"/>
  <c r="AF593" i="9"/>
  <c r="S594" i="9"/>
  <c r="U594" i="9"/>
  <c r="V594" i="9"/>
  <c r="W594" i="9"/>
  <c r="X594" i="9"/>
  <c r="Y594" i="9"/>
  <c r="AE594" i="9"/>
  <c r="AK594" i="9" s="1"/>
  <c r="AF594" i="9"/>
  <c r="S595" i="9"/>
  <c r="U595" i="9"/>
  <c r="V595" i="9"/>
  <c r="W595" i="9"/>
  <c r="X595" i="9"/>
  <c r="Y595" i="9"/>
  <c r="AE595" i="9"/>
  <c r="AK595" i="9" s="1"/>
  <c r="AF595" i="9"/>
  <c r="Q596" i="9"/>
  <c r="Q597" i="9" s="1"/>
  <c r="Q598" i="9" s="1"/>
  <c r="Z598" i="9" s="1"/>
  <c r="S596" i="9"/>
  <c r="U596" i="9"/>
  <c r="V596" i="9"/>
  <c r="W596" i="9"/>
  <c r="X596" i="9"/>
  <c r="Y596" i="9"/>
  <c r="AE596" i="9"/>
  <c r="AK596" i="9" s="1"/>
  <c r="AF596" i="9"/>
  <c r="S597" i="9"/>
  <c r="U597" i="9"/>
  <c r="V597" i="9"/>
  <c r="W597" i="9"/>
  <c r="X597" i="9"/>
  <c r="Y597" i="9"/>
  <c r="AE597" i="9"/>
  <c r="AK597" i="9" s="1"/>
  <c r="AF597" i="9"/>
  <c r="S598" i="9"/>
  <c r="U598" i="9"/>
  <c r="V598" i="9"/>
  <c r="W598" i="9"/>
  <c r="X598" i="9"/>
  <c r="Y598" i="9"/>
  <c r="AE598" i="9"/>
  <c r="AK598" i="9" s="1"/>
  <c r="AF598" i="9"/>
  <c r="Q599" i="9"/>
  <c r="S599" i="9"/>
  <c r="U599" i="9"/>
  <c r="V599" i="9"/>
  <c r="W599" i="9"/>
  <c r="X599" i="9"/>
  <c r="Y599" i="9"/>
  <c r="AE599" i="9"/>
  <c r="AK599" i="9" s="1"/>
  <c r="AF599" i="9"/>
  <c r="S600" i="9"/>
  <c r="U600" i="9"/>
  <c r="V600" i="9"/>
  <c r="W600" i="9"/>
  <c r="X600" i="9"/>
  <c r="Y600" i="9"/>
  <c r="AE600" i="9"/>
  <c r="AK600" i="9" s="1"/>
  <c r="AF600" i="9"/>
  <c r="S601" i="9"/>
  <c r="U601" i="9"/>
  <c r="V601" i="9"/>
  <c r="W601" i="9"/>
  <c r="X601" i="9"/>
  <c r="Y601" i="9"/>
  <c r="AE601" i="9"/>
  <c r="AK601" i="9" s="1"/>
  <c r="AF601" i="9"/>
  <c r="Q602" i="9"/>
  <c r="S602" i="9"/>
  <c r="U602" i="9"/>
  <c r="V602" i="9"/>
  <c r="W602" i="9"/>
  <c r="X602" i="9"/>
  <c r="Y602" i="9"/>
  <c r="AE602" i="9"/>
  <c r="AK602" i="9" s="1"/>
  <c r="AF602" i="9"/>
  <c r="S603" i="9"/>
  <c r="U603" i="9"/>
  <c r="V603" i="9"/>
  <c r="W603" i="9"/>
  <c r="X603" i="9"/>
  <c r="Y603" i="9"/>
  <c r="AE603" i="9"/>
  <c r="AK603" i="9" s="1"/>
  <c r="AF603" i="9"/>
  <c r="S604" i="9"/>
  <c r="U604" i="9"/>
  <c r="V604" i="9"/>
  <c r="W604" i="9"/>
  <c r="X604" i="9"/>
  <c r="Y604" i="9"/>
  <c r="AE604" i="9"/>
  <c r="AK604" i="9" s="1"/>
  <c r="AF604" i="9"/>
  <c r="Q605" i="9"/>
  <c r="S605" i="9"/>
  <c r="U605" i="9"/>
  <c r="V605" i="9"/>
  <c r="W605" i="9"/>
  <c r="X605" i="9"/>
  <c r="Y605" i="9"/>
  <c r="AE605" i="9"/>
  <c r="AK605" i="9" s="1"/>
  <c r="AF605" i="9"/>
  <c r="Q606" i="9"/>
  <c r="Z606" i="9" s="1"/>
  <c r="S606" i="9"/>
  <c r="U606" i="9"/>
  <c r="V606" i="9"/>
  <c r="W606" i="9"/>
  <c r="X606" i="9"/>
  <c r="Y606" i="9"/>
  <c r="AE606" i="9"/>
  <c r="AK606" i="9" s="1"/>
  <c r="AF606" i="9"/>
  <c r="S607" i="9"/>
  <c r="U607" i="9"/>
  <c r="V607" i="9"/>
  <c r="W607" i="9"/>
  <c r="X607" i="9"/>
  <c r="Y607" i="9"/>
  <c r="AE607" i="9"/>
  <c r="AK607" i="9" s="1"/>
  <c r="AF607" i="9"/>
  <c r="Q608" i="9"/>
  <c r="Q609" i="9" s="1"/>
  <c r="Q610" i="9" s="1"/>
  <c r="S608" i="9"/>
  <c r="U608" i="9"/>
  <c r="V608" i="9"/>
  <c r="W608" i="9"/>
  <c r="X608" i="9"/>
  <c r="Y608" i="9"/>
  <c r="AE608" i="9"/>
  <c r="AK608" i="9" s="1"/>
  <c r="AF608" i="9"/>
  <c r="S609" i="9"/>
  <c r="U609" i="9"/>
  <c r="V609" i="9"/>
  <c r="W609" i="9"/>
  <c r="X609" i="9"/>
  <c r="Y609" i="9"/>
  <c r="AE609" i="9"/>
  <c r="AK609" i="9" s="1"/>
  <c r="AF609" i="9"/>
  <c r="S610" i="9"/>
  <c r="U610" i="9"/>
  <c r="V610" i="9"/>
  <c r="W610" i="9"/>
  <c r="X610" i="9"/>
  <c r="Y610" i="9"/>
  <c r="AE610" i="9"/>
  <c r="AK610" i="9" s="1"/>
  <c r="AF610" i="9"/>
  <c r="Q611" i="9"/>
  <c r="S611" i="9"/>
  <c r="U611" i="9"/>
  <c r="V611" i="9"/>
  <c r="W611" i="9"/>
  <c r="X611" i="9"/>
  <c r="Y611" i="9"/>
  <c r="AE611" i="9"/>
  <c r="AK611" i="9" s="1"/>
  <c r="AF611" i="9"/>
  <c r="S612" i="9"/>
  <c r="U612" i="9"/>
  <c r="V612" i="9"/>
  <c r="W612" i="9"/>
  <c r="X612" i="9"/>
  <c r="Y612" i="9"/>
  <c r="AE612" i="9"/>
  <c r="AK612" i="9" s="1"/>
  <c r="AF612" i="9"/>
  <c r="S613" i="9"/>
  <c r="U613" i="9"/>
  <c r="V613" i="9"/>
  <c r="W613" i="9"/>
  <c r="X613" i="9"/>
  <c r="Y613" i="9"/>
  <c r="AE613" i="9"/>
  <c r="AK613" i="9" s="1"/>
  <c r="AF613" i="9"/>
  <c r="Q614" i="9"/>
  <c r="Q615" i="9" s="1"/>
  <c r="Q616" i="9" s="1"/>
  <c r="S614" i="9"/>
  <c r="U614" i="9"/>
  <c r="V614" i="9"/>
  <c r="W614" i="9"/>
  <c r="X614" i="9"/>
  <c r="Y614" i="9"/>
  <c r="AE614" i="9"/>
  <c r="AK614" i="9" s="1"/>
  <c r="AF614" i="9"/>
  <c r="S615" i="9"/>
  <c r="U615" i="9"/>
  <c r="V615" i="9"/>
  <c r="W615" i="9"/>
  <c r="X615" i="9"/>
  <c r="Y615" i="9"/>
  <c r="AE615" i="9"/>
  <c r="AK615" i="9" s="1"/>
  <c r="AF615" i="9"/>
  <c r="S616" i="9"/>
  <c r="U616" i="9"/>
  <c r="V616" i="9"/>
  <c r="W616" i="9"/>
  <c r="X616" i="9"/>
  <c r="Y616" i="9"/>
  <c r="AE616" i="9"/>
  <c r="AK616" i="9" s="1"/>
  <c r="AF616" i="9"/>
  <c r="Q617" i="9"/>
  <c r="Z617" i="9" s="1"/>
  <c r="S617" i="9"/>
  <c r="U617" i="9"/>
  <c r="V617" i="9"/>
  <c r="W617" i="9"/>
  <c r="X617" i="9"/>
  <c r="Y617" i="9"/>
  <c r="AE617" i="9"/>
  <c r="AK617" i="9" s="1"/>
  <c r="AF617" i="9"/>
  <c r="S618" i="9"/>
  <c r="U618" i="9"/>
  <c r="V618" i="9"/>
  <c r="W618" i="9"/>
  <c r="X618" i="9"/>
  <c r="Y618" i="9"/>
  <c r="AE618" i="9"/>
  <c r="AK618" i="9" s="1"/>
  <c r="AF618" i="9"/>
  <c r="S619" i="9"/>
  <c r="U619" i="9"/>
  <c r="V619" i="9"/>
  <c r="W619" i="9"/>
  <c r="X619" i="9"/>
  <c r="Y619" i="9"/>
  <c r="AE619" i="9"/>
  <c r="AK619" i="9" s="1"/>
  <c r="AF619" i="9"/>
  <c r="Q620" i="9"/>
  <c r="S620" i="9"/>
  <c r="U620" i="9"/>
  <c r="V620" i="9"/>
  <c r="W620" i="9"/>
  <c r="X620" i="9"/>
  <c r="Y620" i="9"/>
  <c r="AE620" i="9"/>
  <c r="AK620" i="9" s="1"/>
  <c r="AF620" i="9"/>
  <c r="S621" i="9"/>
  <c r="U621" i="9"/>
  <c r="V621" i="9"/>
  <c r="W621" i="9"/>
  <c r="X621" i="9"/>
  <c r="Y621" i="9"/>
  <c r="AE621" i="9"/>
  <c r="AK621" i="9" s="1"/>
  <c r="AF621" i="9"/>
  <c r="S622" i="9"/>
  <c r="U622" i="9"/>
  <c r="V622" i="9"/>
  <c r="W622" i="9"/>
  <c r="X622" i="9"/>
  <c r="Y622" i="9"/>
  <c r="AE622" i="9"/>
  <c r="AK622" i="9" s="1"/>
  <c r="AF622" i="9"/>
  <c r="Q623" i="9"/>
  <c r="Q624" i="9" s="1"/>
  <c r="S623" i="9"/>
  <c r="U623" i="9"/>
  <c r="V623" i="9"/>
  <c r="W623" i="9"/>
  <c r="X623" i="9"/>
  <c r="Y623" i="9"/>
  <c r="AE623" i="9"/>
  <c r="AK623" i="9" s="1"/>
  <c r="AF623" i="9"/>
  <c r="S624" i="9"/>
  <c r="U624" i="9"/>
  <c r="V624" i="9"/>
  <c r="W624" i="9"/>
  <c r="X624" i="9"/>
  <c r="Y624" i="9"/>
  <c r="AE624" i="9"/>
  <c r="AK624" i="9" s="1"/>
  <c r="AF624" i="9"/>
  <c r="S625" i="9"/>
  <c r="U625" i="9"/>
  <c r="V625" i="9"/>
  <c r="W625" i="9"/>
  <c r="X625" i="9"/>
  <c r="Y625" i="9"/>
  <c r="AE625" i="9"/>
  <c r="AK625" i="9" s="1"/>
  <c r="AF625" i="9"/>
  <c r="Q626" i="9"/>
  <c r="Z626" i="9" s="1"/>
  <c r="AA626" i="9" s="1"/>
  <c r="T626" i="9" s="1"/>
  <c r="S626" i="9"/>
  <c r="U626" i="9"/>
  <c r="V626" i="9"/>
  <c r="W626" i="9"/>
  <c r="X626" i="9"/>
  <c r="Y626" i="9"/>
  <c r="AE626" i="9"/>
  <c r="AK626" i="9" s="1"/>
  <c r="AF626" i="9"/>
  <c r="Q627" i="9"/>
  <c r="Z627" i="9" s="1"/>
  <c r="S627" i="9"/>
  <c r="U627" i="9"/>
  <c r="V627" i="9"/>
  <c r="W627" i="9"/>
  <c r="X627" i="9"/>
  <c r="Y627" i="9"/>
  <c r="AE627" i="9"/>
  <c r="AK627" i="9" s="1"/>
  <c r="AF627" i="9"/>
  <c r="Q628" i="9"/>
  <c r="Z628" i="9" s="1"/>
  <c r="S628" i="9"/>
  <c r="U628" i="9"/>
  <c r="V628" i="9"/>
  <c r="W628" i="9"/>
  <c r="X628" i="9"/>
  <c r="Y628" i="9"/>
  <c r="AE628" i="9"/>
  <c r="AK628" i="9" s="1"/>
  <c r="AF628" i="9"/>
  <c r="Q629" i="9"/>
  <c r="Z629" i="9" s="1"/>
  <c r="S629" i="9"/>
  <c r="U629" i="9"/>
  <c r="V629" i="9"/>
  <c r="W629" i="9"/>
  <c r="X629" i="9"/>
  <c r="Y629" i="9"/>
  <c r="AE629" i="9"/>
  <c r="AK629" i="9" s="1"/>
  <c r="AF629" i="9"/>
  <c r="Q630" i="9"/>
  <c r="Z630" i="9" s="1"/>
  <c r="AA630" i="9" s="1"/>
  <c r="T630" i="9" s="1"/>
  <c r="S630" i="9"/>
  <c r="U630" i="9"/>
  <c r="V630" i="9"/>
  <c r="W630" i="9"/>
  <c r="X630" i="9"/>
  <c r="Y630" i="9"/>
  <c r="AE630" i="9"/>
  <c r="AK630" i="9" s="1"/>
  <c r="AF630" i="9"/>
  <c r="Q631" i="9"/>
  <c r="Z631" i="9" s="1"/>
  <c r="S631" i="9"/>
  <c r="U631" i="9"/>
  <c r="V631" i="9"/>
  <c r="W631" i="9"/>
  <c r="X631" i="9"/>
  <c r="Y631" i="9"/>
  <c r="AE631" i="9"/>
  <c r="AK631" i="9" s="1"/>
  <c r="AF631" i="9"/>
  <c r="Q632" i="9"/>
  <c r="Z632" i="9" s="1"/>
  <c r="S632" i="9"/>
  <c r="U632" i="9"/>
  <c r="V632" i="9"/>
  <c r="W632" i="9"/>
  <c r="X632" i="9"/>
  <c r="Y632" i="9"/>
  <c r="AE632" i="9"/>
  <c r="AK632" i="9" s="1"/>
  <c r="AF632" i="9"/>
  <c r="Q633" i="9"/>
  <c r="Z633" i="9" s="1"/>
  <c r="S633" i="9"/>
  <c r="U633" i="9"/>
  <c r="V633" i="9"/>
  <c r="W633" i="9"/>
  <c r="X633" i="9"/>
  <c r="Y633" i="9"/>
  <c r="AE633" i="9"/>
  <c r="AK633" i="9" s="1"/>
  <c r="AF633" i="9"/>
  <c r="Q634" i="9"/>
  <c r="Z634" i="9" s="1"/>
  <c r="AA634" i="9" s="1"/>
  <c r="T634" i="9" s="1"/>
  <c r="S634" i="9"/>
  <c r="U634" i="9"/>
  <c r="V634" i="9"/>
  <c r="W634" i="9"/>
  <c r="X634" i="9"/>
  <c r="Y634" i="9"/>
  <c r="AE634" i="9"/>
  <c r="AK634" i="9" s="1"/>
  <c r="AF634" i="9"/>
  <c r="Q635" i="9"/>
  <c r="Z635" i="9" s="1"/>
  <c r="S635" i="9"/>
  <c r="U635" i="9"/>
  <c r="V635" i="9"/>
  <c r="W635" i="9"/>
  <c r="X635" i="9"/>
  <c r="Y635" i="9"/>
  <c r="AE635" i="9"/>
  <c r="AK635" i="9" s="1"/>
  <c r="AF635" i="9"/>
  <c r="Q636" i="9"/>
  <c r="Z636" i="9" s="1"/>
  <c r="S636" i="9"/>
  <c r="U636" i="9"/>
  <c r="V636" i="9"/>
  <c r="W636" i="9"/>
  <c r="X636" i="9"/>
  <c r="Y636" i="9"/>
  <c r="AE636" i="9"/>
  <c r="AK636" i="9" s="1"/>
  <c r="AF636" i="9"/>
  <c r="Q637" i="9"/>
  <c r="Z637" i="9" s="1"/>
  <c r="S637" i="9"/>
  <c r="U637" i="9"/>
  <c r="V637" i="9"/>
  <c r="W637" i="9"/>
  <c r="X637" i="9"/>
  <c r="Y637" i="9"/>
  <c r="AE637" i="9"/>
  <c r="AK637" i="9" s="1"/>
  <c r="AF637" i="9"/>
  <c r="Q638" i="9"/>
  <c r="Z638" i="9" s="1"/>
  <c r="AA638" i="9" s="1"/>
  <c r="T638" i="9" s="1"/>
  <c r="S638" i="9"/>
  <c r="U638" i="9"/>
  <c r="V638" i="9"/>
  <c r="W638" i="9"/>
  <c r="X638" i="9"/>
  <c r="Y638" i="9"/>
  <c r="AE638" i="9"/>
  <c r="AK638" i="9" s="1"/>
  <c r="AF638" i="9"/>
  <c r="Q639" i="9"/>
  <c r="Z639" i="9" s="1"/>
  <c r="S639" i="9"/>
  <c r="U639" i="9"/>
  <c r="V639" i="9"/>
  <c r="W639" i="9"/>
  <c r="X639" i="9"/>
  <c r="Y639" i="9"/>
  <c r="AE639" i="9"/>
  <c r="AK639" i="9" s="1"/>
  <c r="AF639" i="9"/>
  <c r="Q640" i="9"/>
  <c r="Z640" i="9" s="1"/>
  <c r="S640" i="9"/>
  <c r="U640" i="9"/>
  <c r="V640" i="9"/>
  <c r="W640" i="9"/>
  <c r="X640" i="9"/>
  <c r="Y640" i="9"/>
  <c r="AE640" i="9"/>
  <c r="AK640" i="9" s="1"/>
  <c r="AF640" i="9"/>
  <c r="Q641" i="9"/>
  <c r="Z641" i="9" s="1"/>
  <c r="S641" i="9"/>
  <c r="U641" i="9"/>
  <c r="V641" i="9"/>
  <c r="W641" i="9"/>
  <c r="X641" i="9"/>
  <c r="Y641" i="9"/>
  <c r="AE641" i="9"/>
  <c r="AK641" i="9" s="1"/>
  <c r="AF641" i="9"/>
  <c r="Q642" i="9"/>
  <c r="Z642" i="9" s="1"/>
  <c r="AA642" i="9" s="1"/>
  <c r="T642" i="9" s="1"/>
  <c r="S642" i="9"/>
  <c r="U642" i="9"/>
  <c r="V642" i="9"/>
  <c r="W642" i="9"/>
  <c r="X642" i="9"/>
  <c r="Y642" i="9"/>
  <c r="AE642" i="9"/>
  <c r="AK642" i="9" s="1"/>
  <c r="AF642" i="9"/>
  <c r="Q643" i="9"/>
  <c r="Z643" i="9" s="1"/>
  <c r="S643" i="9"/>
  <c r="U643" i="9"/>
  <c r="V643" i="9"/>
  <c r="W643" i="9"/>
  <c r="X643" i="9"/>
  <c r="Y643" i="9"/>
  <c r="AE643" i="9"/>
  <c r="AK643" i="9" s="1"/>
  <c r="AF643" i="9"/>
  <c r="Q644" i="9"/>
  <c r="Z644" i="9" s="1"/>
  <c r="S644" i="9"/>
  <c r="U644" i="9"/>
  <c r="V644" i="9"/>
  <c r="W644" i="9"/>
  <c r="X644" i="9"/>
  <c r="Y644" i="9"/>
  <c r="AE644" i="9"/>
  <c r="AK644" i="9" s="1"/>
  <c r="AF644" i="9"/>
  <c r="Q645" i="9"/>
  <c r="Z645" i="9" s="1"/>
  <c r="S645" i="9"/>
  <c r="U645" i="9"/>
  <c r="V645" i="9"/>
  <c r="W645" i="9"/>
  <c r="X645" i="9"/>
  <c r="Y645" i="9"/>
  <c r="AE645" i="9"/>
  <c r="AK645" i="9" s="1"/>
  <c r="AF645" i="9"/>
  <c r="Q646" i="9"/>
  <c r="Z646" i="9" s="1"/>
  <c r="AA646" i="9" s="1"/>
  <c r="T646" i="9" s="1"/>
  <c r="S646" i="9"/>
  <c r="U646" i="9"/>
  <c r="V646" i="9"/>
  <c r="W646" i="9"/>
  <c r="X646" i="9"/>
  <c r="Y646" i="9"/>
  <c r="AE646" i="9"/>
  <c r="AK646" i="9" s="1"/>
  <c r="AF646" i="9"/>
  <c r="Q647" i="9"/>
  <c r="Z647" i="9" s="1"/>
  <c r="S647" i="9"/>
  <c r="U647" i="9"/>
  <c r="V647" i="9"/>
  <c r="W647" i="9"/>
  <c r="X647" i="9"/>
  <c r="Y647" i="9"/>
  <c r="AE647" i="9"/>
  <c r="AK647" i="9" s="1"/>
  <c r="AF647" i="9"/>
  <c r="Q648" i="9"/>
  <c r="Z648" i="9" s="1"/>
  <c r="S648" i="9"/>
  <c r="U648" i="9"/>
  <c r="V648" i="9"/>
  <c r="W648" i="9"/>
  <c r="X648" i="9"/>
  <c r="Y648" i="9"/>
  <c r="AE648" i="9"/>
  <c r="AK648" i="9" s="1"/>
  <c r="AF648" i="9"/>
  <c r="Q649" i="9"/>
  <c r="Z649" i="9" s="1"/>
  <c r="S649" i="9"/>
  <c r="U649" i="9"/>
  <c r="V649" i="9"/>
  <c r="W649" i="9"/>
  <c r="X649" i="9"/>
  <c r="Y649" i="9"/>
  <c r="AE649" i="9"/>
  <c r="AK649" i="9" s="1"/>
  <c r="AF649" i="9"/>
  <c r="Q650" i="9"/>
  <c r="Z650" i="9" s="1"/>
  <c r="AA650" i="9" s="1"/>
  <c r="T650" i="9" s="1"/>
  <c r="S650" i="9"/>
  <c r="U650" i="9"/>
  <c r="V650" i="9"/>
  <c r="W650" i="9"/>
  <c r="X650" i="9"/>
  <c r="Y650" i="9"/>
  <c r="AE650" i="9"/>
  <c r="AK650" i="9" s="1"/>
  <c r="AF650" i="9"/>
  <c r="Q651" i="9"/>
  <c r="Z651" i="9" s="1"/>
  <c r="S651" i="9"/>
  <c r="U651" i="9"/>
  <c r="V651" i="9"/>
  <c r="W651" i="9"/>
  <c r="X651" i="9"/>
  <c r="Y651" i="9"/>
  <c r="AE651" i="9"/>
  <c r="AK651" i="9" s="1"/>
  <c r="AF651" i="9"/>
  <c r="Q652" i="9"/>
  <c r="Z652" i="9" s="1"/>
  <c r="S652" i="9"/>
  <c r="U652" i="9"/>
  <c r="V652" i="9"/>
  <c r="W652" i="9"/>
  <c r="X652" i="9"/>
  <c r="Y652" i="9"/>
  <c r="AE652" i="9"/>
  <c r="AK652" i="9" s="1"/>
  <c r="AF652" i="9"/>
  <c r="Q653" i="9"/>
  <c r="Z653" i="9" s="1"/>
  <c r="S653" i="9"/>
  <c r="U653" i="9"/>
  <c r="V653" i="9"/>
  <c r="W653" i="9"/>
  <c r="X653" i="9"/>
  <c r="Y653" i="9"/>
  <c r="AE653" i="9"/>
  <c r="AK653" i="9" s="1"/>
  <c r="AF653" i="9"/>
  <c r="Q654" i="9"/>
  <c r="Z654" i="9" s="1"/>
  <c r="AA654" i="9" s="1"/>
  <c r="T654" i="9" s="1"/>
  <c r="S654" i="9"/>
  <c r="U654" i="9"/>
  <c r="V654" i="9"/>
  <c r="W654" i="9"/>
  <c r="X654" i="9"/>
  <c r="Y654" i="9"/>
  <c r="AE654" i="9"/>
  <c r="AK654" i="9" s="1"/>
  <c r="AF654" i="9"/>
  <c r="Q655" i="9"/>
  <c r="Z655" i="9" s="1"/>
  <c r="S655" i="9"/>
  <c r="U655" i="9"/>
  <c r="V655" i="9"/>
  <c r="W655" i="9"/>
  <c r="X655" i="9"/>
  <c r="Y655" i="9"/>
  <c r="AE655" i="9"/>
  <c r="AK655" i="9" s="1"/>
  <c r="AF655" i="9"/>
  <c r="Q656" i="9"/>
  <c r="Z656" i="9" s="1"/>
  <c r="S656" i="9"/>
  <c r="U656" i="9"/>
  <c r="V656" i="9"/>
  <c r="W656" i="9"/>
  <c r="X656" i="9"/>
  <c r="Y656" i="9"/>
  <c r="AE656" i="9"/>
  <c r="AK656" i="9" s="1"/>
  <c r="AF656" i="9"/>
  <c r="Q657" i="9"/>
  <c r="Z657" i="9" s="1"/>
  <c r="S657" i="9"/>
  <c r="U657" i="9"/>
  <c r="V657" i="9"/>
  <c r="W657" i="9"/>
  <c r="X657" i="9"/>
  <c r="Y657" i="9"/>
  <c r="AE657" i="9"/>
  <c r="AK657" i="9" s="1"/>
  <c r="AF657" i="9"/>
  <c r="Q658" i="9"/>
  <c r="Z658" i="9" s="1"/>
  <c r="AA658" i="9" s="1"/>
  <c r="T658" i="9" s="1"/>
  <c r="S658" i="9"/>
  <c r="U658" i="9"/>
  <c r="V658" i="9"/>
  <c r="W658" i="9"/>
  <c r="X658" i="9"/>
  <c r="Y658" i="9"/>
  <c r="AE658" i="9"/>
  <c r="AK658" i="9" s="1"/>
  <c r="AF658" i="9"/>
  <c r="Q659" i="9"/>
  <c r="Z659" i="9" s="1"/>
  <c r="S659" i="9"/>
  <c r="U659" i="9"/>
  <c r="V659" i="9"/>
  <c r="W659" i="9"/>
  <c r="X659" i="9"/>
  <c r="Y659" i="9"/>
  <c r="AE659" i="9"/>
  <c r="AK659" i="9" s="1"/>
  <c r="AF659" i="9"/>
  <c r="Q660" i="9"/>
  <c r="Z660" i="9" s="1"/>
  <c r="S660" i="9"/>
  <c r="U660" i="9"/>
  <c r="V660" i="9"/>
  <c r="W660" i="9"/>
  <c r="X660" i="9"/>
  <c r="Y660" i="9"/>
  <c r="AE660" i="9"/>
  <c r="AK660" i="9" s="1"/>
  <c r="AF660" i="9"/>
  <c r="Q661" i="9"/>
  <c r="Z661" i="9" s="1"/>
  <c r="S661" i="9"/>
  <c r="U661" i="9"/>
  <c r="V661" i="9"/>
  <c r="W661" i="9"/>
  <c r="X661" i="9"/>
  <c r="Y661" i="9"/>
  <c r="AE661" i="9"/>
  <c r="AK661" i="9" s="1"/>
  <c r="AF661" i="9"/>
  <c r="Q662" i="9"/>
  <c r="Z662" i="9" s="1"/>
  <c r="AA662" i="9" s="1"/>
  <c r="T662" i="9" s="1"/>
  <c r="S662" i="9"/>
  <c r="U662" i="9"/>
  <c r="V662" i="9"/>
  <c r="W662" i="9"/>
  <c r="X662" i="9"/>
  <c r="Y662" i="9"/>
  <c r="AE662" i="9"/>
  <c r="AK662" i="9" s="1"/>
  <c r="AF662" i="9"/>
  <c r="Q663" i="9"/>
  <c r="Z663" i="9" s="1"/>
  <c r="S663" i="9"/>
  <c r="U663" i="9"/>
  <c r="V663" i="9"/>
  <c r="W663" i="9"/>
  <c r="X663" i="9"/>
  <c r="Y663" i="9"/>
  <c r="AE663" i="9"/>
  <c r="AK663" i="9" s="1"/>
  <c r="AF663" i="9"/>
  <c r="Q664" i="9"/>
  <c r="Z664" i="9" s="1"/>
  <c r="S664" i="9"/>
  <c r="U664" i="9"/>
  <c r="V664" i="9"/>
  <c r="W664" i="9"/>
  <c r="X664" i="9"/>
  <c r="Y664" i="9"/>
  <c r="AE664" i="9"/>
  <c r="AK664" i="9" s="1"/>
  <c r="AF664" i="9"/>
  <c r="Q665" i="9"/>
  <c r="Z665" i="9" s="1"/>
  <c r="S665" i="9"/>
  <c r="U665" i="9"/>
  <c r="V665" i="9"/>
  <c r="W665" i="9"/>
  <c r="X665" i="9"/>
  <c r="Y665" i="9"/>
  <c r="AE665" i="9"/>
  <c r="AK665" i="9" s="1"/>
  <c r="AF665" i="9"/>
  <c r="Q666" i="9"/>
  <c r="Z666" i="9" s="1"/>
  <c r="AA666" i="9" s="1"/>
  <c r="T666" i="9" s="1"/>
  <c r="S666" i="9"/>
  <c r="U666" i="9"/>
  <c r="V666" i="9"/>
  <c r="W666" i="9"/>
  <c r="X666" i="9"/>
  <c r="Y666" i="9"/>
  <c r="AE666" i="9"/>
  <c r="AK666" i="9" s="1"/>
  <c r="AF666" i="9"/>
  <c r="Q667" i="9"/>
  <c r="Z667" i="9" s="1"/>
  <c r="S667" i="9"/>
  <c r="U667" i="9"/>
  <c r="V667" i="9"/>
  <c r="W667" i="9"/>
  <c r="X667" i="9"/>
  <c r="Y667" i="9"/>
  <c r="AE667" i="9"/>
  <c r="AK667" i="9" s="1"/>
  <c r="AF667" i="9"/>
  <c r="Q668" i="9"/>
  <c r="Z668" i="9" s="1"/>
  <c r="S668" i="9"/>
  <c r="U668" i="9"/>
  <c r="V668" i="9"/>
  <c r="W668" i="9"/>
  <c r="X668" i="9"/>
  <c r="Y668" i="9"/>
  <c r="AE668" i="9"/>
  <c r="AK668" i="9" s="1"/>
  <c r="AF668" i="9"/>
  <c r="Q669" i="9"/>
  <c r="Z669" i="9" s="1"/>
  <c r="S669" i="9"/>
  <c r="U669" i="9"/>
  <c r="V669" i="9"/>
  <c r="W669" i="9"/>
  <c r="X669" i="9"/>
  <c r="Y669" i="9"/>
  <c r="AE669" i="9"/>
  <c r="AK669" i="9" s="1"/>
  <c r="AF669" i="9"/>
  <c r="Q670" i="9"/>
  <c r="Z670" i="9" s="1"/>
  <c r="AA670" i="9" s="1"/>
  <c r="T670" i="9" s="1"/>
  <c r="S670" i="9"/>
  <c r="U670" i="9"/>
  <c r="V670" i="9"/>
  <c r="W670" i="9"/>
  <c r="X670" i="9"/>
  <c r="Y670" i="9"/>
  <c r="AE670" i="9"/>
  <c r="AK670" i="9" s="1"/>
  <c r="AF670" i="9"/>
  <c r="Q671" i="9"/>
  <c r="Z671" i="9" s="1"/>
  <c r="S671" i="9"/>
  <c r="U671" i="9"/>
  <c r="V671" i="9"/>
  <c r="W671" i="9"/>
  <c r="X671" i="9"/>
  <c r="Y671" i="9"/>
  <c r="AE671" i="9"/>
  <c r="AK671" i="9" s="1"/>
  <c r="AF671" i="9"/>
  <c r="Q672" i="9"/>
  <c r="Z672" i="9" s="1"/>
  <c r="S672" i="9"/>
  <c r="U672" i="9"/>
  <c r="V672" i="9"/>
  <c r="W672" i="9"/>
  <c r="X672" i="9"/>
  <c r="Y672" i="9"/>
  <c r="AE672" i="9"/>
  <c r="AK672" i="9" s="1"/>
  <c r="AF672" i="9"/>
  <c r="Q673" i="9"/>
  <c r="Z673" i="9" s="1"/>
  <c r="S673" i="9"/>
  <c r="U673" i="9"/>
  <c r="V673" i="9"/>
  <c r="W673" i="9"/>
  <c r="X673" i="9"/>
  <c r="Y673" i="9"/>
  <c r="AE673" i="9"/>
  <c r="AK673" i="9" s="1"/>
  <c r="AF673" i="9"/>
  <c r="Q674" i="9"/>
  <c r="Z674" i="9" s="1"/>
  <c r="AA674" i="9" s="1"/>
  <c r="T674" i="9" s="1"/>
  <c r="S674" i="9"/>
  <c r="U674" i="9"/>
  <c r="V674" i="9"/>
  <c r="W674" i="9"/>
  <c r="X674" i="9"/>
  <c r="Y674" i="9"/>
  <c r="AE674" i="9"/>
  <c r="AK674" i="9" s="1"/>
  <c r="AF674" i="9"/>
  <c r="Q675" i="9"/>
  <c r="Z675" i="9" s="1"/>
  <c r="S675" i="9"/>
  <c r="U675" i="9"/>
  <c r="V675" i="9"/>
  <c r="W675" i="9"/>
  <c r="X675" i="9"/>
  <c r="Y675" i="9"/>
  <c r="AE675" i="9"/>
  <c r="AK675" i="9" s="1"/>
  <c r="AF675" i="9"/>
  <c r="Q676" i="9"/>
  <c r="Z676" i="9" s="1"/>
  <c r="S676" i="9"/>
  <c r="U676" i="9"/>
  <c r="V676" i="9"/>
  <c r="W676" i="9"/>
  <c r="X676" i="9"/>
  <c r="Y676" i="9"/>
  <c r="AE676" i="9"/>
  <c r="AK676" i="9" s="1"/>
  <c r="AF676" i="9"/>
  <c r="Q677" i="9"/>
  <c r="Z677" i="9" s="1"/>
  <c r="S677" i="9"/>
  <c r="U677" i="9"/>
  <c r="V677" i="9"/>
  <c r="W677" i="9"/>
  <c r="X677" i="9"/>
  <c r="Y677" i="9"/>
  <c r="AE677" i="9"/>
  <c r="AK677" i="9" s="1"/>
  <c r="AF677" i="9"/>
  <c r="Q678" i="9"/>
  <c r="Z678" i="9" s="1"/>
  <c r="AA678" i="9" s="1"/>
  <c r="T678" i="9" s="1"/>
  <c r="S678" i="9"/>
  <c r="U678" i="9"/>
  <c r="V678" i="9"/>
  <c r="W678" i="9"/>
  <c r="X678" i="9"/>
  <c r="Y678" i="9"/>
  <c r="AE678" i="9"/>
  <c r="AK678" i="9" s="1"/>
  <c r="AF678" i="9"/>
  <c r="Q679" i="9"/>
  <c r="Z679" i="9" s="1"/>
  <c r="S679" i="9"/>
  <c r="U679" i="9"/>
  <c r="V679" i="9"/>
  <c r="W679" i="9"/>
  <c r="X679" i="9"/>
  <c r="Y679" i="9"/>
  <c r="AE679" i="9"/>
  <c r="AK679" i="9" s="1"/>
  <c r="AF679" i="9"/>
  <c r="Q680" i="9"/>
  <c r="Z680" i="9" s="1"/>
  <c r="S680" i="9"/>
  <c r="U680" i="9"/>
  <c r="V680" i="9"/>
  <c r="W680" i="9"/>
  <c r="X680" i="9"/>
  <c r="Y680" i="9"/>
  <c r="AE680" i="9"/>
  <c r="AK680" i="9" s="1"/>
  <c r="AF680" i="9"/>
  <c r="Q681" i="9"/>
  <c r="Z681" i="9" s="1"/>
  <c r="S681" i="9"/>
  <c r="U681" i="9"/>
  <c r="V681" i="9"/>
  <c r="W681" i="9"/>
  <c r="X681" i="9"/>
  <c r="Y681" i="9"/>
  <c r="AE681" i="9"/>
  <c r="AK681" i="9" s="1"/>
  <c r="AF681" i="9"/>
  <c r="Q682" i="9"/>
  <c r="Z682" i="9" s="1"/>
  <c r="AA682" i="9" s="1"/>
  <c r="T682" i="9" s="1"/>
  <c r="S682" i="9"/>
  <c r="U682" i="9"/>
  <c r="V682" i="9"/>
  <c r="W682" i="9"/>
  <c r="X682" i="9"/>
  <c r="Y682" i="9"/>
  <c r="AE682" i="9"/>
  <c r="AK682" i="9" s="1"/>
  <c r="AF682" i="9"/>
  <c r="Q683" i="9"/>
  <c r="Z683" i="9" s="1"/>
  <c r="S683" i="9"/>
  <c r="U683" i="9"/>
  <c r="V683" i="9"/>
  <c r="W683" i="9"/>
  <c r="X683" i="9"/>
  <c r="Y683" i="9"/>
  <c r="AE683" i="9"/>
  <c r="AK683" i="9" s="1"/>
  <c r="AF683" i="9"/>
  <c r="Q684" i="9"/>
  <c r="Z684" i="9" s="1"/>
  <c r="S684" i="9"/>
  <c r="U684" i="9"/>
  <c r="V684" i="9"/>
  <c r="W684" i="9"/>
  <c r="X684" i="9"/>
  <c r="Y684" i="9"/>
  <c r="AE684" i="9"/>
  <c r="AK684" i="9" s="1"/>
  <c r="AF684" i="9"/>
  <c r="Q685" i="9"/>
  <c r="Z685" i="9" s="1"/>
  <c r="S685" i="9"/>
  <c r="U685" i="9"/>
  <c r="V685" i="9"/>
  <c r="W685" i="9"/>
  <c r="X685" i="9"/>
  <c r="Y685" i="9"/>
  <c r="AE685" i="9"/>
  <c r="AK685" i="9" s="1"/>
  <c r="AF685" i="9"/>
  <c r="Q686" i="9"/>
  <c r="Z686" i="9" s="1"/>
  <c r="AA686" i="9" s="1"/>
  <c r="T686" i="9" s="1"/>
  <c r="S686" i="9"/>
  <c r="U686" i="9"/>
  <c r="V686" i="9"/>
  <c r="W686" i="9"/>
  <c r="X686" i="9"/>
  <c r="Y686" i="9"/>
  <c r="AE686" i="9"/>
  <c r="AK686" i="9" s="1"/>
  <c r="AF686" i="9"/>
  <c r="Q687" i="9"/>
  <c r="Z687" i="9" s="1"/>
  <c r="S687" i="9"/>
  <c r="U687" i="9"/>
  <c r="V687" i="9"/>
  <c r="W687" i="9"/>
  <c r="X687" i="9"/>
  <c r="Y687" i="9"/>
  <c r="AE687" i="9"/>
  <c r="AK687" i="9" s="1"/>
  <c r="AF687" i="9"/>
  <c r="Q688" i="9"/>
  <c r="Z688" i="9" s="1"/>
  <c r="S688" i="9"/>
  <c r="U688" i="9"/>
  <c r="V688" i="9"/>
  <c r="W688" i="9"/>
  <c r="X688" i="9"/>
  <c r="Y688" i="9"/>
  <c r="AE688" i="9"/>
  <c r="AK688" i="9" s="1"/>
  <c r="AF688" i="9"/>
  <c r="Q689" i="9"/>
  <c r="Z689" i="9" s="1"/>
  <c r="S689" i="9"/>
  <c r="U689" i="9"/>
  <c r="V689" i="9"/>
  <c r="W689" i="9"/>
  <c r="X689" i="9"/>
  <c r="Y689" i="9"/>
  <c r="AE689" i="9"/>
  <c r="AK689" i="9" s="1"/>
  <c r="AF689" i="9"/>
  <c r="Q690" i="9"/>
  <c r="Z690" i="9" s="1"/>
  <c r="AA690" i="9" s="1"/>
  <c r="T690" i="9" s="1"/>
  <c r="S690" i="9"/>
  <c r="U690" i="9"/>
  <c r="V690" i="9"/>
  <c r="W690" i="9"/>
  <c r="X690" i="9"/>
  <c r="Y690" i="9"/>
  <c r="AE690" i="9"/>
  <c r="AK690" i="9" s="1"/>
  <c r="AF690" i="9"/>
  <c r="Q691" i="9"/>
  <c r="Z691" i="9" s="1"/>
  <c r="S691" i="9"/>
  <c r="U691" i="9"/>
  <c r="V691" i="9"/>
  <c r="W691" i="9"/>
  <c r="X691" i="9"/>
  <c r="Y691" i="9"/>
  <c r="AE691" i="9"/>
  <c r="AK691" i="9" s="1"/>
  <c r="AF691" i="9"/>
  <c r="Q692" i="9"/>
  <c r="Z692" i="9" s="1"/>
  <c r="S692" i="9"/>
  <c r="U692" i="9"/>
  <c r="V692" i="9"/>
  <c r="W692" i="9"/>
  <c r="X692" i="9"/>
  <c r="Y692" i="9"/>
  <c r="AE692" i="9"/>
  <c r="AK692" i="9" s="1"/>
  <c r="AF692" i="9"/>
  <c r="Q693" i="9"/>
  <c r="Z693" i="9" s="1"/>
  <c r="S693" i="9"/>
  <c r="U693" i="9"/>
  <c r="V693" i="9"/>
  <c r="W693" i="9"/>
  <c r="X693" i="9"/>
  <c r="Y693" i="9"/>
  <c r="AE693" i="9"/>
  <c r="AK693" i="9" s="1"/>
  <c r="AF693" i="9"/>
  <c r="Q694" i="9"/>
  <c r="Z694" i="9" s="1"/>
  <c r="AA694" i="9" s="1"/>
  <c r="T694" i="9" s="1"/>
  <c r="S694" i="9"/>
  <c r="U694" i="9"/>
  <c r="V694" i="9"/>
  <c r="W694" i="9"/>
  <c r="X694" i="9"/>
  <c r="Y694" i="9"/>
  <c r="AE694" i="9"/>
  <c r="AK694" i="9" s="1"/>
  <c r="AF694" i="9"/>
  <c r="Q695" i="9"/>
  <c r="Z695" i="9" s="1"/>
  <c r="S695" i="9"/>
  <c r="U695" i="9"/>
  <c r="V695" i="9"/>
  <c r="W695" i="9"/>
  <c r="X695" i="9"/>
  <c r="Y695" i="9"/>
  <c r="AE695" i="9"/>
  <c r="AK695" i="9" s="1"/>
  <c r="AF695" i="9"/>
  <c r="Q696" i="9"/>
  <c r="Z696" i="9" s="1"/>
  <c r="S696" i="9"/>
  <c r="U696" i="9"/>
  <c r="V696" i="9"/>
  <c r="W696" i="9"/>
  <c r="X696" i="9"/>
  <c r="Y696" i="9"/>
  <c r="AE696" i="9"/>
  <c r="AK696" i="9" s="1"/>
  <c r="AF696" i="9"/>
  <c r="Q697" i="9"/>
  <c r="Z697" i="9" s="1"/>
  <c r="S697" i="9"/>
  <c r="U697" i="9"/>
  <c r="V697" i="9"/>
  <c r="W697" i="9"/>
  <c r="X697" i="9"/>
  <c r="Y697" i="9"/>
  <c r="AE697" i="9"/>
  <c r="AK697" i="9" s="1"/>
  <c r="AF697" i="9"/>
  <c r="Q698" i="9"/>
  <c r="Z698" i="9" s="1"/>
  <c r="AA698" i="9" s="1"/>
  <c r="T698" i="9" s="1"/>
  <c r="S698" i="9"/>
  <c r="U698" i="9"/>
  <c r="V698" i="9"/>
  <c r="W698" i="9"/>
  <c r="X698" i="9"/>
  <c r="Y698" i="9"/>
  <c r="AE698" i="9"/>
  <c r="AK698" i="9" s="1"/>
  <c r="AF698" i="9"/>
  <c r="Q699" i="9"/>
  <c r="Z699" i="9" s="1"/>
  <c r="S699" i="9"/>
  <c r="U699" i="9"/>
  <c r="V699" i="9"/>
  <c r="W699" i="9"/>
  <c r="X699" i="9"/>
  <c r="Y699" i="9"/>
  <c r="AE699" i="9"/>
  <c r="AK699" i="9" s="1"/>
  <c r="AF699" i="9"/>
  <c r="Q700" i="9"/>
  <c r="Z700" i="9" s="1"/>
  <c r="S700" i="9"/>
  <c r="U700" i="9"/>
  <c r="V700" i="9"/>
  <c r="W700" i="9"/>
  <c r="X700" i="9"/>
  <c r="Y700" i="9"/>
  <c r="AE700" i="9"/>
  <c r="AK700" i="9" s="1"/>
  <c r="AF700" i="9"/>
  <c r="Q701" i="9"/>
  <c r="Z701" i="9" s="1"/>
  <c r="S701" i="9"/>
  <c r="U701" i="9"/>
  <c r="V701" i="9"/>
  <c r="W701" i="9"/>
  <c r="X701" i="9"/>
  <c r="Y701" i="9"/>
  <c r="AE701" i="9"/>
  <c r="AK701" i="9" s="1"/>
  <c r="AF701" i="9"/>
  <c r="Q702" i="9"/>
  <c r="Z702" i="9" s="1"/>
  <c r="AA702" i="9" s="1"/>
  <c r="T702" i="9" s="1"/>
  <c r="S702" i="9"/>
  <c r="U702" i="9"/>
  <c r="V702" i="9"/>
  <c r="W702" i="9"/>
  <c r="X702" i="9"/>
  <c r="Y702" i="9"/>
  <c r="AE702" i="9"/>
  <c r="AK702" i="9" s="1"/>
  <c r="AF702" i="9"/>
  <c r="Q703" i="9"/>
  <c r="Z703" i="9" s="1"/>
  <c r="S703" i="9"/>
  <c r="U703" i="9"/>
  <c r="V703" i="9"/>
  <c r="W703" i="9"/>
  <c r="X703" i="9"/>
  <c r="Y703" i="9"/>
  <c r="AE703" i="9"/>
  <c r="AK703" i="9" s="1"/>
  <c r="AF703" i="9"/>
  <c r="Q704" i="9"/>
  <c r="Z704" i="9" s="1"/>
  <c r="S704" i="9"/>
  <c r="U704" i="9"/>
  <c r="V704" i="9"/>
  <c r="W704" i="9"/>
  <c r="X704" i="9"/>
  <c r="Y704" i="9"/>
  <c r="AE704" i="9"/>
  <c r="AK704" i="9" s="1"/>
  <c r="AF704" i="9"/>
  <c r="Q705" i="9"/>
  <c r="Z705" i="9" s="1"/>
  <c r="S705" i="9"/>
  <c r="U705" i="9"/>
  <c r="V705" i="9"/>
  <c r="W705" i="9"/>
  <c r="X705" i="9"/>
  <c r="Y705" i="9"/>
  <c r="AE705" i="9"/>
  <c r="AK705" i="9" s="1"/>
  <c r="AF705" i="9"/>
  <c r="Q706" i="9"/>
  <c r="Z706" i="9" s="1"/>
  <c r="AA706" i="9" s="1"/>
  <c r="T706" i="9" s="1"/>
  <c r="S706" i="9"/>
  <c r="U706" i="9"/>
  <c r="V706" i="9"/>
  <c r="W706" i="9"/>
  <c r="X706" i="9"/>
  <c r="Y706" i="9"/>
  <c r="AE706" i="9"/>
  <c r="AK706" i="9" s="1"/>
  <c r="AF706" i="9"/>
  <c r="Q707" i="9"/>
  <c r="Z707" i="9" s="1"/>
  <c r="S707" i="9"/>
  <c r="U707" i="9"/>
  <c r="V707" i="9"/>
  <c r="W707" i="9"/>
  <c r="X707" i="9"/>
  <c r="Y707" i="9"/>
  <c r="AE707" i="9"/>
  <c r="AK707" i="9" s="1"/>
  <c r="AF707" i="9"/>
  <c r="Q708" i="9"/>
  <c r="Z708" i="9" s="1"/>
  <c r="S708" i="9"/>
  <c r="U708" i="9"/>
  <c r="V708" i="9"/>
  <c r="W708" i="9"/>
  <c r="X708" i="9"/>
  <c r="Y708" i="9"/>
  <c r="AE708" i="9"/>
  <c r="AK708" i="9" s="1"/>
  <c r="AF708" i="9"/>
  <c r="Q709" i="9"/>
  <c r="Z709" i="9" s="1"/>
  <c r="S709" i="9"/>
  <c r="U709" i="9"/>
  <c r="V709" i="9"/>
  <c r="W709" i="9"/>
  <c r="X709" i="9"/>
  <c r="Y709" i="9"/>
  <c r="AE709" i="9"/>
  <c r="AK709" i="9" s="1"/>
  <c r="AF709" i="9"/>
  <c r="Q710" i="9"/>
  <c r="Z710" i="9" s="1"/>
  <c r="AA710" i="9" s="1"/>
  <c r="T710" i="9" s="1"/>
  <c r="S710" i="9"/>
  <c r="U710" i="9"/>
  <c r="V710" i="9"/>
  <c r="W710" i="9"/>
  <c r="X710" i="9"/>
  <c r="Y710" i="9"/>
  <c r="AE710" i="9"/>
  <c r="AK710" i="9" s="1"/>
  <c r="AF710" i="9"/>
  <c r="Q711" i="9"/>
  <c r="Z711" i="9" s="1"/>
  <c r="S711" i="9"/>
  <c r="U711" i="9"/>
  <c r="V711" i="9"/>
  <c r="W711" i="9"/>
  <c r="X711" i="9"/>
  <c r="Y711" i="9"/>
  <c r="AE711" i="9"/>
  <c r="AK711" i="9" s="1"/>
  <c r="AF711" i="9"/>
  <c r="Q712" i="9"/>
  <c r="Z712" i="9" s="1"/>
  <c r="S712" i="9"/>
  <c r="U712" i="9"/>
  <c r="V712" i="9"/>
  <c r="W712" i="9"/>
  <c r="X712" i="9"/>
  <c r="Y712" i="9"/>
  <c r="AE712" i="9"/>
  <c r="AK712" i="9" s="1"/>
  <c r="AF712" i="9"/>
  <c r="Q713" i="9"/>
  <c r="Z713" i="9" s="1"/>
  <c r="S713" i="9"/>
  <c r="U713" i="9"/>
  <c r="V713" i="9"/>
  <c r="W713" i="9"/>
  <c r="X713" i="9"/>
  <c r="Y713" i="9"/>
  <c r="AE713" i="9"/>
  <c r="AK713" i="9" s="1"/>
  <c r="AF713" i="9"/>
  <c r="Q714" i="9"/>
  <c r="Z714" i="9" s="1"/>
  <c r="AA714" i="9" s="1"/>
  <c r="T714" i="9" s="1"/>
  <c r="S714" i="9"/>
  <c r="U714" i="9"/>
  <c r="V714" i="9"/>
  <c r="W714" i="9"/>
  <c r="X714" i="9"/>
  <c r="Y714" i="9"/>
  <c r="AE714" i="9"/>
  <c r="AK714" i="9" s="1"/>
  <c r="AF714" i="9"/>
  <c r="Q715" i="9"/>
  <c r="Z715" i="9" s="1"/>
  <c r="S715" i="9"/>
  <c r="U715" i="9"/>
  <c r="V715" i="9"/>
  <c r="W715" i="9"/>
  <c r="X715" i="9"/>
  <c r="Y715" i="9"/>
  <c r="AE715" i="9"/>
  <c r="AK715" i="9" s="1"/>
  <c r="AF715" i="9"/>
  <c r="Q716" i="9"/>
  <c r="Z716" i="9" s="1"/>
  <c r="S716" i="9"/>
  <c r="U716" i="9"/>
  <c r="V716" i="9"/>
  <c r="W716" i="9"/>
  <c r="X716" i="9"/>
  <c r="Y716" i="9"/>
  <c r="AE716" i="9"/>
  <c r="AK716" i="9" s="1"/>
  <c r="AF716" i="9"/>
  <c r="Q717" i="9"/>
  <c r="Z717" i="9" s="1"/>
  <c r="S717" i="9"/>
  <c r="U717" i="9"/>
  <c r="V717" i="9"/>
  <c r="W717" i="9"/>
  <c r="X717" i="9"/>
  <c r="Y717" i="9"/>
  <c r="AE717" i="9"/>
  <c r="AK717" i="9" s="1"/>
  <c r="AF717" i="9"/>
  <c r="Q718" i="9"/>
  <c r="Z718" i="9" s="1"/>
  <c r="AA718" i="9" s="1"/>
  <c r="T718" i="9" s="1"/>
  <c r="S718" i="9"/>
  <c r="U718" i="9"/>
  <c r="V718" i="9"/>
  <c r="W718" i="9"/>
  <c r="X718" i="9"/>
  <c r="Y718" i="9"/>
  <c r="AE718" i="9"/>
  <c r="AK718" i="9" s="1"/>
  <c r="AF718" i="9"/>
  <c r="Q719" i="9"/>
  <c r="Z719" i="9" s="1"/>
  <c r="S719" i="9"/>
  <c r="U719" i="9"/>
  <c r="V719" i="9"/>
  <c r="W719" i="9"/>
  <c r="X719" i="9"/>
  <c r="Y719" i="9"/>
  <c r="AE719" i="9"/>
  <c r="AK719" i="9" s="1"/>
  <c r="AF719" i="9"/>
  <c r="Q720" i="9"/>
  <c r="Z720" i="9" s="1"/>
  <c r="S720" i="9"/>
  <c r="U720" i="9"/>
  <c r="V720" i="9"/>
  <c r="W720" i="9"/>
  <c r="X720" i="9"/>
  <c r="Y720" i="9"/>
  <c r="AE720" i="9"/>
  <c r="AK720" i="9" s="1"/>
  <c r="AF720" i="9"/>
  <c r="Q721" i="9"/>
  <c r="Z721" i="9" s="1"/>
  <c r="S721" i="9"/>
  <c r="U721" i="9"/>
  <c r="V721" i="9"/>
  <c r="W721" i="9"/>
  <c r="X721" i="9"/>
  <c r="Y721" i="9"/>
  <c r="AE721" i="9"/>
  <c r="AK721" i="9" s="1"/>
  <c r="AF721" i="9"/>
  <c r="Q722" i="9"/>
  <c r="Z722" i="9" s="1"/>
  <c r="AA722" i="9" s="1"/>
  <c r="T722" i="9" s="1"/>
  <c r="S722" i="9"/>
  <c r="U722" i="9"/>
  <c r="V722" i="9"/>
  <c r="W722" i="9"/>
  <c r="X722" i="9"/>
  <c r="Y722" i="9"/>
  <c r="AE722" i="9"/>
  <c r="AK722" i="9" s="1"/>
  <c r="AF722" i="9"/>
  <c r="Q723" i="9"/>
  <c r="Z723" i="9" s="1"/>
  <c r="S723" i="9"/>
  <c r="U723" i="9"/>
  <c r="V723" i="9"/>
  <c r="W723" i="9"/>
  <c r="X723" i="9"/>
  <c r="Y723" i="9"/>
  <c r="AE723" i="9"/>
  <c r="AK723" i="9" s="1"/>
  <c r="AF723" i="9"/>
  <c r="Q724" i="9"/>
  <c r="Z724" i="9" s="1"/>
  <c r="S724" i="9"/>
  <c r="U724" i="9"/>
  <c r="V724" i="9"/>
  <c r="W724" i="9"/>
  <c r="X724" i="9"/>
  <c r="Y724" i="9"/>
  <c r="AE724" i="9"/>
  <c r="AK724" i="9" s="1"/>
  <c r="AF724" i="9"/>
  <c r="Q725" i="9"/>
  <c r="Z725" i="9" s="1"/>
  <c r="S725" i="9"/>
  <c r="U725" i="9"/>
  <c r="V725" i="9"/>
  <c r="W725" i="9"/>
  <c r="X725" i="9"/>
  <c r="Y725" i="9"/>
  <c r="AE725" i="9"/>
  <c r="AK725" i="9" s="1"/>
  <c r="AF725" i="9"/>
  <c r="Q726" i="9"/>
  <c r="Z726" i="9" s="1"/>
  <c r="AA726" i="9" s="1"/>
  <c r="T726" i="9" s="1"/>
  <c r="S726" i="9"/>
  <c r="U726" i="9"/>
  <c r="V726" i="9"/>
  <c r="W726" i="9"/>
  <c r="X726" i="9"/>
  <c r="Y726" i="9"/>
  <c r="AE726" i="9"/>
  <c r="AK726" i="9" s="1"/>
  <c r="AF726" i="9"/>
  <c r="Q727" i="9"/>
  <c r="Z727" i="9" s="1"/>
  <c r="S727" i="9"/>
  <c r="U727" i="9"/>
  <c r="V727" i="9"/>
  <c r="W727" i="9"/>
  <c r="X727" i="9"/>
  <c r="Y727" i="9"/>
  <c r="AE727" i="9"/>
  <c r="AK727" i="9" s="1"/>
  <c r="AF727" i="9"/>
  <c r="Q728" i="9"/>
  <c r="Z728" i="9" s="1"/>
  <c r="S728" i="9"/>
  <c r="U728" i="9"/>
  <c r="V728" i="9"/>
  <c r="W728" i="9"/>
  <c r="X728" i="9"/>
  <c r="Y728" i="9"/>
  <c r="AE728" i="9"/>
  <c r="AK728" i="9" s="1"/>
  <c r="AF728" i="9"/>
  <c r="Q729" i="9"/>
  <c r="Z729" i="9" s="1"/>
  <c r="S729" i="9"/>
  <c r="U729" i="9"/>
  <c r="V729" i="9"/>
  <c r="W729" i="9"/>
  <c r="X729" i="9"/>
  <c r="Y729" i="9"/>
  <c r="AE729" i="9"/>
  <c r="AK729" i="9" s="1"/>
  <c r="AF729" i="9"/>
  <c r="Q730" i="9"/>
  <c r="Z730" i="9" s="1"/>
  <c r="AA730" i="9" s="1"/>
  <c r="T730" i="9" s="1"/>
  <c r="S730" i="9"/>
  <c r="U730" i="9"/>
  <c r="V730" i="9"/>
  <c r="W730" i="9"/>
  <c r="X730" i="9"/>
  <c r="Y730" i="9"/>
  <c r="AE730" i="9"/>
  <c r="AK730" i="9" s="1"/>
  <c r="AF730" i="9"/>
  <c r="Q731" i="9"/>
  <c r="Z731" i="9" s="1"/>
  <c r="S731" i="9"/>
  <c r="U731" i="9"/>
  <c r="V731" i="9"/>
  <c r="W731" i="9"/>
  <c r="X731" i="9"/>
  <c r="Y731" i="9"/>
  <c r="AE731" i="9"/>
  <c r="AK731" i="9" s="1"/>
  <c r="AF731" i="9"/>
  <c r="Q732" i="9"/>
  <c r="Z732" i="9" s="1"/>
  <c r="S732" i="9"/>
  <c r="U732" i="9"/>
  <c r="V732" i="9"/>
  <c r="W732" i="9"/>
  <c r="X732" i="9"/>
  <c r="Y732" i="9"/>
  <c r="AE732" i="9"/>
  <c r="AK732" i="9" s="1"/>
  <c r="AF732" i="9"/>
  <c r="Q733" i="9"/>
  <c r="Z733" i="9" s="1"/>
  <c r="S733" i="9"/>
  <c r="U733" i="9"/>
  <c r="V733" i="9"/>
  <c r="W733" i="9"/>
  <c r="X733" i="9"/>
  <c r="Y733" i="9"/>
  <c r="AE733" i="9"/>
  <c r="AK733" i="9" s="1"/>
  <c r="AF733" i="9"/>
  <c r="Q734" i="9"/>
  <c r="Z734" i="9" s="1"/>
  <c r="AA734" i="9" s="1"/>
  <c r="T734" i="9" s="1"/>
  <c r="S734" i="9"/>
  <c r="U734" i="9"/>
  <c r="V734" i="9"/>
  <c r="W734" i="9"/>
  <c r="X734" i="9"/>
  <c r="Y734" i="9"/>
  <c r="AE734" i="9"/>
  <c r="AK734" i="9" s="1"/>
  <c r="AF734" i="9"/>
  <c r="Q735" i="9"/>
  <c r="Z735" i="9" s="1"/>
  <c r="S735" i="9"/>
  <c r="U735" i="9"/>
  <c r="V735" i="9"/>
  <c r="W735" i="9"/>
  <c r="X735" i="9"/>
  <c r="Y735" i="9"/>
  <c r="AE735" i="9"/>
  <c r="AK735" i="9" s="1"/>
  <c r="AF735" i="9"/>
  <c r="Q736" i="9"/>
  <c r="Z736" i="9" s="1"/>
  <c r="S736" i="9"/>
  <c r="U736" i="9"/>
  <c r="V736" i="9"/>
  <c r="W736" i="9"/>
  <c r="X736" i="9"/>
  <c r="Y736" i="9"/>
  <c r="AE736" i="9"/>
  <c r="AK736" i="9" s="1"/>
  <c r="AF736" i="9"/>
  <c r="Q737" i="9"/>
  <c r="Z737" i="9" s="1"/>
  <c r="S737" i="9"/>
  <c r="U737" i="9"/>
  <c r="V737" i="9"/>
  <c r="W737" i="9"/>
  <c r="X737" i="9"/>
  <c r="Y737" i="9"/>
  <c r="AE737" i="9"/>
  <c r="AK737" i="9" s="1"/>
  <c r="AF737" i="9"/>
  <c r="Q738" i="9"/>
  <c r="Z738" i="9" s="1"/>
  <c r="AA738" i="9" s="1"/>
  <c r="T738" i="9" s="1"/>
  <c r="S738" i="9"/>
  <c r="U738" i="9"/>
  <c r="V738" i="9"/>
  <c r="W738" i="9"/>
  <c r="X738" i="9"/>
  <c r="Y738" i="9"/>
  <c r="AE738" i="9"/>
  <c r="AK738" i="9" s="1"/>
  <c r="AF738" i="9"/>
  <c r="Q739" i="9"/>
  <c r="Z739" i="9" s="1"/>
  <c r="S739" i="9"/>
  <c r="U739" i="9"/>
  <c r="V739" i="9"/>
  <c r="W739" i="9"/>
  <c r="X739" i="9"/>
  <c r="Y739" i="9"/>
  <c r="AE739" i="9"/>
  <c r="AK739" i="9" s="1"/>
  <c r="AF739" i="9"/>
  <c r="Q740" i="9"/>
  <c r="Z740" i="9" s="1"/>
  <c r="S740" i="9"/>
  <c r="U740" i="9"/>
  <c r="V740" i="9"/>
  <c r="W740" i="9"/>
  <c r="X740" i="9"/>
  <c r="Y740" i="9"/>
  <c r="AE740" i="9"/>
  <c r="AK740" i="9" s="1"/>
  <c r="AF740" i="9"/>
  <c r="Q741" i="9"/>
  <c r="Z741" i="9" s="1"/>
  <c r="S741" i="9"/>
  <c r="U741" i="9"/>
  <c r="V741" i="9"/>
  <c r="W741" i="9"/>
  <c r="X741" i="9"/>
  <c r="Y741" i="9"/>
  <c r="AE741" i="9"/>
  <c r="AK741" i="9" s="1"/>
  <c r="AF741" i="9"/>
  <c r="Q742" i="9"/>
  <c r="Z742" i="9" s="1"/>
  <c r="AA742" i="9" s="1"/>
  <c r="T742" i="9" s="1"/>
  <c r="S742" i="9"/>
  <c r="U742" i="9"/>
  <c r="V742" i="9"/>
  <c r="W742" i="9"/>
  <c r="X742" i="9"/>
  <c r="Y742" i="9"/>
  <c r="AE742" i="9"/>
  <c r="AK742" i="9" s="1"/>
  <c r="AF742" i="9"/>
  <c r="Q743" i="9"/>
  <c r="Z743" i="9" s="1"/>
  <c r="S743" i="9"/>
  <c r="U743" i="9"/>
  <c r="V743" i="9"/>
  <c r="W743" i="9"/>
  <c r="X743" i="9"/>
  <c r="Y743" i="9"/>
  <c r="AE743" i="9"/>
  <c r="AK743" i="9" s="1"/>
  <c r="AF743" i="9"/>
  <c r="Q744" i="9"/>
  <c r="Z744" i="9" s="1"/>
  <c r="S744" i="9"/>
  <c r="U744" i="9"/>
  <c r="V744" i="9"/>
  <c r="W744" i="9"/>
  <c r="X744" i="9"/>
  <c r="Y744" i="9"/>
  <c r="AE744" i="9"/>
  <c r="AK744" i="9" s="1"/>
  <c r="AF744" i="9"/>
  <c r="Q745" i="9"/>
  <c r="Z745" i="9" s="1"/>
  <c r="S745" i="9"/>
  <c r="U745" i="9"/>
  <c r="V745" i="9"/>
  <c r="W745" i="9"/>
  <c r="X745" i="9"/>
  <c r="Y745" i="9"/>
  <c r="AE745" i="9"/>
  <c r="AK745" i="9" s="1"/>
  <c r="AF745" i="9"/>
  <c r="Q746" i="9"/>
  <c r="Z746" i="9" s="1"/>
  <c r="AA746" i="9" s="1"/>
  <c r="T746" i="9" s="1"/>
  <c r="S746" i="9"/>
  <c r="U746" i="9"/>
  <c r="V746" i="9"/>
  <c r="W746" i="9"/>
  <c r="X746" i="9"/>
  <c r="Y746" i="9"/>
  <c r="AE746" i="9"/>
  <c r="AK746" i="9" s="1"/>
  <c r="AF746" i="9"/>
  <c r="Q747" i="9"/>
  <c r="Z747" i="9" s="1"/>
  <c r="S747" i="9"/>
  <c r="U747" i="9"/>
  <c r="V747" i="9"/>
  <c r="W747" i="9"/>
  <c r="X747" i="9"/>
  <c r="Y747" i="9"/>
  <c r="AE747" i="9"/>
  <c r="AK747" i="9" s="1"/>
  <c r="AF747" i="9"/>
  <c r="Q748" i="9"/>
  <c r="Z748" i="9" s="1"/>
  <c r="S748" i="9"/>
  <c r="U748" i="9"/>
  <c r="V748" i="9"/>
  <c r="W748" i="9"/>
  <c r="X748" i="9"/>
  <c r="Y748" i="9"/>
  <c r="AE748" i="9"/>
  <c r="AK748" i="9" s="1"/>
  <c r="AF748" i="9"/>
  <c r="Q749" i="9"/>
  <c r="Z749" i="9" s="1"/>
  <c r="S749" i="9"/>
  <c r="U749" i="9"/>
  <c r="V749" i="9"/>
  <c r="W749" i="9"/>
  <c r="X749" i="9"/>
  <c r="Y749" i="9"/>
  <c r="AE749" i="9"/>
  <c r="AK749" i="9" s="1"/>
  <c r="AF749" i="9"/>
  <c r="Q750" i="9"/>
  <c r="Z750" i="9" s="1"/>
  <c r="AA750" i="9" s="1"/>
  <c r="T750" i="9" s="1"/>
  <c r="S750" i="9"/>
  <c r="U750" i="9"/>
  <c r="V750" i="9"/>
  <c r="W750" i="9"/>
  <c r="X750" i="9"/>
  <c r="Y750" i="9"/>
  <c r="AE750" i="9"/>
  <c r="AK750" i="9" s="1"/>
  <c r="AF750" i="9"/>
  <c r="Q751" i="9"/>
  <c r="Z751" i="9" s="1"/>
  <c r="S751" i="9"/>
  <c r="U751" i="9"/>
  <c r="V751" i="9"/>
  <c r="W751" i="9"/>
  <c r="X751" i="9"/>
  <c r="Y751" i="9"/>
  <c r="AE751" i="9"/>
  <c r="AK751" i="9" s="1"/>
  <c r="AF751" i="9"/>
  <c r="Q752" i="9"/>
  <c r="Z752" i="9" s="1"/>
  <c r="S752" i="9"/>
  <c r="U752" i="9"/>
  <c r="V752" i="9"/>
  <c r="W752" i="9"/>
  <c r="X752" i="9"/>
  <c r="Y752" i="9"/>
  <c r="AE752" i="9"/>
  <c r="AK752" i="9" s="1"/>
  <c r="AF752" i="9"/>
  <c r="Q753" i="9"/>
  <c r="Z753" i="9" s="1"/>
  <c r="S753" i="9"/>
  <c r="U753" i="9"/>
  <c r="V753" i="9"/>
  <c r="W753" i="9"/>
  <c r="X753" i="9"/>
  <c r="Y753" i="9"/>
  <c r="AE753" i="9"/>
  <c r="AK753" i="9" s="1"/>
  <c r="AF753" i="9"/>
  <c r="Q754" i="9"/>
  <c r="Z754" i="9" s="1"/>
  <c r="AA754" i="9" s="1"/>
  <c r="T754" i="9" s="1"/>
  <c r="S754" i="9"/>
  <c r="U754" i="9"/>
  <c r="V754" i="9"/>
  <c r="W754" i="9"/>
  <c r="X754" i="9"/>
  <c r="Y754" i="9"/>
  <c r="AE754" i="9"/>
  <c r="AK754" i="9" s="1"/>
  <c r="AF754" i="9"/>
  <c r="Q755" i="9"/>
  <c r="Z755" i="9" s="1"/>
  <c r="S755" i="9"/>
  <c r="U755" i="9"/>
  <c r="V755" i="9"/>
  <c r="W755" i="9"/>
  <c r="X755" i="9"/>
  <c r="Y755" i="9"/>
  <c r="AE755" i="9"/>
  <c r="AK755" i="9" s="1"/>
  <c r="AF755" i="9"/>
  <c r="Q756" i="9"/>
  <c r="Z756" i="9" s="1"/>
  <c r="S756" i="9"/>
  <c r="U756" i="9"/>
  <c r="V756" i="9"/>
  <c r="W756" i="9"/>
  <c r="X756" i="9"/>
  <c r="Y756" i="9"/>
  <c r="AE756" i="9"/>
  <c r="AK756" i="9" s="1"/>
  <c r="AF756" i="9"/>
  <c r="Q757" i="9"/>
  <c r="Z757" i="9" s="1"/>
  <c r="S757" i="9"/>
  <c r="U757" i="9"/>
  <c r="V757" i="9"/>
  <c r="W757" i="9"/>
  <c r="X757" i="9"/>
  <c r="Y757" i="9"/>
  <c r="AE757" i="9"/>
  <c r="AK757" i="9" s="1"/>
  <c r="AF757" i="9"/>
  <c r="Q758" i="9"/>
  <c r="Z758" i="9" s="1"/>
  <c r="AA758" i="9" s="1"/>
  <c r="T758" i="9" s="1"/>
  <c r="S758" i="9"/>
  <c r="U758" i="9"/>
  <c r="V758" i="9"/>
  <c r="W758" i="9"/>
  <c r="X758" i="9"/>
  <c r="Y758" i="9"/>
  <c r="AE758" i="9"/>
  <c r="AK758" i="9" s="1"/>
  <c r="AF758" i="9"/>
  <c r="Q759" i="9"/>
  <c r="Z759" i="9" s="1"/>
  <c r="S759" i="9"/>
  <c r="U759" i="9"/>
  <c r="V759" i="9"/>
  <c r="W759" i="9"/>
  <c r="X759" i="9"/>
  <c r="Y759" i="9"/>
  <c r="AE759" i="9"/>
  <c r="AK759" i="9" s="1"/>
  <c r="AF759" i="9"/>
  <c r="Q760" i="9"/>
  <c r="Z760" i="9" s="1"/>
  <c r="S760" i="9"/>
  <c r="U760" i="9"/>
  <c r="V760" i="9"/>
  <c r="W760" i="9"/>
  <c r="X760" i="9"/>
  <c r="Y760" i="9"/>
  <c r="AE760" i="9"/>
  <c r="AK760" i="9" s="1"/>
  <c r="AF760" i="9"/>
  <c r="Q761" i="9"/>
  <c r="Z761" i="9" s="1"/>
  <c r="S761" i="9"/>
  <c r="U761" i="9"/>
  <c r="V761" i="9"/>
  <c r="W761" i="9"/>
  <c r="X761" i="9"/>
  <c r="Y761" i="9"/>
  <c r="AE761" i="9"/>
  <c r="AK761" i="9" s="1"/>
  <c r="AF761" i="9"/>
  <c r="Q762" i="9"/>
  <c r="Z762" i="9" s="1"/>
  <c r="AA762" i="9" s="1"/>
  <c r="T762" i="9" s="1"/>
  <c r="S762" i="9"/>
  <c r="U762" i="9"/>
  <c r="V762" i="9"/>
  <c r="W762" i="9"/>
  <c r="X762" i="9"/>
  <c r="Y762" i="9"/>
  <c r="AE762" i="9"/>
  <c r="AK762" i="9" s="1"/>
  <c r="AF762" i="9"/>
  <c r="Q763" i="9"/>
  <c r="Z763" i="9" s="1"/>
  <c r="S763" i="9"/>
  <c r="U763" i="9"/>
  <c r="V763" i="9"/>
  <c r="W763" i="9"/>
  <c r="X763" i="9"/>
  <c r="Y763" i="9"/>
  <c r="AE763" i="9"/>
  <c r="AK763" i="9" s="1"/>
  <c r="AF763" i="9"/>
  <c r="Q764" i="9"/>
  <c r="Z764" i="9" s="1"/>
  <c r="S764" i="9"/>
  <c r="U764" i="9"/>
  <c r="V764" i="9"/>
  <c r="W764" i="9"/>
  <c r="X764" i="9"/>
  <c r="Y764" i="9"/>
  <c r="AE764" i="9"/>
  <c r="AK764" i="9" s="1"/>
  <c r="AF764" i="9"/>
  <c r="Q765" i="9"/>
  <c r="Z765" i="9" s="1"/>
  <c r="S765" i="9"/>
  <c r="U765" i="9"/>
  <c r="V765" i="9"/>
  <c r="W765" i="9"/>
  <c r="X765" i="9"/>
  <c r="Y765" i="9"/>
  <c r="AE765" i="9"/>
  <c r="AK765" i="9" s="1"/>
  <c r="AF765" i="9"/>
  <c r="Q766" i="9"/>
  <c r="Z766" i="9" s="1"/>
  <c r="AA766" i="9" s="1"/>
  <c r="T766" i="9" s="1"/>
  <c r="S766" i="9"/>
  <c r="U766" i="9"/>
  <c r="V766" i="9"/>
  <c r="W766" i="9"/>
  <c r="X766" i="9"/>
  <c r="Y766" i="9"/>
  <c r="AE766" i="9"/>
  <c r="AK766" i="9" s="1"/>
  <c r="AF766" i="9"/>
  <c r="Q767" i="9"/>
  <c r="Z767" i="9" s="1"/>
  <c r="S767" i="9"/>
  <c r="U767" i="9"/>
  <c r="V767" i="9"/>
  <c r="W767" i="9"/>
  <c r="X767" i="9"/>
  <c r="Y767" i="9"/>
  <c r="AE767" i="9"/>
  <c r="AK767" i="9" s="1"/>
  <c r="AF767" i="9"/>
  <c r="Q768" i="9"/>
  <c r="Z768" i="9" s="1"/>
  <c r="S768" i="9"/>
  <c r="U768" i="9"/>
  <c r="V768" i="9"/>
  <c r="W768" i="9"/>
  <c r="X768" i="9"/>
  <c r="Y768" i="9"/>
  <c r="AE768" i="9"/>
  <c r="AK768" i="9" s="1"/>
  <c r="AF768" i="9"/>
  <c r="Q769" i="9"/>
  <c r="Z769" i="9" s="1"/>
  <c r="S769" i="9"/>
  <c r="U769" i="9"/>
  <c r="V769" i="9"/>
  <c r="W769" i="9"/>
  <c r="X769" i="9"/>
  <c r="Y769" i="9"/>
  <c r="AE769" i="9"/>
  <c r="AK769" i="9" s="1"/>
  <c r="AF769" i="9"/>
  <c r="Q770" i="9"/>
  <c r="Z770" i="9" s="1"/>
  <c r="AA770" i="9" s="1"/>
  <c r="T770" i="9" s="1"/>
  <c r="S770" i="9"/>
  <c r="U770" i="9"/>
  <c r="V770" i="9"/>
  <c r="W770" i="9"/>
  <c r="X770" i="9"/>
  <c r="Y770" i="9"/>
  <c r="AE770" i="9"/>
  <c r="AK770" i="9" s="1"/>
  <c r="AF770" i="9"/>
  <c r="Q771" i="9"/>
  <c r="Z771" i="9" s="1"/>
  <c r="S771" i="9"/>
  <c r="U771" i="9"/>
  <c r="V771" i="9"/>
  <c r="W771" i="9"/>
  <c r="X771" i="9"/>
  <c r="Y771" i="9"/>
  <c r="AE771" i="9"/>
  <c r="AK771" i="9" s="1"/>
  <c r="AF771" i="9"/>
  <c r="Q772" i="9"/>
  <c r="Z772" i="9" s="1"/>
  <c r="S772" i="9"/>
  <c r="U772" i="9"/>
  <c r="V772" i="9"/>
  <c r="W772" i="9"/>
  <c r="X772" i="9"/>
  <c r="Y772" i="9"/>
  <c r="AE772" i="9"/>
  <c r="AK772" i="9" s="1"/>
  <c r="AF772" i="9"/>
  <c r="Q773" i="9"/>
  <c r="Z773" i="9" s="1"/>
  <c r="S773" i="9"/>
  <c r="U773" i="9"/>
  <c r="V773" i="9"/>
  <c r="W773" i="9"/>
  <c r="X773" i="9"/>
  <c r="Y773" i="9"/>
  <c r="AE773" i="9"/>
  <c r="AK773" i="9" s="1"/>
  <c r="AF773" i="9"/>
  <c r="Q774" i="9"/>
  <c r="Z774" i="9" s="1"/>
  <c r="AA774" i="9" s="1"/>
  <c r="T774" i="9" s="1"/>
  <c r="S774" i="9"/>
  <c r="U774" i="9"/>
  <c r="V774" i="9"/>
  <c r="W774" i="9"/>
  <c r="X774" i="9"/>
  <c r="Y774" i="9"/>
  <c r="AE774" i="9"/>
  <c r="AK774" i="9" s="1"/>
  <c r="AF774" i="9"/>
  <c r="Q775" i="9"/>
  <c r="Z775" i="9" s="1"/>
  <c r="S775" i="9"/>
  <c r="U775" i="9"/>
  <c r="V775" i="9"/>
  <c r="W775" i="9"/>
  <c r="X775" i="9"/>
  <c r="Y775" i="9"/>
  <c r="AE775" i="9"/>
  <c r="AK775" i="9" s="1"/>
  <c r="AF775" i="9"/>
  <c r="Q776" i="9"/>
  <c r="Z776" i="9" s="1"/>
  <c r="S776" i="9"/>
  <c r="U776" i="9"/>
  <c r="V776" i="9"/>
  <c r="W776" i="9"/>
  <c r="X776" i="9"/>
  <c r="Y776" i="9"/>
  <c r="AE776" i="9"/>
  <c r="AK776" i="9" s="1"/>
  <c r="AF776" i="9"/>
  <c r="Q777" i="9"/>
  <c r="Z777" i="9" s="1"/>
  <c r="S777" i="9"/>
  <c r="U777" i="9"/>
  <c r="V777" i="9"/>
  <c r="W777" i="9"/>
  <c r="X777" i="9"/>
  <c r="Y777" i="9"/>
  <c r="AE777" i="9"/>
  <c r="AK777" i="9" s="1"/>
  <c r="AF777" i="9"/>
  <c r="Q778" i="9"/>
  <c r="Z778" i="9" s="1"/>
  <c r="AA778" i="9" s="1"/>
  <c r="T778" i="9" s="1"/>
  <c r="S778" i="9"/>
  <c r="U778" i="9"/>
  <c r="V778" i="9"/>
  <c r="W778" i="9"/>
  <c r="X778" i="9"/>
  <c r="Y778" i="9"/>
  <c r="AE778" i="9"/>
  <c r="AK778" i="9" s="1"/>
  <c r="AF778" i="9"/>
  <c r="Q779" i="9"/>
  <c r="Z779" i="9" s="1"/>
  <c r="S779" i="9"/>
  <c r="U779" i="9"/>
  <c r="V779" i="9"/>
  <c r="W779" i="9"/>
  <c r="X779" i="9"/>
  <c r="Y779" i="9"/>
  <c r="AE779" i="9"/>
  <c r="AK779" i="9" s="1"/>
  <c r="AF779" i="9"/>
  <c r="Q780" i="9"/>
  <c r="Z780" i="9" s="1"/>
  <c r="S780" i="9"/>
  <c r="U780" i="9"/>
  <c r="V780" i="9"/>
  <c r="W780" i="9"/>
  <c r="X780" i="9"/>
  <c r="Y780" i="9"/>
  <c r="AE780" i="9"/>
  <c r="AK780" i="9" s="1"/>
  <c r="AF780" i="9"/>
  <c r="Q781" i="9"/>
  <c r="Z781" i="9" s="1"/>
  <c r="S781" i="9"/>
  <c r="U781" i="9"/>
  <c r="V781" i="9"/>
  <c r="W781" i="9"/>
  <c r="X781" i="9"/>
  <c r="Y781" i="9"/>
  <c r="AE781" i="9"/>
  <c r="AK781" i="9" s="1"/>
  <c r="AF781" i="9"/>
  <c r="Q782" i="9"/>
  <c r="Z782" i="9" s="1"/>
  <c r="AA782" i="9" s="1"/>
  <c r="T782" i="9" s="1"/>
  <c r="S782" i="9"/>
  <c r="U782" i="9"/>
  <c r="V782" i="9"/>
  <c r="W782" i="9"/>
  <c r="X782" i="9"/>
  <c r="Y782" i="9"/>
  <c r="AE782" i="9"/>
  <c r="AK782" i="9" s="1"/>
  <c r="AF782" i="9"/>
  <c r="Q783" i="9"/>
  <c r="Z783" i="9" s="1"/>
  <c r="S783" i="9"/>
  <c r="U783" i="9"/>
  <c r="V783" i="9"/>
  <c r="W783" i="9"/>
  <c r="X783" i="9"/>
  <c r="Y783" i="9"/>
  <c r="AE783" i="9"/>
  <c r="AK783" i="9" s="1"/>
  <c r="AF783" i="9"/>
  <c r="Q784" i="9"/>
  <c r="Z784" i="9" s="1"/>
  <c r="S784" i="9"/>
  <c r="U784" i="9"/>
  <c r="V784" i="9"/>
  <c r="W784" i="9"/>
  <c r="X784" i="9"/>
  <c r="Y784" i="9"/>
  <c r="AE784" i="9"/>
  <c r="AK784" i="9" s="1"/>
  <c r="AF784" i="9"/>
  <c r="Q785" i="9"/>
  <c r="Z785" i="9" s="1"/>
  <c r="S785" i="9"/>
  <c r="U785" i="9"/>
  <c r="V785" i="9"/>
  <c r="W785" i="9"/>
  <c r="X785" i="9"/>
  <c r="Y785" i="9"/>
  <c r="AE785" i="9"/>
  <c r="AK785" i="9" s="1"/>
  <c r="AF785" i="9"/>
  <c r="Q786" i="9"/>
  <c r="Z786" i="9" s="1"/>
  <c r="AA786" i="9" s="1"/>
  <c r="T786" i="9" s="1"/>
  <c r="S786" i="9"/>
  <c r="U786" i="9"/>
  <c r="V786" i="9"/>
  <c r="W786" i="9"/>
  <c r="X786" i="9"/>
  <c r="Y786" i="9"/>
  <c r="AE786" i="9"/>
  <c r="AK786" i="9" s="1"/>
  <c r="AF786" i="9"/>
  <c r="Q787" i="9"/>
  <c r="Z787" i="9" s="1"/>
  <c r="S787" i="9"/>
  <c r="U787" i="9"/>
  <c r="V787" i="9"/>
  <c r="W787" i="9"/>
  <c r="X787" i="9"/>
  <c r="Y787" i="9"/>
  <c r="AE787" i="9"/>
  <c r="AK787" i="9" s="1"/>
  <c r="AF787" i="9"/>
  <c r="Q788" i="9"/>
  <c r="Z788" i="9" s="1"/>
  <c r="S788" i="9"/>
  <c r="U788" i="9"/>
  <c r="V788" i="9"/>
  <c r="W788" i="9"/>
  <c r="X788" i="9"/>
  <c r="Y788" i="9"/>
  <c r="AE788" i="9"/>
  <c r="AK788" i="9" s="1"/>
  <c r="AF788" i="9"/>
  <c r="Q789" i="9"/>
  <c r="Z789" i="9" s="1"/>
  <c r="S789" i="9"/>
  <c r="U789" i="9"/>
  <c r="V789" i="9"/>
  <c r="W789" i="9"/>
  <c r="X789" i="9"/>
  <c r="Y789" i="9"/>
  <c r="AE789" i="9"/>
  <c r="AK789" i="9" s="1"/>
  <c r="AF789" i="9"/>
  <c r="Q790" i="9"/>
  <c r="Z790" i="9" s="1"/>
  <c r="AA790" i="9" s="1"/>
  <c r="T790" i="9" s="1"/>
  <c r="S790" i="9"/>
  <c r="U790" i="9"/>
  <c r="V790" i="9"/>
  <c r="W790" i="9"/>
  <c r="X790" i="9"/>
  <c r="Y790" i="9"/>
  <c r="AE790" i="9"/>
  <c r="AK790" i="9" s="1"/>
  <c r="AF790" i="9"/>
  <c r="Q791" i="9"/>
  <c r="Z791" i="9" s="1"/>
  <c r="S791" i="9"/>
  <c r="U791" i="9"/>
  <c r="V791" i="9"/>
  <c r="W791" i="9"/>
  <c r="X791" i="9"/>
  <c r="Y791" i="9"/>
  <c r="AE791" i="9"/>
  <c r="AK791" i="9" s="1"/>
  <c r="AF791" i="9"/>
  <c r="Q792" i="9"/>
  <c r="Z792" i="9" s="1"/>
  <c r="S792" i="9"/>
  <c r="U792" i="9"/>
  <c r="V792" i="9"/>
  <c r="W792" i="9"/>
  <c r="X792" i="9"/>
  <c r="Y792" i="9"/>
  <c r="AE792" i="9"/>
  <c r="AK792" i="9" s="1"/>
  <c r="AF792" i="9"/>
  <c r="Q793" i="9"/>
  <c r="Z793" i="9" s="1"/>
  <c r="S793" i="9"/>
  <c r="U793" i="9"/>
  <c r="V793" i="9"/>
  <c r="W793" i="9"/>
  <c r="X793" i="9"/>
  <c r="Y793" i="9"/>
  <c r="AE793" i="9"/>
  <c r="AK793" i="9" s="1"/>
  <c r="AF793" i="9"/>
  <c r="Q794" i="9"/>
  <c r="Z794" i="9" s="1"/>
  <c r="AA794" i="9" s="1"/>
  <c r="T794" i="9" s="1"/>
  <c r="S794" i="9"/>
  <c r="U794" i="9"/>
  <c r="V794" i="9"/>
  <c r="W794" i="9"/>
  <c r="X794" i="9"/>
  <c r="Y794" i="9"/>
  <c r="AE794" i="9"/>
  <c r="AK794" i="9" s="1"/>
  <c r="AF794" i="9"/>
  <c r="Q795" i="9"/>
  <c r="Z795" i="9" s="1"/>
  <c r="S795" i="9"/>
  <c r="U795" i="9"/>
  <c r="V795" i="9"/>
  <c r="W795" i="9"/>
  <c r="X795" i="9"/>
  <c r="Y795" i="9"/>
  <c r="AE795" i="9"/>
  <c r="AK795" i="9" s="1"/>
  <c r="AF795" i="9"/>
  <c r="Q796" i="9"/>
  <c r="Z796" i="9" s="1"/>
  <c r="S796" i="9"/>
  <c r="U796" i="9"/>
  <c r="V796" i="9"/>
  <c r="W796" i="9"/>
  <c r="X796" i="9"/>
  <c r="Y796" i="9"/>
  <c r="AE796" i="9"/>
  <c r="AK796" i="9" s="1"/>
  <c r="AF796" i="9"/>
  <c r="Q797" i="9"/>
  <c r="Z797" i="9" s="1"/>
  <c r="S797" i="9"/>
  <c r="U797" i="9"/>
  <c r="V797" i="9"/>
  <c r="W797" i="9"/>
  <c r="X797" i="9"/>
  <c r="Y797" i="9"/>
  <c r="AE797" i="9"/>
  <c r="AK797" i="9" s="1"/>
  <c r="AF797" i="9"/>
  <c r="Q798" i="9"/>
  <c r="Z798" i="9" s="1"/>
  <c r="AA798" i="9" s="1"/>
  <c r="T798" i="9" s="1"/>
  <c r="S798" i="9"/>
  <c r="U798" i="9"/>
  <c r="V798" i="9"/>
  <c r="W798" i="9"/>
  <c r="X798" i="9"/>
  <c r="Y798" i="9"/>
  <c r="AE798" i="9"/>
  <c r="AK798" i="9" s="1"/>
  <c r="AF798" i="9"/>
  <c r="Q799" i="9"/>
  <c r="Z799" i="9" s="1"/>
  <c r="S799" i="9"/>
  <c r="U799" i="9"/>
  <c r="V799" i="9"/>
  <c r="W799" i="9"/>
  <c r="X799" i="9"/>
  <c r="Y799" i="9"/>
  <c r="AE799" i="9"/>
  <c r="AK799" i="9" s="1"/>
  <c r="AF799" i="9"/>
  <c r="Q800" i="9"/>
  <c r="Z800" i="9" s="1"/>
  <c r="S800" i="9"/>
  <c r="U800" i="9"/>
  <c r="V800" i="9"/>
  <c r="W800" i="9"/>
  <c r="X800" i="9"/>
  <c r="Y800" i="9"/>
  <c r="AE800" i="9"/>
  <c r="AK800" i="9" s="1"/>
  <c r="AF800" i="9"/>
  <c r="Q801" i="9"/>
  <c r="Z801" i="9" s="1"/>
  <c r="S801" i="9"/>
  <c r="U801" i="9"/>
  <c r="V801" i="9"/>
  <c r="W801" i="9"/>
  <c r="X801" i="9"/>
  <c r="Y801" i="9"/>
  <c r="AE801" i="9"/>
  <c r="AK801" i="9" s="1"/>
  <c r="AF801" i="9"/>
  <c r="Q802" i="9"/>
  <c r="Z802" i="9" s="1"/>
  <c r="AA802" i="9" s="1"/>
  <c r="T802" i="9" s="1"/>
  <c r="S802" i="9"/>
  <c r="U802" i="9"/>
  <c r="V802" i="9"/>
  <c r="W802" i="9"/>
  <c r="X802" i="9"/>
  <c r="Y802" i="9"/>
  <c r="AE802" i="9"/>
  <c r="AK802" i="9" s="1"/>
  <c r="AF802" i="9"/>
  <c r="Q803" i="9"/>
  <c r="Z803" i="9" s="1"/>
  <c r="S803" i="9"/>
  <c r="U803" i="9"/>
  <c r="V803" i="9"/>
  <c r="W803" i="9"/>
  <c r="X803" i="9"/>
  <c r="Y803" i="9"/>
  <c r="AE803" i="9"/>
  <c r="AK803" i="9" s="1"/>
  <c r="AF803" i="9"/>
  <c r="Q804" i="9"/>
  <c r="Z804" i="9" s="1"/>
  <c r="S804" i="9"/>
  <c r="U804" i="9"/>
  <c r="V804" i="9"/>
  <c r="W804" i="9"/>
  <c r="X804" i="9"/>
  <c r="Y804" i="9"/>
  <c r="AE804" i="9"/>
  <c r="AK804" i="9" s="1"/>
  <c r="AF804" i="9"/>
  <c r="Q805" i="9"/>
  <c r="Z805" i="9" s="1"/>
  <c r="S805" i="9"/>
  <c r="U805" i="9"/>
  <c r="V805" i="9"/>
  <c r="W805" i="9"/>
  <c r="X805" i="9"/>
  <c r="Y805" i="9"/>
  <c r="AE805" i="9"/>
  <c r="AK805" i="9" s="1"/>
  <c r="AF805" i="9"/>
  <c r="Q806" i="9"/>
  <c r="Z806" i="9" s="1"/>
  <c r="AA806" i="9" s="1"/>
  <c r="T806" i="9" s="1"/>
  <c r="S806" i="9"/>
  <c r="U806" i="9"/>
  <c r="V806" i="9"/>
  <c r="W806" i="9"/>
  <c r="X806" i="9"/>
  <c r="Y806" i="9"/>
  <c r="AE806" i="9"/>
  <c r="AK806" i="9" s="1"/>
  <c r="AF806" i="9"/>
  <c r="Q807" i="9"/>
  <c r="Z807" i="9" s="1"/>
  <c r="S807" i="9"/>
  <c r="U807" i="9"/>
  <c r="V807" i="9"/>
  <c r="W807" i="9"/>
  <c r="X807" i="9"/>
  <c r="Y807" i="9"/>
  <c r="AE807" i="9"/>
  <c r="AK807" i="9" s="1"/>
  <c r="AF807" i="9"/>
  <c r="Q808" i="9"/>
  <c r="Z808" i="9" s="1"/>
  <c r="S808" i="9"/>
  <c r="U808" i="9"/>
  <c r="V808" i="9"/>
  <c r="W808" i="9"/>
  <c r="X808" i="9"/>
  <c r="Y808" i="9"/>
  <c r="AE808" i="9"/>
  <c r="AK808" i="9" s="1"/>
  <c r="AF808" i="9"/>
  <c r="Q809" i="9"/>
  <c r="Z809" i="9" s="1"/>
  <c r="S809" i="9"/>
  <c r="U809" i="9"/>
  <c r="V809" i="9"/>
  <c r="W809" i="9"/>
  <c r="X809" i="9"/>
  <c r="Y809" i="9"/>
  <c r="AE809" i="9"/>
  <c r="AK809" i="9" s="1"/>
  <c r="AF809" i="9"/>
  <c r="Q810" i="9"/>
  <c r="Z810" i="9" s="1"/>
  <c r="AA810" i="9" s="1"/>
  <c r="T810" i="9" s="1"/>
  <c r="S810" i="9"/>
  <c r="U810" i="9"/>
  <c r="V810" i="9"/>
  <c r="W810" i="9"/>
  <c r="X810" i="9"/>
  <c r="Y810" i="9"/>
  <c r="AE810" i="9"/>
  <c r="AK810" i="9" s="1"/>
  <c r="AF810" i="9"/>
  <c r="Q811" i="9"/>
  <c r="Z811" i="9" s="1"/>
  <c r="S811" i="9"/>
  <c r="U811" i="9"/>
  <c r="V811" i="9"/>
  <c r="W811" i="9"/>
  <c r="X811" i="9"/>
  <c r="Y811" i="9"/>
  <c r="AE811" i="9"/>
  <c r="AK811" i="9" s="1"/>
  <c r="AF811" i="9"/>
  <c r="Q812" i="9"/>
  <c r="Z812" i="9" s="1"/>
  <c r="S812" i="9"/>
  <c r="U812" i="9"/>
  <c r="V812" i="9"/>
  <c r="W812" i="9"/>
  <c r="X812" i="9"/>
  <c r="Y812" i="9"/>
  <c r="AE812" i="9"/>
  <c r="AK812" i="9" s="1"/>
  <c r="AF812" i="9"/>
  <c r="Q813" i="9"/>
  <c r="Z813" i="9" s="1"/>
  <c r="S813" i="9"/>
  <c r="U813" i="9"/>
  <c r="V813" i="9"/>
  <c r="W813" i="9"/>
  <c r="X813" i="9"/>
  <c r="Y813" i="9"/>
  <c r="AE813" i="9"/>
  <c r="AK813" i="9" s="1"/>
  <c r="AF813" i="9"/>
  <c r="Q814" i="9"/>
  <c r="Z814" i="9" s="1"/>
  <c r="AA814" i="9" s="1"/>
  <c r="T814" i="9" s="1"/>
  <c r="S814" i="9"/>
  <c r="U814" i="9"/>
  <c r="V814" i="9"/>
  <c r="W814" i="9"/>
  <c r="X814" i="9"/>
  <c r="Y814" i="9"/>
  <c r="AE814" i="9"/>
  <c r="AK814" i="9" s="1"/>
  <c r="AF814" i="9"/>
  <c r="Q815" i="9"/>
  <c r="Z815" i="9" s="1"/>
  <c r="S815" i="9"/>
  <c r="U815" i="9"/>
  <c r="V815" i="9"/>
  <c r="W815" i="9"/>
  <c r="X815" i="9"/>
  <c r="Y815" i="9"/>
  <c r="AE815" i="9"/>
  <c r="AK815" i="9" s="1"/>
  <c r="AF815" i="9"/>
  <c r="Q816" i="9"/>
  <c r="Z816" i="9" s="1"/>
  <c r="S816" i="9"/>
  <c r="U816" i="9"/>
  <c r="V816" i="9"/>
  <c r="W816" i="9"/>
  <c r="X816" i="9"/>
  <c r="Y816" i="9"/>
  <c r="AE816" i="9"/>
  <c r="AK816" i="9" s="1"/>
  <c r="AF816" i="9"/>
  <c r="Q817" i="9"/>
  <c r="Z817" i="9" s="1"/>
  <c r="S817" i="9"/>
  <c r="U817" i="9"/>
  <c r="V817" i="9"/>
  <c r="W817" i="9"/>
  <c r="X817" i="9"/>
  <c r="Y817" i="9"/>
  <c r="AE817" i="9"/>
  <c r="AK817" i="9" s="1"/>
  <c r="AF817" i="9"/>
  <c r="Q818" i="9"/>
  <c r="Z818" i="9" s="1"/>
  <c r="AA818" i="9" s="1"/>
  <c r="T818" i="9" s="1"/>
  <c r="S818" i="9"/>
  <c r="U818" i="9"/>
  <c r="V818" i="9"/>
  <c r="W818" i="9"/>
  <c r="X818" i="9"/>
  <c r="Y818" i="9"/>
  <c r="AE818" i="9"/>
  <c r="AK818" i="9" s="1"/>
  <c r="AF818" i="9"/>
  <c r="Q819" i="9"/>
  <c r="Z819" i="9" s="1"/>
  <c r="S819" i="9"/>
  <c r="U819" i="9"/>
  <c r="V819" i="9"/>
  <c r="W819" i="9"/>
  <c r="X819" i="9"/>
  <c r="Y819" i="9"/>
  <c r="AE819" i="9"/>
  <c r="AK819" i="9" s="1"/>
  <c r="AF819" i="9"/>
  <c r="Q820" i="9"/>
  <c r="Z820" i="9" s="1"/>
  <c r="S820" i="9"/>
  <c r="U820" i="9"/>
  <c r="V820" i="9"/>
  <c r="W820" i="9"/>
  <c r="X820" i="9"/>
  <c r="Y820" i="9"/>
  <c r="AE820" i="9"/>
  <c r="AK820" i="9" s="1"/>
  <c r="AF820" i="9"/>
  <c r="Q821" i="9"/>
  <c r="Z821" i="9" s="1"/>
  <c r="S821" i="9"/>
  <c r="U821" i="9"/>
  <c r="V821" i="9"/>
  <c r="W821" i="9"/>
  <c r="X821" i="9"/>
  <c r="Y821" i="9"/>
  <c r="AE821" i="9"/>
  <c r="AK821" i="9" s="1"/>
  <c r="AF821" i="9"/>
  <c r="Q822" i="9"/>
  <c r="Z822" i="9" s="1"/>
  <c r="AA822" i="9" s="1"/>
  <c r="T822" i="9" s="1"/>
  <c r="S822" i="9"/>
  <c r="U822" i="9"/>
  <c r="V822" i="9"/>
  <c r="W822" i="9"/>
  <c r="X822" i="9"/>
  <c r="Y822" i="9"/>
  <c r="AE822" i="9"/>
  <c r="AK822" i="9" s="1"/>
  <c r="AF822" i="9"/>
  <c r="Q823" i="9"/>
  <c r="Z823" i="9" s="1"/>
  <c r="S823" i="9"/>
  <c r="U823" i="9"/>
  <c r="V823" i="9"/>
  <c r="W823" i="9"/>
  <c r="X823" i="9"/>
  <c r="Y823" i="9"/>
  <c r="AE823" i="9"/>
  <c r="AK823" i="9" s="1"/>
  <c r="AF823" i="9"/>
  <c r="Q824" i="9"/>
  <c r="Z824" i="9" s="1"/>
  <c r="S824" i="9"/>
  <c r="U824" i="9"/>
  <c r="V824" i="9"/>
  <c r="W824" i="9"/>
  <c r="X824" i="9"/>
  <c r="Y824" i="9"/>
  <c r="AE824" i="9"/>
  <c r="AK824" i="9" s="1"/>
  <c r="AF824" i="9"/>
  <c r="Q825" i="9"/>
  <c r="Z825" i="9" s="1"/>
  <c r="S825" i="9"/>
  <c r="U825" i="9"/>
  <c r="V825" i="9"/>
  <c r="W825" i="9"/>
  <c r="X825" i="9"/>
  <c r="Y825" i="9"/>
  <c r="AE825" i="9"/>
  <c r="AK825" i="9" s="1"/>
  <c r="AF825" i="9"/>
  <c r="Q826" i="9"/>
  <c r="Z826" i="9" s="1"/>
  <c r="AA826" i="9" s="1"/>
  <c r="T826" i="9" s="1"/>
  <c r="S826" i="9"/>
  <c r="U826" i="9"/>
  <c r="V826" i="9"/>
  <c r="W826" i="9"/>
  <c r="X826" i="9"/>
  <c r="Y826" i="9"/>
  <c r="AE826" i="9"/>
  <c r="AK826" i="9" s="1"/>
  <c r="AF826" i="9"/>
  <c r="Q827" i="9"/>
  <c r="Z827" i="9" s="1"/>
  <c r="S827" i="9"/>
  <c r="U827" i="9"/>
  <c r="V827" i="9"/>
  <c r="W827" i="9"/>
  <c r="X827" i="9"/>
  <c r="Y827" i="9"/>
  <c r="AE827" i="9"/>
  <c r="AK827" i="9" s="1"/>
  <c r="AF827" i="9"/>
  <c r="Q828" i="9"/>
  <c r="Z828" i="9" s="1"/>
  <c r="S828" i="9"/>
  <c r="U828" i="9"/>
  <c r="V828" i="9"/>
  <c r="W828" i="9"/>
  <c r="X828" i="9"/>
  <c r="Y828" i="9"/>
  <c r="AE828" i="9"/>
  <c r="AK828" i="9" s="1"/>
  <c r="AF828" i="9"/>
  <c r="Q829" i="9"/>
  <c r="Z829" i="9" s="1"/>
  <c r="S829" i="9"/>
  <c r="U829" i="9"/>
  <c r="V829" i="9"/>
  <c r="W829" i="9"/>
  <c r="X829" i="9"/>
  <c r="Y829" i="9"/>
  <c r="AE829" i="9"/>
  <c r="AK829" i="9" s="1"/>
  <c r="AF829" i="9"/>
  <c r="Q830" i="9"/>
  <c r="Z830" i="9" s="1"/>
  <c r="AA830" i="9" s="1"/>
  <c r="T830" i="9" s="1"/>
  <c r="S830" i="9"/>
  <c r="U830" i="9"/>
  <c r="V830" i="9"/>
  <c r="W830" i="9"/>
  <c r="X830" i="9"/>
  <c r="Y830" i="9"/>
  <c r="AE830" i="9"/>
  <c r="AK830" i="9" s="1"/>
  <c r="AF830" i="9"/>
  <c r="Q831" i="9"/>
  <c r="Z831" i="9" s="1"/>
  <c r="S831" i="9"/>
  <c r="U831" i="9"/>
  <c r="V831" i="9"/>
  <c r="W831" i="9"/>
  <c r="X831" i="9"/>
  <c r="Y831" i="9"/>
  <c r="AE831" i="9"/>
  <c r="AK831" i="9" s="1"/>
  <c r="AF831" i="9"/>
  <c r="Q832" i="9"/>
  <c r="Z832" i="9" s="1"/>
  <c r="S832" i="9"/>
  <c r="U832" i="9"/>
  <c r="V832" i="9"/>
  <c r="W832" i="9"/>
  <c r="X832" i="9"/>
  <c r="Y832" i="9"/>
  <c r="AE832" i="9"/>
  <c r="AK832" i="9" s="1"/>
  <c r="AF832" i="9"/>
  <c r="Q833" i="9"/>
  <c r="Z833" i="9" s="1"/>
  <c r="S833" i="9"/>
  <c r="U833" i="9"/>
  <c r="V833" i="9"/>
  <c r="W833" i="9"/>
  <c r="X833" i="9"/>
  <c r="Y833" i="9"/>
  <c r="AE833" i="9"/>
  <c r="AK833" i="9" s="1"/>
  <c r="AF833" i="9"/>
  <c r="Q834" i="9"/>
  <c r="Z834" i="9" s="1"/>
  <c r="AA834" i="9" s="1"/>
  <c r="T834" i="9" s="1"/>
  <c r="S834" i="9"/>
  <c r="U834" i="9"/>
  <c r="V834" i="9"/>
  <c r="W834" i="9"/>
  <c r="X834" i="9"/>
  <c r="Y834" i="9"/>
  <c r="AE834" i="9"/>
  <c r="AK834" i="9" s="1"/>
  <c r="AF834" i="9"/>
  <c r="Q835" i="9"/>
  <c r="Z835" i="9" s="1"/>
  <c r="S835" i="9"/>
  <c r="U835" i="9"/>
  <c r="V835" i="9"/>
  <c r="W835" i="9"/>
  <c r="X835" i="9"/>
  <c r="Y835" i="9"/>
  <c r="AE835" i="9"/>
  <c r="AK835" i="9" s="1"/>
  <c r="AF835" i="9"/>
  <c r="Q836" i="9"/>
  <c r="Z836" i="9" s="1"/>
  <c r="S836" i="9"/>
  <c r="U836" i="9"/>
  <c r="V836" i="9"/>
  <c r="W836" i="9"/>
  <c r="X836" i="9"/>
  <c r="Y836" i="9"/>
  <c r="AE836" i="9"/>
  <c r="AK836" i="9" s="1"/>
  <c r="AF836" i="9"/>
  <c r="Q837" i="9"/>
  <c r="Z837" i="9" s="1"/>
  <c r="S837" i="9"/>
  <c r="U837" i="9"/>
  <c r="V837" i="9"/>
  <c r="W837" i="9"/>
  <c r="X837" i="9"/>
  <c r="Y837" i="9"/>
  <c r="AE837" i="9"/>
  <c r="AK837" i="9" s="1"/>
  <c r="AF837" i="9"/>
  <c r="Q838" i="9"/>
  <c r="Z838" i="9" s="1"/>
  <c r="AA838" i="9" s="1"/>
  <c r="T838" i="9" s="1"/>
  <c r="S838" i="9"/>
  <c r="U838" i="9"/>
  <c r="V838" i="9"/>
  <c r="W838" i="9"/>
  <c r="X838" i="9"/>
  <c r="Y838" i="9"/>
  <c r="AE838" i="9"/>
  <c r="AK838" i="9" s="1"/>
  <c r="AF838" i="9"/>
  <c r="Q839" i="9"/>
  <c r="Z839" i="9" s="1"/>
  <c r="S839" i="9"/>
  <c r="U839" i="9"/>
  <c r="V839" i="9"/>
  <c r="W839" i="9"/>
  <c r="X839" i="9"/>
  <c r="Y839" i="9"/>
  <c r="AE839" i="9"/>
  <c r="AK839" i="9" s="1"/>
  <c r="AF839" i="9"/>
  <c r="Q840" i="9"/>
  <c r="Z840" i="9" s="1"/>
  <c r="S840" i="9"/>
  <c r="U840" i="9"/>
  <c r="V840" i="9"/>
  <c r="W840" i="9"/>
  <c r="X840" i="9"/>
  <c r="Y840" i="9"/>
  <c r="AE840" i="9"/>
  <c r="AK840" i="9" s="1"/>
  <c r="AF840" i="9"/>
  <c r="Q841" i="9"/>
  <c r="Z841" i="9" s="1"/>
  <c r="S841" i="9"/>
  <c r="U841" i="9"/>
  <c r="V841" i="9"/>
  <c r="W841" i="9"/>
  <c r="X841" i="9"/>
  <c r="Y841" i="9"/>
  <c r="AE841" i="9"/>
  <c r="AK841" i="9" s="1"/>
  <c r="AF841" i="9"/>
  <c r="Q842" i="9"/>
  <c r="Z842" i="9" s="1"/>
  <c r="AA842" i="9" s="1"/>
  <c r="T842" i="9" s="1"/>
  <c r="S842" i="9"/>
  <c r="U842" i="9"/>
  <c r="V842" i="9"/>
  <c r="W842" i="9"/>
  <c r="X842" i="9"/>
  <c r="Y842" i="9"/>
  <c r="AE842" i="9"/>
  <c r="AK842" i="9" s="1"/>
  <c r="AF842" i="9"/>
  <c r="Q843" i="9"/>
  <c r="Z843" i="9" s="1"/>
  <c r="S843" i="9"/>
  <c r="U843" i="9"/>
  <c r="V843" i="9"/>
  <c r="W843" i="9"/>
  <c r="X843" i="9"/>
  <c r="Y843" i="9"/>
  <c r="AE843" i="9"/>
  <c r="AK843" i="9" s="1"/>
  <c r="AF843" i="9"/>
  <c r="Q844" i="9"/>
  <c r="Z844" i="9" s="1"/>
  <c r="S844" i="9"/>
  <c r="U844" i="9"/>
  <c r="V844" i="9"/>
  <c r="W844" i="9"/>
  <c r="X844" i="9"/>
  <c r="Y844" i="9"/>
  <c r="AE844" i="9"/>
  <c r="AK844" i="9" s="1"/>
  <c r="AF844" i="9"/>
  <c r="Q845" i="9"/>
  <c r="Z845" i="9" s="1"/>
  <c r="S845" i="9"/>
  <c r="U845" i="9"/>
  <c r="V845" i="9"/>
  <c r="W845" i="9"/>
  <c r="X845" i="9"/>
  <c r="Y845" i="9"/>
  <c r="AE845" i="9"/>
  <c r="AK845" i="9" s="1"/>
  <c r="AF845" i="9"/>
  <c r="Q846" i="9"/>
  <c r="Z846" i="9" s="1"/>
  <c r="AA846" i="9" s="1"/>
  <c r="T846" i="9" s="1"/>
  <c r="S846" i="9"/>
  <c r="U846" i="9"/>
  <c r="V846" i="9"/>
  <c r="W846" i="9"/>
  <c r="X846" i="9"/>
  <c r="Y846" i="9"/>
  <c r="AE846" i="9"/>
  <c r="AK846" i="9" s="1"/>
  <c r="AF846" i="9"/>
  <c r="Q847" i="9"/>
  <c r="Z847" i="9" s="1"/>
  <c r="S847" i="9"/>
  <c r="U847" i="9"/>
  <c r="V847" i="9"/>
  <c r="W847" i="9"/>
  <c r="X847" i="9"/>
  <c r="Y847" i="9"/>
  <c r="AE847" i="9"/>
  <c r="AK847" i="9" s="1"/>
  <c r="AF847" i="9"/>
  <c r="Q848" i="9"/>
  <c r="Z848" i="9" s="1"/>
  <c r="S848" i="9"/>
  <c r="U848" i="9"/>
  <c r="V848" i="9"/>
  <c r="W848" i="9"/>
  <c r="X848" i="9"/>
  <c r="Y848" i="9"/>
  <c r="AE848" i="9"/>
  <c r="AK848" i="9" s="1"/>
  <c r="AF848" i="9"/>
  <c r="Q849" i="9"/>
  <c r="Z849" i="9" s="1"/>
  <c r="S849" i="9"/>
  <c r="U849" i="9"/>
  <c r="V849" i="9"/>
  <c r="W849" i="9"/>
  <c r="X849" i="9"/>
  <c r="Y849" i="9"/>
  <c r="AE849" i="9"/>
  <c r="AK849" i="9" s="1"/>
  <c r="AF849" i="9"/>
  <c r="Q850" i="9"/>
  <c r="Z850" i="9" s="1"/>
  <c r="AA850" i="9" s="1"/>
  <c r="T850" i="9" s="1"/>
  <c r="S850" i="9"/>
  <c r="U850" i="9"/>
  <c r="V850" i="9"/>
  <c r="W850" i="9"/>
  <c r="X850" i="9"/>
  <c r="Y850" i="9"/>
  <c r="AE850" i="9"/>
  <c r="AK850" i="9" s="1"/>
  <c r="AF850" i="9"/>
  <c r="Q851" i="9"/>
  <c r="Z851" i="9" s="1"/>
  <c r="S851" i="9"/>
  <c r="U851" i="9"/>
  <c r="V851" i="9"/>
  <c r="W851" i="9"/>
  <c r="X851" i="9"/>
  <c r="Y851" i="9"/>
  <c r="AE851" i="9"/>
  <c r="AK851" i="9" s="1"/>
  <c r="AF851" i="9"/>
  <c r="Q852" i="9"/>
  <c r="Z852" i="9" s="1"/>
  <c r="S852" i="9"/>
  <c r="U852" i="9"/>
  <c r="V852" i="9"/>
  <c r="W852" i="9"/>
  <c r="X852" i="9"/>
  <c r="Y852" i="9"/>
  <c r="AE852" i="9"/>
  <c r="AK852" i="9" s="1"/>
  <c r="AF852" i="9"/>
  <c r="Q853" i="9"/>
  <c r="Z853" i="9" s="1"/>
  <c r="S853" i="9"/>
  <c r="U853" i="9"/>
  <c r="V853" i="9"/>
  <c r="W853" i="9"/>
  <c r="X853" i="9"/>
  <c r="Y853" i="9"/>
  <c r="AE853" i="9"/>
  <c r="AK853" i="9" s="1"/>
  <c r="AF853" i="9"/>
  <c r="Q854" i="9"/>
  <c r="Z854" i="9" s="1"/>
  <c r="AA854" i="9" s="1"/>
  <c r="T854" i="9" s="1"/>
  <c r="S854" i="9"/>
  <c r="U854" i="9"/>
  <c r="V854" i="9"/>
  <c r="W854" i="9"/>
  <c r="X854" i="9"/>
  <c r="Y854" i="9"/>
  <c r="AE854" i="9"/>
  <c r="AK854" i="9" s="1"/>
  <c r="AF854" i="9"/>
  <c r="Q855" i="9"/>
  <c r="Z855" i="9" s="1"/>
  <c r="S855" i="9"/>
  <c r="U855" i="9"/>
  <c r="V855" i="9"/>
  <c r="W855" i="9"/>
  <c r="X855" i="9"/>
  <c r="Y855" i="9"/>
  <c r="AE855" i="9"/>
  <c r="AK855" i="9" s="1"/>
  <c r="AF855" i="9"/>
  <c r="Q856" i="9"/>
  <c r="Z856" i="9" s="1"/>
  <c r="S856" i="9"/>
  <c r="U856" i="9"/>
  <c r="V856" i="9"/>
  <c r="W856" i="9"/>
  <c r="X856" i="9"/>
  <c r="Y856" i="9"/>
  <c r="AE856" i="9"/>
  <c r="AK856" i="9" s="1"/>
  <c r="AF856" i="9"/>
  <c r="Q857" i="9"/>
  <c r="Z857" i="9" s="1"/>
  <c r="S857" i="9"/>
  <c r="U857" i="9"/>
  <c r="V857" i="9"/>
  <c r="W857" i="9"/>
  <c r="X857" i="9"/>
  <c r="Y857" i="9"/>
  <c r="AE857" i="9"/>
  <c r="AK857" i="9" s="1"/>
  <c r="AF857" i="9"/>
  <c r="Q858" i="9"/>
  <c r="Z858" i="9" s="1"/>
  <c r="AA858" i="9" s="1"/>
  <c r="T858" i="9" s="1"/>
  <c r="S858" i="9"/>
  <c r="U858" i="9"/>
  <c r="V858" i="9"/>
  <c r="W858" i="9"/>
  <c r="X858" i="9"/>
  <c r="Y858" i="9"/>
  <c r="AE858" i="9"/>
  <c r="AK858" i="9" s="1"/>
  <c r="AF858" i="9"/>
  <c r="Q859" i="9"/>
  <c r="Z859" i="9" s="1"/>
  <c r="S859" i="9"/>
  <c r="U859" i="9"/>
  <c r="V859" i="9"/>
  <c r="W859" i="9"/>
  <c r="X859" i="9"/>
  <c r="Y859" i="9"/>
  <c r="AE859" i="9"/>
  <c r="AK859" i="9" s="1"/>
  <c r="AF859" i="9"/>
  <c r="Q860" i="9"/>
  <c r="Z860" i="9" s="1"/>
  <c r="S860" i="9"/>
  <c r="U860" i="9"/>
  <c r="V860" i="9"/>
  <c r="W860" i="9"/>
  <c r="X860" i="9"/>
  <c r="Y860" i="9"/>
  <c r="AE860" i="9"/>
  <c r="AK860" i="9" s="1"/>
  <c r="AF860" i="9"/>
  <c r="Q861" i="9"/>
  <c r="Z861" i="9" s="1"/>
  <c r="S861" i="9"/>
  <c r="U861" i="9"/>
  <c r="V861" i="9"/>
  <c r="W861" i="9"/>
  <c r="X861" i="9"/>
  <c r="Y861" i="9"/>
  <c r="AE861" i="9"/>
  <c r="AK861" i="9" s="1"/>
  <c r="AF861" i="9"/>
  <c r="Q862" i="9"/>
  <c r="Z862" i="9" s="1"/>
  <c r="AA862" i="9" s="1"/>
  <c r="T862" i="9" s="1"/>
  <c r="S862" i="9"/>
  <c r="U862" i="9"/>
  <c r="V862" i="9"/>
  <c r="W862" i="9"/>
  <c r="X862" i="9"/>
  <c r="Y862" i="9"/>
  <c r="AE862" i="9"/>
  <c r="AK862" i="9" s="1"/>
  <c r="AF862" i="9"/>
  <c r="Q863" i="9"/>
  <c r="Z863" i="9" s="1"/>
  <c r="S863" i="9"/>
  <c r="U863" i="9"/>
  <c r="V863" i="9"/>
  <c r="W863" i="9"/>
  <c r="X863" i="9"/>
  <c r="Y863" i="9"/>
  <c r="AE863" i="9"/>
  <c r="AK863" i="9" s="1"/>
  <c r="AF863" i="9"/>
  <c r="Q864" i="9"/>
  <c r="Z864" i="9" s="1"/>
  <c r="S864" i="9"/>
  <c r="U864" i="9"/>
  <c r="V864" i="9"/>
  <c r="W864" i="9"/>
  <c r="X864" i="9"/>
  <c r="Y864" i="9"/>
  <c r="AE864" i="9"/>
  <c r="AK864" i="9" s="1"/>
  <c r="AF864" i="9"/>
  <c r="Q865" i="9"/>
  <c r="Z865" i="9" s="1"/>
  <c r="S865" i="9"/>
  <c r="U865" i="9"/>
  <c r="V865" i="9"/>
  <c r="W865" i="9"/>
  <c r="X865" i="9"/>
  <c r="Y865" i="9"/>
  <c r="AE865" i="9"/>
  <c r="AK865" i="9" s="1"/>
  <c r="AF865" i="9"/>
  <c r="Q866" i="9"/>
  <c r="Z866" i="9" s="1"/>
  <c r="AA866" i="9" s="1"/>
  <c r="T866" i="9" s="1"/>
  <c r="S866" i="9"/>
  <c r="U866" i="9"/>
  <c r="V866" i="9"/>
  <c r="W866" i="9"/>
  <c r="X866" i="9"/>
  <c r="Y866" i="9"/>
  <c r="AE866" i="9"/>
  <c r="AK866" i="9" s="1"/>
  <c r="AF866" i="9"/>
  <c r="Q867" i="9"/>
  <c r="Z867" i="9" s="1"/>
  <c r="S867" i="9"/>
  <c r="U867" i="9"/>
  <c r="V867" i="9"/>
  <c r="W867" i="9"/>
  <c r="X867" i="9"/>
  <c r="Y867" i="9"/>
  <c r="AE867" i="9"/>
  <c r="AK867" i="9" s="1"/>
  <c r="AF867" i="9"/>
  <c r="Q868" i="9"/>
  <c r="Z868" i="9" s="1"/>
  <c r="S868" i="9"/>
  <c r="U868" i="9"/>
  <c r="V868" i="9"/>
  <c r="W868" i="9"/>
  <c r="X868" i="9"/>
  <c r="Y868" i="9"/>
  <c r="AE868" i="9"/>
  <c r="AK868" i="9" s="1"/>
  <c r="AF868" i="9"/>
  <c r="Q869" i="9"/>
  <c r="Z869" i="9" s="1"/>
  <c r="S869" i="9"/>
  <c r="U869" i="9"/>
  <c r="V869" i="9"/>
  <c r="W869" i="9"/>
  <c r="X869" i="9"/>
  <c r="Y869" i="9"/>
  <c r="AE869" i="9"/>
  <c r="AK869" i="9" s="1"/>
  <c r="AF869" i="9"/>
  <c r="Q870" i="9"/>
  <c r="Z870" i="9" s="1"/>
  <c r="AA870" i="9" s="1"/>
  <c r="T870" i="9" s="1"/>
  <c r="S870" i="9"/>
  <c r="U870" i="9"/>
  <c r="V870" i="9"/>
  <c r="W870" i="9"/>
  <c r="X870" i="9"/>
  <c r="Y870" i="9"/>
  <c r="AE870" i="9"/>
  <c r="AK870" i="9" s="1"/>
  <c r="AF870" i="9"/>
  <c r="Q871" i="9"/>
  <c r="Z871" i="9" s="1"/>
  <c r="S871" i="9"/>
  <c r="U871" i="9"/>
  <c r="V871" i="9"/>
  <c r="W871" i="9"/>
  <c r="X871" i="9"/>
  <c r="Y871" i="9"/>
  <c r="AE871" i="9"/>
  <c r="AK871" i="9" s="1"/>
  <c r="AF871" i="9"/>
  <c r="Q872" i="9"/>
  <c r="Z872" i="9" s="1"/>
  <c r="S872" i="9"/>
  <c r="U872" i="9"/>
  <c r="V872" i="9"/>
  <c r="W872" i="9"/>
  <c r="X872" i="9"/>
  <c r="Y872" i="9"/>
  <c r="AE872" i="9"/>
  <c r="AK872" i="9" s="1"/>
  <c r="AF872" i="9"/>
  <c r="Q873" i="9"/>
  <c r="Z873" i="9" s="1"/>
  <c r="S873" i="9"/>
  <c r="U873" i="9"/>
  <c r="V873" i="9"/>
  <c r="W873" i="9"/>
  <c r="X873" i="9"/>
  <c r="Y873" i="9"/>
  <c r="AE873" i="9"/>
  <c r="AK873" i="9" s="1"/>
  <c r="AF873" i="9"/>
  <c r="Q874" i="9"/>
  <c r="Z874" i="9" s="1"/>
  <c r="AA874" i="9" s="1"/>
  <c r="T874" i="9" s="1"/>
  <c r="S874" i="9"/>
  <c r="U874" i="9"/>
  <c r="V874" i="9"/>
  <c r="W874" i="9"/>
  <c r="X874" i="9"/>
  <c r="Y874" i="9"/>
  <c r="AE874" i="9"/>
  <c r="AK874" i="9" s="1"/>
  <c r="AF874" i="9"/>
  <c r="Q875" i="9"/>
  <c r="Z875" i="9" s="1"/>
  <c r="S875" i="9"/>
  <c r="U875" i="9"/>
  <c r="V875" i="9"/>
  <c r="W875" i="9"/>
  <c r="X875" i="9"/>
  <c r="Y875" i="9"/>
  <c r="AE875" i="9"/>
  <c r="AK875" i="9" s="1"/>
  <c r="AF875" i="9"/>
  <c r="Q876" i="9"/>
  <c r="Z876" i="9" s="1"/>
  <c r="S876" i="9"/>
  <c r="U876" i="9"/>
  <c r="V876" i="9"/>
  <c r="W876" i="9"/>
  <c r="X876" i="9"/>
  <c r="Y876" i="9"/>
  <c r="AE876" i="9"/>
  <c r="AK876" i="9" s="1"/>
  <c r="AF876" i="9"/>
  <c r="Q877" i="9"/>
  <c r="Z877" i="9" s="1"/>
  <c r="S877" i="9"/>
  <c r="U877" i="9"/>
  <c r="V877" i="9"/>
  <c r="W877" i="9"/>
  <c r="X877" i="9"/>
  <c r="Y877" i="9"/>
  <c r="AE877" i="9"/>
  <c r="AK877" i="9" s="1"/>
  <c r="AF877" i="9"/>
  <c r="Q878" i="9"/>
  <c r="Z878" i="9" s="1"/>
  <c r="AA878" i="9" s="1"/>
  <c r="T878" i="9" s="1"/>
  <c r="S878" i="9"/>
  <c r="U878" i="9"/>
  <c r="V878" i="9"/>
  <c r="W878" i="9"/>
  <c r="X878" i="9"/>
  <c r="Y878" i="9"/>
  <c r="AE878" i="9"/>
  <c r="AK878" i="9" s="1"/>
  <c r="AF878" i="9"/>
  <c r="Q879" i="9"/>
  <c r="Z879" i="9" s="1"/>
  <c r="S879" i="9"/>
  <c r="U879" i="9"/>
  <c r="V879" i="9"/>
  <c r="W879" i="9"/>
  <c r="X879" i="9"/>
  <c r="Y879" i="9"/>
  <c r="AE879" i="9"/>
  <c r="AK879" i="9" s="1"/>
  <c r="AF879" i="9"/>
  <c r="Q880" i="9"/>
  <c r="Z880" i="9" s="1"/>
  <c r="S880" i="9"/>
  <c r="U880" i="9"/>
  <c r="V880" i="9"/>
  <c r="W880" i="9"/>
  <c r="X880" i="9"/>
  <c r="Y880" i="9"/>
  <c r="AE880" i="9"/>
  <c r="AK880" i="9" s="1"/>
  <c r="AF880" i="9"/>
  <c r="Q881" i="9"/>
  <c r="Z881" i="9" s="1"/>
  <c r="S881" i="9"/>
  <c r="U881" i="9"/>
  <c r="V881" i="9"/>
  <c r="W881" i="9"/>
  <c r="X881" i="9"/>
  <c r="Y881" i="9"/>
  <c r="AE881" i="9"/>
  <c r="AK881" i="9" s="1"/>
  <c r="AF881" i="9"/>
  <c r="Q882" i="9"/>
  <c r="Z882" i="9" s="1"/>
  <c r="AA882" i="9" s="1"/>
  <c r="T882" i="9" s="1"/>
  <c r="S882" i="9"/>
  <c r="U882" i="9"/>
  <c r="V882" i="9"/>
  <c r="W882" i="9"/>
  <c r="X882" i="9"/>
  <c r="Y882" i="9"/>
  <c r="AE882" i="9"/>
  <c r="AK882" i="9" s="1"/>
  <c r="AF882" i="9"/>
  <c r="Q883" i="9"/>
  <c r="Z883" i="9" s="1"/>
  <c r="S883" i="9"/>
  <c r="U883" i="9"/>
  <c r="V883" i="9"/>
  <c r="W883" i="9"/>
  <c r="X883" i="9"/>
  <c r="Y883" i="9"/>
  <c r="AE883" i="9"/>
  <c r="AK883" i="9" s="1"/>
  <c r="AF883" i="9"/>
  <c r="Q884" i="9"/>
  <c r="Z884" i="9" s="1"/>
  <c r="S884" i="9"/>
  <c r="U884" i="9"/>
  <c r="V884" i="9"/>
  <c r="W884" i="9"/>
  <c r="X884" i="9"/>
  <c r="Y884" i="9"/>
  <c r="AE884" i="9"/>
  <c r="AK884" i="9" s="1"/>
  <c r="AF884" i="9"/>
  <c r="Q885" i="9"/>
  <c r="Z885" i="9" s="1"/>
  <c r="S885" i="9"/>
  <c r="U885" i="9"/>
  <c r="V885" i="9"/>
  <c r="W885" i="9"/>
  <c r="X885" i="9"/>
  <c r="Y885" i="9"/>
  <c r="AE885" i="9"/>
  <c r="AK885" i="9" s="1"/>
  <c r="AF885" i="9"/>
  <c r="Q886" i="9"/>
  <c r="Z886" i="9" s="1"/>
  <c r="AA886" i="9" s="1"/>
  <c r="T886" i="9" s="1"/>
  <c r="S886" i="9"/>
  <c r="U886" i="9"/>
  <c r="V886" i="9"/>
  <c r="W886" i="9"/>
  <c r="X886" i="9"/>
  <c r="Y886" i="9"/>
  <c r="AE886" i="9"/>
  <c r="AK886" i="9" s="1"/>
  <c r="AF886" i="9"/>
  <c r="Q887" i="9"/>
  <c r="Z887" i="9" s="1"/>
  <c r="S887" i="9"/>
  <c r="U887" i="9"/>
  <c r="V887" i="9"/>
  <c r="W887" i="9"/>
  <c r="X887" i="9"/>
  <c r="Y887" i="9"/>
  <c r="AE887" i="9"/>
  <c r="AK887" i="9" s="1"/>
  <c r="AF887" i="9"/>
  <c r="Q888" i="9"/>
  <c r="Z888" i="9" s="1"/>
  <c r="S888" i="9"/>
  <c r="U888" i="9"/>
  <c r="V888" i="9"/>
  <c r="W888" i="9"/>
  <c r="X888" i="9"/>
  <c r="Y888" i="9"/>
  <c r="AE888" i="9"/>
  <c r="AK888" i="9" s="1"/>
  <c r="AF888" i="9"/>
  <c r="Q889" i="9"/>
  <c r="Z889" i="9" s="1"/>
  <c r="S889" i="9"/>
  <c r="U889" i="9"/>
  <c r="V889" i="9"/>
  <c r="W889" i="9"/>
  <c r="X889" i="9"/>
  <c r="Y889" i="9"/>
  <c r="AE889" i="9"/>
  <c r="AK889" i="9" s="1"/>
  <c r="AF889" i="9"/>
  <c r="Q890" i="9"/>
  <c r="Z890" i="9" s="1"/>
  <c r="AA890" i="9" s="1"/>
  <c r="T890" i="9" s="1"/>
  <c r="S890" i="9"/>
  <c r="U890" i="9"/>
  <c r="V890" i="9"/>
  <c r="W890" i="9"/>
  <c r="X890" i="9"/>
  <c r="Y890" i="9"/>
  <c r="AE890" i="9"/>
  <c r="AK890" i="9" s="1"/>
  <c r="AF890" i="9"/>
  <c r="Q891" i="9"/>
  <c r="Z891" i="9" s="1"/>
  <c r="S891" i="9"/>
  <c r="U891" i="9"/>
  <c r="V891" i="9"/>
  <c r="W891" i="9"/>
  <c r="X891" i="9"/>
  <c r="Y891" i="9"/>
  <c r="AE891" i="9"/>
  <c r="AK891" i="9" s="1"/>
  <c r="AF891" i="9"/>
  <c r="Q892" i="9"/>
  <c r="Z892" i="9" s="1"/>
  <c r="S892" i="9"/>
  <c r="U892" i="9"/>
  <c r="V892" i="9"/>
  <c r="W892" i="9"/>
  <c r="X892" i="9"/>
  <c r="Y892" i="9"/>
  <c r="AE892" i="9"/>
  <c r="AK892" i="9" s="1"/>
  <c r="AF892" i="9"/>
  <c r="Q893" i="9"/>
  <c r="Z893" i="9" s="1"/>
  <c r="S893" i="9"/>
  <c r="U893" i="9"/>
  <c r="V893" i="9"/>
  <c r="W893" i="9"/>
  <c r="X893" i="9"/>
  <c r="Y893" i="9"/>
  <c r="AE893" i="9"/>
  <c r="AK893" i="9" s="1"/>
  <c r="AF893" i="9"/>
  <c r="Q894" i="9"/>
  <c r="Z894" i="9" s="1"/>
  <c r="AA894" i="9" s="1"/>
  <c r="T894" i="9" s="1"/>
  <c r="S894" i="9"/>
  <c r="U894" i="9"/>
  <c r="V894" i="9"/>
  <c r="W894" i="9"/>
  <c r="X894" i="9"/>
  <c r="Y894" i="9"/>
  <c r="AE894" i="9"/>
  <c r="AK894" i="9" s="1"/>
  <c r="AF894" i="9"/>
  <c r="Q895" i="9"/>
  <c r="Z895" i="9" s="1"/>
  <c r="S895" i="9"/>
  <c r="U895" i="9"/>
  <c r="V895" i="9"/>
  <c r="W895" i="9"/>
  <c r="X895" i="9"/>
  <c r="Y895" i="9"/>
  <c r="AE895" i="9"/>
  <c r="AK895" i="9" s="1"/>
  <c r="AF895" i="9"/>
  <c r="Q896" i="9"/>
  <c r="Z896" i="9" s="1"/>
  <c r="S896" i="9"/>
  <c r="U896" i="9"/>
  <c r="V896" i="9"/>
  <c r="W896" i="9"/>
  <c r="X896" i="9"/>
  <c r="Y896" i="9"/>
  <c r="AE896" i="9"/>
  <c r="AK896" i="9" s="1"/>
  <c r="AF896" i="9"/>
  <c r="Q897" i="9"/>
  <c r="Z897" i="9" s="1"/>
  <c r="S897" i="9"/>
  <c r="U897" i="9"/>
  <c r="V897" i="9"/>
  <c r="W897" i="9"/>
  <c r="X897" i="9"/>
  <c r="Y897" i="9"/>
  <c r="AE897" i="9"/>
  <c r="AK897" i="9" s="1"/>
  <c r="AF897" i="9"/>
  <c r="Q898" i="9"/>
  <c r="Z898" i="9" s="1"/>
  <c r="AA898" i="9" s="1"/>
  <c r="T898" i="9" s="1"/>
  <c r="S898" i="9"/>
  <c r="U898" i="9"/>
  <c r="V898" i="9"/>
  <c r="W898" i="9"/>
  <c r="X898" i="9"/>
  <c r="Y898" i="9"/>
  <c r="AE898" i="9"/>
  <c r="AK898" i="9" s="1"/>
  <c r="AF898" i="9"/>
  <c r="Q899" i="9"/>
  <c r="Z899" i="9" s="1"/>
  <c r="S899" i="9"/>
  <c r="U899" i="9"/>
  <c r="V899" i="9"/>
  <c r="W899" i="9"/>
  <c r="X899" i="9"/>
  <c r="Y899" i="9"/>
  <c r="AE899" i="9"/>
  <c r="AK899" i="9" s="1"/>
  <c r="AF899" i="9"/>
  <c r="Q900" i="9"/>
  <c r="Z900" i="9" s="1"/>
  <c r="S900" i="9"/>
  <c r="U900" i="9"/>
  <c r="V900" i="9"/>
  <c r="W900" i="9"/>
  <c r="X900" i="9"/>
  <c r="Y900" i="9"/>
  <c r="AE900" i="9"/>
  <c r="AK900" i="9" s="1"/>
  <c r="AF900" i="9"/>
  <c r="Q901" i="9"/>
  <c r="Z901" i="9" s="1"/>
  <c r="S901" i="9"/>
  <c r="U901" i="9"/>
  <c r="V901" i="9"/>
  <c r="W901" i="9"/>
  <c r="X901" i="9"/>
  <c r="Y901" i="9"/>
  <c r="AE901" i="9"/>
  <c r="AK901" i="9" s="1"/>
  <c r="AF901" i="9"/>
  <c r="Q902" i="9"/>
  <c r="Z902" i="9" s="1"/>
  <c r="AA902" i="9" s="1"/>
  <c r="T902" i="9" s="1"/>
  <c r="S902" i="9"/>
  <c r="U902" i="9"/>
  <c r="V902" i="9"/>
  <c r="W902" i="9"/>
  <c r="X902" i="9"/>
  <c r="Y902" i="9"/>
  <c r="AE902" i="9"/>
  <c r="AK902" i="9" s="1"/>
  <c r="AF902" i="9"/>
  <c r="Q903" i="9"/>
  <c r="Z903" i="9" s="1"/>
  <c r="S903" i="9"/>
  <c r="U903" i="9"/>
  <c r="V903" i="9"/>
  <c r="W903" i="9"/>
  <c r="X903" i="9"/>
  <c r="Y903" i="9"/>
  <c r="AE903" i="9"/>
  <c r="AK903" i="9" s="1"/>
  <c r="AF903" i="9"/>
  <c r="Q904" i="9"/>
  <c r="Z904" i="9" s="1"/>
  <c r="S904" i="9"/>
  <c r="U904" i="9"/>
  <c r="V904" i="9"/>
  <c r="W904" i="9"/>
  <c r="X904" i="9"/>
  <c r="Y904" i="9"/>
  <c r="AE904" i="9"/>
  <c r="AK904" i="9" s="1"/>
  <c r="AF904" i="9"/>
  <c r="Q905" i="9"/>
  <c r="Z905" i="9" s="1"/>
  <c r="S905" i="9"/>
  <c r="U905" i="9"/>
  <c r="V905" i="9"/>
  <c r="W905" i="9"/>
  <c r="X905" i="9"/>
  <c r="Y905" i="9"/>
  <c r="AE905" i="9"/>
  <c r="AK905" i="9" s="1"/>
  <c r="AF905" i="9"/>
  <c r="Q906" i="9"/>
  <c r="Z906" i="9" s="1"/>
  <c r="AA906" i="9" s="1"/>
  <c r="T906" i="9" s="1"/>
  <c r="S906" i="9"/>
  <c r="U906" i="9"/>
  <c r="V906" i="9"/>
  <c r="W906" i="9"/>
  <c r="X906" i="9"/>
  <c r="Y906" i="9"/>
  <c r="AE906" i="9"/>
  <c r="AK906" i="9" s="1"/>
  <c r="AF906" i="9"/>
  <c r="Q907" i="9"/>
  <c r="Z907" i="9" s="1"/>
  <c r="S907" i="9"/>
  <c r="U907" i="9"/>
  <c r="V907" i="9"/>
  <c r="W907" i="9"/>
  <c r="X907" i="9"/>
  <c r="Y907" i="9"/>
  <c r="AE907" i="9"/>
  <c r="AK907" i="9" s="1"/>
  <c r="AF907" i="9"/>
  <c r="Q908" i="9"/>
  <c r="Z908" i="9" s="1"/>
  <c r="S908" i="9"/>
  <c r="U908" i="9"/>
  <c r="V908" i="9"/>
  <c r="W908" i="9"/>
  <c r="X908" i="9"/>
  <c r="Y908" i="9"/>
  <c r="AE908" i="9"/>
  <c r="AK908" i="9" s="1"/>
  <c r="AF908" i="9"/>
  <c r="Q909" i="9"/>
  <c r="Z909" i="9" s="1"/>
  <c r="S909" i="9"/>
  <c r="U909" i="9"/>
  <c r="V909" i="9"/>
  <c r="W909" i="9"/>
  <c r="X909" i="9"/>
  <c r="Y909" i="9"/>
  <c r="AE909" i="9"/>
  <c r="AK909" i="9" s="1"/>
  <c r="AF909" i="9"/>
  <c r="Q910" i="9"/>
  <c r="Z910" i="9" s="1"/>
  <c r="AA910" i="9" s="1"/>
  <c r="T910" i="9" s="1"/>
  <c r="S910" i="9"/>
  <c r="U910" i="9"/>
  <c r="V910" i="9"/>
  <c r="W910" i="9"/>
  <c r="X910" i="9"/>
  <c r="Y910" i="9"/>
  <c r="AE910" i="9"/>
  <c r="AK910" i="9" s="1"/>
  <c r="AF910" i="9"/>
  <c r="Q911" i="9"/>
  <c r="Z911" i="9" s="1"/>
  <c r="S911" i="9"/>
  <c r="U911" i="9"/>
  <c r="V911" i="9"/>
  <c r="W911" i="9"/>
  <c r="X911" i="9"/>
  <c r="Y911" i="9"/>
  <c r="AE911" i="9"/>
  <c r="AK911" i="9" s="1"/>
  <c r="AF911" i="9"/>
  <c r="Q912" i="9"/>
  <c r="Z912" i="9" s="1"/>
  <c r="S912" i="9"/>
  <c r="U912" i="9"/>
  <c r="V912" i="9"/>
  <c r="W912" i="9"/>
  <c r="X912" i="9"/>
  <c r="Y912" i="9"/>
  <c r="AE912" i="9"/>
  <c r="AK912" i="9" s="1"/>
  <c r="AF912" i="9"/>
  <c r="Q913" i="9"/>
  <c r="Z913" i="9" s="1"/>
  <c r="S913" i="9"/>
  <c r="U913" i="9"/>
  <c r="V913" i="9"/>
  <c r="W913" i="9"/>
  <c r="X913" i="9"/>
  <c r="Y913" i="9"/>
  <c r="AE913" i="9"/>
  <c r="AK913" i="9" s="1"/>
  <c r="AF913" i="9"/>
  <c r="Q914" i="9"/>
  <c r="Z914" i="9" s="1"/>
  <c r="AA914" i="9" s="1"/>
  <c r="T914" i="9" s="1"/>
  <c r="S914" i="9"/>
  <c r="U914" i="9"/>
  <c r="V914" i="9"/>
  <c r="W914" i="9"/>
  <c r="X914" i="9"/>
  <c r="Y914" i="9"/>
  <c r="AE914" i="9"/>
  <c r="AK914" i="9" s="1"/>
  <c r="AF914" i="9"/>
  <c r="Q915" i="9"/>
  <c r="Z915" i="9" s="1"/>
  <c r="S915" i="9"/>
  <c r="U915" i="9"/>
  <c r="V915" i="9"/>
  <c r="W915" i="9"/>
  <c r="X915" i="9"/>
  <c r="Y915" i="9"/>
  <c r="AE915" i="9"/>
  <c r="AK915" i="9" s="1"/>
  <c r="AF915" i="9"/>
  <c r="Q916" i="9"/>
  <c r="Z916" i="9" s="1"/>
  <c r="S916" i="9"/>
  <c r="U916" i="9"/>
  <c r="V916" i="9"/>
  <c r="W916" i="9"/>
  <c r="X916" i="9"/>
  <c r="Y916" i="9"/>
  <c r="AE916" i="9"/>
  <c r="AK916" i="9" s="1"/>
  <c r="AF916" i="9"/>
  <c r="Q917" i="9"/>
  <c r="Z917" i="9" s="1"/>
  <c r="S917" i="9"/>
  <c r="U917" i="9"/>
  <c r="V917" i="9"/>
  <c r="W917" i="9"/>
  <c r="X917" i="9"/>
  <c r="Y917" i="9"/>
  <c r="AE917" i="9"/>
  <c r="AK917" i="9" s="1"/>
  <c r="AF917" i="9"/>
  <c r="Q918" i="9"/>
  <c r="Z918" i="9" s="1"/>
  <c r="AA918" i="9" s="1"/>
  <c r="T918" i="9" s="1"/>
  <c r="S918" i="9"/>
  <c r="U918" i="9"/>
  <c r="V918" i="9"/>
  <c r="W918" i="9"/>
  <c r="X918" i="9"/>
  <c r="Y918" i="9"/>
  <c r="AE918" i="9"/>
  <c r="AK918" i="9" s="1"/>
  <c r="AF918" i="9"/>
  <c r="Q919" i="9"/>
  <c r="Z919" i="9" s="1"/>
  <c r="S919" i="9"/>
  <c r="U919" i="9"/>
  <c r="V919" i="9"/>
  <c r="W919" i="9"/>
  <c r="X919" i="9"/>
  <c r="Y919" i="9"/>
  <c r="AE919" i="9"/>
  <c r="AK919" i="9" s="1"/>
  <c r="AF919" i="9"/>
  <c r="Q920" i="9"/>
  <c r="Z920" i="9" s="1"/>
  <c r="S920" i="9"/>
  <c r="U920" i="9"/>
  <c r="V920" i="9"/>
  <c r="W920" i="9"/>
  <c r="X920" i="9"/>
  <c r="Y920" i="9"/>
  <c r="AE920" i="9"/>
  <c r="AK920" i="9" s="1"/>
  <c r="AF920" i="9"/>
  <c r="Q921" i="9"/>
  <c r="Z921" i="9" s="1"/>
  <c r="S921" i="9"/>
  <c r="U921" i="9"/>
  <c r="V921" i="9"/>
  <c r="W921" i="9"/>
  <c r="X921" i="9"/>
  <c r="Y921" i="9"/>
  <c r="AE921" i="9"/>
  <c r="AK921" i="9" s="1"/>
  <c r="AF921" i="9"/>
  <c r="Q922" i="9"/>
  <c r="Z922" i="9" s="1"/>
  <c r="AA922" i="9" s="1"/>
  <c r="T922" i="9" s="1"/>
  <c r="S922" i="9"/>
  <c r="U922" i="9"/>
  <c r="V922" i="9"/>
  <c r="W922" i="9"/>
  <c r="X922" i="9"/>
  <c r="Y922" i="9"/>
  <c r="AE922" i="9"/>
  <c r="AK922" i="9" s="1"/>
  <c r="AF922" i="9"/>
  <c r="Q923" i="9"/>
  <c r="Z923" i="9" s="1"/>
  <c r="S923" i="9"/>
  <c r="U923" i="9"/>
  <c r="V923" i="9"/>
  <c r="W923" i="9"/>
  <c r="X923" i="9"/>
  <c r="Y923" i="9"/>
  <c r="AE923" i="9"/>
  <c r="AK923" i="9" s="1"/>
  <c r="AF923" i="9"/>
  <c r="Q924" i="9"/>
  <c r="Z924" i="9" s="1"/>
  <c r="S924" i="9"/>
  <c r="U924" i="9"/>
  <c r="V924" i="9"/>
  <c r="W924" i="9"/>
  <c r="X924" i="9"/>
  <c r="Y924" i="9"/>
  <c r="AE924" i="9"/>
  <c r="AK924" i="9" s="1"/>
  <c r="AF924" i="9"/>
  <c r="Q925" i="9"/>
  <c r="Z925" i="9" s="1"/>
  <c r="S925" i="9"/>
  <c r="U925" i="9"/>
  <c r="V925" i="9"/>
  <c r="W925" i="9"/>
  <c r="X925" i="9"/>
  <c r="Y925" i="9"/>
  <c r="AE925" i="9"/>
  <c r="AK925" i="9" s="1"/>
  <c r="AF925" i="9"/>
  <c r="Q926" i="9"/>
  <c r="Z926" i="9" s="1"/>
  <c r="AA926" i="9" s="1"/>
  <c r="T926" i="9" s="1"/>
  <c r="S926" i="9"/>
  <c r="U926" i="9"/>
  <c r="V926" i="9"/>
  <c r="W926" i="9"/>
  <c r="X926" i="9"/>
  <c r="Y926" i="9"/>
  <c r="AE926" i="9"/>
  <c r="AK926" i="9" s="1"/>
  <c r="AF926" i="9"/>
  <c r="Q927" i="9"/>
  <c r="Z927" i="9" s="1"/>
  <c r="S927" i="9"/>
  <c r="U927" i="9"/>
  <c r="V927" i="9"/>
  <c r="W927" i="9"/>
  <c r="X927" i="9"/>
  <c r="Y927" i="9"/>
  <c r="AE927" i="9"/>
  <c r="AK927" i="9" s="1"/>
  <c r="AF927" i="9"/>
  <c r="Q928" i="9"/>
  <c r="Z928" i="9" s="1"/>
  <c r="S928" i="9"/>
  <c r="U928" i="9"/>
  <c r="V928" i="9"/>
  <c r="W928" i="9"/>
  <c r="X928" i="9"/>
  <c r="Y928" i="9"/>
  <c r="AE928" i="9"/>
  <c r="AK928" i="9" s="1"/>
  <c r="AF928" i="9"/>
  <c r="Q929" i="9"/>
  <c r="Z929" i="9" s="1"/>
  <c r="S929" i="9"/>
  <c r="U929" i="9"/>
  <c r="V929" i="9"/>
  <c r="W929" i="9"/>
  <c r="X929" i="9"/>
  <c r="Y929" i="9"/>
  <c r="AE929" i="9"/>
  <c r="AK929" i="9" s="1"/>
  <c r="AF929" i="9"/>
  <c r="Q930" i="9"/>
  <c r="Z930" i="9" s="1"/>
  <c r="AA930" i="9" s="1"/>
  <c r="T930" i="9" s="1"/>
  <c r="S930" i="9"/>
  <c r="U930" i="9"/>
  <c r="V930" i="9"/>
  <c r="W930" i="9"/>
  <c r="X930" i="9"/>
  <c r="Y930" i="9"/>
  <c r="AE930" i="9"/>
  <c r="AK930" i="9" s="1"/>
  <c r="AF930" i="9"/>
  <c r="Q931" i="9"/>
  <c r="Z931" i="9" s="1"/>
  <c r="S931" i="9"/>
  <c r="U931" i="9"/>
  <c r="V931" i="9"/>
  <c r="W931" i="9"/>
  <c r="X931" i="9"/>
  <c r="Y931" i="9"/>
  <c r="AE931" i="9"/>
  <c r="AK931" i="9" s="1"/>
  <c r="AF931" i="9"/>
  <c r="Q932" i="9"/>
  <c r="Z932" i="9" s="1"/>
  <c r="S932" i="9"/>
  <c r="U932" i="9"/>
  <c r="V932" i="9"/>
  <c r="W932" i="9"/>
  <c r="X932" i="9"/>
  <c r="Y932" i="9"/>
  <c r="AE932" i="9"/>
  <c r="AK932" i="9" s="1"/>
  <c r="AF932" i="9"/>
  <c r="Q933" i="9"/>
  <c r="Z933" i="9" s="1"/>
  <c r="S933" i="9"/>
  <c r="U933" i="9"/>
  <c r="V933" i="9"/>
  <c r="W933" i="9"/>
  <c r="X933" i="9"/>
  <c r="Y933" i="9"/>
  <c r="AE933" i="9"/>
  <c r="AK933" i="9" s="1"/>
  <c r="AF933" i="9"/>
  <c r="Q934" i="9"/>
  <c r="Z934" i="9" s="1"/>
  <c r="AA934" i="9" s="1"/>
  <c r="T934" i="9" s="1"/>
  <c r="S934" i="9"/>
  <c r="U934" i="9"/>
  <c r="V934" i="9"/>
  <c r="W934" i="9"/>
  <c r="X934" i="9"/>
  <c r="Y934" i="9"/>
  <c r="AE934" i="9"/>
  <c r="AK934" i="9" s="1"/>
  <c r="AF934" i="9"/>
  <c r="Q935" i="9"/>
  <c r="Z935" i="9" s="1"/>
  <c r="S935" i="9"/>
  <c r="U935" i="9"/>
  <c r="V935" i="9"/>
  <c r="W935" i="9"/>
  <c r="X935" i="9"/>
  <c r="Y935" i="9"/>
  <c r="AE935" i="9"/>
  <c r="AK935" i="9" s="1"/>
  <c r="AF935" i="9"/>
  <c r="Q936" i="9"/>
  <c r="Z936" i="9" s="1"/>
  <c r="S936" i="9"/>
  <c r="U936" i="9"/>
  <c r="V936" i="9"/>
  <c r="W936" i="9"/>
  <c r="X936" i="9"/>
  <c r="Y936" i="9"/>
  <c r="AE936" i="9"/>
  <c r="AK936" i="9" s="1"/>
  <c r="AF936" i="9"/>
  <c r="Q937" i="9"/>
  <c r="Z937" i="9" s="1"/>
  <c r="S937" i="9"/>
  <c r="U937" i="9"/>
  <c r="V937" i="9"/>
  <c r="W937" i="9"/>
  <c r="X937" i="9"/>
  <c r="Y937" i="9"/>
  <c r="AE937" i="9"/>
  <c r="AK937" i="9" s="1"/>
  <c r="AF937" i="9"/>
  <c r="Q938" i="9"/>
  <c r="Z938" i="9" s="1"/>
  <c r="AA938" i="9" s="1"/>
  <c r="T938" i="9" s="1"/>
  <c r="S938" i="9"/>
  <c r="U938" i="9"/>
  <c r="V938" i="9"/>
  <c r="W938" i="9"/>
  <c r="X938" i="9"/>
  <c r="Y938" i="9"/>
  <c r="AE938" i="9"/>
  <c r="AK938" i="9" s="1"/>
  <c r="AF938" i="9"/>
  <c r="Q939" i="9"/>
  <c r="Z939" i="9" s="1"/>
  <c r="S939" i="9"/>
  <c r="U939" i="9"/>
  <c r="V939" i="9"/>
  <c r="W939" i="9"/>
  <c r="X939" i="9"/>
  <c r="Y939" i="9"/>
  <c r="AE939" i="9"/>
  <c r="AK939" i="9" s="1"/>
  <c r="AF939" i="9"/>
  <c r="Q940" i="9"/>
  <c r="Z940" i="9" s="1"/>
  <c r="S940" i="9"/>
  <c r="U940" i="9"/>
  <c r="V940" i="9"/>
  <c r="W940" i="9"/>
  <c r="X940" i="9"/>
  <c r="Y940" i="9"/>
  <c r="AE940" i="9"/>
  <c r="AK940" i="9" s="1"/>
  <c r="AF940" i="9"/>
  <c r="Q941" i="9"/>
  <c r="Z941" i="9" s="1"/>
  <c r="S941" i="9"/>
  <c r="U941" i="9"/>
  <c r="V941" i="9"/>
  <c r="W941" i="9"/>
  <c r="X941" i="9"/>
  <c r="Y941" i="9"/>
  <c r="AE941" i="9"/>
  <c r="AK941" i="9" s="1"/>
  <c r="AF941" i="9"/>
  <c r="Q942" i="9"/>
  <c r="Z942" i="9" s="1"/>
  <c r="AA942" i="9" s="1"/>
  <c r="T942" i="9" s="1"/>
  <c r="S942" i="9"/>
  <c r="U942" i="9"/>
  <c r="V942" i="9"/>
  <c r="W942" i="9"/>
  <c r="X942" i="9"/>
  <c r="Y942" i="9"/>
  <c r="AE942" i="9"/>
  <c r="AK942" i="9" s="1"/>
  <c r="AF942" i="9"/>
  <c r="Q943" i="9"/>
  <c r="Z943" i="9" s="1"/>
  <c r="S943" i="9"/>
  <c r="U943" i="9"/>
  <c r="V943" i="9"/>
  <c r="W943" i="9"/>
  <c r="X943" i="9"/>
  <c r="Y943" i="9"/>
  <c r="AE943" i="9"/>
  <c r="AK943" i="9" s="1"/>
  <c r="AF943" i="9"/>
  <c r="Q944" i="9"/>
  <c r="Z944" i="9" s="1"/>
  <c r="S944" i="9"/>
  <c r="U944" i="9"/>
  <c r="V944" i="9"/>
  <c r="W944" i="9"/>
  <c r="X944" i="9"/>
  <c r="Y944" i="9"/>
  <c r="AE944" i="9"/>
  <c r="AK944" i="9" s="1"/>
  <c r="AF944" i="9"/>
  <c r="Q945" i="9"/>
  <c r="Z945" i="9" s="1"/>
  <c r="S945" i="9"/>
  <c r="U945" i="9"/>
  <c r="V945" i="9"/>
  <c r="W945" i="9"/>
  <c r="X945" i="9"/>
  <c r="Y945" i="9"/>
  <c r="AE945" i="9"/>
  <c r="AK945" i="9" s="1"/>
  <c r="AF945" i="9"/>
  <c r="Q946" i="9"/>
  <c r="Z946" i="9" s="1"/>
  <c r="AA946" i="9" s="1"/>
  <c r="T946" i="9" s="1"/>
  <c r="S946" i="9"/>
  <c r="U946" i="9"/>
  <c r="V946" i="9"/>
  <c r="W946" i="9"/>
  <c r="X946" i="9"/>
  <c r="Y946" i="9"/>
  <c r="AE946" i="9"/>
  <c r="AK946" i="9" s="1"/>
  <c r="AF946" i="9"/>
  <c r="Q947" i="9"/>
  <c r="Z947" i="9" s="1"/>
  <c r="S947" i="9"/>
  <c r="U947" i="9"/>
  <c r="V947" i="9"/>
  <c r="W947" i="9"/>
  <c r="X947" i="9"/>
  <c r="Y947" i="9"/>
  <c r="AE947" i="9"/>
  <c r="AK947" i="9" s="1"/>
  <c r="AF947" i="9"/>
  <c r="Q948" i="9"/>
  <c r="Z948" i="9" s="1"/>
  <c r="S948" i="9"/>
  <c r="U948" i="9"/>
  <c r="V948" i="9"/>
  <c r="W948" i="9"/>
  <c r="X948" i="9"/>
  <c r="Y948" i="9"/>
  <c r="AE948" i="9"/>
  <c r="AK948" i="9" s="1"/>
  <c r="AF948" i="9"/>
  <c r="Q949" i="9"/>
  <c r="Z949" i="9" s="1"/>
  <c r="S949" i="9"/>
  <c r="U949" i="9"/>
  <c r="V949" i="9"/>
  <c r="W949" i="9"/>
  <c r="X949" i="9"/>
  <c r="Y949" i="9"/>
  <c r="AE949" i="9"/>
  <c r="AK949" i="9" s="1"/>
  <c r="AF949" i="9"/>
  <c r="Q950" i="9"/>
  <c r="Z950" i="9" s="1"/>
  <c r="AA950" i="9" s="1"/>
  <c r="T950" i="9" s="1"/>
  <c r="S950" i="9"/>
  <c r="U950" i="9"/>
  <c r="V950" i="9"/>
  <c r="W950" i="9"/>
  <c r="X950" i="9"/>
  <c r="Y950" i="9"/>
  <c r="AE950" i="9"/>
  <c r="AK950" i="9" s="1"/>
  <c r="AF950" i="9"/>
  <c r="Q951" i="9"/>
  <c r="Z951" i="9" s="1"/>
  <c r="S951" i="9"/>
  <c r="U951" i="9"/>
  <c r="V951" i="9"/>
  <c r="W951" i="9"/>
  <c r="X951" i="9"/>
  <c r="Y951" i="9"/>
  <c r="AE951" i="9"/>
  <c r="AK951" i="9" s="1"/>
  <c r="AF951" i="9"/>
  <c r="Q952" i="9"/>
  <c r="Z952" i="9" s="1"/>
  <c r="S952" i="9"/>
  <c r="U952" i="9"/>
  <c r="V952" i="9"/>
  <c r="W952" i="9"/>
  <c r="X952" i="9"/>
  <c r="Y952" i="9"/>
  <c r="AE952" i="9"/>
  <c r="AK952" i="9" s="1"/>
  <c r="AF952" i="9"/>
  <c r="Q953" i="9"/>
  <c r="Z953" i="9" s="1"/>
  <c r="S953" i="9"/>
  <c r="U953" i="9"/>
  <c r="V953" i="9"/>
  <c r="W953" i="9"/>
  <c r="X953" i="9"/>
  <c r="Y953" i="9"/>
  <c r="AE953" i="9"/>
  <c r="AK953" i="9" s="1"/>
  <c r="AF953" i="9"/>
  <c r="Q954" i="9"/>
  <c r="Z954" i="9" s="1"/>
  <c r="AA954" i="9" s="1"/>
  <c r="T954" i="9" s="1"/>
  <c r="S954" i="9"/>
  <c r="U954" i="9"/>
  <c r="V954" i="9"/>
  <c r="W954" i="9"/>
  <c r="X954" i="9"/>
  <c r="Y954" i="9"/>
  <c r="AE954" i="9"/>
  <c r="AK954" i="9" s="1"/>
  <c r="AF954" i="9"/>
  <c r="Q955" i="9"/>
  <c r="Z955" i="9" s="1"/>
  <c r="S955" i="9"/>
  <c r="U955" i="9"/>
  <c r="V955" i="9"/>
  <c r="W955" i="9"/>
  <c r="X955" i="9"/>
  <c r="Y955" i="9"/>
  <c r="AE955" i="9"/>
  <c r="AK955" i="9" s="1"/>
  <c r="AF955" i="9"/>
  <c r="Q956" i="9"/>
  <c r="Z956" i="9" s="1"/>
  <c r="S956" i="9"/>
  <c r="U956" i="9"/>
  <c r="V956" i="9"/>
  <c r="W956" i="9"/>
  <c r="X956" i="9"/>
  <c r="Y956" i="9"/>
  <c r="AE956" i="9"/>
  <c r="AK956" i="9" s="1"/>
  <c r="AF956" i="9"/>
  <c r="Q957" i="9"/>
  <c r="Z957" i="9" s="1"/>
  <c r="S957" i="9"/>
  <c r="U957" i="9"/>
  <c r="V957" i="9"/>
  <c r="W957" i="9"/>
  <c r="X957" i="9"/>
  <c r="Y957" i="9"/>
  <c r="AE957" i="9"/>
  <c r="AK957" i="9" s="1"/>
  <c r="AF957" i="9"/>
  <c r="Q958" i="9"/>
  <c r="Z958" i="9" s="1"/>
  <c r="AA958" i="9" s="1"/>
  <c r="T958" i="9" s="1"/>
  <c r="S958" i="9"/>
  <c r="U958" i="9"/>
  <c r="V958" i="9"/>
  <c r="W958" i="9"/>
  <c r="X958" i="9"/>
  <c r="Y958" i="9"/>
  <c r="AE958" i="9"/>
  <c r="AK958" i="9" s="1"/>
  <c r="AF958" i="9"/>
  <c r="Q959" i="9"/>
  <c r="Z959" i="9" s="1"/>
  <c r="S959" i="9"/>
  <c r="U959" i="9"/>
  <c r="V959" i="9"/>
  <c r="W959" i="9"/>
  <c r="X959" i="9"/>
  <c r="Y959" i="9"/>
  <c r="AE959" i="9"/>
  <c r="AK959" i="9" s="1"/>
  <c r="AF959" i="9"/>
  <c r="Q960" i="9"/>
  <c r="Z960" i="9" s="1"/>
  <c r="S960" i="9"/>
  <c r="U960" i="9"/>
  <c r="V960" i="9"/>
  <c r="W960" i="9"/>
  <c r="X960" i="9"/>
  <c r="Y960" i="9"/>
  <c r="AE960" i="9"/>
  <c r="AK960" i="9" s="1"/>
  <c r="AF960" i="9"/>
  <c r="Q961" i="9"/>
  <c r="Z961" i="9" s="1"/>
  <c r="S961" i="9"/>
  <c r="U961" i="9"/>
  <c r="V961" i="9"/>
  <c r="W961" i="9"/>
  <c r="X961" i="9"/>
  <c r="Y961" i="9"/>
  <c r="AE961" i="9"/>
  <c r="AK961" i="9" s="1"/>
  <c r="AF961" i="9"/>
  <c r="Q962" i="9"/>
  <c r="Z962" i="9" s="1"/>
  <c r="AA962" i="9" s="1"/>
  <c r="T962" i="9" s="1"/>
  <c r="S962" i="9"/>
  <c r="U962" i="9"/>
  <c r="V962" i="9"/>
  <c r="W962" i="9"/>
  <c r="X962" i="9"/>
  <c r="Y962" i="9"/>
  <c r="AE962" i="9"/>
  <c r="AK962" i="9" s="1"/>
  <c r="AF962" i="9"/>
  <c r="Q963" i="9"/>
  <c r="Z963" i="9" s="1"/>
  <c r="S963" i="9"/>
  <c r="U963" i="9"/>
  <c r="V963" i="9"/>
  <c r="W963" i="9"/>
  <c r="X963" i="9"/>
  <c r="Y963" i="9"/>
  <c r="AE963" i="9"/>
  <c r="AK963" i="9" s="1"/>
  <c r="AF963" i="9"/>
  <c r="Q964" i="9"/>
  <c r="Z964" i="9" s="1"/>
  <c r="S964" i="9"/>
  <c r="U964" i="9"/>
  <c r="V964" i="9"/>
  <c r="W964" i="9"/>
  <c r="X964" i="9"/>
  <c r="Y964" i="9"/>
  <c r="AE964" i="9"/>
  <c r="AK964" i="9" s="1"/>
  <c r="AF964" i="9"/>
  <c r="Q965" i="9"/>
  <c r="Z965" i="9" s="1"/>
  <c r="S965" i="9"/>
  <c r="U965" i="9"/>
  <c r="V965" i="9"/>
  <c r="W965" i="9"/>
  <c r="X965" i="9"/>
  <c r="Y965" i="9"/>
  <c r="AE965" i="9"/>
  <c r="AK965" i="9" s="1"/>
  <c r="AF965" i="9"/>
  <c r="Q966" i="9"/>
  <c r="Z966" i="9" s="1"/>
  <c r="AA966" i="9" s="1"/>
  <c r="T966" i="9" s="1"/>
  <c r="S966" i="9"/>
  <c r="U966" i="9"/>
  <c r="V966" i="9"/>
  <c r="W966" i="9"/>
  <c r="X966" i="9"/>
  <c r="Y966" i="9"/>
  <c r="AE966" i="9"/>
  <c r="AK966" i="9" s="1"/>
  <c r="AF966" i="9"/>
  <c r="Q967" i="9"/>
  <c r="Z967" i="9" s="1"/>
  <c r="S967" i="9"/>
  <c r="U967" i="9"/>
  <c r="V967" i="9"/>
  <c r="W967" i="9"/>
  <c r="X967" i="9"/>
  <c r="Y967" i="9"/>
  <c r="AE967" i="9"/>
  <c r="AK967" i="9" s="1"/>
  <c r="AF967" i="9"/>
  <c r="Q968" i="9"/>
  <c r="Z968" i="9" s="1"/>
  <c r="S968" i="9"/>
  <c r="U968" i="9"/>
  <c r="V968" i="9"/>
  <c r="W968" i="9"/>
  <c r="X968" i="9"/>
  <c r="Y968" i="9"/>
  <c r="AE968" i="9"/>
  <c r="AK968" i="9" s="1"/>
  <c r="AF968" i="9"/>
  <c r="Q969" i="9"/>
  <c r="Z969" i="9" s="1"/>
  <c r="S969" i="9"/>
  <c r="U969" i="9"/>
  <c r="V969" i="9"/>
  <c r="W969" i="9"/>
  <c r="X969" i="9"/>
  <c r="Y969" i="9"/>
  <c r="AE969" i="9"/>
  <c r="AK969" i="9" s="1"/>
  <c r="AF969" i="9"/>
  <c r="Q970" i="9"/>
  <c r="Z970" i="9" s="1"/>
  <c r="AA970" i="9" s="1"/>
  <c r="T970" i="9" s="1"/>
  <c r="S970" i="9"/>
  <c r="U970" i="9"/>
  <c r="V970" i="9"/>
  <c r="W970" i="9"/>
  <c r="X970" i="9"/>
  <c r="Y970" i="9"/>
  <c r="AE970" i="9"/>
  <c r="AK970" i="9" s="1"/>
  <c r="AF970" i="9"/>
  <c r="Q971" i="9"/>
  <c r="Z971" i="9" s="1"/>
  <c r="S971" i="9"/>
  <c r="U971" i="9"/>
  <c r="V971" i="9"/>
  <c r="W971" i="9"/>
  <c r="X971" i="9"/>
  <c r="Y971" i="9"/>
  <c r="AE971" i="9"/>
  <c r="AK971" i="9" s="1"/>
  <c r="AF971" i="9"/>
  <c r="Q972" i="9"/>
  <c r="Z972" i="9" s="1"/>
  <c r="S972" i="9"/>
  <c r="U972" i="9"/>
  <c r="V972" i="9"/>
  <c r="W972" i="9"/>
  <c r="X972" i="9"/>
  <c r="Y972" i="9"/>
  <c r="AE972" i="9"/>
  <c r="AK972" i="9" s="1"/>
  <c r="AF972" i="9"/>
  <c r="Q973" i="9"/>
  <c r="Z973" i="9" s="1"/>
  <c r="S973" i="9"/>
  <c r="U973" i="9"/>
  <c r="V973" i="9"/>
  <c r="W973" i="9"/>
  <c r="X973" i="9"/>
  <c r="Y973" i="9"/>
  <c r="AE973" i="9"/>
  <c r="AK973" i="9" s="1"/>
  <c r="AF973" i="9"/>
  <c r="Q974" i="9"/>
  <c r="Z974" i="9" s="1"/>
  <c r="AA974" i="9" s="1"/>
  <c r="T974" i="9" s="1"/>
  <c r="S974" i="9"/>
  <c r="U974" i="9"/>
  <c r="V974" i="9"/>
  <c r="W974" i="9"/>
  <c r="X974" i="9"/>
  <c r="Y974" i="9"/>
  <c r="AE974" i="9"/>
  <c r="AK974" i="9" s="1"/>
  <c r="AF974" i="9"/>
  <c r="Q975" i="9"/>
  <c r="Z975" i="9" s="1"/>
  <c r="S975" i="9"/>
  <c r="U975" i="9"/>
  <c r="V975" i="9"/>
  <c r="W975" i="9"/>
  <c r="X975" i="9"/>
  <c r="Y975" i="9"/>
  <c r="AE975" i="9"/>
  <c r="AK975" i="9" s="1"/>
  <c r="AF975" i="9"/>
  <c r="Q976" i="9"/>
  <c r="Z976" i="9" s="1"/>
  <c r="S976" i="9"/>
  <c r="U976" i="9"/>
  <c r="V976" i="9"/>
  <c r="W976" i="9"/>
  <c r="X976" i="9"/>
  <c r="Y976" i="9"/>
  <c r="AE976" i="9"/>
  <c r="AK976" i="9" s="1"/>
  <c r="AF976" i="9"/>
  <c r="Q977" i="9"/>
  <c r="Z977" i="9" s="1"/>
  <c r="S977" i="9"/>
  <c r="U977" i="9"/>
  <c r="V977" i="9"/>
  <c r="W977" i="9"/>
  <c r="X977" i="9"/>
  <c r="Y977" i="9"/>
  <c r="AE977" i="9"/>
  <c r="AK977" i="9" s="1"/>
  <c r="AF977" i="9"/>
  <c r="Q978" i="9"/>
  <c r="Z978" i="9" s="1"/>
  <c r="AA978" i="9" s="1"/>
  <c r="T978" i="9" s="1"/>
  <c r="S978" i="9"/>
  <c r="U978" i="9"/>
  <c r="V978" i="9"/>
  <c r="W978" i="9"/>
  <c r="X978" i="9"/>
  <c r="Y978" i="9"/>
  <c r="AE978" i="9"/>
  <c r="AK978" i="9" s="1"/>
  <c r="AF978" i="9"/>
  <c r="Q979" i="9"/>
  <c r="Z979" i="9" s="1"/>
  <c r="S979" i="9"/>
  <c r="U979" i="9"/>
  <c r="V979" i="9"/>
  <c r="W979" i="9"/>
  <c r="X979" i="9"/>
  <c r="Y979" i="9"/>
  <c r="AE979" i="9"/>
  <c r="AK979" i="9" s="1"/>
  <c r="AF979" i="9"/>
  <c r="Q980" i="9"/>
  <c r="Z980" i="9" s="1"/>
  <c r="S980" i="9"/>
  <c r="U980" i="9"/>
  <c r="V980" i="9"/>
  <c r="W980" i="9"/>
  <c r="X980" i="9"/>
  <c r="Y980" i="9"/>
  <c r="AE980" i="9"/>
  <c r="AK980" i="9" s="1"/>
  <c r="AF980" i="9"/>
  <c r="Q981" i="9"/>
  <c r="Z981" i="9" s="1"/>
  <c r="S981" i="9"/>
  <c r="U981" i="9"/>
  <c r="V981" i="9"/>
  <c r="W981" i="9"/>
  <c r="X981" i="9"/>
  <c r="Y981" i="9"/>
  <c r="AE981" i="9"/>
  <c r="AK981" i="9" s="1"/>
  <c r="AF981" i="9"/>
  <c r="Q982" i="9"/>
  <c r="Z982" i="9" s="1"/>
  <c r="AA982" i="9" s="1"/>
  <c r="T982" i="9" s="1"/>
  <c r="S982" i="9"/>
  <c r="U982" i="9"/>
  <c r="V982" i="9"/>
  <c r="W982" i="9"/>
  <c r="X982" i="9"/>
  <c r="Y982" i="9"/>
  <c r="AE982" i="9"/>
  <c r="AK982" i="9" s="1"/>
  <c r="AF982" i="9"/>
  <c r="Q983" i="9"/>
  <c r="Z983" i="9" s="1"/>
  <c r="S983" i="9"/>
  <c r="U983" i="9"/>
  <c r="V983" i="9"/>
  <c r="W983" i="9"/>
  <c r="X983" i="9"/>
  <c r="Y983" i="9"/>
  <c r="AE983" i="9"/>
  <c r="AK983" i="9" s="1"/>
  <c r="AF983" i="9"/>
  <c r="Q984" i="9"/>
  <c r="Z984" i="9" s="1"/>
  <c r="S984" i="9"/>
  <c r="U984" i="9"/>
  <c r="V984" i="9"/>
  <c r="W984" i="9"/>
  <c r="X984" i="9"/>
  <c r="Y984" i="9"/>
  <c r="AE984" i="9"/>
  <c r="AK984" i="9" s="1"/>
  <c r="AF984" i="9"/>
  <c r="Q985" i="9"/>
  <c r="Z985" i="9" s="1"/>
  <c r="S985" i="9"/>
  <c r="U985" i="9"/>
  <c r="V985" i="9"/>
  <c r="W985" i="9"/>
  <c r="X985" i="9"/>
  <c r="Y985" i="9"/>
  <c r="AE985" i="9"/>
  <c r="AK985" i="9" s="1"/>
  <c r="AF985" i="9"/>
  <c r="Q986" i="9"/>
  <c r="Z986" i="9" s="1"/>
  <c r="AA986" i="9" s="1"/>
  <c r="T986" i="9" s="1"/>
  <c r="S986" i="9"/>
  <c r="U986" i="9"/>
  <c r="V986" i="9"/>
  <c r="W986" i="9"/>
  <c r="X986" i="9"/>
  <c r="Y986" i="9"/>
  <c r="AE986" i="9"/>
  <c r="AK986" i="9" s="1"/>
  <c r="AF986" i="9"/>
  <c r="Q987" i="9"/>
  <c r="Z987" i="9" s="1"/>
  <c r="S987" i="9"/>
  <c r="U987" i="9"/>
  <c r="V987" i="9"/>
  <c r="W987" i="9"/>
  <c r="X987" i="9"/>
  <c r="Y987" i="9"/>
  <c r="AE987" i="9"/>
  <c r="AK987" i="9" s="1"/>
  <c r="AF987" i="9"/>
  <c r="Q988" i="9"/>
  <c r="Z988" i="9" s="1"/>
  <c r="S988" i="9"/>
  <c r="U988" i="9"/>
  <c r="V988" i="9"/>
  <c r="W988" i="9"/>
  <c r="X988" i="9"/>
  <c r="Y988" i="9"/>
  <c r="AE988" i="9"/>
  <c r="AK988" i="9" s="1"/>
  <c r="AF988" i="9"/>
  <c r="Q989" i="9"/>
  <c r="Z989" i="9" s="1"/>
  <c r="S989" i="9"/>
  <c r="U989" i="9"/>
  <c r="V989" i="9"/>
  <c r="W989" i="9"/>
  <c r="X989" i="9"/>
  <c r="Y989" i="9"/>
  <c r="AE989" i="9"/>
  <c r="AK989" i="9" s="1"/>
  <c r="AF989" i="9"/>
  <c r="Q990" i="9"/>
  <c r="Z990" i="9" s="1"/>
  <c r="AA990" i="9" s="1"/>
  <c r="T990" i="9" s="1"/>
  <c r="S990" i="9"/>
  <c r="U990" i="9"/>
  <c r="V990" i="9"/>
  <c r="W990" i="9"/>
  <c r="X990" i="9"/>
  <c r="Y990" i="9"/>
  <c r="AE990" i="9"/>
  <c r="AK990" i="9" s="1"/>
  <c r="AF990" i="9"/>
  <c r="Q991" i="9"/>
  <c r="Z991" i="9" s="1"/>
  <c r="S991" i="9"/>
  <c r="U991" i="9"/>
  <c r="V991" i="9"/>
  <c r="W991" i="9"/>
  <c r="X991" i="9"/>
  <c r="Y991" i="9"/>
  <c r="AE991" i="9"/>
  <c r="AK991" i="9" s="1"/>
  <c r="AF991" i="9"/>
  <c r="Q992" i="9"/>
  <c r="Z992" i="9" s="1"/>
  <c r="S992" i="9"/>
  <c r="U992" i="9"/>
  <c r="V992" i="9"/>
  <c r="W992" i="9"/>
  <c r="X992" i="9"/>
  <c r="Y992" i="9"/>
  <c r="AE992" i="9"/>
  <c r="AK992" i="9" s="1"/>
  <c r="AF992" i="9"/>
  <c r="Q993" i="9"/>
  <c r="Z993" i="9" s="1"/>
  <c r="S993" i="9"/>
  <c r="U993" i="9"/>
  <c r="V993" i="9"/>
  <c r="W993" i="9"/>
  <c r="X993" i="9"/>
  <c r="Y993" i="9"/>
  <c r="AE993" i="9"/>
  <c r="AK993" i="9" s="1"/>
  <c r="AF993" i="9"/>
  <c r="Q994" i="9"/>
  <c r="Z994" i="9" s="1"/>
  <c r="AA994" i="9" s="1"/>
  <c r="T994" i="9" s="1"/>
  <c r="S994" i="9"/>
  <c r="U994" i="9"/>
  <c r="V994" i="9"/>
  <c r="W994" i="9"/>
  <c r="X994" i="9"/>
  <c r="Y994" i="9"/>
  <c r="AE994" i="9"/>
  <c r="AK994" i="9" s="1"/>
  <c r="AF994" i="9"/>
  <c r="Q995" i="9"/>
  <c r="Z995" i="9" s="1"/>
  <c r="S995" i="9"/>
  <c r="U995" i="9"/>
  <c r="V995" i="9"/>
  <c r="W995" i="9"/>
  <c r="X995" i="9"/>
  <c r="Y995" i="9"/>
  <c r="AE995" i="9"/>
  <c r="AK995" i="9" s="1"/>
  <c r="AF995" i="9"/>
  <c r="Q996" i="9"/>
  <c r="Z996" i="9" s="1"/>
  <c r="S996" i="9"/>
  <c r="U996" i="9"/>
  <c r="V996" i="9"/>
  <c r="W996" i="9"/>
  <c r="X996" i="9"/>
  <c r="Y996" i="9"/>
  <c r="AE996" i="9"/>
  <c r="AK996" i="9" s="1"/>
  <c r="AF996" i="9"/>
  <c r="Q997" i="9"/>
  <c r="Z997" i="9" s="1"/>
  <c r="S997" i="9"/>
  <c r="U997" i="9"/>
  <c r="V997" i="9"/>
  <c r="W997" i="9"/>
  <c r="X997" i="9"/>
  <c r="Y997" i="9"/>
  <c r="AE997" i="9"/>
  <c r="AK997" i="9" s="1"/>
  <c r="AF997" i="9"/>
  <c r="Q998" i="9"/>
  <c r="Z998" i="9" s="1"/>
  <c r="AA998" i="9" s="1"/>
  <c r="T998" i="9" s="1"/>
  <c r="S998" i="9"/>
  <c r="U998" i="9"/>
  <c r="V998" i="9"/>
  <c r="W998" i="9"/>
  <c r="X998" i="9"/>
  <c r="Y998" i="9"/>
  <c r="AE998" i="9"/>
  <c r="AK998" i="9" s="1"/>
  <c r="AF998" i="9"/>
  <c r="Q999" i="9"/>
  <c r="Z999" i="9" s="1"/>
  <c r="S999" i="9"/>
  <c r="U999" i="9"/>
  <c r="V999" i="9"/>
  <c r="W999" i="9"/>
  <c r="X999" i="9"/>
  <c r="Y999" i="9"/>
  <c r="AE999" i="9"/>
  <c r="AK999" i="9" s="1"/>
  <c r="AF999" i="9"/>
  <c r="Q1000" i="9"/>
  <c r="Z1000" i="9" s="1"/>
  <c r="S1000" i="9"/>
  <c r="U1000" i="9"/>
  <c r="V1000" i="9"/>
  <c r="W1000" i="9"/>
  <c r="X1000" i="9"/>
  <c r="Y1000" i="9"/>
  <c r="AE1000" i="9"/>
  <c r="AK1000" i="9" s="1"/>
  <c r="AF1000" i="9"/>
  <c r="Q2" i="9"/>
  <c r="AA617" i="9" l="1"/>
  <c r="T617" i="9" s="1"/>
  <c r="AA606" i="9"/>
  <c r="T606" i="9" s="1"/>
  <c r="AA598" i="9"/>
  <c r="T598" i="9" s="1"/>
  <c r="AA586" i="9"/>
  <c r="T586" i="9" s="1"/>
  <c r="AA20" i="9"/>
  <c r="T20" i="9" s="1"/>
  <c r="AA957" i="9"/>
  <c r="T957" i="9" s="1"/>
  <c r="AA945" i="9"/>
  <c r="T945" i="9" s="1"/>
  <c r="AA933" i="9"/>
  <c r="T933" i="9" s="1"/>
  <c r="AA921" i="9"/>
  <c r="T921" i="9" s="1"/>
  <c r="AA905" i="9"/>
  <c r="T905" i="9" s="1"/>
  <c r="AA881" i="9"/>
  <c r="T881" i="9" s="1"/>
  <c r="AA865" i="9"/>
  <c r="T865" i="9" s="1"/>
  <c r="AA829" i="9"/>
  <c r="T829" i="9" s="1"/>
  <c r="AA801" i="9"/>
  <c r="T801" i="9" s="1"/>
  <c r="AA793" i="9"/>
  <c r="T793" i="9" s="1"/>
  <c r="AA781" i="9"/>
  <c r="T781" i="9" s="1"/>
  <c r="AA773" i="9"/>
  <c r="T773" i="9" s="1"/>
  <c r="AA753" i="9"/>
  <c r="T753" i="9" s="1"/>
  <c r="AA693" i="9"/>
  <c r="T693" i="9" s="1"/>
  <c r="AA669" i="9"/>
  <c r="T669" i="9" s="1"/>
  <c r="AA997" i="9"/>
  <c r="T997" i="9" s="1"/>
  <c r="AA993" i="9"/>
  <c r="T993" i="9" s="1"/>
  <c r="AA989" i="9"/>
  <c r="T989" i="9" s="1"/>
  <c r="AA977" i="9"/>
  <c r="T977" i="9" s="1"/>
  <c r="AA973" i="9"/>
  <c r="T973" i="9" s="1"/>
  <c r="AA953" i="9"/>
  <c r="T953" i="9" s="1"/>
  <c r="AA941" i="9"/>
  <c r="T941" i="9" s="1"/>
  <c r="AA929" i="9"/>
  <c r="T929" i="9" s="1"/>
  <c r="AA925" i="9"/>
  <c r="T925" i="9" s="1"/>
  <c r="AA917" i="9"/>
  <c r="T917" i="9" s="1"/>
  <c r="AA909" i="9"/>
  <c r="T909" i="9" s="1"/>
  <c r="AA901" i="9"/>
  <c r="T901" i="9" s="1"/>
  <c r="AA897" i="9"/>
  <c r="T897" i="9" s="1"/>
  <c r="AA889" i="9"/>
  <c r="T889" i="9" s="1"/>
  <c r="AA885" i="9"/>
  <c r="T885" i="9" s="1"/>
  <c r="AA877" i="9"/>
  <c r="T877" i="9" s="1"/>
  <c r="AA873" i="9"/>
  <c r="T873" i="9" s="1"/>
  <c r="AA869" i="9"/>
  <c r="T869" i="9" s="1"/>
  <c r="AA861" i="9"/>
  <c r="T861" i="9" s="1"/>
  <c r="AA857" i="9"/>
  <c r="T857" i="9" s="1"/>
  <c r="AA853" i="9"/>
  <c r="T853" i="9" s="1"/>
  <c r="AA837" i="9"/>
  <c r="T837" i="9" s="1"/>
  <c r="AA821" i="9"/>
  <c r="T821" i="9" s="1"/>
  <c r="AA785" i="9"/>
  <c r="T785" i="9" s="1"/>
  <c r="AA769" i="9"/>
  <c r="T769" i="9" s="1"/>
  <c r="AA765" i="9"/>
  <c r="T765" i="9" s="1"/>
  <c r="AA761" i="9"/>
  <c r="T761" i="9" s="1"/>
  <c r="AA733" i="9"/>
  <c r="T733" i="9" s="1"/>
  <c r="AA717" i="9"/>
  <c r="T717" i="9" s="1"/>
  <c r="AA697" i="9"/>
  <c r="T697" i="9" s="1"/>
  <c r="AA689" i="9"/>
  <c r="T689" i="9" s="1"/>
  <c r="AA685" i="9"/>
  <c r="T685" i="9" s="1"/>
  <c r="AA681" i="9"/>
  <c r="T681" i="9" s="1"/>
  <c r="AA677" i="9"/>
  <c r="T677" i="9" s="1"/>
  <c r="AA665" i="9"/>
  <c r="T665" i="9" s="1"/>
  <c r="AA661" i="9"/>
  <c r="T661" i="9" s="1"/>
  <c r="AA645" i="9"/>
  <c r="T645" i="9" s="1"/>
  <c r="AA1000" i="9"/>
  <c r="T1000" i="9" s="1"/>
  <c r="AA984" i="9"/>
  <c r="T984" i="9" s="1"/>
  <c r="AA968" i="9"/>
  <c r="T968" i="9" s="1"/>
  <c r="AA960" i="9"/>
  <c r="T960" i="9" s="1"/>
  <c r="AA956" i="9"/>
  <c r="T956" i="9" s="1"/>
  <c r="AA948" i="9"/>
  <c r="T948" i="9" s="1"/>
  <c r="AA944" i="9"/>
  <c r="T944" i="9" s="1"/>
  <c r="AA940" i="9"/>
  <c r="T940" i="9" s="1"/>
  <c r="AA932" i="9"/>
  <c r="T932" i="9" s="1"/>
  <c r="AA916" i="9"/>
  <c r="T916" i="9" s="1"/>
  <c r="AA912" i="9"/>
  <c r="T912" i="9" s="1"/>
  <c r="AA908" i="9"/>
  <c r="T908" i="9" s="1"/>
  <c r="AA900" i="9"/>
  <c r="T900" i="9" s="1"/>
  <c r="AA896" i="9"/>
  <c r="T896" i="9" s="1"/>
  <c r="AA892" i="9"/>
  <c r="T892" i="9" s="1"/>
  <c r="AA888" i="9"/>
  <c r="T888" i="9" s="1"/>
  <c r="AA985" i="9"/>
  <c r="T985" i="9" s="1"/>
  <c r="AA981" i="9"/>
  <c r="T981" i="9" s="1"/>
  <c r="AA969" i="9"/>
  <c r="T969" i="9" s="1"/>
  <c r="AA965" i="9"/>
  <c r="T965" i="9" s="1"/>
  <c r="AA961" i="9"/>
  <c r="T961" i="9" s="1"/>
  <c r="AA949" i="9"/>
  <c r="T949" i="9" s="1"/>
  <c r="AA937" i="9"/>
  <c r="T937" i="9" s="1"/>
  <c r="AA913" i="9"/>
  <c r="T913" i="9" s="1"/>
  <c r="AA893" i="9"/>
  <c r="T893" i="9" s="1"/>
  <c r="AA849" i="9"/>
  <c r="T849" i="9" s="1"/>
  <c r="AA845" i="9"/>
  <c r="T845" i="9" s="1"/>
  <c r="AA841" i="9"/>
  <c r="T841" i="9" s="1"/>
  <c r="AA833" i="9"/>
  <c r="T833" i="9" s="1"/>
  <c r="AA825" i="9"/>
  <c r="T825" i="9" s="1"/>
  <c r="AA817" i="9"/>
  <c r="T817" i="9" s="1"/>
  <c r="AA813" i="9"/>
  <c r="T813" i="9" s="1"/>
  <c r="AA809" i="9"/>
  <c r="T809" i="9" s="1"/>
  <c r="AA805" i="9"/>
  <c r="T805" i="9" s="1"/>
  <c r="AA797" i="9"/>
  <c r="T797" i="9" s="1"/>
  <c r="AA789" i="9"/>
  <c r="T789" i="9" s="1"/>
  <c r="AA777" i="9"/>
  <c r="T777" i="9" s="1"/>
  <c r="AA757" i="9"/>
  <c r="T757" i="9" s="1"/>
  <c r="AA749" i="9"/>
  <c r="T749" i="9" s="1"/>
  <c r="AA745" i="9"/>
  <c r="T745" i="9" s="1"/>
  <c r="AA741" i="9"/>
  <c r="T741" i="9" s="1"/>
  <c r="AA737" i="9"/>
  <c r="T737" i="9" s="1"/>
  <c r="AA729" i="9"/>
  <c r="T729" i="9" s="1"/>
  <c r="AA725" i="9"/>
  <c r="T725" i="9" s="1"/>
  <c r="AA721" i="9"/>
  <c r="T721" i="9" s="1"/>
  <c r="AA713" i="9"/>
  <c r="T713" i="9" s="1"/>
  <c r="AA709" i="9"/>
  <c r="T709" i="9" s="1"/>
  <c r="AA705" i="9"/>
  <c r="T705" i="9" s="1"/>
  <c r="AA701" i="9"/>
  <c r="T701" i="9" s="1"/>
  <c r="AA673" i="9"/>
  <c r="T673" i="9" s="1"/>
  <c r="AA657" i="9"/>
  <c r="T657" i="9" s="1"/>
  <c r="AA653" i="9"/>
  <c r="T653" i="9" s="1"/>
  <c r="AA649" i="9"/>
  <c r="T649" i="9" s="1"/>
  <c r="AA641" i="9"/>
  <c r="T641" i="9" s="1"/>
  <c r="AA637" i="9"/>
  <c r="T637" i="9" s="1"/>
  <c r="AA633" i="9"/>
  <c r="T633" i="9" s="1"/>
  <c r="AA629" i="9"/>
  <c r="T629" i="9" s="1"/>
  <c r="AA996" i="9"/>
  <c r="T996" i="9" s="1"/>
  <c r="AA992" i="9"/>
  <c r="T992" i="9" s="1"/>
  <c r="AA988" i="9"/>
  <c r="T988" i="9" s="1"/>
  <c r="AA980" i="9"/>
  <c r="T980" i="9" s="1"/>
  <c r="AA976" i="9"/>
  <c r="T976" i="9" s="1"/>
  <c r="AA972" i="9"/>
  <c r="T972" i="9" s="1"/>
  <c r="AA964" i="9"/>
  <c r="T964" i="9" s="1"/>
  <c r="AA952" i="9"/>
  <c r="T952" i="9" s="1"/>
  <c r="AA936" i="9"/>
  <c r="T936" i="9" s="1"/>
  <c r="AA928" i="9"/>
  <c r="T928" i="9" s="1"/>
  <c r="AA924" i="9"/>
  <c r="T924" i="9" s="1"/>
  <c r="AA920" i="9"/>
  <c r="T920" i="9" s="1"/>
  <c r="AA904" i="9"/>
  <c r="T904" i="9" s="1"/>
  <c r="AA884" i="9"/>
  <c r="T884" i="9" s="1"/>
  <c r="AA868" i="9"/>
  <c r="T868" i="9" s="1"/>
  <c r="AA864" i="9"/>
  <c r="T864" i="9" s="1"/>
  <c r="AA860" i="9"/>
  <c r="T860" i="9" s="1"/>
  <c r="AA840" i="9"/>
  <c r="T840" i="9" s="1"/>
  <c r="AA836" i="9"/>
  <c r="T836" i="9" s="1"/>
  <c r="AA832" i="9"/>
  <c r="T832" i="9" s="1"/>
  <c r="AA828" i="9"/>
  <c r="T828" i="9" s="1"/>
  <c r="AA824" i="9"/>
  <c r="T824" i="9" s="1"/>
  <c r="AA820" i="9"/>
  <c r="T820" i="9" s="1"/>
  <c r="AA816" i="9"/>
  <c r="T816" i="9" s="1"/>
  <c r="AA812" i="9"/>
  <c r="T812" i="9" s="1"/>
  <c r="AA808" i="9"/>
  <c r="T808" i="9" s="1"/>
  <c r="AA804" i="9"/>
  <c r="T804" i="9" s="1"/>
  <c r="AA800" i="9"/>
  <c r="T800" i="9" s="1"/>
  <c r="AA796" i="9"/>
  <c r="T796" i="9" s="1"/>
  <c r="AA792" i="9"/>
  <c r="T792" i="9" s="1"/>
  <c r="AA788" i="9"/>
  <c r="T788" i="9" s="1"/>
  <c r="AA776" i="9"/>
  <c r="T776" i="9" s="1"/>
  <c r="AA768" i="9"/>
  <c r="T768" i="9" s="1"/>
  <c r="AA764" i="9"/>
  <c r="T764" i="9" s="1"/>
  <c r="AA744" i="9"/>
  <c r="T744" i="9" s="1"/>
  <c r="AA736" i="9"/>
  <c r="T736" i="9" s="1"/>
  <c r="AA732" i="9"/>
  <c r="T732" i="9" s="1"/>
  <c r="AA716" i="9"/>
  <c r="T716" i="9" s="1"/>
  <c r="AA700" i="9"/>
  <c r="T700" i="9" s="1"/>
  <c r="AA684" i="9"/>
  <c r="T684" i="9" s="1"/>
  <c r="AA672" i="9"/>
  <c r="T672" i="9" s="1"/>
  <c r="AA668" i="9"/>
  <c r="T668" i="9" s="1"/>
  <c r="AA660" i="9"/>
  <c r="T660" i="9" s="1"/>
  <c r="AA652" i="9"/>
  <c r="T652" i="9" s="1"/>
  <c r="AA644" i="9"/>
  <c r="T644" i="9" s="1"/>
  <c r="AA636" i="9"/>
  <c r="T636" i="9" s="1"/>
  <c r="AA632" i="9"/>
  <c r="T632" i="9" s="1"/>
  <c r="AA880" i="9"/>
  <c r="T880" i="9" s="1"/>
  <c r="AA876" i="9"/>
  <c r="T876" i="9" s="1"/>
  <c r="AA872" i="9"/>
  <c r="T872" i="9" s="1"/>
  <c r="AA856" i="9"/>
  <c r="T856" i="9" s="1"/>
  <c r="AA852" i="9"/>
  <c r="T852" i="9" s="1"/>
  <c r="AA848" i="9"/>
  <c r="T848" i="9" s="1"/>
  <c r="AA844" i="9"/>
  <c r="T844" i="9" s="1"/>
  <c r="AA784" i="9"/>
  <c r="T784" i="9" s="1"/>
  <c r="AA780" i="9"/>
  <c r="T780" i="9" s="1"/>
  <c r="AA772" i="9"/>
  <c r="T772" i="9" s="1"/>
  <c r="AA760" i="9"/>
  <c r="T760" i="9" s="1"/>
  <c r="AA756" i="9"/>
  <c r="T756" i="9" s="1"/>
  <c r="AA752" i="9"/>
  <c r="T752" i="9" s="1"/>
  <c r="AA748" i="9"/>
  <c r="T748" i="9" s="1"/>
  <c r="AA740" i="9"/>
  <c r="T740" i="9" s="1"/>
  <c r="AA728" i="9"/>
  <c r="T728" i="9" s="1"/>
  <c r="AA724" i="9"/>
  <c r="T724" i="9" s="1"/>
  <c r="AA720" i="9"/>
  <c r="T720" i="9" s="1"/>
  <c r="AA712" i="9"/>
  <c r="T712" i="9" s="1"/>
  <c r="AA708" i="9"/>
  <c r="T708" i="9" s="1"/>
  <c r="AA704" i="9"/>
  <c r="T704" i="9" s="1"/>
  <c r="AA696" i="9"/>
  <c r="T696" i="9" s="1"/>
  <c r="AA692" i="9"/>
  <c r="T692" i="9" s="1"/>
  <c r="AA688" i="9"/>
  <c r="T688" i="9" s="1"/>
  <c r="AA680" i="9"/>
  <c r="T680" i="9" s="1"/>
  <c r="AA676" i="9"/>
  <c r="T676" i="9" s="1"/>
  <c r="AA664" i="9"/>
  <c r="T664" i="9" s="1"/>
  <c r="AA656" i="9"/>
  <c r="T656" i="9" s="1"/>
  <c r="AA648" i="9"/>
  <c r="T648" i="9" s="1"/>
  <c r="AA640" i="9"/>
  <c r="T640" i="9" s="1"/>
  <c r="AA628" i="9"/>
  <c r="T628" i="9" s="1"/>
  <c r="AA999" i="9"/>
  <c r="T999" i="9" s="1"/>
  <c r="AA995" i="9"/>
  <c r="T995" i="9" s="1"/>
  <c r="AA991" i="9"/>
  <c r="T991" i="9" s="1"/>
  <c r="AA987" i="9"/>
  <c r="T987" i="9" s="1"/>
  <c r="AA983" i="9"/>
  <c r="T983" i="9" s="1"/>
  <c r="AA979" i="9"/>
  <c r="T979" i="9" s="1"/>
  <c r="AA975" i="9"/>
  <c r="T975" i="9" s="1"/>
  <c r="AA971" i="9"/>
  <c r="T971" i="9" s="1"/>
  <c r="AA967" i="9"/>
  <c r="T967" i="9" s="1"/>
  <c r="AA963" i="9"/>
  <c r="T963" i="9" s="1"/>
  <c r="AA959" i="9"/>
  <c r="T959" i="9" s="1"/>
  <c r="AA955" i="9"/>
  <c r="T955" i="9" s="1"/>
  <c r="AA951" i="9"/>
  <c r="T951" i="9" s="1"/>
  <c r="AA947" i="9"/>
  <c r="T947" i="9" s="1"/>
  <c r="AA943" i="9"/>
  <c r="T943" i="9" s="1"/>
  <c r="AA939" i="9"/>
  <c r="T939" i="9" s="1"/>
  <c r="AA935" i="9"/>
  <c r="T935" i="9" s="1"/>
  <c r="AA931" i="9"/>
  <c r="T931" i="9" s="1"/>
  <c r="AA927" i="9"/>
  <c r="T927" i="9" s="1"/>
  <c r="AA923" i="9"/>
  <c r="T923" i="9" s="1"/>
  <c r="AA919" i="9"/>
  <c r="T919" i="9" s="1"/>
  <c r="AA915" i="9"/>
  <c r="T915" i="9" s="1"/>
  <c r="AA911" i="9"/>
  <c r="T911" i="9" s="1"/>
  <c r="AA907" i="9"/>
  <c r="T907" i="9" s="1"/>
  <c r="AA903" i="9"/>
  <c r="T903" i="9" s="1"/>
  <c r="AA899" i="9"/>
  <c r="T899" i="9" s="1"/>
  <c r="AA895" i="9"/>
  <c r="T895" i="9" s="1"/>
  <c r="AA891" i="9"/>
  <c r="T891" i="9" s="1"/>
  <c r="AA887" i="9"/>
  <c r="T887" i="9" s="1"/>
  <c r="AA883" i="9"/>
  <c r="T883" i="9" s="1"/>
  <c r="AA879" i="9"/>
  <c r="T879" i="9" s="1"/>
  <c r="AA875" i="9"/>
  <c r="T875" i="9" s="1"/>
  <c r="AA871" i="9"/>
  <c r="T871" i="9" s="1"/>
  <c r="AA867" i="9"/>
  <c r="T867" i="9" s="1"/>
  <c r="AA863" i="9"/>
  <c r="T863" i="9" s="1"/>
  <c r="AA859" i="9"/>
  <c r="T859" i="9" s="1"/>
  <c r="AA855" i="9"/>
  <c r="T855" i="9" s="1"/>
  <c r="AA851" i="9"/>
  <c r="T851" i="9" s="1"/>
  <c r="AA847" i="9"/>
  <c r="T847" i="9" s="1"/>
  <c r="AA843" i="9"/>
  <c r="T843" i="9" s="1"/>
  <c r="AA839" i="9"/>
  <c r="T839" i="9" s="1"/>
  <c r="AA835" i="9"/>
  <c r="T835" i="9" s="1"/>
  <c r="AA831" i="9"/>
  <c r="T831" i="9" s="1"/>
  <c r="AA827" i="9"/>
  <c r="T827" i="9" s="1"/>
  <c r="AA823" i="9"/>
  <c r="T823" i="9" s="1"/>
  <c r="AA819" i="9"/>
  <c r="T819" i="9" s="1"/>
  <c r="AA815" i="9"/>
  <c r="T815" i="9" s="1"/>
  <c r="AA811" i="9"/>
  <c r="T811" i="9" s="1"/>
  <c r="AA807" i="9"/>
  <c r="T807" i="9" s="1"/>
  <c r="AA803" i="9"/>
  <c r="T803" i="9" s="1"/>
  <c r="AA799" i="9"/>
  <c r="T799" i="9" s="1"/>
  <c r="AA795" i="9"/>
  <c r="T795" i="9" s="1"/>
  <c r="AA791" i="9"/>
  <c r="T791" i="9" s="1"/>
  <c r="AA787" i="9"/>
  <c r="T787" i="9" s="1"/>
  <c r="AA783" i="9"/>
  <c r="T783" i="9" s="1"/>
  <c r="AA779" i="9"/>
  <c r="T779" i="9" s="1"/>
  <c r="AA775" i="9"/>
  <c r="T775" i="9" s="1"/>
  <c r="AA771" i="9"/>
  <c r="T771" i="9" s="1"/>
  <c r="AA767" i="9"/>
  <c r="T767" i="9" s="1"/>
  <c r="AA763" i="9"/>
  <c r="T763" i="9" s="1"/>
  <c r="AA759" i="9"/>
  <c r="T759" i="9" s="1"/>
  <c r="AA755" i="9"/>
  <c r="T755" i="9" s="1"/>
  <c r="AA751" i="9"/>
  <c r="T751" i="9" s="1"/>
  <c r="AA747" i="9"/>
  <c r="T747" i="9" s="1"/>
  <c r="AA743" i="9"/>
  <c r="T743" i="9" s="1"/>
  <c r="AA739" i="9"/>
  <c r="T739" i="9" s="1"/>
  <c r="AA735" i="9"/>
  <c r="T735" i="9" s="1"/>
  <c r="AA731" i="9"/>
  <c r="T731" i="9" s="1"/>
  <c r="AA727" i="9"/>
  <c r="T727" i="9" s="1"/>
  <c r="AA723" i="9"/>
  <c r="T723" i="9" s="1"/>
  <c r="AA719" i="9"/>
  <c r="T719" i="9" s="1"/>
  <c r="AA715" i="9"/>
  <c r="T715" i="9" s="1"/>
  <c r="AA711" i="9"/>
  <c r="T711" i="9" s="1"/>
  <c r="AA707" i="9"/>
  <c r="T707" i="9" s="1"/>
  <c r="AA703" i="9"/>
  <c r="T703" i="9" s="1"/>
  <c r="AA699" i="9"/>
  <c r="T699" i="9" s="1"/>
  <c r="AA695" i="9"/>
  <c r="T695" i="9" s="1"/>
  <c r="AA691" i="9"/>
  <c r="T691" i="9" s="1"/>
  <c r="AA687" i="9"/>
  <c r="T687" i="9" s="1"/>
  <c r="AA683" i="9"/>
  <c r="T683" i="9" s="1"/>
  <c r="AA679" i="9"/>
  <c r="T679" i="9" s="1"/>
  <c r="AA675" i="9"/>
  <c r="T675" i="9" s="1"/>
  <c r="AA671" i="9"/>
  <c r="T671" i="9" s="1"/>
  <c r="AA667" i="9"/>
  <c r="T667" i="9" s="1"/>
  <c r="AA663" i="9"/>
  <c r="T663" i="9" s="1"/>
  <c r="AA659" i="9"/>
  <c r="T659" i="9" s="1"/>
  <c r="AA655" i="9"/>
  <c r="T655" i="9" s="1"/>
  <c r="AA651" i="9"/>
  <c r="T651" i="9" s="1"/>
  <c r="AA647" i="9"/>
  <c r="T647" i="9" s="1"/>
  <c r="AA643" i="9"/>
  <c r="T643" i="9" s="1"/>
  <c r="AA639" i="9"/>
  <c r="T639" i="9" s="1"/>
  <c r="AA635" i="9"/>
  <c r="T635" i="9" s="1"/>
  <c r="AA631" i="9"/>
  <c r="T631" i="9" s="1"/>
  <c r="AA627" i="9"/>
  <c r="T627" i="9" s="1"/>
  <c r="Z616" i="9"/>
  <c r="AA616" i="9" s="1"/>
  <c r="T616" i="9" s="1"/>
  <c r="Z595" i="9"/>
  <c r="AA595" i="9" s="1"/>
  <c r="T595" i="9" s="1"/>
  <c r="Z611" i="9"/>
  <c r="AA611" i="9" s="1"/>
  <c r="T611" i="9" s="1"/>
  <c r="Z602" i="9"/>
  <c r="AA602" i="9" s="1"/>
  <c r="T602" i="9" s="1"/>
  <c r="Z590" i="9"/>
  <c r="AA590" i="9" s="1"/>
  <c r="T590" i="9" s="1"/>
  <c r="Z579" i="9"/>
  <c r="AA579" i="9" s="1"/>
  <c r="T579" i="9" s="1"/>
  <c r="Z620" i="9"/>
  <c r="AA620" i="9" s="1"/>
  <c r="T620" i="9" s="1"/>
  <c r="Z610" i="9"/>
  <c r="AA610" i="9" s="1"/>
  <c r="T610" i="9" s="1"/>
  <c r="Z599" i="9"/>
  <c r="AA599" i="9" s="1"/>
  <c r="T599" i="9" s="1"/>
  <c r="Q591" i="9"/>
  <c r="Z591" i="9" s="1"/>
  <c r="R591" i="9" s="1"/>
  <c r="Z624" i="9"/>
  <c r="AA624" i="9" s="1"/>
  <c r="T624" i="9" s="1"/>
  <c r="Q625" i="9"/>
  <c r="Z625" i="9" s="1"/>
  <c r="AA625" i="9" s="1"/>
  <c r="T625" i="9" s="1"/>
  <c r="Q621" i="9"/>
  <c r="Z621" i="9" s="1"/>
  <c r="AA621" i="9" s="1"/>
  <c r="T621" i="9" s="1"/>
  <c r="Q607" i="9"/>
  <c r="Z607" i="9" s="1"/>
  <c r="R607" i="9" s="1"/>
  <c r="Z623" i="9"/>
  <c r="AA623" i="9" s="1"/>
  <c r="T623" i="9" s="1"/>
  <c r="Z615" i="9"/>
  <c r="AA615" i="9" s="1"/>
  <c r="T615" i="9" s="1"/>
  <c r="Z594" i="9"/>
  <c r="AA594" i="9" s="1"/>
  <c r="T594" i="9" s="1"/>
  <c r="Q622" i="9"/>
  <c r="Z622" i="9" s="1"/>
  <c r="R622" i="9" s="1"/>
  <c r="Q618" i="9"/>
  <c r="Z614" i="9"/>
  <c r="AA614" i="9" s="1"/>
  <c r="T614" i="9" s="1"/>
  <c r="Q603" i="9"/>
  <c r="Z603" i="9" s="1"/>
  <c r="AA603" i="9" s="1"/>
  <c r="T603" i="9" s="1"/>
  <c r="Z582" i="9"/>
  <c r="AA582" i="9" s="1"/>
  <c r="T582" i="9" s="1"/>
  <c r="Q583" i="9"/>
  <c r="Z583" i="9" s="1"/>
  <c r="AA583" i="9" s="1"/>
  <c r="T583" i="9" s="1"/>
  <c r="Z587" i="9"/>
  <c r="AA587" i="9" s="1"/>
  <c r="T587" i="9" s="1"/>
  <c r="Z578" i="9"/>
  <c r="R578" i="9" s="1"/>
  <c r="Z575" i="9"/>
  <c r="R575" i="9" s="1"/>
  <c r="BA642" i="9"/>
  <c r="AZ642" i="9"/>
  <c r="AX642" i="9"/>
  <c r="AY642" i="9"/>
  <c r="AV642" i="9"/>
  <c r="AW642" i="9"/>
  <c r="BA918" i="9"/>
  <c r="AX918" i="9"/>
  <c r="AZ918" i="9"/>
  <c r="AY918" i="9"/>
  <c r="AV918" i="9"/>
  <c r="AW918" i="9"/>
  <c r="BA914" i="9"/>
  <c r="AZ914" i="9"/>
  <c r="AX914" i="9"/>
  <c r="AY914" i="9"/>
  <c r="AV914" i="9"/>
  <c r="AW914" i="9"/>
  <c r="BA758" i="9"/>
  <c r="AZ758" i="9"/>
  <c r="AY758" i="9"/>
  <c r="AX758" i="9"/>
  <c r="AV758" i="9"/>
  <c r="AW758" i="9"/>
  <c r="BA730" i="9"/>
  <c r="AX730" i="9"/>
  <c r="AY730" i="9"/>
  <c r="AZ730" i="9"/>
  <c r="AV730" i="9"/>
  <c r="AW730" i="9"/>
  <c r="BA682" i="9"/>
  <c r="AZ682" i="9"/>
  <c r="AX682" i="9"/>
  <c r="AY682" i="9"/>
  <c r="AV682" i="9"/>
  <c r="AW682" i="9"/>
  <c r="BA630" i="9"/>
  <c r="AX630" i="9"/>
  <c r="AY630" i="9"/>
  <c r="AZ630" i="9"/>
  <c r="AV630" i="9"/>
  <c r="AW630" i="9"/>
  <c r="BA977" i="9"/>
  <c r="AZ977" i="9"/>
  <c r="AV977" i="9"/>
  <c r="AW977" i="9"/>
  <c r="AX977" i="9"/>
  <c r="AY977" i="9"/>
  <c r="AZ973" i="9"/>
  <c r="BA973" i="9"/>
  <c r="AV973" i="9"/>
  <c r="AW973" i="9"/>
  <c r="AX973" i="9"/>
  <c r="AY973" i="9"/>
  <c r="BA969" i="9"/>
  <c r="AZ969" i="9"/>
  <c r="AV969" i="9"/>
  <c r="AW969" i="9"/>
  <c r="AX969" i="9"/>
  <c r="AY969" i="9"/>
  <c r="BA949" i="9"/>
  <c r="AZ949" i="9"/>
  <c r="AV949" i="9"/>
  <c r="AW949" i="9"/>
  <c r="AX949" i="9"/>
  <c r="AY949" i="9"/>
  <c r="AZ941" i="9"/>
  <c r="BA941" i="9"/>
  <c r="AV941" i="9"/>
  <c r="AW941" i="9"/>
  <c r="AX941" i="9"/>
  <c r="AY941" i="9"/>
  <c r="BA753" i="9"/>
  <c r="AZ753" i="9"/>
  <c r="AX753" i="9"/>
  <c r="AY753" i="9"/>
  <c r="AV753" i="9"/>
  <c r="AW753" i="9"/>
  <c r="BA729" i="9"/>
  <c r="AY729" i="9"/>
  <c r="AZ729" i="9"/>
  <c r="AX729" i="9"/>
  <c r="AV729" i="9"/>
  <c r="AW729" i="9"/>
  <c r="BA725" i="9"/>
  <c r="AY725" i="9"/>
  <c r="AX725" i="9"/>
  <c r="AZ725" i="9"/>
  <c r="AV725" i="9"/>
  <c r="AW725" i="9"/>
  <c r="BA721" i="9"/>
  <c r="AZ721" i="9"/>
  <c r="AY721" i="9"/>
  <c r="AX721" i="9"/>
  <c r="AV721" i="9"/>
  <c r="AW721" i="9"/>
  <c r="BA717" i="9"/>
  <c r="AY717" i="9"/>
  <c r="AZ717" i="9"/>
  <c r="AX717" i="9"/>
  <c r="AV717" i="9"/>
  <c r="AW717" i="9"/>
  <c r="BA713" i="9"/>
  <c r="AY713" i="9"/>
  <c r="AZ713" i="9"/>
  <c r="AX713" i="9"/>
  <c r="AV713" i="9"/>
  <c r="AW713" i="9"/>
  <c r="BA709" i="9"/>
  <c r="AY709" i="9"/>
  <c r="AX709" i="9"/>
  <c r="AV709" i="9"/>
  <c r="AZ709" i="9"/>
  <c r="AW709" i="9"/>
  <c r="AZ705" i="9"/>
  <c r="AY705" i="9"/>
  <c r="BA705" i="9"/>
  <c r="AX705" i="9"/>
  <c r="AV705" i="9"/>
  <c r="AW705" i="9"/>
  <c r="BA701" i="9"/>
  <c r="AY701" i="9"/>
  <c r="AZ701" i="9"/>
  <c r="AX701" i="9"/>
  <c r="AV701" i="9"/>
  <c r="AW701" i="9"/>
  <c r="AY697" i="9"/>
  <c r="BA697" i="9"/>
  <c r="AZ697" i="9"/>
  <c r="AX697" i="9"/>
  <c r="AV697" i="9"/>
  <c r="AW697" i="9"/>
  <c r="BA693" i="9"/>
  <c r="AY693" i="9"/>
  <c r="AZ693" i="9"/>
  <c r="AX693" i="9"/>
  <c r="AV693" i="9"/>
  <c r="AW693" i="9"/>
  <c r="BA689" i="9"/>
  <c r="AY689" i="9"/>
  <c r="AZ689" i="9"/>
  <c r="AX689" i="9"/>
  <c r="AV689" i="9"/>
  <c r="AW689" i="9"/>
  <c r="BA685" i="9"/>
  <c r="AY685" i="9"/>
  <c r="AZ685" i="9"/>
  <c r="AX685" i="9"/>
  <c r="AV685" i="9"/>
  <c r="AW685" i="9"/>
  <c r="BA681" i="9"/>
  <c r="AY681" i="9"/>
  <c r="AZ681" i="9"/>
  <c r="AX681" i="9"/>
  <c r="AV681" i="9"/>
  <c r="AW681" i="9"/>
  <c r="BA677" i="9"/>
  <c r="AY677" i="9"/>
  <c r="AZ677" i="9"/>
  <c r="AX677" i="9"/>
  <c r="AV677" i="9"/>
  <c r="AW677" i="9"/>
  <c r="AY673" i="9"/>
  <c r="BA673" i="9"/>
  <c r="AZ673" i="9"/>
  <c r="AX673" i="9"/>
  <c r="AV673" i="9"/>
  <c r="AW673" i="9"/>
  <c r="BA669" i="9"/>
  <c r="AY669" i="9"/>
  <c r="AZ669" i="9"/>
  <c r="AX669" i="9"/>
  <c r="AV669" i="9"/>
  <c r="AW669" i="9"/>
  <c r="BA665" i="9"/>
  <c r="AY665" i="9"/>
  <c r="AZ665" i="9"/>
  <c r="AX665" i="9"/>
  <c r="AV665" i="9"/>
  <c r="AW665" i="9"/>
  <c r="BA661" i="9"/>
  <c r="AZ661" i="9"/>
  <c r="AY661" i="9"/>
  <c r="AX661" i="9"/>
  <c r="AV661" i="9"/>
  <c r="AW661" i="9"/>
  <c r="BA657" i="9"/>
  <c r="AZ657" i="9"/>
  <c r="AY657" i="9"/>
  <c r="AX657" i="9"/>
  <c r="AV657" i="9"/>
  <c r="AW657" i="9"/>
  <c r="BA649" i="9"/>
  <c r="AY649" i="9"/>
  <c r="AZ649" i="9"/>
  <c r="AX649" i="9"/>
  <c r="AV649" i="9"/>
  <c r="AW649" i="9"/>
  <c r="BA645" i="9"/>
  <c r="AZ645" i="9"/>
  <c r="AY645" i="9"/>
  <c r="AX645" i="9"/>
  <c r="AV645" i="9"/>
  <c r="AW645" i="9"/>
  <c r="AZ637" i="9"/>
  <c r="BA637" i="9"/>
  <c r="AY637" i="9"/>
  <c r="AX637" i="9"/>
  <c r="AV637" i="9"/>
  <c r="AW637" i="9"/>
  <c r="AZ633" i="9"/>
  <c r="AY633" i="9"/>
  <c r="BA633" i="9"/>
  <c r="AX633" i="9"/>
  <c r="AV633" i="9"/>
  <c r="AW633" i="9"/>
  <c r="AZ625" i="9"/>
  <c r="BA625" i="9"/>
  <c r="AY625" i="9"/>
  <c r="AX625" i="9"/>
  <c r="AV625" i="9"/>
  <c r="AW625" i="9"/>
  <c r="AZ621" i="9"/>
  <c r="BA621" i="9"/>
  <c r="AY621" i="9"/>
  <c r="AX621" i="9"/>
  <c r="AV621" i="9"/>
  <c r="AW621" i="9"/>
  <c r="AZ613" i="9"/>
  <c r="BA613" i="9"/>
  <c r="AY613" i="9"/>
  <c r="AX613" i="9"/>
  <c r="AV613" i="9"/>
  <c r="AW613" i="9"/>
  <c r="BA612" i="9"/>
  <c r="AX612" i="9"/>
  <c r="AZ612" i="9"/>
  <c r="AY612" i="9"/>
  <c r="AV612" i="9"/>
  <c r="AW612" i="9"/>
  <c r="BA611" i="9"/>
  <c r="AZ611" i="9"/>
  <c r="AY611" i="9"/>
  <c r="AX611" i="9"/>
  <c r="AV611" i="9"/>
  <c r="AW611" i="9"/>
  <c r="BA607" i="9"/>
  <c r="AZ607" i="9"/>
  <c r="AY607" i="9"/>
  <c r="AX607" i="9"/>
  <c r="AV607" i="9"/>
  <c r="AW607" i="9"/>
  <c r="AZ585" i="9"/>
  <c r="BA585" i="9"/>
  <c r="AY585" i="9"/>
  <c r="AX585" i="9"/>
  <c r="AV585" i="9"/>
  <c r="AW585" i="9"/>
  <c r="BA994" i="9"/>
  <c r="AZ994" i="9"/>
  <c r="AX994" i="9"/>
  <c r="AY994" i="9"/>
  <c r="AW994" i="9"/>
  <c r="AV994" i="9"/>
  <c r="BA990" i="9"/>
  <c r="AZ990" i="9"/>
  <c r="AX990" i="9"/>
  <c r="AY990" i="9"/>
  <c r="AW990" i="9"/>
  <c r="AV990" i="9"/>
  <c r="BA982" i="9"/>
  <c r="AX982" i="9"/>
  <c r="AZ982" i="9"/>
  <c r="AY982" i="9"/>
  <c r="AW982" i="9"/>
  <c r="AV982" i="9"/>
  <c r="BA974" i="9"/>
  <c r="AZ974" i="9"/>
  <c r="AX974" i="9"/>
  <c r="AY974" i="9"/>
  <c r="AW974" i="9"/>
  <c r="AV974" i="9"/>
  <c r="BA966" i="9"/>
  <c r="AZ966" i="9"/>
  <c r="AX966" i="9"/>
  <c r="AY966" i="9"/>
  <c r="AW966" i="9"/>
  <c r="AV966" i="9"/>
  <c r="BA962" i="9"/>
  <c r="AZ962" i="9"/>
  <c r="AX962" i="9"/>
  <c r="AY962" i="9"/>
  <c r="AW962" i="9"/>
  <c r="AV962" i="9"/>
  <c r="BA954" i="9"/>
  <c r="AZ954" i="9"/>
  <c r="AX954" i="9"/>
  <c r="AY954" i="9"/>
  <c r="AV954" i="9"/>
  <c r="AW954" i="9"/>
  <c r="BA950" i="9"/>
  <c r="AX950" i="9"/>
  <c r="AY950" i="9"/>
  <c r="AV950" i="9"/>
  <c r="AZ950" i="9"/>
  <c r="AW950" i="9"/>
  <c r="BA946" i="9"/>
  <c r="AZ946" i="9"/>
  <c r="AX946" i="9"/>
  <c r="AY946" i="9"/>
  <c r="AV946" i="9"/>
  <c r="AW946" i="9"/>
  <c r="BA926" i="9"/>
  <c r="AZ926" i="9"/>
  <c r="AX926" i="9"/>
  <c r="AV926" i="9"/>
  <c r="AY926" i="9"/>
  <c r="AW926" i="9"/>
  <c r="BA922" i="9"/>
  <c r="AZ922" i="9"/>
  <c r="AX922" i="9"/>
  <c r="AV922" i="9"/>
  <c r="AY922" i="9"/>
  <c r="AW922" i="9"/>
  <c r="BA898" i="9"/>
  <c r="AZ898" i="9"/>
  <c r="AY898" i="9"/>
  <c r="AV898" i="9"/>
  <c r="AX898" i="9"/>
  <c r="AW898" i="9"/>
  <c r="BA886" i="9"/>
  <c r="AX886" i="9"/>
  <c r="AV886" i="9"/>
  <c r="AY886" i="9"/>
  <c r="AZ886" i="9"/>
  <c r="AW886" i="9"/>
  <c r="BA882" i="9"/>
  <c r="AZ882" i="9"/>
  <c r="AY882" i="9"/>
  <c r="AV882" i="9"/>
  <c r="AX882" i="9"/>
  <c r="AW882" i="9"/>
  <c r="BA878" i="9"/>
  <c r="AZ878" i="9"/>
  <c r="AV878" i="9"/>
  <c r="AX878" i="9"/>
  <c r="AY878" i="9"/>
  <c r="AW878" i="9"/>
  <c r="BA874" i="9"/>
  <c r="AZ874" i="9"/>
  <c r="AY874" i="9"/>
  <c r="AV874" i="9"/>
  <c r="AX874" i="9"/>
  <c r="AW874" i="9"/>
  <c r="BA866" i="9"/>
  <c r="AZ866" i="9"/>
  <c r="AY866" i="9"/>
  <c r="AV866" i="9"/>
  <c r="AX866" i="9"/>
  <c r="AW866" i="9"/>
  <c r="BA862" i="9"/>
  <c r="AZ862" i="9"/>
  <c r="AV862" i="9"/>
  <c r="AX862" i="9"/>
  <c r="AY862" i="9"/>
  <c r="AW862" i="9"/>
  <c r="BA850" i="9"/>
  <c r="AZ850" i="9"/>
  <c r="AY850" i="9"/>
  <c r="AV850" i="9"/>
  <c r="AX850" i="9"/>
  <c r="AW850" i="9"/>
  <c r="BA834" i="9"/>
  <c r="AZ834" i="9"/>
  <c r="AY834" i="9"/>
  <c r="AV834" i="9"/>
  <c r="AX834" i="9"/>
  <c r="AW834" i="9"/>
  <c r="BA830" i="9"/>
  <c r="AZ830" i="9"/>
  <c r="AV830" i="9"/>
  <c r="AX830" i="9"/>
  <c r="AY830" i="9"/>
  <c r="AW830" i="9"/>
  <c r="BA822" i="9"/>
  <c r="AZ822" i="9"/>
  <c r="AV822" i="9"/>
  <c r="AX822" i="9"/>
  <c r="AY822" i="9"/>
  <c r="AW822" i="9"/>
  <c r="BA818" i="9"/>
  <c r="AZ818" i="9"/>
  <c r="AY818" i="9"/>
  <c r="AV818" i="9"/>
  <c r="AX818" i="9"/>
  <c r="AW818" i="9"/>
  <c r="BA806" i="9"/>
  <c r="AZ806" i="9"/>
  <c r="AV806" i="9"/>
  <c r="AX806" i="9"/>
  <c r="AY806" i="9"/>
  <c r="AW806" i="9"/>
  <c r="BA802" i="9"/>
  <c r="AZ802" i="9"/>
  <c r="AY802" i="9"/>
  <c r="AV802" i="9"/>
  <c r="AX802" i="9"/>
  <c r="AW802" i="9"/>
  <c r="BA798" i="9"/>
  <c r="AZ798" i="9"/>
  <c r="AX798" i="9"/>
  <c r="AV798" i="9"/>
  <c r="AY798" i="9"/>
  <c r="AW798" i="9"/>
  <c r="BA794" i="9"/>
  <c r="AZ794" i="9"/>
  <c r="AY794" i="9"/>
  <c r="AV794" i="9"/>
  <c r="AX794" i="9"/>
  <c r="AW794" i="9"/>
  <c r="BA790" i="9"/>
  <c r="AZ790" i="9"/>
  <c r="AX790" i="9"/>
  <c r="AY790" i="9"/>
  <c r="AV790" i="9"/>
  <c r="AW790" i="9"/>
  <c r="BA766" i="9"/>
  <c r="AZ766" i="9"/>
  <c r="AY766" i="9"/>
  <c r="AV766" i="9"/>
  <c r="AX766" i="9"/>
  <c r="AW766" i="9"/>
  <c r="BA754" i="9"/>
  <c r="AZ754" i="9"/>
  <c r="AY754" i="9"/>
  <c r="AX754" i="9"/>
  <c r="AV754" i="9"/>
  <c r="AW754" i="9"/>
  <c r="BA750" i="9"/>
  <c r="AZ750" i="9"/>
  <c r="AY750" i="9"/>
  <c r="AV750" i="9"/>
  <c r="AX750" i="9"/>
  <c r="AW750" i="9"/>
  <c r="BA746" i="9"/>
  <c r="AZ746" i="9"/>
  <c r="AY746" i="9"/>
  <c r="AV746" i="9"/>
  <c r="AX746" i="9"/>
  <c r="AW746" i="9"/>
  <c r="BA738" i="9"/>
  <c r="AZ738" i="9"/>
  <c r="AX738" i="9"/>
  <c r="AY738" i="9"/>
  <c r="AV738" i="9"/>
  <c r="AW738" i="9"/>
  <c r="BA734" i="9"/>
  <c r="AZ734" i="9"/>
  <c r="AY734" i="9"/>
  <c r="AX734" i="9"/>
  <c r="AV734" i="9"/>
  <c r="AW734" i="9"/>
  <c r="BA726" i="9"/>
  <c r="AZ726" i="9"/>
  <c r="AY726" i="9"/>
  <c r="AX726" i="9"/>
  <c r="AV726" i="9"/>
  <c r="AW726" i="9"/>
  <c r="BA722" i="9"/>
  <c r="AZ722" i="9"/>
  <c r="AX722" i="9"/>
  <c r="AY722" i="9"/>
  <c r="AV722" i="9"/>
  <c r="AW722" i="9"/>
  <c r="BA718" i="9"/>
  <c r="AZ718" i="9"/>
  <c r="AY718" i="9"/>
  <c r="AX718" i="9"/>
  <c r="AV718" i="9"/>
  <c r="AW718" i="9"/>
  <c r="BA706" i="9"/>
  <c r="AZ706" i="9"/>
  <c r="AX706" i="9"/>
  <c r="AY706" i="9"/>
  <c r="AV706" i="9"/>
  <c r="AW706" i="9"/>
  <c r="BA698" i="9"/>
  <c r="AZ698" i="9"/>
  <c r="AX698" i="9"/>
  <c r="AY698" i="9"/>
  <c r="AV698" i="9"/>
  <c r="AW698" i="9"/>
  <c r="BA694" i="9"/>
  <c r="AZ694" i="9"/>
  <c r="AY694" i="9"/>
  <c r="AX694" i="9"/>
  <c r="AV694" i="9"/>
  <c r="AW694" i="9"/>
  <c r="BA686" i="9"/>
  <c r="AZ686" i="9"/>
  <c r="AY686" i="9"/>
  <c r="AX686" i="9"/>
  <c r="AV686" i="9"/>
  <c r="AW686" i="9"/>
  <c r="BA674" i="9"/>
  <c r="AZ674" i="9"/>
  <c r="AX674" i="9"/>
  <c r="AY674" i="9"/>
  <c r="AV674" i="9"/>
  <c r="AW674" i="9"/>
  <c r="BA670" i="9"/>
  <c r="AZ670" i="9"/>
  <c r="AY670" i="9"/>
  <c r="AX670" i="9"/>
  <c r="AV670" i="9"/>
  <c r="AW670" i="9"/>
  <c r="BA634" i="9"/>
  <c r="AZ634" i="9"/>
  <c r="AX634" i="9"/>
  <c r="AY634" i="9"/>
  <c r="AV634" i="9"/>
  <c r="AW634" i="9"/>
  <c r="BA618" i="9"/>
  <c r="AZ618" i="9"/>
  <c r="AX618" i="9"/>
  <c r="AY618" i="9"/>
  <c r="AV618" i="9"/>
  <c r="AW618" i="9"/>
  <c r="BA993" i="9"/>
  <c r="AZ993" i="9"/>
  <c r="AV993" i="9"/>
  <c r="AW993" i="9"/>
  <c r="AX993" i="9"/>
  <c r="AY993" i="9"/>
  <c r="BA985" i="9"/>
  <c r="AZ985" i="9"/>
  <c r="AV985" i="9"/>
  <c r="AW985" i="9"/>
  <c r="AX985" i="9"/>
  <c r="AY985" i="9"/>
  <c r="BA965" i="9"/>
  <c r="AZ965" i="9"/>
  <c r="AV965" i="9"/>
  <c r="AW965" i="9"/>
  <c r="AX965" i="9"/>
  <c r="AY965" i="9"/>
  <c r="BA961" i="9"/>
  <c r="AZ961" i="9"/>
  <c r="AV961" i="9"/>
  <c r="AW961" i="9"/>
  <c r="AX961" i="9"/>
  <c r="AY961" i="9"/>
  <c r="AZ957" i="9"/>
  <c r="BA957" i="9"/>
  <c r="AV957" i="9"/>
  <c r="AW957" i="9"/>
  <c r="AX957" i="9"/>
  <c r="AY957" i="9"/>
  <c r="BA953" i="9"/>
  <c r="AZ953" i="9"/>
  <c r="AV953" i="9"/>
  <c r="AW953" i="9"/>
  <c r="AX953" i="9"/>
  <c r="AY953" i="9"/>
  <c r="BA945" i="9"/>
  <c r="AZ945" i="9"/>
  <c r="AV945" i="9"/>
  <c r="AW945" i="9"/>
  <c r="AX945" i="9"/>
  <c r="AY945" i="9"/>
  <c r="BA937" i="9"/>
  <c r="AZ937" i="9"/>
  <c r="AV937" i="9"/>
  <c r="AW937" i="9"/>
  <c r="AX937" i="9"/>
  <c r="AY937" i="9"/>
  <c r="BA929" i="9"/>
  <c r="AZ929" i="9"/>
  <c r="AV929" i="9"/>
  <c r="AW929" i="9"/>
  <c r="AX929" i="9"/>
  <c r="AY929" i="9"/>
  <c r="AZ925" i="9"/>
  <c r="BA925" i="9"/>
  <c r="AV925" i="9"/>
  <c r="AW925" i="9"/>
  <c r="AX925" i="9"/>
  <c r="AY925" i="9"/>
  <c r="BA921" i="9"/>
  <c r="AZ921" i="9"/>
  <c r="AV921" i="9"/>
  <c r="AW921" i="9"/>
  <c r="AX921" i="9"/>
  <c r="AY921" i="9"/>
  <c r="BA917" i="9"/>
  <c r="AZ917" i="9"/>
  <c r="AV917" i="9"/>
  <c r="AW917" i="9"/>
  <c r="AX917" i="9"/>
  <c r="AY917" i="9"/>
  <c r="BA909" i="9"/>
  <c r="AZ909" i="9"/>
  <c r="AY909" i="9"/>
  <c r="AV909" i="9"/>
  <c r="AW909" i="9"/>
  <c r="AX909" i="9"/>
  <c r="BA905" i="9"/>
  <c r="AZ905" i="9"/>
  <c r="AX905" i="9"/>
  <c r="AY905" i="9"/>
  <c r="AV905" i="9"/>
  <c r="AW905" i="9"/>
  <c r="AZ901" i="9"/>
  <c r="AX901" i="9"/>
  <c r="BA901" i="9"/>
  <c r="AY901" i="9"/>
  <c r="AV901" i="9"/>
  <c r="AW901" i="9"/>
  <c r="BA881" i="9"/>
  <c r="AZ881" i="9"/>
  <c r="AX881" i="9"/>
  <c r="AY881" i="9"/>
  <c r="AV881" i="9"/>
  <c r="AW881" i="9"/>
  <c r="BA877" i="9"/>
  <c r="AZ877" i="9"/>
  <c r="AX877" i="9"/>
  <c r="AY877" i="9"/>
  <c r="AV877" i="9"/>
  <c r="AW877" i="9"/>
  <c r="BA873" i="9"/>
  <c r="AZ873" i="9"/>
  <c r="AX873" i="9"/>
  <c r="AY873" i="9"/>
  <c r="AV873" i="9"/>
  <c r="AW873" i="9"/>
  <c r="BA861" i="9"/>
  <c r="AZ861" i="9"/>
  <c r="AX861" i="9"/>
  <c r="AY861" i="9"/>
  <c r="AV861" i="9"/>
  <c r="AW861" i="9"/>
  <c r="BA849" i="9"/>
  <c r="AZ849" i="9"/>
  <c r="AX849" i="9"/>
  <c r="AY849" i="9"/>
  <c r="AV849" i="9"/>
  <c r="AW849" i="9"/>
  <c r="BA845" i="9"/>
  <c r="AZ845" i="9"/>
  <c r="AX845" i="9"/>
  <c r="AY845" i="9"/>
  <c r="AV845" i="9"/>
  <c r="AW845" i="9"/>
  <c r="BA837" i="9"/>
  <c r="AX837" i="9"/>
  <c r="AZ837" i="9"/>
  <c r="AY837" i="9"/>
  <c r="AV837" i="9"/>
  <c r="AW837" i="9"/>
  <c r="AZ833" i="9"/>
  <c r="AX833" i="9"/>
  <c r="AY833" i="9"/>
  <c r="BA833" i="9"/>
  <c r="AV833" i="9"/>
  <c r="AW833" i="9"/>
  <c r="BA829" i="9"/>
  <c r="AZ829" i="9"/>
  <c r="AX829" i="9"/>
  <c r="AY829" i="9"/>
  <c r="AV829" i="9"/>
  <c r="AW829" i="9"/>
  <c r="BA821" i="9"/>
  <c r="AX821" i="9"/>
  <c r="AY821" i="9"/>
  <c r="AZ821" i="9"/>
  <c r="AV821" i="9"/>
  <c r="AW821" i="9"/>
  <c r="BA817" i="9"/>
  <c r="AZ817" i="9"/>
  <c r="AX817" i="9"/>
  <c r="AY817" i="9"/>
  <c r="AV817" i="9"/>
  <c r="AW817" i="9"/>
  <c r="BA809" i="9"/>
  <c r="AX809" i="9"/>
  <c r="AY809" i="9"/>
  <c r="AV809" i="9"/>
  <c r="AW809" i="9"/>
  <c r="AZ809" i="9"/>
  <c r="AZ801" i="9"/>
  <c r="BA801" i="9"/>
  <c r="AX801" i="9"/>
  <c r="AY801" i="9"/>
  <c r="AV801" i="9"/>
  <c r="AW801" i="9"/>
  <c r="BA793" i="9"/>
  <c r="AZ793" i="9"/>
  <c r="AX793" i="9"/>
  <c r="AY793" i="9"/>
  <c r="AV793" i="9"/>
  <c r="AW793" i="9"/>
  <c r="BA785" i="9"/>
  <c r="AZ785" i="9"/>
  <c r="AX785" i="9"/>
  <c r="AY785" i="9"/>
  <c r="AV785" i="9"/>
  <c r="AW785" i="9"/>
  <c r="BA773" i="9"/>
  <c r="AX773" i="9"/>
  <c r="AY773" i="9"/>
  <c r="AZ773" i="9"/>
  <c r="AV773" i="9"/>
  <c r="AW773" i="9"/>
  <c r="BA765" i="9"/>
  <c r="AZ765" i="9"/>
  <c r="AX765" i="9"/>
  <c r="AY765" i="9"/>
  <c r="AV765" i="9"/>
  <c r="AW765" i="9"/>
  <c r="BA761" i="9"/>
  <c r="AZ761" i="9"/>
  <c r="AX761" i="9"/>
  <c r="AY761" i="9"/>
  <c r="AV761" i="9"/>
  <c r="AW761" i="9"/>
  <c r="BA749" i="9"/>
  <c r="AZ749" i="9"/>
  <c r="AX749" i="9"/>
  <c r="AY749" i="9"/>
  <c r="AV749" i="9"/>
  <c r="AW749" i="9"/>
  <c r="BA745" i="9"/>
  <c r="AZ745" i="9"/>
  <c r="AX745" i="9"/>
  <c r="AY745" i="9"/>
  <c r="AV745" i="9"/>
  <c r="AW745" i="9"/>
  <c r="BA741" i="9"/>
  <c r="AY741" i="9"/>
  <c r="AZ741" i="9"/>
  <c r="AX741" i="9"/>
  <c r="AV741" i="9"/>
  <c r="AW741" i="9"/>
  <c r="AZ737" i="9"/>
  <c r="AY737" i="9"/>
  <c r="BA737" i="9"/>
  <c r="AX737" i="9"/>
  <c r="AV737" i="9"/>
  <c r="AW737" i="9"/>
  <c r="BA733" i="9"/>
  <c r="AY733" i="9"/>
  <c r="AZ733" i="9"/>
  <c r="AX733" i="9"/>
  <c r="AV733" i="9"/>
  <c r="AW733" i="9"/>
  <c r="BA1000" i="9"/>
  <c r="AZ1000" i="9"/>
  <c r="AX1000" i="9"/>
  <c r="AY1000" i="9"/>
  <c r="AW1000" i="9"/>
  <c r="AV1000" i="9"/>
  <c r="BA996" i="9"/>
  <c r="AZ996" i="9"/>
  <c r="AX996" i="9"/>
  <c r="AY996" i="9"/>
  <c r="AV996" i="9"/>
  <c r="AW996" i="9"/>
  <c r="BA992" i="9"/>
  <c r="AZ992" i="9"/>
  <c r="AX992" i="9"/>
  <c r="AY992" i="9"/>
  <c r="AV992" i="9"/>
  <c r="AW992" i="9"/>
  <c r="BA988" i="9"/>
  <c r="AZ988" i="9"/>
  <c r="AX988" i="9"/>
  <c r="AY988" i="9"/>
  <c r="AW988" i="9"/>
  <c r="AV988" i="9"/>
  <c r="BA984" i="9"/>
  <c r="AZ984" i="9"/>
  <c r="AX984" i="9"/>
  <c r="AY984" i="9"/>
  <c r="AV984" i="9"/>
  <c r="AW984" i="9"/>
  <c r="BA980" i="9"/>
  <c r="AZ980" i="9"/>
  <c r="AX980" i="9"/>
  <c r="AY980" i="9"/>
  <c r="AW980" i="9"/>
  <c r="AV980" i="9"/>
  <c r="BA976" i="9"/>
  <c r="AZ976" i="9"/>
  <c r="AX976" i="9"/>
  <c r="AY976" i="9"/>
  <c r="AV976" i="9"/>
  <c r="AW976" i="9"/>
  <c r="BA972" i="9"/>
  <c r="AZ972" i="9"/>
  <c r="AX972" i="9"/>
  <c r="AY972" i="9"/>
  <c r="AV972" i="9"/>
  <c r="AW972" i="9"/>
  <c r="BA968" i="9"/>
  <c r="AZ968" i="9"/>
  <c r="AX968" i="9"/>
  <c r="AY968" i="9"/>
  <c r="AW968" i="9"/>
  <c r="AV968" i="9"/>
  <c r="BA964" i="9"/>
  <c r="AZ964" i="9"/>
  <c r="AX964" i="9"/>
  <c r="AY964" i="9"/>
  <c r="AV964" i="9"/>
  <c r="AW964" i="9"/>
  <c r="BA960" i="9"/>
  <c r="AZ960" i="9"/>
  <c r="AX960" i="9"/>
  <c r="AY960" i="9"/>
  <c r="AW960" i="9"/>
  <c r="AV960" i="9"/>
  <c r="BA956" i="9"/>
  <c r="AZ956" i="9"/>
  <c r="AX956" i="9"/>
  <c r="AV956" i="9"/>
  <c r="AY956" i="9"/>
  <c r="AW956" i="9"/>
  <c r="BA952" i="9"/>
  <c r="AZ952" i="9"/>
  <c r="AX952" i="9"/>
  <c r="AV952" i="9"/>
  <c r="AY952" i="9"/>
  <c r="AW952" i="9"/>
  <c r="BA948" i="9"/>
  <c r="AZ948" i="9"/>
  <c r="AX948" i="9"/>
  <c r="AV948" i="9"/>
  <c r="AY948" i="9"/>
  <c r="AW948" i="9"/>
  <c r="BA944" i="9"/>
  <c r="AZ944" i="9"/>
  <c r="AX944" i="9"/>
  <c r="AV944" i="9"/>
  <c r="AY944" i="9"/>
  <c r="AW944" i="9"/>
  <c r="BA940" i="9"/>
  <c r="AZ940" i="9"/>
  <c r="AX940" i="9"/>
  <c r="AY940" i="9"/>
  <c r="AV940" i="9"/>
  <c r="AW940" i="9"/>
  <c r="BA936" i="9"/>
  <c r="AZ936" i="9"/>
  <c r="AX936" i="9"/>
  <c r="AV936" i="9"/>
  <c r="AY936" i="9"/>
  <c r="AW936" i="9"/>
  <c r="BA932" i="9"/>
  <c r="AZ932" i="9"/>
  <c r="AX932" i="9"/>
  <c r="AY932" i="9"/>
  <c r="AV932" i="9"/>
  <c r="AW932" i="9"/>
  <c r="BA928" i="9"/>
  <c r="AZ928" i="9"/>
  <c r="AX928" i="9"/>
  <c r="AY928" i="9"/>
  <c r="AV928" i="9"/>
  <c r="AW928" i="9"/>
  <c r="BA924" i="9"/>
  <c r="AZ924" i="9"/>
  <c r="AX924" i="9"/>
  <c r="AY924" i="9"/>
  <c r="AV924" i="9"/>
  <c r="AW924" i="9"/>
  <c r="BA920" i="9"/>
  <c r="AZ920" i="9"/>
  <c r="AX920" i="9"/>
  <c r="AY920" i="9"/>
  <c r="AV920" i="9"/>
  <c r="AW920" i="9"/>
  <c r="BA916" i="9"/>
  <c r="AZ916" i="9"/>
  <c r="AX916" i="9"/>
  <c r="AV916" i="9"/>
  <c r="AY916" i="9"/>
  <c r="AW916" i="9"/>
  <c r="BA912" i="9"/>
  <c r="AZ912" i="9"/>
  <c r="AX912" i="9"/>
  <c r="AV912" i="9"/>
  <c r="AY912" i="9"/>
  <c r="AW912" i="9"/>
  <c r="BA908" i="9"/>
  <c r="AZ908" i="9"/>
  <c r="AX908" i="9"/>
  <c r="AV908" i="9"/>
  <c r="AY908" i="9"/>
  <c r="AW908" i="9"/>
  <c r="BA904" i="9"/>
  <c r="AZ904" i="9"/>
  <c r="AY904" i="9"/>
  <c r="AX904" i="9"/>
  <c r="AV904" i="9"/>
  <c r="AW904" i="9"/>
  <c r="BA900" i="9"/>
  <c r="AZ900" i="9"/>
  <c r="AY900" i="9"/>
  <c r="AX900" i="9"/>
  <c r="AV900" i="9"/>
  <c r="AW900" i="9"/>
  <c r="BA896" i="9"/>
  <c r="AZ896" i="9"/>
  <c r="AY896" i="9"/>
  <c r="AX896" i="9"/>
  <c r="AV896" i="9"/>
  <c r="AW896" i="9"/>
  <c r="BA892" i="9"/>
  <c r="AZ892" i="9"/>
  <c r="AY892" i="9"/>
  <c r="AX892" i="9"/>
  <c r="AV892" i="9"/>
  <c r="AW892" i="9"/>
  <c r="BA888" i="9"/>
  <c r="AZ888" i="9"/>
  <c r="AY888" i="9"/>
  <c r="AX888" i="9"/>
  <c r="AV888" i="9"/>
  <c r="AW888" i="9"/>
  <c r="BA884" i="9"/>
  <c r="AZ884" i="9"/>
  <c r="AY884" i="9"/>
  <c r="AX884" i="9"/>
  <c r="AV884" i="9"/>
  <c r="AW884" i="9"/>
  <c r="BA880" i="9"/>
  <c r="AZ880" i="9"/>
  <c r="AY880" i="9"/>
  <c r="AX880" i="9"/>
  <c r="AV880" i="9"/>
  <c r="AW880" i="9"/>
  <c r="BA876" i="9"/>
  <c r="AZ876" i="9"/>
  <c r="AY876" i="9"/>
  <c r="AX876" i="9"/>
  <c r="AV876" i="9"/>
  <c r="AW876" i="9"/>
  <c r="BA872" i="9"/>
  <c r="AZ872" i="9"/>
  <c r="AY872" i="9"/>
  <c r="AX872" i="9"/>
  <c r="AV872" i="9"/>
  <c r="AW872" i="9"/>
  <c r="BA868" i="9"/>
  <c r="AZ868" i="9"/>
  <c r="AY868" i="9"/>
  <c r="AX868" i="9"/>
  <c r="AV868" i="9"/>
  <c r="AW868" i="9"/>
  <c r="BA864" i="9"/>
  <c r="AZ864" i="9"/>
  <c r="AY864" i="9"/>
  <c r="AX864" i="9"/>
  <c r="AV864" i="9"/>
  <c r="AW864" i="9"/>
  <c r="BA860" i="9"/>
  <c r="AZ860" i="9"/>
  <c r="AY860" i="9"/>
  <c r="AX860" i="9"/>
  <c r="AV860" i="9"/>
  <c r="AW860" i="9"/>
  <c r="BA856" i="9"/>
  <c r="AZ856" i="9"/>
  <c r="AY856" i="9"/>
  <c r="AX856" i="9"/>
  <c r="AV856" i="9"/>
  <c r="AW856" i="9"/>
  <c r="BA852" i="9"/>
  <c r="AY852" i="9"/>
  <c r="AX852" i="9"/>
  <c r="AV852" i="9"/>
  <c r="AZ852" i="9"/>
  <c r="AW852" i="9"/>
  <c r="BA848" i="9"/>
  <c r="AZ848" i="9"/>
  <c r="AY848" i="9"/>
  <c r="AX848" i="9"/>
  <c r="AV848" i="9"/>
  <c r="AW848" i="9"/>
  <c r="BA844" i="9"/>
  <c r="AZ844" i="9"/>
  <c r="AY844" i="9"/>
  <c r="AX844" i="9"/>
  <c r="AV844" i="9"/>
  <c r="AW844" i="9"/>
  <c r="BA840" i="9"/>
  <c r="AZ840" i="9"/>
  <c r="AY840" i="9"/>
  <c r="AX840" i="9"/>
  <c r="AV840" i="9"/>
  <c r="AW840" i="9"/>
  <c r="BA836" i="9"/>
  <c r="AZ836" i="9"/>
  <c r="AY836" i="9"/>
  <c r="AX836" i="9"/>
  <c r="AV836" i="9"/>
  <c r="AW836" i="9"/>
  <c r="BA832" i="9"/>
  <c r="AY832" i="9"/>
  <c r="AZ832" i="9"/>
  <c r="AX832" i="9"/>
  <c r="AV832" i="9"/>
  <c r="AW832" i="9"/>
  <c r="BA828" i="9"/>
  <c r="AZ828" i="9"/>
  <c r="AY828" i="9"/>
  <c r="AX828" i="9"/>
  <c r="AV828" i="9"/>
  <c r="AW828" i="9"/>
  <c r="BA824" i="9"/>
  <c r="AZ824" i="9"/>
  <c r="AY824" i="9"/>
  <c r="AX824" i="9"/>
  <c r="AV824" i="9"/>
  <c r="AW824" i="9"/>
  <c r="BA820" i="9"/>
  <c r="AY820" i="9"/>
  <c r="AZ820" i="9"/>
  <c r="AX820" i="9"/>
  <c r="AV820" i="9"/>
  <c r="AW820" i="9"/>
  <c r="BA816" i="9"/>
  <c r="AZ816" i="9"/>
  <c r="AY816" i="9"/>
  <c r="AX816" i="9"/>
  <c r="AV816" i="9"/>
  <c r="AW816" i="9"/>
  <c r="BA812" i="9"/>
  <c r="AZ812" i="9"/>
  <c r="AY812" i="9"/>
  <c r="AX812" i="9"/>
  <c r="AV812" i="9"/>
  <c r="AW812" i="9"/>
  <c r="BA808" i="9"/>
  <c r="AZ808" i="9"/>
  <c r="AY808" i="9"/>
  <c r="AX808" i="9"/>
  <c r="AV808" i="9"/>
  <c r="AW808" i="9"/>
  <c r="BA804" i="9"/>
  <c r="AZ804" i="9"/>
  <c r="AY804" i="9"/>
  <c r="AX804" i="9"/>
  <c r="AV804" i="9"/>
  <c r="AW804" i="9"/>
  <c r="BA800" i="9"/>
  <c r="AZ800" i="9"/>
  <c r="AY800" i="9"/>
  <c r="AX800" i="9"/>
  <c r="AV800" i="9"/>
  <c r="AW800" i="9"/>
  <c r="BA796" i="9"/>
  <c r="AZ796" i="9"/>
  <c r="AY796" i="9"/>
  <c r="AX796" i="9"/>
  <c r="AV796" i="9"/>
  <c r="AW796" i="9"/>
  <c r="BA792" i="9"/>
  <c r="AZ792" i="9"/>
  <c r="AY792" i="9"/>
  <c r="AX792" i="9"/>
  <c r="AV792" i="9"/>
  <c r="AW792" i="9"/>
  <c r="BA788" i="9"/>
  <c r="AY788" i="9"/>
  <c r="AX788" i="9"/>
  <c r="AV788" i="9"/>
  <c r="AZ788" i="9"/>
  <c r="AW788" i="9"/>
  <c r="BA784" i="9"/>
  <c r="AZ784" i="9"/>
  <c r="AY784" i="9"/>
  <c r="AX784" i="9"/>
  <c r="AV784" i="9"/>
  <c r="AW784" i="9"/>
  <c r="BA780" i="9"/>
  <c r="AZ780" i="9"/>
  <c r="AY780" i="9"/>
  <c r="AX780" i="9"/>
  <c r="AV780" i="9"/>
  <c r="AW780" i="9"/>
  <c r="BA776" i="9"/>
  <c r="AZ776" i="9"/>
  <c r="AY776" i="9"/>
  <c r="AX776" i="9"/>
  <c r="AV776" i="9"/>
  <c r="AW776" i="9"/>
  <c r="BA772" i="9"/>
  <c r="AZ772" i="9"/>
  <c r="AY772" i="9"/>
  <c r="AX772" i="9"/>
  <c r="AV772" i="9"/>
  <c r="AW772" i="9"/>
  <c r="BA768" i="9"/>
  <c r="AZ768" i="9"/>
  <c r="AY768" i="9"/>
  <c r="AX768" i="9"/>
  <c r="AV768" i="9"/>
  <c r="AW768" i="9"/>
  <c r="BA764" i="9"/>
  <c r="AZ764" i="9"/>
  <c r="AY764" i="9"/>
  <c r="AX764" i="9"/>
  <c r="AV764" i="9"/>
  <c r="AW764" i="9"/>
  <c r="BA760" i="9"/>
  <c r="AZ760" i="9"/>
  <c r="AY760" i="9"/>
  <c r="AX760" i="9"/>
  <c r="AV760" i="9"/>
  <c r="AW760" i="9"/>
  <c r="BA756" i="9"/>
  <c r="AZ756" i="9"/>
  <c r="AY756" i="9"/>
  <c r="AX756" i="9"/>
  <c r="AV756" i="9"/>
  <c r="AW756" i="9"/>
  <c r="BA752" i="9"/>
  <c r="AY752" i="9"/>
  <c r="AZ752" i="9"/>
  <c r="AX752" i="9"/>
  <c r="AV752" i="9"/>
  <c r="AW752" i="9"/>
  <c r="BA748" i="9"/>
  <c r="AZ748" i="9"/>
  <c r="AY748" i="9"/>
  <c r="AX748" i="9"/>
  <c r="AV748" i="9"/>
  <c r="AW748" i="9"/>
  <c r="BA744" i="9"/>
  <c r="AZ744" i="9"/>
  <c r="AY744" i="9"/>
  <c r="AX744" i="9"/>
  <c r="AV744" i="9"/>
  <c r="AW744" i="9"/>
  <c r="BA740" i="9"/>
  <c r="AZ740" i="9"/>
  <c r="AY740" i="9"/>
  <c r="AX740" i="9"/>
  <c r="AV740" i="9"/>
  <c r="AW740" i="9"/>
  <c r="BA736" i="9"/>
  <c r="AZ736" i="9"/>
  <c r="AX736" i="9"/>
  <c r="AY736" i="9"/>
  <c r="AV736" i="9"/>
  <c r="AW736" i="9"/>
  <c r="BA732" i="9"/>
  <c r="AZ732" i="9"/>
  <c r="AY732" i="9"/>
  <c r="AX732" i="9"/>
  <c r="AV732" i="9"/>
  <c r="AW732" i="9"/>
  <c r="BA728" i="9"/>
  <c r="AZ728" i="9"/>
  <c r="AX728" i="9"/>
  <c r="AY728" i="9"/>
  <c r="AV728" i="9"/>
  <c r="AW728" i="9"/>
  <c r="BA724" i="9"/>
  <c r="AZ724" i="9"/>
  <c r="AY724" i="9"/>
  <c r="AX724" i="9"/>
  <c r="AV724" i="9"/>
  <c r="AW724" i="9"/>
  <c r="BA720" i="9"/>
  <c r="AZ720" i="9"/>
  <c r="AX720" i="9"/>
  <c r="AV720" i="9"/>
  <c r="AY720" i="9"/>
  <c r="AW720" i="9"/>
  <c r="BA716" i="9"/>
  <c r="AZ716" i="9"/>
  <c r="AY716" i="9"/>
  <c r="AX716" i="9"/>
  <c r="AV716" i="9"/>
  <c r="AW716" i="9"/>
  <c r="BA712" i="9"/>
  <c r="AZ712" i="9"/>
  <c r="AX712" i="9"/>
  <c r="AY712" i="9"/>
  <c r="AV712" i="9"/>
  <c r="AW712" i="9"/>
  <c r="BA708" i="9"/>
  <c r="AZ708" i="9"/>
  <c r="AY708" i="9"/>
  <c r="AX708" i="9"/>
  <c r="AV708" i="9"/>
  <c r="AW708" i="9"/>
  <c r="BA704" i="9"/>
  <c r="AX704" i="9"/>
  <c r="AZ704" i="9"/>
  <c r="AY704" i="9"/>
  <c r="AV704" i="9"/>
  <c r="AW704" i="9"/>
  <c r="BA700" i="9"/>
  <c r="AZ700" i="9"/>
  <c r="AY700" i="9"/>
  <c r="AX700" i="9"/>
  <c r="AV700" i="9"/>
  <c r="AW700" i="9"/>
  <c r="BA696" i="9"/>
  <c r="AZ696" i="9"/>
  <c r="AX696" i="9"/>
  <c r="AY696" i="9"/>
  <c r="AV696" i="9"/>
  <c r="AW696" i="9"/>
  <c r="BA692" i="9"/>
  <c r="AZ692" i="9"/>
  <c r="AY692" i="9"/>
  <c r="AX692" i="9"/>
  <c r="AV692" i="9"/>
  <c r="AW692" i="9"/>
  <c r="BA688" i="9"/>
  <c r="AZ688" i="9"/>
  <c r="AX688" i="9"/>
  <c r="AV688" i="9"/>
  <c r="AY688" i="9"/>
  <c r="AW688" i="9"/>
  <c r="BA684" i="9"/>
  <c r="AZ684" i="9"/>
  <c r="AY684" i="9"/>
  <c r="AX684" i="9"/>
  <c r="AV684" i="9"/>
  <c r="AW684" i="9"/>
  <c r="BA680" i="9"/>
  <c r="AZ680" i="9"/>
  <c r="AX680" i="9"/>
  <c r="AY680" i="9"/>
  <c r="AV680" i="9"/>
  <c r="AW680" i="9"/>
  <c r="BA676" i="9"/>
  <c r="AZ676" i="9"/>
  <c r="AY676" i="9"/>
  <c r="AX676" i="9"/>
  <c r="AV676" i="9"/>
  <c r="AW676" i="9"/>
  <c r="BA672" i="9"/>
  <c r="AZ672" i="9"/>
  <c r="AX672" i="9"/>
  <c r="AY672" i="9"/>
  <c r="AV672" i="9"/>
  <c r="AW672" i="9"/>
  <c r="BA668" i="9"/>
  <c r="AZ668" i="9"/>
  <c r="AY668" i="9"/>
  <c r="AX668" i="9"/>
  <c r="AV668" i="9"/>
  <c r="AW668" i="9"/>
  <c r="BA664" i="9"/>
  <c r="AZ664" i="9"/>
  <c r="AX664" i="9"/>
  <c r="AY664" i="9"/>
  <c r="AV664" i="9"/>
  <c r="AW664" i="9"/>
  <c r="BA660" i="9"/>
  <c r="AZ660" i="9"/>
  <c r="AY660" i="9"/>
  <c r="AX660" i="9"/>
  <c r="AV660" i="9"/>
  <c r="AW660" i="9"/>
  <c r="BA656" i="9"/>
  <c r="AZ656" i="9"/>
  <c r="AX656" i="9"/>
  <c r="AY656" i="9"/>
  <c r="AV656" i="9"/>
  <c r="AW656" i="9"/>
  <c r="BA648" i="9"/>
  <c r="AZ648" i="9"/>
  <c r="AX648" i="9"/>
  <c r="AY648" i="9"/>
  <c r="AV648" i="9"/>
  <c r="AW648" i="9"/>
  <c r="BA644" i="9"/>
  <c r="AY644" i="9"/>
  <c r="AX644" i="9"/>
  <c r="AZ644" i="9"/>
  <c r="AV644" i="9"/>
  <c r="AW644" i="9"/>
  <c r="BA636" i="9"/>
  <c r="AZ636" i="9"/>
  <c r="AX636" i="9"/>
  <c r="AY636" i="9"/>
  <c r="AV636" i="9"/>
  <c r="AW636" i="9"/>
  <c r="BA632" i="9"/>
  <c r="AZ632" i="9"/>
  <c r="AX632" i="9"/>
  <c r="AY632" i="9"/>
  <c r="AV632" i="9"/>
  <c r="AW632" i="9"/>
  <c r="BA624" i="9"/>
  <c r="AZ624" i="9"/>
  <c r="AX624" i="9"/>
  <c r="AY624" i="9"/>
  <c r="AV624" i="9"/>
  <c r="AW624" i="9"/>
  <c r="BA620" i="9"/>
  <c r="AZ620" i="9"/>
  <c r="AX620" i="9"/>
  <c r="AY620" i="9"/>
  <c r="AV620" i="9"/>
  <c r="AW620" i="9"/>
  <c r="BA610" i="9"/>
  <c r="AZ610" i="9"/>
  <c r="AX610" i="9"/>
  <c r="AY610" i="9"/>
  <c r="AV610" i="9"/>
  <c r="AW610" i="9"/>
  <c r="BA606" i="9"/>
  <c r="AZ606" i="9"/>
  <c r="AX606" i="9"/>
  <c r="AY606" i="9"/>
  <c r="AV606" i="9"/>
  <c r="AW606" i="9"/>
  <c r="BA584" i="9"/>
  <c r="AZ584" i="9"/>
  <c r="AX584" i="9"/>
  <c r="AV584" i="9"/>
  <c r="AY584" i="9"/>
  <c r="AW584" i="9"/>
  <c r="BA998" i="9"/>
  <c r="AX998" i="9"/>
  <c r="AY998" i="9"/>
  <c r="AZ998" i="9"/>
  <c r="AW998" i="9"/>
  <c r="AV998" i="9"/>
  <c r="BA986" i="9"/>
  <c r="AZ986" i="9"/>
  <c r="AX986" i="9"/>
  <c r="AY986" i="9"/>
  <c r="AW986" i="9"/>
  <c r="AV986" i="9"/>
  <c r="BA978" i="9"/>
  <c r="AZ978" i="9"/>
  <c r="AX978" i="9"/>
  <c r="AY978" i="9"/>
  <c r="AW978" i="9"/>
  <c r="AV978" i="9"/>
  <c r="BA970" i="9"/>
  <c r="AZ970" i="9"/>
  <c r="AX970" i="9"/>
  <c r="AY970" i="9"/>
  <c r="AW970" i="9"/>
  <c r="AV970" i="9"/>
  <c r="BA958" i="9"/>
  <c r="AZ958" i="9"/>
  <c r="AX958" i="9"/>
  <c r="AY958" i="9"/>
  <c r="AW958" i="9"/>
  <c r="AV958" i="9"/>
  <c r="BA942" i="9"/>
  <c r="AZ942" i="9"/>
  <c r="AX942" i="9"/>
  <c r="AY942" i="9"/>
  <c r="AV942" i="9"/>
  <c r="AW942" i="9"/>
  <c r="BA938" i="9"/>
  <c r="AZ938" i="9"/>
  <c r="AX938" i="9"/>
  <c r="AV938" i="9"/>
  <c r="AY938" i="9"/>
  <c r="AW938" i="9"/>
  <c r="BA934" i="9"/>
  <c r="AX934" i="9"/>
  <c r="AY934" i="9"/>
  <c r="AV934" i="9"/>
  <c r="AZ934" i="9"/>
  <c r="AW934" i="9"/>
  <c r="BA930" i="9"/>
  <c r="AZ930" i="9"/>
  <c r="AX930" i="9"/>
  <c r="AV930" i="9"/>
  <c r="AY930" i="9"/>
  <c r="AW930" i="9"/>
  <c r="BA910" i="9"/>
  <c r="AX910" i="9"/>
  <c r="AZ910" i="9"/>
  <c r="AV910" i="9"/>
  <c r="AY910" i="9"/>
  <c r="AW910" i="9"/>
  <c r="BA906" i="9"/>
  <c r="AZ906" i="9"/>
  <c r="AY906" i="9"/>
  <c r="AV906" i="9"/>
  <c r="AX906" i="9"/>
  <c r="AW906" i="9"/>
  <c r="BA902" i="9"/>
  <c r="AZ902" i="9"/>
  <c r="AV902" i="9"/>
  <c r="AX902" i="9"/>
  <c r="AY902" i="9"/>
  <c r="AW902" i="9"/>
  <c r="BA894" i="9"/>
  <c r="AZ894" i="9"/>
  <c r="AX894" i="9"/>
  <c r="AY894" i="9"/>
  <c r="AV894" i="9"/>
  <c r="AW894" i="9"/>
  <c r="BA890" i="9"/>
  <c r="AZ890" i="9"/>
  <c r="AY890" i="9"/>
  <c r="AV890" i="9"/>
  <c r="AX890" i="9"/>
  <c r="AW890" i="9"/>
  <c r="BA870" i="9"/>
  <c r="AV870" i="9"/>
  <c r="AX870" i="9"/>
  <c r="AZ870" i="9"/>
  <c r="AY870" i="9"/>
  <c r="AW870" i="9"/>
  <c r="BA858" i="9"/>
  <c r="AZ858" i="9"/>
  <c r="AY858" i="9"/>
  <c r="AV858" i="9"/>
  <c r="AX858" i="9"/>
  <c r="AW858" i="9"/>
  <c r="BA854" i="9"/>
  <c r="AZ854" i="9"/>
  <c r="AX854" i="9"/>
  <c r="AV854" i="9"/>
  <c r="AY854" i="9"/>
  <c r="AW854" i="9"/>
  <c r="BA846" i="9"/>
  <c r="AZ846" i="9"/>
  <c r="AX846" i="9"/>
  <c r="AV846" i="9"/>
  <c r="AY846" i="9"/>
  <c r="AW846" i="9"/>
  <c r="BA842" i="9"/>
  <c r="AZ842" i="9"/>
  <c r="AY842" i="9"/>
  <c r="AV842" i="9"/>
  <c r="AX842" i="9"/>
  <c r="AW842" i="9"/>
  <c r="BA838" i="9"/>
  <c r="AZ838" i="9"/>
  <c r="AX838" i="9"/>
  <c r="AV838" i="9"/>
  <c r="AY838" i="9"/>
  <c r="AW838" i="9"/>
  <c r="BA826" i="9"/>
  <c r="AZ826" i="9"/>
  <c r="AY826" i="9"/>
  <c r="AV826" i="9"/>
  <c r="AX826" i="9"/>
  <c r="AW826" i="9"/>
  <c r="BA814" i="9"/>
  <c r="AZ814" i="9"/>
  <c r="AV814" i="9"/>
  <c r="AX814" i="9"/>
  <c r="AY814" i="9"/>
  <c r="AW814" i="9"/>
  <c r="BA810" i="9"/>
  <c r="AZ810" i="9"/>
  <c r="AY810" i="9"/>
  <c r="AV810" i="9"/>
  <c r="AX810" i="9"/>
  <c r="AW810" i="9"/>
  <c r="BA786" i="9"/>
  <c r="AZ786" i="9"/>
  <c r="AY786" i="9"/>
  <c r="AX786" i="9"/>
  <c r="AV786" i="9"/>
  <c r="AW786" i="9"/>
  <c r="BA782" i="9"/>
  <c r="AZ782" i="9"/>
  <c r="AY782" i="9"/>
  <c r="AV782" i="9"/>
  <c r="AX782" i="9"/>
  <c r="AW782" i="9"/>
  <c r="BA778" i="9"/>
  <c r="AZ778" i="9"/>
  <c r="AY778" i="9"/>
  <c r="AV778" i="9"/>
  <c r="AX778" i="9"/>
  <c r="AW778" i="9"/>
  <c r="BA774" i="9"/>
  <c r="AZ774" i="9"/>
  <c r="AY774" i="9"/>
  <c r="AX774" i="9"/>
  <c r="AV774" i="9"/>
  <c r="AW774" i="9"/>
  <c r="BA770" i="9"/>
  <c r="AZ770" i="9"/>
  <c r="AY770" i="9"/>
  <c r="AX770" i="9"/>
  <c r="AV770" i="9"/>
  <c r="AW770" i="9"/>
  <c r="BA762" i="9"/>
  <c r="AZ762" i="9"/>
  <c r="AY762" i="9"/>
  <c r="AV762" i="9"/>
  <c r="AX762" i="9"/>
  <c r="AW762" i="9"/>
  <c r="BA742" i="9"/>
  <c r="AZ742" i="9"/>
  <c r="AY742" i="9"/>
  <c r="AV742" i="9"/>
  <c r="AX742" i="9"/>
  <c r="AW742" i="9"/>
  <c r="BA714" i="9"/>
  <c r="AZ714" i="9"/>
  <c r="AX714" i="9"/>
  <c r="AY714" i="9"/>
  <c r="AV714" i="9"/>
  <c r="AW714" i="9"/>
  <c r="BA710" i="9"/>
  <c r="AZ710" i="9"/>
  <c r="AY710" i="9"/>
  <c r="AV710" i="9"/>
  <c r="AX710" i="9"/>
  <c r="AW710" i="9"/>
  <c r="BA702" i="9"/>
  <c r="AZ702" i="9"/>
  <c r="AY702" i="9"/>
  <c r="AX702" i="9"/>
  <c r="AV702" i="9"/>
  <c r="AW702" i="9"/>
  <c r="BA690" i="9"/>
  <c r="AZ690" i="9"/>
  <c r="AX690" i="9"/>
  <c r="AY690" i="9"/>
  <c r="AV690" i="9"/>
  <c r="AW690" i="9"/>
  <c r="BA678" i="9"/>
  <c r="AZ678" i="9"/>
  <c r="AY678" i="9"/>
  <c r="AX678" i="9"/>
  <c r="AV678" i="9"/>
  <c r="AW678" i="9"/>
  <c r="BA666" i="9"/>
  <c r="AZ666" i="9"/>
  <c r="AX666" i="9"/>
  <c r="AY666" i="9"/>
  <c r="AV666" i="9"/>
  <c r="AW666" i="9"/>
  <c r="BA662" i="9"/>
  <c r="AZ662" i="9"/>
  <c r="AY662" i="9"/>
  <c r="AX662" i="9"/>
  <c r="AV662" i="9"/>
  <c r="AW662" i="9"/>
  <c r="BA658" i="9"/>
  <c r="AZ658" i="9"/>
  <c r="AX658" i="9"/>
  <c r="AY658" i="9"/>
  <c r="AV658" i="9"/>
  <c r="AW658" i="9"/>
  <c r="BA654" i="9"/>
  <c r="AZ654" i="9"/>
  <c r="AY654" i="9"/>
  <c r="AX654" i="9"/>
  <c r="AV654" i="9"/>
  <c r="AW654" i="9"/>
  <c r="BA646" i="9"/>
  <c r="AZ646" i="9"/>
  <c r="AY646" i="9"/>
  <c r="AV646" i="9"/>
  <c r="AX646" i="9"/>
  <c r="AW646" i="9"/>
  <c r="BA622" i="9"/>
  <c r="AZ622" i="9"/>
  <c r="AX622" i="9"/>
  <c r="AY622" i="9"/>
  <c r="AV622" i="9"/>
  <c r="AW622" i="9"/>
  <c r="BA608" i="9"/>
  <c r="AZ608" i="9"/>
  <c r="AX608" i="9"/>
  <c r="AY608" i="9"/>
  <c r="AV608" i="9"/>
  <c r="AW608" i="9"/>
  <c r="BA586" i="9"/>
  <c r="AZ586" i="9"/>
  <c r="AX586" i="9"/>
  <c r="AY586" i="9"/>
  <c r="AV586" i="9"/>
  <c r="AW586" i="9"/>
  <c r="BA582" i="9"/>
  <c r="AX582" i="9"/>
  <c r="AY582" i="9"/>
  <c r="AZ582" i="9"/>
  <c r="AV582" i="9"/>
  <c r="AW582" i="9"/>
  <c r="BA997" i="9"/>
  <c r="AZ997" i="9"/>
  <c r="AV997" i="9"/>
  <c r="AW997" i="9"/>
  <c r="AX997" i="9"/>
  <c r="AY997" i="9"/>
  <c r="AZ989" i="9"/>
  <c r="BA989" i="9"/>
  <c r="AV989" i="9"/>
  <c r="AW989" i="9"/>
  <c r="AX989" i="9"/>
  <c r="AY989" i="9"/>
  <c r="BA981" i="9"/>
  <c r="AZ981" i="9"/>
  <c r="AV981" i="9"/>
  <c r="AW981" i="9"/>
  <c r="AX981" i="9"/>
  <c r="AY981" i="9"/>
  <c r="BA933" i="9"/>
  <c r="AZ933" i="9"/>
  <c r="AV933" i="9"/>
  <c r="AW933" i="9"/>
  <c r="AX933" i="9"/>
  <c r="AY933" i="9"/>
  <c r="BA913" i="9"/>
  <c r="AZ913" i="9"/>
  <c r="AV913" i="9"/>
  <c r="AW913" i="9"/>
  <c r="AX913" i="9"/>
  <c r="AY913" i="9"/>
  <c r="AZ897" i="9"/>
  <c r="BA897" i="9"/>
  <c r="AX897" i="9"/>
  <c r="AY897" i="9"/>
  <c r="AV897" i="9"/>
  <c r="AW897" i="9"/>
  <c r="BA893" i="9"/>
  <c r="AZ893" i="9"/>
  <c r="AX893" i="9"/>
  <c r="AY893" i="9"/>
  <c r="AV893" i="9"/>
  <c r="AW893" i="9"/>
  <c r="BA889" i="9"/>
  <c r="AZ889" i="9"/>
  <c r="AX889" i="9"/>
  <c r="AY889" i="9"/>
  <c r="AV889" i="9"/>
  <c r="AW889" i="9"/>
  <c r="BA885" i="9"/>
  <c r="AZ885" i="9"/>
  <c r="AX885" i="9"/>
  <c r="AY885" i="9"/>
  <c r="AV885" i="9"/>
  <c r="AW885" i="9"/>
  <c r="AZ869" i="9"/>
  <c r="BA869" i="9"/>
  <c r="AX869" i="9"/>
  <c r="AY869" i="9"/>
  <c r="AV869" i="9"/>
  <c r="AW869" i="9"/>
  <c r="AZ865" i="9"/>
  <c r="BA865" i="9"/>
  <c r="AX865" i="9"/>
  <c r="AY865" i="9"/>
  <c r="AV865" i="9"/>
  <c r="AW865" i="9"/>
  <c r="BA857" i="9"/>
  <c r="AZ857" i="9"/>
  <c r="AX857" i="9"/>
  <c r="AY857" i="9"/>
  <c r="AV857" i="9"/>
  <c r="AW857" i="9"/>
  <c r="BA853" i="9"/>
  <c r="AX853" i="9"/>
  <c r="AY853" i="9"/>
  <c r="AZ853" i="9"/>
  <c r="AV853" i="9"/>
  <c r="AW853" i="9"/>
  <c r="BA841" i="9"/>
  <c r="AX841" i="9"/>
  <c r="AY841" i="9"/>
  <c r="AZ841" i="9"/>
  <c r="AV841" i="9"/>
  <c r="AW841" i="9"/>
  <c r="BA825" i="9"/>
  <c r="AZ825" i="9"/>
  <c r="AX825" i="9"/>
  <c r="AY825" i="9"/>
  <c r="AV825" i="9"/>
  <c r="AW825" i="9"/>
  <c r="BA813" i="9"/>
  <c r="AZ813" i="9"/>
  <c r="AX813" i="9"/>
  <c r="AY813" i="9"/>
  <c r="AV813" i="9"/>
  <c r="AW813" i="9"/>
  <c r="BA805" i="9"/>
  <c r="AX805" i="9"/>
  <c r="AZ805" i="9"/>
  <c r="AY805" i="9"/>
  <c r="AV805" i="9"/>
  <c r="AW805" i="9"/>
  <c r="BA797" i="9"/>
  <c r="AZ797" i="9"/>
  <c r="AX797" i="9"/>
  <c r="AY797" i="9"/>
  <c r="AV797" i="9"/>
  <c r="AW797" i="9"/>
  <c r="BA789" i="9"/>
  <c r="AX789" i="9"/>
  <c r="AY789" i="9"/>
  <c r="AZ789" i="9"/>
  <c r="AV789" i="9"/>
  <c r="AW789" i="9"/>
  <c r="BA781" i="9"/>
  <c r="AZ781" i="9"/>
  <c r="AX781" i="9"/>
  <c r="AY781" i="9"/>
  <c r="AV781" i="9"/>
  <c r="AW781" i="9"/>
  <c r="BA777" i="9"/>
  <c r="AZ777" i="9"/>
  <c r="AX777" i="9"/>
  <c r="AY777" i="9"/>
  <c r="AV777" i="9"/>
  <c r="AW777" i="9"/>
  <c r="AZ769" i="9"/>
  <c r="AX769" i="9"/>
  <c r="AY769" i="9"/>
  <c r="BA769" i="9"/>
  <c r="AV769" i="9"/>
  <c r="AW769" i="9"/>
  <c r="BA757" i="9"/>
  <c r="AZ757" i="9"/>
  <c r="AX757" i="9"/>
  <c r="AY757" i="9"/>
  <c r="AV757" i="9"/>
  <c r="AW757" i="9"/>
  <c r="BA999" i="9"/>
  <c r="AZ999" i="9"/>
  <c r="AV999" i="9"/>
  <c r="AW999" i="9"/>
  <c r="AX999" i="9"/>
  <c r="AY999" i="9"/>
  <c r="BA995" i="9"/>
  <c r="AZ995" i="9"/>
  <c r="AV995" i="9"/>
  <c r="AW995" i="9"/>
  <c r="AX995" i="9"/>
  <c r="AY995" i="9"/>
  <c r="BA991" i="9"/>
  <c r="AZ991" i="9"/>
  <c r="AV991" i="9"/>
  <c r="AW991" i="9"/>
  <c r="AX991" i="9"/>
  <c r="AY991" i="9"/>
  <c r="BA987" i="9"/>
  <c r="AZ987" i="9"/>
  <c r="AV987" i="9"/>
  <c r="AW987" i="9"/>
  <c r="AX987" i="9"/>
  <c r="AY987" i="9"/>
  <c r="BA983" i="9"/>
  <c r="AZ983" i="9"/>
  <c r="AV983" i="9"/>
  <c r="AW983" i="9"/>
  <c r="AX983" i="9"/>
  <c r="AY983" i="9"/>
  <c r="BA979" i="9"/>
  <c r="AZ979" i="9"/>
  <c r="AV979" i="9"/>
  <c r="AW979" i="9"/>
  <c r="AX979" i="9"/>
  <c r="AY979" i="9"/>
  <c r="BA975" i="9"/>
  <c r="AZ975" i="9"/>
  <c r="AV975" i="9"/>
  <c r="AW975" i="9"/>
  <c r="AX975" i="9"/>
  <c r="AY975" i="9"/>
  <c r="BA971" i="9"/>
  <c r="AZ971" i="9"/>
  <c r="AV971" i="9"/>
  <c r="AW971" i="9"/>
  <c r="AX971" i="9"/>
  <c r="AY971" i="9"/>
  <c r="BA967" i="9"/>
  <c r="AZ967" i="9"/>
  <c r="AV967" i="9"/>
  <c r="AW967" i="9"/>
  <c r="AX967" i="9"/>
  <c r="AY967" i="9"/>
  <c r="BA963" i="9"/>
  <c r="AZ963" i="9"/>
  <c r="AV963" i="9"/>
  <c r="AW963" i="9"/>
  <c r="AX963" i="9"/>
  <c r="AY963" i="9"/>
  <c r="BA959" i="9"/>
  <c r="AZ959" i="9"/>
  <c r="AV959" i="9"/>
  <c r="AW959" i="9"/>
  <c r="AX959" i="9"/>
  <c r="AY959" i="9"/>
  <c r="BA955" i="9"/>
  <c r="AZ955" i="9"/>
  <c r="AV955" i="9"/>
  <c r="AW955" i="9"/>
  <c r="AX955" i="9"/>
  <c r="AY955" i="9"/>
  <c r="BA951" i="9"/>
  <c r="AZ951" i="9"/>
  <c r="AV951" i="9"/>
  <c r="AW951" i="9"/>
  <c r="AX951" i="9"/>
  <c r="AY951" i="9"/>
  <c r="BA947" i="9"/>
  <c r="AZ947" i="9"/>
  <c r="AV947" i="9"/>
  <c r="AW947" i="9"/>
  <c r="AX947" i="9"/>
  <c r="AY947" i="9"/>
  <c r="BA943" i="9"/>
  <c r="AZ943" i="9"/>
  <c r="AV943" i="9"/>
  <c r="AW943" i="9"/>
  <c r="AX943" i="9"/>
  <c r="AY943" i="9"/>
  <c r="BA939" i="9"/>
  <c r="AZ939" i="9"/>
  <c r="AV939" i="9"/>
  <c r="AW939" i="9"/>
  <c r="AX939" i="9"/>
  <c r="AY939" i="9"/>
  <c r="BA935" i="9"/>
  <c r="AZ935" i="9"/>
  <c r="AV935" i="9"/>
  <c r="AW935" i="9"/>
  <c r="AX935" i="9"/>
  <c r="AY935" i="9"/>
  <c r="BA931" i="9"/>
  <c r="AZ931" i="9"/>
  <c r="AV931" i="9"/>
  <c r="AW931" i="9"/>
  <c r="AX931" i="9"/>
  <c r="AY931" i="9"/>
  <c r="BA927" i="9"/>
  <c r="AZ927" i="9"/>
  <c r="AV927" i="9"/>
  <c r="AW927" i="9"/>
  <c r="AX927" i="9"/>
  <c r="AY927" i="9"/>
  <c r="BA923" i="9"/>
  <c r="AZ923" i="9"/>
  <c r="AV923" i="9"/>
  <c r="AW923" i="9"/>
  <c r="AX923" i="9"/>
  <c r="AY923" i="9"/>
  <c r="BA919" i="9"/>
  <c r="AZ919" i="9"/>
  <c r="AV919" i="9"/>
  <c r="AW919" i="9"/>
  <c r="AX919" i="9"/>
  <c r="AY919" i="9"/>
  <c r="BA915" i="9"/>
  <c r="AZ915" i="9"/>
  <c r="AV915" i="9"/>
  <c r="AW915" i="9"/>
  <c r="AX915" i="9"/>
  <c r="AY915" i="9"/>
  <c r="BA911" i="9"/>
  <c r="AZ911" i="9"/>
  <c r="AY911" i="9"/>
  <c r="AX911" i="9"/>
  <c r="AV911" i="9"/>
  <c r="AW911" i="9"/>
  <c r="BA907" i="9"/>
  <c r="AX907" i="9"/>
  <c r="AZ907" i="9"/>
  <c r="AY907" i="9"/>
  <c r="AV907" i="9"/>
  <c r="AW907" i="9"/>
  <c r="BA903" i="9"/>
  <c r="AX903" i="9"/>
  <c r="AY903" i="9"/>
  <c r="AZ903" i="9"/>
  <c r="AV903" i="9"/>
  <c r="AW903" i="9"/>
  <c r="BA899" i="9"/>
  <c r="AX899" i="9"/>
  <c r="AZ899" i="9"/>
  <c r="AY899" i="9"/>
  <c r="AV899" i="9"/>
  <c r="AW899" i="9"/>
  <c r="BA895" i="9"/>
  <c r="AX895" i="9"/>
  <c r="AY895" i="9"/>
  <c r="AZ895" i="9"/>
  <c r="AV895" i="9"/>
  <c r="AW895" i="9"/>
  <c r="BA891" i="9"/>
  <c r="AX891" i="9"/>
  <c r="AZ891" i="9"/>
  <c r="AY891" i="9"/>
  <c r="AV891" i="9"/>
  <c r="AW891" i="9"/>
  <c r="BA887" i="9"/>
  <c r="AX887" i="9"/>
  <c r="AY887" i="9"/>
  <c r="AZ887" i="9"/>
  <c r="AV887" i="9"/>
  <c r="AW887" i="9"/>
  <c r="BA883" i="9"/>
  <c r="AX883" i="9"/>
  <c r="AZ883" i="9"/>
  <c r="AY883" i="9"/>
  <c r="AV883" i="9"/>
  <c r="AW883" i="9"/>
  <c r="BA879" i="9"/>
  <c r="AX879" i="9"/>
  <c r="AY879" i="9"/>
  <c r="AZ879" i="9"/>
  <c r="AV879" i="9"/>
  <c r="AW879" i="9"/>
  <c r="BA875" i="9"/>
  <c r="AX875" i="9"/>
  <c r="AZ875" i="9"/>
  <c r="AY875" i="9"/>
  <c r="AV875" i="9"/>
  <c r="AW875" i="9"/>
  <c r="BA871" i="9"/>
  <c r="AX871" i="9"/>
  <c r="AY871" i="9"/>
  <c r="AZ871" i="9"/>
  <c r="AV871" i="9"/>
  <c r="AW871" i="9"/>
  <c r="BA867" i="9"/>
  <c r="AX867" i="9"/>
  <c r="AZ867" i="9"/>
  <c r="AY867" i="9"/>
  <c r="AV867" i="9"/>
  <c r="AW867" i="9"/>
  <c r="BA863" i="9"/>
  <c r="AX863" i="9"/>
  <c r="AY863" i="9"/>
  <c r="AZ863" i="9"/>
  <c r="AV863" i="9"/>
  <c r="AW863" i="9"/>
  <c r="BA859" i="9"/>
  <c r="AZ859" i="9"/>
  <c r="AX859" i="9"/>
  <c r="AY859" i="9"/>
  <c r="AV859" i="9"/>
  <c r="AW859" i="9"/>
  <c r="BA855" i="9"/>
  <c r="AZ855" i="9"/>
  <c r="AX855" i="9"/>
  <c r="AY855" i="9"/>
  <c r="AV855" i="9"/>
  <c r="AW855" i="9"/>
  <c r="BA851" i="9"/>
  <c r="AZ851" i="9"/>
  <c r="AX851" i="9"/>
  <c r="AY851" i="9"/>
  <c r="AV851" i="9"/>
  <c r="AW851" i="9"/>
  <c r="BA847" i="9"/>
  <c r="AZ847" i="9"/>
  <c r="AX847" i="9"/>
  <c r="AY847" i="9"/>
  <c r="AV847" i="9"/>
  <c r="AW847" i="9"/>
  <c r="BA843" i="9"/>
  <c r="AZ843" i="9"/>
  <c r="AX843" i="9"/>
  <c r="AY843" i="9"/>
  <c r="AV843" i="9"/>
  <c r="AW843" i="9"/>
  <c r="BA839" i="9"/>
  <c r="AZ839" i="9"/>
  <c r="AX839" i="9"/>
  <c r="AY839" i="9"/>
  <c r="AV839" i="9"/>
  <c r="AW839" i="9"/>
  <c r="BA835" i="9"/>
  <c r="AZ835" i="9"/>
  <c r="AX835" i="9"/>
  <c r="AY835" i="9"/>
  <c r="AV835" i="9"/>
  <c r="AW835" i="9"/>
  <c r="BA831" i="9"/>
  <c r="AZ831" i="9"/>
  <c r="AX831" i="9"/>
  <c r="AY831" i="9"/>
  <c r="AV831" i="9"/>
  <c r="AW831" i="9"/>
  <c r="BA827" i="9"/>
  <c r="AZ827" i="9"/>
  <c r="AX827" i="9"/>
  <c r="AY827" i="9"/>
  <c r="AV827" i="9"/>
  <c r="AW827" i="9"/>
  <c r="BA823" i="9"/>
  <c r="AZ823" i="9"/>
  <c r="AX823" i="9"/>
  <c r="AY823" i="9"/>
  <c r="AV823" i="9"/>
  <c r="AW823" i="9"/>
  <c r="BA819" i="9"/>
  <c r="AZ819" i="9"/>
  <c r="AX819" i="9"/>
  <c r="AY819" i="9"/>
  <c r="AV819" i="9"/>
  <c r="AW819" i="9"/>
  <c r="BA815" i="9"/>
  <c r="AZ815" i="9"/>
  <c r="AX815" i="9"/>
  <c r="AY815" i="9"/>
  <c r="AV815" i="9"/>
  <c r="AW815" i="9"/>
  <c r="BA811" i="9"/>
  <c r="AZ811" i="9"/>
  <c r="AX811" i="9"/>
  <c r="AY811" i="9"/>
  <c r="AV811" i="9"/>
  <c r="AW811" i="9"/>
  <c r="BA807" i="9"/>
  <c r="AZ807" i="9"/>
  <c r="AX807" i="9"/>
  <c r="AY807" i="9"/>
  <c r="AV807" i="9"/>
  <c r="AW807" i="9"/>
  <c r="BA803" i="9"/>
  <c r="AZ803" i="9"/>
  <c r="AX803" i="9"/>
  <c r="AY803" i="9"/>
  <c r="AV803" i="9"/>
  <c r="AW803" i="9"/>
  <c r="BA799" i="9"/>
  <c r="AZ799" i="9"/>
  <c r="AX799" i="9"/>
  <c r="AY799" i="9"/>
  <c r="AV799" i="9"/>
  <c r="AW799" i="9"/>
  <c r="BA795" i="9"/>
  <c r="AZ795" i="9"/>
  <c r="AX795" i="9"/>
  <c r="AY795" i="9"/>
  <c r="AV795" i="9"/>
  <c r="AW795" i="9"/>
  <c r="BA791" i="9"/>
  <c r="AZ791" i="9"/>
  <c r="AX791" i="9"/>
  <c r="AY791" i="9"/>
  <c r="AV791" i="9"/>
  <c r="AW791" i="9"/>
  <c r="BA787" i="9"/>
  <c r="AZ787" i="9"/>
  <c r="AX787" i="9"/>
  <c r="AY787" i="9"/>
  <c r="AV787" i="9"/>
  <c r="AW787" i="9"/>
  <c r="BA783" i="9"/>
  <c r="AZ783" i="9"/>
  <c r="AX783" i="9"/>
  <c r="AY783" i="9"/>
  <c r="AV783" i="9"/>
  <c r="AW783" i="9"/>
  <c r="BA779" i="9"/>
  <c r="AZ779" i="9"/>
  <c r="AX779" i="9"/>
  <c r="AY779" i="9"/>
  <c r="AV779" i="9"/>
  <c r="AW779" i="9"/>
  <c r="BA775" i="9"/>
  <c r="AZ775" i="9"/>
  <c r="AX775" i="9"/>
  <c r="AY775" i="9"/>
  <c r="AV775" i="9"/>
  <c r="AW775" i="9"/>
  <c r="BA771" i="9"/>
  <c r="AZ771" i="9"/>
  <c r="AX771" i="9"/>
  <c r="AY771" i="9"/>
  <c r="AV771" i="9"/>
  <c r="AW771" i="9"/>
  <c r="BA767" i="9"/>
  <c r="AZ767" i="9"/>
  <c r="AX767" i="9"/>
  <c r="AY767" i="9"/>
  <c r="AV767" i="9"/>
  <c r="AW767" i="9"/>
  <c r="BA763" i="9"/>
  <c r="AZ763" i="9"/>
  <c r="AX763" i="9"/>
  <c r="AY763" i="9"/>
  <c r="AV763" i="9"/>
  <c r="AW763" i="9"/>
  <c r="BA759" i="9"/>
  <c r="AZ759" i="9"/>
  <c r="AX759" i="9"/>
  <c r="AY759" i="9"/>
  <c r="AV759" i="9"/>
  <c r="AW759" i="9"/>
  <c r="BA755" i="9"/>
  <c r="AZ755" i="9"/>
  <c r="AX755" i="9"/>
  <c r="AY755" i="9"/>
  <c r="AV755" i="9"/>
  <c r="AW755" i="9"/>
  <c r="BA751" i="9"/>
  <c r="AZ751" i="9"/>
  <c r="AX751" i="9"/>
  <c r="AY751" i="9"/>
  <c r="AV751" i="9"/>
  <c r="AW751" i="9"/>
  <c r="BA747" i="9"/>
  <c r="AZ747" i="9"/>
  <c r="AX747" i="9"/>
  <c r="AY747" i="9"/>
  <c r="AV747" i="9"/>
  <c r="AW747" i="9"/>
  <c r="BA743" i="9"/>
  <c r="AZ743" i="9"/>
  <c r="AX743" i="9"/>
  <c r="AY743" i="9"/>
  <c r="AV743" i="9"/>
  <c r="AW743" i="9"/>
  <c r="BA739" i="9"/>
  <c r="AZ739" i="9"/>
  <c r="AY739" i="9"/>
  <c r="AX739" i="9"/>
  <c r="AV739" i="9"/>
  <c r="AW739" i="9"/>
  <c r="BA735" i="9"/>
  <c r="AZ735" i="9"/>
  <c r="AY735" i="9"/>
  <c r="AX735" i="9"/>
  <c r="AV735" i="9"/>
  <c r="AW735" i="9"/>
  <c r="BA731" i="9"/>
  <c r="AZ731" i="9"/>
  <c r="AY731" i="9"/>
  <c r="AV731" i="9"/>
  <c r="AW731" i="9"/>
  <c r="AX731" i="9"/>
  <c r="BA727" i="9"/>
  <c r="AZ727" i="9"/>
  <c r="AY727" i="9"/>
  <c r="AX727" i="9"/>
  <c r="AV727" i="9"/>
  <c r="AW727" i="9"/>
  <c r="BA723" i="9"/>
  <c r="AZ723" i="9"/>
  <c r="AY723" i="9"/>
  <c r="AX723" i="9"/>
  <c r="AV723" i="9"/>
  <c r="AW723" i="9"/>
  <c r="BA719" i="9"/>
  <c r="AZ719" i="9"/>
  <c r="AY719" i="9"/>
  <c r="AX719" i="9"/>
  <c r="AV719" i="9"/>
  <c r="AW719" i="9"/>
  <c r="BA715" i="9"/>
  <c r="AZ715" i="9"/>
  <c r="AY715" i="9"/>
  <c r="AX715" i="9"/>
  <c r="AV715" i="9"/>
  <c r="AW715" i="9"/>
  <c r="BA711" i="9"/>
  <c r="AZ711" i="9"/>
  <c r="AY711" i="9"/>
  <c r="AX711" i="9"/>
  <c r="AV711" i="9"/>
  <c r="AW711" i="9"/>
  <c r="BA707" i="9"/>
  <c r="AZ707" i="9"/>
  <c r="AY707" i="9"/>
  <c r="AX707" i="9"/>
  <c r="AV707" i="9"/>
  <c r="AW707" i="9"/>
  <c r="BA703" i="9"/>
  <c r="AZ703" i="9"/>
  <c r="AY703" i="9"/>
  <c r="AX703" i="9"/>
  <c r="AV703" i="9"/>
  <c r="AW703" i="9"/>
  <c r="BA699" i="9"/>
  <c r="AZ699" i="9"/>
  <c r="AY699" i="9"/>
  <c r="AV699" i="9"/>
  <c r="AX699" i="9"/>
  <c r="AW699" i="9"/>
  <c r="BA695" i="9"/>
  <c r="AZ695" i="9"/>
  <c r="AY695" i="9"/>
  <c r="AX695" i="9"/>
  <c r="AV695" i="9"/>
  <c r="AW695" i="9"/>
  <c r="BA691" i="9"/>
  <c r="AZ691" i="9"/>
  <c r="AY691" i="9"/>
  <c r="AX691" i="9"/>
  <c r="AV691" i="9"/>
  <c r="AW691" i="9"/>
  <c r="BA687" i="9"/>
  <c r="AZ687" i="9"/>
  <c r="AY687" i="9"/>
  <c r="AX687" i="9"/>
  <c r="AV687" i="9"/>
  <c r="AW687" i="9"/>
  <c r="BA683" i="9"/>
  <c r="AZ683" i="9"/>
  <c r="AY683" i="9"/>
  <c r="AV683" i="9"/>
  <c r="AW683" i="9"/>
  <c r="AX683" i="9"/>
  <c r="BA679" i="9"/>
  <c r="AZ679" i="9"/>
  <c r="AY679" i="9"/>
  <c r="AX679" i="9"/>
  <c r="AV679" i="9"/>
  <c r="AW679" i="9"/>
  <c r="BA675" i="9"/>
  <c r="AZ675" i="9"/>
  <c r="AY675" i="9"/>
  <c r="AX675" i="9"/>
  <c r="AV675" i="9"/>
  <c r="AW675" i="9"/>
  <c r="BA671" i="9"/>
  <c r="AZ671" i="9"/>
  <c r="AY671" i="9"/>
  <c r="AX671" i="9"/>
  <c r="AV671" i="9"/>
  <c r="AW671" i="9"/>
  <c r="BA667" i="9"/>
  <c r="AZ667" i="9"/>
  <c r="AY667" i="9"/>
  <c r="AV667" i="9"/>
  <c r="AW667" i="9"/>
  <c r="AX667" i="9"/>
  <c r="BA663" i="9"/>
  <c r="AZ663" i="9"/>
  <c r="AY663" i="9"/>
  <c r="AX663" i="9"/>
  <c r="AV663" i="9"/>
  <c r="AW663" i="9"/>
  <c r="BA659" i="9"/>
  <c r="AZ659" i="9"/>
  <c r="AY659" i="9"/>
  <c r="AX659" i="9"/>
  <c r="AV659" i="9"/>
  <c r="AW659" i="9"/>
  <c r="BA655" i="9"/>
  <c r="AZ655" i="9"/>
  <c r="AY655" i="9"/>
  <c r="AX655" i="9"/>
  <c r="AV655" i="9"/>
  <c r="AW655" i="9"/>
  <c r="BA647" i="9"/>
  <c r="AZ647" i="9"/>
  <c r="AY647" i="9"/>
  <c r="AX647" i="9"/>
  <c r="AV647" i="9"/>
  <c r="AW647" i="9"/>
  <c r="BA643" i="9"/>
  <c r="AZ643" i="9"/>
  <c r="AY643" i="9"/>
  <c r="AX643" i="9"/>
  <c r="AV643" i="9"/>
  <c r="AW643" i="9"/>
  <c r="BA635" i="9"/>
  <c r="AZ635" i="9"/>
  <c r="AY635" i="9"/>
  <c r="AX635" i="9"/>
  <c r="AV635" i="9"/>
  <c r="AW635" i="9"/>
  <c r="BA631" i="9"/>
  <c r="AZ631" i="9"/>
  <c r="AY631" i="9"/>
  <c r="AX631" i="9"/>
  <c r="AV631" i="9"/>
  <c r="AW631" i="9"/>
  <c r="BA623" i="9"/>
  <c r="AZ623" i="9"/>
  <c r="AY623" i="9"/>
  <c r="AX623" i="9"/>
  <c r="AV623" i="9"/>
  <c r="AW623" i="9"/>
  <c r="BA619" i="9"/>
  <c r="AZ619" i="9"/>
  <c r="AY619" i="9"/>
  <c r="AX619" i="9"/>
  <c r="AV619" i="9"/>
  <c r="AW619" i="9"/>
  <c r="AZ609" i="9"/>
  <c r="AY609" i="9"/>
  <c r="BA609" i="9"/>
  <c r="AX609" i="9"/>
  <c r="AV609" i="9"/>
  <c r="AW609" i="9"/>
  <c r="AZ589" i="9"/>
  <c r="BA589" i="9"/>
  <c r="AY589" i="9"/>
  <c r="AX589" i="9"/>
  <c r="AV589" i="9"/>
  <c r="AW589" i="9"/>
  <c r="BA588" i="9"/>
  <c r="AZ588" i="9"/>
  <c r="AX588" i="9"/>
  <c r="AY588" i="9"/>
  <c r="AV588" i="9"/>
  <c r="AW588" i="9"/>
  <c r="BA587" i="9"/>
  <c r="AZ587" i="9"/>
  <c r="AY587" i="9"/>
  <c r="AX587" i="9"/>
  <c r="AV587" i="9"/>
  <c r="AW587" i="9"/>
  <c r="BA583" i="9"/>
  <c r="AZ583" i="9"/>
  <c r="AY583" i="9"/>
  <c r="AX583" i="9"/>
  <c r="AV583" i="9"/>
  <c r="AW583" i="9"/>
  <c r="Z567" i="9"/>
  <c r="R567" i="9" s="1"/>
  <c r="BA575" i="9"/>
  <c r="AZ575" i="9"/>
  <c r="AY575" i="9"/>
  <c r="AX575" i="9"/>
  <c r="AV575" i="9"/>
  <c r="AW575" i="9"/>
  <c r="BA574" i="9"/>
  <c r="AZ574" i="9"/>
  <c r="AX574" i="9"/>
  <c r="AY574" i="9"/>
  <c r="AV574" i="9"/>
  <c r="AW574" i="9"/>
  <c r="BA573" i="9"/>
  <c r="AZ573" i="9"/>
  <c r="AY573" i="9"/>
  <c r="AX573" i="9"/>
  <c r="AV573" i="9"/>
  <c r="AW573" i="9"/>
  <c r="BA572" i="9"/>
  <c r="AZ572" i="9"/>
  <c r="AX572" i="9"/>
  <c r="AY572" i="9"/>
  <c r="AV572" i="9"/>
  <c r="AW572" i="9"/>
  <c r="BA577" i="9"/>
  <c r="AZ577" i="9"/>
  <c r="AY577" i="9"/>
  <c r="AX577" i="9"/>
  <c r="AV577" i="9"/>
  <c r="AW577" i="9"/>
  <c r="BA571" i="9"/>
  <c r="AZ571" i="9"/>
  <c r="AY571" i="9"/>
  <c r="AX571" i="9"/>
  <c r="AV571" i="9"/>
  <c r="AW571" i="9"/>
  <c r="BA570" i="9"/>
  <c r="AZ570" i="9"/>
  <c r="AX570" i="9"/>
  <c r="AY570" i="9"/>
  <c r="AV570" i="9"/>
  <c r="AW570" i="9"/>
  <c r="BA576" i="9"/>
  <c r="AX576" i="9"/>
  <c r="AY576" i="9"/>
  <c r="AV576" i="9"/>
  <c r="AW576" i="9"/>
  <c r="AZ576" i="9"/>
  <c r="Z574" i="9"/>
  <c r="R574" i="9" s="1"/>
  <c r="Z566" i="9"/>
  <c r="R566" i="9" s="1"/>
  <c r="Q555" i="9"/>
  <c r="Z555" i="9" s="1"/>
  <c r="AA555" i="9" s="1"/>
  <c r="T555" i="9" s="1"/>
  <c r="Z554" i="9"/>
  <c r="AA554" i="9" s="1"/>
  <c r="T554" i="9" s="1"/>
  <c r="Q138" i="9"/>
  <c r="Z138" i="9" s="1"/>
  <c r="AA138" i="9" s="1"/>
  <c r="T138" i="9" s="1"/>
  <c r="Z137" i="9"/>
  <c r="AA137" i="9" s="1"/>
  <c r="T137" i="9" s="1"/>
  <c r="Q132" i="9"/>
  <c r="Z131" i="9"/>
  <c r="Q129" i="9"/>
  <c r="Z128" i="9"/>
  <c r="Q117" i="9"/>
  <c r="Z117" i="9" s="1"/>
  <c r="AA117" i="9" s="1"/>
  <c r="T117" i="9" s="1"/>
  <c r="Z116" i="9"/>
  <c r="AA116" i="9" s="1"/>
  <c r="T116" i="9" s="1"/>
  <c r="Q111" i="9"/>
  <c r="Z111" i="9" s="1"/>
  <c r="Z110" i="9"/>
  <c r="Q108" i="9"/>
  <c r="Z108" i="9" s="1"/>
  <c r="Z107" i="9"/>
  <c r="Q105" i="9"/>
  <c r="Z105" i="9" s="1"/>
  <c r="Z104" i="9"/>
  <c r="Q96" i="9"/>
  <c r="Z96" i="9" s="1"/>
  <c r="Z95" i="9"/>
  <c r="Q93" i="9"/>
  <c r="Z93" i="9" s="1"/>
  <c r="Z92" i="9"/>
  <c r="Q90" i="9"/>
  <c r="Z89" i="9"/>
  <c r="AA89" i="9" s="1"/>
  <c r="T89" i="9" s="1"/>
  <c r="Q84" i="9"/>
  <c r="Z83" i="9"/>
  <c r="Q78" i="9"/>
  <c r="Z77" i="9"/>
  <c r="AA77" i="9" s="1"/>
  <c r="T77" i="9" s="1"/>
  <c r="Q75" i="9"/>
  <c r="Z74" i="9"/>
  <c r="AA74" i="9" s="1"/>
  <c r="T74" i="9" s="1"/>
  <c r="Q72" i="9"/>
  <c r="Z72" i="9" s="1"/>
  <c r="Z71" i="9"/>
  <c r="Q66" i="9"/>
  <c r="Z66" i="9" s="1"/>
  <c r="Z65" i="9"/>
  <c r="AA65" i="9" s="1"/>
  <c r="T65" i="9" s="1"/>
  <c r="Q63" i="9"/>
  <c r="Z63" i="9" s="1"/>
  <c r="Z62" i="9"/>
  <c r="Q60" i="9"/>
  <c r="Z59" i="9"/>
  <c r="Q57" i="9"/>
  <c r="Z56" i="9"/>
  <c r="Q54" i="9"/>
  <c r="Z54" i="9" s="1"/>
  <c r="Z53" i="9"/>
  <c r="AA53" i="9" s="1"/>
  <c r="T53" i="9" s="1"/>
  <c r="Q51" i="9"/>
  <c r="Z51" i="9" s="1"/>
  <c r="Z50" i="9"/>
  <c r="Q48" i="9"/>
  <c r="Z47" i="9"/>
  <c r="Q45" i="9"/>
  <c r="Z45" i="9" s="1"/>
  <c r="AA45" i="9" s="1"/>
  <c r="T45" i="9" s="1"/>
  <c r="Z44" i="9"/>
  <c r="Q42" i="9"/>
  <c r="Z41" i="9"/>
  <c r="AA41" i="9" s="1"/>
  <c r="T41" i="9" s="1"/>
  <c r="Q36" i="9"/>
  <c r="Z35" i="9"/>
  <c r="Q33" i="9"/>
  <c r="Z33" i="9" s="1"/>
  <c r="Z32" i="9"/>
  <c r="Q30" i="9"/>
  <c r="Z29" i="9"/>
  <c r="AA29" i="9" s="1"/>
  <c r="T29" i="9" s="1"/>
  <c r="Q27" i="9"/>
  <c r="Z26" i="9"/>
  <c r="Q24" i="9"/>
  <c r="Z24" i="9" s="1"/>
  <c r="Z23" i="9"/>
  <c r="Q18" i="9"/>
  <c r="Z18" i="9" s="1"/>
  <c r="Z17" i="9"/>
  <c r="Q15" i="9"/>
  <c r="Z15" i="9" s="1"/>
  <c r="Z14" i="9"/>
  <c r="Q12" i="9"/>
  <c r="Z11" i="9"/>
  <c r="AA11" i="9" s="1"/>
  <c r="T11" i="9" s="1"/>
  <c r="Q9" i="9"/>
  <c r="Z9" i="9" s="1"/>
  <c r="AA9" i="9" s="1"/>
  <c r="T9" i="9" s="1"/>
  <c r="Z8" i="9"/>
  <c r="AA8" i="9" s="1"/>
  <c r="T8" i="9" s="1"/>
  <c r="Q6" i="9"/>
  <c r="Z5" i="9"/>
  <c r="Q564" i="9"/>
  <c r="Z564" i="9" s="1"/>
  <c r="AA564" i="9" s="1"/>
  <c r="T564" i="9" s="1"/>
  <c r="Z563" i="9"/>
  <c r="AA563" i="9" s="1"/>
  <c r="T563" i="9" s="1"/>
  <c r="Q543" i="9"/>
  <c r="Z542" i="9"/>
  <c r="AA542" i="9" s="1"/>
  <c r="T542" i="9" s="1"/>
  <c r="Q540" i="9"/>
  <c r="Z540" i="9" s="1"/>
  <c r="Z539" i="9"/>
  <c r="AA539" i="9" s="1"/>
  <c r="T539" i="9" s="1"/>
  <c r="Q531" i="9"/>
  <c r="Z531" i="9" s="1"/>
  <c r="AA531" i="9" s="1"/>
  <c r="T531" i="9" s="1"/>
  <c r="Z530" i="9"/>
  <c r="AA530" i="9" s="1"/>
  <c r="T530" i="9" s="1"/>
  <c r="Q525" i="9"/>
  <c r="Z525" i="9" s="1"/>
  <c r="AA525" i="9" s="1"/>
  <c r="T525" i="9" s="1"/>
  <c r="Z524" i="9"/>
  <c r="AA524" i="9" s="1"/>
  <c r="T524" i="9" s="1"/>
  <c r="Q522" i="9"/>
  <c r="Z522" i="9" s="1"/>
  <c r="AA522" i="9" s="1"/>
  <c r="T522" i="9" s="1"/>
  <c r="Z521" i="9"/>
  <c r="AA521" i="9" s="1"/>
  <c r="T521" i="9" s="1"/>
  <c r="Q519" i="9"/>
  <c r="Z519" i="9" s="1"/>
  <c r="AA519" i="9" s="1"/>
  <c r="T519" i="9" s="1"/>
  <c r="Z518" i="9"/>
  <c r="AA518" i="9" s="1"/>
  <c r="T518" i="9" s="1"/>
  <c r="Q513" i="9"/>
  <c r="Z513" i="9" s="1"/>
  <c r="AA513" i="9" s="1"/>
  <c r="T513" i="9" s="1"/>
  <c r="Z512" i="9"/>
  <c r="Q510" i="9"/>
  <c r="Z510" i="9" s="1"/>
  <c r="AA510" i="9" s="1"/>
  <c r="T510" i="9" s="1"/>
  <c r="Z509" i="9"/>
  <c r="AA509" i="9" s="1"/>
  <c r="T509" i="9" s="1"/>
  <c r="Q507" i="9"/>
  <c r="Z507" i="9" s="1"/>
  <c r="Z506" i="9"/>
  <c r="Q501" i="9"/>
  <c r="Z501" i="9" s="1"/>
  <c r="AA501" i="9" s="1"/>
  <c r="T501" i="9" s="1"/>
  <c r="Z500" i="9"/>
  <c r="AA500" i="9" s="1"/>
  <c r="T500" i="9" s="1"/>
  <c r="Q498" i="9"/>
  <c r="Z497" i="9"/>
  <c r="AA497" i="9" s="1"/>
  <c r="T497" i="9" s="1"/>
  <c r="Q489" i="9"/>
  <c r="Z489" i="9" s="1"/>
  <c r="AA489" i="9" s="1"/>
  <c r="T489" i="9" s="1"/>
  <c r="Z488" i="9"/>
  <c r="AA488" i="9" s="1"/>
  <c r="T488" i="9" s="1"/>
  <c r="Q486" i="9"/>
  <c r="Z486" i="9" s="1"/>
  <c r="AA486" i="9" s="1"/>
  <c r="T486" i="9" s="1"/>
  <c r="Z485" i="9"/>
  <c r="AA485" i="9" s="1"/>
  <c r="T485" i="9" s="1"/>
  <c r="Q477" i="9"/>
  <c r="Z477" i="9" s="1"/>
  <c r="AA477" i="9" s="1"/>
  <c r="T477" i="9" s="1"/>
  <c r="Z476" i="9"/>
  <c r="AA476" i="9" s="1"/>
  <c r="T476" i="9" s="1"/>
  <c r="Q474" i="9"/>
  <c r="Z474" i="9" s="1"/>
  <c r="Z473" i="9"/>
  <c r="Q471" i="9"/>
  <c r="Z471" i="9" s="1"/>
  <c r="AA471" i="9" s="1"/>
  <c r="T471" i="9" s="1"/>
  <c r="Z470" i="9"/>
  <c r="Q465" i="9"/>
  <c r="Z465" i="9" s="1"/>
  <c r="Z464" i="9"/>
  <c r="AA464" i="9" s="1"/>
  <c r="T464" i="9" s="1"/>
  <c r="Q462" i="9"/>
  <c r="Z462" i="9" s="1"/>
  <c r="AA462" i="9" s="1"/>
  <c r="T462" i="9" s="1"/>
  <c r="Z461" i="9"/>
  <c r="AA461" i="9" s="1"/>
  <c r="T461" i="9" s="1"/>
  <c r="Q459" i="9"/>
  <c r="Z459" i="9" s="1"/>
  <c r="AA459" i="9" s="1"/>
  <c r="T459" i="9" s="1"/>
  <c r="Z458" i="9"/>
  <c r="AA458" i="9" s="1"/>
  <c r="T458" i="9" s="1"/>
  <c r="Q453" i="9"/>
  <c r="Z453" i="9" s="1"/>
  <c r="AA453" i="9" s="1"/>
  <c r="T453" i="9" s="1"/>
  <c r="Z452" i="9"/>
  <c r="AA452" i="9" s="1"/>
  <c r="T452" i="9" s="1"/>
  <c r="Q450" i="9"/>
  <c r="Z450" i="9" s="1"/>
  <c r="AA450" i="9" s="1"/>
  <c r="T450" i="9" s="1"/>
  <c r="Z449" i="9"/>
  <c r="AA449" i="9" s="1"/>
  <c r="T449" i="9" s="1"/>
  <c r="Q444" i="9"/>
  <c r="Z443" i="9"/>
  <c r="AA443" i="9" s="1"/>
  <c r="T443" i="9" s="1"/>
  <c r="Q441" i="9"/>
  <c r="Z441" i="9" s="1"/>
  <c r="Z440" i="9"/>
  <c r="Q438" i="9"/>
  <c r="Z437" i="9"/>
  <c r="AA437" i="9" s="1"/>
  <c r="T437" i="9" s="1"/>
  <c r="Q435" i="9"/>
  <c r="Z435" i="9" s="1"/>
  <c r="Z434" i="9"/>
  <c r="AA434" i="9" s="1"/>
  <c r="T434" i="9" s="1"/>
  <c r="Q432" i="9"/>
  <c r="Z432" i="9" s="1"/>
  <c r="AA432" i="9" s="1"/>
  <c r="T432" i="9" s="1"/>
  <c r="Z431" i="9"/>
  <c r="AA431" i="9" s="1"/>
  <c r="T431" i="9" s="1"/>
  <c r="Q426" i="9"/>
  <c r="Z426" i="9" s="1"/>
  <c r="AA426" i="9" s="1"/>
  <c r="T426" i="9" s="1"/>
  <c r="Z425" i="9"/>
  <c r="AA425" i="9" s="1"/>
  <c r="T425" i="9" s="1"/>
  <c r="Q417" i="9"/>
  <c r="Z417" i="9" s="1"/>
  <c r="AA417" i="9" s="1"/>
  <c r="T417" i="9" s="1"/>
  <c r="Z416" i="9"/>
  <c r="AA416" i="9" s="1"/>
  <c r="T416" i="9" s="1"/>
  <c r="Q408" i="9"/>
  <c r="Z408" i="9" s="1"/>
  <c r="AA408" i="9" s="1"/>
  <c r="T408" i="9" s="1"/>
  <c r="Z407" i="9"/>
  <c r="AA407" i="9" s="1"/>
  <c r="T407" i="9" s="1"/>
  <c r="Q402" i="9"/>
  <c r="Z401" i="9"/>
  <c r="AA401" i="9" s="1"/>
  <c r="T401" i="9" s="1"/>
  <c r="Q396" i="9"/>
  <c r="Z395" i="9"/>
  <c r="AA395" i="9" s="1"/>
  <c r="T395" i="9" s="1"/>
  <c r="Q390" i="9"/>
  <c r="Z390" i="9" s="1"/>
  <c r="AA390" i="9" s="1"/>
  <c r="T390" i="9" s="1"/>
  <c r="Z389" i="9"/>
  <c r="AA389" i="9" s="1"/>
  <c r="T389" i="9" s="1"/>
  <c r="Q387" i="9"/>
  <c r="Z386" i="9"/>
  <c r="AA386" i="9" s="1"/>
  <c r="T386" i="9" s="1"/>
  <c r="Q384" i="9"/>
  <c r="Z384" i="9" s="1"/>
  <c r="AA384" i="9" s="1"/>
  <c r="T384" i="9" s="1"/>
  <c r="Z383" i="9"/>
  <c r="AA383" i="9" s="1"/>
  <c r="T383" i="9" s="1"/>
  <c r="Q378" i="9"/>
  <c r="Z377" i="9"/>
  <c r="AA377" i="9" s="1"/>
  <c r="T377" i="9" s="1"/>
  <c r="Q375" i="9"/>
  <c r="Z374" i="9"/>
  <c r="AA374" i="9" s="1"/>
  <c r="T374" i="9" s="1"/>
  <c r="Q369" i="9"/>
  <c r="Z369" i="9" s="1"/>
  <c r="AA369" i="9" s="1"/>
  <c r="T369" i="9" s="1"/>
  <c r="Z368" i="9"/>
  <c r="AA368" i="9" s="1"/>
  <c r="T368" i="9" s="1"/>
  <c r="Q366" i="9"/>
  <c r="Z366" i="9" s="1"/>
  <c r="AA366" i="9" s="1"/>
  <c r="T366" i="9" s="1"/>
  <c r="Z365" i="9"/>
  <c r="AA365" i="9" s="1"/>
  <c r="T365" i="9" s="1"/>
  <c r="Q363" i="9"/>
  <c r="Z363" i="9" s="1"/>
  <c r="AA363" i="9" s="1"/>
  <c r="T363" i="9" s="1"/>
  <c r="Z362" i="9"/>
  <c r="AA362" i="9" s="1"/>
  <c r="T362" i="9" s="1"/>
  <c r="Q360" i="9"/>
  <c r="Z359" i="9"/>
  <c r="AA359" i="9" s="1"/>
  <c r="T359" i="9" s="1"/>
  <c r="Q357" i="9"/>
  <c r="Z357" i="9" s="1"/>
  <c r="AA357" i="9" s="1"/>
  <c r="T357" i="9" s="1"/>
  <c r="Z356" i="9"/>
  <c r="AA356" i="9" s="1"/>
  <c r="T356" i="9" s="1"/>
  <c r="Q354" i="9"/>
  <c r="Z354" i="9" s="1"/>
  <c r="AA354" i="9" s="1"/>
  <c r="T354" i="9" s="1"/>
  <c r="Z353" i="9"/>
  <c r="AA353" i="9" s="1"/>
  <c r="T353" i="9" s="1"/>
  <c r="Q348" i="9"/>
  <c r="Z347" i="9"/>
  <c r="AA347" i="9" s="1"/>
  <c r="T347" i="9" s="1"/>
  <c r="Q345" i="9"/>
  <c r="Z344" i="9"/>
  <c r="AA344" i="9" s="1"/>
  <c r="T344" i="9" s="1"/>
  <c r="Q342" i="9"/>
  <c r="Z342" i="9" s="1"/>
  <c r="AA342" i="9" s="1"/>
  <c r="T342" i="9" s="1"/>
  <c r="Z341" i="9"/>
  <c r="AA341" i="9" s="1"/>
  <c r="T341" i="9" s="1"/>
  <c r="Q336" i="9"/>
  <c r="Z336" i="9" s="1"/>
  <c r="AA336" i="9" s="1"/>
  <c r="T336" i="9" s="1"/>
  <c r="Z335" i="9"/>
  <c r="AA335" i="9" s="1"/>
  <c r="T335" i="9" s="1"/>
  <c r="Q330" i="9"/>
  <c r="Z330" i="9" s="1"/>
  <c r="AA330" i="9" s="1"/>
  <c r="T330" i="9" s="1"/>
  <c r="Z329" i="9"/>
  <c r="AA329" i="9" s="1"/>
  <c r="T329" i="9" s="1"/>
  <c r="Q324" i="9"/>
  <c r="Z323" i="9"/>
  <c r="AA323" i="9" s="1"/>
  <c r="T323" i="9" s="1"/>
  <c r="Q309" i="9"/>
  <c r="Z308" i="9"/>
  <c r="AA308" i="9" s="1"/>
  <c r="T308" i="9" s="1"/>
  <c r="Q306" i="9"/>
  <c r="Z306" i="9" s="1"/>
  <c r="AA306" i="9" s="1"/>
  <c r="T306" i="9" s="1"/>
  <c r="Z305" i="9"/>
  <c r="AA305" i="9" s="1"/>
  <c r="T305" i="9" s="1"/>
  <c r="Q297" i="9"/>
  <c r="Z297" i="9" s="1"/>
  <c r="AA297" i="9" s="1"/>
  <c r="T297" i="9" s="1"/>
  <c r="Z296" i="9"/>
  <c r="AA296" i="9" s="1"/>
  <c r="T296" i="9" s="1"/>
  <c r="Q294" i="9"/>
  <c r="Z293" i="9"/>
  <c r="AA293" i="9" s="1"/>
  <c r="T293" i="9" s="1"/>
  <c r="Q291" i="9"/>
  <c r="Z290" i="9"/>
  <c r="AA290" i="9" s="1"/>
  <c r="T290" i="9" s="1"/>
  <c r="Q288" i="9"/>
  <c r="Z287" i="9"/>
  <c r="AA287" i="9" s="1"/>
  <c r="T287" i="9" s="1"/>
  <c r="Q285" i="9"/>
  <c r="Z284" i="9"/>
  <c r="AA284" i="9" s="1"/>
  <c r="T284" i="9" s="1"/>
  <c r="Q279" i="9"/>
  <c r="Z278" i="9"/>
  <c r="AA278" i="9" s="1"/>
  <c r="T278" i="9" s="1"/>
  <c r="Q276" i="9"/>
  <c r="Z276" i="9" s="1"/>
  <c r="AA276" i="9" s="1"/>
  <c r="T276" i="9" s="1"/>
  <c r="Z275" i="9"/>
  <c r="AA275" i="9" s="1"/>
  <c r="T275" i="9" s="1"/>
  <c r="Q273" i="9"/>
  <c r="Z272" i="9"/>
  <c r="AA272" i="9" s="1"/>
  <c r="T272" i="9" s="1"/>
  <c r="Q267" i="9"/>
  <c r="Z266" i="9"/>
  <c r="AA266" i="9" s="1"/>
  <c r="T266" i="9" s="1"/>
  <c r="Q264" i="9"/>
  <c r="Z264" i="9" s="1"/>
  <c r="AA264" i="9" s="1"/>
  <c r="T264" i="9" s="1"/>
  <c r="Z263" i="9"/>
  <c r="AA263" i="9" s="1"/>
  <c r="T263" i="9" s="1"/>
  <c r="Q261" i="9"/>
  <c r="Z260" i="9"/>
  <c r="AA260" i="9" s="1"/>
  <c r="T260" i="9" s="1"/>
  <c r="Q258" i="9"/>
  <c r="Z258" i="9" s="1"/>
  <c r="AA258" i="9" s="1"/>
  <c r="T258" i="9" s="1"/>
  <c r="Z257" i="9"/>
  <c r="AA257" i="9" s="1"/>
  <c r="T257" i="9" s="1"/>
  <c r="Q255" i="9"/>
  <c r="Z254" i="9"/>
  <c r="AA254" i="9" s="1"/>
  <c r="T254" i="9" s="1"/>
  <c r="Q252" i="9"/>
  <c r="Z252" i="9" s="1"/>
  <c r="Z251" i="9"/>
  <c r="AA251" i="9" s="1"/>
  <c r="T251" i="9" s="1"/>
  <c r="Q249" i="9"/>
  <c r="Z249" i="9" s="1"/>
  <c r="AA249" i="9" s="1"/>
  <c r="T249" i="9" s="1"/>
  <c r="Z248" i="9"/>
  <c r="AA248" i="9" s="1"/>
  <c r="T248" i="9" s="1"/>
  <c r="Q246" i="9"/>
  <c r="Z246" i="9" s="1"/>
  <c r="AA246" i="9" s="1"/>
  <c r="T246" i="9" s="1"/>
  <c r="Z245" i="9"/>
  <c r="AA245" i="9" s="1"/>
  <c r="T245" i="9" s="1"/>
  <c r="Q243" i="9"/>
  <c r="Z242" i="9"/>
  <c r="AA242" i="9" s="1"/>
  <c r="T242" i="9" s="1"/>
  <c r="Q240" i="9"/>
  <c r="Z240" i="9" s="1"/>
  <c r="AA240" i="9" s="1"/>
  <c r="T240" i="9" s="1"/>
  <c r="Z239" i="9"/>
  <c r="AA239" i="9" s="1"/>
  <c r="T239" i="9" s="1"/>
  <c r="Q237" i="9"/>
  <c r="Z236" i="9"/>
  <c r="AA236" i="9" s="1"/>
  <c r="T236" i="9" s="1"/>
  <c r="Q234" i="9"/>
  <c r="Z233" i="9"/>
  <c r="AA233" i="9" s="1"/>
  <c r="T233" i="9" s="1"/>
  <c r="Q225" i="9"/>
  <c r="Z225" i="9" s="1"/>
  <c r="AA225" i="9" s="1"/>
  <c r="T225" i="9" s="1"/>
  <c r="Z224" i="9"/>
  <c r="AA224" i="9" s="1"/>
  <c r="T224" i="9" s="1"/>
  <c r="Q219" i="9"/>
  <c r="Z219" i="9" s="1"/>
  <c r="AA219" i="9" s="1"/>
  <c r="T219" i="9" s="1"/>
  <c r="Z218" i="9"/>
  <c r="AA218" i="9" s="1"/>
  <c r="T218" i="9" s="1"/>
  <c r="Q210" i="9"/>
  <c r="Z209" i="9"/>
  <c r="AA209" i="9" s="1"/>
  <c r="T209" i="9" s="1"/>
  <c r="Q207" i="9"/>
  <c r="Z207" i="9" s="1"/>
  <c r="AA207" i="9" s="1"/>
  <c r="T207" i="9" s="1"/>
  <c r="Z206" i="9"/>
  <c r="AA206" i="9" s="1"/>
  <c r="T206" i="9" s="1"/>
  <c r="Q204" i="9"/>
  <c r="Z203" i="9"/>
  <c r="AA203" i="9" s="1"/>
  <c r="T203" i="9" s="1"/>
  <c r="Q198" i="9"/>
  <c r="Z197" i="9"/>
  <c r="AA197" i="9" s="1"/>
  <c r="T197" i="9" s="1"/>
  <c r="Q186" i="9"/>
  <c r="Z185" i="9"/>
  <c r="AA185" i="9" s="1"/>
  <c r="T185" i="9" s="1"/>
  <c r="Q180" i="9"/>
  <c r="Z179" i="9"/>
  <c r="AA179" i="9" s="1"/>
  <c r="T179" i="9" s="1"/>
  <c r="Q174" i="9"/>
  <c r="Z173" i="9"/>
  <c r="AA173" i="9" s="1"/>
  <c r="T173" i="9" s="1"/>
  <c r="Q171" i="9"/>
  <c r="Z171" i="9" s="1"/>
  <c r="Z170" i="9"/>
  <c r="AA170" i="9" s="1"/>
  <c r="T170" i="9" s="1"/>
  <c r="Q165" i="9"/>
  <c r="Z164" i="9"/>
  <c r="AA164" i="9" s="1"/>
  <c r="T164" i="9" s="1"/>
  <c r="Q156" i="9"/>
  <c r="Z155" i="9"/>
  <c r="AA155" i="9" s="1"/>
  <c r="T155" i="9" s="1"/>
  <c r="Q153" i="9"/>
  <c r="Z152" i="9"/>
  <c r="AA152" i="9" s="1"/>
  <c r="T152" i="9" s="1"/>
  <c r="Q150" i="9"/>
  <c r="Z149" i="9"/>
  <c r="AA149" i="9" s="1"/>
  <c r="T149" i="9" s="1"/>
  <c r="Q147" i="9"/>
  <c r="Z147" i="9" s="1"/>
  <c r="AA147" i="9" s="1"/>
  <c r="T147" i="9" s="1"/>
  <c r="Z146" i="9"/>
  <c r="AA146" i="9" s="1"/>
  <c r="T146" i="9" s="1"/>
  <c r="Q144" i="9"/>
  <c r="Z144" i="9" s="1"/>
  <c r="AA144" i="9" s="1"/>
  <c r="T144" i="9" s="1"/>
  <c r="Z143" i="9"/>
  <c r="AA143" i="9" s="1"/>
  <c r="T143" i="9" s="1"/>
  <c r="Q3" i="9"/>
  <c r="Z3" i="9" s="1"/>
  <c r="Z2" i="9"/>
  <c r="Q552" i="9"/>
  <c r="Z552" i="9" s="1"/>
  <c r="AA552" i="9" s="1"/>
  <c r="T552" i="9" s="1"/>
  <c r="Z551" i="9"/>
  <c r="AA551" i="9" s="1"/>
  <c r="T551" i="9" s="1"/>
  <c r="Z570" i="9"/>
  <c r="R570" i="9" s="1"/>
  <c r="Q571" i="9"/>
  <c r="Z571" i="9" s="1"/>
  <c r="R571" i="9" s="1"/>
  <c r="Z573" i="9"/>
  <c r="R573" i="9" s="1"/>
  <c r="Z569" i="9"/>
  <c r="R569" i="9" s="1"/>
  <c r="Q576" i="9"/>
  <c r="Z572" i="9"/>
  <c r="R572" i="9" s="1"/>
  <c r="Q568" i="9"/>
  <c r="Z568" i="9" s="1"/>
  <c r="R568" i="9" s="1"/>
  <c r="AO836" i="9"/>
  <c r="AS836" i="9"/>
  <c r="AP836" i="9"/>
  <c r="AQ836" i="9"/>
  <c r="AN836" i="9"/>
  <c r="AR836" i="9"/>
  <c r="AO824" i="9"/>
  <c r="AS824" i="9"/>
  <c r="AP824" i="9"/>
  <c r="AQ824" i="9"/>
  <c r="AN824" i="9"/>
  <c r="AR824" i="9"/>
  <c r="AO820" i="9"/>
  <c r="AS820" i="9"/>
  <c r="AP820" i="9"/>
  <c r="AQ820" i="9"/>
  <c r="AN820" i="9"/>
  <c r="AR820" i="9"/>
  <c r="AO816" i="9"/>
  <c r="AS816" i="9"/>
  <c r="AP816" i="9"/>
  <c r="AQ816" i="9"/>
  <c r="AN816" i="9"/>
  <c r="AR816" i="9"/>
  <c r="AO808" i="9"/>
  <c r="AS808" i="9"/>
  <c r="AP808" i="9"/>
  <c r="AQ808" i="9"/>
  <c r="AN808" i="9"/>
  <c r="AR808" i="9"/>
  <c r="AO804" i="9"/>
  <c r="AS804" i="9"/>
  <c r="AP804" i="9"/>
  <c r="AQ804" i="9"/>
  <c r="AN804" i="9"/>
  <c r="AR804" i="9"/>
  <c r="AO780" i="9"/>
  <c r="AS780" i="9"/>
  <c r="AP780" i="9"/>
  <c r="AQ780" i="9"/>
  <c r="AN780" i="9"/>
  <c r="AR780" i="9"/>
  <c r="AO776" i="9"/>
  <c r="AS776" i="9"/>
  <c r="AP776" i="9"/>
  <c r="AQ776" i="9"/>
  <c r="AN776" i="9"/>
  <c r="AR776" i="9"/>
  <c r="AO768" i="9"/>
  <c r="AS768" i="9"/>
  <c r="AP768" i="9"/>
  <c r="AQ768" i="9"/>
  <c r="AN768" i="9"/>
  <c r="AR768" i="9"/>
  <c r="AO764" i="9"/>
  <c r="AS764" i="9"/>
  <c r="AP764" i="9"/>
  <c r="AQ764" i="9"/>
  <c r="AN764" i="9"/>
  <c r="AR764" i="9"/>
  <c r="AO760" i="9"/>
  <c r="AS760" i="9"/>
  <c r="AP760" i="9"/>
  <c r="AQ760" i="9"/>
  <c r="AN760" i="9"/>
  <c r="AR760" i="9"/>
  <c r="AN756" i="9"/>
  <c r="AR756" i="9"/>
  <c r="AO756" i="9"/>
  <c r="AS756" i="9"/>
  <c r="AP756" i="9"/>
  <c r="AQ756" i="9"/>
  <c r="AN744" i="9"/>
  <c r="AR744" i="9"/>
  <c r="AO744" i="9"/>
  <c r="AS744" i="9"/>
  <c r="AP744" i="9"/>
  <c r="AQ744" i="9"/>
  <c r="AN736" i="9"/>
  <c r="AR736" i="9"/>
  <c r="AO736" i="9"/>
  <c r="AS736" i="9"/>
  <c r="AP736" i="9"/>
  <c r="AQ736" i="9"/>
  <c r="AN732" i="9"/>
  <c r="AR732" i="9"/>
  <c r="AO732" i="9"/>
  <c r="AS732" i="9"/>
  <c r="AP732" i="9"/>
  <c r="AQ732" i="9"/>
  <c r="AN728" i="9"/>
  <c r="AR728" i="9"/>
  <c r="AO728" i="9"/>
  <c r="AS728" i="9"/>
  <c r="AP728" i="9"/>
  <c r="AQ728" i="9"/>
  <c r="AN724" i="9"/>
  <c r="AR724" i="9"/>
  <c r="AO724" i="9"/>
  <c r="AS724" i="9"/>
  <c r="AP724" i="9"/>
  <c r="AQ724" i="9"/>
  <c r="AN716" i="9"/>
  <c r="AR716" i="9"/>
  <c r="AO716" i="9"/>
  <c r="AS716" i="9"/>
  <c r="AP716" i="9"/>
  <c r="AQ716" i="9"/>
  <c r="AN712" i="9"/>
  <c r="AR712" i="9"/>
  <c r="AO712" i="9"/>
  <c r="AS712" i="9"/>
  <c r="AP712" i="9"/>
  <c r="AQ712" i="9"/>
  <c r="AN708" i="9"/>
  <c r="AR708" i="9"/>
  <c r="AO708" i="9"/>
  <c r="AS708" i="9"/>
  <c r="AP708" i="9"/>
  <c r="AQ708" i="9"/>
  <c r="AN704" i="9"/>
  <c r="AR704" i="9"/>
  <c r="AO704" i="9"/>
  <c r="AS704" i="9"/>
  <c r="AP704" i="9"/>
  <c r="AQ704" i="9"/>
  <c r="AN700" i="9"/>
  <c r="AR700" i="9"/>
  <c r="AO700" i="9"/>
  <c r="AS700" i="9"/>
  <c r="AP700" i="9"/>
  <c r="AQ700" i="9"/>
  <c r="AN696" i="9"/>
  <c r="AR696" i="9"/>
  <c r="AO696" i="9"/>
  <c r="AS696" i="9"/>
  <c r="AP696" i="9"/>
  <c r="AQ696" i="9"/>
  <c r="AN692" i="9"/>
  <c r="AR692" i="9"/>
  <c r="AO692" i="9"/>
  <c r="AS692" i="9"/>
  <c r="AP692" i="9"/>
  <c r="AQ692" i="9"/>
  <c r="AN688" i="9"/>
  <c r="AR688" i="9"/>
  <c r="AO688" i="9"/>
  <c r="AS688" i="9"/>
  <c r="AP688" i="9"/>
  <c r="AQ688" i="9"/>
  <c r="AN684" i="9"/>
  <c r="AR684" i="9"/>
  <c r="AO684" i="9"/>
  <c r="AS684" i="9"/>
  <c r="AP684" i="9"/>
  <c r="AQ684" i="9"/>
  <c r="AN680" i="9"/>
  <c r="AR680" i="9"/>
  <c r="AO680" i="9"/>
  <c r="AS680" i="9"/>
  <c r="AP680" i="9"/>
  <c r="AQ680" i="9"/>
  <c r="AN676" i="9"/>
  <c r="AR676" i="9"/>
  <c r="AO676" i="9"/>
  <c r="AS676" i="9"/>
  <c r="AP676" i="9"/>
  <c r="AQ676" i="9"/>
  <c r="AN672" i="9"/>
  <c r="AR672" i="9"/>
  <c r="AO672" i="9"/>
  <c r="AS672" i="9"/>
  <c r="AP672" i="9"/>
  <c r="AQ672" i="9"/>
  <c r="AN668" i="9"/>
  <c r="AR668" i="9"/>
  <c r="AO668" i="9"/>
  <c r="AS668" i="9"/>
  <c r="AP668" i="9"/>
  <c r="AQ668" i="9"/>
  <c r="AN664" i="9"/>
  <c r="AR664" i="9"/>
  <c r="AO664" i="9"/>
  <c r="AS664" i="9"/>
  <c r="AP664" i="9"/>
  <c r="AQ664" i="9"/>
  <c r="AN660" i="9"/>
  <c r="AR660" i="9"/>
  <c r="AO660" i="9"/>
  <c r="AS660" i="9"/>
  <c r="AP660" i="9"/>
  <c r="AQ660" i="9"/>
  <c r="AN656" i="9"/>
  <c r="AR656" i="9"/>
  <c r="AO656" i="9"/>
  <c r="AS656" i="9"/>
  <c r="AP656" i="9"/>
  <c r="AQ656" i="9"/>
  <c r="AN648" i="9"/>
  <c r="AR648" i="9"/>
  <c r="AO648" i="9"/>
  <c r="AS648" i="9"/>
  <c r="AP648" i="9"/>
  <c r="AQ648" i="9"/>
  <c r="AN644" i="9"/>
  <c r="AR644" i="9"/>
  <c r="AO644" i="9"/>
  <c r="AS644" i="9"/>
  <c r="AP644" i="9"/>
  <c r="AQ644" i="9"/>
  <c r="AO636" i="9"/>
  <c r="AS636" i="9"/>
  <c r="AP636" i="9"/>
  <c r="AQ636" i="9"/>
  <c r="AN636" i="9"/>
  <c r="AR636" i="9"/>
  <c r="AO632" i="9"/>
  <c r="AS632" i="9"/>
  <c r="AP632" i="9"/>
  <c r="AQ632" i="9"/>
  <c r="AN632" i="9"/>
  <c r="AR632" i="9"/>
  <c r="AO624" i="9"/>
  <c r="AS624" i="9"/>
  <c r="AP624" i="9"/>
  <c r="AQ624" i="9"/>
  <c r="AN624" i="9"/>
  <c r="AR624" i="9"/>
  <c r="AO620" i="9"/>
  <c r="AS620" i="9"/>
  <c r="AP620" i="9"/>
  <c r="AQ620" i="9"/>
  <c r="AN620" i="9"/>
  <c r="AR620" i="9"/>
  <c r="AO610" i="9"/>
  <c r="AS610" i="9"/>
  <c r="AP610" i="9"/>
  <c r="AQ610" i="9"/>
  <c r="AN610" i="9"/>
  <c r="AR610" i="9"/>
  <c r="AO606" i="9"/>
  <c r="AS606" i="9"/>
  <c r="AP606" i="9"/>
  <c r="AQ606" i="9"/>
  <c r="AN606" i="9"/>
  <c r="AR606" i="9"/>
  <c r="AO584" i="9"/>
  <c r="AS584" i="9"/>
  <c r="AP584" i="9"/>
  <c r="AQ584" i="9"/>
  <c r="AN584" i="9"/>
  <c r="AR584" i="9"/>
  <c r="AQ575" i="9"/>
  <c r="AN575" i="9"/>
  <c r="AR575" i="9"/>
  <c r="AO575" i="9"/>
  <c r="AS575" i="9"/>
  <c r="AP575" i="9"/>
  <c r="AQ571" i="9"/>
  <c r="AN571" i="9"/>
  <c r="AR571" i="9"/>
  <c r="AO571" i="9"/>
  <c r="AS571" i="9"/>
  <c r="AP571" i="9"/>
  <c r="AN115" i="9"/>
  <c r="AR115" i="9"/>
  <c r="AO115" i="9"/>
  <c r="AS115" i="9"/>
  <c r="AP115" i="9"/>
  <c r="AQ115" i="9"/>
  <c r="AP114" i="9"/>
  <c r="AQ114" i="9"/>
  <c r="AN114" i="9"/>
  <c r="AR114" i="9"/>
  <c r="AO114" i="9"/>
  <c r="AS114" i="9"/>
  <c r="AN103" i="9"/>
  <c r="AR103" i="9"/>
  <c r="AO103" i="9"/>
  <c r="AS103" i="9"/>
  <c r="AP103" i="9"/>
  <c r="AQ103" i="9"/>
  <c r="AP102" i="9"/>
  <c r="AQ102" i="9"/>
  <c r="AN102" i="9"/>
  <c r="AR102" i="9"/>
  <c r="AO102" i="9"/>
  <c r="AS102" i="9"/>
  <c r="AN91" i="9"/>
  <c r="AR91" i="9"/>
  <c r="AO91" i="9"/>
  <c r="AS91" i="9"/>
  <c r="AP91" i="9"/>
  <c r="AQ91" i="9"/>
  <c r="AN90" i="9"/>
  <c r="AO90" i="9"/>
  <c r="AP90" i="9"/>
  <c r="AQ90" i="9"/>
  <c r="AR90" i="9"/>
  <c r="AS90" i="9"/>
  <c r="AP79" i="9"/>
  <c r="AQ79" i="9"/>
  <c r="AN79" i="9"/>
  <c r="AR79" i="9"/>
  <c r="AO79" i="9"/>
  <c r="AS79" i="9"/>
  <c r="AN78" i="9"/>
  <c r="AR78" i="9"/>
  <c r="AO78" i="9"/>
  <c r="AS78" i="9"/>
  <c r="AP78" i="9"/>
  <c r="AQ78" i="9"/>
  <c r="AP67" i="9"/>
  <c r="AQ67" i="9"/>
  <c r="AN67" i="9"/>
  <c r="AR67" i="9"/>
  <c r="AO67" i="9"/>
  <c r="AS67" i="9"/>
  <c r="AN66" i="9"/>
  <c r="AR66" i="9"/>
  <c r="AO66" i="9"/>
  <c r="AS66" i="9"/>
  <c r="AP66" i="9"/>
  <c r="AQ66" i="9"/>
  <c r="AP55" i="9"/>
  <c r="AQ55" i="9"/>
  <c r="AN55" i="9"/>
  <c r="AR55" i="9"/>
  <c r="AO55" i="9"/>
  <c r="AS55" i="9"/>
  <c r="AN54" i="9"/>
  <c r="AR54" i="9"/>
  <c r="AO54" i="9"/>
  <c r="AS54" i="9"/>
  <c r="AP54" i="9"/>
  <c r="AQ54" i="9"/>
  <c r="AP43" i="9"/>
  <c r="AQ43" i="9"/>
  <c r="AN43" i="9"/>
  <c r="AR43" i="9"/>
  <c r="AO43" i="9"/>
  <c r="AS43" i="9"/>
  <c r="AN42" i="9"/>
  <c r="AR42" i="9"/>
  <c r="AO42" i="9"/>
  <c r="AS42" i="9"/>
  <c r="AP42" i="9"/>
  <c r="AQ42" i="9"/>
  <c r="AP31" i="9"/>
  <c r="AQ31" i="9"/>
  <c r="AN31" i="9"/>
  <c r="AR31" i="9"/>
  <c r="AO31" i="9"/>
  <c r="AS31" i="9"/>
  <c r="AN30" i="9"/>
  <c r="AR30" i="9"/>
  <c r="AO30" i="9"/>
  <c r="AS30" i="9"/>
  <c r="AP30" i="9"/>
  <c r="AQ30" i="9"/>
  <c r="AN968" i="9"/>
  <c r="AR968" i="9"/>
  <c r="AO968" i="9"/>
  <c r="AS968" i="9"/>
  <c r="AP968" i="9"/>
  <c r="AQ968" i="9"/>
  <c r="AN964" i="9"/>
  <c r="AR964" i="9"/>
  <c r="AO964" i="9"/>
  <c r="AS964" i="9"/>
  <c r="AP964" i="9"/>
  <c r="AQ964" i="9"/>
  <c r="AN952" i="9"/>
  <c r="AR952" i="9"/>
  <c r="AO952" i="9"/>
  <c r="AS952" i="9"/>
  <c r="AP952" i="9"/>
  <c r="AQ952" i="9"/>
  <c r="AN948" i="9"/>
  <c r="AR948" i="9"/>
  <c r="AO948" i="9"/>
  <c r="AS948" i="9"/>
  <c r="AP948" i="9"/>
  <c r="AQ948" i="9"/>
  <c r="AN944" i="9"/>
  <c r="AR944" i="9"/>
  <c r="AO944" i="9"/>
  <c r="AS944" i="9"/>
  <c r="AP944" i="9"/>
  <c r="AQ944" i="9"/>
  <c r="AN936" i="9"/>
  <c r="AR936" i="9"/>
  <c r="AO936" i="9"/>
  <c r="AS936" i="9"/>
  <c r="AP936" i="9"/>
  <c r="AQ936" i="9"/>
  <c r="AN924" i="9"/>
  <c r="AR924" i="9"/>
  <c r="AO924" i="9"/>
  <c r="AS924" i="9"/>
  <c r="AP924" i="9"/>
  <c r="AQ924" i="9"/>
  <c r="AN920" i="9"/>
  <c r="AR920" i="9"/>
  <c r="AO920" i="9"/>
  <c r="AS920" i="9"/>
  <c r="AP920" i="9"/>
  <c r="AQ920" i="9"/>
  <c r="AN908" i="9"/>
  <c r="AR908" i="9"/>
  <c r="AO908" i="9"/>
  <c r="AS908" i="9"/>
  <c r="AP908" i="9"/>
  <c r="AQ908" i="9"/>
  <c r="AN904" i="9"/>
  <c r="AR904" i="9"/>
  <c r="AO904" i="9"/>
  <c r="AS904" i="9"/>
  <c r="AP904" i="9"/>
  <c r="AQ904" i="9"/>
  <c r="AN896" i="9"/>
  <c r="AR896" i="9"/>
  <c r="AO896" i="9"/>
  <c r="AS896" i="9"/>
  <c r="AP896" i="9"/>
  <c r="AQ896" i="9"/>
  <c r="AN892" i="9"/>
  <c r="AR892" i="9"/>
  <c r="AO892" i="9"/>
  <c r="AS892" i="9"/>
  <c r="AP892" i="9"/>
  <c r="AQ892" i="9"/>
  <c r="AN888" i="9"/>
  <c r="AR888" i="9"/>
  <c r="AO888" i="9"/>
  <c r="AS888" i="9"/>
  <c r="AP888" i="9"/>
  <c r="AQ888" i="9"/>
  <c r="AN876" i="9"/>
  <c r="AR876" i="9"/>
  <c r="AO876" i="9"/>
  <c r="AS876" i="9"/>
  <c r="AP876" i="9"/>
  <c r="AQ876" i="9"/>
  <c r="AO860" i="9"/>
  <c r="AS860" i="9"/>
  <c r="AP860" i="9"/>
  <c r="AQ860" i="9"/>
  <c r="AN860" i="9"/>
  <c r="AR860" i="9"/>
  <c r="AO848" i="9"/>
  <c r="AS848" i="9"/>
  <c r="AP848" i="9"/>
  <c r="AQ848" i="9"/>
  <c r="AN848" i="9"/>
  <c r="AR848" i="9"/>
  <c r="AO840" i="9"/>
  <c r="AS840" i="9"/>
  <c r="AP840" i="9"/>
  <c r="AQ840" i="9"/>
  <c r="AN840" i="9"/>
  <c r="AR840" i="9"/>
  <c r="AO832" i="9"/>
  <c r="AS832" i="9"/>
  <c r="AP832" i="9"/>
  <c r="AQ832" i="9"/>
  <c r="AN832" i="9"/>
  <c r="AR832" i="9"/>
  <c r="AO828" i="9"/>
  <c r="AS828" i="9"/>
  <c r="AP828" i="9"/>
  <c r="AQ828" i="9"/>
  <c r="AN828" i="9"/>
  <c r="AR828" i="9"/>
  <c r="AO812" i="9"/>
  <c r="AS812" i="9"/>
  <c r="AP812" i="9"/>
  <c r="AQ812" i="9"/>
  <c r="AN812" i="9"/>
  <c r="AR812" i="9"/>
  <c r="AO800" i="9"/>
  <c r="AS800" i="9"/>
  <c r="AP800" i="9"/>
  <c r="AQ800" i="9"/>
  <c r="AN800" i="9"/>
  <c r="AR800" i="9"/>
  <c r="AO796" i="9"/>
  <c r="AS796" i="9"/>
  <c r="AP796" i="9"/>
  <c r="AQ796" i="9"/>
  <c r="AN796" i="9"/>
  <c r="AR796" i="9"/>
  <c r="AO792" i="9"/>
  <c r="AS792" i="9"/>
  <c r="AP792" i="9"/>
  <c r="AQ792" i="9"/>
  <c r="AN792" i="9"/>
  <c r="AR792" i="9"/>
  <c r="AO788" i="9"/>
  <c r="AS788" i="9"/>
  <c r="AP788" i="9"/>
  <c r="AQ788" i="9"/>
  <c r="AN788" i="9"/>
  <c r="AR788" i="9"/>
  <c r="AO784" i="9"/>
  <c r="AS784" i="9"/>
  <c r="AP784" i="9"/>
  <c r="AQ784" i="9"/>
  <c r="AN784" i="9"/>
  <c r="AR784" i="9"/>
  <c r="AO772" i="9"/>
  <c r="AS772" i="9"/>
  <c r="AP772" i="9"/>
  <c r="AQ772" i="9"/>
  <c r="AN772" i="9"/>
  <c r="AR772" i="9"/>
  <c r="AN752" i="9"/>
  <c r="AR752" i="9"/>
  <c r="AO752" i="9"/>
  <c r="AS752" i="9"/>
  <c r="AP752" i="9"/>
  <c r="AQ752" i="9"/>
  <c r="AN748" i="9"/>
  <c r="AR748" i="9"/>
  <c r="AO748" i="9"/>
  <c r="AS748" i="9"/>
  <c r="AP748" i="9"/>
  <c r="AQ748" i="9"/>
  <c r="AN740" i="9"/>
  <c r="AR740" i="9"/>
  <c r="AO740" i="9"/>
  <c r="AS740" i="9"/>
  <c r="AP740" i="9"/>
  <c r="AQ740" i="9"/>
  <c r="AN720" i="9"/>
  <c r="AR720" i="9"/>
  <c r="AO720" i="9"/>
  <c r="AS720" i="9"/>
  <c r="AP720" i="9"/>
  <c r="AQ720" i="9"/>
  <c r="AP995" i="9"/>
  <c r="AQ995" i="9"/>
  <c r="AN995" i="9"/>
  <c r="AR995" i="9"/>
  <c r="AO995" i="9"/>
  <c r="AS995" i="9"/>
  <c r="AP991" i="9"/>
  <c r="AQ991" i="9"/>
  <c r="AN991" i="9"/>
  <c r="AR991" i="9"/>
  <c r="AO991" i="9"/>
  <c r="AS991" i="9"/>
  <c r="AP987" i="9"/>
  <c r="AQ987" i="9"/>
  <c r="AN987" i="9"/>
  <c r="AR987" i="9"/>
  <c r="AO987" i="9"/>
  <c r="AS987" i="9"/>
  <c r="AP983" i="9"/>
  <c r="AQ983" i="9"/>
  <c r="AN983" i="9"/>
  <c r="AR983" i="9"/>
  <c r="AO983" i="9"/>
  <c r="AS983" i="9"/>
  <c r="AP979" i="9"/>
  <c r="AQ979" i="9"/>
  <c r="AN979" i="9"/>
  <c r="AR979" i="9"/>
  <c r="AO979" i="9"/>
  <c r="AS979" i="9"/>
  <c r="AP975" i="9"/>
  <c r="AQ975" i="9"/>
  <c r="AN975" i="9"/>
  <c r="AR975" i="9"/>
  <c r="AO975" i="9"/>
  <c r="AS975" i="9"/>
  <c r="AP971" i="9"/>
  <c r="AQ971" i="9"/>
  <c r="AN971" i="9"/>
  <c r="AR971" i="9"/>
  <c r="AO971" i="9"/>
  <c r="AS971" i="9"/>
  <c r="AP967" i="9"/>
  <c r="AQ967" i="9"/>
  <c r="AN967" i="9"/>
  <c r="AR967" i="9"/>
  <c r="AO967" i="9"/>
  <c r="AS967" i="9"/>
  <c r="AP963" i="9"/>
  <c r="AQ963" i="9"/>
  <c r="AN963" i="9"/>
  <c r="AR963" i="9"/>
  <c r="AO963" i="9"/>
  <c r="AS963" i="9"/>
  <c r="AP959" i="9"/>
  <c r="AQ959" i="9"/>
  <c r="AN959" i="9"/>
  <c r="AR959" i="9"/>
  <c r="AO959" i="9"/>
  <c r="AS959" i="9"/>
  <c r="AP955" i="9"/>
  <c r="AQ955" i="9"/>
  <c r="AN955" i="9"/>
  <c r="AR955" i="9"/>
  <c r="AO955" i="9"/>
  <c r="AS955" i="9"/>
  <c r="AP951" i="9"/>
  <c r="AQ951" i="9"/>
  <c r="AN951" i="9"/>
  <c r="AR951" i="9"/>
  <c r="AO951" i="9"/>
  <c r="AS951" i="9"/>
  <c r="AP947" i="9"/>
  <c r="AQ947" i="9"/>
  <c r="AN947" i="9"/>
  <c r="AR947" i="9"/>
  <c r="AO947" i="9"/>
  <c r="AS947" i="9"/>
  <c r="AP943" i="9"/>
  <c r="AQ943" i="9"/>
  <c r="AN943" i="9"/>
  <c r="AR943" i="9"/>
  <c r="AO943" i="9"/>
  <c r="AS943" i="9"/>
  <c r="AP939" i="9"/>
  <c r="AQ939" i="9"/>
  <c r="AN939" i="9"/>
  <c r="AR939" i="9"/>
  <c r="AO939" i="9"/>
  <c r="AS939" i="9"/>
  <c r="AP935" i="9"/>
  <c r="AQ935" i="9"/>
  <c r="AN935" i="9"/>
  <c r="AR935" i="9"/>
  <c r="AO935" i="9"/>
  <c r="AS935" i="9"/>
  <c r="AP931" i="9"/>
  <c r="AQ931" i="9"/>
  <c r="AN931" i="9"/>
  <c r="AR931" i="9"/>
  <c r="AO931" i="9"/>
  <c r="AS931" i="9"/>
  <c r="AP927" i="9"/>
  <c r="AQ927" i="9"/>
  <c r="AN927" i="9"/>
  <c r="AR927" i="9"/>
  <c r="AO927" i="9"/>
  <c r="AS927" i="9"/>
  <c r="AP923" i="9"/>
  <c r="AQ923" i="9"/>
  <c r="AN923" i="9"/>
  <c r="AR923" i="9"/>
  <c r="AO923" i="9"/>
  <c r="AS923" i="9"/>
  <c r="AP919" i="9"/>
  <c r="AQ919" i="9"/>
  <c r="AN919" i="9"/>
  <c r="AR919" i="9"/>
  <c r="AO919" i="9"/>
  <c r="AS919" i="9"/>
  <c r="AP915" i="9"/>
  <c r="AQ915" i="9"/>
  <c r="AN915" i="9"/>
  <c r="AR915" i="9"/>
  <c r="AO915" i="9"/>
  <c r="AS915" i="9"/>
  <c r="AP911" i="9"/>
  <c r="AQ911" i="9"/>
  <c r="AN911" i="9"/>
  <c r="AR911" i="9"/>
  <c r="AO911" i="9"/>
  <c r="AS911" i="9"/>
  <c r="AP907" i="9"/>
  <c r="AQ907" i="9"/>
  <c r="AN907" i="9"/>
  <c r="AR907" i="9"/>
  <c r="AO907" i="9"/>
  <c r="AS907" i="9"/>
  <c r="AP903" i="9"/>
  <c r="AQ903" i="9"/>
  <c r="AN903" i="9"/>
  <c r="AR903" i="9"/>
  <c r="AO903" i="9"/>
  <c r="AS903" i="9"/>
  <c r="AP899" i="9"/>
  <c r="AQ899" i="9"/>
  <c r="AN899" i="9"/>
  <c r="AR899" i="9"/>
  <c r="AO899" i="9"/>
  <c r="AS899" i="9"/>
  <c r="AP895" i="9"/>
  <c r="AQ895" i="9"/>
  <c r="AN895" i="9"/>
  <c r="AR895" i="9"/>
  <c r="AO895" i="9"/>
  <c r="AS895" i="9"/>
  <c r="AP891" i="9"/>
  <c r="AQ891" i="9"/>
  <c r="AN891" i="9"/>
  <c r="AR891" i="9"/>
  <c r="AO891" i="9"/>
  <c r="AS891" i="9"/>
  <c r="AP887" i="9"/>
  <c r="AQ887" i="9"/>
  <c r="AN887" i="9"/>
  <c r="AR887" i="9"/>
  <c r="AO887" i="9"/>
  <c r="AS887" i="9"/>
  <c r="AP883" i="9"/>
  <c r="AQ883" i="9"/>
  <c r="AN883" i="9"/>
  <c r="AR883" i="9"/>
  <c r="AO883" i="9"/>
  <c r="AS883" i="9"/>
  <c r="AP879" i="9"/>
  <c r="AQ879" i="9"/>
  <c r="AN879" i="9"/>
  <c r="AR879" i="9"/>
  <c r="AO879" i="9"/>
  <c r="AS879" i="9"/>
  <c r="AP875" i="9"/>
  <c r="AQ875" i="9"/>
  <c r="AN875" i="9"/>
  <c r="AR875" i="9"/>
  <c r="AO875" i="9"/>
  <c r="AS875" i="9"/>
  <c r="AN871" i="9"/>
  <c r="AO871" i="9"/>
  <c r="AP871" i="9"/>
  <c r="AQ871" i="9"/>
  <c r="AR871" i="9"/>
  <c r="AS871" i="9"/>
  <c r="AQ867" i="9"/>
  <c r="AN867" i="9"/>
  <c r="AR867" i="9"/>
  <c r="AO867" i="9"/>
  <c r="AS867" i="9"/>
  <c r="AP867" i="9"/>
  <c r="AQ863" i="9"/>
  <c r="AN863" i="9"/>
  <c r="AR863" i="9"/>
  <c r="AO863" i="9"/>
  <c r="AS863" i="9"/>
  <c r="AP863" i="9"/>
  <c r="AQ859" i="9"/>
  <c r="AN859" i="9"/>
  <c r="AR859" i="9"/>
  <c r="AO859" i="9"/>
  <c r="AS859" i="9"/>
  <c r="AP859" i="9"/>
  <c r="AQ855" i="9"/>
  <c r="AN855" i="9"/>
  <c r="AR855" i="9"/>
  <c r="AO855" i="9"/>
  <c r="AS855" i="9"/>
  <c r="AP855" i="9"/>
  <c r="AQ851" i="9"/>
  <c r="AN851" i="9"/>
  <c r="AR851" i="9"/>
  <c r="AO851" i="9"/>
  <c r="AS851" i="9"/>
  <c r="AP851" i="9"/>
  <c r="AQ847" i="9"/>
  <c r="AN847" i="9"/>
  <c r="AR847" i="9"/>
  <c r="AO847" i="9"/>
  <c r="AS847" i="9"/>
  <c r="AP847" i="9"/>
  <c r="AQ843" i="9"/>
  <c r="AN843" i="9"/>
  <c r="AR843" i="9"/>
  <c r="AO843" i="9"/>
  <c r="AS843" i="9"/>
  <c r="AP843" i="9"/>
  <c r="AQ839" i="9"/>
  <c r="AN839" i="9"/>
  <c r="AR839" i="9"/>
  <c r="AO839" i="9"/>
  <c r="AS839" i="9"/>
  <c r="AP839" i="9"/>
  <c r="AQ835" i="9"/>
  <c r="AN835" i="9"/>
  <c r="AR835" i="9"/>
  <c r="AO835" i="9"/>
  <c r="AS835" i="9"/>
  <c r="AP835" i="9"/>
  <c r="AQ831" i="9"/>
  <c r="AN831" i="9"/>
  <c r="AR831" i="9"/>
  <c r="AO831" i="9"/>
  <c r="AS831" i="9"/>
  <c r="AP831" i="9"/>
  <c r="AQ827" i="9"/>
  <c r="AN827" i="9"/>
  <c r="AR827" i="9"/>
  <c r="AO827" i="9"/>
  <c r="AS827" i="9"/>
  <c r="AP827" i="9"/>
  <c r="AQ823" i="9"/>
  <c r="AN823" i="9"/>
  <c r="AR823" i="9"/>
  <c r="AO823" i="9"/>
  <c r="AS823" i="9"/>
  <c r="AP823" i="9"/>
  <c r="AQ819" i="9"/>
  <c r="AN819" i="9"/>
  <c r="AR819" i="9"/>
  <c r="AO819" i="9"/>
  <c r="AS819" i="9"/>
  <c r="AP819" i="9"/>
  <c r="AQ815" i="9"/>
  <c r="AN815" i="9"/>
  <c r="AR815" i="9"/>
  <c r="AO815" i="9"/>
  <c r="AS815" i="9"/>
  <c r="AP815" i="9"/>
  <c r="AQ811" i="9"/>
  <c r="AN811" i="9"/>
  <c r="AR811" i="9"/>
  <c r="AO811" i="9"/>
  <c r="AS811" i="9"/>
  <c r="AP811" i="9"/>
  <c r="AQ807" i="9"/>
  <c r="AN807" i="9"/>
  <c r="AR807" i="9"/>
  <c r="AO807" i="9"/>
  <c r="AS807" i="9"/>
  <c r="AP807" i="9"/>
  <c r="AQ803" i="9"/>
  <c r="AN803" i="9"/>
  <c r="AR803" i="9"/>
  <c r="AO803" i="9"/>
  <c r="AS803" i="9"/>
  <c r="AP803" i="9"/>
  <c r="AQ799" i="9"/>
  <c r="AN799" i="9"/>
  <c r="AR799" i="9"/>
  <c r="AO799" i="9"/>
  <c r="AS799" i="9"/>
  <c r="AP799" i="9"/>
  <c r="AQ795" i="9"/>
  <c r="AN795" i="9"/>
  <c r="AR795" i="9"/>
  <c r="AO795" i="9"/>
  <c r="AS795" i="9"/>
  <c r="AP795" i="9"/>
  <c r="AQ791" i="9"/>
  <c r="AN791" i="9"/>
  <c r="AR791" i="9"/>
  <c r="AO791" i="9"/>
  <c r="AS791" i="9"/>
  <c r="AP791" i="9"/>
  <c r="AQ787" i="9"/>
  <c r="AN787" i="9"/>
  <c r="AR787" i="9"/>
  <c r="AO787" i="9"/>
  <c r="AS787" i="9"/>
  <c r="AP787" i="9"/>
  <c r="AQ783" i="9"/>
  <c r="AN783" i="9"/>
  <c r="AR783" i="9"/>
  <c r="AO783" i="9"/>
  <c r="AS783" i="9"/>
  <c r="AP783" i="9"/>
  <c r="AQ779" i="9"/>
  <c r="AN779" i="9"/>
  <c r="AR779" i="9"/>
  <c r="AO779" i="9"/>
  <c r="AS779" i="9"/>
  <c r="AP779" i="9"/>
  <c r="AQ775" i="9"/>
  <c r="AN775" i="9"/>
  <c r="AR775" i="9"/>
  <c r="AO775" i="9"/>
  <c r="AS775" i="9"/>
  <c r="AP775" i="9"/>
  <c r="AQ771" i="9"/>
  <c r="AN771" i="9"/>
  <c r="AR771" i="9"/>
  <c r="AO771" i="9"/>
  <c r="AS771" i="9"/>
  <c r="AP771" i="9"/>
  <c r="AQ767" i="9"/>
  <c r="AN767" i="9"/>
  <c r="AR767" i="9"/>
  <c r="AO767" i="9"/>
  <c r="AS767" i="9"/>
  <c r="AP767" i="9"/>
  <c r="AQ763" i="9"/>
  <c r="AN763" i="9"/>
  <c r="AR763" i="9"/>
  <c r="AO763" i="9"/>
  <c r="AS763" i="9"/>
  <c r="AP763" i="9"/>
  <c r="AQ759" i="9"/>
  <c r="AN759" i="9"/>
  <c r="AR759" i="9"/>
  <c r="AO759" i="9"/>
  <c r="AS759" i="9"/>
  <c r="AP759" i="9"/>
  <c r="AP755" i="9"/>
  <c r="AQ755" i="9"/>
  <c r="AN755" i="9"/>
  <c r="AR755" i="9"/>
  <c r="AO755" i="9"/>
  <c r="AS755" i="9"/>
  <c r="AP751" i="9"/>
  <c r="AQ751" i="9"/>
  <c r="AN751" i="9"/>
  <c r="AR751" i="9"/>
  <c r="AO751" i="9"/>
  <c r="AS751" i="9"/>
  <c r="AP747" i="9"/>
  <c r="AQ747" i="9"/>
  <c r="AN747" i="9"/>
  <c r="AR747" i="9"/>
  <c r="AO747" i="9"/>
  <c r="AS747" i="9"/>
  <c r="AP743" i="9"/>
  <c r="AQ743" i="9"/>
  <c r="AN743" i="9"/>
  <c r="AR743" i="9"/>
  <c r="AO743" i="9"/>
  <c r="AS743" i="9"/>
  <c r="AP739" i="9"/>
  <c r="AQ739" i="9"/>
  <c r="AN739" i="9"/>
  <c r="AR739" i="9"/>
  <c r="AO739" i="9"/>
  <c r="AS739" i="9"/>
  <c r="AP735" i="9"/>
  <c r="AQ735" i="9"/>
  <c r="AN735" i="9"/>
  <c r="AR735" i="9"/>
  <c r="AO735" i="9"/>
  <c r="AS735" i="9"/>
  <c r="AP731" i="9"/>
  <c r="AQ731" i="9"/>
  <c r="AN731" i="9"/>
  <c r="AR731" i="9"/>
  <c r="AO731" i="9"/>
  <c r="AS731" i="9"/>
  <c r="AP727" i="9"/>
  <c r="AQ727" i="9"/>
  <c r="AN727" i="9"/>
  <c r="AR727" i="9"/>
  <c r="AO727" i="9"/>
  <c r="AS727" i="9"/>
  <c r="AP723" i="9"/>
  <c r="AQ723" i="9"/>
  <c r="AN723" i="9"/>
  <c r="AR723" i="9"/>
  <c r="AO723" i="9"/>
  <c r="AS723" i="9"/>
  <c r="AP719" i="9"/>
  <c r="AQ719" i="9"/>
  <c r="AN719" i="9"/>
  <c r="AR719" i="9"/>
  <c r="AO719" i="9"/>
  <c r="AS719" i="9"/>
  <c r="AP715" i="9"/>
  <c r="AQ715" i="9"/>
  <c r="AN715" i="9"/>
  <c r="AR715" i="9"/>
  <c r="AO715" i="9"/>
  <c r="AS715" i="9"/>
  <c r="AP711" i="9"/>
  <c r="AQ711" i="9"/>
  <c r="AN711" i="9"/>
  <c r="AR711" i="9"/>
  <c r="AO711" i="9"/>
  <c r="AS711" i="9"/>
  <c r="AP707" i="9"/>
  <c r="AQ707" i="9"/>
  <c r="AN707" i="9"/>
  <c r="AR707" i="9"/>
  <c r="AO707" i="9"/>
  <c r="AS707" i="9"/>
  <c r="AP703" i="9"/>
  <c r="AQ703" i="9"/>
  <c r="AN703" i="9"/>
  <c r="AR703" i="9"/>
  <c r="AO703" i="9"/>
  <c r="AS703" i="9"/>
  <c r="AP699" i="9"/>
  <c r="AQ699" i="9"/>
  <c r="AN699" i="9"/>
  <c r="AR699" i="9"/>
  <c r="AO699" i="9"/>
  <c r="AS699" i="9"/>
  <c r="AP695" i="9"/>
  <c r="AQ695" i="9"/>
  <c r="AN695" i="9"/>
  <c r="AR695" i="9"/>
  <c r="AO695" i="9"/>
  <c r="AS695" i="9"/>
  <c r="AP691" i="9"/>
  <c r="AQ691" i="9"/>
  <c r="AN691" i="9"/>
  <c r="AR691" i="9"/>
  <c r="AO691" i="9"/>
  <c r="AS691" i="9"/>
  <c r="AP687" i="9"/>
  <c r="AQ687" i="9"/>
  <c r="AN687" i="9"/>
  <c r="AR687" i="9"/>
  <c r="AO687" i="9"/>
  <c r="AS687" i="9"/>
  <c r="AP683" i="9"/>
  <c r="AQ683" i="9"/>
  <c r="AN683" i="9"/>
  <c r="AR683" i="9"/>
  <c r="AO683" i="9"/>
  <c r="AS683" i="9"/>
  <c r="AP679" i="9"/>
  <c r="AQ679" i="9"/>
  <c r="AN679" i="9"/>
  <c r="AR679" i="9"/>
  <c r="AO679" i="9"/>
  <c r="AS679" i="9"/>
  <c r="AP675" i="9"/>
  <c r="AQ675" i="9"/>
  <c r="AN675" i="9"/>
  <c r="AR675" i="9"/>
  <c r="AO675" i="9"/>
  <c r="AS675" i="9"/>
  <c r="AP671" i="9"/>
  <c r="AQ671" i="9"/>
  <c r="AN671" i="9"/>
  <c r="AR671" i="9"/>
  <c r="AO671" i="9"/>
  <c r="AS671" i="9"/>
  <c r="AP667" i="9"/>
  <c r="AQ667" i="9"/>
  <c r="AN667" i="9"/>
  <c r="AR667" i="9"/>
  <c r="AO667" i="9"/>
  <c r="AS667" i="9"/>
  <c r="AP663" i="9"/>
  <c r="AQ663" i="9"/>
  <c r="AN663" i="9"/>
  <c r="AR663" i="9"/>
  <c r="AO663" i="9"/>
  <c r="AS663" i="9"/>
  <c r="AP659" i="9"/>
  <c r="AQ659" i="9"/>
  <c r="AN659" i="9"/>
  <c r="AR659" i="9"/>
  <c r="AO659" i="9"/>
  <c r="AS659" i="9"/>
  <c r="AP655" i="9"/>
  <c r="AQ655" i="9"/>
  <c r="AN655" i="9"/>
  <c r="AR655" i="9"/>
  <c r="AO655" i="9"/>
  <c r="AS655" i="9"/>
  <c r="AP647" i="9"/>
  <c r="AQ647" i="9"/>
  <c r="AN647" i="9"/>
  <c r="AR647" i="9"/>
  <c r="AO647" i="9"/>
  <c r="AS647" i="9"/>
  <c r="AQ643" i="9"/>
  <c r="AN643" i="9"/>
  <c r="AR643" i="9"/>
  <c r="AO643" i="9"/>
  <c r="AS643" i="9"/>
  <c r="AP643" i="9"/>
  <c r="AQ635" i="9"/>
  <c r="AN635" i="9"/>
  <c r="AR635" i="9"/>
  <c r="AO635" i="9"/>
  <c r="AS635" i="9"/>
  <c r="AP635" i="9"/>
  <c r="AQ631" i="9"/>
  <c r="AN631" i="9"/>
  <c r="AR631" i="9"/>
  <c r="AO631" i="9"/>
  <c r="AS631" i="9"/>
  <c r="AP631" i="9"/>
  <c r="AQ623" i="9"/>
  <c r="AN623" i="9"/>
  <c r="AR623" i="9"/>
  <c r="AO623" i="9"/>
  <c r="AS623" i="9"/>
  <c r="AP623" i="9"/>
  <c r="AQ619" i="9"/>
  <c r="AN619" i="9"/>
  <c r="AR619" i="9"/>
  <c r="AO619" i="9"/>
  <c r="AS619" i="9"/>
  <c r="AP619" i="9"/>
  <c r="AQ609" i="9"/>
  <c r="AN609" i="9"/>
  <c r="AR609" i="9"/>
  <c r="AO609" i="9"/>
  <c r="AS609" i="9"/>
  <c r="AP609" i="9"/>
  <c r="AQ589" i="9"/>
  <c r="AN589" i="9"/>
  <c r="AR589" i="9"/>
  <c r="AO589" i="9"/>
  <c r="AS589" i="9"/>
  <c r="AP589" i="9"/>
  <c r="AO588" i="9"/>
  <c r="AS588" i="9"/>
  <c r="AP588" i="9"/>
  <c r="AQ588" i="9"/>
  <c r="AN588" i="9"/>
  <c r="AR588" i="9"/>
  <c r="AQ587" i="9"/>
  <c r="AN587" i="9"/>
  <c r="AR587" i="9"/>
  <c r="AO587" i="9"/>
  <c r="AS587" i="9"/>
  <c r="AP587" i="9"/>
  <c r="AQ583" i="9"/>
  <c r="AN583" i="9"/>
  <c r="AR583" i="9"/>
  <c r="AO583" i="9"/>
  <c r="AS583" i="9"/>
  <c r="AP583" i="9"/>
  <c r="AO574" i="9"/>
  <c r="AS574" i="9"/>
  <c r="AP574" i="9"/>
  <c r="AQ574" i="9"/>
  <c r="AN574" i="9"/>
  <c r="AR574" i="9"/>
  <c r="AO570" i="9"/>
  <c r="AS570" i="9"/>
  <c r="AP570" i="9"/>
  <c r="AQ570" i="9"/>
  <c r="AN570" i="9"/>
  <c r="AR570" i="9"/>
  <c r="AN984" i="9"/>
  <c r="AR984" i="9"/>
  <c r="AO984" i="9"/>
  <c r="AS984" i="9"/>
  <c r="AP984" i="9"/>
  <c r="AQ984" i="9"/>
  <c r="AN960" i="9"/>
  <c r="AR960" i="9"/>
  <c r="AO960" i="9"/>
  <c r="AS960" i="9"/>
  <c r="AP960" i="9"/>
  <c r="AQ960" i="9"/>
  <c r="AN956" i="9"/>
  <c r="AR956" i="9"/>
  <c r="AO956" i="9"/>
  <c r="AS956" i="9"/>
  <c r="AP956" i="9"/>
  <c r="AQ956" i="9"/>
  <c r="AN940" i="9"/>
  <c r="AR940" i="9"/>
  <c r="AO940" i="9"/>
  <c r="AS940" i="9"/>
  <c r="AP940" i="9"/>
  <c r="AQ940" i="9"/>
  <c r="AN912" i="9"/>
  <c r="AR912" i="9"/>
  <c r="AO912" i="9"/>
  <c r="AS912" i="9"/>
  <c r="AP912" i="9"/>
  <c r="AQ912" i="9"/>
  <c r="AN900" i="9"/>
  <c r="AR900" i="9"/>
  <c r="AO900" i="9"/>
  <c r="AS900" i="9"/>
  <c r="AP900" i="9"/>
  <c r="AQ900" i="9"/>
  <c r="AO868" i="9"/>
  <c r="AS868" i="9"/>
  <c r="AP868" i="9"/>
  <c r="AQ868" i="9"/>
  <c r="AN868" i="9"/>
  <c r="AR868" i="9"/>
  <c r="AO856" i="9"/>
  <c r="AS856" i="9"/>
  <c r="AP856" i="9"/>
  <c r="AQ856" i="9"/>
  <c r="AN856" i="9"/>
  <c r="AR856" i="9"/>
  <c r="AP999" i="9"/>
  <c r="AQ999" i="9"/>
  <c r="AR999" i="9"/>
  <c r="AN999" i="9"/>
  <c r="AO999" i="9"/>
  <c r="AS999" i="9"/>
  <c r="AN998" i="9"/>
  <c r="AR998" i="9"/>
  <c r="AO998" i="9"/>
  <c r="AS998" i="9"/>
  <c r="AP998" i="9"/>
  <c r="AQ998" i="9"/>
  <c r="AN994" i="9"/>
  <c r="AR994" i="9"/>
  <c r="AO994" i="9"/>
  <c r="AS994" i="9"/>
  <c r="AP994" i="9"/>
  <c r="AQ994" i="9"/>
  <c r="AN990" i="9"/>
  <c r="AR990" i="9"/>
  <c r="AO990" i="9"/>
  <c r="AS990" i="9"/>
  <c r="AP990" i="9"/>
  <c r="AQ990" i="9"/>
  <c r="AN986" i="9"/>
  <c r="AR986" i="9"/>
  <c r="AO986" i="9"/>
  <c r="AS986" i="9"/>
  <c r="AP986" i="9"/>
  <c r="AQ986" i="9"/>
  <c r="AN982" i="9"/>
  <c r="AR982" i="9"/>
  <c r="AO982" i="9"/>
  <c r="AS982" i="9"/>
  <c r="AP982" i="9"/>
  <c r="AQ982" i="9"/>
  <c r="AN978" i="9"/>
  <c r="AR978" i="9"/>
  <c r="AO978" i="9"/>
  <c r="AS978" i="9"/>
  <c r="AP978" i="9"/>
  <c r="AQ978" i="9"/>
  <c r="AN974" i="9"/>
  <c r="AR974" i="9"/>
  <c r="AO974" i="9"/>
  <c r="AS974" i="9"/>
  <c r="AP974" i="9"/>
  <c r="AQ974" i="9"/>
  <c r="AN970" i="9"/>
  <c r="AR970" i="9"/>
  <c r="AO970" i="9"/>
  <c r="AS970" i="9"/>
  <c r="AP970" i="9"/>
  <c r="AQ970" i="9"/>
  <c r="AN966" i="9"/>
  <c r="AR966" i="9"/>
  <c r="AO966" i="9"/>
  <c r="AS966" i="9"/>
  <c r="AP966" i="9"/>
  <c r="AQ966" i="9"/>
  <c r="AN962" i="9"/>
  <c r="AR962" i="9"/>
  <c r="AO962" i="9"/>
  <c r="AS962" i="9"/>
  <c r="AP962" i="9"/>
  <c r="AQ962" i="9"/>
  <c r="AN958" i="9"/>
  <c r="AR958" i="9"/>
  <c r="AO958" i="9"/>
  <c r="AS958" i="9"/>
  <c r="AP958" i="9"/>
  <c r="AQ958" i="9"/>
  <c r="AN954" i="9"/>
  <c r="AR954" i="9"/>
  <c r="AO954" i="9"/>
  <c r="AS954" i="9"/>
  <c r="AP954" i="9"/>
  <c r="AQ954" i="9"/>
  <c r="AN950" i="9"/>
  <c r="AR950" i="9"/>
  <c r="AO950" i="9"/>
  <c r="AS950" i="9"/>
  <c r="AP950" i="9"/>
  <c r="AQ950" i="9"/>
  <c r="AN946" i="9"/>
  <c r="AR946" i="9"/>
  <c r="AO946" i="9"/>
  <c r="AS946" i="9"/>
  <c r="AP946" i="9"/>
  <c r="AQ946" i="9"/>
  <c r="AN942" i="9"/>
  <c r="AR942" i="9"/>
  <c r="AO942" i="9"/>
  <c r="AS942" i="9"/>
  <c r="AP942" i="9"/>
  <c r="AQ942" i="9"/>
  <c r="AN938" i="9"/>
  <c r="AR938" i="9"/>
  <c r="AO938" i="9"/>
  <c r="AS938" i="9"/>
  <c r="AP938" i="9"/>
  <c r="AQ938" i="9"/>
  <c r="AN934" i="9"/>
  <c r="AR934" i="9"/>
  <c r="AO934" i="9"/>
  <c r="AS934" i="9"/>
  <c r="AP934" i="9"/>
  <c r="AQ934" i="9"/>
  <c r="AN930" i="9"/>
  <c r="AR930" i="9"/>
  <c r="AO930" i="9"/>
  <c r="AS930" i="9"/>
  <c r="AP930" i="9"/>
  <c r="AQ930" i="9"/>
  <c r="AN926" i="9"/>
  <c r="AR926" i="9"/>
  <c r="AO926" i="9"/>
  <c r="AS926" i="9"/>
  <c r="AP926" i="9"/>
  <c r="AQ926" i="9"/>
  <c r="AN918" i="9"/>
  <c r="AR918" i="9"/>
  <c r="AO918" i="9"/>
  <c r="AS918" i="9"/>
  <c r="AP918" i="9"/>
  <c r="AQ918" i="9"/>
  <c r="AN914" i="9"/>
  <c r="AR914" i="9"/>
  <c r="AO914" i="9"/>
  <c r="AS914" i="9"/>
  <c r="AP914" i="9"/>
  <c r="AQ914" i="9"/>
  <c r="AN910" i="9"/>
  <c r="AR910" i="9"/>
  <c r="AO910" i="9"/>
  <c r="AS910" i="9"/>
  <c r="AP910" i="9"/>
  <c r="AQ910" i="9"/>
  <c r="AN902" i="9"/>
  <c r="AR902" i="9"/>
  <c r="AO902" i="9"/>
  <c r="AS902" i="9"/>
  <c r="AP902" i="9"/>
  <c r="AQ902" i="9"/>
  <c r="AN894" i="9"/>
  <c r="AR894" i="9"/>
  <c r="AO894" i="9"/>
  <c r="AS894" i="9"/>
  <c r="AP894" i="9"/>
  <c r="AQ894" i="9"/>
  <c r="AN890" i="9"/>
  <c r="AR890" i="9"/>
  <c r="AO890" i="9"/>
  <c r="AS890" i="9"/>
  <c r="AP890" i="9"/>
  <c r="AQ890" i="9"/>
  <c r="AN882" i="9"/>
  <c r="AR882" i="9"/>
  <c r="AO882" i="9"/>
  <c r="AS882" i="9"/>
  <c r="AP882" i="9"/>
  <c r="AQ882" i="9"/>
  <c r="AN878" i="9"/>
  <c r="AR878" i="9"/>
  <c r="AO878" i="9"/>
  <c r="AS878" i="9"/>
  <c r="AP878" i="9"/>
  <c r="AQ878" i="9"/>
  <c r="AN874" i="9"/>
  <c r="AR874" i="9"/>
  <c r="AO874" i="9"/>
  <c r="AS874" i="9"/>
  <c r="AP874" i="9"/>
  <c r="AQ874" i="9"/>
  <c r="AO870" i="9"/>
  <c r="AS870" i="9"/>
  <c r="AP870" i="9"/>
  <c r="AQ870" i="9"/>
  <c r="AN870" i="9"/>
  <c r="AR870" i="9"/>
  <c r="AO866" i="9"/>
  <c r="AS866" i="9"/>
  <c r="AP866" i="9"/>
  <c r="AQ866" i="9"/>
  <c r="AN866" i="9"/>
  <c r="AR866" i="9"/>
  <c r="AO862" i="9"/>
  <c r="AS862" i="9"/>
  <c r="AP862" i="9"/>
  <c r="AQ862" i="9"/>
  <c r="AN862" i="9"/>
  <c r="AR862" i="9"/>
  <c r="AO858" i="9"/>
  <c r="AS858" i="9"/>
  <c r="AP858" i="9"/>
  <c r="AQ858" i="9"/>
  <c r="AN858" i="9"/>
  <c r="AR858" i="9"/>
  <c r="AO854" i="9"/>
  <c r="AS854" i="9"/>
  <c r="AP854" i="9"/>
  <c r="AQ854" i="9"/>
  <c r="AN854" i="9"/>
  <c r="AR854" i="9"/>
  <c r="AO850" i="9"/>
  <c r="AS850" i="9"/>
  <c r="AP850" i="9"/>
  <c r="AQ850" i="9"/>
  <c r="AN850" i="9"/>
  <c r="AR850" i="9"/>
  <c r="AO846" i="9"/>
  <c r="AS846" i="9"/>
  <c r="AP846" i="9"/>
  <c r="AQ846" i="9"/>
  <c r="AN846" i="9"/>
  <c r="AR846" i="9"/>
  <c r="AO842" i="9"/>
  <c r="AS842" i="9"/>
  <c r="AP842" i="9"/>
  <c r="AQ842" i="9"/>
  <c r="AN842" i="9"/>
  <c r="AR842" i="9"/>
  <c r="AO838" i="9"/>
  <c r="AS838" i="9"/>
  <c r="AP838" i="9"/>
  <c r="AQ838" i="9"/>
  <c r="AN838" i="9"/>
  <c r="AR838" i="9"/>
  <c r="AO834" i="9"/>
  <c r="AS834" i="9"/>
  <c r="AP834" i="9"/>
  <c r="AQ834" i="9"/>
  <c r="AN834" i="9"/>
  <c r="AR834" i="9"/>
  <c r="AO830" i="9"/>
  <c r="AS830" i="9"/>
  <c r="AP830" i="9"/>
  <c r="AQ830" i="9"/>
  <c r="AN830" i="9"/>
  <c r="AR830" i="9"/>
  <c r="AO826" i="9"/>
  <c r="AS826" i="9"/>
  <c r="AP826" i="9"/>
  <c r="AQ826" i="9"/>
  <c r="AN826" i="9"/>
  <c r="AR826" i="9"/>
  <c r="AO822" i="9"/>
  <c r="AS822" i="9"/>
  <c r="AP822" i="9"/>
  <c r="AQ822" i="9"/>
  <c r="AN822" i="9"/>
  <c r="AR822" i="9"/>
  <c r="AO818" i="9"/>
  <c r="AS818" i="9"/>
  <c r="AP818" i="9"/>
  <c r="AQ818" i="9"/>
  <c r="AN818" i="9"/>
  <c r="AR818" i="9"/>
  <c r="AO814" i="9"/>
  <c r="AS814" i="9"/>
  <c r="AP814" i="9"/>
  <c r="AQ814" i="9"/>
  <c r="AN814" i="9"/>
  <c r="AR814" i="9"/>
  <c r="AO810" i="9"/>
  <c r="AS810" i="9"/>
  <c r="AP810" i="9"/>
  <c r="AQ810" i="9"/>
  <c r="AN810" i="9"/>
  <c r="AR810" i="9"/>
  <c r="AO806" i="9"/>
  <c r="AS806" i="9"/>
  <c r="AP806" i="9"/>
  <c r="AQ806" i="9"/>
  <c r="AN806" i="9"/>
  <c r="AR806" i="9"/>
  <c r="AO802" i="9"/>
  <c r="AS802" i="9"/>
  <c r="AP802" i="9"/>
  <c r="AQ802" i="9"/>
  <c r="AN802" i="9"/>
  <c r="AR802" i="9"/>
  <c r="AO798" i="9"/>
  <c r="AS798" i="9"/>
  <c r="AP798" i="9"/>
  <c r="AQ798" i="9"/>
  <c r="AN798" i="9"/>
  <c r="AR798" i="9"/>
  <c r="AO794" i="9"/>
  <c r="AS794" i="9"/>
  <c r="AP794" i="9"/>
  <c r="AQ794" i="9"/>
  <c r="AN794" i="9"/>
  <c r="AR794" i="9"/>
  <c r="AO790" i="9"/>
  <c r="AS790" i="9"/>
  <c r="AP790" i="9"/>
  <c r="AQ790" i="9"/>
  <c r="AN790" i="9"/>
  <c r="AR790" i="9"/>
  <c r="AO786" i="9"/>
  <c r="AS786" i="9"/>
  <c r="AP786" i="9"/>
  <c r="AQ786" i="9"/>
  <c r="AN786" i="9"/>
  <c r="AR786" i="9"/>
  <c r="AO782" i="9"/>
  <c r="AS782" i="9"/>
  <c r="AP782" i="9"/>
  <c r="AQ782" i="9"/>
  <c r="AN782" i="9"/>
  <c r="AR782" i="9"/>
  <c r="AO778" i="9"/>
  <c r="AS778" i="9"/>
  <c r="AP778" i="9"/>
  <c r="AQ778" i="9"/>
  <c r="AN778" i="9"/>
  <c r="AR778" i="9"/>
  <c r="AO774" i="9"/>
  <c r="AS774" i="9"/>
  <c r="AP774" i="9"/>
  <c r="AQ774" i="9"/>
  <c r="AN774" i="9"/>
  <c r="AR774" i="9"/>
  <c r="AO770" i="9"/>
  <c r="AS770" i="9"/>
  <c r="AP770" i="9"/>
  <c r="AQ770" i="9"/>
  <c r="AN770" i="9"/>
  <c r="AR770" i="9"/>
  <c r="AO766" i="9"/>
  <c r="AS766" i="9"/>
  <c r="AP766" i="9"/>
  <c r="AQ766" i="9"/>
  <c r="AN766" i="9"/>
  <c r="AR766" i="9"/>
  <c r="AO762" i="9"/>
  <c r="AS762" i="9"/>
  <c r="AP762" i="9"/>
  <c r="AQ762" i="9"/>
  <c r="AN762" i="9"/>
  <c r="AR762" i="9"/>
  <c r="AO758" i="9"/>
  <c r="AS758" i="9"/>
  <c r="AP758" i="9"/>
  <c r="AQ758" i="9"/>
  <c r="AN758" i="9"/>
  <c r="AR758" i="9"/>
  <c r="AN754" i="9"/>
  <c r="AR754" i="9"/>
  <c r="AO754" i="9"/>
  <c r="AS754" i="9"/>
  <c r="AP754" i="9"/>
  <c r="AQ754" i="9"/>
  <c r="AN750" i="9"/>
  <c r="AR750" i="9"/>
  <c r="AO750" i="9"/>
  <c r="AS750" i="9"/>
  <c r="AP750" i="9"/>
  <c r="AQ750" i="9"/>
  <c r="AN746" i="9"/>
  <c r="AR746" i="9"/>
  <c r="AO746" i="9"/>
  <c r="AS746" i="9"/>
  <c r="AP746" i="9"/>
  <c r="AQ746" i="9"/>
  <c r="AN742" i="9"/>
  <c r="AR742" i="9"/>
  <c r="AO742" i="9"/>
  <c r="AS742" i="9"/>
  <c r="AP742" i="9"/>
  <c r="AQ742" i="9"/>
  <c r="AN738" i="9"/>
  <c r="AR738" i="9"/>
  <c r="AO738" i="9"/>
  <c r="AS738" i="9"/>
  <c r="AP738" i="9"/>
  <c r="AQ738" i="9"/>
  <c r="AN734" i="9"/>
  <c r="AR734" i="9"/>
  <c r="AO734" i="9"/>
  <c r="AS734" i="9"/>
  <c r="AP734" i="9"/>
  <c r="AQ734" i="9"/>
  <c r="AN730" i="9"/>
  <c r="AR730" i="9"/>
  <c r="AO730" i="9"/>
  <c r="AS730" i="9"/>
  <c r="AP730" i="9"/>
  <c r="AQ730" i="9"/>
  <c r="AN726" i="9"/>
  <c r="AR726" i="9"/>
  <c r="AO726" i="9"/>
  <c r="AS726" i="9"/>
  <c r="AP726" i="9"/>
  <c r="AQ726" i="9"/>
  <c r="AN722" i="9"/>
  <c r="AR722" i="9"/>
  <c r="AO722" i="9"/>
  <c r="AS722" i="9"/>
  <c r="AP722" i="9"/>
  <c r="AQ722" i="9"/>
  <c r="AN718" i="9"/>
  <c r="AR718" i="9"/>
  <c r="AO718" i="9"/>
  <c r="AS718" i="9"/>
  <c r="AP718" i="9"/>
  <c r="AQ718" i="9"/>
  <c r="AN714" i="9"/>
  <c r="AR714" i="9"/>
  <c r="AO714" i="9"/>
  <c r="AS714" i="9"/>
  <c r="AP714" i="9"/>
  <c r="AQ714" i="9"/>
  <c r="AN710" i="9"/>
  <c r="AR710" i="9"/>
  <c r="AO710" i="9"/>
  <c r="AS710" i="9"/>
  <c r="AP710" i="9"/>
  <c r="AQ710" i="9"/>
  <c r="AN706" i="9"/>
  <c r="AR706" i="9"/>
  <c r="AO706" i="9"/>
  <c r="AS706" i="9"/>
  <c r="AP706" i="9"/>
  <c r="AQ706" i="9"/>
  <c r="AN702" i="9"/>
  <c r="AR702" i="9"/>
  <c r="AO702" i="9"/>
  <c r="AS702" i="9"/>
  <c r="AP702" i="9"/>
  <c r="AQ702" i="9"/>
  <c r="AN698" i="9"/>
  <c r="AR698" i="9"/>
  <c r="AO698" i="9"/>
  <c r="AS698" i="9"/>
  <c r="AP698" i="9"/>
  <c r="AQ698" i="9"/>
  <c r="AN694" i="9"/>
  <c r="AR694" i="9"/>
  <c r="AO694" i="9"/>
  <c r="AS694" i="9"/>
  <c r="AP694" i="9"/>
  <c r="AQ694" i="9"/>
  <c r="AN690" i="9"/>
  <c r="AR690" i="9"/>
  <c r="AO690" i="9"/>
  <c r="AS690" i="9"/>
  <c r="AP690" i="9"/>
  <c r="AQ690" i="9"/>
  <c r="AN686" i="9"/>
  <c r="AR686" i="9"/>
  <c r="AO686" i="9"/>
  <c r="AS686" i="9"/>
  <c r="AP686" i="9"/>
  <c r="AQ686" i="9"/>
  <c r="AN682" i="9"/>
  <c r="AR682" i="9"/>
  <c r="AO682" i="9"/>
  <c r="AS682" i="9"/>
  <c r="AP682" i="9"/>
  <c r="AQ682" i="9"/>
  <c r="AN678" i="9"/>
  <c r="AR678" i="9"/>
  <c r="AO678" i="9"/>
  <c r="AS678" i="9"/>
  <c r="AP678" i="9"/>
  <c r="AQ678" i="9"/>
  <c r="AN674" i="9"/>
  <c r="AR674" i="9"/>
  <c r="AO674" i="9"/>
  <c r="AS674" i="9"/>
  <c r="AP674" i="9"/>
  <c r="AQ674" i="9"/>
  <c r="AN670" i="9"/>
  <c r="AR670" i="9"/>
  <c r="AO670" i="9"/>
  <c r="AS670" i="9"/>
  <c r="AP670" i="9"/>
  <c r="AQ670" i="9"/>
  <c r="AN666" i="9"/>
  <c r="AR666" i="9"/>
  <c r="AO666" i="9"/>
  <c r="AS666" i="9"/>
  <c r="AP666" i="9"/>
  <c r="AQ666" i="9"/>
  <c r="AN662" i="9"/>
  <c r="AR662" i="9"/>
  <c r="AO662" i="9"/>
  <c r="AS662" i="9"/>
  <c r="AP662" i="9"/>
  <c r="AQ662" i="9"/>
  <c r="AN658" i="9"/>
  <c r="AR658" i="9"/>
  <c r="AO658" i="9"/>
  <c r="AS658" i="9"/>
  <c r="AP658" i="9"/>
  <c r="AQ658" i="9"/>
  <c r="AN654" i="9"/>
  <c r="AR654" i="9"/>
  <c r="AO654" i="9"/>
  <c r="AS654" i="9"/>
  <c r="AP654" i="9"/>
  <c r="AQ654" i="9"/>
  <c r="AN646" i="9"/>
  <c r="AR646" i="9"/>
  <c r="AO646" i="9"/>
  <c r="AS646" i="9"/>
  <c r="AP646" i="9"/>
  <c r="AQ646" i="9"/>
  <c r="AO642" i="9"/>
  <c r="AS642" i="9"/>
  <c r="AP642" i="9"/>
  <c r="AQ642" i="9"/>
  <c r="AN642" i="9"/>
  <c r="AR642" i="9"/>
  <c r="AO634" i="9"/>
  <c r="AS634" i="9"/>
  <c r="AP634" i="9"/>
  <c r="AQ634" i="9"/>
  <c r="AN634" i="9"/>
  <c r="AR634" i="9"/>
  <c r="AO630" i="9"/>
  <c r="AS630" i="9"/>
  <c r="AP630" i="9"/>
  <c r="AQ630" i="9"/>
  <c r="AN630" i="9"/>
  <c r="AR630" i="9"/>
  <c r="AO622" i="9"/>
  <c r="AS622" i="9"/>
  <c r="AP622" i="9"/>
  <c r="AQ622" i="9"/>
  <c r="AN622" i="9"/>
  <c r="AR622" i="9"/>
  <c r="AO618" i="9"/>
  <c r="AS618" i="9"/>
  <c r="AP618" i="9"/>
  <c r="AQ618" i="9"/>
  <c r="AN618" i="9"/>
  <c r="AR618" i="9"/>
  <c r="AO608" i="9"/>
  <c r="AS608" i="9"/>
  <c r="AP608" i="9"/>
  <c r="AQ608" i="9"/>
  <c r="AN608" i="9"/>
  <c r="AR608" i="9"/>
  <c r="AO586" i="9"/>
  <c r="AS586" i="9"/>
  <c r="AP586" i="9"/>
  <c r="AQ586" i="9"/>
  <c r="AN586" i="9"/>
  <c r="AR586" i="9"/>
  <c r="AO582" i="9"/>
  <c r="AS582" i="9"/>
  <c r="AP582" i="9"/>
  <c r="AQ582" i="9"/>
  <c r="AN582" i="9"/>
  <c r="AR582" i="9"/>
  <c r="AQ577" i="9"/>
  <c r="AN577" i="9"/>
  <c r="AR577" i="9"/>
  <c r="AO577" i="9"/>
  <c r="AS577" i="9"/>
  <c r="AP577" i="9"/>
  <c r="AQ573" i="9"/>
  <c r="AN573" i="9"/>
  <c r="AR573" i="9"/>
  <c r="AO573" i="9"/>
  <c r="AS573" i="9"/>
  <c r="AP573" i="9"/>
  <c r="AN121" i="9"/>
  <c r="AR121" i="9"/>
  <c r="AO121" i="9"/>
  <c r="AS121" i="9"/>
  <c r="AP121" i="9"/>
  <c r="AQ121" i="9"/>
  <c r="AP120" i="9"/>
  <c r="AQ120" i="9"/>
  <c r="AN120" i="9"/>
  <c r="AR120" i="9"/>
  <c r="AO120" i="9"/>
  <c r="AS120" i="9"/>
  <c r="AN119" i="9"/>
  <c r="AR119" i="9"/>
  <c r="AO119" i="9"/>
  <c r="AS119" i="9"/>
  <c r="AP119" i="9"/>
  <c r="AQ119" i="9"/>
  <c r="AN109" i="9"/>
  <c r="AR109" i="9"/>
  <c r="AO109" i="9"/>
  <c r="AS109" i="9"/>
  <c r="AP109" i="9"/>
  <c r="AQ109" i="9"/>
  <c r="AP108" i="9"/>
  <c r="AQ108" i="9"/>
  <c r="AN108" i="9"/>
  <c r="AR108" i="9"/>
  <c r="AO108" i="9"/>
  <c r="AS108" i="9"/>
  <c r="AN107" i="9"/>
  <c r="AR107" i="9"/>
  <c r="AO107" i="9"/>
  <c r="AS107" i="9"/>
  <c r="AP107" i="9"/>
  <c r="AQ107" i="9"/>
  <c r="AN97" i="9"/>
  <c r="AR97" i="9"/>
  <c r="AO97" i="9"/>
  <c r="AS97" i="9"/>
  <c r="AP97" i="9"/>
  <c r="AQ97" i="9"/>
  <c r="AP96" i="9"/>
  <c r="AQ96" i="9"/>
  <c r="AN96" i="9"/>
  <c r="AR96" i="9"/>
  <c r="AO96" i="9"/>
  <c r="AS96" i="9"/>
  <c r="AN95" i="9"/>
  <c r="AR95" i="9"/>
  <c r="AO95" i="9"/>
  <c r="AS95" i="9"/>
  <c r="AP95" i="9"/>
  <c r="AQ95" i="9"/>
  <c r="AP85" i="9"/>
  <c r="AQ85" i="9"/>
  <c r="AN85" i="9"/>
  <c r="AR85" i="9"/>
  <c r="AO85" i="9"/>
  <c r="AS85" i="9"/>
  <c r="AN84" i="9"/>
  <c r="AR84" i="9"/>
  <c r="AO84" i="9"/>
  <c r="AS84" i="9"/>
  <c r="AP84" i="9"/>
  <c r="AQ84" i="9"/>
  <c r="AP83" i="9"/>
  <c r="AQ83" i="9"/>
  <c r="AN83" i="9"/>
  <c r="AR83" i="9"/>
  <c r="AO83" i="9"/>
  <c r="AS83" i="9"/>
  <c r="AP73" i="9"/>
  <c r="AQ73" i="9"/>
  <c r="AN73" i="9"/>
  <c r="AR73" i="9"/>
  <c r="AO73" i="9"/>
  <c r="AS73" i="9"/>
  <c r="AN72" i="9"/>
  <c r="AR72" i="9"/>
  <c r="AO72" i="9"/>
  <c r="AS72" i="9"/>
  <c r="AP72" i="9"/>
  <c r="AQ72" i="9"/>
  <c r="AP71" i="9"/>
  <c r="AQ71" i="9"/>
  <c r="AN71" i="9"/>
  <c r="AR71" i="9"/>
  <c r="AO71" i="9"/>
  <c r="AS71" i="9"/>
  <c r="AP61" i="9"/>
  <c r="AQ61" i="9"/>
  <c r="AN61" i="9"/>
  <c r="AR61" i="9"/>
  <c r="AO61" i="9"/>
  <c r="AS61" i="9"/>
  <c r="AN60" i="9"/>
  <c r="AR60" i="9"/>
  <c r="AO60" i="9"/>
  <c r="AS60" i="9"/>
  <c r="AP60" i="9"/>
  <c r="AQ60" i="9"/>
  <c r="AP59" i="9"/>
  <c r="AQ59" i="9"/>
  <c r="AN59" i="9"/>
  <c r="AR59" i="9"/>
  <c r="AO59" i="9"/>
  <c r="AS59" i="9"/>
  <c r="AP49" i="9"/>
  <c r="AQ49" i="9"/>
  <c r="AN49" i="9"/>
  <c r="AR49" i="9"/>
  <c r="AO49" i="9"/>
  <c r="AS49" i="9"/>
  <c r="AN48" i="9"/>
  <c r="AR48" i="9"/>
  <c r="AO48" i="9"/>
  <c r="AS48" i="9"/>
  <c r="AP48" i="9"/>
  <c r="AQ48" i="9"/>
  <c r="AP47" i="9"/>
  <c r="AQ47" i="9"/>
  <c r="AN47" i="9"/>
  <c r="AR47" i="9"/>
  <c r="AO47" i="9"/>
  <c r="AS47" i="9"/>
  <c r="AP37" i="9"/>
  <c r="AQ37" i="9"/>
  <c r="AN37" i="9"/>
  <c r="AR37" i="9"/>
  <c r="AO37" i="9"/>
  <c r="AS37" i="9"/>
  <c r="AN36" i="9"/>
  <c r="AR36" i="9"/>
  <c r="AO36" i="9"/>
  <c r="AS36" i="9"/>
  <c r="AP36" i="9"/>
  <c r="AQ36" i="9"/>
  <c r="AP35" i="9"/>
  <c r="AQ35" i="9"/>
  <c r="AN35" i="9"/>
  <c r="AR35" i="9"/>
  <c r="AO35" i="9"/>
  <c r="AS35" i="9"/>
  <c r="AN1000" i="9"/>
  <c r="AR1000" i="9"/>
  <c r="AP1000" i="9"/>
  <c r="AO1000" i="9"/>
  <c r="AS1000" i="9"/>
  <c r="AQ1000" i="9"/>
  <c r="AN996" i="9"/>
  <c r="AR996" i="9"/>
  <c r="AO996" i="9"/>
  <c r="AS996" i="9"/>
  <c r="AP996" i="9"/>
  <c r="AQ996" i="9"/>
  <c r="AN992" i="9"/>
  <c r="AR992" i="9"/>
  <c r="AO992" i="9"/>
  <c r="AS992" i="9"/>
  <c r="AP992" i="9"/>
  <c r="AQ992" i="9"/>
  <c r="AN988" i="9"/>
  <c r="AR988" i="9"/>
  <c r="AO988" i="9"/>
  <c r="AS988" i="9"/>
  <c r="AP988" i="9"/>
  <c r="AQ988" i="9"/>
  <c r="AN980" i="9"/>
  <c r="AR980" i="9"/>
  <c r="AO980" i="9"/>
  <c r="AS980" i="9"/>
  <c r="AP980" i="9"/>
  <c r="AQ980" i="9"/>
  <c r="AN976" i="9"/>
  <c r="AR976" i="9"/>
  <c r="AO976" i="9"/>
  <c r="AS976" i="9"/>
  <c r="AP976" i="9"/>
  <c r="AQ976" i="9"/>
  <c r="AN972" i="9"/>
  <c r="AR972" i="9"/>
  <c r="AO972" i="9"/>
  <c r="AS972" i="9"/>
  <c r="AP972" i="9"/>
  <c r="AQ972" i="9"/>
  <c r="AN932" i="9"/>
  <c r="AR932" i="9"/>
  <c r="AO932" i="9"/>
  <c r="AS932" i="9"/>
  <c r="AP932" i="9"/>
  <c r="AQ932" i="9"/>
  <c r="AN928" i="9"/>
  <c r="AR928" i="9"/>
  <c r="AO928" i="9"/>
  <c r="AS928" i="9"/>
  <c r="AP928" i="9"/>
  <c r="AQ928" i="9"/>
  <c r="AN916" i="9"/>
  <c r="AR916" i="9"/>
  <c r="AO916" i="9"/>
  <c r="AS916" i="9"/>
  <c r="AP916" i="9"/>
  <c r="AQ916" i="9"/>
  <c r="AN884" i="9"/>
  <c r="AR884" i="9"/>
  <c r="AO884" i="9"/>
  <c r="AS884" i="9"/>
  <c r="AP884" i="9"/>
  <c r="AQ884" i="9"/>
  <c r="AN880" i="9"/>
  <c r="AR880" i="9"/>
  <c r="AO880" i="9"/>
  <c r="AS880" i="9"/>
  <c r="AP880" i="9"/>
  <c r="AQ880" i="9"/>
  <c r="AN872" i="9"/>
  <c r="AR872" i="9"/>
  <c r="AO872" i="9"/>
  <c r="AS872" i="9"/>
  <c r="AP872" i="9"/>
  <c r="AQ872" i="9"/>
  <c r="AO864" i="9"/>
  <c r="AS864" i="9"/>
  <c r="AP864" i="9"/>
  <c r="AQ864" i="9"/>
  <c r="AN864" i="9"/>
  <c r="AR864" i="9"/>
  <c r="AO852" i="9"/>
  <c r="AS852" i="9"/>
  <c r="AP852" i="9"/>
  <c r="AQ852" i="9"/>
  <c r="AN852" i="9"/>
  <c r="AR852" i="9"/>
  <c r="AO844" i="9"/>
  <c r="AS844" i="9"/>
  <c r="AP844" i="9"/>
  <c r="AQ844" i="9"/>
  <c r="AN844" i="9"/>
  <c r="AR844" i="9"/>
  <c r="AN922" i="9"/>
  <c r="AR922" i="9"/>
  <c r="AO922" i="9"/>
  <c r="AS922" i="9"/>
  <c r="AP922" i="9"/>
  <c r="AQ922" i="9"/>
  <c r="AN906" i="9"/>
  <c r="AR906" i="9"/>
  <c r="AO906" i="9"/>
  <c r="AS906" i="9"/>
  <c r="AP906" i="9"/>
  <c r="AQ906" i="9"/>
  <c r="AN898" i="9"/>
  <c r="AR898" i="9"/>
  <c r="AO898" i="9"/>
  <c r="AS898" i="9"/>
  <c r="AP898" i="9"/>
  <c r="AQ898" i="9"/>
  <c r="AN886" i="9"/>
  <c r="AR886" i="9"/>
  <c r="AO886" i="9"/>
  <c r="AS886" i="9"/>
  <c r="AP886" i="9"/>
  <c r="AQ886" i="9"/>
  <c r="AP997" i="9"/>
  <c r="AQ997" i="9"/>
  <c r="AN997" i="9"/>
  <c r="AR997" i="9"/>
  <c r="AO997" i="9"/>
  <c r="AS997" i="9"/>
  <c r="AP993" i="9"/>
  <c r="AQ993" i="9"/>
  <c r="AN993" i="9"/>
  <c r="AR993" i="9"/>
  <c r="AO993" i="9"/>
  <c r="AS993" i="9"/>
  <c r="AP989" i="9"/>
  <c r="AQ989" i="9"/>
  <c r="AN989" i="9"/>
  <c r="AR989" i="9"/>
  <c r="AO989" i="9"/>
  <c r="AS989" i="9"/>
  <c r="AP985" i="9"/>
  <c r="AQ985" i="9"/>
  <c r="AN985" i="9"/>
  <c r="AR985" i="9"/>
  <c r="AO985" i="9"/>
  <c r="AS985" i="9"/>
  <c r="AP981" i="9"/>
  <c r="AQ981" i="9"/>
  <c r="AN981" i="9"/>
  <c r="AR981" i="9"/>
  <c r="AO981" i="9"/>
  <c r="AS981" i="9"/>
  <c r="AP977" i="9"/>
  <c r="AQ977" i="9"/>
  <c r="AN977" i="9"/>
  <c r="AR977" i="9"/>
  <c r="AO977" i="9"/>
  <c r="AS977" i="9"/>
  <c r="AP973" i="9"/>
  <c r="AQ973" i="9"/>
  <c r="AN973" i="9"/>
  <c r="AR973" i="9"/>
  <c r="AO973" i="9"/>
  <c r="AS973" i="9"/>
  <c r="AP969" i="9"/>
  <c r="AQ969" i="9"/>
  <c r="AN969" i="9"/>
  <c r="AR969" i="9"/>
  <c r="AO969" i="9"/>
  <c r="AS969" i="9"/>
  <c r="AP965" i="9"/>
  <c r="AQ965" i="9"/>
  <c r="AN965" i="9"/>
  <c r="AR965" i="9"/>
  <c r="AO965" i="9"/>
  <c r="AS965" i="9"/>
  <c r="AP961" i="9"/>
  <c r="AQ961" i="9"/>
  <c r="AN961" i="9"/>
  <c r="AR961" i="9"/>
  <c r="AO961" i="9"/>
  <c r="AS961" i="9"/>
  <c r="AP957" i="9"/>
  <c r="AQ957" i="9"/>
  <c r="AN957" i="9"/>
  <c r="AR957" i="9"/>
  <c r="AO957" i="9"/>
  <c r="AS957" i="9"/>
  <c r="AP953" i="9"/>
  <c r="AQ953" i="9"/>
  <c r="AN953" i="9"/>
  <c r="AR953" i="9"/>
  <c r="AO953" i="9"/>
  <c r="AS953" i="9"/>
  <c r="AP949" i="9"/>
  <c r="AQ949" i="9"/>
  <c r="AN949" i="9"/>
  <c r="AR949" i="9"/>
  <c r="AO949" i="9"/>
  <c r="AS949" i="9"/>
  <c r="AP945" i="9"/>
  <c r="AQ945" i="9"/>
  <c r="AN945" i="9"/>
  <c r="AR945" i="9"/>
  <c r="AO945" i="9"/>
  <c r="AS945" i="9"/>
  <c r="AP941" i="9"/>
  <c r="AQ941" i="9"/>
  <c r="AN941" i="9"/>
  <c r="AR941" i="9"/>
  <c r="AO941" i="9"/>
  <c r="AS941" i="9"/>
  <c r="AP937" i="9"/>
  <c r="AQ937" i="9"/>
  <c r="AN937" i="9"/>
  <c r="AR937" i="9"/>
  <c r="AO937" i="9"/>
  <c r="AS937" i="9"/>
  <c r="AP933" i="9"/>
  <c r="AQ933" i="9"/>
  <c r="AN933" i="9"/>
  <c r="AR933" i="9"/>
  <c r="AO933" i="9"/>
  <c r="AS933" i="9"/>
  <c r="AP929" i="9"/>
  <c r="AQ929" i="9"/>
  <c r="AN929" i="9"/>
  <c r="AR929" i="9"/>
  <c r="AO929" i="9"/>
  <c r="AS929" i="9"/>
  <c r="AP925" i="9"/>
  <c r="AQ925" i="9"/>
  <c r="AN925" i="9"/>
  <c r="AR925" i="9"/>
  <c r="AO925" i="9"/>
  <c r="AS925" i="9"/>
  <c r="AP921" i="9"/>
  <c r="AQ921" i="9"/>
  <c r="AN921" i="9"/>
  <c r="AR921" i="9"/>
  <c r="AO921" i="9"/>
  <c r="AS921" i="9"/>
  <c r="AP917" i="9"/>
  <c r="AQ917" i="9"/>
  <c r="AN917" i="9"/>
  <c r="AR917" i="9"/>
  <c r="AO917" i="9"/>
  <c r="AS917" i="9"/>
  <c r="AP913" i="9"/>
  <c r="AQ913" i="9"/>
  <c r="AN913" i="9"/>
  <c r="AR913" i="9"/>
  <c r="AO913" i="9"/>
  <c r="AS913" i="9"/>
  <c r="AP909" i="9"/>
  <c r="AQ909" i="9"/>
  <c r="AN909" i="9"/>
  <c r="AR909" i="9"/>
  <c r="AO909" i="9"/>
  <c r="AS909" i="9"/>
  <c r="AP905" i="9"/>
  <c r="AQ905" i="9"/>
  <c r="AN905" i="9"/>
  <c r="AR905" i="9"/>
  <c r="AO905" i="9"/>
  <c r="AS905" i="9"/>
  <c r="AP901" i="9"/>
  <c r="AQ901" i="9"/>
  <c r="AN901" i="9"/>
  <c r="AR901" i="9"/>
  <c r="AO901" i="9"/>
  <c r="AS901" i="9"/>
  <c r="AP897" i="9"/>
  <c r="AQ897" i="9"/>
  <c r="AN897" i="9"/>
  <c r="AR897" i="9"/>
  <c r="AO897" i="9"/>
  <c r="AS897" i="9"/>
  <c r="AP893" i="9"/>
  <c r="AQ893" i="9"/>
  <c r="AN893" i="9"/>
  <c r="AR893" i="9"/>
  <c r="AO893" i="9"/>
  <c r="AS893" i="9"/>
  <c r="AP889" i="9"/>
  <c r="AQ889" i="9"/>
  <c r="AN889" i="9"/>
  <c r="AR889" i="9"/>
  <c r="AO889" i="9"/>
  <c r="AS889" i="9"/>
  <c r="AP885" i="9"/>
  <c r="AQ885" i="9"/>
  <c r="AN885" i="9"/>
  <c r="AR885" i="9"/>
  <c r="AO885" i="9"/>
  <c r="AS885" i="9"/>
  <c r="AP881" i="9"/>
  <c r="AQ881" i="9"/>
  <c r="AN881" i="9"/>
  <c r="AR881" i="9"/>
  <c r="AO881" i="9"/>
  <c r="AS881" i="9"/>
  <c r="AP877" i="9"/>
  <c r="AQ877" i="9"/>
  <c r="AN877" i="9"/>
  <c r="AR877" i="9"/>
  <c r="AO877" i="9"/>
  <c r="AS877" i="9"/>
  <c r="AP873" i="9"/>
  <c r="AQ873" i="9"/>
  <c r="AN873" i="9"/>
  <c r="AR873" i="9"/>
  <c r="AO873" i="9"/>
  <c r="AS873" i="9"/>
  <c r="AQ869" i="9"/>
  <c r="AN869" i="9"/>
  <c r="AR869" i="9"/>
  <c r="AO869" i="9"/>
  <c r="AS869" i="9"/>
  <c r="AP869" i="9"/>
  <c r="AQ865" i="9"/>
  <c r="AN865" i="9"/>
  <c r="AR865" i="9"/>
  <c r="AO865" i="9"/>
  <c r="AS865" i="9"/>
  <c r="AP865" i="9"/>
  <c r="AQ861" i="9"/>
  <c r="AN861" i="9"/>
  <c r="AR861" i="9"/>
  <c r="AO861" i="9"/>
  <c r="AS861" i="9"/>
  <c r="AP861" i="9"/>
  <c r="AQ857" i="9"/>
  <c r="AN857" i="9"/>
  <c r="AR857" i="9"/>
  <c r="AO857" i="9"/>
  <c r="AS857" i="9"/>
  <c r="AP857" i="9"/>
  <c r="AQ853" i="9"/>
  <c r="AN853" i="9"/>
  <c r="AR853" i="9"/>
  <c r="AO853" i="9"/>
  <c r="AS853" i="9"/>
  <c r="AP853" i="9"/>
  <c r="AQ849" i="9"/>
  <c r="AN849" i="9"/>
  <c r="AR849" i="9"/>
  <c r="AO849" i="9"/>
  <c r="AS849" i="9"/>
  <c r="AP849" i="9"/>
  <c r="AQ845" i="9"/>
  <c r="AN845" i="9"/>
  <c r="AR845" i="9"/>
  <c r="AO845" i="9"/>
  <c r="AS845" i="9"/>
  <c r="AP845" i="9"/>
  <c r="AQ841" i="9"/>
  <c r="AN841" i="9"/>
  <c r="AR841" i="9"/>
  <c r="AO841" i="9"/>
  <c r="AS841" i="9"/>
  <c r="AP841" i="9"/>
  <c r="AQ837" i="9"/>
  <c r="AN837" i="9"/>
  <c r="AR837" i="9"/>
  <c r="AO837" i="9"/>
  <c r="AS837" i="9"/>
  <c r="AP837" i="9"/>
  <c r="AQ833" i="9"/>
  <c r="AN833" i="9"/>
  <c r="AR833" i="9"/>
  <c r="AO833" i="9"/>
  <c r="AS833" i="9"/>
  <c r="AP833" i="9"/>
  <c r="AQ829" i="9"/>
  <c r="AN829" i="9"/>
  <c r="AR829" i="9"/>
  <c r="AO829" i="9"/>
  <c r="AS829" i="9"/>
  <c r="AP829" i="9"/>
  <c r="AQ825" i="9"/>
  <c r="AN825" i="9"/>
  <c r="AR825" i="9"/>
  <c r="AO825" i="9"/>
  <c r="AS825" i="9"/>
  <c r="AP825" i="9"/>
  <c r="AQ821" i="9"/>
  <c r="AN821" i="9"/>
  <c r="AR821" i="9"/>
  <c r="AO821" i="9"/>
  <c r="AS821" i="9"/>
  <c r="AP821" i="9"/>
  <c r="AQ817" i="9"/>
  <c r="AN817" i="9"/>
  <c r="AR817" i="9"/>
  <c r="AO817" i="9"/>
  <c r="AS817" i="9"/>
  <c r="AP817" i="9"/>
  <c r="AQ813" i="9"/>
  <c r="AN813" i="9"/>
  <c r="AR813" i="9"/>
  <c r="AO813" i="9"/>
  <c r="AS813" i="9"/>
  <c r="AP813" i="9"/>
  <c r="AQ809" i="9"/>
  <c r="AN809" i="9"/>
  <c r="AR809" i="9"/>
  <c r="AO809" i="9"/>
  <c r="AS809" i="9"/>
  <c r="AP809" i="9"/>
  <c r="AQ805" i="9"/>
  <c r="AN805" i="9"/>
  <c r="AR805" i="9"/>
  <c r="AO805" i="9"/>
  <c r="AS805" i="9"/>
  <c r="AP805" i="9"/>
  <c r="AQ801" i="9"/>
  <c r="AN801" i="9"/>
  <c r="AR801" i="9"/>
  <c r="AO801" i="9"/>
  <c r="AS801" i="9"/>
  <c r="AP801" i="9"/>
  <c r="AQ797" i="9"/>
  <c r="AN797" i="9"/>
  <c r="AR797" i="9"/>
  <c r="AO797" i="9"/>
  <c r="AS797" i="9"/>
  <c r="AP797" i="9"/>
  <c r="AQ793" i="9"/>
  <c r="AN793" i="9"/>
  <c r="AR793" i="9"/>
  <c r="AO793" i="9"/>
  <c r="AS793" i="9"/>
  <c r="AP793" i="9"/>
  <c r="AQ789" i="9"/>
  <c r="AN789" i="9"/>
  <c r="AR789" i="9"/>
  <c r="AO789" i="9"/>
  <c r="AS789" i="9"/>
  <c r="AP789" i="9"/>
  <c r="AQ785" i="9"/>
  <c r="AN785" i="9"/>
  <c r="AR785" i="9"/>
  <c r="AO785" i="9"/>
  <c r="AS785" i="9"/>
  <c r="AP785" i="9"/>
  <c r="AQ781" i="9"/>
  <c r="AN781" i="9"/>
  <c r="AR781" i="9"/>
  <c r="AO781" i="9"/>
  <c r="AS781" i="9"/>
  <c r="AP781" i="9"/>
  <c r="AQ777" i="9"/>
  <c r="AN777" i="9"/>
  <c r="AR777" i="9"/>
  <c r="AO777" i="9"/>
  <c r="AS777" i="9"/>
  <c r="AP777" i="9"/>
  <c r="AQ773" i="9"/>
  <c r="AN773" i="9"/>
  <c r="AR773" i="9"/>
  <c r="AO773" i="9"/>
  <c r="AS773" i="9"/>
  <c r="AP773" i="9"/>
  <c r="AQ769" i="9"/>
  <c r="AN769" i="9"/>
  <c r="AR769" i="9"/>
  <c r="AO769" i="9"/>
  <c r="AS769" i="9"/>
  <c r="AP769" i="9"/>
  <c r="AQ765" i="9"/>
  <c r="AN765" i="9"/>
  <c r="AR765" i="9"/>
  <c r="AO765" i="9"/>
  <c r="AS765" i="9"/>
  <c r="AP765" i="9"/>
  <c r="AQ761" i="9"/>
  <c r="AN761" i="9"/>
  <c r="AR761" i="9"/>
  <c r="AO761" i="9"/>
  <c r="AS761" i="9"/>
  <c r="AP761" i="9"/>
  <c r="AP757" i="9"/>
  <c r="AN757" i="9"/>
  <c r="AO757" i="9"/>
  <c r="AQ757" i="9"/>
  <c r="AR757" i="9"/>
  <c r="AS757" i="9"/>
  <c r="AP753" i="9"/>
  <c r="AQ753" i="9"/>
  <c r="AN753" i="9"/>
  <c r="AR753" i="9"/>
  <c r="AO753" i="9"/>
  <c r="AS753" i="9"/>
  <c r="AP749" i="9"/>
  <c r="AQ749" i="9"/>
  <c r="AN749" i="9"/>
  <c r="AR749" i="9"/>
  <c r="AO749" i="9"/>
  <c r="AS749" i="9"/>
  <c r="AP745" i="9"/>
  <c r="AQ745" i="9"/>
  <c r="AN745" i="9"/>
  <c r="AR745" i="9"/>
  <c r="AO745" i="9"/>
  <c r="AS745" i="9"/>
  <c r="AP741" i="9"/>
  <c r="AQ741" i="9"/>
  <c r="AN741" i="9"/>
  <c r="AR741" i="9"/>
  <c r="AO741" i="9"/>
  <c r="AS741" i="9"/>
  <c r="AP737" i="9"/>
  <c r="AQ737" i="9"/>
  <c r="AN737" i="9"/>
  <c r="AR737" i="9"/>
  <c r="AO737" i="9"/>
  <c r="AS737" i="9"/>
  <c r="AP733" i="9"/>
  <c r="AQ733" i="9"/>
  <c r="AN733" i="9"/>
  <c r="AR733" i="9"/>
  <c r="AO733" i="9"/>
  <c r="AS733" i="9"/>
  <c r="AP729" i="9"/>
  <c r="AQ729" i="9"/>
  <c r="AN729" i="9"/>
  <c r="AR729" i="9"/>
  <c r="AO729" i="9"/>
  <c r="AS729" i="9"/>
  <c r="AP725" i="9"/>
  <c r="AQ725" i="9"/>
  <c r="AN725" i="9"/>
  <c r="AR725" i="9"/>
  <c r="AO725" i="9"/>
  <c r="AS725" i="9"/>
  <c r="AP721" i="9"/>
  <c r="AQ721" i="9"/>
  <c r="AN721" i="9"/>
  <c r="AR721" i="9"/>
  <c r="AO721" i="9"/>
  <c r="AS721" i="9"/>
  <c r="AP717" i="9"/>
  <c r="AQ717" i="9"/>
  <c r="AN717" i="9"/>
  <c r="AR717" i="9"/>
  <c r="AO717" i="9"/>
  <c r="AS717" i="9"/>
  <c r="AP713" i="9"/>
  <c r="AQ713" i="9"/>
  <c r="AN713" i="9"/>
  <c r="AR713" i="9"/>
  <c r="AO713" i="9"/>
  <c r="AS713" i="9"/>
  <c r="AP709" i="9"/>
  <c r="AQ709" i="9"/>
  <c r="AN709" i="9"/>
  <c r="AR709" i="9"/>
  <c r="AO709" i="9"/>
  <c r="AS709" i="9"/>
  <c r="AP705" i="9"/>
  <c r="AQ705" i="9"/>
  <c r="AN705" i="9"/>
  <c r="AR705" i="9"/>
  <c r="AO705" i="9"/>
  <c r="AS705" i="9"/>
  <c r="AP701" i="9"/>
  <c r="AQ701" i="9"/>
  <c r="AN701" i="9"/>
  <c r="AR701" i="9"/>
  <c r="AO701" i="9"/>
  <c r="AS701" i="9"/>
  <c r="AP697" i="9"/>
  <c r="AQ697" i="9"/>
  <c r="AN697" i="9"/>
  <c r="AR697" i="9"/>
  <c r="AO697" i="9"/>
  <c r="AS697" i="9"/>
  <c r="AP693" i="9"/>
  <c r="AQ693" i="9"/>
  <c r="AN693" i="9"/>
  <c r="AR693" i="9"/>
  <c r="AO693" i="9"/>
  <c r="AS693" i="9"/>
  <c r="AP689" i="9"/>
  <c r="AQ689" i="9"/>
  <c r="AN689" i="9"/>
  <c r="AR689" i="9"/>
  <c r="AO689" i="9"/>
  <c r="AS689" i="9"/>
  <c r="AP685" i="9"/>
  <c r="AQ685" i="9"/>
  <c r="AN685" i="9"/>
  <c r="AR685" i="9"/>
  <c r="AO685" i="9"/>
  <c r="AS685" i="9"/>
  <c r="AP681" i="9"/>
  <c r="AQ681" i="9"/>
  <c r="AN681" i="9"/>
  <c r="AR681" i="9"/>
  <c r="AO681" i="9"/>
  <c r="AS681" i="9"/>
  <c r="AP677" i="9"/>
  <c r="AQ677" i="9"/>
  <c r="AN677" i="9"/>
  <c r="AR677" i="9"/>
  <c r="AO677" i="9"/>
  <c r="AS677" i="9"/>
  <c r="AP673" i="9"/>
  <c r="AQ673" i="9"/>
  <c r="AN673" i="9"/>
  <c r="AR673" i="9"/>
  <c r="AO673" i="9"/>
  <c r="AS673" i="9"/>
  <c r="AP669" i="9"/>
  <c r="AQ669" i="9"/>
  <c r="AN669" i="9"/>
  <c r="AR669" i="9"/>
  <c r="AO669" i="9"/>
  <c r="AS669" i="9"/>
  <c r="AP665" i="9"/>
  <c r="AQ665" i="9"/>
  <c r="AN665" i="9"/>
  <c r="AR665" i="9"/>
  <c r="AO665" i="9"/>
  <c r="AS665" i="9"/>
  <c r="AP661" i="9"/>
  <c r="AQ661" i="9"/>
  <c r="AN661" i="9"/>
  <c r="AR661" i="9"/>
  <c r="AO661" i="9"/>
  <c r="AS661" i="9"/>
  <c r="AP657" i="9"/>
  <c r="AQ657" i="9"/>
  <c r="AN657" i="9"/>
  <c r="AR657" i="9"/>
  <c r="AO657" i="9"/>
  <c r="AS657" i="9"/>
  <c r="AP649" i="9"/>
  <c r="AQ649" i="9"/>
  <c r="AN649" i="9"/>
  <c r="AR649" i="9"/>
  <c r="AO649" i="9"/>
  <c r="AS649" i="9"/>
  <c r="AP645" i="9"/>
  <c r="AQ645" i="9"/>
  <c r="AN645" i="9"/>
  <c r="AR645" i="9"/>
  <c r="AO645" i="9"/>
  <c r="AS645" i="9"/>
  <c r="AQ637" i="9"/>
  <c r="AN637" i="9"/>
  <c r="AR637" i="9"/>
  <c r="AO637" i="9"/>
  <c r="AS637" i="9"/>
  <c r="AP637" i="9"/>
  <c r="AQ633" i="9"/>
  <c r="AN633" i="9"/>
  <c r="AR633" i="9"/>
  <c r="AO633" i="9"/>
  <c r="AS633" i="9"/>
  <c r="AP633" i="9"/>
  <c r="AQ625" i="9"/>
  <c r="AN625" i="9"/>
  <c r="AR625" i="9"/>
  <c r="AO625" i="9"/>
  <c r="AS625" i="9"/>
  <c r="AP625" i="9"/>
  <c r="AQ621" i="9"/>
  <c r="AN621" i="9"/>
  <c r="AR621" i="9"/>
  <c r="AO621" i="9"/>
  <c r="AS621" i="9"/>
  <c r="AP621" i="9"/>
  <c r="AQ613" i="9"/>
  <c r="AN613" i="9"/>
  <c r="AR613" i="9"/>
  <c r="AO613" i="9"/>
  <c r="AS613" i="9"/>
  <c r="AP613" i="9"/>
  <c r="AO612" i="9"/>
  <c r="AS612" i="9"/>
  <c r="AP612" i="9"/>
  <c r="AQ612" i="9"/>
  <c r="AN612" i="9"/>
  <c r="AR612" i="9"/>
  <c r="AQ611" i="9"/>
  <c r="AN611" i="9"/>
  <c r="AR611" i="9"/>
  <c r="AO611" i="9"/>
  <c r="AS611" i="9"/>
  <c r="AP611" i="9"/>
  <c r="AQ607" i="9"/>
  <c r="AN607" i="9"/>
  <c r="AR607" i="9"/>
  <c r="AO607" i="9"/>
  <c r="AS607" i="9"/>
  <c r="AP607" i="9"/>
  <c r="AQ585" i="9"/>
  <c r="AN585" i="9"/>
  <c r="AR585" i="9"/>
  <c r="AO585" i="9"/>
  <c r="AS585" i="9"/>
  <c r="AP585" i="9"/>
  <c r="AO576" i="9"/>
  <c r="AS576" i="9"/>
  <c r="AP576" i="9"/>
  <c r="AQ576" i="9"/>
  <c r="AN576" i="9"/>
  <c r="AR576" i="9"/>
  <c r="AO572" i="9"/>
  <c r="AS572" i="9"/>
  <c r="AP572" i="9"/>
  <c r="AQ572" i="9"/>
  <c r="AN572" i="9"/>
  <c r="AR572" i="9"/>
  <c r="AP118" i="9"/>
  <c r="AQ118" i="9"/>
  <c r="AN118" i="9"/>
  <c r="AR118" i="9"/>
  <c r="AO118" i="9"/>
  <c r="AS118" i="9"/>
  <c r="AN117" i="9"/>
  <c r="AR117" i="9"/>
  <c r="AO117" i="9"/>
  <c r="AS117" i="9"/>
  <c r="AP117" i="9"/>
  <c r="AQ117" i="9"/>
  <c r="AP116" i="9"/>
  <c r="AQ116" i="9"/>
  <c r="AN116" i="9"/>
  <c r="AR116" i="9"/>
  <c r="AO116" i="9"/>
  <c r="AS116" i="9"/>
  <c r="AP106" i="9"/>
  <c r="AQ106" i="9"/>
  <c r="AN106" i="9"/>
  <c r="AR106" i="9"/>
  <c r="AO106" i="9"/>
  <c r="AS106" i="9"/>
  <c r="AN105" i="9"/>
  <c r="AR105" i="9"/>
  <c r="AO105" i="9"/>
  <c r="AS105" i="9"/>
  <c r="AP105" i="9"/>
  <c r="AQ105" i="9"/>
  <c r="AP104" i="9"/>
  <c r="AQ104" i="9"/>
  <c r="AN104" i="9"/>
  <c r="AR104" i="9"/>
  <c r="AO104" i="9"/>
  <c r="AS104" i="9"/>
  <c r="AP94" i="9"/>
  <c r="AQ94" i="9"/>
  <c r="AN94" i="9"/>
  <c r="AR94" i="9"/>
  <c r="AO94" i="9"/>
  <c r="AS94" i="9"/>
  <c r="AN93" i="9"/>
  <c r="AR93" i="9"/>
  <c r="AO93" i="9"/>
  <c r="AS93" i="9"/>
  <c r="AP93" i="9"/>
  <c r="AQ93" i="9"/>
  <c r="AP92" i="9"/>
  <c r="AQ92" i="9"/>
  <c r="AN92" i="9"/>
  <c r="AR92" i="9"/>
  <c r="AO92" i="9"/>
  <c r="AS92" i="9"/>
  <c r="AN82" i="9"/>
  <c r="AR82" i="9"/>
  <c r="AO82" i="9"/>
  <c r="AS82" i="9"/>
  <c r="AP82" i="9"/>
  <c r="AQ82" i="9"/>
  <c r="AP81" i="9"/>
  <c r="AQ81" i="9"/>
  <c r="AN81" i="9"/>
  <c r="AR81" i="9"/>
  <c r="AO81" i="9"/>
  <c r="AS81" i="9"/>
  <c r="AN80" i="9"/>
  <c r="AR80" i="9"/>
  <c r="AO80" i="9"/>
  <c r="AS80" i="9"/>
  <c r="AP80" i="9"/>
  <c r="AQ80" i="9"/>
  <c r="AN70" i="9"/>
  <c r="AR70" i="9"/>
  <c r="AO70" i="9"/>
  <c r="AS70" i="9"/>
  <c r="AP70" i="9"/>
  <c r="AQ70" i="9"/>
  <c r="AP69" i="9"/>
  <c r="AQ69" i="9"/>
  <c r="AN69" i="9"/>
  <c r="AR69" i="9"/>
  <c r="AO69" i="9"/>
  <c r="AS69" i="9"/>
  <c r="AN68" i="9"/>
  <c r="AR68" i="9"/>
  <c r="AO68" i="9"/>
  <c r="AS68" i="9"/>
  <c r="AP68" i="9"/>
  <c r="AQ68" i="9"/>
  <c r="AN58" i="9"/>
  <c r="AR58" i="9"/>
  <c r="AO58" i="9"/>
  <c r="AS58" i="9"/>
  <c r="AP58" i="9"/>
  <c r="AQ58" i="9"/>
  <c r="AP57" i="9"/>
  <c r="AQ57" i="9"/>
  <c r="AN57" i="9"/>
  <c r="AR57" i="9"/>
  <c r="AO57" i="9"/>
  <c r="AS57" i="9"/>
  <c r="AN56" i="9"/>
  <c r="AR56" i="9"/>
  <c r="AO56" i="9"/>
  <c r="AS56" i="9"/>
  <c r="AP56" i="9"/>
  <c r="AQ56" i="9"/>
  <c r="AN46" i="9"/>
  <c r="AR46" i="9"/>
  <c r="AO46" i="9"/>
  <c r="AS46" i="9"/>
  <c r="AP46" i="9"/>
  <c r="AQ46" i="9"/>
  <c r="AP45" i="9"/>
  <c r="AQ45" i="9"/>
  <c r="AN45" i="9"/>
  <c r="AR45" i="9"/>
  <c r="AO45" i="9"/>
  <c r="AS45" i="9"/>
  <c r="AN44" i="9"/>
  <c r="AR44" i="9"/>
  <c r="AO44" i="9"/>
  <c r="AS44" i="9"/>
  <c r="AP44" i="9"/>
  <c r="AQ44" i="9"/>
  <c r="AN34" i="9"/>
  <c r="AR34" i="9"/>
  <c r="AO34" i="9"/>
  <c r="AS34" i="9"/>
  <c r="AP34" i="9"/>
  <c r="AQ34" i="9"/>
  <c r="AP33" i="9"/>
  <c r="AQ33" i="9"/>
  <c r="AN33" i="9"/>
  <c r="AR33" i="9"/>
  <c r="AO33" i="9"/>
  <c r="AS33" i="9"/>
  <c r="AN32" i="9"/>
  <c r="AR32" i="9"/>
  <c r="AO32" i="9"/>
  <c r="AS32" i="9"/>
  <c r="AP32" i="9"/>
  <c r="AQ32" i="9"/>
  <c r="R467" i="9"/>
  <c r="R446" i="9"/>
  <c r="R494" i="9"/>
  <c r="R527" i="9"/>
  <c r="Q463" i="9"/>
  <c r="R519" i="9"/>
  <c r="R503" i="9"/>
  <c r="Q483" i="9"/>
  <c r="R455" i="9"/>
  <c r="Q495" i="9"/>
  <c r="Z495" i="9" s="1"/>
  <c r="AA495" i="9" s="1"/>
  <c r="T495" i="9" s="1"/>
  <c r="Q447" i="9"/>
  <c r="R560" i="9"/>
  <c r="R536" i="9"/>
  <c r="R533" i="9"/>
  <c r="Q558" i="9"/>
  <c r="Z558" i="9" s="1"/>
  <c r="AA558" i="9" s="1"/>
  <c r="T558" i="9" s="1"/>
  <c r="Q546" i="9"/>
  <c r="Z546" i="9" s="1"/>
  <c r="AA546" i="9" s="1"/>
  <c r="T546" i="9" s="1"/>
  <c r="Q534" i="9"/>
  <c r="Z534" i="9" s="1"/>
  <c r="AA534" i="9" s="1"/>
  <c r="T534" i="9" s="1"/>
  <c r="Q561" i="9"/>
  <c r="Z561" i="9" s="1"/>
  <c r="AA561" i="9" s="1"/>
  <c r="T561" i="9" s="1"/>
  <c r="Q549" i="9"/>
  <c r="Z549" i="9" s="1"/>
  <c r="AA549" i="9" s="1"/>
  <c r="T549" i="9" s="1"/>
  <c r="Q537" i="9"/>
  <c r="Z537" i="9" s="1"/>
  <c r="AA537" i="9" s="1"/>
  <c r="T537" i="9" s="1"/>
  <c r="Q528" i="9"/>
  <c r="Z528" i="9" s="1"/>
  <c r="AA528" i="9" s="1"/>
  <c r="T528" i="9" s="1"/>
  <c r="Q516" i="9"/>
  <c r="Z516" i="9" s="1"/>
  <c r="AA516" i="9" s="1"/>
  <c r="T516" i="9" s="1"/>
  <c r="Q504" i="9"/>
  <c r="Z504" i="9" s="1"/>
  <c r="AA504" i="9" s="1"/>
  <c r="T504" i="9" s="1"/>
  <c r="Q492" i="9"/>
  <c r="Z492" i="9" s="1"/>
  <c r="AA492" i="9" s="1"/>
  <c r="T492" i="9" s="1"/>
  <c r="Q480" i="9"/>
  <c r="Z480" i="9" s="1"/>
  <c r="AA480" i="9" s="1"/>
  <c r="T480" i="9" s="1"/>
  <c r="Q468" i="9"/>
  <c r="Z468" i="9" s="1"/>
  <c r="AA468" i="9" s="1"/>
  <c r="T468" i="9" s="1"/>
  <c r="Q456" i="9"/>
  <c r="Z456" i="9" s="1"/>
  <c r="AA456" i="9" s="1"/>
  <c r="T456" i="9" s="1"/>
  <c r="Z609" i="9"/>
  <c r="R609" i="9" s="1"/>
  <c r="Z605" i="9"/>
  <c r="R605" i="9" s="1"/>
  <c r="Z597" i="9"/>
  <c r="R597" i="9" s="1"/>
  <c r="Z593" i="9"/>
  <c r="R593" i="9" s="1"/>
  <c r="Z585" i="9"/>
  <c r="R585" i="9" s="1"/>
  <c r="Z581" i="9"/>
  <c r="R581" i="9" s="1"/>
  <c r="Q612" i="9"/>
  <c r="Z608" i="9"/>
  <c r="R608" i="9" s="1"/>
  <c r="Q604" i="9"/>
  <c r="Z604" i="9" s="1"/>
  <c r="R604" i="9" s="1"/>
  <c r="Q600" i="9"/>
  <c r="Z596" i="9"/>
  <c r="R596" i="9" s="1"/>
  <c r="Q592" i="9"/>
  <c r="Z592" i="9" s="1"/>
  <c r="R592" i="9" s="1"/>
  <c r="Q588" i="9"/>
  <c r="Z584" i="9"/>
  <c r="R584" i="9" s="1"/>
  <c r="Q580" i="9"/>
  <c r="Z580" i="9" s="1"/>
  <c r="R580" i="9" s="1"/>
  <c r="R338" i="9"/>
  <c r="R215" i="9"/>
  <c r="R841" i="9"/>
  <c r="R658" i="9"/>
  <c r="R98" i="9"/>
  <c r="Q120" i="9"/>
  <c r="R101" i="9"/>
  <c r="Q99" i="9"/>
  <c r="R681" i="9"/>
  <c r="Q126" i="9"/>
  <c r="R815" i="9"/>
  <c r="R633" i="9"/>
  <c r="Q123" i="9"/>
  <c r="R965" i="9"/>
  <c r="R949" i="9"/>
  <c r="R989" i="9"/>
  <c r="R973" i="9"/>
  <c r="R957" i="9"/>
  <c r="R802" i="9"/>
  <c r="R640" i="9"/>
  <c r="Q145" i="9"/>
  <c r="R890" i="9"/>
  <c r="R866" i="9"/>
  <c r="R925" i="9"/>
  <c r="R626" i="9"/>
  <c r="Q81" i="9"/>
  <c r="R80" i="9"/>
  <c r="R997" i="9"/>
  <c r="R693" i="9"/>
  <c r="R666" i="9"/>
  <c r="R981" i="9"/>
  <c r="R917" i="9"/>
  <c r="R865" i="9"/>
  <c r="R864" i="9"/>
  <c r="R842" i="9"/>
  <c r="R800" i="9"/>
  <c r="R698" i="9"/>
  <c r="Q303" i="9"/>
  <c r="R302" i="9"/>
  <c r="R606" i="9"/>
  <c r="Q222" i="9"/>
  <c r="Z222" i="9" s="1"/>
  <c r="AA222" i="9" s="1"/>
  <c r="T222" i="9" s="1"/>
  <c r="R167" i="9"/>
  <c r="Q315" i="9"/>
  <c r="Q216" i="9"/>
  <c r="R935" i="9"/>
  <c r="R903" i="9"/>
  <c r="R791" i="9"/>
  <c r="R680" i="9"/>
  <c r="Q4" i="9"/>
  <c r="Z4" i="9" s="1"/>
  <c r="R943" i="9"/>
  <c r="R855" i="9"/>
  <c r="R799" i="9"/>
  <c r="R995" i="9"/>
  <c r="R971" i="9"/>
  <c r="R963" i="9"/>
  <c r="R922" i="9"/>
  <c r="R889" i="9"/>
  <c r="R887" i="9"/>
  <c r="R874" i="9"/>
  <c r="R861" i="9"/>
  <c r="R853" i="9"/>
  <c r="R825" i="9"/>
  <c r="R778" i="9"/>
  <c r="R634" i="9"/>
  <c r="R993" i="9"/>
  <c r="R985" i="9"/>
  <c r="R977" i="9"/>
  <c r="R969" i="9"/>
  <c r="R961" i="9"/>
  <c r="R953" i="9"/>
  <c r="R930" i="9"/>
  <c r="R921" i="9"/>
  <c r="R898" i="9"/>
  <c r="R895" i="9"/>
  <c r="R847" i="9"/>
  <c r="R834" i="9"/>
  <c r="R833" i="9"/>
  <c r="R832" i="9"/>
  <c r="R831" i="9"/>
  <c r="R823" i="9"/>
  <c r="R810" i="9"/>
  <c r="R809" i="9"/>
  <c r="R783" i="9"/>
  <c r="R773" i="9"/>
  <c r="R765" i="9"/>
  <c r="R759" i="9"/>
  <c r="R749" i="9"/>
  <c r="R741" i="9"/>
  <c r="R717" i="9"/>
  <c r="R674" i="9"/>
  <c r="R672" i="9"/>
  <c r="R656" i="9"/>
  <c r="R649" i="9"/>
  <c r="R648" i="9"/>
  <c r="R642" i="9"/>
  <c r="R624" i="9"/>
  <c r="R617" i="9"/>
  <c r="R545" i="9"/>
  <c r="R937" i="9"/>
  <c r="R911" i="9"/>
  <c r="R905" i="9"/>
  <c r="R863" i="9"/>
  <c r="R801" i="9"/>
  <c r="R770" i="9"/>
  <c r="R746" i="9"/>
  <c r="R722" i="9"/>
  <c r="R632" i="9"/>
  <c r="R987" i="9"/>
  <c r="R979" i="9"/>
  <c r="R955" i="9"/>
  <c r="R947" i="9"/>
  <c r="R807" i="9"/>
  <c r="R797" i="9"/>
  <c r="R789" i="9"/>
  <c r="R754" i="9"/>
  <c r="R682" i="9"/>
  <c r="Q423" i="9"/>
  <c r="R999" i="9"/>
  <c r="R991" i="9"/>
  <c r="R983" i="9"/>
  <c r="R975" i="9"/>
  <c r="R967" i="9"/>
  <c r="R959" i="9"/>
  <c r="R951" i="9"/>
  <c r="R938" i="9"/>
  <c r="R929" i="9"/>
  <c r="R928" i="9"/>
  <c r="R927" i="9"/>
  <c r="R919" i="9"/>
  <c r="R906" i="9"/>
  <c r="R897" i="9"/>
  <c r="R896" i="9"/>
  <c r="R857" i="9"/>
  <c r="R839" i="9"/>
  <c r="R829" i="9"/>
  <c r="R821" i="9"/>
  <c r="R793" i="9"/>
  <c r="R757" i="9"/>
  <c r="R733" i="9"/>
  <c r="R730" i="9"/>
  <c r="R727" i="9"/>
  <c r="R709" i="9"/>
  <c r="R706" i="9"/>
  <c r="R685" i="9"/>
  <c r="R669" i="9"/>
  <c r="R665" i="9"/>
  <c r="R664" i="9"/>
  <c r="R650" i="9"/>
  <c r="Q393" i="9"/>
  <c r="Z393" i="9" s="1"/>
  <c r="AA393" i="9" s="1"/>
  <c r="T393" i="9" s="1"/>
  <c r="Q391" i="9"/>
  <c r="Z391" i="9" s="1"/>
  <c r="AA391" i="9" s="1"/>
  <c r="T391" i="9" s="1"/>
  <c r="Q381" i="9"/>
  <c r="R380" i="9"/>
  <c r="Q355" i="9"/>
  <c r="Z355" i="9" s="1"/>
  <c r="AA355" i="9" s="1"/>
  <c r="T355" i="9" s="1"/>
  <c r="Q282" i="9"/>
  <c r="Z282" i="9" s="1"/>
  <c r="AA282" i="9" s="1"/>
  <c r="T282" i="9" s="1"/>
  <c r="R653" i="9"/>
  <c r="R637" i="9"/>
  <c r="R582" i="9"/>
  <c r="R557" i="9"/>
  <c r="Q318" i="9"/>
  <c r="Z318" i="9" s="1"/>
  <c r="AA318" i="9" s="1"/>
  <c r="T318" i="9" s="1"/>
  <c r="Q106" i="9"/>
  <c r="Q73" i="9"/>
  <c r="Q25" i="9"/>
  <c r="R893" i="9"/>
  <c r="R885" i="9"/>
  <c r="R879" i="9"/>
  <c r="R873" i="9"/>
  <c r="R871" i="9"/>
  <c r="R858" i="9"/>
  <c r="R826" i="9"/>
  <c r="R794" i="9"/>
  <c r="R762" i="9"/>
  <c r="R738" i="9"/>
  <c r="R725" i="9"/>
  <c r="R714" i="9"/>
  <c r="R701" i="9"/>
  <c r="R695" i="9"/>
  <c r="R690" i="9"/>
  <c r="R598" i="9"/>
  <c r="Q333" i="9"/>
  <c r="Z333" i="9" s="1"/>
  <c r="AA333" i="9" s="1"/>
  <c r="T333" i="9" s="1"/>
  <c r="Q192" i="9"/>
  <c r="Z192" i="9" s="1"/>
  <c r="AA192" i="9" s="1"/>
  <c r="T192" i="9" s="1"/>
  <c r="Q159" i="9"/>
  <c r="R158" i="9"/>
  <c r="Q135" i="9"/>
  <c r="Z135" i="9" s="1"/>
  <c r="AA135" i="9" s="1"/>
  <c r="T135" i="9" s="1"/>
  <c r="Q118" i="9"/>
  <c r="Z118" i="9" s="1"/>
  <c r="AA118" i="9" s="1"/>
  <c r="T118" i="9" s="1"/>
  <c r="Q114" i="9"/>
  <c r="Q87" i="9"/>
  <c r="Z87" i="9" s="1"/>
  <c r="AA87" i="9" s="1"/>
  <c r="T87" i="9" s="1"/>
  <c r="R86" i="9"/>
  <c r="Q69" i="9"/>
  <c r="Z69" i="9" s="1"/>
  <c r="AA69" i="9" s="1"/>
  <c r="T69" i="9" s="1"/>
  <c r="R68" i="9"/>
  <c r="Q55" i="9"/>
  <c r="Q10" i="9"/>
  <c r="Q405" i="9"/>
  <c r="Z405" i="9" s="1"/>
  <c r="AA405" i="9" s="1"/>
  <c r="T405" i="9" s="1"/>
  <c r="Q327" i="9"/>
  <c r="Q321" i="9"/>
  <c r="Z321" i="9" s="1"/>
  <c r="AA321" i="9" s="1"/>
  <c r="T321" i="9" s="1"/>
  <c r="Q67" i="9"/>
  <c r="Q168" i="9"/>
  <c r="Q112" i="9"/>
  <c r="Z112" i="9" s="1"/>
  <c r="AA112" i="9" s="1"/>
  <c r="T112" i="9" s="1"/>
  <c r="Q102" i="9"/>
  <c r="R851" i="9"/>
  <c r="R691" i="9"/>
  <c r="R1000" i="9"/>
  <c r="R980" i="9"/>
  <c r="R972" i="9"/>
  <c r="R952" i="9"/>
  <c r="R920" i="9"/>
  <c r="R875" i="9"/>
  <c r="R824" i="9"/>
  <c r="R777" i="9"/>
  <c r="R687" i="9"/>
  <c r="R915" i="9"/>
  <c r="R787" i="9"/>
  <c r="R723" i="9"/>
  <c r="R721" i="9"/>
  <c r="R998" i="9"/>
  <c r="R996" i="9"/>
  <c r="R994" i="9"/>
  <c r="R992" i="9"/>
  <c r="R990" i="9"/>
  <c r="R988" i="9"/>
  <c r="R986" i="9"/>
  <c r="R984" i="9"/>
  <c r="R982" i="9"/>
  <c r="R978" i="9"/>
  <c r="R976" i="9"/>
  <c r="R974" i="9"/>
  <c r="R970" i="9"/>
  <c r="R968" i="9"/>
  <c r="R966" i="9"/>
  <c r="R964" i="9"/>
  <c r="R962" i="9"/>
  <c r="R960" i="9"/>
  <c r="R958" i="9"/>
  <c r="R956" i="9"/>
  <c r="R954" i="9"/>
  <c r="R950" i="9"/>
  <c r="R948" i="9"/>
  <c r="R907" i="9"/>
  <c r="R856" i="9"/>
  <c r="R811" i="9"/>
  <c r="R719" i="9"/>
  <c r="R715" i="9"/>
  <c r="R713" i="9"/>
  <c r="R944" i="9"/>
  <c r="R941" i="9"/>
  <c r="R931" i="9"/>
  <c r="R912" i="9"/>
  <c r="R909" i="9"/>
  <c r="R899" i="9"/>
  <c r="R880" i="9"/>
  <c r="R877" i="9"/>
  <c r="R743" i="9"/>
  <c r="R739" i="9"/>
  <c r="R737" i="9"/>
  <c r="R676" i="9"/>
  <c r="R660" i="9"/>
  <c r="R644" i="9"/>
  <c r="R628" i="9"/>
  <c r="R883" i="9"/>
  <c r="R819" i="9"/>
  <c r="R755" i="9"/>
  <c r="R753" i="9"/>
  <c r="R689" i="9"/>
  <c r="R939" i="9"/>
  <c r="R888" i="9"/>
  <c r="R843" i="9"/>
  <c r="R792" i="9"/>
  <c r="R751" i="9"/>
  <c r="R747" i="9"/>
  <c r="R745" i="9"/>
  <c r="R867" i="9"/>
  <c r="R848" i="9"/>
  <c r="R845" i="9"/>
  <c r="R835" i="9"/>
  <c r="R816" i="9"/>
  <c r="R813" i="9"/>
  <c r="R803" i="9"/>
  <c r="R784" i="9"/>
  <c r="R781" i="9"/>
  <c r="R779" i="9"/>
  <c r="R775" i="9"/>
  <c r="R771" i="9"/>
  <c r="R769" i="9"/>
  <c r="R711" i="9"/>
  <c r="R707" i="9"/>
  <c r="R705" i="9"/>
  <c r="R946" i="9"/>
  <c r="R945" i="9"/>
  <c r="R936" i="9"/>
  <c r="R933" i="9"/>
  <c r="R923" i="9"/>
  <c r="R914" i="9"/>
  <c r="R913" i="9"/>
  <c r="R904" i="9"/>
  <c r="R901" i="9"/>
  <c r="R891" i="9"/>
  <c r="R882" i="9"/>
  <c r="R881" i="9"/>
  <c r="R872" i="9"/>
  <c r="R869" i="9"/>
  <c r="R859" i="9"/>
  <c r="R850" i="9"/>
  <c r="R849" i="9"/>
  <c r="R840" i="9"/>
  <c r="R837" i="9"/>
  <c r="R827" i="9"/>
  <c r="R818" i="9"/>
  <c r="R817" i="9"/>
  <c r="R808" i="9"/>
  <c r="R805" i="9"/>
  <c r="R795" i="9"/>
  <c r="R786" i="9"/>
  <c r="R785" i="9"/>
  <c r="R767" i="9"/>
  <c r="R763" i="9"/>
  <c r="R761" i="9"/>
  <c r="R735" i="9"/>
  <c r="R731" i="9"/>
  <c r="R729" i="9"/>
  <c r="R703" i="9"/>
  <c r="R699" i="9"/>
  <c r="R697" i="9"/>
  <c r="R586" i="9"/>
  <c r="R675" i="9"/>
  <c r="R668" i="9"/>
  <c r="R662" i="9"/>
  <c r="R643" i="9"/>
  <c r="R636" i="9"/>
  <c r="R630" i="9"/>
  <c r="R583" i="9"/>
  <c r="R482" i="9"/>
  <c r="Q414" i="9"/>
  <c r="Z414" i="9" s="1"/>
  <c r="AA414" i="9" s="1"/>
  <c r="T414" i="9" s="1"/>
  <c r="R413" i="9"/>
  <c r="R776" i="9"/>
  <c r="R768" i="9"/>
  <c r="R760" i="9"/>
  <c r="R752" i="9"/>
  <c r="R744" i="9"/>
  <c r="R736" i="9"/>
  <c r="R728" i="9"/>
  <c r="R720" i="9"/>
  <c r="R712" i="9"/>
  <c r="R704" i="9"/>
  <c r="R696" i="9"/>
  <c r="R688" i="9"/>
  <c r="R678" i="9"/>
  <c r="R659" i="9"/>
  <c r="R652" i="9"/>
  <c r="R646" i="9"/>
  <c r="R627" i="9"/>
  <c r="R942" i="9"/>
  <c r="R934" i="9"/>
  <c r="R926" i="9"/>
  <c r="R918" i="9"/>
  <c r="R910" i="9"/>
  <c r="R902" i="9"/>
  <c r="R894" i="9"/>
  <c r="R886" i="9"/>
  <c r="R878" i="9"/>
  <c r="R870" i="9"/>
  <c r="R862" i="9"/>
  <c r="R854" i="9"/>
  <c r="R846" i="9"/>
  <c r="R838" i="9"/>
  <c r="R830" i="9"/>
  <c r="R822" i="9"/>
  <c r="R814" i="9"/>
  <c r="R806" i="9"/>
  <c r="R798" i="9"/>
  <c r="R790" i="9"/>
  <c r="R782" i="9"/>
  <c r="R774" i="9"/>
  <c r="R766" i="9"/>
  <c r="R758" i="9"/>
  <c r="R750" i="9"/>
  <c r="R742" i="9"/>
  <c r="R734" i="9"/>
  <c r="R726" i="9"/>
  <c r="R718" i="9"/>
  <c r="R710" i="9"/>
  <c r="R702" i="9"/>
  <c r="R694" i="9"/>
  <c r="R686" i="9"/>
  <c r="R677" i="9"/>
  <c r="R673" i="9"/>
  <c r="R661" i="9"/>
  <c r="R657" i="9"/>
  <c r="R645" i="9"/>
  <c r="R641" i="9"/>
  <c r="R629" i="9"/>
  <c r="R625" i="9"/>
  <c r="Q429" i="9"/>
  <c r="Z429" i="9" s="1"/>
  <c r="AA429" i="9" s="1"/>
  <c r="T429" i="9" s="1"/>
  <c r="Q420" i="9"/>
  <c r="Z420" i="9" s="1"/>
  <c r="AA420" i="9" s="1"/>
  <c r="T420" i="9" s="1"/>
  <c r="R419" i="9"/>
  <c r="R940" i="9"/>
  <c r="R932" i="9"/>
  <c r="R924" i="9"/>
  <c r="R916" i="9"/>
  <c r="R908" i="9"/>
  <c r="R900" i="9"/>
  <c r="R892" i="9"/>
  <c r="R884" i="9"/>
  <c r="R876" i="9"/>
  <c r="R868" i="9"/>
  <c r="R860" i="9"/>
  <c r="R852" i="9"/>
  <c r="R844" i="9"/>
  <c r="R836" i="9"/>
  <c r="R828" i="9"/>
  <c r="R820" i="9"/>
  <c r="R812" i="9"/>
  <c r="R804" i="9"/>
  <c r="R796" i="9"/>
  <c r="R788" i="9"/>
  <c r="R780" i="9"/>
  <c r="R772" i="9"/>
  <c r="R764" i="9"/>
  <c r="R756" i="9"/>
  <c r="R748" i="9"/>
  <c r="R740" i="9"/>
  <c r="R732" i="9"/>
  <c r="R724" i="9"/>
  <c r="R716" i="9"/>
  <c r="R708" i="9"/>
  <c r="R700" i="9"/>
  <c r="R692" i="9"/>
  <c r="R684" i="9"/>
  <c r="R683" i="9"/>
  <c r="R670" i="9"/>
  <c r="R667" i="9"/>
  <c r="R654" i="9"/>
  <c r="R651" i="9"/>
  <c r="R638" i="9"/>
  <c r="R635" i="9"/>
  <c r="R595" i="9"/>
  <c r="Q411" i="9"/>
  <c r="Z411" i="9" s="1"/>
  <c r="AA411" i="9" s="1"/>
  <c r="T411" i="9" s="1"/>
  <c r="R679" i="9"/>
  <c r="R671" i="9"/>
  <c r="R663" i="9"/>
  <c r="R655" i="9"/>
  <c r="R647" i="9"/>
  <c r="R639" i="9"/>
  <c r="R631" i="9"/>
  <c r="R623" i="9"/>
  <c r="R579" i="9"/>
  <c r="R548" i="9"/>
  <c r="Q399" i="9"/>
  <c r="Z399" i="9" s="1"/>
  <c r="AA399" i="9" s="1"/>
  <c r="T399" i="9" s="1"/>
  <c r="Q351" i="9"/>
  <c r="Z351" i="9" s="1"/>
  <c r="AA351" i="9" s="1"/>
  <c r="T351" i="9" s="1"/>
  <c r="R515" i="9"/>
  <c r="R491" i="9"/>
  <c r="R479" i="9"/>
  <c r="Q300" i="9"/>
  <c r="Z300" i="9" s="1"/>
  <c r="AA300" i="9" s="1"/>
  <c r="T300" i="9" s="1"/>
  <c r="Q312" i="9"/>
  <c r="Z312" i="9" s="1"/>
  <c r="AA312" i="9" s="1"/>
  <c r="T312" i="9" s="1"/>
  <c r="R311" i="9"/>
  <c r="Q270" i="9"/>
  <c r="Z270" i="9" s="1"/>
  <c r="AA270" i="9" s="1"/>
  <c r="T270" i="9" s="1"/>
  <c r="R269" i="9"/>
  <c r="Q228" i="9"/>
  <c r="Z228" i="9" s="1"/>
  <c r="AA228" i="9" s="1"/>
  <c r="T228" i="9" s="1"/>
  <c r="R200" i="9"/>
  <c r="Q201" i="9"/>
  <c r="Z201" i="9" s="1"/>
  <c r="AA201" i="9" s="1"/>
  <c r="T201" i="9" s="1"/>
  <c r="Q213" i="9"/>
  <c r="Z213" i="9" s="1"/>
  <c r="AA213" i="9" s="1"/>
  <c r="T213" i="9" s="1"/>
  <c r="Q177" i="9"/>
  <c r="Z177" i="9" s="1"/>
  <c r="AA177" i="9" s="1"/>
  <c r="T177" i="9" s="1"/>
  <c r="Q195" i="9"/>
  <c r="Z195" i="9" s="1"/>
  <c r="AA195" i="9" s="1"/>
  <c r="T195" i="9" s="1"/>
  <c r="R194" i="9"/>
  <c r="Q231" i="9"/>
  <c r="Z231" i="9" s="1"/>
  <c r="AA231" i="9" s="1"/>
  <c r="T231" i="9" s="1"/>
  <c r="Q162" i="9"/>
  <c r="Z162" i="9" s="1"/>
  <c r="AA162" i="9" s="1"/>
  <c r="T162" i="9" s="1"/>
  <c r="R161" i="9"/>
  <c r="Q183" i="9"/>
  <c r="Z183" i="9" s="1"/>
  <c r="AA183" i="9" s="1"/>
  <c r="T183" i="9" s="1"/>
  <c r="Q189" i="9"/>
  <c r="Z189" i="9" s="1"/>
  <c r="AA189" i="9" s="1"/>
  <c r="T189" i="9" s="1"/>
  <c r="Q109" i="9"/>
  <c r="R119" i="9"/>
  <c r="Q97" i="9"/>
  <c r="Q94" i="9"/>
  <c r="Q64" i="9"/>
  <c r="Q52" i="9"/>
  <c r="Q46" i="9"/>
  <c r="Z46" i="9" s="1"/>
  <c r="AA46" i="9" s="1"/>
  <c r="T46" i="9" s="1"/>
  <c r="R38" i="9"/>
  <c r="Q34" i="9"/>
  <c r="Q21" i="9"/>
  <c r="Z21" i="9" s="1"/>
  <c r="R20" i="9"/>
  <c r="Q19" i="9"/>
  <c r="Q16" i="9"/>
  <c r="AA21" i="9" l="1"/>
  <c r="T21" i="9" s="1"/>
  <c r="AA17" i="9"/>
  <c r="T17" i="9" s="1"/>
  <c r="AA2" i="9"/>
  <c r="T2" i="9" s="1"/>
  <c r="AA5" i="9"/>
  <c r="T5" i="9" s="1"/>
  <c r="AA3" i="9"/>
  <c r="T3" i="9" s="1"/>
  <c r="R621" i="9"/>
  <c r="R594" i="9"/>
  <c r="R610" i="9"/>
  <c r="R590" i="9"/>
  <c r="R603" i="9"/>
  <c r="R616" i="9"/>
  <c r="R599" i="9"/>
  <c r="R614" i="9"/>
  <c r="R615" i="9"/>
  <c r="R602" i="9"/>
  <c r="R587" i="9"/>
  <c r="R620" i="9"/>
  <c r="R611" i="9"/>
  <c r="R171" i="9"/>
  <c r="AA171" i="9"/>
  <c r="T171" i="9" s="1"/>
  <c r="R252" i="9"/>
  <c r="AA252" i="9"/>
  <c r="T252" i="9" s="1"/>
  <c r="R540" i="9"/>
  <c r="AA540" i="9"/>
  <c r="T540" i="9" s="1"/>
  <c r="R15" i="9"/>
  <c r="AA15" i="9"/>
  <c r="T15" i="9" s="1"/>
  <c r="R24" i="9"/>
  <c r="AA24" i="9"/>
  <c r="T24" i="9" s="1"/>
  <c r="R51" i="9"/>
  <c r="AA51" i="9"/>
  <c r="T51" i="9" s="1"/>
  <c r="R63" i="9"/>
  <c r="AA63" i="9"/>
  <c r="T63" i="9" s="1"/>
  <c r="R72" i="9"/>
  <c r="AA72" i="9"/>
  <c r="T72" i="9" s="1"/>
  <c r="R96" i="9"/>
  <c r="AA96" i="9"/>
  <c r="T96" i="9" s="1"/>
  <c r="R108" i="9"/>
  <c r="AA108" i="9"/>
  <c r="T108" i="9" s="1"/>
  <c r="AA571" i="9"/>
  <c r="T571" i="9" s="1"/>
  <c r="AA593" i="9"/>
  <c r="T593" i="9" s="1"/>
  <c r="AA573" i="9"/>
  <c r="T573" i="9" s="1"/>
  <c r="AA596" i="9"/>
  <c r="T596" i="9" s="1"/>
  <c r="AA566" i="9"/>
  <c r="T566" i="9" s="1"/>
  <c r="AA592" i="9"/>
  <c r="T592" i="9" s="1"/>
  <c r="AA604" i="9"/>
  <c r="T604" i="9" s="1"/>
  <c r="R440" i="9"/>
  <c r="AA440" i="9"/>
  <c r="T440" i="9" s="1"/>
  <c r="R473" i="9"/>
  <c r="AA473" i="9"/>
  <c r="T473" i="9" s="1"/>
  <c r="R506" i="9"/>
  <c r="AA506" i="9"/>
  <c r="T506" i="9" s="1"/>
  <c r="R512" i="9"/>
  <c r="AA512" i="9"/>
  <c r="T512" i="9" s="1"/>
  <c r="R26" i="9"/>
  <c r="AA26" i="9"/>
  <c r="T26" i="9" s="1"/>
  <c r="R32" i="9"/>
  <c r="AA32" i="9"/>
  <c r="T32" i="9" s="1"/>
  <c r="R47" i="9"/>
  <c r="AA47" i="9"/>
  <c r="T47" i="9" s="1"/>
  <c r="R59" i="9"/>
  <c r="AA59" i="9"/>
  <c r="T59" i="9" s="1"/>
  <c r="R83" i="9"/>
  <c r="AA83" i="9"/>
  <c r="T83" i="9" s="1"/>
  <c r="R92" i="9"/>
  <c r="AA92" i="9"/>
  <c r="T92" i="9" s="1"/>
  <c r="R104" i="9"/>
  <c r="AA104" i="9"/>
  <c r="T104" i="9" s="1"/>
  <c r="R110" i="9"/>
  <c r="AA110" i="9"/>
  <c r="T110" i="9" s="1"/>
  <c r="R128" i="9"/>
  <c r="AA128" i="9"/>
  <c r="T128" i="9" s="1"/>
  <c r="AA581" i="9"/>
  <c r="T581" i="9" s="1"/>
  <c r="AA574" i="9"/>
  <c r="T574" i="9" s="1"/>
  <c r="AA597" i="9"/>
  <c r="T597" i="9" s="1"/>
  <c r="AA575" i="9"/>
  <c r="T575" i="9" s="1"/>
  <c r="AA567" i="9"/>
  <c r="T567" i="9" s="1"/>
  <c r="AA580" i="9"/>
  <c r="T580" i="9" s="1"/>
  <c r="R4" i="9"/>
  <c r="AA4" i="9"/>
  <c r="T4" i="9" s="1"/>
  <c r="R435" i="9"/>
  <c r="AA435" i="9"/>
  <c r="T435" i="9" s="1"/>
  <c r="R441" i="9"/>
  <c r="AA441" i="9"/>
  <c r="T441" i="9" s="1"/>
  <c r="R465" i="9"/>
  <c r="AA465" i="9"/>
  <c r="T465" i="9" s="1"/>
  <c r="R474" i="9"/>
  <c r="AA474" i="9"/>
  <c r="T474" i="9" s="1"/>
  <c r="R507" i="9"/>
  <c r="AA507" i="9"/>
  <c r="T507" i="9" s="1"/>
  <c r="R18" i="9"/>
  <c r="AA18" i="9"/>
  <c r="T18" i="9" s="1"/>
  <c r="R33" i="9"/>
  <c r="AA33" i="9"/>
  <c r="T33" i="9" s="1"/>
  <c r="R54" i="9"/>
  <c r="AA54" i="9"/>
  <c r="T54" i="9" s="1"/>
  <c r="R66" i="9"/>
  <c r="AA66" i="9"/>
  <c r="T66" i="9" s="1"/>
  <c r="R93" i="9"/>
  <c r="AA93" i="9"/>
  <c r="T93" i="9" s="1"/>
  <c r="R105" i="9"/>
  <c r="AA105" i="9"/>
  <c r="T105" i="9" s="1"/>
  <c r="R111" i="9"/>
  <c r="AA111" i="9"/>
  <c r="T111" i="9" s="1"/>
  <c r="AA569" i="9"/>
  <c r="T569" i="9" s="1"/>
  <c r="AA584" i="9"/>
  <c r="T584" i="9" s="1"/>
  <c r="AA607" i="9"/>
  <c r="T607" i="9" s="1"/>
  <c r="AA608" i="9"/>
  <c r="T608" i="9" s="1"/>
  <c r="AA568" i="9"/>
  <c r="T568" i="9" s="1"/>
  <c r="R470" i="9"/>
  <c r="AA470" i="9"/>
  <c r="T470" i="9" s="1"/>
  <c r="R14" i="9"/>
  <c r="AA14" i="9"/>
  <c r="T14" i="9" s="1"/>
  <c r="R23" i="9"/>
  <c r="AA23" i="9"/>
  <c r="T23" i="9" s="1"/>
  <c r="R35" i="9"/>
  <c r="AA35" i="9"/>
  <c r="T35" i="9" s="1"/>
  <c r="R44" i="9"/>
  <c r="AA44" i="9"/>
  <c r="T44" i="9" s="1"/>
  <c r="R50" i="9"/>
  <c r="AA50" i="9"/>
  <c r="T50" i="9" s="1"/>
  <c r="R56" i="9"/>
  <c r="AA56" i="9"/>
  <c r="T56" i="9" s="1"/>
  <c r="R62" i="9"/>
  <c r="AA62" i="9"/>
  <c r="T62" i="9" s="1"/>
  <c r="R71" i="9"/>
  <c r="AA71" i="9"/>
  <c r="T71" i="9" s="1"/>
  <c r="R95" i="9"/>
  <c r="AA95" i="9"/>
  <c r="T95" i="9" s="1"/>
  <c r="R107" i="9"/>
  <c r="AA107" i="9"/>
  <c r="T107" i="9" s="1"/>
  <c r="R131" i="9"/>
  <c r="AA131" i="9"/>
  <c r="T131" i="9" s="1"/>
  <c r="AA570" i="9"/>
  <c r="T570" i="9" s="1"/>
  <c r="AA605" i="9"/>
  <c r="T605" i="9" s="1"/>
  <c r="AA572" i="9"/>
  <c r="T572" i="9" s="1"/>
  <c r="AA585" i="9"/>
  <c r="T585" i="9" s="1"/>
  <c r="AA609" i="9"/>
  <c r="T609" i="9" s="1"/>
  <c r="AA622" i="9"/>
  <c r="T622" i="9" s="1"/>
  <c r="AA578" i="9"/>
  <c r="T578" i="9" s="1"/>
  <c r="AA591" i="9"/>
  <c r="T591" i="9" s="1"/>
  <c r="Z618" i="9"/>
  <c r="Q619" i="9"/>
  <c r="Z619" i="9" s="1"/>
  <c r="R563" i="9"/>
  <c r="R564" i="9"/>
  <c r="R525" i="9"/>
  <c r="R521" i="9"/>
  <c r="R522" i="9"/>
  <c r="Q532" i="9"/>
  <c r="Z532" i="9" s="1"/>
  <c r="R518" i="9"/>
  <c r="R524" i="9"/>
  <c r="R488" i="9"/>
  <c r="R489" i="9"/>
  <c r="R486" i="9"/>
  <c r="R485" i="9"/>
  <c r="R452" i="9"/>
  <c r="R450" i="9"/>
  <c r="R453" i="9"/>
  <c r="R449" i="9"/>
  <c r="R417" i="9"/>
  <c r="R416" i="9"/>
  <c r="R384" i="9"/>
  <c r="R377" i="9"/>
  <c r="R374" i="9"/>
  <c r="R383" i="9"/>
  <c r="R341" i="9"/>
  <c r="R347" i="9"/>
  <c r="R342" i="9"/>
  <c r="R344" i="9"/>
  <c r="R305" i="9"/>
  <c r="R306" i="9"/>
  <c r="R308" i="9"/>
  <c r="R266" i="9"/>
  <c r="R275" i="9"/>
  <c r="R276" i="9"/>
  <c r="R272" i="9"/>
  <c r="R236" i="9"/>
  <c r="R240" i="9"/>
  <c r="Q247" i="9"/>
  <c r="Z247" i="9" s="1"/>
  <c r="AA247" i="9" s="1"/>
  <c r="T247" i="9" s="1"/>
  <c r="R233" i="9"/>
  <c r="R239" i="9"/>
  <c r="R197" i="9"/>
  <c r="R203" i="9"/>
  <c r="R164" i="9"/>
  <c r="Q139" i="9"/>
  <c r="Z139" i="9" s="1"/>
  <c r="AA139" i="9" s="1"/>
  <c r="T139" i="9" s="1"/>
  <c r="Q442" i="9"/>
  <c r="Z442" i="9" s="1"/>
  <c r="AA442" i="9" s="1"/>
  <c r="T442" i="9" s="1"/>
  <c r="Q370" i="9"/>
  <c r="Z370" i="9" s="1"/>
  <c r="AA370" i="9" s="1"/>
  <c r="T370" i="9" s="1"/>
  <c r="Q148" i="9"/>
  <c r="Z148" i="9" s="1"/>
  <c r="Q427" i="9"/>
  <c r="Z427" i="9" s="1"/>
  <c r="Q409" i="9"/>
  <c r="Z409" i="9" s="1"/>
  <c r="AA409" i="9" s="1"/>
  <c r="T409" i="9" s="1"/>
  <c r="Q436" i="9"/>
  <c r="Z436" i="9" s="1"/>
  <c r="Q487" i="9"/>
  <c r="Z487" i="9" s="1"/>
  <c r="AA487" i="9" s="1"/>
  <c r="T487" i="9" s="1"/>
  <c r="Q451" i="9"/>
  <c r="Z451" i="9" s="1"/>
  <c r="AA451" i="9" s="1"/>
  <c r="T451" i="9" s="1"/>
  <c r="Q460" i="9"/>
  <c r="Z460" i="9" s="1"/>
  <c r="AA460" i="9" s="1"/>
  <c r="T460" i="9" s="1"/>
  <c r="Q466" i="9"/>
  <c r="Z466" i="9" s="1"/>
  <c r="Q508" i="9"/>
  <c r="Z508" i="9" s="1"/>
  <c r="Q514" i="9"/>
  <c r="Z514" i="9" s="1"/>
  <c r="Q523" i="9"/>
  <c r="Z523" i="9" s="1"/>
  <c r="AA523" i="9" s="1"/>
  <c r="T523" i="9" s="1"/>
  <c r="Q475" i="9"/>
  <c r="Z475" i="9" s="1"/>
  <c r="R555" i="9"/>
  <c r="R554" i="9"/>
  <c r="R531" i="9"/>
  <c r="Q358" i="9"/>
  <c r="Z358" i="9" s="1"/>
  <c r="Q364" i="9"/>
  <c r="Z364" i="9" s="1"/>
  <c r="Q331" i="9"/>
  <c r="Z331" i="9" s="1"/>
  <c r="Q343" i="9"/>
  <c r="Z343" i="9" s="1"/>
  <c r="AA343" i="9" s="1"/>
  <c r="T343" i="9" s="1"/>
  <c r="Q298" i="9"/>
  <c r="Z298" i="9" s="1"/>
  <c r="AA298" i="9" s="1"/>
  <c r="T298" i="9" s="1"/>
  <c r="Q277" i="9"/>
  <c r="Z277" i="9" s="1"/>
  <c r="AA277" i="9" s="1"/>
  <c r="T277" i="9" s="1"/>
  <c r="Q250" i="9"/>
  <c r="Z250" i="9" s="1"/>
  <c r="Q226" i="9"/>
  <c r="Z226" i="9" s="1"/>
  <c r="AA226" i="9" s="1"/>
  <c r="T226" i="9" s="1"/>
  <c r="R459" i="9"/>
  <c r="R143" i="9"/>
  <c r="R170" i="9"/>
  <c r="R179" i="9"/>
  <c r="R251" i="9"/>
  <c r="R287" i="9"/>
  <c r="R323" i="9"/>
  <c r="R500" i="9"/>
  <c r="R144" i="9"/>
  <c r="R207" i="9"/>
  <c r="R501" i="9"/>
  <c r="R173" i="9"/>
  <c r="R458" i="9"/>
  <c r="R464" i="9"/>
  <c r="Q367" i="9"/>
  <c r="Z367" i="9" s="1"/>
  <c r="Q454" i="9"/>
  <c r="Z454" i="9" s="1"/>
  <c r="AA454" i="9" s="1"/>
  <c r="T454" i="9" s="1"/>
  <c r="Q502" i="9"/>
  <c r="Z502" i="9" s="1"/>
  <c r="AA502" i="9" s="1"/>
  <c r="T502" i="9" s="1"/>
  <c r="Q472" i="9"/>
  <c r="Z472" i="9" s="1"/>
  <c r="Q526" i="9"/>
  <c r="Z526" i="9" s="1"/>
  <c r="AA526" i="9" s="1"/>
  <c r="T526" i="9" s="1"/>
  <c r="Q556" i="9"/>
  <c r="Z556" i="9" s="1"/>
  <c r="AA556" i="9" s="1"/>
  <c r="T556" i="9" s="1"/>
  <c r="Q253" i="9"/>
  <c r="Z253" i="9" s="1"/>
  <c r="AA253" i="9" s="1"/>
  <c r="T253" i="9" s="1"/>
  <c r="Q265" i="9"/>
  <c r="Z265" i="9" s="1"/>
  <c r="Q241" i="9"/>
  <c r="Q307" i="9"/>
  <c r="Q337" i="9"/>
  <c r="Z337" i="9" s="1"/>
  <c r="Q511" i="9"/>
  <c r="Z511" i="9" s="1"/>
  <c r="Q385" i="9"/>
  <c r="Q208" i="9"/>
  <c r="Z208" i="9" s="1"/>
  <c r="Q259" i="9"/>
  <c r="Z259" i="9" s="1"/>
  <c r="Q172" i="9"/>
  <c r="Z172" i="9" s="1"/>
  <c r="AA172" i="9" s="1"/>
  <c r="T172" i="9" s="1"/>
  <c r="Q520" i="9"/>
  <c r="Z520" i="9" s="1"/>
  <c r="AA520" i="9" s="1"/>
  <c r="T520" i="9" s="1"/>
  <c r="Q478" i="9"/>
  <c r="Z478" i="9" s="1"/>
  <c r="Q553" i="9"/>
  <c r="Z553" i="9" s="1"/>
  <c r="Q418" i="9"/>
  <c r="Z418" i="9" s="1"/>
  <c r="AA418" i="9" s="1"/>
  <c r="T418" i="9" s="1"/>
  <c r="Q220" i="9"/>
  <c r="Z220" i="9" s="1"/>
  <c r="AA220" i="9" s="1"/>
  <c r="T220" i="9" s="1"/>
  <c r="Q433" i="9"/>
  <c r="Z433" i="9" s="1"/>
  <c r="Q490" i="9"/>
  <c r="Z490" i="9" s="1"/>
  <c r="AA490" i="9" s="1"/>
  <c r="T490" i="9" s="1"/>
  <c r="Q541" i="9"/>
  <c r="Z541" i="9" s="1"/>
  <c r="Q565" i="9"/>
  <c r="Z565" i="9" s="1"/>
  <c r="AA565" i="9" s="1"/>
  <c r="T565" i="9" s="1"/>
  <c r="Z52" i="9"/>
  <c r="Z94" i="9"/>
  <c r="Z109" i="9"/>
  <c r="Z241" i="9"/>
  <c r="AA241" i="9" s="1"/>
  <c r="T241" i="9" s="1"/>
  <c r="Z55" i="9"/>
  <c r="Q382" i="9"/>
  <c r="Z381" i="9"/>
  <c r="AA381" i="9" s="1"/>
  <c r="T381" i="9" s="1"/>
  <c r="Z385" i="9"/>
  <c r="AA385" i="9" s="1"/>
  <c r="T385" i="9" s="1"/>
  <c r="Q316" i="9"/>
  <c r="Z316" i="9" s="1"/>
  <c r="Z315" i="9"/>
  <c r="AA315" i="9" s="1"/>
  <c r="T315" i="9" s="1"/>
  <c r="Q82" i="9"/>
  <c r="Z82" i="9" s="1"/>
  <c r="Z81" i="9"/>
  <c r="AA81" i="9" s="1"/>
  <c r="T81" i="9" s="1"/>
  <c r="Z447" i="9"/>
  <c r="AA447" i="9" s="1"/>
  <c r="T447" i="9" s="1"/>
  <c r="Z483" i="9"/>
  <c r="AA483" i="9" s="1"/>
  <c r="T483" i="9" s="1"/>
  <c r="Z19" i="9"/>
  <c r="Z10" i="9"/>
  <c r="AA10" i="9" s="1"/>
  <c r="T10" i="9" s="1"/>
  <c r="Q115" i="9"/>
  <c r="Z115" i="9" s="1"/>
  <c r="Z114" i="9"/>
  <c r="Q160" i="9"/>
  <c r="Z159" i="9"/>
  <c r="Z25" i="9"/>
  <c r="Z106" i="9"/>
  <c r="Q217" i="9"/>
  <c r="Z216" i="9"/>
  <c r="AA216" i="9" s="1"/>
  <c r="T216" i="9" s="1"/>
  <c r="Z303" i="9"/>
  <c r="AA303" i="9" s="1"/>
  <c r="T303" i="9" s="1"/>
  <c r="Q127" i="9"/>
  <c r="Z126" i="9"/>
  <c r="Q121" i="9"/>
  <c r="Z121" i="9" s="1"/>
  <c r="Z120" i="9"/>
  <c r="AA120" i="9" s="1"/>
  <c r="T120" i="9" s="1"/>
  <c r="Z463" i="9"/>
  <c r="AA463" i="9" s="1"/>
  <c r="T463" i="9" s="1"/>
  <c r="Q154" i="9"/>
  <c r="Z154" i="9" s="1"/>
  <c r="Z153" i="9"/>
  <c r="Q166" i="9"/>
  <c r="Z166" i="9" s="1"/>
  <c r="AA166" i="9" s="1"/>
  <c r="T166" i="9" s="1"/>
  <c r="Z165" i="9"/>
  <c r="AA165" i="9" s="1"/>
  <c r="T165" i="9" s="1"/>
  <c r="Q175" i="9"/>
  <c r="Z175" i="9" s="1"/>
  <c r="AA175" i="9" s="1"/>
  <c r="T175" i="9" s="1"/>
  <c r="Z174" i="9"/>
  <c r="AA174" i="9" s="1"/>
  <c r="T174" i="9" s="1"/>
  <c r="Q187" i="9"/>
  <c r="Z187" i="9" s="1"/>
  <c r="Z186" i="9"/>
  <c r="Q205" i="9"/>
  <c r="Z205" i="9" s="1"/>
  <c r="AA205" i="9" s="1"/>
  <c r="T205" i="9" s="1"/>
  <c r="Z204" i="9"/>
  <c r="AA204" i="9" s="1"/>
  <c r="T204" i="9" s="1"/>
  <c r="Q211" i="9"/>
  <c r="Z211" i="9" s="1"/>
  <c r="AA211" i="9" s="1"/>
  <c r="T211" i="9" s="1"/>
  <c r="Z210" i="9"/>
  <c r="AA210" i="9" s="1"/>
  <c r="T210" i="9" s="1"/>
  <c r="Q238" i="9"/>
  <c r="Z238" i="9" s="1"/>
  <c r="AA238" i="9" s="1"/>
  <c r="T238" i="9" s="1"/>
  <c r="Z237" i="9"/>
  <c r="AA237" i="9" s="1"/>
  <c r="T237" i="9" s="1"/>
  <c r="Q244" i="9"/>
  <c r="Z244" i="9" s="1"/>
  <c r="Z243" i="9"/>
  <c r="AA243" i="9" s="1"/>
  <c r="T243" i="9" s="1"/>
  <c r="Q256" i="9"/>
  <c r="Z256" i="9" s="1"/>
  <c r="Z255" i="9"/>
  <c r="Q262" i="9"/>
  <c r="Z262" i="9" s="1"/>
  <c r="Z261" i="9"/>
  <c r="Q268" i="9"/>
  <c r="Z268" i="9" s="1"/>
  <c r="AA268" i="9" s="1"/>
  <c r="T268" i="9" s="1"/>
  <c r="Z267" i="9"/>
  <c r="AA267" i="9" s="1"/>
  <c r="T267" i="9" s="1"/>
  <c r="Q286" i="9"/>
  <c r="Z286" i="9" s="1"/>
  <c r="AA286" i="9" s="1"/>
  <c r="T286" i="9" s="1"/>
  <c r="Z285" i="9"/>
  <c r="AA285" i="9" s="1"/>
  <c r="T285" i="9" s="1"/>
  <c r="Q292" i="9"/>
  <c r="Z292" i="9" s="1"/>
  <c r="Z291" i="9"/>
  <c r="Q310" i="9"/>
  <c r="Z310" i="9" s="1"/>
  <c r="AA310" i="9" s="1"/>
  <c r="T310" i="9" s="1"/>
  <c r="Z309" i="9"/>
  <c r="AA309" i="9" s="1"/>
  <c r="T309" i="9" s="1"/>
  <c r="Q349" i="9"/>
  <c r="Z349" i="9" s="1"/>
  <c r="AA349" i="9" s="1"/>
  <c r="T349" i="9" s="1"/>
  <c r="Z348" i="9"/>
  <c r="AA348" i="9" s="1"/>
  <c r="T348" i="9" s="1"/>
  <c r="Q379" i="9"/>
  <c r="Z379" i="9" s="1"/>
  <c r="AA379" i="9" s="1"/>
  <c r="T379" i="9" s="1"/>
  <c r="Z378" i="9"/>
  <c r="AA378" i="9" s="1"/>
  <c r="T378" i="9" s="1"/>
  <c r="Q388" i="9"/>
  <c r="Z388" i="9" s="1"/>
  <c r="AA388" i="9" s="1"/>
  <c r="T388" i="9" s="1"/>
  <c r="Z387" i="9"/>
  <c r="AA387" i="9" s="1"/>
  <c r="T387" i="9" s="1"/>
  <c r="Q397" i="9"/>
  <c r="Z397" i="9" s="1"/>
  <c r="Z396" i="9"/>
  <c r="AA396" i="9" s="1"/>
  <c r="T396" i="9" s="1"/>
  <c r="Q499" i="9"/>
  <c r="Z499" i="9" s="1"/>
  <c r="AA499" i="9" s="1"/>
  <c r="T499" i="9" s="1"/>
  <c r="Z498" i="9"/>
  <c r="AA498" i="9" s="1"/>
  <c r="T498" i="9" s="1"/>
  <c r="Q544" i="9"/>
  <c r="Z544" i="9" s="1"/>
  <c r="Z543" i="9"/>
  <c r="Q7" i="9"/>
  <c r="Z7" i="9" s="1"/>
  <c r="AA7" i="9" s="1"/>
  <c r="T7" i="9" s="1"/>
  <c r="Z6" i="9"/>
  <c r="Q13" i="9"/>
  <c r="Z13" i="9" s="1"/>
  <c r="Z12" i="9"/>
  <c r="AA12" i="9" s="1"/>
  <c r="T12" i="9" s="1"/>
  <c r="Q28" i="9"/>
  <c r="Z28" i="9" s="1"/>
  <c r="Z27" i="9"/>
  <c r="Q43" i="9"/>
  <c r="Z43" i="9" s="1"/>
  <c r="Z42" i="9"/>
  <c r="AA42" i="9" s="1"/>
  <c r="T42" i="9" s="1"/>
  <c r="Q49" i="9"/>
  <c r="Z49" i="9" s="1"/>
  <c r="Z48" i="9"/>
  <c r="Q61" i="9"/>
  <c r="Z61" i="9" s="1"/>
  <c r="Z60" i="9"/>
  <c r="Q76" i="9"/>
  <c r="Z76" i="9" s="1"/>
  <c r="Z75" i="9"/>
  <c r="Q85" i="9"/>
  <c r="Z85" i="9" s="1"/>
  <c r="Z84" i="9"/>
  <c r="AA84" i="9" s="1"/>
  <c r="T84" i="9" s="1"/>
  <c r="Q130" i="9"/>
  <c r="Z130" i="9" s="1"/>
  <c r="Z129" i="9"/>
  <c r="Z307" i="9"/>
  <c r="AA307" i="9" s="1"/>
  <c r="T307" i="9" s="1"/>
  <c r="Q103" i="9"/>
  <c r="Z102" i="9"/>
  <c r="Z168" i="9"/>
  <c r="AA168" i="9" s="1"/>
  <c r="T168" i="9" s="1"/>
  <c r="Z67" i="9"/>
  <c r="Q328" i="9"/>
  <c r="Z328" i="9" s="1"/>
  <c r="Z327" i="9"/>
  <c r="AA327" i="9" s="1"/>
  <c r="T327" i="9" s="1"/>
  <c r="Q424" i="9"/>
  <c r="Z424" i="9" s="1"/>
  <c r="AA424" i="9" s="1"/>
  <c r="T424" i="9" s="1"/>
  <c r="Z423" i="9"/>
  <c r="AA423" i="9" s="1"/>
  <c r="T423" i="9" s="1"/>
  <c r="Z145" i="9"/>
  <c r="AA145" i="9" s="1"/>
  <c r="T145" i="9" s="1"/>
  <c r="Q124" i="9"/>
  <c r="Z124" i="9" s="1"/>
  <c r="Z123" i="9"/>
  <c r="AA123" i="9" s="1"/>
  <c r="T123" i="9" s="1"/>
  <c r="Z16" i="9"/>
  <c r="Z34" i="9"/>
  <c r="Z64" i="9"/>
  <c r="Z97" i="9"/>
  <c r="Z73" i="9"/>
  <c r="Q100" i="9"/>
  <c r="Z99" i="9"/>
  <c r="AA99" i="9" s="1"/>
  <c r="T99" i="9" s="1"/>
  <c r="Q151" i="9"/>
  <c r="Z151" i="9" s="1"/>
  <c r="Z150" i="9"/>
  <c r="Q157" i="9"/>
  <c r="Z157" i="9" s="1"/>
  <c r="Z156" i="9"/>
  <c r="Q181" i="9"/>
  <c r="Z181" i="9" s="1"/>
  <c r="AA181" i="9" s="1"/>
  <c r="T181" i="9" s="1"/>
  <c r="Z180" i="9"/>
  <c r="AA180" i="9" s="1"/>
  <c r="T180" i="9" s="1"/>
  <c r="Q199" i="9"/>
  <c r="Z199" i="9" s="1"/>
  <c r="AA199" i="9" s="1"/>
  <c r="T199" i="9" s="1"/>
  <c r="Z198" i="9"/>
  <c r="AA198" i="9" s="1"/>
  <c r="T198" i="9" s="1"/>
  <c r="Q235" i="9"/>
  <c r="Z235" i="9" s="1"/>
  <c r="AA235" i="9" s="1"/>
  <c r="T235" i="9" s="1"/>
  <c r="Z234" i="9"/>
  <c r="AA234" i="9" s="1"/>
  <c r="T234" i="9" s="1"/>
  <c r="Q274" i="9"/>
  <c r="Z274" i="9" s="1"/>
  <c r="AA274" i="9" s="1"/>
  <c r="T274" i="9" s="1"/>
  <c r="Z273" i="9"/>
  <c r="AA273" i="9" s="1"/>
  <c r="T273" i="9" s="1"/>
  <c r="Q280" i="9"/>
  <c r="Z280" i="9" s="1"/>
  <c r="AA280" i="9" s="1"/>
  <c r="T280" i="9" s="1"/>
  <c r="Z279" i="9"/>
  <c r="AA279" i="9" s="1"/>
  <c r="T279" i="9" s="1"/>
  <c r="Q289" i="9"/>
  <c r="Z289" i="9" s="1"/>
  <c r="AA289" i="9" s="1"/>
  <c r="T289" i="9" s="1"/>
  <c r="Z288" i="9"/>
  <c r="AA288" i="9" s="1"/>
  <c r="T288" i="9" s="1"/>
  <c r="Q295" i="9"/>
  <c r="Z295" i="9" s="1"/>
  <c r="Z294" i="9"/>
  <c r="Q325" i="9"/>
  <c r="Z325" i="9" s="1"/>
  <c r="AA325" i="9" s="1"/>
  <c r="T325" i="9" s="1"/>
  <c r="Z324" i="9"/>
  <c r="AA324" i="9" s="1"/>
  <c r="T324" i="9" s="1"/>
  <c r="Q346" i="9"/>
  <c r="Z346" i="9" s="1"/>
  <c r="AA346" i="9" s="1"/>
  <c r="T346" i="9" s="1"/>
  <c r="Z345" i="9"/>
  <c r="AA345" i="9" s="1"/>
  <c r="T345" i="9" s="1"/>
  <c r="Q361" i="9"/>
  <c r="Z361" i="9" s="1"/>
  <c r="AA361" i="9" s="1"/>
  <c r="T361" i="9" s="1"/>
  <c r="Z360" i="9"/>
  <c r="AA360" i="9" s="1"/>
  <c r="T360" i="9" s="1"/>
  <c r="Q376" i="9"/>
  <c r="Z376" i="9" s="1"/>
  <c r="AA376" i="9" s="1"/>
  <c r="T376" i="9" s="1"/>
  <c r="Z375" i="9"/>
  <c r="AA375" i="9" s="1"/>
  <c r="T375" i="9" s="1"/>
  <c r="Q403" i="9"/>
  <c r="Z403" i="9" s="1"/>
  <c r="Z402" i="9"/>
  <c r="Q439" i="9"/>
  <c r="Z439" i="9" s="1"/>
  <c r="Z438" i="9"/>
  <c r="Q445" i="9"/>
  <c r="Z445" i="9" s="1"/>
  <c r="Z444" i="9"/>
  <c r="Q31" i="9"/>
  <c r="Z31" i="9" s="1"/>
  <c r="Z30" i="9"/>
  <c r="Q37" i="9"/>
  <c r="Z37" i="9" s="1"/>
  <c r="Z36" i="9"/>
  <c r="Q58" i="9"/>
  <c r="Z58" i="9" s="1"/>
  <c r="Z57" i="9"/>
  <c r="Q79" i="9"/>
  <c r="Z79" i="9" s="1"/>
  <c r="Z78" i="9"/>
  <c r="Q91" i="9"/>
  <c r="Z91" i="9" s="1"/>
  <c r="Z90" i="9"/>
  <c r="Q133" i="9"/>
  <c r="Z133" i="9" s="1"/>
  <c r="Z132" i="9"/>
  <c r="Q448" i="9"/>
  <c r="Q484" i="9"/>
  <c r="R513" i="9"/>
  <c r="R477" i="9"/>
  <c r="R443" i="9"/>
  <c r="R510" i="9"/>
  <c r="R437" i="9"/>
  <c r="R552" i="9"/>
  <c r="R509" i="9"/>
  <c r="R551" i="9"/>
  <c r="R471" i="9"/>
  <c r="R434" i="9"/>
  <c r="R542" i="9"/>
  <c r="R219" i="9"/>
  <c r="R146" i="9"/>
  <c r="R476" i="9"/>
  <c r="Z576" i="9"/>
  <c r="Q577" i="9"/>
  <c r="Z577" i="9" s="1"/>
  <c r="R41" i="9"/>
  <c r="R53" i="9"/>
  <c r="R122" i="9"/>
  <c r="R134" i="9"/>
  <c r="R137" i="9"/>
  <c r="R495" i="9"/>
  <c r="R135" i="9"/>
  <c r="R138" i="9"/>
  <c r="R89" i="9"/>
  <c r="R497" i="9"/>
  <c r="R462" i="9"/>
  <c r="R125" i="9"/>
  <c r="R139" i="9"/>
  <c r="R29" i="9"/>
  <c r="R461" i="9"/>
  <c r="R530" i="9"/>
  <c r="R176" i="9"/>
  <c r="R17" i="9"/>
  <c r="R65" i="9"/>
  <c r="Q496" i="9"/>
  <c r="Z496" i="9" s="1"/>
  <c r="AA496" i="9" s="1"/>
  <c r="T496" i="9" s="1"/>
  <c r="AU996" i="9"/>
  <c r="AU33" i="9"/>
  <c r="AU69" i="9"/>
  <c r="AT104" i="9"/>
  <c r="AT105" i="9"/>
  <c r="AT106" i="9"/>
  <c r="AU95" i="9"/>
  <c r="AU97" i="9"/>
  <c r="AT107" i="9"/>
  <c r="AT108" i="9"/>
  <c r="AT109" i="9"/>
  <c r="AT33" i="9"/>
  <c r="AU57" i="9"/>
  <c r="AT69" i="9"/>
  <c r="AT92" i="9"/>
  <c r="AU105" i="9"/>
  <c r="AU103" i="9"/>
  <c r="AU55" i="9"/>
  <c r="AU573" i="9"/>
  <c r="AT609" i="9"/>
  <c r="AT625" i="9"/>
  <c r="AT633" i="9"/>
  <c r="AU649" i="9"/>
  <c r="AU657" i="9"/>
  <c r="AT661" i="9"/>
  <c r="AU665" i="9"/>
  <c r="AT669" i="9"/>
  <c r="AU673" i="9"/>
  <c r="AT677" i="9"/>
  <c r="AU681" i="9"/>
  <c r="AT685" i="9"/>
  <c r="AU689" i="9"/>
  <c r="AT693" i="9"/>
  <c r="AU697" i="9"/>
  <c r="AT701" i="9"/>
  <c r="AU705" i="9"/>
  <c r="AT709" i="9"/>
  <c r="AU713" i="9"/>
  <c r="AT717" i="9"/>
  <c r="AU721" i="9"/>
  <c r="AT725" i="9"/>
  <c r="AU729" i="9"/>
  <c r="AT733" i="9"/>
  <c r="AU737" i="9"/>
  <c r="AT741" i="9"/>
  <c r="AU745" i="9"/>
  <c r="AT749" i="9"/>
  <c r="AU753" i="9"/>
  <c r="AT757" i="9"/>
  <c r="AT570" i="9"/>
  <c r="AU574" i="9"/>
  <c r="AU658" i="9"/>
  <c r="AU666" i="9"/>
  <c r="AU674" i="9"/>
  <c r="AU682" i="9"/>
  <c r="AU690" i="9"/>
  <c r="AU698" i="9"/>
  <c r="AU706" i="9"/>
  <c r="AU714" i="9"/>
  <c r="AU722" i="9"/>
  <c r="AU730" i="9"/>
  <c r="AU738" i="9"/>
  <c r="AU746" i="9"/>
  <c r="AU754" i="9"/>
  <c r="AT762" i="9"/>
  <c r="AT770" i="9"/>
  <c r="AT778" i="9"/>
  <c r="AT786" i="9"/>
  <c r="AT794" i="9"/>
  <c r="AT577" i="9"/>
  <c r="R539" i="9"/>
  <c r="AT606" i="9"/>
  <c r="AU610" i="9"/>
  <c r="AU618" i="9"/>
  <c r="AT622" i="9"/>
  <c r="AT630" i="9"/>
  <c r="AU634" i="9"/>
  <c r="AU642" i="9"/>
  <c r="AT646" i="9"/>
  <c r="AT658" i="9"/>
  <c r="AT666" i="9"/>
  <c r="AT674" i="9"/>
  <c r="AT682" i="9"/>
  <c r="AT690" i="9"/>
  <c r="AT698" i="9"/>
  <c r="AT706" i="9"/>
  <c r="AT714" i="9"/>
  <c r="AT722" i="9"/>
  <c r="AT730" i="9"/>
  <c r="AT738" i="9"/>
  <c r="AT746" i="9"/>
  <c r="AT754" i="9"/>
  <c r="AU766" i="9"/>
  <c r="AU774" i="9"/>
  <c r="AU782" i="9"/>
  <c r="AU790" i="9"/>
  <c r="AU798" i="9"/>
  <c r="Q538" i="9"/>
  <c r="Z538" i="9" s="1"/>
  <c r="AA538" i="9" s="1"/>
  <c r="T538" i="9" s="1"/>
  <c r="R561" i="9"/>
  <c r="Q562" i="9"/>
  <c r="Q547" i="9"/>
  <c r="Z547" i="9" s="1"/>
  <c r="AA547" i="9" s="1"/>
  <c r="T547" i="9" s="1"/>
  <c r="Q550" i="9"/>
  <c r="Z550" i="9" s="1"/>
  <c r="AA550" i="9" s="1"/>
  <c r="T550" i="9" s="1"/>
  <c r="AT802" i="9"/>
  <c r="AU806" i="9"/>
  <c r="AT810" i="9"/>
  <c r="AU814" i="9"/>
  <c r="AT818" i="9"/>
  <c r="AU822" i="9"/>
  <c r="AT826" i="9"/>
  <c r="AU830" i="9"/>
  <c r="AT834" i="9"/>
  <c r="AU838" i="9"/>
  <c r="AT842" i="9"/>
  <c r="AU846" i="9"/>
  <c r="AT850" i="9"/>
  <c r="AU854" i="9"/>
  <c r="AT858" i="9"/>
  <c r="AU862" i="9"/>
  <c r="AT866" i="9"/>
  <c r="AU870" i="9"/>
  <c r="AT874" i="9"/>
  <c r="AU878" i="9"/>
  <c r="AT882" i="9"/>
  <c r="AU886" i="9"/>
  <c r="AT890" i="9"/>
  <c r="AU894" i="9"/>
  <c r="AT898" i="9"/>
  <c r="AU902" i="9"/>
  <c r="AT906" i="9"/>
  <c r="AU910" i="9"/>
  <c r="AT914" i="9"/>
  <c r="AU918" i="9"/>
  <c r="AT922" i="9"/>
  <c r="AU926" i="9"/>
  <c r="AT930" i="9"/>
  <c r="AU934" i="9"/>
  <c r="AT938" i="9"/>
  <c r="AU942" i="9"/>
  <c r="AT946" i="9"/>
  <c r="AU950" i="9"/>
  <c r="AT954" i="9"/>
  <c r="AU958" i="9"/>
  <c r="AT962" i="9"/>
  <c r="AU966" i="9"/>
  <c r="AU974" i="9"/>
  <c r="AU982" i="9"/>
  <c r="AU571" i="9"/>
  <c r="AT607" i="9"/>
  <c r="AT623" i="9"/>
  <c r="AT631" i="9"/>
  <c r="AU655" i="9"/>
  <c r="AT659" i="9"/>
  <c r="AU663" i="9"/>
  <c r="AT667" i="9"/>
  <c r="AU671" i="9"/>
  <c r="AT675" i="9"/>
  <c r="AU679" i="9"/>
  <c r="AT683" i="9"/>
  <c r="AU687" i="9"/>
  <c r="AT691" i="9"/>
  <c r="AU695" i="9"/>
  <c r="AT699" i="9"/>
  <c r="AU703" i="9"/>
  <c r="AT707" i="9"/>
  <c r="AU711" i="9"/>
  <c r="AT715" i="9"/>
  <c r="AU719" i="9"/>
  <c r="AT723" i="9"/>
  <c r="AU727" i="9"/>
  <c r="AT731" i="9"/>
  <c r="AT739" i="9"/>
  <c r="AU743" i="9"/>
  <c r="Q535" i="9"/>
  <c r="Z535" i="9" s="1"/>
  <c r="AA535" i="9" s="1"/>
  <c r="T535" i="9" s="1"/>
  <c r="R558" i="9"/>
  <c r="Q559" i="9"/>
  <c r="R428" i="9"/>
  <c r="R282" i="9"/>
  <c r="R392" i="9"/>
  <c r="R432" i="9"/>
  <c r="R206" i="9"/>
  <c r="R248" i="9"/>
  <c r="R320" i="9"/>
  <c r="R249" i="9"/>
  <c r="R422" i="9"/>
  <c r="R426" i="9"/>
  <c r="R350" i="9"/>
  <c r="R389" i="9"/>
  <c r="R317" i="9"/>
  <c r="R356" i="9"/>
  <c r="R393" i="9"/>
  <c r="R359" i="9"/>
  <c r="R314" i="9"/>
  <c r="R212" i="9"/>
  <c r="R247" i="9"/>
  <c r="R357" i="9"/>
  <c r="R278" i="9"/>
  <c r="R318" i="9"/>
  <c r="R354" i="9"/>
  <c r="R390" i="9"/>
  <c r="R209" i="9"/>
  <c r="R245" i="9"/>
  <c r="R242" i="9"/>
  <c r="R246" i="9"/>
  <c r="R386" i="9"/>
  <c r="R353" i="9"/>
  <c r="R431" i="9"/>
  <c r="R281" i="9"/>
  <c r="R355" i="9"/>
  <c r="R391" i="9"/>
  <c r="R284" i="9"/>
  <c r="R395" i="9"/>
  <c r="Q469" i="9"/>
  <c r="Z469" i="9" s="1"/>
  <c r="AA469" i="9" s="1"/>
  <c r="T469" i="9" s="1"/>
  <c r="Q517" i="9"/>
  <c r="Z517" i="9" s="1"/>
  <c r="AA517" i="9" s="1"/>
  <c r="T517" i="9" s="1"/>
  <c r="AT747" i="9"/>
  <c r="AU751" i="9"/>
  <c r="AT755" i="9"/>
  <c r="AU759" i="9"/>
  <c r="AU572" i="9"/>
  <c r="AT576" i="9"/>
  <c r="AU608" i="9"/>
  <c r="AT744" i="9"/>
  <c r="AT752" i="9"/>
  <c r="AU764" i="9"/>
  <c r="AU772" i="9"/>
  <c r="AU780" i="9"/>
  <c r="AU788" i="9"/>
  <c r="AU796" i="9"/>
  <c r="AU804" i="9"/>
  <c r="AU812" i="9"/>
  <c r="AU820" i="9"/>
  <c r="AU836" i="9"/>
  <c r="AU844" i="9"/>
  <c r="AU852" i="9"/>
  <c r="AU908" i="9"/>
  <c r="AU916" i="9"/>
  <c r="AU924" i="9"/>
  <c r="AU940" i="9"/>
  <c r="R456" i="9"/>
  <c r="Q457" i="9"/>
  <c r="Q505" i="9"/>
  <c r="Z505" i="9" s="1"/>
  <c r="AA505" i="9" s="1"/>
  <c r="T505" i="9" s="1"/>
  <c r="R492" i="9"/>
  <c r="Q493" i="9"/>
  <c r="AU987" i="9"/>
  <c r="Q481" i="9"/>
  <c r="Z481" i="9" s="1"/>
  <c r="AA481" i="9" s="1"/>
  <c r="T481" i="9" s="1"/>
  <c r="R528" i="9"/>
  <c r="Q529" i="9"/>
  <c r="AT573" i="9"/>
  <c r="AT648" i="9"/>
  <c r="AT656" i="9"/>
  <c r="AT664" i="9"/>
  <c r="AT672" i="9"/>
  <c r="AT680" i="9"/>
  <c r="AT688" i="9"/>
  <c r="AT712" i="9"/>
  <c r="AT720" i="9"/>
  <c r="AT728" i="9"/>
  <c r="AT736" i="9"/>
  <c r="AT970" i="9"/>
  <c r="AT978" i="9"/>
  <c r="AT986" i="9"/>
  <c r="AU647" i="9"/>
  <c r="AT995" i="9"/>
  <c r="AT704" i="9"/>
  <c r="AU932" i="9"/>
  <c r="AT989" i="9"/>
  <c r="AT997" i="9"/>
  <c r="AT35" i="9"/>
  <c r="AT37" i="9"/>
  <c r="AT55" i="9"/>
  <c r="AT761" i="9"/>
  <c r="AU613" i="9"/>
  <c r="AU621" i="9"/>
  <c r="AU637" i="9"/>
  <c r="AU645" i="9"/>
  <c r="AU611" i="9"/>
  <c r="AU619" i="9"/>
  <c r="AU635" i="9"/>
  <c r="AU643" i="9"/>
  <c r="AU102" i="9"/>
  <c r="AU692" i="9"/>
  <c r="AU700" i="9"/>
  <c r="AU708" i="9"/>
  <c r="AU716" i="9"/>
  <c r="AU724" i="9"/>
  <c r="AU732" i="9"/>
  <c r="AU740" i="9"/>
  <c r="AU748" i="9"/>
  <c r="AU756" i="9"/>
  <c r="AT764" i="9"/>
  <c r="AT772" i="9"/>
  <c r="AT780" i="9"/>
  <c r="AT788" i="9"/>
  <c r="AT796" i="9"/>
  <c r="AT804" i="9"/>
  <c r="AT812" i="9"/>
  <c r="AT613" i="9"/>
  <c r="AT621" i="9"/>
  <c r="AT637" i="9"/>
  <c r="AT645" i="9"/>
  <c r="AT649" i="9"/>
  <c r="AT657" i="9"/>
  <c r="AU661" i="9"/>
  <c r="AT665" i="9"/>
  <c r="AU669" i="9"/>
  <c r="AT673" i="9"/>
  <c r="AU677" i="9"/>
  <c r="AT681" i="9"/>
  <c r="AU685" i="9"/>
  <c r="AT689" i="9"/>
  <c r="AU693" i="9"/>
  <c r="AT697" i="9"/>
  <c r="AU701" i="9"/>
  <c r="AT705" i="9"/>
  <c r="AU709" i="9"/>
  <c r="AT713" i="9"/>
  <c r="AU717" i="9"/>
  <c r="AT721" i="9"/>
  <c r="AU725" i="9"/>
  <c r="AT729" i="9"/>
  <c r="AU733" i="9"/>
  <c r="AT737" i="9"/>
  <c r="AU741" i="9"/>
  <c r="AT745" i="9"/>
  <c r="AU749" i="9"/>
  <c r="AT753" i="9"/>
  <c r="AU757" i="9"/>
  <c r="AU993" i="9"/>
  <c r="AU59" i="9"/>
  <c r="AU61" i="9"/>
  <c r="AT71" i="9"/>
  <c r="AU998" i="9"/>
  <c r="AT73" i="9"/>
  <c r="AT95" i="9"/>
  <c r="AT96" i="9"/>
  <c r="AU96" i="9"/>
  <c r="AT97" i="9"/>
  <c r="AU107" i="9"/>
  <c r="AU109" i="9"/>
  <c r="AU570" i="9"/>
  <c r="AT574" i="9"/>
  <c r="AU606" i="9"/>
  <c r="AT610" i="9"/>
  <c r="AT618" i="9"/>
  <c r="AU622" i="9"/>
  <c r="AU630" i="9"/>
  <c r="AT634" i="9"/>
  <c r="AT642" i="9"/>
  <c r="AU646" i="9"/>
  <c r="AT654" i="9"/>
  <c r="AT662" i="9"/>
  <c r="AT670" i="9"/>
  <c r="AT678" i="9"/>
  <c r="AT686" i="9"/>
  <c r="AT694" i="9"/>
  <c r="AT702" i="9"/>
  <c r="AT710" i="9"/>
  <c r="AT718" i="9"/>
  <c r="AT726" i="9"/>
  <c r="AT734" i="9"/>
  <c r="AT742" i="9"/>
  <c r="AT750" i="9"/>
  <c r="AT758" i="9"/>
  <c r="AU762" i="9"/>
  <c r="AU770" i="9"/>
  <c r="AU778" i="9"/>
  <c r="AU786" i="9"/>
  <c r="AU794" i="9"/>
  <c r="AU802" i="9"/>
  <c r="AU810" i="9"/>
  <c r="AU818" i="9"/>
  <c r="AU826" i="9"/>
  <c r="AU834" i="9"/>
  <c r="AU842" i="9"/>
  <c r="AU850" i="9"/>
  <c r="AU858" i="9"/>
  <c r="AU866" i="9"/>
  <c r="AU874" i="9"/>
  <c r="AU882" i="9"/>
  <c r="AU890" i="9"/>
  <c r="AU898" i="9"/>
  <c r="AU906" i="9"/>
  <c r="AU914" i="9"/>
  <c r="AU922" i="9"/>
  <c r="AU930" i="9"/>
  <c r="AU938" i="9"/>
  <c r="AU946" i="9"/>
  <c r="AU954" i="9"/>
  <c r="AU962" i="9"/>
  <c r="AU970" i="9"/>
  <c r="AU978" i="9"/>
  <c r="AU986" i="9"/>
  <c r="AU735" i="9"/>
  <c r="AU995" i="9"/>
  <c r="AU648" i="9"/>
  <c r="AU656" i="9"/>
  <c r="AU664" i="9"/>
  <c r="AU672" i="9"/>
  <c r="AU680" i="9"/>
  <c r="AU688" i="9"/>
  <c r="AU704" i="9"/>
  <c r="AU712" i="9"/>
  <c r="AU720" i="9"/>
  <c r="AU728" i="9"/>
  <c r="AU736" i="9"/>
  <c r="AU744" i="9"/>
  <c r="AU752" i="9"/>
  <c r="AU760" i="9"/>
  <c r="AT768" i="9"/>
  <c r="AT776" i="9"/>
  <c r="AT784" i="9"/>
  <c r="AT792" i="9"/>
  <c r="AT800" i="9"/>
  <c r="AT808" i="9"/>
  <c r="AT816" i="9"/>
  <c r="AT824" i="9"/>
  <c r="AT840" i="9"/>
  <c r="AT848" i="9"/>
  <c r="AT912" i="9"/>
  <c r="AT920" i="9"/>
  <c r="AT928" i="9"/>
  <c r="AT575" i="9"/>
  <c r="AT572" i="9"/>
  <c r="AU576" i="9"/>
  <c r="AT608" i="9"/>
  <c r="AT660" i="9"/>
  <c r="AT668" i="9"/>
  <c r="AT676" i="9"/>
  <c r="AT684" i="9"/>
  <c r="AT692" i="9"/>
  <c r="AT700" i="9"/>
  <c r="AT708" i="9"/>
  <c r="AT716" i="9"/>
  <c r="AT724" i="9"/>
  <c r="AT732" i="9"/>
  <c r="AT740" i="9"/>
  <c r="AT748" i="9"/>
  <c r="AT756" i="9"/>
  <c r="AU768" i="9"/>
  <c r="AU776" i="9"/>
  <c r="AU784" i="9"/>
  <c r="AU792" i="9"/>
  <c r="AU800" i="9"/>
  <c r="AU808" i="9"/>
  <c r="AU816" i="9"/>
  <c r="AU824" i="9"/>
  <c r="AU840" i="9"/>
  <c r="AU848" i="9"/>
  <c r="AU856" i="9"/>
  <c r="AU912" i="9"/>
  <c r="AU920" i="9"/>
  <c r="AU928" i="9"/>
  <c r="AU936" i="9"/>
  <c r="AT612" i="9"/>
  <c r="AT620" i="9"/>
  <c r="AU624" i="9"/>
  <c r="AU632" i="9"/>
  <c r="AT636" i="9"/>
  <c r="AT644" i="9"/>
  <c r="AT696" i="9"/>
  <c r="AU696" i="9"/>
  <c r="AU828" i="9"/>
  <c r="AT832" i="9"/>
  <c r="AT856" i="9"/>
  <c r="AU860" i="9"/>
  <c r="AT864" i="9"/>
  <c r="AU868" i="9"/>
  <c r="AT872" i="9"/>
  <c r="AU876" i="9"/>
  <c r="AT880" i="9"/>
  <c r="AU884" i="9"/>
  <c r="AT888" i="9"/>
  <c r="AU892" i="9"/>
  <c r="AT896" i="9"/>
  <c r="AU900" i="9"/>
  <c r="AT904" i="9"/>
  <c r="AU988" i="9"/>
  <c r="AT992" i="9"/>
  <c r="Z612" i="9"/>
  <c r="Q613" i="9"/>
  <c r="Z613" i="9" s="1"/>
  <c r="AU612" i="9"/>
  <c r="AU620" i="9"/>
  <c r="AT624" i="9"/>
  <c r="AT632" i="9"/>
  <c r="AU636" i="9"/>
  <c r="AU644" i="9"/>
  <c r="AU832" i="9"/>
  <c r="AU864" i="9"/>
  <c r="AU872" i="9"/>
  <c r="AU880" i="9"/>
  <c r="AU888" i="9"/>
  <c r="AU896" i="9"/>
  <c r="AU904" i="9"/>
  <c r="Z600" i="9"/>
  <c r="AA600" i="9" s="1"/>
  <c r="T600" i="9" s="1"/>
  <c r="Q601" i="9"/>
  <c r="Z601" i="9" s="1"/>
  <c r="AA601" i="9" s="1"/>
  <c r="T601" i="9" s="1"/>
  <c r="Z588" i="9"/>
  <c r="AA588" i="9" s="1"/>
  <c r="T588" i="9" s="1"/>
  <c r="Q589" i="9"/>
  <c r="Z589" i="9" s="1"/>
  <c r="AA589" i="9" s="1"/>
  <c r="T589" i="9" s="1"/>
  <c r="Q193" i="9"/>
  <c r="Z193" i="9" s="1"/>
  <c r="AA193" i="9" s="1"/>
  <c r="T193" i="9" s="1"/>
  <c r="Q394" i="9"/>
  <c r="Z394" i="9" s="1"/>
  <c r="AA394" i="9" s="1"/>
  <c r="T394" i="9" s="1"/>
  <c r="AT57" i="9"/>
  <c r="AU92" i="9"/>
  <c r="AU93" i="9"/>
  <c r="AU104" i="9"/>
  <c r="AU106" i="9"/>
  <c r="AU577" i="9"/>
  <c r="AU609" i="9"/>
  <c r="AU625" i="9"/>
  <c r="AU633" i="9"/>
  <c r="AU989" i="9"/>
  <c r="AT993" i="9"/>
  <c r="AU997" i="9"/>
  <c r="AU35" i="9"/>
  <c r="AU37" i="9"/>
  <c r="AT59" i="9"/>
  <c r="AT61" i="9"/>
  <c r="AU71" i="9"/>
  <c r="AU73" i="9"/>
  <c r="AU108" i="9"/>
  <c r="AU654" i="9"/>
  <c r="AU662" i="9"/>
  <c r="AU670" i="9"/>
  <c r="AU678" i="9"/>
  <c r="AU686" i="9"/>
  <c r="AU694" i="9"/>
  <c r="AU702" i="9"/>
  <c r="AU710" i="9"/>
  <c r="AU718" i="9"/>
  <c r="AU726" i="9"/>
  <c r="AU734" i="9"/>
  <c r="AU742" i="9"/>
  <c r="AU750" i="9"/>
  <c r="AU758" i="9"/>
  <c r="AT766" i="9"/>
  <c r="AT774" i="9"/>
  <c r="AT782" i="9"/>
  <c r="AT790" i="9"/>
  <c r="AT798" i="9"/>
  <c r="AT806" i="9"/>
  <c r="AT814" i="9"/>
  <c r="AT822" i="9"/>
  <c r="AT830" i="9"/>
  <c r="AT838" i="9"/>
  <c r="AT846" i="9"/>
  <c r="AT854" i="9"/>
  <c r="AT862" i="9"/>
  <c r="AT870" i="9"/>
  <c r="AT878" i="9"/>
  <c r="AT886" i="9"/>
  <c r="AT894" i="9"/>
  <c r="AT902" i="9"/>
  <c r="AT910" i="9"/>
  <c r="AT918" i="9"/>
  <c r="AT926" i="9"/>
  <c r="AT934" i="9"/>
  <c r="AT942" i="9"/>
  <c r="AT950" i="9"/>
  <c r="AT958" i="9"/>
  <c r="AT966" i="9"/>
  <c r="AT974" i="9"/>
  <c r="AT571" i="9"/>
  <c r="AT611" i="9"/>
  <c r="AT619" i="9"/>
  <c r="AT635" i="9"/>
  <c r="AT643" i="9"/>
  <c r="AT655" i="9"/>
  <c r="AU659" i="9"/>
  <c r="AT663" i="9"/>
  <c r="AU667" i="9"/>
  <c r="AT671" i="9"/>
  <c r="AU675" i="9"/>
  <c r="AT679" i="9"/>
  <c r="AU683" i="9"/>
  <c r="AT687" i="9"/>
  <c r="AU691" i="9"/>
  <c r="AT695" i="9"/>
  <c r="AU699" i="9"/>
  <c r="AT703" i="9"/>
  <c r="AU707" i="9"/>
  <c r="AT711" i="9"/>
  <c r="AU715" i="9"/>
  <c r="AT719" i="9"/>
  <c r="AU723" i="9"/>
  <c r="AT727" i="9"/>
  <c r="AU731" i="9"/>
  <c r="AT735" i="9"/>
  <c r="AU739" i="9"/>
  <c r="AT743" i="9"/>
  <c r="AU747" i="9"/>
  <c r="AT751" i="9"/>
  <c r="AU755" i="9"/>
  <c r="AT759" i="9"/>
  <c r="AU991" i="9"/>
  <c r="AU31" i="9"/>
  <c r="AU67" i="9"/>
  <c r="AT102" i="9"/>
  <c r="AT103" i="9"/>
  <c r="AT982" i="9"/>
  <c r="AU575" i="9"/>
  <c r="AU607" i="9"/>
  <c r="AU623" i="9"/>
  <c r="AU631" i="9"/>
  <c r="AT647" i="9"/>
  <c r="AT991" i="9"/>
  <c r="AU999" i="9"/>
  <c r="AT999" i="9"/>
  <c r="AT31" i="9"/>
  <c r="AT67" i="9"/>
  <c r="AU660" i="9"/>
  <c r="AU668" i="9"/>
  <c r="AU676" i="9"/>
  <c r="AU684" i="9"/>
  <c r="AT820" i="9"/>
  <c r="AT828" i="9"/>
  <c r="AT836" i="9"/>
  <c r="AT844" i="9"/>
  <c r="AT852" i="9"/>
  <c r="AT860" i="9"/>
  <c r="AT868" i="9"/>
  <c r="AT876" i="9"/>
  <c r="AT884" i="9"/>
  <c r="AT892" i="9"/>
  <c r="AT900" i="9"/>
  <c r="AT908" i="9"/>
  <c r="AT916" i="9"/>
  <c r="AT924" i="9"/>
  <c r="AT932" i="9"/>
  <c r="AT988" i="9"/>
  <c r="AU992" i="9"/>
  <c r="AT1000" i="9"/>
  <c r="Q319" i="9"/>
  <c r="Z319" i="9" s="1"/>
  <c r="AA319" i="9" s="1"/>
  <c r="T319" i="9" s="1"/>
  <c r="AU32" i="9"/>
  <c r="AU34" i="9"/>
  <c r="AT56" i="9"/>
  <c r="AT58" i="9"/>
  <c r="AU68" i="9"/>
  <c r="AU70" i="9"/>
  <c r="AU761" i="9"/>
  <c r="AT765" i="9"/>
  <c r="AU769" i="9"/>
  <c r="AT773" i="9"/>
  <c r="AU777" i="9"/>
  <c r="AT781" i="9"/>
  <c r="AU785" i="9"/>
  <c r="AT789" i="9"/>
  <c r="AU793" i="9"/>
  <c r="AT797" i="9"/>
  <c r="AU801" i="9"/>
  <c r="AT805" i="9"/>
  <c r="AU809" i="9"/>
  <c r="AT813" i="9"/>
  <c r="AU817" i="9"/>
  <c r="AT821" i="9"/>
  <c r="AU825" i="9"/>
  <c r="AT829" i="9"/>
  <c r="AU833" i="9"/>
  <c r="AT837" i="9"/>
  <c r="AU841" i="9"/>
  <c r="AT845" i="9"/>
  <c r="AU849" i="9"/>
  <c r="AT853" i="9"/>
  <c r="AU857" i="9"/>
  <c r="AT861" i="9"/>
  <c r="AU865" i="9"/>
  <c r="AT869" i="9"/>
  <c r="AU873" i="9"/>
  <c r="AT877" i="9"/>
  <c r="AU881" i="9"/>
  <c r="AT885" i="9"/>
  <c r="AU889" i="9"/>
  <c r="AT893" i="9"/>
  <c r="AU897" i="9"/>
  <c r="AT901" i="9"/>
  <c r="AU905" i="9"/>
  <c r="AT909" i="9"/>
  <c r="AU913" i="9"/>
  <c r="AT917" i="9"/>
  <c r="AU921" i="9"/>
  <c r="AT925" i="9"/>
  <c r="AU929" i="9"/>
  <c r="AT933" i="9"/>
  <c r="AU937" i="9"/>
  <c r="AT941" i="9"/>
  <c r="AU945" i="9"/>
  <c r="AT949" i="9"/>
  <c r="AU953" i="9"/>
  <c r="AT957" i="9"/>
  <c r="AU961" i="9"/>
  <c r="AT965" i="9"/>
  <c r="AU969" i="9"/>
  <c r="AT973" i="9"/>
  <c r="AU977" i="9"/>
  <c r="AT981" i="9"/>
  <c r="AU985" i="9"/>
  <c r="AU36" i="9"/>
  <c r="AT60" i="9"/>
  <c r="AU72" i="9"/>
  <c r="AU990" i="9"/>
  <c r="AT994" i="9"/>
  <c r="AT763" i="9"/>
  <c r="AU767" i="9"/>
  <c r="AT771" i="9"/>
  <c r="AU775" i="9"/>
  <c r="AT779" i="9"/>
  <c r="AU783" i="9"/>
  <c r="AT787" i="9"/>
  <c r="AU791" i="9"/>
  <c r="AT795" i="9"/>
  <c r="AU799" i="9"/>
  <c r="AT803" i="9"/>
  <c r="AU807" i="9"/>
  <c r="AT811" i="9"/>
  <c r="AU815" i="9"/>
  <c r="AT819" i="9"/>
  <c r="AU823" i="9"/>
  <c r="AT827" i="9"/>
  <c r="AU831" i="9"/>
  <c r="AT835" i="9"/>
  <c r="AU839" i="9"/>
  <c r="AT843" i="9"/>
  <c r="AU847" i="9"/>
  <c r="AT851" i="9"/>
  <c r="AU855" i="9"/>
  <c r="AT859" i="9"/>
  <c r="AU863" i="9"/>
  <c r="AT867" i="9"/>
  <c r="AU871" i="9"/>
  <c r="AT875" i="9"/>
  <c r="AU879" i="9"/>
  <c r="AT883" i="9"/>
  <c r="AU887" i="9"/>
  <c r="AT891" i="9"/>
  <c r="AU895" i="9"/>
  <c r="AT899" i="9"/>
  <c r="AU903" i="9"/>
  <c r="AT907" i="9"/>
  <c r="AU911" i="9"/>
  <c r="AT915" i="9"/>
  <c r="AU919" i="9"/>
  <c r="AT923" i="9"/>
  <c r="AU927" i="9"/>
  <c r="AT931" i="9"/>
  <c r="AU935" i="9"/>
  <c r="AT939" i="9"/>
  <c r="AU943" i="9"/>
  <c r="AT947" i="9"/>
  <c r="AU951" i="9"/>
  <c r="AT955" i="9"/>
  <c r="AU959" i="9"/>
  <c r="AT963" i="9"/>
  <c r="AU967" i="9"/>
  <c r="AT971" i="9"/>
  <c r="AU975" i="9"/>
  <c r="AT979" i="9"/>
  <c r="AU983" i="9"/>
  <c r="AT987" i="9"/>
  <c r="AT30" i="9"/>
  <c r="AU54" i="9"/>
  <c r="AT66" i="9"/>
  <c r="AU90" i="9"/>
  <c r="AT760" i="9"/>
  <c r="AT94" i="9"/>
  <c r="AT998" i="9"/>
  <c r="AT940" i="9"/>
  <c r="AU944" i="9"/>
  <c r="AT948" i="9"/>
  <c r="AU952" i="9"/>
  <c r="AT956" i="9"/>
  <c r="AU960" i="9"/>
  <c r="AT964" i="9"/>
  <c r="AU968" i="9"/>
  <c r="AT972" i="9"/>
  <c r="AU976" i="9"/>
  <c r="AT980" i="9"/>
  <c r="AU984" i="9"/>
  <c r="AT996" i="9"/>
  <c r="AU1000" i="9"/>
  <c r="Q169" i="9"/>
  <c r="AT32" i="9"/>
  <c r="AT34" i="9"/>
  <c r="AU56" i="9"/>
  <c r="AU58" i="9"/>
  <c r="AT68" i="9"/>
  <c r="AT70" i="9"/>
  <c r="AT93" i="9"/>
  <c r="AU94" i="9"/>
  <c r="AU765" i="9"/>
  <c r="AT769" i="9"/>
  <c r="AU773" i="9"/>
  <c r="AT777" i="9"/>
  <c r="AU781" i="9"/>
  <c r="AT785" i="9"/>
  <c r="AU789" i="9"/>
  <c r="AT793" i="9"/>
  <c r="AU797" i="9"/>
  <c r="AT801" i="9"/>
  <c r="AU805" i="9"/>
  <c r="AT809" i="9"/>
  <c r="AU813" i="9"/>
  <c r="AT817" i="9"/>
  <c r="AU821" i="9"/>
  <c r="AT825" i="9"/>
  <c r="AU829" i="9"/>
  <c r="AT833" i="9"/>
  <c r="AU837" i="9"/>
  <c r="AT841" i="9"/>
  <c r="AU845" i="9"/>
  <c r="AT849" i="9"/>
  <c r="AU853" i="9"/>
  <c r="AT857" i="9"/>
  <c r="AU861" i="9"/>
  <c r="AT865" i="9"/>
  <c r="AU869" i="9"/>
  <c r="AT873" i="9"/>
  <c r="AU877" i="9"/>
  <c r="AT881" i="9"/>
  <c r="AU885" i="9"/>
  <c r="AT889" i="9"/>
  <c r="AU893" i="9"/>
  <c r="AT897" i="9"/>
  <c r="AU901" i="9"/>
  <c r="AT905" i="9"/>
  <c r="AU909" i="9"/>
  <c r="AT913" i="9"/>
  <c r="AU917" i="9"/>
  <c r="AT921" i="9"/>
  <c r="AU925" i="9"/>
  <c r="AT929" i="9"/>
  <c r="AU933" i="9"/>
  <c r="AT937" i="9"/>
  <c r="AU941" i="9"/>
  <c r="AT945" i="9"/>
  <c r="AU949" i="9"/>
  <c r="AT953" i="9"/>
  <c r="AU957" i="9"/>
  <c r="AT961" i="9"/>
  <c r="AU965" i="9"/>
  <c r="AT969" i="9"/>
  <c r="AU973" i="9"/>
  <c r="AT977" i="9"/>
  <c r="AU981" i="9"/>
  <c r="AT985" i="9"/>
  <c r="AT36" i="9"/>
  <c r="AU60" i="9"/>
  <c r="AT72" i="9"/>
  <c r="AT990" i="9"/>
  <c r="AU994" i="9"/>
  <c r="AU763" i="9"/>
  <c r="AT767" i="9"/>
  <c r="AU771" i="9"/>
  <c r="AT775" i="9"/>
  <c r="AU779" i="9"/>
  <c r="AT783" i="9"/>
  <c r="AU787" i="9"/>
  <c r="AT791" i="9"/>
  <c r="AU795" i="9"/>
  <c r="AT799" i="9"/>
  <c r="AU803" i="9"/>
  <c r="AT807" i="9"/>
  <c r="AU811" i="9"/>
  <c r="AT815" i="9"/>
  <c r="AU819" i="9"/>
  <c r="AT823" i="9"/>
  <c r="AU827" i="9"/>
  <c r="AT831" i="9"/>
  <c r="AU835" i="9"/>
  <c r="AT839" i="9"/>
  <c r="AU843" i="9"/>
  <c r="AT847" i="9"/>
  <c r="AU851" i="9"/>
  <c r="AT855" i="9"/>
  <c r="AU859" i="9"/>
  <c r="AT863" i="9"/>
  <c r="AU867" i="9"/>
  <c r="AT871" i="9"/>
  <c r="AU875" i="9"/>
  <c r="AT879" i="9"/>
  <c r="AU883" i="9"/>
  <c r="AT887" i="9"/>
  <c r="AU891" i="9"/>
  <c r="AT895" i="9"/>
  <c r="AU899" i="9"/>
  <c r="AT903" i="9"/>
  <c r="AU907" i="9"/>
  <c r="AT911" i="9"/>
  <c r="AU915" i="9"/>
  <c r="AT919" i="9"/>
  <c r="AU923" i="9"/>
  <c r="AT927" i="9"/>
  <c r="AU931" i="9"/>
  <c r="AT935" i="9"/>
  <c r="AU939" i="9"/>
  <c r="AT943" i="9"/>
  <c r="AU947" i="9"/>
  <c r="AT951" i="9"/>
  <c r="AU955" i="9"/>
  <c r="AT959" i="9"/>
  <c r="AU963" i="9"/>
  <c r="AT967" i="9"/>
  <c r="AU971" i="9"/>
  <c r="AT975" i="9"/>
  <c r="AU979" i="9"/>
  <c r="AT983" i="9"/>
  <c r="AU30" i="9"/>
  <c r="AT54" i="9"/>
  <c r="AU66" i="9"/>
  <c r="AT90" i="9"/>
  <c r="AU91" i="9"/>
  <c r="AT91" i="9"/>
  <c r="AT936" i="9"/>
  <c r="AT944" i="9"/>
  <c r="AU948" i="9"/>
  <c r="AT952" i="9"/>
  <c r="AU956" i="9"/>
  <c r="AT960" i="9"/>
  <c r="AU964" i="9"/>
  <c r="AT968" i="9"/>
  <c r="AU972" i="9"/>
  <c r="AT976" i="9"/>
  <c r="AU980" i="9"/>
  <c r="AT984" i="9"/>
  <c r="Q304" i="9"/>
  <c r="R332" i="9"/>
  <c r="R296" i="9"/>
  <c r="R185" i="9"/>
  <c r="R77" i="9"/>
  <c r="Q223" i="9"/>
  <c r="Z223" i="9" s="1"/>
  <c r="AA223" i="9" s="1"/>
  <c r="T223" i="9" s="1"/>
  <c r="R293" i="9"/>
  <c r="R112" i="9"/>
  <c r="R290" i="9"/>
  <c r="R263" i="9"/>
  <c r="R336" i="9"/>
  <c r="R371" i="9"/>
  <c r="R365" i="9"/>
  <c r="R335" i="9"/>
  <c r="R254" i="9"/>
  <c r="R326" i="9"/>
  <c r="R155" i="9"/>
  <c r="R182" i="9"/>
  <c r="R221" i="9"/>
  <c r="R363" i="9"/>
  <c r="R218" i="9"/>
  <c r="R362" i="9"/>
  <c r="R405" i="9"/>
  <c r="R329" i="9"/>
  <c r="R330" i="9"/>
  <c r="R3" i="9"/>
  <c r="R224" i="9"/>
  <c r="R5" i="9"/>
  <c r="R116" i="9"/>
  <c r="R225" i="9"/>
  <c r="R257" i="9"/>
  <c r="R408" i="9"/>
  <c r="R9" i="9"/>
  <c r="R8" i="9"/>
  <c r="R118" i="9"/>
  <c r="R297" i="9"/>
  <c r="R407" i="9"/>
  <c r="R74" i="9"/>
  <c r="R117" i="9"/>
  <c r="R191" i="9"/>
  <c r="R366" i="9"/>
  <c r="R152" i="9"/>
  <c r="R11" i="9"/>
  <c r="R84" i="9"/>
  <c r="R404" i="9"/>
  <c r="Q406" i="9"/>
  <c r="Z406" i="9" s="1"/>
  <c r="AA406" i="9" s="1"/>
  <c r="T406" i="9" s="1"/>
  <c r="Q283" i="9"/>
  <c r="Z283" i="9" s="1"/>
  <c r="AA283" i="9" s="1"/>
  <c r="T283" i="9" s="1"/>
  <c r="Q136" i="9"/>
  <c r="Z136" i="9" s="1"/>
  <c r="AA136" i="9" s="1"/>
  <c r="T136" i="9" s="1"/>
  <c r="R46" i="9"/>
  <c r="R401" i="9"/>
  <c r="R222" i="9"/>
  <c r="Q322" i="9"/>
  <c r="Z322" i="9" s="1"/>
  <c r="AA322" i="9" s="1"/>
  <c r="T322" i="9" s="1"/>
  <c r="Q88" i="9"/>
  <c r="Z88" i="9" s="1"/>
  <c r="AA88" i="9" s="1"/>
  <c r="T88" i="9" s="1"/>
  <c r="R299" i="9"/>
  <c r="R298" i="9"/>
  <c r="R370" i="9"/>
  <c r="R369" i="9"/>
  <c r="R113" i="9"/>
  <c r="R368" i="9"/>
  <c r="R69" i="9"/>
  <c r="Q70" i="9"/>
  <c r="Q334" i="9"/>
  <c r="Z334" i="9" s="1"/>
  <c r="AA334" i="9" s="1"/>
  <c r="T334" i="9" s="1"/>
  <c r="R260" i="9"/>
  <c r="R227" i="9"/>
  <c r="R258" i="9"/>
  <c r="R195" i="9"/>
  <c r="Q196" i="9"/>
  <c r="Q301" i="9"/>
  <c r="Z301" i="9" s="1"/>
  <c r="AA301" i="9" s="1"/>
  <c r="T301" i="9" s="1"/>
  <c r="Q412" i="9"/>
  <c r="R411" i="9"/>
  <c r="R12" i="9"/>
  <c r="R42" i="9"/>
  <c r="R147" i="9"/>
  <c r="R162" i="9"/>
  <c r="Q163" i="9"/>
  <c r="Q214" i="9"/>
  <c r="Z214" i="9" s="1"/>
  <c r="AA214" i="9" s="1"/>
  <c r="T214" i="9" s="1"/>
  <c r="R264" i="9"/>
  <c r="R270" i="9"/>
  <c r="Q271" i="9"/>
  <c r="R398" i="9"/>
  <c r="R410" i="9"/>
  <c r="Q22" i="9"/>
  <c r="Z22" i="9" s="1"/>
  <c r="R45" i="9"/>
  <c r="R149" i="9"/>
  <c r="Q184" i="9"/>
  <c r="Z184" i="9" s="1"/>
  <c r="AA184" i="9" s="1"/>
  <c r="T184" i="9" s="1"/>
  <c r="R188" i="9"/>
  <c r="R201" i="9"/>
  <c r="Q202" i="9"/>
  <c r="Q229" i="9"/>
  <c r="Z229" i="9" s="1"/>
  <c r="AA229" i="9" s="1"/>
  <c r="T229" i="9" s="1"/>
  <c r="R230" i="9"/>
  <c r="Q190" i="9"/>
  <c r="Z190" i="9" s="1"/>
  <c r="AA190" i="9" s="1"/>
  <c r="T190" i="9" s="1"/>
  <c r="R231" i="9"/>
  <c r="Q232" i="9"/>
  <c r="Q178" i="9"/>
  <c r="Z178" i="9" s="1"/>
  <c r="AA178" i="9" s="1"/>
  <c r="T178" i="9" s="1"/>
  <c r="R312" i="9"/>
  <c r="Q313" i="9"/>
  <c r="Q352" i="9"/>
  <c r="Z352" i="9" s="1"/>
  <c r="AA352" i="9" s="1"/>
  <c r="T352" i="9" s="1"/>
  <c r="R420" i="9"/>
  <c r="Q421" i="9"/>
  <c r="Q415" i="9"/>
  <c r="R414" i="9"/>
  <c r="Q400" i="9"/>
  <c r="Z400" i="9" s="1"/>
  <c r="AA400" i="9" s="1"/>
  <c r="T400" i="9" s="1"/>
  <c r="Q430" i="9"/>
  <c r="Z430" i="9" s="1"/>
  <c r="AA430" i="9" s="1"/>
  <c r="T430" i="9" s="1"/>
  <c r="AA22" i="9" l="1"/>
  <c r="T22" i="9" s="1"/>
  <c r="R226" i="9"/>
  <c r="R409" i="9"/>
  <c r="R442" i="9"/>
  <c r="R220" i="9"/>
  <c r="R243" i="9"/>
  <c r="R576" i="9"/>
  <c r="AA576" i="9"/>
  <c r="T576" i="9" s="1"/>
  <c r="R90" i="9"/>
  <c r="AA90" i="9"/>
  <c r="T90" i="9" s="1"/>
  <c r="R57" i="9"/>
  <c r="AA57" i="9"/>
  <c r="T57" i="9" s="1"/>
  <c r="R30" i="9"/>
  <c r="AA30" i="9"/>
  <c r="T30" i="9" s="1"/>
  <c r="R438" i="9"/>
  <c r="AA438" i="9"/>
  <c r="T438" i="9" s="1"/>
  <c r="R294" i="9"/>
  <c r="AA294" i="9"/>
  <c r="T294" i="9" s="1"/>
  <c r="R150" i="9"/>
  <c r="AA150" i="9"/>
  <c r="T150" i="9" s="1"/>
  <c r="R73" i="9"/>
  <c r="AA73" i="9"/>
  <c r="T73" i="9" s="1"/>
  <c r="R16" i="9"/>
  <c r="AA16" i="9"/>
  <c r="T16" i="9" s="1"/>
  <c r="R67" i="9"/>
  <c r="AA67" i="9"/>
  <c r="T67" i="9" s="1"/>
  <c r="R85" i="9"/>
  <c r="AA85" i="9"/>
  <c r="T85" i="9" s="1"/>
  <c r="R61" i="9"/>
  <c r="AA61" i="9"/>
  <c r="T61" i="9" s="1"/>
  <c r="R43" i="9"/>
  <c r="AA43" i="9"/>
  <c r="T43" i="9" s="1"/>
  <c r="R13" i="9"/>
  <c r="AA13" i="9"/>
  <c r="T13" i="9" s="1"/>
  <c r="R544" i="9"/>
  <c r="AA544" i="9"/>
  <c r="T544" i="9" s="1"/>
  <c r="R397" i="9"/>
  <c r="AA397" i="9"/>
  <c r="T397" i="9" s="1"/>
  <c r="R262" i="9"/>
  <c r="AA262" i="9"/>
  <c r="T262" i="9" s="1"/>
  <c r="R244" i="9"/>
  <c r="AA244" i="9"/>
  <c r="T244" i="9" s="1"/>
  <c r="R187" i="9"/>
  <c r="AA187" i="9"/>
  <c r="T187" i="9" s="1"/>
  <c r="R106" i="9"/>
  <c r="AA106" i="9"/>
  <c r="T106" i="9" s="1"/>
  <c r="R114" i="9"/>
  <c r="AA114" i="9"/>
  <c r="T114" i="9" s="1"/>
  <c r="R94" i="9"/>
  <c r="AA94" i="9"/>
  <c r="T94" i="9" s="1"/>
  <c r="R553" i="9"/>
  <c r="AA553" i="9"/>
  <c r="T553" i="9" s="1"/>
  <c r="R259" i="9"/>
  <c r="AA259" i="9"/>
  <c r="T259" i="9" s="1"/>
  <c r="R337" i="9"/>
  <c r="AA337" i="9"/>
  <c r="T337" i="9" s="1"/>
  <c r="R358" i="9"/>
  <c r="AA358" i="9"/>
  <c r="T358" i="9" s="1"/>
  <c r="R475" i="9"/>
  <c r="AA475" i="9"/>
  <c r="T475" i="9" s="1"/>
  <c r="R466" i="9"/>
  <c r="AA466" i="9"/>
  <c r="T466" i="9" s="1"/>
  <c r="R436" i="9"/>
  <c r="AA436" i="9"/>
  <c r="T436" i="9" s="1"/>
  <c r="R619" i="9"/>
  <c r="AA619" i="9"/>
  <c r="T619" i="9" s="1"/>
  <c r="R613" i="9"/>
  <c r="AA613" i="9"/>
  <c r="T613" i="9" s="1"/>
  <c r="R91" i="9"/>
  <c r="AA91" i="9"/>
  <c r="T91" i="9" s="1"/>
  <c r="R58" i="9"/>
  <c r="AA58" i="9"/>
  <c r="T58" i="9" s="1"/>
  <c r="R31" i="9"/>
  <c r="AA31" i="9"/>
  <c r="T31" i="9" s="1"/>
  <c r="R439" i="9"/>
  <c r="AA439" i="9"/>
  <c r="T439" i="9" s="1"/>
  <c r="R295" i="9"/>
  <c r="AA295" i="9"/>
  <c r="T295" i="9" s="1"/>
  <c r="R151" i="9"/>
  <c r="AA151" i="9"/>
  <c r="T151" i="9" s="1"/>
  <c r="R97" i="9"/>
  <c r="AA97" i="9"/>
  <c r="T97" i="9" s="1"/>
  <c r="R129" i="9"/>
  <c r="AA129" i="9"/>
  <c r="T129" i="9" s="1"/>
  <c r="R75" i="9"/>
  <c r="AA75" i="9"/>
  <c r="T75" i="9" s="1"/>
  <c r="R48" i="9"/>
  <c r="AA48" i="9"/>
  <c r="T48" i="9" s="1"/>
  <c r="R27" i="9"/>
  <c r="AA27" i="9"/>
  <c r="T27" i="9" s="1"/>
  <c r="R6" i="9"/>
  <c r="AA6" i="9"/>
  <c r="T6" i="9" s="1"/>
  <c r="R291" i="9"/>
  <c r="AA291" i="9"/>
  <c r="T291" i="9" s="1"/>
  <c r="R255" i="9"/>
  <c r="AA255" i="9"/>
  <c r="T255" i="9" s="1"/>
  <c r="R153" i="9"/>
  <c r="AA153" i="9"/>
  <c r="T153" i="9" s="1"/>
  <c r="R121" i="9"/>
  <c r="AA121" i="9"/>
  <c r="T121" i="9" s="1"/>
  <c r="R25" i="9"/>
  <c r="AA25" i="9"/>
  <c r="T25" i="9" s="1"/>
  <c r="R115" i="9"/>
  <c r="AA115" i="9"/>
  <c r="T115" i="9" s="1"/>
  <c r="R316" i="9"/>
  <c r="AA316" i="9"/>
  <c r="T316" i="9" s="1"/>
  <c r="R55" i="9"/>
  <c r="AA55" i="9"/>
  <c r="T55" i="9" s="1"/>
  <c r="R52" i="9"/>
  <c r="AA52" i="9"/>
  <c r="T52" i="9" s="1"/>
  <c r="R433" i="9"/>
  <c r="AA433" i="9"/>
  <c r="T433" i="9" s="1"/>
  <c r="R478" i="9"/>
  <c r="AA478" i="9"/>
  <c r="T478" i="9" s="1"/>
  <c r="R208" i="9"/>
  <c r="AA208" i="9"/>
  <c r="T208" i="9" s="1"/>
  <c r="R618" i="9"/>
  <c r="AA618" i="9"/>
  <c r="T618" i="9" s="1"/>
  <c r="R612" i="9"/>
  <c r="AA612" i="9"/>
  <c r="T612" i="9" s="1"/>
  <c r="R132" i="9"/>
  <c r="AA132" i="9"/>
  <c r="T132" i="9" s="1"/>
  <c r="R78" i="9"/>
  <c r="AA78" i="9"/>
  <c r="T78" i="9" s="1"/>
  <c r="R36" i="9"/>
  <c r="AA36" i="9"/>
  <c r="T36" i="9" s="1"/>
  <c r="R444" i="9"/>
  <c r="AA444" i="9"/>
  <c r="T444" i="9" s="1"/>
  <c r="R402" i="9"/>
  <c r="AA402" i="9"/>
  <c r="T402" i="9" s="1"/>
  <c r="R156" i="9"/>
  <c r="AA156" i="9"/>
  <c r="T156" i="9" s="1"/>
  <c r="R64" i="9"/>
  <c r="AA64" i="9"/>
  <c r="T64" i="9" s="1"/>
  <c r="R124" i="9"/>
  <c r="AA124" i="9"/>
  <c r="T124" i="9" s="1"/>
  <c r="R102" i="9"/>
  <c r="AA102" i="9"/>
  <c r="T102" i="9" s="1"/>
  <c r="R130" i="9"/>
  <c r="AA130" i="9"/>
  <c r="T130" i="9" s="1"/>
  <c r="R76" i="9"/>
  <c r="AA76" i="9"/>
  <c r="T76" i="9" s="1"/>
  <c r="R49" i="9"/>
  <c r="AA49" i="9"/>
  <c r="T49" i="9" s="1"/>
  <c r="R28" i="9"/>
  <c r="AA28" i="9"/>
  <c r="T28" i="9" s="1"/>
  <c r="R292" i="9"/>
  <c r="AA292" i="9"/>
  <c r="T292" i="9" s="1"/>
  <c r="R256" i="9"/>
  <c r="AA256" i="9"/>
  <c r="T256" i="9" s="1"/>
  <c r="R154" i="9"/>
  <c r="AA154" i="9"/>
  <c r="T154" i="9" s="1"/>
  <c r="R126" i="9"/>
  <c r="AA126" i="9"/>
  <c r="T126" i="9" s="1"/>
  <c r="R159" i="9"/>
  <c r="AA159" i="9"/>
  <c r="T159" i="9" s="1"/>
  <c r="R367" i="9"/>
  <c r="AA367" i="9"/>
  <c r="T367" i="9" s="1"/>
  <c r="R250" i="9"/>
  <c r="AA250" i="9"/>
  <c r="T250" i="9" s="1"/>
  <c r="R331" i="9"/>
  <c r="AA331" i="9"/>
  <c r="T331" i="9" s="1"/>
  <c r="R514" i="9"/>
  <c r="AA514" i="9"/>
  <c r="T514" i="9" s="1"/>
  <c r="R427" i="9"/>
  <c r="AA427" i="9"/>
  <c r="T427" i="9" s="1"/>
  <c r="R532" i="9"/>
  <c r="AA532" i="9"/>
  <c r="T532" i="9" s="1"/>
  <c r="R577" i="9"/>
  <c r="AA577" i="9"/>
  <c r="T577" i="9" s="1"/>
  <c r="R133" i="9"/>
  <c r="AA133" i="9"/>
  <c r="T133" i="9" s="1"/>
  <c r="R79" i="9"/>
  <c r="AA79" i="9"/>
  <c r="T79" i="9" s="1"/>
  <c r="R37" i="9"/>
  <c r="AA37" i="9"/>
  <c r="T37" i="9" s="1"/>
  <c r="R445" i="9"/>
  <c r="AA445" i="9"/>
  <c r="T445" i="9" s="1"/>
  <c r="R403" i="9"/>
  <c r="AA403" i="9"/>
  <c r="T403" i="9" s="1"/>
  <c r="R157" i="9"/>
  <c r="AA157" i="9"/>
  <c r="T157" i="9" s="1"/>
  <c r="R34" i="9"/>
  <c r="AA34" i="9"/>
  <c r="T34" i="9" s="1"/>
  <c r="R328" i="9"/>
  <c r="AA328" i="9"/>
  <c r="T328" i="9" s="1"/>
  <c r="R60" i="9"/>
  <c r="AA60" i="9"/>
  <c r="T60" i="9" s="1"/>
  <c r="R543" i="9"/>
  <c r="AA543" i="9"/>
  <c r="T543" i="9" s="1"/>
  <c r="R261" i="9"/>
  <c r="AA261" i="9"/>
  <c r="T261" i="9" s="1"/>
  <c r="R186" i="9"/>
  <c r="AA186" i="9"/>
  <c r="T186" i="9" s="1"/>
  <c r="R19" i="9"/>
  <c r="AA19" i="9"/>
  <c r="T19" i="9" s="1"/>
  <c r="R82" i="9"/>
  <c r="AA82" i="9"/>
  <c r="T82" i="9" s="1"/>
  <c r="R109" i="9"/>
  <c r="AA109" i="9"/>
  <c r="T109" i="9" s="1"/>
  <c r="R541" i="9"/>
  <c r="AA541" i="9"/>
  <c r="T541" i="9" s="1"/>
  <c r="R511" i="9"/>
  <c r="AA511" i="9"/>
  <c r="T511" i="9" s="1"/>
  <c r="R265" i="9"/>
  <c r="AA265" i="9"/>
  <c r="T265" i="9" s="1"/>
  <c r="R472" i="9"/>
  <c r="AA472" i="9"/>
  <c r="T472" i="9" s="1"/>
  <c r="R364" i="9"/>
  <c r="AA364" i="9"/>
  <c r="T364" i="9" s="1"/>
  <c r="R508" i="9"/>
  <c r="AA508" i="9"/>
  <c r="T508" i="9" s="1"/>
  <c r="R148" i="9"/>
  <c r="AA148" i="9"/>
  <c r="T148" i="9" s="1"/>
  <c r="R601" i="9"/>
  <c r="R600" i="9"/>
  <c r="R565" i="9"/>
  <c r="R520" i="9"/>
  <c r="R526" i="9"/>
  <c r="R523" i="9"/>
  <c r="R487" i="9"/>
  <c r="R483" i="9"/>
  <c r="R490" i="9"/>
  <c r="R447" i="9"/>
  <c r="R454" i="9"/>
  <c r="R451" i="9"/>
  <c r="R418" i="9"/>
  <c r="R376" i="9"/>
  <c r="R385" i="9"/>
  <c r="R379" i="9"/>
  <c r="R381" i="9"/>
  <c r="R375" i="9"/>
  <c r="R378" i="9"/>
  <c r="R346" i="9"/>
  <c r="R343" i="9"/>
  <c r="R348" i="9"/>
  <c r="R349" i="9"/>
  <c r="R345" i="9"/>
  <c r="R309" i="9"/>
  <c r="R307" i="9"/>
  <c r="R310" i="9"/>
  <c r="R303" i="9"/>
  <c r="R273" i="9"/>
  <c r="R267" i="9"/>
  <c r="R277" i="9"/>
  <c r="R274" i="9"/>
  <c r="R268" i="9"/>
  <c r="R238" i="9"/>
  <c r="R234" i="9"/>
  <c r="R235" i="9"/>
  <c r="R241" i="9"/>
  <c r="R237" i="9"/>
  <c r="R198" i="9"/>
  <c r="R204" i="9"/>
  <c r="R199" i="9"/>
  <c r="R205" i="9"/>
  <c r="R165" i="9"/>
  <c r="R166" i="9"/>
  <c r="R168" i="9"/>
  <c r="R556" i="9"/>
  <c r="R360" i="9"/>
  <c r="R324" i="9"/>
  <c r="R288" i="9"/>
  <c r="R502" i="9"/>
  <c r="R286" i="9"/>
  <c r="R211" i="9"/>
  <c r="R460" i="9"/>
  <c r="R361" i="9"/>
  <c r="R325" i="9"/>
  <c r="R289" i="9"/>
  <c r="R424" i="9"/>
  <c r="R498" i="9"/>
  <c r="R387" i="9"/>
  <c r="R174" i="9"/>
  <c r="R279" i="9"/>
  <c r="R180" i="9"/>
  <c r="R499" i="9"/>
  <c r="R388" i="9"/>
  <c r="R175" i="9"/>
  <c r="R216" i="9"/>
  <c r="R172" i="9"/>
  <c r="R280" i="9"/>
  <c r="R181" i="9"/>
  <c r="R145" i="9"/>
  <c r="R396" i="9"/>
  <c r="R285" i="9"/>
  <c r="R210" i="9"/>
  <c r="R463" i="9"/>
  <c r="R253" i="9"/>
  <c r="R10" i="9"/>
  <c r="Z313" i="9"/>
  <c r="AA313" i="9" s="1"/>
  <c r="T313" i="9" s="1"/>
  <c r="Z232" i="9"/>
  <c r="AA232" i="9" s="1"/>
  <c r="T232" i="9" s="1"/>
  <c r="Z412" i="9"/>
  <c r="AA412" i="9" s="1"/>
  <c r="T412" i="9" s="1"/>
  <c r="Z484" i="9"/>
  <c r="AA484" i="9" s="1"/>
  <c r="T484" i="9" s="1"/>
  <c r="Z127" i="9"/>
  <c r="Z217" i="9"/>
  <c r="AA217" i="9" s="1"/>
  <c r="T217" i="9" s="1"/>
  <c r="Z160" i="9"/>
  <c r="AA160" i="9" s="1"/>
  <c r="T160" i="9" s="1"/>
  <c r="Z202" i="9"/>
  <c r="AA202" i="9" s="1"/>
  <c r="T202" i="9" s="1"/>
  <c r="Z163" i="9"/>
  <c r="AA163" i="9" s="1"/>
  <c r="T163" i="9" s="1"/>
  <c r="Z304" i="9"/>
  <c r="AA304" i="9" s="1"/>
  <c r="T304" i="9" s="1"/>
  <c r="Z169" i="9"/>
  <c r="AA169" i="9" s="1"/>
  <c r="T169" i="9" s="1"/>
  <c r="Z100" i="9"/>
  <c r="Z382" i="9"/>
  <c r="AA382" i="9" s="1"/>
  <c r="T382" i="9" s="1"/>
  <c r="Z415" i="9"/>
  <c r="AA415" i="9" s="1"/>
  <c r="T415" i="9" s="1"/>
  <c r="Z196" i="9"/>
  <c r="AA196" i="9" s="1"/>
  <c r="T196" i="9" s="1"/>
  <c r="Z70" i="9"/>
  <c r="Z457" i="9"/>
  <c r="AA457" i="9" s="1"/>
  <c r="T457" i="9" s="1"/>
  <c r="Z559" i="9"/>
  <c r="AA559" i="9" s="1"/>
  <c r="T559" i="9" s="1"/>
  <c r="Z103" i="9"/>
  <c r="R7" i="9"/>
  <c r="Z421" i="9"/>
  <c r="AA421" i="9" s="1"/>
  <c r="T421" i="9" s="1"/>
  <c r="Z271" i="9"/>
  <c r="AA271" i="9" s="1"/>
  <c r="T271" i="9" s="1"/>
  <c r="Z529" i="9"/>
  <c r="AA529" i="9" s="1"/>
  <c r="T529" i="9" s="1"/>
  <c r="Z493" i="9"/>
  <c r="AA493" i="9" s="1"/>
  <c r="T493" i="9" s="1"/>
  <c r="Z562" i="9"/>
  <c r="AA562" i="9" s="1"/>
  <c r="T562" i="9" s="1"/>
  <c r="Z448" i="9"/>
  <c r="AA448" i="9" s="1"/>
  <c r="T448" i="9" s="1"/>
  <c r="R223" i="9"/>
  <c r="R481" i="9"/>
  <c r="R192" i="9"/>
  <c r="R480" i="9"/>
  <c r="R517" i="9"/>
  <c r="R547" i="9"/>
  <c r="R550" i="9"/>
  <c r="R549" i="9"/>
  <c r="R193" i="9"/>
  <c r="R516" i="9"/>
  <c r="R546" i="9"/>
  <c r="R496" i="9"/>
  <c r="R21" i="9"/>
  <c r="R22" i="9"/>
  <c r="R537" i="9"/>
  <c r="R535" i="9"/>
  <c r="R534" i="9"/>
  <c r="R538" i="9"/>
  <c r="R430" i="9"/>
  <c r="R214" i="9"/>
  <c r="R322" i="9"/>
  <c r="R423" i="9"/>
  <c r="R425" i="9"/>
  <c r="R394" i="9"/>
  <c r="R352" i="9"/>
  <c r="R351" i="9"/>
  <c r="R213" i="9"/>
  <c r="R283" i="9"/>
  <c r="R505" i="9"/>
  <c r="R469" i="9"/>
  <c r="R429" i="9"/>
  <c r="R321" i="9"/>
  <c r="R315" i="9"/>
  <c r="R319" i="9"/>
  <c r="R504" i="9"/>
  <c r="R468" i="9"/>
  <c r="R178" i="9"/>
  <c r="R177" i="9"/>
  <c r="R136" i="9"/>
  <c r="R123" i="9"/>
  <c r="R87" i="9"/>
  <c r="R88" i="9"/>
  <c r="R99" i="9"/>
  <c r="R589" i="9"/>
  <c r="R588" i="9"/>
  <c r="Q339" i="9"/>
  <c r="Z339" i="9" s="1"/>
  <c r="AA339" i="9" s="1"/>
  <c r="T339" i="9" s="1"/>
  <c r="R406" i="9"/>
  <c r="R81" i="9"/>
  <c r="R120" i="9"/>
  <c r="R327" i="9"/>
  <c r="R333" i="9"/>
  <c r="R334" i="9"/>
  <c r="R190" i="9"/>
  <c r="R400" i="9"/>
  <c r="R189" i="9"/>
  <c r="R228" i="9"/>
  <c r="R183" i="9"/>
  <c r="R301" i="9"/>
  <c r="R300" i="9"/>
  <c r="R399" i="9"/>
  <c r="R229" i="9"/>
  <c r="R184" i="9"/>
  <c r="R70" i="9" l="1"/>
  <c r="AA70" i="9"/>
  <c r="T70" i="9" s="1"/>
  <c r="R100" i="9"/>
  <c r="AA100" i="9"/>
  <c r="T100" i="9" s="1"/>
  <c r="R103" i="9"/>
  <c r="AA103" i="9"/>
  <c r="T103" i="9" s="1"/>
  <c r="R127" i="9"/>
  <c r="AA127" i="9"/>
  <c r="T127" i="9" s="1"/>
  <c r="R559" i="9"/>
  <c r="R562" i="9"/>
  <c r="R529" i="9"/>
  <c r="R493" i="9"/>
  <c r="R484" i="9"/>
  <c r="R457" i="9"/>
  <c r="R448" i="9"/>
  <c r="R412" i="9"/>
  <c r="R415" i="9"/>
  <c r="R421" i="9"/>
  <c r="R382" i="9"/>
  <c r="R304" i="9"/>
  <c r="R313" i="9"/>
  <c r="R271" i="9"/>
  <c r="R232" i="9"/>
  <c r="R202" i="9"/>
  <c r="R196" i="9"/>
  <c r="R163" i="9"/>
  <c r="R169" i="9"/>
  <c r="R160" i="9"/>
  <c r="R217" i="9"/>
  <c r="R339" i="9"/>
  <c r="Q340" i="9"/>
  <c r="N574" i="9"/>
  <c r="O574" i="9" s="1"/>
  <c r="N570" i="9"/>
  <c r="O570" i="9" s="1"/>
  <c r="N566" i="9"/>
  <c r="O566" i="9" s="1"/>
  <c r="N562" i="9"/>
  <c r="O562" i="9" s="1"/>
  <c r="N558" i="9"/>
  <c r="O558" i="9" s="1"/>
  <c r="N554" i="9"/>
  <c r="O554" i="9" s="1"/>
  <c r="N550" i="9"/>
  <c r="O550" i="9" s="1"/>
  <c r="N546" i="9"/>
  <c r="O546" i="9" s="1"/>
  <c r="N542" i="9"/>
  <c r="O542" i="9" s="1"/>
  <c r="N538" i="9"/>
  <c r="O538" i="9" s="1"/>
  <c r="N534" i="9"/>
  <c r="O534" i="9" s="1"/>
  <c r="N530" i="9"/>
  <c r="O530" i="9" s="1"/>
  <c r="N526" i="9"/>
  <c r="O526" i="9" s="1"/>
  <c r="N522" i="9"/>
  <c r="O522" i="9" s="1"/>
  <c r="N518" i="9"/>
  <c r="O518" i="9" s="1"/>
  <c r="N514" i="9"/>
  <c r="O514" i="9" s="1"/>
  <c r="N510" i="9"/>
  <c r="O510" i="9" s="1"/>
  <c r="N506" i="9"/>
  <c r="O506" i="9" s="1"/>
  <c r="N502" i="9"/>
  <c r="O502" i="9" s="1"/>
  <c r="N498" i="9"/>
  <c r="O498" i="9" s="1"/>
  <c r="N494" i="9"/>
  <c r="O494" i="9" s="1"/>
  <c r="N490" i="9"/>
  <c r="O490" i="9" s="1"/>
  <c r="N486" i="9"/>
  <c r="O486" i="9" s="1"/>
  <c r="N482" i="9"/>
  <c r="O482" i="9" s="1"/>
  <c r="N478" i="9"/>
  <c r="O478" i="9" s="1"/>
  <c r="N474" i="9"/>
  <c r="O474" i="9" s="1"/>
  <c r="N470" i="9"/>
  <c r="O470" i="9" s="1"/>
  <c r="N466" i="9"/>
  <c r="O466" i="9" s="1"/>
  <c r="N462" i="9"/>
  <c r="O462" i="9" s="1"/>
  <c r="N458" i="9"/>
  <c r="O458" i="9" s="1"/>
  <c r="N454" i="9"/>
  <c r="O454" i="9" s="1"/>
  <c r="N450" i="9"/>
  <c r="O450" i="9" s="1"/>
  <c r="N446" i="9"/>
  <c r="O446" i="9" s="1"/>
  <c r="N442" i="9"/>
  <c r="O442" i="9" s="1"/>
  <c r="N438" i="9"/>
  <c r="O438" i="9" s="1"/>
  <c r="N434" i="9"/>
  <c r="O434" i="9" s="1"/>
  <c r="Z340" i="9" l="1"/>
  <c r="AA340" i="9" s="1"/>
  <c r="T340" i="9" s="1"/>
  <c r="P11" i="45"/>
  <c r="F109" i="32"/>
  <c r="F105" i="32"/>
  <c r="F101" i="32"/>
  <c r="E101" i="32"/>
  <c r="R340" i="9" l="1"/>
  <c r="E3" i="45"/>
  <c r="C3" i="45"/>
  <c r="P15" i="45"/>
  <c r="F8" i="12"/>
  <c r="F9" i="12"/>
  <c r="F10" i="12"/>
  <c r="F11" i="12"/>
  <c r="F12" i="12"/>
  <c r="F13" i="12"/>
  <c r="F14" i="12"/>
  <c r="F6" i="12"/>
  <c r="F5" i="12"/>
  <c r="F4" i="12"/>
  <c r="F3" i="12"/>
  <c r="B16" i="12"/>
  <c r="B17" i="12"/>
  <c r="B18" i="12"/>
  <c r="B19" i="12"/>
  <c r="B20" i="12"/>
  <c r="B21" i="12"/>
  <c r="B22" i="12"/>
  <c r="B15" i="12"/>
  <c r="B14" i="12"/>
  <c r="B13" i="12"/>
  <c r="B12" i="12"/>
  <c r="B11" i="12"/>
  <c r="B10" i="12"/>
  <c r="B9" i="12"/>
  <c r="B8" i="12"/>
  <c r="B7" i="12"/>
  <c r="B6" i="12"/>
  <c r="B5" i="12"/>
  <c r="B4" i="12"/>
  <c r="C20" i="12" l="1"/>
  <c r="D20" i="12" s="1"/>
  <c r="C22" i="12"/>
  <c r="D22" i="12" s="1"/>
  <c r="C18" i="12"/>
  <c r="D18" i="12" s="1"/>
  <c r="C16" i="12"/>
  <c r="D16" i="12" s="1"/>
  <c r="C8" i="12"/>
  <c r="D8" i="12" s="1"/>
  <c r="C12" i="12"/>
  <c r="D12" i="12" s="1"/>
  <c r="C21" i="12"/>
  <c r="D21" i="12" s="1"/>
  <c r="C17" i="12"/>
  <c r="D17" i="12" s="1"/>
  <c r="C19" i="12"/>
  <c r="D19" i="12" s="1"/>
  <c r="C9" i="12"/>
  <c r="D9" i="12" s="1"/>
  <c r="C13" i="12"/>
  <c r="D13" i="12" s="1"/>
  <c r="C6" i="12"/>
  <c r="D6" i="12" s="1"/>
  <c r="C10" i="12"/>
  <c r="D10" i="12" s="1"/>
  <c r="C14" i="12"/>
  <c r="D14" i="12" s="1"/>
  <c r="C5" i="12"/>
  <c r="D5" i="12" s="1"/>
  <c r="C4" i="12"/>
  <c r="D4" i="12" s="1"/>
  <c r="C7" i="12"/>
  <c r="D7" i="12" s="1"/>
  <c r="C11" i="12"/>
  <c r="D11" i="12" s="1"/>
  <c r="C15" i="12"/>
  <c r="D15" i="12" s="1"/>
  <c r="B40" i="44"/>
  <c r="B39" i="44"/>
  <c r="B38" i="44"/>
  <c r="B37" i="44"/>
  <c r="B36" i="44"/>
  <c r="B35" i="44"/>
  <c r="B34" i="44"/>
  <c r="B33" i="44"/>
  <c r="B32" i="44"/>
  <c r="B31" i="44"/>
  <c r="B23" i="44"/>
  <c r="B22" i="44"/>
  <c r="B21" i="44"/>
  <c r="B20" i="44"/>
  <c r="B19" i="44"/>
  <c r="B18" i="44"/>
  <c r="B17" i="44"/>
  <c r="B16" i="44"/>
  <c r="B15" i="44"/>
  <c r="B14" i="44"/>
  <c r="B13" i="44"/>
  <c r="B12" i="44"/>
  <c r="B11" i="44"/>
  <c r="B10" i="44"/>
  <c r="B9" i="44"/>
  <c r="B8" i="44"/>
  <c r="B117" i="44" l="1"/>
  <c r="A117" i="44" s="1"/>
  <c r="F117" i="44" s="1"/>
  <c r="B101" i="44"/>
  <c r="A101" i="44" s="1"/>
  <c r="F101" i="44" s="1"/>
  <c r="B121" i="44"/>
  <c r="A121" i="44" s="1"/>
  <c r="F121" i="44" s="1"/>
  <c r="B105" i="44"/>
  <c r="A105" i="44" s="1"/>
  <c r="F105" i="44" s="1"/>
  <c r="B125" i="44"/>
  <c r="A125" i="44" s="1"/>
  <c r="F125" i="44" s="1"/>
  <c r="B109" i="44"/>
  <c r="A109" i="44" s="1"/>
  <c r="F109" i="44" s="1"/>
  <c r="B129" i="44"/>
  <c r="A129" i="44" s="1"/>
  <c r="F129" i="44" s="1"/>
  <c r="B113" i="44"/>
  <c r="A113" i="44" s="1"/>
  <c r="F113" i="44" s="1"/>
  <c r="B103" i="44"/>
  <c r="A103" i="44" s="1"/>
  <c r="F103" i="44" s="1"/>
  <c r="B119" i="44"/>
  <c r="A119" i="44" s="1"/>
  <c r="F119" i="44" s="1"/>
  <c r="B107" i="44"/>
  <c r="A107" i="44" s="1"/>
  <c r="F107" i="44" s="1"/>
  <c r="B123" i="44"/>
  <c r="A123" i="44" s="1"/>
  <c r="F123" i="44" s="1"/>
  <c r="B111" i="44"/>
  <c r="A111" i="44" s="1"/>
  <c r="F111" i="44" s="1"/>
  <c r="B127" i="44"/>
  <c r="A127" i="44" s="1"/>
  <c r="F127" i="44" s="1"/>
  <c r="B102" i="44"/>
  <c r="A102" i="44" s="1"/>
  <c r="F102" i="44" s="1"/>
  <c r="B118" i="44"/>
  <c r="A118" i="44" s="1"/>
  <c r="F118" i="44" s="1"/>
  <c r="B106" i="44"/>
  <c r="A106" i="44" s="1"/>
  <c r="F106" i="44" s="1"/>
  <c r="B122" i="44"/>
  <c r="A122" i="44" s="1"/>
  <c r="F122" i="44" s="1"/>
  <c r="B110" i="44"/>
  <c r="A110" i="44" s="1"/>
  <c r="F110" i="44" s="1"/>
  <c r="B126" i="44"/>
  <c r="A126" i="44" s="1"/>
  <c r="F126" i="44" s="1"/>
  <c r="B114" i="44"/>
  <c r="A114" i="44" s="1"/>
  <c r="F114" i="44" s="1"/>
  <c r="B130" i="44"/>
  <c r="A130" i="44" s="1"/>
  <c r="F130" i="44" s="1"/>
  <c r="B100" i="44"/>
  <c r="A100" i="44" s="1"/>
  <c r="F100" i="44" s="1"/>
  <c r="B116" i="44"/>
  <c r="A116" i="44" s="1"/>
  <c r="F116" i="44" s="1"/>
  <c r="B104" i="44"/>
  <c r="A104" i="44" s="1"/>
  <c r="F104" i="44" s="1"/>
  <c r="B120" i="44"/>
  <c r="A120" i="44" s="1"/>
  <c r="F120" i="44" s="1"/>
  <c r="B108" i="44"/>
  <c r="A108" i="44" s="1"/>
  <c r="F108" i="44" s="1"/>
  <c r="B124" i="44"/>
  <c r="A124" i="44" s="1"/>
  <c r="F124" i="44" s="1"/>
  <c r="B112" i="44"/>
  <c r="A112" i="44" s="1"/>
  <c r="F112" i="44" s="1"/>
  <c r="B128" i="44"/>
  <c r="A128" i="44" s="1"/>
  <c r="F128" i="44" s="1"/>
  <c r="B7" i="15" l="1"/>
  <c r="B116" i="15" l="1"/>
  <c r="A116" i="15" s="1"/>
  <c r="H116" i="15" s="1"/>
  <c r="B100" i="15"/>
  <c r="A100" i="15" s="1"/>
  <c r="H100" i="15" s="1"/>
  <c r="B29" i="15"/>
  <c r="B30" i="15"/>
  <c r="B31" i="15"/>
  <c r="B32" i="15"/>
  <c r="B33" i="15"/>
  <c r="B34" i="15"/>
  <c r="B35" i="15"/>
  <c r="B36" i="15"/>
  <c r="B37" i="15"/>
  <c r="B38" i="15"/>
  <c r="B92" i="41" l="1"/>
  <c r="B69" i="41"/>
  <c r="B68" i="41"/>
  <c r="B67" i="41"/>
  <c r="B66" i="41"/>
  <c r="B65" i="41"/>
  <c r="B64" i="41"/>
  <c r="B63" i="41"/>
  <c r="B62" i="41"/>
  <c r="B61" i="41"/>
  <c r="B60" i="41"/>
  <c r="B59" i="41"/>
  <c r="B58" i="41"/>
  <c r="B57" i="41"/>
  <c r="B56" i="41"/>
  <c r="B55" i="41"/>
  <c r="B54" i="41"/>
  <c r="Y152" i="53" l="1"/>
  <c r="Y392" i="53" s="1"/>
  <c r="Y148" i="53"/>
  <c r="Y388" i="53" s="1"/>
  <c r="Y144" i="53"/>
  <c r="Y384" i="53" s="1"/>
  <c r="Y140" i="53"/>
  <c r="Y380" i="53" s="1"/>
  <c r="Y153" i="53"/>
  <c r="Y393" i="53" s="1"/>
  <c r="Y149" i="53"/>
  <c r="Y389" i="53" s="1"/>
  <c r="Y145" i="53"/>
  <c r="Y385" i="53" s="1"/>
  <c r="Y141" i="53"/>
  <c r="Y381" i="53" s="1"/>
  <c r="Y150" i="53"/>
  <c r="Y390" i="53" s="1"/>
  <c r="Y146" i="53"/>
  <c r="Y386" i="53" s="1"/>
  <c r="Y142" i="53"/>
  <c r="Y382" i="53" s="1"/>
  <c r="Y151" i="53"/>
  <c r="Y391" i="53" s="1"/>
  <c r="Y147" i="53"/>
  <c r="Y387" i="53" s="1"/>
  <c r="Y143" i="53"/>
  <c r="Y383" i="53" s="1"/>
  <c r="Y139" i="53"/>
  <c r="Y379" i="53" s="1"/>
  <c r="Y212" i="53"/>
  <c r="Y452" i="53" s="1"/>
  <c r="Y208" i="53"/>
  <c r="Y448" i="53" s="1"/>
  <c r="Y204" i="53"/>
  <c r="Y444" i="53" s="1"/>
  <c r="Y200" i="53"/>
  <c r="Y440" i="53" s="1"/>
  <c r="Y213" i="53"/>
  <c r="Y453" i="53" s="1"/>
  <c r="Y209" i="53"/>
  <c r="Y449" i="53" s="1"/>
  <c r="Y205" i="53"/>
  <c r="Y445" i="53" s="1"/>
  <c r="Y201" i="53"/>
  <c r="Y441" i="53" s="1"/>
  <c r="Y210" i="53"/>
  <c r="Y450" i="53" s="1"/>
  <c r="Y206" i="53"/>
  <c r="Y446" i="53" s="1"/>
  <c r="Y202" i="53"/>
  <c r="Y442" i="53" s="1"/>
  <c r="Y211" i="53"/>
  <c r="Y451" i="53" s="1"/>
  <c r="Y207" i="53"/>
  <c r="Y447" i="53" s="1"/>
  <c r="Y203" i="53"/>
  <c r="Y443" i="53" s="1"/>
  <c r="Y199" i="53"/>
  <c r="Y439" i="53" s="1"/>
  <c r="Y45" i="53"/>
  <c r="Y285" i="53" s="1"/>
  <c r="Y41" i="53"/>
  <c r="Y281" i="53" s="1"/>
  <c r="Y37" i="53"/>
  <c r="Y277" i="53" s="1"/>
  <c r="Y46" i="53"/>
  <c r="Y286" i="53" s="1"/>
  <c r="Y42" i="53"/>
  <c r="Y282" i="53" s="1"/>
  <c r="Y38" i="53"/>
  <c r="Y278" i="53" s="1"/>
  <c r="Y34" i="53"/>
  <c r="Y274" i="53" s="1"/>
  <c r="Y47" i="53"/>
  <c r="Y287" i="53" s="1"/>
  <c r="Y43" i="53"/>
  <c r="Y283" i="53" s="1"/>
  <c r="Y39" i="53"/>
  <c r="Y279" i="53" s="1"/>
  <c r="Y35" i="53"/>
  <c r="Y275" i="53" s="1"/>
  <c r="Y48" i="53"/>
  <c r="Y288" i="53" s="1"/>
  <c r="Y44" i="53"/>
  <c r="Y284" i="53" s="1"/>
  <c r="Y40" i="53"/>
  <c r="Y280" i="53" s="1"/>
  <c r="Y36" i="53"/>
  <c r="Y276" i="53" s="1"/>
  <c r="Y108" i="53"/>
  <c r="Y348" i="53" s="1"/>
  <c r="Y104" i="53"/>
  <c r="Y344" i="53" s="1"/>
  <c r="Y100" i="53"/>
  <c r="Y340" i="53" s="1"/>
  <c r="Y96" i="53"/>
  <c r="Y336" i="53" s="1"/>
  <c r="Y106" i="53"/>
  <c r="Y346" i="53" s="1"/>
  <c r="Y102" i="53"/>
  <c r="Y342" i="53" s="1"/>
  <c r="Y98" i="53"/>
  <c r="Y338" i="53" s="1"/>
  <c r="Y94" i="53"/>
  <c r="Y334" i="53" s="1"/>
  <c r="Y107" i="53"/>
  <c r="Y347" i="53" s="1"/>
  <c r="Y105" i="53"/>
  <c r="Y345" i="53" s="1"/>
  <c r="Y103" i="53"/>
  <c r="Y343" i="53" s="1"/>
  <c r="Y101" i="53"/>
  <c r="Y341" i="53" s="1"/>
  <c r="Y99" i="53"/>
  <c r="Y339" i="53" s="1"/>
  <c r="Y97" i="53"/>
  <c r="Y337" i="53" s="1"/>
  <c r="Y95" i="53"/>
  <c r="Y335" i="53" s="1"/>
  <c r="Y168" i="53"/>
  <c r="Y408" i="53" s="1"/>
  <c r="Y164" i="53"/>
  <c r="Y404" i="53" s="1"/>
  <c r="Y160" i="53"/>
  <c r="Y400" i="53" s="1"/>
  <c r="Y156" i="53"/>
  <c r="Y396" i="53" s="1"/>
  <c r="Y165" i="53"/>
  <c r="Y405" i="53" s="1"/>
  <c r="Y161" i="53"/>
  <c r="Y401" i="53" s="1"/>
  <c r="Y157" i="53"/>
  <c r="Y397" i="53" s="1"/>
  <c r="Y166" i="53"/>
  <c r="Y406" i="53" s="1"/>
  <c r="Y162" i="53"/>
  <c r="Y402" i="53" s="1"/>
  <c r="Y158" i="53"/>
  <c r="Y398" i="53" s="1"/>
  <c r="Y154" i="53"/>
  <c r="Y394" i="53" s="1"/>
  <c r="Y167" i="53"/>
  <c r="Y407" i="53" s="1"/>
  <c r="Y163" i="53"/>
  <c r="Y403" i="53" s="1"/>
  <c r="Y159" i="53"/>
  <c r="Y399" i="53" s="1"/>
  <c r="Y155" i="53"/>
  <c r="Y395" i="53" s="1"/>
  <c r="Y228" i="53"/>
  <c r="Y468" i="53" s="1"/>
  <c r="Y224" i="53"/>
  <c r="Y464" i="53" s="1"/>
  <c r="Y220" i="53"/>
  <c r="Y460" i="53" s="1"/>
  <c r="Y216" i="53"/>
  <c r="Y456" i="53" s="1"/>
  <c r="Y225" i="53"/>
  <c r="Y465" i="53" s="1"/>
  <c r="Y221" i="53"/>
  <c r="Y461" i="53" s="1"/>
  <c r="Y217" i="53"/>
  <c r="Y457" i="53" s="1"/>
  <c r="Y226" i="53"/>
  <c r="Y466" i="53" s="1"/>
  <c r="Y222" i="53"/>
  <c r="Y462" i="53" s="1"/>
  <c r="Y218" i="53"/>
  <c r="Y458" i="53" s="1"/>
  <c r="Y214" i="53"/>
  <c r="Y454" i="53" s="1"/>
  <c r="Y227" i="53"/>
  <c r="Y467" i="53" s="1"/>
  <c r="Y223" i="53"/>
  <c r="Y463" i="53" s="1"/>
  <c r="Y219" i="53"/>
  <c r="Y459" i="53" s="1"/>
  <c r="Y215" i="53"/>
  <c r="Y455" i="53" s="1"/>
  <c r="Y92" i="53"/>
  <c r="Y332" i="53" s="1"/>
  <c r="Y88" i="53"/>
  <c r="Y328" i="53" s="1"/>
  <c r="Y84" i="53"/>
  <c r="Y324" i="53" s="1"/>
  <c r="Y80" i="53"/>
  <c r="Y320" i="53" s="1"/>
  <c r="Y90" i="53"/>
  <c r="Y330" i="53" s="1"/>
  <c r="Y86" i="53"/>
  <c r="Y326" i="53" s="1"/>
  <c r="Y82" i="53"/>
  <c r="Y322" i="53" s="1"/>
  <c r="Y93" i="53"/>
  <c r="Y333" i="53" s="1"/>
  <c r="Y91" i="53"/>
  <c r="Y331" i="53" s="1"/>
  <c r="Y89" i="53"/>
  <c r="Y329" i="53" s="1"/>
  <c r="Y87" i="53"/>
  <c r="Y327" i="53" s="1"/>
  <c r="Y85" i="53"/>
  <c r="Y325" i="53" s="1"/>
  <c r="Y83" i="53"/>
  <c r="Y323" i="53" s="1"/>
  <c r="Y81" i="53"/>
  <c r="Y321" i="53" s="1"/>
  <c r="Y79" i="53"/>
  <c r="Y319" i="53" s="1"/>
  <c r="Y61" i="53"/>
  <c r="Y301" i="53" s="1"/>
  <c r="Y57" i="53"/>
  <c r="Y297" i="53" s="1"/>
  <c r="Y53" i="53"/>
  <c r="Y293" i="53" s="1"/>
  <c r="Y49" i="53"/>
  <c r="Y289" i="53" s="1"/>
  <c r="Y62" i="53"/>
  <c r="Y302" i="53" s="1"/>
  <c r="Y58" i="53"/>
  <c r="Y298" i="53" s="1"/>
  <c r="Y54" i="53"/>
  <c r="Y294" i="53" s="1"/>
  <c r="Y50" i="53"/>
  <c r="Y290" i="53" s="1"/>
  <c r="Y63" i="53"/>
  <c r="Y303" i="53" s="1"/>
  <c r="Y59" i="53"/>
  <c r="Y299" i="53" s="1"/>
  <c r="Y55" i="53"/>
  <c r="Y295" i="53" s="1"/>
  <c r="Y51" i="53"/>
  <c r="Y291" i="53" s="1"/>
  <c r="Y60" i="53"/>
  <c r="Y300" i="53" s="1"/>
  <c r="Y56" i="53"/>
  <c r="Y296" i="53" s="1"/>
  <c r="Y52" i="53"/>
  <c r="Y292" i="53" s="1"/>
  <c r="Y120" i="53"/>
  <c r="Y360" i="53" s="1"/>
  <c r="Y116" i="53"/>
  <c r="Y356" i="53" s="1"/>
  <c r="Y112" i="53"/>
  <c r="Y352" i="53" s="1"/>
  <c r="Y122" i="53"/>
  <c r="Y362" i="53" s="1"/>
  <c r="Y118" i="53"/>
  <c r="Y358" i="53" s="1"/>
  <c r="Y114" i="53"/>
  <c r="Y354" i="53" s="1"/>
  <c r="Y110" i="53"/>
  <c r="Y350" i="53" s="1"/>
  <c r="Y123" i="53"/>
  <c r="Y363" i="53" s="1"/>
  <c r="Y121" i="53"/>
  <c r="Y361" i="53" s="1"/>
  <c r="Y119" i="53"/>
  <c r="Y359" i="53" s="1"/>
  <c r="Y117" i="53"/>
  <c r="Y357" i="53" s="1"/>
  <c r="Y115" i="53"/>
  <c r="Y355" i="53" s="1"/>
  <c r="Y113" i="53"/>
  <c r="Y353" i="53" s="1"/>
  <c r="Y111" i="53"/>
  <c r="Y351" i="53" s="1"/>
  <c r="Y109" i="53"/>
  <c r="Y349" i="53" s="1"/>
  <c r="Y180" i="53"/>
  <c r="Y420" i="53" s="1"/>
  <c r="Y176" i="53"/>
  <c r="Y416" i="53" s="1"/>
  <c r="Y172" i="53"/>
  <c r="Y412" i="53" s="1"/>
  <c r="Y181" i="53"/>
  <c r="Y421" i="53" s="1"/>
  <c r="Y177" i="53"/>
  <c r="Y417" i="53" s="1"/>
  <c r="Y173" i="53"/>
  <c r="Y413" i="53" s="1"/>
  <c r="Y169" i="53"/>
  <c r="Y409" i="53" s="1"/>
  <c r="Y182" i="53"/>
  <c r="Y422" i="53" s="1"/>
  <c r="Y178" i="53"/>
  <c r="Y418" i="53" s="1"/>
  <c r="Y174" i="53"/>
  <c r="Y414" i="53" s="1"/>
  <c r="Y170" i="53"/>
  <c r="Y410" i="53" s="1"/>
  <c r="Y183" i="53"/>
  <c r="Y423" i="53" s="1"/>
  <c r="Y179" i="53"/>
  <c r="Y419" i="53" s="1"/>
  <c r="Y175" i="53"/>
  <c r="Y415" i="53" s="1"/>
  <c r="Y171" i="53"/>
  <c r="Y411" i="53" s="1"/>
  <c r="Y240" i="53"/>
  <c r="Y480" i="53" s="1"/>
  <c r="Y236" i="53"/>
  <c r="Y476" i="53" s="1"/>
  <c r="Y232" i="53"/>
  <c r="Y472" i="53" s="1"/>
  <c r="Y241" i="53"/>
  <c r="Y481" i="53" s="1"/>
  <c r="Y237" i="53"/>
  <c r="Y477" i="53" s="1"/>
  <c r="Y233" i="53"/>
  <c r="Y473" i="53" s="1"/>
  <c r="Y229" i="53"/>
  <c r="Y469" i="53" s="1"/>
  <c r="Y242" i="53"/>
  <c r="Y482" i="53" s="1"/>
  <c r="Y238" i="53"/>
  <c r="Y478" i="53" s="1"/>
  <c r="Y234" i="53"/>
  <c r="Y474" i="53" s="1"/>
  <c r="Y230" i="53"/>
  <c r="Y470" i="53" s="1"/>
  <c r="Y243" i="53"/>
  <c r="Y483" i="53" s="1"/>
  <c r="Y239" i="53"/>
  <c r="Y479" i="53" s="1"/>
  <c r="Y235" i="53"/>
  <c r="Y475" i="53" s="1"/>
  <c r="Y231" i="53"/>
  <c r="Y471" i="53" s="1"/>
  <c r="Y76" i="53"/>
  <c r="Y316" i="53" s="1"/>
  <c r="Y78" i="53"/>
  <c r="Y318" i="53" s="1"/>
  <c r="Y74" i="53"/>
  <c r="Y314" i="53" s="1"/>
  <c r="Y77" i="53"/>
  <c r="Y317" i="53" s="1"/>
  <c r="Y75" i="53"/>
  <c r="Y315" i="53" s="1"/>
  <c r="Y73" i="53"/>
  <c r="Y313" i="53" s="1"/>
  <c r="Y69" i="53"/>
  <c r="Y309" i="53" s="1"/>
  <c r="Y65" i="53"/>
  <c r="Y305" i="53" s="1"/>
  <c r="Y70" i="53"/>
  <c r="Y310" i="53" s="1"/>
  <c r="Y66" i="53"/>
  <c r="Y306" i="53" s="1"/>
  <c r="Y71" i="53"/>
  <c r="Y311" i="53" s="1"/>
  <c r="Y67" i="53"/>
  <c r="Y307" i="53" s="1"/>
  <c r="Y72" i="53"/>
  <c r="Y312" i="53" s="1"/>
  <c r="Y68" i="53"/>
  <c r="Y308" i="53" s="1"/>
  <c r="Y64" i="53"/>
  <c r="Y304" i="53" s="1"/>
  <c r="Y136" i="53"/>
  <c r="Y376" i="53" s="1"/>
  <c r="Y132" i="53"/>
  <c r="Y372" i="53" s="1"/>
  <c r="Y128" i="53"/>
  <c r="Y368" i="53" s="1"/>
  <c r="Y124" i="53"/>
  <c r="Y364" i="53" s="1"/>
  <c r="Y137" i="53"/>
  <c r="Y377" i="53" s="1"/>
  <c r="Y133" i="53"/>
  <c r="Y373" i="53" s="1"/>
  <c r="Y129" i="53"/>
  <c r="Y369" i="53" s="1"/>
  <c r="Y125" i="53"/>
  <c r="Y365" i="53" s="1"/>
  <c r="Y138" i="53"/>
  <c r="Y378" i="53" s="1"/>
  <c r="Y134" i="53"/>
  <c r="Y374" i="53" s="1"/>
  <c r="Y130" i="53"/>
  <c r="Y370" i="53" s="1"/>
  <c r="Y126" i="53"/>
  <c r="Y366" i="53" s="1"/>
  <c r="Y135" i="53"/>
  <c r="Y375" i="53" s="1"/>
  <c r="Y131" i="53"/>
  <c r="Y371" i="53" s="1"/>
  <c r="Y127" i="53"/>
  <c r="Y367" i="53" s="1"/>
  <c r="Y196" i="53"/>
  <c r="Y436" i="53" s="1"/>
  <c r="Y192" i="53"/>
  <c r="Y432" i="53" s="1"/>
  <c r="Y188" i="53"/>
  <c r="Y428" i="53" s="1"/>
  <c r="Y184" i="53"/>
  <c r="Y424" i="53" s="1"/>
  <c r="Y197" i="53"/>
  <c r="Y437" i="53" s="1"/>
  <c r="Y193" i="53"/>
  <c r="Y433" i="53" s="1"/>
  <c r="Y189" i="53"/>
  <c r="Y429" i="53" s="1"/>
  <c r="Y185" i="53"/>
  <c r="Y425" i="53" s="1"/>
  <c r="Y198" i="53"/>
  <c r="Y438" i="53" s="1"/>
  <c r="Y194" i="53"/>
  <c r="Y434" i="53" s="1"/>
  <c r="Y190" i="53"/>
  <c r="Y430" i="53" s="1"/>
  <c r="Y186" i="53"/>
  <c r="Y426" i="53" s="1"/>
  <c r="Y195" i="53"/>
  <c r="Y435" i="53" s="1"/>
  <c r="Y191" i="53"/>
  <c r="Y431" i="53" s="1"/>
  <c r="Y187" i="53"/>
  <c r="Y427" i="53" s="1"/>
  <c r="B91" i="41"/>
  <c r="B13" i="41"/>
  <c r="S13" i="41" s="1"/>
  <c r="B17" i="41"/>
  <c r="S17" i="41" s="1"/>
  <c r="B89" i="41"/>
  <c r="B78" i="41"/>
  <c r="B83" i="41"/>
  <c r="B87" i="41"/>
  <c r="B80" i="41"/>
  <c r="B16" i="41"/>
  <c r="S16" i="41" s="1"/>
  <c r="B20" i="41"/>
  <c r="S20" i="41" s="1"/>
  <c r="B8" i="41"/>
  <c r="B12" i="41"/>
  <c r="S12" i="41" s="1"/>
  <c r="B9" i="41"/>
  <c r="S9" i="41" s="1"/>
  <c r="B21" i="41"/>
  <c r="S21" i="41" s="1"/>
  <c r="B10" i="41"/>
  <c r="S10" i="41" s="1"/>
  <c r="B14" i="41"/>
  <c r="S14" i="41" s="1"/>
  <c r="B18" i="41"/>
  <c r="S18" i="41" s="1"/>
  <c r="B22" i="41"/>
  <c r="S22" i="41" s="1"/>
  <c r="B76" i="41"/>
  <c r="B77" i="41"/>
  <c r="B79" i="41"/>
  <c r="B81" i="41"/>
  <c r="B82" i="41"/>
  <c r="B84" i="41"/>
  <c r="B85" i="41"/>
  <c r="B86" i="41"/>
  <c r="B88" i="41"/>
  <c r="B90" i="41"/>
  <c r="B11" i="41"/>
  <c r="S11" i="41" s="1"/>
  <c r="B15" i="41"/>
  <c r="S15" i="41" s="1"/>
  <c r="B19" i="41"/>
  <c r="S19" i="41" s="1"/>
  <c r="B23" i="41"/>
  <c r="S23" i="41" s="1"/>
  <c r="Y8" i="53" l="1"/>
  <c r="Y248" i="53" s="1"/>
  <c r="Y6" i="53"/>
  <c r="Y246" i="53" s="1"/>
  <c r="Y10" i="53"/>
  <c r="Y5" i="53"/>
  <c r="Y245" i="53" s="1"/>
  <c r="Y4" i="53"/>
  <c r="Y9" i="53"/>
  <c r="Y249" i="53" s="1"/>
  <c r="Y7" i="53"/>
  <c r="Y247" i="53" s="1"/>
  <c r="Y33" i="53"/>
  <c r="Y273" i="53" s="1"/>
  <c r="Y29" i="53"/>
  <c r="Y269" i="53" s="1"/>
  <c r="Y25" i="53"/>
  <c r="Y265" i="53" s="1"/>
  <c r="Y21" i="53"/>
  <c r="Y261" i="53" s="1"/>
  <c r="Y30" i="53"/>
  <c r="Y270" i="53" s="1"/>
  <c r="Y26" i="53"/>
  <c r="Y266" i="53" s="1"/>
  <c r="Y22" i="53"/>
  <c r="Y262" i="53" s="1"/>
  <c r="Y31" i="53"/>
  <c r="Y271" i="53" s="1"/>
  <c r="Y27" i="53"/>
  <c r="Y267" i="53" s="1"/>
  <c r="Y23" i="53"/>
  <c r="Y263" i="53" s="1"/>
  <c r="Y19" i="53"/>
  <c r="Y259" i="53" s="1"/>
  <c r="Y32" i="53"/>
  <c r="Y272" i="53" s="1"/>
  <c r="Y28" i="53"/>
  <c r="Y268" i="53" s="1"/>
  <c r="Y24" i="53"/>
  <c r="Y264" i="53" s="1"/>
  <c r="Y20" i="53"/>
  <c r="Y260" i="53" s="1"/>
  <c r="Y17" i="53"/>
  <c r="Y257" i="53" s="1"/>
  <c r="Y13" i="53"/>
  <c r="Y253" i="53" s="1"/>
  <c r="Y18" i="53"/>
  <c r="Y258" i="53" s="1"/>
  <c r="Y14" i="53"/>
  <c r="Y254" i="53" s="1"/>
  <c r="Y250" i="53"/>
  <c r="Y15" i="53"/>
  <c r="Y255" i="53" s="1"/>
  <c r="Y11" i="53"/>
  <c r="Y251" i="53" s="1"/>
  <c r="Y16" i="53"/>
  <c r="Y256" i="53" s="1"/>
  <c r="Y12" i="53"/>
  <c r="Y252" i="53" s="1"/>
  <c r="Y244" i="53"/>
  <c r="S8" i="41"/>
  <c r="B92" i="25" l="1"/>
  <c r="O108" i="37" l="1"/>
  <c r="S106" i="37"/>
  <c r="C108" i="37"/>
  <c r="G106" i="37"/>
  <c r="N435" i="9" l="1"/>
  <c r="O435" i="9" s="1"/>
  <c r="N436" i="9"/>
  <c r="O436" i="9" s="1"/>
  <c r="N437" i="9"/>
  <c r="O437" i="9" s="1"/>
  <c r="N439" i="9"/>
  <c r="O439" i="9" s="1"/>
  <c r="N440" i="9"/>
  <c r="O440" i="9" s="1"/>
  <c r="N441" i="9"/>
  <c r="O441" i="9" s="1"/>
  <c r="N443" i="9"/>
  <c r="O443" i="9" s="1"/>
  <c r="N444" i="9"/>
  <c r="O444" i="9" s="1"/>
  <c r="N445" i="9"/>
  <c r="O445" i="9" s="1"/>
  <c r="N447" i="9"/>
  <c r="O447" i="9" s="1"/>
  <c r="N448" i="9"/>
  <c r="O448" i="9" s="1"/>
  <c r="N449" i="9"/>
  <c r="O449" i="9" s="1"/>
  <c r="N451" i="9"/>
  <c r="O451" i="9" s="1"/>
  <c r="N452" i="9"/>
  <c r="O452" i="9" s="1"/>
  <c r="N453" i="9"/>
  <c r="O453" i="9" s="1"/>
  <c r="N455" i="9"/>
  <c r="O455" i="9" s="1"/>
  <c r="N456" i="9"/>
  <c r="O456" i="9" s="1"/>
  <c r="N457" i="9"/>
  <c r="O457" i="9" s="1"/>
  <c r="N459" i="9"/>
  <c r="O459" i="9" s="1"/>
  <c r="N460" i="9"/>
  <c r="O460" i="9" s="1"/>
  <c r="N461" i="9"/>
  <c r="O461" i="9" s="1"/>
  <c r="N463" i="9"/>
  <c r="O463" i="9" s="1"/>
  <c r="N464" i="9"/>
  <c r="O464" i="9" s="1"/>
  <c r="N465" i="9"/>
  <c r="O465" i="9" s="1"/>
  <c r="N467" i="9"/>
  <c r="O467" i="9" s="1"/>
  <c r="N468" i="9"/>
  <c r="O468" i="9" s="1"/>
  <c r="N469" i="9"/>
  <c r="O469" i="9" s="1"/>
  <c r="N471" i="9"/>
  <c r="O471" i="9" s="1"/>
  <c r="N472" i="9"/>
  <c r="O472" i="9" s="1"/>
  <c r="N473" i="9"/>
  <c r="O473" i="9" s="1"/>
  <c r="N475" i="9"/>
  <c r="O475" i="9" s="1"/>
  <c r="N476" i="9"/>
  <c r="O476" i="9" s="1"/>
  <c r="N477" i="9"/>
  <c r="O477" i="9" s="1"/>
  <c r="N479" i="9"/>
  <c r="O479" i="9" s="1"/>
  <c r="N480" i="9"/>
  <c r="O480" i="9" s="1"/>
  <c r="N481" i="9"/>
  <c r="O481" i="9" s="1"/>
  <c r="N483" i="9"/>
  <c r="O483" i="9" s="1"/>
  <c r="N484" i="9"/>
  <c r="O484" i="9" s="1"/>
  <c r="N485" i="9"/>
  <c r="O485" i="9" s="1"/>
  <c r="N487" i="9"/>
  <c r="O487" i="9" s="1"/>
  <c r="N488" i="9"/>
  <c r="O488" i="9" s="1"/>
  <c r="N489" i="9"/>
  <c r="O489" i="9" s="1"/>
  <c r="N491" i="9"/>
  <c r="O491" i="9" s="1"/>
  <c r="N492" i="9"/>
  <c r="O492" i="9" s="1"/>
  <c r="N493" i="9"/>
  <c r="O493" i="9" s="1"/>
  <c r="N495" i="9"/>
  <c r="O495" i="9" s="1"/>
  <c r="N496" i="9"/>
  <c r="O496" i="9" s="1"/>
  <c r="N497" i="9"/>
  <c r="O497" i="9" s="1"/>
  <c r="N499" i="9"/>
  <c r="O499" i="9" s="1"/>
  <c r="N500" i="9"/>
  <c r="O500" i="9" s="1"/>
  <c r="N501" i="9"/>
  <c r="O501" i="9" s="1"/>
  <c r="N503" i="9"/>
  <c r="O503" i="9" s="1"/>
  <c r="N504" i="9"/>
  <c r="O504" i="9" s="1"/>
  <c r="N505" i="9"/>
  <c r="O505" i="9" s="1"/>
  <c r="N507" i="9"/>
  <c r="O507" i="9" s="1"/>
  <c r="N508" i="9"/>
  <c r="O508" i="9" s="1"/>
  <c r="N509" i="9"/>
  <c r="O509" i="9" s="1"/>
  <c r="N511" i="9"/>
  <c r="O511" i="9" s="1"/>
  <c r="N512" i="9"/>
  <c r="O512" i="9" s="1"/>
  <c r="N513" i="9"/>
  <c r="O513" i="9" s="1"/>
  <c r="N515" i="9"/>
  <c r="O515" i="9" s="1"/>
  <c r="N516" i="9"/>
  <c r="O516" i="9" s="1"/>
  <c r="N517" i="9"/>
  <c r="O517" i="9" s="1"/>
  <c r="N519" i="9"/>
  <c r="O519" i="9" s="1"/>
  <c r="N520" i="9"/>
  <c r="O520" i="9" s="1"/>
  <c r="N521" i="9"/>
  <c r="O521" i="9" s="1"/>
  <c r="N523" i="9"/>
  <c r="O523" i="9" s="1"/>
  <c r="N524" i="9"/>
  <c r="O524" i="9" s="1"/>
  <c r="N525" i="9"/>
  <c r="O525" i="9" s="1"/>
  <c r="N527" i="9"/>
  <c r="O527" i="9" s="1"/>
  <c r="N528" i="9"/>
  <c r="O528" i="9" s="1"/>
  <c r="N529" i="9"/>
  <c r="O529" i="9" s="1"/>
  <c r="N531" i="9"/>
  <c r="O531" i="9" s="1"/>
  <c r="N532" i="9"/>
  <c r="O532" i="9" s="1"/>
  <c r="N533" i="9"/>
  <c r="O533" i="9" s="1"/>
  <c r="N535" i="9"/>
  <c r="O535" i="9" s="1"/>
  <c r="N536" i="9"/>
  <c r="O536" i="9" s="1"/>
  <c r="N537" i="9"/>
  <c r="O537" i="9" s="1"/>
  <c r="N539" i="9"/>
  <c r="O539" i="9" s="1"/>
  <c r="N540" i="9"/>
  <c r="O540" i="9" s="1"/>
  <c r="N541" i="9"/>
  <c r="O541" i="9" s="1"/>
  <c r="N543" i="9"/>
  <c r="O543" i="9" s="1"/>
  <c r="N544" i="9"/>
  <c r="O544" i="9" s="1"/>
  <c r="N545" i="9"/>
  <c r="O545" i="9" s="1"/>
  <c r="N547" i="9"/>
  <c r="O547" i="9" s="1"/>
  <c r="N548" i="9"/>
  <c r="O548" i="9" s="1"/>
  <c r="N549" i="9"/>
  <c r="O549" i="9" s="1"/>
  <c r="N551" i="9"/>
  <c r="O551" i="9" s="1"/>
  <c r="N552" i="9"/>
  <c r="O552" i="9" s="1"/>
  <c r="N553" i="9"/>
  <c r="O553" i="9" s="1"/>
  <c r="N555" i="9"/>
  <c r="O555" i="9" s="1"/>
  <c r="N556" i="9"/>
  <c r="O556" i="9" s="1"/>
  <c r="N557" i="9"/>
  <c r="O557" i="9" s="1"/>
  <c r="N559" i="9"/>
  <c r="O559" i="9" s="1"/>
  <c r="N560" i="9"/>
  <c r="O560" i="9" s="1"/>
  <c r="N561" i="9"/>
  <c r="O561" i="9" s="1"/>
  <c r="N563" i="9"/>
  <c r="O563" i="9" s="1"/>
  <c r="N564" i="9"/>
  <c r="O564" i="9" s="1"/>
  <c r="N565" i="9"/>
  <c r="O565" i="9" s="1"/>
  <c r="N567" i="9"/>
  <c r="O567" i="9" s="1"/>
  <c r="N568" i="9"/>
  <c r="O568" i="9" s="1"/>
  <c r="N569" i="9"/>
  <c r="O569" i="9" s="1"/>
  <c r="N571" i="9"/>
  <c r="O571" i="9" s="1"/>
  <c r="N572" i="9"/>
  <c r="O572" i="9" s="1"/>
  <c r="N573" i="9"/>
  <c r="O573" i="9" s="1"/>
  <c r="N575" i="9"/>
  <c r="O575" i="9" s="1"/>
  <c r="N576" i="9"/>
  <c r="O576" i="9" s="1"/>
  <c r="N577" i="9"/>
  <c r="O577" i="9" s="1"/>
  <c r="N578" i="9"/>
  <c r="O578" i="9" s="1"/>
  <c r="N579" i="9"/>
  <c r="O579" i="9" s="1"/>
  <c r="N580" i="9"/>
  <c r="O580" i="9" s="1"/>
  <c r="N581" i="9"/>
  <c r="O581" i="9" s="1"/>
  <c r="N582" i="9"/>
  <c r="O582" i="9" s="1"/>
  <c r="N583" i="9"/>
  <c r="O583" i="9" s="1"/>
  <c r="N584" i="9"/>
  <c r="O584" i="9" s="1"/>
  <c r="N585" i="9"/>
  <c r="O585" i="9" s="1"/>
  <c r="N586" i="9"/>
  <c r="O586" i="9" s="1"/>
  <c r="N587" i="9"/>
  <c r="O587" i="9" s="1"/>
  <c r="N588" i="9"/>
  <c r="O588" i="9" s="1"/>
  <c r="N589" i="9"/>
  <c r="O589" i="9" s="1"/>
  <c r="N590" i="9"/>
  <c r="O590" i="9" s="1"/>
  <c r="N591" i="9"/>
  <c r="O591" i="9" s="1"/>
  <c r="N592" i="9"/>
  <c r="O592" i="9" s="1"/>
  <c r="N593" i="9"/>
  <c r="O593" i="9" s="1"/>
  <c r="N594" i="9"/>
  <c r="O594" i="9" s="1"/>
  <c r="N595" i="9"/>
  <c r="O595" i="9" s="1"/>
  <c r="N596" i="9"/>
  <c r="O596" i="9" s="1"/>
  <c r="N597" i="9"/>
  <c r="O597" i="9" s="1"/>
  <c r="N598" i="9"/>
  <c r="O598" i="9" s="1"/>
  <c r="N599" i="9"/>
  <c r="O599" i="9" s="1"/>
  <c r="N600" i="9"/>
  <c r="O600" i="9" s="1"/>
  <c r="N601" i="9"/>
  <c r="O601" i="9" s="1"/>
  <c r="N602" i="9"/>
  <c r="O602" i="9" s="1"/>
  <c r="N603" i="9"/>
  <c r="O603" i="9" s="1"/>
  <c r="N604" i="9"/>
  <c r="O604" i="9" s="1"/>
  <c r="N605" i="9"/>
  <c r="O605" i="9" s="1"/>
  <c r="N606" i="9"/>
  <c r="O606" i="9" s="1"/>
  <c r="N607" i="9"/>
  <c r="O607" i="9" s="1"/>
  <c r="N608" i="9"/>
  <c r="O608" i="9" s="1"/>
  <c r="N609" i="9"/>
  <c r="O609" i="9" s="1"/>
  <c r="N610" i="9"/>
  <c r="O610" i="9" s="1"/>
  <c r="N611" i="9"/>
  <c r="O611" i="9" s="1"/>
  <c r="N612" i="9"/>
  <c r="O612" i="9" s="1"/>
  <c r="N613" i="9"/>
  <c r="O613" i="9" s="1"/>
  <c r="N614" i="9"/>
  <c r="O614" i="9" s="1"/>
  <c r="N615" i="9"/>
  <c r="O615" i="9" s="1"/>
  <c r="N616" i="9"/>
  <c r="O616" i="9" s="1"/>
  <c r="N617" i="9"/>
  <c r="O617" i="9" s="1"/>
  <c r="N618" i="9"/>
  <c r="O618" i="9" s="1"/>
  <c r="N619" i="9"/>
  <c r="O619" i="9" s="1"/>
  <c r="N620" i="9"/>
  <c r="O620" i="9" s="1"/>
  <c r="N621" i="9"/>
  <c r="O621" i="9" s="1"/>
  <c r="N622" i="9"/>
  <c r="O622" i="9" s="1"/>
  <c r="N623" i="9"/>
  <c r="O623" i="9" s="1"/>
  <c r="N624" i="9"/>
  <c r="O624" i="9" s="1"/>
  <c r="N625" i="9"/>
  <c r="O625" i="9" s="1"/>
  <c r="N626" i="9"/>
  <c r="O626" i="9" s="1"/>
  <c r="N627" i="9"/>
  <c r="O627" i="9" s="1"/>
  <c r="N628" i="9"/>
  <c r="O628" i="9" s="1"/>
  <c r="N629" i="9"/>
  <c r="O629" i="9" s="1"/>
  <c r="N630" i="9"/>
  <c r="O630" i="9" s="1"/>
  <c r="N631" i="9"/>
  <c r="O631" i="9" s="1"/>
  <c r="N632" i="9"/>
  <c r="O632" i="9" s="1"/>
  <c r="N633" i="9"/>
  <c r="O633" i="9" s="1"/>
  <c r="N634" i="9"/>
  <c r="O634" i="9" s="1"/>
  <c r="N635" i="9"/>
  <c r="O635" i="9" s="1"/>
  <c r="N636" i="9"/>
  <c r="O636" i="9" s="1"/>
  <c r="N637" i="9"/>
  <c r="O637" i="9" s="1"/>
  <c r="N638" i="9"/>
  <c r="O638" i="9" s="1"/>
  <c r="N639" i="9"/>
  <c r="O639" i="9" s="1"/>
  <c r="N640" i="9"/>
  <c r="O640" i="9" s="1"/>
  <c r="N641" i="9"/>
  <c r="O641" i="9" s="1"/>
  <c r="N642" i="9"/>
  <c r="O642" i="9" s="1"/>
  <c r="N643" i="9"/>
  <c r="O643" i="9" s="1"/>
  <c r="N644" i="9"/>
  <c r="O644" i="9" s="1"/>
  <c r="N645" i="9"/>
  <c r="O645" i="9" s="1"/>
  <c r="N646" i="9"/>
  <c r="O646" i="9" s="1"/>
  <c r="N647" i="9"/>
  <c r="O647" i="9" s="1"/>
  <c r="N648" i="9"/>
  <c r="O648" i="9" s="1"/>
  <c r="N649" i="9"/>
  <c r="O649" i="9" s="1"/>
  <c r="N650" i="9"/>
  <c r="O650" i="9" s="1"/>
  <c r="N651" i="9"/>
  <c r="O651" i="9" s="1"/>
  <c r="N652" i="9"/>
  <c r="O652" i="9" s="1"/>
  <c r="N653" i="9"/>
  <c r="O653" i="9" s="1"/>
  <c r="N654" i="9"/>
  <c r="O654" i="9" s="1"/>
  <c r="N655" i="9"/>
  <c r="O655" i="9" s="1"/>
  <c r="N656" i="9"/>
  <c r="O656" i="9" s="1"/>
  <c r="N657" i="9"/>
  <c r="O657" i="9" s="1"/>
  <c r="N658" i="9"/>
  <c r="O658" i="9" s="1"/>
  <c r="N659" i="9"/>
  <c r="O659" i="9" s="1"/>
  <c r="N660" i="9"/>
  <c r="O660" i="9" s="1"/>
  <c r="N661" i="9"/>
  <c r="O661" i="9" s="1"/>
  <c r="N662" i="9"/>
  <c r="O662" i="9" s="1"/>
  <c r="N663" i="9"/>
  <c r="O663" i="9" s="1"/>
  <c r="N664" i="9"/>
  <c r="O664" i="9" s="1"/>
  <c r="N665" i="9"/>
  <c r="O665" i="9" s="1"/>
  <c r="N666" i="9"/>
  <c r="O666" i="9" s="1"/>
  <c r="N667" i="9"/>
  <c r="O667" i="9" s="1"/>
  <c r="N668" i="9"/>
  <c r="O668" i="9" s="1"/>
  <c r="N669" i="9"/>
  <c r="O669" i="9" s="1"/>
  <c r="N670" i="9"/>
  <c r="O670" i="9" s="1"/>
  <c r="N671" i="9"/>
  <c r="O671" i="9" s="1"/>
  <c r="N672" i="9"/>
  <c r="O672" i="9" s="1"/>
  <c r="N673" i="9"/>
  <c r="O673" i="9" s="1"/>
  <c r="N674" i="9"/>
  <c r="O674" i="9" s="1"/>
  <c r="N675" i="9"/>
  <c r="O675" i="9" s="1"/>
  <c r="N676" i="9"/>
  <c r="O676" i="9" s="1"/>
  <c r="N677" i="9"/>
  <c r="O677" i="9" s="1"/>
  <c r="N678" i="9"/>
  <c r="O678" i="9" s="1"/>
  <c r="N679" i="9"/>
  <c r="O679" i="9" s="1"/>
  <c r="N680" i="9"/>
  <c r="O680" i="9" s="1"/>
  <c r="N681" i="9"/>
  <c r="O681" i="9" s="1"/>
  <c r="N682" i="9"/>
  <c r="O682" i="9" s="1"/>
  <c r="N683" i="9"/>
  <c r="O683" i="9" s="1"/>
  <c r="N684" i="9"/>
  <c r="O684" i="9" s="1"/>
  <c r="N685" i="9"/>
  <c r="O685" i="9" s="1"/>
  <c r="N686" i="9"/>
  <c r="O686" i="9" s="1"/>
  <c r="N687" i="9"/>
  <c r="O687" i="9" s="1"/>
  <c r="N688" i="9"/>
  <c r="O688" i="9" s="1"/>
  <c r="N689" i="9"/>
  <c r="O689" i="9" s="1"/>
  <c r="N690" i="9"/>
  <c r="O690" i="9" s="1"/>
  <c r="N691" i="9"/>
  <c r="O691" i="9" s="1"/>
  <c r="N692" i="9"/>
  <c r="O692" i="9" s="1"/>
  <c r="N693" i="9"/>
  <c r="O693" i="9" s="1"/>
  <c r="N694" i="9"/>
  <c r="O694" i="9" s="1"/>
  <c r="N695" i="9"/>
  <c r="O695" i="9" s="1"/>
  <c r="N696" i="9"/>
  <c r="O696" i="9" s="1"/>
  <c r="N697" i="9"/>
  <c r="O697" i="9" s="1"/>
  <c r="N698" i="9"/>
  <c r="O698" i="9" s="1"/>
  <c r="N699" i="9"/>
  <c r="O699" i="9" s="1"/>
  <c r="N700" i="9"/>
  <c r="O700" i="9" s="1"/>
  <c r="N701" i="9"/>
  <c r="O701" i="9" s="1"/>
  <c r="N702" i="9"/>
  <c r="O702" i="9" s="1"/>
  <c r="N703" i="9"/>
  <c r="O703" i="9" s="1"/>
  <c r="N704" i="9"/>
  <c r="O704" i="9" s="1"/>
  <c r="N705" i="9"/>
  <c r="O705" i="9" s="1"/>
  <c r="N706" i="9"/>
  <c r="O706" i="9" s="1"/>
  <c r="N707" i="9"/>
  <c r="O707" i="9" s="1"/>
  <c r="N708" i="9"/>
  <c r="O708" i="9" s="1"/>
  <c r="N709" i="9"/>
  <c r="O709" i="9" s="1"/>
  <c r="N710" i="9"/>
  <c r="O710" i="9" s="1"/>
  <c r="N711" i="9"/>
  <c r="O711" i="9" s="1"/>
  <c r="N712" i="9"/>
  <c r="O712" i="9" s="1"/>
  <c r="N713" i="9"/>
  <c r="O713" i="9" s="1"/>
  <c r="N714" i="9"/>
  <c r="O714" i="9" s="1"/>
  <c r="N715" i="9"/>
  <c r="O715" i="9" s="1"/>
  <c r="N716" i="9"/>
  <c r="O716" i="9" s="1"/>
  <c r="N717" i="9"/>
  <c r="O717" i="9" s="1"/>
  <c r="N718" i="9"/>
  <c r="O718" i="9" s="1"/>
  <c r="N719" i="9"/>
  <c r="O719" i="9" s="1"/>
  <c r="N720" i="9"/>
  <c r="O720" i="9" s="1"/>
  <c r="N721" i="9"/>
  <c r="O721" i="9" s="1"/>
  <c r="N722" i="9"/>
  <c r="O722" i="9" s="1"/>
  <c r="N723" i="9"/>
  <c r="O723" i="9" s="1"/>
  <c r="N724" i="9"/>
  <c r="O724" i="9" s="1"/>
  <c r="N725" i="9"/>
  <c r="O725" i="9" s="1"/>
  <c r="N726" i="9"/>
  <c r="O726" i="9" s="1"/>
  <c r="N727" i="9"/>
  <c r="O727" i="9" s="1"/>
  <c r="N728" i="9"/>
  <c r="O728" i="9" s="1"/>
  <c r="N729" i="9"/>
  <c r="O729" i="9" s="1"/>
  <c r="N730" i="9"/>
  <c r="O730" i="9" s="1"/>
  <c r="N731" i="9"/>
  <c r="O731" i="9" s="1"/>
  <c r="N732" i="9"/>
  <c r="O732" i="9" s="1"/>
  <c r="N733" i="9"/>
  <c r="O733" i="9" s="1"/>
  <c r="N734" i="9"/>
  <c r="O734" i="9" s="1"/>
  <c r="N735" i="9"/>
  <c r="O735" i="9" s="1"/>
  <c r="N736" i="9"/>
  <c r="O736" i="9" s="1"/>
  <c r="N737" i="9"/>
  <c r="O737" i="9" s="1"/>
  <c r="N738" i="9"/>
  <c r="O738" i="9" s="1"/>
  <c r="N739" i="9"/>
  <c r="O739" i="9" s="1"/>
  <c r="N740" i="9"/>
  <c r="O740" i="9" s="1"/>
  <c r="N741" i="9"/>
  <c r="O741" i="9" s="1"/>
  <c r="N742" i="9"/>
  <c r="O742" i="9" s="1"/>
  <c r="N743" i="9"/>
  <c r="O743" i="9" s="1"/>
  <c r="N744" i="9"/>
  <c r="O744" i="9" s="1"/>
  <c r="N745" i="9"/>
  <c r="O745" i="9" s="1"/>
  <c r="N746" i="9"/>
  <c r="O746" i="9" s="1"/>
  <c r="N747" i="9"/>
  <c r="O747" i="9" s="1"/>
  <c r="N748" i="9"/>
  <c r="O748" i="9" s="1"/>
  <c r="N749" i="9"/>
  <c r="O749" i="9" s="1"/>
  <c r="N750" i="9"/>
  <c r="O750" i="9" s="1"/>
  <c r="N751" i="9"/>
  <c r="O751" i="9" s="1"/>
  <c r="N752" i="9"/>
  <c r="O752" i="9" s="1"/>
  <c r="N753" i="9"/>
  <c r="O753" i="9" s="1"/>
  <c r="N754" i="9"/>
  <c r="O754" i="9" s="1"/>
  <c r="N755" i="9"/>
  <c r="O755" i="9" s="1"/>
  <c r="N756" i="9"/>
  <c r="O756" i="9" s="1"/>
  <c r="N757" i="9"/>
  <c r="O757" i="9" s="1"/>
  <c r="N758" i="9"/>
  <c r="O758" i="9" s="1"/>
  <c r="N759" i="9"/>
  <c r="O759" i="9" s="1"/>
  <c r="N760" i="9"/>
  <c r="O760" i="9" s="1"/>
  <c r="N761" i="9"/>
  <c r="O761" i="9" s="1"/>
  <c r="N762" i="9"/>
  <c r="O762" i="9" s="1"/>
  <c r="N763" i="9"/>
  <c r="O763" i="9" s="1"/>
  <c r="N764" i="9"/>
  <c r="O764" i="9" s="1"/>
  <c r="N765" i="9"/>
  <c r="O765" i="9" s="1"/>
  <c r="N766" i="9"/>
  <c r="O766" i="9" s="1"/>
  <c r="N767" i="9"/>
  <c r="O767" i="9" s="1"/>
  <c r="N768" i="9"/>
  <c r="O768" i="9" s="1"/>
  <c r="N769" i="9"/>
  <c r="O769" i="9" s="1"/>
  <c r="N770" i="9"/>
  <c r="O770" i="9" s="1"/>
  <c r="N771" i="9"/>
  <c r="O771" i="9" s="1"/>
  <c r="N772" i="9"/>
  <c r="O772" i="9" s="1"/>
  <c r="N773" i="9"/>
  <c r="O773" i="9" s="1"/>
  <c r="N774" i="9"/>
  <c r="O774" i="9" s="1"/>
  <c r="N775" i="9"/>
  <c r="O775" i="9" s="1"/>
  <c r="N776" i="9"/>
  <c r="O776" i="9" s="1"/>
  <c r="N777" i="9"/>
  <c r="O777" i="9" s="1"/>
  <c r="N778" i="9"/>
  <c r="O778" i="9" s="1"/>
  <c r="N779" i="9"/>
  <c r="O779" i="9" s="1"/>
  <c r="N780" i="9"/>
  <c r="O780" i="9" s="1"/>
  <c r="N781" i="9"/>
  <c r="O781" i="9" s="1"/>
  <c r="N782" i="9"/>
  <c r="O782" i="9" s="1"/>
  <c r="N783" i="9"/>
  <c r="O783" i="9" s="1"/>
  <c r="N784" i="9"/>
  <c r="O784" i="9" s="1"/>
  <c r="N785" i="9"/>
  <c r="O785" i="9" s="1"/>
  <c r="N786" i="9"/>
  <c r="O786" i="9" s="1"/>
  <c r="N787" i="9"/>
  <c r="O787" i="9" s="1"/>
  <c r="N788" i="9"/>
  <c r="O788" i="9" s="1"/>
  <c r="N789" i="9"/>
  <c r="O789" i="9" s="1"/>
  <c r="N790" i="9"/>
  <c r="O790" i="9" s="1"/>
  <c r="N791" i="9"/>
  <c r="O791" i="9" s="1"/>
  <c r="N792" i="9"/>
  <c r="O792" i="9" s="1"/>
  <c r="N793" i="9"/>
  <c r="O793" i="9" s="1"/>
  <c r="N794" i="9"/>
  <c r="O794" i="9" s="1"/>
  <c r="N795" i="9"/>
  <c r="O795" i="9" s="1"/>
  <c r="N796" i="9"/>
  <c r="O796" i="9" s="1"/>
  <c r="N797" i="9"/>
  <c r="O797" i="9" s="1"/>
  <c r="N798" i="9"/>
  <c r="O798" i="9" s="1"/>
  <c r="N799" i="9"/>
  <c r="O799" i="9" s="1"/>
  <c r="N800" i="9"/>
  <c r="O800" i="9" s="1"/>
  <c r="N801" i="9"/>
  <c r="O801" i="9" s="1"/>
  <c r="N802" i="9"/>
  <c r="O802" i="9" s="1"/>
  <c r="N803" i="9"/>
  <c r="O803" i="9" s="1"/>
  <c r="N804" i="9"/>
  <c r="O804" i="9" s="1"/>
  <c r="N805" i="9"/>
  <c r="O805" i="9" s="1"/>
  <c r="N806" i="9"/>
  <c r="O806" i="9" s="1"/>
  <c r="N807" i="9"/>
  <c r="O807" i="9" s="1"/>
  <c r="N808" i="9"/>
  <c r="O808" i="9" s="1"/>
  <c r="N809" i="9"/>
  <c r="O809" i="9" s="1"/>
  <c r="N810" i="9"/>
  <c r="O810" i="9" s="1"/>
  <c r="N811" i="9"/>
  <c r="O811" i="9" s="1"/>
  <c r="N812" i="9"/>
  <c r="O812" i="9" s="1"/>
  <c r="N813" i="9"/>
  <c r="O813" i="9" s="1"/>
  <c r="N814" i="9"/>
  <c r="O814" i="9" s="1"/>
  <c r="N815" i="9"/>
  <c r="O815" i="9" s="1"/>
  <c r="N816" i="9"/>
  <c r="O816" i="9" s="1"/>
  <c r="N817" i="9"/>
  <c r="O817" i="9" s="1"/>
  <c r="N818" i="9"/>
  <c r="O818" i="9" s="1"/>
  <c r="N819" i="9"/>
  <c r="O819" i="9" s="1"/>
  <c r="N820" i="9"/>
  <c r="O820" i="9" s="1"/>
  <c r="N821" i="9"/>
  <c r="O821" i="9" s="1"/>
  <c r="N822" i="9"/>
  <c r="O822" i="9" s="1"/>
  <c r="N823" i="9"/>
  <c r="O823" i="9" s="1"/>
  <c r="N824" i="9"/>
  <c r="O824" i="9" s="1"/>
  <c r="N825" i="9"/>
  <c r="O825" i="9" s="1"/>
  <c r="N826" i="9"/>
  <c r="O826" i="9" s="1"/>
  <c r="N827" i="9"/>
  <c r="O827" i="9" s="1"/>
  <c r="N828" i="9"/>
  <c r="O828" i="9" s="1"/>
  <c r="N829" i="9"/>
  <c r="O829" i="9" s="1"/>
  <c r="N830" i="9"/>
  <c r="O830" i="9" s="1"/>
  <c r="N831" i="9"/>
  <c r="O831" i="9" s="1"/>
  <c r="N832" i="9"/>
  <c r="O832" i="9" s="1"/>
  <c r="N833" i="9"/>
  <c r="O833" i="9" s="1"/>
  <c r="N834" i="9"/>
  <c r="O834" i="9" s="1"/>
  <c r="N835" i="9"/>
  <c r="O835" i="9" s="1"/>
  <c r="N836" i="9"/>
  <c r="O836" i="9" s="1"/>
  <c r="N837" i="9"/>
  <c r="O837" i="9" s="1"/>
  <c r="N838" i="9"/>
  <c r="O838" i="9" s="1"/>
  <c r="N839" i="9"/>
  <c r="O839" i="9" s="1"/>
  <c r="N840" i="9"/>
  <c r="O840" i="9" s="1"/>
  <c r="N841" i="9"/>
  <c r="O841" i="9" s="1"/>
  <c r="N842" i="9"/>
  <c r="O842" i="9" s="1"/>
  <c r="N843" i="9"/>
  <c r="O843" i="9" s="1"/>
  <c r="N844" i="9"/>
  <c r="O844" i="9" s="1"/>
  <c r="N845" i="9"/>
  <c r="O845" i="9" s="1"/>
  <c r="N846" i="9"/>
  <c r="O846" i="9" s="1"/>
  <c r="N847" i="9"/>
  <c r="O847" i="9" s="1"/>
  <c r="N848" i="9"/>
  <c r="O848" i="9" s="1"/>
  <c r="N849" i="9"/>
  <c r="O849" i="9" s="1"/>
  <c r="N850" i="9"/>
  <c r="O850" i="9" s="1"/>
  <c r="N851" i="9"/>
  <c r="O851" i="9" s="1"/>
  <c r="N852" i="9"/>
  <c r="O852" i="9" s="1"/>
  <c r="N853" i="9"/>
  <c r="O853" i="9" s="1"/>
  <c r="N854" i="9"/>
  <c r="O854" i="9" s="1"/>
  <c r="N855" i="9"/>
  <c r="O855" i="9" s="1"/>
  <c r="N856" i="9"/>
  <c r="O856" i="9" s="1"/>
  <c r="N857" i="9"/>
  <c r="O857" i="9" s="1"/>
  <c r="N858" i="9"/>
  <c r="O858" i="9" s="1"/>
  <c r="N859" i="9"/>
  <c r="O859" i="9" s="1"/>
  <c r="N860" i="9"/>
  <c r="O860" i="9" s="1"/>
  <c r="N861" i="9"/>
  <c r="O861" i="9" s="1"/>
  <c r="N862" i="9"/>
  <c r="O862" i="9" s="1"/>
  <c r="N863" i="9"/>
  <c r="O863" i="9" s="1"/>
  <c r="N864" i="9"/>
  <c r="O864" i="9" s="1"/>
  <c r="N865" i="9"/>
  <c r="O865" i="9" s="1"/>
  <c r="N866" i="9"/>
  <c r="O866" i="9" s="1"/>
  <c r="N867" i="9"/>
  <c r="O867" i="9" s="1"/>
  <c r="N868" i="9"/>
  <c r="O868" i="9" s="1"/>
  <c r="N869" i="9"/>
  <c r="O869" i="9" s="1"/>
  <c r="N870" i="9"/>
  <c r="O870" i="9" s="1"/>
  <c r="N871" i="9"/>
  <c r="O871" i="9" s="1"/>
  <c r="N872" i="9"/>
  <c r="O872" i="9" s="1"/>
  <c r="N873" i="9"/>
  <c r="O873" i="9" s="1"/>
  <c r="N874" i="9"/>
  <c r="O874" i="9" s="1"/>
  <c r="N875" i="9"/>
  <c r="O875" i="9" s="1"/>
  <c r="N876" i="9"/>
  <c r="O876" i="9" s="1"/>
  <c r="N877" i="9"/>
  <c r="O877" i="9" s="1"/>
  <c r="N878" i="9"/>
  <c r="O878" i="9" s="1"/>
  <c r="N879" i="9"/>
  <c r="O879" i="9" s="1"/>
  <c r="N880" i="9"/>
  <c r="O880" i="9" s="1"/>
  <c r="N881" i="9"/>
  <c r="O881" i="9" s="1"/>
  <c r="N882" i="9"/>
  <c r="O882" i="9" s="1"/>
  <c r="N883" i="9"/>
  <c r="O883" i="9" s="1"/>
  <c r="N884" i="9"/>
  <c r="O884" i="9" s="1"/>
  <c r="N885" i="9"/>
  <c r="O885" i="9" s="1"/>
  <c r="N886" i="9"/>
  <c r="O886" i="9" s="1"/>
  <c r="N887" i="9"/>
  <c r="O887" i="9" s="1"/>
  <c r="N888" i="9"/>
  <c r="O888" i="9" s="1"/>
  <c r="N889" i="9"/>
  <c r="O889" i="9" s="1"/>
  <c r="N890" i="9"/>
  <c r="O890" i="9" s="1"/>
  <c r="N891" i="9"/>
  <c r="O891" i="9" s="1"/>
  <c r="N892" i="9"/>
  <c r="O892" i="9" s="1"/>
  <c r="N893" i="9"/>
  <c r="O893" i="9" s="1"/>
  <c r="N894" i="9"/>
  <c r="O894" i="9" s="1"/>
  <c r="N895" i="9"/>
  <c r="O895" i="9" s="1"/>
  <c r="N896" i="9"/>
  <c r="O896" i="9" s="1"/>
  <c r="N897" i="9"/>
  <c r="O897" i="9" s="1"/>
  <c r="N898" i="9"/>
  <c r="O898" i="9" s="1"/>
  <c r="N899" i="9"/>
  <c r="O899" i="9" s="1"/>
  <c r="N900" i="9"/>
  <c r="O900" i="9" s="1"/>
  <c r="N901" i="9"/>
  <c r="O901" i="9" s="1"/>
  <c r="N902" i="9"/>
  <c r="O902" i="9" s="1"/>
  <c r="N903" i="9"/>
  <c r="O903" i="9" s="1"/>
  <c r="N904" i="9"/>
  <c r="O904" i="9" s="1"/>
  <c r="N905" i="9"/>
  <c r="O905" i="9" s="1"/>
  <c r="N906" i="9"/>
  <c r="O906" i="9" s="1"/>
  <c r="N907" i="9"/>
  <c r="O907" i="9" s="1"/>
  <c r="N908" i="9"/>
  <c r="O908" i="9" s="1"/>
  <c r="N909" i="9"/>
  <c r="O909" i="9" s="1"/>
  <c r="N910" i="9"/>
  <c r="O910" i="9" s="1"/>
  <c r="N911" i="9"/>
  <c r="O911" i="9" s="1"/>
  <c r="N912" i="9"/>
  <c r="O912" i="9" s="1"/>
  <c r="N913" i="9"/>
  <c r="O913" i="9" s="1"/>
  <c r="N914" i="9"/>
  <c r="O914" i="9" s="1"/>
  <c r="N915" i="9"/>
  <c r="O915" i="9" s="1"/>
  <c r="N916" i="9"/>
  <c r="O916" i="9" s="1"/>
  <c r="N917" i="9"/>
  <c r="O917" i="9" s="1"/>
  <c r="N918" i="9"/>
  <c r="O918" i="9" s="1"/>
  <c r="N919" i="9"/>
  <c r="O919" i="9" s="1"/>
  <c r="N920" i="9"/>
  <c r="O920" i="9" s="1"/>
  <c r="N921" i="9"/>
  <c r="O921" i="9" s="1"/>
  <c r="N922" i="9"/>
  <c r="O922" i="9" s="1"/>
  <c r="N923" i="9"/>
  <c r="O923" i="9" s="1"/>
  <c r="N924" i="9"/>
  <c r="O924" i="9" s="1"/>
  <c r="N925" i="9"/>
  <c r="O925" i="9" s="1"/>
  <c r="N926" i="9"/>
  <c r="O926" i="9" s="1"/>
  <c r="N927" i="9"/>
  <c r="O927" i="9" s="1"/>
  <c r="N928" i="9"/>
  <c r="O928" i="9" s="1"/>
  <c r="N929" i="9"/>
  <c r="O929" i="9" s="1"/>
  <c r="N930" i="9"/>
  <c r="O930" i="9" s="1"/>
  <c r="N931" i="9"/>
  <c r="O931" i="9" s="1"/>
  <c r="N932" i="9"/>
  <c r="O932" i="9" s="1"/>
  <c r="N933" i="9"/>
  <c r="O933" i="9" s="1"/>
  <c r="N934" i="9"/>
  <c r="O934" i="9" s="1"/>
  <c r="N935" i="9"/>
  <c r="O935" i="9" s="1"/>
  <c r="N936" i="9"/>
  <c r="O936" i="9" s="1"/>
  <c r="N937" i="9"/>
  <c r="O937" i="9" s="1"/>
  <c r="N938" i="9"/>
  <c r="O938" i="9" s="1"/>
  <c r="N939" i="9"/>
  <c r="O939" i="9" s="1"/>
  <c r="N940" i="9"/>
  <c r="O940" i="9" s="1"/>
  <c r="N941" i="9"/>
  <c r="O941" i="9" s="1"/>
  <c r="N942" i="9"/>
  <c r="O942" i="9" s="1"/>
  <c r="N943" i="9"/>
  <c r="O943" i="9" s="1"/>
  <c r="N944" i="9"/>
  <c r="O944" i="9" s="1"/>
  <c r="N945" i="9"/>
  <c r="O945" i="9" s="1"/>
  <c r="N946" i="9"/>
  <c r="O946" i="9" s="1"/>
  <c r="N947" i="9"/>
  <c r="O947" i="9" s="1"/>
  <c r="N948" i="9"/>
  <c r="O948" i="9" s="1"/>
  <c r="N949" i="9"/>
  <c r="O949" i="9" s="1"/>
  <c r="N950" i="9"/>
  <c r="O950" i="9" s="1"/>
  <c r="N951" i="9"/>
  <c r="O951" i="9" s="1"/>
  <c r="N952" i="9"/>
  <c r="O952" i="9" s="1"/>
  <c r="N953" i="9"/>
  <c r="O953" i="9" s="1"/>
  <c r="N954" i="9"/>
  <c r="O954" i="9" s="1"/>
  <c r="N955" i="9"/>
  <c r="O955" i="9" s="1"/>
  <c r="N956" i="9"/>
  <c r="O956" i="9" s="1"/>
  <c r="N957" i="9"/>
  <c r="O957" i="9" s="1"/>
  <c r="N958" i="9"/>
  <c r="O958" i="9" s="1"/>
  <c r="N959" i="9"/>
  <c r="O959" i="9" s="1"/>
  <c r="N960" i="9"/>
  <c r="O960" i="9" s="1"/>
  <c r="N961" i="9"/>
  <c r="O961" i="9" s="1"/>
  <c r="N962" i="9"/>
  <c r="O962" i="9" s="1"/>
  <c r="N963" i="9"/>
  <c r="O963" i="9" s="1"/>
  <c r="N964" i="9"/>
  <c r="O964" i="9" s="1"/>
  <c r="N965" i="9"/>
  <c r="O965" i="9" s="1"/>
  <c r="N966" i="9"/>
  <c r="O966" i="9" s="1"/>
  <c r="N967" i="9"/>
  <c r="O967" i="9" s="1"/>
  <c r="N968" i="9"/>
  <c r="O968" i="9" s="1"/>
  <c r="N969" i="9"/>
  <c r="O969" i="9" s="1"/>
  <c r="N970" i="9"/>
  <c r="O970" i="9" s="1"/>
  <c r="N971" i="9"/>
  <c r="O971" i="9" s="1"/>
  <c r="N972" i="9"/>
  <c r="O972" i="9" s="1"/>
  <c r="N973" i="9"/>
  <c r="O973" i="9" s="1"/>
  <c r="N974" i="9"/>
  <c r="O974" i="9" s="1"/>
  <c r="N975" i="9"/>
  <c r="O975" i="9" s="1"/>
  <c r="N976" i="9"/>
  <c r="O976" i="9" s="1"/>
  <c r="N977" i="9"/>
  <c r="O977" i="9" s="1"/>
  <c r="N978" i="9"/>
  <c r="O978" i="9" s="1"/>
  <c r="N979" i="9"/>
  <c r="O979" i="9" s="1"/>
  <c r="N980" i="9"/>
  <c r="O980" i="9" s="1"/>
  <c r="N981" i="9"/>
  <c r="O981" i="9" s="1"/>
  <c r="N982" i="9"/>
  <c r="O982" i="9" s="1"/>
  <c r="N983" i="9"/>
  <c r="O983" i="9" s="1"/>
  <c r="N984" i="9"/>
  <c r="O984" i="9" s="1"/>
  <c r="N985" i="9"/>
  <c r="O985" i="9" s="1"/>
  <c r="N986" i="9"/>
  <c r="O986" i="9" s="1"/>
  <c r="N987" i="9"/>
  <c r="O987" i="9" s="1"/>
  <c r="N988" i="9"/>
  <c r="O988" i="9" s="1"/>
  <c r="N989" i="9"/>
  <c r="O989" i="9" s="1"/>
  <c r="N990" i="9"/>
  <c r="O990" i="9" s="1"/>
  <c r="N991" i="9"/>
  <c r="O991" i="9" s="1"/>
  <c r="N992" i="9"/>
  <c r="O992" i="9" s="1"/>
  <c r="N993" i="9"/>
  <c r="O993" i="9" s="1"/>
  <c r="N994" i="9"/>
  <c r="O994" i="9" s="1"/>
  <c r="N995" i="9"/>
  <c r="O995" i="9" s="1"/>
  <c r="N996" i="9"/>
  <c r="O996" i="9" s="1"/>
  <c r="N997" i="9"/>
  <c r="O997" i="9" s="1"/>
  <c r="N998" i="9"/>
  <c r="O998" i="9" s="1"/>
  <c r="N999" i="9"/>
  <c r="O999" i="9" s="1"/>
  <c r="N1000" i="9"/>
  <c r="O1000" i="9" s="1"/>
  <c r="N405" i="9"/>
  <c r="O405" i="9" s="1"/>
  <c r="N406" i="9"/>
  <c r="O406" i="9" s="1"/>
  <c r="N407" i="9"/>
  <c r="O407" i="9" s="1"/>
  <c r="N408" i="9"/>
  <c r="O408" i="9" s="1"/>
  <c r="N409" i="9"/>
  <c r="O409" i="9" s="1"/>
  <c r="N410" i="9"/>
  <c r="O410" i="9" s="1"/>
  <c r="N411" i="9"/>
  <c r="O411" i="9" s="1"/>
  <c r="N412" i="9"/>
  <c r="O412" i="9" s="1"/>
  <c r="N413" i="9"/>
  <c r="O413" i="9" s="1"/>
  <c r="N414" i="9"/>
  <c r="O414" i="9" s="1"/>
  <c r="N415" i="9"/>
  <c r="O415" i="9" s="1"/>
  <c r="N416" i="9"/>
  <c r="O416" i="9" s="1"/>
  <c r="N417" i="9"/>
  <c r="O417" i="9" s="1"/>
  <c r="N418" i="9"/>
  <c r="O418" i="9" s="1"/>
  <c r="N419" i="9"/>
  <c r="O419" i="9" s="1"/>
  <c r="N420" i="9"/>
  <c r="O420" i="9" s="1"/>
  <c r="N421" i="9"/>
  <c r="O421" i="9" s="1"/>
  <c r="N422" i="9"/>
  <c r="O422" i="9" s="1"/>
  <c r="N423" i="9"/>
  <c r="O423" i="9" s="1"/>
  <c r="N424" i="9"/>
  <c r="O424" i="9" s="1"/>
  <c r="N425" i="9"/>
  <c r="O425" i="9" s="1"/>
  <c r="N426" i="9"/>
  <c r="O426" i="9" s="1"/>
  <c r="N427" i="9"/>
  <c r="O427" i="9" s="1"/>
  <c r="N428" i="9"/>
  <c r="O428" i="9" s="1"/>
  <c r="N429" i="9"/>
  <c r="O429" i="9" s="1"/>
  <c r="N430" i="9"/>
  <c r="O430" i="9" s="1"/>
  <c r="N431" i="9"/>
  <c r="O431" i="9" s="1"/>
  <c r="N432" i="9"/>
  <c r="O432" i="9" s="1"/>
  <c r="N433" i="9"/>
  <c r="O433" i="9" s="1"/>
  <c r="R2" i="9" l="1"/>
  <c r="N400" i="9"/>
  <c r="N401" i="9"/>
  <c r="N402" i="9"/>
  <c r="O402" i="9" s="1"/>
  <c r="N403" i="9"/>
  <c r="O403" i="9" s="1"/>
  <c r="N404" i="9"/>
  <c r="N3" i="9"/>
  <c r="O3" i="9" s="1"/>
  <c r="N4" i="9"/>
  <c r="O4" i="9" s="1"/>
  <c r="N5" i="9"/>
  <c r="N6" i="9"/>
  <c r="O6" i="9" s="1"/>
  <c r="N7" i="9"/>
  <c r="O7" i="9" s="1"/>
  <c r="N8" i="9"/>
  <c r="N9" i="9"/>
  <c r="O9" i="9" s="1"/>
  <c r="N10" i="9"/>
  <c r="O10" i="9" s="1"/>
  <c r="N11" i="9"/>
  <c r="N12" i="9"/>
  <c r="O12" i="9" s="1"/>
  <c r="N13" i="9"/>
  <c r="O13" i="9" s="1"/>
  <c r="N14" i="9"/>
  <c r="N15" i="9"/>
  <c r="N16" i="9"/>
  <c r="N17" i="9"/>
  <c r="N18" i="9"/>
  <c r="N19" i="9"/>
  <c r="N20" i="9"/>
  <c r="N21" i="9"/>
  <c r="N22" i="9"/>
  <c r="N23" i="9"/>
  <c r="N24" i="9"/>
  <c r="N25" i="9"/>
  <c r="N26" i="9"/>
  <c r="N27" i="9"/>
  <c r="N28" i="9"/>
  <c r="N29" i="9"/>
  <c r="N30" i="9"/>
  <c r="N31" i="9"/>
  <c r="N32" i="9"/>
  <c r="N33" i="9"/>
  <c r="N34" i="9"/>
  <c r="N35" i="9"/>
  <c r="N36" i="9"/>
  <c r="N37" i="9"/>
  <c r="N38" i="9"/>
  <c r="O38" i="9" s="1"/>
  <c r="N39" i="9"/>
  <c r="O39" i="9" s="1"/>
  <c r="N40" i="9"/>
  <c r="O40" i="9" s="1"/>
  <c r="N41" i="9"/>
  <c r="O41" i="9" s="1"/>
  <c r="N42" i="9"/>
  <c r="O42" i="9" s="1"/>
  <c r="N43" i="9"/>
  <c r="O43" i="9" s="1"/>
  <c r="N44" i="9"/>
  <c r="O44" i="9" s="1"/>
  <c r="N45" i="9"/>
  <c r="O45" i="9" s="1"/>
  <c r="N46" i="9"/>
  <c r="O46" i="9" s="1"/>
  <c r="N47" i="9"/>
  <c r="O47" i="9" s="1"/>
  <c r="N48" i="9"/>
  <c r="O48" i="9" s="1"/>
  <c r="N49" i="9"/>
  <c r="O49" i="9" s="1"/>
  <c r="N50" i="9"/>
  <c r="O50" i="9" s="1"/>
  <c r="N51" i="9"/>
  <c r="O51" i="9" s="1"/>
  <c r="N52" i="9"/>
  <c r="O52" i="9" s="1"/>
  <c r="N53" i="9"/>
  <c r="O53" i="9" s="1"/>
  <c r="N54" i="9"/>
  <c r="O54" i="9" s="1"/>
  <c r="N55" i="9"/>
  <c r="O55" i="9" s="1"/>
  <c r="N56" i="9"/>
  <c r="O56" i="9" s="1"/>
  <c r="N57" i="9"/>
  <c r="O57" i="9" s="1"/>
  <c r="N58" i="9"/>
  <c r="O58" i="9" s="1"/>
  <c r="N59" i="9"/>
  <c r="O59" i="9" s="1"/>
  <c r="N60" i="9"/>
  <c r="O60" i="9" s="1"/>
  <c r="N61" i="9"/>
  <c r="O61" i="9" s="1"/>
  <c r="N62" i="9"/>
  <c r="O62" i="9" s="1"/>
  <c r="N63" i="9"/>
  <c r="O63" i="9" s="1"/>
  <c r="N64" i="9"/>
  <c r="O64" i="9" s="1"/>
  <c r="N65" i="9"/>
  <c r="O65" i="9" s="1"/>
  <c r="N66" i="9"/>
  <c r="O66" i="9" s="1"/>
  <c r="N67" i="9"/>
  <c r="O67" i="9" s="1"/>
  <c r="N68" i="9"/>
  <c r="O68" i="9" s="1"/>
  <c r="N69" i="9"/>
  <c r="O69" i="9" s="1"/>
  <c r="N70" i="9"/>
  <c r="O70" i="9" s="1"/>
  <c r="N71" i="9"/>
  <c r="O71" i="9" s="1"/>
  <c r="N72" i="9"/>
  <c r="O72" i="9" s="1"/>
  <c r="N73" i="9"/>
  <c r="O73" i="9" s="1"/>
  <c r="N74" i="9"/>
  <c r="O74" i="9" s="1"/>
  <c r="N75" i="9"/>
  <c r="O75" i="9" s="1"/>
  <c r="N76" i="9"/>
  <c r="O76" i="9" s="1"/>
  <c r="N77" i="9"/>
  <c r="O77" i="9" s="1"/>
  <c r="N78" i="9"/>
  <c r="O78" i="9" s="1"/>
  <c r="N79" i="9"/>
  <c r="O79" i="9" s="1"/>
  <c r="N80" i="9"/>
  <c r="O80" i="9" s="1"/>
  <c r="N81" i="9"/>
  <c r="O81" i="9" s="1"/>
  <c r="N82" i="9"/>
  <c r="O82" i="9" s="1"/>
  <c r="N83" i="9"/>
  <c r="O83" i="9" s="1"/>
  <c r="N84" i="9"/>
  <c r="O84" i="9" s="1"/>
  <c r="N85" i="9"/>
  <c r="O85" i="9" s="1"/>
  <c r="N86" i="9"/>
  <c r="O86" i="9" s="1"/>
  <c r="N87" i="9"/>
  <c r="O87" i="9" s="1"/>
  <c r="N88" i="9"/>
  <c r="O88" i="9" s="1"/>
  <c r="N89" i="9"/>
  <c r="O89" i="9" s="1"/>
  <c r="N90" i="9"/>
  <c r="O90" i="9" s="1"/>
  <c r="N91" i="9"/>
  <c r="O91" i="9" s="1"/>
  <c r="N92" i="9"/>
  <c r="O92" i="9" s="1"/>
  <c r="N93" i="9"/>
  <c r="O93" i="9" s="1"/>
  <c r="N94" i="9"/>
  <c r="O94" i="9" s="1"/>
  <c r="N95" i="9"/>
  <c r="O95" i="9" s="1"/>
  <c r="N96" i="9"/>
  <c r="O96" i="9" s="1"/>
  <c r="N97" i="9"/>
  <c r="O97" i="9" s="1"/>
  <c r="N98" i="9"/>
  <c r="O98" i="9" s="1"/>
  <c r="N99" i="9"/>
  <c r="O99" i="9" s="1"/>
  <c r="N100" i="9"/>
  <c r="O100" i="9" s="1"/>
  <c r="N101" i="9"/>
  <c r="O101" i="9" s="1"/>
  <c r="N102" i="9"/>
  <c r="O102" i="9" s="1"/>
  <c r="N103" i="9"/>
  <c r="O103" i="9" s="1"/>
  <c r="N104" i="9"/>
  <c r="O104" i="9" s="1"/>
  <c r="N105" i="9"/>
  <c r="O105" i="9" s="1"/>
  <c r="N106" i="9"/>
  <c r="O106" i="9" s="1"/>
  <c r="N107" i="9"/>
  <c r="O107" i="9" s="1"/>
  <c r="N108" i="9"/>
  <c r="O108" i="9" s="1"/>
  <c r="N109" i="9"/>
  <c r="O109" i="9" s="1"/>
  <c r="N110" i="9"/>
  <c r="N111" i="9"/>
  <c r="N112" i="9"/>
  <c r="N113" i="9"/>
  <c r="N114" i="9"/>
  <c r="N115" i="9"/>
  <c r="N116" i="9"/>
  <c r="N117" i="9"/>
  <c r="N118" i="9"/>
  <c r="N119" i="9"/>
  <c r="N120" i="9"/>
  <c r="N121" i="9"/>
  <c r="N122" i="9"/>
  <c r="O122" i="9" s="1"/>
  <c r="N123" i="9"/>
  <c r="O123" i="9" s="1"/>
  <c r="N124" i="9"/>
  <c r="O124" i="9" s="1"/>
  <c r="N125" i="9"/>
  <c r="O125" i="9" s="1"/>
  <c r="N126" i="9"/>
  <c r="O126" i="9" s="1"/>
  <c r="N127" i="9"/>
  <c r="O127" i="9" s="1"/>
  <c r="N128" i="9"/>
  <c r="O128" i="9" s="1"/>
  <c r="N129" i="9"/>
  <c r="O129" i="9" s="1"/>
  <c r="N130" i="9"/>
  <c r="O130" i="9" s="1"/>
  <c r="N131" i="9"/>
  <c r="O131" i="9" s="1"/>
  <c r="N132" i="9"/>
  <c r="O132" i="9" s="1"/>
  <c r="N133" i="9"/>
  <c r="O133" i="9" s="1"/>
  <c r="N134" i="9"/>
  <c r="O134" i="9" s="1"/>
  <c r="N135" i="9"/>
  <c r="O135" i="9" s="1"/>
  <c r="N136" i="9"/>
  <c r="O136" i="9" s="1"/>
  <c r="N137" i="9"/>
  <c r="O137" i="9" s="1"/>
  <c r="N138" i="9"/>
  <c r="O138" i="9" s="1"/>
  <c r="N139" i="9"/>
  <c r="O139" i="9" s="1"/>
  <c r="N140" i="9"/>
  <c r="O140" i="9" s="1"/>
  <c r="N141" i="9"/>
  <c r="O141" i="9" s="1"/>
  <c r="N142" i="9"/>
  <c r="O142" i="9" s="1"/>
  <c r="N143" i="9"/>
  <c r="O143" i="9" s="1"/>
  <c r="N144" i="9"/>
  <c r="O144" i="9" s="1"/>
  <c r="N145" i="9"/>
  <c r="O145" i="9" s="1"/>
  <c r="N146" i="9"/>
  <c r="N147" i="9"/>
  <c r="N148" i="9"/>
  <c r="N149" i="9"/>
  <c r="N150" i="9"/>
  <c r="N151" i="9"/>
  <c r="N152" i="9"/>
  <c r="N153" i="9"/>
  <c r="N154" i="9"/>
  <c r="N155" i="9"/>
  <c r="N156" i="9"/>
  <c r="O156" i="9" s="1"/>
  <c r="N157" i="9"/>
  <c r="O157" i="9" s="1"/>
  <c r="N158" i="9"/>
  <c r="O158" i="9" s="1"/>
  <c r="N159" i="9"/>
  <c r="O159" i="9" s="1"/>
  <c r="N160" i="9"/>
  <c r="O160" i="9" s="1"/>
  <c r="N161" i="9"/>
  <c r="O161" i="9" s="1"/>
  <c r="N162" i="9"/>
  <c r="O162" i="9" s="1"/>
  <c r="N163" i="9"/>
  <c r="O163" i="9" s="1"/>
  <c r="N164" i="9"/>
  <c r="O164" i="9" s="1"/>
  <c r="N165" i="9"/>
  <c r="O165" i="9" s="1"/>
  <c r="N166" i="9"/>
  <c r="O166" i="9" s="1"/>
  <c r="N167" i="9"/>
  <c r="O167" i="9" s="1"/>
  <c r="N168" i="9"/>
  <c r="O168" i="9" s="1"/>
  <c r="N169" i="9"/>
  <c r="O169" i="9" s="1"/>
  <c r="N170" i="9"/>
  <c r="O170" i="9" s="1"/>
  <c r="N171" i="9"/>
  <c r="O171" i="9" s="1"/>
  <c r="N172" i="9"/>
  <c r="O172" i="9" s="1"/>
  <c r="N173" i="9"/>
  <c r="O173" i="9" s="1"/>
  <c r="N174" i="9"/>
  <c r="O174" i="9" s="1"/>
  <c r="N175" i="9"/>
  <c r="O175" i="9" s="1"/>
  <c r="N176" i="9"/>
  <c r="O176" i="9" s="1"/>
  <c r="N177" i="9"/>
  <c r="O177" i="9" s="1"/>
  <c r="N178" i="9"/>
  <c r="O178" i="9" s="1"/>
  <c r="N179" i="9"/>
  <c r="O179" i="9" s="1"/>
  <c r="N180" i="9"/>
  <c r="O180" i="9" s="1"/>
  <c r="N181" i="9"/>
  <c r="O181" i="9" s="1"/>
  <c r="N182" i="9"/>
  <c r="N183" i="9"/>
  <c r="O183" i="9" s="1"/>
  <c r="N184" i="9"/>
  <c r="O184" i="9" s="1"/>
  <c r="N185" i="9"/>
  <c r="N186" i="9"/>
  <c r="O186" i="9" s="1"/>
  <c r="N187" i="9"/>
  <c r="O187" i="9" s="1"/>
  <c r="N188" i="9"/>
  <c r="N189" i="9"/>
  <c r="O189" i="9" s="1"/>
  <c r="N190" i="9"/>
  <c r="O190" i="9" s="1"/>
  <c r="N191" i="9"/>
  <c r="N192" i="9"/>
  <c r="O192" i="9" s="1"/>
  <c r="N193" i="9"/>
  <c r="O193" i="9" s="1"/>
  <c r="N194" i="9"/>
  <c r="O194" i="9" s="1"/>
  <c r="N195" i="9"/>
  <c r="O195" i="9" s="1"/>
  <c r="N196" i="9"/>
  <c r="O196" i="9" s="1"/>
  <c r="N197" i="9"/>
  <c r="O197" i="9" s="1"/>
  <c r="N198" i="9"/>
  <c r="O198" i="9" s="1"/>
  <c r="N199" i="9"/>
  <c r="O199" i="9" s="1"/>
  <c r="N200" i="9"/>
  <c r="O200" i="9" s="1"/>
  <c r="N201" i="9"/>
  <c r="O201" i="9" s="1"/>
  <c r="N202" i="9"/>
  <c r="O202" i="9" s="1"/>
  <c r="N203" i="9"/>
  <c r="O203" i="9" s="1"/>
  <c r="N204" i="9"/>
  <c r="O204" i="9" s="1"/>
  <c r="N205" i="9"/>
  <c r="O205" i="9" s="1"/>
  <c r="N206" i="9"/>
  <c r="O206" i="9" s="1"/>
  <c r="N207" i="9"/>
  <c r="O207" i="9" s="1"/>
  <c r="N208" i="9"/>
  <c r="O208" i="9" s="1"/>
  <c r="N209" i="9"/>
  <c r="O209" i="9" s="1"/>
  <c r="N210" i="9"/>
  <c r="O210" i="9" s="1"/>
  <c r="N211" i="9"/>
  <c r="O211" i="9" s="1"/>
  <c r="N212" i="9"/>
  <c r="O212" i="9" s="1"/>
  <c r="N213" i="9"/>
  <c r="O213" i="9" s="1"/>
  <c r="N214" i="9"/>
  <c r="O214" i="9" s="1"/>
  <c r="N215" i="9"/>
  <c r="O215" i="9" s="1"/>
  <c r="N216" i="9"/>
  <c r="O216" i="9" s="1"/>
  <c r="N217" i="9"/>
  <c r="O217" i="9" s="1"/>
  <c r="N218" i="9"/>
  <c r="N219" i="9"/>
  <c r="N220" i="9"/>
  <c r="N221" i="9"/>
  <c r="N222" i="9"/>
  <c r="O222" i="9" s="1"/>
  <c r="N223" i="9"/>
  <c r="O223" i="9" s="1"/>
  <c r="N224" i="9"/>
  <c r="N225" i="9"/>
  <c r="N226" i="9"/>
  <c r="N227" i="9"/>
  <c r="N228" i="9"/>
  <c r="O228" i="9" s="1"/>
  <c r="N229" i="9"/>
  <c r="O229" i="9" s="1"/>
  <c r="N230" i="9"/>
  <c r="O230" i="9" s="1"/>
  <c r="N231" i="9"/>
  <c r="O231" i="9" s="1"/>
  <c r="N232" i="9"/>
  <c r="O232" i="9" s="1"/>
  <c r="N233" i="9"/>
  <c r="O233" i="9" s="1"/>
  <c r="N234" i="9"/>
  <c r="O234" i="9" s="1"/>
  <c r="N235" i="9"/>
  <c r="O235" i="9" s="1"/>
  <c r="N236" i="9"/>
  <c r="O236" i="9" s="1"/>
  <c r="N237" i="9"/>
  <c r="O237" i="9" s="1"/>
  <c r="N238" i="9"/>
  <c r="O238" i="9" s="1"/>
  <c r="N239" i="9"/>
  <c r="O239" i="9" s="1"/>
  <c r="N240" i="9"/>
  <c r="O240" i="9" s="1"/>
  <c r="N241" i="9"/>
  <c r="O241" i="9" s="1"/>
  <c r="N242" i="9"/>
  <c r="O242" i="9" s="1"/>
  <c r="N243" i="9"/>
  <c r="O243" i="9" s="1"/>
  <c r="N244" i="9"/>
  <c r="O244" i="9" s="1"/>
  <c r="N245" i="9"/>
  <c r="O245" i="9" s="1"/>
  <c r="N246" i="9"/>
  <c r="O246" i="9" s="1"/>
  <c r="N247" i="9"/>
  <c r="O247" i="9" s="1"/>
  <c r="N248" i="9"/>
  <c r="O248" i="9" s="1"/>
  <c r="N249" i="9"/>
  <c r="O249" i="9" s="1"/>
  <c r="N250" i="9"/>
  <c r="O250" i="9" s="1"/>
  <c r="N251" i="9"/>
  <c r="O251" i="9" s="1"/>
  <c r="N252" i="9"/>
  <c r="O252" i="9" s="1"/>
  <c r="N253" i="9"/>
  <c r="O253" i="9" s="1"/>
  <c r="N254" i="9"/>
  <c r="N255" i="9"/>
  <c r="O255" i="9" s="1"/>
  <c r="N256" i="9"/>
  <c r="N257" i="9"/>
  <c r="N258" i="9"/>
  <c r="N259" i="9"/>
  <c r="N260" i="9"/>
  <c r="N261" i="9"/>
  <c r="O261" i="9" s="1"/>
  <c r="N262" i="9"/>
  <c r="O262" i="9" s="1"/>
  <c r="N263" i="9"/>
  <c r="N264" i="9"/>
  <c r="N265" i="9"/>
  <c r="N266" i="9"/>
  <c r="O266" i="9" s="1"/>
  <c r="N267" i="9"/>
  <c r="O267" i="9" s="1"/>
  <c r="N268" i="9"/>
  <c r="O268" i="9" s="1"/>
  <c r="N269" i="9"/>
  <c r="O269" i="9" s="1"/>
  <c r="N270" i="9"/>
  <c r="O270" i="9" s="1"/>
  <c r="N271" i="9"/>
  <c r="O271" i="9" s="1"/>
  <c r="N272" i="9"/>
  <c r="O272" i="9" s="1"/>
  <c r="N273" i="9"/>
  <c r="O273" i="9" s="1"/>
  <c r="N274" i="9"/>
  <c r="O274" i="9" s="1"/>
  <c r="N275" i="9"/>
  <c r="O275" i="9" s="1"/>
  <c r="N276" i="9"/>
  <c r="O276" i="9" s="1"/>
  <c r="N277" i="9"/>
  <c r="O277" i="9" s="1"/>
  <c r="N278" i="9"/>
  <c r="O278" i="9" s="1"/>
  <c r="N279" i="9"/>
  <c r="O279" i="9" s="1"/>
  <c r="N280" i="9"/>
  <c r="O280" i="9" s="1"/>
  <c r="N281" i="9"/>
  <c r="O281" i="9" s="1"/>
  <c r="N282" i="9"/>
  <c r="O282" i="9" s="1"/>
  <c r="N283" i="9"/>
  <c r="O283" i="9" s="1"/>
  <c r="N284" i="9"/>
  <c r="O284" i="9" s="1"/>
  <c r="N285" i="9"/>
  <c r="O285" i="9" s="1"/>
  <c r="N286" i="9"/>
  <c r="O286" i="9" s="1"/>
  <c r="N287" i="9"/>
  <c r="O287" i="9" s="1"/>
  <c r="N288" i="9"/>
  <c r="O288" i="9" s="1"/>
  <c r="N289" i="9"/>
  <c r="O289" i="9" s="1"/>
  <c r="N290" i="9"/>
  <c r="N291" i="9"/>
  <c r="O291" i="9" s="1"/>
  <c r="N292" i="9"/>
  <c r="O292" i="9" s="1"/>
  <c r="N293" i="9"/>
  <c r="N294" i="9"/>
  <c r="O294" i="9" s="1"/>
  <c r="N295" i="9"/>
  <c r="N296" i="9"/>
  <c r="N297" i="9"/>
  <c r="O297" i="9" s="1"/>
  <c r="N298" i="9"/>
  <c r="O298" i="9" s="1"/>
  <c r="N299" i="9"/>
  <c r="N300" i="9"/>
  <c r="N301" i="9"/>
  <c r="N302" i="9"/>
  <c r="O302" i="9" s="1"/>
  <c r="N303" i="9"/>
  <c r="O303" i="9" s="1"/>
  <c r="N304" i="9"/>
  <c r="O304" i="9" s="1"/>
  <c r="N305" i="9"/>
  <c r="O305" i="9" s="1"/>
  <c r="N306" i="9"/>
  <c r="O306" i="9" s="1"/>
  <c r="N307" i="9"/>
  <c r="O307" i="9" s="1"/>
  <c r="N308" i="9"/>
  <c r="O308" i="9" s="1"/>
  <c r="N309" i="9"/>
  <c r="O309" i="9" s="1"/>
  <c r="N310" i="9"/>
  <c r="O310" i="9" s="1"/>
  <c r="N311" i="9"/>
  <c r="O311" i="9" s="1"/>
  <c r="N312" i="9"/>
  <c r="O312" i="9" s="1"/>
  <c r="N313" i="9"/>
  <c r="O313" i="9" s="1"/>
  <c r="N314" i="9"/>
  <c r="O314" i="9" s="1"/>
  <c r="N315" i="9"/>
  <c r="O315" i="9" s="1"/>
  <c r="N316" i="9"/>
  <c r="O316" i="9" s="1"/>
  <c r="N317" i="9"/>
  <c r="O317" i="9" s="1"/>
  <c r="N318" i="9"/>
  <c r="O318" i="9" s="1"/>
  <c r="N319" i="9"/>
  <c r="O319" i="9" s="1"/>
  <c r="N320" i="9"/>
  <c r="O320" i="9" s="1"/>
  <c r="N321" i="9"/>
  <c r="O321" i="9" s="1"/>
  <c r="N322" i="9"/>
  <c r="O322" i="9" s="1"/>
  <c r="N323" i="9"/>
  <c r="O323" i="9" s="1"/>
  <c r="N324" i="9"/>
  <c r="O324" i="9" s="1"/>
  <c r="N325" i="9"/>
  <c r="O325" i="9" s="1"/>
  <c r="N326" i="9"/>
  <c r="N327" i="9"/>
  <c r="N328" i="9"/>
  <c r="N329" i="9"/>
  <c r="N330" i="9"/>
  <c r="O330" i="9" s="1"/>
  <c r="N331" i="9"/>
  <c r="O331" i="9" s="1"/>
  <c r="N332" i="9"/>
  <c r="N333" i="9"/>
  <c r="N334" i="9"/>
  <c r="O334" i="9" s="1"/>
  <c r="N335" i="9"/>
  <c r="N336" i="9"/>
  <c r="O336" i="9" s="1"/>
  <c r="N337" i="9"/>
  <c r="N338" i="9"/>
  <c r="O338" i="9" s="1"/>
  <c r="N339" i="9"/>
  <c r="O339" i="9" s="1"/>
  <c r="N340" i="9"/>
  <c r="O340" i="9" s="1"/>
  <c r="N341" i="9"/>
  <c r="O341" i="9" s="1"/>
  <c r="N342" i="9"/>
  <c r="O342" i="9" s="1"/>
  <c r="N343" i="9"/>
  <c r="O343" i="9" s="1"/>
  <c r="N344" i="9"/>
  <c r="O344" i="9" s="1"/>
  <c r="N345" i="9"/>
  <c r="O345" i="9" s="1"/>
  <c r="N346" i="9"/>
  <c r="O346" i="9" s="1"/>
  <c r="N347" i="9"/>
  <c r="O347" i="9" s="1"/>
  <c r="N348" i="9"/>
  <c r="O348" i="9" s="1"/>
  <c r="N349" i="9"/>
  <c r="O349" i="9" s="1"/>
  <c r="N350" i="9"/>
  <c r="O350" i="9" s="1"/>
  <c r="N351" i="9"/>
  <c r="O351" i="9" s="1"/>
  <c r="N352" i="9"/>
  <c r="O352" i="9" s="1"/>
  <c r="N353" i="9"/>
  <c r="O353" i="9" s="1"/>
  <c r="N354" i="9"/>
  <c r="O354" i="9" s="1"/>
  <c r="N355" i="9"/>
  <c r="O355" i="9" s="1"/>
  <c r="N356" i="9"/>
  <c r="O356" i="9" s="1"/>
  <c r="N357" i="9"/>
  <c r="O357" i="9" s="1"/>
  <c r="N358" i="9"/>
  <c r="O358" i="9" s="1"/>
  <c r="N359" i="9"/>
  <c r="O359" i="9" s="1"/>
  <c r="N360" i="9"/>
  <c r="O360" i="9" s="1"/>
  <c r="N361" i="9"/>
  <c r="O361" i="9" s="1"/>
  <c r="N362" i="9"/>
  <c r="N363" i="9"/>
  <c r="O363" i="9" s="1"/>
  <c r="N364" i="9"/>
  <c r="O364" i="9" s="1"/>
  <c r="N365" i="9"/>
  <c r="N366" i="9"/>
  <c r="O366" i="9" s="1"/>
  <c r="N367" i="9"/>
  <c r="N368" i="9"/>
  <c r="N369" i="9"/>
  <c r="N370" i="9"/>
  <c r="N371" i="9"/>
  <c r="N372" i="9"/>
  <c r="O372" i="9" s="1"/>
  <c r="N373" i="9"/>
  <c r="N374" i="9"/>
  <c r="O374" i="9" s="1"/>
  <c r="N375" i="9"/>
  <c r="O375" i="9" s="1"/>
  <c r="N376" i="9"/>
  <c r="O376" i="9" s="1"/>
  <c r="N377" i="9"/>
  <c r="O377" i="9" s="1"/>
  <c r="N378" i="9"/>
  <c r="O378" i="9" s="1"/>
  <c r="N379" i="9"/>
  <c r="O379" i="9" s="1"/>
  <c r="N380" i="9"/>
  <c r="O380" i="9" s="1"/>
  <c r="N381" i="9"/>
  <c r="O381" i="9" s="1"/>
  <c r="N382" i="9"/>
  <c r="O382" i="9" s="1"/>
  <c r="N383" i="9"/>
  <c r="O383" i="9" s="1"/>
  <c r="N384" i="9"/>
  <c r="O384" i="9" s="1"/>
  <c r="N385" i="9"/>
  <c r="O385" i="9" s="1"/>
  <c r="N386" i="9"/>
  <c r="O386" i="9" s="1"/>
  <c r="N387" i="9"/>
  <c r="O387" i="9" s="1"/>
  <c r="N388" i="9"/>
  <c r="O388" i="9" s="1"/>
  <c r="N389" i="9"/>
  <c r="O389" i="9" s="1"/>
  <c r="N390" i="9"/>
  <c r="O390" i="9" s="1"/>
  <c r="N391" i="9"/>
  <c r="O391" i="9" s="1"/>
  <c r="N392" i="9"/>
  <c r="O392" i="9" s="1"/>
  <c r="N393" i="9"/>
  <c r="O393" i="9" s="1"/>
  <c r="N394" i="9"/>
  <c r="O394" i="9" s="1"/>
  <c r="N395" i="9"/>
  <c r="O395" i="9" s="1"/>
  <c r="N396" i="9"/>
  <c r="O396" i="9" s="1"/>
  <c r="N397" i="9"/>
  <c r="O397" i="9" s="1"/>
  <c r="N398" i="9"/>
  <c r="N399" i="9"/>
  <c r="O117" i="9" l="1"/>
  <c r="O369" i="9"/>
  <c r="O337" i="9"/>
  <c r="O329" i="9"/>
  <c r="O301" i="9"/>
  <c r="O365" i="9"/>
  <c r="O333" i="9"/>
  <c r="O293" i="9"/>
  <c r="O260" i="9"/>
  <c r="O224" i="9"/>
  <c r="O367" i="9"/>
  <c r="O335" i="9"/>
  <c r="O327" i="9"/>
  <c r="O299" i="9"/>
  <c r="O256" i="9"/>
  <c r="O257" i="9"/>
  <c r="O254" i="9"/>
  <c r="O227" i="9"/>
  <c r="O220" i="9"/>
  <c r="O188" i="9"/>
  <c r="O152" i="9"/>
  <c r="O148" i="9"/>
  <c r="O120" i="9"/>
  <c r="O113" i="9"/>
  <c r="O110" i="9"/>
  <c r="O404" i="9"/>
  <c r="O400" i="9"/>
  <c r="O399" i="9"/>
  <c r="O373" i="9"/>
  <c r="O371" i="9"/>
  <c r="O296" i="9"/>
  <c r="O290" i="9"/>
  <c r="O263" i="9"/>
  <c r="O226" i="9"/>
  <c r="O219" i="9"/>
  <c r="O191" i="9"/>
  <c r="O155" i="9"/>
  <c r="O151" i="9"/>
  <c r="O147" i="9"/>
  <c r="O119" i="9"/>
  <c r="O116" i="9"/>
  <c r="O295" i="9"/>
  <c r="O265" i="9"/>
  <c r="O259" i="9"/>
  <c r="O225" i="9"/>
  <c r="O218" i="9"/>
  <c r="O182" i="9"/>
  <c r="O154" i="9"/>
  <c r="O150" i="9"/>
  <c r="O146" i="9"/>
  <c r="O121" i="9"/>
  <c r="O118" i="9"/>
  <c r="O115" i="9"/>
  <c r="O112" i="9"/>
  <c r="O398" i="9"/>
  <c r="O370" i="9"/>
  <c r="O368" i="9"/>
  <c r="O362" i="9"/>
  <c r="O332" i="9"/>
  <c r="O328" i="9"/>
  <c r="O326" i="9"/>
  <c r="O300" i="9"/>
  <c r="O264" i="9"/>
  <c r="O258" i="9"/>
  <c r="O221" i="9"/>
  <c r="O185" i="9"/>
  <c r="O153" i="9"/>
  <c r="O149" i="9"/>
  <c r="O114" i="9"/>
  <c r="O111" i="9"/>
  <c r="O401" i="9"/>
  <c r="O35" i="9"/>
  <c r="O15" i="9"/>
  <c r="O34" i="9"/>
  <c r="O30" i="9"/>
  <c r="O26" i="9"/>
  <c r="O22" i="9"/>
  <c r="O18" i="9"/>
  <c r="O14" i="9"/>
  <c r="O27" i="9"/>
  <c r="O19" i="9"/>
  <c r="O37" i="9"/>
  <c r="O33" i="9"/>
  <c r="O29" i="9"/>
  <c r="O25" i="9"/>
  <c r="O21" i="9"/>
  <c r="O17" i="9"/>
  <c r="O31" i="9"/>
  <c r="O23" i="9"/>
  <c r="O36" i="9"/>
  <c r="O32" i="9"/>
  <c r="O28" i="9"/>
  <c r="O24" i="9"/>
  <c r="O20" i="9"/>
  <c r="O16" i="9"/>
  <c r="O5" i="9"/>
  <c r="O8" i="9"/>
  <c r="O11" i="9"/>
  <c r="F136" i="7" l="1"/>
  <c r="F135" i="7"/>
  <c r="F134" i="7"/>
  <c r="F133" i="7"/>
  <c r="F132" i="7"/>
  <c r="F131" i="7"/>
  <c r="F130" i="7"/>
  <c r="F129" i="7"/>
  <c r="F128" i="7"/>
  <c r="F127" i="7"/>
  <c r="F126" i="7"/>
  <c r="F125" i="7"/>
  <c r="F124" i="7"/>
  <c r="F123" i="7"/>
  <c r="F122" i="7"/>
  <c r="F121" i="7"/>
  <c r="F120" i="7"/>
  <c r="F119" i="7"/>
  <c r="F118" i="7"/>
  <c r="F117" i="7"/>
  <c r="F116" i="7"/>
  <c r="F115" i="7"/>
  <c r="F114" i="7"/>
  <c r="F113" i="7"/>
  <c r="F112" i="7"/>
  <c r="E112" i="7"/>
  <c r="F111" i="7"/>
  <c r="E111" i="7"/>
  <c r="F110" i="7"/>
  <c r="E110" i="7"/>
  <c r="F109" i="7"/>
  <c r="E109" i="7"/>
  <c r="F108" i="7"/>
  <c r="E108" i="7"/>
  <c r="F107" i="7"/>
  <c r="E107" i="7"/>
  <c r="F106" i="7"/>
  <c r="E106" i="7"/>
  <c r="F105" i="7"/>
  <c r="E105" i="7"/>
  <c r="F104" i="7"/>
  <c r="E104" i="7"/>
  <c r="F103" i="7"/>
  <c r="E103" i="7"/>
  <c r="F102" i="7"/>
  <c r="E102" i="7"/>
  <c r="F101" i="7"/>
  <c r="E101" i="7"/>
  <c r="Q105" i="30" l="1"/>
  <c r="F112" i="32" l="1"/>
  <c r="F111" i="32"/>
  <c r="F110" i="32"/>
  <c r="F108" i="32"/>
  <c r="F107" i="32"/>
  <c r="F106" i="32"/>
  <c r="AG7" i="37"/>
  <c r="AG6" i="37"/>
  <c r="AG5" i="37"/>
  <c r="B1" i="37" l="1"/>
  <c r="R116" i="32" l="1"/>
  <c r="R115" i="32"/>
  <c r="R114" i="32"/>
  <c r="R113" i="32"/>
  <c r="R112" i="32"/>
  <c r="R111" i="32"/>
  <c r="R110" i="32"/>
  <c r="R109" i="32"/>
  <c r="R108" i="32"/>
  <c r="R107" i="32"/>
  <c r="R106" i="32"/>
  <c r="R105" i="32"/>
  <c r="R104" i="32"/>
  <c r="R103" i="32"/>
  <c r="F104" i="32"/>
  <c r="E104" i="32"/>
  <c r="R102" i="32"/>
  <c r="F103" i="32"/>
  <c r="E103" i="32"/>
  <c r="R101" i="32"/>
  <c r="F102" i="32"/>
  <c r="E102" i="32"/>
  <c r="B1" i="32"/>
  <c r="D109" i="32" l="1"/>
  <c r="D101" i="32"/>
  <c r="D105" i="32"/>
  <c r="D108" i="32"/>
  <c r="D106" i="32"/>
  <c r="D110" i="32"/>
  <c r="D112" i="32"/>
  <c r="D107" i="32"/>
  <c r="D111" i="32"/>
  <c r="D103" i="32"/>
  <c r="D104" i="32"/>
  <c r="D102" i="32"/>
  <c r="AF8" i="30" l="1"/>
  <c r="AF7" i="30"/>
  <c r="AF6" i="30"/>
  <c r="AF5" i="30"/>
  <c r="H105" i="30" l="1"/>
  <c r="F41" i="30"/>
  <c r="E41" i="30"/>
  <c r="F40" i="30"/>
  <c r="E40" i="30"/>
  <c r="F39" i="30"/>
  <c r="E39" i="30"/>
  <c r="F38" i="30"/>
  <c r="F37" i="30"/>
  <c r="E37" i="30"/>
  <c r="B1" i="30"/>
  <c r="D41" i="30" l="1"/>
  <c r="D37" i="30"/>
  <c r="D38" i="30"/>
  <c r="D39" i="30"/>
  <c r="D40" i="30"/>
  <c r="B55" i="25" l="1"/>
  <c r="B77" i="25" s="1"/>
  <c r="B56" i="25"/>
  <c r="B78" i="25" s="1"/>
  <c r="B57" i="25"/>
  <c r="B79" i="25" s="1"/>
  <c r="B58" i="25"/>
  <c r="B80" i="25" s="1"/>
  <c r="B59" i="25"/>
  <c r="B81" i="25" s="1"/>
  <c r="B60" i="25"/>
  <c r="B82" i="25" s="1"/>
  <c r="B61" i="25"/>
  <c r="B83" i="25" s="1"/>
  <c r="B62" i="25"/>
  <c r="B84" i="25" s="1"/>
  <c r="B63" i="25"/>
  <c r="B85" i="25" s="1"/>
  <c r="B64" i="25"/>
  <c r="B86" i="25" s="1"/>
  <c r="B65" i="25"/>
  <c r="B87" i="25" s="1"/>
  <c r="B66" i="25"/>
  <c r="B88" i="25" s="1"/>
  <c r="B67" i="25"/>
  <c r="B89" i="25" s="1"/>
  <c r="B68" i="25"/>
  <c r="B90" i="25" s="1"/>
  <c r="B69" i="25"/>
  <c r="B91" i="25" s="1"/>
  <c r="B54" i="25"/>
  <c r="B76" i="25" l="1"/>
  <c r="B23" i="25"/>
  <c r="B23" i="56" s="1"/>
  <c r="AJ23" i="56" s="1"/>
  <c r="B8" i="25"/>
  <c r="B8" i="56" s="1"/>
  <c r="B16" i="25"/>
  <c r="B16" i="56" s="1"/>
  <c r="B19" i="25"/>
  <c r="B19" i="56" s="1"/>
  <c r="B15" i="25"/>
  <c r="B15" i="56" s="1"/>
  <c r="B11" i="25"/>
  <c r="B11" i="56" s="1"/>
  <c r="B22" i="25"/>
  <c r="B22" i="56" s="1"/>
  <c r="AJ22" i="56" s="1"/>
  <c r="B18" i="25"/>
  <c r="B18" i="56" s="1"/>
  <c r="B14" i="25"/>
  <c r="B14" i="56" s="1"/>
  <c r="B10" i="25"/>
  <c r="B10" i="56" s="1"/>
  <c r="B20" i="25"/>
  <c r="B20" i="56" s="1"/>
  <c r="AJ20" i="56" s="1"/>
  <c r="B12" i="25"/>
  <c r="B12" i="56" s="1"/>
  <c r="B21" i="25"/>
  <c r="B21" i="56" s="1"/>
  <c r="AJ21" i="56" s="1"/>
  <c r="B17" i="25"/>
  <c r="B17" i="56" s="1"/>
  <c r="B13" i="25"/>
  <c r="B13" i="56" s="1"/>
  <c r="B9" i="25"/>
  <c r="B9" i="56" s="1"/>
  <c r="BA10" i="56" l="1"/>
  <c r="BA33" i="56" s="1"/>
  <c r="AJ10" i="56"/>
  <c r="BA11" i="56"/>
  <c r="BA34" i="56" s="1"/>
  <c r="AJ11" i="56"/>
  <c r="BA8" i="56"/>
  <c r="BA31" i="56" s="1"/>
  <c r="BA54" i="56" s="1"/>
  <c r="BR54" i="56" s="1"/>
  <c r="AJ8" i="56"/>
  <c r="BA13" i="56"/>
  <c r="BA36" i="56" s="1"/>
  <c r="AJ13" i="56"/>
  <c r="BA16" i="56"/>
  <c r="BA39" i="56" s="1"/>
  <c r="AJ16" i="56"/>
  <c r="BA14" i="56"/>
  <c r="BA37" i="56" s="1"/>
  <c r="AJ14" i="56"/>
  <c r="BA15" i="56"/>
  <c r="BA38" i="56" s="1"/>
  <c r="AJ15" i="56"/>
  <c r="BA17" i="56"/>
  <c r="BA40" i="56" s="1"/>
  <c r="AJ17" i="56"/>
  <c r="BA9" i="56"/>
  <c r="BA32" i="56" s="1"/>
  <c r="BA55" i="56" s="1"/>
  <c r="BR55" i="56" s="1"/>
  <c r="AJ9" i="56"/>
  <c r="BA12" i="56"/>
  <c r="BA35" i="56" s="1"/>
  <c r="AJ12" i="56"/>
  <c r="BA18" i="56"/>
  <c r="BA41" i="56" s="1"/>
  <c r="AJ18" i="56"/>
  <c r="BA19" i="56"/>
  <c r="AJ19" i="56"/>
  <c r="BA20" i="56"/>
  <c r="B43" i="56"/>
  <c r="BA22" i="56"/>
  <c r="B45" i="56"/>
  <c r="B44" i="56"/>
  <c r="BA21" i="56"/>
  <c r="B46" i="56"/>
  <c r="BA23" i="56"/>
  <c r="B32" i="56"/>
  <c r="B36" i="56"/>
  <c r="B39" i="56"/>
  <c r="B40" i="56"/>
  <c r="B34" i="56"/>
  <c r="B31" i="56"/>
  <c r="BA56" i="56"/>
  <c r="BR56" i="56" s="1"/>
  <c r="B33" i="56"/>
  <c r="B37" i="56"/>
  <c r="B38" i="56"/>
  <c r="B35" i="56"/>
  <c r="B41" i="56"/>
  <c r="B42" i="56"/>
  <c r="S9" i="25"/>
  <c r="S18" i="25"/>
  <c r="S13" i="25"/>
  <c r="S20" i="25"/>
  <c r="S22" i="25"/>
  <c r="S16" i="25"/>
  <c r="S17" i="25"/>
  <c r="S11" i="25"/>
  <c r="S21" i="25"/>
  <c r="S14" i="25"/>
  <c r="S15" i="25"/>
  <c r="S23" i="25"/>
  <c r="S10" i="25"/>
  <c r="S12" i="25"/>
  <c r="S19" i="25"/>
  <c r="S8" i="25"/>
  <c r="B54" i="56" l="1"/>
  <c r="AJ31" i="56"/>
  <c r="AJ54" i="56" s="1"/>
  <c r="B65" i="56"/>
  <c r="AJ42" i="56"/>
  <c r="AJ65" i="56" s="1"/>
  <c r="B60" i="56"/>
  <c r="AJ37" i="56"/>
  <c r="AJ60" i="56" s="1"/>
  <c r="B59" i="56"/>
  <c r="AJ36" i="56"/>
  <c r="AJ59" i="56" s="1"/>
  <c r="B69" i="56"/>
  <c r="AJ46" i="56"/>
  <c r="AJ69" i="56" s="1"/>
  <c r="B57" i="56"/>
  <c r="AJ34" i="56"/>
  <c r="AJ57" i="56" s="1"/>
  <c r="B66" i="56"/>
  <c r="AJ43" i="56"/>
  <c r="AJ66" i="56" s="1"/>
  <c r="B61" i="56"/>
  <c r="AJ38" i="56"/>
  <c r="AJ61" i="56" s="1"/>
  <c r="B62" i="56"/>
  <c r="AJ39" i="56"/>
  <c r="AJ62" i="56" s="1"/>
  <c r="B68" i="56"/>
  <c r="AJ45" i="56"/>
  <c r="AJ68" i="56" s="1"/>
  <c r="B64" i="56"/>
  <c r="AJ41" i="56"/>
  <c r="AJ64" i="56" s="1"/>
  <c r="B56" i="56"/>
  <c r="AJ33" i="56"/>
  <c r="AJ56" i="56" s="1"/>
  <c r="B58" i="56"/>
  <c r="AJ35" i="56"/>
  <c r="AJ58" i="56" s="1"/>
  <c r="B63" i="56"/>
  <c r="AJ40" i="56"/>
  <c r="AJ63" i="56" s="1"/>
  <c r="B55" i="56"/>
  <c r="AJ32" i="56"/>
  <c r="AJ55" i="56" s="1"/>
  <c r="B67" i="56"/>
  <c r="AJ44" i="56"/>
  <c r="AJ67" i="56" s="1"/>
  <c r="BA46" i="56"/>
  <c r="BR23" i="56"/>
  <c r="CI23" i="56" s="1"/>
  <c r="CZ23" i="56" s="1"/>
  <c r="DQ23" i="56" s="1"/>
  <c r="BA45" i="56"/>
  <c r="BR22" i="56"/>
  <c r="CI22" i="56" s="1"/>
  <c r="CZ22" i="56" s="1"/>
  <c r="DQ22" i="56" s="1"/>
  <c r="BR21" i="56"/>
  <c r="CI21" i="56" s="1"/>
  <c r="CZ21" i="56" s="1"/>
  <c r="DQ21" i="56" s="1"/>
  <c r="BA44" i="56"/>
  <c r="BR20" i="56"/>
  <c r="CI20" i="56" s="1"/>
  <c r="CZ20" i="56" s="1"/>
  <c r="DQ20" i="56" s="1"/>
  <c r="BA43" i="56"/>
  <c r="BA42" i="56"/>
  <c r="BR19" i="56"/>
  <c r="BR17" i="56"/>
  <c r="CI17" i="56" s="1"/>
  <c r="CZ17" i="56" s="1"/>
  <c r="DQ17" i="56" s="1"/>
  <c r="BR13" i="56"/>
  <c r="CI13" i="56" s="1"/>
  <c r="CZ13" i="56" s="1"/>
  <c r="DQ13" i="56" s="1"/>
  <c r="BR12" i="56"/>
  <c r="CI12" i="56" s="1"/>
  <c r="CZ12" i="56" s="1"/>
  <c r="DQ12" i="56" s="1"/>
  <c r="BR14" i="56"/>
  <c r="CI14" i="56" s="1"/>
  <c r="CZ14" i="56" s="1"/>
  <c r="DQ14" i="56" s="1"/>
  <c r="BR31" i="56"/>
  <c r="CI31" i="56" s="1"/>
  <c r="CZ31" i="56" s="1"/>
  <c r="CZ54" i="56" s="1"/>
  <c r="BR8" i="56"/>
  <c r="CI8" i="56" s="1"/>
  <c r="CZ8" i="56" s="1"/>
  <c r="DQ8" i="56" s="1"/>
  <c r="BR15" i="56"/>
  <c r="CI15" i="56" s="1"/>
  <c r="CZ15" i="56" s="1"/>
  <c r="DQ15" i="56" s="1"/>
  <c r="BR11" i="56"/>
  <c r="CI11" i="56" s="1"/>
  <c r="CZ11" i="56" s="1"/>
  <c r="DQ11" i="56" s="1"/>
  <c r="BR9" i="56"/>
  <c r="CI9" i="56" s="1"/>
  <c r="CZ9" i="56" s="1"/>
  <c r="DQ9" i="56" s="1"/>
  <c r="BR32" i="56"/>
  <c r="CI32" i="56" s="1"/>
  <c r="CZ32" i="56" s="1"/>
  <c r="CZ55" i="56" s="1"/>
  <c r="BR18" i="56"/>
  <c r="CI18" i="56" s="1"/>
  <c r="CZ18" i="56" s="1"/>
  <c r="DQ18" i="56" s="1"/>
  <c r="BR33" i="56"/>
  <c r="CI33" i="56" s="1"/>
  <c r="CZ33" i="56" s="1"/>
  <c r="CZ56" i="56" s="1"/>
  <c r="BR10" i="56"/>
  <c r="CI10" i="56" s="1"/>
  <c r="CZ10" i="56" s="1"/>
  <c r="DQ10" i="56" s="1"/>
  <c r="BR16" i="56"/>
  <c r="CI16" i="56" s="1"/>
  <c r="CZ16" i="56" s="1"/>
  <c r="DQ16" i="56" s="1"/>
  <c r="N2" i="9"/>
  <c r="BR45" i="56" l="1"/>
  <c r="CI45" i="56" s="1"/>
  <c r="CZ45" i="56" s="1"/>
  <c r="BA68" i="56"/>
  <c r="BR68" i="56" s="1"/>
  <c r="BR44" i="56"/>
  <c r="CI44" i="56" s="1"/>
  <c r="CZ44" i="56" s="1"/>
  <c r="CZ67" i="56" s="1"/>
  <c r="DQ67" i="56" s="1"/>
  <c r="BA67" i="56"/>
  <c r="BR67" i="56" s="1"/>
  <c r="BR46" i="56"/>
  <c r="CI46" i="56" s="1"/>
  <c r="CZ46" i="56" s="1"/>
  <c r="BA69" i="56"/>
  <c r="BR69" i="56" s="1"/>
  <c r="BR34" i="56"/>
  <c r="CI34" i="56" s="1"/>
  <c r="CZ34" i="56" s="1"/>
  <c r="BA57" i="56"/>
  <c r="BR57" i="56" s="1"/>
  <c r="BR40" i="56"/>
  <c r="CI40" i="56" s="1"/>
  <c r="CZ40" i="56" s="1"/>
  <c r="CZ63" i="56" s="1"/>
  <c r="BA63" i="56"/>
  <c r="BR63" i="56" s="1"/>
  <c r="BR43" i="56"/>
  <c r="CI43" i="56" s="1"/>
  <c r="CZ43" i="56" s="1"/>
  <c r="CZ66" i="56" s="1"/>
  <c r="DQ66" i="56" s="1"/>
  <c r="BA66" i="56"/>
  <c r="BR66" i="56" s="1"/>
  <c r="BR41" i="56"/>
  <c r="CI41" i="56" s="1"/>
  <c r="CZ41" i="56" s="1"/>
  <c r="BA64" i="56"/>
  <c r="BR64" i="56" s="1"/>
  <c r="BR39" i="56"/>
  <c r="CI39" i="56" s="1"/>
  <c r="CZ39" i="56" s="1"/>
  <c r="BA62" i="56"/>
  <c r="BR62" i="56" s="1"/>
  <c r="BR35" i="56"/>
  <c r="CI35" i="56" s="1"/>
  <c r="CZ35" i="56" s="1"/>
  <c r="BA58" i="56"/>
  <c r="BR58" i="56" s="1"/>
  <c r="BR38" i="56"/>
  <c r="CI38" i="56" s="1"/>
  <c r="CZ38" i="56" s="1"/>
  <c r="DQ38" i="56" s="1"/>
  <c r="BA61" i="56"/>
  <c r="BR61" i="56" s="1"/>
  <c r="BR37" i="56"/>
  <c r="CI37" i="56" s="1"/>
  <c r="CZ37" i="56" s="1"/>
  <c r="CZ60" i="56" s="1"/>
  <c r="DQ60" i="56" s="1"/>
  <c r="BA60" i="56"/>
  <c r="BR60" i="56" s="1"/>
  <c r="BR36" i="56"/>
  <c r="CI36" i="56" s="1"/>
  <c r="CZ36" i="56" s="1"/>
  <c r="BA59" i="56"/>
  <c r="BR59" i="56" s="1"/>
  <c r="BR42" i="56"/>
  <c r="CI42" i="56" s="1"/>
  <c r="CZ42" i="56" s="1"/>
  <c r="DQ42" i="56" s="1"/>
  <c r="BA65" i="56"/>
  <c r="BR65" i="56" s="1"/>
  <c r="DQ43" i="56"/>
  <c r="DQ31" i="56"/>
  <c r="DQ54" i="56"/>
  <c r="DQ40" i="56"/>
  <c r="DQ63" i="56"/>
  <c r="DQ45" i="56"/>
  <c r="CZ68" i="56"/>
  <c r="DQ68" i="56" s="1"/>
  <c r="DQ32" i="56"/>
  <c r="DQ55" i="56"/>
  <c r="DQ33" i="56"/>
  <c r="DQ56" i="56"/>
  <c r="DQ46" i="56"/>
  <c r="CZ69" i="56"/>
  <c r="DQ69" i="56" s="1"/>
  <c r="CI19" i="56"/>
  <c r="CZ19" i="56" s="1"/>
  <c r="DQ19" i="56" s="1"/>
  <c r="O2" i="9"/>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12" i="10"/>
  <c r="DQ37" i="56" l="1"/>
  <c r="CZ65" i="56"/>
  <c r="DQ65" i="56" s="1"/>
  <c r="DQ36" i="56"/>
  <c r="CZ59" i="56"/>
  <c r="DQ59" i="56" s="1"/>
  <c r="CZ61" i="56"/>
  <c r="DQ61" i="56" s="1"/>
  <c r="CZ62" i="56"/>
  <c r="DQ62" i="56" s="1"/>
  <c r="DQ34" i="56"/>
  <c r="CZ57" i="56"/>
  <c r="DQ57" i="56" s="1"/>
  <c r="DQ35" i="56"/>
  <c r="CZ58" i="56"/>
  <c r="DQ58" i="56" s="1"/>
  <c r="DQ41" i="56"/>
  <c r="CZ64" i="56"/>
  <c r="DQ64" i="56" s="1"/>
  <c r="DQ39" i="56"/>
  <c r="DQ44" i="56"/>
  <c r="B1" i="7"/>
  <c r="R118" i="7"/>
  <c r="R104" i="7"/>
  <c r="R105" i="7"/>
  <c r="R106" i="7"/>
  <c r="R107" i="7"/>
  <c r="R108" i="7"/>
  <c r="R109" i="7"/>
  <c r="R110" i="7"/>
  <c r="R111" i="7"/>
  <c r="R112" i="7"/>
  <c r="R113" i="7"/>
  <c r="R114" i="7"/>
  <c r="R115" i="7"/>
  <c r="R116" i="7"/>
  <c r="R117" i="7"/>
  <c r="R103" i="7"/>
  <c r="B1" i="44" l="1"/>
  <c r="B1" i="41"/>
  <c r="D135" i="7"/>
  <c r="D133" i="7"/>
  <c r="D131" i="7"/>
  <c r="D129" i="7"/>
  <c r="D127" i="7"/>
  <c r="D125" i="7"/>
  <c r="D123" i="7"/>
  <c r="D121" i="7"/>
  <c r="D119" i="7"/>
  <c r="D117" i="7"/>
  <c r="D115" i="7"/>
  <c r="D113" i="7"/>
  <c r="D136" i="7"/>
  <c r="D134" i="7"/>
  <c r="D132" i="7"/>
  <c r="D130" i="7"/>
  <c r="D128" i="7"/>
  <c r="D126" i="7"/>
  <c r="D124" i="7"/>
  <c r="D122" i="7"/>
  <c r="D120" i="7"/>
  <c r="D118" i="7"/>
  <c r="D116" i="7"/>
  <c r="D114" i="7"/>
  <c r="D111" i="7"/>
  <c r="D107" i="7"/>
  <c r="D103" i="7"/>
  <c r="D112" i="7"/>
  <c r="D108" i="7"/>
  <c r="D104" i="7"/>
  <c r="D109" i="7"/>
  <c r="D105" i="7"/>
  <c r="D101" i="7"/>
  <c r="D106" i="7"/>
  <c r="D110" i="7"/>
  <c r="D102" i="7"/>
  <c r="B1" i="25"/>
  <c r="T1" i="56" s="1"/>
  <c r="X8" i="53" l="1"/>
  <c r="X5" i="53"/>
  <c r="X10" i="53"/>
  <c r="X250" i="53" s="1"/>
  <c r="X9" i="53"/>
  <c r="X249" i="53" s="1"/>
  <c r="X4" i="53"/>
  <c r="X244" i="53" s="1"/>
  <c r="X7" i="53"/>
  <c r="X6" i="53"/>
  <c r="X246" i="53" s="1"/>
  <c r="B1" i="53"/>
  <c r="X243" i="53"/>
  <c r="X239" i="53"/>
  <c r="X235" i="53"/>
  <c r="X231" i="53"/>
  <c r="X227" i="53"/>
  <c r="X223" i="53"/>
  <c r="X219" i="53"/>
  <c r="X215" i="53"/>
  <c r="X211" i="53"/>
  <c r="X207" i="53"/>
  <c r="X203" i="53"/>
  <c r="X199" i="53"/>
  <c r="X195" i="53"/>
  <c r="X191" i="53"/>
  <c r="X187" i="53"/>
  <c r="X183" i="53"/>
  <c r="X179" i="53"/>
  <c r="X175" i="53"/>
  <c r="X171" i="53"/>
  <c r="X167" i="53"/>
  <c r="X163" i="53"/>
  <c r="X159" i="53"/>
  <c r="X155" i="53"/>
  <c r="X151" i="53"/>
  <c r="X147" i="53"/>
  <c r="X143" i="53"/>
  <c r="X139" i="53"/>
  <c r="X135" i="53"/>
  <c r="X131" i="53"/>
  <c r="X127" i="53"/>
  <c r="X123" i="53"/>
  <c r="X119" i="53"/>
  <c r="X115" i="53"/>
  <c r="X111" i="53"/>
  <c r="X107" i="53"/>
  <c r="X103" i="53"/>
  <c r="X99" i="53"/>
  <c r="X95" i="53"/>
  <c r="X91" i="53"/>
  <c r="X87" i="53"/>
  <c r="X83" i="53"/>
  <c r="X79" i="53"/>
  <c r="X75" i="53"/>
  <c r="X240" i="53"/>
  <c r="X236" i="53"/>
  <c r="X232" i="53"/>
  <c r="X228" i="53"/>
  <c r="X224" i="53"/>
  <c r="X220" i="53"/>
  <c r="X216" i="53"/>
  <c r="X212" i="53"/>
  <c r="X208" i="53"/>
  <c r="X204" i="53"/>
  <c r="X200" i="53"/>
  <c r="X196" i="53"/>
  <c r="X192" i="53"/>
  <c r="X188" i="53"/>
  <c r="X184" i="53"/>
  <c r="X180" i="53"/>
  <c r="X176" i="53"/>
  <c r="X172" i="53"/>
  <c r="X168" i="53"/>
  <c r="X164" i="53"/>
  <c r="X160" i="53"/>
  <c r="X156" i="53"/>
  <c r="X152" i="53"/>
  <c r="X148" i="53"/>
  <c r="X144" i="53"/>
  <c r="X140" i="53"/>
  <c r="X136" i="53"/>
  <c r="X132" i="53"/>
  <c r="X128" i="53"/>
  <c r="X241" i="53"/>
  <c r="X237" i="53"/>
  <c r="X233" i="53"/>
  <c r="X229" i="53"/>
  <c r="X225" i="53"/>
  <c r="X221" i="53"/>
  <c r="X217" i="53"/>
  <c r="X213" i="53"/>
  <c r="X209" i="53"/>
  <c r="X205" i="53"/>
  <c r="X201" i="53"/>
  <c r="X197" i="53"/>
  <c r="X193" i="53"/>
  <c r="X189" i="53"/>
  <c r="X185" i="53"/>
  <c r="X181" i="53"/>
  <c r="X177" i="53"/>
  <c r="X173" i="53"/>
  <c r="X169" i="53"/>
  <c r="X165" i="53"/>
  <c r="X161" i="53"/>
  <c r="X157" i="53"/>
  <c r="X153" i="53"/>
  <c r="X149" i="53"/>
  <c r="X145" i="53"/>
  <c r="X141" i="53"/>
  <c r="X137" i="53"/>
  <c r="X133" i="53"/>
  <c r="X129" i="53"/>
  <c r="X125" i="53"/>
  <c r="X121" i="53"/>
  <c r="X117" i="53"/>
  <c r="X113" i="53"/>
  <c r="X109" i="53"/>
  <c r="X105" i="53"/>
  <c r="X101" i="53"/>
  <c r="X97" i="53"/>
  <c r="X93" i="53"/>
  <c r="X89" i="53"/>
  <c r="X85" i="53"/>
  <c r="X81" i="53"/>
  <c r="X77" i="53"/>
  <c r="X242" i="53"/>
  <c r="X238" i="53"/>
  <c r="X234" i="53"/>
  <c r="X230" i="53"/>
  <c r="X226" i="53"/>
  <c r="X222" i="53"/>
  <c r="X218" i="53"/>
  <c r="X214" i="53"/>
  <c r="X210" i="53"/>
  <c r="X206" i="53"/>
  <c r="X202" i="53"/>
  <c r="X198" i="53"/>
  <c r="X194" i="53"/>
  <c r="X190" i="53"/>
  <c r="X186" i="53"/>
  <c r="X182" i="53"/>
  <c r="X178" i="53"/>
  <c r="X174" i="53"/>
  <c r="X170" i="53"/>
  <c r="X166" i="53"/>
  <c r="X162" i="53"/>
  <c r="X158" i="53"/>
  <c r="X154" i="53"/>
  <c r="X150" i="53"/>
  <c r="X146" i="53"/>
  <c r="X142" i="53"/>
  <c r="X138" i="53"/>
  <c r="X134" i="53"/>
  <c r="X130" i="53"/>
  <c r="X126" i="53"/>
  <c r="X72" i="53"/>
  <c r="X68" i="53"/>
  <c r="X64" i="53"/>
  <c r="X60" i="53"/>
  <c r="X56" i="53"/>
  <c r="X52" i="53"/>
  <c r="X48" i="53"/>
  <c r="X44" i="53"/>
  <c r="X40" i="53"/>
  <c r="X36" i="53"/>
  <c r="X32" i="53"/>
  <c r="X28" i="53"/>
  <c r="X24" i="53"/>
  <c r="X20" i="53"/>
  <c r="X16" i="53"/>
  <c r="X12" i="53"/>
  <c r="X248" i="53"/>
  <c r="X73" i="53"/>
  <c r="X69" i="53"/>
  <c r="X65" i="53"/>
  <c r="X61" i="53"/>
  <c r="X57" i="53"/>
  <c r="X53" i="53"/>
  <c r="X49" i="53"/>
  <c r="X45" i="53"/>
  <c r="X41" i="53"/>
  <c r="X37" i="53"/>
  <c r="X33" i="53"/>
  <c r="X29" i="53"/>
  <c r="X25" i="53"/>
  <c r="X21" i="53"/>
  <c r="X17" i="53"/>
  <c r="X13" i="53"/>
  <c r="X245" i="53"/>
  <c r="X124" i="53"/>
  <c r="X122" i="53"/>
  <c r="X120" i="53"/>
  <c r="X118" i="53"/>
  <c r="X116" i="53"/>
  <c r="X114" i="53"/>
  <c r="X112" i="53"/>
  <c r="X110" i="53"/>
  <c r="X108" i="53"/>
  <c r="X106" i="53"/>
  <c r="X104" i="53"/>
  <c r="X102" i="53"/>
  <c r="X100" i="53"/>
  <c r="X98" i="53"/>
  <c r="X96" i="53"/>
  <c r="X94" i="53"/>
  <c r="X92" i="53"/>
  <c r="X90" i="53"/>
  <c r="X88" i="53"/>
  <c r="X86" i="53"/>
  <c r="X84" i="53"/>
  <c r="X82" i="53"/>
  <c r="X80" i="53"/>
  <c r="X78" i="53"/>
  <c r="X76" i="53"/>
  <c r="X74" i="53"/>
  <c r="X70" i="53"/>
  <c r="X66" i="53"/>
  <c r="X62" i="53"/>
  <c r="X58" i="53"/>
  <c r="X54" i="53"/>
  <c r="X50" i="53"/>
  <c r="X46" i="53"/>
  <c r="X42" i="53"/>
  <c r="X38" i="53"/>
  <c r="X34" i="53"/>
  <c r="X30" i="53"/>
  <c r="X26" i="53"/>
  <c r="X22" i="53"/>
  <c r="X18" i="53"/>
  <c r="X14" i="53"/>
  <c r="X71" i="53"/>
  <c r="X67" i="53"/>
  <c r="X63" i="53"/>
  <c r="X59" i="53"/>
  <c r="X55" i="53"/>
  <c r="X51" i="53"/>
  <c r="X47" i="53"/>
  <c r="X43" i="53"/>
  <c r="X39" i="53"/>
  <c r="X35" i="53"/>
  <c r="X31" i="53"/>
  <c r="X27" i="53"/>
  <c r="X23" i="53"/>
  <c r="X19" i="53"/>
  <c r="X15" i="53"/>
  <c r="X11" i="53"/>
  <c r="X247" i="53"/>
  <c r="B8" i="15"/>
  <c r="B9" i="15"/>
  <c r="B10" i="15"/>
  <c r="B11" i="15"/>
  <c r="B12" i="15"/>
  <c r="B13" i="15"/>
  <c r="B14" i="15"/>
  <c r="B15" i="15"/>
  <c r="B16" i="15"/>
  <c r="B17" i="15"/>
  <c r="B18" i="15"/>
  <c r="B19" i="15"/>
  <c r="B20" i="15"/>
  <c r="B21" i="15"/>
  <c r="B22" i="15"/>
  <c r="X263" i="53" l="1"/>
  <c r="X279" i="53"/>
  <c r="X295" i="53"/>
  <c r="X311" i="53"/>
  <c r="X258" i="53"/>
  <c r="X274" i="53"/>
  <c r="X290" i="53"/>
  <c r="X306" i="53"/>
  <c r="X318" i="53"/>
  <c r="X326" i="53"/>
  <c r="X334" i="53"/>
  <c r="X342" i="53"/>
  <c r="X350" i="53"/>
  <c r="X358" i="53"/>
  <c r="X261" i="53"/>
  <c r="X277" i="53"/>
  <c r="X293" i="53"/>
  <c r="X309" i="53"/>
  <c r="X252" i="53"/>
  <c r="X268" i="53"/>
  <c r="X284" i="53"/>
  <c r="X300" i="53"/>
  <c r="X366" i="53"/>
  <c r="X382" i="53"/>
  <c r="X398" i="53"/>
  <c r="X414" i="53"/>
  <c r="X430" i="53"/>
  <c r="X446" i="53"/>
  <c r="X462" i="53"/>
  <c r="X478" i="53"/>
  <c r="X325" i="53"/>
  <c r="X341" i="53"/>
  <c r="X357" i="53"/>
  <c r="X373" i="53"/>
  <c r="X389" i="53"/>
  <c r="X405" i="53"/>
  <c r="X421" i="53"/>
  <c r="X437" i="53"/>
  <c r="X453" i="53"/>
  <c r="X469" i="53"/>
  <c r="X368" i="53"/>
  <c r="X384" i="53"/>
  <c r="X400" i="53"/>
  <c r="X416" i="53"/>
  <c r="X432" i="53"/>
  <c r="X448" i="53"/>
  <c r="X464" i="53"/>
  <c r="X480" i="53"/>
  <c r="X327" i="53"/>
  <c r="X343" i="53"/>
  <c r="X359" i="53"/>
  <c r="X375" i="53"/>
  <c r="X391" i="53"/>
  <c r="X407" i="53"/>
  <c r="X423" i="53"/>
  <c r="X439" i="53"/>
  <c r="X455" i="53"/>
  <c r="X471" i="53"/>
  <c r="X251" i="53"/>
  <c r="X267" i="53"/>
  <c r="X283" i="53"/>
  <c r="X299" i="53"/>
  <c r="X262" i="53"/>
  <c r="X278" i="53"/>
  <c r="X294" i="53"/>
  <c r="X310" i="53"/>
  <c r="X320" i="53"/>
  <c r="X328" i="53"/>
  <c r="X336" i="53"/>
  <c r="X344" i="53"/>
  <c r="X352" i="53"/>
  <c r="X360" i="53"/>
  <c r="X265" i="53"/>
  <c r="X281" i="53"/>
  <c r="X297" i="53"/>
  <c r="X313" i="53"/>
  <c r="X256" i="53"/>
  <c r="X272" i="53"/>
  <c r="X288" i="53"/>
  <c r="X304" i="53"/>
  <c r="X370" i="53"/>
  <c r="X386" i="53"/>
  <c r="X402" i="53"/>
  <c r="X418" i="53"/>
  <c r="X434" i="53"/>
  <c r="X450" i="53"/>
  <c r="X466" i="53"/>
  <c r="X482" i="53"/>
  <c r="X329" i="53"/>
  <c r="X345" i="53"/>
  <c r="X361" i="53"/>
  <c r="X377" i="53"/>
  <c r="X393" i="53"/>
  <c r="X409" i="53"/>
  <c r="X425" i="53"/>
  <c r="X441" i="53"/>
  <c r="X457" i="53"/>
  <c r="X473" i="53"/>
  <c r="X372" i="53"/>
  <c r="X388" i="53"/>
  <c r="X404" i="53"/>
  <c r="X420" i="53"/>
  <c r="X436" i="53"/>
  <c r="X452" i="53"/>
  <c r="X468" i="53"/>
  <c r="X315" i="53"/>
  <c r="X331" i="53"/>
  <c r="X347" i="53"/>
  <c r="X363" i="53"/>
  <c r="X379" i="53"/>
  <c r="X395" i="53"/>
  <c r="X411" i="53"/>
  <c r="X427" i="53"/>
  <c r="X443" i="53"/>
  <c r="X459" i="53"/>
  <c r="X475" i="53"/>
  <c r="X255" i="53"/>
  <c r="X271" i="53"/>
  <c r="X287" i="53"/>
  <c r="X303" i="53"/>
  <c r="X266" i="53"/>
  <c r="X282" i="53"/>
  <c r="X298" i="53"/>
  <c r="X314" i="53"/>
  <c r="X322" i="53"/>
  <c r="X330" i="53"/>
  <c r="X338" i="53"/>
  <c r="X346" i="53"/>
  <c r="X354" i="53"/>
  <c r="X362" i="53"/>
  <c r="X253" i="53"/>
  <c r="X269" i="53"/>
  <c r="X285" i="53"/>
  <c r="X301" i="53"/>
  <c r="X260" i="53"/>
  <c r="X276" i="53"/>
  <c r="X292" i="53"/>
  <c r="X308" i="53"/>
  <c r="X374" i="53"/>
  <c r="X390" i="53"/>
  <c r="X406" i="53"/>
  <c r="X422" i="53"/>
  <c r="X438" i="53"/>
  <c r="X454" i="53"/>
  <c r="X470" i="53"/>
  <c r="X317" i="53"/>
  <c r="X333" i="53"/>
  <c r="X349" i="53"/>
  <c r="X365" i="53"/>
  <c r="X381" i="53"/>
  <c r="X397" i="53"/>
  <c r="X413" i="53"/>
  <c r="X429" i="53"/>
  <c r="X445" i="53"/>
  <c r="X461" i="53"/>
  <c r="X477" i="53"/>
  <c r="X376" i="53"/>
  <c r="X392" i="53"/>
  <c r="X408" i="53"/>
  <c r="X424" i="53"/>
  <c r="X440" i="53"/>
  <c r="X456" i="53"/>
  <c r="X472" i="53"/>
  <c r="X319" i="53"/>
  <c r="X335" i="53"/>
  <c r="X351" i="53"/>
  <c r="X367" i="53"/>
  <c r="X383" i="53"/>
  <c r="X399" i="53"/>
  <c r="X415" i="53"/>
  <c r="X431" i="53"/>
  <c r="X447" i="53"/>
  <c r="X463" i="53"/>
  <c r="X479" i="53"/>
  <c r="X259" i="53"/>
  <c r="X275" i="53"/>
  <c r="X291" i="53"/>
  <c r="X307" i="53"/>
  <c r="X254" i="53"/>
  <c r="X270" i="53"/>
  <c r="X286" i="53"/>
  <c r="X302" i="53"/>
  <c r="X316" i="53"/>
  <c r="X324" i="53"/>
  <c r="X332" i="53"/>
  <c r="X340" i="53"/>
  <c r="X348" i="53"/>
  <c r="X356" i="53"/>
  <c r="X364" i="53"/>
  <c r="X257" i="53"/>
  <c r="X273" i="53"/>
  <c r="X289" i="53"/>
  <c r="X305" i="53"/>
  <c r="X264" i="53"/>
  <c r="X280" i="53"/>
  <c r="X296" i="53"/>
  <c r="X312" i="53"/>
  <c r="X378" i="53"/>
  <c r="X394" i="53"/>
  <c r="X410" i="53"/>
  <c r="X426" i="53"/>
  <c r="X442" i="53"/>
  <c r="X458" i="53"/>
  <c r="X474" i="53"/>
  <c r="X321" i="53"/>
  <c r="X337" i="53"/>
  <c r="X353" i="53"/>
  <c r="X369" i="53"/>
  <c r="X385" i="53"/>
  <c r="X401" i="53"/>
  <c r="X417" i="53"/>
  <c r="X433" i="53"/>
  <c r="X449" i="53"/>
  <c r="X465" i="53"/>
  <c r="X481" i="53"/>
  <c r="X380" i="53"/>
  <c r="X396" i="53"/>
  <c r="X412" i="53"/>
  <c r="X428" i="53"/>
  <c r="X444" i="53"/>
  <c r="X460" i="53"/>
  <c r="X476" i="53"/>
  <c r="X323" i="53"/>
  <c r="X339" i="53"/>
  <c r="X355" i="53"/>
  <c r="X371" i="53"/>
  <c r="X387" i="53"/>
  <c r="X403" i="53"/>
  <c r="X419" i="53"/>
  <c r="X435" i="53"/>
  <c r="X451" i="53"/>
  <c r="X467" i="53"/>
  <c r="X483" i="53"/>
  <c r="B112" i="15"/>
  <c r="A112" i="15" s="1"/>
  <c r="H112" i="15" s="1"/>
  <c r="B128" i="15"/>
  <c r="A128" i="15" s="1"/>
  <c r="H128" i="15" s="1"/>
  <c r="B130" i="15"/>
  <c r="A130" i="15" s="1"/>
  <c r="H130" i="15" s="1"/>
  <c r="B114" i="15"/>
  <c r="A114" i="15" s="1"/>
  <c r="H114" i="15" s="1"/>
  <c r="B129" i="15"/>
  <c r="A129" i="15" s="1"/>
  <c r="H129" i="15" s="1"/>
  <c r="B113" i="15"/>
  <c r="A113" i="15" s="1"/>
  <c r="H113" i="15" s="1"/>
  <c r="B109" i="15"/>
  <c r="A109" i="15" s="1"/>
  <c r="H109" i="15" s="1"/>
  <c r="B125" i="15"/>
  <c r="A125" i="15" s="1"/>
  <c r="H125" i="15" s="1"/>
  <c r="B108" i="15"/>
  <c r="A108" i="15" s="1"/>
  <c r="H108" i="15" s="1"/>
  <c r="B124" i="15"/>
  <c r="A124" i="15" s="1"/>
  <c r="H124" i="15" s="1"/>
  <c r="B120" i="15"/>
  <c r="A120" i="15" s="1"/>
  <c r="H120" i="15" s="1"/>
  <c r="B104" i="15"/>
  <c r="A104" i="15" s="1"/>
  <c r="H104" i="15" s="1"/>
  <c r="B107" i="15"/>
  <c r="A107" i="15" s="1"/>
  <c r="H107" i="15" s="1"/>
  <c r="B123" i="15"/>
  <c r="A123" i="15" s="1"/>
  <c r="H123" i="15" s="1"/>
  <c r="B119" i="15"/>
  <c r="A119" i="15" s="1"/>
  <c r="H119" i="15" s="1"/>
  <c r="B103" i="15"/>
  <c r="A103" i="15" s="1"/>
  <c r="H103" i="15" s="1"/>
  <c r="B126" i="15"/>
  <c r="A126" i="15" s="1"/>
  <c r="H126" i="15" s="1"/>
  <c r="B110" i="15"/>
  <c r="A110" i="15" s="1"/>
  <c r="H110" i="15" s="1"/>
  <c r="B106" i="15"/>
  <c r="A106" i="15" s="1"/>
  <c r="H106" i="15" s="1"/>
  <c r="B122" i="15"/>
  <c r="A122" i="15" s="1"/>
  <c r="H122" i="15" s="1"/>
  <c r="B118" i="15"/>
  <c r="A118" i="15" s="1"/>
  <c r="H118" i="15" s="1"/>
  <c r="B102" i="15"/>
  <c r="A102" i="15" s="1"/>
  <c r="H102" i="15" s="1"/>
  <c r="B127" i="15"/>
  <c r="A127" i="15" s="1"/>
  <c r="H127" i="15" s="1"/>
  <c r="B111" i="15"/>
  <c r="A111" i="15" s="1"/>
  <c r="H111" i="15" s="1"/>
  <c r="B121" i="15"/>
  <c r="A121" i="15" s="1"/>
  <c r="H121" i="15" s="1"/>
  <c r="B105" i="15"/>
  <c r="A105" i="15" s="1"/>
  <c r="H105" i="15" s="1"/>
  <c r="B101" i="15"/>
  <c r="A101" i="15" s="1"/>
  <c r="H101" i="15" s="1"/>
  <c r="B117" i="15"/>
  <c r="A117" i="15" s="1"/>
  <c r="H117" i="15" s="1"/>
  <c r="C13" i="10" l="1"/>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12" i="10"/>
  <c r="E4" i="10" l="1"/>
  <c r="G2" i="10" l="1"/>
  <c r="B1" i="15" l="1"/>
  <c r="A1" i="45" s="1"/>
  <c r="P16" i="10" l="1"/>
  <c r="P15" i="10"/>
  <c r="P14" i="10"/>
  <c r="P13" i="10"/>
  <c r="P12" i="10"/>
  <c r="F4" i="10" l="1"/>
  <c r="F3" i="10"/>
  <c r="E5" i="10"/>
  <c r="E1" i="10" l="1"/>
  <c r="J48" i="10"/>
  <c r="J50" i="10"/>
  <c r="J52" i="10"/>
  <c r="J54" i="10"/>
  <c r="J56" i="10"/>
  <c r="J58" i="10"/>
  <c r="J60" i="10"/>
  <c r="J62" i="10"/>
  <c r="J64" i="10"/>
  <c r="J66" i="10"/>
  <c r="J68" i="10"/>
  <c r="J70" i="10"/>
  <c r="J49" i="10"/>
  <c r="J51" i="10"/>
  <c r="J53" i="10"/>
  <c r="J55" i="10"/>
  <c r="J57" i="10"/>
  <c r="J59" i="10"/>
  <c r="J61" i="10"/>
  <c r="J63" i="10"/>
  <c r="J65" i="10"/>
  <c r="J67" i="10"/>
  <c r="J69" i="10"/>
  <c r="J71" i="10"/>
  <c r="G4" i="10"/>
  <c r="J12" i="10"/>
  <c r="J15" i="10"/>
  <c r="J19" i="10"/>
  <c r="J23" i="10"/>
  <c r="J27" i="10"/>
  <c r="J31" i="10"/>
  <c r="J35" i="10"/>
  <c r="J39" i="10"/>
  <c r="J43" i="10"/>
  <c r="J47" i="10"/>
  <c r="J16" i="10"/>
  <c r="J20" i="10"/>
  <c r="J24" i="10"/>
  <c r="J28" i="10"/>
  <c r="J32" i="10"/>
  <c r="J36" i="10"/>
  <c r="J40" i="10"/>
  <c r="J44" i="10"/>
  <c r="J13" i="10"/>
  <c r="J17" i="10"/>
  <c r="J21" i="10"/>
  <c r="J25" i="10"/>
  <c r="J29" i="10"/>
  <c r="J33" i="10"/>
  <c r="J37" i="10"/>
  <c r="J41" i="10"/>
  <c r="J45" i="10"/>
  <c r="J14" i="10"/>
  <c r="J18" i="10"/>
  <c r="J22" i="10"/>
  <c r="J26" i="10"/>
  <c r="J30" i="10"/>
  <c r="J34" i="10"/>
  <c r="J38" i="10"/>
  <c r="J42" i="10"/>
  <c r="J46" i="10"/>
  <c r="C109" i="32"/>
  <c r="C105" i="32"/>
  <c r="C101" i="32"/>
  <c r="C135" i="7"/>
  <c r="C134" i="7"/>
  <c r="C136" i="7"/>
  <c r="C132" i="7"/>
  <c r="C133" i="7"/>
  <c r="C131" i="7"/>
  <c r="C129" i="7"/>
  <c r="C128" i="7"/>
  <c r="C130" i="7"/>
  <c r="C126" i="7"/>
  <c r="C127" i="7"/>
  <c r="C125" i="7"/>
  <c r="C123" i="7"/>
  <c r="C124" i="7"/>
  <c r="C122" i="7"/>
  <c r="C120" i="7"/>
  <c r="C121" i="7"/>
  <c r="C119" i="7"/>
  <c r="C117" i="7"/>
  <c r="C118" i="7"/>
  <c r="C116" i="7"/>
  <c r="C114" i="7"/>
  <c r="C113" i="7"/>
  <c r="C115" i="7"/>
  <c r="C112" i="7"/>
  <c r="C111" i="7"/>
  <c r="C110" i="7"/>
  <c r="C107" i="7"/>
  <c r="C109" i="7"/>
  <c r="C108" i="7"/>
  <c r="C106" i="7"/>
  <c r="C105" i="7"/>
  <c r="C104" i="7"/>
  <c r="C103" i="7"/>
  <c r="C102" i="7"/>
  <c r="C101" i="7"/>
  <c r="C112" i="32"/>
  <c r="C107" i="32"/>
  <c r="C111" i="32"/>
  <c r="C106" i="32"/>
  <c r="C110" i="32"/>
  <c r="C108" i="32"/>
  <c r="C102" i="32"/>
  <c r="C103" i="32"/>
  <c r="C104" i="32"/>
  <c r="E8" i="10"/>
  <c r="E9" i="10"/>
  <c r="N27" i="10"/>
  <c r="H1" i="32" s="1"/>
  <c r="E7" i="10"/>
  <c r="C40" i="30"/>
  <c r="C41" i="30"/>
  <c r="C37" i="30"/>
  <c r="C38" i="30"/>
  <c r="C39" i="30"/>
  <c r="E6" i="10"/>
  <c r="F1" i="10" s="1"/>
  <c r="H2" i="10"/>
  <c r="G3" i="10"/>
  <c r="F5" i="10"/>
  <c r="H103" i="32" l="1"/>
  <c r="H107" i="32"/>
  <c r="H111" i="32"/>
  <c r="H104" i="32"/>
  <c r="H108" i="32"/>
  <c r="H112" i="32"/>
  <c r="H102" i="32"/>
  <c r="H106" i="32"/>
  <c r="H110" i="32"/>
  <c r="H4" i="10"/>
  <c r="E1" i="41"/>
  <c r="P40" i="10"/>
  <c r="F4" i="37"/>
  <c r="C52" i="41"/>
  <c r="C74" i="41"/>
  <c r="C6" i="41"/>
  <c r="T6" i="41"/>
  <c r="E1" i="25"/>
  <c r="W1" i="56" s="1"/>
  <c r="C4" i="37"/>
  <c r="E4" i="37"/>
  <c r="F41" i="32"/>
  <c r="D4" i="37"/>
  <c r="C41" i="32"/>
  <c r="E41" i="32"/>
  <c r="D41" i="32"/>
  <c r="I2" i="10"/>
  <c r="I1" i="37"/>
  <c r="I1" i="32"/>
  <c r="H1" i="37"/>
  <c r="J1" i="37" s="1"/>
  <c r="Q40" i="10"/>
  <c r="O40" i="10"/>
  <c r="N40" i="10"/>
  <c r="F9" i="10"/>
  <c r="Q41" i="10" s="1"/>
  <c r="F8" i="10"/>
  <c r="P41" i="10" s="1"/>
  <c r="F7" i="10"/>
  <c r="O41" i="10" s="1"/>
  <c r="I1" i="10"/>
  <c r="F6" i="10"/>
  <c r="N41" i="10" s="1"/>
  <c r="N33" i="10"/>
  <c r="T6" i="25"/>
  <c r="C6" i="25"/>
  <c r="C74" i="25"/>
  <c r="C52" i="25"/>
  <c r="N31" i="10"/>
  <c r="M27" i="10"/>
  <c r="F1" i="7" s="1"/>
  <c r="N28" i="10"/>
  <c r="H1" i="7" s="1"/>
  <c r="N30" i="10"/>
  <c r="N29" i="10"/>
  <c r="H3" i="10"/>
  <c r="I3" i="10" s="1"/>
  <c r="G5" i="10"/>
  <c r="C39" i="53" l="1"/>
  <c r="S40" i="53" s="1"/>
  <c r="D6" i="56"/>
  <c r="B51" i="7"/>
  <c r="B53" i="7"/>
  <c r="B52" i="7"/>
  <c r="AC4" i="53"/>
  <c r="AC244" i="53" s="1"/>
  <c r="AC5" i="53"/>
  <c r="AC245" i="53" s="1"/>
  <c r="AC6" i="53"/>
  <c r="AC246" i="53" s="1"/>
  <c r="AC216" i="53"/>
  <c r="AC456" i="53" s="1"/>
  <c r="AC200" i="53"/>
  <c r="AC440" i="53" s="1"/>
  <c r="AC185" i="53"/>
  <c r="AC425" i="53" s="1"/>
  <c r="AC171" i="53"/>
  <c r="AC411" i="53" s="1"/>
  <c r="AC170" i="53"/>
  <c r="AC410" i="53" s="1"/>
  <c r="AC169" i="53"/>
  <c r="AC409" i="53" s="1"/>
  <c r="AC156" i="53"/>
  <c r="AC396" i="53" s="1"/>
  <c r="AC155" i="53"/>
  <c r="AC395" i="53" s="1"/>
  <c r="AC154" i="53"/>
  <c r="AC394" i="53" s="1"/>
  <c r="AC141" i="53"/>
  <c r="AC381" i="53" s="1"/>
  <c r="AC140" i="53"/>
  <c r="AC380" i="53" s="1"/>
  <c r="AC139" i="53"/>
  <c r="AC379" i="53" s="1"/>
  <c r="AC229" i="53"/>
  <c r="AC469" i="53" s="1"/>
  <c r="AC201" i="53"/>
  <c r="AC441" i="53" s="1"/>
  <c r="AC184" i="53"/>
  <c r="AC424" i="53" s="1"/>
  <c r="AC230" i="53"/>
  <c r="AC470" i="53" s="1"/>
  <c r="AC214" i="53"/>
  <c r="AC454" i="53" s="1"/>
  <c r="AC231" i="53"/>
  <c r="AC471" i="53" s="1"/>
  <c r="AC215" i="53"/>
  <c r="AC455" i="53" s="1"/>
  <c r="AC199" i="53"/>
  <c r="AC439" i="53" s="1"/>
  <c r="AC186" i="53"/>
  <c r="AC426" i="53" s="1"/>
  <c r="AC111" i="53"/>
  <c r="AC351" i="53" s="1"/>
  <c r="AC95" i="53"/>
  <c r="AC335" i="53" s="1"/>
  <c r="AC80" i="53"/>
  <c r="AC320" i="53" s="1"/>
  <c r="AC64" i="53"/>
  <c r="AC304" i="53" s="1"/>
  <c r="AC124" i="53"/>
  <c r="AC364" i="53" s="1"/>
  <c r="AC96" i="53"/>
  <c r="AC336" i="53" s="1"/>
  <c r="AC79" i="53"/>
  <c r="AC319" i="53" s="1"/>
  <c r="AC125" i="53"/>
  <c r="AC365" i="53" s="1"/>
  <c r="AC109" i="53"/>
  <c r="AC349" i="53" s="1"/>
  <c r="AC66" i="53"/>
  <c r="AC306" i="53" s="1"/>
  <c r="AC34" i="53"/>
  <c r="AC274" i="53" s="1"/>
  <c r="AC126" i="53"/>
  <c r="AC366" i="53" s="1"/>
  <c r="AC110" i="53"/>
  <c r="AC350" i="53" s="1"/>
  <c r="AC94" i="53"/>
  <c r="AC334" i="53" s="1"/>
  <c r="AC81" i="53"/>
  <c r="AC321" i="53" s="1"/>
  <c r="AC65" i="53"/>
  <c r="AC305" i="53" s="1"/>
  <c r="AC51" i="53"/>
  <c r="AC291" i="53" s="1"/>
  <c r="AC50" i="53"/>
  <c r="AC290" i="53" s="1"/>
  <c r="AC49" i="53"/>
  <c r="AC289" i="53" s="1"/>
  <c r="AC36" i="53"/>
  <c r="AC276" i="53" s="1"/>
  <c r="AC35" i="53"/>
  <c r="AC275" i="53" s="1"/>
  <c r="AC21" i="53"/>
  <c r="AC261" i="53" s="1"/>
  <c r="AC20" i="53"/>
  <c r="AC260" i="53" s="1"/>
  <c r="AC19" i="53"/>
  <c r="AC259" i="53" s="1"/>
  <c r="E1" i="53"/>
  <c r="S90" i="50"/>
  <c r="S110" i="50"/>
  <c r="S48" i="50"/>
  <c r="S70" i="50"/>
  <c r="S8" i="50"/>
  <c r="S28" i="50"/>
  <c r="G1" i="32"/>
  <c r="E101" i="37"/>
  <c r="F101" i="37"/>
  <c r="C101" i="37"/>
  <c r="D101" i="37"/>
  <c r="D97" i="44"/>
  <c r="E97" i="44"/>
  <c r="C97" i="44"/>
  <c r="C5" i="41"/>
  <c r="D1" i="41" s="1"/>
  <c r="T5" i="25"/>
  <c r="C7" i="41"/>
  <c r="T7" i="41" s="1"/>
  <c r="C75" i="41" s="1"/>
  <c r="AD4" i="53" s="1"/>
  <c r="I109" i="32"/>
  <c r="I105" i="32"/>
  <c r="I101" i="32"/>
  <c r="K74" i="41"/>
  <c r="AC10" i="53" s="1"/>
  <c r="K52" i="41"/>
  <c r="AB6" i="41"/>
  <c r="K6" i="41"/>
  <c r="K7" i="41" s="1"/>
  <c r="S52" i="41"/>
  <c r="S74" i="41"/>
  <c r="C73" i="41"/>
  <c r="C51" i="41"/>
  <c r="T5" i="41"/>
  <c r="O74" i="41"/>
  <c r="O52" i="41"/>
  <c r="AF6" i="41"/>
  <c r="O6" i="41"/>
  <c r="O7" i="41" s="1"/>
  <c r="G74" i="41"/>
  <c r="AC8" i="53" s="1"/>
  <c r="G52" i="41"/>
  <c r="X6" i="41"/>
  <c r="G6" i="41"/>
  <c r="G7" i="41" s="1"/>
  <c r="C7" i="25"/>
  <c r="O4" i="37"/>
  <c r="Q4" i="37"/>
  <c r="R4" i="37"/>
  <c r="I106" i="32"/>
  <c r="H135" i="7"/>
  <c r="H134" i="7"/>
  <c r="H136" i="7"/>
  <c r="H132" i="7"/>
  <c r="H133" i="7"/>
  <c r="H131" i="7"/>
  <c r="H129" i="7"/>
  <c r="H128" i="7"/>
  <c r="H130" i="7"/>
  <c r="H126" i="7"/>
  <c r="H125" i="7"/>
  <c r="H127" i="7"/>
  <c r="H123" i="7"/>
  <c r="H124" i="7"/>
  <c r="H122" i="7"/>
  <c r="H120" i="7"/>
  <c r="H121" i="7"/>
  <c r="H119" i="7"/>
  <c r="H117" i="7"/>
  <c r="H118" i="7"/>
  <c r="H116" i="7"/>
  <c r="H114" i="7"/>
  <c r="H115" i="7"/>
  <c r="H113" i="7"/>
  <c r="H112" i="7"/>
  <c r="H111" i="7"/>
  <c r="H110" i="7"/>
  <c r="H107" i="7"/>
  <c r="H109" i="7"/>
  <c r="H108" i="7"/>
  <c r="H106" i="7"/>
  <c r="H105" i="7"/>
  <c r="H104" i="7"/>
  <c r="H103" i="7"/>
  <c r="H102" i="7"/>
  <c r="H101" i="7"/>
  <c r="AH10" i="37"/>
  <c r="AH9" i="37"/>
  <c r="AH8" i="37"/>
  <c r="AH5" i="37"/>
  <c r="AH7" i="37"/>
  <c r="AH6" i="37"/>
  <c r="AI9" i="37"/>
  <c r="M40" i="10"/>
  <c r="M41" i="10"/>
  <c r="L41" i="10"/>
  <c r="L40" i="10"/>
  <c r="G9" i="10"/>
  <c r="Q42" i="10" s="1"/>
  <c r="J1" i="32" s="1"/>
  <c r="G8" i="10"/>
  <c r="P42" i="10" s="1"/>
  <c r="G7" i="10"/>
  <c r="O42" i="10" s="1"/>
  <c r="H1" i="30"/>
  <c r="G6" i="10"/>
  <c r="N42" i="10" s="1"/>
  <c r="D6" i="32"/>
  <c r="AH6" i="30"/>
  <c r="AH10" i="30"/>
  <c r="AH7" i="30"/>
  <c r="AH11" i="30"/>
  <c r="AH8" i="30"/>
  <c r="AH12" i="30"/>
  <c r="AH5" i="30"/>
  <c r="AH9" i="30"/>
  <c r="M33" i="10"/>
  <c r="L33" i="10" s="1"/>
  <c r="G37" i="30"/>
  <c r="AF6" i="25"/>
  <c r="O6" i="25"/>
  <c r="O74" i="25"/>
  <c r="O52" i="25"/>
  <c r="S52" i="25"/>
  <c r="S74" i="25"/>
  <c r="X6" i="25"/>
  <c r="G6" i="25"/>
  <c r="G74" i="25"/>
  <c r="G52" i="25"/>
  <c r="C5" i="25"/>
  <c r="C73" i="25"/>
  <c r="C51" i="25"/>
  <c r="AB6" i="25"/>
  <c r="K6" i="25"/>
  <c r="K74" i="25"/>
  <c r="K52" i="25"/>
  <c r="N34" i="10"/>
  <c r="L27" i="10"/>
  <c r="O27" i="10"/>
  <c r="O31" i="10" s="1"/>
  <c r="I4" i="10"/>
  <c r="H5" i="10"/>
  <c r="T6" i="56" l="1"/>
  <c r="BB6" i="56"/>
  <c r="BB29" i="56" s="1"/>
  <c r="H109" i="32"/>
  <c r="C139" i="7"/>
  <c r="G1" i="37"/>
  <c r="C7" i="44"/>
  <c r="G39" i="53"/>
  <c r="T40" i="53" s="1"/>
  <c r="H6" i="56"/>
  <c r="K39" i="53"/>
  <c r="U40" i="53" s="1"/>
  <c r="L6" i="56"/>
  <c r="C38" i="53"/>
  <c r="D5" i="56"/>
  <c r="O39" i="53"/>
  <c r="V40" i="53" s="1"/>
  <c r="P6" i="56"/>
  <c r="D29" i="56"/>
  <c r="D52" i="56" s="1"/>
  <c r="C40" i="53"/>
  <c r="D7" i="56"/>
  <c r="D52" i="7"/>
  <c r="E52" i="7"/>
  <c r="F52" i="7"/>
  <c r="P52" i="7"/>
  <c r="R52" i="7"/>
  <c r="N26" i="7"/>
  <c r="Q52" i="7"/>
  <c r="C52" i="7"/>
  <c r="B8" i="7"/>
  <c r="C8" i="45" s="1"/>
  <c r="O52" i="7"/>
  <c r="B26" i="7"/>
  <c r="B27" i="7"/>
  <c r="B9" i="7"/>
  <c r="C9" i="45" s="1"/>
  <c r="N27" i="7"/>
  <c r="B7" i="7"/>
  <c r="C7" i="45" s="1"/>
  <c r="B25" i="7"/>
  <c r="P51" i="7"/>
  <c r="E51" i="7"/>
  <c r="R51" i="7"/>
  <c r="Q51" i="7"/>
  <c r="D51" i="7"/>
  <c r="O51" i="7"/>
  <c r="F51" i="7"/>
  <c r="C51" i="7"/>
  <c r="N25" i="7"/>
  <c r="H101" i="32"/>
  <c r="H105" i="32"/>
  <c r="C6" i="53"/>
  <c r="AB4" i="53"/>
  <c r="AB5" i="53"/>
  <c r="AB6" i="53"/>
  <c r="AC7" i="53"/>
  <c r="AC247" i="53" s="1"/>
  <c r="AC9" i="53"/>
  <c r="AC249" i="53" s="1"/>
  <c r="B42" i="32"/>
  <c r="AD229" i="53"/>
  <c r="AD469" i="53" s="1"/>
  <c r="AD214" i="53"/>
  <c r="AD454" i="53" s="1"/>
  <c r="AD199" i="53"/>
  <c r="AD439" i="53" s="1"/>
  <c r="AD184" i="53"/>
  <c r="AD424" i="53" s="1"/>
  <c r="AD169" i="53"/>
  <c r="AD409" i="53" s="1"/>
  <c r="AD154" i="53"/>
  <c r="AD394" i="53" s="1"/>
  <c r="AD139" i="53"/>
  <c r="AD379" i="53" s="1"/>
  <c r="AD124" i="53"/>
  <c r="AD364" i="53" s="1"/>
  <c r="AD109" i="53"/>
  <c r="AD349" i="53" s="1"/>
  <c r="AD94" i="53"/>
  <c r="AD334" i="53" s="1"/>
  <c r="AD79" i="53"/>
  <c r="AD319" i="53" s="1"/>
  <c r="AD64" i="53"/>
  <c r="AD304" i="53" s="1"/>
  <c r="AD49" i="53"/>
  <c r="AD289" i="53" s="1"/>
  <c r="AD34" i="53"/>
  <c r="AD274" i="53" s="1"/>
  <c r="AD19" i="53"/>
  <c r="AD259" i="53" s="1"/>
  <c r="AD244" i="53"/>
  <c r="AB231" i="53"/>
  <c r="AB215" i="53"/>
  <c r="AB199" i="53"/>
  <c r="AB186" i="53"/>
  <c r="AB216" i="53"/>
  <c r="AB200" i="53"/>
  <c r="AB185" i="53"/>
  <c r="AB171" i="53"/>
  <c r="AB170" i="53"/>
  <c r="AB169" i="53"/>
  <c r="AB156" i="53"/>
  <c r="AB155" i="53"/>
  <c r="AB154" i="53"/>
  <c r="AB141" i="53"/>
  <c r="AB140" i="53"/>
  <c r="AB139" i="53"/>
  <c r="AB229" i="53"/>
  <c r="AB201" i="53"/>
  <c r="AB184" i="53"/>
  <c r="AB230" i="53"/>
  <c r="AB214" i="53"/>
  <c r="AB126" i="53"/>
  <c r="AB110" i="53"/>
  <c r="AB94" i="53"/>
  <c r="AB81" i="53"/>
  <c r="AB65" i="53"/>
  <c r="AB51" i="53"/>
  <c r="AB50" i="53"/>
  <c r="AB49" i="53"/>
  <c r="AB111" i="53"/>
  <c r="AB95" i="53"/>
  <c r="AB80" i="53"/>
  <c r="AB64" i="53"/>
  <c r="AB124" i="53"/>
  <c r="AB96" i="53"/>
  <c r="AB79" i="53"/>
  <c r="AB36" i="53"/>
  <c r="AB35" i="53"/>
  <c r="AB125" i="53"/>
  <c r="AB109" i="53"/>
  <c r="AB66" i="53"/>
  <c r="AB34" i="53"/>
  <c r="AB20" i="53"/>
  <c r="AB21" i="53"/>
  <c r="AB19" i="53"/>
  <c r="AC232" i="53"/>
  <c r="AC472" i="53" s="1"/>
  <c r="AC204" i="53"/>
  <c r="AC444" i="53" s="1"/>
  <c r="AC174" i="53"/>
  <c r="AC414" i="53" s="1"/>
  <c r="AC173" i="53"/>
  <c r="AC413" i="53" s="1"/>
  <c r="AC172" i="53"/>
  <c r="AC412" i="53" s="1"/>
  <c r="AC159" i="53"/>
  <c r="AC399" i="53" s="1"/>
  <c r="AC158" i="53"/>
  <c r="AC398" i="53" s="1"/>
  <c r="AC157" i="53"/>
  <c r="AC397" i="53" s="1"/>
  <c r="AC144" i="53"/>
  <c r="AC384" i="53" s="1"/>
  <c r="AC143" i="53"/>
  <c r="AC383" i="53" s="1"/>
  <c r="AC142" i="53"/>
  <c r="AC382" i="53" s="1"/>
  <c r="AC233" i="53"/>
  <c r="AC473" i="53" s="1"/>
  <c r="AC217" i="53"/>
  <c r="AC457" i="53" s="1"/>
  <c r="AC189" i="53"/>
  <c r="AC429" i="53" s="1"/>
  <c r="AC188" i="53"/>
  <c r="AC428" i="53" s="1"/>
  <c r="AC234" i="53"/>
  <c r="AC474" i="53" s="1"/>
  <c r="AC218" i="53"/>
  <c r="AC458" i="53" s="1"/>
  <c r="AC202" i="53"/>
  <c r="AC442" i="53" s="1"/>
  <c r="AC187" i="53"/>
  <c r="AC427" i="53" s="1"/>
  <c r="AC219" i="53"/>
  <c r="AC459" i="53" s="1"/>
  <c r="AC203" i="53"/>
  <c r="AC443" i="53" s="1"/>
  <c r="AC127" i="53"/>
  <c r="AC367" i="53" s="1"/>
  <c r="AC99" i="53"/>
  <c r="AC339" i="53" s="1"/>
  <c r="AC83" i="53"/>
  <c r="AC323" i="53" s="1"/>
  <c r="AC68" i="53"/>
  <c r="AC308" i="53" s="1"/>
  <c r="AC128" i="53"/>
  <c r="AC368" i="53" s="1"/>
  <c r="AC112" i="53"/>
  <c r="AC352" i="53" s="1"/>
  <c r="AC84" i="53"/>
  <c r="AC324" i="53" s="1"/>
  <c r="AC67" i="53"/>
  <c r="AC307" i="53" s="1"/>
  <c r="AC129" i="53"/>
  <c r="AC369" i="53" s="1"/>
  <c r="AC113" i="53"/>
  <c r="AC353" i="53" s="1"/>
  <c r="AC97" i="53"/>
  <c r="AC337" i="53" s="1"/>
  <c r="AC24" i="53"/>
  <c r="AC264" i="53" s="1"/>
  <c r="AC22" i="53"/>
  <c r="AC262" i="53" s="1"/>
  <c r="AC248" i="53"/>
  <c r="AC114" i="53"/>
  <c r="AC354" i="53" s="1"/>
  <c r="AC98" i="53"/>
  <c r="AC338" i="53" s="1"/>
  <c r="AC82" i="53"/>
  <c r="AC322" i="53" s="1"/>
  <c r="AC69" i="53"/>
  <c r="AC309" i="53" s="1"/>
  <c r="AC54" i="53"/>
  <c r="AC294" i="53" s="1"/>
  <c r="AC53" i="53"/>
  <c r="AC293" i="53" s="1"/>
  <c r="AC52" i="53"/>
  <c r="AC292" i="53" s="1"/>
  <c r="AC39" i="53"/>
  <c r="AC279" i="53" s="1"/>
  <c r="AC38" i="53"/>
  <c r="AC278" i="53" s="1"/>
  <c r="AC37" i="53"/>
  <c r="AC277" i="53" s="1"/>
  <c r="AC23" i="53"/>
  <c r="AC263" i="53" s="1"/>
  <c r="AC240" i="53"/>
  <c r="AC480" i="53" s="1"/>
  <c r="AC224" i="53"/>
  <c r="AC464" i="53" s="1"/>
  <c r="AC208" i="53"/>
  <c r="AC448" i="53" s="1"/>
  <c r="AC178" i="53"/>
  <c r="AC418" i="53" s="1"/>
  <c r="AC165" i="53"/>
  <c r="AC405" i="53" s="1"/>
  <c r="AC164" i="53"/>
  <c r="AC404" i="53" s="1"/>
  <c r="AC163" i="53"/>
  <c r="AC403" i="53" s="1"/>
  <c r="AC150" i="53"/>
  <c r="AC390" i="53" s="1"/>
  <c r="AC149" i="53"/>
  <c r="AC389" i="53" s="1"/>
  <c r="AC148" i="53"/>
  <c r="AC388" i="53" s="1"/>
  <c r="AC225" i="53"/>
  <c r="AC465" i="53" s="1"/>
  <c r="AC209" i="53"/>
  <c r="AC449" i="53" s="1"/>
  <c r="AC193" i="53"/>
  <c r="AC433" i="53" s="1"/>
  <c r="AC180" i="53"/>
  <c r="AC420" i="53" s="1"/>
  <c r="AC238" i="53"/>
  <c r="AC478" i="53" s="1"/>
  <c r="AC210" i="53"/>
  <c r="AC450" i="53" s="1"/>
  <c r="AC194" i="53"/>
  <c r="AC434" i="53" s="1"/>
  <c r="AC179" i="53"/>
  <c r="AC419" i="53" s="1"/>
  <c r="AC239" i="53"/>
  <c r="AC479" i="53" s="1"/>
  <c r="AC223" i="53"/>
  <c r="AC463" i="53" s="1"/>
  <c r="AC195" i="53"/>
  <c r="AC435" i="53" s="1"/>
  <c r="AC135" i="53"/>
  <c r="AC375" i="53" s="1"/>
  <c r="AC119" i="53"/>
  <c r="AC359" i="53" s="1"/>
  <c r="AC103" i="53"/>
  <c r="AC343" i="53" s="1"/>
  <c r="AC120" i="53"/>
  <c r="AC360" i="53" s="1"/>
  <c r="AC104" i="53"/>
  <c r="AC344" i="53" s="1"/>
  <c r="AC88" i="53"/>
  <c r="AC328" i="53" s="1"/>
  <c r="AC75" i="53"/>
  <c r="AC315" i="53" s="1"/>
  <c r="AC133" i="53"/>
  <c r="AC373" i="53" s="1"/>
  <c r="AC105" i="53"/>
  <c r="AC345" i="53" s="1"/>
  <c r="AC89" i="53"/>
  <c r="AC329" i="53" s="1"/>
  <c r="AC74" i="53"/>
  <c r="AC314" i="53" s="1"/>
  <c r="AC30" i="53"/>
  <c r="AC270" i="53" s="1"/>
  <c r="AC28" i="53"/>
  <c r="AC268" i="53" s="1"/>
  <c r="AC134" i="53"/>
  <c r="AC374" i="53" s="1"/>
  <c r="AC118" i="53"/>
  <c r="AC358" i="53" s="1"/>
  <c r="AC90" i="53"/>
  <c r="AC330" i="53" s="1"/>
  <c r="AC73" i="53"/>
  <c r="AC313" i="53" s="1"/>
  <c r="AC60" i="53"/>
  <c r="AC300" i="53" s="1"/>
  <c r="AC59" i="53"/>
  <c r="AC299" i="53" s="1"/>
  <c r="AC58" i="53"/>
  <c r="AC298" i="53" s="1"/>
  <c r="AC45" i="53"/>
  <c r="AC285" i="53" s="1"/>
  <c r="AC44" i="53"/>
  <c r="AC284" i="53" s="1"/>
  <c r="AC43" i="53"/>
  <c r="AC283" i="53" s="1"/>
  <c r="AC29" i="53"/>
  <c r="AC269" i="53" s="1"/>
  <c r="AC15" i="53"/>
  <c r="AC255" i="53" s="1"/>
  <c r="AC14" i="53"/>
  <c r="AC254" i="53" s="1"/>
  <c r="AC13" i="53"/>
  <c r="AC253" i="53" s="1"/>
  <c r="AC243" i="53"/>
  <c r="AC483" i="53" s="1"/>
  <c r="AC242" i="53"/>
  <c r="AC482" i="53" s="1"/>
  <c r="AC241" i="53"/>
  <c r="AC481" i="53" s="1"/>
  <c r="AC228" i="53"/>
  <c r="AC468" i="53" s="1"/>
  <c r="AC212" i="53"/>
  <c r="AC452" i="53" s="1"/>
  <c r="AC196" i="53"/>
  <c r="AC436" i="53" s="1"/>
  <c r="AC181" i="53"/>
  <c r="AC421" i="53" s="1"/>
  <c r="AC168" i="53"/>
  <c r="AC408" i="53" s="1"/>
  <c r="AC167" i="53"/>
  <c r="AC407" i="53" s="1"/>
  <c r="AC166" i="53"/>
  <c r="AC406" i="53" s="1"/>
  <c r="AC153" i="53"/>
  <c r="AC393" i="53" s="1"/>
  <c r="AC152" i="53"/>
  <c r="AC392" i="53" s="1"/>
  <c r="AC151" i="53"/>
  <c r="AC391" i="53" s="1"/>
  <c r="AC213" i="53"/>
  <c r="AC453" i="53" s="1"/>
  <c r="AC197" i="53"/>
  <c r="AC437" i="53" s="1"/>
  <c r="AC226" i="53"/>
  <c r="AC466" i="53" s="1"/>
  <c r="AC198" i="53"/>
  <c r="AC438" i="53" s="1"/>
  <c r="AC183" i="53"/>
  <c r="AC423" i="53" s="1"/>
  <c r="AC227" i="53"/>
  <c r="AC467" i="53" s="1"/>
  <c r="AC211" i="53"/>
  <c r="AC451" i="53" s="1"/>
  <c r="AC182" i="53"/>
  <c r="AC422" i="53" s="1"/>
  <c r="AC138" i="53"/>
  <c r="AC378" i="53" s="1"/>
  <c r="AC123" i="53"/>
  <c r="AC363" i="53" s="1"/>
  <c r="AC107" i="53"/>
  <c r="AC347" i="53" s="1"/>
  <c r="AC91" i="53"/>
  <c r="AC331" i="53" s="1"/>
  <c r="AC76" i="53"/>
  <c r="AC316" i="53" s="1"/>
  <c r="AC137" i="53"/>
  <c r="AC377" i="53" s="1"/>
  <c r="AC108" i="53"/>
  <c r="AC348" i="53" s="1"/>
  <c r="AC92" i="53"/>
  <c r="AC332" i="53" s="1"/>
  <c r="AC136" i="53"/>
  <c r="AC376" i="53" s="1"/>
  <c r="AC121" i="53"/>
  <c r="AC361" i="53" s="1"/>
  <c r="AC93" i="53"/>
  <c r="AC333" i="53" s="1"/>
  <c r="AC78" i="53"/>
  <c r="AC318" i="53" s="1"/>
  <c r="AC32" i="53"/>
  <c r="AC272" i="53" s="1"/>
  <c r="AC31" i="53"/>
  <c r="AC271" i="53" s="1"/>
  <c r="AC17" i="53"/>
  <c r="AC257" i="53" s="1"/>
  <c r="AC122" i="53"/>
  <c r="AC362" i="53" s="1"/>
  <c r="AC106" i="53"/>
  <c r="AC346" i="53" s="1"/>
  <c r="AC77" i="53"/>
  <c r="AC317" i="53" s="1"/>
  <c r="AC63" i="53"/>
  <c r="AC303" i="53" s="1"/>
  <c r="AC62" i="53"/>
  <c r="AC302" i="53" s="1"/>
  <c r="AC61" i="53"/>
  <c r="AC301" i="53" s="1"/>
  <c r="AC48" i="53"/>
  <c r="AC288" i="53" s="1"/>
  <c r="AC47" i="53"/>
  <c r="AC287" i="53" s="1"/>
  <c r="AC46" i="53"/>
  <c r="AC286" i="53" s="1"/>
  <c r="AC33" i="53"/>
  <c r="AC273" i="53" s="1"/>
  <c r="AC18" i="53"/>
  <c r="AC258" i="53" s="1"/>
  <c r="AC16" i="53"/>
  <c r="AC256" i="53" s="1"/>
  <c r="AC236" i="53"/>
  <c r="AC476" i="53" s="1"/>
  <c r="AC220" i="53"/>
  <c r="AC460" i="53" s="1"/>
  <c r="AC192" i="53"/>
  <c r="AC432" i="53" s="1"/>
  <c r="AC177" i="53"/>
  <c r="AC417" i="53" s="1"/>
  <c r="AC176" i="53"/>
  <c r="AC416" i="53" s="1"/>
  <c r="AC175" i="53"/>
  <c r="AC415" i="53" s="1"/>
  <c r="AC162" i="53"/>
  <c r="AC402" i="53" s="1"/>
  <c r="AC161" i="53"/>
  <c r="AC401" i="53" s="1"/>
  <c r="AC160" i="53"/>
  <c r="AC400" i="53" s="1"/>
  <c r="AC147" i="53"/>
  <c r="AC387" i="53" s="1"/>
  <c r="AC146" i="53"/>
  <c r="AC386" i="53" s="1"/>
  <c r="AC145" i="53"/>
  <c r="AC385" i="53" s="1"/>
  <c r="AC237" i="53"/>
  <c r="AC477" i="53" s="1"/>
  <c r="AC221" i="53"/>
  <c r="AC461" i="53" s="1"/>
  <c r="AC205" i="53"/>
  <c r="AC445" i="53" s="1"/>
  <c r="AC222" i="53"/>
  <c r="AC462" i="53" s="1"/>
  <c r="AC206" i="53"/>
  <c r="AC446" i="53" s="1"/>
  <c r="AC190" i="53"/>
  <c r="AC430" i="53" s="1"/>
  <c r="AC235" i="53"/>
  <c r="AC475" i="53" s="1"/>
  <c r="AC207" i="53"/>
  <c r="AC447" i="53" s="1"/>
  <c r="AC191" i="53"/>
  <c r="AC431" i="53" s="1"/>
  <c r="AC131" i="53"/>
  <c r="AC371" i="53" s="1"/>
  <c r="AC115" i="53"/>
  <c r="AC355" i="53" s="1"/>
  <c r="AC87" i="53"/>
  <c r="AC327" i="53" s="1"/>
  <c r="AC72" i="53"/>
  <c r="AC312" i="53" s="1"/>
  <c r="AC132" i="53"/>
  <c r="AC372" i="53" s="1"/>
  <c r="AC116" i="53"/>
  <c r="AC356" i="53" s="1"/>
  <c r="AC100" i="53"/>
  <c r="AC340" i="53" s="1"/>
  <c r="AC71" i="53"/>
  <c r="AC311" i="53" s="1"/>
  <c r="AC117" i="53"/>
  <c r="AC357" i="53" s="1"/>
  <c r="AC101" i="53"/>
  <c r="AC341" i="53" s="1"/>
  <c r="AC85" i="53"/>
  <c r="AC325" i="53" s="1"/>
  <c r="AC70" i="53"/>
  <c r="AC310" i="53" s="1"/>
  <c r="AC26" i="53"/>
  <c r="AC266" i="53" s="1"/>
  <c r="AC12" i="53"/>
  <c r="AC252" i="53" s="1"/>
  <c r="AC250" i="53"/>
  <c r="AC130" i="53"/>
  <c r="AC370" i="53" s="1"/>
  <c r="AC102" i="53"/>
  <c r="AC342" i="53" s="1"/>
  <c r="AC86" i="53"/>
  <c r="AC326" i="53" s="1"/>
  <c r="AC57" i="53"/>
  <c r="AC297" i="53" s="1"/>
  <c r="AC56" i="53"/>
  <c r="AC296" i="53" s="1"/>
  <c r="AC55" i="53"/>
  <c r="AC295" i="53" s="1"/>
  <c r="AC42" i="53"/>
  <c r="AC282" i="53" s="1"/>
  <c r="AC41" i="53"/>
  <c r="AC281" i="53" s="1"/>
  <c r="AC40" i="53"/>
  <c r="AC280" i="53" s="1"/>
  <c r="AC27" i="53"/>
  <c r="AC267" i="53" s="1"/>
  <c r="AC25" i="53"/>
  <c r="AC265" i="53" s="1"/>
  <c r="AC11" i="53"/>
  <c r="AC251" i="53" s="1"/>
  <c r="D7" i="25"/>
  <c r="S99" i="32"/>
  <c r="G103" i="32"/>
  <c r="G106" i="32"/>
  <c r="G102" i="32"/>
  <c r="G107" i="32"/>
  <c r="B44" i="32"/>
  <c r="G110" i="32"/>
  <c r="G104" i="32"/>
  <c r="B47" i="32"/>
  <c r="G111" i="32"/>
  <c r="G112" i="32"/>
  <c r="B43" i="32"/>
  <c r="U99" i="32"/>
  <c r="G108" i="32"/>
  <c r="T99" i="32"/>
  <c r="C4" i="25"/>
  <c r="T4" i="41"/>
  <c r="C4" i="41"/>
  <c r="C98" i="44"/>
  <c r="D98" i="44"/>
  <c r="E98" i="44"/>
  <c r="C53" i="41"/>
  <c r="D7" i="41"/>
  <c r="D4" i="41" s="1"/>
  <c r="P20" i="32"/>
  <c r="C6" i="15"/>
  <c r="E6" i="15"/>
  <c r="F6" i="15"/>
  <c r="D6" i="15"/>
  <c r="T7" i="25"/>
  <c r="T4" i="25" s="1"/>
  <c r="C53" i="25"/>
  <c r="C48" i="25" s="1"/>
  <c r="K53" i="41"/>
  <c r="L7" i="41"/>
  <c r="AB7" i="41"/>
  <c r="K75" i="41" s="1"/>
  <c r="AD10" i="53" s="1"/>
  <c r="G53" i="41"/>
  <c r="X7" i="41"/>
  <c r="G75" i="41" s="1"/>
  <c r="AD7" i="53" s="1"/>
  <c r="H7" i="41"/>
  <c r="O53" i="41"/>
  <c r="P7" i="41"/>
  <c r="AF7" i="41"/>
  <c r="O75" i="41" s="1"/>
  <c r="O7" i="25"/>
  <c r="K7" i="25"/>
  <c r="D1" i="25"/>
  <c r="D1" i="53" s="1"/>
  <c r="Q101" i="37"/>
  <c r="O101" i="37"/>
  <c r="R101" i="37"/>
  <c r="AF9" i="37"/>
  <c r="S100" i="32"/>
  <c r="P41" i="32"/>
  <c r="I102" i="32"/>
  <c r="D20" i="32"/>
  <c r="AI8" i="37"/>
  <c r="P4" i="37"/>
  <c r="D18" i="37"/>
  <c r="AI5" i="37"/>
  <c r="P6" i="32"/>
  <c r="I110" i="32"/>
  <c r="E18" i="37"/>
  <c r="G7" i="25"/>
  <c r="H7" i="56" s="1"/>
  <c r="Q18" i="37"/>
  <c r="O18" i="37"/>
  <c r="I103" i="32"/>
  <c r="I107" i="32"/>
  <c r="I111" i="32"/>
  <c r="AI6" i="37"/>
  <c r="C18" i="37"/>
  <c r="T100" i="32"/>
  <c r="C20" i="32"/>
  <c r="C6" i="32"/>
  <c r="O6" i="32"/>
  <c r="E20" i="32"/>
  <c r="O41" i="32"/>
  <c r="M42" i="10"/>
  <c r="L42" i="10"/>
  <c r="H9" i="10"/>
  <c r="H8" i="10"/>
  <c r="H7" i="10"/>
  <c r="Q6" i="32"/>
  <c r="Q41" i="32"/>
  <c r="E6" i="32"/>
  <c r="D7" i="44" s="1"/>
  <c r="B37" i="30"/>
  <c r="N37" i="10"/>
  <c r="C142" i="7" s="1"/>
  <c r="N35" i="10"/>
  <c r="C140" i="7" s="1"/>
  <c r="N36" i="10"/>
  <c r="C141" i="7" s="1"/>
  <c r="M37" i="10"/>
  <c r="B142" i="7" s="1"/>
  <c r="N32" i="7"/>
  <c r="N52" i="7"/>
  <c r="N31" i="7"/>
  <c r="B58" i="7"/>
  <c r="B57" i="7"/>
  <c r="H6" i="10"/>
  <c r="M28" i="10"/>
  <c r="J4" i="10"/>
  <c r="I5" i="10"/>
  <c r="J3" i="10"/>
  <c r="T7" i="44" l="1"/>
  <c r="X7" i="44" s="1"/>
  <c r="C61" i="53"/>
  <c r="G1" i="7"/>
  <c r="G1" i="30" s="1"/>
  <c r="AG5" i="30"/>
  <c r="S39" i="53"/>
  <c r="BS6" i="56"/>
  <c r="CJ6" i="56" s="1"/>
  <c r="DA6" i="56" s="1"/>
  <c r="DT6" i="56" s="1"/>
  <c r="T29" i="56"/>
  <c r="AK6" i="56"/>
  <c r="T7" i="56"/>
  <c r="AK7" i="56" s="1"/>
  <c r="BB7" i="56"/>
  <c r="BS7" i="56" s="1"/>
  <c r="CJ7" i="56" s="1"/>
  <c r="AF6" i="56"/>
  <c r="BN6" i="56"/>
  <c r="BN29" i="56" s="1"/>
  <c r="AB6" i="56"/>
  <c r="BJ6" i="56"/>
  <c r="BJ29" i="56" s="1"/>
  <c r="X7" i="56"/>
  <c r="BF7" i="56"/>
  <c r="BF30" i="56" s="1"/>
  <c r="BB5" i="56"/>
  <c r="BB28" i="56" s="1"/>
  <c r="X6" i="56"/>
  <c r="BF6" i="56"/>
  <c r="BF29" i="56" s="1"/>
  <c r="E99" i="15"/>
  <c r="Y6" i="15"/>
  <c r="C99" i="15"/>
  <c r="W6" i="15"/>
  <c r="D99" i="15"/>
  <c r="X6" i="15"/>
  <c r="AJ6" i="15"/>
  <c r="Z6" i="15"/>
  <c r="C30" i="44"/>
  <c r="S7" i="44"/>
  <c r="W7" i="44" s="1"/>
  <c r="B131" i="53"/>
  <c r="K7" i="53"/>
  <c r="G7" i="53"/>
  <c r="C7" i="53"/>
  <c r="O7" i="53"/>
  <c r="B59" i="7"/>
  <c r="C99" i="44"/>
  <c r="C129" i="44" s="1"/>
  <c r="B106" i="32"/>
  <c r="D142" i="7"/>
  <c r="E142" i="7"/>
  <c r="C55" i="45"/>
  <c r="S55" i="45"/>
  <c r="C54" i="45"/>
  <c r="S54" i="45"/>
  <c r="C53" i="45"/>
  <c r="S53" i="45"/>
  <c r="S9" i="45"/>
  <c r="S36" i="45"/>
  <c r="S8" i="45"/>
  <c r="S35" i="45"/>
  <c r="S7" i="45"/>
  <c r="S34" i="45"/>
  <c r="C35" i="45"/>
  <c r="D9" i="45"/>
  <c r="G9" i="45"/>
  <c r="M9" i="45"/>
  <c r="N9" i="45"/>
  <c r="I9" i="45"/>
  <c r="L9" i="45"/>
  <c r="O9" i="45"/>
  <c r="J9" i="45"/>
  <c r="E9" i="45"/>
  <c r="H9" i="45"/>
  <c r="K9" i="45"/>
  <c r="F9" i="45"/>
  <c r="C34" i="45"/>
  <c r="N8" i="45"/>
  <c r="I8" i="45"/>
  <c r="L8" i="45"/>
  <c r="O8" i="45"/>
  <c r="J8" i="45"/>
  <c r="E8" i="45"/>
  <c r="H8" i="45"/>
  <c r="K8" i="45"/>
  <c r="F8" i="45"/>
  <c r="D8" i="45"/>
  <c r="G8" i="45"/>
  <c r="M8" i="45"/>
  <c r="C33" i="45"/>
  <c r="H7" i="45"/>
  <c r="O7" i="45"/>
  <c r="E7" i="45"/>
  <c r="D7" i="45"/>
  <c r="K7" i="45"/>
  <c r="N7" i="45"/>
  <c r="G7" i="45"/>
  <c r="J7" i="45"/>
  <c r="M7" i="45"/>
  <c r="L7" i="45"/>
  <c r="F7" i="45"/>
  <c r="I7" i="45"/>
  <c r="B60" i="7"/>
  <c r="D58" i="7"/>
  <c r="AN652" i="9"/>
  <c r="AN651" i="9"/>
  <c r="AQ651" i="9"/>
  <c r="AN639" i="9"/>
  <c r="AN640" i="9"/>
  <c r="AQ639" i="9"/>
  <c r="AN628" i="9"/>
  <c r="AN627" i="9"/>
  <c r="AQ627" i="9"/>
  <c r="AN615" i="9"/>
  <c r="AN616" i="9"/>
  <c r="AQ615" i="9"/>
  <c r="AQ603" i="9"/>
  <c r="AN603" i="9"/>
  <c r="AN604" i="9"/>
  <c r="AQ579" i="9"/>
  <c r="AN579" i="9"/>
  <c r="AN580" i="9"/>
  <c r="N10" i="37"/>
  <c r="B6" i="37"/>
  <c r="A6" i="37" s="1"/>
  <c r="C6" i="37" s="1"/>
  <c r="N5" i="37"/>
  <c r="P5" i="37" s="1"/>
  <c r="B10" i="37"/>
  <c r="F9" i="37" s="1"/>
  <c r="B5" i="37"/>
  <c r="A5" i="37" s="1"/>
  <c r="C5" i="37" s="1"/>
  <c r="B7" i="37"/>
  <c r="A7" i="37" s="1"/>
  <c r="C7" i="37" s="1"/>
  <c r="N7" i="37"/>
  <c r="P7" i="37" s="1"/>
  <c r="N6" i="37"/>
  <c r="P6" i="37" s="1"/>
  <c r="E44" i="32"/>
  <c r="R42" i="32"/>
  <c r="F43" i="32"/>
  <c r="T5" i="56"/>
  <c r="Z199" i="53"/>
  <c r="Z49" i="53"/>
  <c r="Z229" i="53"/>
  <c r="Z4" i="53"/>
  <c r="C37" i="53"/>
  <c r="F42" i="32"/>
  <c r="C35" i="53"/>
  <c r="V1" i="56"/>
  <c r="D30" i="56"/>
  <c r="D53" i="56" s="1"/>
  <c r="P29" i="56"/>
  <c r="P52" i="56" s="1"/>
  <c r="L29" i="56"/>
  <c r="L52" i="56" s="1"/>
  <c r="K40" i="53"/>
  <c r="L7" i="56"/>
  <c r="D4" i="25"/>
  <c r="AQ616" i="9" s="1"/>
  <c r="E7" i="56"/>
  <c r="BC7" i="56" s="1"/>
  <c r="H30" i="56"/>
  <c r="H53" i="56" s="1"/>
  <c r="O40" i="53"/>
  <c r="P7" i="56"/>
  <c r="D4" i="56"/>
  <c r="D28" i="56"/>
  <c r="D51" i="56" s="1"/>
  <c r="H29" i="56"/>
  <c r="H52" i="56" s="1"/>
  <c r="F58" i="7"/>
  <c r="E58" i="7"/>
  <c r="AN567" i="9"/>
  <c r="AN568" i="9"/>
  <c r="AQ567" i="9"/>
  <c r="AQ568" i="9"/>
  <c r="R25" i="7"/>
  <c r="R26" i="7" s="1"/>
  <c r="P25" i="7"/>
  <c r="O25" i="7"/>
  <c r="F25" i="7"/>
  <c r="Q25" i="7"/>
  <c r="D25" i="7"/>
  <c r="C25" i="7"/>
  <c r="E25" i="7"/>
  <c r="R27" i="7"/>
  <c r="Q27" i="7"/>
  <c r="P27" i="7"/>
  <c r="D27" i="7"/>
  <c r="F27" i="7"/>
  <c r="O27" i="7"/>
  <c r="E27" i="7"/>
  <c r="C27" i="7"/>
  <c r="C7" i="7"/>
  <c r="F7" i="7"/>
  <c r="D7" i="7"/>
  <c r="E7" i="7"/>
  <c r="C26" i="7"/>
  <c r="E26" i="7"/>
  <c r="D26" i="7"/>
  <c r="Q26" i="7"/>
  <c r="O26" i="7"/>
  <c r="P26" i="7"/>
  <c r="F26" i="7"/>
  <c r="E8" i="7"/>
  <c r="C8" i="7"/>
  <c r="F8" i="7"/>
  <c r="D8" i="7"/>
  <c r="C58" i="7"/>
  <c r="Z34" i="53"/>
  <c r="Z124" i="53"/>
  <c r="Z169" i="53"/>
  <c r="Z109" i="53"/>
  <c r="Z184" i="53"/>
  <c r="Z19" i="53"/>
  <c r="Z64" i="53"/>
  <c r="Z214" i="53"/>
  <c r="Z154" i="53"/>
  <c r="Z79" i="53"/>
  <c r="Z94" i="53"/>
  <c r="Z139" i="53"/>
  <c r="C5" i="53"/>
  <c r="E5" i="53"/>
  <c r="D5" i="53"/>
  <c r="C50" i="41"/>
  <c r="B7" i="32"/>
  <c r="D42" i="32"/>
  <c r="B21" i="32"/>
  <c r="E21" i="32" s="1"/>
  <c r="P42" i="32"/>
  <c r="N42" i="32"/>
  <c r="S42" i="32" s="1"/>
  <c r="E42" i="32"/>
  <c r="Q42" i="32"/>
  <c r="AE4" i="53"/>
  <c r="M106" i="32"/>
  <c r="E7" i="25"/>
  <c r="J106" i="32"/>
  <c r="B110" i="32"/>
  <c r="AB259" i="53"/>
  <c r="AE19" i="53"/>
  <c r="AB261" i="53"/>
  <c r="AB349" i="53"/>
  <c r="AE109" i="53"/>
  <c r="AB319" i="53"/>
  <c r="AE79" i="53"/>
  <c r="AB320" i="53"/>
  <c r="AB290" i="53"/>
  <c r="AB334" i="53"/>
  <c r="AE94" i="53"/>
  <c r="AB470" i="53"/>
  <c r="AB379" i="53"/>
  <c r="AE139" i="53"/>
  <c r="AB395" i="53"/>
  <c r="AB411" i="53"/>
  <c r="AB426" i="53"/>
  <c r="AD238" i="53"/>
  <c r="AD478" i="53" s="1"/>
  <c r="AD223" i="53"/>
  <c r="AD463" i="53" s="1"/>
  <c r="AD208" i="53"/>
  <c r="AD448" i="53" s="1"/>
  <c r="AD193" i="53"/>
  <c r="AD433" i="53" s="1"/>
  <c r="AD178" i="53"/>
  <c r="AD418" i="53" s="1"/>
  <c r="AD163" i="53"/>
  <c r="AD403" i="53" s="1"/>
  <c r="AD148" i="53"/>
  <c r="AD388" i="53" s="1"/>
  <c r="AD133" i="53"/>
  <c r="AD373" i="53" s="1"/>
  <c r="AD118" i="53"/>
  <c r="AD358" i="53" s="1"/>
  <c r="AD103" i="53"/>
  <c r="AD343" i="53" s="1"/>
  <c r="AD88" i="53"/>
  <c r="AD73" i="53"/>
  <c r="AD313" i="53" s="1"/>
  <c r="AD58" i="53"/>
  <c r="AD298" i="53" s="1"/>
  <c r="AD43" i="53"/>
  <c r="AD283" i="53" s="1"/>
  <c r="AD28" i="53"/>
  <c r="AD268" i="53" s="1"/>
  <c r="AD13" i="53"/>
  <c r="AD253" i="53" s="1"/>
  <c r="AD232" i="53"/>
  <c r="AD472" i="53" s="1"/>
  <c r="AD217" i="53"/>
  <c r="AD457" i="53" s="1"/>
  <c r="AD202" i="53"/>
  <c r="AD442" i="53" s="1"/>
  <c r="AD187" i="53"/>
  <c r="AD427" i="53" s="1"/>
  <c r="AD172" i="53"/>
  <c r="AD412" i="53" s="1"/>
  <c r="AD157" i="53"/>
  <c r="AD397" i="53" s="1"/>
  <c r="AD142" i="53"/>
  <c r="AD382" i="53" s="1"/>
  <c r="AD127" i="53"/>
  <c r="AD367" i="53" s="1"/>
  <c r="AD112" i="53"/>
  <c r="AD352" i="53" s="1"/>
  <c r="AD97" i="53"/>
  <c r="AD337" i="53" s="1"/>
  <c r="AD82" i="53"/>
  <c r="AD67" i="53"/>
  <c r="AD307" i="53" s="1"/>
  <c r="AD52" i="53"/>
  <c r="AD292" i="53" s="1"/>
  <c r="AD37" i="53"/>
  <c r="AD277" i="53" s="1"/>
  <c r="AD22" i="53"/>
  <c r="AD262" i="53" s="1"/>
  <c r="AD247" i="53"/>
  <c r="AD235" i="53"/>
  <c r="AD475" i="53" s="1"/>
  <c r="AD220" i="53"/>
  <c r="AD460" i="53" s="1"/>
  <c r="AD205" i="53"/>
  <c r="AD445" i="53" s="1"/>
  <c r="AD190" i="53"/>
  <c r="AD430" i="53" s="1"/>
  <c r="AD175" i="53"/>
  <c r="AD415" i="53" s="1"/>
  <c r="AD160" i="53"/>
  <c r="AD400" i="53" s="1"/>
  <c r="AD145" i="53"/>
  <c r="AD385" i="53" s="1"/>
  <c r="AD130" i="53"/>
  <c r="AD370" i="53" s="1"/>
  <c r="AD115" i="53"/>
  <c r="AD355" i="53" s="1"/>
  <c r="AD100" i="53"/>
  <c r="AD340" i="53" s="1"/>
  <c r="AD85" i="53"/>
  <c r="AD70" i="53"/>
  <c r="AD310" i="53" s="1"/>
  <c r="AD55" i="53"/>
  <c r="AD295" i="53" s="1"/>
  <c r="AD40" i="53"/>
  <c r="AD280" i="53" s="1"/>
  <c r="AD25" i="53"/>
  <c r="AD265" i="53" s="1"/>
  <c r="AD250" i="53"/>
  <c r="AB246" i="53"/>
  <c r="AB260" i="53"/>
  <c r="AB365" i="53"/>
  <c r="AB336" i="53"/>
  <c r="AB335" i="53"/>
  <c r="AB291" i="53"/>
  <c r="AB350" i="53"/>
  <c r="AB424" i="53"/>
  <c r="AE184" i="53"/>
  <c r="AB380" i="53"/>
  <c r="AB396" i="53"/>
  <c r="AB425" i="53"/>
  <c r="AB439" i="53"/>
  <c r="AE199" i="53"/>
  <c r="AB244" i="53"/>
  <c r="AB274" i="53"/>
  <c r="AE34" i="53"/>
  <c r="AB275" i="53"/>
  <c r="AB364" i="53"/>
  <c r="AE124" i="53"/>
  <c r="AB351" i="53"/>
  <c r="AB305" i="53"/>
  <c r="AB366" i="53"/>
  <c r="AB441" i="53"/>
  <c r="AB381" i="53"/>
  <c r="AB409" i="53"/>
  <c r="AE169" i="53"/>
  <c r="AB440" i="53"/>
  <c r="AB455" i="53"/>
  <c r="AB245" i="53"/>
  <c r="AB306" i="53"/>
  <c r="AB276" i="53"/>
  <c r="AB304" i="53"/>
  <c r="AE64" i="53"/>
  <c r="AB289" i="53"/>
  <c r="AE49" i="53"/>
  <c r="AB321" i="53"/>
  <c r="AB454" i="53"/>
  <c r="AE214" i="53"/>
  <c r="AB469" i="53"/>
  <c r="AE229" i="53"/>
  <c r="AB394" i="53"/>
  <c r="AE154" i="53"/>
  <c r="AB410" i="53"/>
  <c r="AB456" i="53"/>
  <c r="AB471" i="53"/>
  <c r="B103" i="32"/>
  <c r="S114" i="32"/>
  <c r="B9" i="32"/>
  <c r="A9" i="32" s="1"/>
  <c r="C44" i="32" s="1"/>
  <c r="C47" i="32" s="1"/>
  <c r="G40" i="53"/>
  <c r="D40" i="53"/>
  <c r="D61" i="53" s="1"/>
  <c r="L7" i="25"/>
  <c r="P7" i="25"/>
  <c r="B15" i="32"/>
  <c r="N15" i="32" s="1"/>
  <c r="B111" i="32"/>
  <c r="D43" i="32"/>
  <c r="B26" i="32"/>
  <c r="B46" i="32"/>
  <c r="B11" i="32" s="1"/>
  <c r="N11" i="32" s="1"/>
  <c r="N47" i="32"/>
  <c r="B12" i="32"/>
  <c r="B29" i="32"/>
  <c r="N29" i="32" s="1"/>
  <c r="B107" i="32"/>
  <c r="R44" i="32"/>
  <c r="Q44" i="32"/>
  <c r="P44" i="32"/>
  <c r="T115" i="32"/>
  <c r="B102" i="32"/>
  <c r="B22" i="32"/>
  <c r="B8" i="32"/>
  <c r="A8" i="32" s="1"/>
  <c r="O43" i="32" s="1"/>
  <c r="F44" i="32"/>
  <c r="P43" i="32"/>
  <c r="R43" i="32"/>
  <c r="E43" i="32"/>
  <c r="N43" i="32"/>
  <c r="S43" i="32" s="1"/>
  <c r="Q43" i="32"/>
  <c r="B23" i="32"/>
  <c r="D23" i="32" s="1"/>
  <c r="N44" i="32"/>
  <c r="S44" i="32" s="1"/>
  <c r="D44" i="32"/>
  <c r="C50" i="25"/>
  <c r="C48" i="41"/>
  <c r="C68" i="41"/>
  <c r="C69" i="41"/>
  <c r="C67" i="41"/>
  <c r="AG9" i="30"/>
  <c r="P101" i="37"/>
  <c r="U7" i="41"/>
  <c r="U4" i="41" s="1"/>
  <c r="E7" i="41"/>
  <c r="E4" i="41" s="1"/>
  <c r="AN569" i="9" s="1"/>
  <c r="D53" i="41"/>
  <c r="J110" i="32"/>
  <c r="M107" i="32"/>
  <c r="M111" i="32"/>
  <c r="M110" i="32"/>
  <c r="J107" i="32"/>
  <c r="J111" i="32"/>
  <c r="F99" i="15"/>
  <c r="R29" i="7"/>
  <c r="Q29" i="7"/>
  <c r="P29" i="7"/>
  <c r="O29" i="7"/>
  <c r="R30" i="7"/>
  <c r="Q30" i="7"/>
  <c r="P30" i="7"/>
  <c r="O30" i="7"/>
  <c r="B11" i="30"/>
  <c r="B13" i="30" s="1"/>
  <c r="N13" i="30" s="1"/>
  <c r="N7" i="30"/>
  <c r="N25" i="30" s="1"/>
  <c r="N11" i="30"/>
  <c r="N6" i="30"/>
  <c r="N5" i="30"/>
  <c r="B7" i="30"/>
  <c r="B6" i="30"/>
  <c r="C107" i="30"/>
  <c r="B5" i="30"/>
  <c r="N12" i="30"/>
  <c r="C108" i="30"/>
  <c r="B12" i="30"/>
  <c r="C75" i="25"/>
  <c r="S112" i="32"/>
  <c r="S107" i="32"/>
  <c r="S102" i="32"/>
  <c r="T114" i="32"/>
  <c r="T113" i="32"/>
  <c r="T104" i="32"/>
  <c r="T103" i="32"/>
  <c r="S105" i="32"/>
  <c r="S116" i="32"/>
  <c r="S111" i="32"/>
  <c r="S106" i="32"/>
  <c r="T101" i="32"/>
  <c r="T102" i="32"/>
  <c r="T108" i="32"/>
  <c r="T107" i="32"/>
  <c r="S104" i="32"/>
  <c r="S113" i="32"/>
  <c r="S115" i="32"/>
  <c r="S110" i="32"/>
  <c r="T105" i="32"/>
  <c r="T106" i="32"/>
  <c r="T112" i="32"/>
  <c r="T111" i="32"/>
  <c r="S108" i="32"/>
  <c r="S103" i="32"/>
  <c r="S109" i="32"/>
  <c r="T109" i="32"/>
  <c r="T110" i="32"/>
  <c r="T116" i="32"/>
  <c r="S101" i="32"/>
  <c r="D30" i="44"/>
  <c r="D99" i="44"/>
  <c r="F56" i="7"/>
  <c r="C56" i="7"/>
  <c r="E56" i="7"/>
  <c r="D56" i="7"/>
  <c r="N29" i="7"/>
  <c r="F55" i="7"/>
  <c r="C55" i="7"/>
  <c r="E55" i="7"/>
  <c r="D55" i="7"/>
  <c r="N30" i="7"/>
  <c r="D28" i="15"/>
  <c r="F28" i="15"/>
  <c r="E28" i="15"/>
  <c r="C28" i="15"/>
  <c r="C69" i="25"/>
  <c r="C67" i="25"/>
  <c r="C68" i="25"/>
  <c r="AB6" i="44"/>
  <c r="P7" i="44"/>
  <c r="P30" i="44" s="1"/>
  <c r="L7" i="44"/>
  <c r="L30" i="44" s="1"/>
  <c r="H7" i="44"/>
  <c r="H30" i="44" s="1"/>
  <c r="AB7" i="25"/>
  <c r="K75" i="25" s="1"/>
  <c r="K53" i="25"/>
  <c r="AF7" i="25"/>
  <c r="O75" i="25" s="1"/>
  <c r="O53" i="25"/>
  <c r="H53" i="41"/>
  <c r="I7" i="41"/>
  <c r="Y7" i="41"/>
  <c r="G73" i="41"/>
  <c r="AB8" i="53" s="1"/>
  <c r="G51" i="41"/>
  <c r="X5" i="41"/>
  <c r="G5" i="41"/>
  <c r="P53" i="41"/>
  <c r="Q7" i="41"/>
  <c r="AG7" i="41"/>
  <c r="AC7" i="41"/>
  <c r="L53" i="41"/>
  <c r="M7" i="41"/>
  <c r="G53" i="25"/>
  <c r="H7" i="25"/>
  <c r="I7" i="56" s="1"/>
  <c r="AF8" i="37"/>
  <c r="AF6" i="37"/>
  <c r="AF5" i="37"/>
  <c r="P18" i="37"/>
  <c r="S97" i="32"/>
  <c r="Q20" i="32"/>
  <c r="O20" i="32"/>
  <c r="AA6" i="44"/>
  <c r="G125" i="7"/>
  <c r="B125" i="7" s="1"/>
  <c r="G126" i="7"/>
  <c r="B126" i="7" s="1"/>
  <c r="G127" i="7"/>
  <c r="B127" i="7" s="1"/>
  <c r="G113" i="7"/>
  <c r="B113" i="7" s="1"/>
  <c r="G114" i="7"/>
  <c r="B114" i="7" s="1"/>
  <c r="G115" i="7"/>
  <c r="B115" i="7" s="1"/>
  <c r="G103" i="7"/>
  <c r="B103" i="7" s="1"/>
  <c r="G102" i="7"/>
  <c r="B102" i="7" s="1"/>
  <c r="G101" i="7"/>
  <c r="B101" i="7" s="1"/>
  <c r="U7" i="25"/>
  <c r="U4" i="25" s="1"/>
  <c r="D53" i="25"/>
  <c r="D50" i="25" s="1"/>
  <c r="X7" i="25"/>
  <c r="G75" i="25" s="1"/>
  <c r="R18" i="37"/>
  <c r="AI10" i="37"/>
  <c r="I104" i="32"/>
  <c r="I112" i="32"/>
  <c r="I108" i="32"/>
  <c r="AI7" i="37"/>
  <c r="F18" i="37"/>
  <c r="U100" i="32"/>
  <c r="I9" i="10"/>
  <c r="I8" i="10"/>
  <c r="I7" i="10"/>
  <c r="B13" i="7"/>
  <c r="B11" i="45" s="1"/>
  <c r="R38" i="45" s="1"/>
  <c r="B36" i="7"/>
  <c r="B31" i="7"/>
  <c r="B33" i="7" s="1"/>
  <c r="N15" i="7" s="1"/>
  <c r="B18" i="7"/>
  <c r="N36" i="7" s="1"/>
  <c r="I6" i="10"/>
  <c r="R41" i="32"/>
  <c r="F20" i="32"/>
  <c r="F6" i="32"/>
  <c r="R6" i="32"/>
  <c r="V102" i="7"/>
  <c r="T102" i="7"/>
  <c r="U102" i="7"/>
  <c r="W102" i="7"/>
  <c r="B37" i="7"/>
  <c r="B14" i="7"/>
  <c r="B32" i="7"/>
  <c r="B34" i="7" s="1"/>
  <c r="N16" i="7" s="1"/>
  <c r="B19" i="7"/>
  <c r="N37" i="7" s="1"/>
  <c r="G38" i="30"/>
  <c r="AI6" i="15"/>
  <c r="AG6" i="15"/>
  <c r="AH6" i="15"/>
  <c r="I1" i="7"/>
  <c r="X5" i="25"/>
  <c r="G5" i="25"/>
  <c r="G73" i="25"/>
  <c r="G51" i="25"/>
  <c r="L37" i="10"/>
  <c r="L28" i="10"/>
  <c r="T6" i="15"/>
  <c r="T28" i="15" s="1"/>
  <c r="R6" i="15"/>
  <c r="R28" i="15" s="1"/>
  <c r="S6" i="15"/>
  <c r="S28" i="15" s="1"/>
  <c r="U6" i="15"/>
  <c r="U28" i="15" s="1"/>
  <c r="B55" i="7"/>
  <c r="B56" i="7"/>
  <c r="M6" i="15"/>
  <c r="M28" i="15" s="1"/>
  <c r="I6" i="15"/>
  <c r="AC6" i="15" s="1"/>
  <c r="H6" i="15"/>
  <c r="AB6" i="15" s="1"/>
  <c r="O6" i="15"/>
  <c r="O28" i="15" s="1"/>
  <c r="J6" i="15"/>
  <c r="AD6" i="15" s="1"/>
  <c r="P6" i="15"/>
  <c r="P28" i="15" s="1"/>
  <c r="N6" i="15"/>
  <c r="N28" i="15" s="1"/>
  <c r="K6" i="15"/>
  <c r="AE6" i="15" s="1"/>
  <c r="O28" i="10"/>
  <c r="N9" i="7"/>
  <c r="N58" i="7"/>
  <c r="N57" i="7"/>
  <c r="N51" i="7"/>
  <c r="N7" i="7"/>
  <c r="N8" i="7"/>
  <c r="N53" i="7"/>
  <c r="K4" i="10"/>
  <c r="J5" i="10"/>
  <c r="K3" i="10"/>
  <c r="C9" i="53" l="1"/>
  <c r="V55" i="45"/>
  <c r="O54" i="45"/>
  <c r="K54" i="45"/>
  <c r="G54" i="45"/>
  <c r="F54" i="45"/>
  <c r="N54" i="45"/>
  <c r="J54" i="45"/>
  <c r="H54" i="45"/>
  <c r="M54" i="45"/>
  <c r="I54" i="45"/>
  <c r="E54" i="45"/>
  <c r="L54" i="45"/>
  <c r="D54" i="45"/>
  <c r="O53" i="45"/>
  <c r="K53" i="45"/>
  <c r="G53" i="45"/>
  <c r="N53" i="45"/>
  <c r="F53" i="45"/>
  <c r="L53" i="45"/>
  <c r="J53" i="45"/>
  <c r="H53" i="45"/>
  <c r="M53" i="45"/>
  <c r="I53" i="45"/>
  <c r="E53" i="45"/>
  <c r="D53" i="45"/>
  <c r="O55" i="45"/>
  <c r="K55" i="45"/>
  <c r="G55" i="45"/>
  <c r="N55" i="45"/>
  <c r="J55" i="45"/>
  <c r="F55" i="45"/>
  <c r="M55" i="45"/>
  <c r="I55" i="45"/>
  <c r="E55" i="45"/>
  <c r="L55" i="45"/>
  <c r="H55" i="45"/>
  <c r="D55" i="45"/>
  <c r="T30" i="56"/>
  <c r="T53" i="56" s="1"/>
  <c r="AK53" i="56" s="1"/>
  <c r="BW7" i="56"/>
  <c r="CN7" i="56" s="1"/>
  <c r="DE7" i="56" s="1"/>
  <c r="DX7" i="56" s="1"/>
  <c r="N19" i="7"/>
  <c r="N18" i="7"/>
  <c r="BW6" i="56"/>
  <c r="CN6" i="56" s="1"/>
  <c r="DE6" i="56" s="1"/>
  <c r="DX6" i="56" s="1"/>
  <c r="G99" i="44"/>
  <c r="AK5" i="56"/>
  <c r="BS5" i="56"/>
  <c r="CJ5" i="56" s="1"/>
  <c r="CK1" i="56" s="1"/>
  <c r="C112" i="44"/>
  <c r="T52" i="56"/>
  <c r="AK52" i="56" s="1"/>
  <c r="AK29" i="56"/>
  <c r="AF29" i="56"/>
  <c r="AW29" i="56" s="1"/>
  <c r="AW6" i="56"/>
  <c r="AB29" i="56"/>
  <c r="AS6" i="56"/>
  <c r="X29" i="56"/>
  <c r="AO6" i="56"/>
  <c r="T28" i="56"/>
  <c r="X30" i="56"/>
  <c r="AO7" i="56"/>
  <c r="BC4" i="56"/>
  <c r="BC30" i="56"/>
  <c r="BB4" i="56"/>
  <c r="BB30" i="56"/>
  <c r="AB7" i="56"/>
  <c r="BJ7" i="56"/>
  <c r="BJ30" i="56" s="1"/>
  <c r="Y7" i="56"/>
  <c r="AP7" i="56" s="1"/>
  <c r="BG7" i="56"/>
  <c r="BG30" i="56" s="1"/>
  <c r="AF7" i="56"/>
  <c r="BN7" i="56"/>
  <c r="BN30" i="56" s="1"/>
  <c r="C110" i="44"/>
  <c r="C123" i="44"/>
  <c r="C106" i="44"/>
  <c r="C119" i="44"/>
  <c r="C100" i="44"/>
  <c r="C116" i="44"/>
  <c r="C103" i="44"/>
  <c r="C101" i="44"/>
  <c r="C113" i="44"/>
  <c r="C128" i="44"/>
  <c r="C124" i="44"/>
  <c r="C120" i="44"/>
  <c r="C130" i="44"/>
  <c r="C108" i="44"/>
  <c r="C104" i="44"/>
  <c r="C102" i="44"/>
  <c r="C114" i="44"/>
  <c r="C125" i="44"/>
  <c r="C121" i="44"/>
  <c r="C117" i="44"/>
  <c r="C127" i="44"/>
  <c r="C109" i="44"/>
  <c r="C105" i="44"/>
  <c r="C111" i="44"/>
  <c r="C107" i="44"/>
  <c r="C126" i="44"/>
  <c r="C122" i="44"/>
  <c r="C118" i="44"/>
  <c r="C91" i="41"/>
  <c r="C90" i="41"/>
  <c r="BS29" i="56"/>
  <c r="CJ29" i="56" s="1"/>
  <c r="DA29" i="56" s="1"/>
  <c r="DT29" i="56" s="1"/>
  <c r="BB52" i="56"/>
  <c r="BS52" i="56" s="1"/>
  <c r="L7" i="53"/>
  <c r="P7" i="53"/>
  <c r="D7" i="53"/>
  <c r="D9" i="53" s="1"/>
  <c r="CL1" i="56"/>
  <c r="H7" i="53"/>
  <c r="C89" i="41"/>
  <c r="C90" i="25"/>
  <c r="C89" i="25"/>
  <c r="C91" i="25"/>
  <c r="F142" i="7"/>
  <c r="C12" i="7"/>
  <c r="C14" i="7" s="1"/>
  <c r="B12" i="45"/>
  <c r="R39" i="45" s="1"/>
  <c r="P8" i="45"/>
  <c r="C11" i="45"/>
  <c r="B37" i="45"/>
  <c r="C37" i="45" s="1"/>
  <c r="R14" i="45"/>
  <c r="B14" i="45"/>
  <c r="C14" i="45" s="1"/>
  <c r="R57" i="45"/>
  <c r="B57" i="45"/>
  <c r="C57" i="45" s="1"/>
  <c r="R11" i="45"/>
  <c r="K13" i="45"/>
  <c r="O13" i="45"/>
  <c r="M13" i="45"/>
  <c r="H13" i="45"/>
  <c r="L13" i="45"/>
  <c r="G13" i="45"/>
  <c r="I34" i="45"/>
  <c r="H34" i="45"/>
  <c r="G34" i="45"/>
  <c r="E34" i="45"/>
  <c r="D34" i="45"/>
  <c r="N34" i="45"/>
  <c r="J34" i="45"/>
  <c r="M34" i="45"/>
  <c r="L34" i="45"/>
  <c r="K34" i="45"/>
  <c r="F34" i="45"/>
  <c r="E13" i="45"/>
  <c r="I13" i="45"/>
  <c r="D13" i="45"/>
  <c r="F13" i="45"/>
  <c r="J13" i="45"/>
  <c r="N13" i="45"/>
  <c r="N35" i="45"/>
  <c r="M35" i="45"/>
  <c r="L35" i="45"/>
  <c r="G35" i="45"/>
  <c r="J35" i="45"/>
  <c r="I35" i="45"/>
  <c r="H35" i="45"/>
  <c r="F35" i="45"/>
  <c r="E35" i="45"/>
  <c r="D35" i="45"/>
  <c r="K35" i="45"/>
  <c r="P7" i="45"/>
  <c r="D33" i="45"/>
  <c r="K33" i="45"/>
  <c r="N33" i="45"/>
  <c r="G33" i="45"/>
  <c r="J33" i="45"/>
  <c r="M33" i="45"/>
  <c r="L33" i="45"/>
  <c r="F33" i="45"/>
  <c r="I33" i="45"/>
  <c r="H33" i="45"/>
  <c r="E33" i="45"/>
  <c r="B14" i="30"/>
  <c r="N14" i="30" s="1"/>
  <c r="N32" i="30" s="1"/>
  <c r="Q9" i="37"/>
  <c r="R9" i="37"/>
  <c r="AN653" i="9"/>
  <c r="AQ652" i="9"/>
  <c r="AN641" i="9"/>
  <c r="AQ640" i="9"/>
  <c r="AN629" i="9"/>
  <c r="AQ628" i="9"/>
  <c r="AN617" i="9"/>
  <c r="AN605" i="9"/>
  <c r="AQ604" i="9"/>
  <c r="AN581" i="9"/>
  <c r="AQ580" i="9"/>
  <c r="P9" i="37"/>
  <c r="P10" i="37" s="1"/>
  <c r="D9" i="37"/>
  <c r="E9" i="37"/>
  <c r="P11" i="32"/>
  <c r="R11" i="32"/>
  <c r="Q11" i="32"/>
  <c r="R25" i="32"/>
  <c r="Q25" i="32"/>
  <c r="P25" i="32"/>
  <c r="F25" i="32"/>
  <c r="F26" i="32" s="1"/>
  <c r="N104" i="32" s="1"/>
  <c r="E25" i="32"/>
  <c r="D25" i="32"/>
  <c r="D26" i="32" s="1"/>
  <c r="N102" i="32" s="1"/>
  <c r="O6" i="37"/>
  <c r="O7" i="37"/>
  <c r="O10" i="37" s="1"/>
  <c r="O5" i="37"/>
  <c r="Q6" i="37"/>
  <c r="R6" i="37"/>
  <c r="B24" i="37"/>
  <c r="R23" i="37" s="1"/>
  <c r="N9" i="37"/>
  <c r="B13" i="37"/>
  <c r="N107" i="37"/>
  <c r="N13" i="37"/>
  <c r="N24" i="37"/>
  <c r="B107" i="37"/>
  <c r="B9" i="37"/>
  <c r="R7" i="37"/>
  <c r="Q7" i="37"/>
  <c r="R5" i="37"/>
  <c r="Q5" i="37"/>
  <c r="E7" i="37"/>
  <c r="C10" i="37"/>
  <c r="N104" i="37"/>
  <c r="F7" i="37"/>
  <c r="F10" i="37" s="1"/>
  <c r="B104" i="37"/>
  <c r="B21" i="37"/>
  <c r="F21" i="37" s="1"/>
  <c r="N21" i="37"/>
  <c r="P21" i="37" s="1"/>
  <c r="D7" i="37"/>
  <c r="E6" i="37"/>
  <c r="D6" i="37"/>
  <c r="N103" i="37"/>
  <c r="B103" i="37"/>
  <c r="F6" i="37"/>
  <c r="B20" i="37"/>
  <c r="F20" i="37" s="1"/>
  <c r="N20" i="37"/>
  <c r="R20" i="37" s="1"/>
  <c r="B102" i="37"/>
  <c r="F5" i="37"/>
  <c r="N102" i="37"/>
  <c r="B19" i="37"/>
  <c r="F19" i="37" s="1"/>
  <c r="E5" i="37"/>
  <c r="D5" i="37"/>
  <c r="N19" i="37"/>
  <c r="P19" i="37" s="1"/>
  <c r="C22" i="32"/>
  <c r="O44" i="32"/>
  <c r="O47" i="32" s="1"/>
  <c r="C43" i="32"/>
  <c r="C48" i="32" s="1"/>
  <c r="C23" i="32"/>
  <c r="C26" i="32" s="1"/>
  <c r="A7" i="32"/>
  <c r="C21" i="32" s="1"/>
  <c r="D9" i="32"/>
  <c r="C9" i="32"/>
  <c r="C12" i="32" s="1"/>
  <c r="E8" i="32"/>
  <c r="C8" i="32"/>
  <c r="E7" i="32"/>
  <c r="AD325" i="53"/>
  <c r="AD322" i="53"/>
  <c r="AD328" i="53"/>
  <c r="D11" i="32"/>
  <c r="F11" i="32"/>
  <c r="E11" i="32"/>
  <c r="H134" i="53"/>
  <c r="C36" i="53"/>
  <c r="C45" i="53" s="1"/>
  <c r="CJ4" i="56"/>
  <c r="DA7" i="56"/>
  <c r="B176" i="53"/>
  <c r="B161" i="53"/>
  <c r="T4" i="56"/>
  <c r="CE6" i="56"/>
  <c r="CV6" i="56" s="1"/>
  <c r="DM6" i="56" s="1"/>
  <c r="EF6" i="56" s="1"/>
  <c r="CA6" i="56"/>
  <c r="CR6" i="56" s="1"/>
  <c r="DI6" i="56" s="1"/>
  <c r="EB6" i="56" s="1"/>
  <c r="Z469" i="53"/>
  <c r="Z274" i="53"/>
  <c r="Z424" i="53"/>
  <c r="Z379" i="53"/>
  <c r="Z259" i="53"/>
  <c r="Z289" i="53"/>
  <c r="Z364" i="53"/>
  <c r="Z244" i="53"/>
  <c r="Z349" i="53"/>
  <c r="Z394" i="53"/>
  <c r="Z454" i="53"/>
  <c r="Z409" i="53"/>
  <c r="Z304" i="53"/>
  <c r="Z439" i="53"/>
  <c r="Z334" i="53"/>
  <c r="Z319" i="53"/>
  <c r="BB51" i="56"/>
  <c r="BS51" i="56" s="1"/>
  <c r="BB2" i="56"/>
  <c r="D27" i="56"/>
  <c r="G42" i="32"/>
  <c r="E4" i="56"/>
  <c r="U7" i="56"/>
  <c r="P30" i="56"/>
  <c r="P53" i="56" s="1"/>
  <c r="BT7" i="56"/>
  <c r="CK7" i="56" s="1"/>
  <c r="E30" i="56"/>
  <c r="E53" i="56" s="1"/>
  <c r="BX7" i="56"/>
  <c r="CO7" i="56" s="1"/>
  <c r="DF7" i="56" s="1"/>
  <c r="DY7" i="56" s="1"/>
  <c r="I30" i="56"/>
  <c r="I53" i="56" s="1"/>
  <c r="M7" i="25"/>
  <c r="N7" i="56" s="1"/>
  <c r="M7" i="56"/>
  <c r="L30" i="56"/>
  <c r="L53" i="56" s="1"/>
  <c r="G38" i="53"/>
  <c r="G61" i="53" s="1"/>
  <c r="H5" i="56"/>
  <c r="Q7" i="25"/>
  <c r="R7" i="56" s="1"/>
  <c r="Q7" i="56"/>
  <c r="E40" i="53"/>
  <c r="E61" i="53" s="1"/>
  <c r="F7" i="56"/>
  <c r="B13" i="32"/>
  <c r="P28" i="30"/>
  <c r="Q10" i="30"/>
  <c r="Q12" i="30" s="1"/>
  <c r="Q30" i="30" s="1"/>
  <c r="R10" i="30"/>
  <c r="R12" i="30" s="1"/>
  <c r="R30" i="30" s="1"/>
  <c r="Q28" i="30"/>
  <c r="P10" i="30"/>
  <c r="P12" i="30" s="1"/>
  <c r="C10" i="30"/>
  <c r="C12" i="30" s="1"/>
  <c r="O28" i="30"/>
  <c r="O10" i="30"/>
  <c r="O12" i="30" s="1"/>
  <c r="R28" i="30"/>
  <c r="F28" i="30"/>
  <c r="E10" i="30"/>
  <c r="E12" i="30" s="1"/>
  <c r="E30" i="30" s="1"/>
  <c r="D28" i="30"/>
  <c r="F10" i="30"/>
  <c r="F12" i="30" s="1"/>
  <c r="F30" i="30" s="1"/>
  <c r="C28" i="30"/>
  <c r="D10" i="30"/>
  <c r="D12" i="30" s="1"/>
  <c r="E28" i="30"/>
  <c r="C9" i="30"/>
  <c r="C27" i="30"/>
  <c r="Q27" i="30"/>
  <c r="E27" i="30"/>
  <c r="E9" i="30"/>
  <c r="F9" i="30"/>
  <c r="P27" i="30"/>
  <c r="P9" i="30"/>
  <c r="R27" i="30"/>
  <c r="Q9" i="30"/>
  <c r="R9" i="30"/>
  <c r="D27" i="30"/>
  <c r="D9" i="30"/>
  <c r="O27" i="30"/>
  <c r="O9" i="30"/>
  <c r="F27" i="30"/>
  <c r="D117" i="44"/>
  <c r="D118" i="44"/>
  <c r="D128" i="44"/>
  <c r="D129" i="44"/>
  <c r="D130" i="44"/>
  <c r="D127" i="44"/>
  <c r="D124" i="44"/>
  <c r="D125" i="44"/>
  <c r="D126" i="44"/>
  <c r="D123" i="44"/>
  <c r="D120" i="44"/>
  <c r="D121" i="44"/>
  <c r="D122" i="44"/>
  <c r="D119" i="44"/>
  <c r="D116" i="44"/>
  <c r="D101" i="44"/>
  <c r="D106" i="44"/>
  <c r="D100" i="44"/>
  <c r="D113" i="44"/>
  <c r="D112" i="44"/>
  <c r="D102" i="44"/>
  <c r="D111" i="44"/>
  <c r="D109" i="44"/>
  <c r="D114" i="44"/>
  <c r="D108" i="44"/>
  <c r="D107" i="44"/>
  <c r="D105" i="44"/>
  <c r="D110" i="44"/>
  <c r="D104" i="44"/>
  <c r="D103" i="44"/>
  <c r="D7" i="32"/>
  <c r="D12" i="7"/>
  <c r="D14" i="7" s="1"/>
  <c r="F12" i="7"/>
  <c r="F14" i="7" s="1"/>
  <c r="E12" i="7"/>
  <c r="E14" i="7" s="1"/>
  <c r="P46" i="32"/>
  <c r="C5" i="30"/>
  <c r="E5" i="30"/>
  <c r="D5" i="30"/>
  <c r="F5" i="30"/>
  <c r="Q5" i="30"/>
  <c r="P5" i="30"/>
  <c r="R5" i="30"/>
  <c r="O5" i="30"/>
  <c r="P6" i="30"/>
  <c r="R6" i="30"/>
  <c r="O6" i="30"/>
  <c r="Q6" i="30"/>
  <c r="E6" i="30"/>
  <c r="F6" i="30"/>
  <c r="C6" i="30"/>
  <c r="D6" i="30"/>
  <c r="S52" i="7"/>
  <c r="P8" i="7"/>
  <c r="R8" i="7"/>
  <c r="Q8" i="7"/>
  <c r="O8" i="7"/>
  <c r="S8" i="7"/>
  <c r="R56" i="7"/>
  <c r="P56" i="7"/>
  <c r="Q56" i="7"/>
  <c r="O56" i="7"/>
  <c r="S51" i="7"/>
  <c r="S7" i="7"/>
  <c r="R7" i="7"/>
  <c r="Q7" i="7"/>
  <c r="P7" i="7"/>
  <c r="O7" i="7"/>
  <c r="S9" i="7"/>
  <c r="S53" i="7"/>
  <c r="O55" i="7"/>
  <c r="Q55" i="7"/>
  <c r="P55" i="7"/>
  <c r="R55" i="7"/>
  <c r="N7" i="32"/>
  <c r="AG7" i="25"/>
  <c r="P75" i="25" s="1"/>
  <c r="P53" i="25"/>
  <c r="D21" i="32"/>
  <c r="C4" i="32"/>
  <c r="N21" i="32"/>
  <c r="C6" i="44"/>
  <c r="E4" i="32"/>
  <c r="G6" i="53"/>
  <c r="H5" i="53" s="1"/>
  <c r="C12" i="53"/>
  <c r="D50" i="41"/>
  <c r="N9" i="32"/>
  <c r="E53" i="25"/>
  <c r="E50" i="25" s="1"/>
  <c r="N26" i="32"/>
  <c r="E9" i="32"/>
  <c r="B146" i="53"/>
  <c r="B136" i="53"/>
  <c r="G43" i="32"/>
  <c r="E4" i="25"/>
  <c r="AB9" i="53"/>
  <c r="AB7" i="53"/>
  <c r="D35" i="53"/>
  <c r="D37" i="53"/>
  <c r="N46" i="32"/>
  <c r="AC7" i="25"/>
  <c r="L75" i="25" s="1"/>
  <c r="D8" i="32"/>
  <c r="L53" i="25"/>
  <c r="B25" i="32"/>
  <c r="N25" i="32" s="1"/>
  <c r="N8" i="32"/>
  <c r="O8" i="32" s="1"/>
  <c r="E23" i="32"/>
  <c r="N12" i="32"/>
  <c r="D4" i="32"/>
  <c r="E46" i="32"/>
  <c r="D46" i="32"/>
  <c r="AB219" i="53"/>
  <c r="AB203" i="53"/>
  <c r="AB232" i="53"/>
  <c r="AB204" i="53"/>
  <c r="AB174" i="53"/>
  <c r="AB173" i="53"/>
  <c r="AB172" i="53"/>
  <c r="AB159" i="53"/>
  <c r="AB158" i="53"/>
  <c r="AB157" i="53"/>
  <c r="AB144" i="53"/>
  <c r="AB143" i="53"/>
  <c r="AB142" i="53"/>
  <c r="AB233" i="53"/>
  <c r="AB217" i="53"/>
  <c r="AB189" i="53"/>
  <c r="AB188" i="53"/>
  <c r="AB234" i="53"/>
  <c r="AB218" i="53"/>
  <c r="AB202" i="53"/>
  <c r="AB187" i="53"/>
  <c r="AB114" i="53"/>
  <c r="AB98" i="53"/>
  <c r="AB82" i="53"/>
  <c r="AB69" i="53"/>
  <c r="AB54" i="53"/>
  <c r="AB53" i="53"/>
  <c r="AB52" i="53"/>
  <c r="AB127" i="53"/>
  <c r="AB99" i="53"/>
  <c r="AB83" i="53"/>
  <c r="AB68" i="53"/>
  <c r="AB128" i="53"/>
  <c r="AB112" i="53"/>
  <c r="AB84" i="53"/>
  <c r="AB67" i="53"/>
  <c r="AB39" i="53"/>
  <c r="AB38" i="53"/>
  <c r="AB129" i="53"/>
  <c r="AB113" i="53"/>
  <c r="AB97" i="53"/>
  <c r="AB37" i="53"/>
  <c r="AB24" i="53"/>
  <c r="AB22" i="53"/>
  <c r="AB23" i="53"/>
  <c r="AE409" i="53"/>
  <c r="AE274" i="53"/>
  <c r="AE454" i="53"/>
  <c r="AE334" i="53"/>
  <c r="AE349" i="53"/>
  <c r="AE469" i="53"/>
  <c r="AE304" i="53"/>
  <c r="AE364" i="53"/>
  <c r="AE439" i="53"/>
  <c r="AE424" i="53"/>
  <c r="AE319" i="53"/>
  <c r="AE394" i="53"/>
  <c r="AE289" i="53"/>
  <c r="AE244" i="53"/>
  <c r="AE379" i="53"/>
  <c r="AE259" i="53"/>
  <c r="L40" i="53"/>
  <c r="H40" i="53"/>
  <c r="H61" i="53" s="1"/>
  <c r="P40" i="53"/>
  <c r="D22" i="32"/>
  <c r="N22" i="32"/>
  <c r="E22" i="32"/>
  <c r="Q46" i="32"/>
  <c r="G44" i="32"/>
  <c r="R46" i="32"/>
  <c r="N23" i="32"/>
  <c r="G50" i="25"/>
  <c r="X4" i="25"/>
  <c r="G4" i="25"/>
  <c r="H4" i="25"/>
  <c r="G50" i="41"/>
  <c r="H50" i="41"/>
  <c r="X4" i="41"/>
  <c r="Y4" i="41"/>
  <c r="G4" i="41"/>
  <c r="AN482" i="9" s="1"/>
  <c r="I4" i="41"/>
  <c r="H4" i="41"/>
  <c r="P75" i="41"/>
  <c r="L75" i="41"/>
  <c r="H75" i="41"/>
  <c r="AD8" i="53" s="1"/>
  <c r="D75" i="41"/>
  <c r="AD5" i="53" s="1"/>
  <c r="E53" i="41"/>
  <c r="V7" i="41"/>
  <c r="V4" i="41" s="1"/>
  <c r="D68" i="41"/>
  <c r="D69" i="41"/>
  <c r="D67" i="41"/>
  <c r="D48" i="41"/>
  <c r="B108" i="32"/>
  <c r="J108" i="32"/>
  <c r="M108" i="32"/>
  <c r="B112" i="32"/>
  <c r="M112" i="32"/>
  <c r="J112" i="32"/>
  <c r="F21" i="32"/>
  <c r="F7" i="32"/>
  <c r="F8" i="32"/>
  <c r="B104" i="32"/>
  <c r="F22" i="32"/>
  <c r="F9" i="32"/>
  <c r="F23" i="32"/>
  <c r="Q11" i="7"/>
  <c r="P11" i="7"/>
  <c r="O11" i="7"/>
  <c r="R11" i="7"/>
  <c r="C30" i="7"/>
  <c r="C32" i="7" s="1"/>
  <c r="F30" i="7"/>
  <c r="F32" i="7" s="1"/>
  <c r="E30" i="7"/>
  <c r="E32" i="7" s="1"/>
  <c r="D30" i="7"/>
  <c r="D32" i="7" s="1"/>
  <c r="R12" i="7"/>
  <c r="Q12" i="7"/>
  <c r="O12" i="7"/>
  <c r="P12" i="7"/>
  <c r="D29" i="7"/>
  <c r="D31" i="7" s="1"/>
  <c r="C29" i="7"/>
  <c r="C31" i="7" s="1"/>
  <c r="F29" i="7"/>
  <c r="F31" i="7" s="1"/>
  <c r="E29" i="7"/>
  <c r="E31" i="7" s="1"/>
  <c r="B30" i="30"/>
  <c r="B17" i="30"/>
  <c r="B10" i="30"/>
  <c r="B28" i="30" s="1"/>
  <c r="N10" i="30"/>
  <c r="N28" i="30" s="1"/>
  <c r="I1" i="30"/>
  <c r="L107" i="30"/>
  <c r="C105" i="30"/>
  <c r="L105" i="30" s="1"/>
  <c r="N24" i="30"/>
  <c r="L108" i="30"/>
  <c r="C106" i="30"/>
  <c r="L106" i="30" s="1"/>
  <c r="C102" i="30"/>
  <c r="B24" i="30"/>
  <c r="N31" i="30"/>
  <c r="N16" i="30"/>
  <c r="N29" i="30"/>
  <c r="N30" i="30"/>
  <c r="N17" i="30"/>
  <c r="C103" i="30"/>
  <c r="B25" i="30"/>
  <c r="C101" i="30"/>
  <c r="B23" i="30"/>
  <c r="N23" i="30"/>
  <c r="N9" i="30"/>
  <c r="N27" i="30" s="1"/>
  <c r="B9" i="30"/>
  <c r="B27" i="30" s="1"/>
  <c r="B31" i="30"/>
  <c r="B16" i="30"/>
  <c r="B29" i="30"/>
  <c r="D48" i="25"/>
  <c r="G48" i="41"/>
  <c r="H48" i="41"/>
  <c r="G48" i="25"/>
  <c r="U116" i="32"/>
  <c r="U115" i="32"/>
  <c r="U105" i="32"/>
  <c r="U106" i="32"/>
  <c r="U112" i="32"/>
  <c r="U103" i="32"/>
  <c r="U101" i="32"/>
  <c r="U102" i="32"/>
  <c r="U108" i="32"/>
  <c r="U113" i="32"/>
  <c r="U114" i="32"/>
  <c r="U111" i="32"/>
  <c r="U104" i="32"/>
  <c r="U109" i="32"/>
  <c r="U110" i="32"/>
  <c r="U107" i="32"/>
  <c r="H99" i="44"/>
  <c r="C98" i="15"/>
  <c r="S12" i="7"/>
  <c r="F11" i="7"/>
  <c r="C11" i="7"/>
  <c r="E11" i="7"/>
  <c r="S11" i="7"/>
  <c r="D11" i="7"/>
  <c r="K28" i="15"/>
  <c r="AJ28" i="15" s="1"/>
  <c r="J28" i="15"/>
  <c r="AI28" i="15" s="1"/>
  <c r="H28" i="15"/>
  <c r="AG28" i="15" s="1"/>
  <c r="I28" i="15"/>
  <c r="AH28" i="15" s="1"/>
  <c r="E7" i="44"/>
  <c r="F46" i="32"/>
  <c r="F4" i="32"/>
  <c r="M36" i="10"/>
  <c r="G68" i="25"/>
  <c r="G69" i="25"/>
  <c r="G67" i="25"/>
  <c r="D67" i="25"/>
  <c r="D68" i="25"/>
  <c r="D69" i="25"/>
  <c r="H68" i="41"/>
  <c r="G67" i="41"/>
  <c r="H67" i="41"/>
  <c r="H69" i="41"/>
  <c r="G68" i="41"/>
  <c r="G69" i="41"/>
  <c r="O7" i="44"/>
  <c r="O30" i="44" s="1"/>
  <c r="G7" i="44"/>
  <c r="K7" i="44"/>
  <c r="K30" i="44" s="1"/>
  <c r="AB30" i="44"/>
  <c r="M53" i="41"/>
  <c r="AD7" i="41"/>
  <c r="I53" i="41"/>
  <c r="Z7" i="41"/>
  <c r="Z4" i="41" s="1"/>
  <c r="AH7" i="41"/>
  <c r="Q53" i="41"/>
  <c r="I7" i="25"/>
  <c r="H53" i="25"/>
  <c r="H69" i="25" s="1"/>
  <c r="AE9" i="30"/>
  <c r="AF7" i="37"/>
  <c r="AF10" i="37"/>
  <c r="C5" i="15"/>
  <c r="R20" i="32"/>
  <c r="S56" i="7"/>
  <c r="R58" i="7"/>
  <c r="O58" i="7"/>
  <c r="Q58" i="7"/>
  <c r="P58" i="7"/>
  <c r="N13" i="7"/>
  <c r="D75" i="25"/>
  <c r="Y7" i="25"/>
  <c r="H75" i="25" s="1"/>
  <c r="V7" i="25"/>
  <c r="V4" i="25" s="1"/>
  <c r="J9" i="10"/>
  <c r="J8" i="10"/>
  <c r="J7" i="10"/>
  <c r="J6" i="10"/>
  <c r="B29" i="7"/>
  <c r="B11" i="7"/>
  <c r="N11" i="7" s="1"/>
  <c r="N55" i="7"/>
  <c r="B15" i="7"/>
  <c r="B16" i="7"/>
  <c r="B12" i="7"/>
  <c r="N12" i="7" s="1"/>
  <c r="B30" i="7"/>
  <c r="S55" i="7"/>
  <c r="G55" i="7"/>
  <c r="B38" i="30"/>
  <c r="N56" i="7"/>
  <c r="G56" i="7"/>
  <c r="N14" i="7"/>
  <c r="G58" i="7"/>
  <c r="L4" i="10"/>
  <c r="L3" i="10"/>
  <c r="K5" i="10"/>
  <c r="C17" i="15" l="1"/>
  <c r="C9" i="15"/>
  <c r="C12" i="15"/>
  <c r="C20" i="15"/>
  <c r="C15" i="15"/>
  <c r="C18" i="15"/>
  <c r="C10" i="15"/>
  <c r="C19" i="15"/>
  <c r="C13" i="15"/>
  <c r="C16" i="15"/>
  <c r="C22" i="15"/>
  <c r="C8" i="15"/>
  <c r="C11" i="15"/>
  <c r="C14" i="15"/>
  <c r="C21" i="15"/>
  <c r="C38" i="15"/>
  <c r="C32" i="15"/>
  <c r="C37" i="15"/>
  <c r="C33" i="15"/>
  <c r="C31" i="15"/>
  <c r="C36" i="15"/>
  <c r="C30" i="15"/>
  <c r="C35" i="15"/>
  <c r="C34" i="15"/>
  <c r="C23" i="44"/>
  <c r="C20" i="44"/>
  <c r="C11" i="44"/>
  <c r="C15" i="44"/>
  <c r="C21" i="44"/>
  <c r="C18" i="44"/>
  <c r="C10" i="44"/>
  <c r="C14" i="44"/>
  <c r="C17" i="44"/>
  <c r="C13" i="44"/>
  <c r="C16" i="44"/>
  <c r="C19" i="44"/>
  <c r="C22" i="44"/>
  <c r="C9" i="44"/>
  <c r="C12" i="44"/>
  <c r="U7" i="44"/>
  <c r="Y7" i="44" s="1"/>
  <c r="C37" i="44"/>
  <c r="C32" i="44"/>
  <c r="C36" i="44"/>
  <c r="C39" i="44"/>
  <c r="C40" i="44"/>
  <c r="C35" i="44"/>
  <c r="C34" i="44"/>
  <c r="C38" i="44"/>
  <c r="C33" i="44"/>
  <c r="H9" i="53"/>
  <c r="H12" i="53" s="1"/>
  <c r="AK30" i="56"/>
  <c r="AK27" i="56" s="1"/>
  <c r="DA5" i="56"/>
  <c r="DT5" i="56" s="1"/>
  <c r="DR5" i="56" s="1"/>
  <c r="R104" i="37"/>
  <c r="Q104" i="37"/>
  <c r="P104" i="37"/>
  <c r="O104" i="37"/>
  <c r="O102" i="37"/>
  <c r="Q102" i="37"/>
  <c r="P102" i="37"/>
  <c r="R102" i="37"/>
  <c r="R103" i="37"/>
  <c r="Q103" i="37"/>
  <c r="P103" i="37"/>
  <c r="O103" i="37"/>
  <c r="F104" i="37"/>
  <c r="D104" i="37"/>
  <c r="E104" i="37"/>
  <c r="C104" i="37"/>
  <c r="F102" i="37"/>
  <c r="D102" i="37"/>
  <c r="E102" i="37"/>
  <c r="F103" i="37"/>
  <c r="D103" i="37"/>
  <c r="C103" i="37"/>
  <c r="E103" i="37"/>
  <c r="C102" i="37"/>
  <c r="C21" i="37"/>
  <c r="C24" i="37" s="1"/>
  <c r="O21" i="37"/>
  <c r="O24" i="37" s="1"/>
  <c r="C20" i="37"/>
  <c r="O19" i="37"/>
  <c r="C19" i="37"/>
  <c r="O20" i="37"/>
  <c r="R21" i="37"/>
  <c r="AK4" i="56"/>
  <c r="DA52" i="56"/>
  <c r="DT52" i="56" s="1"/>
  <c r="DA51" i="56"/>
  <c r="DT51" i="56" s="1"/>
  <c r="Y30" i="56"/>
  <c r="AP30" i="56" s="1"/>
  <c r="AF52" i="56"/>
  <c r="AW52" i="56" s="1"/>
  <c r="AB52" i="56"/>
  <c r="AS52" i="56" s="1"/>
  <c r="AS29" i="56"/>
  <c r="X52" i="56"/>
  <c r="AO52" i="56" s="1"/>
  <c r="AO29" i="56"/>
  <c r="X53" i="56"/>
  <c r="AO53" i="56" s="1"/>
  <c r="AO30" i="56"/>
  <c r="Y53" i="56"/>
  <c r="AP53" i="56" s="1"/>
  <c r="T51" i="56"/>
  <c r="AK51" i="56" s="1"/>
  <c r="AK28" i="56"/>
  <c r="AF30" i="56"/>
  <c r="AW7" i="56"/>
  <c r="AB30" i="56"/>
  <c r="AS7" i="56"/>
  <c r="BS4" i="56"/>
  <c r="BS2" i="56" s="1"/>
  <c r="BS31" i="56" s="1"/>
  <c r="AL7" i="56"/>
  <c r="AL4" i="56" s="1"/>
  <c r="BB27" i="56"/>
  <c r="BC27" i="56"/>
  <c r="AH7" i="56"/>
  <c r="AY7" i="56" s="1"/>
  <c r="BP7" i="56"/>
  <c r="BP30" i="56" s="1"/>
  <c r="AC7" i="56"/>
  <c r="AT7" i="56" s="1"/>
  <c r="BK7" i="56"/>
  <c r="BK30" i="56" s="1"/>
  <c r="V7" i="56"/>
  <c r="AM7" i="56" s="1"/>
  <c r="AM4" i="56" s="1"/>
  <c r="BD7" i="56"/>
  <c r="BU7" i="56" s="1"/>
  <c r="BG4" i="56"/>
  <c r="BF5" i="56"/>
  <c r="BF28" i="56" s="1"/>
  <c r="BF4" i="56"/>
  <c r="AD7" i="56"/>
  <c r="AU7" i="56" s="1"/>
  <c r="BL7" i="56"/>
  <c r="BL30" i="56" s="1"/>
  <c r="AG7" i="56"/>
  <c r="AX7" i="56" s="1"/>
  <c r="BO7" i="56"/>
  <c r="BO30" i="56" s="1"/>
  <c r="G9" i="37"/>
  <c r="B32" i="30"/>
  <c r="C97" i="15"/>
  <c r="C124" i="15" s="1"/>
  <c r="W5" i="15"/>
  <c r="C29" i="44"/>
  <c r="C28" i="44" s="1"/>
  <c r="S6" i="44"/>
  <c r="H90" i="41"/>
  <c r="X22" i="41" s="1"/>
  <c r="DX45" i="56" s="1"/>
  <c r="Y45" i="56" s="1"/>
  <c r="H91" i="41"/>
  <c r="X23" i="41" s="1"/>
  <c r="DX46" i="56" s="1"/>
  <c r="Y46" i="56" s="1"/>
  <c r="G91" i="41"/>
  <c r="V23" i="41" s="1"/>
  <c r="DV46" i="56" s="1"/>
  <c r="X46" i="56" s="1"/>
  <c r="D91" i="41"/>
  <c r="T23" i="41" s="1"/>
  <c r="DT46" i="56" s="1"/>
  <c r="U46" i="56" s="1"/>
  <c r="D90" i="41"/>
  <c r="T22" i="41" s="1"/>
  <c r="DT45" i="56" s="1"/>
  <c r="U45" i="56" s="1"/>
  <c r="G90" i="41"/>
  <c r="V22" i="41" s="1"/>
  <c r="DV45" i="56" s="1"/>
  <c r="X45" i="56" s="1"/>
  <c r="BW29" i="56"/>
  <c r="CN29" i="56" s="1"/>
  <c r="DE29" i="56" s="1"/>
  <c r="DX29" i="56" s="1"/>
  <c r="BF52" i="56"/>
  <c r="BW52" i="56" s="1"/>
  <c r="CA29" i="56"/>
  <c r="CR29" i="56" s="1"/>
  <c r="DI29" i="56" s="1"/>
  <c r="EB29" i="56" s="1"/>
  <c r="BJ52" i="56"/>
  <c r="CA52" i="56" s="1"/>
  <c r="BS30" i="56"/>
  <c r="CJ30" i="56" s="1"/>
  <c r="BB53" i="56"/>
  <c r="BS53" i="56" s="1"/>
  <c r="DA53" i="56" s="1"/>
  <c r="CE29" i="56"/>
  <c r="CV29" i="56" s="1"/>
  <c r="DM29" i="56" s="1"/>
  <c r="EF29" i="56" s="1"/>
  <c r="BN52" i="56"/>
  <c r="CE52" i="56" s="1"/>
  <c r="BW30" i="56"/>
  <c r="CN30" i="56" s="1"/>
  <c r="DE30" i="56" s="1"/>
  <c r="DX30" i="56" s="1"/>
  <c r="BF53" i="56"/>
  <c r="BW53" i="56" s="1"/>
  <c r="DE53" i="56" s="1"/>
  <c r="D89" i="41"/>
  <c r="T21" i="41" s="1"/>
  <c r="DT44" i="56" s="1"/>
  <c r="Q7" i="53"/>
  <c r="H89" i="41"/>
  <c r="X21" i="41" s="1"/>
  <c r="DX44" i="56" s="1"/>
  <c r="M7" i="53"/>
  <c r="G89" i="41"/>
  <c r="V21" i="41" s="1"/>
  <c r="DV44" i="56" s="1"/>
  <c r="BS28" i="56"/>
  <c r="CJ28" i="56" s="1"/>
  <c r="DA28" i="56" s="1"/>
  <c r="DT28" i="56" s="1"/>
  <c r="G91" i="25"/>
  <c r="V23" i="25" s="1"/>
  <c r="DV23" i="56" s="1"/>
  <c r="X23" i="56" s="1"/>
  <c r="D89" i="25"/>
  <c r="T21" i="25" s="1"/>
  <c r="DT21" i="56" s="1"/>
  <c r="U21" i="56" s="1"/>
  <c r="D91" i="25"/>
  <c r="T23" i="25" s="1"/>
  <c r="DT23" i="56" s="1"/>
  <c r="U23" i="56" s="1"/>
  <c r="G90" i="25"/>
  <c r="V22" i="25" s="1"/>
  <c r="DV22" i="56" s="1"/>
  <c r="X22" i="56" s="1"/>
  <c r="G89" i="25"/>
  <c r="V21" i="25" s="1"/>
  <c r="DV21" i="56" s="1"/>
  <c r="X21" i="56" s="1"/>
  <c r="D90" i="25"/>
  <c r="T22" i="25" s="1"/>
  <c r="DT22" i="56" s="1"/>
  <c r="U22" i="56" s="1"/>
  <c r="DA4" i="56"/>
  <c r="DT7" i="56"/>
  <c r="C34" i="7"/>
  <c r="D34" i="7"/>
  <c r="E34" i="7"/>
  <c r="F34" i="7"/>
  <c r="L36" i="10"/>
  <c r="B141" i="7"/>
  <c r="R10" i="37"/>
  <c r="AJ10" i="37" s="1"/>
  <c r="S9" i="37"/>
  <c r="S38" i="45"/>
  <c r="D57" i="45"/>
  <c r="S11" i="45"/>
  <c r="S14" i="45"/>
  <c r="B58" i="45"/>
  <c r="C58" i="45" s="1"/>
  <c r="B15" i="45"/>
  <c r="C15" i="45" s="1"/>
  <c r="R15" i="45"/>
  <c r="B38" i="45"/>
  <c r="C38" i="45" s="1"/>
  <c r="R12" i="45"/>
  <c r="R58" i="45"/>
  <c r="C12" i="45"/>
  <c r="S39" i="45" s="1"/>
  <c r="S57" i="45"/>
  <c r="T57" i="45"/>
  <c r="U57" i="45"/>
  <c r="V57" i="45"/>
  <c r="W57" i="45"/>
  <c r="AQ591" i="9"/>
  <c r="AN591" i="9"/>
  <c r="AN592" i="9"/>
  <c r="AN556" i="9"/>
  <c r="AQ555" i="9"/>
  <c r="AN555" i="9"/>
  <c r="E10" i="37"/>
  <c r="AJ6" i="37" s="1"/>
  <c r="AN518" i="9"/>
  <c r="AQ519" i="9"/>
  <c r="AQ518" i="9"/>
  <c r="AN520" i="9"/>
  <c r="AN519" i="9"/>
  <c r="AQ482" i="9"/>
  <c r="AQ483" i="9"/>
  <c r="AN483" i="9"/>
  <c r="AN484" i="9"/>
  <c r="AQ605" i="9"/>
  <c r="AN448" i="9"/>
  <c r="AQ447" i="9"/>
  <c r="AN446" i="9"/>
  <c r="AQ446" i="9"/>
  <c r="AN447" i="9"/>
  <c r="AN412" i="9"/>
  <c r="AQ410" i="9"/>
  <c r="AQ411" i="9"/>
  <c r="AN410" i="9"/>
  <c r="AN411" i="9"/>
  <c r="AN376" i="9"/>
  <c r="AN375" i="9"/>
  <c r="AQ374" i="9"/>
  <c r="AN374" i="9"/>
  <c r="AQ375" i="9"/>
  <c r="AQ338" i="9"/>
  <c r="AN338" i="9"/>
  <c r="AN339" i="9"/>
  <c r="AN340" i="9"/>
  <c r="AQ339" i="9"/>
  <c r="AN267" i="9"/>
  <c r="AN304" i="9"/>
  <c r="AQ303" i="9"/>
  <c r="AN302" i="9"/>
  <c r="AQ302" i="9"/>
  <c r="AN303" i="9"/>
  <c r="AN268" i="9"/>
  <c r="AQ266" i="9"/>
  <c r="AQ267" i="9"/>
  <c r="AN266" i="9"/>
  <c r="AN232" i="9"/>
  <c r="AN230" i="9"/>
  <c r="AQ230" i="9"/>
  <c r="AN231" i="9"/>
  <c r="AQ231" i="9"/>
  <c r="AQ194" i="9"/>
  <c r="AN194" i="9"/>
  <c r="AN195" i="9"/>
  <c r="AN196" i="9"/>
  <c r="AQ195" i="9"/>
  <c r="AQ159" i="9"/>
  <c r="AN158" i="9"/>
  <c r="AN159" i="9"/>
  <c r="AN160" i="9"/>
  <c r="AQ158" i="9"/>
  <c r="Q10" i="37"/>
  <c r="Q11" i="37" s="1"/>
  <c r="S7" i="37"/>
  <c r="P20" i="37"/>
  <c r="AQ653" i="9"/>
  <c r="AQ641" i="9"/>
  <c r="AQ629" i="9"/>
  <c r="AQ617" i="9"/>
  <c r="AQ581" i="9"/>
  <c r="R19" i="37"/>
  <c r="E12" i="32"/>
  <c r="J103" i="32" s="1"/>
  <c r="O11" i="37"/>
  <c r="F23" i="37"/>
  <c r="P23" i="37"/>
  <c r="S6" i="37"/>
  <c r="G7" i="37"/>
  <c r="S5" i="37"/>
  <c r="E11" i="37"/>
  <c r="AJ7" i="37"/>
  <c r="F11" i="37"/>
  <c r="G6" i="37"/>
  <c r="E21" i="37"/>
  <c r="D21" i="37"/>
  <c r="C11" i="37"/>
  <c r="N106" i="37"/>
  <c r="B106" i="37"/>
  <c r="N23" i="37"/>
  <c r="B23" i="37"/>
  <c r="D23" i="37"/>
  <c r="Q23" i="37"/>
  <c r="E23" i="37"/>
  <c r="C27" i="32"/>
  <c r="E19" i="37"/>
  <c r="D19" i="37"/>
  <c r="D10" i="37"/>
  <c r="Q19" i="37"/>
  <c r="Q20" i="37"/>
  <c r="G5" i="37"/>
  <c r="E20" i="37"/>
  <c r="D20" i="37"/>
  <c r="Q21" i="37"/>
  <c r="N108" i="37"/>
  <c r="N25" i="37"/>
  <c r="B108" i="37"/>
  <c r="B25" i="37"/>
  <c r="C7" i="32"/>
  <c r="D12" i="32"/>
  <c r="J102" i="32" s="1"/>
  <c r="O42" i="32"/>
  <c r="C42" i="32"/>
  <c r="R23" i="32"/>
  <c r="O23" i="32"/>
  <c r="O26" i="32" s="1"/>
  <c r="Q21" i="32"/>
  <c r="O21" i="32"/>
  <c r="R9" i="32"/>
  <c r="O9" i="32"/>
  <c r="O12" i="32" s="1"/>
  <c r="O13" i="32" s="1"/>
  <c r="Q7" i="32"/>
  <c r="O7" i="32"/>
  <c r="P22" i="32"/>
  <c r="O22" i="32"/>
  <c r="AD245" i="53"/>
  <c r="AE5" i="53"/>
  <c r="Z5" i="53"/>
  <c r="Z52" i="53"/>
  <c r="AE52" i="53"/>
  <c r="Z8" i="53"/>
  <c r="AH7" i="25"/>
  <c r="Q75" i="25" s="1"/>
  <c r="G37" i="53"/>
  <c r="G36" i="53" s="1"/>
  <c r="G45" i="53" s="1"/>
  <c r="T39" i="53"/>
  <c r="E26" i="32"/>
  <c r="N103" i="32" s="1"/>
  <c r="N111" i="32" s="1"/>
  <c r="T27" i="56"/>
  <c r="M53" i="25"/>
  <c r="AD7" i="25"/>
  <c r="M75" i="25" s="1"/>
  <c r="CJ2" i="56"/>
  <c r="D36" i="53"/>
  <c r="D45" i="53" s="1"/>
  <c r="DF4" i="56"/>
  <c r="DE4" i="56"/>
  <c r="CK4" i="56"/>
  <c r="DB7" i="56"/>
  <c r="CO4" i="56"/>
  <c r="CO2" i="56" s="1"/>
  <c r="CN4" i="56"/>
  <c r="CN2" i="56" s="1"/>
  <c r="BT4" i="56"/>
  <c r="BT2" i="56" s="1"/>
  <c r="CA7" i="56"/>
  <c r="CR7" i="56" s="1"/>
  <c r="DI7" i="56" s="1"/>
  <c r="EB7" i="56" s="1"/>
  <c r="CE7" i="56"/>
  <c r="CV7" i="56" s="1"/>
  <c r="DM7" i="56" s="1"/>
  <c r="EF7" i="56" s="1"/>
  <c r="X5" i="56"/>
  <c r="BW4" i="56"/>
  <c r="BW2" i="56" s="1"/>
  <c r="B141" i="53"/>
  <c r="Q53" i="25"/>
  <c r="S53" i="25" s="1"/>
  <c r="Z97" i="53"/>
  <c r="Z127" i="53"/>
  <c r="Z187" i="53"/>
  <c r="Z142" i="53"/>
  <c r="Z22" i="53"/>
  <c r="Z67" i="53"/>
  <c r="Z82" i="53"/>
  <c r="Z202" i="53"/>
  <c r="Z7" i="53"/>
  <c r="Z217" i="53"/>
  <c r="Z172" i="53"/>
  <c r="Z232" i="53"/>
  <c r="Z37" i="53"/>
  <c r="Z112" i="53"/>
  <c r="Z157" i="53"/>
  <c r="Q40" i="53"/>
  <c r="E27" i="56"/>
  <c r="E37" i="53"/>
  <c r="M40" i="53"/>
  <c r="E35" i="53"/>
  <c r="U30" i="56"/>
  <c r="U4" i="56"/>
  <c r="X4" i="56"/>
  <c r="Y4" i="56"/>
  <c r="F30" i="56"/>
  <c r="F53" i="56" s="1"/>
  <c r="F4" i="56"/>
  <c r="F27" i="56" s="1"/>
  <c r="I4" i="56"/>
  <c r="I27" i="56" s="1"/>
  <c r="H28" i="56"/>
  <c r="H51" i="56" s="1"/>
  <c r="H4" i="56"/>
  <c r="H27" i="56" s="1"/>
  <c r="M30" i="56"/>
  <c r="M53" i="56" s="1"/>
  <c r="N30" i="56"/>
  <c r="N53" i="56" s="1"/>
  <c r="Q30" i="56"/>
  <c r="Q53" i="56" s="1"/>
  <c r="I40" i="53"/>
  <c r="I61" i="53" s="1"/>
  <c r="J7" i="56"/>
  <c r="BH7" i="56" s="1"/>
  <c r="R30" i="56"/>
  <c r="R53" i="56" s="1"/>
  <c r="G7" i="32"/>
  <c r="AQ569" i="9"/>
  <c r="R12" i="32"/>
  <c r="S47" i="32"/>
  <c r="D6" i="44"/>
  <c r="P8" i="32"/>
  <c r="E24" i="30"/>
  <c r="D24" i="30"/>
  <c r="F24" i="30"/>
  <c r="C24" i="30"/>
  <c r="R24" i="30"/>
  <c r="O24" i="30"/>
  <c r="P24" i="30"/>
  <c r="Q24" i="30"/>
  <c r="Q23" i="30"/>
  <c r="R23" i="30"/>
  <c r="P23" i="30"/>
  <c r="O23" i="30"/>
  <c r="F102" i="30"/>
  <c r="O102" i="30"/>
  <c r="N102" i="30"/>
  <c r="M102" i="30"/>
  <c r="D102" i="30"/>
  <c r="E102" i="30"/>
  <c r="N101" i="30"/>
  <c r="D101" i="30"/>
  <c r="O101" i="30"/>
  <c r="E101" i="30"/>
  <c r="F101" i="30"/>
  <c r="P101" i="30"/>
  <c r="P102" i="30" s="1"/>
  <c r="M101" i="30"/>
  <c r="G101" i="30"/>
  <c r="G102" i="30" s="1"/>
  <c r="E6" i="44"/>
  <c r="E33" i="44" s="1"/>
  <c r="C5" i="44"/>
  <c r="S5" i="44" s="1"/>
  <c r="W5" i="44" s="1"/>
  <c r="C23" i="30"/>
  <c r="E23" i="30"/>
  <c r="D23" i="30"/>
  <c r="F23" i="30"/>
  <c r="S7" i="32"/>
  <c r="R7" i="32"/>
  <c r="P7" i="32"/>
  <c r="C13" i="32"/>
  <c r="E68" i="25"/>
  <c r="G14" i="7"/>
  <c r="P21" i="32"/>
  <c r="E67" i="25"/>
  <c r="G9" i="32"/>
  <c r="R21" i="32"/>
  <c r="E69" i="25"/>
  <c r="E48" i="25"/>
  <c r="I5" i="53"/>
  <c r="G5" i="53"/>
  <c r="G9" i="53" s="1"/>
  <c r="S9" i="32"/>
  <c r="Q9" i="32"/>
  <c r="P9" i="32"/>
  <c r="I50" i="41"/>
  <c r="I7" i="53"/>
  <c r="E50" i="41"/>
  <c r="E7" i="53"/>
  <c r="E9" i="53" s="1"/>
  <c r="R8" i="32"/>
  <c r="AE8" i="53"/>
  <c r="B181" i="53"/>
  <c r="B166" i="53"/>
  <c r="H37" i="53"/>
  <c r="B151" i="53"/>
  <c r="H139" i="53"/>
  <c r="AE7" i="53"/>
  <c r="Q22" i="32"/>
  <c r="G46" i="32"/>
  <c r="R22" i="32"/>
  <c r="R26" i="32" s="1"/>
  <c r="L104" i="32" s="1"/>
  <c r="G8" i="32"/>
  <c r="P23" i="32"/>
  <c r="G11" i="32"/>
  <c r="Q8" i="32"/>
  <c r="S8" i="32"/>
  <c r="AD230" i="53"/>
  <c r="AD215" i="53"/>
  <c r="AD200" i="53"/>
  <c r="AD185" i="53"/>
  <c r="AD170" i="53"/>
  <c r="AD155" i="53"/>
  <c r="AD140" i="53"/>
  <c r="AD125" i="53"/>
  <c r="AD110" i="53"/>
  <c r="AD95" i="53"/>
  <c r="AD80" i="53"/>
  <c r="AD65" i="53"/>
  <c r="AD50" i="53"/>
  <c r="AD35" i="53"/>
  <c r="AD20" i="53"/>
  <c r="AB247" i="53"/>
  <c r="AB248" i="53"/>
  <c r="AB353" i="53"/>
  <c r="AB307" i="53"/>
  <c r="AE67" i="53"/>
  <c r="AB308" i="53"/>
  <c r="AB292" i="53"/>
  <c r="AB322" i="53"/>
  <c r="AE82" i="53"/>
  <c r="AB442" i="53"/>
  <c r="AE202" i="53"/>
  <c r="AB429" i="53"/>
  <c r="AB383" i="53"/>
  <c r="AB399" i="53"/>
  <c r="AB444" i="53"/>
  <c r="AD233" i="53"/>
  <c r="AD473" i="53" s="1"/>
  <c r="AD218" i="53"/>
  <c r="AD458" i="53" s="1"/>
  <c r="AD203" i="53"/>
  <c r="AD443" i="53" s="1"/>
  <c r="AD188" i="53"/>
  <c r="AD428" i="53" s="1"/>
  <c r="AD173" i="53"/>
  <c r="AD413" i="53" s="1"/>
  <c r="AD158" i="53"/>
  <c r="AD398" i="53" s="1"/>
  <c r="AD143" i="53"/>
  <c r="AD383" i="53" s="1"/>
  <c r="AD128" i="53"/>
  <c r="AD368" i="53" s="1"/>
  <c r="AD113" i="53"/>
  <c r="AD353" i="53" s="1"/>
  <c r="AD98" i="53"/>
  <c r="AD338" i="53" s="1"/>
  <c r="AD83" i="53"/>
  <c r="AD68" i="53"/>
  <c r="AD308" i="53" s="1"/>
  <c r="AD53" i="53"/>
  <c r="AD293" i="53" s="1"/>
  <c r="AD38" i="53"/>
  <c r="AD278" i="53" s="1"/>
  <c r="AD23" i="53"/>
  <c r="AD263" i="53" s="1"/>
  <c r="AD248" i="53"/>
  <c r="AB263" i="53"/>
  <c r="AB264" i="53"/>
  <c r="AB369" i="53"/>
  <c r="AB324" i="53"/>
  <c r="AB323" i="53"/>
  <c r="AB293" i="53"/>
  <c r="AB338" i="53"/>
  <c r="AB458" i="53"/>
  <c r="AB457" i="53"/>
  <c r="AE217" i="53"/>
  <c r="AB384" i="53"/>
  <c r="AB412" i="53"/>
  <c r="AE172" i="53"/>
  <c r="AB472" i="53"/>
  <c r="AE232" i="53"/>
  <c r="AD236" i="53"/>
  <c r="AD476" i="53" s="1"/>
  <c r="AD221" i="53"/>
  <c r="AD461" i="53" s="1"/>
  <c r="AD206" i="53"/>
  <c r="AD446" i="53" s="1"/>
  <c r="AD191" i="53"/>
  <c r="AD431" i="53" s="1"/>
  <c r="AD176" i="53"/>
  <c r="AD416" i="53" s="1"/>
  <c r="AD161" i="53"/>
  <c r="AD401" i="53" s="1"/>
  <c r="AD146" i="53"/>
  <c r="AD386" i="53" s="1"/>
  <c r="AD131" i="53"/>
  <c r="AD371" i="53" s="1"/>
  <c r="AD116" i="53"/>
  <c r="AD356" i="53" s="1"/>
  <c r="AD101" i="53"/>
  <c r="AD341" i="53" s="1"/>
  <c r="AD86" i="53"/>
  <c r="AD71" i="53"/>
  <c r="AD311" i="53" s="1"/>
  <c r="AD56" i="53"/>
  <c r="AD296" i="53" s="1"/>
  <c r="AD41" i="53"/>
  <c r="AD281" i="53" s="1"/>
  <c r="AD26" i="53"/>
  <c r="AD266" i="53" s="1"/>
  <c r="AD11" i="53"/>
  <c r="AD251" i="53" s="1"/>
  <c r="AB262" i="53"/>
  <c r="AE22" i="53"/>
  <c r="AB277" i="53"/>
  <c r="AE37" i="53"/>
  <c r="AB278" i="53"/>
  <c r="AB352" i="53"/>
  <c r="AE112" i="53"/>
  <c r="AB339" i="53"/>
  <c r="AB294" i="53"/>
  <c r="AB354" i="53"/>
  <c r="AB474" i="53"/>
  <c r="AB473" i="53"/>
  <c r="AB397" i="53"/>
  <c r="AE157" i="53"/>
  <c r="AB413" i="53"/>
  <c r="AB443" i="53"/>
  <c r="AD239" i="53"/>
  <c r="AD479" i="53" s="1"/>
  <c r="AD224" i="53"/>
  <c r="AD464" i="53" s="1"/>
  <c r="AD209" i="53"/>
  <c r="AD449" i="53" s="1"/>
  <c r="AD194" i="53"/>
  <c r="AD434" i="53" s="1"/>
  <c r="AD179" i="53"/>
  <c r="AD419" i="53" s="1"/>
  <c r="AD164" i="53"/>
  <c r="AD404" i="53" s="1"/>
  <c r="AD149" i="53"/>
  <c r="AD389" i="53" s="1"/>
  <c r="AD134" i="53"/>
  <c r="AD374" i="53" s="1"/>
  <c r="AD119" i="53"/>
  <c r="AD359" i="53" s="1"/>
  <c r="AD104" i="53"/>
  <c r="AD344" i="53" s="1"/>
  <c r="AD89" i="53"/>
  <c r="AD74" i="53"/>
  <c r="AD314" i="53" s="1"/>
  <c r="AD59" i="53"/>
  <c r="AD299" i="53" s="1"/>
  <c r="AD44" i="53"/>
  <c r="AD284" i="53" s="1"/>
  <c r="AD29" i="53"/>
  <c r="AD269" i="53" s="1"/>
  <c r="AD14" i="53"/>
  <c r="AD254" i="53" s="1"/>
  <c r="AB249" i="53"/>
  <c r="AB337" i="53"/>
  <c r="AE97" i="53"/>
  <c r="AB279" i="53"/>
  <c r="AB368" i="53"/>
  <c r="AB367" i="53"/>
  <c r="AE127" i="53"/>
  <c r="AB309" i="53"/>
  <c r="AB427" i="53"/>
  <c r="AE187" i="53"/>
  <c r="AB428" i="53"/>
  <c r="AB382" i="53"/>
  <c r="AE142" i="53"/>
  <c r="AB398" i="53"/>
  <c r="AB414" i="53"/>
  <c r="AB459" i="53"/>
  <c r="Q23" i="32"/>
  <c r="I4" i="25"/>
  <c r="E67" i="41"/>
  <c r="E68" i="41"/>
  <c r="O14" i="7"/>
  <c r="E48" i="41"/>
  <c r="H50" i="25"/>
  <c r="Y4" i="25"/>
  <c r="I69" i="41"/>
  <c r="E69" i="41"/>
  <c r="Q75" i="41"/>
  <c r="M75" i="41"/>
  <c r="I75" i="41"/>
  <c r="AD9" i="53" s="1"/>
  <c r="Z9" i="53" s="1"/>
  <c r="E75" i="41"/>
  <c r="AD6" i="53" s="1"/>
  <c r="N108" i="32"/>
  <c r="N112" i="32"/>
  <c r="N106" i="32"/>
  <c r="N110" i="32"/>
  <c r="P14" i="7"/>
  <c r="R14" i="7"/>
  <c r="Q14" i="7"/>
  <c r="G27" i="30"/>
  <c r="S27" i="30"/>
  <c r="S28" i="30"/>
  <c r="G5" i="30"/>
  <c r="L103" i="30"/>
  <c r="H103" i="30"/>
  <c r="Q103" i="30"/>
  <c r="L102" i="30"/>
  <c r="H102" i="30"/>
  <c r="Q102" i="30"/>
  <c r="S6" i="30"/>
  <c r="S5" i="30"/>
  <c r="L101" i="30"/>
  <c r="Q101" i="30"/>
  <c r="H101" i="30"/>
  <c r="G6" i="30"/>
  <c r="G28" i="30"/>
  <c r="I48" i="41"/>
  <c r="H48" i="25"/>
  <c r="F12" i="32"/>
  <c r="J104" i="32" s="1"/>
  <c r="D27" i="32"/>
  <c r="E30" i="44"/>
  <c r="E99" i="44"/>
  <c r="P11" i="37"/>
  <c r="AJ8" i="37"/>
  <c r="C27" i="15"/>
  <c r="G30" i="44"/>
  <c r="AA30" i="44" s="1"/>
  <c r="M7" i="44"/>
  <c r="M30" i="44" s="1"/>
  <c r="AC6" i="44"/>
  <c r="Q7" i="44"/>
  <c r="Q30" i="44" s="1"/>
  <c r="I7" i="44"/>
  <c r="H68" i="25"/>
  <c r="H67" i="25"/>
  <c r="I68" i="41"/>
  <c r="I67" i="41"/>
  <c r="K6" i="44"/>
  <c r="O6" i="44"/>
  <c r="G6" i="44"/>
  <c r="S53" i="41"/>
  <c r="S7" i="53" s="1"/>
  <c r="H91" i="25"/>
  <c r="X23" i="25" s="1"/>
  <c r="DX23" i="56" s="1"/>
  <c r="Y23" i="56" s="1"/>
  <c r="E75" i="25"/>
  <c r="Z7" i="25"/>
  <c r="Z4" i="25" s="1"/>
  <c r="I53" i="25"/>
  <c r="I50" i="25" s="1"/>
  <c r="K9" i="10"/>
  <c r="K8" i="10"/>
  <c r="K7" i="10"/>
  <c r="T101" i="7"/>
  <c r="G11" i="7"/>
  <c r="G12" i="7"/>
  <c r="H5" i="15"/>
  <c r="AB5" i="15" s="1"/>
  <c r="M5" i="15"/>
  <c r="M27" i="15" s="1"/>
  <c r="R5" i="15"/>
  <c r="R27" i="15" s="1"/>
  <c r="K6" i="10"/>
  <c r="M29" i="10"/>
  <c r="AG6" i="30" s="1"/>
  <c r="M4" i="10"/>
  <c r="M3" i="10"/>
  <c r="L5" i="10"/>
  <c r="AB22" i="15" l="1"/>
  <c r="AB21" i="15"/>
  <c r="AB20" i="15"/>
  <c r="AB19" i="15"/>
  <c r="AB18" i="15"/>
  <c r="AB17" i="15"/>
  <c r="AB15" i="15"/>
  <c r="AB13" i="15"/>
  <c r="AB11" i="15"/>
  <c r="AB9" i="15"/>
  <c r="AB16" i="15"/>
  <c r="AB14" i="15"/>
  <c r="AB12" i="15"/>
  <c r="AB10" i="15"/>
  <c r="AB8" i="15"/>
  <c r="R8" i="15"/>
  <c r="M8" i="15"/>
  <c r="H8" i="15"/>
  <c r="M19" i="15"/>
  <c r="R19" i="15"/>
  <c r="H19" i="15"/>
  <c r="R20" i="15"/>
  <c r="H20" i="15"/>
  <c r="M20" i="15"/>
  <c r="R21" i="15"/>
  <c r="H21" i="15"/>
  <c r="M21" i="15"/>
  <c r="M22" i="15"/>
  <c r="R22" i="15"/>
  <c r="H22" i="15"/>
  <c r="M10" i="15"/>
  <c r="H10" i="15"/>
  <c r="R10" i="15"/>
  <c r="M12" i="15"/>
  <c r="R12" i="15"/>
  <c r="H12" i="15"/>
  <c r="W17" i="15"/>
  <c r="W15" i="15"/>
  <c r="W13" i="15"/>
  <c r="W11" i="15"/>
  <c r="W9" i="15"/>
  <c r="W10" i="15"/>
  <c r="W20" i="15"/>
  <c r="W18" i="15"/>
  <c r="W8" i="15"/>
  <c r="W16" i="15"/>
  <c r="W14" i="15"/>
  <c r="W12" i="15"/>
  <c r="W22" i="15"/>
  <c r="W21" i="15"/>
  <c r="W19" i="15"/>
  <c r="M14" i="15"/>
  <c r="H14" i="15"/>
  <c r="R14" i="15"/>
  <c r="M16" i="15"/>
  <c r="R16" i="15"/>
  <c r="H16" i="15"/>
  <c r="M18" i="15"/>
  <c r="R18" i="15"/>
  <c r="H18" i="15"/>
  <c r="H9" i="15"/>
  <c r="M9" i="15"/>
  <c r="R9" i="15"/>
  <c r="H11" i="15"/>
  <c r="M11" i="15"/>
  <c r="R11" i="15"/>
  <c r="H13" i="15"/>
  <c r="M13" i="15"/>
  <c r="R13" i="15"/>
  <c r="H15" i="15"/>
  <c r="M15" i="15"/>
  <c r="R15" i="15"/>
  <c r="H17" i="15"/>
  <c r="M17" i="15"/>
  <c r="R17" i="15"/>
  <c r="R35" i="15"/>
  <c r="M35" i="15"/>
  <c r="H35" i="15"/>
  <c r="R33" i="15"/>
  <c r="M33" i="15"/>
  <c r="H33" i="15"/>
  <c r="R30" i="15"/>
  <c r="M30" i="15"/>
  <c r="H30" i="15"/>
  <c r="R37" i="15"/>
  <c r="M37" i="15"/>
  <c r="H37" i="15"/>
  <c r="H36" i="15"/>
  <c r="R36" i="15"/>
  <c r="M36" i="15"/>
  <c r="R32" i="15"/>
  <c r="M32" i="15"/>
  <c r="H32" i="15"/>
  <c r="R34" i="15"/>
  <c r="M34" i="15"/>
  <c r="H34" i="15"/>
  <c r="R31" i="15"/>
  <c r="M31" i="15"/>
  <c r="H31" i="15"/>
  <c r="R38" i="15"/>
  <c r="H38" i="15"/>
  <c r="M38" i="15"/>
  <c r="E13" i="44"/>
  <c r="E19" i="44"/>
  <c r="E23" i="44"/>
  <c r="E18" i="44"/>
  <c r="O19" i="44"/>
  <c r="G19" i="44"/>
  <c r="K19" i="44"/>
  <c r="G14" i="44"/>
  <c r="O14" i="44"/>
  <c r="K14" i="44"/>
  <c r="O15" i="44"/>
  <c r="G15" i="44"/>
  <c r="K15" i="44"/>
  <c r="S17" i="44"/>
  <c r="S23" i="44"/>
  <c r="S21" i="44"/>
  <c r="S19" i="44"/>
  <c r="S22" i="44"/>
  <c r="S20" i="44"/>
  <c r="S15" i="44"/>
  <c r="S11" i="44"/>
  <c r="S13" i="44"/>
  <c r="S12" i="44"/>
  <c r="S18" i="44"/>
  <c r="S14" i="44"/>
  <c r="S10" i="44"/>
  <c r="S9" i="44"/>
  <c r="S16" i="44"/>
  <c r="E14" i="44"/>
  <c r="E12" i="44"/>
  <c r="E16" i="44"/>
  <c r="G12" i="44"/>
  <c r="O12" i="44"/>
  <c r="K12" i="44"/>
  <c r="G16" i="44"/>
  <c r="K16" i="44"/>
  <c r="O16" i="44"/>
  <c r="G10" i="44"/>
  <c r="O10" i="44"/>
  <c r="K10" i="44"/>
  <c r="O11" i="44"/>
  <c r="G11" i="44"/>
  <c r="K11" i="44"/>
  <c r="E9" i="44"/>
  <c r="E11" i="44"/>
  <c r="E17" i="44"/>
  <c r="E20" i="44"/>
  <c r="O9" i="44"/>
  <c r="G9" i="44"/>
  <c r="K9" i="44"/>
  <c r="O13" i="44"/>
  <c r="G13" i="44"/>
  <c r="K13" i="44"/>
  <c r="G18" i="44"/>
  <c r="K18" i="44"/>
  <c r="O18" i="44"/>
  <c r="G20" i="44"/>
  <c r="K20" i="44"/>
  <c r="O20" i="44"/>
  <c r="D23" i="44"/>
  <c r="D15" i="44"/>
  <c r="D22" i="44"/>
  <c r="D14" i="44"/>
  <c r="D21" i="44"/>
  <c r="D13" i="44"/>
  <c r="D20" i="44"/>
  <c r="D12" i="44"/>
  <c r="D19" i="44"/>
  <c r="D11" i="44"/>
  <c r="D18" i="44"/>
  <c r="D10" i="44"/>
  <c r="D17" i="44"/>
  <c r="D9" i="44"/>
  <c r="D16" i="44"/>
  <c r="E10" i="44"/>
  <c r="E15" i="44"/>
  <c r="E21" i="44"/>
  <c r="E22" i="44"/>
  <c r="G22" i="44"/>
  <c r="K22" i="44"/>
  <c r="O22" i="44"/>
  <c r="O17" i="44"/>
  <c r="G17" i="44"/>
  <c r="K17" i="44"/>
  <c r="O21" i="44"/>
  <c r="G21" i="44"/>
  <c r="K21" i="44"/>
  <c r="O23" i="44"/>
  <c r="G23" i="44"/>
  <c r="K23" i="44"/>
  <c r="Q33" i="44"/>
  <c r="M33" i="44"/>
  <c r="I33" i="44"/>
  <c r="G35" i="44"/>
  <c r="K35" i="44"/>
  <c r="O35" i="44"/>
  <c r="G32" i="44"/>
  <c r="K32" i="44"/>
  <c r="O32" i="44"/>
  <c r="E37" i="44"/>
  <c r="E34" i="44"/>
  <c r="D40" i="44"/>
  <c r="D34" i="44"/>
  <c r="D38" i="44"/>
  <c r="D39" i="44"/>
  <c r="D32" i="44"/>
  <c r="D36" i="44"/>
  <c r="D37" i="44"/>
  <c r="D33" i="44"/>
  <c r="D35" i="44"/>
  <c r="G33" i="44"/>
  <c r="O33" i="44"/>
  <c r="K33" i="44"/>
  <c r="G40" i="44"/>
  <c r="K40" i="44"/>
  <c r="O40" i="44"/>
  <c r="G37" i="44"/>
  <c r="K37" i="44"/>
  <c r="O37" i="44"/>
  <c r="E38" i="44"/>
  <c r="E36" i="44"/>
  <c r="G38" i="44"/>
  <c r="O38" i="44"/>
  <c r="K38" i="44"/>
  <c r="G39" i="44"/>
  <c r="O39" i="44"/>
  <c r="K39" i="44"/>
  <c r="E32" i="44"/>
  <c r="E40" i="44"/>
  <c r="E39" i="44"/>
  <c r="G34" i="44"/>
  <c r="O34" i="44"/>
  <c r="K34" i="44"/>
  <c r="G36" i="44"/>
  <c r="O36" i="44"/>
  <c r="K36" i="44"/>
  <c r="E35" i="44"/>
  <c r="C118" i="15"/>
  <c r="R11" i="37"/>
  <c r="DR4" i="56"/>
  <c r="A38" i="53" s="1"/>
  <c r="I9" i="53"/>
  <c r="I12" i="53" s="1"/>
  <c r="C123" i="15"/>
  <c r="O25" i="37"/>
  <c r="Q107" i="37"/>
  <c r="C25" i="37"/>
  <c r="E107" i="37"/>
  <c r="L107" i="32" s="1"/>
  <c r="R107" i="37"/>
  <c r="L112" i="32" s="1"/>
  <c r="P107" i="37"/>
  <c r="L110" i="32" s="1"/>
  <c r="F107" i="37"/>
  <c r="L108" i="32" s="1"/>
  <c r="D107" i="37"/>
  <c r="I99" i="15"/>
  <c r="C119" i="15"/>
  <c r="C106" i="15"/>
  <c r="C110" i="15"/>
  <c r="C103" i="15"/>
  <c r="AC30" i="56"/>
  <c r="AT30" i="56" s="1"/>
  <c r="C102" i="15"/>
  <c r="C113" i="15"/>
  <c r="C126" i="15"/>
  <c r="C109" i="15"/>
  <c r="C122" i="15"/>
  <c r="C105" i="15"/>
  <c r="C121" i="15"/>
  <c r="C104" i="15"/>
  <c r="C117" i="15"/>
  <c r="C130" i="15"/>
  <c r="C112" i="15"/>
  <c r="C125" i="15"/>
  <c r="C107" i="15"/>
  <c r="C127" i="15"/>
  <c r="C108" i="15"/>
  <c r="C120" i="15"/>
  <c r="C101" i="15"/>
  <c r="C116" i="15"/>
  <c r="C129" i="15"/>
  <c r="C114" i="15"/>
  <c r="C128" i="15"/>
  <c r="BW5" i="56"/>
  <c r="CN5" i="56" s="1"/>
  <c r="DE5" i="56" s="1"/>
  <c r="DX5" i="56" s="1"/>
  <c r="S10" i="37"/>
  <c r="S11" i="37" s="1"/>
  <c r="S21" i="37"/>
  <c r="AK245" i="53"/>
  <c r="R13" i="32"/>
  <c r="AG30" i="56"/>
  <c r="AG53" i="56" s="1"/>
  <c r="AX53" i="56" s="1"/>
  <c r="C100" i="15"/>
  <c r="C111" i="15"/>
  <c r="AK259" i="53"/>
  <c r="AK364" i="53"/>
  <c r="AK349" i="53"/>
  <c r="AK304" i="53"/>
  <c r="AK439" i="53"/>
  <c r="AK319" i="53"/>
  <c r="AK469" i="53"/>
  <c r="AK274" i="53"/>
  <c r="AK289" i="53"/>
  <c r="AK244" i="53"/>
  <c r="AK409" i="53"/>
  <c r="AK379" i="53"/>
  <c r="AK394" i="53"/>
  <c r="AK424" i="53"/>
  <c r="AK454" i="53"/>
  <c r="AK334" i="53"/>
  <c r="AK4" i="53"/>
  <c r="AK214" i="53"/>
  <c r="AK79" i="53"/>
  <c r="AK34" i="53"/>
  <c r="AK169" i="53"/>
  <c r="AK64" i="53"/>
  <c r="AK229" i="53"/>
  <c r="AK94" i="53"/>
  <c r="AK19" i="53"/>
  <c r="AK49" i="53"/>
  <c r="AK154" i="53"/>
  <c r="AK139" i="53"/>
  <c r="AK124" i="53"/>
  <c r="AK109" i="53"/>
  <c r="AK184" i="53"/>
  <c r="AK199" i="53"/>
  <c r="V30" i="56"/>
  <c r="V53" i="56" s="1"/>
  <c r="AM53" i="56" s="1"/>
  <c r="V4" i="56"/>
  <c r="V27" i="56" s="1"/>
  <c r="AH30" i="56"/>
  <c r="AY30" i="56" s="1"/>
  <c r="DE52" i="56"/>
  <c r="DX52" i="56" s="1"/>
  <c r="DM52" i="56"/>
  <c r="EF52" i="56" s="1"/>
  <c r="DI52" i="56"/>
  <c r="EB52" i="56" s="1"/>
  <c r="BS27" i="56"/>
  <c r="AD30" i="56"/>
  <c r="AD53" i="56" s="1"/>
  <c r="AU53" i="56" s="1"/>
  <c r="DE27" i="56"/>
  <c r="BS8" i="56"/>
  <c r="BS35" i="56"/>
  <c r="BS23" i="56"/>
  <c r="BS45" i="56"/>
  <c r="BS18" i="56"/>
  <c r="BS46" i="56"/>
  <c r="BS9" i="56"/>
  <c r="BS36" i="56"/>
  <c r="U53" i="56"/>
  <c r="AL53" i="56" s="1"/>
  <c r="AL30" i="56"/>
  <c r="AL27" i="56" s="1"/>
  <c r="AF53" i="56"/>
  <c r="AW53" i="56" s="1"/>
  <c r="AW30" i="56"/>
  <c r="AB53" i="56"/>
  <c r="AS53" i="56" s="1"/>
  <c r="AS30" i="56"/>
  <c r="X28" i="56"/>
  <c r="AO5" i="56"/>
  <c r="BS11" i="56"/>
  <c r="BS20" i="56"/>
  <c r="BS22" i="56"/>
  <c r="BS13" i="56"/>
  <c r="BS34" i="56"/>
  <c r="BS39" i="56"/>
  <c r="BS37" i="56"/>
  <c r="BS40" i="56"/>
  <c r="BS15" i="56"/>
  <c r="BS10" i="56"/>
  <c r="BS12" i="56"/>
  <c r="BS17" i="56"/>
  <c r="BS42" i="56"/>
  <c r="BS43" i="56"/>
  <c r="BS41" i="56"/>
  <c r="BS44" i="56"/>
  <c r="BS19" i="56"/>
  <c r="BS14" i="56"/>
  <c r="BS16" i="56"/>
  <c r="BS21" i="56"/>
  <c r="BS33" i="56"/>
  <c r="BS38" i="56"/>
  <c r="BS32" i="56"/>
  <c r="BG27" i="56"/>
  <c r="BH4" i="56"/>
  <c r="BH30" i="56"/>
  <c r="BD4" i="56"/>
  <c r="BD30" i="56"/>
  <c r="BF27" i="56"/>
  <c r="AB7" i="15"/>
  <c r="W7" i="15"/>
  <c r="S8" i="44"/>
  <c r="W6" i="44"/>
  <c r="U68" i="56"/>
  <c r="Y69" i="56"/>
  <c r="E5" i="44"/>
  <c r="U6" i="44"/>
  <c r="D29" i="44"/>
  <c r="D28" i="44" s="1"/>
  <c r="T6" i="44"/>
  <c r="C41" i="53"/>
  <c r="CN27" i="56"/>
  <c r="BW27" i="56"/>
  <c r="X68" i="56"/>
  <c r="X69" i="56"/>
  <c r="U69" i="56"/>
  <c r="DT69" i="56"/>
  <c r="DV67" i="56"/>
  <c r="DT67" i="56"/>
  <c r="DV69" i="56"/>
  <c r="DV68" i="56"/>
  <c r="DX69" i="56"/>
  <c r="DT68" i="56"/>
  <c r="I90" i="41"/>
  <c r="Y22" i="41" s="1"/>
  <c r="DY45" i="56" s="1"/>
  <c r="E91" i="41"/>
  <c r="U23" i="41" s="1"/>
  <c r="DU46" i="56" s="1"/>
  <c r="I91" i="41"/>
  <c r="Y23" i="41" s="1"/>
  <c r="DY46" i="56" s="1"/>
  <c r="E90" i="41"/>
  <c r="U22" i="41" s="1"/>
  <c r="DU45" i="56" s="1"/>
  <c r="X44" i="56"/>
  <c r="X67" i="56" s="1"/>
  <c r="U44" i="56"/>
  <c r="U67" i="56" s="1"/>
  <c r="Y44" i="56"/>
  <c r="DX53" i="56"/>
  <c r="DT53" i="56"/>
  <c r="BX30" i="56"/>
  <c r="BX27" i="56" s="1"/>
  <c r="BG53" i="56"/>
  <c r="BX53" i="56" s="1"/>
  <c r="DF53" i="56" s="1"/>
  <c r="CE30" i="56"/>
  <c r="CV30" i="56" s="1"/>
  <c r="DM30" i="56" s="1"/>
  <c r="EF30" i="56" s="1"/>
  <c r="BN53" i="56"/>
  <c r="CE53" i="56" s="1"/>
  <c r="BT30" i="56"/>
  <c r="CK30" i="56" s="1"/>
  <c r="BC53" i="56"/>
  <c r="BT53" i="56" s="1"/>
  <c r="DB53" i="56" s="1"/>
  <c r="CA30" i="56"/>
  <c r="CR30" i="56" s="1"/>
  <c r="DI30" i="56" s="1"/>
  <c r="EB30" i="56" s="1"/>
  <c r="BJ53" i="56"/>
  <c r="CA53" i="56" s="1"/>
  <c r="I89" i="41"/>
  <c r="Y21" i="41" s="1"/>
  <c r="DY44" i="56" s="1"/>
  <c r="E89" i="41"/>
  <c r="U21" i="41" s="1"/>
  <c r="DT4" i="56"/>
  <c r="DR7" i="56"/>
  <c r="H90" i="25"/>
  <c r="X22" i="25" s="1"/>
  <c r="DX22" i="56" s="1"/>
  <c r="DX68" i="56" s="1"/>
  <c r="E89" i="25"/>
  <c r="U21" i="25" s="1"/>
  <c r="E90" i="25"/>
  <c r="U22" i="25" s="1"/>
  <c r="DU22" i="56" s="1"/>
  <c r="V22" i="56" s="1"/>
  <c r="E91" i="25"/>
  <c r="U23" i="25" s="1"/>
  <c r="DU23" i="56" s="1"/>
  <c r="V23" i="56" s="1"/>
  <c r="H89" i="25"/>
  <c r="X21" i="25" s="1"/>
  <c r="DX21" i="56" s="1"/>
  <c r="Y21" i="56" s="1"/>
  <c r="DB4" i="56"/>
  <c r="DU7" i="56"/>
  <c r="K104" i="32"/>
  <c r="BT45" i="56"/>
  <c r="BT41" i="56"/>
  <c r="BT37" i="56"/>
  <c r="BT33" i="56"/>
  <c r="BT34" i="56"/>
  <c r="BT43" i="56"/>
  <c r="BT35" i="56"/>
  <c r="BT36" i="56"/>
  <c r="BT46" i="56"/>
  <c r="BT42" i="56"/>
  <c r="BT38" i="56"/>
  <c r="BT39" i="56"/>
  <c r="BT31" i="56"/>
  <c r="BT44" i="56"/>
  <c r="BT40" i="56"/>
  <c r="BT32" i="56"/>
  <c r="BT22" i="56"/>
  <c r="BT18" i="56"/>
  <c r="BT14" i="56"/>
  <c r="BT10" i="56"/>
  <c r="BT11" i="56"/>
  <c r="BT21" i="56"/>
  <c r="BT23" i="56"/>
  <c r="BT19" i="56"/>
  <c r="BT15" i="56"/>
  <c r="BT13" i="56"/>
  <c r="BT9" i="56"/>
  <c r="BT20" i="56"/>
  <c r="BT16" i="56"/>
  <c r="BT12" i="56"/>
  <c r="BT8" i="56"/>
  <c r="BT17" i="56"/>
  <c r="D141" i="7"/>
  <c r="E141" i="7"/>
  <c r="BW46" i="56"/>
  <c r="BW45" i="56"/>
  <c r="BW44" i="56"/>
  <c r="BW43" i="56"/>
  <c r="BW42" i="56"/>
  <c r="BW41" i="56"/>
  <c r="BW40" i="56"/>
  <c r="BW39" i="56"/>
  <c r="BW38" i="56"/>
  <c r="BW37" i="56"/>
  <c r="BW36" i="56"/>
  <c r="BW35" i="56"/>
  <c r="BW34" i="56"/>
  <c r="BW33" i="56"/>
  <c r="BW32" i="56"/>
  <c r="BW31" i="56"/>
  <c r="BW23" i="56"/>
  <c r="BW22" i="56"/>
  <c r="BW21" i="56"/>
  <c r="BW20" i="56"/>
  <c r="BW19" i="56"/>
  <c r="BW18" i="56"/>
  <c r="BW17" i="56"/>
  <c r="BW16" i="56"/>
  <c r="BW15" i="56"/>
  <c r="BW14" i="56"/>
  <c r="BW13" i="56"/>
  <c r="BW12" i="56"/>
  <c r="BW11" i="56"/>
  <c r="BW10" i="56"/>
  <c r="BW9" i="56"/>
  <c r="BW8" i="56"/>
  <c r="S12" i="45"/>
  <c r="S15" i="45"/>
  <c r="S58" i="45"/>
  <c r="T58" i="45"/>
  <c r="W58" i="45"/>
  <c r="U58" i="45"/>
  <c r="V58" i="45"/>
  <c r="CJ1" i="56"/>
  <c r="S19" i="37"/>
  <c r="AJ9" i="37"/>
  <c r="AQ592" i="9"/>
  <c r="AQ556" i="9"/>
  <c r="AQ520" i="9"/>
  <c r="AQ484" i="9"/>
  <c r="AQ448" i="9"/>
  <c r="AQ412" i="9"/>
  <c r="AQ376" i="9"/>
  <c r="AQ340" i="9"/>
  <c r="AQ304" i="9"/>
  <c r="AQ268" i="9"/>
  <c r="AQ232" i="9"/>
  <c r="AQ196" i="9"/>
  <c r="AQ160" i="9"/>
  <c r="S20" i="37"/>
  <c r="AX651" i="9"/>
  <c r="AX639" i="9"/>
  <c r="AX627" i="9"/>
  <c r="AX615" i="9"/>
  <c r="AX603" i="9"/>
  <c r="AX579" i="9"/>
  <c r="AX567" i="9"/>
  <c r="AX531" i="9"/>
  <c r="S102" i="37"/>
  <c r="S103" i="37"/>
  <c r="S23" i="37"/>
  <c r="D13" i="32"/>
  <c r="M102" i="32" s="1"/>
  <c r="N107" i="32"/>
  <c r="G21" i="37"/>
  <c r="G20" i="37"/>
  <c r="G19" i="37"/>
  <c r="S104" i="37"/>
  <c r="G104" i="37"/>
  <c r="P26" i="32"/>
  <c r="L102" i="32" s="1"/>
  <c r="G103" i="37"/>
  <c r="G102" i="37"/>
  <c r="AJ5" i="37"/>
  <c r="G10" i="37"/>
  <c r="G11" i="37" s="1"/>
  <c r="D11" i="37"/>
  <c r="G23" i="37"/>
  <c r="H144" i="53"/>
  <c r="AE53" i="53"/>
  <c r="Z53" i="53"/>
  <c r="AD290" i="53"/>
  <c r="AK290" i="53" s="1"/>
  <c r="Z50" i="53"/>
  <c r="AE50" i="53"/>
  <c r="AD323" i="53"/>
  <c r="Z323" i="53" s="1"/>
  <c r="AD329" i="53"/>
  <c r="AD326" i="53"/>
  <c r="G12" i="53"/>
  <c r="S61" i="53"/>
  <c r="Q26" i="32"/>
  <c r="L103" i="32" s="1"/>
  <c r="Q12" i="32"/>
  <c r="Q13" i="32" s="1"/>
  <c r="CJ27" i="56"/>
  <c r="DA30" i="56"/>
  <c r="DT30" i="56" s="1"/>
  <c r="E36" i="53"/>
  <c r="E45" i="53" s="1"/>
  <c r="H36" i="53"/>
  <c r="H45" i="53" s="1"/>
  <c r="B186" i="53"/>
  <c r="B171" i="53"/>
  <c r="BU4" i="56"/>
  <c r="BU2" i="56" s="1"/>
  <c r="CL7" i="56"/>
  <c r="CC7" i="56"/>
  <c r="CT7" i="56" s="1"/>
  <c r="DK7" i="56" s="1"/>
  <c r="ED7" i="56" s="1"/>
  <c r="CB7" i="56"/>
  <c r="CS7" i="56" s="1"/>
  <c r="DJ7" i="56" s="1"/>
  <c r="EC7" i="56" s="1"/>
  <c r="CG7" i="56"/>
  <c r="CX7" i="56" s="1"/>
  <c r="DO7" i="56" s="1"/>
  <c r="EH7" i="56" s="1"/>
  <c r="CF7" i="56"/>
  <c r="CW7" i="56" s="1"/>
  <c r="DN7" i="56" s="1"/>
  <c r="EG7" i="56" s="1"/>
  <c r="B156" i="53"/>
  <c r="I37" i="53"/>
  <c r="Z427" i="53"/>
  <c r="Z368" i="53"/>
  <c r="Z397" i="53"/>
  <c r="Z262" i="53"/>
  <c r="Z412" i="53"/>
  <c r="Z307" i="53"/>
  <c r="Z20" i="53"/>
  <c r="Z80" i="53"/>
  <c r="Z140" i="53"/>
  <c r="Z200" i="53"/>
  <c r="Z6" i="53"/>
  <c r="Z382" i="53"/>
  <c r="Z443" i="53"/>
  <c r="Z442" i="53"/>
  <c r="Z292" i="53"/>
  <c r="Z35" i="53"/>
  <c r="Z95" i="53"/>
  <c r="Z155" i="53"/>
  <c r="Z215" i="53"/>
  <c r="Z277" i="53"/>
  <c r="Z472" i="53"/>
  <c r="Z110" i="53"/>
  <c r="Z170" i="53"/>
  <c r="Z230" i="53"/>
  <c r="Z367" i="53"/>
  <c r="Z337" i="53"/>
  <c r="Z352" i="53"/>
  <c r="Z457" i="53"/>
  <c r="Z322" i="53"/>
  <c r="Z247" i="53"/>
  <c r="Z65" i="53"/>
  <c r="Z125" i="53"/>
  <c r="Z185" i="53"/>
  <c r="BF51" i="56"/>
  <c r="BW51" i="56" s="1"/>
  <c r="BG2" i="56"/>
  <c r="BF2" i="56"/>
  <c r="BC2" i="56"/>
  <c r="Y27" i="56"/>
  <c r="X27" i="56"/>
  <c r="U27" i="56"/>
  <c r="J4" i="56"/>
  <c r="J27" i="56" s="1"/>
  <c r="Z7" i="56"/>
  <c r="BY7" i="56"/>
  <c r="J30" i="56"/>
  <c r="J53" i="56" s="1"/>
  <c r="E122" i="44"/>
  <c r="E119" i="44"/>
  <c r="E116" i="44"/>
  <c r="E117" i="44"/>
  <c r="E118" i="44"/>
  <c r="E128" i="44"/>
  <c r="E129" i="44"/>
  <c r="E130" i="44"/>
  <c r="E127" i="44"/>
  <c r="E124" i="44"/>
  <c r="E125" i="44"/>
  <c r="E126" i="44"/>
  <c r="E123" i="44"/>
  <c r="E120" i="44"/>
  <c r="E121" i="44"/>
  <c r="E114" i="44"/>
  <c r="E100" i="44"/>
  <c r="E111" i="44"/>
  <c r="E112" i="44"/>
  <c r="E110" i="44"/>
  <c r="E109" i="44"/>
  <c r="E107" i="44"/>
  <c r="E108" i="44"/>
  <c r="E106" i="44"/>
  <c r="E105" i="44"/>
  <c r="E103" i="44"/>
  <c r="E104" i="44"/>
  <c r="E102" i="44"/>
  <c r="E101" i="44"/>
  <c r="E113" i="44"/>
  <c r="P12" i="32"/>
  <c r="P13" i="32" s="1"/>
  <c r="E29" i="44"/>
  <c r="E28" i="44" s="1"/>
  <c r="D5" i="44"/>
  <c r="Z428" i="53"/>
  <c r="Z308" i="53"/>
  <c r="Z248" i="53"/>
  <c r="Z413" i="53"/>
  <c r="Z293" i="53"/>
  <c r="Z383" i="53"/>
  <c r="Z263" i="53"/>
  <c r="Z278" i="53"/>
  <c r="Z458" i="53"/>
  <c r="Z188" i="53"/>
  <c r="Z23" i="53"/>
  <c r="Z38" i="53"/>
  <c r="Z98" i="53"/>
  <c r="Z143" i="53"/>
  <c r="Z473" i="53"/>
  <c r="Z338" i="53"/>
  <c r="Z353" i="53"/>
  <c r="Z203" i="53"/>
  <c r="Z128" i="53"/>
  <c r="Z173" i="53"/>
  <c r="Z83" i="53"/>
  <c r="Z68" i="53"/>
  <c r="Z398" i="53"/>
  <c r="Z158" i="53"/>
  <c r="Z233" i="53"/>
  <c r="Z218" i="53"/>
  <c r="Z113" i="53"/>
  <c r="H153" i="53"/>
  <c r="H149" i="53"/>
  <c r="AE9" i="53"/>
  <c r="AE6" i="53"/>
  <c r="AE38" i="53"/>
  <c r="AE218" i="53"/>
  <c r="AE203" i="53"/>
  <c r="AE128" i="53"/>
  <c r="AE188" i="53"/>
  <c r="AE233" i="53"/>
  <c r="AE158" i="53"/>
  <c r="AE98" i="53"/>
  <c r="AE173" i="53"/>
  <c r="AD237" i="53"/>
  <c r="AD477" i="53" s="1"/>
  <c r="AD222" i="53"/>
  <c r="AD462" i="53" s="1"/>
  <c r="AD207" i="53"/>
  <c r="AD447" i="53" s="1"/>
  <c r="AD192" i="53"/>
  <c r="AD432" i="53" s="1"/>
  <c r="AD177" i="53"/>
  <c r="AD417" i="53" s="1"/>
  <c r="AD162" i="53"/>
  <c r="AD402" i="53" s="1"/>
  <c r="AD147" i="53"/>
  <c r="AD387" i="53" s="1"/>
  <c r="AD132" i="53"/>
  <c r="AD372" i="53" s="1"/>
  <c r="AD117" i="53"/>
  <c r="AD357" i="53" s="1"/>
  <c r="AD102" i="53"/>
  <c r="AD342" i="53" s="1"/>
  <c r="AD87" i="53"/>
  <c r="AD72" i="53"/>
  <c r="AD312" i="53" s="1"/>
  <c r="AD57" i="53"/>
  <c r="AD297" i="53" s="1"/>
  <c r="AD42" i="53"/>
  <c r="AD282" i="53" s="1"/>
  <c r="AD27" i="53"/>
  <c r="AD267" i="53" s="1"/>
  <c r="AD12" i="53"/>
  <c r="AD252" i="53" s="1"/>
  <c r="AE398" i="53"/>
  <c r="AE337" i="53"/>
  <c r="AE397" i="53"/>
  <c r="AE277" i="53"/>
  <c r="AE293" i="53"/>
  <c r="AE23" i="53"/>
  <c r="AE383" i="53"/>
  <c r="AE292" i="53"/>
  <c r="AE113" i="53"/>
  <c r="AE248" i="53"/>
  <c r="AD305" i="53"/>
  <c r="AK305" i="53" s="1"/>
  <c r="AE65" i="53"/>
  <c r="AD365" i="53"/>
  <c r="AK365" i="53" s="1"/>
  <c r="AE125" i="53"/>
  <c r="AD425" i="53"/>
  <c r="AK425" i="53" s="1"/>
  <c r="AE185" i="53"/>
  <c r="AD240" i="53"/>
  <c r="AD480" i="53" s="1"/>
  <c r="AD225" i="53"/>
  <c r="AD465" i="53" s="1"/>
  <c r="AD210" i="53"/>
  <c r="AD450" i="53" s="1"/>
  <c r="AD195" i="53"/>
  <c r="AD435" i="53" s="1"/>
  <c r="AD180" i="53"/>
  <c r="AD420" i="53" s="1"/>
  <c r="AD165" i="53"/>
  <c r="AD405" i="53" s="1"/>
  <c r="AD150" i="53"/>
  <c r="AD390" i="53" s="1"/>
  <c r="AD135" i="53"/>
  <c r="AD375" i="53" s="1"/>
  <c r="AD120" i="53"/>
  <c r="AD360" i="53" s="1"/>
  <c r="AD105" i="53"/>
  <c r="AD345" i="53" s="1"/>
  <c r="AD90" i="53"/>
  <c r="AD330" i="53" s="1"/>
  <c r="AD75" i="53"/>
  <c r="AD315" i="53" s="1"/>
  <c r="AD60" i="53"/>
  <c r="AD300" i="53" s="1"/>
  <c r="AD45" i="53"/>
  <c r="AD285" i="53" s="1"/>
  <c r="AD30" i="53"/>
  <c r="AD270" i="53" s="1"/>
  <c r="AD15" i="53"/>
  <c r="AD255" i="53" s="1"/>
  <c r="AE427" i="53"/>
  <c r="AE413" i="53"/>
  <c r="AE278" i="53"/>
  <c r="AE412" i="53"/>
  <c r="AE338" i="53"/>
  <c r="AE143" i="53"/>
  <c r="AE322" i="53"/>
  <c r="AE353" i="53"/>
  <c r="AD260" i="53"/>
  <c r="AK260" i="53" s="1"/>
  <c r="AE20" i="53"/>
  <c r="AD320" i="53"/>
  <c r="AK320" i="53" s="1"/>
  <c r="AE80" i="53"/>
  <c r="AD380" i="53"/>
  <c r="AK380" i="53" s="1"/>
  <c r="AE140" i="53"/>
  <c r="AD440" i="53"/>
  <c r="AK440" i="53" s="1"/>
  <c r="AE200" i="53"/>
  <c r="AD231" i="53"/>
  <c r="AD216" i="53"/>
  <c r="AD201" i="53"/>
  <c r="AD186" i="53"/>
  <c r="AD171" i="53"/>
  <c r="AD156" i="53"/>
  <c r="AD141" i="53"/>
  <c r="AD126" i="53"/>
  <c r="AD111" i="53"/>
  <c r="AD96" i="53"/>
  <c r="AD81" i="53"/>
  <c r="AD66" i="53"/>
  <c r="AD51" i="53"/>
  <c r="AD36" i="53"/>
  <c r="AD21" i="53"/>
  <c r="AE428" i="53"/>
  <c r="AE368" i="53"/>
  <c r="AE443" i="53"/>
  <c r="AE352" i="53"/>
  <c r="AE472" i="53"/>
  <c r="AE458" i="53"/>
  <c r="AE83" i="53"/>
  <c r="AE442" i="53"/>
  <c r="AE307" i="53"/>
  <c r="AD275" i="53"/>
  <c r="AK275" i="53" s="1"/>
  <c r="AE35" i="53"/>
  <c r="AD335" i="53"/>
  <c r="AK335" i="53" s="1"/>
  <c r="AE95" i="53"/>
  <c r="AD395" i="53"/>
  <c r="AK395" i="53" s="1"/>
  <c r="AE155" i="53"/>
  <c r="AD455" i="53"/>
  <c r="AK455" i="53" s="1"/>
  <c r="AE215" i="53"/>
  <c r="AD234" i="53"/>
  <c r="AD219" i="53"/>
  <c r="AD204" i="53"/>
  <c r="AD189" i="53"/>
  <c r="AD174" i="53"/>
  <c r="AD159" i="53"/>
  <c r="AD144" i="53"/>
  <c r="AD129" i="53"/>
  <c r="AD114" i="53"/>
  <c r="AD99" i="53"/>
  <c r="AD84" i="53"/>
  <c r="AD69" i="53"/>
  <c r="AD54" i="53"/>
  <c r="AD39" i="53"/>
  <c r="AD24" i="53"/>
  <c r="AE382" i="53"/>
  <c r="AE367" i="53"/>
  <c r="AE473" i="53"/>
  <c r="AE262" i="53"/>
  <c r="AE457" i="53"/>
  <c r="AE263" i="53"/>
  <c r="AE68" i="53"/>
  <c r="AE308" i="53"/>
  <c r="AE247" i="53"/>
  <c r="AD350" i="53"/>
  <c r="AK350" i="53" s="1"/>
  <c r="AE110" i="53"/>
  <c r="AD410" i="53"/>
  <c r="AK410" i="53" s="1"/>
  <c r="AE170" i="53"/>
  <c r="AD470" i="53"/>
  <c r="AK470" i="53" s="1"/>
  <c r="AE230" i="53"/>
  <c r="AA40" i="44"/>
  <c r="AA17" i="44"/>
  <c r="AA33" i="44"/>
  <c r="AA14" i="44"/>
  <c r="AA20" i="44"/>
  <c r="AA38" i="44"/>
  <c r="AA15" i="44"/>
  <c r="AA36" i="44"/>
  <c r="AA13" i="44"/>
  <c r="AA10" i="44"/>
  <c r="AA39" i="44"/>
  <c r="AA16" i="44"/>
  <c r="AA34" i="44"/>
  <c r="AA11" i="44"/>
  <c r="AA32" i="44"/>
  <c r="AA9" i="44"/>
  <c r="AA22" i="44"/>
  <c r="AA35" i="44"/>
  <c r="AA12" i="44"/>
  <c r="AA23" i="44"/>
  <c r="AA21" i="44"/>
  <c r="AA37" i="44"/>
  <c r="AA18" i="44"/>
  <c r="AA31" i="44"/>
  <c r="AA8" i="44"/>
  <c r="AA19" i="44"/>
  <c r="I99" i="44"/>
  <c r="AG10" i="30"/>
  <c r="G24" i="30"/>
  <c r="S23" i="30"/>
  <c r="S24" i="30"/>
  <c r="G23" i="30"/>
  <c r="I48" i="25"/>
  <c r="T103" i="7"/>
  <c r="T118" i="7"/>
  <c r="T116" i="7"/>
  <c r="T114" i="7"/>
  <c r="T111" i="7"/>
  <c r="T109" i="7"/>
  <c r="T107" i="7"/>
  <c r="T105" i="7"/>
  <c r="T117" i="7"/>
  <c r="T115" i="7"/>
  <c r="T113" i="7"/>
  <c r="T110" i="7"/>
  <c r="T108" i="7"/>
  <c r="T106" i="7"/>
  <c r="T104" i="7"/>
  <c r="T112" i="7"/>
  <c r="H27" i="15"/>
  <c r="AG5" i="15"/>
  <c r="O29" i="44"/>
  <c r="O28" i="44" s="1"/>
  <c r="O5" i="44"/>
  <c r="K29" i="44"/>
  <c r="K28" i="44" s="1"/>
  <c r="K5" i="44"/>
  <c r="G29" i="44"/>
  <c r="G28" i="44" s="1"/>
  <c r="G5" i="44"/>
  <c r="I30" i="44"/>
  <c r="AC30" i="44" s="1"/>
  <c r="I68" i="25"/>
  <c r="I67" i="25"/>
  <c r="I69" i="25"/>
  <c r="K73" i="41"/>
  <c r="AB10" i="53" s="1"/>
  <c r="AB5" i="41"/>
  <c r="K5" i="41"/>
  <c r="K51" i="41"/>
  <c r="S75" i="41"/>
  <c r="T53" i="41"/>
  <c r="T7" i="53" s="1"/>
  <c r="T53" i="25"/>
  <c r="U53" i="25" s="1"/>
  <c r="S75" i="25"/>
  <c r="F108" i="37"/>
  <c r="G128" i="7"/>
  <c r="B128" i="7" s="1"/>
  <c r="G130" i="7"/>
  <c r="B130" i="7" s="1"/>
  <c r="G129" i="7"/>
  <c r="B129" i="7" s="1"/>
  <c r="G116" i="7"/>
  <c r="B116" i="7" s="1"/>
  <c r="G117" i="7"/>
  <c r="B117" i="7" s="1"/>
  <c r="G118" i="7"/>
  <c r="B118" i="7" s="1"/>
  <c r="G106" i="7"/>
  <c r="B106" i="7" s="1"/>
  <c r="G105" i="7"/>
  <c r="B105" i="7" s="1"/>
  <c r="G104" i="7"/>
  <c r="B104" i="7" s="1"/>
  <c r="I75" i="25"/>
  <c r="L9" i="10"/>
  <c r="L8" i="10"/>
  <c r="L7" i="10"/>
  <c r="L6" i="10"/>
  <c r="G39" i="30"/>
  <c r="AB5" i="25"/>
  <c r="K5" i="25"/>
  <c r="K73" i="25"/>
  <c r="K51" i="25"/>
  <c r="L29" i="10"/>
  <c r="O29" i="10"/>
  <c r="D98" i="15" s="1"/>
  <c r="N4" i="10"/>
  <c r="M5" i="10"/>
  <c r="N3" i="10"/>
  <c r="I15" i="44" l="1"/>
  <c r="Q15" i="44"/>
  <c r="M15" i="44"/>
  <c r="H17" i="44"/>
  <c r="L17" i="44"/>
  <c r="P17" i="44"/>
  <c r="H19" i="44"/>
  <c r="L19" i="44"/>
  <c r="P19" i="44"/>
  <c r="H21" i="44"/>
  <c r="L21" i="44"/>
  <c r="P21" i="44"/>
  <c r="H23" i="44"/>
  <c r="L23" i="44"/>
  <c r="P23" i="44"/>
  <c r="I9" i="44"/>
  <c r="Q9" i="44"/>
  <c r="M9" i="44"/>
  <c r="Q18" i="44"/>
  <c r="I18" i="44"/>
  <c r="M18" i="44"/>
  <c r="U22" i="44"/>
  <c r="U20" i="44"/>
  <c r="U18" i="44"/>
  <c r="U16" i="44"/>
  <c r="U23" i="44"/>
  <c r="U21" i="44"/>
  <c r="U19" i="44"/>
  <c r="U14" i="44"/>
  <c r="U10" i="44"/>
  <c r="U15" i="44"/>
  <c r="U11" i="44"/>
  <c r="U17" i="44"/>
  <c r="U13" i="44"/>
  <c r="U9" i="44"/>
  <c r="U12" i="44"/>
  <c r="W22" i="44"/>
  <c r="W20" i="44"/>
  <c r="W18" i="44"/>
  <c r="W16" i="44"/>
  <c r="W14" i="44"/>
  <c r="W12" i="44"/>
  <c r="W10" i="44"/>
  <c r="W23" i="44"/>
  <c r="W21" i="44"/>
  <c r="W19" i="44"/>
  <c r="W17" i="44"/>
  <c r="W15" i="44"/>
  <c r="W13" i="44"/>
  <c r="W11" i="44"/>
  <c r="W9" i="44"/>
  <c r="Q10" i="44"/>
  <c r="I10" i="44"/>
  <c r="M10" i="44"/>
  <c r="L10" i="44"/>
  <c r="H10" i="44"/>
  <c r="P10" i="44"/>
  <c r="L12" i="44"/>
  <c r="P12" i="44"/>
  <c r="H12" i="44"/>
  <c r="L14" i="44"/>
  <c r="P14" i="44"/>
  <c r="H14" i="44"/>
  <c r="Q20" i="44"/>
  <c r="I20" i="44"/>
  <c r="M20" i="44"/>
  <c r="Q16" i="44"/>
  <c r="I16" i="44"/>
  <c r="M16" i="44"/>
  <c r="I23" i="44"/>
  <c r="M23" i="44"/>
  <c r="Q23" i="44"/>
  <c r="Q22" i="44"/>
  <c r="I22" i="44"/>
  <c r="M22" i="44"/>
  <c r="L16" i="44"/>
  <c r="P16" i="44"/>
  <c r="H16" i="44"/>
  <c r="L18" i="44"/>
  <c r="P18" i="44"/>
  <c r="H18" i="44"/>
  <c r="L20" i="44"/>
  <c r="P20" i="44"/>
  <c r="H20" i="44"/>
  <c r="L22" i="44"/>
  <c r="P22" i="44"/>
  <c r="H22" i="44"/>
  <c r="I17" i="44"/>
  <c r="M17" i="44"/>
  <c r="Q17" i="44"/>
  <c r="Q12" i="44"/>
  <c r="I12" i="44"/>
  <c r="M12" i="44"/>
  <c r="I19" i="44"/>
  <c r="M19" i="44"/>
  <c r="Q19" i="44"/>
  <c r="T23" i="44"/>
  <c r="T21" i="44"/>
  <c r="T19" i="44"/>
  <c r="T17" i="44"/>
  <c r="T15" i="44"/>
  <c r="T13" i="44"/>
  <c r="T11" i="44"/>
  <c r="T9" i="44"/>
  <c r="T22" i="44"/>
  <c r="T20" i="44"/>
  <c r="T18" i="44"/>
  <c r="T16" i="44"/>
  <c r="T14" i="44"/>
  <c r="T12" i="44"/>
  <c r="T10" i="44"/>
  <c r="I21" i="44"/>
  <c r="M21" i="44"/>
  <c r="Q21" i="44"/>
  <c r="L9" i="44"/>
  <c r="H9" i="44"/>
  <c r="P9" i="44"/>
  <c r="L11" i="44"/>
  <c r="H11" i="44"/>
  <c r="P11" i="44"/>
  <c r="L13" i="44"/>
  <c r="P13" i="44"/>
  <c r="H13" i="44"/>
  <c r="L15" i="44"/>
  <c r="H15" i="44"/>
  <c r="P15" i="44"/>
  <c r="I11" i="44"/>
  <c r="Q11" i="44"/>
  <c r="M11" i="44"/>
  <c r="Q14" i="44"/>
  <c r="I14" i="44"/>
  <c r="M14" i="44"/>
  <c r="I13" i="44"/>
  <c r="Q13" i="44"/>
  <c r="M13" i="44"/>
  <c r="Q39" i="44"/>
  <c r="I39" i="44"/>
  <c r="M39" i="44"/>
  <c r="L35" i="44"/>
  <c r="P35" i="44"/>
  <c r="H35" i="44"/>
  <c r="L32" i="44"/>
  <c r="P32" i="44"/>
  <c r="H32" i="44"/>
  <c r="L40" i="44"/>
  <c r="P40" i="44"/>
  <c r="H40" i="44"/>
  <c r="Q35" i="44"/>
  <c r="I35" i="44"/>
  <c r="M35" i="44"/>
  <c r="Q40" i="44"/>
  <c r="I40" i="44"/>
  <c r="M40" i="44"/>
  <c r="Q36" i="44"/>
  <c r="I36" i="44"/>
  <c r="M36" i="44"/>
  <c r="L33" i="44"/>
  <c r="P33" i="44"/>
  <c r="H33" i="44"/>
  <c r="L39" i="44"/>
  <c r="P39" i="44"/>
  <c r="H39" i="44"/>
  <c r="Q34" i="44"/>
  <c r="I34" i="44"/>
  <c r="M34" i="44"/>
  <c r="Q32" i="44"/>
  <c r="I32" i="44"/>
  <c r="M32" i="44"/>
  <c r="Q38" i="44"/>
  <c r="M38" i="44"/>
  <c r="I38" i="44"/>
  <c r="L37" i="44"/>
  <c r="P37" i="44"/>
  <c r="H37" i="44"/>
  <c r="L38" i="44"/>
  <c r="P38" i="44"/>
  <c r="H38" i="44"/>
  <c r="Q37" i="44"/>
  <c r="I37" i="44"/>
  <c r="M37" i="44"/>
  <c r="L36" i="44"/>
  <c r="P36" i="44"/>
  <c r="H36" i="44"/>
  <c r="L34" i="44"/>
  <c r="P34" i="44"/>
  <c r="H34" i="44"/>
  <c r="AC53" i="56"/>
  <c r="AT53" i="56" s="1"/>
  <c r="R108" i="37"/>
  <c r="W55" i="45"/>
  <c r="AX30" i="56"/>
  <c r="AM30" i="56"/>
  <c r="AM27" i="56" s="1"/>
  <c r="AK21" i="53" s="1"/>
  <c r="AK5" i="53"/>
  <c r="AK125" i="53"/>
  <c r="AK230" i="53"/>
  <c r="AK95" i="53"/>
  <c r="AK80" i="53"/>
  <c r="AK65" i="53"/>
  <c r="AK170" i="53"/>
  <c r="AK35" i="53"/>
  <c r="AK20" i="53"/>
  <c r="AK110" i="53"/>
  <c r="AK215" i="53"/>
  <c r="AK200" i="53"/>
  <c r="AK185" i="53"/>
  <c r="AK50" i="53"/>
  <c r="AK155" i="53"/>
  <c r="AK140" i="53"/>
  <c r="BS54" i="56"/>
  <c r="DU44" i="56"/>
  <c r="V44" i="56" s="1"/>
  <c r="DU21" i="56"/>
  <c r="V21" i="56" s="1"/>
  <c r="AH53" i="56"/>
  <c r="AY53" i="56" s="1"/>
  <c r="BS47" i="56"/>
  <c r="BS68" i="56"/>
  <c r="AO27" i="56"/>
  <c r="AP27" i="56"/>
  <c r="AO4" i="56"/>
  <c r="AP4" i="56"/>
  <c r="BS66" i="56"/>
  <c r="BS57" i="56"/>
  <c r="BS55" i="56"/>
  <c r="P108" i="37"/>
  <c r="DE51" i="56"/>
  <c r="DX51" i="56" s="1"/>
  <c r="DI53" i="56"/>
  <c r="EB53" i="56" s="1"/>
  <c r="DM53" i="56"/>
  <c r="EF53" i="56" s="1"/>
  <c r="BS65" i="56"/>
  <c r="BS64" i="56"/>
  <c r="AU30" i="56"/>
  <c r="BS69" i="56"/>
  <c r="BS61" i="56"/>
  <c r="BS58" i="56"/>
  <c r="BS56" i="56"/>
  <c r="BS60" i="56"/>
  <c r="BS59" i="56"/>
  <c r="BS62" i="56"/>
  <c r="BS67" i="56"/>
  <c r="BS63" i="56"/>
  <c r="X51" i="56"/>
  <c r="AO51" i="56" s="1"/>
  <c r="AO28" i="56"/>
  <c r="BX4" i="56"/>
  <c r="BX2" i="56" s="1"/>
  <c r="BX37" i="56" s="1"/>
  <c r="AQ7" i="56"/>
  <c r="AQ4" i="56" s="1"/>
  <c r="BD27" i="56"/>
  <c r="BH27" i="56"/>
  <c r="CO30" i="56"/>
  <c r="CO27" i="56" s="1"/>
  <c r="BT27" i="56"/>
  <c r="W8" i="44"/>
  <c r="T8" i="44"/>
  <c r="U8" i="44"/>
  <c r="X6" i="44"/>
  <c r="Y6" i="44"/>
  <c r="D41" i="53"/>
  <c r="T5" i="44"/>
  <c r="X5" i="44" s="1"/>
  <c r="E41" i="53"/>
  <c r="U5" i="44"/>
  <c r="Y5" i="44" s="1"/>
  <c r="DR69" i="56"/>
  <c r="A40" i="53"/>
  <c r="A58" i="53" s="1"/>
  <c r="Y67" i="56"/>
  <c r="Z46" i="56"/>
  <c r="Z44" i="56"/>
  <c r="V46" i="56"/>
  <c r="V69" i="56" s="1"/>
  <c r="DU69" i="56"/>
  <c r="DX67" i="56"/>
  <c r="Z45" i="56"/>
  <c r="V45" i="56"/>
  <c r="V68" i="56" s="1"/>
  <c r="DU68" i="56"/>
  <c r="DR56" i="56"/>
  <c r="DR60" i="56"/>
  <c r="DR55" i="56"/>
  <c r="DR63" i="56"/>
  <c r="DR64" i="56"/>
  <c r="DR54" i="56"/>
  <c r="DR57" i="56"/>
  <c r="DR65" i="56"/>
  <c r="DR66" i="56"/>
  <c r="DR62" i="56"/>
  <c r="DR59" i="56"/>
  <c r="DR67" i="56"/>
  <c r="DR58" i="56"/>
  <c r="DR68" i="56"/>
  <c r="DR61" i="56"/>
  <c r="Y22" i="56"/>
  <c r="Y68" i="56" s="1"/>
  <c r="DU53" i="56"/>
  <c r="DY53" i="56"/>
  <c r="BW54" i="56"/>
  <c r="BW58" i="56"/>
  <c r="BW62" i="56"/>
  <c r="BW66" i="56"/>
  <c r="BT63" i="56"/>
  <c r="BT61" i="56"/>
  <c r="BT58" i="56"/>
  <c r="BT60" i="56"/>
  <c r="BW55" i="56"/>
  <c r="BW59" i="56"/>
  <c r="BW63" i="56"/>
  <c r="BW67" i="56"/>
  <c r="BT67" i="56"/>
  <c r="BT65" i="56"/>
  <c r="BT66" i="56"/>
  <c r="BT64" i="56"/>
  <c r="BW56" i="56"/>
  <c r="BW60" i="56"/>
  <c r="BW64" i="56"/>
  <c r="BW68" i="56"/>
  <c r="BT54" i="56"/>
  <c r="BT69" i="56"/>
  <c r="BT57" i="56"/>
  <c r="BT68" i="56"/>
  <c r="BW57" i="56"/>
  <c r="BW61" i="56"/>
  <c r="BW65" i="56"/>
  <c r="BW69" i="56"/>
  <c r="BT55" i="56"/>
  <c r="BT62" i="56"/>
  <c r="BT59" i="56"/>
  <c r="BT56" i="56"/>
  <c r="BU30" i="56"/>
  <c r="CL30" i="56" s="1"/>
  <c r="BD53" i="56"/>
  <c r="BU53" i="56" s="1"/>
  <c r="DC53" i="56" s="1"/>
  <c r="CG30" i="56"/>
  <c r="CX30" i="56" s="1"/>
  <c r="DO30" i="56" s="1"/>
  <c r="EH30" i="56" s="1"/>
  <c r="BP53" i="56"/>
  <c r="CG53" i="56" s="1"/>
  <c r="CC30" i="56"/>
  <c r="CT30" i="56" s="1"/>
  <c r="DK30" i="56" s="1"/>
  <c r="ED30" i="56" s="1"/>
  <c r="BL53" i="56"/>
  <c r="CC53" i="56" s="1"/>
  <c r="CF30" i="56"/>
  <c r="CW30" i="56" s="1"/>
  <c r="DN30" i="56" s="1"/>
  <c r="EG30" i="56" s="1"/>
  <c r="BO53" i="56"/>
  <c r="CF53" i="56" s="1"/>
  <c r="CB30" i="56"/>
  <c r="CS30" i="56" s="1"/>
  <c r="DJ30" i="56" s="1"/>
  <c r="EC30" i="56" s="1"/>
  <c r="BK53" i="56"/>
  <c r="CB53" i="56" s="1"/>
  <c r="BW28" i="56"/>
  <c r="CN28" i="56" s="1"/>
  <c r="DE28" i="56" s="1"/>
  <c r="DX28" i="56" s="1"/>
  <c r="DR23" i="56"/>
  <c r="T23" i="56" s="1"/>
  <c r="DR30" i="56"/>
  <c r="DR53" i="56" s="1"/>
  <c r="DR39" i="56"/>
  <c r="DR41" i="56"/>
  <c r="DR34" i="56"/>
  <c r="DR35" i="56"/>
  <c r="DR36" i="56"/>
  <c r="DR45" i="56"/>
  <c r="DR38" i="56"/>
  <c r="DR32" i="56"/>
  <c r="DR33" i="56"/>
  <c r="DR43" i="56"/>
  <c r="DR42" i="56"/>
  <c r="DR44" i="56"/>
  <c r="DR37" i="56"/>
  <c r="DR40" i="56"/>
  <c r="DR46" i="56"/>
  <c r="DR31" i="56"/>
  <c r="DR21" i="56"/>
  <c r="T21" i="56" s="1"/>
  <c r="DR22" i="56"/>
  <c r="T22" i="56" s="1"/>
  <c r="DR11" i="56"/>
  <c r="T11" i="56" s="1"/>
  <c r="DR12" i="56"/>
  <c r="T12" i="56" s="1"/>
  <c r="DR10" i="56"/>
  <c r="T10" i="56" s="1"/>
  <c r="DR16" i="56"/>
  <c r="T16" i="56" s="1"/>
  <c r="DR15" i="56"/>
  <c r="T15" i="56" s="1"/>
  <c r="DR20" i="56"/>
  <c r="T20" i="56" s="1"/>
  <c r="DR14" i="56"/>
  <c r="T14" i="56" s="1"/>
  <c r="DR9" i="56"/>
  <c r="T9" i="56" s="1"/>
  <c r="DR19" i="56"/>
  <c r="T19" i="56" s="1"/>
  <c r="DR13" i="56"/>
  <c r="T13" i="56" s="1"/>
  <c r="DR18" i="56"/>
  <c r="T18" i="56" s="1"/>
  <c r="DR17" i="56"/>
  <c r="T17" i="56" s="1"/>
  <c r="DR8" i="56"/>
  <c r="T8" i="56" s="1"/>
  <c r="I91" i="25"/>
  <c r="Y23" i="25" s="1"/>
  <c r="DY23" i="56" s="1"/>
  <c r="Z23" i="56" s="1"/>
  <c r="DA27" i="56"/>
  <c r="K103" i="32"/>
  <c r="K102" i="32"/>
  <c r="BU46" i="56"/>
  <c r="BU42" i="56"/>
  <c r="BU38" i="56"/>
  <c r="BU34" i="56"/>
  <c r="BU39" i="56"/>
  <c r="BU31" i="56"/>
  <c r="BU40" i="56"/>
  <c r="BU32" i="56"/>
  <c r="BU45" i="56"/>
  <c r="BU41" i="56"/>
  <c r="BU33" i="56"/>
  <c r="BU43" i="56"/>
  <c r="BU35" i="56"/>
  <c r="BU44" i="56"/>
  <c r="BU36" i="56"/>
  <c r="BU37" i="56"/>
  <c r="S107" i="37"/>
  <c r="S108" i="37" s="1"/>
  <c r="BU23" i="56"/>
  <c r="BU19" i="56"/>
  <c r="BU15" i="56"/>
  <c r="BU11" i="56"/>
  <c r="BU8" i="56"/>
  <c r="BU18" i="56"/>
  <c r="BU20" i="56"/>
  <c r="BU16" i="56"/>
  <c r="BU12" i="56"/>
  <c r="BU21" i="56"/>
  <c r="BU17" i="56"/>
  <c r="BU13" i="56"/>
  <c r="BU9" i="56"/>
  <c r="BU22" i="56"/>
  <c r="BU14" i="56"/>
  <c r="BU10" i="56"/>
  <c r="F141" i="7"/>
  <c r="E108" i="37"/>
  <c r="AE323" i="53"/>
  <c r="AX652" i="9"/>
  <c r="AX653" i="9"/>
  <c r="AX641" i="9"/>
  <c r="AX640" i="9"/>
  <c r="AX629" i="9"/>
  <c r="AX628" i="9"/>
  <c r="AX617" i="9"/>
  <c r="AX616" i="9"/>
  <c r="AX604" i="9"/>
  <c r="AX605" i="9"/>
  <c r="AX581" i="9"/>
  <c r="AX580" i="9"/>
  <c r="AX568" i="9"/>
  <c r="AX569" i="9"/>
  <c r="AX532" i="9"/>
  <c r="AX533" i="9"/>
  <c r="G107" i="37"/>
  <c r="G108" i="37" s="1"/>
  <c r="L111" i="32"/>
  <c r="Q108" i="37"/>
  <c r="L106" i="32"/>
  <c r="D108" i="37"/>
  <c r="AX386" i="9"/>
  <c r="AX242" i="9"/>
  <c r="AX170" i="9"/>
  <c r="AX171" i="9"/>
  <c r="AX494" i="9"/>
  <c r="AX387" i="9"/>
  <c r="AX243" i="9"/>
  <c r="AX279" i="9"/>
  <c r="AX458" i="9"/>
  <c r="AX207" i="9"/>
  <c r="AX495" i="9"/>
  <c r="AX350" i="9"/>
  <c r="AX314" i="9"/>
  <c r="AX351" i="9"/>
  <c r="AX315" i="9"/>
  <c r="AX423" i="9"/>
  <c r="AX206" i="9"/>
  <c r="AX278" i="9"/>
  <c r="AX459" i="9"/>
  <c r="AX422" i="9"/>
  <c r="H159" i="53"/>
  <c r="AD294" i="53"/>
  <c r="AE54" i="53"/>
  <c r="Z54" i="53"/>
  <c r="AD291" i="53"/>
  <c r="AK291" i="53" s="1"/>
  <c r="AE51" i="53"/>
  <c r="Z51" i="53"/>
  <c r="AD327" i="53"/>
  <c r="T61" i="53"/>
  <c r="AX218" i="9"/>
  <c r="AX362" i="9"/>
  <c r="AX506" i="9"/>
  <c r="AX363" i="9"/>
  <c r="AX470" i="9"/>
  <c r="AX326" i="9"/>
  <c r="AX435" i="9"/>
  <c r="AX543" i="9"/>
  <c r="AX327" i="9"/>
  <c r="AX471" i="9"/>
  <c r="AX398" i="9"/>
  <c r="AX219" i="9"/>
  <c r="AX507" i="9"/>
  <c r="AX254" i="9"/>
  <c r="AX183" i="9"/>
  <c r="AX290" i="9"/>
  <c r="AX434" i="9"/>
  <c r="AX255" i="9"/>
  <c r="AX399" i="9"/>
  <c r="AX182" i="9"/>
  <c r="AX291" i="9"/>
  <c r="CK27" i="56"/>
  <c r="DB30" i="56"/>
  <c r="I36" i="53"/>
  <c r="I45" i="53" s="1"/>
  <c r="CL4" i="56"/>
  <c r="CL2" i="56" s="1"/>
  <c r="DC7" i="56"/>
  <c r="BY4" i="56"/>
  <c r="BY2" i="56" s="1"/>
  <c r="CP7" i="56"/>
  <c r="BW47" i="56"/>
  <c r="BT47" i="56"/>
  <c r="Z470" i="53"/>
  <c r="Z350" i="53"/>
  <c r="Z24" i="53"/>
  <c r="Z84" i="53"/>
  <c r="Z144" i="53"/>
  <c r="Z204" i="53"/>
  <c r="Z395" i="53"/>
  <c r="Z275" i="53"/>
  <c r="Z21" i="53"/>
  <c r="Z81" i="53"/>
  <c r="Z141" i="53"/>
  <c r="Z201" i="53"/>
  <c r="Z380" i="53"/>
  <c r="Z260" i="53"/>
  <c r="Z365" i="53"/>
  <c r="Z10" i="53"/>
  <c r="Z39" i="53"/>
  <c r="Z99" i="53"/>
  <c r="Z159" i="53"/>
  <c r="Z219" i="53"/>
  <c r="Z36" i="53"/>
  <c r="Z96" i="53"/>
  <c r="Z156" i="53"/>
  <c r="Z216" i="53"/>
  <c r="Z410" i="53"/>
  <c r="Z290" i="53"/>
  <c r="Z114" i="53"/>
  <c r="Z174" i="53"/>
  <c r="Z234" i="53"/>
  <c r="Z455" i="53"/>
  <c r="Z335" i="53"/>
  <c r="Z111" i="53"/>
  <c r="Z171" i="53"/>
  <c r="Z231" i="53"/>
  <c r="Z440" i="53"/>
  <c r="Z320" i="53"/>
  <c r="Z425" i="53"/>
  <c r="Z305" i="53"/>
  <c r="Z69" i="53"/>
  <c r="Z129" i="53"/>
  <c r="Z189" i="53"/>
  <c r="Z66" i="53"/>
  <c r="Z126" i="53"/>
  <c r="Z186" i="53"/>
  <c r="Z245" i="53"/>
  <c r="BD2" i="56"/>
  <c r="Z30" i="56"/>
  <c r="Z4" i="56"/>
  <c r="K38" i="53"/>
  <c r="L5" i="56"/>
  <c r="K6" i="53"/>
  <c r="K5" i="53" s="1"/>
  <c r="K9" i="53" s="1"/>
  <c r="E12" i="53"/>
  <c r="AE290" i="53"/>
  <c r="AD279" i="53"/>
  <c r="AE39" i="53"/>
  <c r="AD339" i="53"/>
  <c r="AE99" i="53"/>
  <c r="AD399" i="53"/>
  <c r="AE159" i="53"/>
  <c r="AD459" i="53"/>
  <c r="AE219" i="53"/>
  <c r="AE455" i="53"/>
  <c r="AD261" i="53"/>
  <c r="AK261" i="53" s="1"/>
  <c r="AE21" i="53"/>
  <c r="AD321" i="53"/>
  <c r="AK321" i="53" s="1"/>
  <c r="AE81" i="53"/>
  <c r="AD381" i="53"/>
  <c r="AK381" i="53" s="1"/>
  <c r="AE141" i="53"/>
  <c r="AD441" i="53"/>
  <c r="AK441" i="53" s="1"/>
  <c r="AE201" i="53"/>
  <c r="AE380" i="53"/>
  <c r="AE365" i="53"/>
  <c r="AE350" i="53"/>
  <c r="AD354" i="53"/>
  <c r="AE114" i="53"/>
  <c r="AD414" i="53"/>
  <c r="AE174" i="53"/>
  <c r="AD474" i="53"/>
  <c r="AE234" i="53"/>
  <c r="AE275" i="53"/>
  <c r="AD276" i="53"/>
  <c r="AK276" i="53" s="1"/>
  <c r="AE36" i="53"/>
  <c r="AD336" i="53"/>
  <c r="AK336" i="53" s="1"/>
  <c r="AE96" i="53"/>
  <c r="AD396" i="53"/>
  <c r="AK396" i="53" s="1"/>
  <c r="AE156" i="53"/>
  <c r="AD456" i="53"/>
  <c r="AK456" i="53" s="1"/>
  <c r="AE216" i="53"/>
  <c r="AE440" i="53"/>
  <c r="AE425" i="53"/>
  <c r="AE410" i="53"/>
  <c r="AD249" i="53"/>
  <c r="AD309" i="53"/>
  <c r="AE69" i="53"/>
  <c r="AD369" i="53"/>
  <c r="AE129" i="53"/>
  <c r="AD429" i="53"/>
  <c r="AE189" i="53"/>
  <c r="AE335" i="53"/>
  <c r="AD351" i="53"/>
  <c r="AK351" i="53" s="1"/>
  <c r="AE111" i="53"/>
  <c r="AD411" i="53"/>
  <c r="AK411" i="53" s="1"/>
  <c r="AE171" i="53"/>
  <c r="AD471" i="53"/>
  <c r="AK471" i="53" s="1"/>
  <c r="AE231" i="53"/>
  <c r="AE260" i="53"/>
  <c r="AD241" i="53"/>
  <c r="AD481" i="53" s="1"/>
  <c r="AD226" i="53"/>
  <c r="AD466" i="53" s="1"/>
  <c r="AD211" i="53"/>
  <c r="AD451" i="53" s="1"/>
  <c r="AD196" i="53"/>
  <c r="AD436" i="53" s="1"/>
  <c r="AD181" i="53"/>
  <c r="AD421" i="53" s="1"/>
  <c r="AD166" i="53"/>
  <c r="AD406" i="53" s="1"/>
  <c r="AD151" i="53"/>
  <c r="AD391" i="53" s="1"/>
  <c r="AD136" i="53"/>
  <c r="AD376" i="53" s="1"/>
  <c r="AD121" i="53"/>
  <c r="AD361" i="53" s="1"/>
  <c r="AD106" i="53"/>
  <c r="AD346" i="53" s="1"/>
  <c r="AD91" i="53"/>
  <c r="AD331" i="53" s="1"/>
  <c r="AD76" i="53"/>
  <c r="AD316" i="53" s="1"/>
  <c r="AD61" i="53"/>
  <c r="AD301" i="53" s="1"/>
  <c r="AD46" i="53"/>
  <c r="AD286" i="53" s="1"/>
  <c r="AD31" i="53"/>
  <c r="AD271" i="53" s="1"/>
  <c r="AD16" i="53"/>
  <c r="AB235" i="53"/>
  <c r="AB207" i="53"/>
  <c r="AB191" i="53"/>
  <c r="AB236" i="53"/>
  <c r="AB220" i="53"/>
  <c r="AB192" i="53"/>
  <c r="AB177" i="53"/>
  <c r="AB176" i="53"/>
  <c r="AB175" i="53"/>
  <c r="AB162" i="53"/>
  <c r="AB161" i="53"/>
  <c r="AB160" i="53"/>
  <c r="AB147" i="53"/>
  <c r="AB146" i="53"/>
  <c r="AB145" i="53"/>
  <c r="AB237" i="53"/>
  <c r="AB221" i="53"/>
  <c r="AB205" i="53"/>
  <c r="AB222" i="53"/>
  <c r="AB206" i="53"/>
  <c r="AB190" i="53"/>
  <c r="AB130" i="53"/>
  <c r="AB102" i="53"/>
  <c r="AB86" i="53"/>
  <c r="AB57" i="53"/>
  <c r="AB56" i="53"/>
  <c r="AB55" i="53"/>
  <c r="AB131" i="53"/>
  <c r="AB115" i="53"/>
  <c r="AB87" i="53"/>
  <c r="AB72" i="53"/>
  <c r="AB132" i="53"/>
  <c r="AB116" i="53"/>
  <c r="AB100" i="53"/>
  <c r="AB71" i="53"/>
  <c r="AB42" i="53"/>
  <c r="AB41" i="53"/>
  <c r="AB40" i="53"/>
  <c r="AB117" i="53"/>
  <c r="AB101" i="53"/>
  <c r="AB85" i="53"/>
  <c r="AB70" i="53"/>
  <c r="AB12" i="53"/>
  <c r="AB25" i="53"/>
  <c r="AB26" i="53"/>
  <c r="AB27" i="53"/>
  <c r="AB11" i="53"/>
  <c r="AE470" i="53"/>
  <c r="AD264" i="53"/>
  <c r="AE24" i="53"/>
  <c r="AD324" i="53"/>
  <c r="AE84" i="53"/>
  <c r="AD384" i="53"/>
  <c r="AE144" i="53"/>
  <c r="AD444" i="53"/>
  <c r="AE204" i="53"/>
  <c r="AE395" i="53"/>
  <c r="AD246" i="53"/>
  <c r="AK246" i="53" s="1"/>
  <c r="AD306" i="53"/>
  <c r="AK306" i="53" s="1"/>
  <c r="AE66" i="53"/>
  <c r="AD366" i="53"/>
  <c r="AK366" i="53" s="1"/>
  <c r="AE126" i="53"/>
  <c r="AD426" i="53"/>
  <c r="AK426" i="53" s="1"/>
  <c r="AE186" i="53"/>
  <c r="AE320" i="53"/>
  <c r="AE305" i="53"/>
  <c r="L50" i="25"/>
  <c r="K50" i="25"/>
  <c r="M50" i="25"/>
  <c r="AC4" i="25"/>
  <c r="AB4" i="25"/>
  <c r="AD4" i="25"/>
  <c r="K4" i="25"/>
  <c r="L4" i="25"/>
  <c r="M4" i="25"/>
  <c r="L50" i="41"/>
  <c r="K50" i="41"/>
  <c r="M50" i="41"/>
  <c r="AC4" i="41"/>
  <c r="AB4" i="41"/>
  <c r="AD4" i="41"/>
  <c r="K4" i="41"/>
  <c r="M4" i="41"/>
  <c r="L4" i="41"/>
  <c r="AG22" i="15"/>
  <c r="AG37" i="15"/>
  <c r="AG15" i="15"/>
  <c r="AG21" i="15"/>
  <c r="AG38" i="15"/>
  <c r="AG16" i="15"/>
  <c r="AG18" i="15"/>
  <c r="AG33" i="15"/>
  <c r="AG11" i="15"/>
  <c r="AG17" i="15"/>
  <c r="AG34" i="15"/>
  <c r="AG12" i="15"/>
  <c r="AG36" i="15"/>
  <c r="AG14" i="15"/>
  <c r="AG29" i="15"/>
  <c r="AG7" i="15"/>
  <c r="AG13" i="15"/>
  <c r="AG30" i="15"/>
  <c r="AG8" i="15"/>
  <c r="AG32" i="15"/>
  <c r="AG10" i="15"/>
  <c r="AG19" i="15"/>
  <c r="AG31" i="15"/>
  <c r="AG9" i="15"/>
  <c r="AG20" i="15"/>
  <c r="AG35" i="15"/>
  <c r="L48" i="41"/>
  <c r="K48" i="41"/>
  <c r="M48" i="41"/>
  <c r="M48" i="25"/>
  <c r="K48" i="25"/>
  <c r="L48" i="25"/>
  <c r="M69" i="25"/>
  <c r="L68" i="25"/>
  <c r="K67" i="25"/>
  <c r="L69" i="25"/>
  <c r="K68" i="25"/>
  <c r="M68" i="25"/>
  <c r="K69" i="25"/>
  <c r="M67" i="25"/>
  <c r="L67" i="25"/>
  <c r="L69" i="41"/>
  <c r="K68" i="41"/>
  <c r="L67" i="41"/>
  <c r="M69" i="41"/>
  <c r="K67" i="41"/>
  <c r="K69" i="41"/>
  <c r="M67" i="41"/>
  <c r="M68" i="41"/>
  <c r="L68" i="41"/>
  <c r="AA41" i="44"/>
  <c r="D5" i="15"/>
  <c r="U53" i="41"/>
  <c r="U7" i="53" s="1"/>
  <c r="T75" i="41"/>
  <c r="I90" i="25"/>
  <c r="I89" i="25"/>
  <c r="T75" i="25"/>
  <c r="M35" i="10"/>
  <c r="B140" i="7" s="1"/>
  <c r="AE10" i="30"/>
  <c r="S13" i="7"/>
  <c r="M9" i="10"/>
  <c r="M8" i="10"/>
  <c r="M7" i="10"/>
  <c r="M6" i="10"/>
  <c r="B39" i="30"/>
  <c r="O4" i="10"/>
  <c r="O3" i="10"/>
  <c r="N5" i="10"/>
  <c r="D18" i="15" l="1"/>
  <c r="D10" i="15"/>
  <c r="D19" i="15"/>
  <c r="D11" i="15"/>
  <c r="D16" i="15"/>
  <c r="D22" i="15"/>
  <c r="D17" i="15"/>
  <c r="D9" i="15"/>
  <c r="D14" i="15"/>
  <c r="D21" i="15"/>
  <c r="D15" i="15"/>
  <c r="D8" i="15"/>
  <c r="D12" i="15"/>
  <c r="D20" i="15"/>
  <c r="D13" i="15"/>
  <c r="D37" i="15"/>
  <c r="D32" i="15"/>
  <c r="D30" i="15"/>
  <c r="D36" i="15"/>
  <c r="D31" i="15"/>
  <c r="D35" i="15"/>
  <c r="D38" i="15"/>
  <c r="D33" i="15"/>
  <c r="D34" i="15"/>
  <c r="BX40" i="56"/>
  <c r="BX32" i="56"/>
  <c r="BX42" i="56"/>
  <c r="BX11" i="56"/>
  <c r="BX44" i="56"/>
  <c r="BX18" i="56"/>
  <c r="BX31" i="56"/>
  <c r="BX14" i="56"/>
  <c r="BX41" i="56"/>
  <c r="BX64" i="56" s="1"/>
  <c r="BX13" i="56"/>
  <c r="BX39" i="56"/>
  <c r="BX34" i="56"/>
  <c r="BX57" i="56" s="1"/>
  <c r="X21" i="44"/>
  <c r="X19" i="44"/>
  <c r="X23" i="44"/>
  <c r="X17" i="44"/>
  <c r="X22" i="44"/>
  <c r="X20" i="44"/>
  <c r="X18" i="44"/>
  <c r="X13" i="44"/>
  <c r="X9" i="44"/>
  <c r="X11" i="44"/>
  <c r="X16" i="44"/>
  <c r="X12" i="44"/>
  <c r="X14" i="44"/>
  <c r="X10" i="44"/>
  <c r="X15" i="44"/>
  <c r="BX9" i="56"/>
  <c r="BX55" i="56" s="1"/>
  <c r="BX15" i="56"/>
  <c r="BX19" i="56"/>
  <c r="BX33" i="56"/>
  <c r="Y23" i="44"/>
  <c r="Y21" i="44"/>
  <c r="Y19" i="44"/>
  <c r="Y17" i="44"/>
  <c r="Y15" i="44"/>
  <c r="Y13" i="44"/>
  <c r="Y11" i="44"/>
  <c r="Y9" i="44"/>
  <c r="Y22" i="44"/>
  <c r="Y20" i="44"/>
  <c r="Y18" i="44"/>
  <c r="Y16" i="44"/>
  <c r="Y14" i="44"/>
  <c r="Y12" i="44"/>
  <c r="Y10" i="44"/>
  <c r="AK384" i="53"/>
  <c r="AK264" i="53"/>
  <c r="AK369" i="53"/>
  <c r="AN18" i="9"/>
  <c r="AN19" i="9"/>
  <c r="AQ18" i="9"/>
  <c r="K61" i="53"/>
  <c r="L61" i="53"/>
  <c r="M61" i="53"/>
  <c r="BX8" i="56"/>
  <c r="BX20" i="56"/>
  <c r="BX43" i="56"/>
  <c r="BX36" i="56"/>
  <c r="BX59" i="56" s="1"/>
  <c r="BX16" i="56"/>
  <c r="BX38" i="56"/>
  <c r="BX22" i="56"/>
  <c r="BX45" i="56"/>
  <c r="BX21" i="56"/>
  <c r="BX10" i="56"/>
  <c r="BX56" i="56" s="1"/>
  <c r="BX35" i="56"/>
  <c r="BX17" i="56"/>
  <c r="BX63" i="56" s="1"/>
  <c r="BX12" i="56"/>
  <c r="BX23" i="56"/>
  <c r="BX46" i="56"/>
  <c r="AN126" i="9"/>
  <c r="AN127" i="9"/>
  <c r="AK172" i="53"/>
  <c r="AK126" i="53"/>
  <c r="AK474" i="53"/>
  <c r="AK354" i="53"/>
  <c r="AK399" i="53"/>
  <c r="AK279" i="53"/>
  <c r="AK294" i="53"/>
  <c r="AK444" i="53"/>
  <c r="AK324" i="53"/>
  <c r="AK429" i="53"/>
  <c r="AK309" i="53"/>
  <c r="AK249" i="53"/>
  <c r="AK414" i="53"/>
  <c r="AK459" i="53"/>
  <c r="AK339" i="53"/>
  <c r="DU67" i="56"/>
  <c r="AK6" i="53"/>
  <c r="AK111" i="53"/>
  <c r="AK66" i="53"/>
  <c r="AK171" i="53"/>
  <c r="AK186" i="53"/>
  <c r="AK231" i="53"/>
  <c r="AK216" i="53"/>
  <c r="AK201" i="53"/>
  <c r="AK156" i="53"/>
  <c r="AK141" i="53"/>
  <c r="AK96" i="53"/>
  <c r="AK81" i="53"/>
  <c r="AK51" i="53"/>
  <c r="AK36" i="53"/>
  <c r="AK83" i="53"/>
  <c r="AK8" i="53"/>
  <c r="AK187" i="53"/>
  <c r="AK217" i="53"/>
  <c r="AK158" i="53"/>
  <c r="AK7" i="53"/>
  <c r="AK203" i="53"/>
  <c r="AK143" i="53"/>
  <c r="AK112" i="53"/>
  <c r="AK68" i="53"/>
  <c r="AK367" i="53"/>
  <c r="AK457" i="53"/>
  <c r="AK322" i="53"/>
  <c r="AK397" i="53"/>
  <c r="AK412" i="53"/>
  <c r="AK292" i="53"/>
  <c r="AK277" i="53"/>
  <c r="AK383" i="53"/>
  <c r="AK337" i="53"/>
  <c r="AK307" i="53"/>
  <c r="AK427" i="53"/>
  <c r="AK458" i="53"/>
  <c r="AK353" i="53"/>
  <c r="AK442" i="53"/>
  <c r="AK428" i="53"/>
  <c r="AK472" i="53"/>
  <c r="AK247" i="53"/>
  <c r="AK263" i="53"/>
  <c r="AK368" i="53"/>
  <c r="AK278" i="53"/>
  <c r="AK443" i="53"/>
  <c r="AK338" i="53"/>
  <c r="AK308" i="53"/>
  <c r="AK413" i="53"/>
  <c r="AK293" i="53"/>
  <c r="AK398" i="53"/>
  <c r="AK352" i="53"/>
  <c r="AK262" i="53"/>
  <c r="AK382" i="53"/>
  <c r="AK473" i="53"/>
  <c r="AK248" i="53"/>
  <c r="AK157" i="53"/>
  <c r="AK128" i="53"/>
  <c r="AK218" i="53"/>
  <c r="AK202" i="53"/>
  <c r="AK82" i="53"/>
  <c r="AK233" i="53"/>
  <c r="AK22" i="53"/>
  <c r="AK188" i="53"/>
  <c r="AK97" i="53"/>
  <c r="AK37" i="53"/>
  <c r="AK53" i="53"/>
  <c r="AK113" i="53"/>
  <c r="AK67" i="53"/>
  <c r="AK232" i="53"/>
  <c r="AK52" i="53"/>
  <c r="AK323" i="53"/>
  <c r="AK98" i="53"/>
  <c r="AK142" i="53"/>
  <c r="AK173" i="53"/>
  <c r="AK127" i="53"/>
  <c r="AK38" i="53"/>
  <c r="AK23" i="53"/>
  <c r="U39" i="53"/>
  <c r="Z69" i="56"/>
  <c r="DN53" i="56"/>
  <c r="EG53" i="56" s="1"/>
  <c r="DO53" i="56"/>
  <c r="EH53" i="56" s="1"/>
  <c r="DJ53" i="56"/>
  <c r="EC53" i="56" s="1"/>
  <c r="DK53" i="56"/>
  <c r="ED53" i="56" s="1"/>
  <c r="BS70" i="56"/>
  <c r="Z53" i="56"/>
  <c r="AQ53" i="56" s="1"/>
  <c r="AQ30" i="56"/>
  <c r="BL4" i="56"/>
  <c r="BK4" i="56"/>
  <c r="BJ4" i="56"/>
  <c r="BJ5" i="56"/>
  <c r="BJ28" i="56" s="1"/>
  <c r="DF30" i="56"/>
  <c r="DF27" i="56" s="1"/>
  <c r="D97" i="15"/>
  <c r="D130" i="15" s="1"/>
  <c r="X5" i="15"/>
  <c r="BU27" i="56"/>
  <c r="Y8" i="44"/>
  <c r="X8" i="44"/>
  <c r="V67" i="56"/>
  <c r="DY69" i="56"/>
  <c r="L90" i="41"/>
  <c r="AB22" i="41" s="1"/>
  <c r="EB45" i="56" s="1"/>
  <c r="AC45" i="56" s="1"/>
  <c r="L91" i="41"/>
  <c r="AB23" i="41" s="1"/>
  <c r="EB46" i="56" s="1"/>
  <c r="AC46" i="56" s="1"/>
  <c r="M90" i="41"/>
  <c r="AC22" i="41" s="1"/>
  <c r="EC45" i="56" s="1"/>
  <c r="M91" i="41"/>
  <c r="AC23" i="41" s="1"/>
  <c r="EC46" i="56" s="1"/>
  <c r="DR70" i="56"/>
  <c r="K91" i="41"/>
  <c r="Z23" i="41" s="1"/>
  <c r="DZ46" i="56" s="1"/>
  <c r="AB46" i="56" s="1"/>
  <c r="K90" i="41"/>
  <c r="Z22" i="41" s="1"/>
  <c r="DZ45" i="56" s="1"/>
  <c r="T40" i="56"/>
  <c r="T43" i="56"/>
  <c r="T45" i="56"/>
  <c r="T41" i="56"/>
  <c r="T37" i="56"/>
  <c r="T33" i="56"/>
  <c r="T36" i="56"/>
  <c r="T39" i="56"/>
  <c r="T31" i="56"/>
  <c r="T44" i="56"/>
  <c r="T32" i="56"/>
  <c r="T35" i="56"/>
  <c r="T46" i="56"/>
  <c r="T42" i="56"/>
  <c r="T38" i="56"/>
  <c r="T34" i="56"/>
  <c r="DV53" i="56"/>
  <c r="BW70" i="56"/>
  <c r="BU67" i="56"/>
  <c r="BU64" i="56"/>
  <c r="BU65" i="56"/>
  <c r="BT70" i="56"/>
  <c r="BX65" i="56"/>
  <c r="BU54" i="56"/>
  <c r="BX60" i="56"/>
  <c r="BU58" i="56"/>
  <c r="BU68" i="56"/>
  <c r="BU62" i="56"/>
  <c r="BU69" i="56"/>
  <c r="BU60" i="56"/>
  <c r="BU66" i="56"/>
  <c r="BU55" i="56"/>
  <c r="BU57" i="56"/>
  <c r="BU59" i="56"/>
  <c r="BU56" i="56"/>
  <c r="BU63" i="56"/>
  <c r="BU61" i="56"/>
  <c r="BY30" i="56"/>
  <c r="CP30" i="56" s="1"/>
  <c r="BH53" i="56"/>
  <c r="BY53" i="56" s="1"/>
  <c r="DG53" i="56" s="1"/>
  <c r="K89" i="41"/>
  <c r="Z21" i="41" s="1"/>
  <c r="DZ44" i="56" s="1"/>
  <c r="M89" i="41"/>
  <c r="AC21" i="41" s="1"/>
  <c r="EC44" i="56" s="1"/>
  <c r="L89" i="41"/>
  <c r="AB21" i="41" s="1"/>
  <c r="EB44" i="56" s="1"/>
  <c r="D24" i="56"/>
  <c r="DR47" i="56"/>
  <c r="DR24" i="56"/>
  <c r="DB27" i="56"/>
  <c r="DU30" i="56"/>
  <c r="M90" i="25"/>
  <c r="AC22" i="25" s="1"/>
  <c r="EC22" i="56" s="1"/>
  <c r="AD22" i="56" s="1"/>
  <c r="L90" i="25"/>
  <c r="AB22" i="25" s="1"/>
  <c r="EB22" i="56" s="1"/>
  <c r="AC22" i="56" s="1"/>
  <c r="M91" i="25"/>
  <c r="AC23" i="25" s="1"/>
  <c r="EC23" i="56" s="1"/>
  <c r="AD23" i="56" s="1"/>
  <c r="L89" i="25"/>
  <c r="AB21" i="25" s="1"/>
  <c r="EB21" i="56" s="1"/>
  <c r="AC21" i="56" s="1"/>
  <c r="K90" i="25"/>
  <c r="Z22" i="25" s="1"/>
  <c r="DZ22" i="56" s="1"/>
  <c r="AB22" i="56" s="1"/>
  <c r="M89" i="25"/>
  <c r="AC21" i="25" s="1"/>
  <c r="EC21" i="56" s="1"/>
  <c r="AD21" i="56" s="1"/>
  <c r="L91" i="25"/>
  <c r="AB23" i="25" s="1"/>
  <c r="EB23" i="56" s="1"/>
  <c r="AC23" i="56" s="1"/>
  <c r="K91" i="25"/>
  <c r="Z23" i="25" s="1"/>
  <c r="DZ23" i="56" s="1"/>
  <c r="AB23" i="56" s="1"/>
  <c r="K89" i="25"/>
  <c r="Z21" i="25" s="1"/>
  <c r="DZ21" i="56" s="1"/>
  <c r="AB21" i="56" s="1"/>
  <c r="DC4" i="56"/>
  <c r="DV7" i="56"/>
  <c r="D140" i="7"/>
  <c r="E140" i="7"/>
  <c r="BY46" i="56"/>
  <c r="BY45" i="56"/>
  <c r="BY44" i="56"/>
  <c r="BY43" i="56"/>
  <c r="BY42" i="56"/>
  <c r="BY41" i="56"/>
  <c r="BY40" i="56"/>
  <c r="BY39" i="56"/>
  <c r="BY38" i="56"/>
  <c r="BY37" i="56"/>
  <c r="BY36" i="56"/>
  <c r="BY35" i="56"/>
  <c r="BY34" i="56"/>
  <c r="BY33" i="56"/>
  <c r="BY32" i="56"/>
  <c r="BY31" i="56"/>
  <c r="BY23" i="56"/>
  <c r="BY22" i="56"/>
  <c r="BY21" i="56"/>
  <c r="BY20" i="56"/>
  <c r="BY19" i="56"/>
  <c r="BY18" i="56"/>
  <c r="BY17" i="56"/>
  <c r="BY16" i="56"/>
  <c r="BY15" i="56"/>
  <c r="BY14" i="56"/>
  <c r="BY13" i="56"/>
  <c r="BY12" i="56"/>
  <c r="BY11" i="56"/>
  <c r="BY10" i="56"/>
  <c r="BY9" i="56"/>
  <c r="BY8" i="56"/>
  <c r="AN594" i="9"/>
  <c r="AN593" i="9"/>
  <c r="AN595" i="9"/>
  <c r="AQ593" i="9"/>
  <c r="AQ594" i="9"/>
  <c r="AQ557" i="9"/>
  <c r="AN557" i="9"/>
  <c r="AN558" i="9"/>
  <c r="AN559" i="9"/>
  <c r="AN522" i="9"/>
  <c r="AN523" i="9"/>
  <c r="AN521" i="9"/>
  <c r="AQ521" i="9"/>
  <c r="AQ522" i="9"/>
  <c r="AN487" i="9"/>
  <c r="AN485" i="9"/>
  <c r="AN486" i="9"/>
  <c r="AQ486" i="9"/>
  <c r="AQ485" i="9"/>
  <c r="AN450" i="9"/>
  <c r="AN451" i="9"/>
  <c r="AN449" i="9"/>
  <c r="AN415" i="9"/>
  <c r="AN414" i="9"/>
  <c r="AN413" i="9"/>
  <c r="AQ413" i="9"/>
  <c r="AN378" i="9"/>
  <c r="AN379" i="9"/>
  <c r="AN377" i="9"/>
  <c r="AQ377" i="9"/>
  <c r="AN341" i="9"/>
  <c r="AN343" i="9"/>
  <c r="AN342" i="9"/>
  <c r="AQ342" i="9"/>
  <c r="AQ341" i="9"/>
  <c r="AN306" i="9"/>
  <c r="AN305" i="9"/>
  <c r="AN307" i="9"/>
  <c r="AQ305" i="9"/>
  <c r="AQ306" i="9"/>
  <c r="AN271" i="9"/>
  <c r="AN269" i="9"/>
  <c r="AN270" i="9"/>
  <c r="AQ269" i="9"/>
  <c r="AN235" i="9"/>
  <c r="AN233" i="9"/>
  <c r="AN234" i="9"/>
  <c r="AQ233" i="9"/>
  <c r="AN198" i="9"/>
  <c r="AN197" i="9"/>
  <c r="AN199" i="9"/>
  <c r="AQ197" i="9"/>
  <c r="AN162" i="9"/>
  <c r="AN161" i="9"/>
  <c r="AQ161" i="9"/>
  <c r="AQ162" i="9"/>
  <c r="AE55" i="53"/>
  <c r="Z55" i="53"/>
  <c r="AE56" i="53"/>
  <c r="Z56" i="53"/>
  <c r="Z57" i="53"/>
  <c r="AE57" i="53"/>
  <c r="DJ27" i="56"/>
  <c r="DI27" i="56"/>
  <c r="DK27" i="56"/>
  <c r="CL27" i="56"/>
  <c r="DC30" i="56"/>
  <c r="BU24" i="56"/>
  <c r="DI4" i="56"/>
  <c r="DK4" i="56"/>
  <c r="DJ4" i="56"/>
  <c r="CP4" i="56"/>
  <c r="CP2" i="56" s="1"/>
  <c r="DG7" i="56"/>
  <c r="K37" i="53"/>
  <c r="BU47" i="56"/>
  <c r="CR27" i="56"/>
  <c r="CT27" i="56"/>
  <c r="CS27" i="56"/>
  <c r="CR4" i="56"/>
  <c r="CR2" i="56" s="1"/>
  <c r="CT4" i="56"/>
  <c r="CT2" i="56" s="1"/>
  <c r="CS4" i="56"/>
  <c r="CS2" i="56" s="1"/>
  <c r="CA27" i="56"/>
  <c r="CB27" i="56"/>
  <c r="CC27" i="56"/>
  <c r="AB5" i="56"/>
  <c r="CB4" i="56"/>
  <c r="CB2" i="56" s="1"/>
  <c r="CC4" i="56"/>
  <c r="CC2" i="56" s="1"/>
  <c r="CA4" i="56"/>
  <c r="CA2" i="56" s="1"/>
  <c r="AD256" i="53"/>
  <c r="Z426" i="53"/>
  <c r="Z306" i="53"/>
  <c r="Z26" i="53"/>
  <c r="Z85" i="53"/>
  <c r="Z41" i="53"/>
  <c r="Z116" i="53"/>
  <c r="Z115" i="53"/>
  <c r="Z190" i="53"/>
  <c r="Z221" i="53"/>
  <c r="Z147" i="53"/>
  <c r="Z175" i="53"/>
  <c r="Z220" i="53"/>
  <c r="Z235" i="53"/>
  <c r="Z411" i="53"/>
  <c r="Z291" i="53"/>
  <c r="Z429" i="53"/>
  <c r="Z309" i="53"/>
  <c r="Z396" i="53"/>
  <c r="Z276" i="53"/>
  <c r="Z474" i="53"/>
  <c r="Z354" i="53"/>
  <c r="Z459" i="53"/>
  <c r="Z339" i="53"/>
  <c r="Z246" i="53"/>
  <c r="Z444" i="53"/>
  <c r="Z324" i="53"/>
  <c r="Z25" i="53"/>
  <c r="Z101" i="53"/>
  <c r="Z42" i="53"/>
  <c r="Z132" i="53"/>
  <c r="Z131" i="53"/>
  <c r="Z86" i="53"/>
  <c r="Z206" i="53"/>
  <c r="Z237" i="53"/>
  <c r="Z160" i="53"/>
  <c r="Z176" i="53"/>
  <c r="Z236" i="53"/>
  <c r="Z249" i="53"/>
  <c r="Z441" i="53"/>
  <c r="Z321" i="53"/>
  <c r="Z366" i="53"/>
  <c r="Z11" i="53"/>
  <c r="Z12" i="53"/>
  <c r="Z117" i="53"/>
  <c r="Z71" i="53"/>
  <c r="Z72" i="53"/>
  <c r="Z102" i="53"/>
  <c r="Z222" i="53"/>
  <c r="Z145" i="53"/>
  <c r="Z161" i="53"/>
  <c r="Z177" i="53"/>
  <c r="Z191" i="53"/>
  <c r="Z471" i="53"/>
  <c r="Z351" i="53"/>
  <c r="Z369" i="53"/>
  <c r="Z456" i="53"/>
  <c r="Z336" i="53"/>
  <c r="Z414" i="53"/>
  <c r="Z294" i="53"/>
  <c r="Z399" i="53"/>
  <c r="Z279" i="53"/>
  <c r="Z384" i="53"/>
  <c r="Z264" i="53"/>
  <c r="Z27" i="53"/>
  <c r="Z70" i="53"/>
  <c r="Z40" i="53"/>
  <c r="Z100" i="53"/>
  <c r="Z87" i="53"/>
  <c r="Z130" i="53"/>
  <c r="Z205" i="53"/>
  <c r="Z146" i="53"/>
  <c r="Z162" i="53"/>
  <c r="Z192" i="53"/>
  <c r="Z207" i="53"/>
  <c r="Z381" i="53"/>
  <c r="Z261" i="53"/>
  <c r="BH2" i="56"/>
  <c r="Z27" i="56"/>
  <c r="AB4" i="56"/>
  <c r="AC4" i="56"/>
  <c r="AD4" i="56"/>
  <c r="M37" i="53"/>
  <c r="L37" i="53"/>
  <c r="N4" i="56"/>
  <c r="N27" i="56" s="1"/>
  <c r="L28" i="56"/>
  <c r="L51" i="56" s="1"/>
  <c r="M4" i="56"/>
  <c r="M27" i="56" s="1"/>
  <c r="L4" i="56"/>
  <c r="AN6" i="9"/>
  <c r="AN7" i="9"/>
  <c r="AQ6" i="9"/>
  <c r="AQ7" i="9"/>
  <c r="AN328" i="9"/>
  <c r="AN399" i="9"/>
  <c r="AN436" i="9"/>
  <c r="AN398" i="9"/>
  <c r="AN290" i="9"/>
  <c r="AN291" i="9"/>
  <c r="AN508" i="9"/>
  <c r="AN435" i="9"/>
  <c r="AN472" i="9"/>
  <c r="AN220" i="9"/>
  <c r="AN506" i="9"/>
  <c r="AN218" i="9"/>
  <c r="AN544" i="9"/>
  <c r="AN326" i="9"/>
  <c r="AN507" i="9"/>
  <c r="AN400" i="9"/>
  <c r="AN434" i="9"/>
  <c r="AN363" i="9"/>
  <c r="AN255" i="9"/>
  <c r="AN148" i="9"/>
  <c r="AN147" i="9"/>
  <c r="AN219" i="9"/>
  <c r="AN471" i="9"/>
  <c r="AN183" i="9"/>
  <c r="AN254" i="9"/>
  <c r="AN292" i="9"/>
  <c r="AN327" i="9"/>
  <c r="AN184" i="9"/>
  <c r="AN362" i="9"/>
  <c r="AN543" i="9"/>
  <c r="AN182" i="9"/>
  <c r="AN470" i="9"/>
  <c r="AN256" i="9"/>
  <c r="AN364" i="9"/>
  <c r="AQ218" i="9"/>
  <c r="AQ543" i="9"/>
  <c r="AQ290" i="9"/>
  <c r="AQ399" i="9"/>
  <c r="AQ182" i="9"/>
  <c r="AQ147" i="9"/>
  <c r="AQ544" i="9"/>
  <c r="AQ328" i="9"/>
  <c r="AQ220" i="9"/>
  <c r="AQ507" i="9"/>
  <c r="AQ362" i="9"/>
  <c r="AQ291" i="9"/>
  <c r="AQ434" i="9"/>
  <c r="AQ471" i="9"/>
  <c r="AQ398" i="9"/>
  <c r="AQ400" i="9"/>
  <c r="AQ472" i="9"/>
  <c r="AQ256" i="9"/>
  <c r="AQ183" i="9"/>
  <c r="AQ255" i="9"/>
  <c r="AQ219" i="9"/>
  <c r="AQ326" i="9"/>
  <c r="AQ508" i="9"/>
  <c r="AQ148" i="9"/>
  <c r="AQ292" i="9"/>
  <c r="AQ470" i="9"/>
  <c r="AQ327" i="9"/>
  <c r="AQ506" i="9"/>
  <c r="AQ363" i="9"/>
  <c r="AQ435" i="9"/>
  <c r="AQ254" i="9"/>
  <c r="AQ364" i="9"/>
  <c r="AQ184" i="9"/>
  <c r="AQ436" i="9"/>
  <c r="AE10" i="53"/>
  <c r="M5" i="53"/>
  <c r="L5" i="53"/>
  <c r="AE426" i="53"/>
  <c r="AE384" i="53"/>
  <c r="AB251" i="53"/>
  <c r="AE11" i="53"/>
  <c r="AB265" i="53"/>
  <c r="AE25" i="53"/>
  <c r="AB341" i="53"/>
  <c r="AE101" i="53"/>
  <c r="AB282" i="53"/>
  <c r="AE42" i="53"/>
  <c r="AB372" i="53"/>
  <c r="AE132" i="53"/>
  <c r="AB371" i="53"/>
  <c r="AE131" i="53"/>
  <c r="AB326" i="53"/>
  <c r="AE86" i="53"/>
  <c r="AB446" i="53"/>
  <c r="AE206" i="53"/>
  <c r="AB477" i="53"/>
  <c r="AE237" i="53"/>
  <c r="AB400" i="53"/>
  <c r="AE160" i="53"/>
  <c r="AB416" i="53"/>
  <c r="AE176" i="53"/>
  <c r="AB476" i="53"/>
  <c r="AE236" i="53"/>
  <c r="AE471" i="53"/>
  <c r="AE369" i="53"/>
  <c r="AE456" i="53"/>
  <c r="AE414" i="53"/>
  <c r="AE441" i="53"/>
  <c r="AE399" i="53"/>
  <c r="AE246" i="53"/>
  <c r="AE444" i="53"/>
  <c r="AB267" i="53"/>
  <c r="AE27" i="53"/>
  <c r="AB252" i="53"/>
  <c r="AE12" i="53"/>
  <c r="AB357" i="53"/>
  <c r="AE117" i="53"/>
  <c r="AB311" i="53"/>
  <c r="AE71" i="53"/>
  <c r="AB312" i="53"/>
  <c r="AE72" i="53"/>
  <c r="AB295" i="53"/>
  <c r="AB342" i="53"/>
  <c r="AE102" i="53"/>
  <c r="AB462" i="53"/>
  <c r="AE222" i="53"/>
  <c r="AB385" i="53"/>
  <c r="AE145" i="53"/>
  <c r="AB401" i="53"/>
  <c r="AE161" i="53"/>
  <c r="AB417" i="53"/>
  <c r="AE177" i="53"/>
  <c r="AB431" i="53"/>
  <c r="AE191" i="53"/>
  <c r="AE291" i="53"/>
  <c r="AE429" i="53"/>
  <c r="AE276" i="53"/>
  <c r="AE474" i="53"/>
  <c r="AE261" i="53"/>
  <c r="AE459" i="53"/>
  <c r="AE306" i="53"/>
  <c r="AE264" i="53"/>
  <c r="AB250" i="53"/>
  <c r="AB310" i="53"/>
  <c r="AE70" i="53"/>
  <c r="AB280" i="53"/>
  <c r="AE40" i="53"/>
  <c r="AB340" i="53"/>
  <c r="AE100" i="53"/>
  <c r="AB327" i="53"/>
  <c r="AE87" i="53"/>
  <c r="AB296" i="53"/>
  <c r="AB370" i="53"/>
  <c r="AE130" i="53"/>
  <c r="AB445" i="53"/>
  <c r="AE205" i="53"/>
  <c r="AB386" i="53"/>
  <c r="AE146" i="53"/>
  <c r="AB402" i="53"/>
  <c r="AE162" i="53"/>
  <c r="AB432" i="53"/>
  <c r="AE192" i="53"/>
  <c r="AB447" i="53"/>
  <c r="AE207" i="53"/>
  <c r="AE351" i="53"/>
  <c r="AE249" i="53"/>
  <c r="AE336" i="53"/>
  <c r="AE294" i="53"/>
  <c r="AE321" i="53"/>
  <c r="AE279" i="53"/>
  <c r="AD242" i="53"/>
  <c r="AD482" i="53" s="1"/>
  <c r="AD227" i="53"/>
  <c r="AD467" i="53" s="1"/>
  <c r="AD212" i="53"/>
  <c r="AD452" i="53" s="1"/>
  <c r="AD197" i="53"/>
  <c r="AD437" i="53" s="1"/>
  <c r="AD182" i="53"/>
  <c r="AD422" i="53" s="1"/>
  <c r="AD167" i="53"/>
  <c r="AD407" i="53" s="1"/>
  <c r="AD152" i="53"/>
  <c r="AD392" i="53" s="1"/>
  <c r="AD137" i="53"/>
  <c r="AD377" i="53" s="1"/>
  <c r="AD122" i="53"/>
  <c r="AD362" i="53" s="1"/>
  <c r="AD107" i="53"/>
  <c r="AD347" i="53" s="1"/>
  <c r="AD92" i="53"/>
  <c r="AD332" i="53" s="1"/>
  <c r="AD77" i="53"/>
  <c r="AD317" i="53" s="1"/>
  <c r="AD62" i="53"/>
  <c r="AD302" i="53" s="1"/>
  <c r="AD47" i="53"/>
  <c r="AD287" i="53" s="1"/>
  <c r="AD32" i="53"/>
  <c r="AD272" i="53" s="1"/>
  <c r="AD17" i="53"/>
  <c r="AD257" i="53" s="1"/>
  <c r="AE366" i="53"/>
  <c r="AE324" i="53"/>
  <c r="AB266" i="53"/>
  <c r="AE26" i="53"/>
  <c r="AB325" i="53"/>
  <c r="AE85" i="53"/>
  <c r="AB281" i="53"/>
  <c r="AE41" i="53"/>
  <c r="AB356" i="53"/>
  <c r="AE116" i="53"/>
  <c r="AB355" i="53"/>
  <c r="AE115" i="53"/>
  <c r="AB297" i="53"/>
  <c r="AB430" i="53"/>
  <c r="AE190" i="53"/>
  <c r="AB461" i="53"/>
  <c r="AE221" i="53"/>
  <c r="AB387" i="53"/>
  <c r="AE147" i="53"/>
  <c r="AB415" i="53"/>
  <c r="AE175" i="53"/>
  <c r="AB460" i="53"/>
  <c r="AE220" i="53"/>
  <c r="AB475" i="53"/>
  <c r="AE235" i="53"/>
  <c r="AE411" i="53"/>
  <c r="AE309" i="53"/>
  <c r="AE396" i="53"/>
  <c r="AE354" i="53"/>
  <c r="AE381" i="53"/>
  <c r="AE339" i="53"/>
  <c r="AQ209" i="9"/>
  <c r="AQ425" i="9"/>
  <c r="AQ427" i="9"/>
  <c r="AQ174" i="9"/>
  <c r="AQ461" i="9"/>
  <c r="AQ139" i="9"/>
  <c r="AQ391" i="9"/>
  <c r="AQ211" i="9"/>
  <c r="AQ353" i="9"/>
  <c r="AQ355" i="9"/>
  <c r="AQ173" i="9"/>
  <c r="AQ389" i="9"/>
  <c r="AQ175" i="9"/>
  <c r="AQ390" i="9"/>
  <c r="AQ319" i="9"/>
  <c r="AQ281" i="9"/>
  <c r="AQ498" i="9"/>
  <c r="AQ354" i="9"/>
  <c r="AQ283" i="9"/>
  <c r="AQ138" i="9"/>
  <c r="AQ317" i="9"/>
  <c r="AQ534" i="9"/>
  <c r="AQ318" i="9"/>
  <c r="AQ245" i="9"/>
  <c r="AQ535" i="9"/>
  <c r="AQ497" i="9"/>
  <c r="AQ499" i="9"/>
  <c r="AQ463" i="9"/>
  <c r="AQ210" i="9"/>
  <c r="AQ426" i="9"/>
  <c r="AQ282" i="9"/>
  <c r="AQ533" i="9"/>
  <c r="AQ247" i="9"/>
  <c r="AQ246" i="9"/>
  <c r="AQ462" i="9"/>
  <c r="AN319" i="9"/>
  <c r="AN533" i="9"/>
  <c r="AN210" i="9"/>
  <c r="AN282" i="9"/>
  <c r="AN498" i="9"/>
  <c r="AN283" i="9"/>
  <c r="AN497" i="9"/>
  <c r="AN318" i="9"/>
  <c r="AN534" i="9"/>
  <c r="AN247" i="9"/>
  <c r="AN535" i="9"/>
  <c r="AN246" i="9"/>
  <c r="AN461" i="9"/>
  <c r="AN390" i="9"/>
  <c r="AN139" i="9"/>
  <c r="AN211" i="9"/>
  <c r="AN317" i="9"/>
  <c r="AN463" i="9"/>
  <c r="AN138" i="9"/>
  <c r="AN281" i="9"/>
  <c r="AN499" i="9"/>
  <c r="AN174" i="9"/>
  <c r="AN354" i="9"/>
  <c r="AN353" i="9"/>
  <c r="AN391" i="9"/>
  <c r="AN245" i="9"/>
  <c r="AN173" i="9"/>
  <c r="AN427" i="9"/>
  <c r="AN389" i="9"/>
  <c r="AN355" i="9"/>
  <c r="AN175" i="9"/>
  <c r="AN209" i="9"/>
  <c r="AN426" i="9"/>
  <c r="AN425" i="9"/>
  <c r="AN462" i="9"/>
  <c r="AG39" i="15"/>
  <c r="AG23" i="15"/>
  <c r="D27" i="15"/>
  <c r="P6" i="44"/>
  <c r="L6" i="44"/>
  <c r="H6" i="44"/>
  <c r="U75" i="41"/>
  <c r="Y22" i="25"/>
  <c r="DY22" i="56" s="1"/>
  <c r="Y21" i="25"/>
  <c r="DY21" i="56" s="1"/>
  <c r="L35" i="10"/>
  <c r="U75" i="25"/>
  <c r="N9" i="10"/>
  <c r="N8" i="10"/>
  <c r="N7" i="10"/>
  <c r="M30" i="10"/>
  <c r="U101" i="7"/>
  <c r="N5" i="15"/>
  <c r="N27" i="15" s="1"/>
  <c r="S5" i="15"/>
  <c r="S27" i="15" s="1"/>
  <c r="I5" i="15"/>
  <c r="AC5" i="15" s="1"/>
  <c r="N6" i="10"/>
  <c r="P4" i="10"/>
  <c r="P3" i="10"/>
  <c r="Q3" i="10" s="1"/>
  <c r="R3" i="10" s="1"/>
  <c r="S3" i="10" s="1"/>
  <c r="O5" i="10"/>
  <c r="BX62" i="56" l="1"/>
  <c r="BX54" i="56"/>
  <c r="S8" i="15"/>
  <c r="N8" i="15"/>
  <c r="I8" i="15"/>
  <c r="I9" i="15"/>
  <c r="N9" i="15"/>
  <c r="S9" i="15"/>
  <c r="I11" i="15"/>
  <c r="N11" i="15"/>
  <c r="S11" i="15"/>
  <c r="X17" i="15"/>
  <c r="X15" i="15"/>
  <c r="X13" i="15"/>
  <c r="X9" i="15"/>
  <c r="X16" i="15"/>
  <c r="X14" i="15"/>
  <c r="X12" i="15"/>
  <c r="X10" i="15"/>
  <c r="X22" i="15"/>
  <c r="X21" i="15"/>
  <c r="X20" i="15"/>
  <c r="X19" i="15"/>
  <c r="X18" i="15"/>
  <c r="X8" i="15"/>
  <c r="X11" i="15"/>
  <c r="I13" i="15"/>
  <c r="N13" i="15"/>
  <c r="S13" i="15"/>
  <c r="I15" i="15"/>
  <c r="N15" i="15"/>
  <c r="S15" i="15"/>
  <c r="I17" i="15"/>
  <c r="N17" i="15"/>
  <c r="S17" i="15"/>
  <c r="S19" i="15"/>
  <c r="I19" i="15"/>
  <c r="N19" i="15"/>
  <c r="S20" i="15"/>
  <c r="I20" i="15"/>
  <c r="N20" i="15"/>
  <c r="S21" i="15"/>
  <c r="I21" i="15"/>
  <c r="N21" i="15"/>
  <c r="S22" i="15"/>
  <c r="I22" i="15"/>
  <c r="N22" i="15"/>
  <c r="S10" i="15"/>
  <c r="I10" i="15"/>
  <c r="N10" i="15"/>
  <c r="AC22" i="15"/>
  <c r="AC21" i="15"/>
  <c r="AC20" i="15"/>
  <c r="AC19" i="15"/>
  <c r="AC18" i="15"/>
  <c r="AC17" i="15"/>
  <c r="AC15" i="15"/>
  <c r="AC13" i="15"/>
  <c r="AC11" i="15"/>
  <c r="AC9" i="15"/>
  <c r="AC8" i="15"/>
  <c r="AC16" i="15"/>
  <c r="AC14" i="15"/>
  <c r="AC12" i="15"/>
  <c r="AC10" i="15"/>
  <c r="S12" i="15"/>
  <c r="I12" i="15"/>
  <c r="N12" i="15"/>
  <c r="S14" i="15"/>
  <c r="I14" i="15"/>
  <c r="N14" i="15"/>
  <c r="S16" i="15"/>
  <c r="I16" i="15"/>
  <c r="N16" i="15"/>
  <c r="S18" i="15"/>
  <c r="I18" i="15"/>
  <c r="N18" i="15"/>
  <c r="N35" i="15"/>
  <c r="S35" i="15"/>
  <c r="I35" i="15"/>
  <c r="BX61" i="56"/>
  <c r="N33" i="15"/>
  <c r="I33" i="15"/>
  <c r="S33" i="15"/>
  <c r="I36" i="15"/>
  <c r="S36" i="15"/>
  <c r="N36" i="15"/>
  <c r="N32" i="15"/>
  <c r="S32" i="15"/>
  <c r="I32" i="15"/>
  <c r="BX67" i="56"/>
  <c r="N38" i="15"/>
  <c r="I38" i="15"/>
  <c r="S38" i="15"/>
  <c r="I30" i="15"/>
  <c r="S30" i="15"/>
  <c r="N30" i="15"/>
  <c r="I34" i="15"/>
  <c r="S34" i="15"/>
  <c r="N34" i="15"/>
  <c r="N31" i="15"/>
  <c r="S31" i="15"/>
  <c r="I31" i="15"/>
  <c r="S37" i="15"/>
  <c r="N37" i="15"/>
  <c r="I37" i="15"/>
  <c r="BX66" i="56"/>
  <c r="L9" i="53"/>
  <c r="L12" i="53" s="1"/>
  <c r="M9" i="53"/>
  <c r="M12" i="53" s="1"/>
  <c r="BX69" i="56"/>
  <c r="BX58" i="56"/>
  <c r="BX47" i="56"/>
  <c r="O73" i="41"/>
  <c r="AB195" i="53" s="1"/>
  <c r="AG7" i="30"/>
  <c r="BX68" i="56"/>
  <c r="D116" i="15"/>
  <c r="D119" i="15"/>
  <c r="D122" i="15"/>
  <c r="D105" i="15"/>
  <c r="D101" i="15"/>
  <c r="D121" i="15"/>
  <c r="AQ27" i="56"/>
  <c r="D100" i="15"/>
  <c r="T65" i="56"/>
  <c r="AI214" i="53"/>
  <c r="AI34" i="53"/>
  <c r="AX147" i="9"/>
  <c r="T69" i="56"/>
  <c r="AI94" i="53"/>
  <c r="AI139" i="53"/>
  <c r="T57" i="56"/>
  <c r="AI64" i="53"/>
  <c r="AI124" i="53"/>
  <c r="AI154" i="53"/>
  <c r="T61" i="56"/>
  <c r="T55" i="56"/>
  <c r="AI79" i="53"/>
  <c r="T68" i="56"/>
  <c r="AI4" i="53"/>
  <c r="J99" i="15"/>
  <c r="D118" i="15"/>
  <c r="D117" i="15"/>
  <c r="BY27" i="56"/>
  <c r="D113" i="15"/>
  <c r="D129" i="15"/>
  <c r="D112" i="15"/>
  <c r="D128" i="15"/>
  <c r="D107" i="15"/>
  <c r="D114" i="15"/>
  <c r="D126" i="15"/>
  <c r="D109" i="15"/>
  <c r="D125" i="15"/>
  <c r="D108" i="15"/>
  <c r="D124" i="15"/>
  <c r="D103" i="15"/>
  <c r="D110" i="15"/>
  <c r="D104" i="15"/>
  <c r="D120" i="15"/>
  <c r="D127" i="15"/>
  <c r="D102" i="15"/>
  <c r="D111" i="15"/>
  <c r="D123" i="15"/>
  <c r="D106" i="15"/>
  <c r="AB28" i="56"/>
  <c r="AS5" i="56"/>
  <c r="DY30" i="56"/>
  <c r="BJ27" i="56"/>
  <c r="BK27" i="56"/>
  <c r="BL27" i="56"/>
  <c r="AC7" i="15"/>
  <c r="X7" i="15"/>
  <c r="T62" i="56"/>
  <c r="T58" i="56"/>
  <c r="T63" i="56"/>
  <c r="AI49" i="53"/>
  <c r="AC68" i="56"/>
  <c r="T59" i="56"/>
  <c r="AI19" i="53"/>
  <c r="AI169" i="53"/>
  <c r="T67" i="56"/>
  <c r="AI229" i="53"/>
  <c r="T64" i="56"/>
  <c r="T60" i="56"/>
  <c r="AC69" i="56"/>
  <c r="T54" i="56"/>
  <c r="EB67" i="56"/>
  <c r="T56" i="56"/>
  <c r="AI199" i="53"/>
  <c r="Z21" i="56"/>
  <c r="Z67" i="56" s="1"/>
  <c r="DY67" i="56"/>
  <c r="AB45" i="56"/>
  <c r="AB68" i="56" s="1"/>
  <c r="DZ68" i="56"/>
  <c r="AD45" i="56"/>
  <c r="AD68" i="56" s="1"/>
  <c r="EC68" i="56"/>
  <c r="Z22" i="56"/>
  <c r="Z68" i="56" s="1"/>
  <c r="DY68" i="56"/>
  <c r="DZ69" i="56"/>
  <c r="EB69" i="56"/>
  <c r="AD44" i="56"/>
  <c r="AD67" i="56" s="1"/>
  <c r="EC67" i="56"/>
  <c r="EB68" i="56"/>
  <c r="DZ67" i="56"/>
  <c r="AD46" i="56"/>
  <c r="AD69" i="56" s="1"/>
  <c r="EC69" i="56"/>
  <c r="T66" i="56"/>
  <c r="AI184" i="53"/>
  <c r="AB69" i="56"/>
  <c r="AI109" i="53"/>
  <c r="AC44" i="56"/>
  <c r="AC67" i="56" s="1"/>
  <c r="AB44" i="56"/>
  <c r="AB67" i="56" s="1"/>
  <c r="DZ53" i="56"/>
  <c r="BU70" i="56"/>
  <c r="BY54" i="56"/>
  <c r="BY58" i="56"/>
  <c r="BY62" i="56"/>
  <c r="BY66" i="56"/>
  <c r="BY55" i="56"/>
  <c r="BY59" i="56"/>
  <c r="BY63" i="56"/>
  <c r="BY67" i="56"/>
  <c r="BY56" i="56"/>
  <c r="BY60" i="56"/>
  <c r="BY64" i="56"/>
  <c r="BY68" i="56"/>
  <c r="BY57" i="56"/>
  <c r="BY61" i="56"/>
  <c r="BY65" i="56"/>
  <c r="BY69" i="56"/>
  <c r="DC27" i="56"/>
  <c r="DV30" i="56"/>
  <c r="DG4" i="56"/>
  <c r="DZ7" i="56"/>
  <c r="F140" i="7"/>
  <c r="CB46" i="56"/>
  <c r="CB45" i="56"/>
  <c r="CB44" i="56"/>
  <c r="CB43" i="56"/>
  <c r="CB42" i="56"/>
  <c r="CB41" i="56"/>
  <c r="CB40" i="56"/>
  <c r="CB39" i="56"/>
  <c r="CB38" i="56"/>
  <c r="CB37" i="56"/>
  <c r="CB36" i="56"/>
  <c r="CB35" i="56"/>
  <c r="CB34" i="56"/>
  <c r="CB33" i="56"/>
  <c r="CB32" i="56"/>
  <c r="CB31" i="56"/>
  <c r="CB23" i="56"/>
  <c r="CB22" i="56"/>
  <c r="CB21" i="56"/>
  <c r="CB20" i="56"/>
  <c r="CB19" i="56"/>
  <c r="CB18" i="56"/>
  <c r="CB17" i="56"/>
  <c r="CB16" i="56"/>
  <c r="CB15" i="56"/>
  <c r="CB14" i="56"/>
  <c r="CB13" i="56"/>
  <c r="CB12" i="56"/>
  <c r="CB9" i="56"/>
  <c r="CB8" i="56"/>
  <c r="CB10" i="56"/>
  <c r="CB11" i="56"/>
  <c r="CA46" i="56"/>
  <c r="CA45" i="56"/>
  <c r="CA44" i="56"/>
  <c r="CA43" i="56"/>
  <c r="CA42" i="56"/>
  <c r="CA41" i="56"/>
  <c r="CA40" i="56"/>
  <c r="CA39" i="56"/>
  <c r="CA38" i="56"/>
  <c r="CA37" i="56"/>
  <c r="CA36" i="56"/>
  <c r="CA35" i="56"/>
  <c r="CA34" i="56"/>
  <c r="CA33" i="56"/>
  <c r="CA32" i="56"/>
  <c r="CA31" i="56"/>
  <c r="CA23" i="56"/>
  <c r="CA22" i="56"/>
  <c r="CA21" i="56"/>
  <c r="CA20" i="56"/>
  <c r="CA19" i="56"/>
  <c r="CA18" i="56"/>
  <c r="CA17" i="56"/>
  <c r="CA16" i="56"/>
  <c r="CA14" i="56"/>
  <c r="CA12" i="56"/>
  <c r="CA11" i="56"/>
  <c r="CA10" i="56"/>
  <c r="CA9" i="56"/>
  <c r="CA8" i="56"/>
  <c r="CA15" i="56"/>
  <c r="CA13" i="56"/>
  <c r="CC46" i="56"/>
  <c r="CC42" i="56"/>
  <c r="CC38" i="56"/>
  <c r="CC34" i="56"/>
  <c r="CC23" i="56"/>
  <c r="CC19" i="56"/>
  <c r="CC12" i="56"/>
  <c r="CC43" i="56"/>
  <c r="CC39" i="56"/>
  <c r="CC35" i="56"/>
  <c r="CC31" i="56"/>
  <c r="CC20" i="56"/>
  <c r="CC15" i="56"/>
  <c r="CC13" i="56"/>
  <c r="CC41" i="56"/>
  <c r="CC22" i="56"/>
  <c r="CC44" i="56"/>
  <c r="CC40" i="56"/>
  <c r="CC36" i="56"/>
  <c r="CC32" i="56"/>
  <c r="CC21" i="56"/>
  <c r="CC17" i="56"/>
  <c r="CC11" i="56"/>
  <c r="CC10" i="56"/>
  <c r="CC9" i="56"/>
  <c r="CC8" i="56"/>
  <c r="CC45" i="56"/>
  <c r="CC37" i="56"/>
  <c r="CC33" i="56"/>
  <c r="CC18" i="56"/>
  <c r="CC16" i="56"/>
  <c r="CC14" i="56"/>
  <c r="AX424" i="9"/>
  <c r="AX316" i="9"/>
  <c r="AX172" i="9"/>
  <c r="AX388" i="9"/>
  <c r="AX208" i="9"/>
  <c r="AX352" i="9"/>
  <c r="AX244" i="9"/>
  <c r="AX496" i="9"/>
  <c r="AX280" i="9"/>
  <c r="AX460" i="9"/>
  <c r="U61" i="53"/>
  <c r="AX328" i="9"/>
  <c r="AX436" i="9"/>
  <c r="AX256" i="9"/>
  <c r="AX364" i="9"/>
  <c r="AX292" i="9"/>
  <c r="AX220" i="9"/>
  <c r="AX472" i="9"/>
  <c r="AX400" i="9"/>
  <c r="AX184" i="9"/>
  <c r="AX544" i="9"/>
  <c r="AX508" i="9"/>
  <c r="CP27" i="56"/>
  <c r="DG30" i="56"/>
  <c r="L36" i="53"/>
  <c r="L45" i="53" s="1"/>
  <c r="M36" i="53"/>
  <c r="M45" i="53" s="1"/>
  <c r="K36" i="53"/>
  <c r="K45" i="53" s="1"/>
  <c r="BY47" i="56"/>
  <c r="BJ51" i="56"/>
  <c r="CA51" i="56" s="1"/>
  <c r="CA5" i="56"/>
  <c r="CR5" i="56" s="1"/>
  <c r="DI5" i="56" s="1"/>
  <c r="EB5" i="56" s="1"/>
  <c r="Z415" i="53"/>
  <c r="Z430" i="53"/>
  <c r="Z355" i="53"/>
  <c r="Z281" i="53"/>
  <c r="Z266" i="53"/>
  <c r="Z402" i="53"/>
  <c r="Z431" i="53"/>
  <c r="Z401" i="53"/>
  <c r="Z416" i="53"/>
  <c r="Z446" i="53"/>
  <c r="Z371" i="53"/>
  <c r="Z282" i="53"/>
  <c r="Z265" i="53"/>
  <c r="L27" i="56"/>
  <c r="Z461" i="53"/>
  <c r="Z445" i="53"/>
  <c r="Z296" i="53"/>
  <c r="Z340" i="53"/>
  <c r="Z310" i="53"/>
  <c r="Z462" i="53"/>
  <c r="Z295" i="53"/>
  <c r="Z311" i="53"/>
  <c r="Z252" i="53"/>
  <c r="Z477" i="53"/>
  <c r="Z460" i="53"/>
  <c r="Z387" i="53"/>
  <c r="Z297" i="53"/>
  <c r="Z356" i="53"/>
  <c r="Z325" i="53"/>
  <c r="Z432" i="53"/>
  <c r="Z386" i="53"/>
  <c r="Z250" i="53"/>
  <c r="Z417" i="53"/>
  <c r="Z385" i="53"/>
  <c r="Z476" i="53"/>
  <c r="Z400" i="53"/>
  <c r="Z326" i="53"/>
  <c r="Z372" i="53"/>
  <c r="Z341" i="53"/>
  <c r="Z251" i="53"/>
  <c r="Z475" i="53"/>
  <c r="Z447" i="53"/>
  <c r="Z370" i="53"/>
  <c r="Z327" i="53"/>
  <c r="Z280" i="53"/>
  <c r="Z342" i="53"/>
  <c r="Z312" i="53"/>
  <c r="Z357" i="53"/>
  <c r="Z267" i="53"/>
  <c r="BL2" i="56"/>
  <c r="BJ2" i="56"/>
  <c r="BK2" i="56"/>
  <c r="AB27" i="56"/>
  <c r="AD27" i="56"/>
  <c r="AC27" i="56"/>
  <c r="K12" i="53"/>
  <c r="H174" i="53"/>
  <c r="H169" i="53"/>
  <c r="H164" i="53"/>
  <c r="AE475" i="53"/>
  <c r="AE461" i="53"/>
  <c r="AE356" i="53"/>
  <c r="AE447" i="53"/>
  <c r="AE445" i="53"/>
  <c r="AE340" i="53"/>
  <c r="AE431" i="53"/>
  <c r="AE462" i="53"/>
  <c r="AE311" i="53"/>
  <c r="AE476" i="53"/>
  <c r="AE446" i="53"/>
  <c r="AE282" i="53"/>
  <c r="AB239" i="53"/>
  <c r="AB180" i="53"/>
  <c r="AB120" i="53"/>
  <c r="AD243" i="53"/>
  <c r="AD483" i="53" s="1"/>
  <c r="AD228" i="53"/>
  <c r="AD468" i="53" s="1"/>
  <c r="AD213" i="53"/>
  <c r="AD453" i="53" s="1"/>
  <c r="AD198" i="53"/>
  <c r="AD438" i="53" s="1"/>
  <c r="AD183" i="53"/>
  <c r="AD423" i="53" s="1"/>
  <c r="AD168" i="53"/>
  <c r="AD408" i="53" s="1"/>
  <c r="AD153" i="53"/>
  <c r="AD393" i="53" s="1"/>
  <c r="AD138" i="53"/>
  <c r="AD378" i="53" s="1"/>
  <c r="AD123" i="53"/>
  <c r="AD363" i="53" s="1"/>
  <c r="AD108" i="53"/>
  <c r="AD348" i="53" s="1"/>
  <c r="AD93" i="53"/>
  <c r="AD333" i="53" s="1"/>
  <c r="AD78" i="53"/>
  <c r="AD318" i="53" s="1"/>
  <c r="AD63" i="53"/>
  <c r="AD303" i="53" s="1"/>
  <c r="AD48" i="53"/>
  <c r="AD288" i="53" s="1"/>
  <c r="AD33" i="53"/>
  <c r="AD273" i="53" s="1"/>
  <c r="AD18" i="53"/>
  <c r="AD258" i="53" s="1"/>
  <c r="AE387" i="53"/>
  <c r="AE355" i="53"/>
  <c r="AE266" i="53"/>
  <c r="AE386" i="53"/>
  <c r="AE327" i="53"/>
  <c r="AE250" i="53"/>
  <c r="AE385" i="53"/>
  <c r="AE312" i="53"/>
  <c r="AE267" i="53"/>
  <c r="AE477" i="53"/>
  <c r="AE372" i="53"/>
  <c r="AE251" i="53"/>
  <c r="AE415" i="53"/>
  <c r="AE297" i="53"/>
  <c r="AE325" i="53"/>
  <c r="AE402" i="53"/>
  <c r="AE296" i="53"/>
  <c r="AE310" i="53"/>
  <c r="AE401" i="53"/>
  <c r="AE295" i="53"/>
  <c r="AE252" i="53"/>
  <c r="AE400" i="53"/>
  <c r="AE371" i="53"/>
  <c r="AE265" i="53"/>
  <c r="AE460" i="53"/>
  <c r="AE430" i="53"/>
  <c r="AE281" i="53"/>
  <c r="AE432" i="53"/>
  <c r="AE370" i="53"/>
  <c r="AE280" i="53"/>
  <c r="AE417" i="53"/>
  <c r="AE342" i="53"/>
  <c r="AE357" i="53"/>
  <c r="AE416" i="53"/>
  <c r="AE326" i="53"/>
  <c r="AE341" i="53"/>
  <c r="AB22" i="44"/>
  <c r="AB38" i="44"/>
  <c r="AB15" i="44"/>
  <c r="AB21" i="44"/>
  <c r="AB35" i="44"/>
  <c r="AB12" i="44"/>
  <c r="AB18" i="44"/>
  <c r="AB34" i="44"/>
  <c r="AB40" i="44"/>
  <c r="AB17" i="44"/>
  <c r="AB31" i="44"/>
  <c r="AB8" i="44"/>
  <c r="AB37" i="44"/>
  <c r="AB14" i="44"/>
  <c r="AB23" i="44"/>
  <c r="AB36" i="44"/>
  <c r="AB11" i="44"/>
  <c r="AB20" i="44"/>
  <c r="AB13" i="44"/>
  <c r="AB33" i="44"/>
  <c r="AB10" i="44"/>
  <c r="AB19" i="44"/>
  <c r="AB32" i="44"/>
  <c r="AB39" i="44"/>
  <c r="AB16" i="44"/>
  <c r="AB9" i="44"/>
  <c r="AE5" i="30"/>
  <c r="AE6" i="30"/>
  <c r="AG11" i="30"/>
  <c r="U112" i="7"/>
  <c r="U111" i="7"/>
  <c r="U109" i="7"/>
  <c r="U107" i="7"/>
  <c r="U105" i="7"/>
  <c r="U103" i="7"/>
  <c r="U113" i="7"/>
  <c r="U110" i="7"/>
  <c r="U108" i="7"/>
  <c r="U106" i="7"/>
  <c r="U104" i="7"/>
  <c r="U118" i="7"/>
  <c r="U117" i="7"/>
  <c r="U116" i="7"/>
  <c r="U115" i="7"/>
  <c r="U114" i="7"/>
  <c r="I27" i="15"/>
  <c r="AH5" i="15"/>
  <c r="P29" i="44"/>
  <c r="P28" i="44" s="1"/>
  <c r="P5" i="44"/>
  <c r="L29" i="44"/>
  <c r="L28" i="44" s="1"/>
  <c r="L5" i="44"/>
  <c r="H29" i="44"/>
  <c r="H28" i="44" s="1"/>
  <c r="H5" i="44"/>
  <c r="AF5" i="41"/>
  <c r="O5" i="41"/>
  <c r="O51" i="41"/>
  <c r="G131" i="7"/>
  <c r="B131" i="7" s="1"/>
  <c r="G132" i="7"/>
  <c r="B132" i="7" s="1"/>
  <c r="G133" i="7"/>
  <c r="B133" i="7" s="1"/>
  <c r="G119" i="7"/>
  <c r="B119" i="7" s="1"/>
  <c r="G120" i="7"/>
  <c r="B120" i="7" s="1"/>
  <c r="G121" i="7"/>
  <c r="B121" i="7" s="1"/>
  <c r="G107" i="7"/>
  <c r="B107" i="7" s="1"/>
  <c r="G109" i="7"/>
  <c r="B109" i="7" s="1"/>
  <c r="G108" i="7"/>
  <c r="B108" i="7" s="1"/>
  <c r="AF5" i="25"/>
  <c r="O30" i="10"/>
  <c r="O51" i="25"/>
  <c r="G40" i="30"/>
  <c r="L30" i="10"/>
  <c r="O73" i="25"/>
  <c r="O5" i="25"/>
  <c r="O9" i="10"/>
  <c r="O8" i="10"/>
  <c r="O7" i="10"/>
  <c r="O6" i="10"/>
  <c r="Q4" i="10"/>
  <c r="P5" i="10"/>
  <c r="AB45" i="53" l="1"/>
  <c r="AB179" i="53"/>
  <c r="AB224" i="53"/>
  <c r="Z224" i="53" s="1"/>
  <c r="AB13" i="53"/>
  <c r="Z13" i="53" s="1"/>
  <c r="AB44" i="53"/>
  <c r="AB148" i="53"/>
  <c r="AB89" i="53"/>
  <c r="Z89" i="53" s="1"/>
  <c r="AB73" i="53"/>
  <c r="AB313" i="53" s="1"/>
  <c r="AB164" i="53"/>
  <c r="AB30" i="53"/>
  <c r="Z30" i="53" s="1"/>
  <c r="AB74" i="53"/>
  <c r="AB314" i="53" s="1"/>
  <c r="AB43" i="53"/>
  <c r="AB283" i="53" s="1"/>
  <c r="AB104" i="53"/>
  <c r="AB135" i="53"/>
  <c r="Z135" i="53" s="1"/>
  <c r="AB60" i="53"/>
  <c r="AB300" i="53" s="1"/>
  <c r="AB134" i="53"/>
  <c r="AB374" i="53" s="1"/>
  <c r="AB238" i="53"/>
  <c r="AB478" i="53" s="1"/>
  <c r="AB225" i="53"/>
  <c r="Z225" i="53" s="1"/>
  <c r="AB163" i="53"/>
  <c r="AB403" i="53" s="1"/>
  <c r="AB208" i="53"/>
  <c r="AB448" i="53" s="1"/>
  <c r="AB223" i="53"/>
  <c r="AB463" i="53" s="1"/>
  <c r="AB15" i="53"/>
  <c r="Z15" i="53" s="1"/>
  <c r="AB29" i="53"/>
  <c r="AB269" i="53" s="1"/>
  <c r="AB105" i="53"/>
  <c r="AB345" i="53" s="1"/>
  <c r="AB75" i="53"/>
  <c r="AB315" i="53" s="1"/>
  <c r="AB103" i="53"/>
  <c r="Z103" i="53" s="1"/>
  <c r="AB58" i="53"/>
  <c r="Z58" i="53" s="1"/>
  <c r="AB90" i="53"/>
  <c r="Z90" i="53" s="1"/>
  <c r="AB194" i="53"/>
  <c r="Z194" i="53" s="1"/>
  <c r="AB193" i="53"/>
  <c r="Z193" i="53" s="1"/>
  <c r="AB149" i="53"/>
  <c r="Z149" i="53" s="1"/>
  <c r="AB165" i="53"/>
  <c r="Z165" i="53" s="1"/>
  <c r="AB240" i="53"/>
  <c r="Z240" i="53" s="1"/>
  <c r="AB14" i="53"/>
  <c r="AB254" i="53" s="1"/>
  <c r="AB28" i="53"/>
  <c r="Z28" i="53" s="1"/>
  <c r="AB133" i="53"/>
  <c r="Z133" i="53" s="1"/>
  <c r="AB88" i="53"/>
  <c r="AB328" i="53" s="1"/>
  <c r="AB119" i="53"/>
  <c r="Z119" i="53" s="1"/>
  <c r="AB59" i="53"/>
  <c r="Z59" i="53" s="1"/>
  <c r="AB118" i="53"/>
  <c r="Z118" i="53" s="1"/>
  <c r="AB210" i="53"/>
  <c r="AB450" i="53" s="1"/>
  <c r="AB209" i="53"/>
  <c r="Z209" i="53" s="1"/>
  <c r="AB150" i="53"/>
  <c r="Z150" i="53" s="1"/>
  <c r="AB178" i="53"/>
  <c r="Z178" i="53" s="1"/>
  <c r="AQ19" i="9"/>
  <c r="BX70" i="56"/>
  <c r="AQ127" i="9"/>
  <c r="AQ126" i="9"/>
  <c r="AK159" i="53"/>
  <c r="AK69" i="53"/>
  <c r="AK129" i="53"/>
  <c r="AK144" i="53"/>
  <c r="AK174" i="53"/>
  <c r="AK219" i="53"/>
  <c r="AK84" i="53"/>
  <c r="AK39" i="53"/>
  <c r="AK99" i="53"/>
  <c r="AK234" i="53"/>
  <c r="AK204" i="53"/>
  <c r="AK54" i="53"/>
  <c r="AK189" i="53"/>
  <c r="AK24" i="53"/>
  <c r="AK114" i="53"/>
  <c r="AK9" i="53"/>
  <c r="G52" i="53"/>
  <c r="H52" i="53"/>
  <c r="AT27" i="56"/>
  <c r="AS27" i="56"/>
  <c r="AU27" i="56"/>
  <c r="AS4" i="56"/>
  <c r="AU4" i="56"/>
  <c r="AT4" i="56"/>
  <c r="DI51" i="56"/>
  <c r="EB51" i="56" s="1"/>
  <c r="AB51" i="56"/>
  <c r="AS51" i="56" s="1"/>
  <c r="AS28" i="56"/>
  <c r="T70" i="56"/>
  <c r="CC59" i="56"/>
  <c r="CC58" i="56"/>
  <c r="BY70" i="56"/>
  <c r="CC55" i="56"/>
  <c r="CC57" i="56"/>
  <c r="CA54" i="56"/>
  <c r="CC63" i="56"/>
  <c r="CC65" i="56"/>
  <c r="CA56" i="56"/>
  <c r="CA60" i="56"/>
  <c r="CA64" i="56"/>
  <c r="CA68" i="56"/>
  <c r="CB56" i="56"/>
  <c r="CB60" i="56"/>
  <c r="CB64" i="56"/>
  <c r="CB68" i="56"/>
  <c r="CC56" i="56"/>
  <c r="CC67" i="56"/>
  <c r="CC62" i="56"/>
  <c r="CC69" i="56"/>
  <c r="CA57" i="56"/>
  <c r="CA61" i="56"/>
  <c r="CA65" i="56"/>
  <c r="CA69" i="56"/>
  <c r="CB57" i="56"/>
  <c r="CB61" i="56"/>
  <c r="CB65" i="56"/>
  <c r="CB69" i="56"/>
  <c r="CC60" i="56"/>
  <c r="CC66" i="56"/>
  <c r="CA58" i="56"/>
  <c r="CA62" i="56"/>
  <c r="CA66" i="56"/>
  <c r="CB54" i="56"/>
  <c r="CB58" i="56"/>
  <c r="CB62" i="56"/>
  <c r="CB66" i="56"/>
  <c r="CC68" i="56"/>
  <c r="CC64" i="56"/>
  <c r="CC54" i="56"/>
  <c r="CC61" i="56"/>
  <c r="CA55" i="56"/>
  <c r="CA59" i="56"/>
  <c r="CA63" i="56"/>
  <c r="CA67" i="56"/>
  <c r="CB55" i="56"/>
  <c r="CB59" i="56"/>
  <c r="CB63" i="56"/>
  <c r="CB67" i="56"/>
  <c r="CA28" i="56"/>
  <c r="CR28" i="56" s="1"/>
  <c r="DI28" i="56" s="1"/>
  <c r="EB28" i="56" s="1"/>
  <c r="DG27" i="56"/>
  <c r="DZ30" i="56"/>
  <c r="AQ595" i="9"/>
  <c r="AQ558" i="9"/>
  <c r="AQ559" i="9"/>
  <c r="AQ523" i="9"/>
  <c r="AQ487" i="9"/>
  <c r="AQ449" i="9"/>
  <c r="AQ450" i="9"/>
  <c r="AQ451" i="9"/>
  <c r="AQ414" i="9"/>
  <c r="AQ415" i="9"/>
  <c r="AQ378" i="9"/>
  <c r="AQ379" i="9"/>
  <c r="AQ343" i="9"/>
  <c r="AQ307" i="9"/>
  <c r="AQ271" i="9"/>
  <c r="AQ270" i="9"/>
  <c r="AQ234" i="9"/>
  <c r="AQ235" i="9"/>
  <c r="AQ199" i="9"/>
  <c r="AQ198" i="9"/>
  <c r="AQ163" i="9"/>
  <c r="AN163" i="9"/>
  <c r="P5" i="56"/>
  <c r="AX245" i="9"/>
  <c r="AX247" i="9"/>
  <c r="AX210" i="9"/>
  <c r="AX353" i="9"/>
  <c r="AX461" i="9"/>
  <c r="AX281" i="9"/>
  <c r="AX175" i="9"/>
  <c r="AX463" i="9"/>
  <c r="AX389" i="9"/>
  <c r="AX317" i="9"/>
  <c r="AX318" i="9"/>
  <c r="AX209" i="9"/>
  <c r="AX426" i="9"/>
  <c r="AX174" i="9"/>
  <c r="AX354" i="9"/>
  <c r="AX355" i="9"/>
  <c r="AX498" i="9"/>
  <c r="AX319" i="9"/>
  <c r="AX499" i="9"/>
  <c r="AX462" i="9"/>
  <c r="AX391" i="9"/>
  <c r="AX427" i="9"/>
  <c r="AX282" i="9"/>
  <c r="AX173" i="9"/>
  <c r="AX283" i="9"/>
  <c r="AX497" i="9"/>
  <c r="AX390" i="9"/>
  <c r="AX425" i="9"/>
  <c r="AX139" i="9"/>
  <c r="AX246" i="9"/>
  <c r="AX211" i="9"/>
  <c r="AX138" i="9"/>
  <c r="AX7" i="9"/>
  <c r="AX6" i="9"/>
  <c r="AX509" i="9"/>
  <c r="AX331" i="9"/>
  <c r="AX439" i="9"/>
  <c r="AX222" i="9"/>
  <c r="AX437" i="9"/>
  <c r="AX403" i="9"/>
  <c r="AX221" i="9"/>
  <c r="AX330" i="9"/>
  <c r="AX151" i="9"/>
  <c r="AX187" i="9"/>
  <c r="AX257" i="9"/>
  <c r="AX367" i="9"/>
  <c r="AX547" i="9"/>
  <c r="AX546" i="9"/>
  <c r="AX473" i="9"/>
  <c r="AX150" i="9"/>
  <c r="AX258" i="9"/>
  <c r="AX366" i="9"/>
  <c r="AX545" i="9"/>
  <c r="AX223" i="9"/>
  <c r="AX438" i="9"/>
  <c r="AX402" i="9"/>
  <c r="AX475" i="9"/>
  <c r="AX295" i="9"/>
  <c r="AX474" i="9"/>
  <c r="AX510" i="9"/>
  <c r="AX401" i="9"/>
  <c r="AX186" i="9"/>
  <c r="AX511" i="9"/>
  <c r="AX293" i="9"/>
  <c r="AX294" i="9"/>
  <c r="AX259" i="9"/>
  <c r="AX365" i="9"/>
  <c r="AX329" i="9"/>
  <c r="AX185" i="9"/>
  <c r="CA47" i="56"/>
  <c r="CB47" i="56"/>
  <c r="CC47" i="56"/>
  <c r="Z43" i="53"/>
  <c r="Z104" i="53"/>
  <c r="Z134" i="53"/>
  <c r="Z238" i="53"/>
  <c r="Z208" i="53"/>
  <c r="Z223" i="53"/>
  <c r="Z45" i="53"/>
  <c r="Z120" i="53"/>
  <c r="Z44" i="53"/>
  <c r="Z179" i="53"/>
  <c r="Z180" i="53"/>
  <c r="Z148" i="53"/>
  <c r="Z164" i="53"/>
  <c r="Z239" i="53"/>
  <c r="Z105" i="53"/>
  <c r="Z75" i="53"/>
  <c r="Z195" i="53"/>
  <c r="E98" i="15"/>
  <c r="O9" i="7"/>
  <c r="O13" i="7" s="1"/>
  <c r="C9" i="7"/>
  <c r="C13" i="7" s="1"/>
  <c r="O53" i="7"/>
  <c r="O57" i="7" s="1"/>
  <c r="C53" i="7"/>
  <c r="C57" i="7" s="1"/>
  <c r="O38" i="53"/>
  <c r="AN221" i="9"/>
  <c r="O6" i="53"/>
  <c r="O5" i="53" s="1"/>
  <c r="O9" i="53" s="1"/>
  <c r="AB270" i="53"/>
  <c r="AB344" i="53"/>
  <c r="AB329" i="53"/>
  <c r="AB285" i="53"/>
  <c r="AB360" i="53"/>
  <c r="AB284" i="53"/>
  <c r="AB419" i="53"/>
  <c r="AB420" i="53"/>
  <c r="AB388" i="53"/>
  <c r="AB404" i="53"/>
  <c r="AB464" i="53"/>
  <c r="AB479" i="53"/>
  <c r="AB434" i="53"/>
  <c r="AB433" i="53"/>
  <c r="AB359" i="53"/>
  <c r="AB435" i="53"/>
  <c r="Q50" i="25"/>
  <c r="O50" i="25"/>
  <c r="P50" i="25"/>
  <c r="AH4" i="25"/>
  <c r="AF4" i="25"/>
  <c r="AG4" i="25"/>
  <c r="O4" i="25"/>
  <c r="AQ488" i="9" s="1"/>
  <c r="P4" i="25"/>
  <c r="Q4" i="25"/>
  <c r="Q50" i="41"/>
  <c r="P50" i="41"/>
  <c r="O50" i="41"/>
  <c r="AH4" i="41"/>
  <c r="AG4" i="41"/>
  <c r="AF4" i="41"/>
  <c r="O4" i="41"/>
  <c r="Q4" i="41"/>
  <c r="P4" i="41"/>
  <c r="AH37" i="15"/>
  <c r="AH15" i="15"/>
  <c r="AH18" i="15"/>
  <c r="AH34" i="15"/>
  <c r="AH12" i="15"/>
  <c r="AH31" i="15"/>
  <c r="AH9" i="15"/>
  <c r="AH33" i="15"/>
  <c r="AH11" i="15"/>
  <c r="AH14" i="15"/>
  <c r="AH30" i="15"/>
  <c r="AH8" i="15"/>
  <c r="AH21" i="15"/>
  <c r="AH32" i="15"/>
  <c r="AH29" i="15"/>
  <c r="AH7" i="15"/>
  <c r="AH10" i="15"/>
  <c r="AH20" i="15"/>
  <c r="AH36" i="15"/>
  <c r="AH17" i="15"/>
  <c r="AH19" i="15"/>
  <c r="AH22" i="15"/>
  <c r="AH38" i="15"/>
  <c r="AH16" i="15"/>
  <c r="AH35" i="15"/>
  <c r="AH13" i="15"/>
  <c r="Q48" i="41"/>
  <c r="P48" i="41"/>
  <c r="O48" i="41"/>
  <c r="P48" i="25"/>
  <c r="Q48" i="25"/>
  <c r="O48" i="25"/>
  <c r="M34" i="10"/>
  <c r="Q69" i="25"/>
  <c r="P68" i="25"/>
  <c r="O67" i="25"/>
  <c r="P69" i="25"/>
  <c r="O68" i="25"/>
  <c r="P67" i="25"/>
  <c r="O69" i="25"/>
  <c r="Q67" i="25"/>
  <c r="Q68" i="25"/>
  <c r="Q69" i="41"/>
  <c r="P68" i="41"/>
  <c r="O67" i="41"/>
  <c r="Q67" i="41"/>
  <c r="P67" i="41"/>
  <c r="P69" i="41"/>
  <c r="O68" i="41"/>
  <c r="O69" i="41"/>
  <c r="Q68" i="41"/>
  <c r="E5" i="15"/>
  <c r="AB41" i="44"/>
  <c r="F1" i="41"/>
  <c r="F1" i="25"/>
  <c r="AE7" i="30"/>
  <c r="AE11" i="30"/>
  <c r="B40" i="30"/>
  <c r="P9" i="10"/>
  <c r="P8" i="10"/>
  <c r="P7" i="10"/>
  <c r="Q5" i="10"/>
  <c r="R4" i="10"/>
  <c r="P6" i="10"/>
  <c r="AB465" i="53" l="1"/>
  <c r="AB449" i="53"/>
  <c r="AB343" i="53"/>
  <c r="E19" i="15"/>
  <c r="E15" i="15"/>
  <c r="E11" i="15"/>
  <c r="E22" i="15"/>
  <c r="E18" i="15"/>
  <c r="E14" i="15"/>
  <c r="E10" i="15"/>
  <c r="E21" i="15"/>
  <c r="E17" i="15"/>
  <c r="E13" i="15"/>
  <c r="E9" i="15"/>
  <c r="E20" i="15"/>
  <c r="E16" i="15"/>
  <c r="E12" i="15"/>
  <c r="E8" i="15"/>
  <c r="E37" i="15"/>
  <c r="E33" i="15"/>
  <c r="E36" i="15"/>
  <c r="E32" i="15"/>
  <c r="E35" i="15"/>
  <c r="E31" i="15"/>
  <c r="E38" i="15"/>
  <c r="E34" i="15"/>
  <c r="E30" i="15"/>
  <c r="AB390" i="53"/>
  <c r="Z88" i="53"/>
  <c r="Z14" i="53"/>
  <c r="AB255" i="53"/>
  <c r="AB375" i="53"/>
  <c r="Z163" i="53"/>
  <c r="Z60" i="53"/>
  <c r="Z74" i="53"/>
  <c r="AB268" i="53"/>
  <c r="AB253" i="53"/>
  <c r="AE253" i="53" s="1"/>
  <c r="Z29" i="53"/>
  <c r="Z73" i="53"/>
  <c r="AB298" i="53"/>
  <c r="AE298" i="53" s="1"/>
  <c r="AB299" i="53"/>
  <c r="Z299" i="53" s="1"/>
  <c r="AB389" i="53"/>
  <c r="Z389" i="53" s="1"/>
  <c r="AB480" i="53"/>
  <c r="Z210" i="53"/>
  <c r="AB418" i="53"/>
  <c r="AE418" i="53" s="1"/>
  <c r="AB358" i="53"/>
  <c r="AE358" i="53" s="1"/>
  <c r="AB373" i="53"/>
  <c r="AB405" i="53"/>
  <c r="AE405" i="53" s="1"/>
  <c r="AB330" i="53"/>
  <c r="AE330" i="53" s="1"/>
  <c r="AN24" i="9"/>
  <c r="AN23" i="9"/>
  <c r="AN20" i="9"/>
  <c r="AN25" i="9"/>
  <c r="AQ20" i="9"/>
  <c r="AQ25" i="9"/>
  <c r="AO23" i="9"/>
  <c r="AO24" i="9"/>
  <c r="AN21" i="9"/>
  <c r="AQ21" i="9"/>
  <c r="AQ23" i="9"/>
  <c r="AQ22" i="9"/>
  <c r="AN22" i="9"/>
  <c r="AQ24" i="9"/>
  <c r="O61" i="53"/>
  <c r="P61" i="53"/>
  <c r="Q61" i="53"/>
  <c r="AN128" i="9"/>
  <c r="AN131" i="9"/>
  <c r="AQ131" i="9"/>
  <c r="AQ130" i="9"/>
  <c r="AN130" i="9"/>
  <c r="AQ129" i="9"/>
  <c r="AQ133" i="9"/>
  <c r="AN132" i="9"/>
  <c r="AQ132" i="9"/>
  <c r="AN133" i="9"/>
  <c r="AQ128" i="9"/>
  <c r="AN129" i="9"/>
  <c r="O16" i="7"/>
  <c r="O15" i="7"/>
  <c r="AK236" i="53"/>
  <c r="AK221" i="53"/>
  <c r="AK130" i="53"/>
  <c r="AK117" i="53"/>
  <c r="AK220" i="53"/>
  <c r="AK56" i="53"/>
  <c r="AK12" i="53"/>
  <c r="AK175" i="53"/>
  <c r="AK87" i="53"/>
  <c r="AK11" i="53"/>
  <c r="AK115" i="53"/>
  <c r="AK100" i="53"/>
  <c r="AK312" i="53"/>
  <c r="AK341" i="53"/>
  <c r="AK327" i="53"/>
  <c r="AK252" i="53"/>
  <c r="AK371" i="53"/>
  <c r="AK401" i="53"/>
  <c r="AK370" i="53"/>
  <c r="AK281" i="53"/>
  <c r="AK340" i="53"/>
  <c r="AK251" i="53"/>
  <c r="AK447" i="53"/>
  <c r="AK417" i="53"/>
  <c r="AK460" i="53"/>
  <c r="AK267" i="53"/>
  <c r="AK475" i="53"/>
  <c r="AK280" i="53"/>
  <c r="AK476" i="53"/>
  <c r="AK282" i="53"/>
  <c r="AK355" i="53"/>
  <c r="AK462" i="53"/>
  <c r="AK432" i="53"/>
  <c r="AK357" i="53"/>
  <c r="AK297" i="53"/>
  <c r="AK402" i="53"/>
  <c r="AK385" i="53"/>
  <c r="AK296" i="53"/>
  <c r="AK416" i="53"/>
  <c r="AK415" i="53"/>
  <c r="AK295" i="53"/>
  <c r="AK400" i="53"/>
  <c r="AK265" i="53"/>
  <c r="AK386" i="53"/>
  <c r="AK387" i="53"/>
  <c r="AK477" i="53"/>
  <c r="AK356" i="53"/>
  <c r="AK445" i="53"/>
  <c r="AK342" i="53"/>
  <c r="AK310" i="53"/>
  <c r="AK326" i="53"/>
  <c r="AK461" i="53"/>
  <c r="AK311" i="53"/>
  <c r="AK446" i="53"/>
  <c r="AK431" i="53"/>
  <c r="AK266" i="53"/>
  <c r="AK430" i="53"/>
  <c r="AK372" i="53"/>
  <c r="AK325" i="53"/>
  <c r="AK250" i="53"/>
  <c r="AK206" i="53"/>
  <c r="AK116" i="53"/>
  <c r="AK40" i="53"/>
  <c r="AK176" i="53"/>
  <c r="AK190" i="53"/>
  <c r="AK70" i="53"/>
  <c r="AK160" i="53"/>
  <c r="AK57" i="53"/>
  <c r="AK27" i="53"/>
  <c r="AK237" i="53"/>
  <c r="AK26" i="53"/>
  <c r="AK191" i="53"/>
  <c r="AK42" i="53"/>
  <c r="AK10" i="53"/>
  <c r="AK177" i="53"/>
  <c r="AK86" i="53"/>
  <c r="AK41" i="53"/>
  <c r="AK161" i="53"/>
  <c r="AK131" i="53"/>
  <c r="AK85" i="53"/>
  <c r="AK145" i="53"/>
  <c r="AK132" i="53"/>
  <c r="AK207" i="53"/>
  <c r="AK222" i="53"/>
  <c r="AK235" i="53"/>
  <c r="AK192" i="53"/>
  <c r="AK102" i="53"/>
  <c r="AK101" i="53"/>
  <c r="AK162" i="53"/>
  <c r="AK55" i="53"/>
  <c r="AK25" i="53"/>
  <c r="AK146" i="53"/>
  <c r="AK72" i="53"/>
  <c r="AK147" i="53"/>
  <c r="AK205" i="53"/>
  <c r="AK71" i="53"/>
  <c r="G153" i="53"/>
  <c r="V39" i="53"/>
  <c r="BN4" i="56"/>
  <c r="BO4" i="56"/>
  <c r="BP4" i="56"/>
  <c r="BN5" i="56"/>
  <c r="BN28" i="56" s="1"/>
  <c r="E97" i="15"/>
  <c r="E102" i="15" s="1"/>
  <c r="Y5" i="15"/>
  <c r="O91" i="41"/>
  <c r="AD23" i="41" s="1"/>
  <c r="ED46" i="56" s="1"/>
  <c r="AF46" i="56" s="1"/>
  <c r="O90" i="41"/>
  <c r="AD22" i="41" s="1"/>
  <c r="ED45" i="56" s="1"/>
  <c r="AF45" i="56" s="1"/>
  <c r="P91" i="41"/>
  <c r="AF23" i="41" s="1"/>
  <c r="EF46" i="56" s="1"/>
  <c r="AG46" i="56" s="1"/>
  <c r="P90" i="41"/>
  <c r="AF22" i="41" s="1"/>
  <c r="EF45" i="56" s="1"/>
  <c r="AG45" i="56" s="1"/>
  <c r="Q90" i="41"/>
  <c r="AG22" i="41" s="1"/>
  <c r="EG45" i="56" s="1"/>
  <c r="Q91" i="41"/>
  <c r="AG23" i="41" s="1"/>
  <c r="EG46" i="56" s="1"/>
  <c r="CB70" i="56"/>
  <c r="CA70" i="56"/>
  <c r="CC70" i="56"/>
  <c r="DO27" i="56"/>
  <c r="P89" i="41"/>
  <c r="AF21" i="41" s="1"/>
  <c r="EF44" i="56" s="1"/>
  <c r="Q89" i="41"/>
  <c r="AG21" i="41" s="1"/>
  <c r="EG44" i="56" s="1"/>
  <c r="O89" i="41"/>
  <c r="AD21" i="41" s="1"/>
  <c r="Q89" i="25"/>
  <c r="AG21" i="25" s="1"/>
  <c r="EG21" i="56" s="1"/>
  <c r="AH21" i="56" s="1"/>
  <c r="P89" i="25"/>
  <c r="AF21" i="25" s="1"/>
  <c r="EF21" i="56" s="1"/>
  <c r="AG21" i="56" s="1"/>
  <c r="P90" i="25"/>
  <c r="AF22" i="25" s="1"/>
  <c r="EF22" i="56" s="1"/>
  <c r="AG22" i="56" s="1"/>
  <c r="Q90" i="25"/>
  <c r="AG22" i="25" s="1"/>
  <c r="EG22" i="56" s="1"/>
  <c r="AH22" i="56" s="1"/>
  <c r="O90" i="25"/>
  <c r="AD22" i="25" s="1"/>
  <c r="ED22" i="56" s="1"/>
  <c r="AF22" i="56" s="1"/>
  <c r="Q91" i="25"/>
  <c r="AG23" i="25" s="1"/>
  <c r="EG23" i="56" s="1"/>
  <c r="AH23" i="56" s="1"/>
  <c r="P91" i="25"/>
  <c r="AF23" i="25" s="1"/>
  <c r="EF23" i="56" s="1"/>
  <c r="AG23" i="56" s="1"/>
  <c r="O91" i="25"/>
  <c r="AD23" i="25" s="1"/>
  <c r="ED23" i="56" s="1"/>
  <c r="AF23" i="56" s="1"/>
  <c r="O89" i="25"/>
  <c r="AD21" i="25" s="1"/>
  <c r="ED21" i="56" s="1"/>
  <c r="AF21" i="56" s="1"/>
  <c r="DN27" i="56"/>
  <c r="G109" i="32"/>
  <c r="N109" i="32" s="1"/>
  <c r="B139" i="7"/>
  <c r="AN562" i="9"/>
  <c r="AN599" i="9"/>
  <c r="AN597" i="9"/>
  <c r="AN598" i="9"/>
  <c r="AN596" i="9"/>
  <c r="AQ596" i="9"/>
  <c r="AQ600" i="9"/>
  <c r="AO599" i="9"/>
  <c r="AQ599" i="9"/>
  <c r="AQ601" i="9"/>
  <c r="AN600" i="9"/>
  <c r="AQ598" i="9"/>
  <c r="AN601" i="9"/>
  <c r="AQ597" i="9"/>
  <c r="AO564" i="9"/>
  <c r="AQ564" i="9"/>
  <c r="AQ560" i="9"/>
  <c r="AN561" i="9"/>
  <c r="AQ563" i="9"/>
  <c r="AQ565" i="9"/>
  <c r="AN526" i="9"/>
  <c r="AN563" i="9"/>
  <c r="AN564" i="9"/>
  <c r="AN560" i="9"/>
  <c r="AN565" i="9"/>
  <c r="AQ561" i="9"/>
  <c r="AQ562" i="9"/>
  <c r="AO527" i="9"/>
  <c r="AQ525" i="9"/>
  <c r="AN529" i="9"/>
  <c r="AQ527" i="9"/>
  <c r="AQ526" i="9"/>
  <c r="AQ524" i="9"/>
  <c r="AQ529" i="9"/>
  <c r="AN490" i="9"/>
  <c r="AN525" i="9"/>
  <c r="AN524" i="9"/>
  <c r="AN527" i="9"/>
  <c r="AN528" i="9"/>
  <c r="AQ528" i="9"/>
  <c r="AO491" i="9"/>
  <c r="AN493" i="9"/>
  <c r="AQ489" i="9"/>
  <c r="AQ493" i="9"/>
  <c r="AQ491" i="9"/>
  <c r="AQ490" i="9"/>
  <c r="AN454" i="9"/>
  <c r="AN489" i="9"/>
  <c r="AN488" i="9"/>
  <c r="AN491" i="9"/>
  <c r="AN492" i="9"/>
  <c r="AQ492" i="9"/>
  <c r="AQ456" i="9"/>
  <c r="AQ452" i="9"/>
  <c r="AQ454" i="9"/>
  <c r="AN418" i="9"/>
  <c r="AN452" i="9"/>
  <c r="AN453" i="9"/>
  <c r="AN455" i="9"/>
  <c r="AN457" i="9"/>
  <c r="AQ453" i="9"/>
  <c r="AQ457" i="9"/>
  <c r="AN456" i="9"/>
  <c r="AQ455" i="9"/>
  <c r="AQ420" i="9"/>
  <c r="AQ416" i="9"/>
  <c r="AQ417" i="9"/>
  <c r="AN419" i="9"/>
  <c r="AN416" i="9"/>
  <c r="AN417" i="9"/>
  <c r="AQ421" i="9"/>
  <c r="AQ419" i="9"/>
  <c r="AN421" i="9"/>
  <c r="AO419" i="9"/>
  <c r="AN420" i="9"/>
  <c r="AQ418" i="9"/>
  <c r="AQ385" i="9"/>
  <c r="AN348" i="9"/>
  <c r="AN383" i="9"/>
  <c r="AN385" i="9"/>
  <c r="AQ380" i="9"/>
  <c r="AQ382" i="9"/>
  <c r="AO383" i="9"/>
  <c r="AN380" i="9"/>
  <c r="AQ381" i="9"/>
  <c r="AN384" i="9"/>
  <c r="AN381" i="9"/>
  <c r="AQ384" i="9"/>
  <c r="AN382" i="9"/>
  <c r="AQ383" i="9"/>
  <c r="AQ349" i="9"/>
  <c r="AN345" i="9"/>
  <c r="AQ344" i="9"/>
  <c r="AQ346" i="9"/>
  <c r="AQ347" i="9"/>
  <c r="AN310" i="9"/>
  <c r="AN344" i="9"/>
  <c r="AN347" i="9"/>
  <c r="AN346" i="9"/>
  <c r="AQ348" i="9"/>
  <c r="AQ345" i="9"/>
  <c r="AO347" i="9"/>
  <c r="AN349" i="9"/>
  <c r="AQ312" i="9"/>
  <c r="AQ311" i="9"/>
  <c r="AQ309" i="9"/>
  <c r="AN308" i="9"/>
  <c r="AN311" i="9"/>
  <c r="AN313" i="9"/>
  <c r="AQ308" i="9"/>
  <c r="AQ313" i="9"/>
  <c r="AO311" i="9"/>
  <c r="AN309" i="9"/>
  <c r="AQ310" i="9"/>
  <c r="AN312" i="9"/>
  <c r="AN277" i="9"/>
  <c r="R4" i="56"/>
  <c r="R27" i="56" s="1"/>
  <c r="AQ273" i="9"/>
  <c r="AQ274" i="9"/>
  <c r="AN274" i="9"/>
  <c r="AQ276" i="9"/>
  <c r="AN238" i="9"/>
  <c r="AN275" i="9"/>
  <c r="AN276" i="9"/>
  <c r="AN272" i="9"/>
  <c r="AQ275" i="9"/>
  <c r="AQ277" i="9"/>
  <c r="AN273" i="9"/>
  <c r="AO276" i="9"/>
  <c r="AO275" i="9"/>
  <c r="AQ272" i="9"/>
  <c r="AQ241" i="9"/>
  <c r="AO239" i="9"/>
  <c r="AN241" i="9"/>
  <c r="AQ238" i="9"/>
  <c r="AQ237" i="9"/>
  <c r="AQ240" i="9"/>
  <c r="AQ239" i="9"/>
  <c r="AN236" i="9"/>
  <c r="AN240" i="9"/>
  <c r="AN239" i="9"/>
  <c r="AN237" i="9"/>
  <c r="AQ236" i="9"/>
  <c r="AQ205" i="9"/>
  <c r="AN166" i="9"/>
  <c r="AN200" i="9"/>
  <c r="AN203" i="9"/>
  <c r="AN202" i="9"/>
  <c r="AQ203" i="9"/>
  <c r="CE4" i="56"/>
  <c r="CE2" i="56" s="1"/>
  <c r="AN204" i="9"/>
  <c r="AQ200" i="9"/>
  <c r="AQ204" i="9"/>
  <c r="AG4" i="56"/>
  <c r="CE27" i="56"/>
  <c r="CV27" i="56"/>
  <c r="AN201" i="9"/>
  <c r="AQ201" i="9"/>
  <c r="DO4" i="56"/>
  <c r="AN205" i="9"/>
  <c r="AQ202" i="9"/>
  <c r="AQ169" i="9"/>
  <c r="AQ164" i="9"/>
  <c r="AN164" i="9"/>
  <c r="AN167" i="9"/>
  <c r="AN169" i="9"/>
  <c r="AQ167" i="9"/>
  <c r="AQ166" i="9"/>
  <c r="AO167" i="9"/>
  <c r="AN168" i="9"/>
  <c r="AQ165" i="9"/>
  <c r="AQ168" i="9"/>
  <c r="AN165" i="9"/>
  <c r="AN542" i="9"/>
  <c r="AN146" i="9"/>
  <c r="AQ146" i="9"/>
  <c r="Q4" i="56"/>
  <c r="Q27" i="56" s="1"/>
  <c r="P28" i="56"/>
  <c r="P51" i="56" s="1"/>
  <c r="CG4" i="56"/>
  <c r="CG2" i="56" s="1"/>
  <c r="CF27" i="56"/>
  <c r="CX4" i="56"/>
  <c r="CX2" i="56" s="1"/>
  <c r="CX27" i="56"/>
  <c r="DN4" i="56"/>
  <c r="AH4" i="56"/>
  <c r="AF5" i="56"/>
  <c r="CV4" i="56"/>
  <c r="CV2" i="56" s="1"/>
  <c r="CW27" i="56"/>
  <c r="DM27" i="56"/>
  <c r="Y1" i="56"/>
  <c r="P4" i="56"/>
  <c r="P27" i="56" s="1"/>
  <c r="AF4" i="56"/>
  <c r="CF4" i="56"/>
  <c r="CF2" i="56" s="1"/>
  <c r="CG27" i="56"/>
  <c r="CW4" i="56"/>
  <c r="CW2" i="56" s="1"/>
  <c r="DM4" i="56"/>
  <c r="AQ650" i="9"/>
  <c r="AN650" i="9"/>
  <c r="AQ638" i="9"/>
  <c r="AN638" i="9"/>
  <c r="AQ626" i="9"/>
  <c r="AN626" i="9"/>
  <c r="AQ614" i="9"/>
  <c r="AN614" i="9"/>
  <c r="AQ602" i="9"/>
  <c r="BA578" i="9"/>
  <c r="AN602" i="9"/>
  <c r="AQ578" i="9"/>
  <c r="AQ590" i="9"/>
  <c r="AN590" i="9"/>
  <c r="AN578" i="9"/>
  <c r="AQ554" i="9"/>
  <c r="AN554" i="9"/>
  <c r="AQ542" i="9"/>
  <c r="G101" i="32"/>
  <c r="M101" i="32" s="1"/>
  <c r="G105" i="32"/>
  <c r="AE245" i="53"/>
  <c r="S18" i="50"/>
  <c r="S19" i="50"/>
  <c r="S20" i="50"/>
  <c r="AQ137" i="9"/>
  <c r="AE58" i="53"/>
  <c r="AN137" i="9"/>
  <c r="AE59" i="53"/>
  <c r="AN330" i="9"/>
  <c r="S80" i="50"/>
  <c r="S82" i="50"/>
  <c r="S81" i="50"/>
  <c r="AZ12" i="9"/>
  <c r="O37" i="53"/>
  <c r="Z435" i="53"/>
  <c r="Z450" i="53"/>
  <c r="Z328" i="53"/>
  <c r="Z480" i="53"/>
  <c r="Z434" i="53"/>
  <c r="Z315" i="53"/>
  <c r="Z479" i="53"/>
  <c r="Z420" i="53"/>
  <c r="Z360" i="53"/>
  <c r="Z463" i="53"/>
  <c r="Z478" i="53"/>
  <c r="Z344" i="53"/>
  <c r="Z418" i="53"/>
  <c r="Z358" i="53"/>
  <c r="Z373" i="53"/>
  <c r="Z405" i="53"/>
  <c r="Z330" i="53"/>
  <c r="Z345" i="53"/>
  <c r="Z464" i="53"/>
  <c r="Z419" i="53"/>
  <c r="Z285" i="53"/>
  <c r="Z448" i="53"/>
  <c r="Z374" i="53"/>
  <c r="Z283" i="53"/>
  <c r="Z390" i="53"/>
  <c r="Z268" i="53"/>
  <c r="Z298" i="53"/>
  <c r="Z269" i="53"/>
  <c r="Z404" i="53"/>
  <c r="Z313" i="53"/>
  <c r="Z329" i="53"/>
  <c r="Z403" i="53"/>
  <c r="Z300" i="53"/>
  <c r="Z314" i="53"/>
  <c r="Z449" i="53"/>
  <c r="Z359" i="53"/>
  <c r="Z254" i="53"/>
  <c r="Z433" i="53"/>
  <c r="Z343" i="53"/>
  <c r="Z255" i="53"/>
  <c r="Z388" i="53"/>
  <c r="Z284" i="53"/>
  <c r="Z465" i="53"/>
  <c r="Z375" i="53"/>
  <c r="Z270" i="53"/>
  <c r="P37" i="53"/>
  <c r="AQ566" i="9"/>
  <c r="AN566" i="9"/>
  <c r="AQ9" i="9"/>
  <c r="AQ8" i="9"/>
  <c r="AQ11" i="9"/>
  <c r="AN11" i="9"/>
  <c r="AQ10" i="9"/>
  <c r="AQ13" i="9"/>
  <c r="AN8" i="9"/>
  <c r="AQ12" i="9"/>
  <c r="AN13" i="9"/>
  <c r="AN10" i="9"/>
  <c r="AN12" i="9"/>
  <c r="AN9" i="9"/>
  <c r="Q37" i="53"/>
  <c r="AQ443" i="9"/>
  <c r="AQ366" i="9"/>
  <c r="AQ258" i="9"/>
  <c r="AQ402" i="9"/>
  <c r="AQ509" i="9"/>
  <c r="AQ546" i="9"/>
  <c r="AQ473" i="9"/>
  <c r="AQ150" i="9"/>
  <c r="AQ295" i="9"/>
  <c r="AQ510" i="9"/>
  <c r="AQ438" i="9"/>
  <c r="AQ511" i="9"/>
  <c r="AQ149" i="9"/>
  <c r="AQ401" i="9"/>
  <c r="AQ331" i="9"/>
  <c r="AQ294" i="9"/>
  <c r="AQ330" i="9"/>
  <c r="AQ329" i="9"/>
  <c r="AQ439" i="9"/>
  <c r="AQ222" i="9"/>
  <c r="AQ545" i="9"/>
  <c r="AQ293" i="9"/>
  <c r="AQ221" i="9"/>
  <c r="AQ185" i="9"/>
  <c r="AQ475" i="9"/>
  <c r="AQ547" i="9"/>
  <c r="AQ151" i="9"/>
  <c r="AQ437" i="9"/>
  <c r="AQ474" i="9"/>
  <c r="AQ187" i="9"/>
  <c r="AQ259" i="9"/>
  <c r="AQ257" i="9"/>
  <c r="AQ223" i="9"/>
  <c r="AQ365" i="9"/>
  <c r="AQ186" i="9"/>
  <c r="AQ403" i="9"/>
  <c r="AQ367" i="9"/>
  <c r="AN157" i="9"/>
  <c r="AN295" i="9"/>
  <c r="AN473" i="9"/>
  <c r="AN186" i="9"/>
  <c r="AN259" i="9"/>
  <c r="AN366" i="9"/>
  <c r="AN331" i="9"/>
  <c r="AN185" i="9"/>
  <c r="AN365" i="9"/>
  <c r="AN439" i="9"/>
  <c r="AN257" i="9"/>
  <c r="AN475" i="9"/>
  <c r="AN474" i="9"/>
  <c r="AN294" i="9"/>
  <c r="AN403" i="9"/>
  <c r="AN547" i="9"/>
  <c r="AN151" i="9"/>
  <c r="AN545" i="9"/>
  <c r="AN402" i="9"/>
  <c r="AN367" i="9"/>
  <c r="AN438" i="9"/>
  <c r="AN511" i="9"/>
  <c r="AN510" i="9"/>
  <c r="AN546" i="9"/>
  <c r="AN223" i="9"/>
  <c r="AN329" i="9"/>
  <c r="AN150" i="9"/>
  <c r="AN293" i="9"/>
  <c r="AN258" i="9"/>
  <c r="AN222" i="9"/>
  <c r="AN401" i="9"/>
  <c r="AN187" i="9"/>
  <c r="AN509" i="9"/>
  <c r="AN437" i="9"/>
  <c r="AN149" i="9"/>
  <c r="AN407" i="9"/>
  <c r="AN440" i="9"/>
  <c r="AN370" i="9"/>
  <c r="AN191" i="9"/>
  <c r="AN445" i="9"/>
  <c r="AN441" i="9"/>
  <c r="AN336" i="9"/>
  <c r="AN260" i="9"/>
  <c r="AN153" i="9"/>
  <c r="AN229" i="9"/>
  <c r="AN192" i="9"/>
  <c r="AN476" i="9"/>
  <c r="AN264" i="9"/>
  <c r="AN224" i="9"/>
  <c r="AN477" i="9"/>
  <c r="AN442" i="9"/>
  <c r="AN405" i="9"/>
  <c r="AQ229" i="9"/>
  <c r="AQ226" i="9"/>
  <c r="AQ152" i="9"/>
  <c r="AQ441" i="9"/>
  <c r="AQ408" i="9"/>
  <c r="AQ549" i="9"/>
  <c r="AQ445" i="9"/>
  <c r="AQ261" i="9"/>
  <c r="AQ154" i="9"/>
  <c r="AQ371" i="9"/>
  <c r="AQ368" i="9"/>
  <c r="AQ517" i="9"/>
  <c r="AQ550" i="9"/>
  <c r="AQ370" i="9"/>
  <c r="AQ260" i="9"/>
  <c r="AQ263" i="9"/>
  <c r="AQ156" i="9"/>
  <c r="AN513" i="9"/>
  <c r="AN512" i="9"/>
  <c r="AN228" i="9"/>
  <c r="AN226" i="9"/>
  <c r="AN300" i="9"/>
  <c r="AN297" i="9"/>
  <c r="AN514" i="9"/>
  <c r="AN225" i="9"/>
  <c r="AN409" i="9"/>
  <c r="AN444" i="9"/>
  <c r="AN406" i="9"/>
  <c r="AN333" i="9"/>
  <c r="AN517" i="9"/>
  <c r="AN516" i="9"/>
  <c r="AN337" i="9"/>
  <c r="AN262" i="9"/>
  <c r="AQ265" i="9"/>
  <c r="AQ514" i="9"/>
  <c r="AQ515" i="9"/>
  <c r="AQ335" i="9"/>
  <c r="AQ476" i="9"/>
  <c r="AQ190" i="9"/>
  <c r="AQ157" i="9"/>
  <c r="AQ477" i="9"/>
  <c r="AQ516" i="9"/>
  <c r="AQ480" i="9"/>
  <c r="AQ481" i="9"/>
  <c r="AQ296" i="9"/>
  <c r="AQ334" i="9"/>
  <c r="AQ336" i="9"/>
  <c r="AQ153" i="9"/>
  <c r="AQ224" i="9"/>
  <c r="AN515" i="9"/>
  <c r="AN479" i="9"/>
  <c r="AN371" i="9"/>
  <c r="AN155" i="9"/>
  <c r="AN188" i="9"/>
  <c r="AN334" i="9"/>
  <c r="AN298" i="9"/>
  <c r="AN552" i="9"/>
  <c r="AN301" i="9"/>
  <c r="AN261" i="9"/>
  <c r="AN296" i="9"/>
  <c r="AN478" i="9"/>
  <c r="AN548" i="9"/>
  <c r="AN551" i="9"/>
  <c r="AN227" i="9"/>
  <c r="AN154" i="9"/>
  <c r="AN443" i="9"/>
  <c r="AN550" i="9"/>
  <c r="AN408" i="9"/>
  <c r="AN299" i="9"/>
  <c r="AQ332" i="9"/>
  <c r="AQ333" i="9"/>
  <c r="AQ301" i="9"/>
  <c r="AQ552" i="9"/>
  <c r="AQ228" i="9"/>
  <c r="AQ405" i="9"/>
  <c r="AQ264" i="9"/>
  <c r="AQ192" i="9"/>
  <c r="AQ189" i="9"/>
  <c r="AQ404" i="9"/>
  <c r="AQ337" i="9"/>
  <c r="AQ409" i="9"/>
  <c r="AQ406" i="9"/>
  <c r="AQ298" i="9"/>
  <c r="AQ369" i="9"/>
  <c r="AQ155" i="9"/>
  <c r="AQ548" i="9"/>
  <c r="AQ227" i="9"/>
  <c r="AQ479" i="9"/>
  <c r="AN335" i="9"/>
  <c r="AN368" i="9"/>
  <c r="AN404" i="9"/>
  <c r="AN193" i="9"/>
  <c r="AN265" i="9"/>
  <c r="AN156" i="9"/>
  <c r="AN481" i="9"/>
  <c r="AN189" i="9"/>
  <c r="AN332" i="9"/>
  <c r="AN369" i="9"/>
  <c r="AN549" i="9"/>
  <c r="AN263" i="9"/>
  <c r="AN480" i="9"/>
  <c r="AN553" i="9"/>
  <c r="AN190" i="9"/>
  <c r="AN152" i="9"/>
  <c r="AQ193" i="9"/>
  <c r="AQ297" i="9"/>
  <c r="AQ300" i="9"/>
  <c r="AQ551" i="9"/>
  <c r="AQ262" i="9"/>
  <c r="AQ407" i="9"/>
  <c r="AQ442" i="9"/>
  <c r="AQ513" i="9"/>
  <c r="AQ512" i="9"/>
  <c r="AQ478" i="9"/>
  <c r="AQ225" i="9"/>
  <c r="AQ444" i="9"/>
  <c r="AQ553" i="9"/>
  <c r="AQ440" i="9"/>
  <c r="AQ299" i="9"/>
  <c r="AQ188" i="9"/>
  <c r="AQ191" i="9"/>
  <c r="P5" i="53"/>
  <c r="Q5" i="53"/>
  <c r="C34" i="53"/>
  <c r="D34" i="53"/>
  <c r="E34" i="53"/>
  <c r="AN352" i="9"/>
  <c r="AN172" i="9"/>
  <c r="AN244" i="9"/>
  <c r="AN387" i="9"/>
  <c r="AN423" i="9"/>
  <c r="AN496" i="9"/>
  <c r="AN171" i="9"/>
  <c r="AN134" i="9"/>
  <c r="AN279" i="9"/>
  <c r="AN242" i="9"/>
  <c r="AN424" i="9"/>
  <c r="AN135" i="9"/>
  <c r="AN207" i="9"/>
  <c r="AN350" i="9"/>
  <c r="AN316" i="9"/>
  <c r="AN458" i="9"/>
  <c r="AN494" i="9"/>
  <c r="AN530" i="9"/>
  <c r="AN351" i="9"/>
  <c r="AN315" i="9"/>
  <c r="AN278" i="9"/>
  <c r="AN314" i="9"/>
  <c r="AN388" i="9"/>
  <c r="AN422" i="9"/>
  <c r="AN531" i="9"/>
  <c r="AN386" i="9"/>
  <c r="AN208" i="9"/>
  <c r="AN170" i="9"/>
  <c r="AN243" i="9"/>
  <c r="AN280" i="9"/>
  <c r="AN460" i="9"/>
  <c r="AN459" i="9"/>
  <c r="AN495" i="9"/>
  <c r="AN206" i="9"/>
  <c r="AN532" i="9"/>
  <c r="AN136" i="9"/>
  <c r="AQ242" i="9"/>
  <c r="AQ207" i="9"/>
  <c r="AQ531" i="9"/>
  <c r="AQ530" i="9"/>
  <c r="AQ350" i="9"/>
  <c r="AQ316" i="9"/>
  <c r="AQ171" i="9"/>
  <c r="AQ494" i="9"/>
  <c r="AQ135" i="9"/>
  <c r="AQ314" i="9"/>
  <c r="AQ351" i="9"/>
  <c r="AQ243" i="9"/>
  <c r="AQ315" i="9"/>
  <c r="AQ495" i="9"/>
  <c r="AQ532" i="9"/>
  <c r="AQ136" i="9"/>
  <c r="AQ352" i="9"/>
  <c r="AQ280" i="9"/>
  <c r="AQ459" i="9"/>
  <c r="AQ458" i="9"/>
  <c r="AQ278" i="9"/>
  <c r="AQ170" i="9"/>
  <c r="AQ134" i="9"/>
  <c r="AQ496" i="9"/>
  <c r="AQ244" i="9"/>
  <c r="AQ424" i="9"/>
  <c r="AQ208" i="9"/>
  <c r="AQ206" i="9"/>
  <c r="AQ386" i="9"/>
  <c r="AQ423" i="9"/>
  <c r="AQ422" i="9"/>
  <c r="AQ387" i="9"/>
  <c r="AQ279" i="9"/>
  <c r="AQ388" i="9"/>
  <c r="AQ460" i="9"/>
  <c r="AQ172" i="9"/>
  <c r="AN88" i="9"/>
  <c r="AN27" i="9"/>
  <c r="AN52" i="9"/>
  <c r="AN87" i="9"/>
  <c r="AN89" i="9"/>
  <c r="AN41" i="9"/>
  <c r="AN125" i="9"/>
  <c r="AN77" i="9"/>
  <c r="AN29" i="9"/>
  <c r="AN75" i="9"/>
  <c r="AN5" i="9"/>
  <c r="AN113" i="9"/>
  <c r="AN16" i="9"/>
  <c r="AN124" i="9"/>
  <c r="AN63" i="9"/>
  <c r="AN28" i="9"/>
  <c r="AN101" i="9"/>
  <c r="AN111" i="9"/>
  <c r="AN99" i="9"/>
  <c r="AN64" i="9"/>
  <c r="AN17" i="9"/>
  <c r="AN65" i="9"/>
  <c r="AN53" i="9"/>
  <c r="AN76" i="9"/>
  <c r="AN123" i="9"/>
  <c r="AN112" i="9"/>
  <c r="AN4" i="9"/>
  <c r="AN15" i="9"/>
  <c r="AN3" i="9"/>
  <c r="AN100" i="9"/>
  <c r="AQ5" i="9"/>
  <c r="AQ88" i="9"/>
  <c r="AQ63" i="9"/>
  <c r="AQ51" i="9"/>
  <c r="AQ65" i="9"/>
  <c r="AQ17" i="9"/>
  <c r="AQ76" i="9"/>
  <c r="AQ64" i="9"/>
  <c r="AQ27" i="9"/>
  <c r="AQ15" i="9"/>
  <c r="AQ123" i="9"/>
  <c r="AQ89" i="9"/>
  <c r="AQ52" i="9"/>
  <c r="AQ41" i="9"/>
  <c r="AQ125" i="9"/>
  <c r="AQ29" i="9"/>
  <c r="AQ3" i="9"/>
  <c r="AQ111" i="9"/>
  <c r="AQ99" i="9"/>
  <c r="AQ28" i="9"/>
  <c r="AQ16" i="9"/>
  <c r="AQ124" i="9"/>
  <c r="AQ112" i="9"/>
  <c r="AQ87" i="9"/>
  <c r="AQ75" i="9"/>
  <c r="AQ4" i="9"/>
  <c r="AQ53" i="9"/>
  <c r="AQ100" i="9"/>
  <c r="AQ77" i="9"/>
  <c r="AQ101" i="9"/>
  <c r="AQ113" i="9"/>
  <c r="AN51" i="9"/>
  <c r="AE89" i="53"/>
  <c r="AE390" i="53"/>
  <c r="AE118" i="53"/>
  <c r="AE133" i="53"/>
  <c r="AE268" i="53"/>
  <c r="AE14" i="53"/>
  <c r="AE240" i="53"/>
  <c r="AE90" i="53"/>
  <c r="AE105" i="53"/>
  <c r="AE269" i="53"/>
  <c r="AE15" i="53"/>
  <c r="AE224" i="53"/>
  <c r="AE404" i="53"/>
  <c r="AE148" i="53"/>
  <c r="AE313" i="53"/>
  <c r="AE45" i="53"/>
  <c r="AE329" i="53"/>
  <c r="AE208" i="53"/>
  <c r="AE403" i="53"/>
  <c r="AE134" i="53"/>
  <c r="AE300" i="53"/>
  <c r="AE43" i="53"/>
  <c r="AE314" i="53"/>
  <c r="AE30" i="53"/>
  <c r="AE195" i="53"/>
  <c r="AE150" i="53"/>
  <c r="AE210" i="53"/>
  <c r="AE88" i="53"/>
  <c r="AE373" i="53"/>
  <c r="AE28" i="53"/>
  <c r="AE149" i="53"/>
  <c r="AE194" i="53"/>
  <c r="AE75" i="53"/>
  <c r="AE345" i="53"/>
  <c r="AE239" i="53"/>
  <c r="AE464" i="53"/>
  <c r="AE164" i="53"/>
  <c r="AE180" i="53"/>
  <c r="AE419" i="53"/>
  <c r="AE73" i="53"/>
  <c r="AE44" i="53"/>
  <c r="AE120" i="53"/>
  <c r="AE285" i="53"/>
  <c r="AE13" i="53"/>
  <c r="AE223" i="53"/>
  <c r="AE448" i="53"/>
  <c r="AE163" i="53"/>
  <c r="AE238" i="53"/>
  <c r="AE374" i="53"/>
  <c r="AE104" i="53"/>
  <c r="AE283" i="53"/>
  <c r="AE435" i="53"/>
  <c r="AE178" i="53"/>
  <c r="AE209" i="53"/>
  <c r="AE450" i="53"/>
  <c r="AE119" i="53"/>
  <c r="AE328" i="53"/>
  <c r="AE480" i="53"/>
  <c r="AE165" i="53"/>
  <c r="AE193" i="53"/>
  <c r="AE434" i="53"/>
  <c r="AE103" i="53"/>
  <c r="AE315" i="53"/>
  <c r="AE29" i="53"/>
  <c r="AE479" i="53"/>
  <c r="AE420" i="53"/>
  <c r="AE360" i="53"/>
  <c r="AE463" i="53"/>
  <c r="AE225" i="53"/>
  <c r="AE478" i="53"/>
  <c r="AE60" i="53"/>
  <c r="AE135" i="53"/>
  <c r="AE344" i="53"/>
  <c r="AE74" i="53"/>
  <c r="AE449" i="53"/>
  <c r="AE359" i="53"/>
  <c r="AE254" i="53"/>
  <c r="AE433" i="53"/>
  <c r="AE343" i="53"/>
  <c r="AE255" i="53"/>
  <c r="AE388" i="53"/>
  <c r="AE179" i="53"/>
  <c r="AE284" i="53"/>
  <c r="AE465" i="53"/>
  <c r="AE375" i="53"/>
  <c r="AE270" i="53"/>
  <c r="AN122" i="9"/>
  <c r="AN360" i="9"/>
  <c r="AN469" i="9"/>
  <c r="AN176" i="9"/>
  <c r="AN537" i="9"/>
  <c r="AN464" i="9"/>
  <c r="AN392" i="9"/>
  <c r="AN395" i="9"/>
  <c r="AN468" i="9"/>
  <c r="AN250" i="9"/>
  <c r="AN541" i="9"/>
  <c r="AN467" i="9"/>
  <c r="AN285" i="9"/>
  <c r="AN536" i="9"/>
  <c r="AN396" i="9"/>
  <c r="AN357" i="9"/>
  <c r="AN217" i="9"/>
  <c r="AN358" i="9"/>
  <c r="AN214" i="9"/>
  <c r="AN394" i="9"/>
  <c r="AN14" i="9"/>
  <c r="AN284" i="9"/>
  <c r="AN110" i="9"/>
  <c r="AN322" i="9"/>
  <c r="AN321" i="9"/>
  <c r="AN325" i="9"/>
  <c r="AN179" i="9"/>
  <c r="AN26" i="9"/>
  <c r="AN432" i="9"/>
  <c r="AN466" i="9"/>
  <c r="AN249" i="9"/>
  <c r="AN178" i="9"/>
  <c r="AN289" i="9"/>
  <c r="AN98" i="9"/>
  <c r="AN145" i="9"/>
  <c r="AN429" i="9"/>
  <c r="AN430" i="9"/>
  <c r="AN144" i="9"/>
  <c r="AN433" i="9"/>
  <c r="AN500" i="9"/>
  <c r="AN286" i="9"/>
  <c r="AN505" i="9"/>
  <c r="AN287" i="9"/>
  <c r="AN538" i="9"/>
  <c r="AN50" i="9"/>
  <c r="AN539" i="9"/>
  <c r="AN143" i="9"/>
  <c r="AN359" i="9"/>
  <c r="AN216" i="9"/>
  <c r="AN74" i="9"/>
  <c r="AN251" i="9"/>
  <c r="AN288" i="9"/>
  <c r="AN324" i="9"/>
  <c r="AN503" i="9"/>
  <c r="AN86" i="9"/>
  <c r="AN397" i="9"/>
  <c r="AN393" i="9"/>
  <c r="AN431" i="9"/>
  <c r="AN177" i="9"/>
  <c r="AN502" i="9"/>
  <c r="AN180" i="9"/>
  <c r="AN501" i="9"/>
  <c r="AN323" i="9"/>
  <c r="AN248" i="9"/>
  <c r="AN181" i="9"/>
  <c r="AN428" i="9"/>
  <c r="AN215" i="9"/>
  <c r="AN252" i="9"/>
  <c r="AN62" i="9"/>
  <c r="AN465" i="9"/>
  <c r="AN253" i="9"/>
  <c r="AN504" i="9"/>
  <c r="AN540" i="9"/>
  <c r="AN320" i="9"/>
  <c r="AN213" i="9"/>
  <c r="AN38" i="9"/>
  <c r="AN212" i="9"/>
  <c r="AN356" i="9"/>
  <c r="AN361" i="9"/>
  <c r="AQ177" i="9"/>
  <c r="AQ213" i="9"/>
  <c r="AQ98" i="9"/>
  <c r="AQ357" i="9"/>
  <c r="AQ358" i="9"/>
  <c r="AQ38" i="9"/>
  <c r="AQ249" i="9"/>
  <c r="AQ466" i="9"/>
  <c r="AQ122" i="9"/>
  <c r="AQ285" i="9"/>
  <c r="AQ62" i="9"/>
  <c r="AQ500" i="9"/>
  <c r="AQ214" i="9"/>
  <c r="AQ501" i="9"/>
  <c r="AQ464" i="9"/>
  <c r="AQ360" i="9"/>
  <c r="AQ289" i="9"/>
  <c r="AQ217" i="9"/>
  <c r="AQ393" i="9"/>
  <c r="AQ288" i="9"/>
  <c r="AQ505" i="9"/>
  <c r="AQ323" i="9"/>
  <c r="AQ287" i="9"/>
  <c r="AQ145" i="9"/>
  <c r="AQ215" i="9"/>
  <c r="AQ539" i="9"/>
  <c r="AQ216" i="9"/>
  <c r="AQ503" i="9"/>
  <c r="AQ361" i="9"/>
  <c r="AQ144" i="9"/>
  <c r="AQ50" i="9"/>
  <c r="AQ284" i="9"/>
  <c r="AQ430" i="9"/>
  <c r="AQ143" i="9"/>
  <c r="AQ429" i="9"/>
  <c r="AQ395" i="9"/>
  <c r="AQ176" i="9"/>
  <c r="AQ212" i="9"/>
  <c r="AQ14" i="9"/>
  <c r="AQ538" i="9"/>
  <c r="AQ324" i="9"/>
  <c r="AQ541" i="9"/>
  <c r="AQ433" i="9"/>
  <c r="AQ322" i="9"/>
  <c r="AQ468" i="9"/>
  <c r="AQ252" i="9"/>
  <c r="AQ469" i="9"/>
  <c r="AQ286" i="9"/>
  <c r="AQ432" i="9"/>
  <c r="AQ178" i="9"/>
  <c r="AQ465" i="9"/>
  <c r="AQ180" i="9"/>
  <c r="AQ467" i="9"/>
  <c r="AQ431" i="9"/>
  <c r="AQ428" i="9"/>
  <c r="AQ359" i="9"/>
  <c r="AQ325" i="9"/>
  <c r="AQ110" i="9"/>
  <c r="AQ321" i="9"/>
  <c r="AQ179" i="9"/>
  <c r="AQ540" i="9"/>
  <c r="AQ253" i="9"/>
  <c r="AQ504" i="9"/>
  <c r="AQ320" i="9"/>
  <c r="AQ537" i="9"/>
  <c r="AQ251" i="9"/>
  <c r="AQ26" i="9"/>
  <c r="AQ356" i="9"/>
  <c r="AQ502" i="9"/>
  <c r="AQ536" i="9"/>
  <c r="AQ248" i="9"/>
  <c r="AQ394" i="9"/>
  <c r="AQ250" i="9"/>
  <c r="AQ396" i="9"/>
  <c r="AQ181" i="9"/>
  <c r="AQ397" i="9"/>
  <c r="AQ74" i="9"/>
  <c r="AQ86" i="9"/>
  <c r="AQ392" i="9"/>
  <c r="AQ2" i="9"/>
  <c r="AN2" i="9"/>
  <c r="S13" i="50"/>
  <c r="S15" i="50"/>
  <c r="S11" i="50"/>
  <c r="S12" i="50"/>
  <c r="S10" i="50"/>
  <c r="S16" i="50"/>
  <c r="S14" i="50"/>
  <c r="AH39" i="15"/>
  <c r="AH23" i="15"/>
  <c r="E27" i="15"/>
  <c r="L34" i="10"/>
  <c r="T5" i="15"/>
  <c r="T27" i="15" s="1"/>
  <c r="O5" i="15"/>
  <c r="O27" i="15" s="1"/>
  <c r="V101" i="7"/>
  <c r="J5" i="15"/>
  <c r="AD5" i="15" s="1"/>
  <c r="Q6" i="44"/>
  <c r="M6" i="44"/>
  <c r="I6" i="44"/>
  <c r="Q9" i="10"/>
  <c r="Q8" i="10"/>
  <c r="Q7" i="10"/>
  <c r="M31" i="10"/>
  <c r="AG8" i="30" s="1"/>
  <c r="Q6" i="10"/>
  <c r="S4" i="10"/>
  <c r="S5" i="10" s="1"/>
  <c r="R5" i="10"/>
  <c r="AE299" i="53" l="1"/>
  <c r="Z253" i="53"/>
  <c r="T20" i="15"/>
  <c r="O20" i="15"/>
  <c r="J20" i="15"/>
  <c r="T21" i="15"/>
  <c r="O21" i="15"/>
  <c r="J21" i="15"/>
  <c r="T22" i="15"/>
  <c r="O22" i="15"/>
  <c r="J22" i="15"/>
  <c r="AD22" i="15"/>
  <c r="AD21" i="15"/>
  <c r="AD20" i="15"/>
  <c r="AD19" i="15"/>
  <c r="AD18" i="15"/>
  <c r="AD17" i="15"/>
  <c r="AD16" i="15"/>
  <c r="AD15" i="15"/>
  <c r="AD14" i="15"/>
  <c r="AD13" i="15"/>
  <c r="AD12" i="15"/>
  <c r="AD11" i="15"/>
  <c r="AD10" i="15"/>
  <c r="AD9" i="15"/>
  <c r="AD8" i="15"/>
  <c r="Y22" i="15"/>
  <c r="Y21" i="15"/>
  <c r="Y20" i="15"/>
  <c r="Y19" i="15"/>
  <c r="Y18" i="15"/>
  <c r="Y17" i="15"/>
  <c r="Y16" i="15"/>
  <c r="Y15" i="15"/>
  <c r="Y14" i="15"/>
  <c r="Y13" i="15"/>
  <c r="Y12" i="15"/>
  <c r="Y11" i="15"/>
  <c r="Y10" i="15"/>
  <c r="Y9" i="15"/>
  <c r="Y8" i="15"/>
  <c r="T8" i="15"/>
  <c r="O8" i="15"/>
  <c r="J8" i="15"/>
  <c r="T9" i="15"/>
  <c r="O9" i="15"/>
  <c r="J9" i="15"/>
  <c r="T10" i="15"/>
  <c r="O10" i="15"/>
  <c r="J10" i="15"/>
  <c r="T11" i="15"/>
  <c r="O11" i="15"/>
  <c r="J11" i="15"/>
  <c r="T12" i="15"/>
  <c r="O12" i="15"/>
  <c r="J12" i="15"/>
  <c r="T13" i="15"/>
  <c r="O13" i="15"/>
  <c r="J13" i="15"/>
  <c r="T14" i="15"/>
  <c r="O14" i="15"/>
  <c r="J14" i="15"/>
  <c r="T15" i="15"/>
  <c r="O15" i="15"/>
  <c r="J15" i="15"/>
  <c r="T16" i="15"/>
  <c r="O16" i="15"/>
  <c r="J16" i="15"/>
  <c r="T17" i="15"/>
  <c r="O17" i="15"/>
  <c r="J17" i="15"/>
  <c r="T18" i="15"/>
  <c r="O18" i="15"/>
  <c r="J18" i="15"/>
  <c r="T19" i="15"/>
  <c r="O19" i="15"/>
  <c r="J19" i="15"/>
  <c r="T34" i="15"/>
  <c r="O34" i="15"/>
  <c r="J34" i="15"/>
  <c r="T32" i="15"/>
  <c r="O32" i="15"/>
  <c r="J32" i="15"/>
  <c r="AE389" i="53"/>
  <c r="T38" i="15"/>
  <c r="O38" i="15"/>
  <c r="J38" i="15"/>
  <c r="T36" i="15"/>
  <c r="O36" i="15"/>
  <c r="J36" i="15"/>
  <c r="T31" i="15"/>
  <c r="O31" i="15"/>
  <c r="J31" i="15"/>
  <c r="T33" i="15"/>
  <c r="O33" i="15"/>
  <c r="J33" i="15"/>
  <c r="T30" i="15"/>
  <c r="O30" i="15"/>
  <c r="J30" i="15"/>
  <c r="T35" i="15"/>
  <c r="O35" i="15"/>
  <c r="J35" i="15"/>
  <c r="T37" i="15"/>
  <c r="O37" i="15"/>
  <c r="J37" i="15"/>
  <c r="AY24" i="9"/>
  <c r="AY23" i="9"/>
  <c r="AY25" i="9"/>
  <c r="AW23" i="9"/>
  <c r="AW24" i="9"/>
  <c r="AW25" i="9"/>
  <c r="P9" i="53"/>
  <c r="P12" i="53" s="1"/>
  <c r="Q9" i="53"/>
  <c r="Q12" i="53" s="1"/>
  <c r="AY131" i="9"/>
  <c r="AY132" i="9"/>
  <c r="AY133" i="9"/>
  <c r="AW133" i="9"/>
  <c r="AW132" i="9"/>
  <c r="AW131" i="9"/>
  <c r="E114" i="15"/>
  <c r="CE5" i="56"/>
  <c r="CV5" i="56" s="1"/>
  <c r="DM5" i="56" s="1"/>
  <c r="EF5" i="56" s="1"/>
  <c r="L52" i="53"/>
  <c r="G168" i="53" s="1"/>
  <c r="M52" i="53"/>
  <c r="G173" i="53" s="1"/>
  <c r="K52" i="53"/>
  <c r="G163" i="53" s="1"/>
  <c r="E121" i="15"/>
  <c r="E104" i="15"/>
  <c r="E120" i="15"/>
  <c r="E122" i="15"/>
  <c r="K99" i="15"/>
  <c r="E105" i="15"/>
  <c r="E103" i="15"/>
  <c r="E118" i="15"/>
  <c r="E101" i="15"/>
  <c r="E117" i="15"/>
  <c r="E100" i="15"/>
  <c r="E116" i="15"/>
  <c r="E127" i="15"/>
  <c r="E110" i="15"/>
  <c r="E130" i="15"/>
  <c r="E113" i="15"/>
  <c r="E129" i="15"/>
  <c r="E112" i="15"/>
  <c r="E128" i="15"/>
  <c r="E111" i="15"/>
  <c r="E123" i="15"/>
  <c r="E106" i="15"/>
  <c r="E126" i="15"/>
  <c r="E109" i="15"/>
  <c r="E125" i="15"/>
  <c r="E108" i="15"/>
  <c r="E124" i="15"/>
  <c r="E107" i="15"/>
  <c r="E119" i="15"/>
  <c r="AF28" i="56"/>
  <c r="AW5" i="56"/>
  <c r="BP27" i="56"/>
  <c r="BO27" i="56"/>
  <c r="BN27" i="56"/>
  <c r="AD7" i="15"/>
  <c r="Y7" i="15"/>
  <c r="AG69" i="56"/>
  <c r="AF68" i="56"/>
  <c r="AG68" i="56"/>
  <c r="AF69" i="56"/>
  <c r="EF68" i="56"/>
  <c r="AH44" i="56"/>
  <c r="AH67" i="56" s="1"/>
  <c r="EG67" i="56"/>
  <c r="EF69" i="56"/>
  <c r="EF67" i="56"/>
  <c r="AH46" i="56"/>
  <c r="EG69" i="56"/>
  <c r="ED68" i="56"/>
  <c r="AH45" i="56"/>
  <c r="AH68" i="56" s="1"/>
  <c r="EG68" i="56"/>
  <c r="ED69" i="56"/>
  <c r="AG44" i="56"/>
  <c r="AG67" i="56" s="1"/>
  <c r="ED44" i="56"/>
  <c r="ED67" i="56" s="1"/>
  <c r="BO2" i="56"/>
  <c r="BN2" i="56"/>
  <c r="BP2" i="56"/>
  <c r="B109" i="32"/>
  <c r="M109" i="32"/>
  <c r="J109" i="32"/>
  <c r="L109" i="32"/>
  <c r="D139" i="7"/>
  <c r="E139" i="7"/>
  <c r="CG46" i="56"/>
  <c r="CG45" i="56"/>
  <c r="CG44" i="56"/>
  <c r="CG43" i="56"/>
  <c r="CG42" i="56"/>
  <c r="CG41" i="56"/>
  <c r="CG40" i="56"/>
  <c r="CG39" i="56"/>
  <c r="CG38" i="56"/>
  <c r="CG37" i="56"/>
  <c r="CG36" i="56"/>
  <c r="CG35" i="56"/>
  <c r="CG34" i="56"/>
  <c r="CG33" i="56"/>
  <c r="CG32" i="56"/>
  <c r="CG31" i="56"/>
  <c r="CG23" i="56"/>
  <c r="CG22" i="56"/>
  <c r="CG21" i="56"/>
  <c r="CG20" i="56"/>
  <c r="CG19" i="56"/>
  <c r="CG18" i="56"/>
  <c r="CG17" i="56"/>
  <c r="CG16" i="56"/>
  <c r="CG15" i="56"/>
  <c r="CG14" i="56"/>
  <c r="CG13" i="56"/>
  <c r="CG12" i="56"/>
  <c r="CG11" i="56"/>
  <c r="CG10" i="56"/>
  <c r="CG9" i="56"/>
  <c r="CG8" i="56"/>
  <c r="CF46" i="56"/>
  <c r="CF45" i="56"/>
  <c r="CF44" i="56"/>
  <c r="CF43" i="56"/>
  <c r="CF42" i="56"/>
  <c r="CF41" i="56"/>
  <c r="CF40" i="56"/>
  <c r="CF39" i="56"/>
  <c r="CF38" i="56"/>
  <c r="CF37" i="56"/>
  <c r="CF36" i="56"/>
  <c r="CF35" i="56"/>
  <c r="CF34" i="56"/>
  <c r="CF33" i="56"/>
  <c r="CF32" i="56"/>
  <c r="CF31" i="56"/>
  <c r="CF23" i="56"/>
  <c r="CF22" i="56"/>
  <c r="CF21" i="56"/>
  <c r="CF20" i="56"/>
  <c r="CF19" i="56"/>
  <c r="CF18" i="56"/>
  <c r="CF17" i="56"/>
  <c r="CF15" i="56"/>
  <c r="CF13" i="56"/>
  <c r="CF11" i="56"/>
  <c r="CF10" i="56"/>
  <c r="CF9" i="56"/>
  <c r="CF8" i="56"/>
  <c r="CF16" i="56"/>
  <c r="CF14" i="56"/>
  <c r="CF12" i="56"/>
  <c r="CE46" i="56"/>
  <c r="CE45" i="56"/>
  <c r="CE44" i="56"/>
  <c r="CE43" i="56"/>
  <c r="CE42" i="56"/>
  <c r="CE41" i="56"/>
  <c r="CE40" i="56"/>
  <c r="CE39" i="56"/>
  <c r="CE38" i="56"/>
  <c r="CE37" i="56"/>
  <c r="CE36" i="56"/>
  <c r="CE35" i="56"/>
  <c r="CE34" i="56"/>
  <c r="CE33" i="56"/>
  <c r="CE32" i="56"/>
  <c r="CE31" i="56"/>
  <c r="CE23" i="56"/>
  <c r="CE22" i="56"/>
  <c r="CE21" i="56"/>
  <c r="CE20" i="56"/>
  <c r="CE19" i="56"/>
  <c r="CE18" i="56"/>
  <c r="CE17" i="56"/>
  <c r="CE16" i="56"/>
  <c r="CE15" i="56"/>
  <c r="CE14" i="56"/>
  <c r="CE13" i="56"/>
  <c r="CE12" i="56"/>
  <c r="CE11" i="56"/>
  <c r="CE10" i="56"/>
  <c r="CE9" i="56"/>
  <c r="CE8" i="56"/>
  <c r="AH27" i="56"/>
  <c r="AG27" i="56"/>
  <c r="BA601" i="9"/>
  <c r="BA600" i="9"/>
  <c r="BA599" i="9"/>
  <c r="AZ600" i="9"/>
  <c r="AZ599" i="9"/>
  <c r="AF27" i="56"/>
  <c r="AZ456" i="9"/>
  <c r="AZ455" i="9"/>
  <c r="BN51" i="56"/>
  <c r="CE51" i="56" s="1"/>
  <c r="AZ204" i="9"/>
  <c r="K101" i="32"/>
  <c r="AX614" i="9"/>
  <c r="AX650" i="9"/>
  <c r="AX638" i="9"/>
  <c r="AX626" i="9"/>
  <c r="AX602" i="9"/>
  <c r="AX578" i="9"/>
  <c r="AX566" i="9"/>
  <c r="L101" i="32"/>
  <c r="J101" i="32"/>
  <c r="N101" i="32"/>
  <c r="B101" i="32"/>
  <c r="AX530" i="9"/>
  <c r="AX542" i="9"/>
  <c r="N105" i="32"/>
  <c r="B105" i="32"/>
  <c r="M105" i="32"/>
  <c r="K105" i="32"/>
  <c r="J105" i="32"/>
  <c r="L105" i="32"/>
  <c r="P31" i="10"/>
  <c r="F98" i="15" s="1"/>
  <c r="AX466" i="9"/>
  <c r="AX250" i="9"/>
  <c r="AX358" i="9"/>
  <c r="AX253" i="9"/>
  <c r="AX248" i="9"/>
  <c r="AX356" i="9"/>
  <c r="AX177" i="9"/>
  <c r="AX360" i="9"/>
  <c r="AX357" i="9"/>
  <c r="AX392" i="9"/>
  <c r="AX289" i="9"/>
  <c r="AX144" i="9"/>
  <c r="AX179" i="9"/>
  <c r="AX322" i="9"/>
  <c r="AX433" i="9"/>
  <c r="AX176" i="9"/>
  <c r="AX393" i="9"/>
  <c r="AX145" i="9"/>
  <c r="AX212" i="9"/>
  <c r="AX500" i="9"/>
  <c r="AX469" i="9"/>
  <c r="AX429" i="9"/>
  <c r="AX180" i="9"/>
  <c r="AX503" i="9"/>
  <c r="AX325" i="9"/>
  <c r="AX361" i="9"/>
  <c r="AX213" i="9"/>
  <c r="AX288" i="9"/>
  <c r="AX216" i="9"/>
  <c r="AX143" i="9"/>
  <c r="AX394" i="9"/>
  <c r="AX502" i="9"/>
  <c r="AX465" i="9"/>
  <c r="AX252" i="9"/>
  <c r="AX430" i="9"/>
  <c r="AX214" i="9"/>
  <c r="AX397" i="9"/>
  <c r="AX359" i="9"/>
  <c r="AX501" i="9"/>
  <c r="AX504" i="9"/>
  <c r="AX396" i="9"/>
  <c r="AX467" i="9"/>
  <c r="AX251" i="9"/>
  <c r="AX284" i="9"/>
  <c r="AX464" i="9"/>
  <c r="AX395" i="9"/>
  <c r="AX428" i="9"/>
  <c r="AX505" i="9"/>
  <c r="AX321" i="9"/>
  <c r="AX286" i="9"/>
  <c r="AX287" i="9"/>
  <c r="AX285" i="9"/>
  <c r="AX323" i="9"/>
  <c r="AX217" i="9"/>
  <c r="AX324" i="9"/>
  <c r="AX320" i="9"/>
  <c r="AX432" i="9"/>
  <c r="AX249" i="9"/>
  <c r="AX181" i="9"/>
  <c r="AX468" i="9"/>
  <c r="AX431" i="9"/>
  <c r="AX215" i="9"/>
  <c r="AX178" i="9"/>
  <c r="AX135" i="9"/>
  <c r="AX111" i="9"/>
  <c r="AX63" i="9"/>
  <c r="AX51" i="9"/>
  <c r="AX99" i="9"/>
  <c r="AX75" i="9"/>
  <c r="AX27" i="9"/>
  <c r="AX87" i="9"/>
  <c r="AX3" i="9"/>
  <c r="AX9" i="9"/>
  <c r="AX8" i="9"/>
  <c r="AX13" i="9"/>
  <c r="AX12" i="9"/>
  <c r="AX10" i="9"/>
  <c r="AX11" i="9"/>
  <c r="V61" i="53"/>
  <c r="AX440" i="9"/>
  <c r="AX297" i="9"/>
  <c r="AX368" i="9"/>
  <c r="AX227" i="9"/>
  <c r="AX442" i="9"/>
  <c r="AX154" i="9"/>
  <c r="AX513" i="9"/>
  <c r="AX152" i="9"/>
  <c r="AX477" i="9"/>
  <c r="AX301" i="9"/>
  <c r="AX189" i="9"/>
  <c r="AX156" i="9"/>
  <c r="AX263" i="9"/>
  <c r="AX335" i="9"/>
  <c r="AX224" i="9"/>
  <c r="AX193" i="9"/>
  <c r="AX334" i="9"/>
  <c r="AX190" i="9"/>
  <c r="AX444" i="9"/>
  <c r="AX226" i="9"/>
  <c r="AX225" i="9"/>
  <c r="AX551" i="9"/>
  <c r="AX405" i="9"/>
  <c r="AX261" i="9"/>
  <c r="AX480" i="9"/>
  <c r="AX404" i="9"/>
  <c r="AX553" i="9"/>
  <c r="AX153" i="9"/>
  <c r="AX517" i="9"/>
  <c r="AX191" i="9"/>
  <c r="AX552" i="9"/>
  <c r="AX336" i="9"/>
  <c r="AX155" i="9"/>
  <c r="AX262" i="9"/>
  <c r="AX515" i="9"/>
  <c r="AX337" i="9"/>
  <c r="AX407" i="9"/>
  <c r="AX479" i="9"/>
  <c r="AX548" i="9"/>
  <c r="AX476" i="9"/>
  <c r="AX299" i="9"/>
  <c r="AX228" i="9"/>
  <c r="AX300" i="9"/>
  <c r="AX512" i="9"/>
  <c r="AX296" i="9"/>
  <c r="AX265" i="9"/>
  <c r="AX549" i="9"/>
  <c r="AX550" i="9"/>
  <c r="AX192" i="9"/>
  <c r="AX369" i="9"/>
  <c r="AX229" i="9"/>
  <c r="AX409" i="9"/>
  <c r="AX264" i="9"/>
  <c r="AX441" i="9"/>
  <c r="AX445" i="9"/>
  <c r="AX516" i="9"/>
  <c r="AX333" i="9"/>
  <c r="AX443" i="9"/>
  <c r="AX188" i="9"/>
  <c r="AX260" i="9"/>
  <c r="AX157" i="9"/>
  <c r="AX370" i="9"/>
  <c r="AX408" i="9"/>
  <c r="AX406" i="9"/>
  <c r="AX371" i="9"/>
  <c r="AX478" i="9"/>
  <c r="AX481" i="9"/>
  <c r="AX332" i="9"/>
  <c r="AX298" i="9"/>
  <c r="AX514" i="9"/>
  <c r="Q36" i="53"/>
  <c r="Q45" i="53" s="1"/>
  <c r="P36" i="53"/>
  <c r="P45" i="53" s="1"/>
  <c r="O36" i="53"/>
  <c r="O45" i="53" s="1"/>
  <c r="O12" i="53"/>
  <c r="H189" i="53"/>
  <c r="H184" i="53"/>
  <c r="H179" i="53"/>
  <c r="T90" i="50"/>
  <c r="T110" i="50"/>
  <c r="T48" i="50"/>
  <c r="T70" i="50"/>
  <c r="T8" i="50"/>
  <c r="T28" i="50"/>
  <c r="AC23" i="44"/>
  <c r="AC39" i="44"/>
  <c r="AC12" i="44"/>
  <c r="AC8" i="44"/>
  <c r="AC21" i="44"/>
  <c r="AC37" i="44"/>
  <c r="AC19" i="44"/>
  <c r="AC31" i="44"/>
  <c r="AC14" i="44"/>
  <c r="AC40" i="44"/>
  <c r="AC17" i="44"/>
  <c r="AC33" i="44"/>
  <c r="AC38" i="44"/>
  <c r="AC15" i="44"/>
  <c r="AC20" i="44"/>
  <c r="AC10" i="44"/>
  <c r="AC36" i="44"/>
  <c r="AC13" i="44"/>
  <c r="AC22" i="44"/>
  <c r="AC34" i="44"/>
  <c r="AC11" i="44"/>
  <c r="AC16" i="44"/>
  <c r="AC35" i="44"/>
  <c r="AC32" i="44"/>
  <c r="AC9" i="44"/>
  <c r="AC18" i="44"/>
  <c r="AG12" i="30"/>
  <c r="V118" i="7"/>
  <c r="V117" i="7"/>
  <c r="V116" i="7"/>
  <c r="V115" i="7"/>
  <c r="V114" i="7"/>
  <c r="V113" i="7"/>
  <c r="V112" i="7"/>
  <c r="V111" i="7"/>
  <c r="V110" i="7"/>
  <c r="V109" i="7"/>
  <c r="V108" i="7"/>
  <c r="V107" i="7"/>
  <c r="V106" i="7"/>
  <c r="V105" i="7"/>
  <c r="V104" i="7"/>
  <c r="V103" i="7"/>
  <c r="J27" i="15"/>
  <c r="AI5" i="15"/>
  <c r="Q29" i="44"/>
  <c r="Q28" i="44" s="1"/>
  <c r="Q5" i="44"/>
  <c r="M29" i="44"/>
  <c r="M28" i="44" s="1"/>
  <c r="M5" i="44"/>
  <c r="I29" i="44"/>
  <c r="I28" i="44" s="1"/>
  <c r="I5" i="44"/>
  <c r="S73" i="41"/>
  <c r="S51" i="41"/>
  <c r="G134" i="7"/>
  <c r="B134" i="7" s="1"/>
  <c r="G135" i="7"/>
  <c r="B135" i="7" s="1"/>
  <c r="G136" i="7"/>
  <c r="B136" i="7" s="1"/>
  <c r="G122" i="7"/>
  <c r="B122" i="7" s="1"/>
  <c r="G123" i="7"/>
  <c r="B123" i="7" s="1"/>
  <c r="G124" i="7"/>
  <c r="B124" i="7" s="1"/>
  <c r="G112" i="7"/>
  <c r="B112" i="7" s="1"/>
  <c r="G111" i="7"/>
  <c r="B111" i="7" s="1"/>
  <c r="G110" i="7"/>
  <c r="B110" i="7" s="1"/>
  <c r="S57" i="7"/>
  <c r="G41" i="30"/>
  <c r="S51" i="25"/>
  <c r="L31" i="10"/>
  <c r="U55" i="45" s="1"/>
  <c r="S73" i="25"/>
  <c r="R9" i="10"/>
  <c r="R8" i="10"/>
  <c r="S9" i="10"/>
  <c r="S8" i="10"/>
  <c r="R7" i="10"/>
  <c r="S7" i="10"/>
  <c r="S6" i="10"/>
  <c r="R6" i="10"/>
  <c r="AX24" i="9" l="1"/>
  <c r="AX25" i="9"/>
  <c r="AX23" i="9"/>
  <c r="AV24" i="9"/>
  <c r="AV25" i="9"/>
  <c r="AV23" i="9"/>
  <c r="T53" i="45"/>
  <c r="W53" i="45"/>
  <c r="T55" i="45"/>
  <c r="V53" i="45"/>
  <c r="U53" i="45"/>
  <c r="W54" i="45"/>
  <c r="T54" i="45"/>
  <c r="U54" i="45"/>
  <c r="V54" i="45"/>
  <c r="AH69" i="56"/>
  <c r="AX133" i="9"/>
  <c r="AX132" i="9"/>
  <c r="AX131" i="9"/>
  <c r="AV131" i="9"/>
  <c r="AV132" i="9"/>
  <c r="AV133" i="9"/>
  <c r="AY27" i="56"/>
  <c r="AX27" i="56"/>
  <c r="AW27" i="56"/>
  <c r="AW4" i="56"/>
  <c r="AY4" i="56"/>
  <c r="AX4" i="56"/>
  <c r="DM51" i="56"/>
  <c r="EF51" i="56" s="1"/>
  <c r="AF51" i="56"/>
  <c r="AW51" i="56" s="1"/>
  <c r="AW28" i="56"/>
  <c r="CF62" i="56"/>
  <c r="CF54" i="56"/>
  <c r="CF59" i="56"/>
  <c r="AF44" i="56"/>
  <c r="AF67" i="56" s="1"/>
  <c r="CE54" i="56"/>
  <c r="CE58" i="56"/>
  <c r="CE62" i="56"/>
  <c r="CE66" i="56"/>
  <c r="CF58" i="56"/>
  <c r="CF66" i="56"/>
  <c r="CG54" i="56"/>
  <c r="CG58" i="56"/>
  <c r="CG62" i="56"/>
  <c r="CG66" i="56"/>
  <c r="CE55" i="56"/>
  <c r="CE59" i="56"/>
  <c r="CE63" i="56"/>
  <c r="CE67" i="56"/>
  <c r="CF55" i="56"/>
  <c r="CF63" i="56"/>
  <c r="CF67" i="56"/>
  <c r="CG55" i="56"/>
  <c r="CG59" i="56"/>
  <c r="CG63" i="56"/>
  <c r="CG67" i="56"/>
  <c r="CE56" i="56"/>
  <c r="CE60" i="56"/>
  <c r="CE64" i="56"/>
  <c r="CE68" i="56"/>
  <c r="CF56" i="56"/>
  <c r="CF60" i="56"/>
  <c r="CF64" i="56"/>
  <c r="CF68" i="56"/>
  <c r="CG56" i="56"/>
  <c r="CG60" i="56"/>
  <c r="CG64" i="56"/>
  <c r="CG68" i="56"/>
  <c r="CE57" i="56"/>
  <c r="CE61" i="56"/>
  <c r="CE65" i="56"/>
  <c r="CE69" i="56"/>
  <c r="CF57" i="56"/>
  <c r="CF61" i="56"/>
  <c r="CF65" i="56"/>
  <c r="CF69" i="56"/>
  <c r="CG57" i="56"/>
  <c r="CG61" i="56"/>
  <c r="CG65" i="56"/>
  <c r="CG69" i="56"/>
  <c r="CE28" i="56"/>
  <c r="CV28" i="56" s="1"/>
  <c r="DM28" i="56" s="1"/>
  <c r="EF28" i="56" s="1"/>
  <c r="F139" i="7"/>
  <c r="F143" i="7" s="1"/>
  <c r="AX134" i="9"/>
  <c r="AX492" i="9"/>
  <c r="CF47" i="56"/>
  <c r="AX38" i="9"/>
  <c r="AX62" i="9"/>
  <c r="AX275" i="9"/>
  <c r="AX383" i="9"/>
  <c r="AX2" i="9"/>
  <c r="AX86" i="9"/>
  <c r="AX98" i="9"/>
  <c r="AX527" i="9"/>
  <c r="AX50" i="9"/>
  <c r="AX277" i="9"/>
  <c r="AX313" i="9"/>
  <c r="AX419" i="9"/>
  <c r="AX457" i="9"/>
  <c r="AX565" i="9"/>
  <c r="AX203" i="9"/>
  <c r="AX241" i="9"/>
  <c r="AX240" i="9"/>
  <c r="AX311" i="9"/>
  <c r="AX347" i="9"/>
  <c r="AX384" i="9"/>
  <c r="CE47" i="56"/>
  <c r="AX601" i="9"/>
  <c r="AX26" i="9"/>
  <c r="AX74" i="9"/>
  <c r="AX110" i="9"/>
  <c r="AX146" i="9"/>
  <c r="AX167" i="9"/>
  <c r="AX205" i="9"/>
  <c r="AX204" i="9"/>
  <c r="AX239" i="9"/>
  <c r="AX276" i="9"/>
  <c r="AX312" i="9"/>
  <c r="AX348" i="9"/>
  <c r="AX420" i="9"/>
  <c r="AX456" i="9"/>
  <c r="AX491" i="9"/>
  <c r="AX529" i="9"/>
  <c r="AX168" i="9"/>
  <c r="AX169" i="9"/>
  <c r="AX349" i="9"/>
  <c r="AX385" i="9"/>
  <c r="AX421" i="9"/>
  <c r="AX455" i="9"/>
  <c r="AX493" i="9"/>
  <c r="AX528" i="9"/>
  <c r="AX600" i="9"/>
  <c r="AX563" i="9"/>
  <c r="AX564" i="9"/>
  <c r="AX599" i="9"/>
  <c r="CG47" i="56"/>
  <c r="T102" i="50"/>
  <c r="T100" i="50"/>
  <c r="T101" i="50"/>
  <c r="T81" i="50"/>
  <c r="T79" i="50"/>
  <c r="T77" i="50"/>
  <c r="T75" i="50"/>
  <c r="T73" i="50"/>
  <c r="T71" i="50"/>
  <c r="T80" i="50"/>
  <c r="T76" i="50"/>
  <c r="T74" i="50"/>
  <c r="T82" i="50"/>
  <c r="T78" i="50"/>
  <c r="T72" i="50"/>
  <c r="AG49" i="9"/>
  <c r="AG26" i="9"/>
  <c r="AG43" i="9"/>
  <c r="AG6" i="9"/>
  <c r="AG45" i="9"/>
  <c r="AG7" i="9"/>
  <c r="AG44" i="9"/>
  <c r="AG33" i="9"/>
  <c r="AG32" i="9"/>
  <c r="AG4" i="9"/>
  <c r="AG18" i="9"/>
  <c r="AG16" i="9"/>
  <c r="AG17" i="9"/>
  <c r="AG48" i="9"/>
  <c r="AG15" i="9"/>
  <c r="AG19" i="9"/>
  <c r="AG22" i="9"/>
  <c r="AG34" i="9"/>
  <c r="AG3" i="9"/>
  <c r="AG30" i="9"/>
  <c r="AG14" i="9"/>
  <c r="AG47" i="9"/>
  <c r="AG5" i="9"/>
  <c r="AG2" i="9"/>
  <c r="AG29" i="9"/>
  <c r="AG10" i="9"/>
  <c r="AG28" i="9"/>
  <c r="AG40" i="9"/>
  <c r="AG27" i="9"/>
  <c r="AG39" i="9"/>
  <c r="AG31" i="9"/>
  <c r="AG41" i="9"/>
  <c r="AG8" i="9"/>
  <c r="AG20" i="9"/>
  <c r="AG9" i="9"/>
  <c r="AG21" i="9"/>
  <c r="AG273" i="9"/>
  <c r="AG178" i="9"/>
  <c r="AG90" i="9"/>
  <c r="AG62" i="9"/>
  <c r="AG289" i="9"/>
  <c r="AG194" i="9"/>
  <c r="AG217" i="9"/>
  <c r="AG77" i="9"/>
  <c r="AG94" i="9"/>
  <c r="AG309" i="9"/>
  <c r="AG198" i="9"/>
  <c r="AG269" i="9"/>
  <c r="AG121" i="9"/>
  <c r="AG261" i="9"/>
  <c r="AG69" i="9"/>
  <c r="AG536" i="9"/>
  <c r="AG429" i="9"/>
  <c r="AG464" i="9"/>
  <c r="AG516" i="9"/>
  <c r="AG518" i="9"/>
  <c r="AG440" i="9"/>
  <c r="AG480" i="9"/>
  <c r="AG532" i="9"/>
  <c r="AG542" i="9"/>
  <c r="AG492" i="9"/>
  <c r="AG462" i="9"/>
  <c r="AG484" i="9"/>
  <c r="AG58" i="9"/>
  <c r="AG562" i="9"/>
  <c r="AG534" i="9"/>
  <c r="AG436" i="9"/>
  <c r="AG490" i="9"/>
  <c r="AG528" i="9"/>
  <c r="AG425" i="9"/>
  <c r="AG358" i="9"/>
  <c r="AG405" i="9"/>
  <c r="AG414" i="9"/>
  <c r="AG334" i="9"/>
  <c r="AG374" i="9"/>
  <c r="AG426" i="9"/>
  <c r="AG133" i="9"/>
  <c r="AG328" i="9"/>
  <c r="AG274" i="9"/>
  <c r="AG257" i="9"/>
  <c r="AG125" i="9"/>
  <c r="AG249" i="9"/>
  <c r="AG186" i="9"/>
  <c r="AG209" i="9"/>
  <c r="AG38" i="9"/>
  <c r="AG482" i="9"/>
  <c r="AG552" i="9"/>
  <c r="AG476" i="9"/>
  <c r="AG444" i="9"/>
  <c r="AG397" i="9"/>
  <c r="AG368" i="9"/>
  <c r="AG357" i="9"/>
  <c r="AG366" i="9"/>
  <c r="AG349" i="9"/>
  <c r="AG181" i="9"/>
  <c r="AG348" i="9"/>
  <c r="AG330" i="9"/>
  <c r="AG129" i="9"/>
  <c r="AG221" i="9"/>
  <c r="AG316" i="9"/>
  <c r="AG282" i="9"/>
  <c r="AG50" i="9"/>
  <c r="AG242" i="9"/>
  <c r="AG324" i="9"/>
  <c r="AG298" i="9"/>
  <c r="AG114" i="9"/>
  <c r="AG258" i="9"/>
  <c r="AG310" i="9"/>
  <c r="AG336" i="9"/>
  <c r="AG302" i="9"/>
  <c r="AG313" i="9"/>
  <c r="AG262" i="9"/>
  <c r="AG201" i="9"/>
  <c r="AG254" i="9"/>
  <c r="AG285" i="9"/>
  <c r="AG213" i="9"/>
  <c r="AG265" i="9"/>
  <c r="AG86" i="9"/>
  <c r="AG70" i="9"/>
  <c r="AG229" i="9"/>
  <c r="AG281" i="9"/>
  <c r="AG118" i="9"/>
  <c r="AG241" i="9"/>
  <c r="AG61" i="9"/>
  <c r="AG233" i="9"/>
  <c r="AG210" i="9"/>
  <c r="AG326" i="9"/>
  <c r="AG153" i="9"/>
  <c r="AG110" i="9"/>
  <c r="AG46" i="9"/>
  <c r="AG174" i="9"/>
  <c r="AG277" i="9"/>
  <c r="AG42" i="9"/>
  <c r="AG488" i="9"/>
  <c r="AG506" i="9"/>
  <c r="AG544" i="9"/>
  <c r="AG433" i="9"/>
  <c r="AG504" i="9"/>
  <c r="AG556" i="9"/>
  <c r="AG530" i="9"/>
  <c r="AG418" i="9"/>
  <c r="AG385" i="9"/>
  <c r="AG193" i="9"/>
  <c r="AG266" i="9"/>
  <c r="AG177" i="9"/>
  <c r="AG290" i="9"/>
  <c r="AG82" i="9"/>
  <c r="AG218" i="9"/>
  <c r="AG166" i="9"/>
  <c r="AG301" i="9"/>
  <c r="AG225" i="9"/>
  <c r="AG78" i="9"/>
  <c r="AG498" i="9"/>
  <c r="AG554" i="9"/>
  <c r="AG458" i="9"/>
  <c r="AG496" i="9"/>
  <c r="AG448" i="9"/>
  <c r="AG456" i="9"/>
  <c r="AG538" i="9"/>
  <c r="AG165" i="9"/>
  <c r="AG340" i="9"/>
  <c r="AG128" i="9"/>
  <c r="AG394" i="9"/>
  <c r="AG393" i="9"/>
  <c r="AG173" i="9"/>
  <c r="AG353" i="9"/>
  <c r="AG410" i="9"/>
  <c r="AG409" i="9"/>
  <c r="AG338" i="9"/>
  <c r="AG369" i="9"/>
  <c r="AG421" i="9"/>
  <c r="AG430" i="9"/>
  <c r="AG413" i="9"/>
  <c r="AG390" i="9"/>
  <c r="AG373" i="9"/>
  <c r="AG382" i="9"/>
  <c r="AG365" i="9"/>
  <c r="AG321" i="9"/>
  <c r="AG214" i="9"/>
  <c r="AG98" i="9"/>
  <c r="AG312" i="9"/>
  <c r="AG306" i="9"/>
  <c r="AG230" i="9"/>
  <c r="AG144" i="9"/>
  <c r="AG320" i="9"/>
  <c r="AG322" i="9"/>
  <c r="AG202" i="9"/>
  <c r="AG250" i="9"/>
  <c r="AG152" i="9"/>
  <c r="AG360" i="9"/>
  <c r="AG157" i="9"/>
  <c r="AG352" i="9"/>
  <c r="AG318" i="9"/>
  <c r="AG226" i="9"/>
  <c r="AG278" i="9"/>
  <c r="AG317" i="9"/>
  <c r="AG161" i="9"/>
  <c r="AG237" i="9"/>
  <c r="AG190" i="9"/>
  <c r="AG293" i="9"/>
  <c r="AG54" i="9"/>
  <c r="AG253" i="9"/>
  <c r="AG305" i="9"/>
  <c r="AG102" i="9"/>
  <c r="AG548" i="9"/>
  <c r="AG486" i="9"/>
  <c r="AG378" i="9"/>
  <c r="AG377" i="9"/>
  <c r="AG370" i="9"/>
  <c r="AG401" i="9"/>
  <c r="AG189" i="9"/>
  <c r="AG333" i="9"/>
  <c r="AG270" i="9"/>
  <c r="AG329" i="9"/>
  <c r="AG136" i="9"/>
  <c r="AG234" i="9"/>
  <c r="AG182" i="9"/>
  <c r="AG137" i="9"/>
  <c r="AG53" i="9"/>
  <c r="AG245" i="9"/>
  <c r="AG123" i="9"/>
  <c r="AG106" i="9"/>
  <c r="AG558" i="9"/>
  <c r="AG451" i="9"/>
  <c r="AG434" i="9"/>
  <c r="AG342" i="9"/>
  <c r="AG524" i="9"/>
  <c r="AG494" i="9"/>
  <c r="AG452" i="9"/>
  <c r="AG454" i="9"/>
  <c r="AG540" i="9"/>
  <c r="AG510" i="9"/>
  <c r="AG468" i="9"/>
  <c r="AG470" i="9"/>
  <c r="AG522" i="9"/>
  <c r="AG560" i="9"/>
  <c r="AG514" i="9"/>
  <c r="AG520" i="9"/>
  <c r="AG474" i="9"/>
  <c r="AG512" i="9"/>
  <c r="AG466" i="9"/>
  <c r="AG406" i="9"/>
  <c r="AG364" i="9"/>
  <c r="AG197" i="9"/>
  <c r="AG386" i="9"/>
  <c r="AG417" i="9"/>
  <c r="AG341" i="9"/>
  <c r="AG350" i="9"/>
  <c r="AG402" i="9"/>
  <c r="AG149" i="9"/>
  <c r="AG362" i="9"/>
  <c r="AG361" i="9"/>
  <c r="AG354" i="9"/>
  <c r="AG428" i="9"/>
  <c r="AG546" i="9"/>
  <c r="AG424" i="9"/>
  <c r="AG141" i="9"/>
  <c r="AG337" i="9"/>
  <c r="AG389" i="9"/>
  <c r="AG398" i="9"/>
  <c r="AG356" i="9"/>
  <c r="AG160" i="9"/>
  <c r="AG294" i="9"/>
  <c r="AG325" i="9"/>
  <c r="AG222" i="9"/>
  <c r="AG185" i="9"/>
  <c r="AG332" i="9"/>
  <c r="AG314" i="9"/>
  <c r="AG297" i="9"/>
  <c r="AG170" i="9"/>
  <c r="AG508" i="9"/>
  <c r="AG478" i="9"/>
  <c r="AG500" i="9"/>
  <c r="AG502" i="9"/>
  <c r="AG460" i="9"/>
  <c r="AG432" i="9"/>
  <c r="AG381" i="9"/>
  <c r="AG422" i="9"/>
  <c r="AG346" i="9"/>
  <c r="AG345" i="9"/>
  <c r="AG286" i="9"/>
  <c r="AG344" i="9"/>
  <c r="AG246" i="9"/>
  <c r="AG169" i="9"/>
  <c r="AG238" i="9"/>
  <c r="AG66" i="9"/>
  <c r="AG145" i="9"/>
  <c r="AG74" i="9"/>
  <c r="AG550" i="9"/>
  <c r="AG472" i="9"/>
  <c r="AG335" i="9"/>
  <c r="AG384" i="9"/>
  <c r="AG363" i="9"/>
  <c r="AG501" i="9"/>
  <c r="AG97" i="9"/>
  <c r="AG292" i="9"/>
  <c r="AG158" i="9"/>
  <c r="AG545" i="9"/>
  <c r="AG122" i="9"/>
  <c r="AG527" i="9"/>
  <c r="AG204" i="9"/>
  <c r="AG64" i="9"/>
  <c r="AG255" i="9"/>
  <c r="AG13" i="9"/>
  <c r="AG561" i="9"/>
  <c r="AG99" i="9"/>
  <c r="AG179" i="9"/>
  <c r="AG188" i="9"/>
  <c r="AG396" i="9"/>
  <c r="AG323" i="9"/>
  <c r="AG423" i="9"/>
  <c r="AG499" i="9"/>
  <c r="AG279" i="9"/>
  <c r="AG35" i="9"/>
  <c r="AG264" i="9"/>
  <c r="AG515" i="9"/>
  <c r="AG252" i="9"/>
  <c r="AG11" i="9"/>
  <c r="AG208" i="9"/>
  <c r="AG119" i="9"/>
  <c r="AG411" i="9"/>
  <c r="AG68" i="9"/>
  <c r="AG212" i="9"/>
  <c r="AG420" i="9"/>
  <c r="AG124" i="9"/>
  <c r="AG37" i="9"/>
  <c r="AG300" i="9"/>
  <c r="AG206" i="9"/>
  <c r="AG371" i="9"/>
  <c r="AG412" i="9"/>
  <c r="AG211" i="9"/>
  <c r="AG59" i="9"/>
  <c r="AG164" i="9"/>
  <c r="AG103" i="9"/>
  <c r="AG228" i="9"/>
  <c r="AG138" i="9"/>
  <c r="AG446" i="9"/>
  <c r="AG132" i="9"/>
  <c r="AG473" i="9"/>
  <c r="AG127" i="9"/>
  <c r="AG447" i="9"/>
  <c r="AG519" i="9"/>
  <c r="AG477" i="9"/>
  <c r="AG331" i="9"/>
  <c r="AG147" i="9"/>
  <c r="AG55" i="9"/>
  <c r="AG343" i="9"/>
  <c r="AG223" i="9"/>
  <c r="AG23" i="9"/>
  <c r="AG192" i="9"/>
  <c r="AG400" i="9"/>
  <c r="AG215" i="9"/>
  <c r="AG372" i="9"/>
  <c r="AG443" i="9"/>
  <c r="AG80" i="9"/>
  <c r="AG395" i="9"/>
  <c r="AG109" i="9"/>
  <c r="AG311" i="9"/>
  <c r="AG36" i="9"/>
  <c r="AG199" i="9"/>
  <c r="AG89" i="9"/>
  <c r="AG475" i="9"/>
  <c r="AG563" i="9"/>
  <c r="AG176" i="9"/>
  <c r="AG551" i="9"/>
  <c r="AG327" i="9"/>
  <c r="AG505" i="9"/>
  <c r="AG184" i="9"/>
  <c r="AG392" i="9"/>
  <c r="AG205" i="9"/>
  <c r="AG96" i="9"/>
  <c r="AG299" i="9"/>
  <c r="AG101" i="9"/>
  <c r="AG461" i="9"/>
  <c r="AG547" i="9"/>
  <c r="AG235" i="9"/>
  <c r="AG159" i="9"/>
  <c r="AG471" i="9"/>
  <c r="AG517" i="9"/>
  <c r="AG450" i="9"/>
  <c r="AG51" i="9"/>
  <c r="AG224" i="9"/>
  <c r="AG131" i="9"/>
  <c r="AG427" i="9"/>
  <c r="AG107" i="9"/>
  <c r="AG296" i="9"/>
  <c r="AG85" i="9"/>
  <c r="AG557" i="9"/>
  <c r="AG108" i="9"/>
  <c r="AG240" i="9"/>
  <c r="AG155" i="9"/>
  <c r="AG453" i="9"/>
  <c r="AG535" i="9"/>
  <c r="AG438" i="9"/>
  <c r="AG91" i="9"/>
  <c r="AG509" i="9"/>
  <c r="AG315" i="9"/>
  <c r="AG415" i="9"/>
  <c r="AG487" i="9"/>
  <c r="AG236" i="9"/>
  <c r="AG150" i="9"/>
  <c r="AG439" i="9"/>
  <c r="AG92" i="9"/>
  <c r="AG391" i="9"/>
  <c r="AG187" i="9"/>
  <c r="AG416" i="9"/>
  <c r="AG227" i="9"/>
  <c r="AG479" i="9"/>
  <c r="AG195" i="9"/>
  <c r="AG351" i="9"/>
  <c r="AG183" i="9"/>
  <c r="AG483" i="9"/>
  <c r="AG457" i="9"/>
  <c r="AG116" i="9"/>
  <c r="AG140" i="9"/>
  <c r="AG537" i="9"/>
  <c r="AG267" i="9"/>
  <c r="AG162" i="9"/>
  <c r="AG319" i="9"/>
  <c r="AG95" i="9"/>
  <c r="AG143" i="9"/>
  <c r="AG104" i="9"/>
  <c r="AG347" i="9"/>
  <c r="AG73" i="9"/>
  <c r="AG525" i="9"/>
  <c r="AG71" i="9"/>
  <c r="AG243" i="9"/>
  <c r="AG12" i="9"/>
  <c r="AG399" i="9"/>
  <c r="AG139" i="9"/>
  <c r="AG455" i="9"/>
  <c r="AG52" i="9"/>
  <c r="AG303" i="9"/>
  <c r="AG272" i="9"/>
  <c r="AG531" i="9"/>
  <c r="AG244" i="9"/>
  <c r="AG75" i="9"/>
  <c r="AG276" i="9"/>
  <c r="AG196" i="9"/>
  <c r="AG489" i="9"/>
  <c r="AG57" i="9"/>
  <c r="AG533" i="9"/>
  <c r="AG113" i="9"/>
  <c r="AG507" i="9"/>
  <c r="AG63" i="9"/>
  <c r="AG67" i="9"/>
  <c r="AG355" i="9"/>
  <c r="AG493" i="9"/>
  <c r="AG105" i="9"/>
  <c r="AG495" i="9"/>
  <c r="AG259" i="9"/>
  <c r="AG445" i="9"/>
  <c r="AG231" i="9"/>
  <c r="AG555" i="9"/>
  <c r="AG112" i="9"/>
  <c r="AG513" i="9"/>
  <c r="AG146" i="9"/>
  <c r="AG497" i="9"/>
  <c r="AG167" i="9"/>
  <c r="AG465" i="9"/>
  <c r="AG111" i="9"/>
  <c r="AG485" i="9"/>
  <c r="AG163" i="9"/>
  <c r="AG564" i="9"/>
  <c r="AG247" i="9"/>
  <c r="AG308" i="9"/>
  <c r="AG56" i="9"/>
  <c r="AG280" i="9"/>
  <c r="AG271" i="9"/>
  <c r="AG359" i="9"/>
  <c r="AG239" i="9"/>
  <c r="AG481" i="9"/>
  <c r="AG220" i="9"/>
  <c r="AG553" i="9"/>
  <c r="AG419" i="9"/>
  <c r="AG25" i="9"/>
  <c r="AG375" i="9"/>
  <c r="AG256" i="9"/>
  <c r="AG407" i="9"/>
  <c r="AG87" i="9"/>
  <c r="AG463" i="9"/>
  <c r="AG81" i="9"/>
  <c r="AG295" i="9"/>
  <c r="AG388" i="9"/>
  <c r="AG367" i="9"/>
  <c r="AG142" i="9"/>
  <c r="AG191" i="9"/>
  <c r="AG130" i="9"/>
  <c r="AG403" i="9"/>
  <c r="AG207" i="9"/>
  <c r="AG268" i="9"/>
  <c r="AG148" i="9"/>
  <c r="AG491" i="9"/>
  <c r="AG135" i="9"/>
  <c r="AG435" i="9"/>
  <c r="AG24" i="9"/>
  <c r="AG180" i="9"/>
  <c r="AG529" i="9"/>
  <c r="AG379" i="9"/>
  <c r="AG543" i="9"/>
  <c r="AG76" i="9"/>
  <c r="AG79" i="9"/>
  <c r="AG65" i="9"/>
  <c r="AG380" i="9"/>
  <c r="AG83" i="9"/>
  <c r="AG304" i="9"/>
  <c r="AG115" i="9"/>
  <c r="AG526" i="9"/>
  <c r="AG307" i="9"/>
  <c r="AG503" i="9"/>
  <c r="AG151" i="9"/>
  <c r="AG549" i="9"/>
  <c r="AG134" i="9"/>
  <c r="AG60" i="9"/>
  <c r="AG288" i="9"/>
  <c r="AG203" i="9"/>
  <c r="AG260" i="9"/>
  <c r="AG404" i="9"/>
  <c r="AG168" i="9"/>
  <c r="AG376" i="9"/>
  <c r="AG284" i="9"/>
  <c r="AG459" i="9"/>
  <c r="AG291" i="9"/>
  <c r="AG469" i="9"/>
  <c r="AG263" i="9"/>
  <c r="AG539" i="9"/>
  <c r="AG100" i="9"/>
  <c r="AG559" i="9"/>
  <c r="AG383" i="9"/>
  <c r="AG449" i="9"/>
  <c r="AG117" i="9"/>
  <c r="AG523" i="9"/>
  <c r="AG275" i="9"/>
  <c r="AG126" i="9"/>
  <c r="AG156" i="9"/>
  <c r="AG437" i="9"/>
  <c r="AG154" i="9"/>
  <c r="AG467" i="9"/>
  <c r="AG251" i="9"/>
  <c r="AG441" i="9"/>
  <c r="AG283" i="9"/>
  <c r="AG541" i="9"/>
  <c r="AG431" i="9"/>
  <c r="AG408" i="9"/>
  <c r="AG232" i="9"/>
  <c r="AG172" i="9"/>
  <c r="AG387" i="9"/>
  <c r="AG521" i="9"/>
  <c r="AG442" i="9"/>
  <c r="AG287" i="9"/>
  <c r="AG72" i="9"/>
  <c r="AG88" i="9"/>
  <c r="AG175" i="9"/>
  <c r="AG120" i="9"/>
  <c r="AG565" i="9"/>
  <c r="AG93" i="9"/>
  <c r="AG511" i="9"/>
  <c r="AG84" i="9"/>
  <c r="AG216" i="9"/>
  <c r="AG171" i="9"/>
  <c r="AG339" i="9"/>
  <c r="AG219" i="9"/>
  <c r="AG200" i="9"/>
  <c r="AG248" i="9"/>
  <c r="P7" i="30"/>
  <c r="P11" i="30" s="1"/>
  <c r="P25" i="30"/>
  <c r="D7" i="30"/>
  <c r="D11" i="30" s="1"/>
  <c r="N103" i="30"/>
  <c r="D25" i="30"/>
  <c r="E103" i="30"/>
  <c r="E107" i="30" s="1"/>
  <c r="E108" i="30" s="1"/>
  <c r="F103" i="30"/>
  <c r="F107" i="30" s="1"/>
  <c r="F108" i="30" s="1"/>
  <c r="D9" i="7"/>
  <c r="D13" i="7" s="1"/>
  <c r="E7" i="30"/>
  <c r="E11" i="30" s="1"/>
  <c r="E25" i="30"/>
  <c r="P53" i="7"/>
  <c r="P57" i="7" s="1"/>
  <c r="Q7" i="30"/>
  <c r="Q11" i="30" s="1"/>
  <c r="O103" i="30"/>
  <c r="D53" i="7"/>
  <c r="D57" i="7" s="1"/>
  <c r="Q25" i="30"/>
  <c r="P9" i="7"/>
  <c r="P13" i="7" s="1"/>
  <c r="S6" i="53"/>
  <c r="S5" i="53" s="1"/>
  <c r="O25" i="30"/>
  <c r="O7" i="30"/>
  <c r="O11" i="30" s="1"/>
  <c r="C25" i="30"/>
  <c r="C29" i="30" s="1"/>
  <c r="M103" i="30"/>
  <c r="M107" i="30" s="1"/>
  <c r="M108" i="30" s="1"/>
  <c r="D103" i="30"/>
  <c r="C7" i="30"/>
  <c r="C11" i="30" s="1"/>
  <c r="W9" i="45"/>
  <c r="W36" i="45"/>
  <c r="T40" i="50"/>
  <c r="T39" i="50"/>
  <c r="T38" i="50"/>
  <c r="AB243" i="53"/>
  <c r="AB241" i="53"/>
  <c r="AB227" i="53"/>
  <c r="AB211" i="53"/>
  <c r="AB182" i="53"/>
  <c r="AB228" i="53"/>
  <c r="AB212" i="53"/>
  <c r="AB196" i="53"/>
  <c r="AB181" i="53"/>
  <c r="AB168" i="53"/>
  <c r="AB167" i="53"/>
  <c r="AB166" i="53"/>
  <c r="AB153" i="53"/>
  <c r="AB152" i="53"/>
  <c r="AB151" i="53"/>
  <c r="AB138" i="53"/>
  <c r="AB137" i="53"/>
  <c r="AB136" i="53"/>
  <c r="AB213" i="53"/>
  <c r="AB197" i="53"/>
  <c r="AB242" i="53"/>
  <c r="AB226" i="53"/>
  <c r="AB198" i="53"/>
  <c r="AB183" i="53"/>
  <c r="AB122" i="53"/>
  <c r="AB106" i="53"/>
  <c r="AB77" i="53"/>
  <c r="AB63" i="53"/>
  <c r="AB62" i="53"/>
  <c r="AB61" i="53"/>
  <c r="AB48" i="53"/>
  <c r="AB47" i="53"/>
  <c r="AB46" i="53"/>
  <c r="AB123" i="53"/>
  <c r="AB107" i="53"/>
  <c r="AB91" i="53"/>
  <c r="AB76" i="53"/>
  <c r="AB108" i="53"/>
  <c r="AB92" i="53"/>
  <c r="AB121" i="53"/>
  <c r="AB93" i="53"/>
  <c r="AB78" i="53"/>
  <c r="AB16" i="53"/>
  <c r="AB33" i="53"/>
  <c r="AB17" i="53"/>
  <c r="AB18" i="53"/>
  <c r="AB31" i="53"/>
  <c r="AB32" i="53"/>
  <c r="AG741" i="9"/>
  <c r="AG601" i="9"/>
  <c r="AG915" i="9"/>
  <c r="AG733" i="9"/>
  <c r="AG755" i="9"/>
  <c r="AG717" i="9"/>
  <c r="AG667" i="9"/>
  <c r="AG681" i="9"/>
  <c r="AG911" i="9"/>
  <c r="AG810" i="9"/>
  <c r="AG621" i="9"/>
  <c r="AG931" i="9"/>
  <c r="AG656" i="9"/>
  <c r="AG855" i="9"/>
  <c r="AG744" i="9"/>
  <c r="AG891" i="9"/>
  <c r="AG864" i="9"/>
  <c r="AG652" i="9"/>
  <c r="AG954" i="9"/>
  <c r="AG729" i="9"/>
  <c r="AG978" i="9"/>
  <c r="AG655" i="9"/>
  <c r="AG971" i="9"/>
  <c r="AG574" i="9"/>
  <c r="AG790" i="9"/>
  <c r="AG854" i="9"/>
  <c r="AG928" i="9"/>
  <c r="AG634" i="9"/>
  <c r="AG718" i="9"/>
  <c r="AG907" i="9"/>
  <c r="AG782" i="9"/>
  <c r="AG903" i="9"/>
  <c r="AG679" i="9"/>
  <c r="AG937" i="9"/>
  <c r="AG764" i="9"/>
  <c r="AG874" i="9"/>
  <c r="AG802" i="9"/>
  <c r="AG740" i="9"/>
  <c r="AG919" i="9"/>
  <c r="AG569" i="9"/>
  <c r="AG619" i="9"/>
  <c r="AG868" i="9"/>
  <c r="AG861" i="9"/>
  <c r="AG822" i="9"/>
  <c r="AG671" i="9"/>
  <c r="AG778" i="9"/>
  <c r="AG665" i="9"/>
  <c r="AG683" i="9"/>
  <c r="AG625" i="9"/>
  <c r="AG587" i="9"/>
  <c r="AG889" i="9"/>
  <c r="AG675" i="9"/>
  <c r="AG680" i="9"/>
  <c r="AG783" i="9"/>
  <c r="AG647" i="9"/>
  <c r="AG976" i="9"/>
  <c r="AG570" i="9"/>
  <c r="AG613" i="9"/>
  <c r="AG857" i="9"/>
  <c r="AG611" i="9"/>
  <c r="AG715" i="9"/>
  <c r="AG590" i="9"/>
  <c r="AG798" i="9"/>
  <c r="AG572" i="9"/>
  <c r="AG938" i="9"/>
  <c r="AG803" i="9"/>
  <c r="AG682" i="9"/>
  <c r="AG576" i="9"/>
  <c r="AG754" i="9"/>
  <c r="AG617" i="9"/>
  <c r="AG666" i="9"/>
  <c r="AG826" i="9"/>
  <c r="AG595" i="9"/>
  <c r="AG821" i="9"/>
  <c r="AG941" i="9"/>
  <c r="AG749" i="9"/>
  <c r="AG960" i="9"/>
  <c r="AG713" i="9"/>
  <c r="AG936" i="9"/>
  <c r="AG977" i="9"/>
  <c r="AG967" i="9"/>
  <c r="AG902" i="9"/>
  <c r="AG721" i="9"/>
  <c r="AG785" i="9"/>
  <c r="AG635" i="9"/>
  <c r="AG651" i="9"/>
  <c r="AG758" i="9"/>
  <c r="AG945" i="9"/>
  <c r="AG943" i="9"/>
  <c r="AG850" i="9"/>
  <c r="AG633" i="9"/>
  <c r="AG908" i="9"/>
  <c r="AG766" i="9"/>
  <c r="AG698" i="9"/>
  <c r="AG867" i="9"/>
  <c r="AG585" i="9"/>
  <c r="AG995" i="9"/>
  <c r="AG737" i="9"/>
  <c r="AG659" i="9"/>
  <c r="AG701" i="9"/>
  <c r="AG776" i="9"/>
  <c r="AG588" i="9"/>
  <c r="AG641" i="9"/>
  <c r="AG939" i="9"/>
  <c r="AG597" i="9"/>
  <c r="AG723" i="9"/>
  <c r="AG929" i="9"/>
  <c r="AG836" i="9"/>
  <c r="AG670" i="9"/>
  <c r="AG953" i="9"/>
  <c r="AG673" i="9"/>
  <c r="AG932" i="9"/>
  <c r="AG815" i="9"/>
  <c r="AG829" i="9"/>
  <c r="AG606" i="9"/>
  <c r="AG996" i="9"/>
  <c r="AG949" i="9"/>
  <c r="AG900" i="9"/>
  <c r="AG913" i="9"/>
  <c r="AG853" i="9"/>
  <c r="AG840" i="9"/>
  <c r="AG700" i="9"/>
  <c r="AG646" i="9"/>
  <c r="AG603" i="9"/>
  <c r="AG669" i="9"/>
  <c r="AG828" i="9"/>
  <c r="AG955" i="9"/>
  <c r="AG873" i="9"/>
  <c r="AG707" i="9"/>
  <c r="AG709" i="9"/>
  <c r="AG703" i="9"/>
  <c r="AG871" i="9"/>
  <c r="AG668" i="9"/>
  <c r="AG970" i="9"/>
  <c r="AG575" i="9"/>
  <c r="AG998" i="9"/>
  <c r="AG704" i="9"/>
  <c r="AG690" i="9"/>
  <c r="AG580" i="9"/>
  <c r="AG622" i="9"/>
  <c r="AG927" i="9"/>
  <c r="AG964" i="9"/>
  <c r="AG818" i="9"/>
  <c r="AG620" i="9"/>
  <c r="AG672" i="9"/>
  <c r="AG674" i="9"/>
  <c r="AG979" i="9"/>
  <c r="AG594" i="9"/>
  <c r="AG879" i="9"/>
  <c r="AG693" i="9"/>
  <c r="AG692" i="9"/>
  <c r="AG706" i="9"/>
  <c r="AG753" i="9"/>
  <c r="AG582" i="9"/>
  <c r="AG784" i="9"/>
  <c r="AG882" i="9"/>
  <c r="AG751" i="9"/>
  <c r="AG738" i="9"/>
  <c r="AG592" i="9"/>
  <c r="AG586" i="9"/>
  <c r="AG732" i="9"/>
  <c r="AG734" i="9"/>
  <c r="AG816" i="9"/>
  <c r="AG742" i="9"/>
  <c r="AG763" i="9"/>
  <c r="AG878" i="9"/>
  <c r="AG664" i="9"/>
  <c r="AG658" i="9"/>
  <c r="AG771" i="9"/>
  <c r="AG800" i="9"/>
  <c r="AG917" i="9"/>
  <c r="AG780" i="9"/>
  <c r="AG630" i="9"/>
  <c r="AG866" i="9"/>
  <c r="AG777" i="9"/>
  <c r="AG832" i="9"/>
  <c r="AG710" i="9"/>
  <c r="AG788" i="9"/>
  <c r="AG567" i="9"/>
  <c r="AG757" i="9"/>
  <c r="AG988" i="9"/>
  <c r="AG808" i="9"/>
  <c r="AG653" i="9"/>
  <c r="AG944" i="9"/>
  <c r="AG638" i="9"/>
  <c r="AG799" i="9"/>
  <c r="AG581" i="9"/>
  <c r="AG817" i="9"/>
  <c r="AG820" i="9"/>
  <c r="AG806" i="9"/>
  <c r="AG842" i="9"/>
  <c r="AG837" i="9"/>
  <c r="AG997" i="9"/>
  <c r="AG841" i="9"/>
  <c r="AG980" i="9"/>
  <c r="AG962" i="9"/>
  <c r="AG589" i="9"/>
  <c r="AG579" i="9"/>
  <c r="AG730" i="9"/>
  <c r="AG869" i="9"/>
  <c r="AG571" i="9"/>
  <c r="AG687" i="9"/>
  <c r="AG950" i="9"/>
  <c r="AG632" i="9"/>
  <c r="AG775" i="9"/>
  <c r="AG825" i="9"/>
  <c r="AG999" i="9"/>
  <c r="AG735" i="9"/>
  <c r="AG876" i="9"/>
  <c r="AG801" i="9"/>
  <c r="AG643" i="9"/>
  <c r="AG849" i="9"/>
  <c r="AG852" i="9"/>
  <c r="AG789" i="9"/>
  <c r="AG959" i="9"/>
  <c r="AG645" i="9"/>
  <c r="AG901" i="9"/>
  <c r="AG905" i="9"/>
  <c r="AG726" i="9"/>
  <c r="AG921" i="9"/>
  <c r="AG884" i="9"/>
  <c r="AG914" i="9"/>
  <c r="AG639" i="9"/>
  <c r="AG747" i="9"/>
  <c r="AG993" i="9"/>
  <c r="AG984" i="9"/>
  <c r="AG981" i="9"/>
  <c r="AG794" i="9"/>
  <c r="AG615" i="9"/>
  <c r="AG934" i="9"/>
  <c r="AG982" i="9"/>
  <c r="AG990" i="9"/>
  <c r="AG629" i="9"/>
  <c r="AG663" i="9"/>
  <c r="AG885" i="9"/>
  <c r="AG951" i="9"/>
  <c r="AG933" i="9"/>
  <c r="AG602" i="9"/>
  <c r="AG797" i="9"/>
  <c r="AG610" i="9"/>
  <c r="AG661" i="9"/>
  <c r="AG887" i="9"/>
  <c r="AG697" i="9"/>
  <c r="AG824" i="9"/>
  <c r="AG573" i="9"/>
  <c r="AG833" i="9"/>
  <c r="AG848" i="9"/>
  <c r="AG966" i="9"/>
  <c r="AG796" i="9"/>
  <c r="AG893" i="9"/>
  <c r="AG685" i="9"/>
  <c r="AG792" i="9"/>
  <c r="AG614" i="9"/>
  <c r="AG888" i="9"/>
  <c r="AG772" i="9"/>
  <c r="AG952" i="9"/>
  <c r="AG662" i="9"/>
  <c r="AG705" i="9"/>
  <c r="AG856" i="9"/>
  <c r="AG969" i="9"/>
  <c r="AG961" i="9"/>
  <c r="AG716" i="9"/>
  <c r="AG920" i="9"/>
  <c r="AG605" i="9"/>
  <c r="AG935" i="9"/>
  <c r="AG725" i="9"/>
  <c r="AG743" i="9"/>
  <c r="AG711" i="9"/>
  <c r="AG795" i="9"/>
  <c r="AG657" i="9"/>
  <c r="AG728" i="9"/>
  <c r="AG942" i="9"/>
  <c r="AG975" i="9"/>
  <c r="AG895" i="9"/>
  <c r="AG644" i="9"/>
  <c r="AG957" i="9"/>
  <c r="AG756" i="9"/>
  <c r="AG787" i="9"/>
  <c r="AG759" i="9"/>
  <c r="AG814" i="9"/>
  <c r="AG924" i="9"/>
  <c r="AG781" i="9"/>
  <c r="AG881" i="9"/>
  <c r="AG739" i="9"/>
  <c r="AG654" i="9"/>
  <c r="AG896" i="9"/>
  <c r="AG750" i="9"/>
  <c r="AG987" i="9"/>
  <c r="AG607" i="9"/>
  <c r="AG566" i="9"/>
  <c r="AG910" i="9"/>
  <c r="AG676" i="9"/>
  <c r="AG714" i="9"/>
  <c r="AG846" i="9"/>
  <c r="AG830" i="9"/>
  <c r="AG859" i="9"/>
  <c r="AG752" i="9"/>
  <c r="AG985" i="9"/>
  <c r="AG768" i="9"/>
  <c r="AG847" i="9"/>
  <c r="AG695" i="9"/>
  <c r="AG916" i="9"/>
  <c r="AG748" i="9"/>
  <c r="AG986" i="9"/>
  <c r="AG851" i="9"/>
  <c r="AG649" i="9"/>
  <c r="AG968" i="9"/>
  <c r="AG898" i="9"/>
  <c r="AG600" i="9"/>
  <c r="AG838" i="9"/>
  <c r="AG845" i="9"/>
  <c r="AG965" i="9"/>
  <c r="AG983" i="9"/>
  <c r="AG786" i="9"/>
  <c r="AG834" i="9"/>
  <c r="AG774" i="9"/>
  <c r="AG694" i="9"/>
  <c r="AG994" i="9"/>
  <c r="AG894" i="9"/>
  <c r="AG906" i="9"/>
  <c r="AG930" i="9"/>
  <c r="AG696" i="9"/>
  <c r="AG823" i="9"/>
  <c r="AG616" i="9"/>
  <c r="AG904" i="9"/>
  <c r="AG678" i="9"/>
  <c r="AG599" i="9"/>
  <c r="AG946" i="9"/>
  <c r="AG584" i="9"/>
  <c r="AG720" i="9"/>
  <c r="AG839" i="9"/>
  <c r="AG724" i="9"/>
  <c r="AG875" i="9"/>
  <c r="AG688" i="9"/>
  <c r="AG762" i="9"/>
  <c r="AG909" i="9"/>
  <c r="AG608" i="9"/>
  <c r="AG578" i="9"/>
  <c r="AG870" i="9"/>
  <c r="AG918" i="9"/>
  <c r="AG708" i="9"/>
  <c r="AG691" i="9"/>
  <c r="AG623" i="9"/>
  <c r="AG712" i="9"/>
  <c r="AG731" i="9"/>
  <c r="AG813" i="9"/>
  <c r="AG577" i="9"/>
  <c r="AG899" i="9"/>
  <c r="AG947" i="9"/>
  <c r="AG805" i="9"/>
  <c r="AG912" i="9"/>
  <c r="AG963" i="9"/>
  <c r="AG897" i="9"/>
  <c r="AG843" i="9"/>
  <c r="AG596" i="9"/>
  <c r="AG858" i="9"/>
  <c r="AG773" i="9"/>
  <c r="AG880" i="9"/>
  <c r="AG583" i="9"/>
  <c r="AG956" i="9"/>
  <c r="AG765" i="9"/>
  <c r="AG991" i="9"/>
  <c r="AG973" i="9"/>
  <c r="AG793" i="9"/>
  <c r="AG940" i="9"/>
  <c r="AG958" i="9"/>
  <c r="AG626" i="9"/>
  <c r="AG699" i="9"/>
  <c r="AG686" i="9"/>
  <c r="AG972" i="9"/>
  <c r="AG702" i="9"/>
  <c r="AG877" i="9"/>
  <c r="AG642" i="9"/>
  <c r="AG618" i="9"/>
  <c r="AG1000" i="9"/>
  <c r="AG948" i="9"/>
  <c r="AG761" i="9"/>
  <c r="AG860" i="9"/>
  <c r="AG804" i="9"/>
  <c r="AG684" i="9"/>
  <c r="AG922" i="9"/>
  <c r="AG769" i="9"/>
  <c r="AG989" i="9"/>
  <c r="AG650" i="9"/>
  <c r="AG722" i="9"/>
  <c r="AG992" i="9"/>
  <c r="AG591" i="9"/>
  <c r="AG886" i="9"/>
  <c r="AG631" i="9"/>
  <c r="AG727" i="9"/>
  <c r="AG926" i="9"/>
  <c r="AG925" i="9"/>
  <c r="AG819" i="9"/>
  <c r="AG689" i="9"/>
  <c r="AG872" i="9"/>
  <c r="AG598" i="9"/>
  <c r="AG648" i="9"/>
  <c r="AG770" i="9"/>
  <c r="AG612" i="9"/>
  <c r="AG746" i="9"/>
  <c r="AG844" i="9"/>
  <c r="AG745" i="9"/>
  <c r="AG637" i="9"/>
  <c r="AG779" i="9"/>
  <c r="AG892" i="9"/>
  <c r="AG862" i="9"/>
  <c r="AG809" i="9"/>
  <c r="AG677" i="9"/>
  <c r="AG812" i="9"/>
  <c r="AG865" i="9"/>
  <c r="AG640" i="9"/>
  <c r="AG811" i="9"/>
  <c r="AG593" i="9"/>
  <c r="AG636" i="9"/>
  <c r="AG719" i="9"/>
  <c r="AG974" i="9"/>
  <c r="AG568" i="9"/>
  <c r="AG791" i="9"/>
  <c r="AG660" i="9"/>
  <c r="AG827" i="9"/>
  <c r="AG624" i="9"/>
  <c r="AG831" i="9"/>
  <c r="AG890" i="9"/>
  <c r="AG628" i="9"/>
  <c r="AG883" i="9"/>
  <c r="AG760" i="9"/>
  <c r="AG807" i="9"/>
  <c r="AG604" i="9"/>
  <c r="AG736" i="9"/>
  <c r="AG835" i="9"/>
  <c r="AG627" i="9"/>
  <c r="AG609" i="9"/>
  <c r="AG923" i="9"/>
  <c r="AG863" i="9"/>
  <c r="AG767" i="9"/>
  <c r="T20" i="50"/>
  <c r="T18" i="50"/>
  <c r="T16" i="50"/>
  <c r="T14" i="50"/>
  <c r="T12" i="50"/>
  <c r="T10" i="50"/>
  <c r="T19" i="50"/>
  <c r="T17" i="50"/>
  <c r="T15" i="50"/>
  <c r="T13" i="50"/>
  <c r="T11" i="50"/>
  <c r="T9" i="50"/>
  <c r="S50" i="25"/>
  <c r="T50" i="25"/>
  <c r="U50" i="25"/>
  <c r="S50" i="41"/>
  <c r="U50" i="41"/>
  <c r="T50" i="41"/>
  <c r="T9" i="45"/>
  <c r="V34" i="45"/>
  <c r="T8" i="45"/>
  <c r="W8" i="45"/>
  <c r="V35" i="45"/>
  <c r="V36" i="45"/>
  <c r="V9" i="45"/>
  <c r="V7" i="45"/>
  <c r="U35" i="45"/>
  <c r="U36" i="45"/>
  <c r="T7" i="45"/>
  <c r="W34" i="45"/>
  <c r="W35" i="45"/>
  <c r="U34" i="45"/>
  <c r="W7" i="45"/>
  <c r="V8" i="45"/>
  <c r="T34" i="45"/>
  <c r="T35" i="45"/>
  <c r="U9" i="45"/>
  <c r="U7" i="45"/>
  <c r="U8" i="45"/>
  <c r="T36" i="45"/>
  <c r="AI38" i="15"/>
  <c r="AI16" i="15"/>
  <c r="AI31" i="15"/>
  <c r="AI9" i="15"/>
  <c r="AI22" i="15"/>
  <c r="AI37" i="15"/>
  <c r="AI11" i="15"/>
  <c r="AI34" i="15"/>
  <c r="AI12" i="15"/>
  <c r="AI21" i="15"/>
  <c r="AI33" i="15"/>
  <c r="AI18" i="15"/>
  <c r="AI29" i="15"/>
  <c r="AI7" i="15"/>
  <c r="AI30" i="15"/>
  <c r="AI8" i="15"/>
  <c r="AI17" i="15"/>
  <c r="AI36" i="15"/>
  <c r="AI14" i="15"/>
  <c r="AI19" i="15"/>
  <c r="AI20" i="15"/>
  <c r="AI35" i="15"/>
  <c r="AI13" i="15"/>
  <c r="AI32" i="15"/>
  <c r="AI10" i="15"/>
  <c r="AI15" i="15"/>
  <c r="P103" i="30"/>
  <c r="G103" i="30"/>
  <c r="G107" i="30" s="1"/>
  <c r="G108" i="30" s="1"/>
  <c r="F25" i="30"/>
  <c r="R25" i="30"/>
  <c r="R7" i="30"/>
  <c r="R11" i="30" s="1"/>
  <c r="F7" i="30"/>
  <c r="F11" i="30" s="1"/>
  <c r="R53" i="7"/>
  <c r="R57" i="7" s="1"/>
  <c r="R9" i="7"/>
  <c r="R13" i="7" s="1"/>
  <c r="F9" i="7"/>
  <c r="F13" i="7" s="1"/>
  <c r="Q9" i="7"/>
  <c r="Q13" i="7" s="1"/>
  <c r="E9" i="7"/>
  <c r="E13" i="7" s="1"/>
  <c r="F53" i="7"/>
  <c r="F57" i="7" s="1"/>
  <c r="Q53" i="7"/>
  <c r="Q57" i="7" s="1"/>
  <c r="E53" i="7"/>
  <c r="E57" i="7" s="1"/>
  <c r="U48" i="41"/>
  <c r="T48" i="41"/>
  <c r="S48" i="41"/>
  <c r="T48" i="25"/>
  <c r="U48" i="25"/>
  <c r="S48" i="25"/>
  <c r="R31" i="7"/>
  <c r="P31" i="7"/>
  <c r="P32" i="7" s="1"/>
  <c r="Q31" i="7"/>
  <c r="Q32" i="7" s="1"/>
  <c r="O31" i="7"/>
  <c r="O32" i="7" s="1"/>
  <c r="U69" i="25"/>
  <c r="T68" i="25"/>
  <c r="T90" i="25" s="1"/>
  <c r="S67" i="25"/>
  <c r="S89" i="25" s="1"/>
  <c r="AH21" i="25" s="1"/>
  <c r="EH21" i="56" s="1"/>
  <c r="U67" i="25"/>
  <c r="U89" i="25" s="1"/>
  <c r="T67" i="25"/>
  <c r="T89" i="25" s="1"/>
  <c r="T69" i="25"/>
  <c r="T91" i="25" s="1"/>
  <c r="S68" i="25"/>
  <c r="S90" i="25" s="1"/>
  <c r="AH22" i="25" s="1"/>
  <c r="EH22" i="56" s="1"/>
  <c r="S69" i="25"/>
  <c r="S91" i="25" s="1"/>
  <c r="AH23" i="25" s="1"/>
  <c r="U68" i="25"/>
  <c r="U90" i="25" s="1"/>
  <c r="U69" i="41"/>
  <c r="T68" i="41"/>
  <c r="T90" i="41" s="1"/>
  <c r="S67" i="41"/>
  <c r="S89" i="41" s="1"/>
  <c r="AH21" i="41" s="1"/>
  <c r="T69" i="41"/>
  <c r="T91" i="41" s="1"/>
  <c r="S69" i="41"/>
  <c r="S91" i="41" s="1"/>
  <c r="AH23" i="41" s="1"/>
  <c r="U67" i="41"/>
  <c r="U89" i="41" s="1"/>
  <c r="U68" i="41"/>
  <c r="U90" i="41" s="1"/>
  <c r="T67" i="41"/>
  <c r="T89" i="41" s="1"/>
  <c r="S68" i="41"/>
  <c r="S90" i="41" s="1"/>
  <c r="AH22" i="41" s="1"/>
  <c r="EH45" i="56" s="1"/>
  <c r="AC41" i="44"/>
  <c r="F5" i="15"/>
  <c r="D33" i="7"/>
  <c r="AE8" i="30"/>
  <c r="AE12" i="30"/>
  <c r="E33" i="7"/>
  <c r="B41" i="30"/>
  <c r="F20" i="15" l="1"/>
  <c r="F14" i="15"/>
  <c r="F13" i="15"/>
  <c r="F9" i="15"/>
  <c r="F19" i="15"/>
  <c r="F12" i="15"/>
  <c r="F17" i="15"/>
  <c r="F22" i="15"/>
  <c r="F18" i="15"/>
  <c r="F10" i="15"/>
  <c r="F15" i="15"/>
  <c r="F21" i="15"/>
  <c r="F16" i="15"/>
  <c r="F8" i="15"/>
  <c r="F11" i="15"/>
  <c r="Z5" i="15"/>
  <c r="F36" i="15"/>
  <c r="F32" i="15"/>
  <c r="F35" i="15"/>
  <c r="F31" i="15"/>
  <c r="F38" i="15"/>
  <c r="F34" i="15"/>
  <c r="F30" i="15"/>
  <c r="F37" i="15"/>
  <c r="F33" i="15"/>
  <c r="AC3" i="9"/>
  <c r="AC67" i="9"/>
  <c r="AC131" i="9"/>
  <c r="AC195" i="9"/>
  <c r="AC259" i="9"/>
  <c r="AC8" i="9"/>
  <c r="AC72" i="9"/>
  <c r="AC136" i="9"/>
  <c r="AC200" i="9"/>
  <c r="AC264" i="9"/>
  <c r="AC328" i="9"/>
  <c r="AC53" i="9"/>
  <c r="AC117" i="9"/>
  <c r="AC181" i="9"/>
  <c r="AC245" i="9"/>
  <c r="AC309" i="9"/>
  <c r="AC118" i="9"/>
  <c r="AC344" i="9"/>
  <c r="AC408" i="9"/>
  <c r="AC472" i="9"/>
  <c r="AC536" i="9"/>
  <c r="AC58" i="9"/>
  <c r="AC55" i="9"/>
  <c r="AC119" i="9"/>
  <c r="AC183" i="9"/>
  <c r="AC247" i="9"/>
  <c r="AC311" i="9"/>
  <c r="AC60" i="9"/>
  <c r="AC124" i="9"/>
  <c r="AC188" i="9"/>
  <c r="AC252" i="9"/>
  <c r="AC316" i="9"/>
  <c r="AC41" i="9"/>
  <c r="AC105" i="9"/>
  <c r="AC169" i="9"/>
  <c r="AC59" i="9"/>
  <c r="AC123" i="9"/>
  <c r="AC187" i="9"/>
  <c r="AC251" i="9"/>
  <c r="AC315" i="9"/>
  <c r="AC64" i="9"/>
  <c r="AC128" i="9"/>
  <c r="AC192" i="9"/>
  <c r="AC256" i="9"/>
  <c r="AC320" i="9"/>
  <c r="AC45" i="9"/>
  <c r="AC109" i="9"/>
  <c r="AC47" i="9"/>
  <c r="AC111" i="9"/>
  <c r="AC175" i="9"/>
  <c r="AC239" i="9"/>
  <c r="AC303" i="9"/>
  <c r="AC52" i="9"/>
  <c r="AC116" i="9"/>
  <c r="AC180" i="9"/>
  <c r="AC244" i="9"/>
  <c r="AC308" i="9"/>
  <c r="AC33" i="9"/>
  <c r="AC97" i="9"/>
  <c r="AC161" i="9"/>
  <c r="AC225" i="9"/>
  <c r="AC289" i="9"/>
  <c r="AC38" i="9"/>
  <c r="AC294" i="9"/>
  <c r="AC388" i="9"/>
  <c r="AC452" i="9"/>
  <c r="AC516" i="9"/>
  <c r="AC580" i="9"/>
  <c r="AC189" i="9"/>
  <c r="AC317" i="9"/>
  <c r="AC352" i="9"/>
  <c r="AC480" i="9"/>
  <c r="AC90" i="9"/>
  <c r="AC339" i="9"/>
  <c r="AC405" i="9"/>
  <c r="AC469" i="9"/>
  <c r="AC533" i="9"/>
  <c r="AC30" i="9"/>
  <c r="AC286" i="9"/>
  <c r="AC386" i="9"/>
  <c r="AC450" i="9"/>
  <c r="AC514" i="9"/>
  <c r="AC578" i="9"/>
  <c r="AC431" i="9"/>
  <c r="AC615" i="9"/>
  <c r="AC679" i="9"/>
  <c r="AC743" i="9"/>
  <c r="AC807" i="9"/>
  <c r="AC355" i="9"/>
  <c r="AC596" i="9"/>
  <c r="AC660" i="9"/>
  <c r="AC724" i="9"/>
  <c r="AC788" i="9"/>
  <c r="AC852" i="9"/>
  <c r="AC487" i="9"/>
  <c r="AC629" i="9"/>
  <c r="AC693" i="9"/>
  <c r="AC757" i="9"/>
  <c r="AC821" i="9"/>
  <c r="AC587" i="9"/>
  <c r="AC846" i="9"/>
  <c r="AC917" i="9"/>
  <c r="AC981" i="9"/>
  <c r="AC928" i="9"/>
  <c r="AC658" i="9"/>
  <c r="AC870" i="9"/>
  <c r="AC934" i="9"/>
  <c r="AC998" i="9"/>
  <c r="AC948" i="9"/>
  <c r="AC694" i="9"/>
  <c r="AC879" i="9"/>
  <c r="AC265" i="9"/>
  <c r="AC198" i="9"/>
  <c r="AC428" i="9"/>
  <c r="AC556" i="9"/>
  <c r="AC250" i="9"/>
  <c r="AC377" i="9"/>
  <c r="AC441" i="9"/>
  <c r="AC505" i="9"/>
  <c r="AC569" i="9"/>
  <c r="AC174" i="9"/>
  <c r="AC358" i="9"/>
  <c r="AC422" i="9"/>
  <c r="AC486" i="9"/>
  <c r="AC550" i="9"/>
  <c r="AC274" i="9"/>
  <c r="AC575" i="9"/>
  <c r="AC651" i="9"/>
  <c r="AC715" i="9"/>
  <c r="AC779" i="9"/>
  <c r="AC843" i="9"/>
  <c r="AC499" i="9"/>
  <c r="AC632" i="9"/>
  <c r="AC696" i="9"/>
  <c r="AC760" i="9"/>
  <c r="AC824" i="9"/>
  <c r="AC375" i="9"/>
  <c r="AC601" i="9"/>
  <c r="AC665" i="9"/>
  <c r="AC729" i="9"/>
  <c r="AC793" i="9"/>
  <c r="AC857" i="9"/>
  <c r="AC734" i="9"/>
  <c r="AC889" i="9"/>
  <c r="AC953" i="9"/>
  <c r="AC778" i="9"/>
  <c r="AC411" i="9"/>
  <c r="AC802" i="9"/>
  <c r="AC906" i="9"/>
  <c r="AC970" i="9"/>
  <c r="AC864" i="9"/>
  <c r="AC555" i="9"/>
  <c r="AC838" i="9"/>
  <c r="AC205" i="9"/>
  <c r="AC333" i="9"/>
  <c r="AC368" i="9"/>
  <c r="AC496" i="9"/>
  <c r="AC138" i="9"/>
  <c r="AC349" i="9"/>
  <c r="AC413" i="9"/>
  <c r="AC477" i="9"/>
  <c r="AC541" i="9"/>
  <c r="AC62" i="9"/>
  <c r="AC318" i="9"/>
  <c r="AC394" i="9"/>
  <c r="AC458" i="9"/>
  <c r="AC19" i="9"/>
  <c r="AC83" i="9"/>
  <c r="AC147" i="9"/>
  <c r="AC211" i="9"/>
  <c r="AC275" i="9"/>
  <c r="AC24" i="9"/>
  <c r="AC88" i="9"/>
  <c r="AC152" i="9"/>
  <c r="AC216" i="9"/>
  <c r="AC280" i="9"/>
  <c r="AC5" i="9"/>
  <c r="AC69" i="9"/>
  <c r="AC133" i="9"/>
  <c r="AC197" i="9"/>
  <c r="AC261" i="9"/>
  <c r="AC325" i="9"/>
  <c r="AC182" i="9"/>
  <c r="AC360" i="9"/>
  <c r="AC424" i="9"/>
  <c r="AC488" i="9"/>
  <c r="AC552" i="9"/>
  <c r="AC7" i="9"/>
  <c r="AC71" i="9"/>
  <c r="AC135" i="9"/>
  <c r="AC199" i="9"/>
  <c r="AC263" i="9"/>
  <c r="AC12" i="9"/>
  <c r="AC76" i="9"/>
  <c r="AC140" i="9"/>
  <c r="AC204" i="9"/>
  <c r="AC268" i="9"/>
  <c r="AC332" i="9"/>
  <c r="AC57" i="9"/>
  <c r="AC121" i="9"/>
  <c r="AC11" i="9"/>
  <c r="AC75" i="9"/>
  <c r="AC139" i="9"/>
  <c r="AC203" i="9"/>
  <c r="AC267" i="9"/>
  <c r="AC16" i="9"/>
  <c r="AC80" i="9"/>
  <c r="AC144" i="9"/>
  <c r="AC208" i="9"/>
  <c r="AC272" i="9"/>
  <c r="AC336" i="9"/>
  <c r="AC61" i="9"/>
  <c r="AC125" i="9"/>
  <c r="AC63" i="9"/>
  <c r="AC127" i="9"/>
  <c r="AC191" i="9"/>
  <c r="AC255" i="9"/>
  <c r="AC4" i="9"/>
  <c r="AC68" i="9"/>
  <c r="AC132" i="9"/>
  <c r="AC196" i="9"/>
  <c r="AC260" i="9"/>
  <c r="AC324" i="9"/>
  <c r="AC49" i="9"/>
  <c r="AC113" i="9"/>
  <c r="AC177" i="9"/>
  <c r="AC241" i="9"/>
  <c r="AC305" i="9"/>
  <c r="AC102" i="9"/>
  <c r="AC338" i="9"/>
  <c r="AC404" i="9"/>
  <c r="AC468" i="9"/>
  <c r="AC532" i="9"/>
  <c r="AC42" i="9"/>
  <c r="AC221" i="9"/>
  <c r="AC22" i="9"/>
  <c r="AC384" i="9"/>
  <c r="AC512" i="9"/>
  <c r="AC170" i="9"/>
  <c r="AC357" i="9"/>
  <c r="AC421" i="9"/>
  <c r="AC485" i="9"/>
  <c r="AC549" i="9"/>
  <c r="AC94" i="9"/>
  <c r="AC334" i="9"/>
  <c r="AC402" i="9"/>
  <c r="AC466" i="9"/>
  <c r="AC530" i="9"/>
  <c r="AC594" i="9"/>
  <c r="AC495" i="9"/>
  <c r="AC631" i="9"/>
  <c r="AC695" i="9"/>
  <c r="AC759" i="9"/>
  <c r="AC823" i="9"/>
  <c r="AC419" i="9"/>
  <c r="AC612" i="9"/>
  <c r="AC676" i="9"/>
  <c r="AC740" i="9"/>
  <c r="AC804" i="9"/>
  <c r="AC178" i="9"/>
  <c r="AC551" i="9"/>
  <c r="AC645" i="9"/>
  <c r="AC709" i="9"/>
  <c r="AC773" i="9"/>
  <c r="AC837" i="9"/>
  <c r="AC654" i="9"/>
  <c r="AC869" i="9"/>
  <c r="AC933" i="9"/>
  <c r="AC997" i="9"/>
  <c r="AC976" i="9"/>
  <c r="AC722" i="9"/>
  <c r="AC886" i="9"/>
  <c r="AC950" i="9"/>
  <c r="AC666" i="9"/>
  <c r="AC996" i="9"/>
  <c r="AC758" i="9"/>
  <c r="AC157" i="9"/>
  <c r="AC297" i="9"/>
  <c r="AC322" i="9"/>
  <c r="AC460" i="9"/>
  <c r="AC10" i="9"/>
  <c r="AC314" i="9"/>
  <c r="AC393" i="9"/>
  <c r="AC457" i="9"/>
  <c r="AC521" i="9"/>
  <c r="AC585" i="9"/>
  <c r="AC238" i="9"/>
  <c r="AC374" i="9"/>
  <c r="AC438" i="9"/>
  <c r="AC502" i="9"/>
  <c r="AC566" i="9"/>
  <c r="AC383" i="9"/>
  <c r="AC603" i="9"/>
  <c r="AC667" i="9"/>
  <c r="AC731" i="9"/>
  <c r="AC795" i="9"/>
  <c r="AC226" i="9"/>
  <c r="AC563" i="9"/>
  <c r="AC648" i="9"/>
  <c r="AC712" i="9"/>
  <c r="AC776" i="9"/>
  <c r="AC840" i="9"/>
  <c r="AC439" i="9"/>
  <c r="AC617" i="9"/>
  <c r="AC681" i="9"/>
  <c r="AC745" i="9"/>
  <c r="AC809" i="9"/>
  <c r="AC395" i="9"/>
  <c r="AC798" i="9"/>
  <c r="AC905" i="9"/>
  <c r="AC969" i="9"/>
  <c r="AC892" i="9"/>
  <c r="AC610" i="9"/>
  <c r="AC855" i="9"/>
  <c r="AC922" i="9"/>
  <c r="AC986" i="9"/>
  <c r="AC912" i="9"/>
  <c r="AC646" i="9"/>
  <c r="AC867" i="9"/>
  <c r="AC237" i="9"/>
  <c r="AC86" i="9"/>
  <c r="AC400" i="9"/>
  <c r="AC528" i="9"/>
  <c r="AC202" i="9"/>
  <c r="AC365" i="9"/>
  <c r="AC429" i="9"/>
  <c r="AC493" i="9"/>
  <c r="AC557" i="9"/>
  <c r="AC126" i="9"/>
  <c r="AC346" i="9"/>
  <c r="AC35" i="9"/>
  <c r="AC99" i="9"/>
  <c r="AC163" i="9"/>
  <c r="AC227" i="9"/>
  <c r="AC291" i="9"/>
  <c r="AC40" i="9"/>
  <c r="AC104" i="9"/>
  <c r="AC168" i="9"/>
  <c r="AC232" i="9"/>
  <c r="AC296" i="9"/>
  <c r="AC21" i="9"/>
  <c r="AC85" i="9"/>
  <c r="AC149" i="9"/>
  <c r="AC213" i="9"/>
  <c r="AC277" i="9"/>
  <c r="AC341" i="9"/>
  <c r="AC246" i="9"/>
  <c r="AC376" i="9"/>
  <c r="AC440" i="9"/>
  <c r="AC504" i="9"/>
  <c r="AC568" i="9"/>
  <c r="AC23" i="9"/>
  <c r="AC87" i="9"/>
  <c r="AC151" i="9"/>
  <c r="AC215" i="9"/>
  <c r="AC279" i="9"/>
  <c r="AC28" i="9"/>
  <c r="AC92" i="9"/>
  <c r="AC156" i="9"/>
  <c r="AC220" i="9"/>
  <c r="AC284" i="9"/>
  <c r="AC9" i="9"/>
  <c r="AC73" i="9"/>
  <c r="AC137" i="9"/>
  <c r="AC27" i="9"/>
  <c r="AC91" i="9"/>
  <c r="AC155" i="9"/>
  <c r="AC219" i="9"/>
  <c r="AC283" i="9"/>
  <c r="AC32" i="9"/>
  <c r="AC96" i="9"/>
  <c r="AC160" i="9"/>
  <c r="AC224" i="9"/>
  <c r="AC288" i="9"/>
  <c r="AC13" i="9"/>
  <c r="AC77" i="9"/>
  <c r="AC15" i="9"/>
  <c r="AC79" i="9"/>
  <c r="AC143" i="9"/>
  <c r="AC207" i="9"/>
  <c r="AC271" i="9"/>
  <c r="AC20" i="9"/>
  <c r="AC84" i="9"/>
  <c r="AC148" i="9"/>
  <c r="AC212" i="9"/>
  <c r="AC276" i="9"/>
  <c r="AC340" i="9"/>
  <c r="AC65" i="9"/>
  <c r="AC129" i="9"/>
  <c r="AC193" i="9"/>
  <c r="AC257" i="9"/>
  <c r="AC321" i="9"/>
  <c r="AC166" i="9"/>
  <c r="AC356" i="9"/>
  <c r="AC420" i="9"/>
  <c r="AC484" i="9"/>
  <c r="AC548" i="9"/>
  <c r="AC106" i="9"/>
  <c r="AC253" i="9"/>
  <c r="AC150" i="9"/>
  <c r="AC416" i="9"/>
  <c r="AC544" i="9"/>
  <c r="AC234" i="9"/>
  <c r="AC373" i="9"/>
  <c r="AC437" i="9"/>
  <c r="AC501" i="9"/>
  <c r="AC565" i="9"/>
  <c r="AC158" i="9"/>
  <c r="AC354" i="9"/>
  <c r="AC418" i="9"/>
  <c r="AC482" i="9"/>
  <c r="AC546" i="9"/>
  <c r="AC210" i="9"/>
  <c r="AC559" i="9"/>
  <c r="AC647" i="9"/>
  <c r="AC711" i="9"/>
  <c r="AC775" i="9"/>
  <c r="AC839" i="9"/>
  <c r="AC483" i="9"/>
  <c r="AC628" i="9"/>
  <c r="AC692" i="9"/>
  <c r="AC756" i="9"/>
  <c r="AC820" i="9"/>
  <c r="AC359" i="9"/>
  <c r="AC597" i="9"/>
  <c r="AC661" i="9"/>
  <c r="AC725" i="9"/>
  <c r="AC789" i="9"/>
  <c r="AC853" i="9"/>
  <c r="AC718" i="9"/>
  <c r="AC885" i="9"/>
  <c r="AC949" i="9"/>
  <c r="AC730" i="9"/>
  <c r="AC347" i="9"/>
  <c r="AC786" i="9"/>
  <c r="AC902" i="9"/>
  <c r="AC966" i="9"/>
  <c r="AC851" i="9"/>
  <c r="AC491" i="9"/>
  <c r="AC822" i="9"/>
  <c r="AC201" i="9"/>
  <c r="AC329" i="9"/>
  <c r="AC364" i="9"/>
  <c r="AC492" i="9"/>
  <c r="AC122" i="9"/>
  <c r="AC345" i="9"/>
  <c r="AC409" i="9"/>
  <c r="AC473" i="9"/>
  <c r="AC537" i="9"/>
  <c r="AC46" i="9"/>
  <c r="AC302" i="9"/>
  <c r="AC390" i="9"/>
  <c r="AC454" i="9"/>
  <c r="AC518" i="9"/>
  <c r="AC582" i="9"/>
  <c r="AC447" i="9"/>
  <c r="AC619" i="9"/>
  <c r="AC683" i="9"/>
  <c r="AC747" i="9"/>
  <c r="AC811" i="9"/>
  <c r="AC371" i="9"/>
  <c r="AC600" i="9"/>
  <c r="AC664" i="9"/>
  <c r="AC728" i="9"/>
  <c r="AC792" i="9"/>
  <c r="AC856" i="9"/>
  <c r="AC503" i="9"/>
  <c r="AC633" i="9"/>
  <c r="AC697" i="9"/>
  <c r="AC761" i="9"/>
  <c r="AC825" i="9"/>
  <c r="AC606" i="9"/>
  <c r="AC854" i="9"/>
  <c r="AC921" i="9"/>
  <c r="AC985" i="9"/>
  <c r="AC940" i="9"/>
  <c r="AC674" i="9"/>
  <c r="AC874" i="9"/>
  <c r="AC938" i="9"/>
  <c r="AC379" i="9"/>
  <c r="AC960" i="9"/>
  <c r="AC710" i="9"/>
  <c r="AC883" i="9"/>
  <c r="AC269" i="9"/>
  <c r="AC214" i="9"/>
  <c r="AC432" i="9"/>
  <c r="AC560" i="9"/>
  <c r="AC266" i="9"/>
  <c r="AC381" i="9"/>
  <c r="AC445" i="9"/>
  <c r="AC509" i="9"/>
  <c r="AC573" i="9"/>
  <c r="AC190" i="9"/>
  <c r="AC51" i="9"/>
  <c r="AC115" i="9"/>
  <c r="AC179" i="9"/>
  <c r="AC243" i="9"/>
  <c r="AC307" i="9"/>
  <c r="AC56" i="9"/>
  <c r="AC120" i="9"/>
  <c r="AC184" i="9"/>
  <c r="AC248" i="9"/>
  <c r="AC312" i="9"/>
  <c r="AC37" i="9"/>
  <c r="AC101" i="9"/>
  <c r="AC165" i="9"/>
  <c r="AC229" i="9"/>
  <c r="AC293" i="9"/>
  <c r="AC54" i="9"/>
  <c r="AC310" i="9"/>
  <c r="AC392" i="9"/>
  <c r="AC456" i="9"/>
  <c r="AC520" i="9"/>
  <c r="AC584" i="9"/>
  <c r="AC39" i="9"/>
  <c r="AC103" i="9"/>
  <c r="AC167" i="9"/>
  <c r="AC231" i="9"/>
  <c r="AC295" i="9"/>
  <c r="AC44" i="9"/>
  <c r="AC108" i="9"/>
  <c r="AC172" i="9"/>
  <c r="AC236" i="9"/>
  <c r="AC300" i="9"/>
  <c r="AC25" i="9"/>
  <c r="AC89" i="9"/>
  <c r="AC153" i="9"/>
  <c r="AC43" i="9"/>
  <c r="AC107" i="9"/>
  <c r="AC171" i="9"/>
  <c r="AC235" i="9"/>
  <c r="AC299" i="9"/>
  <c r="AC48" i="9"/>
  <c r="AC112" i="9"/>
  <c r="AC176" i="9"/>
  <c r="AC240" i="9"/>
  <c r="AC304" i="9"/>
  <c r="AC29" i="9"/>
  <c r="AC93" i="9"/>
  <c r="AC31" i="9"/>
  <c r="AC95" i="9"/>
  <c r="AC159" i="9"/>
  <c r="AC223" i="9"/>
  <c r="AC287" i="9"/>
  <c r="AC36" i="9"/>
  <c r="AC100" i="9"/>
  <c r="AC164" i="9"/>
  <c r="AC228" i="9"/>
  <c r="AC292" i="9"/>
  <c r="AC17" i="9"/>
  <c r="AC81" i="9"/>
  <c r="AC145" i="9"/>
  <c r="AC209" i="9"/>
  <c r="AC273" i="9"/>
  <c r="AC337" i="9"/>
  <c r="AC230" i="9"/>
  <c r="AC372" i="9"/>
  <c r="AC436" i="9"/>
  <c r="AC500" i="9"/>
  <c r="AC564" i="9"/>
  <c r="AC141" i="9"/>
  <c r="AC285" i="9"/>
  <c r="AC278" i="9"/>
  <c r="AC448" i="9"/>
  <c r="AC576" i="9"/>
  <c r="AC298" i="9"/>
  <c r="AC389" i="9"/>
  <c r="AC453" i="9"/>
  <c r="AC517" i="9"/>
  <c r="AC581" i="9"/>
  <c r="AC222" i="9"/>
  <c r="AC370" i="9"/>
  <c r="AC434" i="9"/>
  <c r="AC498" i="9"/>
  <c r="AC562" i="9"/>
  <c r="AC367" i="9"/>
  <c r="AC599" i="9"/>
  <c r="AC663" i="9"/>
  <c r="AC727" i="9"/>
  <c r="AC791" i="9"/>
  <c r="AC162" i="9"/>
  <c r="AC547" i="9"/>
  <c r="AC644" i="9"/>
  <c r="AC708" i="9"/>
  <c r="AC772" i="9"/>
  <c r="AC836" i="9"/>
  <c r="AC423" i="9"/>
  <c r="AC613" i="9"/>
  <c r="AC677" i="9"/>
  <c r="AC741" i="9"/>
  <c r="AC805" i="9"/>
  <c r="AC319" i="9"/>
  <c r="AC782" i="9"/>
  <c r="AC901" i="9"/>
  <c r="AC965" i="9"/>
  <c r="AC880" i="9"/>
  <c r="AC593" i="9"/>
  <c r="AC847" i="9"/>
  <c r="AC918" i="9"/>
  <c r="AC982" i="9"/>
  <c r="AC900" i="9"/>
  <c r="AC630" i="9"/>
  <c r="AC863" i="9"/>
  <c r="AC233" i="9"/>
  <c r="AC70" i="9"/>
  <c r="AC396" i="9"/>
  <c r="AC524" i="9"/>
  <c r="AC186" i="9"/>
  <c r="AC361" i="9"/>
  <c r="AC425" i="9"/>
  <c r="AC489" i="9"/>
  <c r="AC553" i="9"/>
  <c r="AC110" i="9"/>
  <c r="AC342" i="9"/>
  <c r="AC406" i="9"/>
  <c r="AC470" i="9"/>
  <c r="AC534" i="9"/>
  <c r="AC18" i="9"/>
  <c r="AC511" i="9"/>
  <c r="AC635" i="9"/>
  <c r="AC699" i="9"/>
  <c r="AC763" i="9"/>
  <c r="AC827" i="9"/>
  <c r="AC435" i="9"/>
  <c r="AC616" i="9"/>
  <c r="AC680" i="9"/>
  <c r="AC744" i="9"/>
  <c r="AC808" i="9"/>
  <c r="AC242" i="9"/>
  <c r="AC567" i="9"/>
  <c r="AC649" i="9"/>
  <c r="AC713" i="9"/>
  <c r="AC777" i="9"/>
  <c r="AC841" i="9"/>
  <c r="AC670" i="9"/>
  <c r="AC873" i="9"/>
  <c r="AC937" i="9"/>
  <c r="AC443" i="9"/>
  <c r="AC988" i="9"/>
  <c r="AC738" i="9"/>
  <c r="AC890" i="9"/>
  <c r="AC954" i="9"/>
  <c r="AC714" i="9"/>
  <c r="AC194" i="9"/>
  <c r="AC774" i="9"/>
  <c r="AC173" i="9"/>
  <c r="AC301" i="9"/>
  <c r="AC330" i="9"/>
  <c r="AC464" i="9"/>
  <c r="AC26" i="9"/>
  <c r="AC323" i="9"/>
  <c r="AC397" i="9"/>
  <c r="AC461" i="9"/>
  <c r="AC525" i="9"/>
  <c r="AC589" i="9"/>
  <c r="AC254" i="9"/>
  <c r="AC378" i="9"/>
  <c r="AC442" i="9"/>
  <c r="AC506" i="9"/>
  <c r="AC570" i="9"/>
  <c r="AC399" i="9"/>
  <c r="AC607" i="9"/>
  <c r="AC671" i="9"/>
  <c r="AC362" i="9"/>
  <c r="AC490" i="9"/>
  <c r="AC586" i="9"/>
  <c r="AC527" i="9"/>
  <c r="AC655" i="9"/>
  <c r="AC735" i="9"/>
  <c r="AC799" i="9"/>
  <c r="AC290" i="9"/>
  <c r="AC579" i="9"/>
  <c r="AC652" i="9"/>
  <c r="AC716" i="9"/>
  <c r="AC780" i="9"/>
  <c r="AC844" i="9"/>
  <c r="AC455" i="9"/>
  <c r="AC621" i="9"/>
  <c r="AC685" i="9"/>
  <c r="AC749" i="9"/>
  <c r="AC813" i="9"/>
  <c r="AC459" i="9"/>
  <c r="AC814" i="9"/>
  <c r="AC909" i="9"/>
  <c r="AC973" i="9"/>
  <c r="AC904" i="9"/>
  <c r="AC626" i="9"/>
  <c r="AC862" i="9"/>
  <c r="AC926" i="9"/>
  <c r="AC990" i="9"/>
  <c r="AC920" i="9"/>
  <c r="AC944" i="9"/>
  <c r="AC999" i="9"/>
  <c r="AC935" i="9"/>
  <c r="AC850" i="9"/>
  <c r="AC978" i="9"/>
  <c r="AC868" i="9"/>
  <c r="AC66" i="9"/>
  <c r="AC609" i="9"/>
  <c r="AC704" i="9"/>
  <c r="AC787" i="9"/>
  <c r="AC351" i="9"/>
  <c r="AC366" i="9"/>
  <c r="AC449" i="9"/>
  <c r="AC444" i="9"/>
  <c r="AC936" i="9"/>
  <c r="AC995" i="9"/>
  <c r="AC931" i="9"/>
  <c r="AC806" i="9"/>
  <c r="AC962" i="9"/>
  <c r="AC682" i="9"/>
  <c r="AC849" i="9"/>
  <c r="AC592" i="9"/>
  <c r="AC688" i="9"/>
  <c r="AC771" i="9"/>
  <c r="AC146" i="9"/>
  <c r="AC350" i="9"/>
  <c r="AC433" i="9"/>
  <c r="AC412" i="9"/>
  <c r="AC924" i="9"/>
  <c r="AC991" i="9"/>
  <c r="AC927" i="9"/>
  <c r="AC790" i="9"/>
  <c r="AC946" i="9"/>
  <c r="AC993" i="9"/>
  <c r="AC833" i="9"/>
  <c r="AC535" i="9"/>
  <c r="AC672" i="9"/>
  <c r="AC755" i="9"/>
  <c r="AC590" i="9"/>
  <c r="AC326" i="9"/>
  <c r="AC417" i="9"/>
  <c r="AC380" i="9"/>
  <c r="AC956" i="9"/>
  <c r="AC258" i="9"/>
  <c r="AC939" i="9"/>
  <c r="AC858" i="9"/>
  <c r="AC994" i="9"/>
  <c r="AC916" i="9"/>
  <c r="AC523" i="9"/>
  <c r="AC625" i="9"/>
  <c r="AC720" i="9"/>
  <c r="AC803" i="9"/>
  <c r="AC415" i="9"/>
  <c r="AC382" i="9"/>
  <c r="AC465" i="9"/>
  <c r="AC476" i="9"/>
  <c r="AC410" i="9"/>
  <c r="AC522" i="9"/>
  <c r="AC82" i="9"/>
  <c r="AC588" i="9"/>
  <c r="AC687" i="9"/>
  <c r="AC751" i="9"/>
  <c r="AC815" i="9"/>
  <c r="AC387" i="9"/>
  <c r="AC604" i="9"/>
  <c r="AC668" i="9"/>
  <c r="AC732" i="9"/>
  <c r="AC796" i="9"/>
  <c r="AC50" i="9"/>
  <c r="AC519" i="9"/>
  <c r="AC637" i="9"/>
  <c r="AC701" i="9"/>
  <c r="AC765" i="9"/>
  <c r="AC829" i="9"/>
  <c r="AC622" i="9"/>
  <c r="AC860" i="9"/>
  <c r="AC925" i="9"/>
  <c r="AC989" i="9"/>
  <c r="AC952" i="9"/>
  <c r="AC690" i="9"/>
  <c r="AC878" i="9"/>
  <c r="AC942" i="9"/>
  <c r="AC571" i="9"/>
  <c r="AC972" i="9"/>
  <c r="AC896" i="9"/>
  <c r="AC983" i="9"/>
  <c r="AC919" i="9"/>
  <c r="AC726" i="9"/>
  <c r="AC914" i="9"/>
  <c r="AC961" i="9"/>
  <c r="AC801" i="9"/>
  <c r="AC407" i="9"/>
  <c r="AC640" i="9"/>
  <c r="AC723" i="9"/>
  <c r="AC558" i="9"/>
  <c r="AC206" i="9"/>
  <c r="AC385" i="9"/>
  <c r="AC262" i="9"/>
  <c r="AC888" i="9"/>
  <c r="AC979" i="9"/>
  <c r="AC915" i="9"/>
  <c r="AC678" i="9"/>
  <c r="AC898" i="9"/>
  <c r="AC945" i="9"/>
  <c r="AC785" i="9"/>
  <c r="AC343" i="9"/>
  <c r="AC624" i="9"/>
  <c r="AC707" i="9"/>
  <c r="AC542" i="9"/>
  <c r="AC142" i="9"/>
  <c r="AC369" i="9"/>
  <c r="AC134" i="9"/>
  <c r="AC872" i="9"/>
  <c r="AC975" i="9"/>
  <c r="AC911" i="9"/>
  <c r="AC662" i="9"/>
  <c r="AC882" i="9"/>
  <c r="AC929" i="9"/>
  <c r="AC769" i="9"/>
  <c r="AC114" i="9"/>
  <c r="AC608" i="9"/>
  <c r="AC691" i="9"/>
  <c r="AC526" i="9"/>
  <c r="AC78" i="9"/>
  <c r="AC353" i="9"/>
  <c r="AC6" i="9"/>
  <c r="AC908" i="9"/>
  <c r="AC987" i="9"/>
  <c r="AC923" i="9"/>
  <c r="AC742" i="9"/>
  <c r="AC930" i="9"/>
  <c r="AC977" i="9"/>
  <c r="AC817" i="9"/>
  <c r="AC471" i="9"/>
  <c r="AC656" i="9"/>
  <c r="AC739" i="9"/>
  <c r="AC574" i="9"/>
  <c r="AC270" i="9"/>
  <c r="AC401" i="9"/>
  <c r="AC348" i="9"/>
  <c r="AC426" i="9"/>
  <c r="AC538" i="9"/>
  <c r="AC327" i="9"/>
  <c r="AC623" i="9"/>
  <c r="AC703" i="9"/>
  <c r="AC767" i="9"/>
  <c r="AC831" i="9"/>
  <c r="AC451" i="9"/>
  <c r="AC620" i="9"/>
  <c r="AC684" i="9"/>
  <c r="AC748" i="9"/>
  <c r="AC812" i="9"/>
  <c r="AC306" i="9"/>
  <c r="AC583" i="9"/>
  <c r="AC653" i="9"/>
  <c r="AC717" i="9"/>
  <c r="AC781" i="9"/>
  <c r="AC845" i="9"/>
  <c r="AC686" i="9"/>
  <c r="AC877" i="9"/>
  <c r="AC941" i="9"/>
  <c r="AC634" i="9"/>
  <c r="AC1000" i="9"/>
  <c r="AC754" i="9"/>
  <c r="AC894" i="9"/>
  <c r="AC958" i="9"/>
  <c r="AC746" i="9"/>
  <c r="AC363" i="9"/>
  <c r="AC842" i="9"/>
  <c r="AC967" i="9"/>
  <c r="AC903" i="9"/>
  <c r="AC598" i="9"/>
  <c r="AC834" i="9"/>
  <c r="AC897" i="9"/>
  <c r="AC737" i="9"/>
  <c r="AC832" i="9"/>
  <c r="AC531" i="9"/>
  <c r="AC659" i="9"/>
  <c r="AC494" i="9"/>
  <c r="AC577" i="9"/>
  <c r="AC282" i="9"/>
  <c r="AC281" i="9"/>
  <c r="AC794" i="9"/>
  <c r="AC963" i="9"/>
  <c r="AC899" i="9"/>
  <c r="AC427" i="9"/>
  <c r="AC770" i="9"/>
  <c r="AC881" i="9"/>
  <c r="AC721" i="9"/>
  <c r="AC816" i="9"/>
  <c r="AC467" i="9"/>
  <c r="AC643" i="9"/>
  <c r="AC478" i="9"/>
  <c r="AC561" i="9"/>
  <c r="AC218" i="9"/>
  <c r="AC249" i="9"/>
  <c r="AC762" i="9"/>
  <c r="AC959" i="9"/>
  <c r="AC895" i="9"/>
  <c r="AC984" i="9"/>
  <c r="AC706" i="9"/>
  <c r="AC865" i="9"/>
  <c r="AC705" i="9"/>
  <c r="AC800" i="9"/>
  <c r="AC403" i="9"/>
  <c r="AC627" i="9"/>
  <c r="AC462" i="9"/>
  <c r="AC545" i="9"/>
  <c r="AC154" i="9"/>
  <c r="AC217" i="9"/>
  <c r="AC859" i="9"/>
  <c r="AC971" i="9"/>
  <c r="AC907" i="9"/>
  <c r="AC614" i="9"/>
  <c r="AC866" i="9"/>
  <c r="AC913" i="9"/>
  <c r="AC753" i="9"/>
  <c r="AC848" i="9"/>
  <c r="AC591" i="9"/>
  <c r="AC675" i="9"/>
  <c r="AC510" i="9"/>
  <c r="AC14" i="9"/>
  <c r="AC331" i="9"/>
  <c r="AC313" i="9"/>
  <c r="AC474" i="9"/>
  <c r="AC554" i="9"/>
  <c r="AC463" i="9"/>
  <c r="AC639" i="9"/>
  <c r="AC719" i="9"/>
  <c r="AC783" i="9"/>
  <c r="AC34" i="9"/>
  <c r="AC515" i="9"/>
  <c r="AC636" i="9"/>
  <c r="AC700" i="9"/>
  <c r="AC764" i="9"/>
  <c r="AC828" i="9"/>
  <c r="AC391" i="9"/>
  <c r="AC605" i="9"/>
  <c r="AC669" i="9"/>
  <c r="AC733" i="9"/>
  <c r="AC797" i="9"/>
  <c r="AC861" i="9"/>
  <c r="AC750" i="9"/>
  <c r="AC893" i="9"/>
  <c r="AC957" i="9"/>
  <c r="AC826" i="9"/>
  <c r="AC475" i="9"/>
  <c r="AC818" i="9"/>
  <c r="AC910" i="9"/>
  <c r="AC974" i="9"/>
  <c r="AC876" i="9"/>
  <c r="AC992" i="9"/>
  <c r="AC650" i="9"/>
  <c r="AC951" i="9"/>
  <c r="AC887" i="9"/>
  <c r="AC884" i="9"/>
  <c r="AC539" i="9"/>
  <c r="AC766" i="9"/>
  <c r="AC673" i="9"/>
  <c r="AC768" i="9"/>
  <c r="AC98" i="9"/>
  <c r="AC595" i="9"/>
  <c r="AC430" i="9"/>
  <c r="AC513" i="9"/>
  <c r="AC572" i="9"/>
  <c r="AC980" i="9"/>
  <c r="AC602" i="9"/>
  <c r="AC947" i="9"/>
  <c r="AC875" i="9"/>
  <c r="AC810" i="9"/>
  <c r="AC130" i="9"/>
  <c r="AC702" i="9"/>
  <c r="AC657" i="9"/>
  <c r="AC752" i="9"/>
  <c r="AC835" i="9"/>
  <c r="AC543" i="9"/>
  <c r="AC414" i="9"/>
  <c r="AC497" i="9"/>
  <c r="AC540" i="9"/>
  <c r="AC968" i="9"/>
  <c r="AC507" i="9"/>
  <c r="AC943" i="9"/>
  <c r="AC871" i="9"/>
  <c r="AC618" i="9"/>
  <c r="AC964" i="9"/>
  <c r="AC638" i="9"/>
  <c r="AC641" i="9"/>
  <c r="AC736" i="9"/>
  <c r="AC819" i="9"/>
  <c r="AC479" i="9"/>
  <c r="AC398" i="9"/>
  <c r="AC481" i="9"/>
  <c r="AC508" i="9"/>
  <c r="AC698" i="9"/>
  <c r="AC955" i="9"/>
  <c r="AC891" i="9"/>
  <c r="AC932" i="9"/>
  <c r="AC642" i="9"/>
  <c r="AC830" i="9"/>
  <c r="AC689" i="9"/>
  <c r="AC784" i="9"/>
  <c r="AC335" i="9"/>
  <c r="AC611" i="9"/>
  <c r="AC446" i="9"/>
  <c r="AC529" i="9"/>
  <c r="AC74" i="9"/>
  <c r="AC185" i="9"/>
  <c r="AC2" i="9"/>
  <c r="AO25" i="9"/>
  <c r="AR24" i="9"/>
  <c r="AR25" i="9"/>
  <c r="AR23" i="9"/>
  <c r="P107" i="30"/>
  <c r="P108" i="30" s="1"/>
  <c r="O107" i="30"/>
  <c r="O108" i="30" s="1"/>
  <c r="N107" i="30"/>
  <c r="N108" i="30" s="1"/>
  <c r="EH46" i="56"/>
  <c r="AO131" i="9"/>
  <c r="AO133" i="9"/>
  <c r="AO132" i="9"/>
  <c r="EH23" i="56"/>
  <c r="AR131" i="9"/>
  <c r="AR133" i="9"/>
  <c r="AR132" i="9"/>
  <c r="R16" i="7"/>
  <c r="R15" i="7"/>
  <c r="P16" i="7"/>
  <c r="P15" i="7"/>
  <c r="Q16" i="7"/>
  <c r="Q15" i="7"/>
  <c r="AK31" i="53"/>
  <c r="AK16" i="53"/>
  <c r="AK92" i="53"/>
  <c r="AK107" i="53"/>
  <c r="AK48" i="53"/>
  <c r="AK77" i="53"/>
  <c r="AK198" i="53"/>
  <c r="AK213" i="53"/>
  <c r="AK151" i="53"/>
  <c r="AK167" i="53"/>
  <c r="AK212" i="53"/>
  <c r="AK227" i="53"/>
  <c r="AK18" i="53"/>
  <c r="AK78" i="53"/>
  <c r="AK108" i="53"/>
  <c r="AK123" i="53"/>
  <c r="AK61" i="53"/>
  <c r="AK106" i="53"/>
  <c r="AK226" i="53"/>
  <c r="AK136" i="53"/>
  <c r="AK152" i="53"/>
  <c r="AK168" i="53"/>
  <c r="AK228" i="53"/>
  <c r="AK241" i="53"/>
  <c r="AK32" i="53"/>
  <c r="AK33" i="53"/>
  <c r="AK121" i="53"/>
  <c r="AK91" i="53"/>
  <c r="AK47" i="53"/>
  <c r="AK63" i="53"/>
  <c r="AK183" i="53"/>
  <c r="AK197" i="53"/>
  <c r="AK138" i="53"/>
  <c r="AK166" i="53"/>
  <c r="AK196" i="53"/>
  <c r="AK211" i="53"/>
  <c r="AK17" i="53"/>
  <c r="AK93" i="53"/>
  <c r="AK76" i="53"/>
  <c r="AK46" i="53"/>
  <c r="AK62" i="53"/>
  <c r="AK122" i="53"/>
  <c r="AK242" i="53"/>
  <c r="AK137" i="53"/>
  <c r="AK153" i="53"/>
  <c r="AK181" i="53"/>
  <c r="AK182" i="53"/>
  <c r="AK243" i="53"/>
  <c r="AK15" i="53"/>
  <c r="AK223" i="53"/>
  <c r="AK118" i="53"/>
  <c r="AK75" i="53"/>
  <c r="AK208" i="53"/>
  <c r="AK59" i="53"/>
  <c r="AK105" i="53"/>
  <c r="AK163" i="53"/>
  <c r="AK119" i="53"/>
  <c r="AK29" i="53"/>
  <c r="AK225" i="53"/>
  <c r="AK210" i="53"/>
  <c r="AK148" i="53"/>
  <c r="AK238" i="53"/>
  <c r="AK133" i="53"/>
  <c r="AK239" i="53"/>
  <c r="AK134" i="53"/>
  <c r="AK28" i="53"/>
  <c r="AK224" i="53"/>
  <c r="AK60" i="53"/>
  <c r="AK14" i="53"/>
  <c r="AK164" i="53"/>
  <c r="AK135" i="53"/>
  <c r="AK88" i="53"/>
  <c r="AK44" i="53"/>
  <c r="AK104" i="53"/>
  <c r="AK240" i="53"/>
  <c r="AK180" i="53"/>
  <c r="AK43" i="53"/>
  <c r="AK165" i="53"/>
  <c r="AK179" i="53"/>
  <c r="AK74" i="53"/>
  <c r="AK149" i="53"/>
  <c r="AK73" i="53"/>
  <c r="AK30" i="53"/>
  <c r="AK193" i="53"/>
  <c r="AK13" i="53"/>
  <c r="AK178" i="53"/>
  <c r="AK194" i="53"/>
  <c r="AK120" i="53"/>
  <c r="AK150" i="53"/>
  <c r="AK90" i="53"/>
  <c r="AK45" i="53"/>
  <c r="AK209" i="53"/>
  <c r="AK58" i="53"/>
  <c r="AK89" i="53"/>
  <c r="AK195" i="53"/>
  <c r="AK103" i="53"/>
  <c r="AK405" i="53"/>
  <c r="AK419" i="53"/>
  <c r="AK283" i="53"/>
  <c r="AK389" i="53"/>
  <c r="AK313" i="53"/>
  <c r="AK314" i="53"/>
  <c r="AK433" i="53"/>
  <c r="AK284" i="53"/>
  <c r="AK270" i="53"/>
  <c r="AK480" i="53"/>
  <c r="AK420" i="53"/>
  <c r="AK344" i="53"/>
  <c r="AK418" i="53"/>
  <c r="AK330" i="53"/>
  <c r="AK285" i="53"/>
  <c r="AK390" i="53"/>
  <c r="AK298" i="53"/>
  <c r="AK329" i="53"/>
  <c r="AK449" i="53"/>
  <c r="AK343" i="53"/>
  <c r="AK253" i="53"/>
  <c r="AK435" i="53"/>
  <c r="AK434" i="53"/>
  <c r="AK360" i="53"/>
  <c r="AK358" i="53"/>
  <c r="AK345" i="53"/>
  <c r="AK448" i="53"/>
  <c r="AK299" i="53"/>
  <c r="AK269" i="53"/>
  <c r="AK403" i="53"/>
  <c r="AK359" i="53"/>
  <c r="AK255" i="53"/>
  <c r="AK465" i="53"/>
  <c r="AK450" i="53"/>
  <c r="AK315" i="53"/>
  <c r="AK463" i="53"/>
  <c r="AK373" i="53"/>
  <c r="AK464" i="53"/>
  <c r="AK374" i="53"/>
  <c r="AK268" i="53"/>
  <c r="AK404" i="53"/>
  <c r="AK300" i="53"/>
  <c r="AK254" i="53"/>
  <c r="AK388" i="53"/>
  <c r="AK375" i="53"/>
  <c r="AK328" i="53"/>
  <c r="AK479" i="53"/>
  <c r="AK478" i="53"/>
  <c r="AI17" i="53"/>
  <c r="AI93" i="53"/>
  <c r="AI76" i="53"/>
  <c r="AI46" i="53"/>
  <c r="AI62" i="53"/>
  <c r="AI122" i="53"/>
  <c r="AI242" i="53"/>
  <c r="AI137" i="53"/>
  <c r="AI153" i="53"/>
  <c r="AI181" i="53"/>
  <c r="AI182" i="53"/>
  <c r="AI243" i="53"/>
  <c r="AI32" i="53"/>
  <c r="AI33" i="53"/>
  <c r="AI121" i="53"/>
  <c r="AI91" i="53"/>
  <c r="AI47" i="53"/>
  <c r="AI63" i="53"/>
  <c r="AI183" i="53"/>
  <c r="AI197" i="53"/>
  <c r="AI138" i="53"/>
  <c r="AI166" i="53"/>
  <c r="AI196" i="53"/>
  <c r="AI211" i="53"/>
  <c r="AI31" i="53"/>
  <c r="AI16" i="53"/>
  <c r="AI92" i="53"/>
  <c r="AI107" i="53"/>
  <c r="AI48" i="53"/>
  <c r="AI77" i="53"/>
  <c r="AI198" i="53"/>
  <c r="AI213" i="53"/>
  <c r="AI151" i="53"/>
  <c r="AI167" i="53"/>
  <c r="AI212" i="53"/>
  <c r="AI227" i="53"/>
  <c r="AI18" i="53"/>
  <c r="AI78" i="53"/>
  <c r="AI108" i="53"/>
  <c r="AI123" i="53"/>
  <c r="AI61" i="53"/>
  <c r="AI106" i="53"/>
  <c r="AI226" i="53"/>
  <c r="AI136" i="53"/>
  <c r="AI152" i="53"/>
  <c r="AI168" i="53"/>
  <c r="AI228" i="53"/>
  <c r="AI241" i="53"/>
  <c r="Y23" i="15"/>
  <c r="W23" i="15"/>
  <c r="X23" i="15"/>
  <c r="Z7" i="15"/>
  <c r="EH68" i="56"/>
  <c r="CF70" i="56"/>
  <c r="CE70" i="56"/>
  <c r="CG70" i="56"/>
  <c r="EH44" i="56"/>
  <c r="EH67" i="56" s="1"/>
  <c r="K106" i="32"/>
  <c r="K108" i="32"/>
  <c r="K107" i="32"/>
  <c r="AR600" i="9"/>
  <c r="AR601" i="9"/>
  <c r="AR599" i="9"/>
  <c r="AT599" i="9" s="1"/>
  <c r="AO600" i="9"/>
  <c r="AO601" i="9"/>
  <c r="AO565" i="9"/>
  <c r="AO563" i="9"/>
  <c r="AR564" i="9"/>
  <c r="AT564" i="9" s="1"/>
  <c r="AR565" i="9"/>
  <c r="AR563" i="9"/>
  <c r="AO529" i="9"/>
  <c r="AO528" i="9"/>
  <c r="AR527" i="9"/>
  <c r="AT527" i="9" s="1"/>
  <c r="AR529" i="9"/>
  <c r="AR528" i="9"/>
  <c r="AO493" i="9"/>
  <c r="AO492" i="9"/>
  <c r="AR492" i="9"/>
  <c r="AR493" i="9"/>
  <c r="AR491" i="9"/>
  <c r="AT491" i="9" s="1"/>
  <c r="AO455" i="9"/>
  <c r="AO456" i="9"/>
  <c r="AO457" i="9"/>
  <c r="AR455" i="9"/>
  <c r="AR457" i="9"/>
  <c r="AR456" i="9"/>
  <c r="AO421" i="9"/>
  <c r="AO420" i="9"/>
  <c r="AR420" i="9"/>
  <c r="AR421" i="9"/>
  <c r="AR419" i="9"/>
  <c r="AT419" i="9" s="1"/>
  <c r="AO385" i="9"/>
  <c r="AO384" i="9"/>
  <c r="AR385" i="9"/>
  <c r="AR383" i="9"/>
  <c r="AT383" i="9" s="1"/>
  <c r="AR384" i="9"/>
  <c r="AO348" i="9"/>
  <c r="AO349" i="9"/>
  <c r="AR348" i="9"/>
  <c r="AR349" i="9"/>
  <c r="AR347" i="9"/>
  <c r="AT347" i="9" s="1"/>
  <c r="AO313" i="9"/>
  <c r="AO312" i="9"/>
  <c r="AR313" i="9"/>
  <c r="AR311" i="9"/>
  <c r="AT311" i="9" s="1"/>
  <c r="AR312" i="9"/>
  <c r="AO277" i="9"/>
  <c r="AR277" i="9"/>
  <c r="AR275" i="9"/>
  <c r="AT275" i="9" s="1"/>
  <c r="AR276" i="9"/>
  <c r="AT276" i="9" s="1"/>
  <c r="AO241" i="9"/>
  <c r="AO240" i="9"/>
  <c r="AR240" i="9"/>
  <c r="AR241" i="9"/>
  <c r="AR239" i="9"/>
  <c r="AT239" i="9" s="1"/>
  <c r="AR205" i="9"/>
  <c r="AR203" i="9"/>
  <c r="AR204" i="9"/>
  <c r="AO204" i="9"/>
  <c r="AO205" i="9"/>
  <c r="AT205" i="9" s="1"/>
  <c r="AO203" i="9"/>
  <c r="AT203" i="9" s="1"/>
  <c r="AO650" i="9"/>
  <c r="AO168" i="9"/>
  <c r="AO169" i="9"/>
  <c r="AP650" i="9"/>
  <c r="AR650" i="9"/>
  <c r="AR169" i="9"/>
  <c r="AR167" i="9"/>
  <c r="AT167" i="9" s="1"/>
  <c r="AR168" i="9"/>
  <c r="AS638" i="9"/>
  <c r="AS650" i="9"/>
  <c r="AO626" i="9"/>
  <c r="AO638" i="9"/>
  <c r="AP638" i="9"/>
  <c r="AR638" i="9"/>
  <c r="AR626" i="9"/>
  <c r="AT626" i="9" s="1"/>
  <c r="AS614" i="9"/>
  <c r="AS626" i="9"/>
  <c r="AP614" i="9"/>
  <c r="AP626" i="9"/>
  <c r="AR614" i="9"/>
  <c r="AO602" i="9"/>
  <c r="AO614" i="9"/>
  <c r="AP602" i="9"/>
  <c r="AR602" i="9"/>
  <c r="AS602" i="9"/>
  <c r="AO578" i="9"/>
  <c r="AR578" i="9"/>
  <c r="AS578" i="9"/>
  <c r="AP578" i="9"/>
  <c r="E11" i="45"/>
  <c r="E14" i="45" s="1"/>
  <c r="F11" i="45"/>
  <c r="F14" i="45" s="1"/>
  <c r="AJ17" i="53"/>
  <c r="AJ93" i="53"/>
  <c r="AJ76" i="53"/>
  <c r="AJ46" i="53"/>
  <c r="AJ62" i="53"/>
  <c r="AJ122" i="53"/>
  <c r="AJ242" i="53"/>
  <c r="AJ137" i="53"/>
  <c r="AJ153" i="53"/>
  <c r="AJ181" i="53"/>
  <c r="AJ182" i="53"/>
  <c r="AJ243" i="53"/>
  <c r="AJ32" i="53"/>
  <c r="AJ33" i="53"/>
  <c r="AJ121" i="53"/>
  <c r="AJ91" i="53"/>
  <c r="AJ47" i="53"/>
  <c r="AJ63" i="53"/>
  <c r="AJ183" i="53"/>
  <c r="AJ197" i="53"/>
  <c r="AJ138" i="53"/>
  <c r="AJ166" i="53"/>
  <c r="AJ196" i="53"/>
  <c r="AJ211" i="53"/>
  <c r="AJ31" i="53"/>
  <c r="AJ16" i="53"/>
  <c r="AJ92" i="53"/>
  <c r="AJ107" i="53"/>
  <c r="AJ48" i="53"/>
  <c r="AJ77" i="53"/>
  <c r="AJ198" i="53"/>
  <c r="AJ213" i="53"/>
  <c r="AJ151" i="53"/>
  <c r="AJ167" i="53"/>
  <c r="AJ212" i="53"/>
  <c r="AJ227" i="53"/>
  <c r="AJ18" i="53"/>
  <c r="AJ78" i="53"/>
  <c r="AJ108" i="53"/>
  <c r="AJ123" i="53"/>
  <c r="AJ61" i="53"/>
  <c r="AJ106" i="53"/>
  <c r="AJ226" i="53"/>
  <c r="AJ136" i="53"/>
  <c r="AJ152" i="53"/>
  <c r="AJ168" i="53"/>
  <c r="AJ228" i="53"/>
  <c r="AJ241" i="53"/>
  <c r="AH17" i="53"/>
  <c r="AH93" i="53"/>
  <c r="AH76" i="53"/>
  <c r="AH46" i="53"/>
  <c r="AH62" i="53"/>
  <c r="AH122" i="53"/>
  <c r="AH242" i="53"/>
  <c r="AH137" i="53"/>
  <c r="AH153" i="53"/>
  <c r="AH181" i="53"/>
  <c r="AH182" i="53"/>
  <c r="AH243" i="53"/>
  <c r="AH32" i="53"/>
  <c r="AH33" i="53"/>
  <c r="AH121" i="53"/>
  <c r="AH91" i="53"/>
  <c r="AH47" i="53"/>
  <c r="AH63" i="53"/>
  <c r="AH183" i="53"/>
  <c r="AH197" i="53"/>
  <c r="AH138" i="53"/>
  <c r="AH166" i="53"/>
  <c r="AH196" i="53"/>
  <c r="AH211" i="53"/>
  <c r="AH31" i="53"/>
  <c r="AH16" i="53"/>
  <c r="AH92" i="53"/>
  <c r="AH107" i="53"/>
  <c r="AH48" i="53"/>
  <c r="AH77" i="53"/>
  <c r="AH198" i="53"/>
  <c r="AH213" i="53"/>
  <c r="AH151" i="53"/>
  <c r="AH167" i="53"/>
  <c r="AH212" i="53"/>
  <c r="AH227" i="53"/>
  <c r="AH18" i="53"/>
  <c r="AH78" i="53"/>
  <c r="AH108" i="53"/>
  <c r="AH123" i="53"/>
  <c r="AH61" i="53"/>
  <c r="AH106" i="53"/>
  <c r="AH226" i="53"/>
  <c r="AH136" i="53"/>
  <c r="AH152" i="53"/>
  <c r="AH168" i="53"/>
  <c r="AH228" i="53"/>
  <c r="AH241" i="53"/>
  <c r="AP566" i="9"/>
  <c r="Z17" i="53"/>
  <c r="Z93" i="53"/>
  <c r="Z76" i="53"/>
  <c r="Z46" i="53"/>
  <c r="Z62" i="53"/>
  <c r="Z122" i="53"/>
  <c r="Z242" i="53"/>
  <c r="Z137" i="53"/>
  <c r="Z153" i="53"/>
  <c r="Z181" i="53"/>
  <c r="Z182" i="53"/>
  <c r="Z243" i="53"/>
  <c r="Z32" i="53"/>
  <c r="Z33" i="53"/>
  <c r="Z121" i="53"/>
  <c r="Z91" i="53"/>
  <c r="Z47" i="53"/>
  <c r="Z63" i="53"/>
  <c r="Z183" i="53"/>
  <c r="Z197" i="53"/>
  <c r="Z138" i="53"/>
  <c r="Z166" i="53"/>
  <c r="Z196" i="53"/>
  <c r="Z211" i="53"/>
  <c r="Z31" i="53"/>
  <c r="Z16" i="53"/>
  <c r="Z92" i="53"/>
  <c r="Z107" i="53"/>
  <c r="Z48" i="53"/>
  <c r="Z77" i="53"/>
  <c r="Z198" i="53"/>
  <c r="Z213" i="53"/>
  <c r="Z151" i="53"/>
  <c r="Z167" i="53"/>
  <c r="Z212" i="53"/>
  <c r="Z227" i="53"/>
  <c r="Z18" i="53"/>
  <c r="Z78" i="53"/>
  <c r="Z108" i="53"/>
  <c r="Z123" i="53"/>
  <c r="Z61" i="53"/>
  <c r="Z106" i="53"/>
  <c r="Z226" i="53"/>
  <c r="Z136" i="53"/>
  <c r="Z152" i="53"/>
  <c r="Z168" i="53"/>
  <c r="Z228" i="53"/>
  <c r="Z241" i="53"/>
  <c r="AO566" i="9"/>
  <c r="AS566" i="9"/>
  <c r="AR566" i="9"/>
  <c r="AO11" i="9"/>
  <c r="AO12" i="9"/>
  <c r="AO13" i="9"/>
  <c r="AR11" i="9"/>
  <c r="AR13" i="9"/>
  <c r="AR12" i="9"/>
  <c r="F13" i="30"/>
  <c r="T5" i="53"/>
  <c r="U5" i="53"/>
  <c r="AB272" i="53"/>
  <c r="AK272" i="53" s="1"/>
  <c r="AF32" i="53"/>
  <c r="AE32" i="53"/>
  <c r="AB273" i="53"/>
  <c r="AK273" i="53" s="1"/>
  <c r="AF33" i="53"/>
  <c r="AE33" i="53"/>
  <c r="AB361" i="53"/>
  <c r="AK361" i="53" s="1"/>
  <c r="AE121" i="53"/>
  <c r="AF121" i="53"/>
  <c r="AB331" i="53"/>
  <c r="AK331" i="53" s="1"/>
  <c r="AE91" i="53"/>
  <c r="AF91" i="53"/>
  <c r="AB287" i="53"/>
  <c r="AK287" i="53" s="1"/>
  <c r="AF47" i="53"/>
  <c r="AE47" i="53"/>
  <c r="AB303" i="53"/>
  <c r="AK303" i="53" s="1"/>
  <c r="AF63" i="53"/>
  <c r="AE63" i="53"/>
  <c r="AB423" i="53"/>
  <c r="AK423" i="53" s="1"/>
  <c r="AF183" i="53"/>
  <c r="AE183" i="53"/>
  <c r="AB437" i="53"/>
  <c r="AK437" i="53" s="1"/>
  <c r="AE197" i="53"/>
  <c r="AF197" i="53"/>
  <c r="AB378" i="53"/>
  <c r="AK378" i="53" s="1"/>
  <c r="AF138" i="53"/>
  <c r="AE138" i="53"/>
  <c r="AB406" i="53"/>
  <c r="AK406" i="53" s="1"/>
  <c r="AF166" i="53"/>
  <c r="AE166" i="53"/>
  <c r="AB436" i="53"/>
  <c r="AK436" i="53" s="1"/>
  <c r="AE196" i="53"/>
  <c r="AF196" i="53"/>
  <c r="AB451" i="53"/>
  <c r="AK451" i="53" s="1"/>
  <c r="AE211" i="53"/>
  <c r="AF211" i="53"/>
  <c r="AB271" i="53"/>
  <c r="AK271" i="53" s="1"/>
  <c r="AF31" i="53"/>
  <c r="AE31" i="53"/>
  <c r="AB256" i="53"/>
  <c r="AK256" i="53" s="1"/>
  <c r="AF16" i="53"/>
  <c r="AE16" i="53"/>
  <c r="AB332" i="53"/>
  <c r="AK332" i="53" s="1"/>
  <c r="AE92" i="53"/>
  <c r="AF92" i="53"/>
  <c r="AB347" i="53"/>
  <c r="AK347" i="53" s="1"/>
  <c r="AE107" i="53"/>
  <c r="AF107" i="53"/>
  <c r="AB288" i="53"/>
  <c r="AK288" i="53" s="1"/>
  <c r="AF48" i="53"/>
  <c r="AE48" i="53"/>
  <c r="AB317" i="53"/>
  <c r="AK317" i="53" s="1"/>
  <c r="AF77" i="53"/>
  <c r="AE77" i="53"/>
  <c r="AB438" i="53"/>
  <c r="AK438" i="53" s="1"/>
  <c r="AE198" i="53"/>
  <c r="AF198" i="53"/>
  <c r="AB453" i="53"/>
  <c r="AK453" i="53" s="1"/>
  <c r="AE213" i="53"/>
  <c r="AF213" i="53"/>
  <c r="AB391" i="53"/>
  <c r="AK391" i="53" s="1"/>
  <c r="AF151" i="53"/>
  <c r="AE151" i="53"/>
  <c r="AB407" i="53"/>
  <c r="AK407" i="53" s="1"/>
  <c r="AF167" i="53"/>
  <c r="AE167" i="53"/>
  <c r="AB452" i="53"/>
  <c r="AK452" i="53" s="1"/>
  <c r="AE212" i="53"/>
  <c r="AF212" i="53"/>
  <c r="AB467" i="53"/>
  <c r="AK467" i="53" s="1"/>
  <c r="AE227" i="53"/>
  <c r="AF227" i="53"/>
  <c r="AB258" i="53"/>
  <c r="AK258" i="53" s="1"/>
  <c r="AF18" i="53"/>
  <c r="AE18" i="53"/>
  <c r="AB318" i="53"/>
  <c r="AK318" i="53" s="1"/>
  <c r="AF78" i="53"/>
  <c r="AE78" i="53"/>
  <c r="AB348" i="53"/>
  <c r="AK348" i="53" s="1"/>
  <c r="AE108" i="53"/>
  <c r="AF108" i="53"/>
  <c r="AB363" i="53"/>
  <c r="AK363" i="53" s="1"/>
  <c r="AE123" i="53"/>
  <c r="AF123" i="53"/>
  <c r="AB301" i="53"/>
  <c r="AK301" i="53" s="1"/>
  <c r="AF61" i="53"/>
  <c r="AE61" i="53"/>
  <c r="AB346" i="53"/>
  <c r="AK346" i="53" s="1"/>
  <c r="AE106" i="53"/>
  <c r="AF106" i="53"/>
  <c r="AB466" i="53"/>
  <c r="AK466" i="53" s="1"/>
  <c r="AE226" i="53"/>
  <c r="AF226" i="53"/>
  <c r="AB376" i="53"/>
  <c r="AK376" i="53" s="1"/>
  <c r="AF136" i="53"/>
  <c r="AE136" i="53"/>
  <c r="AB392" i="53"/>
  <c r="AK392" i="53" s="1"/>
  <c r="AF152" i="53"/>
  <c r="AE152" i="53"/>
  <c r="AB408" i="53"/>
  <c r="AK408" i="53" s="1"/>
  <c r="AF168" i="53"/>
  <c r="AE168" i="53"/>
  <c r="AB468" i="53"/>
  <c r="AK468" i="53" s="1"/>
  <c r="AE228" i="53"/>
  <c r="AF228" i="53"/>
  <c r="AB481" i="53"/>
  <c r="AK481" i="53" s="1"/>
  <c r="AE241" i="53"/>
  <c r="AF241" i="53"/>
  <c r="AB257" i="53"/>
  <c r="AK257" i="53" s="1"/>
  <c r="AE17" i="53"/>
  <c r="AF17" i="53"/>
  <c r="AB333" i="53"/>
  <c r="AK333" i="53" s="1"/>
  <c r="AE93" i="53"/>
  <c r="AF93" i="53"/>
  <c r="AB316" i="53"/>
  <c r="AK316" i="53" s="1"/>
  <c r="AF76" i="53"/>
  <c r="AE76" i="53"/>
  <c r="AB286" i="53"/>
  <c r="AK286" i="53" s="1"/>
  <c r="AF46" i="53"/>
  <c r="AE46" i="53"/>
  <c r="AB302" i="53"/>
  <c r="AK302" i="53" s="1"/>
  <c r="AF62" i="53"/>
  <c r="AE62" i="53"/>
  <c r="AB362" i="53"/>
  <c r="AK362" i="53" s="1"/>
  <c r="AE122" i="53"/>
  <c r="AF122" i="53"/>
  <c r="AB482" i="53"/>
  <c r="AK482" i="53" s="1"/>
  <c r="AF242" i="53"/>
  <c r="AE242" i="53"/>
  <c r="AB377" i="53"/>
  <c r="AK377" i="53" s="1"/>
  <c r="AF137" i="53"/>
  <c r="AE137" i="53"/>
  <c r="AB393" i="53"/>
  <c r="AK393" i="53" s="1"/>
  <c r="AF153" i="53"/>
  <c r="AE153" i="53"/>
  <c r="AB421" i="53"/>
  <c r="AK421" i="53" s="1"/>
  <c r="AF181" i="53"/>
  <c r="AE181" i="53"/>
  <c r="AB422" i="53"/>
  <c r="AK422" i="53" s="1"/>
  <c r="AF182" i="53"/>
  <c r="AE182" i="53"/>
  <c r="AB483" i="53"/>
  <c r="AK483" i="53" s="1"/>
  <c r="AF243" i="53"/>
  <c r="AE243" i="53"/>
  <c r="U91" i="25"/>
  <c r="U91" i="41"/>
  <c r="AI23" i="15"/>
  <c r="F97" i="15"/>
  <c r="P13" i="30"/>
  <c r="R13" i="30"/>
  <c r="O13" i="30"/>
  <c r="D16" i="7"/>
  <c r="E16" i="7"/>
  <c r="K111" i="7"/>
  <c r="K123" i="7" s="1"/>
  <c r="C16" i="7"/>
  <c r="N109" i="7"/>
  <c r="N107" i="7"/>
  <c r="N108" i="7"/>
  <c r="AI39" i="15"/>
  <c r="C33" i="7"/>
  <c r="AI9" i="30"/>
  <c r="L105" i="7"/>
  <c r="L106" i="7"/>
  <c r="L104" i="7"/>
  <c r="R32" i="7"/>
  <c r="L102" i="7"/>
  <c r="L101" i="7"/>
  <c r="L103" i="7"/>
  <c r="L107" i="7"/>
  <c r="L108" i="7"/>
  <c r="L109" i="7"/>
  <c r="F27" i="15"/>
  <c r="V13" i="45"/>
  <c r="W13" i="45"/>
  <c r="U13" i="45"/>
  <c r="T13" i="45"/>
  <c r="D107" i="30"/>
  <c r="D108" i="30" s="1"/>
  <c r="G7" i="30"/>
  <c r="S25" i="30"/>
  <c r="G25" i="30"/>
  <c r="S7" i="30"/>
  <c r="O14" i="30"/>
  <c r="U5" i="15"/>
  <c r="U27" i="15" s="1"/>
  <c r="P5" i="15"/>
  <c r="P27" i="15" s="1"/>
  <c r="K5" i="15"/>
  <c r="AE5" i="15" s="1"/>
  <c r="S14" i="7"/>
  <c r="W101" i="7"/>
  <c r="Q13" i="30"/>
  <c r="Q14" i="30"/>
  <c r="C60" i="7"/>
  <c r="G9" i="7"/>
  <c r="Z23" i="15" l="1"/>
  <c r="Z22" i="15"/>
  <c r="Z21" i="15"/>
  <c r="Z20" i="15"/>
  <c r="Z19" i="15"/>
  <c r="Z18" i="15"/>
  <c r="Z16" i="15"/>
  <c r="Z14" i="15"/>
  <c r="Z12" i="15"/>
  <c r="Z10" i="15"/>
  <c r="Z8" i="15"/>
  <c r="Z11" i="15"/>
  <c r="Z9" i="15"/>
  <c r="Z17" i="15"/>
  <c r="Z15" i="15"/>
  <c r="Z13" i="15"/>
  <c r="U21" i="15"/>
  <c r="P21" i="15"/>
  <c r="K21" i="15"/>
  <c r="U22" i="15"/>
  <c r="P22" i="15"/>
  <c r="K22" i="15"/>
  <c r="P9" i="15"/>
  <c r="U9" i="15"/>
  <c r="K9" i="15"/>
  <c r="AE22" i="15"/>
  <c r="AE21" i="15"/>
  <c r="AE20" i="15"/>
  <c r="AE19" i="15"/>
  <c r="AE18" i="15"/>
  <c r="AE11" i="15"/>
  <c r="AE16" i="15"/>
  <c r="AE14" i="15"/>
  <c r="AE12" i="15"/>
  <c r="AE10" i="15"/>
  <c r="AE8" i="15"/>
  <c r="AE17" i="15"/>
  <c r="AE15" i="15"/>
  <c r="AE13" i="15"/>
  <c r="AE9" i="15"/>
  <c r="P11" i="15"/>
  <c r="K11" i="15"/>
  <c r="U11" i="15"/>
  <c r="P15" i="15"/>
  <c r="U15" i="15"/>
  <c r="K15" i="15"/>
  <c r="P17" i="15"/>
  <c r="U17" i="15"/>
  <c r="K17" i="15"/>
  <c r="P13" i="15"/>
  <c r="U13" i="15"/>
  <c r="K13" i="15"/>
  <c r="U8" i="15"/>
  <c r="P8" i="15"/>
  <c r="K8" i="15"/>
  <c r="U10" i="15"/>
  <c r="K10" i="15"/>
  <c r="P10" i="15"/>
  <c r="U12" i="15"/>
  <c r="K12" i="15"/>
  <c r="P12" i="15"/>
  <c r="U14" i="15"/>
  <c r="K14" i="15"/>
  <c r="P14" i="15"/>
  <c r="U16" i="15"/>
  <c r="K16" i="15"/>
  <c r="P16" i="15"/>
  <c r="U18" i="15"/>
  <c r="K18" i="15"/>
  <c r="P18" i="15"/>
  <c r="U19" i="15"/>
  <c r="P19" i="15"/>
  <c r="K19" i="15"/>
  <c r="U20" i="15"/>
  <c r="P20" i="15"/>
  <c r="K20" i="15"/>
  <c r="U30" i="15"/>
  <c r="P30" i="15"/>
  <c r="K30" i="15"/>
  <c r="U35" i="15"/>
  <c r="P35" i="15"/>
  <c r="K35" i="15"/>
  <c r="U34" i="15"/>
  <c r="P34" i="15"/>
  <c r="K34" i="15"/>
  <c r="U32" i="15"/>
  <c r="P32" i="15"/>
  <c r="K32" i="15"/>
  <c r="U33" i="15"/>
  <c r="P33" i="15"/>
  <c r="K33" i="15"/>
  <c r="U38" i="15"/>
  <c r="P38" i="15"/>
  <c r="K38" i="15"/>
  <c r="U36" i="15"/>
  <c r="P36" i="15"/>
  <c r="K36" i="15"/>
  <c r="U37" i="15"/>
  <c r="P37" i="15"/>
  <c r="K37" i="15"/>
  <c r="U31" i="15"/>
  <c r="P31" i="15"/>
  <c r="K31" i="15"/>
  <c r="L130" i="7"/>
  <c r="L128" i="7"/>
  <c r="L129" i="7"/>
  <c r="EH69" i="56"/>
  <c r="AT131" i="9"/>
  <c r="AT132" i="9"/>
  <c r="AT133" i="9"/>
  <c r="I52" i="53"/>
  <c r="G158" i="53" s="1"/>
  <c r="O52" i="53"/>
  <c r="P52" i="53"/>
  <c r="Q52" i="53"/>
  <c r="E52" i="53"/>
  <c r="D52" i="53"/>
  <c r="C52" i="53"/>
  <c r="AT650" i="9"/>
  <c r="AI483" i="53"/>
  <c r="AI363" i="53"/>
  <c r="AI467" i="53"/>
  <c r="AI347" i="53"/>
  <c r="AI451" i="53"/>
  <c r="AI393" i="53"/>
  <c r="AI302" i="53"/>
  <c r="AI257" i="53"/>
  <c r="AI392" i="53"/>
  <c r="AI301" i="53"/>
  <c r="AI258" i="53"/>
  <c r="AI391" i="53"/>
  <c r="AI288" i="53"/>
  <c r="AI271" i="53"/>
  <c r="AI378" i="53"/>
  <c r="AI287" i="53"/>
  <c r="AI272" i="53"/>
  <c r="AI286" i="53"/>
  <c r="AI481" i="53"/>
  <c r="AI437" i="53"/>
  <c r="AI421" i="53"/>
  <c r="AI362" i="53"/>
  <c r="AI333" i="53"/>
  <c r="AI408" i="53"/>
  <c r="AI346" i="53"/>
  <c r="AI318" i="53"/>
  <c r="AI407" i="53"/>
  <c r="AI317" i="53"/>
  <c r="AI256" i="53"/>
  <c r="AI406" i="53"/>
  <c r="AI303" i="53"/>
  <c r="AI273" i="53"/>
  <c r="AI422" i="53"/>
  <c r="AI482" i="53"/>
  <c r="AI316" i="53"/>
  <c r="AI468" i="53"/>
  <c r="AI466" i="53"/>
  <c r="AI348" i="53"/>
  <c r="AI452" i="53"/>
  <c r="AI438" i="53"/>
  <c r="AI332" i="53"/>
  <c r="AI436" i="53"/>
  <c r="AI423" i="53"/>
  <c r="AI361" i="53"/>
  <c r="AI377" i="53"/>
  <c r="AI376" i="53"/>
  <c r="AI453" i="53"/>
  <c r="AI331" i="53"/>
  <c r="AE7" i="15"/>
  <c r="D11" i="45"/>
  <c r="D14" i="45" s="1"/>
  <c r="T11" i="45"/>
  <c r="T14" i="45" s="1"/>
  <c r="AT601" i="9"/>
  <c r="AT600" i="9"/>
  <c r="AT563" i="9"/>
  <c r="AT565" i="9"/>
  <c r="AT529" i="9"/>
  <c r="AU650" i="9"/>
  <c r="AT528" i="9"/>
  <c r="AT492" i="9"/>
  <c r="AT493" i="9"/>
  <c r="AT456" i="9"/>
  <c r="AT455" i="9"/>
  <c r="AT457" i="9"/>
  <c r="AT420" i="9"/>
  <c r="AT421" i="9"/>
  <c r="AT384" i="9"/>
  <c r="AT385" i="9"/>
  <c r="AT349" i="9"/>
  <c r="AT348" i="9"/>
  <c r="AT312" i="9"/>
  <c r="AT313" i="9"/>
  <c r="AT204" i="9"/>
  <c r="AT277" i="9"/>
  <c r="AT240" i="9"/>
  <c r="AT241" i="9"/>
  <c r="AT168" i="9"/>
  <c r="AT169" i="9"/>
  <c r="AU638" i="9"/>
  <c r="AT602" i="9"/>
  <c r="AU614" i="9"/>
  <c r="AT638" i="9"/>
  <c r="AT614" i="9"/>
  <c r="AU626" i="9"/>
  <c r="AU602" i="9"/>
  <c r="AJ483" i="53"/>
  <c r="AJ377" i="53"/>
  <c r="AJ482" i="53"/>
  <c r="AJ316" i="53"/>
  <c r="AJ392" i="53"/>
  <c r="AJ363" i="53"/>
  <c r="AJ407" i="53"/>
  <c r="AJ347" i="53"/>
  <c r="AJ406" i="53"/>
  <c r="AJ287" i="53"/>
  <c r="AJ272" i="53"/>
  <c r="AJ393" i="53"/>
  <c r="AJ286" i="53"/>
  <c r="AJ408" i="53"/>
  <c r="AJ301" i="53"/>
  <c r="AJ258" i="53"/>
  <c r="AJ467" i="53"/>
  <c r="AJ452" i="53"/>
  <c r="AJ288" i="53"/>
  <c r="AJ271" i="53"/>
  <c r="AJ451" i="53"/>
  <c r="AJ436" i="53"/>
  <c r="AJ303" i="53"/>
  <c r="AJ273" i="53"/>
  <c r="AJ421" i="53"/>
  <c r="AJ302" i="53"/>
  <c r="AJ257" i="53"/>
  <c r="AJ481" i="53"/>
  <c r="AJ468" i="53"/>
  <c r="AJ346" i="53"/>
  <c r="AJ318" i="53"/>
  <c r="AJ317" i="53"/>
  <c r="AJ256" i="53"/>
  <c r="AJ423" i="53"/>
  <c r="AJ361" i="53"/>
  <c r="AJ422" i="53"/>
  <c r="AJ362" i="53"/>
  <c r="AJ333" i="53"/>
  <c r="AJ376" i="53"/>
  <c r="AJ466" i="53"/>
  <c r="AJ348" i="53"/>
  <c r="AJ391" i="53"/>
  <c r="AJ453" i="53"/>
  <c r="AJ438" i="53"/>
  <c r="AJ332" i="53"/>
  <c r="AJ378" i="53"/>
  <c r="AJ437" i="53"/>
  <c r="AJ331" i="53"/>
  <c r="AH483" i="53"/>
  <c r="AH377" i="53"/>
  <c r="AH482" i="53"/>
  <c r="AH316" i="53"/>
  <c r="AH392" i="53"/>
  <c r="AH363" i="53"/>
  <c r="AH407" i="53"/>
  <c r="AH347" i="53"/>
  <c r="AH406" i="53"/>
  <c r="AH287" i="53"/>
  <c r="AH272" i="53"/>
  <c r="AH393" i="53"/>
  <c r="AH286" i="53"/>
  <c r="AH408" i="53"/>
  <c r="AH301" i="53"/>
  <c r="AH258" i="53"/>
  <c r="AH467" i="53"/>
  <c r="AH452" i="53"/>
  <c r="AH288" i="53"/>
  <c r="AH271" i="53"/>
  <c r="AH451" i="53"/>
  <c r="AH436" i="53"/>
  <c r="AH303" i="53"/>
  <c r="AH273" i="53"/>
  <c r="AH421" i="53"/>
  <c r="AH302" i="53"/>
  <c r="AH257" i="53"/>
  <c r="AH481" i="53"/>
  <c r="AH468" i="53"/>
  <c r="AH346" i="53"/>
  <c r="AH318" i="53"/>
  <c r="AH317" i="53"/>
  <c r="AH256" i="53"/>
  <c r="AH423" i="53"/>
  <c r="AH361" i="53"/>
  <c r="AH422" i="53"/>
  <c r="AH362" i="53"/>
  <c r="AH333" i="53"/>
  <c r="AH376" i="53"/>
  <c r="AH466" i="53"/>
  <c r="AH348" i="53"/>
  <c r="AH391" i="53"/>
  <c r="AH453" i="53"/>
  <c r="AH438" i="53"/>
  <c r="AH332" i="53"/>
  <c r="AH378" i="53"/>
  <c r="AH437" i="53"/>
  <c r="AH331" i="53"/>
  <c r="Z422" i="53"/>
  <c r="Z362" i="53"/>
  <c r="Z333" i="53"/>
  <c r="Z376" i="53"/>
  <c r="Z466" i="53"/>
  <c r="Z348" i="53"/>
  <c r="Z391" i="53"/>
  <c r="Z453" i="53"/>
  <c r="Z438" i="53"/>
  <c r="Z332" i="53"/>
  <c r="Z378" i="53"/>
  <c r="Z437" i="53"/>
  <c r="Z331" i="53"/>
  <c r="Z483" i="53"/>
  <c r="Z377" i="53"/>
  <c r="Z482" i="53"/>
  <c r="Z316" i="53"/>
  <c r="Z392" i="53"/>
  <c r="Z363" i="53"/>
  <c r="Z407" i="53"/>
  <c r="Z347" i="53"/>
  <c r="Z406" i="53"/>
  <c r="Z287" i="53"/>
  <c r="Z272" i="53"/>
  <c r="Z393" i="53"/>
  <c r="Z286" i="53"/>
  <c r="Z408" i="53"/>
  <c r="Z301" i="53"/>
  <c r="Z258" i="53"/>
  <c r="Z467" i="53"/>
  <c r="Z452" i="53"/>
  <c r="Z288" i="53"/>
  <c r="Z271" i="53"/>
  <c r="Z451" i="53"/>
  <c r="Z436" i="53"/>
  <c r="Z303" i="53"/>
  <c r="Z273" i="53"/>
  <c r="Z421" i="53"/>
  <c r="Z302" i="53"/>
  <c r="Z257" i="53"/>
  <c r="Z481" i="53"/>
  <c r="Z468" i="53"/>
  <c r="Z346" i="53"/>
  <c r="Z318" i="53"/>
  <c r="Z317" i="53"/>
  <c r="Z256" i="53"/>
  <c r="Z423" i="53"/>
  <c r="Z361" i="53"/>
  <c r="F114" i="15"/>
  <c r="F113" i="15"/>
  <c r="F130" i="15"/>
  <c r="F129" i="15"/>
  <c r="F15" i="7"/>
  <c r="F16" i="7"/>
  <c r="D15" i="7"/>
  <c r="E15" i="7"/>
  <c r="C15" i="7"/>
  <c r="G13" i="7"/>
  <c r="K101" i="7"/>
  <c r="K113" i="7" s="1"/>
  <c r="L114" i="7"/>
  <c r="K108" i="7"/>
  <c r="K120" i="7" s="1"/>
  <c r="AI11" i="30"/>
  <c r="K105" i="7"/>
  <c r="K117" i="7" s="1"/>
  <c r="AE421" i="53"/>
  <c r="AF421" i="53"/>
  <c r="AF362" i="53"/>
  <c r="AE362" i="53"/>
  <c r="AF333" i="53"/>
  <c r="AE333" i="53"/>
  <c r="AF408" i="53"/>
  <c r="AE408" i="53"/>
  <c r="AF346" i="53"/>
  <c r="AE346" i="53"/>
  <c r="AE318" i="53"/>
  <c r="AF318" i="53"/>
  <c r="AE407" i="53"/>
  <c r="AF407" i="53"/>
  <c r="AE317" i="53"/>
  <c r="AF317" i="53"/>
  <c r="AF256" i="53"/>
  <c r="AE256" i="53"/>
  <c r="AF406" i="53"/>
  <c r="AE406" i="53"/>
  <c r="AE303" i="53"/>
  <c r="AF303" i="53"/>
  <c r="AF273" i="53"/>
  <c r="AE273" i="53"/>
  <c r="AF422" i="53"/>
  <c r="AE422" i="53"/>
  <c r="AF482" i="53"/>
  <c r="AE482" i="53"/>
  <c r="AF316" i="53"/>
  <c r="AE316" i="53"/>
  <c r="AF468" i="53"/>
  <c r="AE468" i="53"/>
  <c r="AF466" i="53"/>
  <c r="AE466" i="53"/>
  <c r="AF348" i="53"/>
  <c r="AE348" i="53"/>
  <c r="AF452" i="53"/>
  <c r="AE452" i="53"/>
  <c r="AF438" i="53"/>
  <c r="AE438" i="53"/>
  <c r="AF332" i="53"/>
  <c r="AE332" i="53"/>
  <c r="AF436" i="53"/>
  <c r="AE436" i="53"/>
  <c r="AE423" i="53"/>
  <c r="AF423" i="53"/>
  <c r="AE361" i="53"/>
  <c r="AF361" i="53"/>
  <c r="AE483" i="53"/>
  <c r="AF483" i="53"/>
  <c r="AE377" i="53"/>
  <c r="AF377" i="53"/>
  <c r="AF286" i="53"/>
  <c r="AE286" i="53"/>
  <c r="AF481" i="53"/>
  <c r="AE481" i="53"/>
  <c r="AF376" i="53"/>
  <c r="AE376" i="53"/>
  <c r="AE363" i="53"/>
  <c r="AF363" i="53"/>
  <c r="AE467" i="53"/>
  <c r="AF467" i="53"/>
  <c r="AE453" i="53"/>
  <c r="AF453" i="53"/>
  <c r="AE347" i="53"/>
  <c r="AF347" i="53"/>
  <c r="AE451" i="53"/>
  <c r="AF451" i="53"/>
  <c r="AF437" i="53"/>
  <c r="AE437" i="53"/>
  <c r="AE331" i="53"/>
  <c r="AF331" i="53"/>
  <c r="AE393" i="53"/>
  <c r="AF393" i="53"/>
  <c r="AF302" i="53"/>
  <c r="AE302" i="53"/>
  <c r="AE257" i="53"/>
  <c r="AF257" i="53"/>
  <c r="AF392" i="53"/>
  <c r="AE392" i="53"/>
  <c r="AF301" i="53"/>
  <c r="AE301" i="53"/>
  <c r="AF258" i="53"/>
  <c r="AE258" i="53"/>
  <c r="AE391" i="53"/>
  <c r="AF391" i="53"/>
  <c r="AF288" i="53"/>
  <c r="AE288" i="53"/>
  <c r="AE271" i="53"/>
  <c r="AF271" i="53"/>
  <c r="AF378" i="53"/>
  <c r="AE378" i="53"/>
  <c r="AE287" i="53"/>
  <c r="AF287" i="53"/>
  <c r="AF272" i="53"/>
  <c r="AE272" i="53"/>
  <c r="J104" i="7"/>
  <c r="K104" i="7"/>
  <c r="K116" i="7" s="1"/>
  <c r="J105" i="7"/>
  <c r="P2" i="9"/>
  <c r="AB2" i="9" s="1"/>
  <c r="AD2" i="9" s="1"/>
  <c r="P3" i="9"/>
  <c r="AB3" i="9" s="1"/>
  <c r="AD3" i="9" s="1"/>
  <c r="P4" i="9"/>
  <c r="AB4" i="9" s="1"/>
  <c r="AD4" i="9" s="1"/>
  <c r="AT24" i="9"/>
  <c r="R14" i="30"/>
  <c r="K106" i="7"/>
  <c r="K118" i="7" s="1"/>
  <c r="J108" i="7"/>
  <c r="M99" i="15"/>
  <c r="AI10" i="30"/>
  <c r="J106" i="7"/>
  <c r="J109" i="7"/>
  <c r="P14" i="30"/>
  <c r="K103" i="7"/>
  <c r="K115" i="7" s="1"/>
  <c r="K107" i="7"/>
  <c r="K119" i="7" s="1"/>
  <c r="J102" i="7"/>
  <c r="J103" i="7"/>
  <c r="K102" i="7"/>
  <c r="K114" i="7" s="1"/>
  <c r="K109" i="7"/>
  <c r="K121" i="7" s="1"/>
  <c r="J107" i="7"/>
  <c r="K112" i="7"/>
  <c r="K124" i="7" s="1"/>
  <c r="J101" i="7"/>
  <c r="J111" i="7"/>
  <c r="AI12" i="30"/>
  <c r="K110" i="7"/>
  <c r="K122" i="7" s="1"/>
  <c r="J110" i="7"/>
  <c r="J112" i="7"/>
  <c r="AT589" i="9"/>
  <c r="N110" i="7"/>
  <c r="N122" i="7" s="1"/>
  <c r="F33" i="7"/>
  <c r="N112" i="7"/>
  <c r="N124" i="7" s="1"/>
  <c r="N111" i="7"/>
  <c r="N123" i="7" s="1"/>
  <c r="N132" i="7"/>
  <c r="N120" i="7"/>
  <c r="N119" i="7"/>
  <c r="N131" i="7"/>
  <c r="N121" i="7"/>
  <c r="N133" i="7"/>
  <c r="L115" i="7"/>
  <c r="L113" i="7"/>
  <c r="L110" i="7"/>
  <c r="L111" i="7"/>
  <c r="L112" i="7"/>
  <c r="W118" i="7"/>
  <c r="W117" i="7"/>
  <c r="W116" i="7"/>
  <c r="W115" i="7"/>
  <c r="W114" i="7"/>
  <c r="W113" i="7"/>
  <c r="W112" i="7"/>
  <c r="W111" i="7"/>
  <c r="W110" i="7"/>
  <c r="W109" i="7"/>
  <c r="W108" i="7"/>
  <c r="W107" i="7"/>
  <c r="W106" i="7"/>
  <c r="W105" i="7"/>
  <c r="W104" i="7"/>
  <c r="W103" i="7"/>
  <c r="K27" i="15"/>
  <c r="AJ5" i="15"/>
  <c r="N106" i="7"/>
  <c r="N105" i="7"/>
  <c r="N104" i="7"/>
  <c r="L123" i="7"/>
  <c r="L124" i="7"/>
  <c r="L122" i="7"/>
  <c r="N102" i="7"/>
  <c r="N103" i="7"/>
  <c r="N101" i="7"/>
  <c r="L133" i="7"/>
  <c r="L131" i="7"/>
  <c r="L132" i="7"/>
  <c r="Q107" i="30"/>
  <c r="L127" i="7"/>
  <c r="L125" i="7"/>
  <c r="L126" i="7"/>
  <c r="H107" i="30"/>
  <c r="Q108" i="30"/>
  <c r="L135" i="7"/>
  <c r="L136" i="7"/>
  <c r="L134" i="7"/>
  <c r="L120" i="7"/>
  <c r="L121" i="7"/>
  <c r="L119" i="7"/>
  <c r="H108" i="30"/>
  <c r="L118" i="7"/>
  <c r="L116" i="7"/>
  <c r="L117" i="7"/>
  <c r="C59" i="7"/>
  <c r="AJ29" i="15" l="1"/>
  <c r="AJ38" i="15"/>
  <c r="AJ34" i="15"/>
  <c r="AJ30" i="15"/>
  <c r="AJ37" i="15"/>
  <c r="AJ33" i="15"/>
  <c r="AJ36" i="15"/>
  <c r="AJ32" i="15"/>
  <c r="AJ35" i="15"/>
  <c r="AJ31" i="15"/>
  <c r="AJ7" i="15"/>
  <c r="AJ22" i="15"/>
  <c r="AJ18" i="15"/>
  <c r="AJ14" i="15"/>
  <c r="AJ10" i="15"/>
  <c r="AJ17" i="15"/>
  <c r="AJ13" i="15"/>
  <c r="AJ9" i="15"/>
  <c r="AJ20" i="15"/>
  <c r="AJ12" i="15"/>
  <c r="AJ19" i="15"/>
  <c r="AJ11" i="15"/>
  <c r="AJ21" i="15"/>
  <c r="AJ16" i="15"/>
  <c r="AJ8" i="15"/>
  <c r="AJ15" i="15"/>
  <c r="G143" i="53"/>
  <c r="G188" i="53"/>
  <c r="G183" i="53"/>
  <c r="G138" i="53"/>
  <c r="G178" i="53"/>
  <c r="G133" i="53"/>
  <c r="G148" i="53"/>
  <c r="AT25" i="9"/>
  <c r="AT23" i="9"/>
  <c r="AU566" i="9"/>
  <c r="AT566" i="9"/>
  <c r="AT587" i="9"/>
  <c r="N134" i="7"/>
  <c r="AT588" i="9"/>
  <c r="N136" i="7"/>
  <c r="N135" i="7"/>
  <c r="N116" i="7"/>
  <c r="N128" i="7"/>
  <c r="N117" i="7"/>
  <c r="N129" i="7"/>
  <c r="N118" i="7"/>
  <c r="N130" i="7"/>
  <c r="N115" i="7"/>
  <c r="N127" i="7"/>
  <c r="N114" i="7"/>
  <c r="N126" i="7"/>
  <c r="N113" i="7"/>
  <c r="N125" i="7"/>
  <c r="M106" i="7"/>
  <c r="M104" i="7"/>
  <c r="M105" i="7"/>
  <c r="M109" i="7"/>
  <c r="M107" i="7"/>
  <c r="M108" i="7"/>
  <c r="M111" i="7"/>
  <c r="M112" i="7"/>
  <c r="M110" i="7"/>
  <c r="M102" i="7"/>
  <c r="M103" i="7"/>
  <c r="M101" i="7"/>
  <c r="G57" i="7"/>
  <c r="F59" i="7"/>
  <c r="F60" i="7"/>
  <c r="E59" i="7"/>
  <c r="E60" i="7"/>
  <c r="D59" i="7"/>
  <c r="D60" i="7"/>
  <c r="G8" i="7"/>
  <c r="G7" i="7"/>
  <c r="G52" i="7"/>
  <c r="G53" i="7"/>
  <c r="G51" i="7"/>
  <c r="G12" i="32" l="1"/>
  <c r="E13" i="32"/>
  <c r="M103" i="32" s="1"/>
  <c r="F13" i="32"/>
  <c r="M104" i="32" s="1"/>
  <c r="S58" i="7"/>
  <c r="AH3" i="9" l="1"/>
  <c r="AM3" i="9" s="1"/>
  <c r="AH4" i="9"/>
  <c r="AL4" i="9" s="1"/>
  <c r="E27" i="32"/>
  <c r="F27" i="32"/>
  <c r="AI3" i="9" l="1"/>
  <c r="AJ3" i="9" s="1"/>
  <c r="AI4" i="9"/>
  <c r="AJ4" i="9" s="1"/>
  <c r="AM4" i="9"/>
  <c r="AL3" i="9"/>
  <c r="G13" i="32" l="1"/>
  <c r="AY11" i="9" l="1"/>
  <c r="AY12" i="9"/>
  <c r="AY13" i="9"/>
  <c r="D131" i="44" l="1"/>
  <c r="H122" i="44" s="1"/>
  <c r="D115" i="44"/>
  <c r="H109" i="44" s="1"/>
  <c r="C115" i="44"/>
  <c r="C131" i="44"/>
  <c r="G120" i="44" s="1"/>
  <c r="C131" i="15"/>
  <c r="I123" i="15" s="1"/>
  <c r="C115" i="15"/>
  <c r="I105" i="15" s="1"/>
  <c r="D29" i="30" s="1"/>
  <c r="G110" i="44" l="1"/>
  <c r="G108" i="44"/>
  <c r="G105" i="44"/>
  <c r="G104" i="44"/>
  <c r="G111" i="44"/>
  <c r="G109" i="44"/>
  <c r="G107" i="44"/>
  <c r="G101" i="44"/>
  <c r="G103" i="44"/>
  <c r="G102" i="44"/>
  <c r="G106" i="44"/>
  <c r="G116" i="44"/>
  <c r="G130" i="44"/>
  <c r="H121" i="44"/>
  <c r="G121" i="44"/>
  <c r="G123" i="44"/>
  <c r="H123" i="44"/>
  <c r="H117" i="44"/>
  <c r="H124" i="44"/>
  <c r="H130" i="44"/>
  <c r="H125" i="44"/>
  <c r="H116" i="44"/>
  <c r="H129" i="44"/>
  <c r="G113" i="44"/>
  <c r="E115" i="44"/>
  <c r="I110" i="44" s="1"/>
  <c r="G129" i="44"/>
  <c r="H113" i="44"/>
  <c r="H103" i="44"/>
  <c r="G128" i="44"/>
  <c r="G126" i="44"/>
  <c r="H119" i="44"/>
  <c r="G100" i="44"/>
  <c r="H114" i="44"/>
  <c r="G127" i="44"/>
  <c r="H127" i="44"/>
  <c r="H112" i="44"/>
  <c r="H128" i="44"/>
  <c r="G125" i="44"/>
  <c r="G117" i="44"/>
  <c r="H110" i="44"/>
  <c r="H102" i="44"/>
  <c r="H107" i="44"/>
  <c r="G112" i="44"/>
  <c r="G119" i="44"/>
  <c r="G124" i="44"/>
  <c r="H101" i="44"/>
  <c r="G114" i="44"/>
  <c r="H118" i="44"/>
  <c r="H120" i="44"/>
  <c r="H105" i="44"/>
  <c r="H100" i="44"/>
  <c r="G122" i="44"/>
  <c r="H126" i="44"/>
  <c r="H108" i="44"/>
  <c r="H104" i="44"/>
  <c r="G118" i="44"/>
  <c r="H106" i="44"/>
  <c r="E131" i="44"/>
  <c r="I127" i="44" s="1"/>
  <c r="H111" i="44"/>
  <c r="I108" i="15"/>
  <c r="I129" i="15"/>
  <c r="I116" i="15"/>
  <c r="I120" i="15"/>
  <c r="I130" i="15"/>
  <c r="I119" i="15"/>
  <c r="I106" i="15"/>
  <c r="I104" i="15"/>
  <c r="I113" i="15"/>
  <c r="I101" i="15"/>
  <c r="I102" i="15"/>
  <c r="I126" i="15"/>
  <c r="I103" i="15"/>
  <c r="I107" i="15"/>
  <c r="I109" i="15"/>
  <c r="I117" i="15"/>
  <c r="I100" i="15"/>
  <c r="I110" i="15"/>
  <c r="I128" i="15"/>
  <c r="I127" i="15"/>
  <c r="I121" i="15"/>
  <c r="I114" i="15"/>
  <c r="I122" i="15"/>
  <c r="I125" i="15"/>
  <c r="I118" i="15"/>
  <c r="I112" i="15"/>
  <c r="I111" i="15"/>
  <c r="I124" i="15"/>
  <c r="D24" i="37" l="1"/>
  <c r="D25" i="37" s="1"/>
  <c r="P24" i="37"/>
  <c r="P25" i="37" s="1"/>
  <c r="Q24" i="37"/>
  <c r="Q25" i="37" s="1"/>
  <c r="E24" i="37"/>
  <c r="E25" i="37" s="1"/>
  <c r="I103" i="44"/>
  <c r="I119" i="44"/>
  <c r="I120" i="44"/>
  <c r="I126" i="44"/>
  <c r="I116" i="44"/>
  <c r="I124" i="44"/>
  <c r="H131" i="44"/>
  <c r="I111" i="44"/>
  <c r="I101" i="44"/>
  <c r="I113" i="44"/>
  <c r="I123" i="44"/>
  <c r="I104" i="44"/>
  <c r="I129" i="44"/>
  <c r="I125" i="44"/>
  <c r="G131" i="44"/>
  <c r="I114" i="44"/>
  <c r="I122" i="44"/>
  <c r="H115" i="44"/>
  <c r="I108" i="44"/>
  <c r="I109" i="44"/>
  <c r="G115" i="44"/>
  <c r="I100" i="44"/>
  <c r="I106" i="44"/>
  <c r="I121" i="44"/>
  <c r="I128" i="44"/>
  <c r="I117" i="44"/>
  <c r="I112" i="44"/>
  <c r="I107" i="44"/>
  <c r="I102" i="44"/>
  <c r="I118" i="44"/>
  <c r="I105" i="44"/>
  <c r="I130" i="44"/>
  <c r="I115" i="15"/>
  <c r="I131" i="15"/>
  <c r="P9" i="9" l="1"/>
  <c r="AB9" i="9" s="1"/>
  <c r="AD9" i="9" s="1"/>
  <c r="O29" i="30"/>
  <c r="O31" i="30" s="1"/>
  <c r="P29" i="30"/>
  <c r="P31" i="30" s="1"/>
  <c r="R24" i="37"/>
  <c r="R25" i="37" s="1"/>
  <c r="F24" i="37"/>
  <c r="F25" i="37" s="1"/>
  <c r="P13" i="9"/>
  <c r="P5" i="9"/>
  <c r="AB5" i="9" s="1"/>
  <c r="AD5" i="9" s="1"/>
  <c r="P7" i="9"/>
  <c r="AB7" i="9" s="1"/>
  <c r="AD7" i="9" s="1"/>
  <c r="P6" i="9"/>
  <c r="AB6" i="9" s="1"/>
  <c r="AD6" i="9" s="1"/>
  <c r="I131" i="44"/>
  <c r="I115" i="44"/>
  <c r="D115" i="15"/>
  <c r="J104" i="15" s="1"/>
  <c r="D131" i="15"/>
  <c r="J128" i="15" s="1"/>
  <c r="F108" i="15" l="1"/>
  <c r="F125" i="15"/>
  <c r="F109" i="15"/>
  <c r="F107" i="15"/>
  <c r="F110" i="15"/>
  <c r="F106" i="15"/>
  <c r="S24" i="37"/>
  <c r="S25" i="37" s="1"/>
  <c r="G24" i="37"/>
  <c r="G25" i="37" s="1"/>
  <c r="AB13" i="9"/>
  <c r="AD13" i="9" s="1"/>
  <c r="F105" i="15"/>
  <c r="AH5" i="9"/>
  <c r="AL5" i="9" s="1"/>
  <c r="P11" i="9"/>
  <c r="AB11" i="9" s="1"/>
  <c r="AD11" i="9" s="1"/>
  <c r="P8" i="9"/>
  <c r="AB8" i="9" s="1"/>
  <c r="AD8" i="9" s="1"/>
  <c r="P10" i="9"/>
  <c r="AB10" i="9" s="1"/>
  <c r="AD10" i="9" s="1"/>
  <c r="P12" i="9"/>
  <c r="AB12" i="9" s="1"/>
  <c r="AD12" i="9" s="1"/>
  <c r="F121" i="15"/>
  <c r="F124" i="15"/>
  <c r="AH7" i="9"/>
  <c r="AM7" i="9" s="1"/>
  <c r="J118" i="15"/>
  <c r="J114" i="15"/>
  <c r="J105" i="15"/>
  <c r="E29" i="30" s="1"/>
  <c r="J123" i="15"/>
  <c r="J111" i="15"/>
  <c r="J129" i="15"/>
  <c r="J121" i="15"/>
  <c r="Q29" i="30" s="1"/>
  <c r="J117" i="15"/>
  <c r="J116" i="15"/>
  <c r="J122" i="15"/>
  <c r="J101" i="15"/>
  <c r="J124" i="15"/>
  <c r="J113" i="15"/>
  <c r="J103" i="15"/>
  <c r="J106" i="15"/>
  <c r="J107" i="15"/>
  <c r="J127" i="15"/>
  <c r="J120" i="15"/>
  <c r="J109" i="15"/>
  <c r="J126" i="15"/>
  <c r="J102" i="15"/>
  <c r="J108" i="15"/>
  <c r="J119" i="15"/>
  <c r="J130" i="15"/>
  <c r="J100" i="15"/>
  <c r="J110" i="15"/>
  <c r="J125" i="15"/>
  <c r="J112" i="15"/>
  <c r="Q31" i="30" l="1"/>
  <c r="AM5" i="9"/>
  <c r="AH11" i="9"/>
  <c r="AL11" i="9" s="1"/>
  <c r="AH13" i="9"/>
  <c r="AM13" i="9" s="1"/>
  <c r="AH12" i="9"/>
  <c r="AL12" i="9" s="1"/>
  <c r="AH8" i="9"/>
  <c r="AM8" i="9" s="1"/>
  <c r="AL7" i="9"/>
  <c r="AH9" i="9"/>
  <c r="AM9" i="9" s="1"/>
  <c r="J115" i="15"/>
  <c r="J131" i="15"/>
  <c r="AV11" i="9" l="1"/>
  <c r="AV12" i="9"/>
  <c r="AV13" i="9"/>
  <c r="AM11" i="9"/>
  <c r="AI11" i="9"/>
  <c r="AJ11" i="9" s="1"/>
  <c r="AL8" i="9"/>
  <c r="AI12" i="9"/>
  <c r="AJ12" i="9" s="1"/>
  <c r="AL13" i="9"/>
  <c r="AM12" i="9"/>
  <c r="AL9" i="9"/>
  <c r="E115" i="15"/>
  <c r="K112" i="15" s="1"/>
  <c r="E131" i="15"/>
  <c r="K127" i="15" s="1"/>
  <c r="AZ11" i="9" l="1"/>
  <c r="AZ13" i="9"/>
  <c r="K102" i="15"/>
  <c r="K114" i="15"/>
  <c r="K103" i="15"/>
  <c r="K101" i="15"/>
  <c r="K109" i="15"/>
  <c r="K110" i="15"/>
  <c r="K108" i="15"/>
  <c r="K113" i="15"/>
  <c r="K104" i="15"/>
  <c r="K107" i="15"/>
  <c r="K106" i="15"/>
  <c r="K105" i="15"/>
  <c r="F29" i="30" s="1"/>
  <c r="K111" i="15"/>
  <c r="K100" i="15"/>
  <c r="K120" i="15"/>
  <c r="K122" i="15"/>
  <c r="K117" i="15"/>
  <c r="K123" i="15"/>
  <c r="K124" i="15"/>
  <c r="K126" i="15"/>
  <c r="K129" i="15"/>
  <c r="K118" i="15"/>
  <c r="K128" i="15"/>
  <c r="K121" i="15"/>
  <c r="R29" i="30" s="1"/>
  <c r="K125" i="15"/>
  <c r="K119" i="15"/>
  <c r="K130" i="15"/>
  <c r="K116" i="15"/>
  <c r="R31" i="30" l="1"/>
  <c r="K115" i="15"/>
  <c r="K131" i="15"/>
  <c r="AW12" i="9" l="1"/>
  <c r="AW11" i="9"/>
  <c r="AW13" i="9"/>
  <c r="F123" i="15"/>
  <c r="Q372" i="9" l="1"/>
  <c r="Q39" i="9"/>
  <c r="Q140" i="9"/>
  <c r="Z140" i="9" s="1"/>
  <c r="AA140" i="9" s="1"/>
  <c r="T140" i="9" s="1"/>
  <c r="AI13" i="9"/>
  <c r="AJ13" i="9" s="1"/>
  <c r="AI5" i="9"/>
  <c r="AJ5" i="9" s="1"/>
  <c r="AI7" i="9"/>
  <c r="AJ7" i="9" s="1"/>
  <c r="AI9" i="9"/>
  <c r="AJ9" i="9" s="1"/>
  <c r="AI8" i="9"/>
  <c r="AJ8" i="9" s="1"/>
  <c r="AX140" i="9" l="1"/>
  <c r="Q40" i="9"/>
  <c r="Z40" i="9" s="1"/>
  <c r="Z39" i="9"/>
  <c r="Q373" i="9"/>
  <c r="Z373" i="9" s="1"/>
  <c r="AA373" i="9" s="1"/>
  <c r="T373" i="9" s="1"/>
  <c r="Z372" i="9"/>
  <c r="AA372" i="9" s="1"/>
  <c r="T372" i="9" s="1"/>
  <c r="AQ140" i="9"/>
  <c r="AN140" i="9"/>
  <c r="R140" i="9"/>
  <c r="Q141" i="9"/>
  <c r="Z141" i="9" s="1"/>
  <c r="AA141" i="9" s="1"/>
  <c r="T141" i="9" s="1"/>
  <c r="AA39" i="9" l="1"/>
  <c r="T39" i="9" s="1"/>
  <c r="AN40" i="9"/>
  <c r="AA40" i="9"/>
  <c r="T40" i="9" s="1"/>
  <c r="AQ40" i="9"/>
  <c r="R40" i="9"/>
  <c r="AX141" i="9"/>
  <c r="AX372" i="9"/>
  <c r="AX373" i="9"/>
  <c r="AX39" i="9"/>
  <c r="R373" i="9"/>
  <c r="AN373" i="9"/>
  <c r="AQ373" i="9"/>
  <c r="AN372" i="9"/>
  <c r="AQ372" i="9"/>
  <c r="AN39" i="9"/>
  <c r="AQ39" i="9"/>
  <c r="Q142" i="9"/>
  <c r="Z142" i="9" s="1"/>
  <c r="AA142" i="9" s="1"/>
  <c r="T142" i="9" s="1"/>
  <c r="R39" i="9"/>
  <c r="R372" i="9"/>
  <c r="AX142" i="9" l="1"/>
  <c r="AQ142" i="9"/>
  <c r="AN142" i="9"/>
  <c r="AN141" i="9"/>
  <c r="AQ141" i="9"/>
  <c r="R142" i="9"/>
  <c r="L57" i="45" s="1"/>
  <c r="R141" i="9"/>
  <c r="E57" i="45" s="1"/>
  <c r="AC24" i="44"/>
  <c r="AA24" i="44"/>
  <c r="AB24" i="44"/>
  <c r="H57" i="45" l="1"/>
  <c r="K57" i="45"/>
  <c r="J57" i="45"/>
  <c r="I57" i="45"/>
  <c r="F57" i="45"/>
  <c r="G57" i="45"/>
  <c r="M57" i="45"/>
  <c r="O57" i="45"/>
  <c r="H58" i="45"/>
  <c r="I58" i="45"/>
  <c r="L58" i="45"/>
  <c r="N57" i="45"/>
  <c r="F58" i="45"/>
  <c r="D58" i="45"/>
  <c r="O58" i="45"/>
  <c r="K58" i="45"/>
  <c r="J58" i="45"/>
  <c r="E58" i="45"/>
  <c r="M58" i="45"/>
  <c r="N58" i="45"/>
  <c r="G58" i="45"/>
  <c r="AU584" i="9" l="1"/>
  <c r="AU585" i="9"/>
  <c r="AT582" i="9"/>
  <c r="AU578" i="9" l="1"/>
  <c r="AU586" i="9"/>
  <c r="AU582" i="9"/>
  <c r="AU583" i="9"/>
  <c r="AU588" i="9"/>
  <c r="AT578" i="9"/>
  <c r="AT585" i="9"/>
  <c r="AT586" i="9"/>
  <c r="AT584" i="9"/>
  <c r="AT583" i="9"/>
  <c r="AU587" i="9"/>
  <c r="AU589" i="9"/>
  <c r="C14" i="30" l="1"/>
  <c r="C13" i="30"/>
  <c r="AI5" i="30"/>
  <c r="H11" i="45" l="1"/>
  <c r="H14" i="45" s="1"/>
  <c r="I11" i="45"/>
  <c r="I14" i="45" s="1"/>
  <c r="C31" i="44"/>
  <c r="D31" i="44"/>
  <c r="C31" i="30"/>
  <c r="G11" i="45" l="1"/>
  <c r="G14" i="45" s="1"/>
  <c r="U11" i="45"/>
  <c r="U14" i="45" s="1"/>
  <c r="H31" i="44"/>
  <c r="L31" i="44"/>
  <c r="K31" i="44"/>
  <c r="G31" i="44"/>
  <c r="P77" i="9"/>
  <c r="AB77" i="9" s="1"/>
  <c r="P41" i="9"/>
  <c r="AB41" i="9" s="1"/>
  <c r="P76" i="9"/>
  <c r="AB76" i="9" s="1"/>
  <c r="P123" i="9"/>
  <c r="AB123" i="9" s="1"/>
  <c r="P134" i="9"/>
  <c r="AB134" i="9" s="1"/>
  <c r="AD134" i="9" s="1"/>
  <c r="P52" i="9"/>
  <c r="P98" i="9"/>
  <c r="AB98" i="9" s="1"/>
  <c r="AD98" i="9" s="1"/>
  <c r="P74" i="9"/>
  <c r="AB74" i="9" s="1"/>
  <c r="P75" i="9"/>
  <c r="AB75" i="9" s="1"/>
  <c r="P86" i="9"/>
  <c r="AB86" i="9" s="1"/>
  <c r="P122" i="9"/>
  <c r="AB122" i="9" s="1"/>
  <c r="AD122" i="9" s="1"/>
  <c r="P135" i="9"/>
  <c r="AB135" i="9" s="1"/>
  <c r="P62" i="9"/>
  <c r="AB62" i="9" s="1"/>
  <c r="AD62" i="9" s="1"/>
  <c r="P99" i="9"/>
  <c r="AB99" i="9" s="1"/>
  <c r="P113" i="9"/>
  <c r="AB113" i="9" s="1"/>
  <c r="P112" i="9"/>
  <c r="AB112" i="9" s="1"/>
  <c r="P87" i="9"/>
  <c r="AB87" i="9" s="1"/>
  <c r="P124" i="9"/>
  <c r="AB124" i="9" s="1"/>
  <c r="P50" i="9"/>
  <c r="AB50" i="9" s="1"/>
  <c r="P64" i="9"/>
  <c r="AB64" i="9" s="1"/>
  <c r="P100" i="9"/>
  <c r="AB100" i="9" s="1"/>
  <c r="P110" i="9"/>
  <c r="AB110" i="9" s="1"/>
  <c r="AD110" i="9" s="1"/>
  <c r="P111" i="9"/>
  <c r="AB111" i="9" s="1"/>
  <c r="P88" i="9"/>
  <c r="AB88" i="9" s="1"/>
  <c r="P136" i="9"/>
  <c r="AB136" i="9" s="1"/>
  <c r="P51" i="9"/>
  <c r="P63" i="9"/>
  <c r="AB63" i="9" s="1"/>
  <c r="P116" i="9"/>
  <c r="AB116" i="9" s="1"/>
  <c r="P84" i="9"/>
  <c r="AB84" i="9" s="1"/>
  <c r="P119" i="9"/>
  <c r="AB119" i="9" s="1"/>
  <c r="P80" i="9"/>
  <c r="AB80" i="9" s="1"/>
  <c r="P79" i="9"/>
  <c r="AB79" i="9" s="1"/>
  <c r="P115" i="9"/>
  <c r="AB115" i="9" s="1"/>
  <c r="P120" i="9"/>
  <c r="AB120" i="9" s="1"/>
  <c r="P82" i="9"/>
  <c r="AB82" i="9" s="1"/>
  <c r="P118" i="9"/>
  <c r="AB118" i="9" s="1"/>
  <c r="P103" i="9"/>
  <c r="AB103" i="9" s="1"/>
  <c r="P65" i="9"/>
  <c r="AB65" i="9" s="1"/>
  <c r="P114" i="9"/>
  <c r="AB114" i="9" s="1"/>
  <c r="P45" i="9"/>
  <c r="AB45" i="9" s="1"/>
  <c r="P138" i="9"/>
  <c r="AB138" i="9" s="1"/>
  <c r="P67" i="9"/>
  <c r="AB67" i="9" s="1"/>
  <c r="P85" i="9"/>
  <c r="AB85" i="9" s="1"/>
  <c r="P102" i="9"/>
  <c r="AB102" i="9" s="1"/>
  <c r="P46" i="9"/>
  <c r="AB46" i="9" s="1"/>
  <c r="P42" i="9"/>
  <c r="AB42" i="9" s="1"/>
  <c r="P78" i="9"/>
  <c r="AB78" i="9" s="1"/>
  <c r="P101" i="9"/>
  <c r="AB101" i="9" s="1"/>
  <c r="P139" i="9"/>
  <c r="AB139" i="9" s="1"/>
  <c r="P66" i="9"/>
  <c r="AB66" i="9" s="1"/>
  <c r="P83" i="9"/>
  <c r="AB83" i="9" s="1"/>
  <c r="P137" i="9"/>
  <c r="AB137" i="9" s="1"/>
  <c r="P43" i="9"/>
  <c r="AB43" i="9" s="1"/>
  <c r="P121" i="9"/>
  <c r="AB121" i="9" s="1"/>
  <c r="P44" i="9"/>
  <c r="AB44" i="9" s="1"/>
  <c r="P117" i="9"/>
  <c r="AB117" i="9" s="1"/>
  <c r="P81" i="9"/>
  <c r="AB81" i="9" s="1"/>
  <c r="P994" i="9"/>
  <c r="AB994" i="9" s="1"/>
  <c r="P956" i="9"/>
  <c r="AB956" i="9" s="1"/>
  <c r="P847" i="9"/>
  <c r="AB847" i="9" s="1"/>
  <c r="P813" i="9"/>
  <c r="AB813" i="9" s="1"/>
  <c r="P775" i="9"/>
  <c r="AB775" i="9" s="1"/>
  <c r="P632" i="9"/>
  <c r="AB632" i="9" s="1"/>
  <c r="P927" i="9"/>
  <c r="AB927" i="9" s="1"/>
  <c r="P806" i="9"/>
  <c r="AB806" i="9" s="1"/>
  <c r="P893" i="9"/>
  <c r="AB893" i="9" s="1"/>
  <c r="P738" i="9"/>
  <c r="AB738" i="9" s="1"/>
  <c r="P704" i="9"/>
  <c r="AB704" i="9" s="1"/>
  <c r="P890" i="9"/>
  <c r="AB890" i="9" s="1"/>
  <c r="P882" i="9"/>
  <c r="AB882" i="9" s="1"/>
  <c r="P856" i="9"/>
  <c r="AB856" i="9" s="1"/>
  <c r="P709" i="9"/>
  <c r="AB709" i="9" s="1"/>
  <c r="P780" i="9"/>
  <c r="AB780" i="9" s="1"/>
  <c r="P982" i="9"/>
  <c r="AB982" i="9" s="1"/>
  <c r="P944" i="9"/>
  <c r="AB944" i="9" s="1"/>
  <c r="P835" i="9"/>
  <c r="AB835" i="9" s="1"/>
  <c r="P801" i="9"/>
  <c r="AB801" i="9" s="1"/>
  <c r="P978" i="9"/>
  <c r="AB978" i="9" s="1"/>
  <c r="P940" i="9"/>
  <c r="AB940" i="9" s="1"/>
  <c r="P831" i="9"/>
  <c r="AB831" i="9" s="1"/>
  <c r="P797" i="9"/>
  <c r="AB797" i="9" s="1"/>
  <c r="P759" i="9"/>
  <c r="AB759" i="9" s="1"/>
  <c r="P616" i="9"/>
  <c r="AB616" i="9" s="1"/>
  <c r="P911" i="9"/>
  <c r="AB911" i="9" s="1"/>
  <c r="P945" i="9"/>
  <c r="AB945" i="9" s="1"/>
  <c r="P873" i="9"/>
  <c r="AB873" i="9" s="1"/>
  <c r="P722" i="9"/>
  <c r="AB722" i="9" s="1"/>
  <c r="P693" i="9"/>
  <c r="AB693" i="9" s="1"/>
  <c r="P987" i="9"/>
  <c r="AB987" i="9" s="1"/>
  <c r="P866" i="9"/>
  <c r="AB866" i="9" s="1"/>
  <c r="P840" i="9"/>
  <c r="AB840" i="9" s="1"/>
  <c r="P798" i="9"/>
  <c r="AB798" i="9" s="1"/>
  <c r="P764" i="9"/>
  <c r="AB764" i="9" s="1"/>
  <c r="P966" i="9"/>
  <c r="AB966" i="9" s="1"/>
  <c r="P928" i="9"/>
  <c r="AB928" i="9" s="1"/>
  <c r="P819" i="9"/>
  <c r="AB819" i="9" s="1"/>
  <c r="P785" i="9"/>
  <c r="AB785" i="9" s="1"/>
  <c r="P898" i="9"/>
  <c r="AB898" i="9" s="1"/>
  <c r="P895" i="9"/>
  <c r="AB895" i="9" s="1"/>
  <c r="P864" i="9"/>
  <c r="AB864" i="9" s="1"/>
  <c r="P717" i="9"/>
  <c r="AB717" i="9" s="1"/>
  <c r="P788" i="9"/>
  <c r="AB788" i="9" s="1"/>
  <c r="P974" i="9"/>
  <c r="AB974" i="9" s="1"/>
  <c r="P936" i="9"/>
  <c r="AB936" i="9" s="1"/>
  <c r="P827" i="9"/>
  <c r="AB827" i="9" s="1"/>
  <c r="P793" i="9"/>
  <c r="AB793" i="9" s="1"/>
  <c r="P755" i="9"/>
  <c r="AB755" i="9" s="1"/>
  <c r="P907" i="9"/>
  <c r="AB907" i="9" s="1"/>
  <c r="P929" i="9"/>
  <c r="AB929" i="9" s="1"/>
  <c r="P869" i="9"/>
  <c r="AB869" i="9" s="1"/>
  <c r="P718" i="9"/>
  <c r="AB718" i="9" s="1"/>
  <c r="P688" i="9"/>
  <c r="AB688" i="9" s="1"/>
  <c r="P999" i="9"/>
  <c r="AB999" i="9" s="1"/>
  <c r="P878" i="9"/>
  <c r="AB878" i="9" s="1"/>
  <c r="P852" i="9"/>
  <c r="AB852" i="9" s="1"/>
  <c r="P705" i="9"/>
  <c r="AB705" i="9" s="1"/>
  <c r="P776" i="9"/>
  <c r="AB776" i="9" s="1"/>
  <c r="P946" i="9"/>
  <c r="AB946" i="9" s="1"/>
  <c r="P908" i="9"/>
  <c r="AB908" i="9" s="1"/>
  <c r="P981" i="9"/>
  <c r="AB981" i="9" s="1"/>
  <c r="P765" i="9"/>
  <c r="AB765" i="9" s="1"/>
  <c r="P727" i="9"/>
  <c r="AB727" i="9" s="1"/>
  <c r="P695" i="9"/>
  <c r="AB695" i="9" s="1"/>
  <c r="P984" i="9"/>
  <c r="AB984" i="9" s="1"/>
  <c r="P875" i="9"/>
  <c r="AB875" i="9" s="1"/>
  <c r="P841" i="9"/>
  <c r="AB841" i="9" s="1"/>
  <c r="P803" i="9"/>
  <c r="AB803" i="9" s="1"/>
  <c r="P660" i="9"/>
  <c r="AB660" i="9" s="1"/>
  <c r="P955" i="9"/>
  <c r="AB955" i="9" s="1"/>
  <c r="P834" i="9"/>
  <c r="AB834" i="9" s="1"/>
  <c r="P808" i="9"/>
  <c r="AB808" i="9" s="1"/>
  <c r="P766" i="9"/>
  <c r="AB766" i="9" s="1"/>
  <c r="P732" i="9"/>
  <c r="AB732" i="9" s="1"/>
  <c r="P934" i="9"/>
  <c r="AB934" i="9" s="1"/>
  <c r="P896" i="9"/>
  <c r="AB896" i="9" s="1"/>
  <c r="P933" i="9"/>
  <c r="AB933" i="9" s="1"/>
  <c r="P753" i="9"/>
  <c r="AB753" i="9" s="1"/>
  <c r="P715" i="9"/>
  <c r="AB715" i="9" s="1"/>
  <c r="P698" i="9"/>
  <c r="AB698" i="9" s="1"/>
  <c r="P597" i="9"/>
  <c r="AB597" i="9" s="1"/>
  <c r="P930" i="9"/>
  <c r="AB930" i="9" s="1"/>
  <c r="P892" i="9"/>
  <c r="AB892" i="9" s="1"/>
  <c r="P917" i="9"/>
  <c r="AB917" i="9" s="1"/>
  <c r="P749" i="9"/>
  <c r="AB749" i="9" s="1"/>
  <c r="P711" i="9"/>
  <c r="AB711" i="9" s="1"/>
  <c r="P677" i="9"/>
  <c r="AB677" i="9" s="1"/>
  <c r="P968" i="9"/>
  <c r="AB968" i="9" s="1"/>
  <c r="P859" i="9"/>
  <c r="AB859" i="9" s="1"/>
  <c r="P825" i="9"/>
  <c r="AB825" i="9" s="1"/>
  <c r="P787" i="9"/>
  <c r="AB787" i="9" s="1"/>
  <c r="P644" i="9"/>
  <c r="AB644" i="9" s="1"/>
  <c r="P939" i="9"/>
  <c r="AB939" i="9" s="1"/>
  <c r="P818" i="9"/>
  <c r="AB818" i="9" s="1"/>
  <c r="P937" i="9"/>
  <c r="AB937" i="9" s="1"/>
  <c r="P750" i="9"/>
  <c r="AB750" i="9" s="1"/>
  <c r="P716" i="9"/>
  <c r="AB716" i="9" s="1"/>
  <c r="P918" i="9"/>
  <c r="AB918" i="9" s="1"/>
  <c r="P973" i="9"/>
  <c r="AB973" i="9" s="1"/>
  <c r="P884" i="9"/>
  <c r="AB884" i="9" s="1"/>
  <c r="P737" i="9"/>
  <c r="AB737" i="9" s="1"/>
  <c r="P914" i="9"/>
  <c r="AB914" i="9" s="1"/>
  <c r="P957" i="9"/>
  <c r="AB957" i="9" s="1"/>
  <c r="P880" i="9"/>
  <c r="AB880" i="9" s="1"/>
  <c r="P733" i="9"/>
  <c r="AB733" i="9" s="1"/>
  <c r="P804" i="9"/>
  <c r="AB804" i="9" s="1"/>
  <c r="P990" i="9"/>
  <c r="AB990" i="9" s="1"/>
  <c r="P952" i="9"/>
  <c r="AB952" i="9" s="1"/>
  <c r="P843" i="9"/>
  <c r="AB843" i="9" s="1"/>
  <c r="P809" i="9"/>
  <c r="AB809" i="9" s="1"/>
  <c r="P771" i="9"/>
  <c r="AB771" i="9" s="1"/>
  <c r="P628" i="9"/>
  <c r="AB628" i="9" s="1"/>
  <c r="P923" i="9"/>
  <c r="AB923" i="9" s="1"/>
  <c r="P993" i="9"/>
  <c r="AB993" i="9" s="1"/>
  <c r="P885" i="9"/>
  <c r="AB885" i="9" s="1"/>
  <c r="P734" i="9"/>
  <c r="AB734" i="9" s="1"/>
  <c r="P700" i="9"/>
  <c r="AB700" i="9" s="1"/>
  <c r="P902" i="9"/>
  <c r="AB902" i="9" s="1"/>
  <c r="P909" i="9"/>
  <c r="AB909" i="9" s="1"/>
  <c r="P868" i="9"/>
  <c r="AB868" i="9" s="1"/>
  <c r="P721" i="9"/>
  <c r="AB721" i="9" s="1"/>
  <c r="P947" i="9"/>
  <c r="AB947" i="9" s="1"/>
  <c r="P826" i="9"/>
  <c r="AB826" i="9" s="1"/>
  <c r="P969" i="9"/>
  <c r="AB969" i="9" s="1"/>
  <c r="P758" i="9"/>
  <c r="AB758" i="9" s="1"/>
  <c r="P724" i="9"/>
  <c r="AB724" i="9" s="1"/>
  <c r="P910" i="9"/>
  <c r="AB910" i="9" s="1"/>
  <c r="P941" i="9"/>
  <c r="AB941" i="9" s="1"/>
  <c r="P876" i="9"/>
  <c r="AB876" i="9" s="1"/>
  <c r="P729" i="9"/>
  <c r="AB729" i="9" s="1"/>
  <c r="P800" i="9"/>
  <c r="AB800" i="9" s="1"/>
  <c r="P986" i="9"/>
  <c r="AB986" i="9" s="1"/>
  <c r="P948" i="9"/>
  <c r="AB948" i="9" s="1"/>
  <c r="P839" i="9"/>
  <c r="AB839" i="9" s="1"/>
  <c r="P805" i="9"/>
  <c r="AB805" i="9" s="1"/>
  <c r="P767" i="9"/>
  <c r="AB767" i="9" s="1"/>
  <c r="P935" i="9"/>
  <c r="AB935" i="9" s="1"/>
  <c r="P814" i="9"/>
  <c r="AB814" i="9" s="1"/>
  <c r="P921" i="9"/>
  <c r="AB921" i="9" s="1"/>
  <c r="P746" i="9"/>
  <c r="AB746" i="9" s="1"/>
  <c r="P712" i="9"/>
  <c r="AB712" i="9" s="1"/>
  <c r="P995" i="9"/>
  <c r="AB995" i="9" s="1"/>
  <c r="P874" i="9"/>
  <c r="AB874" i="9" s="1"/>
  <c r="P848" i="9"/>
  <c r="AB848" i="9" s="1"/>
  <c r="P701" i="9"/>
  <c r="AB701" i="9" s="1"/>
  <c r="P772" i="9"/>
  <c r="AB772" i="9" s="1"/>
  <c r="P958" i="9"/>
  <c r="AB958" i="9" s="1"/>
  <c r="P920" i="9"/>
  <c r="AB920" i="9" s="1"/>
  <c r="P811" i="9"/>
  <c r="AB811" i="9" s="1"/>
  <c r="P777" i="9"/>
  <c r="AB777" i="9" s="1"/>
  <c r="P739" i="9"/>
  <c r="AB739" i="9" s="1"/>
  <c r="P596" i="9"/>
  <c r="AB596" i="9" s="1"/>
  <c r="P996" i="9"/>
  <c r="AB996" i="9" s="1"/>
  <c r="P887" i="9"/>
  <c r="AB887" i="9" s="1"/>
  <c r="P853" i="9"/>
  <c r="AB853" i="9" s="1"/>
  <c r="P702" i="9"/>
  <c r="AB702" i="9" s="1"/>
  <c r="P672" i="9"/>
  <c r="AB672" i="9" s="1"/>
  <c r="P983" i="9"/>
  <c r="AB983" i="9" s="1"/>
  <c r="P862" i="9"/>
  <c r="AB862" i="9" s="1"/>
  <c r="P836" i="9"/>
  <c r="AB836" i="9" s="1"/>
  <c r="P794" i="9"/>
  <c r="AB794" i="9" s="1"/>
  <c r="P979" i="9"/>
  <c r="AB979" i="9" s="1"/>
  <c r="P858" i="9"/>
  <c r="AB858" i="9" s="1"/>
  <c r="P832" i="9"/>
  <c r="AB832" i="9" s="1"/>
  <c r="P790" i="9"/>
  <c r="AB790" i="9" s="1"/>
  <c r="P756" i="9"/>
  <c r="AB756" i="9" s="1"/>
  <c r="P942" i="9"/>
  <c r="AB942" i="9" s="1"/>
  <c r="P904" i="9"/>
  <c r="AB904" i="9" s="1"/>
  <c r="P965" i="9"/>
  <c r="AB965" i="9" s="1"/>
  <c r="P761" i="9"/>
  <c r="AB761" i="9" s="1"/>
  <c r="P723" i="9"/>
  <c r="AB723" i="9" s="1"/>
  <c r="P689" i="9"/>
  <c r="AB689" i="9" s="1"/>
  <c r="P980" i="9"/>
  <c r="AB980" i="9" s="1"/>
  <c r="P871" i="9"/>
  <c r="AB871" i="9" s="1"/>
  <c r="P837" i="9"/>
  <c r="AB837" i="9" s="1"/>
  <c r="P799" i="9"/>
  <c r="AB799" i="9" s="1"/>
  <c r="P656" i="9"/>
  <c r="AB656" i="9" s="1"/>
  <c r="P967" i="9"/>
  <c r="AB967" i="9" s="1"/>
  <c r="P846" i="9"/>
  <c r="AB846" i="9" s="1"/>
  <c r="P820" i="9"/>
  <c r="AB820" i="9" s="1"/>
  <c r="P778" i="9"/>
  <c r="AB778" i="9" s="1"/>
  <c r="P963" i="9"/>
  <c r="AB963" i="9" s="1"/>
  <c r="P842" i="9"/>
  <c r="AB842" i="9" s="1"/>
  <c r="P816" i="9"/>
  <c r="AB816" i="9" s="1"/>
  <c r="P774" i="9"/>
  <c r="AB774" i="9" s="1"/>
  <c r="P740" i="9"/>
  <c r="AB740" i="9" s="1"/>
  <c r="P926" i="9"/>
  <c r="AB926" i="9" s="1"/>
  <c r="P888" i="9"/>
  <c r="AB888" i="9" s="1"/>
  <c r="P901" i="9"/>
  <c r="AB901" i="9" s="1"/>
  <c r="P745" i="9"/>
  <c r="AB745" i="9" s="1"/>
  <c r="P707" i="9"/>
  <c r="AB707" i="9" s="1"/>
  <c r="P673" i="9"/>
  <c r="AB673" i="9" s="1"/>
  <c r="P964" i="9"/>
  <c r="AB964" i="9" s="1"/>
  <c r="P855" i="9"/>
  <c r="AB855" i="9" s="1"/>
  <c r="P821" i="9"/>
  <c r="AB821" i="9" s="1"/>
  <c r="P783" i="9"/>
  <c r="AB783" i="9" s="1"/>
  <c r="P640" i="9"/>
  <c r="AB640" i="9" s="1"/>
  <c r="P951" i="9"/>
  <c r="AB951" i="9" s="1"/>
  <c r="P830" i="9"/>
  <c r="AB830" i="9" s="1"/>
  <c r="P985" i="9"/>
  <c r="AB985" i="9" s="1"/>
  <c r="P762" i="9"/>
  <c r="AB762" i="9" s="1"/>
  <c r="P988" i="9"/>
  <c r="AB988" i="9" s="1"/>
  <c r="P879" i="9"/>
  <c r="AB879" i="9" s="1"/>
  <c r="P845" i="9"/>
  <c r="AB845" i="9" s="1"/>
  <c r="P694" i="9"/>
  <c r="AB694" i="9" s="1"/>
  <c r="P664" i="9"/>
  <c r="AB664" i="9" s="1"/>
  <c r="P959" i="9"/>
  <c r="AB959" i="9" s="1"/>
  <c r="P838" i="9"/>
  <c r="AB838" i="9" s="1"/>
  <c r="P812" i="9"/>
  <c r="AB812" i="9" s="1"/>
  <c r="P770" i="9"/>
  <c r="AB770" i="9" s="1"/>
  <c r="P736" i="9"/>
  <c r="AB736" i="9" s="1"/>
  <c r="P922" i="9"/>
  <c r="AB922" i="9" s="1"/>
  <c r="P989" i="9"/>
  <c r="AB989" i="9" s="1"/>
  <c r="P891" i="9"/>
  <c r="AB891" i="9" s="1"/>
  <c r="P741" i="9"/>
  <c r="AB741" i="9" s="1"/>
  <c r="P703" i="9"/>
  <c r="AB703" i="9" s="1"/>
  <c r="P669" i="9"/>
  <c r="AB669" i="9" s="1"/>
  <c r="P976" i="9"/>
  <c r="AB976" i="9" s="1"/>
  <c r="P867" i="9"/>
  <c r="AB867" i="9" s="1"/>
  <c r="P833" i="9"/>
  <c r="AB833" i="9" s="1"/>
  <c r="P795" i="9"/>
  <c r="AB795" i="9" s="1"/>
  <c r="P652" i="9"/>
  <c r="AB652" i="9" s="1"/>
  <c r="P931" i="9"/>
  <c r="AB931" i="9" s="1"/>
  <c r="P810" i="9"/>
  <c r="AB810" i="9" s="1"/>
  <c r="P905" i="9"/>
  <c r="AB905" i="9" s="1"/>
  <c r="P742" i="9"/>
  <c r="AB742" i="9" s="1"/>
  <c r="P708" i="9"/>
  <c r="AB708" i="9" s="1"/>
  <c r="P894" i="9"/>
  <c r="AB894" i="9" s="1"/>
  <c r="P886" i="9"/>
  <c r="AB886" i="9" s="1"/>
  <c r="P860" i="9"/>
  <c r="AB860" i="9" s="1"/>
  <c r="P713" i="9"/>
  <c r="AB713" i="9" s="1"/>
  <c r="P784" i="9"/>
  <c r="AB784" i="9" s="1"/>
  <c r="P970" i="9"/>
  <c r="AB970" i="9" s="1"/>
  <c r="P932" i="9"/>
  <c r="AB932" i="9" s="1"/>
  <c r="P823" i="9"/>
  <c r="AB823" i="9" s="1"/>
  <c r="P789" i="9"/>
  <c r="AB789" i="9" s="1"/>
  <c r="P751" i="9"/>
  <c r="AB751" i="9" s="1"/>
  <c r="P919" i="9"/>
  <c r="AB919" i="9" s="1"/>
  <c r="P977" i="9"/>
  <c r="AB977" i="9" s="1"/>
  <c r="P881" i="9"/>
  <c r="AB881" i="9" s="1"/>
  <c r="P730" i="9"/>
  <c r="AB730" i="9" s="1"/>
  <c r="P696" i="9"/>
  <c r="AB696" i="9" s="1"/>
  <c r="P668" i="9"/>
  <c r="AB668" i="9" s="1"/>
  <c r="P691" i="9"/>
  <c r="AB691" i="9" s="1"/>
  <c r="P915" i="9"/>
  <c r="AB915" i="9" s="1"/>
  <c r="P961" i="9"/>
  <c r="AB961" i="9" s="1"/>
  <c r="P877" i="9"/>
  <c r="AB877" i="9" s="1"/>
  <c r="P726" i="9"/>
  <c r="AB726" i="9" s="1"/>
  <c r="P692" i="9"/>
  <c r="AB692" i="9" s="1"/>
  <c r="P991" i="9"/>
  <c r="AB991" i="9" s="1"/>
  <c r="P870" i="9"/>
  <c r="AB870" i="9" s="1"/>
  <c r="P844" i="9"/>
  <c r="AB844" i="9" s="1"/>
  <c r="P802" i="9"/>
  <c r="AB802" i="9" s="1"/>
  <c r="P768" i="9"/>
  <c r="AB768" i="9" s="1"/>
  <c r="P954" i="9"/>
  <c r="AB954" i="9" s="1"/>
  <c r="P916" i="9"/>
  <c r="AB916" i="9" s="1"/>
  <c r="P807" i="9"/>
  <c r="AB807" i="9" s="1"/>
  <c r="P773" i="9"/>
  <c r="AB773" i="9" s="1"/>
  <c r="P735" i="9"/>
  <c r="AB735" i="9" s="1"/>
  <c r="P592" i="9"/>
  <c r="AB592" i="9" s="1"/>
  <c r="P903" i="9"/>
  <c r="AB903" i="9" s="1"/>
  <c r="P913" i="9"/>
  <c r="AB913" i="9" s="1"/>
  <c r="P865" i="9"/>
  <c r="AB865" i="9" s="1"/>
  <c r="P714" i="9"/>
  <c r="AB714" i="9" s="1"/>
  <c r="P899" i="9"/>
  <c r="AB899" i="9" s="1"/>
  <c r="P897" i="9"/>
  <c r="AB897" i="9" s="1"/>
  <c r="P861" i="9"/>
  <c r="AB861" i="9" s="1"/>
  <c r="P710" i="9"/>
  <c r="AB710" i="9" s="1"/>
  <c r="P680" i="9"/>
  <c r="AB680" i="9" s="1"/>
  <c r="P975" i="9"/>
  <c r="AB975" i="9" s="1"/>
  <c r="P854" i="9"/>
  <c r="AB854" i="9" s="1"/>
  <c r="P828" i="9"/>
  <c r="AB828" i="9" s="1"/>
  <c r="P786" i="9"/>
  <c r="AB786" i="9" s="1"/>
  <c r="P752" i="9"/>
  <c r="AB752" i="9" s="1"/>
  <c r="P938" i="9"/>
  <c r="AB938" i="9" s="1"/>
  <c r="P900" i="9"/>
  <c r="AB900" i="9" s="1"/>
  <c r="P949" i="9"/>
  <c r="AB949" i="9" s="1"/>
  <c r="P757" i="9"/>
  <c r="AB757" i="9" s="1"/>
  <c r="P719" i="9"/>
  <c r="AB719" i="9" s="1"/>
  <c r="P685" i="9"/>
  <c r="AB685" i="9" s="1"/>
  <c r="P992" i="9"/>
  <c r="AB992" i="9" s="1"/>
  <c r="P883" i="9"/>
  <c r="AB883" i="9" s="1"/>
  <c r="P849" i="9"/>
  <c r="AB849" i="9" s="1"/>
  <c r="P962" i="9"/>
  <c r="AB962" i="9" s="1"/>
  <c r="P924" i="9"/>
  <c r="AB924" i="9" s="1"/>
  <c r="P815" i="9"/>
  <c r="AB815" i="9" s="1"/>
  <c r="P781" i="9"/>
  <c r="AB781" i="9" s="1"/>
  <c r="P743" i="9"/>
  <c r="AB743" i="9" s="1"/>
  <c r="P600" i="9"/>
  <c r="AB600" i="9" s="1"/>
  <c r="P1000" i="9"/>
  <c r="AB1000" i="9" s="1"/>
  <c r="P889" i="9"/>
  <c r="AB889" i="9" s="1"/>
  <c r="P857" i="9"/>
  <c r="AB857" i="9" s="1"/>
  <c r="P706" i="9"/>
  <c r="AB706" i="9" s="1"/>
  <c r="P676" i="9"/>
  <c r="AB676" i="9" s="1"/>
  <c r="P971" i="9"/>
  <c r="AB971" i="9" s="1"/>
  <c r="P850" i="9"/>
  <c r="AB850" i="9" s="1"/>
  <c r="P824" i="9"/>
  <c r="AB824" i="9" s="1"/>
  <c r="P782" i="9"/>
  <c r="AB782" i="9" s="1"/>
  <c r="P748" i="9"/>
  <c r="AB748" i="9" s="1"/>
  <c r="P950" i="9"/>
  <c r="AB950" i="9" s="1"/>
  <c r="P912" i="9"/>
  <c r="AB912" i="9" s="1"/>
  <c r="P997" i="9"/>
  <c r="AB997" i="9" s="1"/>
  <c r="P769" i="9"/>
  <c r="AB769" i="9" s="1"/>
  <c r="P731" i="9"/>
  <c r="AB731" i="9" s="1"/>
  <c r="P829" i="9"/>
  <c r="AB829" i="9" s="1"/>
  <c r="P822" i="9"/>
  <c r="AB822" i="9" s="1"/>
  <c r="P906" i="9"/>
  <c r="AB906" i="9" s="1"/>
  <c r="P796" i="9"/>
  <c r="AB796" i="9" s="1"/>
  <c r="P817" i="9"/>
  <c r="AB817" i="9" s="1"/>
  <c r="P792" i="9"/>
  <c r="AB792" i="9" s="1"/>
  <c r="P670" i="9"/>
  <c r="AB670" i="9" s="1"/>
  <c r="P666" i="9"/>
  <c r="AB666" i="9" s="1"/>
  <c r="P633" i="9"/>
  <c r="AB633" i="9" s="1"/>
  <c r="P599" i="9"/>
  <c r="AB599" i="9" s="1"/>
  <c r="P645" i="9"/>
  <c r="AB645" i="9" s="1"/>
  <c r="P639" i="9"/>
  <c r="AB639" i="9" s="1"/>
  <c r="P586" i="9"/>
  <c r="AB586" i="9" s="1"/>
  <c r="P662" i="9"/>
  <c r="AB662" i="9" s="1"/>
  <c r="P747" i="9"/>
  <c r="AB747" i="9" s="1"/>
  <c r="P674" i="9"/>
  <c r="AB674" i="9" s="1"/>
  <c r="P657" i="9"/>
  <c r="AB657" i="9" s="1"/>
  <c r="P634" i="9"/>
  <c r="AB634" i="9" s="1"/>
  <c r="P601" i="9"/>
  <c r="AB601" i="9" s="1"/>
  <c r="P581" i="9"/>
  <c r="AB581" i="9" s="1"/>
  <c r="P585" i="9"/>
  <c r="AB585" i="9" s="1"/>
  <c r="P671" i="9"/>
  <c r="AB671" i="9" s="1"/>
  <c r="P682" i="9"/>
  <c r="AB682" i="9" s="1"/>
  <c r="P649" i="9"/>
  <c r="AB649" i="9" s="1"/>
  <c r="P615" i="9"/>
  <c r="AB615" i="9" s="1"/>
  <c r="P495" i="9"/>
  <c r="AB495" i="9" s="1"/>
  <c r="P244" i="9"/>
  <c r="AB244" i="9" s="1"/>
  <c r="P208" i="9"/>
  <c r="AB208" i="9" s="1"/>
  <c r="P315" i="9"/>
  <c r="AB315" i="9" s="1"/>
  <c r="P567" i="9"/>
  <c r="AB567" i="9" s="1"/>
  <c r="P350" i="9"/>
  <c r="AB350" i="9" s="1"/>
  <c r="AD350" i="9" s="1"/>
  <c r="P279" i="9"/>
  <c r="AB279" i="9" s="1"/>
  <c r="P386" i="9"/>
  <c r="AB386" i="9" s="1"/>
  <c r="AD386" i="9" s="1"/>
  <c r="P171" i="9"/>
  <c r="AB171" i="9" s="1"/>
  <c r="P68" i="9"/>
  <c r="AB68" i="9" s="1"/>
  <c r="P791" i="9"/>
  <c r="AB791" i="9" s="1"/>
  <c r="P953" i="9"/>
  <c r="AB953" i="9" s="1"/>
  <c r="P925" i="9"/>
  <c r="AB925" i="9" s="1"/>
  <c r="P998" i="9"/>
  <c r="AB998" i="9" s="1"/>
  <c r="P779" i="9"/>
  <c r="AB779" i="9" s="1"/>
  <c r="P661" i="9"/>
  <c r="AB661" i="9" s="1"/>
  <c r="P655" i="9"/>
  <c r="AB655" i="9" s="1"/>
  <c r="P602" i="9"/>
  <c r="AB602" i="9" s="1"/>
  <c r="P678" i="9"/>
  <c r="AB678" i="9" s="1"/>
  <c r="P763" i="9"/>
  <c r="AB763" i="9" s="1"/>
  <c r="P690" i="9"/>
  <c r="AB690" i="9" s="1"/>
  <c r="P579" i="9"/>
  <c r="AB579" i="9" s="1"/>
  <c r="P635" i="9"/>
  <c r="AB635" i="9" s="1"/>
  <c r="P598" i="9"/>
  <c r="AB598" i="9" s="1"/>
  <c r="P728" i="9"/>
  <c r="AB728" i="9" s="1"/>
  <c r="P593" i="9"/>
  <c r="AB593" i="9" s="1"/>
  <c r="P584" i="9"/>
  <c r="AB584" i="9" s="1"/>
  <c r="P683" i="9"/>
  <c r="AB683" i="9" s="1"/>
  <c r="P646" i="9"/>
  <c r="AB646" i="9" s="1"/>
  <c r="P699" i="9"/>
  <c r="AB699" i="9" s="1"/>
  <c r="P658" i="9"/>
  <c r="AB658" i="9" s="1"/>
  <c r="P641" i="9"/>
  <c r="AB641" i="9" s="1"/>
  <c r="P618" i="9"/>
  <c r="AB618" i="9" s="1"/>
  <c r="P697" i="9"/>
  <c r="AB697" i="9" s="1"/>
  <c r="P530" i="9"/>
  <c r="AB530" i="9" s="1"/>
  <c r="AD530" i="9" s="1"/>
  <c r="P243" i="9"/>
  <c r="AB243" i="9" s="1"/>
  <c r="P206" i="9"/>
  <c r="AB206" i="9" s="1"/>
  <c r="AD206" i="9" s="1"/>
  <c r="P422" i="9"/>
  <c r="AB422" i="9" s="1"/>
  <c r="AD422" i="9" s="1"/>
  <c r="P566" i="9"/>
  <c r="AB566" i="9" s="1"/>
  <c r="AD566" i="9" s="1"/>
  <c r="P352" i="9"/>
  <c r="AB352" i="9" s="1"/>
  <c r="P459" i="9"/>
  <c r="AB459" i="9" s="1"/>
  <c r="P388" i="9"/>
  <c r="AB388" i="9" s="1"/>
  <c r="P170" i="9"/>
  <c r="AB170" i="9" s="1"/>
  <c r="AD170" i="9" s="1"/>
  <c r="P105" i="9"/>
  <c r="AB105" i="9" s="1"/>
  <c r="P972" i="9"/>
  <c r="AB972" i="9" s="1"/>
  <c r="P648" i="9"/>
  <c r="AB648" i="9" s="1"/>
  <c r="P754" i="9"/>
  <c r="AB754" i="9" s="1"/>
  <c r="P872" i="9"/>
  <c r="AB872" i="9" s="1"/>
  <c r="P960" i="9"/>
  <c r="AB960" i="9" s="1"/>
  <c r="P760" i="9"/>
  <c r="AB760" i="9" s="1"/>
  <c r="P642" i="9"/>
  <c r="AB642" i="9" s="1"/>
  <c r="P591" i="9"/>
  <c r="AB591" i="9" s="1"/>
  <c r="P651" i="9"/>
  <c r="AB651" i="9" s="1"/>
  <c r="P614" i="9"/>
  <c r="AB614" i="9" s="1"/>
  <c r="P744" i="9"/>
  <c r="AB744" i="9" s="1"/>
  <c r="P626" i="9"/>
  <c r="AB626" i="9" s="1"/>
  <c r="P654" i="9"/>
  <c r="AB654" i="9" s="1"/>
  <c r="P580" i="9"/>
  <c r="AB580" i="9" s="1"/>
  <c r="P647" i="9"/>
  <c r="AB647" i="9" s="1"/>
  <c r="P604" i="9"/>
  <c r="AB604" i="9" s="1"/>
  <c r="P659" i="9"/>
  <c r="AB659" i="9" s="1"/>
  <c r="P638" i="9"/>
  <c r="AB638" i="9" s="1"/>
  <c r="P653" i="9"/>
  <c r="AB653" i="9" s="1"/>
  <c r="P619" i="9"/>
  <c r="AB619" i="9" s="1"/>
  <c r="P582" i="9"/>
  <c r="AB582" i="9" s="1"/>
  <c r="P684" i="9"/>
  <c r="AB684" i="9" s="1"/>
  <c r="P594" i="9"/>
  <c r="AB594" i="9" s="1"/>
  <c r="P686" i="9"/>
  <c r="AB686" i="9" s="1"/>
  <c r="P578" i="9"/>
  <c r="AB578" i="9" s="1"/>
  <c r="AD578" i="9" s="1"/>
  <c r="P667" i="9"/>
  <c r="AB667" i="9" s="1"/>
  <c r="P630" i="9"/>
  <c r="AB630" i="9" s="1"/>
  <c r="P494" i="9"/>
  <c r="AB494" i="9" s="1"/>
  <c r="AD494" i="9" s="1"/>
  <c r="P531" i="9"/>
  <c r="AB531" i="9" s="1"/>
  <c r="P242" i="9"/>
  <c r="AB242" i="9" s="1"/>
  <c r="AD242" i="9" s="1"/>
  <c r="P316" i="9"/>
  <c r="AB316" i="9" s="1"/>
  <c r="P424" i="9"/>
  <c r="AB424" i="9" s="1"/>
  <c r="P568" i="9"/>
  <c r="AB568" i="9" s="1"/>
  <c r="P280" i="9"/>
  <c r="AB280" i="9" s="1"/>
  <c r="P460" i="9"/>
  <c r="AB460" i="9" s="1"/>
  <c r="P387" i="9"/>
  <c r="AB387" i="9" s="1"/>
  <c r="P69" i="9"/>
  <c r="AB69" i="9" s="1"/>
  <c r="P106" i="9"/>
  <c r="AB106" i="9" s="1"/>
  <c r="P863" i="9"/>
  <c r="AB863" i="9" s="1"/>
  <c r="P943" i="9"/>
  <c r="AB943" i="9" s="1"/>
  <c r="P720" i="9"/>
  <c r="AB720" i="9" s="1"/>
  <c r="P725" i="9"/>
  <c r="AB725" i="9" s="1"/>
  <c r="P851" i="9"/>
  <c r="AB851" i="9" s="1"/>
  <c r="P636" i="9"/>
  <c r="AB636" i="9" s="1"/>
  <c r="P627" i="9"/>
  <c r="AB627" i="9" s="1"/>
  <c r="P621" i="9"/>
  <c r="AB621" i="9" s="1"/>
  <c r="P663" i="9"/>
  <c r="AB663" i="9" s="1"/>
  <c r="P620" i="9"/>
  <c r="AB620" i="9" s="1"/>
  <c r="P675" i="9"/>
  <c r="AB675" i="9" s="1"/>
  <c r="P590" i="9"/>
  <c r="AB590" i="9" s="1"/>
  <c r="P650" i="9"/>
  <c r="AB650" i="9" s="1"/>
  <c r="P617" i="9"/>
  <c r="AB617" i="9" s="1"/>
  <c r="P583" i="9"/>
  <c r="AB583" i="9" s="1"/>
  <c r="P629" i="9"/>
  <c r="AB629" i="9" s="1"/>
  <c r="P595" i="9"/>
  <c r="AB595" i="9" s="1"/>
  <c r="P687" i="9"/>
  <c r="AB687" i="9" s="1"/>
  <c r="P665" i="9"/>
  <c r="AB665" i="9" s="1"/>
  <c r="P631" i="9"/>
  <c r="AB631" i="9" s="1"/>
  <c r="P681" i="9"/>
  <c r="AB681" i="9" s="1"/>
  <c r="P643" i="9"/>
  <c r="AB643" i="9" s="1"/>
  <c r="P622" i="9"/>
  <c r="AB622" i="9" s="1"/>
  <c r="P637" i="9"/>
  <c r="AB637" i="9" s="1"/>
  <c r="P603" i="9"/>
  <c r="AB603" i="9" s="1"/>
  <c r="P679" i="9"/>
  <c r="AB679" i="9" s="1"/>
  <c r="P496" i="9"/>
  <c r="AB496" i="9" s="1"/>
  <c r="P532" i="9"/>
  <c r="AB532" i="9" s="1"/>
  <c r="P207" i="9"/>
  <c r="AB207" i="9" s="1"/>
  <c r="P314" i="9"/>
  <c r="AB314" i="9" s="1"/>
  <c r="AD314" i="9" s="1"/>
  <c r="P423" i="9"/>
  <c r="AB423" i="9" s="1"/>
  <c r="P351" i="9"/>
  <c r="AB351" i="9" s="1"/>
  <c r="P278" i="9"/>
  <c r="AB278" i="9" s="1"/>
  <c r="AD278" i="9" s="1"/>
  <c r="P458" i="9"/>
  <c r="AB458" i="9" s="1"/>
  <c r="AD458" i="9" s="1"/>
  <c r="P172" i="9"/>
  <c r="AB172" i="9" s="1"/>
  <c r="P70" i="9"/>
  <c r="AB70" i="9" s="1"/>
  <c r="P104" i="9"/>
  <c r="AB104" i="9" s="1"/>
  <c r="P71" i="9"/>
  <c r="AB71" i="9" s="1"/>
  <c r="P72" i="9"/>
  <c r="AB72" i="9" s="1"/>
  <c r="P107" i="9"/>
  <c r="AB107" i="9" s="1"/>
  <c r="P73" i="9"/>
  <c r="AB73" i="9" s="1"/>
  <c r="P108" i="9"/>
  <c r="AB108" i="9" s="1"/>
  <c r="P109" i="9"/>
  <c r="AB109" i="9" s="1"/>
  <c r="P40" i="9"/>
  <c r="AB40" i="9" s="1"/>
  <c r="P39" i="9"/>
  <c r="AB39" i="9" s="1"/>
  <c r="P38" i="9"/>
  <c r="AB38" i="9" s="1"/>
  <c r="AD38" i="9" s="1"/>
  <c r="E47" i="32"/>
  <c r="E48" i="32" s="1"/>
  <c r="P15" i="9"/>
  <c r="AB15" i="9" s="1"/>
  <c r="AD15" i="9" s="1"/>
  <c r="P16" i="9"/>
  <c r="AB16" i="9" s="1"/>
  <c r="AD16" i="9" s="1"/>
  <c r="P14" i="9"/>
  <c r="AB14" i="9" s="1"/>
  <c r="AD14" i="9" s="1"/>
  <c r="C29" i="15"/>
  <c r="C7" i="15"/>
  <c r="P470" i="9"/>
  <c r="AB470" i="9" s="1"/>
  <c r="AD470" i="9" s="1"/>
  <c r="P471" i="9"/>
  <c r="AB471" i="9" s="1"/>
  <c r="AD471" i="9" s="1"/>
  <c r="P472" i="9"/>
  <c r="AB472" i="9" s="1"/>
  <c r="AD472" i="9" s="1"/>
  <c r="P506" i="9"/>
  <c r="AB506" i="9" s="1"/>
  <c r="AD506" i="9" s="1"/>
  <c r="P508" i="9"/>
  <c r="AB508" i="9" s="1"/>
  <c r="AD508" i="9" s="1"/>
  <c r="P507" i="9"/>
  <c r="AB507" i="9" s="1"/>
  <c r="AD507" i="9" s="1"/>
  <c r="P543" i="9"/>
  <c r="AB543" i="9" s="1"/>
  <c r="AD543" i="9" s="1"/>
  <c r="P544" i="9"/>
  <c r="AB544" i="9" s="1"/>
  <c r="AD544" i="9" s="1"/>
  <c r="P542" i="9"/>
  <c r="AB542" i="9" s="1"/>
  <c r="AD542" i="9" s="1"/>
  <c r="P434" i="9"/>
  <c r="AB434" i="9" s="1"/>
  <c r="AD434" i="9" s="1"/>
  <c r="P436" i="9"/>
  <c r="AB436" i="9" s="1"/>
  <c r="AD436" i="9" s="1"/>
  <c r="P435" i="9"/>
  <c r="AB435" i="9" s="1"/>
  <c r="AD435" i="9" s="1"/>
  <c r="P399" i="9"/>
  <c r="AB399" i="9" s="1"/>
  <c r="AD399" i="9" s="1"/>
  <c r="P400" i="9"/>
  <c r="AB400" i="9" s="1"/>
  <c r="AD400" i="9" s="1"/>
  <c r="P398" i="9"/>
  <c r="AB398" i="9" s="1"/>
  <c r="AD398" i="9" s="1"/>
  <c r="P363" i="9"/>
  <c r="AB363" i="9" s="1"/>
  <c r="AD363" i="9" s="1"/>
  <c r="P364" i="9"/>
  <c r="AB364" i="9" s="1"/>
  <c r="AD364" i="9" s="1"/>
  <c r="P362" i="9"/>
  <c r="AB362" i="9" s="1"/>
  <c r="AD362" i="9" s="1"/>
  <c r="P326" i="9"/>
  <c r="AB326" i="9" s="1"/>
  <c r="AD326" i="9" s="1"/>
  <c r="P327" i="9"/>
  <c r="AB327" i="9" s="1"/>
  <c r="AD327" i="9" s="1"/>
  <c r="P328" i="9"/>
  <c r="AB328" i="9" s="1"/>
  <c r="AD328" i="9" s="1"/>
  <c r="P292" i="9"/>
  <c r="AB292" i="9" s="1"/>
  <c r="AD292" i="9" s="1"/>
  <c r="P291" i="9"/>
  <c r="AB291" i="9" s="1"/>
  <c r="AD291" i="9" s="1"/>
  <c r="P290" i="9"/>
  <c r="AB290" i="9" s="1"/>
  <c r="AD290" i="9" s="1"/>
  <c r="P256" i="9"/>
  <c r="AB256" i="9" s="1"/>
  <c r="AD256" i="9" s="1"/>
  <c r="P255" i="9"/>
  <c r="AB255" i="9" s="1"/>
  <c r="AD255" i="9" s="1"/>
  <c r="P254" i="9"/>
  <c r="AB254" i="9" s="1"/>
  <c r="AD254" i="9" s="1"/>
  <c r="P220" i="9"/>
  <c r="AB220" i="9" s="1"/>
  <c r="AD220" i="9" s="1"/>
  <c r="P218" i="9"/>
  <c r="AB218" i="9" s="1"/>
  <c r="AD218" i="9" s="1"/>
  <c r="P219" i="9"/>
  <c r="AB219" i="9" s="1"/>
  <c r="AD219" i="9" s="1"/>
  <c r="P183" i="9"/>
  <c r="AB183" i="9" s="1"/>
  <c r="AD183" i="9" s="1"/>
  <c r="P182" i="9"/>
  <c r="AB182" i="9" s="1"/>
  <c r="AD182" i="9" s="1"/>
  <c r="P184" i="9"/>
  <c r="AB184" i="9" s="1"/>
  <c r="AD184" i="9" s="1"/>
  <c r="P146" i="9"/>
  <c r="AB146" i="9" s="1"/>
  <c r="AD146" i="9" s="1"/>
  <c r="P148" i="9"/>
  <c r="AB148" i="9" s="1"/>
  <c r="AD148" i="9" s="1"/>
  <c r="P147" i="9"/>
  <c r="AB147" i="9" s="1"/>
  <c r="AD147" i="9" s="1"/>
  <c r="P53" i="9"/>
  <c r="P54" i="9"/>
  <c r="AB54" i="9" s="1"/>
  <c r="AD54" i="9" s="1"/>
  <c r="P55" i="9"/>
  <c r="AB55" i="9" s="1"/>
  <c r="AD55" i="9" s="1"/>
  <c r="P89" i="9"/>
  <c r="AB89" i="9" s="1"/>
  <c r="AD89" i="9" s="1"/>
  <c r="P91" i="9"/>
  <c r="AB91" i="9" s="1"/>
  <c r="AD91" i="9" s="1"/>
  <c r="P90" i="9"/>
  <c r="AB90" i="9" s="1"/>
  <c r="AD90" i="9" s="1"/>
  <c r="P125" i="9"/>
  <c r="AB125" i="9" s="1"/>
  <c r="AD125" i="9" s="1"/>
  <c r="P126" i="9"/>
  <c r="AB126" i="9" s="1"/>
  <c r="AD126" i="9" s="1"/>
  <c r="P127" i="9"/>
  <c r="AB127" i="9" s="1"/>
  <c r="AD127" i="9" s="1"/>
  <c r="AB51" i="9" l="1"/>
  <c r="AD51" i="9" s="1"/>
  <c r="D37" i="45"/>
  <c r="AB52" i="9"/>
  <c r="E37" i="45" s="1"/>
  <c r="AB53" i="9"/>
  <c r="AD53" i="9" s="1"/>
  <c r="AD109" i="9"/>
  <c r="AH109" i="9"/>
  <c r="AL109" i="9" s="1"/>
  <c r="AD73" i="9"/>
  <c r="AH73" i="9"/>
  <c r="AL73" i="9" s="1"/>
  <c r="AD71" i="9"/>
  <c r="AH71" i="9"/>
  <c r="AD104" i="9"/>
  <c r="AH104" i="9"/>
  <c r="AL104" i="9" s="1"/>
  <c r="AD207" i="9"/>
  <c r="AH207" i="9"/>
  <c r="AL207" i="9" s="1"/>
  <c r="AH679" i="9"/>
  <c r="AM679" i="9" s="1"/>
  <c r="AD679" i="9"/>
  <c r="AD643" i="9"/>
  <c r="AH643" i="9"/>
  <c r="AL643" i="9" s="1"/>
  <c r="AH583" i="9"/>
  <c r="AM583" i="9" s="1"/>
  <c r="AD583" i="9"/>
  <c r="AH675" i="9"/>
  <c r="AL675" i="9" s="1"/>
  <c r="AD675" i="9"/>
  <c r="AH621" i="9"/>
  <c r="AM621" i="9" s="1"/>
  <c r="AD621" i="9"/>
  <c r="AH725" i="9"/>
  <c r="AM725" i="9" s="1"/>
  <c r="AD725" i="9"/>
  <c r="AD106" i="9"/>
  <c r="AD280" i="9"/>
  <c r="AH280" i="9"/>
  <c r="AM280" i="9" s="1"/>
  <c r="AH667" i="9"/>
  <c r="AL667" i="9" s="1"/>
  <c r="AD667" i="9"/>
  <c r="AD684" i="9"/>
  <c r="AH684" i="9"/>
  <c r="AL684" i="9" s="1"/>
  <c r="AH638" i="9"/>
  <c r="AL638" i="9" s="1"/>
  <c r="AD638" i="9"/>
  <c r="AH580" i="9"/>
  <c r="AL580" i="9" s="1"/>
  <c r="AD580" i="9"/>
  <c r="AH744" i="9"/>
  <c r="AM744" i="9" s="1"/>
  <c r="AD744" i="9"/>
  <c r="AD642" i="9"/>
  <c r="AH642" i="9"/>
  <c r="AM642" i="9" s="1"/>
  <c r="AD754" i="9"/>
  <c r="AH754" i="9"/>
  <c r="AH646" i="9"/>
  <c r="AL646" i="9" s="1"/>
  <c r="AD646" i="9"/>
  <c r="AD579" i="9"/>
  <c r="AH579" i="9"/>
  <c r="AM579" i="9" s="1"/>
  <c r="AH678" i="9"/>
  <c r="AD678" i="9"/>
  <c r="AH779" i="9"/>
  <c r="AL779" i="9" s="1"/>
  <c r="AD779" i="9"/>
  <c r="AH791" i="9"/>
  <c r="AL791" i="9" s="1"/>
  <c r="AD791" i="9"/>
  <c r="AD315" i="9"/>
  <c r="AH315" i="9"/>
  <c r="AL315" i="9" s="1"/>
  <c r="AH671" i="9"/>
  <c r="AM671" i="9" s="1"/>
  <c r="AD671" i="9"/>
  <c r="AH601" i="9"/>
  <c r="AL601" i="9" s="1"/>
  <c r="AD601" i="9"/>
  <c r="AD674" i="9"/>
  <c r="AH674" i="9"/>
  <c r="AL674" i="9" s="1"/>
  <c r="AD639" i="9"/>
  <c r="AH639" i="9"/>
  <c r="AL639" i="9" s="1"/>
  <c r="AD633" i="9"/>
  <c r="AH633" i="9"/>
  <c r="AL633" i="9" s="1"/>
  <c r="AH817" i="9"/>
  <c r="AL817" i="9" s="1"/>
  <c r="AD817" i="9"/>
  <c r="AD829" i="9"/>
  <c r="AH829" i="9"/>
  <c r="AL829" i="9" s="1"/>
  <c r="AH912" i="9"/>
  <c r="AD912" i="9"/>
  <c r="AD824" i="9"/>
  <c r="AH824" i="9"/>
  <c r="AD706" i="9"/>
  <c r="AH706" i="9"/>
  <c r="AL706" i="9" s="1"/>
  <c r="AD600" i="9"/>
  <c r="AH600" i="9"/>
  <c r="AL600" i="9" s="1"/>
  <c r="AD924" i="9"/>
  <c r="AH924" i="9"/>
  <c r="AL924" i="9" s="1"/>
  <c r="AD992" i="9"/>
  <c r="AH992" i="9"/>
  <c r="AL992" i="9" s="1"/>
  <c r="AH949" i="9"/>
  <c r="AM949" i="9" s="1"/>
  <c r="AD949" i="9"/>
  <c r="AH786" i="9"/>
  <c r="AL786" i="9" s="1"/>
  <c r="AD786" i="9"/>
  <c r="AH680" i="9"/>
  <c r="AL680" i="9" s="1"/>
  <c r="AD680" i="9"/>
  <c r="AH899" i="9"/>
  <c r="AL899" i="9" s="1"/>
  <c r="AD899" i="9"/>
  <c r="AD903" i="9"/>
  <c r="AH903" i="9"/>
  <c r="AM903" i="9" s="1"/>
  <c r="AD807" i="9"/>
  <c r="AH807" i="9"/>
  <c r="AL807" i="9" s="1"/>
  <c r="AH802" i="9"/>
  <c r="AM802" i="9" s="1"/>
  <c r="AD802" i="9"/>
  <c r="AH692" i="9"/>
  <c r="AL692" i="9" s="1"/>
  <c r="AD692" i="9"/>
  <c r="AH915" i="9"/>
  <c r="AM915" i="9" s="1"/>
  <c r="AD915" i="9"/>
  <c r="AH696" i="9"/>
  <c r="AM696" i="9" s="1"/>
  <c r="AD696" i="9"/>
  <c r="AH919" i="9"/>
  <c r="AL919" i="9" s="1"/>
  <c r="AD919" i="9"/>
  <c r="AD823" i="9"/>
  <c r="AH823" i="9"/>
  <c r="AL823" i="9" s="1"/>
  <c r="AH713" i="9"/>
  <c r="AL713" i="9" s="1"/>
  <c r="AD713" i="9"/>
  <c r="AH708" i="9"/>
  <c r="AL708" i="9" s="1"/>
  <c r="AD708" i="9"/>
  <c r="AH931" i="9"/>
  <c r="AD931" i="9"/>
  <c r="AH867" i="9"/>
  <c r="AL867" i="9" s="1"/>
  <c r="AD867" i="9"/>
  <c r="AD741" i="9"/>
  <c r="AH741" i="9"/>
  <c r="AM741" i="9" s="1"/>
  <c r="AD736" i="9"/>
  <c r="AH736" i="9"/>
  <c r="AL736" i="9" s="1"/>
  <c r="AH959" i="9"/>
  <c r="AM959" i="9" s="1"/>
  <c r="AD959" i="9"/>
  <c r="AH879" i="9"/>
  <c r="AL879" i="9" s="1"/>
  <c r="AD879" i="9"/>
  <c r="AD830" i="9"/>
  <c r="AH830" i="9"/>
  <c r="AM830" i="9" s="1"/>
  <c r="AH821" i="9"/>
  <c r="AD821" i="9"/>
  <c r="AD707" i="9"/>
  <c r="AH707" i="9"/>
  <c r="AL707" i="9" s="1"/>
  <c r="AH926" i="9"/>
  <c r="AM926" i="9" s="1"/>
  <c r="AD926" i="9"/>
  <c r="AH842" i="9"/>
  <c r="AL842" i="9" s="1"/>
  <c r="AD842" i="9"/>
  <c r="AD846" i="9"/>
  <c r="AH846" i="9"/>
  <c r="AL846" i="9" s="1"/>
  <c r="AH837" i="9"/>
  <c r="AM837" i="9" s="1"/>
  <c r="AD837" i="9"/>
  <c r="AD723" i="9"/>
  <c r="AH723" i="9"/>
  <c r="AM723" i="9" s="1"/>
  <c r="AD942" i="9"/>
  <c r="AH942" i="9"/>
  <c r="AM942" i="9" s="1"/>
  <c r="AH858" i="9"/>
  <c r="AL858" i="9" s="1"/>
  <c r="AD858" i="9"/>
  <c r="AH862" i="9"/>
  <c r="AM862" i="9" s="1"/>
  <c r="AD862" i="9"/>
  <c r="AH853" i="9"/>
  <c r="AL853" i="9" s="1"/>
  <c r="AD853" i="9"/>
  <c r="AD739" i="9"/>
  <c r="AH739" i="9"/>
  <c r="AM739" i="9" s="1"/>
  <c r="AD958" i="9"/>
  <c r="AH958" i="9"/>
  <c r="AM958" i="9" s="1"/>
  <c r="AD874" i="9"/>
  <c r="AH874" i="9"/>
  <c r="AL874" i="9" s="1"/>
  <c r="AH921" i="9"/>
  <c r="AM921" i="9" s="1"/>
  <c r="AD921" i="9"/>
  <c r="AD767" i="9"/>
  <c r="AH767" i="9"/>
  <c r="AM767" i="9" s="1"/>
  <c r="AD986" i="9"/>
  <c r="AH986" i="9"/>
  <c r="AM986" i="9" s="1"/>
  <c r="AH941" i="9"/>
  <c r="AL941" i="9" s="1"/>
  <c r="AD941" i="9"/>
  <c r="AH969" i="9"/>
  <c r="AD969" i="9"/>
  <c r="AH868" i="9"/>
  <c r="AM868" i="9" s="1"/>
  <c r="AD868" i="9"/>
  <c r="AH734" i="9"/>
  <c r="AL734" i="9" s="1"/>
  <c r="AD734" i="9"/>
  <c r="AD628" i="9"/>
  <c r="AH628" i="9"/>
  <c r="AL628" i="9" s="1"/>
  <c r="AH952" i="9"/>
  <c r="AL952" i="9" s="1"/>
  <c r="AD952" i="9"/>
  <c r="AH880" i="9"/>
  <c r="AD880" i="9"/>
  <c r="AD884" i="9"/>
  <c r="AH884" i="9"/>
  <c r="AM884" i="9" s="1"/>
  <c r="AH750" i="9"/>
  <c r="AM750" i="9" s="1"/>
  <c r="AD750" i="9"/>
  <c r="AD644" i="9"/>
  <c r="AH644" i="9"/>
  <c r="AL644" i="9" s="1"/>
  <c r="AH968" i="9"/>
  <c r="AM968" i="9" s="1"/>
  <c r="AD968" i="9"/>
  <c r="AD917" i="9"/>
  <c r="AH917" i="9"/>
  <c r="AL917" i="9" s="1"/>
  <c r="AD597" i="9"/>
  <c r="AH597" i="9"/>
  <c r="AM597" i="9" s="1"/>
  <c r="AD933" i="9"/>
  <c r="AH933" i="9"/>
  <c r="AL933" i="9" s="1"/>
  <c r="AD766" i="9"/>
  <c r="AH766" i="9"/>
  <c r="AL766" i="9" s="1"/>
  <c r="AD660" i="9"/>
  <c r="AH660" i="9"/>
  <c r="AL660" i="9" s="1"/>
  <c r="AD984" i="9"/>
  <c r="AH984" i="9"/>
  <c r="AL984" i="9" s="1"/>
  <c r="AD981" i="9"/>
  <c r="AH981" i="9"/>
  <c r="AL981" i="9" s="1"/>
  <c r="AD705" i="9"/>
  <c r="AH705" i="9"/>
  <c r="AM705" i="9" s="1"/>
  <c r="AH688" i="9"/>
  <c r="AM688" i="9" s="1"/>
  <c r="AD688" i="9"/>
  <c r="AH907" i="9"/>
  <c r="AL907" i="9" s="1"/>
  <c r="AD907" i="9"/>
  <c r="AH827" i="9"/>
  <c r="AL827" i="9" s="1"/>
  <c r="AD827" i="9"/>
  <c r="AH717" i="9"/>
  <c r="AD717" i="9"/>
  <c r="AD785" i="9"/>
  <c r="AH785" i="9"/>
  <c r="AD764" i="9"/>
  <c r="AH764" i="9"/>
  <c r="AM764" i="9" s="1"/>
  <c r="AD987" i="9"/>
  <c r="AH987" i="9"/>
  <c r="AL987" i="9" s="1"/>
  <c r="AD945" i="9"/>
  <c r="AH945" i="9"/>
  <c r="AM945" i="9" s="1"/>
  <c r="AD797" i="9"/>
  <c r="AH797" i="9"/>
  <c r="AM797" i="9" s="1"/>
  <c r="AD801" i="9"/>
  <c r="AH801" i="9"/>
  <c r="AM801" i="9" s="1"/>
  <c r="AD780" i="9"/>
  <c r="AH780" i="9"/>
  <c r="AL780" i="9" s="1"/>
  <c r="AH890" i="9"/>
  <c r="AL890" i="9" s="1"/>
  <c r="AD890" i="9"/>
  <c r="AD806" i="9"/>
  <c r="AH806" i="9"/>
  <c r="AM806" i="9" s="1"/>
  <c r="AD813" i="9"/>
  <c r="AH813" i="9"/>
  <c r="AM813" i="9" s="1"/>
  <c r="AD81" i="9"/>
  <c r="AH81" i="9"/>
  <c r="AD43" i="9"/>
  <c r="AH43" i="9"/>
  <c r="AL43" i="9" s="1"/>
  <c r="AD139" i="9"/>
  <c r="AH139" i="9"/>
  <c r="AL139" i="9" s="1"/>
  <c r="AD78" i="9"/>
  <c r="AD85" i="9"/>
  <c r="AH85" i="9"/>
  <c r="AL85" i="9" s="1"/>
  <c r="AD114" i="9"/>
  <c r="AD82" i="9"/>
  <c r="AD79" i="9"/>
  <c r="AH79" i="9"/>
  <c r="AM79" i="9" s="1"/>
  <c r="AD116" i="9"/>
  <c r="AH116" i="9"/>
  <c r="AM116" i="9" s="1"/>
  <c r="AD88" i="9"/>
  <c r="AH88" i="9"/>
  <c r="AM88" i="9" s="1"/>
  <c r="AD64" i="9"/>
  <c r="AH64" i="9"/>
  <c r="AM64" i="9" s="1"/>
  <c r="AD112" i="9"/>
  <c r="AH112" i="9"/>
  <c r="AL112" i="9" s="1"/>
  <c r="AD135" i="9"/>
  <c r="AH135" i="9"/>
  <c r="AL135" i="9" s="1"/>
  <c r="AD74" i="9"/>
  <c r="AH74" i="9"/>
  <c r="AL74" i="9" s="1"/>
  <c r="AD123" i="9"/>
  <c r="AH123" i="9"/>
  <c r="AL123" i="9" s="1"/>
  <c r="AD70" i="9"/>
  <c r="AD351" i="9"/>
  <c r="AH351" i="9"/>
  <c r="AM351" i="9" s="1"/>
  <c r="AD532" i="9"/>
  <c r="AH532" i="9"/>
  <c r="AM532" i="9" s="1"/>
  <c r="AD603" i="9"/>
  <c r="AH603" i="9"/>
  <c r="AL603" i="9" s="1"/>
  <c r="AD681" i="9"/>
  <c r="AH681" i="9"/>
  <c r="AL681" i="9" s="1"/>
  <c r="AH687" i="9"/>
  <c r="AL687" i="9" s="1"/>
  <c r="AD687" i="9"/>
  <c r="AD617" i="9"/>
  <c r="AH617" i="9"/>
  <c r="AH620" i="9"/>
  <c r="AM620" i="9" s="1"/>
  <c r="AD620" i="9"/>
  <c r="AH627" i="9"/>
  <c r="AM627" i="9" s="1"/>
  <c r="AD627" i="9"/>
  <c r="AH720" i="9"/>
  <c r="AL720" i="9" s="1"/>
  <c r="AD720" i="9"/>
  <c r="AD69" i="9"/>
  <c r="AH69" i="9"/>
  <c r="AL69" i="9" s="1"/>
  <c r="AD568" i="9"/>
  <c r="AH568" i="9"/>
  <c r="AL568" i="9" s="1"/>
  <c r="AD531" i="9"/>
  <c r="AH531" i="9"/>
  <c r="AM531" i="9" s="1"/>
  <c r="AD582" i="9"/>
  <c r="AH582" i="9"/>
  <c r="AL582" i="9" s="1"/>
  <c r="AD659" i="9"/>
  <c r="AH659" i="9"/>
  <c r="AM659" i="9" s="1"/>
  <c r="AD614" i="9"/>
  <c r="AD760" i="9"/>
  <c r="AH760" i="9"/>
  <c r="AL760" i="9" s="1"/>
  <c r="AH648" i="9"/>
  <c r="AL648" i="9" s="1"/>
  <c r="AD648" i="9"/>
  <c r="AD388" i="9"/>
  <c r="AH388" i="9"/>
  <c r="AM388" i="9" s="1"/>
  <c r="AH641" i="9"/>
  <c r="AL641" i="9" s="1"/>
  <c r="AD641" i="9"/>
  <c r="AH683" i="9"/>
  <c r="AL683" i="9" s="1"/>
  <c r="AD683" i="9"/>
  <c r="AH728" i="9"/>
  <c r="AL728" i="9" s="1"/>
  <c r="AD728" i="9"/>
  <c r="AD602" i="9"/>
  <c r="AH998" i="9"/>
  <c r="AM998" i="9" s="1"/>
  <c r="AD998" i="9"/>
  <c r="AD279" i="9"/>
  <c r="AH279" i="9"/>
  <c r="AL279" i="9" s="1"/>
  <c r="AD208" i="9"/>
  <c r="AH208" i="9"/>
  <c r="AM208" i="9" s="1"/>
  <c r="AD615" i="9"/>
  <c r="AH615" i="9"/>
  <c r="AL615" i="9" s="1"/>
  <c r="AD585" i="9"/>
  <c r="AH585" i="9"/>
  <c r="AH634" i="9"/>
  <c r="AL634" i="9" s="1"/>
  <c r="AD634" i="9"/>
  <c r="AD747" i="9"/>
  <c r="AH747" i="9"/>
  <c r="AM747" i="9" s="1"/>
  <c r="AH666" i="9"/>
  <c r="AD666" i="9"/>
  <c r="AD796" i="9"/>
  <c r="AH796" i="9"/>
  <c r="AD731" i="9"/>
  <c r="AH731" i="9"/>
  <c r="AH950" i="9"/>
  <c r="AM950" i="9" s="1"/>
  <c r="AD950" i="9"/>
  <c r="AH850" i="9"/>
  <c r="AL850" i="9" s="1"/>
  <c r="AD850" i="9"/>
  <c r="AD857" i="9"/>
  <c r="AH857" i="9"/>
  <c r="AL857" i="9" s="1"/>
  <c r="AD743" i="9"/>
  <c r="AH743" i="9"/>
  <c r="AM743" i="9" s="1"/>
  <c r="AD962" i="9"/>
  <c r="AH962" i="9"/>
  <c r="AL962" i="9" s="1"/>
  <c r="AD685" i="9"/>
  <c r="AH685" i="9"/>
  <c r="AM685" i="9" s="1"/>
  <c r="AH900" i="9"/>
  <c r="AM900" i="9" s="1"/>
  <c r="AD900" i="9"/>
  <c r="AD828" i="9"/>
  <c r="AH828" i="9"/>
  <c r="AL828" i="9" s="1"/>
  <c r="AD710" i="9"/>
  <c r="AH710" i="9"/>
  <c r="AL710" i="9" s="1"/>
  <c r="AD714" i="9"/>
  <c r="AH714" i="9"/>
  <c r="AL714" i="9" s="1"/>
  <c r="AD592" i="9"/>
  <c r="AH592" i="9"/>
  <c r="AM592" i="9" s="1"/>
  <c r="AD916" i="9"/>
  <c r="AH916" i="9"/>
  <c r="AM916" i="9" s="1"/>
  <c r="AD844" i="9"/>
  <c r="AH844" i="9"/>
  <c r="AL844" i="9" s="1"/>
  <c r="AD726" i="9"/>
  <c r="AH726" i="9"/>
  <c r="AM726" i="9" s="1"/>
  <c r="AH730" i="9"/>
  <c r="AD730" i="9"/>
  <c r="AD932" i="9"/>
  <c r="AH932" i="9"/>
  <c r="AD860" i="9"/>
  <c r="AH860" i="9"/>
  <c r="AL860" i="9" s="1"/>
  <c r="AH742" i="9"/>
  <c r="AL742" i="9" s="1"/>
  <c r="AD742" i="9"/>
  <c r="AH652" i="9"/>
  <c r="AL652" i="9" s="1"/>
  <c r="AD652" i="9"/>
  <c r="AD976" i="9"/>
  <c r="AH976" i="9"/>
  <c r="AL976" i="9" s="1"/>
  <c r="AD891" i="9"/>
  <c r="AH891" i="9"/>
  <c r="AL891" i="9" s="1"/>
  <c r="AD770" i="9"/>
  <c r="AH770" i="9"/>
  <c r="AM770" i="9" s="1"/>
  <c r="AH664" i="9"/>
  <c r="AM664" i="9" s="1"/>
  <c r="AD664" i="9"/>
  <c r="AD988" i="9"/>
  <c r="AH988" i="9"/>
  <c r="AL988" i="9" s="1"/>
  <c r="AD951" i="9"/>
  <c r="AH951" i="9"/>
  <c r="AM951" i="9" s="1"/>
  <c r="AD855" i="9"/>
  <c r="AH855" i="9"/>
  <c r="AL855" i="9" s="1"/>
  <c r="AD745" i="9"/>
  <c r="AH745" i="9"/>
  <c r="AL745" i="9" s="1"/>
  <c r="AD740" i="9"/>
  <c r="AH740" i="9"/>
  <c r="AL740" i="9" s="1"/>
  <c r="AH963" i="9"/>
  <c r="AL963" i="9" s="1"/>
  <c r="AD963" i="9"/>
  <c r="AD967" i="9"/>
  <c r="AH967" i="9"/>
  <c r="AL967" i="9" s="1"/>
  <c r="AD871" i="9"/>
  <c r="AH871" i="9"/>
  <c r="AM871" i="9" s="1"/>
  <c r="AD761" i="9"/>
  <c r="AH761" i="9"/>
  <c r="AL761" i="9" s="1"/>
  <c r="AD756" i="9"/>
  <c r="AH756" i="9"/>
  <c r="AL756" i="9" s="1"/>
  <c r="AD979" i="9"/>
  <c r="AH979" i="9"/>
  <c r="AM979" i="9" s="1"/>
  <c r="AD983" i="9"/>
  <c r="AH983" i="9"/>
  <c r="AD887" i="9"/>
  <c r="AH887" i="9"/>
  <c r="AL887" i="9" s="1"/>
  <c r="AD777" i="9"/>
  <c r="AH777" i="9"/>
  <c r="AM777" i="9" s="1"/>
  <c r="AH772" i="9"/>
  <c r="AL772" i="9" s="1"/>
  <c r="AD772" i="9"/>
  <c r="AD995" i="9"/>
  <c r="AH995" i="9"/>
  <c r="AM995" i="9" s="1"/>
  <c r="AD814" i="9"/>
  <c r="AH814" i="9"/>
  <c r="AM814" i="9" s="1"/>
  <c r="AD805" i="9"/>
  <c r="AH805" i="9"/>
  <c r="AL805" i="9" s="1"/>
  <c r="AD800" i="9"/>
  <c r="AH800" i="9"/>
  <c r="AL800" i="9" s="1"/>
  <c r="AD910" i="9"/>
  <c r="AH910" i="9"/>
  <c r="AM910" i="9" s="1"/>
  <c r="AH826" i="9"/>
  <c r="AM826" i="9" s="1"/>
  <c r="AD826" i="9"/>
  <c r="AH909" i="9"/>
  <c r="AL909" i="9" s="1"/>
  <c r="AD909" i="9"/>
  <c r="AH885" i="9"/>
  <c r="AM885" i="9" s="1"/>
  <c r="AD885" i="9"/>
  <c r="AD771" i="9"/>
  <c r="AH771" i="9"/>
  <c r="AM771" i="9" s="1"/>
  <c r="AH990" i="9"/>
  <c r="AL990" i="9" s="1"/>
  <c r="AD990" i="9"/>
  <c r="AH957" i="9"/>
  <c r="AD957" i="9"/>
  <c r="AD973" i="9"/>
  <c r="AH973" i="9"/>
  <c r="AD937" i="9"/>
  <c r="AH937" i="9"/>
  <c r="AH787" i="9"/>
  <c r="AL787" i="9" s="1"/>
  <c r="AD787" i="9"/>
  <c r="AD677" i="9"/>
  <c r="AH677" i="9"/>
  <c r="AL677" i="9" s="1"/>
  <c r="AD892" i="9"/>
  <c r="AH892" i="9"/>
  <c r="AL892" i="9" s="1"/>
  <c r="AH698" i="9"/>
  <c r="AL698" i="9" s="1"/>
  <c r="AD698" i="9"/>
  <c r="AD896" i="9"/>
  <c r="AH896" i="9"/>
  <c r="AM896" i="9" s="1"/>
  <c r="AD808" i="9"/>
  <c r="AH808" i="9"/>
  <c r="AM808" i="9" s="1"/>
  <c r="AD803" i="9"/>
  <c r="AH803" i="9"/>
  <c r="AL803" i="9" s="1"/>
  <c r="AH695" i="9"/>
  <c r="AD695" i="9"/>
  <c r="AD908" i="9"/>
  <c r="AH908" i="9"/>
  <c r="AD852" i="9"/>
  <c r="AH852" i="9"/>
  <c r="AL852" i="9" s="1"/>
  <c r="AH718" i="9"/>
  <c r="AM718" i="9" s="1"/>
  <c r="AD718" i="9"/>
  <c r="AH936" i="9"/>
  <c r="AD936" i="9"/>
  <c r="AD864" i="9"/>
  <c r="AH864" i="9"/>
  <c r="AL864" i="9" s="1"/>
  <c r="AD819" i="9"/>
  <c r="AH819" i="9"/>
  <c r="AH798" i="9"/>
  <c r="AM798" i="9" s="1"/>
  <c r="AD798" i="9"/>
  <c r="AH693" i="9"/>
  <c r="AL693" i="9" s="1"/>
  <c r="AD693" i="9"/>
  <c r="AD911" i="9"/>
  <c r="AH911" i="9"/>
  <c r="AH831" i="9"/>
  <c r="AL831" i="9" s="1"/>
  <c r="AD831" i="9"/>
  <c r="AD835" i="9"/>
  <c r="AH835" i="9"/>
  <c r="AL835" i="9" s="1"/>
  <c r="AH709" i="9"/>
  <c r="AD709" i="9"/>
  <c r="AH704" i="9"/>
  <c r="AL704" i="9" s="1"/>
  <c r="AD704" i="9"/>
  <c r="AD927" i="9"/>
  <c r="AH927" i="9"/>
  <c r="AD847" i="9"/>
  <c r="AH847" i="9"/>
  <c r="AL847" i="9" s="1"/>
  <c r="AD117" i="9"/>
  <c r="AH117" i="9"/>
  <c r="AM117" i="9" s="1"/>
  <c r="AD137" i="9"/>
  <c r="AH137" i="9"/>
  <c r="AL137" i="9" s="1"/>
  <c r="AD101" i="9"/>
  <c r="AH101" i="9"/>
  <c r="AM101" i="9" s="1"/>
  <c r="AD42" i="9"/>
  <c r="AD67" i="9"/>
  <c r="AH67" i="9"/>
  <c r="AD65" i="9"/>
  <c r="AH65" i="9"/>
  <c r="AM65" i="9" s="1"/>
  <c r="AD120" i="9"/>
  <c r="AH120" i="9"/>
  <c r="AL120" i="9" s="1"/>
  <c r="AD80" i="9"/>
  <c r="AH80" i="9"/>
  <c r="AL80" i="9" s="1"/>
  <c r="AD63" i="9"/>
  <c r="AH63" i="9"/>
  <c r="AD111" i="9"/>
  <c r="AH111" i="9"/>
  <c r="AD50" i="9"/>
  <c r="AD113" i="9"/>
  <c r="AH113" i="9"/>
  <c r="AM113" i="9" s="1"/>
  <c r="AD76" i="9"/>
  <c r="AH76" i="9"/>
  <c r="AM76" i="9" s="1"/>
  <c r="AD39" i="9"/>
  <c r="AH39" i="9"/>
  <c r="AM39" i="9" s="1"/>
  <c r="AD108" i="9"/>
  <c r="AH108" i="9"/>
  <c r="AL108" i="9" s="1"/>
  <c r="AD107" i="9"/>
  <c r="AH107" i="9"/>
  <c r="AM107" i="9" s="1"/>
  <c r="AD72" i="9"/>
  <c r="AH72" i="9"/>
  <c r="AD172" i="9"/>
  <c r="AH172" i="9"/>
  <c r="AM172" i="9" s="1"/>
  <c r="AD423" i="9"/>
  <c r="AH423" i="9"/>
  <c r="AD496" i="9"/>
  <c r="AH496" i="9"/>
  <c r="AD637" i="9"/>
  <c r="AH637" i="9"/>
  <c r="AH631" i="9"/>
  <c r="AL631" i="9" s="1"/>
  <c r="AD631" i="9"/>
  <c r="AH596" i="9"/>
  <c r="AM596" i="9" s="1"/>
  <c r="AH595" i="9"/>
  <c r="AM595" i="9" s="1"/>
  <c r="AD595" i="9"/>
  <c r="AD650" i="9"/>
  <c r="AH650" i="9"/>
  <c r="AL650" i="9" s="1"/>
  <c r="AD663" i="9"/>
  <c r="AH663" i="9"/>
  <c r="AL663" i="9" s="1"/>
  <c r="AD636" i="9"/>
  <c r="AH636" i="9"/>
  <c r="AD943" i="9"/>
  <c r="AH943" i="9"/>
  <c r="AM943" i="9" s="1"/>
  <c r="AD387" i="9"/>
  <c r="AH387" i="9"/>
  <c r="AL387" i="9" s="1"/>
  <c r="AD424" i="9"/>
  <c r="AH424" i="9"/>
  <c r="AH686" i="9"/>
  <c r="AL686" i="9" s="1"/>
  <c r="AD686" i="9"/>
  <c r="AD619" i="9"/>
  <c r="AH619" i="9"/>
  <c r="AH604" i="9"/>
  <c r="AL604" i="9" s="1"/>
  <c r="AD604" i="9"/>
  <c r="AD654" i="9"/>
  <c r="AH654" i="9"/>
  <c r="AL654" i="9" s="1"/>
  <c r="AH651" i="9"/>
  <c r="AL651" i="9" s="1"/>
  <c r="AD651" i="9"/>
  <c r="AD960" i="9"/>
  <c r="AH960" i="9"/>
  <c r="AD972" i="9"/>
  <c r="AH972" i="9"/>
  <c r="AL972" i="9" s="1"/>
  <c r="AD459" i="9"/>
  <c r="AH459" i="9"/>
  <c r="AM459" i="9" s="1"/>
  <c r="AH697" i="9"/>
  <c r="AD697" i="9"/>
  <c r="AD658" i="9"/>
  <c r="AH658" i="9"/>
  <c r="AD584" i="9"/>
  <c r="AH584" i="9"/>
  <c r="AH598" i="9"/>
  <c r="AD598" i="9"/>
  <c r="AD690" i="9"/>
  <c r="AH690" i="9"/>
  <c r="AH655" i="9"/>
  <c r="AM655" i="9" s="1"/>
  <c r="AD655" i="9"/>
  <c r="AD925" i="9"/>
  <c r="AH925" i="9"/>
  <c r="AD68" i="9"/>
  <c r="AH68" i="9"/>
  <c r="AL68" i="9" s="1"/>
  <c r="AD244" i="9"/>
  <c r="AH244" i="9"/>
  <c r="AM244" i="9" s="1"/>
  <c r="AD649" i="9"/>
  <c r="AH649" i="9"/>
  <c r="AH662" i="9"/>
  <c r="AM662" i="9" s="1"/>
  <c r="AD662" i="9"/>
  <c r="AH645" i="9"/>
  <c r="AL645" i="9" s="1"/>
  <c r="AD645" i="9"/>
  <c r="AD670" i="9"/>
  <c r="AH670" i="9"/>
  <c r="AM670" i="9" s="1"/>
  <c r="AD906" i="9"/>
  <c r="AH906" i="9"/>
  <c r="AH769" i="9"/>
  <c r="AM769" i="9" s="1"/>
  <c r="AD769" i="9"/>
  <c r="AD748" i="9"/>
  <c r="AH748" i="9"/>
  <c r="AL748" i="9" s="1"/>
  <c r="AH971" i="9"/>
  <c r="AM971" i="9" s="1"/>
  <c r="AD971" i="9"/>
  <c r="AH889" i="9"/>
  <c r="AL889" i="9" s="1"/>
  <c r="AD889" i="9"/>
  <c r="AH781" i="9"/>
  <c r="AD781" i="9"/>
  <c r="AD849" i="9"/>
  <c r="AH849" i="9"/>
  <c r="AL849" i="9" s="1"/>
  <c r="AH719" i="9"/>
  <c r="AL719" i="9" s="1"/>
  <c r="AD719" i="9"/>
  <c r="AD938" i="9"/>
  <c r="AH938" i="9"/>
  <c r="AL938" i="9" s="1"/>
  <c r="AD854" i="9"/>
  <c r="AH854" i="9"/>
  <c r="AL854" i="9" s="1"/>
  <c r="AH861" i="9"/>
  <c r="AD861" i="9"/>
  <c r="AH865" i="9"/>
  <c r="AL865" i="9" s="1"/>
  <c r="AD865" i="9"/>
  <c r="AH735" i="9"/>
  <c r="AM735" i="9" s="1"/>
  <c r="AD735" i="9"/>
  <c r="AH954" i="9"/>
  <c r="AL954" i="9" s="1"/>
  <c r="AD954" i="9"/>
  <c r="AH870" i="9"/>
  <c r="AM870" i="9" s="1"/>
  <c r="AD870" i="9"/>
  <c r="AH877" i="9"/>
  <c r="AD877" i="9"/>
  <c r="AD691" i="9"/>
  <c r="AH691" i="9"/>
  <c r="AD881" i="9"/>
  <c r="AH881" i="9"/>
  <c r="AL881" i="9" s="1"/>
  <c r="AH751" i="9"/>
  <c r="AL751" i="9" s="1"/>
  <c r="AD751" i="9"/>
  <c r="AD970" i="9"/>
  <c r="AH970" i="9"/>
  <c r="AM970" i="9" s="1"/>
  <c r="AH886" i="9"/>
  <c r="AD886" i="9"/>
  <c r="AH905" i="9"/>
  <c r="AD905" i="9"/>
  <c r="AH795" i="9"/>
  <c r="AM795" i="9" s="1"/>
  <c r="AD795" i="9"/>
  <c r="AH669" i="9"/>
  <c r="AL669" i="9" s="1"/>
  <c r="AD669" i="9"/>
  <c r="AD989" i="9"/>
  <c r="AH989" i="9"/>
  <c r="AM989" i="9" s="1"/>
  <c r="AD812" i="9"/>
  <c r="AH812" i="9"/>
  <c r="AL812" i="9" s="1"/>
  <c r="AD694" i="9"/>
  <c r="AH694" i="9"/>
  <c r="AM694" i="9" s="1"/>
  <c r="AD762" i="9"/>
  <c r="AH762" i="9"/>
  <c r="AM762" i="9" s="1"/>
  <c r="AD640" i="9"/>
  <c r="AH640" i="9"/>
  <c r="AL640" i="9" s="1"/>
  <c r="AD964" i="9"/>
  <c r="AH964" i="9"/>
  <c r="AL964" i="9" s="1"/>
  <c r="AD901" i="9"/>
  <c r="AH901" i="9"/>
  <c r="AL901" i="9" s="1"/>
  <c r="AD774" i="9"/>
  <c r="AH774" i="9"/>
  <c r="AM774" i="9" s="1"/>
  <c r="AH778" i="9"/>
  <c r="AD778" i="9"/>
  <c r="AD656" i="9"/>
  <c r="AH656" i="9"/>
  <c r="AH980" i="9"/>
  <c r="AL980" i="9" s="1"/>
  <c r="AD980" i="9"/>
  <c r="AD965" i="9"/>
  <c r="AH965" i="9"/>
  <c r="AL965" i="9" s="1"/>
  <c r="AD790" i="9"/>
  <c r="AH790" i="9"/>
  <c r="AL790" i="9" s="1"/>
  <c r="AD794" i="9"/>
  <c r="AH794" i="9"/>
  <c r="AM794" i="9" s="1"/>
  <c r="AD672" i="9"/>
  <c r="AH672" i="9"/>
  <c r="AM672" i="9" s="1"/>
  <c r="AD996" i="9"/>
  <c r="AH996" i="9"/>
  <c r="AM996" i="9" s="1"/>
  <c r="AD811" i="9"/>
  <c r="AH811" i="9"/>
  <c r="AH701" i="9"/>
  <c r="AL701" i="9" s="1"/>
  <c r="AD701" i="9"/>
  <c r="AD712" i="9"/>
  <c r="AH712" i="9"/>
  <c r="AL712" i="9" s="1"/>
  <c r="AD935" i="9"/>
  <c r="AH935" i="9"/>
  <c r="AM935" i="9" s="1"/>
  <c r="AD839" i="9"/>
  <c r="AH839" i="9"/>
  <c r="AL839" i="9" s="1"/>
  <c r="AH729" i="9"/>
  <c r="AM729" i="9" s="1"/>
  <c r="AD729" i="9"/>
  <c r="AH724" i="9"/>
  <c r="AM724" i="9" s="1"/>
  <c r="AD724" i="9"/>
  <c r="AD947" i="9"/>
  <c r="AH947" i="9"/>
  <c r="AM947" i="9" s="1"/>
  <c r="AH902" i="9"/>
  <c r="AL902" i="9" s="1"/>
  <c r="AD902" i="9"/>
  <c r="AH993" i="9"/>
  <c r="AL993" i="9" s="1"/>
  <c r="AD993" i="9"/>
  <c r="AD809" i="9"/>
  <c r="AH809" i="9"/>
  <c r="AL809" i="9" s="1"/>
  <c r="AH804" i="9"/>
  <c r="AL804" i="9" s="1"/>
  <c r="AD804" i="9"/>
  <c r="AD914" i="9"/>
  <c r="AH914" i="9"/>
  <c r="AM914" i="9" s="1"/>
  <c r="AD918" i="9"/>
  <c r="AH918" i="9"/>
  <c r="AL918" i="9" s="1"/>
  <c r="AD818" i="9"/>
  <c r="AH818" i="9"/>
  <c r="AM818" i="9" s="1"/>
  <c r="AD825" i="9"/>
  <c r="AH825" i="9"/>
  <c r="AD711" i="9"/>
  <c r="AH711" i="9"/>
  <c r="AM711" i="9" s="1"/>
  <c r="AH930" i="9"/>
  <c r="AL930" i="9" s="1"/>
  <c r="AD930" i="9"/>
  <c r="AD715" i="9"/>
  <c r="AH715" i="9"/>
  <c r="AL715" i="9" s="1"/>
  <c r="AH934" i="9"/>
  <c r="AL934" i="9" s="1"/>
  <c r="AD934" i="9"/>
  <c r="AD834" i="9"/>
  <c r="AH834" i="9"/>
  <c r="AL834" i="9" s="1"/>
  <c r="AH841" i="9"/>
  <c r="AM841" i="9" s="1"/>
  <c r="AD841" i="9"/>
  <c r="AD727" i="9"/>
  <c r="AH727" i="9"/>
  <c r="AL727" i="9" s="1"/>
  <c r="AD946" i="9"/>
  <c r="AH946" i="9"/>
  <c r="AM946" i="9" s="1"/>
  <c r="AD878" i="9"/>
  <c r="AH878" i="9"/>
  <c r="AM878" i="9" s="1"/>
  <c r="AD869" i="9"/>
  <c r="AH869" i="9"/>
  <c r="AM869" i="9" s="1"/>
  <c r="AD755" i="9"/>
  <c r="AH755" i="9"/>
  <c r="AD974" i="9"/>
  <c r="AH974" i="9"/>
  <c r="AL974" i="9" s="1"/>
  <c r="AD895" i="9"/>
  <c r="AH895" i="9"/>
  <c r="AL895" i="9" s="1"/>
  <c r="AH928" i="9"/>
  <c r="AL928" i="9" s="1"/>
  <c r="AD928" i="9"/>
  <c r="AH840" i="9"/>
  <c r="AL840" i="9" s="1"/>
  <c r="AD840" i="9"/>
  <c r="AD722" i="9"/>
  <c r="AH722" i="9"/>
  <c r="AL722" i="9" s="1"/>
  <c r="AD616" i="9"/>
  <c r="AH616" i="9"/>
  <c r="AL616" i="9" s="1"/>
  <c r="AH940" i="9"/>
  <c r="AD940" i="9"/>
  <c r="AD944" i="9"/>
  <c r="AH944" i="9"/>
  <c r="AD856" i="9"/>
  <c r="AH856" i="9"/>
  <c r="AL856" i="9" s="1"/>
  <c r="AH738" i="9"/>
  <c r="AD738" i="9"/>
  <c r="AH632" i="9"/>
  <c r="AD632" i="9"/>
  <c r="AD956" i="9"/>
  <c r="AH956" i="9"/>
  <c r="AL956" i="9" s="1"/>
  <c r="AD44" i="9"/>
  <c r="AH44" i="9"/>
  <c r="AM44" i="9" s="1"/>
  <c r="AD83" i="9"/>
  <c r="AH83" i="9"/>
  <c r="AD46" i="9"/>
  <c r="AD138" i="9"/>
  <c r="AH138" i="9"/>
  <c r="AM138" i="9" s="1"/>
  <c r="AD103" i="9"/>
  <c r="AH103" i="9"/>
  <c r="AM103" i="9" s="1"/>
  <c r="AD119" i="9"/>
  <c r="AH119" i="9"/>
  <c r="AM119" i="9" s="1"/>
  <c r="AD124" i="9"/>
  <c r="AH124" i="9"/>
  <c r="AL124" i="9" s="1"/>
  <c r="AD99" i="9"/>
  <c r="AH99" i="9"/>
  <c r="AD86" i="9"/>
  <c r="AH86" i="9"/>
  <c r="AL86" i="9" s="1"/>
  <c r="AD41" i="9"/>
  <c r="AH41" i="9"/>
  <c r="AM41" i="9" s="1"/>
  <c r="AD40" i="9"/>
  <c r="AH40" i="9"/>
  <c r="AM40" i="9" s="1"/>
  <c r="AH622" i="9"/>
  <c r="AL622" i="9" s="1"/>
  <c r="AD622" i="9"/>
  <c r="AD665" i="9"/>
  <c r="AH665" i="9"/>
  <c r="AM665" i="9" s="1"/>
  <c r="AD629" i="9"/>
  <c r="AH629" i="9"/>
  <c r="AL629" i="9" s="1"/>
  <c r="AD590" i="9"/>
  <c r="AH851" i="9"/>
  <c r="AL851" i="9" s="1"/>
  <c r="AD851" i="9"/>
  <c r="AH863" i="9"/>
  <c r="AL863" i="9" s="1"/>
  <c r="AD863" i="9"/>
  <c r="AD460" i="9"/>
  <c r="AH460" i="9"/>
  <c r="AM460" i="9" s="1"/>
  <c r="AD316" i="9"/>
  <c r="AH316" i="9"/>
  <c r="AM316" i="9" s="1"/>
  <c r="AD630" i="9"/>
  <c r="AH630" i="9"/>
  <c r="AL630" i="9" s="1"/>
  <c r="AD594" i="9"/>
  <c r="AH594" i="9"/>
  <c r="AM594" i="9" s="1"/>
  <c r="AH653" i="9"/>
  <c r="AL653" i="9" s="1"/>
  <c r="AD653" i="9"/>
  <c r="AH647" i="9"/>
  <c r="AL647" i="9" s="1"/>
  <c r="AD647" i="9"/>
  <c r="AD626" i="9"/>
  <c r="AH591" i="9"/>
  <c r="AL591" i="9" s="1"/>
  <c r="AD591" i="9"/>
  <c r="AD872" i="9"/>
  <c r="AH872" i="9"/>
  <c r="AL872" i="9" s="1"/>
  <c r="AD105" i="9"/>
  <c r="AH105" i="9"/>
  <c r="AM105" i="9" s="1"/>
  <c r="AD352" i="9"/>
  <c r="AH352" i="9"/>
  <c r="AM352" i="9" s="1"/>
  <c r="AD243" i="9"/>
  <c r="AH243" i="9"/>
  <c r="AM243" i="9" s="1"/>
  <c r="AH618" i="9"/>
  <c r="AL618" i="9" s="1"/>
  <c r="AD618" i="9"/>
  <c r="AD699" i="9"/>
  <c r="AH699" i="9"/>
  <c r="AM699" i="9" s="1"/>
  <c r="AH593" i="9"/>
  <c r="AL593" i="9" s="1"/>
  <c r="AD593" i="9"/>
  <c r="AH635" i="9"/>
  <c r="AL635" i="9" s="1"/>
  <c r="AD635" i="9"/>
  <c r="AD763" i="9"/>
  <c r="AH763" i="9"/>
  <c r="AM763" i="9" s="1"/>
  <c r="AD661" i="9"/>
  <c r="AH661" i="9"/>
  <c r="AM661" i="9" s="1"/>
  <c r="AD953" i="9"/>
  <c r="AH953" i="9"/>
  <c r="AM953" i="9" s="1"/>
  <c r="AD171" i="9"/>
  <c r="AH171" i="9"/>
  <c r="AL171" i="9" s="1"/>
  <c r="AD567" i="9"/>
  <c r="AH567" i="9"/>
  <c r="AL567" i="9" s="1"/>
  <c r="AD495" i="9"/>
  <c r="AH495" i="9"/>
  <c r="AL495" i="9" s="1"/>
  <c r="AH682" i="9"/>
  <c r="AM682" i="9" s="1"/>
  <c r="AD682" i="9"/>
  <c r="AH581" i="9"/>
  <c r="AL581" i="9" s="1"/>
  <c r="AD581" i="9"/>
  <c r="AD657" i="9"/>
  <c r="AH657" i="9"/>
  <c r="AL657" i="9" s="1"/>
  <c r="AD586" i="9"/>
  <c r="AH586" i="9"/>
  <c r="AL586" i="9" s="1"/>
  <c r="AD599" i="9"/>
  <c r="AH599" i="9"/>
  <c r="AM599" i="9" s="1"/>
  <c r="AH792" i="9"/>
  <c r="AL792" i="9" s="1"/>
  <c r="AD792" i="9"/>
  <c r="AD822" i="9"/>
  <c r="AH822" i="9"/>
  <c r="AL822" i="9" s="1"/>
  <c r="AH997" i="9"/>
  <c r="AM997" i="9" s="1"/>
  <c r="AD997" i="9"/>
  <c r="AD782" i="9"/>
  <c r="AH782" i="9"/>
  <c r="AL782" i="9" s="1"/>
  <c r="AD676" i="9"/>
  <c r="AH676" i="9"/>
  <c r="AL676" i="9" s="1"/>
  <c r="AD1000" i="9"/>
  <c r="AH1000" i="9"/>
  <c r="AM1000" i="9" s="1"/>
  <c r="AH815" i="9"/>
  <c r="AL815" i="9" s="1"/>
  <c r="AD815" i="9"/>
  <c r="AH883" i="9"/>
  <c r="AL883" i="9" s="1"/>
  <c r="AD883" i="9"/>
  <c r="AH757" i="9"/>
  <c r="AL757" i="9" s="1"/>
  <c r="AD757" i="9"/>
  <c r="AH752" i="9"/>
  <c r="AL752" i="9" s="1"/>
  <c r="AD752" i="9"/>
  <c r="AH975" i="9"/>
  <c r="AM975" i="9" s="1"/>
  <c r="AD975" i="9"/>
  <c r="AD897" i="9"/>
  <c r="AH897" i="9"/>
  <c r="AL897" i="9" s="1"/>
  <c r="AD913" i="9"/>
  <c r="AH913" i="9"/>
  <c r="AL913" i="9" s="1"/>
  <c r="AH773" i="9"/>
  <c r="AL773" i="9" s="1"/>
  <c r="AD773" i="9"/>
  <c r="AD768" i="9"/>
  <c r="AH768" i="9"/>
  <c r="AM768" i="9" s="1"/>
  <c r="AD991" i="9"/>
  <c r="AH991" i="9"/>
  <c r="AL991" i="9" s="1"/>
  <c r="AD961" i="9"/>
  <c r="AH961" i="9"/>
  <c r="AL961" i="9" s="1"/>
  <c r="AD668" i="9"/>
  <c r="AH668" i="9"/>
  <c r="AM668" i="9" s="1"/>
  <c r="AD977" i="9"/>
  <c r="AH977" i="9"/>
  <c r="AM977" i="9" s="1"/>
  <c r="AD789" i="9"/>
  <c r="AH789" i="9"/>
  <c r="AL789" i="9" s="1"/>
  <c r="AD784" i="9"/>
  <c r="AH784" i="9"/>
  <c r="AL784" i="9" s="1"/>
  <c r="AH894" i="9"/>
  <c r="AL894" i="9" s="1"/>
  <c r="AD894" i="9"/>
  <c r="AH810" i="9"/>
  <c r="AL810" i="9" s="1"/>
  <c r="AD810" i="9"/>
  <c r="AD833" i="9"/>
  <c r="AH833" i="9"/>
  <c r="AL833" i="9" s="1"/>
  <c r="AD703" i="9"/>
  <c r="AH703" i="9"/>
  <c r="AL703" i="9" s="1"/>
  <c r="AD922" i="9"/>
  <c r="AH922" i="9"/>
  <c r="AL922" i="9" s="1"/>
  <c r="AD838" i="9"/>
  <c r="AH838" i="9"/>
  <c r="AM838" i="9" s="1"/>
  <c r="AH845" i="9"/>
  <c r="AM845" i="9" s="1"/>
  <c r="AD845" i="9"/>
  <c r="AH985" i="9"/>
  <c r="AM985" i="9" s="1"/>
  <c r="AD985" i="9"/>
  <c r="AH783" i="9"/>
  <c r="AM783" i="9" s="1"/>
  <c r="AD783" i="9"/>
  <c r="AH673" i="9"/>
  <c r="AL673" i="9" s="1"/>
  <c r="AD673" i="9"/>
  <c r="AH888" i="9"/>
  <c r="AL888" i="9" s="1"/>
  <c r="AD888" i="9"/>
  <c r="AH816" i="9"/>
  <c r="AL816" i="9" s="1"/>
  <c r="AD816" i="9"/>
  <c r="AD820" i="9"/>
  <c r="AH820" i="9"/>
  <c r="AL820" i="9" s="1"/>
  <c r="AH799" i="9"/>
  <c r="AL799" i="9" s="1"/>
  <c r="AD799" i="9"/>
  <c r="AD689" i="9"/>
  <c r="AH689" i="9"/>
  <c r="AM689" i="9" s="1"/>
  <c r="AD904" i="9"/>
  <c r="AH904" i="9"/>
  <c r="AL904" i="9" s="1"/>
  <c r="AH832" i="9"/>
  <c r="AL832" i="9" s="1"/>
  <c r="AD832" i="9"/>
  <c r="AH836" i="9"/>
  <c r="AM836" i="9" s="1"/>
  <c r="AD836" i="9"/>
  <c r="AD702" i="9"/>
  <c r="AH702" i="9"/>
  <c r="AM702" i="9" s="1"/>
  <c r="AD596" i="9"/>
  <c r="AH920" i="9"/>
  <c r="AM920" i="9" s="1"/>
  <c r="AD920" i="9"/>
  <c r="AH848" i="9"/>
  <c r="AM848" i="9" s="1"/>
  <c r="AD848" i="9"/>
  <c r="AD746" i="9"/>
  <c r="AH746" i="9"/>
  <c r="AL746" i="9" s="1"/>
  <c r="AH948" i="9"/>
  <c r="AL948" i="9" s="1"/>
  <c r="AD948" i="9"/>
  <c r="AH876" i="9"/>
  <c r="AL876" i="9" s="1"/>
  <c r="AD876" i="9"/>
  <c r="AD758" i="9"/>
  <c r="AH758" i="9"/>
  <c r="AL758" i="9" s="1"/>
  <c r="AD721" i="9"/>
  <c r="AH721" i="9"/>
  <c r="AM721" i="9" s="1"/>
  <c r="AD700" i="9"/>
  <c r="AH700" i="9"/>
  <c r="AL700" i="9" s="1"/>
  <c r="AD923" i="9"/>
  <c r="AH923" i="9"/>
  <c r="AL923" i="9" s="1"/>
  <c r="AD843" i="9"/>
  <c r="AH843" i="9"/>
  <c r="AL843" i="9" s="1"/>
  <c r="AD733" i="9"/>
  <c r="AH733" i="9"/>
  <c r="AL733" i="9" s="1"/>
  <c r="AH737" i="9"/>
  <c r="AM737" i="9" s="1"/>
  <c r="AD737" i="9"/>
  <c r="AH716" i="9"/>
  <c r="AL716" i="9" s="1"/>
  <c r="AD716" i="9"/>
  <c r="AH939" i="9"/>
  <c r="AL939" i="9" s="1"/>
  <c r="AD939" i="9"/>
  <c r="AD859" i="9"/>
  <c r="AH859" i="9"/>
  <c r="AL859" i="9" s="1"/>
  <c r="AH749" i="9"/>
  <c r="AL749" i="9" s="1"/>
  <c r="AD749" i="9"/>
  <c r="AD753" i="9"/>
  <c r="AH753" i="9"/>
  <c r="AM753" i="9" s="1"/>
  <c r="AH732" i="9"/>
  <c r="AM732" i="9" s="1"/>
  <c r="AD732" i="9"/>
  <c r="AD955" i="9"/>
  <c r="AH955" i="9"/>
  <c r="AM955" i="9" s="1"/>
  <c r="AH875" i="9"/>
  <c r="AL875" i="9" s="1"/>
  <c r="AD875" i="9"/>
  <c r="AH765" i="9"/>
  <c r="AL765" i="9" s="1"/>
  <c r="AD765" i="9"/>
  <c r="AD776" i="9"/>
  <c r="AH776" i="9"/>
  <c r="AM776" i="9" s="1"/>
  <c r="AD999" i="9"/>
  <c r="AH999" i="9"/>
  <c r="AL999" i="9" s="1"/>
  <c r="AH929" i="9"/>
  <c r="AL929" i="9" s="1"/>
  <c r="AD929" i="9"/>
  <c r="AD793" i="9"/>
  <c r="AH793" i="9"/>
  <c r="AM793" i="9" s="1"/>
  <c r="AH788" i="9"/>
  <c r="AL788" i="9" s="1"/>
  <c r="AD788" i="9"/>
  <c r="AH898" i="9"/>
  <c r="AL898" i="9" s="1"/>
  <c r="AD898" i="9"/>
  <c r="AD966" i="9"/>
  <c r="AH966" i="9"/>
  <c r="AL966" i="9" s="1"/>
  <c r="AH866" i="9"/>
  <c r="AL866" i="9" s="1"/>
  <c r="AD866" i="9"/>
  <c r="AD873" i="9"/>
  <c r="AH873" i="9"/>
  <c r="AM873" i="9" s="1"/>
  <c r="AD759" i="9"/>
  <c r="AH759" i="9"/>
  <c r="AL759" i="9" s="1"/>
  <c r="AH978" i="9"/>
  <c r="AM978" i="9" s="1"/>
  <c r="AD978" i="9"/>
  <c r="AD982" i="9"/>
  <c r="AH982" i="9"/>
  <c r="AL982" i="9" s="1"/>
  <c r="AD882" i="9"/>
  <c r="AH882" i="9"/>
  <c r="AL882" i="9" s="1"/>
  <c r="AH893" i="9"/>
  <c r="AL893" i="9" s="1"/>
  <c r="AD893" i="9"/>
  <c r="AH775" i="9"/>
  <c r="AL775" i="9" s="1"/>
  <c r="AD775" i="9"/>
  <c r="AD994" i="9"/>
  <c r="AH994" i="9"/>
  <c r="AL994" i="9" s="1"/>
  <c r="AD121" i="9"/>
  <c r="AH121" i="9"/>
  <c r="AL121" i="9" s="1"/>
  <c r="AD66" i="9"/>
  <c r="AD102" i="9"/>
  <c r="AD45" i="9"/>
  <c r="AH45" i="9"/>
  <c r="AL45" i="9" s="1"/>
  <c r="AD118" i="9"/>
  <c r="AD115" i="9"/>
  <c r="AH115" i="9"/>
  <c r="AL115" i="9" s="1"/>
  <c r="AD84" i="9"/>
  <c r="AH84" i="9"/>
  <c r="AL84" i="9" s="1"/>
  <c r="AD136" i="9"/>
  <c r="AH136" i="9"/>
  <c r="AL136" i="9" s="1"/>
  <c r="AD100" i="9"/>
  <c r="AH100" i="9"/>
  <c r="AM100" i="9" s="1"/>
  <c r="AD87" i="9"/>
  <c r="AH87" i="9"/>
  <c r="AD75" i="9"/>
  <c r="AH75" i="9"/>
  <c r="AL75" i="9" s="1"/>
  <c r="AD77" i="9"/>
  <c r="AH77" i="9"/>
  <c r="AM77" i="9" s="1"/>
  <c r="AH16" i="9"/>
  <c r="AL16" i="9" s="1"/>
  <c r="AH15" i="9"/>
  <c r="AL15" i="9" s="1"/>
  <c r="H29" i="15"/>
  <c r="M29" i="15"/>
  <c r="H7" i="15"/>
  <c r="M7" i="15"/>
  <c r="M23" i="15" s="1"/>
  <c r="AH127" i="9"/>
  <c r="AL127" i="9" s="1"/>
  <c r="AH55" i="9"/>
  <c r="AM55" i="9" s="1"/>
  <c r="AH125" i="9"/>
  <c r="AM125" i="9" s="1"/>
  <c r="AH89" i="9"/>
  <c r="AM89" i="9" s="1"/>
  <c r="AH91" i="9"/>
  <c r="AM91" i="9" s="1"/>
  <c r="AH543" i="9"/>
  <c r="AM543" i="9" s="1"/>
  <c r="AH544" i="9"/>
  <c r="AL544" i="9" s="1"/>
  <c r="AH436" i="9"/>
  <c r="AL436" i="9" s="1"/>
  <c r="AH327" i="9"/>
  <c r="AM327" i="9" s="1"/>
  <c r="AH219" i="9"/>
  <c r="AI219" i="9" s="1"/>
  <c r="AJ219" i="9" s="1"/>
  <c r="AH364" i="9"/>
  <c r="AL364" i="9" s="1"/>
  <c r="AH471" i="9"/>
  <c r="AL471" i="9" s="1"/>
  <c r="AH507" i="9"/>
  <c r="AL507" i="9" s="1"/>
  <c r="AH255" i="9"/>
  <c r="AM255" i="9" s="1"/>
  <c r="AH363" i="9"/>
  <c r="AM363" i="9" s="1"/>
  <c r="AH508" i="9"/>
  <c r="AM508" i="9" s="1"/>
  <c r="AH399" i="9"/>
  <c r="AL399" i="9" s="1"/>
  <c r="AH435" i="9"/>
  <c r="AL435" i="9" s="1"/>
  <c r="AH328" i="9"/>
  <c r="AL328" i="9" s="1"/>
  <c r="AH220" i="9"/>
  <c r="AL220" i="9" s="1"/>
  <c r="AH184" i="9"/>
  <c r="AL184" i="9" s="1"/>
  <c r="AH292" i="9"/>
  <c r="AM292" i="9" s="1"/>
  <c r="AH472" i="9"/>
  <c r="AL472" i="9" s="1"/>
  <c r="AH400" i="9"/>
  <c r="AI400" i="9" s="1"/>
  <c r="AJ400" i="9" s="1"/>
  <c r="AH183" i="9"/>
  <c r="AM183" i="9" s="1"/>
  <c r="AH291" i="9"/>
  <c r="AL291" i="9" s="1"/>
  <c r="AH256" i="9"/>
  <c r="AM256" i="9" s="1"/>
  <c r="AH147" i="9"/>
  <c r="AL147" i="9" s="1"/>
  <c r="C23" i="15"/>
  <c r="AH51" i="9" l="1"/>
  <c r="AM51" i="9" s="1"/>
  <c r="AD52" i="9"/>
  <c r="F37" i="45"/>
  <c r="AH52" i="9"/>
  <c r="AL52" i="9" s="1"/>
  <c r="AH53" i="9"/>
  <c r="AM53" i="9" s="1"/>
  <c r="T38" i="45"/>
  <c r="H66" i="41"/>
  <c r="R7" i="15"/>
  <c r="AL596" i="9"/>
  <c r="AI674" i="9"/>
  <c r="AJ674" i="9" s="1"/>
  <c r="AI986" i="9"/>
  <c r="AJ986" i="9" s="1"/>
  <c r="AI874" i="9"/>
  <c r="AJ874" i="9" s="1"/>
  <c r="AI924" i="9"/>
  <c r="AJ924" i="9" s="1"/>
  <c r="AI597" i="9"/>
  <c r="AJ597" i="9" s="1"/>
  <c r="AI667" i="9"/>
  <c r="AJ667" i="9" s="1"/>
  <c r="AI579" i="9"/>
  <c r="AJ579" i="9" s="1"/>
  <c r="AI88" i="9"/>
  <c r="AJ88" i="9" s="1"/>
  <c r="AI63" i="9"/>
  <c r="AJ63" i="9" s="1"/>
  <c r="AI899" i="9"/>
  <c r="AJ899" i="9" s="1"/>
  <c r="AI921" i="9"/>
  <c r="AJ921" i="9" s="1"/>
  <c r="AI846" i="9"/>
  <c r="AJ846" i="9" s="1"/>
  <c r="AI683" i="9"/>
  <c r="AJ683" i="9" s="1"/>
  <c r="AI627" i="9"/>
  <c r="AJ627" i="9" s="1"/>
  <c r="AI852" i="9"/>
  <c r="AJ852" i="9" s="1"/>
  <c r="AL627" i="9"/>
  <c r="AI696" i="9"/>
  <c r="AJ696" i="9" s="1"/>
  <c r="AI958" i="9"/>
  <c r="AJ958" i="9" s="1"/>
  <c r="AI941" i="9"/>
  <c r="AJ941" i="9" s="1"/>
  <c r="AI842" i="9"/>
  <c r="AJ842" i="9" s="1"/>
  <c r="AI101" i="9"/>
  <c r="AJ101" i="9" s="1"/>
  <c r="AI67" i="9"/>
  <c r="AJ67" i="9" s="1"/>
  <c r="AI747" i="9"/>
  <c r="AJ747" i="9" s="1"/>
  <c r="AI764" i="9"/>
  <c r="AJ764" i="9" s="1"/>
  <c r="AI979" i="9"/>
  <c r="AJ979" i="9" s="1"/>
  <c r="AI837" i="9"/>
  <c r="AJ837" i="9" s="1"/>
  <c r="AI800" i="9"/>
  <c r="AJ800" i="9" s="1"/>
  <c r="AI817" i="9"/>
  <c r="AJ817" i="9" s="1"/>
  <c r="AI976" i="9"/>
  <c r="AJ976" i="9" s="1"/>
  <c r="AI648" i="9"/>
  <c r="AJ648" i="9" s="1"/>
  <c r="AI919" i="9"/>
  <c r="AJ919" i="9" s="1"/>
  <c r="AI638" i="9"/>
  <c r="AJ638" i="9" s="1"/>
  <c r="AI73" i="9"/>
  <c r="AJ73" i="9" s="1"/>
  <c r="AI968" i="9"/>
  <c r="AJ968" i="9" s="1"/>
  <c r="AI741" i="9"/>
  <c r="AJ741" i="9" s="1"/>
  <c r="AI802" i="9"/>
  <c r="AJ802" i="9" s="1"/>
  <c r="AI706" i="9"/>
  <c r="AJ706" i="9" s="1"/>
  <c r="AI967" i="9"/>
  <c r="AJ967" i="9" s="1"/>
  <c r="AI903" i="9"/>
  <c r="AJ903" i="9" s="1"/>
  <c r="AI862" i="9"/>
  <c r="AJ862" i="9" s="1"/>
  <c r="AI890" i="9"/>
  <c r="AJ890" i="9" s="1"/>
  <c r="AI646" i="9"/>
  <c r="AJ646" i="9" s="1"/>
  <c r="AI207" i="9"/>
  <c r="AJ207" i="9" s="1"/>
  <c r="AI76" i="9"/>
  <c r="AJ76" i="9" s="1"/>
  <c r="AI766" i="9"/>
  <c r="AJ766" i="9" s="1"/>
  <c r="AI750" i="9"/>
  <c r="AJ750" i="9" s="1"/>
  <c r="AI949" i="9"/>
  <c r="AJ949" i="9" s="1"/>
  <c r="AI889" i="9"/>
  <c r="AJ889" i="9" s="1"/>
  <c r="AI774" i="9"/>
  <c r="AJ774" i="9" s="1"/>
  <c r="AI619" i="9"/>
  <c r="AJ619" i="9" s="1"/>
  <c r="AI654" i="9"/>
  <c r="AJ654" i="9" s="1"/>
  <c r="AI315" i="9"/>
  <c r="AJ315" i="9" s="1"/>
  <c r="AI945" i="9"/>
  <c r="AJ945" i="9" s="1"/>
  <c r="AI915" i="9"/>
  <c r="AJ915" i="9" s="1"/>
  <c r="AI713" i="9"/>
  <c r="AJ713" i="9" s="1"/>
  <c r="AI895" i="9"/>
  <c r="AJ895" i="9" s="1"/>
  <c r="AI998" i="9"/>
  <c r="AJ998" i="9" s="1"/>
  <c r="AI636" i="9"/>
  <c r="AJ636" i="9" s="1"/>
  <c r="AI592" i="9"/>
  <c r="AJ592" i="9" s="1"/>
  <c r="AI827" i="9"/>
  <c r="AJ827" i="9" s="1"/>
  <c r="AI642" i="9"/>
  <c r="AJ642" i="9" s="1"/>
  <c r="AI135" i="9"/>
  <c r="AJ135" i="9" s="1"/>
  <c r="AI811" i="9"/>
  <c r="AJ811" i="9" s="1"/>
  <c r="AI864" i="9"/>
  <c r="AJ864" i="9" s="1"/>
  <c r="AI137" i="9"/>
  <c r="AJ137" i="9" s="1"/>
  <c r="AI116" i="9"/>
  <c r="AJ116" i="9" s="1"/>
  <c r="AI777" i="9"/>
  <c r="AJ777" i="9" s="1"/>
  <c r="AI860" i="9"/>
  <c r="AJ860" i="9" s="1"/>
  <c r="AI734" i="9"/>
  <c r="AJ734" i="9" s="1"/>
  <c r="AI722" i="9"/>
  <c r="AJ722" i="9" s="1"/>
  <c r="AI785" i="9"/>
  <c r="AJ785" i="9" s="1"/>
  <c r="AI981" i="9"/>
  <c r="AJ981" i="9" s="1"/>
  <c r="AI796" i="9"/>
  <c r="AJ796" i="9" s="1"/>
  <c r="AI887" i="9"/>
  <c r="AJ887" i="9" s="1"/>
  <c r="AI351" i="9"/>
  <c r="AJ351" i="9" s="1"/>
  <c r="AI926" i="9"/>
  <c r="AJ926" i="9" s="1"/>
  <c r="AI85" i="9"/>
  <c r="AJ85" i="9" s="1"/>
  <c r="AI119" i="9"/>
  <c r="AJ119" i="9" s="1"/>
  <c r="AI103" i="9"/>
  <c r="AJ103" i="9" s="1"/>
  <c r="AI995" i="9"/>
  <c r="AJ995" i="9" s="1"/>
  <c r="AI760" i="9"/>
  <c r="AJ760" i="9" s="1"/>
  <c r="AI794" i="9"/>
  <c r="AJ794" i="9" s="1"/>
  <c r="AI1000" i="9"/>
  <c r="AJ1000" i="9" s="1"/>
  <c r="AI956" i="9"/>
  <c r="AJ956" i="9" s="1"/>
  <c r="AI844" i="9"/>
  <c r="AJ844" i="9" s="1"/>
  <c r="AI701" i="9"/>
  <c r="AJ701" i="9" s="1"/>
  <c r="AI992" i="9"/>
  <c r="AJ992" i="9" s="1"/>
  <c r="AI823" i="9"/>
  <c r="AJ823" i="9" s="1"/>
  <c r="AI600" i="9"/>
  <c r="AJ600" i="9" s="1"/>
  <c r="AI633" i="9"/>
  <c r="AJ633" i="9" s="1"/>
  <c r="AI805" i="9"/>
  <c r="AJ805" i="9" s="1"/>
  <c r="AI770" i="9"/>
  <c r="AJ770" i="9" s="1"/>
  <c r="AI69" i="9"/>
  <c r="AJ69" i="9" s="1"/>
  <c r="AI659" i="9"/>
  <c r="AJ659" i="9" s="1"/>
  <c r="AI871" i="9"/>
  <c r="AJ871" i="9" s="1"/>
  <c r="AI710" i="9"/>
  <c r="AJ710" i="9" s="1"/>
  <c r="AI688" i="9"/>
  <c r="AJ688" i="9" s="1"/>
  <c r="AI930" i="9"/>
  <c r="AJ930" i="9" s="1"/>
  <c r="AI877" i="9"/>
  <c r="AJ877" i="9" s="1"/>
  <c r="AI849" i="9"/>
  <c r="AJ849" i="9" s="1"/>
  <c r="AI690" i="9"/>
  <c r="AJ690" i="9" s="1"/>
  <c r="AI834" i="9"/>
  <c r="AJ834" i="9" s="1"/>
  <c r="AI790" i="9"/>
  <c r="AJ790" i="9" s="1"/>
  <c r="AI669" i="9"/>
  <c r="AJ669" i="9" s="1"/>
  <c r="AI954" i="9"/>
  <c r="AJ954" i="9" s="1"/>
  <c r="AI666" i="9"/>
  <c r="AJ666" i="9" s="1"/>
  <c r="AI459" i="9"/>
  <c r="AJ459" i="9" s="1"/>
  <c r="AI120" i="9"/>
  <c r="AJ120" i="9" s="1"/>
  <c r="AI617" i="9"/>
  <c r="AJ617" i="9" s="1"/>
  <c r="AI896" i="9"/>
  <c r="AJ896" i="9" s="1"/>
  <c r="AI756" i="9"/>
  <c r="AJ756" i="9" s="1"/>
  <c r="AI728" i="9"/>
  <c r="AJ728" i="9" s="1"/>
  <c r="AI791" i="9"/>
  <c r="AJ791" i="9" s="1"/>
  <c r="AI641" i="9"/>
  <c r="AJ641" i="9" s="1"/>
  <c r="AI695" i="9"/>
  <c r="AJ695" i="9" s="1"/>
  <c r="AI990" i="9"/>
  <c r="AJ990" i="9" s="1"/>
  <c r="AI692" i="9"/>
  <c r="AJ692" i="9" s="1"/>
  <c r="AI388" i="9"/>
  <c r="AJ388" i="9" s="1"/>
  <c r="AI123" i="9"/>
  <c r="AJ123" i="9" s="1"/>
  <c r="AI64" i="9"/>
  <c r="AJ64" i="9" s="1"/>
  <c r="AI801" i="9"/>
  <c r="AJ801" i="9" s="1"/>
  <c r="AI829" i="9"/>
  <c r="AJ829" i="9" s="1"/>
  <c r="AI660" i="9"/>
  <c r="AJ660" i="9" s="1"/>
  <c r="AI940" i="9"/>
  <c r="AJ940" i="9" s="1"/>
  <c r="AI738" i="9"/>
  <c r="AJ738" i="9" s="1"/>
  <c r="AI905" i="9"/>
  <c r="AJ905" i="9" s="1"/>
  <c r="AI839" i="9"/>
  <c r="AJ839" i="9" s="1"/>
  <c r="AI704" i="9"/>
  <c r="AJ704" i="9" s="1"/>
  <c r="AI962" i="9"/>
  <c r="AJ962" i="9" s="1"/>
  <c r="AI769" i="9"/>
  <c r="AJ769" i="9" s="1"/>
  <c r="AI914" i="9"/>
  <c r="AJ914" i="9" s="1"/>
  <c r="AI677" i="9"/>
  <c r="AJ677" i="9" s="1"/>
  <c r="AI496" i="9"/>
  <c r="AJ496" i="9" s="1"/>
  <c r="AI662" i="9"/>
  <c r="AJ662" i="9" s="1"/>
  <c r="AI595" i="9"/>
  <c r="AJ595" i="9" s="1"/>
  <c r="AI857" i="9"/>
  <c r="AJ857" i="9" s="1"/>
  <c r="AI826" i="9"/>
  <c r="AJ826" i="9" s="1"/>
  <c r="AI671" i="9"/>
  <c r="AJ671" i="9" s="1"/>
  <c r="AI620" i="9"/>
  <c r="AJ620" i="9" s="1"/>
  <c r="AI664" i="9"/>
  <c r="AJ664" i="9" s="1"/>
  <c r="AI43" i="9"/>
  <c r="AJ43" i="9" s="1"/>
  <c r="AI853" i="9"/>
  <c r="AJ853" i="9" s="1"/>
  <c r="AI678" i="9"/>
  <c r="AJ678" i="9" s="1"/>
  <c r="AI806" i="9"/>
  <c r="AJ806" i="9" s="1"/>
  <c r="AI952" i="9"/>
  <c r="AJ952" i="9" s="1"/>
  <c r="AI858" i="9"/>
  <c r="AJ858" i="9" s="1"/>
  <c r="AI786" i="9"/>
  <c r="AJ786" i="9" s="1"/>
  <c r="AI870" i="9"/>
  <c r="AJ870" i="9" s="1"/>
  <c r="AI698" i="9"/>
  <c r="AJ698" i="9" s="1"/>
  <c r="AI959" i="9"/>
  <c r="AJ959" i="9" s="1"/>
  <c r="AI789" i="9"/>
  <c r="AJ789" i="9" s="1"/>
  <c r="AI87" i="9"/>
  <c r="AJ87" i="9" s="1"/>
  <c r="AM849" i="9"/>
  <c r="AI580" i="9"/>
  <c r="AJ580" i="9" s="1"/>
  <c r="AM766" i="9"/>
  <c r="AI643" i="9"/>
  <c r="AJ643" i="9" s="1"/>
  <c r="AL100" i="9"/>
  <c r="AL721" i="9"/>
  <c r="AL845" i="9"/>
  <c r="AM586" i="9"/>
  <c r="AI670" i="9"/>
  <c r="AJ670" i="9" s="1"/>
  <c r="AM982" i="9"/>
  <c r="AM782" i="9"/>
  <c r="AM809" i="9"/>
  <c r="AL871" i="9"/>
  <c r="AM643" i="9"/>
  <c r="AM913" i="9"/>
  <c r="AL661" i="9"/>
  <c r="AL774" i="9"/>
  <c r="AL943" i="9"/>
  <c r="AI637" i="9"/>
  <c r="AJ637" i="9" s="1"/>
  <c r="AL841" i="9"/>
  <c r="AL671" i="9"/>
  <c r="AM999" i="9"/>
  <c r="AL997" i="9"/>
  <c r="AM616" i="9"/>
  <c r="AM934" i="9"/>
  <c r="AI972" i="9"/>
  <c r="AJ972" i="9" s="1"/>
  <c r="AI663" i="9"/>
  <c r="AJ663" i="9" s="1"/>
  <c r="AL244" i="9"/>
  <c r="AM68" i="9"/>
  <c r="AM892" i="9"/>
  <c r="AI772" i="9"/>
  <c r="AJ772" i="9" s="1"/>
  <c r="AM844" i="9"/>
  <c r="AL959" i="9"/>
  <c r="AM136" i="9"/>
  <c r="AM994" i="9"/>
  <c r="AM966" i="9"/>
  <c r="AL753" i="9"/>
  <c r="AM758" i="9"/>
  <c r="AL985" i="9"/>
  <c r="AI594" i="9"/>
  <c r="AJ594" i="9" s="1"/>
  <c r="AM727" i="9"/>
  <c r="AM650" i="9"/>
  <c r="AM847" i="9"/>
  <c r="AL995" i="9"/>
  <c r="AL979" i="9"/>
  <c r="AM708" i="9"/>
  <c r="AM638" i="9"/>
  <c r="AL77" i="9"/>
  <c r="AM75" i="9"/>
  <c r="AM87" i="9"/>
  <c r="AM700" i="9"/>
  <c r="AM897" i="9"/>
  <c r="AL953" i="9"/>
  <c r="AL699" i="9"/>
  <c r="AM640" i="9"/>
  <c r="AL769" i="9"/>
  <c r="AL76" i="9"/>
  <c r="AL113" i="9"/>
  <c r="AL798" i="9"/>
  <c r="AI909" i="9"/>
  <c r="AJ909" i="9" s="1"/>
  <c r="AL770" i="9"/>
  <c r="AM952" i="9"/>
  <c r="AM716" i="9"/>
  <c r="AM831" i="9"/>
  <c r="AM772" i="9"/>
  <c r="AL688" i="9"/>
  <c r="AL968" i="9"/>
  <c r="AL949" i="9"/>
  <c r="AM898" i="9"/>
  <c r="AL776" i="9"/>
  <c r="AL955" i="9"/>
  <c r="AM876" i="9"/>
  <c r="AL975" i="9"/>
  <c r="AL763" i="9"/>
  <c r="AL105" i="9"/>
  <c r="AM872" i="9"/>
  <c r="AM629" i="9"/>
  <c r="AL40" i="9"/>
  <c r="AL103" i="9"/>
  <c r="AM993" i="9"/>
  <c r="AL724" i="9"/>
  <c r="AL996" i="9"/>
  <c r="AL672" i="9"/>
  <c r="AL794" i="9"/>
  <c r="AM669" i="9"/>
  <c r="AL870" i="9"/>
  <c r="AM387" i="9"/>
  <c r="AI111" i="9"/>
  <c r="AJ111" i="9" s="1"/>
  <c r="AL65" i="9"/>
  <c r="AM967" i="9"/>
  <c r="AL951" i="9"/>
  <c r="AM860" i="9"/>
  <c r="AL916" i="9"/>
  <c r="AM615" i="9"/>
  <c r="AL351" i="9"/>
  <c r="AM315" i="9"/>
  <c r="AM791" i="9"/>
  <c r="AL87" i="9"/>
  <c r="AM115" i="9"/>
  <c r="AI776" i="9"/>
  <c r="AJ776" i="9" s="1"/>
  <c r="AM882" i="9"/>
  <c r="AM698" i="9"/>
  <c r="AM909" i="9"/>
  <c r="AL826" i="9"/>
  <c r="AL664" i="9"/>
  <c r="AM683" i="9"/>
  <c r="AM641" i="9"/>
  <c r="AL388" i="9"/>
  <c r="AM135" i="9"/>
  <c r="AM890" i="9"/>
  <c r="AL958" i="9"/>
  <c r="AL942" i="9"/>
  <c r="AL926" i="9"/>
  <c r="AL696" i="9"/>
  <c r="AL915" i="9"/>
  <c r="AM786" i="9"/>
  <c r="AM765" i="9"/>
  <c r="AL732" i="9"/>
  <c r="AM749" i="9"/>
  <c r="AM591" i="9"/>
  <c r="AM902" i="9"/>
  <c r="AL729" i="9"/>
  <c r="AL795" i="9"/>
  <c r="AM865" i="9"/>
  <c r="AM651" i="9"/>
  <c r="AM108" i="9"/>
  <c r="AL39" i="9"/>
  <c r="AL117" i="9"/>
  <c r="AL896" i="9"/>
  <c r="AL885" i="9"/>
  <c r="AL814" i="9"/>
  <c r="AM963" i="9"/>
  <c r="AM988" i="9"/>
  <c r="AL592" i="9"/>
  <c r="I66" i="41" s="1"/>
  <c r="AM728" i="9"/>
  <c r="AL531" i="9"/>
  <c r="AL620" i="9"/>
  <c r="AM74" i="9"/>
  <c r="AL806" i="9"/>
  <c r="AM941" i="9"/>
  <c r="AM858" i="9"/>
  <c r="AM842" i="9"/>
  <c r="AM919" i="9"/>
  <c r="AL579" i="9"/>
  <c r="AM738" i="9"/>
  <c r="AL738" i="9"/>
  <c r="AL691" i="9"/>
  <c r="AM691" i="9"/>
  <c r="AL730" i="9"/>
  <c r="AM730" i="9"/>
  <c r="AM821" i="9"/>
  <c r="AL821" i="9"/>
  <c r="AI717" i="9"/>
  <c r="AJ717" i="9" s="1"/>
  <c r="AM810" i="9"/>
  <c r="AM789" i="9"/>
  <c r="AM815" i="9"/>
  <c r="AI658" i="9"/>
  <c r="AJ658" i="9" s="1"/>
  <c r="AM635" i="9"/>
  <c r="AM618" i="9"/>
  <c r="AL594" i="9"/>
  <c r="AI631" i="9"/>
  <c r="AJ631" i="9" s="1"/>
  <c r="AL811" i="9"/>
  <c r="AM811" i="9"/>
  <c r="AM886" i="9"/>
  <c r="AL886" i="9"/>
  <c r="AM598" i="9"/>
  <c r="AL598" i="9"/>
  <c r="AM927" i="9"/>
  <c r="AL927" i="9"/>
  <c r="AL937" i="9"/>
  <c r="AM937" i="9"/>
  <c r="AM785" i="9"/>
  <c r="AL785" i="9"/>
  <c r="AL824" i="9"/>
  <c r="AM824" i="9"/>
  <c r="AL656" i="9"/>
  <c r="AM656" i="9"/>
  <c r="AL658" i="9"/>
  <c r="AM658" i="9"/>
  <c r="AM796" i="9"/>
  <c r="AL796" i="9"/>
  <c r="AL717" i="9"/>
  <c r="AM717" i="9"/>
  <c r="AL912" i="9"/>
  <c r="AM912" i="9"/>
  <c r="AM121" i="9"/>
  <c r="AI883" i="9"/>
  <c r="AJ883" i="9" s="1"/>
  <c r="AI983" i="9"/>
  <c r="AJ983" i="9" s="1"/>
  <c r="AI867" i="9"/>
  <c r="AJ867" i="9" s="1"/>
  <c r="AI754" i="9"/>
  <c r="AJ754" i="9" s="1"/>
  <c r="AM923" i="9"/>
  <c r="AL689" i="9"/>
  <c r="AM799" i="9"/>
  <c r="AM833" i="9"/>
  <c r="AM784" i="9"/>
  <c r="AM752" i="9"/>
  <c r="AM581" i="9"/>
  <c r="AL99" i="9"/>
  <c r="AM99" i="9"/>
  <c r="AI139" i="9"/>
  <c r="AJ139" i="9" s="1"/>
  <c r="AL632" i="9"/>
  <c r="AM632" i="9"/>
  <c r="AM940" i="9"/>
  <c r="AL940" i="9"/>
  <c r="AL825" i="9"/>
  <c r="AM825" i="9"/>
  <c r="AI812" i="9"/>
  <c r="AJ812" i="9" s="1"/>
  <c r="AI906" i="9"/>
  <c r="AJ906" i="9" s="1"/>
  <c r="AL781" i="9"/>
  <c r="AM781" i="9"/>
  <c r="AM690" i="9"/>
  <c r="AL690" i="9"/>
  <c r="AM424" i="9"/>
  <c r="AL424" i="9"/>
  <c r="AL695" i="9"/>
  <c r="AM695" i="9"/>
  <c r="AM957" i="9"/>
  <c r="AL957" i="9"/>
  <c r="AM731" i="9"/>
  <c r="AL731" i="9"/>
  <c r="AL585" i="9"/>
  <c r="AM585" i="9"/>
  <c r="AI280" i="9"/>
  <c r="AJ280" i="9" s="1"/>
  <c r="AL617" i="9"/>
  <c r="AM617" i="9"/>
  <c r="AL969" i="9"/>
  <c r="AM969" i="9"/>
  <c r="AI601" i="9"/>
  <c r="AJ601" i="9" s="1"/>
  <c r="AM678" i="9"/>
  <c r="AL678" i="9"/>
  <c r="AM755" i="9"/>
  <c r="AL755" i="9"/>
  <c r="AL906" i="9"/>
  <c r="AM906" i="9"/>
  <c r="AM111" i="9"/>
  <c r="AL111" i="9"/>
  <c r="AL936" i="9"/>
  <c r="AM936" i="9"/>
  <c r="AM983" i="9"/>
  <c r="AL983" i="9"/>
  <c r="AM754" i="9"/>
  <c r="AL754" i="9"/>
  <c r="AM45" i="9"/>
  <c r="AL978" i="9"/>
  <c r="AM788" i="9"/>
  <c r="AI876" i="9"/>
  <c r="AJ876" i="9" s="1"/>
  <c r="AL737" i="9"/>
  <c r="AM948" i="9"/>
  <c r="AM904" i="9"/>
  <c r="AI821" i="9"/>
  <c r="AJ821" i="9" s="1"/>
  <c r="AM703" i="9"/>
  <c r="AI753" i="9"/>
  <c r="AJ753" i="9" s="1"/>
  <c r="AI884" i="9"/>
  <c r="AJ884" i="9" s="1"/>
  <c r="AM657" i="9"/>
  <c r="AI582" i="9"/>
  <c r="AJ582" i="9" s="1"/>
  <c r="AM171" i="9"/>
  <c r="AM86" i="9"/>
  <c r="AL83" i="9"/>
  <c r="AM83" i="9"/>
  <c r="AL944" i="9"/>
  <c r="AM944" i="9"/>
  <c r="AI947" i="9"/>
  <c r="AJ947" i="9" s="1"/>
  <c r="AI835" i="9"/>
  <c r="AJ835" i="9" s="1"/>
  <c r="AL711" i="9"/>
  <c r="AI730" i="9"/>
  <c r="AJ730" i="9" s="1"/>
  <c r="AL778" i="9"/>
  <c r="AM778" i="9"/>
  <c r="AL762" i="9"/>
  <c r="AL905" i="9"/>
  <c r="AM905" i="9"/>
  <c r="AL877" i="9"/>
  <c r="AM877" i="9"/>
  <c r="AM861" i="9"/>
  <c r="AL861" i="9"/>
  <c r="AM697" i="9"/>
  <c r="AL697" i="9"/>
  <c r="AL819" i="9"/>
  <c r="AM819" i="9"/>
  <c r="AL908" i="9"/>
  <c r="AM908" i="9"/>
  <c r="AL973" i="9"/>
  <c r="AM973" i="9"/>
  <c r="AL932" i="9"/>
  <c r="AM932" i="9"/>
  <c r="AI744" i="9"/>
  <c r="AJ744" i="9" s="1"/>
  <c r="AL666" i="9"/>
  <c r="AM666" i="9"/>
  <c r="AM81" i="9"/>
  <c r="AL81" i="9"/>
  <c r="AL880" i="9"/>
  <c r="AM880" i="9"/>
  <c r="AM931" i="9"/>
  <c r="AL931" i="9"/>
  <c r="AL71" i="9"/>
  <c r="AM71" i="9"/>
  <c r="AI907" i="9"/>
  <c r="AJ907" i="9" s="1"/>
  <c r="AI973" i="9"/>
  <c r="AJ973" i="9" s="1"/>
  <c r="AI652" i="9"/>
  <c r="AJ652" i="9" s="1"/>
  <c r="AI687" i="9"/>
  <c r="AJ687" i="9" s="1"/>
  <c r="AI112" i="9"/>
  <c r="AJ112" i="9" s="1"/>
  <c r="AI81" i="9"/>
  <c r="AJ81" i="9" s="1"/>
  <c r="AI912" i="9"/>
  <c r="AJ912" i="9" s="1"/>
  <c r="AI984" i="9"/>
  <c r="AJ984" i="9" s="1"/>
  <c r="AI933" i="9"/>
  <c r="AJ933" i="9" s="1"/>
  <c r="AI797" i="9"/>
  <c r="AJ797" i="9" s="1"/>
  <c r="AI583" i="9"/>
  <c r="AJ583" i="9" s="1"/>
  <c r="AI621" i="9"/>
  <c r="AJ621" i="9" s="1"/>
  <c r="AI104" i="9"/>
  <c r="AJ104" i="9" s="1"/>
  <c r="AL44" i="9"/>
  <c r="AI957" i="9"/>
  <c r="AJ957" i="9" s="1"/>
  <c r="AI723" i="9"/>
  <c r="AJ723" i="9" s="1"/>
  <c r="AL869" i="9"/>
  <c r="AI879" i="9"/>
  <c r="AJ879" i="9" s="1"/>
  <c r="AI935" i="9"/>
  <c r="AJ935" i="9" s="1"/>
  <c r="AI931" i="9"/>
  <c r="AJ931" i="9" s="1"/>
  <c r="AI712" i="9"/>
  <c r="AJ712" i="9" s="1"/>
  <c r="AI725" i="9"/>
  <c r="AJ725" i="9" s="1"/>
  <c r="AI936" i="9"/>
  <c r="AJ936" i="9" s="1"/>
  <c r="AI813" i="9"/>
  <c r="AJ813" i="9" s="1"/>
  <c r="AI971" i="9"/>
  <c r="AJ971" i="9" s="1"/>
  <c r="AI736" i="9"/>
  <c r="AJ736" i="9" s="1"/>
  <c r="AI720" i="9"/>
  <c r="AJ720" i="9" s="1"/>
  <c r="AI850" i="9"/>
  <c r="AJ850" i="9" s="1"/>
  <c r="AI585" i="9"/>
  <c r="AJ585" i="9" s="1"/>
  <c r="AL107" i="9"/>
  <c r="AM120" i="9"/>
  <c r="AM137" i="9"/>
  <c r="AI705" i="9"/>
  <c r="AJ705" i="9" s="1"/>
  <c r="AM835" i="9"/>
  <c r="AM864" i="9"/>
  <c r="AI917" i="9"/>
  <c r="AJ917" i="9" s="1"/>
  <c r="AI963" i="9"/>
  <c r="AJ963" i="9" s="1"/>
  <c r="AI684" i="9"/>
  <c r="AJ684" i="9" s="1"/>
  <c r="AI628" i="9"/>
  <c r="AJ628" i="9" s="1"/>
  <c r="AM687" i="9"/>
  <c r="AI71" i="9"/>
  <c r="AJ71" i="9" s="1"/>
  <c r="AM85" i="9"/>
  <c r="AL813" i="9"/>
  <c r="AI969" i="9"/>
  <c r="AJ969" i="9" s="1"/>
  <c r="AI942" i="9"/>
  <c r="AJ942" i="9" s="1"/>
  <c r="AI675" i="9"/>
  <c r="AJ675" i="9" s="1"/>
  <c r="AL621" i="9"/>
  <c r="AM675" i="9"/>
  <c r="AL583" i="9"/>
  <c r="AM109" i="9"/>
  <c r="AI739" i="9"/>
  <c r="AJ739" i="9" s="1"/>
  <c r="AI841" i="9"/>
  <c r="AJ841" i="9" s="1"/>
  <c r="AI819" i="9"/>
  <c r="AJ819" i="9" s="1"/>
  <c r="AI779" i="9"/>
  <c r="AJ779" i="9" s="1"/>
  <c r="AI855" i="9"/>
  <c r="AJ855" i="9" s="1"/>
  <c r="AI650" i="9"/>
  <c r="AJ650" i="9" s="1"/>
  <c r="AL595" i="9"/>
  <c r="AM631" i="9"/>
  <c r="AI109" i="9"/>
  <c r="AJ109" i="9" s="1"/>
  <c r="AI937" i="9"/>
  <c r="AJ937" i="9" s="1"/>
  <c r="AI731" i="9"/>
  <c r="AJ731" i="9" s="1"/>
  <c r="AM648" i="9"/>
  <c r="AI807" i="9"/>
  <c r="AJ807" i="9" s="1"/>
  <c r="AI824" i="9"/>
  <c r="AJ824" i="9" s="1"/>
  <c r="AM692" i="9"/>
  <c r="AM779" i="9"/>
  <c r="AI679" i="9"/>
  <c r="AJ679" i="9" s="1"/>
  <c r="AL725" i="9"/>
  <c r="AL793" i="9"/>
  <c r="AL702" i="9"/>
  <c r="AM820" i="9"/>
  <c r="AL838" i="9"/>
  <c r="AL977" i="9"/>
  <c r="AL668" i="9"/>
  <c r="AM961" i="9"/>
  <c r="AM991" i="9"/>
  <c r="AL768" i="9"/>
  <c r="AI898" i="9"/>
  <c r="AJ898" i="9" s="1"/>
  <c r="AI758" i="9"/>
  <c r="AJ758" i="9" s="1"/>
  <c r="AL1000" i="9"/>
  <c r="AI783" i="9"/>
  <c r="AJ783" i="9" s="1"/>
  <c r="AM822" i="9"/>
  <c r="AI793" i="9"/>
  <c r="AJ793" i="9" s="1"/>
  <c r="AI172" i="9"/>
  <c r="AJ172" i="9" s="1"/>
  <c r="AI171" i="9"/>
  <c r="AJ171" i="9" s="1"/>
  <c r="AI700" i="9"/>
  <c r="AJ700" i="9" s="1"/>
  <c r="AL243" i="9"/>
  <c r="AI873" i="9"/>
  <c r="AJ873" i="9" s="1"/>
  <c r="AM630" i="9"/>
  <c r="AL665" i="9"/>
  <c r="AL41" i="9"/>
  <c r="AM124" i="9"/>
  <c r="AL138" i="9"/>
  <c r="AI84" i="9"/>
  <c r="AJ84" i="9" s="1"/>
  <c r="AM956" i="9"/>
  <c r="AM722" i="9"/>
  <c r="AI929" i="9"/>
  <c r="AJ929" i="9" s="1"/>
  <c r="AL878" i="9"/>
  <c r="AM834" i="9"/>
  <c r="AM715" i="9"/>
  <c r="AL818" i="9"/>
  <c r="AI810" i="9"/>
  <c r="AJ810" i="9" s="1"/>
  <c r="AL947" i="9"/>
  <c r="AM839" i="9"/>
  <c r="AI702" i="9"/>
  <c r="AJ702" i="9" s="1"/>
  <c r="AM790" i="9"/>
  <c r="AM965" i="9"/>
  <c r="AI657" i="9"/>
  <c r="AJ657" i="9" s="1"/>
  <c r="AM901" i="9"/>
  <c r="AL694" i="9"/>
  <c r="AI752" i="9"/>
  <c r="AJ752" i="9" s="1"/>
  <c r="AI955" i="9"/>
  <c r="AJ955" i="9" s="1"/>
  <c r="AM854" i="9"/>
  <c r="AI749" i="9"/>
  <c r="AJ749" i="9" s="1"/>
  <c r="AL670" i="9"/>
  <c r="AL925" i="9"/>
  <c r="AM925" i="9"/>
  <c r="AL459" i="9"/>
  <c r="AL636" i="9"/>
  <c r="AM636" i="9"/>
  <c r="AI596" i="9"/>
  <c r="AJ596" i="9" s="1"/>
  <c r="AI632" i="9"/>
  <c r="AJ632" i="9" s="1"/>
  <c r="AL496" i="9"/>
  <c r="AM496" i="9"/>
  <c r="AL67" i="9"/>
  <c r="AM67" i="9"/>
  <c r="AI138" i="9"/>
  <c r="AJ138" i="9" s="1"/>
  <c r="AM911" i="9"/>
  <c r="AL911" i="9"/>
  <c r="AI923" i="9"/>
  <c r="AJ923" i="9" s="1"/>
  <c r="AI568" i="9"/>
  <c r="AJ568" i="9" s="1"/>
  <c r="AI567" i="9"/>
  <c r="AJ567" i="9" s="1"/>
  <c r="AI975" i="9"/>
  <c r="AJ975" i="9" s="1"/>
  <c r="AI965" i="9"/>
  <c r="AJ965" i="9" s="1"/>
  <c r="AI882" i="9"/>
  <c r="AJ882" i="9" s="1"/>
  <c r="AI939" i="9"/>
  <c r="AJ939" i="9" s="1"/>
  <c r="AI782" i="9"/>
  <c r="AJ782" i="9" s="1"/>
  <c r="AI599" i="9"/>
  <c r="AJ599" i="9" s="1"/>
  <c r="AL619" i="9"/>
  <c r="AM619" i="9"/>
  <c r="AL709" i="9"/>
  <c r="AM709" i="9"/>
  <c r="AM893" i="9"/>
  <c r="AL873" i="9"/>
  <c r="AM866" i="9"/>
  <c r="AI733" i="9"/>
  <c r="AJ733" i="9" s="1"/>
  <c r="AM939" i="9"/>
  <c r="AM843" i="9"/>
  <c r="AL848" i="9"/>
  <c r="AL920" i="9"/>
  <c r="AI703" i="9"/>
  <c r="AJ703" i="9" s="1"/>
  <c r="AM832" i="9"/>
  <c r="AM888" i="9"/>
  <c r="AM673" i="9"/>
  <c r="AL783" i="9"/>
  <c r="AI978" i="9"/>
  <c r="AJ978" i="9" s="1"/>
  <c r="AM883" i="9"/>
  <c r="AI816" i="9"/>
  <c r="AJ816" i="9" s="1"/>
  <c r="AL599" i="9"/>
  <c r="AM495" i="9"/>
  <c r="AM567" i="9"/>
  <c r="AI244" i="9"/>
  <c r="AJ244" i="9" s="1"/>
  <c r="AI243" i="9"/>
  <c r="AJ243" i="9" s="1"/>
  <c r="AM653" i="9"/>
  <c r="AL460" i="9"/>
  <c r="AM863" i="9"/>
  <c r="AM851" i="9"/>
  <c r="AM928" i="9"/>
  <c r="AM895" i="9"/>
  <c r="AM974" i="9"/>
  <c r="AI716" i="9"/>
  <c r="AJ716" i="9" s="1"/>
  <c r="AL914" i="9"/>
  <c r="AM804" i="9"/>
  <c r="AI948" i="9"/>
  <c r="AJ948" i="9" s="1"/>
  <c r="AI840" i="9"/>
  <c r="AJ840" i="9" s="1"/>
  <c r="AM712" i="9"/>
  <c r="AM701" i="9"/>
  <c r="AI966" i="9"/>
  <c r="AJ966" i="9" s="1"/>
  <c r="AI902" i="9"/>
  <c r="AJ902" i="9" s="1"/>
  <c r="AL989" i="9"/>
  <c r="AM751" i="9"/>
  <c r="AM881" i="9"/>
  <c r="AI878" i="9"/>
  <c r="AJ878" i="9" s="1"/>
  <c r="AL735" i="9"/>
  <c r="AI866" i="9"/>
  <c r="AJ866" i="9" s="1"/>
  <c r="AM719" i="9"/>
  <c r="AL971" i="9"/>
  <c r="AM748" i="9"/>
  <c r="AL662" i="9"/>
  <c r="AL655" i="9"/>
  <c r="AL960" i="9"/>
  <c r="AM960" i="9"/>
  <c r="AM604" i="9"/>
  <c r="AI495" i="9"/>
  <c r="AJ495" i="9" s="1"/>
  <c r="AL637" i="9"/>
  <c r="AM637" i="9"/>
  <c r="AL423" i="9"/>
  <c r="AM423" i="9"/>
  <c r="AM63" i="9"/>
  <c r="AL63" i="9"/>
  <c r="AM84" i="9"/>
  <c r="AM775" i="9"/>
  <c r="AI894" i="9"/>
  <c r="AJ894" i="9" s="1"/>
  <c r="AM759" i="9"/>
  <c r="AM929" i="9"/>
  <c r="AM875" i="9"/>
  <c r="AM859" i="9"/>
  <c r="AM733" i="9"/>
  <c r="AI759" i="9"/>
  <c r="AJ759" i="9" s="1"/>
  <c r="AM746" i="9"/>
  <c r="AL836" i="9"/>
  <c r="AI833" i="9"/>
  <c r="AJ833" i="9" s="1"/>
  <c r="AM816" i="9"/>
  <c r="AI784" i="9"/>
  <c r="AJ784" i="9" s="1"/>
  <c r="AM922" i="9"/>
  <c r="AM894" i="9"/>
  <c r="AM773" i="9"/>
  <c r="AM757" i="9"/>
  <c r="AM676" i="9"/>
  <c r="AM792" i="9"/>
  <c r="AL682" i="9"/>
  <c r="AM593" i="9"/>
  <c r="AL352" i="9"/>
  <c r="AM647" i="9"/>
  <c r="AL316" i="9"/>
  <c r="AI591" i="9"/>
  <c r="AJ591" i="9" s="1"/>
  <c r="AI630" i="9"/>
  <c r="AJ630" i="9" s="1"/>
  <c r="AM622" i="9"/>
  <c r="AI41" i="9"/>
  <c r="AJ41" i="9" s="1"/>
  <c r="AI100" i="9"/>
  <c r="AJ100" i="9" s="1"/>
  <c r="AI99" i="9"/>
  <c r="AJ99" i="9" s="1"/>
  <c r="AL119" i="9"/>
  <c r="AI45" i="9"/>
  <c r="AJ45" i="9" s="1"/>
  <c r="AM856" i="9"/>
  <c r="AM840" i="9"/>
  <c r="AL946" i="9"/>
  <c r="AM930" i="9"/>
  <c r="AM918" i="9"/>
  <c r="AI994" i="9"/>
  <c r="AJ994" i="9" s="1"/>
  <c r="AL935" i="9"/>
  <c r="AI997" i="9"/>
  <c r="AJ997" i="9" s="1"/>
  <c r="AI673" i="9"/>
  <c r="AJ673" i="9" s="1"/>
  <c r="AI795" i="9"/>
  <c r="AJ795" i="9" s="1"/>
  <c r="AM980" i="9"/>
  <c r="AI775" i="9"/>
  <c r="AJ775" i="9" s="1"/>
  <c r="AM964" i="9"/>
  <c r="AI763" i="9"/>
  <c r="AJ763" i="9" s="1"/>
  <c r="AM812" i="9"/>
  <c r="AL970" i="9"/>
  <c r="AM954" i="9"/>
  <c r="AM938" i="9"/>
  <c r="AM889" i="9"/>
  <c r="AM645" i="9"/>
  <c r="AL649" i="9"/>
  <c r="AM649" i="9"/>
  <c r="AL584" i="9"/>
  <c r="AM584" i="9"/>
  <c r="AM972" i="9"/>
  <c r="AI961" i="9"/>
  <c r="AJ961" i="9" s="1"/>
  <c r="AM654" i="9"/>
  <c r="AM686" i="9"/>
  <c r="AI424" i="9"/>
  <c r="AJ424" i="9" s="1"/>
  <c r="AI423" i="9"/>
  <c r="AJ423" i="9" s="1"/>
  <c r="AL72" i="9"/>
  <c r="AM72" i="9"/>
  <c r="AI656" i="9"/>
  <c r="AJ656" i="9" s="1"/>
  <c r="AI691" i="9"/>
  <c r="AJ691" i="9" s="1"/>
  <c r="AI460" i="9"/>
  <c r="AJ460" i="9" s="1"/>
  <c r="AI655" i="9"/>
  <c r="AJ655" i="9" s="1"/>
  <c r="AI944" i="9"/>
  <c r="AJ944" i="9" s="1"/>
  <c r="AM663" i="9"/>
  <c r="AL172" i="9"/>
  <c r="AI108" i="9"/>
  <c r="AJ108" i="9" s="1"/>
  <c r="AI77" i="9"/>
  <c r="AJ77" i="9" s="1"/>
  <c r="AM80" i="9"/>
  <c r="AL101" i="9"/>
  <c r="AI848" i="9"/>
  <c r="AJ848" i="9" s="1"/>
  <c r="AI928" i="9"/>
  <c r="AJ928" i="9" s="1"/>
  <c r="AM693" i="9"/>
  <c r="AI799" i="9"/>
  <c r="AJ799" i="9" s="1"/>
  <c r="AI820" i="9"/>
  <c r="AJ820" i="9" s="1"/>
  <c r="AI865" i="9"/>
  <c r="AJ865" i="9" s="1"/>
  <c r="AL718" i="9"/>
  <c r="AM852" i="9"/>
  <c r="AL808" i="9"/>
  <c r="AI699" i="9"/>
  <c r="AJ699" i="9" s="1"/>
  <c r="AI893" i="9"/>
  <c r="AJ893" i="9" s="1"/>
  <c r="AM787" i="9"/>
  <c r="AL771" i="9"/>
  <c r="AI886" i="9"/>
  <c r="AJ886" i="9" s="1"/>
  <c r="AI910" i="9"/>
  <c r="AJ910" i="9" s="1"/>
  <c r="AM800" i="9"/>
  <c r="AM805" i="9"/>
  <c r="AI996" i="9"/>
  <c r="AJ996" i="9" s="1"/>
  <c r="AM887" i="9"/>
  <c r="AI980" i="9"/>
  <c r="AJ980" i="9" s="1"/>
  <c r="AM761" i="9"/>
  <c r="AM745" i="9"/>
  <c r="AM855" i="9"/>
  <c r="AI989" i="9"/>
  <c r="AJ989" i="9" s="1"/>
  <c r="AI771" i="9"/>
  <c r="AJ771" i="9" s="1"/>
  <c r="AM976" i="9"/>
  <c r="AM652" i="9"/>
  <c r="AI743" i="9"/>
  <c r="AJ743" i="9" s="1"/>
  <c r="AL726" i="9"/>
  <c r="AI593" i="9"/>
  <c r="AJ593" i="9" s="1"/>
  <c r="AM710" i="9"/>
  <c r="AM828" i="9"/>
  <c r="AL900" i="9"/>
  <c r="AL685" i="9"/>
  <c r="AM962" i="9"/>
  <c r="AL743" i="9"/>
  <c r="AM857" i="9"/>
  <c r="AM850" i="9"/>
  <c r="AL950" i="9"/>
  <c r="AL747" i="9"/>
  <c r="AM634" i="9"/>
  <c r="AI616" i="9"/>
  <c r="AJ616" i="9" s="1"/>
  <c r="AM279" i="9"/>
  <c r="AI999" i="9"/>
  <c r="AJ999" i="9" s="1"/>
  <c r="AM760" i="9"/>
  <c r="AM582" i="9"/>
  <c r="AI532" i="9"/>
  <c r="AJ532" i="9" s="1"/>
  <c r="AM69" i="9"/>
  <c r="AI721" i="9"/>
  <c r="AJ721" i="9" s="1"/>
  <c r="AI618" i="9"/>
  <c r="AJ618" i="9" s="1"/>
  <c r="AM603" i="9"/>
  <c r="AL532" i="9"/>
  <c r="AM123" i="9"/>
  <c r="AI136" i="9"/>
  <c r="AJ136" i="9" s="1"/>
  <c r="AL64" i="9"/>
  <c r="AL88" i="9"/>
  <c r="AL116" i="9"/>
  <c r="AL79" i="9"/>
  <c r="AM139" i="9"/>
  <c r="AM780" i="9"/>
  <c r="AL801" i="9"/>
  <c r="AL797" i="9"/>
  <c r="AL945" i="9"/>
  <c r="AM987" i="9"/>
  <c r="AM827" i="9"/>
  <c r="AI908" i="9"/>
  <c r="AJ908" i="9" s="1"/>
  <c r="AM981" i="9"/>
  <c r="AM984" i="9"/>
  <c r="AI767" i="9"/>
  <c r="AJ767" i="9" s="1"/>
  <c r="AL597" i="9"/>
  <c r="AL750" i="9"/>
  <c r="AM628" i="9"/>
  <c r="AM734" i="9"/>
  <c r="AI869" i="9"/>
  <c r="AJ869" i="9" s="1"/>
  <c r="AL986" i="9"/>
  <c r="AL767" i="9"/>
  <c r="AL921" i="9"/>
  <c r="AM853" i="9"/>
  <c r="AI863" i="9"/>
  <c r="AJ863" i="9" s="1"/>
  <c r="AI859" i="9"/>
  <c r="AJ859" i="9" s="1"/>
  <c r="AI943" i="9"/>
  <c r="AJ943" i="9" s="1"/>
  <c r="AL837" i="9"/>
  <c r="AM707" i="9"/>
  <c r="AL830" i="9"/>
  <c r="AI880" i="9"/>
  <c r="AJ880" i="9" s="1"/>
  <c r="AL741" i="9"/>
  <c r="AI868" i="9"/>
  <c r="AJ868" i="9" s="1"/>
  <c r="AM713" i="9"/>
  <c r="AL802" i="9"/>
  <c r="AM807" i="9"/>
  <c r="AL903" i="9"/>
  <c r="AM899" i="9"/>
  <c r="AI681" i="9"/>
  <c r="AJ681" i="9" s="1"/>
  <c r="AM924" i="9"/>
  <c r="AM600" i="9"/>
  <c r="AI825" i="9"/>
  <c r="AJ825" i="9" s="1"/>
  <c r="AM829" i="9"/>
  <c r="AM817" i="9"/>
  <c r="AM633" i="9"/>
  <c r="AM639" i="9"/>
  <c r="AM674" i="9"/>
  <c r="AI316" i="9"/>
  <c r="AJ316" i="9" s="1"/>
  <c r="AI792" i="9"/>
  <c r="AJ792" i="9" s="1"/>
  <c r="AI780" i="9"/>
  <c r="AJ780" i="9" s="1"/>
  <c r="AM646" i="9"/>
  <c r="AI755" i="9"/>
  <c r="AJ755" i="9" s="1"/>
  <c r="AL744" i="9"/>
  <c r="AI581" i="9"/>
  <c r="AJ581" i="9" s="1"/>
  <c r="AM667" i="9"/>
  <c r="AL280" i="9"/>
  <c r="AL679" i="9"/>
  <c r="AM104" i="9"/>
  <c r="AI72" i="9"/>
  <c r="AJ72" i="9" s="1"/>
  <c r="AI651" i="9"/>
  <c r="AJ651" i="9" s="1"/>
  <c r="AI40" i="9"/>
  <c r="AJ40" i="9" s="1"/>
  <c r="AI121" i="9"/>
  <c r="AJ121" i="9" s="1"/>
  <c r="AM704" i="9"/>
  <c r="AI836" i="9"/>
  <c r="AJ836" i="9" s="1"/>
  <c r="AI694" i="9"/>
  <c r="AJ694" i="9" s="1"/>
  <c r="AM803" i="9"/>
  <c r="AI897" i="9"/>
  <c r="AJ897" i="9" s="1"/>
  <c r="AM677" i="9"/>
  <c r="AI788" i="9"/>
  <c r="AJ788" i="9" s="1"/>
  <c r="AI938" i="9"/>
  <c r="AJ938" i="9" s="1"/>
  <c r="AI974" i="9"/>
  <c r="AJ974" i="9" s="1"/>
  <c r="AM990" i="9"/>
  <c r="AL910" i="9"/>
  <c r="AI815" i="9"/>
  <c r="AJ815" i="9" s="1"/>
  <c r="AL777" i="9"/>
  <c r="AM756" i="9"/>
  <c r="AI872" i="9"/>
  <c r="AJ872" i="9" s="1"/>
  <c r="AM740" i="9"/>
  <c r="AM891" i="9"/>
  <c r="AI653" i="9"/>
  <c r="AJ653" i="9" s="1"/>
  <c r="AI861" i="9"/>
  <c r="AJ861" i="9" s="1"/>
  <c r="AI845" i="9"/>
  <c r="AJ845" i="9" s="1"/>
  <c r="AM714" i="9"/>
  <c r="AI901" i="9"/>
  <c r="AJ901" i="9" s="1"/>
  <c r="AI851" i="9"/>
  <c r="AJ851" i="9" s="1"/>
  <c r="AI951" i="9"/>
  <c r="AJ951" i="9" s="1"/>
  <c r="AI732" i="9"/>
  <c r="AJ732" i="9" s="1"/>
  <c r="AI635" i="9"/>
  <c r="AJ635" i="9" s="1"/>
  <c r="AI586" i="9"/>
  <c r="AJ586" i="9" s="1"/>
  <c r="AL208" i="9"/>
  <c r="AI603" i="9"/>
  <c r="AJ603" i="9" s="1"/>
  <c r="AI615" i="9"/>
  <c r="AJ615" i="9" s="1"/>
  <c r="AL659" i="9"/>
  <c r="AM568" i="9"/>
  <c r="AM681" i="9"/>
  <c r="AI352" i="9"/>
  <c r="AJ352" i="9" s="1"/>
  <c r="AI75" i="9"/>
  <c r="AJ75" i="9" s="1"/>
  <c r="AM112" i="9"/>
  <c r="AI115" i="9"/>
  <c r="AJ115" i="9" s="1"/>
  <c r="AI44" i="9"/>
  <c r="AJ44" i="9" s="1"/>
  <c r="AI814" i="9"/>
  <c r="AJ814" i="9" s="1"/>
  <c r="AI765" i="9"/>
  <c r="AJ765" i="9" s="1"/>
  <c r="AI828" i="9"/>
  <c r="AJ828" i="9" s="1"/>
  <c r="AL705" i="9"/>
  <c r="AI661" i="9"/>
  <c r="AJ661" i="9" s="1"/>
  <c r="AM933" i="9"/>
  <c r="AI918" i="9"/>
  <c r="AJ918" i="9" s="1"/>
  <c r="AM644" i="9"/>
  <c r="AI751" i="9"/>
  <c r="AJ751" i="9" s="1"/>
  <c r="AI885" i="9"/>
  <c r="AJ885" i="9" s="1"/>
  <c r="AI735" i="9"/>
  <c r="AJ735" i="9" s="1"/>
  <c r="AI922" i="9"/>
  <c r="AJ922" i="9" s="1"/>
  <c r="AI875" i="9"/>
  <c r="AJ875" i="9" s="1"/>
  <c r="AL739" i="9"/>
  <c r="AI854" i="9"/>
  <c r="AJ854" i="9" s="1"/>
  <c r="AL723" i="9"/>
  <c r="AI838" i="9"/>
  <c r="AJ838" i="9" s="1"/>
  <c r="AI847" i="9"/>
  <c r="AJ847" i="9" s="1"/>
  <c r="AM736" i="9"/>
  <c r="AI714" i="9"/>
  <c r="AJ714" i="9" s="1"/>
  <c r="AI803" i="9"/>
  <c r="AJ803" i="9" s="1"/>
  <c r="AI900" i="9"/>
  <c r="AJ900" i="9" s="1"/>
  <c r="AM992" i="9"/>
  <c r="AI707" i="9"/>
  <c r="AJ707" i="9" s="1"/>
  <c r="AI818" i="9"/>
  <c r="AJ818" i="9" s="1"/>
  <c r="AI387" i="9"/>
  <c r="AJ387" i="9" s="1"/>
  <c r="AI647" i="9"/>
  <c r="AJ647" i="9" s="1"/>
  <c r="AL642" i="9"/>
  <c r="AI745" i="9"/>
  <c r="AJ745" i="9" s="1"/>
  <c r="AM684" i="9"/>
  <c r="AI668" i="9"/>
  <c r="AJ668" i="9" s="1"/>
  <c r="AI107" i="9"/>
  <c r="AJ107" i="9" s="1"/>
  <c r="AI680" i="9"/>
  <c r="AJ680" i="9" s="1"/>
  <c r="AI208" i="9"/>
  <c r="AJ208" i="9" s="1"/>
  <c r="AI74" i="9"/>
  <c r="AJ74" i="9" s="1"/>
  <c r="AI719" i="9"/>
  <c r="AJ719" i="9" s="1"/>
  <c r="AI809" i="9"/>
  <c r="AJ809" i="9" s="1"/>
  <c r="AI991" i="9"/>
  <c r="AJ991" i="9" s="1"/>
  <c r="AI888" i="9"/>
  <c r="AJ888" i="9" s="1"/>
  <c r="AI762" i="9"/>
  <c r="AJ762" i="9" s="1"/>
  <c r="AI856" i="9"/>
  <c r="AJ856" i="9" s="1"/>
  <c r="AI727" i="9"/>
  <c r="AJ727" i="9" s="1"/>
  <c r="AI686" i="9"/>
  <c r="AJ686" i="9" s="1"/>
  <c r="AI748" i="9"/>
  <c r="AJ748" i="9" s="1"/>
  <c r="AI649" i="9"/>
  <c r="AJ649" i="9" s="1"/>
  <c r="AI761" i="9"/>
  <c r="AJ761" i="9" s="1"/>
  <c r="AI604" i="9"/>
  <c r="AJ604" i="9" s="1"/>
  <c r="AI124" i="9"/>
  <c r="AJ124" i="9" s="1"/>
  <c r="AI117" i="9"/>
  <c r="AJ117" i="9" s="1"/>
  <c r="AI80" i="9"/>
  <c r="AJ80" i="9" s="1"/>
  <c r="AI83" i="9"/>
  <c r="AJ83" i="9" s="1"/>
  <c r="AI891" i="9"/>
  <c r="AJ891" i="9" s="1"/>
  <c r="AI798" i="9"/>
  <c r="AJ798" i="9" s="1"/>
  <c r="AI946" i="9"/>
  <c r="AJ946" i="9" s="1"/>
  <c r="AI988" i="9"/>
  <c r="AJ988" i="9" s="1"/>
  <c r="AI718" i="9"/>
  <c r="AJ718" i="9" s="1"/>
  <c r="AI985" i="9"/>
  <c r="AJ985" i="9" s="1"/>
  <c r="AI598" i="9"/>
  <c r="AJ598" i="9" s="1"/>
  <c r="AI953" i="9"/>
  <c r="AJ953" i="9" s="1"/>
  <c r="AI629" i="9"/>
  <c r="AJ629" i="9" s="1"/>
  <c r="AI927" i="9"/>
  <c r="AJ927" i="9" s="1"/>
  <c r="AI822" i="9"/>
  <c r="AJ822" i="9" s="1"/>
  <c r="AI831" i="9"/>
  <c r="AJ831" i="9" s="1"/>
  <c r="AI742" i="9"/>
  <c r="AJ742" i="9" s="1"/>
  <c r="AI709" i="9"/>
  <c r="AJ709" i="9" s="1"/>
  <c r="AI693" i="9"/>
  <c r="AJ693" i="9" s="1"/>
  <c r="AI808" i="9"/>
  <c r="AJ808" i="9" s="1"/>
  <c r="AI904" i="9"/>
  <c r="AJ904" i="9" s="1"/>
  <c r="AI913" i="9"/>
  <c r="AJ913" i="9" s="1"/>
  <c r="AI634" i="9"/>
  <c r="AJ634" i="9" s="1"/>
  <c r="AI640" i="9"/>
  <c r="AJ640" i="9" s="1"/>
  <c r="AI531" i="9"/>
  <c r="AJ531" i="9" s="1"/>
  <c r="AI279" i="9"/>
  <c r="AJ279" i="9" s="1"/>
  <c r="AI105" i="9"/>
  <c r="AJ105" i="9" s="1"/>
  <c r="AI68" i="9"/>
  <c r="AJ68" i="9" s="1"/>
  <c r="AI832" i="9"/>
  <c r="AJ832" i="9" s="1"/>
  <c r="AI804" i="9"/>
  <c r="AJ804" i="9" s="1"/>
  <c r="AI911" i="9"/>
  <c r="AJ911" i="9" s="1"/>
  <c r="AI773" i="9"/>
  <c r="AJ773" i="9" s="1"/>
  <c r="AI778" i="9"/>
  <c r="AJ778" i="9" s="1"/>
  <c r="AI757" i="9"/>
  <c r="AJ757" i="9" s="1"/>
  <c r="AI964" i="9"/>
  <c r="AJ964" i="9" s="1"/>
  <c r="AI746" i="9"/>
  <c r="AJ746" i="9" s="1"/>
  <c r="AI665" i="9"/>
  <c r="AJ665" i="9" s="1"/>
  <c r="AI892" i="9"/>
  <c r="AJ892" i="9" s="1"/>
  <c r="AI977" i="9"/>
  <c r="AJ977" i="9" s="1"/>
  <c r="AM742" i="9"/>
  <c r="AI715" i="9"/>
  <c r="AJ715" i="9" s="1"/>
  <c r="AI711" i="9"/>
  <c r="AJ711" i="9" s="1"/>
  <c r="AL998" i="9"/>
  <c r="AI729" i="9"/>
  <c r="AJ729" i="9" s="1"/>
  <c r="AM720" i="9"/>
  <c r="AI682" i="9"/>
  <c r="AJ682" i="9" s="1"/>
  <c r="AI39" i="9"/>
  <c r="AJ39" i="9" s="1"/>
  <c r="AI113" i="9"/>
  <c r="AJ113" i="9" s="1"/>
  <c r="AI65" i="9"/>
  <c r="AJ65" i="9" s="1"/>
  <c r="AI79" i="9"/>
  <c r="AJ79" i="9" s="1"/>
  <c r="AM43" i="9"/>
  <c r="AI781" i="9"/>
  <c r="AJ781" i="9" s="1"/>
  <c r="AL764" i="9"/>
  <c r="AM907" i="9"/>
  <c r="AI689" i="9"/>
  <c r="AJ689" i="9" s="1"/>
  <c r="AI982" i="9"/>
  <c r="AJ982" i="9" s="1"/>
  <c r="AM660" i="9"/>
  <c r="AI934" i="9"/>
  <c r="AJ934" i="9" s="1"/>
  <c r="AM917" i="9"/>
  <c r="AI645" i="9"/>
  <c r="AJ645" i="9" s="1"/>
  <c r="AL884" i="9"/>
  <c r="AI881" i="9"/>
  <c r="AJ881" i="9" s="1"/>
  <c r="AL868" i="9"/>
  <c r="AI970" i="9"/>
  <c r="AJ970" i="9" s="1"/>
  <c r="AI987" i="9"/>
  <c r="AJ987" i="9" s="1"/>
  <c r="AI768" i="9"/>
  <c r="AJ768" i="9" s="1"/>
  <c r="AM874" i="9"/>
  <c r="AI740" i="9"/>
  <c r="AJ740" i="9" s="1"/>
  <c r="AL862" i="9"/>
  <c r="AI724" i="9"/>
  <c r="AJ724" i="9" s="1"/>
  <c r="AM846" i="9"/>
  <c r="AI843" i="9"/>
  <c r="AJ843" i="9" s="1"/>
  <c r="AI708" i="9"/>
  <c r="AJ708" i="9" s="1"/>
  <c r="AM879" i="9"/>
  <c r="AI960" i="9"/>
  <c r="AJ960" i="9" s="1"/>
  <c r="AI737" i="9"/>
  <c r="AJ737" i="9" s="1"/>
  <c r="AM867" i="9"/>
  <c r="AI932" i="9"/>
  <c r="AJ932" i="9" s="1"/>
  <c r="AM823" i="9"/>
  <c r="AI920" i="9"/>
  <c r="AJ920" i="9" s="1"/>
  <c r="AI697" i="9"/>
  <c r="AJ697" i="9" s="1"/>
  <c r="AI916" i="9"/>
  <c r="AJ916" i="9" s="1"/>
  <c r="AM680" i="9"/>
  <c r="AI787" i="9"/>
  <c r="AJ787" i="9" s="1"/>
  <c r="AI950" i="9"/>
  <c r="AJ950" i="9" s="1"/>
  <c r="AI993" i="9"/>
  <c r="AJ993" i="9" s="1"/>
  <c r="AI925" i="9"/>
  <c r="AJ925" i="9" s="1"/>
  <c r="AM706" i="9"/>
  <c r="AI830" i="9"/>
  <c r="AJ830" i="9" s="1"/>
  <c r="AM601" i="9"/>
  <c r="AI672" i="9"/>
  <c r="AJ672" i="9" s="1"/>
  <c r="AM580" i="9"/>
  <c r="AI639" i="9"/>
  <c r="AJ639" i="9" s="1"/>
  <c r="AI685" i="9"/>
  <c r="AJ685" i="9" s="1"/>
  <c r="AI726" i="9"/>
  <c r="AJ726" i="9" s="1"/>
  <c r="AI622" i="9"/>
  <c r="AJ622" i="9" s="1"/>
  <c r="AI676" i="9"/>
  <c r="AJ676" i="9" s="1"/>
  <c r="AI584" i="9"/>
  <c r="AJ584" i="9" s="1"/>
  <c r="AI644" i="9"/>
  <c r="AJ644" i="9" s="1"/>
  <c r="AM207" i="9"/>
  <c r="AM73" i="9"/>
  <c r="AI16" i="9"/>
  <c r="AJ16" i="9" s="1"/>
  <c r="AM15" i="9"/>
  <c r="AM16" i="9"/>
  <c r="AI15" i="9"/>
  <c r="AJ15" i="9" s="1"/>
  <c r="AI55" i="9"/>
  <c r="AJ55" i="9" s="1"/>
  <c r="AI127" i="9"/>
  <c r="AJ127" i="9" s="1"/>
  <c r="AL89" i="9"/>
  <c r="AL125" i="9"/>
  <c r="AM127" i="9"/>
  <c r="AL91" i="9"/>
  <c r="AI125" i="9"/>
  <c r="AJ125" i="9" s="1"/>
  <c r="AI91" i="9"/>
  <c r="AJ91" i="9" s="1"/>
  <c r="AL55" i="9"/>
  <c r="AI86" i="9"/>
  <c r="AJ86" i="9" s="1"/>
  <c r="AI89" i="9"/>
  <c r="AJ89" i="9" s="1"/>
  <c r="AI508" i="9"/>
  <c r="AJ508" i="9" s="1"/>
  <c r="AM507" i="9"/>
  <c r="AI544" i="9"/>
  <c r="AJ544" i="9" s="1"/>
  <c r="AM472" i="9"/>
  <c r="AL292" i="9"/>
  <c r="AL543" i="9"/>
  <c r="AL256" i="9"/>
  <c r="AI472" i="9"/>
  <c r="AJ472" i="9" s="1"/>
  <c r="AL255" i="9"/>
  <c r="AM364" i="9"/>
  <c r="AM544" i="9"/>
  <c r="AI543" i="9"/>
  <c r="AJ543" i="9" s="1"/>
  <c r="AI184" i="9"/>
  <c r="AJ184" i="9" s="1"/>
  <c r="AM291" i="9"/>
  <c r="AI507" i="9"/>
  <c r="AJ507" i="9" s="1"/>
  <c r="AI255" i="9"/>
  <c r="AJ255" i="9" s="1"/>
  <c r="AM184" i="9"/>
  <c r="AM328" i="9"/>
  <c r="AM399" i="9"/>
  <c r="AL363" i="9"/>
  <c r="AI328" i="9"/>
  <c r="AJ328" i="9" s="1"/>
  <c r="AM220" i="9"/>
  <c r="AM435" i="9"/>
  <c r="AL508" i="9"/>
  <c r="H23" i="15"/>
  <c r="AM400" i="9"/>
  <c r="AI183" i="9"/>
  <c r="AJ183" i="9" s="1"/>
  <c r="AI256" i="9"/>
  <c r="AJ256" i="9" s="1"/>
  <c r="AI327" i="9"/>
  <c r="AJ327" i="9" s="1"/>
  <c r="AL183" i="9"/>
  <c r="AL400" i="9"/>
  <c r="AM471" i="9"/>
  <c r="AL327" i="9"/>
  <c r="AI220" i="9"/>
  <c r="AJ220" i="9" s="1"/>
  <c r="AI471" i="9"/>
  <c r="AJ471" i="9" s="1"/>
  <c r="AI435" i="9"/>
  <c r="AJ435" i="9" s="1"/>
  <c r="AM219" i="9"/>
  <c r="AI399" i="9"/>
  <c r="AJ399" i="9" s="1"/>
  <c r="AI436" i="9"/>
  <c r="AJ436" i="9" s="1"/>
  <c r="AI292" i="9"/>
  <c r="AJ292" i="9" s="1"/>
  <c r="AI364" i="9"/>
  <c r="AJ364" i="9" s="1"/>
  <c r="AI291" i="9"/>
  <c r="AJ291" i="9" s="1"/>
  <c r="AL219" i="9"/>
  <c r="AM436" i="9"/>
  <c r="AI363" i="9"/>
  <c r="AJ363" i="9" s="1"/>
  <c r="AM147" i="9"/>
  <c r="AH148" i="9"/>
  <c r="AL148" i="9" s="1"/>
  <c r="AI147" i="9"/>
  <c r="AJ147" i="9" s="1"/>
  <c r="AI51" i="9" l="1"/>
  <c r="AJ51" i="9" s="1"/>
  <c r="AL51" i="9"/>
  <c r="AM52" i="9"/>
  <c r="AI52" i="9"/>
  <c r="AJ52" i="9" s="1"/>
  <c r="H88" i="41"/>
  <c r="AI53" i="9"/>
  <c r="AJ53" i="9" s="1"/>
  <c r="AL53" i="9"/>
  <c r="I66" i="25"/>
  <c r="H66" i="25"/>
  <c r="I88" i="41"/>
  <c r="R23" i="15"/>
  <c r="AM148" i="9"/>
  <c r="AI148" i="9"/>
  <c r="AJ148" i="9" s="1"/>
  <c r="AO590" i="9" l="1"/>
  <c r="H88" i="25"/>
  <c r="I88" i="25"/>
  <c r="AU43" i="9"/>
  <c r="AU114" i="9"/>
  <c r="AU42" i="9"/>
  <c r="AX591" i="9" l="1"/>
  <c r="AU79" i="9"/>
  <c r="AU78" i="9"/>
  <c r="AU115" i="9" l="1"/>
  <c r="E13" i="30"/>
  <c r="E14" i="30"/>
  <c r="F14" i="30"/>
  <c r="D14" i="30"/>
  <c r="D13" i="30"/>
  <c r="E31" i="30"/>
  <c r="AI8" i="30"/>
  <c r="AI7" i="30"/>
  <c r="AI6" i="30"/>
  <c r="J11" i="45" l="1"/>
  <c r="J14" i="45" s="1"/>
  <c r="K11" i="45"/>
  <c r="K14" i="45" s="1"/>
  <c r="L11" i="45"/>
  <c r="L14" i="45" s="1"/>
  <c r="E31" i="44"/>
  <c r="D31" i="30"/>
  <c r="F31" i="30"/>
  <c r="P31" i="9" l="1"/>
  <c r="AB31" i="9" s="1"/>
  <c r="AD31" i="9" s="1"/>
  <c r="P29" i="9"/>
  <c r="AB29" i="9" s="1"/>
  <c r="AD29" i="9" s="1"/>
  <c r="P30" i="9"/>
  <c r="AB30" i="9" s="1"/>
  <c r="AD30" i="9" s="1"/>
  <c r="F104" i="15"/>
  <c r="P33" i="9"/>
  <c r="AB33" i="9" s="1"/>
  <c r="AD33" i="9" s="1"/>
  <c r="P34" i="9"/>
  <c r="AB34" i="9" s="1"/>
  <c r="AD34" i="9" s="1"/>
  <c r="P32" i="9"/>
  <c r="AB32" i="9" s="1"/>
  <c r="AD32" i="9" s="1"/>
  <c r="F111" i="15"/>
  <c r="P140" i="9"/>
  <c r="AB140" i="9" s="1"/>
  <c r="P141" i="9"/>
  <c r="AB141" i="9" s="1"/>
  <c r="AD141" i="9" s="1"/>
  <c r="P142" i="9"/>
  <c r="AB142" i="9" s="1"/>
  <c r="P605" i="9"/>
  <c r="AB605" i="9" s="1"/>
  <c r="P606" i="9"/>
  <c r="AB606" i="9" s="1"/>
  <c r="AD606" i="9" s="1"/>
  <c r="P607" i="9"/>
  <c r="AB607" i="9" s="1"/>
  <c r="P609" i="9"/>
  <c r="AB609" i="9" s="1"/>
  <c r="P608" i="9"/>
  <c r="AB608" i="9" s="1"/>
  <c r="AD608" i="9" s="1"/>
  <c r="P610" i="9"/>
  <c r="AB610" i="9" s="1"/>
  <c r="F103" i="15"/>
  <c r="P574" i="9"/>
  <c r="AB574" i="9" s="1"/>
  <c r="AD574" i="9" s="1"/>
  <c r="P573" i="9"/>
  <c r="AB573" i="9" s="1"/>
  <c r="P572" i="9"/>
  <c r="AB572" i="9" s="1"/>
  <c r="AD572" i="9" s="1"/>
  <c r="P569" i="9"/>
  <c r="AB569" i="9" s="1"/>
  <c r="P570" i="9"/>
  <c r="AB570" i="9" s="1"/>
  <c r="AD570" i="9" s="1"/>
  <c r="P571" i="9"/>
  <c r="AB571" i="9" s="1"/>
  <c r="AD571" i="9" s="1"/>
  <c r="P536" i="9"/>
  <c r="AB536" i="9" s="1"/>
  <c r="P538" i="9"/>
  <c r="AB538" i="9" s="1"/>
  <c r="P537" i="9"/>
  <c r="AB537" i="9" s="1"/>
  <c r="AD537" i="9" s="1"/>
  <c r="P535" i="9"/>
  <c r="AB535" i="9" s="1"/>
  <c r="AD535" i="9" s="1"/>
  <c r="P533" i="9"/>
  <c r="AB533" i="9" s="1"/>
  <c r="P534" i="9"/>
  <c r="AB534" i="9" s="1"/>
  <c r="AD534" i="9" s="1"/>
  <c r="P500" i="9"/>
  <c r="AB500" i="9" s="1"/>
  <c r="P501" i="9"/>
  <c r="AB501" i="9" s="1"/>
  <c r="P502" i="9"/>
  <c r="AB502" i="9" s="1"/>
  <c r="AD502" i="9" s="1"/>
  <c r="P498" i="9"/>
  <c r="AB498" i="9" s="1"/>
  <c r="P497" i="9"/>
  <c r="AB497" i="9" s="1"/>
  <c r="P499" i="9"/>
  <c r="AB499" i="9" s="1"/>
  <c r="AD499" i="9" s="1"/>
  <c r="P464" i="9"/>
  <c r="AB464" i="9" s="1"/>
  <c r="P466" i="9"/>
  <c r="AB466" i="9" s="1"/>
  <c r="P465" i="9"/>
  <c r="AB465" i="9" s="1"/>
  <c r="AD465" i="9" s="1"/>
  <c r="P461" i="9"/>
  <c r="AB461" i="9" s="1"/>
  <c r="AD461" i="9" s="1"/>
  <c r="P463" i="9"/>
  <c r="AB463" i="9" s="1"/>
  <c r="P462" i="9"/>
  <c r="AB462" i="9" s="1"/>
  <c r="P428" i="9"/>
  <c r="AB428" i="9" s="1"/>
  <c r="AD428" i="9" s="1"/>
  <c r="P429" i="9"/>
  <c r="AB429" i="9" s="1"/>
  <c r="AD429" i="9" s="1"/>
  <c r="P430" i="9"/>
  <c r="AB430" i="9" s="1"/>
  <c r="P426" i="9"/>
  <c r="AB426" i="9" s="1"/>
  <c r="P425" i="9"/>
  <c r="AB425" i="9" s="1"/>
  <c r="AD425" i="9" s="1"/>
  <c r="P427" i="9"/>
  <c r="AB427" i="9" s="1"/>
  <c r="P389" i="9"/>
  <c r="AB389" i="9" s="1"/>
  <c r="P391" i="9"/>
  <c r="AB391" i="9" s="1"/>
  <c r="AD391" i="9" s="1"/>
  <c r="P390" i="9"/>
  <c r="AB390" i="9" s="1"/>
  <c r="AD390" i="9" s="1"/>
  <c r="P393" i="9"/>
  <c r="AB393" i="9" s="1"/>
  <c r="P394" i="9"/>
  <c r="AB394" i="9" s="1"/>
  <c r="AD394" i="9" s="1"/>
  <c r="P392" i="9"/>
  <c r="AB392" i="9" s="1"/>
  <c r="AD392" i="9" s="1"/>
  <c r="P358" i="9"/>
  <c r="AB358" i="9" s="1"/>
  <c r="AD358" i="9" s="1"/>
  <c r="P357" i="9"/>
  <c r="AB357" i="9" s="1"/>
  <c r="P356" i="9"/>
  <c r="AB356" i="9" s="1"/>
  <c r="AD356" i="9" s="1"/>
  <c r="P355" i="9"/>
  <c r="AB355" i="9" s="1"/>
  <c r="AD355" i="9" s="1"/>
  <c r="P353" i="9"/>
  <c r="AB353" i="9" s="1"/>
  <c r="AD353" i="9" s="1"/>
  <c r="P354" i="9"/>
  <c r="AB354" i="9" s="1"/>
  <c r="AD354" i="9" s="1"/>
  <c r="P320" i="9"/>
  <c r="AB320" i="9" s="1"/>
  <c r="AD320" i="9" s="1"/>
  <c r="P321" i="9"/>
  <c r="AB321" i="9" s="1"/>
  <c r="AD321" i="9" s="1"/>
  <c r="P322" i="9"/>
  <c r="AB322" i="9" s="1"/>
  <c r="AD322" i="9" s="1"/>
  <c r="P319" i="9"/>
  <c r="AB319" i="9" s="1"/>
  <c r="P318" i="9"/>
  <c r="AB318" i="9" s="1"/>
  <c r="AD318" i="9" s="1"/>
  <c r="P317" i="9"/>
  <c r="AB317" i="9" s="1"/>
  <c r="AD317" i="9" s="1"/>
  <c r="P286" i="9"/>
  <c r="AB286" i="9" s="1"/>
  <c r="AD286" i="9" s="1"/>
  <c r="P285" i="9"/>
  <c r="AB285" i="9" s="1"/>
  <c r="AD285" i="9" s="1"/>
  <c r="P284" i="9"/>
  <c r="AB284" i="9" s="1"/>
  <c r="AD284" i="9" s="1"/>
  <c r="P281" i="9"/>
  <c r="AB281" i="9" s="1"/>
  <c r="P282" i="9"/>
  <c r="AB282" i="9" s="1"/>
  <c r="AD282" i="9" s="1"/>
  <c r="P283" i="9"/>
  <c r="AB283" i="9" s="1"/>
  <c r="P245" i="9"/>
  <c r="AB245" i="9" s="1"/>
  <c r="P247" i="9"/>
  <c r="AB247" i="9" s="1"/>
  <c r="AD247" i="9" s="1"/>
  <c r="P246" i="9"/>
  <c r="AB246" i="9" s="1"/>
  <c r="AD246" i="9" s="1"/>
  <c r="P249" i="9"/>
  <c r="AB249" i="9" s="1"/>
  <c r="P248" i="9"/>
  <c r="AB248" i="9" s="1"/>
  <c r="AD248" i="9" s="1"/>
  <c r="P250" i="9"/>
  <c r="AB250" i="9" s="1"/>
  <c r="P214" i="9"/>
  <c r="AB214" i="9" s="1"/>
  <c r="P212" i="9"/>
  <c r="AB212" i="9" s="1"/>
  <c r="AD212" i="9" s="1"/>
  <c r="P213" i="9"/>
  <c r="AB213" i="9" s="1"/>
  <c r="P211" i="9"/>
  <c r="AB211" i="9" s="1"/>
  <c r="AD211" i="9" s="1"/>
  <c r="P210" i="9"/>
  <c r="AB210" i="9" s="1"/>
  <c r="P209" i="9"/>
  <c r="AB209" i="9" s="1"/>
  <c r="AD209" i="9" s="1"/>
  <c r="P177" i="9"/>
  <c r="AB177" i="9" s="1"/>
  <c r="AD177" i="9" s="1"/>
  <c r="P176" i="9"/>
  <c r="AB176" i="9" s="1"/>
  <c r="AD176" i="9" s="1"/>
  <c r="P178" i="9"/>
  <c r="AB178" i="9" s="1"/>
  <c r="AD178" i="9" s="1"/>
  <c r="P174" i="9"/>
  <c r="AB174" i="9" s="1"/>
  <c r="AD174" i="9" s="1"/>
  <c r="P175" i="9"/>
  <c r="AB175" i="9" s="1"/>
  <c r="AD175" i="9" s="1"/>
  <c r="P173" i="9"/>
  <c r="AB173" i="9" s="1"/>
  <c r="AD173" i="9" s="1"/>
  <c r="F112" i="15"/>
  <c r="M31" i="44"/>
  <c r="I31" i="44"/>
  <c r="F102" i="15"/>
  <c r="F100" i="15"/>
  <c r="F101" i="15"/>
  <c r="F47" i="32"/>
  <c r="F48" i="32" s="1"/>
  <c r="P17" i="9"/>
  <c r="AB17" i="9" s="1"/>
  <c r="AD17" i="9" s="1"/>
  <c r="P19" i="9"/>
  <c r="AB19" i="9" s="1"/>
  <c r="AD19" i="9" s="1"/>
  <c r="P18" i="9"/>
  <c r="AB18" i="9" s="1"/>
  <c r="AD18" i="9" s="1"/>
  <c r="F122" i="15"/>
  <c r="F126" i="15"/>
  <c r="P160" i="9"/>
  <c r="AB160" i="9" s="1"/>
  <c r="AD160" i="9" s="1"/>
  <c r="P158" i="9"/>
  <c r="AB158" i="9" s="1"/>
  <c r="AD158" i="9" s="1"/>
  <c r="P159" i="9"/>
  <c r="AB159" i="9" s="1"/>
  <c r="AD159" i="9" s="1"/>
  <c r="P411" i="9"/>
  <c r="AB411" i="9" s="1"/>
  <c r="AD411" i="9" s="1"/>
  <c r="P410" i="9"/>
  <c r="AB410" i="9" s="1"/>
  <c r="AD410" i="9" s="1"/>
  <c r="P412" i="9"/>
  <c r="AB412" i="9" s="1"/>
  <c r="AD412" i="9" s="1"/>
  <c r="V11" i="45"/>
  <c r="V14" i="45" s="1"/>
  <c r="P519" i="9"/>
  <c r="AB519" i="9" s="1"/>
  <c r="AD519" i="9" s="1"/>
  <c r="P520" i="9"/>
  <c r="AB520" i="9" s="1"/>
  <c r="AD520" i="9" s="1"/>
  <c r="P518" i="9"/>
  <c r="AB518" i="9" s="1"/>
  <c r="AD518" i="9" s="1"/>
  <c r="P230" i="9"/>
  <c r="AB230" i="9" s="1"/>
  <c r="AD230" i="9" s="1"/>
  <c r="P231" i="9"/>
  <c r="AB231" i="9" s="1"/>
  <c r="AD231" i="9" s="1"/>
  <c r="P232" i="9"/>
  <c r="AB232" i="9" s="1"/>
  <c r="AD232" i="9" s="1"/>
  <c r="P556" i="9"/>
  <c r="AB556" i="9" s="1"/>
  <c r="AD556" i="9" s="1"/>
  <c r="P555" i="9"/>
  <c r="AB555" i="9" s="1"/>
  <c r="AD555" i="9" s="1"/>
  <c r="P554" i="9"/>
  <c r="AB554" i="9" s="1"/>
  <c r="AD554" i="9" s="1"/>
  <c r="P339" i="9"/>
  <c r="AB339" i="9" s="1"/>
  <c r="AD339" i="9" s="1"/>
  <c r="P340" i="9"/>
  <c r="AB340" i="9" s="1"/>
  <c r="AD340" i="9" s="1"/>
  <c r="P338" i="9"/>
  <c r="AB338" i="9" s="1"/>
  <c r="AD338" i="9" s="1"/>
  <c r="P196" i="9"/>
  <c r="AB196" i="9" s="1"/>
  <c r="AD196" i="9" s="1"/>
  <c r="P194" i="9"/>
  <c r="AB194" i="9" s="1"/>
  <c r="AD194" i="9" s="1"/>
  <c r="P195" i="9"/>
  <c r="AB195" i="9" s="1"/>
  <c r="AD195" i="9" s="1"/>
  <c r="P303" i="9"/>
  <c r="P304" i="9"/>
  <c r="P302" i="9"/>
  <c r="P446" i="9"/>
  <c r="AB446" i="9" s="1"/>
  <c r="AD446" i="9" s="1"/>
  <c r="P448" i="9"/>
  <c r="AB448" i="9" s="1"/>
  <c r="AD448" i="9" s="1"/>
  <c r="P447" i="9"/>
  <c r="AB447" i="9" s="1"/>
  <c r="AD447" i="9" s="1"/>
  <c r="P482" i="9"/>
  <c r="AB482" i="9" s="1"/>
  <c r="AD482" i="9" s="1"/>
  <c r="P484" i="9"/>
  <c r="AB484" i="9" s="1"/>
  <c r="AD484" i="9" s="1"/>
  <c r="P483" i="9"/>
  <c r="AB483" i="9" s="1"/>
  <c r="AD483" i="9" s="1"/>
  <c r="P375" i="9"/>
  <c r="AB375" i="9" s="1"/>
  <c r="AD375" i="9" s="1"/>
  <c r="P374" i="9"/>
  <c r="AB374" i="9" s="1"/>
  <c r="AD374" i="9" s="1"/>
  <c r="P376" i="9"/>
  <c r="AB376" i="9" s="1"/>
  <c r="AD376" i="9" s="1"/>
  <c r="P268" i="9"/>
  <c r="AB268" i="9" s="1"/>
  <c r="AD268" i="9" s="1"/>
  <c r="P266" i="9"/>
  <c r="AB266" i="9" s="1"/>
  <c r="AD266" i="9" s="1"/>
  <c r="P267" i="9"/>
  <c r="AB267" i="9" s="1"/>
  <c r="AD267" i="9" s="1"/>
  <c r="D7" i="15"/>
  <c r="D29" i="15"/>
  <c r="P161" i="9"/>
  <c r="AB161" i="9" s="1"/>
  <c r="AD161" i="9" s="1"/>
  <c r="P162" i="9"/>
  <c r="AB162" i="9" s="1"/>
  <c r="AD162" i="9" s="1"/>
  <c r="P163" i="9"/>
  <c r="AB163" i="9" s="1"/>
  <c r="AD163" i="9" s="1"/>
  <c r="P415" i="9"/>
  <c r="AB415" i="9" s="1"/>
  <c r="AD415" i="9" s="1"/>
  <c r="P414" i="9"/>
  <c r="AB414" i="9" s="1"/>
  <c r="AD414" i="9" s="1"/>
  <c r="P413" i="9"/>
  <c r="AB413" i="9" s="1"/>
  <c r="AD413" i="9" s="1"/>
  <c r="P521" i="9"/>
  <c r="AB521" i="9" s="1"/>
  <c r="AD521" i="9" s="1"/>
  <c r="P522" i="9"/>
  <c r="AB522" i="9" s="1"/>
  <c r="AD522" i="9" s="1"/>
  <c r="P523" i="9"/>
  <c r="AB523" i="9" s="1"/>
  <c r="AD523" i="9" s="1"/>
  <c r="P559" i="9"/>
  <c r="AB559" i="9" s="1"/>
  <c r="AD559" i="9" s="1"/>
  <c r="P557" i="9"/>
  <c r="AB557" i="9" s="1"/>
  <c r="AD557" i="9" s="1"/>
  <c r="P558" i="9"/>
  <c r="AB558" i="9" s="1"/>
  <c r="AD558" i="9" s="1"/>
  <c r="E7" i="15"/>
  <c r="E29" i="15"/>
  <c r="P526" i="9"/>
  <c r="AB526" i="9" s="1"/>
  <c r="AD526" i="9" s="1"/>
  <c r="P524" i="9"/>
  <c r="AB524" i="9" s="1"/>
  <c r="AD524" i="9" s="1"/>
  <c r="P525" i="9"/>
  <c r="AB525" i="9" s="1"/>
  <c r="AD525" i="9" s="1"/>
  <c r="P561" i="9"/>
  <c r="AB561" i="9" s="1"/>
  <c r="AD561" i="9" s="1"/>
  <c r="P560" i="9"/>
  <c r="AB560" i="9" s="1"/>
  <c r="AD560" i="9" s="1"/>
  <c r="P562" i="9"/>
  <c r="AB562" i="9" s="1"/>
  <c r="AD562" i="9" s="1"/>
  <c r="P234" i="9"/>
  <c r="AB234" i="9" s="1"/>
  <c r="AD234" i="9" s="1"/>
  <c r="P235" i="9"/>
  <c r="AB235" i="9" s="1"/>
  <c r="AD235" i="9" s="1"/>
  <c r="P233" i="9"/>
  <c r="AB233" i="9" s="1"/>
  <c r="AD233" i="9" s="1"/>
  <c r="P306" i="9"/>
  <c r="P307" i="9"/>
  <c r="P305" i="9"/>
  <c r="P452" i="9"/>
  <c r="AB452" i="9" s="1"/>
  <c r="AD452" i="9" s="1"/>
  <c r="P453" i="9"/>
  <c r="AB453" i="9" s="1"/>
  <c r="P454" i="9"/>
  <c r="AB454" i="9" s="1"/>
  <c r="AD454" i="9" s="1"/>
  <c r="P379" i="9"/>
  <c r="AB379" i="9" s="1"/>
  <c r="AD379" i="9" s="1"/>
  <c r="P378" i="9"/>
  <c r="AB378" i="9" s="1"/>
  <c r="AD378" i="9" s="1"/>
  <c r="P377" i="9"/>
  <c r="AB377" i="9" s="1"/>
  <c r="AD377" i="9" s="1"/>
  <c r="P488" i="9"/>
  <c r="AB488" i="9" s="1"/>
  <c r="AD488" i="9" s="1"/>
  <c r="P489" i="9"/>
  <c r="AB489" i="9" s="1"/>
  <c r="P490" i="9"/>
  <c r="AB490" i="9" s="1"/>
  <c r="AD490" i="9" s="1"/>
  <c r="P199" i="9"/>
  <c r="AB199" i="9" s="1"/>
  <c r="AD199" i="9" s="1"/>
  <c r="P197" i="9"/>
  <c r="AB197" i="9" s="1"/>
  <c r="AD197" i="9" s="1"/>
  <c r="P198" i="9"/>
  <c r="AB198" i="9" s="1"/>
  <c r="AD198" i="9" s="1"/>
  <c r="P269" i="9"/>
  <c r="AB269" i="9" s="1"/>
  <c r="AD269" i="9" s="1"/>
  <c r="P270" i="9"/>
  <c r="AB270" i="9" s="1"/>
  <c r="AD270" i="9" s="1"/>
  <c r="P271" i="9"/>
  <c r="AB271" i="9" s="1"/>
  <c r="AD271" i="9" s="1"/>
  <c r="P341" i="9"/>
  <c r="AB341" i="9" s="1"/>
  <c r="AD341" i="9" s="1"/>
  <c r="P342" i="9"/>
  <c r="AB342" i="9" s="1"/>
  <c r="AD342" i="9" s="1"/>
  <c r="P343" i="9"/>
  <c r="AB343" i="9" s="1"/>
  <c r="AD343" i="9" s="1"/>
  <c r="P449" i="9"/>
  <c r="AB449" i="9" s="1"/>
  <c r="AD449" i="9" s="1"/>
  <c r="P451" i="9"/>
  <c r="AB451" i="9" s="1"/>
  <c r="AD451" i="9" s="1"/>
  <c r="P450" i="9"/>
  <c r="AB450" i="9" s="1"/>
  <c r="AD450" i="9" s="1"/>
  <c r="P487" i="9"/>
  <c r="AB487" i="9" s="1"/>
  <c r="AD487" i="9" s="1"/>
  <c r="P485" i="9"/>
  <c r="AB485" i="9" s="1"/>
  <c r="AD485" i="9" s="1"/>
  <c r="P486" i="9"/>
  <c r="AB486" i="9" s="1"/>
  <c r="AD486" i="9" s="1"/>
  <c r="P509" i="9"/>
  <c r="AB509" i="9" s="1"/>
  <c r="AD509" i="9" s="1"/>
  <c r="P510" i="9"/>
  <c r="AB510" i="9" s="1"/>
  <c r="AD510" i="9" s="1"/>
  <c r="P511" i="9"/>
  <c r="AB511" i="9" s="1"/>
  <c r="AD511" i="9" s="1"/>
  <c r="P550" i="9"/>
  <c r="AB550" i="9" s="1"/>
  <c r="AD550" i="9" s="1"/>
  <c r="P548" i="9"/>
  <c r="AB548" i="9" s="1"/>
  <c r="AD548" i="9" s="1"/>
  <c r="P549" i="9"/>
  <c r="AB549" i="9" s="1"/>
  <c r="AD549" i="9" s="1"/>
  <c r="P476" i="9"/>
  <c r="AB476" i="9" s="1"/>
  <c r="AD476" i="9" s="1"/>
  <c r="P477" i="9"/>
  <c r="P478" i="9"/>
  <c r="AB478" i="9" s="1"/>
  <c r="AD478" i="9" s="1"/>
  <c r="P514" i="9"/>
  <c r="AB514" i="9" s="1"/>
  <c r="AD514" i="9" s="1"/>
  <c r="P512" i="9"/>
  <c r="AB512" i="9" s="1"/>
  <c r="AD512" i="9" s="1"/>
  <c r="P513" i="9"/>
  <c r="AB513" i="9" s="1"/>
  <c r="P545" i="9"/>
  <c r="AB545" i="9" s="1"/>
  <c r="AD545" i="9" s="1"/>
  <c r="P547" i="9"/>
  <c r="AB547" i="9" s="1"/>
  <c r="AD547" i="9" s="1"/>
  <c r="P546" i="9"/>
  <c r="AB546" i="9" s="1"/>
  <c r="AD546" i="9" s="1"/>
  <c r="P473" i="9"/>
  <c r="AB473" i="9" s="1"/>
  <c r="AD473" i="9" s="1"/>
  <c r="P475" i="9"/>
  <c r="AB475" i="9" s="1"/>
  <c r="AD475" i="9" s="1"/>
  <c r="P474" i="9"/>
  <c r="AB474" i="9" s="1"/>
  <c r="AD474" i="9" s="1"/>
  <c r="P439" i="9"/>
  <c r="AB439" i="9" s="1"/>
  <c r="AD439" i="9" s="1"/>
  <c r="P437" i="9"/>
  <c r="AB437" i="9" s="1"/>
  <c r="AD437" i="9" s="1"/>
  <c r="P438" i="9"/>
  <c r="AB438" i="9" s="1"/>
  <c r="AD438" i="9" s="1"/>
  <c r="P440" i="9"/>
  <c r="AB440" i="9" s="1"/>
  <c r="AD440" i="9" s="1"/>
  <c r="P441" i="9"/>
  <c r="AB441" i="9" s="1"/>
  <c r="P442" i="9"/>
  <c r="AB442" i="9" s="1"/>
  <c r="AD442" i="9" s="1"/>
  <c r="P403" i="9"/>
  <c r="AB403" i="9" s="1"/>
  <c r="AD403" i="9" s="1"/>
  <c r="P401" i="9"/>
  <c r="AB401" i="9" s="1"/>
  <c r="AD401" i="9" s="1"/>
  <c r="P402" i="9"/>
  <c r="AB402" i="9" s="1"/>
  <c r="AD402" i="9" s="1"/>
  <c r="P405" i="9"/>
  <c r="AB405" i="9" s="1"/>
  <c r="P406" i="9"/>
  <c r="AB406" i="9" s="1"/>
  <c r="AD406" i="9" s="1"/>
  <c r="P404" i="9"/>
  <c r="AB404" i="9" s="1"/>
  <c r="AD404" i="9" s="1"/>
  <c r="P368" i="9"/>
  <c r="AB368" i="9" s="1"/>
  <c r="AD368" i="9" s="1"/>
  <c r="P370" i="9"/>
  <c r="AB370" i="9" s="1"/>
  <c r="AD370" i="9" s="1"/>
  <c r="P369" i="9"/>
  <c r="AB369" i="9" s="1"/>
  <c r="P367" i="9"/>
  <c r="AB367" i="9" s="1"/>
  <c r="AD367" i="9" s="1"/>
  <c r="P366" i="9"/>
  <c r="AB366" i="9" s="1"/>
  <c r="AD366" i="9" s="1"/>
  <c r="P365" i="9"/>
  <c r="AB365" i="9" s="1"/>
  <c r="AD365" i="9" s="1"/>
  <c r="P329" i="9"/>
  <c r="AB329" i="9" s="1"/>
  <c r="AD329" i="9" s="1"/>
  <c r="P330" i="9"/>
  <c r="AB330" i="9" s="1"/>
  <c r="AD330" i="9" s="1"/>
  <c r="P331" i="9"/>
  <c r="AB331" i="9" s="1"/>
  <c r="AD331" i="9" s="1"/>
  <c r="P333" i="9"/>
  <c r="AB333" i="9" s="1"/>
  <c r="P334" i="9"/>
  <c r="AB334" i="9" s="1"/>
  <c r="AD334" i="9" s="1"/>
  <c r="P332" i="9"/>
  <c r="AB332" i="9" s="1"/>
  <c r="AD332" i="9" s="1"/>
  <c r="P298" i="9"/>
  <c r="AB298" i="9" s="1"/>
  <c r="AD298" i="9" s="1"/>
  <c r="P297" i="9"/>
  <c r="AB297" i="9" s="1"/>
  <c r="P296" i="9"/>
  <c r="AB296" i="9" s="1"/>
  <c r="AD296" i="9" s="1"/>
  <c r="P294" i="9"/>
  <c r="AB294" i="9" s="1"/>
  <c r="AD294" i="9" s="1"/>
  <c r="P293" i="9"/>
  <c r="AB293" i="9" s="1"/>
  <c r="AD293" i="9" s="1"/>
  <c r="P295" i="9"/>
  <c r="AB295" i="9" s="1"/>
  <c r="AD295" i="9" s="1"/>
  <c r="P262" i="9"/>
  <c r="AB262" i="9" s="1"/>
  <c r="AD262" i="9" s="1"/>
  <c r="P260" i="9"/>
  <c r="AB260" i="9" s="1"/>
  <c r="AD260" i="9" s="1"/>
  <c r="P261" i="9"/>
  <c r="AB261" i="9" s="1"/>
  <c r="P257" i="9"/>
  <c r="AB257" i="9" s="1"/>
  <c r="AD257" i="9" s="1"/>
  <c r="P258" i="9"/>
  <c r="AB258" i="9" s="1"/>
  <c r="AD258" i="9" s="1"/>
  <c r="P259" i="9"/>
  <c r="AB259" i="9" s="1"/>
  <c r="AD259" i="9" s="1"/>
  <c r="P225" i="9"/>
  <c r="AB225" i="9" s="1"/>
  <c r="AD225" i="9" s="1"/>
  <c r="P226" i="9"/>
  <c r="AB226" i="9" s="1"/>
  <c r="AD226" i="9" s="1"/>
  <c r="P224" i="9"/>
  <c r="AB224" i="9" s="1"/>
  <c r="AD224" i="9" s="1"/>
  <c r="P221" i="9"/>
  <c r="AB221" i="9" s="1"/>
  <c r="AD221" i="9" s="1"/>
  <c r="P223" i="9"/>
  <c r="AB223" i="9" s="1"/>
  <c r="AD223" i="9" s="1"/>
  <c r="P222" i="9"/>
  <c r="AB222" i="9" s="1"/>
  <c r="AD222" i="9" s="1"/>
  <c r="P190" i="9"/>
  <c r="AB190" i="9" s="1"/>
  <c r="AD190" i="9" s="1"/>
  <c r="P189" i="9"/>
  <c r="AB189" i="9" s="1"/>
  <c r="AD189" i="9" s="1"/>
  <c r="P188" i="9"/>
  <c r="AB188" i="9" s="1"/>
  <c r="AD188" i="9" s="1"/>
  <c r="P187" i="9"/>
  <c r="AB187" i="9" s="1"/>
  <c r="AD187" i="9" s="1"/>
  <c r="P186" i="9"/>
  <c r="AB186" i="9" s="1"/>
  <c r="AD186" i="9" s="1"/>
  <c r="P185" i="9"/>
  <c r="AB185" i="9" s="1"/>
  <c r="AD185" i="9" s="1"/>
  <c r="P153" i="9"/>
  <c r="AB153" i="9" s="1"/>
  <c r="AH602" i="9" s="1"/>
  <c r="P152" i="9"/>
  <c r="AB152" i="9" s="1"/>
  <c r="AD152" i="9" s="1"/>
  <c r="P154" i="9"/>
  <c r="AB154" i="9" s="1"/>
  <c r="AD154" i="9" s="1"/>
  <c r="P150" i="9"/>
  <c r="AB150" i="9" s="1"/>
  <c r="AD150" i="9" s="1"/>
  <c r="P149" i="9"/>
  <c r="AB149" i="9" s="1"/>
  <c r="P151" i="9"/>
  <c r="AB151" i="9" s="1"/>
  <c r="AD151" i="9" s="1"/>
  <c r="P274" i="9"/>
  <c r="AB274" i="9" s="1"/>
  <c r="AD274" i="9" s="1"/>
  <c r="P273" i="9"/>
  <c r="AB273" i="9" s="1"/>
  <c r="P272" i="9"/>
  <c r="AB272" i="9" s="1"/>
  <c r="AD272" i="9" s="1"/>
  <c r="P21" i="9"/>
  <c r="AB21" i="9" s="1"/>
  <c r="AD21" i="9" s="1"/>
  <c r="P22" i="9"/>
  <c r="AB22" i="9" s="1"/>
  <c r="AD22" i="9" s="1"/>
  <c r="P20" i="9"/>
  <c r="AB20" i="9" s="1"/>
  <c r="AD20" i="9" s="1"/>
  <c r="P201" i="9"/>
  <c r="AB201" i="9" s="1"/>
  <c r="AD201" i="9" s="1"/>
  <c r="P200" i="9"/>
  <c r="AB200" i="9" s="1"/>
  <c r="AD200" i="9" s="1"/>
  <c r="P202" i="9"/>
  <c r="AB202" i="9" s="1"/>
  <c r="AD202" i="9" s="1"/>
  <c r="P238" i="9"/>
  <c r="AB238" i="9" s="1"/>
  <c r="AD238" i="9" s="1"/>
  <c r="P237" i="9"/>
  <c r="AB237" i="9" s="1"/>
  <c r="AD237" i="9" s="1"/>
  <c r="P236" i="9"/>
  <c r="AB236" i="9" s="1"/>
  <c r="AD236" i="9" s="1"/>
  <c r="V12" i="45"/>
  <c r="P129" i="9"/>
  <c r="AB129" i="9" s="1"/>
  <c r="AD129" i="9" s="1"/>
  <c r="P130" i="9"/>
  <c r="AB130" i="9" s="1"/>
  <c r="AD130" i="9" s="1"/>
  <c r="P128" i="9"/>
  <c r="AB128" i="9" s="1"/>
  <c r="AD128" i="9" s="1"/>
  <c r="P310" i="9"/>
  <c r="AB310" i="9" s="1"/>
  <c r="AD310" i="9" s="1"/>
  <c r="P309" i="9"/>
  <c r="AB309" i="9" s="1"/>
  <c r="AD309" i="9" s="1"/>
  <c r="P308" i="9"/>
  <c r="AB308" i="9" s="1"/>
  <c r="AD308" i="9" s="1"/>
  <c r="P57" i="9"/>
  <c r="AB57" i="9" s="1"/>
  <c r="AD57" i="9" s="1"/>
  <c r="P58" i="9"/>
  <c r="AB58" i="9" s="1"/>
  <c r="AD58" i="9" s="1"/>
  <c r="P56" i="9"/>
  <c r="AB56" i="9" s="1"/>
  <c r="AD56" i="9" s="1"/>
  <c r="P345" i="9"/>
  <c r="AB345" i="9" s="1"/>
  <c r="P344" i="9"/>
  <c r="AB344" i="9" s="1"/>
  <c r="AD344" i="9" s="1"/>
  <c r="P346" i="9"/>
  <c r="AB346" i="9" s="1"/>
  <c r="AD346" i="9" s="1"/>
  <c r="P93" i="9"/>
  <c r="AB93" i="9" s="1"/>
  <c r="AD93" i="9" s="1"/>
  <c r="P92" i="9"/>
  <c r="AB92" i="9" s="1"/>
  <c r="AD92" i="9" s="1"/>
  <c r="P94" i="9"/>
  <c r="AB94" i="9" s="1"/>
  <c r="AD94" i="9" s="1"/>
  <c r="P97" i="9"/>
  <c r="P96" i="9"/>
  <c r="AB96" i="9" s="1"/>
  <c r="AD96" i="9" s="1"/>
  <c r="P95" i="9"/>
  <c r="AB95" i="9" s="1"/>
  <c r="AD95" i="9" s="1"/>
  <c r="P133" i="9"/>
  <c r="AB133" i="9" s="1"/>
  <c r="AD133" i="9" s="1"/>
  <c r="P131" i="9"/>
  <c r="AB131" i="9" s="1"/>
  <c r="AD131" i="9" s="1"/>
  <c r="P132" i="9"/>
  <c r="AB132" i="9" s="1"/>
  <c r="AD132" i="9" s="1"/>
  <c r="P61" i="9"/>
  <c r="P59" i="9"/>
  <c r="AB59" i="9" s="1"/>
  <c r="AD59" i="9" s="1"/>
  <c r="P60" i="9"/>
  <c r="AB60" i="9" s="1"/>
  <c r="AD60" i="9" s="1"/>
  <c r="P166" i="9"/>
  <c r="AB166" i="9" s="1"/>
  <c r="AD166" i="9" s="1"/>
  <c r="P165" i="9"/>
  <c r="AB165" i="9" s="1"/>
  <c r="P164" i="9"/>
  <c r="AB164" i="9" s="1"/>
  <c r="AD164" i="9" s="1"/>
  <c r="P382" i="9"/>
  <c r="AB382" i="9" s="1"/>
  <c r="AD382" i="9" s="1"/>
  <c r="P381" i="9"/>
  <c r="AB381" i="9" s="1"/>
  <c r="P380" i="9"/>
  <c r="AB380" i="9" s="1"/>
  <c r="AD380" i="9" s="1"/>
  <c r="P417" i="9"/>
  <c r="AB417" i="9" s="1"/>
  <c r="AD417" i="9" s="1"/>
  <c r="P416" i="9"/>
  <c r="AB416" i="9" s="1"/>
  <c r="AD416" i="9" s="1"/>
  <c r="P418" i="9"/>
  <c r="AB418" i="9" s="1"/>
  <c r="AD418" i="9" s="1"/>
  <c r="K12" i="45"/>
  <c r="K15" i="45" s="1"/>
  <c r="L12" i="45"/>
  <c r="L15" i="45" s="1"/>
  <c r="J12" i="45"/>
  <c r="J15" i="45" s="1"/>
  <c r="AH140" i="9" l="1"/>
  <c r="AL140" i="9" s="1"/>
  <c r="AD140" i="9"/>
  <c r="AH142" i="9"/>
  <c r="AM142" i="9" s="1"/>
  <c r="AH141" i="9"/>
  <c r="AL141" i="9" s="1"/>
  <c r="AD142" i="9"/>
  <c r="V15" i="45"/>
  <c r="AB305" i="9"/>
  <c r="AD305" i="9" s="1"/>
  <c r="AB302" i="9"/>
  <c r="AD302" i="9" s="1"/>
  <c r="AB307" i="9"/>
  <c r="AD307" i="9" s="1"/>
  <c r="AB304" i="9"/>
  <c r="AD304" i="9" s="1"/>
  <c r="AB306" i="9"/>
  <c r="AD306" i="9" s="1"/>
  <c r="AB303" i="9"/>
  <c r="AD303" i="9" s="1"/>
  <c r="AH609" i="9"/>
  <c r="AL609" i="9" s="1"/>
  <c r="P66" i="41" s="1"/>
  <c r="AH605" i="9"/>
  <c r="AM605" i="9" s="1"/>
  <c r="K66" i="25" s="1"/>
  <c r="AD605" i="9"/>
  <c r="AD609" i="9"/>
  <c r="AH610" i="9"/>
  <c r="AM610" i="9" s="1"/>
  <c r="Q66" i="25" s="1"/>
  <c r="AH607" i="9"/>
  <c r="AL607" i="9" s="1"/>
  <c r="M66" i="41" s="1"/>
  <c r="AD607" i="9"/>
  <c r="AD149" i="9"/>
  <c r="AM602" i="9"/>
  <c r="AL602" i="9"/>
  <c r="AH608" i="9"/>
  <c r="AL608" i="9" s="1"/>
  <c r="O66" i="41" s="1"/>
  <c r="AH606" i="9"/>
  <c r="AL606" i="9" s="1"/>
  <c r="L66" i="41" s="1"/>
  <c r="AD610" i="9"/>
  <c r="AH569" i="9"/>
  <c r="AM569" i="9" s="1"/>
  <c r="AH574" i="9"/>
  <c r="AM574" i="9" s="1"/>
  <c r="AD569" i="9"/>
  <c r="AH571" i="9"/>
  <c r="AL571" i="9" s="1"/>
  <c r="AH572" i="9"/>
  <c r="AM572" i="9" s="1"/>
  <c r="AH570" i="9"/>
  <c r="AL570" i="9" s="1"/>
  <c r="AH573" i="9"/>
  <c r="AM573" i="9" s="1"/>
  <c r="AD573" i="9"/>
  <c r="AH533" i="9"/>
  <c r="AL533" i="9" s="1"/>
  <c r="AH538" i="9"/>
  <c r="AL538" i="9" s="1"/>
  <c r="AH535" i="9"/>
  <c r="AI535" i="9" s="1"/>
  <c r="AJ535" i="9" s="1"/>
  <c r="AH536" i="9"/>
  <c r="AM536" i="9" s="1"/>
  <c r="AD533" i="9"/>
  <c r="AD536" i="9"/>
  <c r="AH534" i="9"/>
  <c r="AL534" i="9" s="1"/>
  <c r="AH537" i="9"/>
  <c r="AM537" i="9" s="1"/>
  <c r="AD538" i="9"/>
  <c r="AH497" i="9"/>
  <c r="AL497" i="9" s="1"/>
  <c r="AH501" i="9"/>
  <c r="AM501" i="9" s="1"/>
  <c r="AH498" i="9"/>
  <c r="AM498" i="9" s="1"/>
  <c r="AH500" i="9"/>
  <c r="AM500" i="9" s="1"/>
  <c r="AD497" i="9"/>
  <c r="AD500" i="9"/>
  <c r="AD498" i="9"/>
  <c r="AH499" i="9"/>
  <c r="AL499" i="9" s="1"/>
  <c r="AH502" i="9"/>
  <c r="AL502" i="9" s="1"/>
  <c r="AD501" i="9"/>
  <c r="AH466" i="9"/>
  <c r="AL466" i="9" s="1"/>
  <c r="AH462" i="9"/>
  <c r="AM462" i="9" s="1"/>
  <c r="AD462" i="9"/>
  <c r="AH464" i="9"/>
  <c r="AL464" i="9" s="1"/>
  <c r="AH463" i="9"/>
  <c r="AM463" i="9" s="1"/>
  <c r="AD464" i="9"/>
  <c r="AD463" i="9"/>
  <c r="AH461" i="9"/>
  <c r="AL461" i="9" s="1"/>
  <c r="AH465" i="9"/>
  <c r="AL465" i="9" s="1"/>
  <c r="AD466" i="9"/>
  <c r="AH427" i="9"/>
  <c r="AM427" i="9" s="1"/>
  <c r="AD427" i="9"/>
  <c r="AH430" i="9"/>
  <c r="AM430" i="9" s="1"/>
  <c r="AH425" i="9"/>
  <c r="AM425" i="9" s="1"/>
  <c r="AD430" i="9"/>
  <c r="AH429" i="9"/>
  <c r="AL429" i="9" s="1"/>
  <c r="AH426" i="9"/>
  <c r="AM426" i="9" s="1"/>
  <c r="AD426" i="9"/>
  <c r="AH428" i="9"/>
  <c r="AM428" i="9" s="1"/>
  <c r="AH393" i="9"/>
  <c r="AM393" i="9" s="1"/>
  <c r="AH389" i="9"/>
  <c r="AM389" i="9" s="1"/>
  <c r="AD389" i="9"/>
  <c r="AH392" i="9"/>
  <c r="AL392" i="9" s="1"/>
  <c r="AH390" i="9"/>
  <c r="AL390" i="9" s="1"/>
  <c r="AH394" i="9"/>
  <c r="AL394" i="9" s="1"/>
  <c r="AH391" i="9"/>
  <c r="AL391" i="9" s="1"/>
  <c r="AD393" i="9"/>
  <c r="AH354" i="9"/>
  <c r="AL354" i="9" s="1"/>
  <c r="AH356" i="9"/>
  <c r="AM356" i="9" s="1"/>
  <c r="AH353" i="9"/>
  <c r="AL353" i="9" s="1"/>
  <c r="AH357" i="9"/>
  <c r="AL357" i="9" s="1"/>
  <c r="AH355" i="9"/>
  <c r="AL355" i="9" s="1"/>
  <c r="AH358" i="9"/>
  <c r="AM358" i="9" s="1"/>
  <c r="AD357" i="9"/>
  <c r="AH317" i="9"/>
  <c r="AM317" i="9" s="1"/>
  <c r="AH322" i="9"/>
  <c r="AL322" i="9" s="1"/>
  <c r="AH318" i="9"/>
  <c r="AL318" i="9" s="1"/>
  <c r="AH321" i="9"/>
  <c r="AM321" i="9" s="1"/>
  <c r="AH319" i="9"/>
  <c r="AL319" i="9" s="1"/>
  <c r="AD319" i="9"/>
  <c r="AH320" i="9"/>
  <c r="AM320" i="9" s="1"/>
  <c r="AH282" i="9"/>
  <c r="AL282" i="9" s="1"/>
  <c r="AH281" i="9"/>
  <c r="AL281" i="9" s="1"/>
  <c r="AH284" i="9"/>
  <c r="AL284" i="9" s="1"/>
  <c r="AD281" i="9"/>
  <c r="AH285" i="9"/>
  <c r="AM285" i="9" s="1"/>
  <c r="AH283" i="9"/>
  <c r="AM283" i="9" s="1"/>
  <c r="AD283" i="9"/>
  <c r="AI284" i="9" s="1"/>
  <c r="AJ284" i="9" s="1"/>
  <c r="AH286" i="9"/>
  <c r="AL286" i="9" s="1"/>
  <c r="AH249" i="9"/>
  <c r="AM249" i="9" s="1"/>
  <c r="AH245" i="9"/>
  <c r="AL245" i="9" s="1"/>
  <c r="AD245" i="9"/>
  <c r="AD249" i="9"/>
  <c r="AH250" i="9"/>
  <c r="AM250" i="9" s="1"/>
  <c r="AH246" i="9"/>
  <c r="AM246" i="9" s="1"/>
  <c r="AH248" i="9"/>
  <c r="AM248" i="9" s="1"/>
  <c r="AH247" i="9"/>
  <c r="AL247" i="9" s="1"/>
  <c r="AD250" i="9"/>
  <c r="AH209" i="9"/>
  <c r="AL209" i="9" s="1"/>
  <c r="AH213" i="9"/>
  <c r="AL213" i="9" s="1"/>
  <c r="AD213" i="9"/>
  <c r="AH210" i="9"/>
  <c r="AM210" i="9" s="1"/>
  <c r="AH212" i="9"/>
  <c r="AL212" i="9" s="1"/>
  <c r="AD210" i="9"/>
  <c r="AH211" i="9"/>
  <c r="AL211" i="9" s="1"/>
  <c r="AH214" i="9"/>
  <c r="AM214" i="9" s="1"/>
  <c r="AD214" i="9"/>
  <c r="AH173" i="9"/>
  <c r="AL173" i="9" s="1"/>
  <c r="AH178" i="9"/>
  <c r="AM178" i="9" s="1"/>
  <c r="AH175" i="9"/>
  <c r="AL175" i="9" s="1"/>
  <c r="AH176" i="9"/>
  <c r="AL176" i="9" s="1"/>
  <c r="AH174" i="9"/>
  <c r="AM174" i="9" s="1"/>
  <c r="AH177" i="9"/>
  <c r="AL177" i="9" s="1"/>
  <c r="AD489" i="9"/>
  <c r="AH118" i="9"/>
  <c r="AD453" i="9"/>
  <c r="AH106" i="9"/>
  <c r="AD405" i="9"/>
  <c r="AH90" i="9"/>
  <c r="AI90" i="9" s="1"/>
  <c r="AJ90" i="9" s="1"/>
  <c r="AD513" i="9"/>
  <c r="AH126" i="9"/>
  <c r="AI126" i="9" s="1"/>
  <c r="AJ126" i="9" s="1"/>
  <c r="AD441" i="9"/>
  <c r="AH102" i="9"/>
  <c r="AD369" i="9"/>
  <c r="AH78" i="9"/>
  <c r="AD381" i="9"/>
  <c r="AH82" i="9"/>
  <c r="AD345" i="9"/>
  <c r="AH70" i="9"/>
  <c r="AD333" i="9"/>
  <c r="AH66" i="9"/>
  <c r="AD297" i="9"/>
  <c r="AH54" i="9"/>
  <c r="AI54" i="9" s="1"/>
  <c r="AJ54" i="9" s="1"/>
  <c r="AD261" i="9"/>
  <c r="AH42" i="9"/>
  <c r="AD273" i="9"/>
  <c r="AH46" i="9"/>
  <c r="AD165" i="9"/>
  <c r="AH10" i="9"/>
  <c r="AD153" i="9"/>
  <c r="AI602" i="9" s="1"/>
  <c r="AJ602" i="9" s="1"/>
  <c r="AH6" i="9"/>
  <c r="AB61" i="9"/>
  <c r="AD61" i="9" s="1"/>
  <c r="AB97" i="9"/>
  <c r="AD97" i="9" s="1"/>
  <c r="AH122" i="9"/>
  <c r="AI122" i="9" s="1"/>
  <c r="AJ122" i="9" s="1"/>
  <c r="AB477" i="9"/>
  <c r="AH19" i="9"/>
  <c r="AL19" i="9" s="1"/>
  <c r="AH18" i="9"/>
  <c r="AM18" i="9" s="1"/>
  <c r="AH17" i="9"/>
  <c r="AM17" i="9" s="1"/>
  <c r="E23" i="15"/>
  <c r="AH375" i="9"/>
  <c r="AM375" i="9" s="1"/>
  <c r="AH268" i="9"/>
  <c r="AL268" i="9" s="1"/>
  <c r="AH376" i="9"/>
  <c r="AM376" i="9" s="1"/>
  <c r="AH483" i="9"/>
  <c r="AL483" i="9" s="1"/>
  <c r="AH340" i="9"/>
  <c r="AL340" i="9" s="1"/>
  <c r="AH555" i="9"/>
  <c r="AL555" i="9" s="1"/>
  <c r="AH159" i="9"/>
  <c r="AM159" i="9" s="1"/>
  <c r="AH520" i="9"/>
  <c r="AL520" i="9" s="1"/>
  <c r="AH484" i="9"/>
  <c r="AL484" i="9" s="1"/>
  <c r="AH447" i="9"/>
  <c r="AM447" i="9" s="1"/>
  <c r="AH160" i="9"/>
  <c r="AL160" i="9" s="1"/>
  <c r="AH196" i="9"/>
  <c r="AL196" i="9" s="1"/>
  <c r="AH339" i="9"/>
  <c r="AM339" i="9" s="1"/>
  <c r="AH556" i="9"/>
  <c r="AM556" i="9" s="1"/>
  <c r="AH412" i="9"/>
  <c r="AM412" i="9" s="1"/>
  <c r="AH195" i="9"/>
  <c r="AL195" i="9" s="1"/>
  <c r="AH448" i="9"/>
  <c r="AM448" i="9" s="1"/>
  <c r="AH232" i="9"/>
  <c r="AM232" i="9" s="1"/>
  <c r="AH267" i="9"/>
  <c r="AL267" i="9" s="1"/>
  <c r="AH519" i="9"/>
  <c r="AM519" i="9" s="1"/>
  <c r="AH231" i="9"/>
  <c r="AM231" i="9" s="1"/>
  <c r="AH411" i="9"/>
  <c r="AL411" i="9" s="1"/>
  <c r="AH450" i="9"/>
  <c r="AM450" i="9" s="1"/>
  <c r="AH488" i="9"/>
  <c r="AL488" i="9" s="1"/>
  <c r="AH486" i="9"/>
  <c r="AL486" i="9" s="1"/>
  <c r="AH451" i="9"/>
  <c r="AL451" i="9" s="1"/>
  <c r="AH454" i="9"/>
  <c r="AL454" i="9" s="1"/>
  <c r="AH562" i="9"/>
  <c r="AL562" i="9" s="1"/>
  <c r="AH524" i="9"/>
  <c r="AL524" i="9" s="1"/>
  <c r="AH557" i="9"/>
  <c r="AM557" i="9" s="1"/>
  <c r="AH521" i="9"/>
  <c r="AL521" i="9" s="1"/>
  <c r="AH449" i="9"/>
  <c r="AL449" i="9" s="1"/>
  <c r="AH490" i="9"/>
  <c r="AM490" i="9" s="1"/>
  <c r="AH560" i="9"/>
  <c r="AM560" i="9" s="1"/>
  <c r="AH526" i="9"/>
  <c r="AL526" i="9" s="1"/>
  <c r="AH487" i="9"/>
  <c r="AL487" i="9" s="1"/>
  <c r="AH489" i="9"/>
  <c r="AL489" i="9" s="1"/>
  <c r="AH452" i="9"/>
  <c r="AL452" i="9" s="1"/>
  <c r="AH559" i="9"/>
  <c r="AL559" i="9" s="1"/>
  <c r="AH343" i="9"/>
  <c r="AL343" i="9" s="1"/>
  <c r="AH271" i="9"/>
  <c r="AM271" i="9" s="1"/>
  <c r="AH198" i="9"/>
  <c r="AL198" i="9" s="1"/>
  <c r="AH453" i="9"/>
  <c r="AM453" i="9" s="1"/>
  <c r="AH522" i="9"/>
  <c r="AL522" i="9" s="1"/>
  <c r="AH523" i="9"/>
  <c r="AM523" i="9" s="1"/>
  <c r="AH162" i="9"/>
  <c r="AM162" i="9" s="1"/>
  <c r="AH342" i="9"/>
  <c r="AL342" i="9" s="1"/>
  <c r="AH270" i="9"/>
  <c r="AL270" i="9" s="1"/>
  <c r="AH197" i="9"/>
  <c r="AL197" i="9" s="1"/>
  <c r="AH561" i="9"/>
  <c r="AL561" i="9" s="1"/>
  <c r="AH377" i="9"/>
  <c r="AM377" i="9" s="1"/>
  <c r="AH233" i="9"/>
  <c r="AL233" i="9" s="1"/>
  <c r="J29" i="15"/>
  <c r="O29" i="15"/>
  <c r="AH413" i="9"/>
  <c r="AM413" i="9" s="1"/>
  <c r="AH161" i="9"/>
  <c r="AM161" i="9" s="1"/>
  <c r="AH485" i="9"/>
  <c r="AL485" i="9" s="1"/>
  <c r="AH341" i="9"/>
  <c r="AL341" i="9" s="1"/>
  <c r="AH269" i="9"/>
  <c r="AM269" i="9" s="1"/>
  <c r="AH199" i="9"/>
  <c r="AL199" i="9" s="1"/>
  <c r="AH378" i="9"/>
  <c r="AM378" i="9" s="1"/>
  <c r="AH558" i="9"/>
  <c r="AM558" i="9" s="1"/>
  <c r="AH235" i="9"/>
  <c r="AM235" i="9" s="1"/>
  <c r="AH525" i="9"/>
  <c r="AL525" i="9" s="1"/>
  <c r="J7" i="15"/>
  <c r="O7" i="15"/>
  <c r="O23" i="15" s="1"/>
  <c r="AH414" i="9"/>
  <c r="AM414" i="9" s="1"/>
  <c r="I29" i="15"/>
  <c r="N29" i="15"/>
  <c r="AH379" i="9"/>
  <c r="AM379" i="9" s="1"/>
  <c r="AH234" i="9"/>
  <c r="AL234" i="9" s="1"/>
  <c r="AH415" i="9"/>
  <c r="AM415" i="9" s="1"/>
  <c r="AH163" i="9"/>
  <c r="AL163" i="9" s="1"/>
  <c r="I7" i="15"/>
  <c r="N7" i="15"/>
  <c r="N23" i="15" s="1"/>
  <c r="AH166" i="9"/>
  <c r="AL166" i="9" s="1"/>
  <c r="AH132" i="9"/>
  <c r="AL132" i="9" s="1"/>
  <c r="AH237" i="9"/>
  <c r="AM237" i="9" s="1"/>
  <c r="AH201" i="9"/>
  <c r="AL201" i="9" s="1"/>
  <c r="AH416" i="9"/>
  <c r="AM416" i="9" s="1"/>
  <c r="AH60" i="9"/>
  <c r="AM60" i="9" s="1"/>
  <c r="AH59" i="9"/>
  <c r="AL59" i="9" s="1"/>
  <c r="AH95" i="9"/>
  <c r="AM95" i="9" s="1"/>
  <c r="AH58" i="9"/>
  <c r="AM58" i="9" s="1"/>
  <c r="AH381" i="9"/>
  <c r="AL381" i="9" s="1"/>
  <c r="AH94" i="9"/>
  <c r="AM94" i="9" s="1"/>
  <c r="AH164" i="9"/>
  <c r="AH133" i="9"/>
  <c r="AL133" i="9" s="1"/>
  <c r="AH344" i="9"/>
  <c r="AL344" i="9" s="1"/>
  <c r="AH272" i="9"/>
  <c r="AL272" i="9" s="1"/>
  <c r="AH382" i="9"/>
  <c r="AL382" i="9" s="1"/>
  <c r="AH418" i="9"/>
  <c r="AL418" i="9" s="1"/>
  <c r="AH165" i="9"/>
  <c r="AL165" i="9" s="1"/>
  <c r="AH93" i="9"/>
  <c r="AL93" i="9" s="1"/>
  <c r="AH345" i="9"/>
  <c r="AL345" i="9" s="1"/>
  <c r="AH56" i="9"/>
  <c r="AL56" i="9" s="1"/>
  <c r="AH236" i="9"/>
  <c r="AL236" i="9" s="1"/>
  <c r="AH200" i="9"/>
  <c r="AM200" i="9" s="1"/>
  <c r="AH130" i="9"/>
  <c r="AM130" i="9" s="1"/>
  <c r="AH134" i="9"/>
  <c r="AH310" i="9"/>
  <c r="AM310" i="9" s="1"/>
  <c r="AH309" i="9"/>
  <c r="AL309" i="9" s="1"/>
  <c r="AH131" i="9"/>
  <c r="AL131" i="9" s="1"/>
  <c r="AH96" i="9"/>
  <c r="AM96" i="9" s="1"/>
  <c r="AH92" i="9"/>
  <c r="AM92" i="9" s="1"/>
  <c r="AH202" i="9"/>
  <c r="AL202" i="9" s="1"/>
  <c r="AH110" i="9"/>
  <c r="AH346" i="9"/>
  <c r="AM346" i="9" s="1"/>
  <c r="AH417" i="9"/>
  <c r="AM417" i="9" s="1"/>
  <c r="V39" i="45"/>
  <c r="AH129" i="9"/>
  <c r="AL129" i="9" s="1"/>
  <c r="AH2" i="9"/>
  <c r="AH380" i="9"/>
  <c r="AM380" i="9" s="1"/>
  <c r="AH274" i="9"/>
  <c r="AL274" i="9" s="1"/>
  <c r="AH57" i="9"/>
  <c r="AM57" i="9" s="1"/>
  <c r="AH128" i="9"/>
  <c r="AM128" i="9" s="1"/>
  <c r="AH238" i="9"/>
  <c r="AL238" i="9" s="1"/>
  <c r="AH273" i="9"/>
  <c r="AL273" i="9" s="1"/>
  <c r="AH33" i="9"/>
  <c r="AL33" i="9" s="1"/>
  <c r="AH31" i="9"/>
  <c r="AL31" i="9" s="1"/>
  <c r="AH32" i="9"/>
  <c r="AM32" i="9" s="1"/>
  <c r="AH30" i="9"/>
  <c r="AM30" i="9" s="1"/>
  <c r="AH34" i="9"/>
  <c r="AL34" i="9" s="1"/>
  <c r="AH545" i="9"/>
  <c r="AM545" i="9" s="1"/>
  <c r="AH546" i="9"/>
  <c r="AL546" i="9" s="1"/>
  <c r="AH549" i="9"/>
  <c r="AL549" i="9" s="1"/>
  <c r="AH547" i="9"/>
  <c r="AM547" i="9" s="1"/>
  <c r="AH548" i="9"/>
  <c r="AM548" i="9" s="1"/>
  <c r="AH550" i="9"/>
  <c r="AM550" i="9" s="1"/>
  <c r="AH257" i="9"/>
  <c r="AM257" i="9" s="1"/>
  <c r="AH511" i="9"/>
  <c r="AL511" i="9" s="1"/>
  <c r="AH474" i="9"/>
  <c r="AL474" i="9" s="1"/>
  <c r="AH440" i="9"/>
  <c r="AM440" i="9" s="1"/>
  <c r="AH221" i="9"/>
  <c r="AL221" i="9" s="1"/>
  <c r="AH512" i="9"/>
  <c r="AM512" i="9" s="1"/>
  <c r="AH403" i="9"/>
  <c r="AM403" i="9" s="1"/>
  <c r="AH185" i="9"/>
  <c r="AL185" i="9" s="1"/>
  <c r="AH261" i="9"/>
  <c r="AM261" i="9" s="1"/>
  <c r="AH405" i="9"/>
  <c r="AL405" i="9" s="1"/>
  <c r="AH366" i="9"/>
  <c r="AM366" i="9" s="1"/>
  <c r="D59" i="25" s="1"/>
  <c r="AH330" i="9"/>
  <c r="AL330" i="9" s="1"/>
  <c r="AH225" i="9"/>
  <c r="AL225" i="9" s="1"/>
  <c r="AH189" i="9"/>
  <c r="AM189" i="9" s="1"/>
  <c r="AH259" i="9"/>
  <c r="AL259" i="9" s="1"/>
  <c r="AH442" i="9"/>
  <c r="AL442" i="9" s="1"/>
  <c r="AH222" i="9"/>
  <c r="AM222" i="9" s="1"/>
  <c r="AH298" i="9"/>
  <c r="AM298" i="9" s="1"/>
  <c r="AH476" i="9"/>
  <c r="AL476" i="9" s="1"/>
  <c r="AH514" i="9"/>
  <c r="AM514" i="9" s="1"/>
  <c r="AH401" i="9"/>
  <c r="AM401" i="9" s="1"/>
  <c r="AH293" i="9"/>
  <c r="AL293" i="9" s="1"/>
  <c r="AH439" i="9"/>
  <c r="AM439" i="9" s="1"/>
  <c r="AH187" i="9"/>
  <c r="AM187" i="9" s="1"/>
  <c r="AH406" i="9"/>
  <c r="AM406" i="9" s="1"/>
  <c r="AH365" i="9"/>
  <c r="AL365" i="9" s="1"/>
  <c r="AH329" i="9"/>
  <c r="AM329" i="9" s="1"/>
  <c r="AH333" i="9"/>
  <c r="AM333" i="9" s="1"/>
  <c r="AH188" i="9"/>
  <c r="AL188" i="9" s="1"/>
  <c r="AH509" i="9"/>
  <c r="AI509" i="9" s="1"/>
  <c r="AJ509" i="9" s="1"/>
  <c r="AH475" i="9"/>
  <c r="AM475" i="9" s="1"/>
  <c r="AH369" i="9"/>
  <c r="AL369" i="9" s="1"/>
  <c r="J38" i="45"/>
  <c r="K38" i="45"/>
  <c r="AH258" i="9"/>
  <c r="AM258" i="9" s="1"/>
  <c r="AH510" i="9"/>
  <c r="AM510" i="9" s="1"/>
  <c r="AH370" i="9"/>
  <c r="AL370" i="9" s="1"/>
  <c r="AH296" i="9"/>
  <c r="AM296" i="9" s="1"/>
  <c r="AH294" i="9"/>
  <c r="AM294" i="9" s="1"/>
  <c r="AH438" i="9"/>
  <c r="AL438" i="9" s="1"/>
  <c r="AH260" i="9"/>
  <c r="AL260" i="9" s="1"/>
  <c r="AH332" i="9"/>
  <c r="AL332" i="9" s="1"/>
  <c r="AH224" i="9"/>
  <c r="AI224" i="9" s="1"/>
  <c r="AJ224" i="9" s="1"/>
  <c r="AH473" i="9"/>
  <c r="AL473" i="9" s="1"/>
  <c r="AH186" i="9"/>
  <c r="AL186" i="9" s="1"/>
  <c r="AH441" i="9"/>
  <c r="AM441" i="9" s="1"/>
  <c r="AH368" i="9"/>
  <c r="AM368" i="9" s="1"/>
  <c r="AH223" i="9"/>
  <c r="AM223" i="9" s="1"/>
  <c r="AH297" i="9"/>
  <c r="AL297" i="9" s="1"/>
  <c r="AH513" i="9"/>
  <c r="AM513" i="9" s="1"/>
  <c r="AH402" i="9"/>
  <c r="AM402" i="9" s="1"/>
  <c r="AH295" i="9"/>
  <c r="AL295" i="9" s="1"/>
  <c r="AH437" i="9"/>
  <c r="AH262" i="9"/>
  <c r="AL262" i="9" s="1"/>
  <c r="AH404" i="9"/>
  <c r="AL404" i="9" s="1"/>
  <c r="AH367" i="9"/>
  <c r="AI367" i="9" s="1"/>
  <c r="AJ367" i="9" s="1"/>
  <c r="AH331" i="9"/>
  <c r="AM331" i="9" s="1"/>
  <c r="AH334" i="9"/>
  <c r="AM334" i="9" s="1"/>
  <c r="AH226" i="9"/>
  <c r="AL226" i="9" s="1"/>
  <c r="AH190" i="9"/>
  <c r="AM190" i="9" s="1"/>
  <c r="D39" i="15"/>
  <c r="I39" i="15" s="1"/>
  <c r="AH153" i="9"/>
  <c r="AM153" i="9" s="1"/>
  <c r="AH150" i="9"/>
  <c r="AL150" i="9" s="1"/>
  <c r="D23" i="15"/>
  <c r="AH149" i="9"/>
  <c r="AL149" i="9" s="1"/>
  <c r="AH154" i="9"/>
  <c r="AM154" i="9" s="1"/>
  <c r="AM141" i="9" l="1"/>
  <c r="AI140" i="9"/>
  <c r="AJ140" i="9" s="1"/>
  <c r="AI141" i="9"/>
  <c r="AJ141" i="9" s="1"/>
  <c r="AM140" i="9"/>
  <c r="AL142" i="9"/>
  <c r="AI142" i="9"/>
  <c r="AJ142" i="9" s="1"/>
  <c r="AH303" i="9"/>
  <c r="AL303" i="9" s="1"/>
  <c r="J37" i="45"/>
  <c r="V38" i="45"/>
  <c r="AS604" i="9"/>
  <c r="AS592" i="9"/>
  <c r="AH306" i="9"/>
  <c r="AL306" i="9" s="1"/>
  <c r="AH308" i="9"/>
  <c r="AM308" i="9" s="1"/>
  <c r="AH307" i="9"/>
  <c r="AL307" i="9" s="1"/>
  <c r="U38" i="45"/>
  <c r="AH305" i="9"/>
  <c r="AL305" i="9" s="1"/>
  <c r="AH304" i="9"/>
  <c r="AL304" i="9" s="1"/>
  <c r="I37" i="45"/>
  <c r="G37" i="45"/>
  <c r="H37" i="45"/>
  <c r="K37" i="45"/>
  <c r="L37" i="45"/>
  <c r="AM608" i="9"/>
  <c r="O66" i="25" s="1"/>
  <c r="AI608" i="9"/>
  <c r="AJ608" i="9" s="1"/>
  <c r="AM607" i="9"/>
  <c r="M66" i="25" s="1"/>
  <c r="AI574" i="9"/>
  <c r="AJ574" i="9" s="1"/>
  <c r="AL610" i="9"/>
  <c r="Q66" i="41" s="1"/>
  <c r="AL605" i="9"/>
  <c r="K66" i="41" s="1"/>
  <c r="AI538" i="9"/>
  <c r="AJ538" i="9" s="1"/>
  <c r="K88" i="25"/>
  <c r="X20" i="25" s="1"/>
  <c r="DX20" i="56" s="1"/>
  <c r="AP594" i="9"/>
  <c r="L88" i="41"/>
  <c r="M88" i="41"/>
  <c r="AP595" i="9"/>
  <c r="AI605" i="9"/>
  <c r="AJ605" i="9" s="1"/>
  <c r="AI606" i="9"/>
  <c r="AJ606" i="9" s="1"/>
  <c r="AM609" i="9"/>
  <c r="P66" i="25" s="1"/>
  <c r="S7" i="15"/>
  <c r="P88" i="41"/>
  <c r="AP597" i="9"/>
  <c r="T7" i="15"/>
  <c r="O88" i="41"/>
  <c r="AP596" i="9"/>
  <c r="AS598" i="9"/>
  <c r="Q88" i="25"/>
  <c r="AI607" i="9"/>
  <c r="AJ607" i="9" s="1"/>
  <c r="AM606" i="9"/>
  <c r="L66" i="25" s="1"/>
  <c r="AI610" i="9"/>
  <c r="AJ610" i="9" s="1"/>
  <c r="AI609" i="9"/>
  <c r="AJ609" i="9" s="1"/>
  <c r="AI572" i="9"/>
  <c r="AJ572" i="9" s="1"/>
  <c r="AL573" i="9"/>
  <c r="AL572" i="9"/>
  <c r="AL574" i="9"/>
  <c r="AI573" i="9"/>
  <c r="AJ573" i="9" s="1"/>
  <c r="AL569" i="9"/>
  <c r="AI427" i="9"/>
  <c r="AJ427" i="9" s="1"/>
  <c r="AM570" i="9"/>
  <c r="AI569" i="9"/>
  <c r="AJ569" i="9" s="1"/>
  <c r="AI570" i="9"/>
  <c r="AJ570" i="9" s="1"/>
  <c r="AM571" i="9"/>
  <c r="AI571" i="9"/>
  <c r="AJ571" i="9" s="1"/>
  <c r="AM535" i="9"/>
  <c r="AM534" i="9"/>
  <c r="AL536" i="9"/>
  <c r="AM533" i="9"/>
  <c r="AL537" i="9"/>
  <c r="AI537" i="9"/>
  <c r="AJ537" i="9" s="1"/>
  <c r="AL535" i="9"/>
  <c r="AM538" i="9"/>
  <c r="AI536" i="9"/>
  <c r="AJ536" i="9" s="1"/>
  <c r="AI534" i="9"/>
  <c r="AJ534" i="9" s="1"/>
  <c r="AI533" i="9"/>
  <c r="AJ533" i="9" s="1"/>
  <c r="AI502" i="9"/>
  <c r="AJ502" i="9" s="1"/>
  <c r="AI499" i="9"/>
  <c r="AJ499" i="9" s="1"/>
  <c r="AI430" i="9"/>
  <c r="AJ430" i="9" s="1"/>
  <c r="AM502" i="9"/>
  <c r="AI466" i="9"/>
  <c r="AJ466" i="9" s="1"/>
  <c r="AL501" i="9"/>
  <c r="AL500" i="9"/>
  <c r="AI501" i="9"/>
  <c r="AJ501" i="9" s="1"/>
  <c r="AL498" i="9"/>
  <c r="AM499" i="9"/>
  <c r="AI497" i="9"/>
  <c r="AJ497" i="9" s="1"/>
  <c r="AI498" i="9"/>
  <c r="AJ498" i="9" s="1"/>
  <c r="AM497" i="9"/>
  <c r="AI500" i="9"/>
  <c r="AJ500" i="9" s="1"/>
  <c r="AL463" i="9"/>
  <c r="AI463" i="9"/>
  <c r="AJ463" i="9" s="1"/>
  <c r="AM461" i="9"/>
  <c r="AM466" i="9"/>
  <c r="AL462" i="9"/>
  <c r="AM465" i="9"/>
  <c r="AI464" i="9"/>
  <c r="AJ464" i="9" s="1"/>
  <c r="AM464" i="9"/>
  <c r="AI465" i="9"/>
  <c r="AJ465" i="9" s="1"/>
  <c r="AI461" i="9"/>
  <c r="AJ461" i="9" s="1"/>
  <c r="AI462" i="9"/>
  <c r="AJ462" i="9" s="1"/>
  <c r="AL425" i="9"/>
  <c r="AL428" i="9"/>
  <c r="AL430" i="9"/>
  <c r="AI425" i="9"/>
  <c r="AJ425" i="9" s="1"/>
  <c r="AL426" i="9"/>
  <c r="AI429" i="9"/>
  <c r="AJ429" i="9" s="1"/>
  <c r="AI428" i="9"/>
  <c r="AJ428" i="9" s="1"/>
  <c r="AM429" i="9"/>
  <c r="AL427" i="9"/>
  <c r="AI426" i="9"/>
  <c r="AJ426" i="9" s="1"/>
  <c r="AM390" i="9"/>
  <c r="AI358" i="9"/>
  <c r="AJ358" i="9" s="1"/>
  <c r="AM391" i="9"/>
  <c r="AL393" i="9"/>
  <c r="AI394" i="9"/>
  <c r="AJ394" i="9" s="1"/>
  <c r="AM394" i="9"/>
  <c r="AM392" i="9"/>
  <c r="AL389" i="9"/>
  <c r="AI391" i="9"/>
  <c r="AJ391" i="9" s="1"/>
  <c r="AI389" i="9"/>
  <c r="AJ389" i="9" s="1"/>
  <c r="AI390" i="9"/>
  <c r="AJ390" i="9" s="1"/>
  <c r="AI392" i="9"/>
  <c r="AJ392" i="9" s="1"/>
  <c r="AI393" i="9"/>
  <c r="AJ393" i="9" s="1"/>
  <c r="AI320" i="9"/>
  <c r="AJ320" i="9" s="1"/>
  <c r="AM354" i="9"/>
  <c r="AI353" i="9"/>
  <c r="AJ353" i="9" s="1"/>
  <c r="AM355" i="9"/>
  <c r="AM353" i="9"/>
  <c r="AI355" i="9"/>
  <c r="AJ355" i="9" s="1"/>
  <c r="AI357" i="9"/>
  <c r="AJ357" i="9" s="1"/>
  <c r="AL358" i="9"/>
  <c r="AM357" i="9"/>
  <c r="AL356" i="9"/>
  <c r="AI354" i="9"/>
  <c r="AJ354" i="9" s="1"/>
  <c r="AI356" i="9"/>
  <c r="AJ356" i="9" s="1"/>
  <c r="AL320" i="9"/>
  <c r="AI322" i="9"/>
  <c r="AJ322" i="9" s="1"/>
  <c r="AI249" i="9"/>
  <c r="AJ249" i="9" s="1"/>
  <c r="AM286" i="9"/>
  <c r="AM319" i="9"/>
  <c r="AM318" i="9"/>
  <c r="AL317" i="9"/>
  <c r="AI317" i="9"/>
  <c r="AJ317" i="9" s="1"/>
  <c r="AI318" i="9"/>
  <c r="AJ318" i="9" s="1"/>
  <c r="AL321" i="9"/>
  <c r="AM322" i="9"/>
  <c r="AI321" i="9"/>
  <c r="AJ321" i="9" s="1"/>
  <c r="AI319" i="9"/>
  <c r="AJ319" i="9" s="1"/>
  <c r="AM281" i="9"/>
  <c r="AI286" i="9"/>
  <c r="AJ286" i="9" s="1"/>
  <c r="AL283" i="9"/>
  <c r="AL285" i="9"/>
  <c r="AM284" i="9"/>
  <c r="AM282" i="9"/>
  <c r="AI283" i="9"/>
  <c r="AJ283" i="9" s="1"/>
  <c r="AI281" i="9"/>
  <c r="AJ281" i="9" s="1"/>
  <c r="AI282" i="9"/>
  <c r="AJ282" i="9" s="1"/>
  <c r="AI285" i="9"/>
  <c r="AJ285" i="9" s="1"/>
  <c r="AM245" i="9"/>
  <c r="AI246" i="9"/>
  <c r="AJ246" i="9" s="1"/>
  <c r="AI245" i="9"/>
  <c r="AJ245" i="9" s="1"/>
  <c r="AL248" i="9"/>
  <c r="AL250" i="9"/>
  <c r="AI247" i="9"/>
  <c r="AJ247" i="9" s="1"/>
  <c r="AI213" i="9"/>
  <c r="AJ213" i="9" s="1"/>
  <c r="AM247" i="9"/>
  <c r="AL246" i="9"/>
  <c r="AI250" i="9"/>
  <c r="AJ250" i="9" s="1"/>
  <c r="AL249" i="9"/>
  <c r="AI248" i="9"/>
  <c r="AJ248" i="9" s="1"/>
  <c r="AM212" i="9"/>
  <c r="AM211" i="9"/>
  <c r="AL210" i="9"/>
  <c r="AL214" i="9"/>
  <c r="AM213" i="9"/>
  <c r="AI209" i="9"/>
  <c r="AJ209" i="9" s="1"/>
  <c r="AI211" i="9"/>
  <c r="AJ211" i="9" s="1"/>
  <c r="AM209" i="9"/>
  <c r="AI210" i="9"/>
  <c r="AJ210" i="9" s="1"/>
  <c r="AI214" i="9"/>
  <c r="AJ214" i="9" s="1"/>
  <c r="AI212" i="9"/>
  <c r="AJ212" i="9" s="1"/>
  <c r="AI178" i="9"/>
  <c r="AJ178" i="9" s="1"/>
  <c r="AL178" i="9"/>
  <c r="AM175" i="9"/>
  <c r="AL174" i="9"/>
  <c r="AI177" i="9"/>
  <c r="AJ177" i="9" s="1"/>
  <c r="AM177" i="9"/>
  <c r="AM173" i="9"/>
  <c r="AI174" i="9"/>
  <c r="AJ174" i="9" s="1"/>
  <c r="AM176" i="9"/>
  <c r="AI176" i="9"/>
  <c r="AJ176" i="9" s="1"/>
  <c r="AI173" i="9"/>
  <c r="AJ173" i="9" s="1"/>
  <c r="AI175" i="9"/>
  <c r="AJ175" i="9" s="1"/>
  <c r="AL126" i="9"/>
  <c r="AM126" i="9"/>
  <c r="AM106" i="9"/>
  <c r="AI106" i="9"/>
  <c r="AJ106" i="9" s="1"/>
  <c r="AL106" i="9"/>
  <c r="AD477" i="9"/>
  <c r="AH114" i="9"/>
  <c r="AM102" i="9"/>
  <c r="AL102" i="9"/>
  <c r="AI102" i="9"/>
  <c r="AJ102" i="9" s="1"/>
  <c r="AM90" i="9"/>
  <c r="AL90" i="9"/>
  <c r="AL118" i="9"/>
  <c r="AM118" i="9"/>
  <c r="AI118" i="9"/>
  <c r="AJ118" i="9" s="1"/>
  <c r="AL82" i="9"/>
  <c r="AI82" i="9"/>
  <c r="AJ82" i="9" s="1"/>
  <c r="AM82" i="9"/>
  <c r="AL78" i="9"/>
  <c r="AI78" i="9"/>
  <c r="AJ78" i="9" s="1"/>
  <c r="AM78" i="9"/>
  <c r="AL66" i="9"/>
  <c r="AI66" i="9"/>
  <c r="AJ66" i="9" s="1"/>
  <c r="AM66" i="9"/>
  <c r="AL70" i="9"/>
  <c r="AI70" i="9"/>
  <c r="AJ70" i="9" s="1"/>
  <c r="AM70" i="9"/>
  <c r="AM54" i="9"/>
  <c r="AL54" i="9"/>
  <c r="AL46" i="9"/>
  <c r="AM46" i="9"/>
  <c r="AI46" i="9"/>
  <c r="AJ46" i="9" s="1"/>
  <c r="AL42" i="9"/>
  <c r="AI42" i="9"/>
  <c r="AJ42" i="9" s="1"/>
  <c r="AM42" i="9"/>
  <c r="AM6" i="9"/>
  <c r="AL6" i="9"/>
  <c r="AI6" i="9"/>
  <c r="AJ6" i="9" s="1"/>
  <c r="AL10" i="9"/>
  <c r="AI10" i="9"/>
  <c r="AJ10" i="9" s="1"/>
  <c r="AM10" i="9"/>
  <c r="D63" i="25"/>
  <c r="AH97" i="9"/>
  <c r="AL97" i="9" s="1"/>
  <c r="AM122" i="9"/>
  <c r="AL122" i="9"/>
  <c r="AH478" i="9"/>
  <c r="AL478" i="9" s="1"/>
  <c r="AH61" i="9"/>
  <c r="AM61" i="9" s="1"/>
  <c r="AH477" i="9"/>
  <c r="AL477" i="9" s="1"/>
  <c r="AH98" i="9"/>
  <c r="AH62" i="9"/>
  <c r="AM19" i="9"/>
  <c r="AI340" i="9"/>
  <c r="AJ340" i="9" s="1"/>
  <c r="L38" i="45"/>
  <c r="AI19" i="9"/>
  <c r="AJ19" i="9" s="1"/>
  <c r="AI17" i="9"/>
  <c r="AJ17" i="9" s="1"/>
  <c r="AL18" i="9"/>
  <c r="AL17" i="9"/>
  <c r="AI447" i="9"/>
  <c r="AJ447" i="9" s="1"/>
  <c r="AH22" i="9"/>
  <c r="AL22" i="9" s="1"/>
  <c r="J23" i="15"/>
  <c r="AI520" i="9"/>
  <c r="AJ520" i="9" s="1"/>
  <c r="AM555" i="9"/>
  <c r="AI159" i="9"/>
  <c r="AJ159" i="9" s="1"/>
  <c r="AI488" i="9"/>
  <c r="AJ488" i="9" s="1"/>
  <c r="AI195" i="9"/>
  <c r="AJ195" i="9" s="1"/>
  <c r="AI268" i="9"/>
  <c r="AJ268" i="9" s="1"/>
  <c r="AI454" i="9"/>
  <c r="AJ454" i="9" s="1"/>
  <c r="AI526" i="9"/>
  <c r="AJ526" i="9" s="1"/>
  <c r="AI556" i="9"/>
  <c r="AJ556" i="9" s="1"/>
  <c r="AI343" i="9"/>
  <c r="AJ343" i="9" s="1"/>
  <c r="AI160" i="9"/>
  <c r="AJ160" i="9" s="1"/>
  <c r="AI524" i="9"/>
  <c r="AJ524" i="9" s="1"/>
  <c r="AI486" i="9"/>
  <c r="AJ486" i="9" s="1"/>
  <c r="AL376" i="9"/>
  <c r="AI490" i="9"/>
  <c r="AJ490" i="9" s="1"/>
  <c r="AI339" i="9"/>
  <c r="AJ339" i="9" s="1"/>
  <c r="AI232" i="9"/>
  <c r="AJ232" i="9" s="1"/>
  <c r="AL448" i="9"/>
  <c r="AL339" i="9"/>
  <c r="AM484" i="9"/>
  <c r="AL159" i="9"/>
  <c r="AI196" i="9"/>
  <c r="AJ196" i="9" s="1"/>
  <c r="AL271" i="9"/>
  <c r="AM411" i="9"/>
  <c r="AL231" i="9"/>
  <c r="AL232" i="9"/>
  <c r="AI231" i="9"/>
  <c r="AJ231" i="9" s="1"/>
  <c r="AI483" i="9"/>
  <c r="AJ483" i="9" s="1"/>
  <c r="AI484" i="9"/>
  <c r="AJ484" i="9" s="1"/>
  <c r="AI376" i="9"/>
  <c r="AJ376" i="9" s="1"/>
  <c r="AL519" i="9"/>
  <c r="AM267" i="9"/>
  <c r="AI375" i="9"/>
  <c r="AJ375" i="9" s="1"/>
  <c r="AL556" i="9"/>
  <c r="AL447" i="9"/>
  <c r="D62" i="41" s="1"/>
  <c r="AM520" i="9"/>
  <c r="AI267" i="9"/>
  <c r="AJ267" i="9" s="1"/>
  <c r="AM268" i="9"/>
  <c r="AL375" i="9"/>
  <c r="AI412" i="9"/>
  <c r="AJ412" i="9" s="1"/>
  <c r="AI555" i="9"/>
  <c r="AJ555" i="9" s="1"/>
  <c r="AI411" i="9"/>
  <c r="AJ411" i="9" s="1"/>
  <c r="AM195" i="9"/>
  <c r="AL412" i="9"/>
  <c r="AM196" i="9"/>
  <c r="AM160" i="9"/>
  <c r="AI519" i="9"/>
  <c r="AJ519" i="9" s="1"/>
  <c r="AM340" i="9"/>
  <c r="AM483" i="9"/>
  <c r="AI448" i="9"/>
  <c r="AJ448" i="9" s="1"/>
  <c r="AM199" i="9"/>
  <c r="AI559" i="9"/>
  <c r="AJ559" i="9" s="1"/>
  <c r="AI560" i="9"/>
  <c r="AJ560" i="9" s="1"/>
  <c r="AI523" i="9"/>
  <c r="AJ523" i="9" s="1"/>
  <c r="AL161" i="9"/>
  <c r="AM163" i="9"/>
  <c r="AM526" i="9"/>
  <c r="AM451" i="9"/>
  <c r="AL558" i="9"/>
  <c r="AM233" i="9"/>
  <c r="AM234" i="9"/>
  <c r="AM341" i="9"/>
  <c r="AI485" i="9"/>
  <c r="AJ485" i="9" s="1"/>
  <c r="AM454" i="9"/>
  <c r="AL415" i="9"/>
  <c r="AI235" i="9"/>
  <c r="AJ235" i="9" s="1"/>
  <c r="AM525" i="9"/>
  <c r="AL378" i="9"/>
  <c r="AL269" i="9"/>
  <c r="AM342" i="9"/>
  <c r="AM521" i="9"/>
  <c r="AM485" i="9"/>
  <c r="AL413" i="9"/>
  <c r="AM197" i="9"/>
  <c r="AM522" i="9"/>
  <c r="AM559" i="9"/>
  <c r="AI489" i="9"/>
  <c r="AJ489" i="9" s="1"/>
  <c r="AM449" i="9"/>
  <c r="AI269" i="9"/>
  <c r="AJ269" i="9" s="1"/>
  <c r="AI270" i="9"/>
  <c r="AJ270" i="9" s="1"/>
  <c r="AI163" i="9"/>
  <c r="AJ163" i="9" s="1"/>
  <c r="AI413" i="9"/>
  <c r="AJ413" i="9" s="1"/>
  <c r="AI561" i="9"/>
  <c r="AJ561" i="9" s="1"/>
  <c r="AI451" i="9"/>
  <c r="AJ451" i="9" s="1"/>
  <c r="AI271" i="9"/>
  <c r="AJ271" i="9" s="1"/>
  <c r="AL414" i="9"/>
  <c r="AI341" i="9"/>
  <c r="AJ341" i="9" s="1"/>
  <c r="AI342" i="9"/>
  <c r="AJ342" i="9" s="1"/>
  <c r="AM198" i="9"/>
  <c r="AI453" i="9"/>
  <c r="AJ453" i="9" s="1"/>
  <c r="AM489" i="9"/>
  <c r="AM487" i="9"/>
  <c r="AL560" i="9"/>
  <c r="AL490" i="9"/>
  <c r="AI525" i="9"/>
  <c r="AJ525" i="9" s="1"/>
  <c r="AM562" i="9"/>
  <c r="AI562" i="9"/>
  <c r="AJ562" i="9" s="1"/>
  <c r="AI233" i="9"/>
  <c r="AJ233" i="9" s="1"/>
  <c r="AL450" i="9"/>
  <c r="AL379" i="9"/>
  <c r="AI415" i="9"/>
  <c r="AJ415" i="9" s="1"/>
  <c r="AL235" i="9"/>
  <c r="AL377" i="9"/>
  <c r="AM561" i="9"/>
  <c r="AM270" i="9"/>
  <c r="AL162" i="9"/>
  <c r="AL523" i="9"/>
  <c r="AL453" i="9"/>
  <c r="AM343" i="9"/>
  <c r="AM452" i="9"/>
  <c r="AI558" i="9"/>
  <c r="AJ558" i="9" s="1"/>
  <c r="AI557" i="9"/>
  <c r="AJ557" i="9" s="1"/>
  <c r="AM524" i="9"/>
  <c r="AI377" i="9"/>
  <c r="AJ377" i="9" s="1"/>
  <c r="AI452" i="9"/>
  <c r="AJ452" i="9" s="1"/>
  <c r="AI487" i="9"/>
  <c r="AJ487" i="9" s="1"/>
  <c r="AI234" i="9"/>
  <c r="AJ234" i="9" s="1"/>
  <c r="AM488" i="9"/>
  <c r="AI197" i="9"/>
  <c r="AJ197" i="9" s="1"/>
  <c r="AI198" i="9"/>
  <c r="AJ198" i="9" s="1"/>
  <c r="AI161" i="9"/>
  <c r="AJ161" i="9" s="1"/>
  <c r="AI162" i="9"/>
  <c r="AJ162" i="9" s="1"/>
  <c r="AI379" i="9"/>
  <c r="AJ379" i="9" s="1"/>
  <c r="AI199" i="9"/>
  <c r="AJ199" i="9" s="1"/>
  <c r="AI414" i="9"/>
  <c r="AJ414" i="9" s="1"/>
  <c r="AI450" i="9"/>
  <c r="AJ450" i="9" s="1"/>
  <c r="AI449" i="9"/>
  <c r="AJ449" i="9" s="1"/>
  <c r="AI522" i="9"/>
  <c r="AJ522" i="9" s="1"/>
  <c r="AI521" i="9"/>
  <c r="AJ521" i="9" s="1"/>
  <c r="AL557" i="9"/>
  <c r="AI378" i="9"/>
  <c r="AJ378" i="9" s="1"/>
  <c r="AM486" i="9"/>
  <c r="N39" i="15"/>
  <c r="D81" i="25"/>
  <c r="AI474" i="9"/>
  <c r="AJ474" i="9" s="1"/>
  <c r="AI18" i="9"/>
  <c r="AJ18" i="9" s="1"/>
  <c r="AI437" i="9"/>
  <c r="AJ437" i="9" s="1"/>
  <c r="AH20" i="9"/>
  <c r="AM20" i="9" s="1"/>
  <c r="AI166" i="9"/>
  <c r="AJ166" i="9" s="1"/>
  <c r="AH21" i="9"/>
  <c r="AM21" i="9" s="1"/>
  <c r="AL60" i="9"/>
  <c r="AI58" i="9"/>
  <c r="AJ58" i="9" s="1"/>
  <c r="AI310" i="9"/>
  <c r="AJ310" i="9" s="1"/>
  <c r="AI418" i="9"/>
  <c r="AJ418" i="9" s="1"/>
  <c r="AI132" i="9"/>
  <c r="AJ132" i="9" s="1"/>
  <c r="AL128" i="9"/>
  <c r="AI381" i="9"/>
  <c r="AJ381" i="9" s="1"/>
  <c r="AI95" i="9"/>
  <c r="AJ95" i="9" s="1"/>
  <c r="AI130" i="9"/>
  <c r="AJ130" i="9" s="1"/>
  <c r="AI164" i="9"/>
  <c r="AJ164" i="9" s="1"/>
  <c r="AM238" i="9"/>
  <c r="AI274" i="9"/>
  <c r="AJ274" i="9" s="1"/>
  <c r="AL380" i="9"/>
  <c r="AM345" i="9"/>
  <c r="AM273" i="9"/>
  <c r="AL417" i="9"/>
  <c r="AM201" i="9"/>
  <c r="AM309" i="9"/>
  <c r="AI93" i="9"/>
  <c r="AJ93" i="9" s="1"/>
  <c r="AL130" i="9"/>
  <c r="AM93" i="9"/>
  <c r="AM202" i="9"/>
  <c r="AM2" i="9"/>
  <c r="E62" i="25" s="1"/>
  <c r="AL2" i="9"/>
  <c r="AI2" i="9"/>
  <c r="AJ2" i="9" s="1"/>
  <c r="AI237" i="9"/>
  <c r="AJ237" i="9" s="1"/>
  <c r="AI236" i="9"/>
  <c r="AJ236" i="9" s="1"/>
  <c r="AI345" i="9"/>
  <c r="AJ345" i="9" s="1"/>
  <c r="AI344" i="9"/>
  <c r="AJ344" i="9" s="1"/>
  <c r="AI60" i="9"/>
  <c r="AJ60" i="9" s="1"/>
  <c r="AI417" i="9"/>
  <c r="AJ417" i="9" s="1"/>
  <c r="AI416" i="9"/>
  <c r="AJ416" i="9" s="1"/>
  <c r="AI202" i="9"/>
  <c r="AJ202" i="9" s="1"/>
  <c r="AL96" i="9"/>
  <c r="AM131" i="9"/>
  <c r="AI201" i="9"/>
  <c r="AJ201" i="9" s="1"/>
  <c r="AI200" i="9"/>
  <c r="AJ200" i="9" s="1"/>
  <c r="AM236" i="9"/>
  <c r="AM418" i="9"/>
  <c r="AM382" i="9"/>
  <c r="AM272" i="9"/>
  <c r="AM344" i="9"/>
  <c r="AM133" i="9"/>
  <c r="AI165" i="9"/>
  <c r="AJ165" i="9" s="1"/>
  <c r="AL94" i="9"/>
  <c r="AI382" i="9"/>
  <c r="AJ382" i="9" s="1"/>
  <c r="AI59" i="9"/>
  <c r="AJ59" i="9" s="1"/>
  <c r="AM59" i="9"/>
  <c r="AL416" i="9"/>
  <c r="AI238" i="9"/>
  <c r="AJ238" i="9" s="1"/>
  <c r="AM166" i="9"/>
  <c r="AL110" i="9"/>
  <c r="AI110" i="9"/>
  <c r="AJ110" i="9" s="1"/>
  <c r="AM110" i="9"/>
  <c r="AL310" i="9"/>
  <c r="AL134" i="9"/>
  <c r="AI134" i="9"/>
  <c r="AJ134" i="9" s="1"/>
  <c r="AM134" i="9"/>
  <c r="AI131" i="9"/>
  <c r="AJ131" i="9" s="1"/>
  <c r="AL200" i="9"/>
  <c r="AI57" i="9"/>
  <c r="AJ57" i="9" s="1"/>
  <c r="AI56" i="9"/>
  <c r="AJ56" i="9" s="1"/>
  <c r="AI380" i="9"/>
  <c r="AJ380" i="9" s="1"/>
  <c r="AI128" i="9"/>
  <c r="AJ128" i="9" s="1"/>
  <c r="AM164" i="9"/>
  <c r="AL58" i="9"/>
  <c r="AI96" i="9"/>
  <c r="AJ96" i="9" s="1"/>
  <c r="AM132" i="9"/>
  <c r="D64" i="25" s="1"/>
  <c r="AL57" i="9"/>
  <c r="AM274" i="9"/>
  <c r="AM129" i="9"/>
  <c r="AL346" i="9"/>
  <c r="AL92" i="9"/>
  <c r="AI92" i="9"/>
  <c r="AJ92" i="9" s="1"/>
  <c r="AI309" i="9"/>
  <c r="AJ309" i="9" s="1"/>
  <c r="AM56" i="9"/>
  <c r="D60" i="25" s="1"/>
  <c r="D82" i="25" s="1"/>
  <c r="AI346" i="9"/>
  <c r="AJ346" i="9" s="1"/>
  <c r="AM165" i="9"/>
  <c r="AI273" i="9"/>
  <c r="AJ273" i="9" s="1"/>
  <c r="AI272" i="9"/>
  <c r="AJ272" i="9" s="1"/>
  <c r="AI129" i="9"/>
  <c r="AJ129" i="9" s="1"/>
  <c r="AI133" i="9"/>
  <c r="AJ133" i="9" s="1"/>
  <c r="AL164" i="9"/>
  <c r="AI94" i="9"/>
  <c r="AJ94" i="9" s="1"/>
  <c r="AM381" i="9"/>
  <c r="AL95" i="9"/>
  <c r="AL237" i="9"/>
  <c r="AI34" i="9"/>
  <c r="AJ34" i="9" s="1"/>
  <c r="AM34" i="9"/>
  <c r="AL32" i="9"/>
  <c r="AI33" i="9"/>
  <c r="AJ33" i="9" s="1"/>
  <c r="AM33" i="9"/>
  <c r="AI30" i="9"/>
  <c r="AJ30" i="9" s="1"/>
  <c r="AL30" i="9"/>
  <c r="AM31" i="9"/>
  <c r="AI31" i="9"/>
  <c r="AJ31" i="9" s="1"/>
  <c r="AI32" i="9"/>
  <c r="AJ32" i="9" s="1"/>
  <c r="AL547" i="9"/>
  <c r="AI189" i="9"/>
  <c r="AJ189" i="9" s="1"/>
  <c r="AI403" i="9"/>
  <c r="AJ403" i="9" s="1"/>
  <c r="AI545" i="9"/>
  <c r="AJ545" i="9" s="1"/>
  <c r="AI261" i="9"/>
  <c r="AJ261" i="9" s="1"/>
  <c r="AL258" i="9"/>
  <c r="AI546" i="9"/>
  <c r="AJ546" i="9" s="1"/>
  <c r="AL333" i="9"/>
  <c r="AM262" i="9"/>
  <c r="AM437" i="9"/>
  <c r="AL437" i="9"/>
  <c r="AI296" i="9"/>
  <c r="AJ296" i="9" s="1"/>
  <c r="AL548" i="9"/>
  <c r="AL440" i="9"/>
  <c r="AM260" i="9"/>
  <c r="AM438" i="9"/>
  <c r="AM369" i="9"/>
  <c r="AM365" i="9"/>
  <c r="AL401" i="9"/>
  <c r="AL366" i="9"/>
  <c r="AM297" i="9"/>
  <c r="AL550" i="9"/>
  <c r="AM546" i="9"/>
  <c r="AL294" i="9"/>
  <c r="AL367" i="9"/>
  <c r="E59" i="41" s="1"/>
  <c r="AL224" i="9"/>
  <c r="AI368" i="9"/>
  <c r="AJ368" i="9" s="1"/>
  <c r="AL510" i="9"/>
  <c r="AL509" i="9"/>
  <c r="AL329" i="9"/>
  <c r="AL514" i="9"/>
  <c r="AM259" i="9"/>
  <c r="AL512" i="9"/>
  <c r="AI548" i="9"/>
  <c r="AJ548" i="9" s="1"/>
  <c r="AL441" i="9"/>
  <c r="AM473" i="9"/>
  <c r="AL475" i="9"/>
  <c r="AL406" i="9"/>
  <c r="AM221" i="9"/>
  <c r="AI549" i="9"/>
  <c r="AJ549" i="9" s="1"/>
  <c r="AL334" i="9"/>
  <c r="AL368" i="9"/>
  <c r="AM186" i="9"/>
  <c r="AI550" i="9"/>
  <c r="AJ550" i="9" s="1"/>
  <c r="AM549" i="9"/>
  <c r="AI547" i="9"/>
  <c r="AJ547" i="9" s="1"/>
  <c r="AL545" i="9"/>
  <c r="AI513" i="9"/>
  <c r="AJ513" i="9" s="1"/>
  <c r="AI476" i="9"/>
  <c r="AJ476" i="9" s="1"/>
  <c r="AM476" i="9"/>
  <c r="AL331" i="9"/>
  <c r="AM404" i="9"/>
  <c r="AL513" i="9"/>
  <c r="AM332" i="9"/>
  <c r="AI223" i="9"/>
  <c r="AJ223" i="9" s="1"/>
  <c r="AI190" i="9"/>
  <c r="AJ190" i="9" s="1"/>
  <c r="AM509" i="9"/>
  <c r="AL187" i="9"/>
  <c r="AL261" i="9"/>
  <c r="AL403" i="9"/>
  <c r="AM511" i="9"/>
  <c r="AL190" i="9"/>
  <c r="AL223" i="9"/>
  <c r="AM224" i="9"/>
  <c r="AI511" i="9"/>
  <c r="AJ511" i="9" s="1"/>
  <c r="AM188" i="9"/>
  <c r="AL439" i="9"/>
  <c r="AL298" i="9"/>
  <c r="AL189" i="9"/>
  <c r="AM330" i="9"/>
  <c r="AL257" i="9"/>
  <c r="AI260" i="9"/>
  <c r="AJ260" i="9" s="1"/>
  <c r="AL296" i="9"/>
  <c r="AI512" i="9"/>
  <c r="AJ512" i="9" s="1"/>
  <c r="AI331" i="9"/>
  <c r="AJ331" i="9" s="1"/>
  <c r="AM293" i="9"/>
  <c r="AL222" i="9"/>
  <c r="AI297" i="9"/>
  <c r="AJ297" i="9" s="1"/>
  <c r="AI257" i="9"/>
  <c r="AJ257" i="9" s="1"/>
  <c r="AI438" i="9"/>
  <c r="AJ438" i="9" s="1"/>
  <c r="AI298" i="9"/>
  <c r="AJ298" i="9" s="1"/>
  <c r="AI259" i="9"/>
  <c r="AJ259" i="9" s="1"/>
  <c r="AI293" i="9"/>
  <c r="AJ293" i="9" s="1"/>
  <c r="AI405" i="9"/>
  <c r="AJ405" i="9" s="1"/>
  <c r="AI473" i="9"/>
  <c r="AJ473" i="9" s="1"/>
  <c r="AI225" i="9"/>
  <c r="AJ225" i="9" s="1"/>
  <c r="AL402" i="9"/>
  <c r="AI441" i="9"/>
  <c r="AJ441" i="9" s="1"/>
  <c r="I23" i="15"/>
  <c r="AM226" i="9"/>
  <c r="AI370" i="9"/>
  <c r="AJ370" i="9" s="1"/>
  <c r="AM367" i="9"/>
  <c r="AM295" i="9"/>
  <c r="AI188" i="9"/>
  <c r="AJ188" i="9" s="1"/>
  <c r="AI330" i="9"/>
  <c r="AJ330" i="9" s="1"/>
  <c r="AI329" i="9"/>
  <c r="AJ329" i="9" s="1"/>
  <c r="AI186" i="9"/>
  <c r="AJ186" i="9" s="1"/>
  <c r="AI185" i="9"/>
  <c r="AJ185" i="9" s="1"/>
  <c r="AI222" i="9"/>
  <c r="AJ222" i="9" s="1"/>
  <c r="AI221" i="9"/>
  <c r="AJ221" i="9" s="1"/>
  <c r="AM370" i="9"/>
  <c r="AI475" i="9"/>
  <c r="AJ475" i="9" s="1"/>
  <c r="AI334" i="9"/>
  <c r="AJ334" i="9" s="1"/>
  <c r="AI439" i="9"/>
  <c r="AJ439" i="9" s="1"/>
  <c r="AI406" i="9"/>
  <c r="AJ406" i="9" s="1"/>
  <c r="AM442" i="9"/>
  <c r="AM225" i="9"/>
  <c r="AM405" i="9"/>
  <c r="AM185" i="9"/>
  <c r="AI404" i="9"/>
  <c r="AJ404" i="9" s="1"/>
  <c r="AM474" i="9"/>
  <c r="AI258" i="9"/>
  <c r="AJ258" i="9" s="1"/>
  <c r="AI295" i="9"/>
  <c r="AJ295" i="9" s="1"/>
  <c r="AI294" i="9"/>
  <c r="AJ294" i="9" s="1"/>
  <c r="AI514" i="9"/>
  <c r="AJ514" i="9" s="1"/>
  <c r="AI187" i="9"/>
  <c r="AJ187" i="9" s="1"/>
  <c r="AI366" i="9"/>
  <c r="AJ366" i="9" s="1"/>
  <c r="AI365" i="9"/>
  <c r="AJ365" i="9" s="1"/>
  <c r="AI402" i="9"/>
  <c r="AJ402" i="9" s="1"/>
  <c r="AI401" i="9"/>
  <c r="AJ401" i="9" s="1"/>
  <c r="AI226" i="9"/>
  <c r="AJ226" i="9" s="1"/>
  <c r="AI440" i="9"/>
  <c r="AJ440" i="9" s="1"/>
  <c r="AI262" i="9"/>
  <c r="AJ262" i="9" s="1"/>
  <c r="AI332" i="9"/>
  <c r="AJ332" i="9" s="1"/>
  <c r="AI442" i="9"/>
  <c r="AJ442" i="9" s="1"/>
  <c r="AI510" i="9"/>
  <c r="AJ510" i="9" s="1"/>
  <c r="AI333" i="9"/>
  <c r="AJ333" i="9" s="1"/>
  <c r="AI369" i="9"/>
  <c r="AJ369" i="9" s="1"/>
  <c r="AI153" i="9"/>
  <c r="AJ153" i="9" s="1"/>
  <c r="AM150" i="9"/>
  <c r="AL154" i="9"/>
  <c r="AM149" i="9"/>
  <c r="AI149" i="9"/>
  <c r="AJ149" i="9" s="1"/>
  <c r="AL153" i="9"/>
  <c r="AH151" i="9"/>
  <c r="AM151" i="9" s="1"/>
  <c r="AH152" i="9"/>
  <c r="AI150" i="9"/>
  <c r="AJ150" i="9" s="1"/>
  <c r="S29" i="15"/>
  <c r="AI154" i="9"/>
  <c r="AJ154" i="9" s="1"/>
  <c r="E63" i="41" l="1"/>
  <c r="D63" i="41"/>
  <c r="D85" i="41" s="1"/>
  <c r="AB20" i="41"/>
  <c r="EB43" i="56" s="1"/>
  <c r="AI303" i="9"/>
  <c r="AJ303" i="9" s="1"/>
  <c r="AM303" i="9"/>
  <c r="AC20" i="41"/>
  <c r="EC43" i="56" s="1"/>
  <c r="AM307" i="9"/>
  <c r="AM306" i="9"/>
  <c r="Y20" i="56"/>
  <c r="AP605" i="9"/>
  <c r="K88" i="41"/>
  <c r="AP580" i="9"/>
  <c r="AP598" i="9"/>
  <c r="AU598" i="9" s="1"/>
  <c r="AP640" i="9"/>
  <c r="AP628" i="9"/>
  <c r="AP641" i="9"/>
  <c r="O88" i="25"/>
  <c r="AS652" i="9"/>
  <c r="AS629" i="9"/>
  <c r="AS640" i="9"/>
  <c r="M88" i="25"/>
  <c r="AP593" i="9"/>
  <c r="AI307" i="9"/>
  <c r="AJ307" i="9" s="1"/>
  <c r="AI306" i="9"/>
  <c r="AJ306" i="9" s="1"/>
  <c r="AM305" i="9"/>
  <c r="AI305" i="9"/>
  <c r="AJ305" i="9" s="1"/>
  <c r="AS596" i="9"/>
  <c r="AU596" i="9" s="1"/>
  <c r="AL308" i="9"/>
  <c r="AM304" i="9"/>
  <c r="I58" i="25" s="1"/>
  <c r="AI308" i="9"/>
  <c r="AJ308" i="9" s="1"/>
  <c r="AI304" i="9"/>
  <c r="AJ304" i="9" s="1"/>
  <c r="AR590" i="9"/>
  <c r="AT590" i="9" s="1"/>
  <c r="Q88" i="41"/>
  <c r="AS595" i="9"/>
  <c r="AU595" i="9" s="1"/>
  <c r="AS594" i="9"/>
  <c r="AU594" i="9" s="1"/>
  <c r="L88" i="25"/>
  <c r="AS597" i="9"/>
  <c r="AU597" i="9" s="1"/>
  <c r="P88" i="25"/>
  <c r="AD20" i="41"/>
  <c r="AM114" i="9"/>
  <c r="AI114" i="9"/>
  <c r="AJ114" i="9" s="1"/>
  <c r="AL114" i="9"/>
  <c r="D84" i="41"/>
  <c r="I56" i="41"/>
  <c r="I61" i="41"/>
  <c r="D64" i="41"/>
  <c r="D85" i="25"/>
  <c r="AI61" i="9"/>
  <c r="AJ61" i="9" s="1"/>
  <c r="AI477" i="9"/>
  <c r="AJ477" i="9" s="1"/>
  <c r="AM97" i="9"/>
  <c r="H58" i="41"/>
  <c r="AI478" i="9"/>
  <c r="AJ478" i="9" s="1"/>
  <c r="AM478" i="9"/>
  <c r="AI97" i="9"/>
  <c r="AJ97" i="9" s="1"/>
  <c r="AM477" i="9"/>
  <c r="H56" i="25"/>
  <c r="AL61" i="9"/>
  <c r="T23" i="15"/>
  <c r="AI22" i="9"/>
  <c r="AJ22" i="9" s="1"/>
  <c r="AI62" i="9"/>
  <c r="AJ62" i="9" s="1"/>
  <c r="AM62" i="9"/>
  <c r="AL62" i="9"/>
  <c r="P28" i="9"/>
  <c r="P26" i="9"/>
  <c r="AL98" i="9"/>
  <c r="AM98" i="9"/>
  <c r="AI98" i="9"/>
  <c r="AJ98" i="9" s="1"/>
  <c r="AM22" i="9"/>
  <c r="E32" i="30"/>
  <c r="E85" i="41"/>
  <c r="E84" i="25"/>
  <c r="E64" i="41"/>
  <c r="D60" i="41"/>
  <c r="K64" i="25"/>
  <c r="E60" i="25"/>
  <c r="M62" i="25"/>
  <c r="L63" i="25"/>
  <c r="K56" i="25"/>
  <c r="L59" i="25"/>
  <c r="H59" i="41"/>
  <c r="D59" i="41"/>
  <c r="I65" i="25"/>
  <c r="M63" i="25"/>
  <c r="E63" i="25"/>
  <c r="H54" i="25"/>
  <c r="E81" i="41"/>
  <c r="E61" i="41"/>
  <c r="I59" i="25"/>
  <c r="E59" i="25"/>
  <c r="D61" i="25"/>
  <c r="H56" i="41"/>
  <c r="H65" i="25"/>
  <c r="H62" i="25"/>
  <c r="D62" i="25"/>
  <c r="M55" i="25"/>
  <c r="AS19" i="9" s="1"/>
  <c r="I62" i="41"/>
  <c r="E62" i="41"/>
  <c r="H64" i="25"/>
  <c r="I54" i="25"/>
  <c r="L64" i="41"/>
  <c r="M56" i="25"/>
  <c r="I56" i="25"/>
  <c r="L65" i="41"/>
  <c r="I63" i="25"/>
  <c r="H63" i="41"/>
  <c r="K59" i="41"/>
  <c r="H61" i="25"/>
  <c r="L57" i="41"/>
  <c r="AL20" i="9"/>
  <c r="H54" i="41" s="1"/>
  <c r="AI21" i="9"/>
  <c r="AJ21" i="9" s="1"/>
  <c r="M64" i="41"/>
  <c r="K62" i="25"/>
  <c r="K63" i="41"/>
  <c r="K61" i="41"/>
  <c r="L61" i="25"/>
  <c r="L60" i="41"/>
  <c r="AL21" i="9"/>
  <c r="L58" i="25"/>
  <c r="AI20" i="9"/>
  <c r="AJ20" i="9" s="1"/>
  <c r="M65" i="25"/>
  <c r="E64" i="25"/>
  <c r="L56" i="25"/>
  <c r="E61" i="25"/>
  <c r="K56" i="41"/>
  <c r="D61" i="41"/>
  <c r="L55" i="41"/>
  <c r="AP18" i="9" s="1"/>
  <c r="L54" i="41"/>
  <c r="AP126" i="9" s="1"/>
  <c r="M54" i="25"/>
  <c r="AS127" i="9" s="1"/>
  <c r="L64" i="25"/>
  <c r="M63" i="41"/>
  <c r="K59" i="25"/>
  <c r="L57" i="25"/>
  <c r="H58" i="25"/>
  <c r="M56" i="41"/>
  <c r="M55" i="41"/>
  <c r="AP19" i="9" s="1"/>
  <c r="AU19" i="9" s="1"/>
  <c r="I59" i="41"/>
  <c r="L55" i="25"/>
  <c r="AS18" i="9" s="1"/>
  <c r="H59" i="25"/>
  <c r="M61" i="41"/>
  <c r="I64" i="41"/>
  <c r="M60" i="25"/>
  <c r="M59" i="41"/>
  <c r="L62" i="25"/>
  <c r="L62" i="41"/>
  <c r="H65" i="41"/>
  <c r="L56" i="41"/>
  <c r="I63" i="41"/>
  <c r="L59" i="41"/>
  <c r="H62" i="41"/>
  <c r="L61" i="41"/>
  <c r="H64" i="41"/>
  <c r="K63" i="25"/>
  <c r="L65" i="25"/>
  <c r="D86" i="25"/>
  <c r="K64" i="41"/>
  <c r="M58" i="41"/>
  <c r="L63" i="41"/>
  <c r="M59" i="25"/>
  <c r="I62" i="25"/>
  <c r="M61" i="25"/>
  <c r="I64" i="25"/>
  <c r="M58" i="25"/>
  <c r="I61" i="25"/>
  <c r="K62" i="41"/>
  <c r="L58" i="41"/>
  <c r="H61" i="41"/>
  <c r="M64" i="25"/>
  <c r="M57" i="25"/>
  <c r="L60" i="25"/>
  <c r="H63" i="25"/>
  <c r="M62" i="41"/>
  <c r="L54" i="25"/>
  <c r="AS126" i="9" s="1"/>
  <c r="K61" i="25"/>
  <c r="S23" i="15"/>
  <c r="AL151" i="9"/>
  <c r="S39" i="15"/>
  <c r="AI152" i="9"/>
  <c r="AJ152" i="9" s="1"/>
  <c r="AI151" i="9"/>
  <c r="AJ151" i="9" s="1"/>
  <c r="AM152" i="9"/>
  <c r="AL152" i="9"/>
  <c r="Y20" i="41" l="1"/>
  <c r="DY43" i="56" s="1"/>
  <c r="X20" i="41"/>
  <c r="DX43" i="56" s="1"/>
  <c r="AU126" i="9"/>
  <c r="E60" i="41"/>
  <c r="E82" i="41" s="1"/>
  <c r="AO594" i="9"/>
  <c r="AU640" i="9"/>
  <c r="Z20" i="41"/>
  <c r="DZ43" i="56" s="1"/>
  <c r="AB20" i="25"/>
  <c r="EB20" i="56" s="1"/>
  <c r="AC20" i="56" s="1"/>
  <c r="AC20" i="25"/>
  <c r="EC20" i="56" s="1"/>
  <c r="AD20" i="56" s="1"/>
  <c r="AD43" i="56"/>
  <c r="AC43" i="56"/>
  <c r="AP486" i="9"/>
  <c r="AP447" i="9"/>
  <c r="AP234" i="9"/>
  <c r="AP523" i="9"/>
  <c r="AP270" i="9"/>
  <c r="AP522" i="9"/>
  <c r="AP629" i="9"/>
  <c r="AU629" i="9" s="1"/>
  <c r="AP617" i="9"/>
  <c r="AP231" i="9"/>
  <c r="AP342" i="9"/>
  <c r="AP450" i="9"/>
  <c r="AP581" i="9"/>
  <c r="AP652" i="9"/>
  <c r="AU652" i="9" s="1"/>
  <c r="AP521" i="9"/>
  <c r="AP519" i="9"/>
  <c r="AP235" i="9"/>
  <c r="AP616" i="9"/>
  <c r="AP485" i="9"/>
  <c r="AP341" i="9"/>
  <c r="AP159" i="9"/>
  <c r="AP592" i="9"/>
  <c r="AU592" i="9" s="1"/>
  <c r="AP411" i="9"/>
  <c r="AP414" i="9"/>
  <c r="AP162" i="9"/>
  <c r="AP343" i="9"/>
  <c r="AP487" i="9"/>
  <c r="AP198" i="9"/>
  <c r="AP378" i="9"/>
  <c r="AP604" i="9"/>
  <c r="AU604" i="9" s="1"/>
  <c r="AO595" i="9"/>
  <c r="ED43" i="56"/>
  <c r="AS198" i="9"/>
  <c r="AS199" i="9"/>
  <c r="AS378" i="9"/>
  <c r="AS520" i="9"/>
  <c r="AS379" i="9"/>
  <c r="AS234" i="9"/>
  <c r="AS522" i="9"/>
  <c r="AS617" i="9"/>
  <c r="AS414" i="9"/>
  <c r="AS484" i="9"/>
  <c r="AS447" i="9"/>
  <c r="AS616" i="9"/>
  <c r="AS487" i="9"/>
  <c r="AS342" i="9"/>
  <c r="AS415" i="9"/>
  <c r="AS485" i="9"/>
  <c r="AS270" i="9"/>
  <c r="AS162" i="9"/>
  <c r="AS306" i="9"/>
  <c r="AS411" i="9"/>
  <c r="AS580" i="9"/>
  <c r="AU580" i="9" s="1"/>
  <c r="AS605" i="9"/>
  <c r="AU605" i="9" s="1"/>
  <c r="AS231" i="9"/>
  <c r="AS523" i="9"/>
  <c r="AS448" i="9"/>
  <c r="AS450" i="9"/>
  <c r="AS341" i="9"/>
  <c r="AS653" i="9"/>
  <c r="AS519" i="9"/>
  <c r="AS235" i="9"/>
  <c r="AS593" i="9"/>
  <c r="AU593" i="9" s="1"/>
  <c r="AS486" i="9"/>
  <c r="AS521" i="9"/>
  <c r="AS159" i="9"/>
  <c r="AS271" i="9"/>
  <c r="AS412" i="9"/>
  <c r="AS483" i="9"/>
  <c r="AS307" i="9"/>
  <c r="AS343" i="9"/>
  <c r="AS339" i="9"/>
  <c r="AS559" i="9"/>
  <c r="AS163" i="9"/>
  <c r="AS628" i="9"/>
  <c r="AU628" i="9" s="1"/>
  <c r="AS340" i="9"/>
  <c r="AS641" i="9"/>
  <c r="AU641" i="9" s="1"/>
  <c r="AS451" i="9"/>
  <c r="AS232" i="9"/>
  <c r="AP306" i="9"/>
  <c r="AP558" i="9"/>
  <c r="AS558" i="9"/>
  <c r="AR596" i="9"/>
  <c r="AD20" i="25"/>
  <c r="ED20" i="56" s="1"/>
  <c r="AF20" i="56" s="1"/>
  <c r="Z20" i="25"/>
  <c r="DZ20" i="56" s="1"/>
  <c r="AB20" i="56" s="1"/>
  <c r="Y20" i="25"/>
  <c r="DY20" i="56" s="1"/>
  <c r="Z20" i="56" s="1"/>
  <c r="AP520" i="9"/>
  <c r="AP484" i="9"/>
  <c r="AP483" i="9"/>
  <c r="I84" i="41"/>
  <c r="AP400" i="9"/>
  <c r="I83" i="41"/>
  <c r="AP77" i="9"/>
  <c r="AP340" i="9"/>
  <c r="H81" i="41"/>
  <c r="AP339" i="9"/>
  <c r="AS208" i="9"/>
  <c r="AS160" i="9"/>
  <c r="I78" i="41"/>
  <c r="M54" i="41"/>
  <c r="D86" i="41"/>
  <c r="E86" i="41"/>
  <c r="AP653" i="9"/>
  <c r="AS581" i="9"/>
  <c r="AP315" i="9"/>
  <c r="AG203" i="53"/>
  <c r="AG188" i="53"/>
  <c r="AG233" i="53"/>
  <c r="AG218" i="53"/>
  <c r="AG428" i="53"/>
  <c r="AG443" i="53"/>
  <c r="AG458" i="53"/>
  <c r="AG473" i="53"/>
  <c r="AG68" i="53"/>
  <c r="AG459" i="53"/>
  <c r="AG444" i="53"/>
  <c r="AG474" i="53"/>
  <c r="AG429" i="53"/>
  <c r="AG447" i="53"/>
  <c r="AG432" i="53"/>
  <c r="AG462" i="53"/>
  <c r="AG477" i="53"/>
  <c r="AG461" i="53"/>
  <c r="AG446" i="53"/>
  <c r="AG431" i="53"/>
  <c r="AG476" i="53"/>
  <c r="AG191" i="53"/>
  <c r="AG206" i="53"/>
  <c r="AG221" i="53"/>
  <c r="AG236" i="53"/>
  <c r="AG56" i="53"/>
  <c r="K54" i="41"/>
  <c r="AP161" i="9" s="1"/>
  <c r="K54" i="25"/>
  <c r="AS161" i="9" s="1"/>
  <c r="AS10" i="9"/>
  <c r="AP6" i="9"/>
  <c r="AP10" i="9"/>
  <c r="AP9" i="9"/>
  <c r="D82" i="41"/>
  <c r="AP64" i="9"/>
  <c r="AS6" i="9"/>
  <c r="L85" i="25"/>
  <c r="L81" i="25"/>
  <c r="M84" i="25"/>
  <c r="M78" i="25"/>
  <c r="K78" i="25"/>
  <c r="E82" i="25"/>
  <c r="H84" i="25"/>
  <c r="H87" i="25"/>
  <c r="H78" i="25"/>
  <c r="AS124" i="9"/>
  <c r="AS76" i="9"/>
  <c r="AP291" i="9"/>
  <c r="H80" i="41"/>
  <c r="H85" i="41"/>
  <c r="AG278" i="53"/>
  <c r="F127" i="15"/>
  <c r="AP424" i="9"/>
  <c r="AS459" i="9"/>
  <c r="M60" i="41"/>
  <c r="AP307" i="9" s="1"/>
  <c r="M39" i="15"/>
  <c r="C39" i="15"/>
  <c r="AB26" i="9"/>
  <c r="AD26" i="9" s="1"/>
  <c r="AB28" i="9"/>
  <c r="Q47" i="32" s="1"/>
  <c r="T24" i="44" s="1"/>
  <c r="AS7" i="9"/>
  <c r="AS9" i="9"/>
  <c r="T17" i="41"/>
  <c r="K86" i="25"/>
  <c r="Q32" i="30"/>
  <c r="AS53" i="9"/>
  <c r="AS65" i="9"/>
  <c r="AP52" i="9"/>
  <c r="I54" i="41"/>
  <c r="AP160" i="9" s="1"/>
  <c r="AP151" i="9"/>
  <c r="AG297" i="53"/>
  <c r="AG357" i="53"/>
  <c r="AS403" i="9"/>
  <c r="AG72" i="53"/>
  <c r="AG86" i="53"/>
  <c r="AP330" i="9"/>
  <c r="AG323" i="53"/>
  <c r="AS327" i="9"/>
  <c r="AP328" i="9"/>
  <c r="AG42" i="53"/>
  <c r="AP223" i="9"/>
  <c r="AG296" i="53"/>
  <c r="AG384" i="53"/>
  <c r="AS472" i="9"/>
  <c r="AG398" i="53"/>
  <c r="AS507" i="9"/>
  <c r="AP436" i="9"/>
  <c r="AG267" i="53"/>
  <c r="AS187" i="9"/>
  <c r="AG38" i="53"/>
  <c r="AG387" i="53"/>
  <c r="AS475" i="9"/>
  <c r="AG83" i="53"/>
  <c r="AP327" i="9"/>
  <c r="AG280" i="53"/>
  <c r="AG132" i="53"/>
  <c r="AP439" i="9"/>
  <c r="AG354" i="53"/>
  <c r="AS400" i="9"/>
  <c r="AG341" i="53"/>
  <c r="AG402" i="53"/>
  <c r="AS511" i="9"/>
  <c r="AG251" i="53"/>
  <c r="AS150" i="9"/>
  <c r="AG309" i="53"/>
  <c r="AS292" i="9"/>
  <c r="AG113" i="53"/>
  <c r="AP399" i="9"/>
  <c r="AG369" i="53"/>
  <c r="AS436" i="9"/>
  <c r="AG416" i="53"/>
  <c r="AS546" i="9"/>
  <c r="AG158" i="53"/>
  <c r="AP507" i="9"/>
  <c r="AG41" i="53"/>
  <c r="AP222" i="9"/>
  <c r="AG342" i="53"/>
  <c r="AG266" i="53"/>
  <c r="AS186" i="9"/>
  <c r="AG27" i="53"/>
  <c r="AP187" i="9"/>
  <c r="AG147" i="53"/>
  <c r="AP475" i="9"/>
  <c r="AG401" i="53"/>
  <c r="AS510" i="9"/>
  <c r="AG40" i="53"/>
  <c r="AG368" i="53"/>
  <c r="AS435" i="9"/>
  <c r="AG386" i="53"/>
  <c r="AS474" i="9"/>
  <c r="AS279" i="9"/>
  <c r="AP76" i="9"/>
  <c r="AG71" i="53"/>
  <c r="AP294" i="9"/>
  <c r="AG327" i="53"/>
  <c r="AS331" i="9"/>
  <c r="AG146" i="53"/>
  <c r="AP474" i="9"/>
  <c r="AG116" i="53"/>
  <c r="AP402" i="9"/>
  <c r="AP472" i="9"/>
  <c r="AG173" i="53"/>
  <c r="AG371" i="53"/>
  <c r="AS438" i="9"/>
  <c r="AP508" i="9"/>
  <c r="AG11" i="53"/>
  <c r="AP150" i="9"/>
  <c r="AG26" i="53"/>
  <c r="AP186" i="9"/>
  <c r="AG417" i="53"/>
  <c r="AS547" i="9"/>
  <c r="AG143" i="53"/>
  <c r="AP471" i="9"/>
  <c r="AG176" i="53"/>
  <c r="AP546" i="9"/>
  <c r="AG282" i="53"/>
  <c r="AS223" i="9"/>
  <c r="AG161" i="53"/>
  <c r="AP510" i="9"/>
  <c r="AS280" i="9"/>
  <c r="AG324" i="53"/>
  <c r="AS328" i="9"/>
  <c r="AG8" i="53"/>
  <c r="AG248" i="53"/>
  <c r="AG414" i="53"/>
  <c r="AS77" i="9"/>
  <c r="AG383" i="53"/>
  <c r="AS471" i="9"/>
  <c r="AG312" i="53"/>
  <c r="AS295" i="9"/>
  <c r="AG399" i="53"/>
  <c r="AS508" i="9"/>
  <c r="AG128" i="53"/>
  <c r="AP435" i="9"/>
  <c r="AG131" i="53"/>
  <c r="AP438" i="9"/>
  <c r="AG87" i="53"/>
  <c r="AP331" i="9"/>
  <c r="AG117" i="53"/>
  <c r="AP403" i="9"/>
  <c r="AG308" i="53"/>
  <c r="AS291" i="9"/>
  <c r="AG252" i="53"/>
  <c r="AS151" i="9"/>
  <c r="AG281" i="53"/>
  <c r="AS222" i="9"/>
  <c r="AG311" i="53"/>
  <c r="AS294" i="9"/>
  <c r="AG101" i="53"/>
  <c r="AG356" i="53"/>
  <c r="AS402" i="9"/>
  <c r="AG162" i="53"/>
  <c r="AP511" i="9"/>
  <c r="AG353" i="53"/>
  <c r="AS399" i="9"/>
  <c r="AG249" i="53"/>
  <c r="AG413" i="53"/>
  <c r="AS64" i="9"/>
  <c r="AG326" i="53"/>
  <c r="AS330" i="9"/>
  <c r="AG372" i="53"/>
  <c r="AS439" i="9"/>
  <c r="AS499" i="9"/>
  <c r="I87" i="25"/>
  <c r="H76" i="41"/>
  <c r="M86" i="41"/>
  <c r="K84" i="25"/>
  <c r="AS172" i="9"/>
  <c r="L79" i="41"/>
  <c r="L87" i="41"/>
  <c r="K85" i="41"/>
  <c r="L86" i="41"/>
  <c r="AS52" i="9"/>
  <c r="I76" i="25"/>
  <c r="H83" i="25"/>
  <c r="AP171" i="9"/>
  <c r="H76" i="25"/>
  <c r="AS247" i="9"/>
  <c r="AS423" i="9"/>
  <c r="M85" i="41"/>
  <c r="M85" i="25"/>
  <c r="E83" i="41"/>
  <c r="AP89" i="9"/>
  <c r="M77" i="25"/>
  <c r="AP460" i="9"/>
  <c r="H78" i="41"/>
  <c r="AS211" i="9"/>
  <c r="I81" i="25"/>
  <c r="AS88" i="9"/>
  <c r="I85" i="25"/>
  <c r="H86" i="25"/>
  <c r="K81" i="41"/>
  <c r="D83" i="25"/>
  <c r="AS496" i="9"/>
  <c r="AS171" i="9"/>
  <c r="AP282" i="9"/>
  <c r="AP495" i="9"/>
  <c r="AP279" i="9"/>
  <c r="E81" i="25"/>
  <c r="M65" i="41"/>
  <c r="AP451" i="9" s="1"/>
  <c r="E84" i="41"/>
  <c r="E85" i="25"/>
  <c r="D81" i="41"/>
  <c r="D84" i="25"/>
  <c r="I65" i="41"/>
  <c r="AP448" i="9" s="1"/>
  <c r="AP208" i="9"/>
  <c r="AP534" i="9"/>
  <c r="AP538" i="9"/>
  <c r="AP138" i="9"/>
  <c r="AS354" i="9"/>
  <c r="AG279" i="53"/>
  <c r="I78" i="25"/>
  <c r="K65" i="25"/>
  <c r="AS449" i="9" s="1"/>
  <c r="AS173" i="9"/>
  <c r="AS463" i="9"/>
  <c r="K65" i="41"/>
  <c r="AP449" i="9" s="1"/>
  <c r="AP207" i="9"/>
  <c r="AP209" i="9"/>
  <c r="AS207" i="9"/>
  <c r="AS498" i="9"/>
  <c r="L80" i="25"/>
  <c r="AS174" i="9"/>
  <c r="AS460" i="9"/>
  <c r="AS89" i="9"/>
  <c r="AS139" i="9"/>
  <c r="AS462" i="9"/>
  <c r="AS210" i="9"/>
  <c r="AS535" i="9"/>
  <c r="AS424" i="9"/>
  <c r="AS355" i="9"/>
  <c r="AS536" i="9"/>
  <c r="K81" i="25"/>
  <c r="AS534" i="9"/>
  <c r="AS246" i="9"/>
  <c r="AS537" i="9"/>
  <c r="AS538" i="9"/>
  <c r="AS319" i="9"/>
  <c r="AS138" i="9"/>
  <c r="AS497" i="9"/>
  <c r="AS315" i="9"/>
  <c r="AS209" i="9"/>
  <c r="AS318" i="9"/>
  <c r="AS426" i="9"/>
  <c r="AS461" i="9"/>
  <c r="AS390" i="9"/>
  <c r="AS391" i="9"/>
  <c r="AS316" i="9"/>
  <c r="AS425" i="9"/>
  <c r="AS495" i="9"/>
  <c r="AS283" i="9"/>
  <c r="AS427" i="9"/>
  <c r="AS282" i="9"/>
  <c r="AP461" i="9"/>
  <c r="AP318" i="9"/>
  <c r="AP459" i="9"/>
  <c r="AP391" i="9"/>
  <c r="AP462" i="9"/>
  <c r="AP463" i="9"/>
  <c r="AP498" i="9"/>
  <c r="AP354" i="9"/>
  <c r="AP427" i="9"/>
  <c r="AP173" i="9"/>
  <c r="AP175" i="9"/>
  <c r="AP497" i="9"/>
  <c r="AP537" i="9"/>
  <c r="AP246" i="9"/>
  <c r="AP499" i="9"/>
  <c r="AP88" i="9"/>
  <c r="AP425" i="9"/>
  <c r="AP423" i="9"/>
  <c r="AP426" i="9"/>
  <c r="AP211" i="9"/>
  <c r="AP174" i="9"/>
  <c r="AP390" i="9"/>
  <c r="L86" i="25"/>
  <c r="L83" i="25"/>
  <c r="L82" i="41"/>
  <c r="L79" i="25"/>
  <c r="M78" i="41"/>
  <c r="K83" i="41"/>
  <c r="AP496" i="9"/>
  <c r="L77" i="41"/>
  <c r="AP210" i="9"/>
  <c r="K78" i="41"/>
  <c r="M76" i="25"/>
  <c r="AS175" i="9"/>
  <c r="L78" i="25"/>
  <c r="M87" i="25"/>
  <c r="L76" i="41"/>
  <c r="E86" i="25"/>
  <c r="D83" i="41"/>
  <c r="E83" i="25"/>
  <c r="L84" i="41"/>
  <c r="M83" i="25"/>
  <c r="L77" i="25"/>
  <c r="M77" i="41"/>
  <c r="AU46" i="9"/>
  <c r="L76" i="25"/>
  <c r="M84" i="41"/>
  <c r="M83" i="41"/>
  <c r="M79" i="25"/>
  <c r="M81" i="25"/>
  <c r="L82" i="25"/>
  <c r="L81" i="41"/>
  <c r="AU82" i="9"/>
  <c r="AU117" i="9"/>
  <c r="AU83" i="9"/>
  <c r="AT12" i="9"/>
  <c r="L70" i="41"/>
  <c r="L78" i="41"/>
  <c r="M70" i="25"/>
  <c r="K83" i="25"/>
  <c r="K58" i="25"/>
  <c r="AS233" i="9" s="1"/>
  <c r="M57" i="41"/>
  <c r="I58" i="41"/>
  <c r="AP232" i="9" s="1"/>
  <c r="AU85" i="9"/>
  <c r="AU120" i="9"/>
  <c r="M86" i="25"/>
  <c r="AU84" i="9"/>
  <c r="M80" i="25"/>
  <c r="H83" i="41"/>
  <c r="I84" i="25"/>
  <c r="L85" i="41"/>
  <c r="H84" i="41"/>
  <c r="H87" i="41"/>
  <c r="I86" i="41"/>
  <c r="H81" i="25"/>
  <c r="I81" i="41"/>
  <c r="H80" i="25"/>
  <c r="AU49" i="9"/>
  <c r="AU48" i="9"/>
  <c r="AU6" i="9"/>
  <c r="AU116" i="9"/>
  <c r="AU121" i="9"/>
  <c r="AT13" i="9"/>
  <c r="H85" i="25"/>
  <c r="I80" i="25"/>
  <c r="L80" i="41"/>
  <c r="K58" i="41"/>
  <c r="AP233" i="9" s="1"/>
  <c r="K86" i="41"/>
  <c r="K85" i="25"/>
  <c r="M81" i="41"/>
  <c r="M82" i="25"/>
  <c r="AU80" i="9"/>
  <c r="L70" i="25"/>
  <c r="AU81" i="9"/>
  <c r="AU47" i="9"/>
  <c r="K84" i="41"/>
  <c r="I83" i="25"/>
  <c r="I86" i="25"/>
  <c r="M80" i="41"/>
  <c r="H86" i="41"/>
  <c r="L87" i="25"/>
  <c r="L83" i="41"/>
  <c r="I85" i="41"/>
  <c r="L84" i="25"/>
  <c r="AU44" i="9"/>
  <c r="AU18" i="9"/>
  <c r="AU10" i="9" l="1"/>
  <c r="AU653" i="9"/>
  <c r="AU581" i="9"/>
  <c r="AP415" i="9"/>
  <c r="AS413" i="9"/>
  <c r="AP413" i="9"/>
  <c r="AP412" i="9"/>
  <c r="AU412" i="9" s="1"/>
  <c r="Y10" i="41"/>
  <c r="DY33" i="56" s="1"/>
  <c r="Y43" i="56"/>
  <c r="Y66" i="56" s="1"/>
  <c r="DX66" i="56"/>
  <c r="T18" i="41"/>
  <c r="DT41" i="56" s="1"/>
  <c r="U41" i="56" s="1"/>
  <c r="AP53" i="9"/>
  <c r="AU53" i="9" s="1"/>
  <c r="AS125" i="9"/>
  <c r="AP124" i="9"/>
  <c r="AU124" i="9" s="1"/>
  <c r="AP163" i="9"/>
  <c r="AU163" i="9" s="1"/>
  <c r="AP127" i="9"/>
  <c r="AU127" i="9" s="1"/>
  <c r="AP125" i="9"/>
  <c r="AU125" i="9" s="1"/>
  <c r="DT40" i="56"/>
  <c r="U40" i="56" s="1"/>
  <c r="AR594" i="9"/>
  <c r="AT594" i="9" s="1"/>
  <c r="EB66" i="56"/>
  <c r="AD66" i="56"/>
  <c r="EC66" i="56"/>
  <c r="AU400" i="9"/>
  <c r="AU617" i="9"/>
  <c r="AU616" i="9"/>
  <c r="AU208" i="9"/>
  <c r="AC66" i="56"/>
  <c r="X10" i="41"/>
  <c r="DX33" i="56" s="1"/>
  <c r="AX595" i="9"/>
  <c r="AU451" i="9"/>
  <c r="AU486" i="9"/>
  <c r="AU521" i="9"/>
  <c r="AU161" i="9"/>
  <c r="AU447" i="9"/>
  <c r="AU522" i="9"/>
  <c r="AU341" i="9"/>
  <c r="AU487" i="9"/>
  <c r="Z43" i="56"/>
  <c r="AX592" i="9" s="1"/>
  <c r="DY66" i="56"/>
  <c r="ED66" i="56"/>
  <c r="DZ66" i="56"/>
  <c r="AB43" i="56"/>
  <c r="AB66" i="56" s="1"/>
  <c r="AF43" i="56"/>
  <c r="AF66" i="56" s="1"/>
  <c r="AX594" i="9"/>
  <c r="AU231" i="9"/>
  <c r="AU270" i="9"/>
  <c r="AU159" i="9"/>
  <c r="AU162" i="9"/>
  <c r="AU414" i="9"/>
  <c r="AU523" i="9"/>
  <c r="AU235" i="9"/>
  <c r="AU450" i="9"/>
  <c r="AU232" i="9"/>
  <c r="AU411" i="9"/>
  <c r="AU519" i="9"/>
  <c r="AU378" i="9"/>
  <c r="AU342" i="9"/>
  <c r="AU234" i="9"/>
  <c r="AU449" i="9"/>
  <c r="AU343" i="9"/>
  <c r="AP199" i="9"/>
  <c r="AU199" i="9" s="1"/>
  <c r="AU485" i="9"/>
  <c r="AU233" i="9"/>
  <c r="AU198" i="9"/>
  <c r="AU520" i="9"/>
  <c r="AU306" i="9"/>
  <c r="AU340" i="9"/>
  <c r="AU483" i="9"/>
  <c r="AU448" i="9"/>
  <c r="AU415" i="9"/>
  <c r="AU484" i="9"/>
  <c r="AO596" i="9"/>
  <c r="AT596" i="9" s="1"/>
  <c r="AU558" i="9"/>
  <c r="AU339" i="9"/>
  <c r="AU307" i="9"/>
  <c r="AR595" i="9"/>
  <c r="AT595" i="9" s="1"/>
  <c r="AO639" i="9"/>
  <c r="AO651" i="9"/>
  <c r="AP535" i="9"/>
  <c r="AU535" i="9" s="1"/>
  <c r="AP559" i="9"/>
  <c r="AU559" i="9" s="1"/>
  <c r="AP355" i="9"/>
  <c r="AU355" i="9" s="1"/>
  <c r="AP379" i="9"/>
  <c r="AU379" i="9" s="1"/>
  <c r="M76" i="41"/>
  <c r="AG12" i="53"/>
  <c r="AG325" i="53"/>
  <c r="AP65" i="9"/>
  <c r="AU65" i="9" s="1"/>
  <c r="AG85" i="53"/>
  <c r="AG57" i="53"/>
  <c r="AP271" i="9"/>
  <c r="AU271" i="9" s="1"/>
  <c r="K76" i="25"/>
  <c r="Y8" i="25" s="1"/>
  <c r="AG10" i="53"/>
  <c r="AU160" i="9"/>
  <c r="AG250" i="53"/>
  <c r="K76" i="41"/>
  <c r="AP281" i="9"/>
  <c r="AP247" i="9"/>
  <c r="AU247" i="9" s="1"/>
  <c r="AS281" i="9"/>
  <c r="AP280" i="9"/>
  <c r="AU280" i="9" s="1"/>
  <c r="AG222" i="53"/>
  <c r="AG192" i="53"/>
  <c r="AG207" i="53"/>
  <c r="AG237" i="53"/>
  <c r="AG160" i="53"/>
  <c r="AG115" i="53"/>
  <c r="AG159" i="53"/>
  <c r="AG370" i="53"/>
  <c r="AG144" i="53"/>
  <c r="AG84" i="53"/>
  <c r="AG130" i="53"/>
  <c r="AG129" i="53"/>
  <c r="AG385" i="53"/>
  <c r="AG355" i="53"/>
  <c r="AG400" i="53"/>
  <c r="AG145" i="53"/>
  <c r="AG220" i="53"/>
  <c r="AG205" i="53"/>
  <c r="AG190" i="53"/>
  <c r="AG235" i="53"/>
  <c r="AG234" i="53"/>
  <c r="AG189" i="53"/>
  <c r="AG204" i="53"/>
  <c r="AG219" i="53"/>
  <c r="AG114" i="53"/>
  <c r="AG460" i="53"/>
  <c r="AG475" i="53"/>
  <c r="AG445" i="53"/>
  <c r="AG430" i="53"/>
  <c r="AG39" i="53"/>
  <c r="AP295" i="9"/>
  <c r="AU295" i="9" s="1"/>
  <c r="X16" i="25"/>
  <c r="AS8" i="9"/>
  <c r="AP7" i="9"/>
  <c r="AU7" i="9" s="1"/>
  <c r="AU64" i="9"/>
  <c r="X10" i="25"/>
  <c r="AU291" i="9"/>
  <c r="AU76" i="9"/>
  <c r="X17" i="41"/>
  <c r="M82" i="41"/>
  <c r="AG102" i="53"/>
  <c r="AP172" i="9"/>
  <c r="AU172" i="9" s="1"/>
  <c r="AU499" i="9"/>
  <c r="R47" i="32"/>
  <c r="U24" i="44" s="1"/>
  <c r="AP536" i="9"/>
  <c r="AU536" i="9" s="1"/>
  <c r="H39" i="15"/>
  <c r="AD28" i="9"/>
  <c r="AH29" i="9"/>
  <c r="R29" i="15"/>
  <c r="X13" i="41"/>
  <c r="X18" i="25"/>
  <c r="Y16" i="41"/>
  <c r="Y15" i="41"/>
  <c r="AU403" i="9"/>
  <c r="AG9" i="53"/>
  <c r="AU52" i="9"/>
  <c r="Z17" i="41"/>
  <c r="I76" i="41"/>
  <c r="AU511" i="9"/>
  <c r="AU472" i="9"/>
  <c r="AU510" i="9"/>
  <c r="AU402" i="9"/>
  <c r="Z13" i="41"/>
  <c r="AU507" i="9"/>
  <c r="AU546" i="9"/>
  <c r="Y17" i="25"/>
  <c r="AU327" i="9"/>
  <c r="AU474" i="9"/>
  <c r="Y10" i="25"/>
  <c r="AB16" i="41"/>
  <c r="AU471" i="9"/>
  <c r="AU508" i="9"/>
  <c r="AU435" i="9"/>
  <c r="AU436" i="9"/>
  <c r="AG69" i="53"/>
  <c r="AP292" i="9"/>
  <c r="AU292" i="9" s="1"/>
  <c r="AU399" i="9"/>
  <c r="AU439" i="9"/>
  <c r="AU328" i="9"/>
  <c r="AG174" i="53"/>
  <c r="AG177" i="53"/>
  <c r="AP547" i="9"/>
  <c r="AU547" i="9" s="1"/>
  <c r="AU438" i="9"/>
  <c r="AG310" i="53"/>
  <c r="AU475" i="9"/>
  <c r="Z15" i="41"/>
  <c r="AB12" i="41"/>
  <c r="AB13" i="41"/>
  <c r="Y18" i="25"/>
  <c r="X15" i="41"/>
  <c r="Z17" i="25"/>
  <c r="X17" i="25"/>
  <c r="Z10" i="41"/>
  <c r="X16" i="41"/>
  <c r="Y18" i="41"/>
  <c r="Y13" i="41"/>
  <c r="Z18" i="41"/>
  <c r="X18" i="41"/>
  <c r="Z16" i="41"/>
  <c r="Y17" i="41"/>
  <c r="AP139" i="9"/>
  <c r="AU139" i="9" s="1"/>
  <c r="AU496" i="9"/>
  <c r="AU211" i="9"/>
  <c r="AU88" i="9"/>
  <c r="AU171" i="9"/>
  <c r="AU495" i="9"/>
  <c r="AU89" i="9"/>
  <c r="I87" i="41"/>
  <c r="AU138" i="9"/>
  <c r="AU498" i="9"/>
  <c r="M87" i="41"/>
  <c r="AU282" i="9"/>
  <c r="AU209" i="9"/>
  <c r="AU538" i="9"/>
  <c r="AG175" i="53"/>
  <c r="K87" i="41"/>
  <c r="AO360" i="9"/>
  <c r="AR324" i="9"/>
  <c r="AO467" i="9"/>
  <c r="AR180" i="9"/>
  <c r="AR541" i="9"/>
  <c r="AO431" i="9"/>
  <c r="AR396" i="9"/>
  <c r="AR251" i="9"/>
  <c r="AO324" i="9"/>
  <c r="AR360" i="9"/>
  <c r="AR540" i="9"/>
  <c r="AO359" i="9"/>
  <c r="AO253" i="9"/>
  <c r="AR539" i="9"/>
  <c r="AO539" i="9"/>
  <c r="AO216" i="9"/>
  <c r="AO361" i="9"/>
  <c r="AO395" i="9"/>
  <c r="AO179" i="9"/>
  <c r="AU173" i="9"/>
  <c r="AR361" i="9"/>
  <c r="AO323" i="9"/>
  <c r="AO503" i="9"/>
  <c r="AO215" i="9"/>
  <c r="AO289" i="9"/>
  <c r="AO325" i="9"/>
  <c r="AG415" i="53"/>
  <c r="K87" i="25"/>
  <c r="X19" i="25" s="1"/>
  <c r="AO217" i="9"/>
  <c r="AR253" i="9"/>
  <c r="AO143" i="9"/>
  <c r="AO207" i="9"/>
  <c r="AP319" i="9"/>
  <c r="AU319" i="9" s="1"/>
  <c r="AR145" i="9"/>
  <c r="AU207" i="9"/>
  <c r="AG70" i="53"/>
  <c r="AO468" i="9"/>
  <c r="AO251" i="9"/>
  <c r="AO469" i="9"/>
  <c r="AR359" i="9"/>
  <c r="AU210" i="9"/>
  <c r="AU391" i="9"/>
  <c r="AU537" i="9"/>
  <c r="AU175" i="9"/>
  <c r="AU427" i="9"/>
  <c r="AU497" i="9"/>
  <c r="AS317" i="9"/>
  <c r="AP316" i="9"/>
  <c r="AU316" i="9" s="1"/>
  <c r="AP317" i="9"/>
  <c r="AP283" i="9"/>
  <c r="AU283" i="9" s="1"/>
  <c r="AU462" i="9"/>
  <c r="AT83" i="9"/>
  <c r="AT79" i="9"/>
  <c r="AT44" i="9"/>
  <c r="AT81" i="9"/>
  <c r="M70" i="41"/>
  <c r="AU118" i="9"/>
  <c r="AT45" i="9"/>
  <c r="AT85" i="9"/>
  <c r="AT82" i="9"/>
  <c r="AT11" i="9"/>
  <c r="AT49" i="9"/>
  <c r="AT120" i="9"/>
  <c r="AT42" i="9"/>
  <c r="M79" i="41"/>
  <c r="AT43" i="9"/>
  <c r="AU77" i="9"/>
  <c r="M92" i="25"/>
  <c r="L92" i="25"/>
  <c r="L92" i="41"/>
  <c r="AT47" i="9"/>
  <c r="K80" i="41"/>
  <c r="Z12" i="41" s="1"/>
  <c r="AU246" i="9"/>
  <c r="AT46" i="9"/>
  <c r="AT78" i="9"/>
  <c r="AU150" i="9"/>
  <c r="AU460" i="9"/>
  <c r="I80" i="41"/>
  <c r="K80" i="25"/>
  <c r="Y12" i="25" s="1"/>
  <c r="AT121" i="9"/>
  <c r="AU459" i="9"/>
  <c r="AU423" i="9"/>
  <c r="AU315" i="9"/>
  <c r="AU222" i="9"/>
  <c r="AU45" i="9"/>
  <c r="AU279" i="9"/>
  <c r="AU425" i="9"/>
  <c r="AU330" i="9"/>
  <c r="AU318" i="9"/>
  <c r="AU186" i="9"/>
  <c r="AU294" i="9"/>
  <c r="AU534" i="9"/>
  <c r="AU9" i="9"/>
  <c r="AT48" i="9"/>
  <c r="AU223" i="9"/>
  <c r="AU390" i="9"/>
  <c r="AU424" i="9"/>
  <c r="AU331" i="9"/>
  <c r="AU174" i="9"/>
  <c r="AU354" i="9"/>
  <c r="AU461" i="9"/>
  <c r="AU187" i="9"/>
  <c r="AU426" i="9"/>
  <c r="AU463" i="9"/>
  <c r="AU413" i="9" l="1"/>
  <c r="Z8" i="41"/>
  <c r="DZ31" i="56" s="1"/>
  <c r="AX596" i="9"/>
  <c r="Z66" i="56"/>
  <c r="Z33" i="56"/>
  <c r="Y33" i="56"/>
  <c r="AX593" i="9"/>
  <c r="DZ35" i="56"/>
  <c r="EB35" i="56"/>
  <c r="DZ39" i="56"/>
  <c r="AO519" i="9"/>
  <c r="DY41" i="56"/>
  <c r="DX38" i="56"/>
  <c r="AO484" i="9"/>
  <c r="DZ40" i="56"/>
  <c r="AO518" i="9"/>
  <c r="DX41" i="56"/>
  <c r="AO521" i="9"/>
  <c r="AO160" i="9"/>
  <c r="DZ33" i="56"/>
  <c r="DZ38" i="56"/>
  <c r="EB39" i="56"/>
  <c r="DY38" i="56"/>
  <c r="AO482" i="9"/>
  <c r="DX40" i="56"/>
  <c r="AO520" i="9"/>
  <c r="DZ41" i="56"/>
  <c r="AO232" i="9"/>
  <c r="AO340" i="9"/>
  <c r="DZ36" i="56"/>
  <c r="DY39" i="56"/>
  <c r="AO338" i="9"/>
  <c r="DX36" i="56"/>
  <c r="AO483" i="9"/>
  <c r="DY40" i="56"/>
  <c r="AO339" i="9"/>
  <c r="DY36" i="56"/>
  <c r="DX39" i="56"/>
  <c r="AO341" i="9"/>
  <c r="EB36" i="56"/>
  <c r="DX19" i="56"/>
  <c r="Y19" i="56" s="1"/>
  <c r="DY18" i="56"/>
  <c r="Z18" i="56" s="1"/>
  <c r="DX17" i="56"/>
  <c r="DZ17" i="56"/>
  <c r="AB17" i="56" s="1"/>
  <c r="DY17" i="56"/>
  <c r="Z17" i="56" s="1"/>
  <c r="DY10" i="56"/>
  <c r="Z10" i="56" s="1"/>
  <c r="DY12" i="56"/>
  <c r="Z12" i="56" s="1"/>
  <c r="DX18" i="56"/>
  <c r="DX10" i="56"/>
  <c r="Y10" i="56" s="1"/>
  <c r="DX16" i="56"/>
  <c r="Y16" i="56" s="1"/>
  <c r="DY8" i="56"/>
  <c r="Z8" i="56" s="1"/>
  <c r="AR484" i="9"/>
  <c r="AR482" i="9"/>
  <c r="AR159" i="9"/>
  <c r="AR518" i="9"/>
  <c r="AR483" i="9"/>
  <c r="AR554" i="9"/>
  <c r="AR519" i="9"/>
  <c r="X8" i="25"/>
  <c r="AR158" i="9" s="1"/>
  <c r="AR422" i="9"/>
  <c r="AR446" i="9"/>
  <c r="AR206" i="9"/>
  <c r="AU281" i="9"/>
  <c r="Y8" i="41"/>
  <c r="AO159" i="9" s="1"/>
  <c r="AF38" i="53"/>
  <c r="D12" i="53"/>
  <c r="Y19" i="25"/>
  <c r="AF277" i="53"/>
  <c r="AO173" i="9"/>
  <c r="AO470" i="9"/>
  <c r="AO353" i="9"/>
  <c r="AO389" i="9"/>
  <c r="AF144" i="53"/>
  <c r="AO123" i="9"/>
  <c r="AO496" i="9"/>
  <c r="AO7" i="9"/>
  <c r="AO6" i="9"/>
  <c r="AF278" i="53"/>
  <c r="AF248" i="53"/>
  <c r="AR458" i="9"/>
  <c r="AR170" i="9"/>
  <c r="AR495" i="9"/>
  <c r="AF383" i="53"/>
  <c r="AO458" i="9"/>
  <c r="AO425" i="9"/>
  <c r="AO424" i="9"/>
  <c r="AR172" i="9"/>
  <c r="AO460" i="9"/>
  <c r="AR279" i="9"/>
  <c r="AO280" i="9"/>
  <c r="AR207" i="9"/>
  <c r="AT207" i="9" s="1"/>
  <c r="AO172" i="9"/>
  <c r="AR530" i="9"/>
  <c r="AO208" i="9"/>
  <c r="AO171" i="9"/>
  <c r="AO495" i="9"/>
  <c r="AO494" i="9"/>
  <c r="AR459" i="9"/>
  <c r="AO422" i="9"/>
  <c r="AT422" i="9" s="1"/>
  <c r="AR494" i="9"/>
  <c r="AO423" i="9"/>
  <c r="AO497" i="9"/>
  <c r="AO459" i="9"/>
  <c r="AR460" i="9"/>
  <c r="AR171" i="9"/>
  <c r="AL29" i="9"/>
  <c r="K55" i="41" s="1"/>
  <c r="AM29" i="9"/>
  <c r="K55" i="25" s="1"/>
  <c r="AI29" i="9"/>
  <c r="AJ29" i="9" s="1"/>
  <c r="R39" i="15"/>
  <c r="X19" i="41"/>
  <c r="AO446" i="9" s="1"/>
  <c r="X8" i="41"/>
  <c r="AO158" i="9" s="1"/>
  <c r="AF84" i="53"/>
  <c r="AO437" i="9"/>
  <c r="AO397" i="9"/>
  <c r="AO396" i="9"/>
  <c r="AT396" i="9" s="1"/>
  <c r="AO433" i="9"/>
  <c r="AR323" i="9"/>
  <c r="AT323" i="9" s="1"/>
  <c r="AF129" i="53"/>
  <c r="AF39" i="53"/>
  <c r="AF114" i="53"/>
  <c r="AR395" i="9"/>
  <c r="AT395" i="9" s="1"/>
  <c r="AO540" i="9"/>
  <c r="AT540" i="9" s="1"/>
  <c r="AO504" i="9"/>
  <c r="AO432" i="9"/>
  <c r="AO402" i="9"/>
  <c r="AO506" i="9"/>
  <c r="AO221" i="9"/>
  <c r="AO541" i="9"/>
  <c r="AT541" i="9" s="1"/>
  <c r="AO505" i="9"/>
  <c r="AO181" i="9"/>
  <c r="AF308" i="53"/>
  <c r="AF159" i="53"/>
  <c r="AO509" i="9"/>
  <c r="AF398" i="53"/>
  <c r="AO185" i="9"/>
  <c r="AO330" i="9"/>
  <c r="AO401" i="9"/>
  <c r="AO329" i="9"/>
  <c r="Y19" i="41"/>
  <c r="AO447" i="9" s="1"/>
  <c r="M92" i="41"/>
  <c r="AR325" i="9"/>
  <c r="AT325" i="9" s="1"/>
  <c r="AT324" i="9"/>
  <c r="AT251" i="9"/>
  <c r="AT360" i="9"/>
  <c r="AT539" i="9"/>
  <c r="AR432" i="9"/>
  <c r="AR144" i="9"/>
  <c r="AR433" i="9"/>
  <c r="AR505" i="9"/>
  <c r="AO180" i="9"/>
  <c r="AT180" i="9" s="1"/>
  <c r="AO252" i="9"/>
  <c r="AO288" i="9"/>
  <c r="AR216" i="9"/>
  <c r="AT216" i="9" s="1"/>
  <c r="AR181" i="9"/>
  <c r="AR217" i="9"/>
  <c r="AT217" i="9" s="1"/>
  <c r="AR469" i="9"/>
  <c r="AT469" i="9" s="1"/>
  <c r="AR288" i="9"/>
  <c r="AR179" i="9"/>
  <c r="AT179" i="9" s="1"/>
  <c r="AR504" i="9"/>
  <c r="AR289" i="9"/>
  <c r="AT289" i="9" s="1"/>
  <c r="AR503" i="9"/>
  <c r="AT503" i="9" s="1"/>
  <c r="AR468" i="9"/>
  <c r="AT468" i="9" s="1"/>
  <c r="AT361" i="9"/>
  <c r="AO206" i="9"/>
  <c r="AT206" i="9" s="1"/>
  <c r="AR431" i="9"/>
  <c r="AT431" i="9" s="1"/>
  <c r="AR252" i="9"/>
  <c r="AT253" i="9"/>
  <c r="AT359" i="9"/>
  <c r="AF69" i="53"/>
  <c r="AR143" i="9"/>
  <c r="AT143" i="9" s="1"/>
  <c r="AR215" i="9"/>
  <c r="AT215" i="9" s="1"/>
  <c r="AR467" i="9"/>
  <c r="AT467" i="9" s="1"/>
  <c r="AR397" i="9"/>
  <c r="AO316" i="9"/>
  <c r="AO282" i="9"/>
  <c r="AO390" i="9"/>
  <c r="AT80" i="9"/>
  <c r="AU119" i="9"/>
  <c r="X12" i="25"/>
  <c r="AU151" i="9"/>
  <c r="Y12" i="41"/>
  <c r="AO231" i="9" s="1"/>
  <c r="AT84" i="9"/>
  <c r="AT119" i="9"/>
  <c r="AT114" i="9"/>
  <c r="AT115" i="9"/>
  <c r="AU317" i="9"/>
  <c r="X12" i="41"/>
  <c r="AO230" i="9" s="1"/>
  <c r="AG265" i="53" l="1"/>
  <c r="K77" i="25"/>
  <c r="Z9" i="25" s="1"/>
  <c r="DZ9" i="56" s="1"/>
  <c r="AB9" i="56" s="1"/>
  <c r="AG25" i="53"/>
  <c r="K77" i="41"/>
  <c r="Z9" i="41" s="1"/>
  <c r="AO411" i="9"/>
  <c r="AO410" i="9"/>
  <c r="K57" i="25"/>
  <c r="K57" i="41"/>
  <c r="AF9" i="53"/>
  <c r="AT159" i="9"/>
  <c r="AT158" i="9"/>
  <c r="Y56" i="56"/>
  <c r="AX597" i="9"/>
  <c r="Z56" i="56"/>
  <c r="AT519" i="9"/>
  <c r="AT518" i="9"/>
  <c r="Z36" i="56"/>
  <c r="Z39" i="56"/>
  <c r="Z38" i="56"/>
  <c r="DZ63" i="56"/>
  <c r="DY56" i="56"/>
  <c r="DX62" i="56"/>
  <c r="Z40" i="56"/>
  <c r="Z63" i="56" s="1"/>
  <c r="DY63" i="56"/>
  <c r="DX63" i="56"/>
  <c r="DX64" i="56"/>
  <c r="Z41" i="56"/>
  <c r="Z64" i="56" s="1"/>
  <c r="DY64" i="56"/>
  <c r="DX56" i="56"/>
  <c r="AB31" i="56"/>
  <c r="AC36" i="56"/>
  <c r="AB41" i="56"/>
  <c r="AX521" i="9" s="1"/>
  <c r="AB38" i="56"/>
  <c r="AB40" i="56"/>
  <c r="AB63" i="56" s="1"/>
  <c r="AB39" i="56"/>
  <c r="AC35" i="56"/>
  <c r="AB35" i="56"/>
  <c r="Y39" i="56"/>
  <c r="Y62" i="56" s="1"/>
  <c r="Y36" i="56"/>
  <c r="AB36" i="56"/>
  <c r="AX341" i="9" s="1"/>
  <c r="Y40" i="56"/>
  <c r="AC39" i="56"/>
  <c r="AB33" i="56"/>
  <c r="Y41" i="56"/>
  <c r="Y38" i="56"/>
  <c r="AT484" i="9"/>
  <c r="DY31" i="56"/>
  <c r="DY35" i="56"/>
  <c r="DY42" i="56"/>
  <c r="DX35" i="56"/>
  <c r="Y17" i="56"/>
  <c r="Y18" i="56"/>
  <c r="AT482" i="9"/>
  <c r="AT446" i="9"/>
  <c r="AT483" i="9"/>
  <c r="DX31" i="56"/>
  <c r="AO554" i="9"/>
  <c r="AT554" i="9" s="1"/>
  <c r="DX42" i="56"/>
  <c r="DX65" i="56" s="1"/>
  <c r="DX12" i="56"/>
  <c r="Y12" i="56" s="1"/>
  <c r="DX8" i="56"/>
  <c r="DY19" i="56"/>
  <c r="Z19" i="56" s="1"/>
  <c r="AF443" i="53"/>
  <c r="AF247" i="53"/>
  <c r="AO293" i="9"/>
  <c r="AO294" i="9"/>
  <c r="AY279" i="9"/>
  <c r="AO245" i="9"/>
  <c r="AS245" i="9"/>
  <c r="AY170" i="9"/>
  <c r="AF8" i="53"/>
  <c r="AY207" i="9"/>
  <c r="AP245" i="9"/>
  <c r="AY171" i="9"/>
  <c r="AR278" i="9"/>
  <c r="AT495" i="9"/>
  <c r="AO279" i="9"/>
  <c r="AT279" i="9" s="1"/>
  <c r="AO278" i="9"/>
  <c r="AY206" i="9"/>
  <c r="AY459" i="9"/>
  <c r="AY134" i="9"/>
  <c r="AY495" i="9"/>
  <c r="AT458" i="9"/>
  <c r="AF458" i="53"/>
  <c r="AF473" i="53"/>
  <c r="AF428" i="53"/>
  <c r="AF158" i="53"/>
  <c r="AF127" i="53"/>
  <c r="AF157" i="53"/>
  <c r="AF112" i="53"/>
  <c r="AF83" i="53"/>
  <c r="AF457" i="53"/>
  <c r="AF427" i="53"/>
  <c r="AF143" i="53"/>
  <c r="AF397" i="53"/>
  <c r="AF113" i="53"/>
  <c r="AF233" i="53"/>
  <c r="AF412" i="53"/>
  <c r="AF367" i="53"/>
  <c r="AF472" i="53"/>
  <c r="AF442" i="53"/>
  <c r="AF188" i="53"/>
  <c r="AF128" i="53"/>
  <c r="AF203" i="53"/>
  <c r="AF382" i="53"/>
  <c r="AF218" i="53"/>
  <c r="AF202" i="53"/>
  <c r="AF187" i="53"/>
  <c r="AF232" i="53"/>
  <c r="AF217" i="53"/>
  <c r="AF37" i="53"/>
  <c r="AF82" i="53"/>
  <c r="AF142" i="53"/>
  <c r="AF413" i="53"/>
  <c r="AT460" i="9"/>
  <c r="AT172" i="9"/>
  <c r="AR7" i="9"/>
  <c r="AT7" i="9" s="1"/>
  <c r="AR6" i="9"/>
  <c r="AT6" i="9" s="1"/>
  <c r="AO170" i="9"/>
  <c r="AT170" i="9" s="1"/>
  <c r="AT494" i="9"/>
  <c r="AT171" i="9"/>
  <c r="AT459" i="9"/>
  <c r="AT504" i="9"/>
  <c r="AT397" i="9"/>
  <c r="AF172" i="53"/>
  <c r="AO530" i="9"/>
  <c r="AT530" i="9" s="1"/>
  <c r="K60" i="25"/>
  <c r="AT433" i="9"/>
  <c r="K60" i="41"/>
  <c r="AT432" i="9"/>
  <c r="AT505" i="9"/>
  <c r="AT181" i="9"/>
  <c r="AF7" i="53"/>
  <c r="AO146" i="9"/>
  <c r="AO144" i="9"/>
  <c r="AT144" i="9" s="1"/>
  <c r="AO287" i="9"/>
  <c r="AO145" i="9"/>
  <c r="AT145" i="9" s="1"/>
  <c r="AF173" i="53"/>
  <c r="AT252" i="9"/>
  <c r="AR287" i="9"/>
  <c r="AT288" i="9"/>
  <c r="AF67" i="53"/>
  <c r="AO317" i="9"/>
  <c r="AF68" i="53"/>
  <c r="AO318" i="9"/>
  <c r="AF307" i="53"/>
  <c r="AR314" i="9"/>
  <c r="AO314" i="9"/>
  <c r="AO315" i="9"/>
  <c r="AO281" i="9"/>
  <c r="S9" i="50"/>
  <c r="S17" i="50"/>
  <c r="AT118" i="9"/>
  <c r="AT117" i="9"/>
  <c r="DZ32" i="56" l="1"/>
  <c r="AF24" i="53"/>
  <c r="AP269" i="9"/>
  <c r="AP305" i="9"/>
  <c r="K79" i="41"/>
  <c r="Z11" i="41" s="1"/>
  <c r="AO196" i="9" s="1"/>
  <c r="AP197" i="9"/>
  <c r="K79" i="25"/>
  <c r="AS197" i="9"/>
  <c r="AS269" i="9"/>
  <c r="AS305" i="9"/>
  <c r="AG55" i="53"/>
  <c r="AG295" i="53"/>
  <c r="AX340" i="9"/>
  <c r="AX339" i="9"/>
  <c r="AX483" i="9"/>
  <c r="AX161" i="9"/>
  <c r="AX522" i="9"/>
  <c r="AX342" i="9"/>
  <c r="AX233" i="9"/>
  <c r="AX485" i="9"/>
  <c r="AX519" i="9"/>
  <c r="AX520" i="9"/>
  <c r="AX484" i="9"/>
  <c r="DX54" i="56"/>
  <c r="Z42" i="56"/>
  <c r="AX556" i="9" s="1"/>
  <c r="DY65" i="56"/>
  <c r="Z35" i="56"/>
  <c r="DY58" i="56"/>
  <c r="DX58" i="56"/>
  <c r="Z31" i="56"/>
  <c r="DY54" i="56"/>
  <c r="Y42" i="56"/>
  <c r="AX447" i="9" s="1"/>
  <c r="Y35" i="56"/>
  <c r="AX231" i="9" s="1"/>
  <c r="Y31" i="56"/>
  <c r="AX123" i="9" s="1"/>
  <c r="Y64" i="56"/>
  <c r="Y63" i="56"/>
  <c r="AY483" i="9"/>
  <c r="AY519" i="9"/>
  <c r="Y8" i="56"/>
  <c r="AS377" i="9"/>
  <c r="AU245" i="9"/>
  <c r="AP353" i="9"/>
  <c r="AP377" i="9"/>
  <c r="AY278" i="9"/>
  <c r="AO244" i="9"/>
  <c r="AU269" i="9"/>
  <c r="AT278" i="9"/>
  <c r="AS353" i="9"/>
  <c r="AY314" i="9"/>
  <c r="AY494" i="9"/>
  <c r="AY422" i="9"/>
  <c r="AY458" i="9"/>
  <c r="BY24" i="56"/>
  <c r="CC24" i="56"/>
  <c r="CA24" i="56"/>
  <c r="AS389" i="9"/>
  <c r="AG100" i="53"/>
  <c r="K82" i="41"/>
  <c r="K70" i="25"/>
  <c r="K82" i="25"/>
  <c r="K92" i="25" s="1"/>
  <c r="K70" i="41"/>
  <c r="AG340" i="53"/>
  <c r="AO388" i="9"/>
  <c r="AP389" i="9"/>
  <c r="AT287" i="9"/>
  <c r="AT314" i="9"/>
  <c r="AT116" i="9"/>
  <c r="AB32" i="56" l="1"/>
  <c r="DZ55" i="56"/>
  <c r="AF54" i="53"/>
  <c r="DZ34" i="56"/>
  <c r="AB34" i="56" s="1"/>
  <c r="AX197" i="9" s="1"/>
  <c r="K92" i="41"/>
  <c r="AX412" i="9"/>
  <c r="AX411" i="9"/>
  <c r="AX232" i="9"/>
  <c r="AU305" i="9"/>
  <c r="AU197" i="9"/>
  <c r="AX448" i="9"/>
  <c r="AX160" i="9"/>
  <c r="AX124" i="9"/>
  <c r="Y65" i="56"/>
  <c r="AY159" i="9"/>
  <c r="AX159" i="9"/>
  <c r="AX555" i="9"/>
  <c r="AU353" i="9"/>
  <c r="Z65" i="56"/>
  <c r="Z54" i="56"/>
  <c r="Z58" i="56"/>
  <c r="Y58" i="56"/>
  <c r="Y54" i="56"/>
  <c r="AU377" i="9"/>
  <c r="AU389" i="9"/>
  <c r="Z14" i="41"/>
  <c r="AI115" i="53" l="1"/>
  <c r="AI160" i="53"/>
  <c r="AI85" i="53"/>
  <c r="AI40" i="53"/>
  <c r="AI10" i="53"/>
  <c r="AI130" i="53"/>
  <c r="AI145" i="53"/>
  <c r="AI70" i="53"/>
  <c r="AB55" i="56"/>
  <c r="AI25" i="53"/>
  <c r="AO268" i="9"/>
  <c r="AO304" i="9"/>
  <c r="AI55" i="53"/>
  <c r="AF99" i="53"/>
  <c r="DZ37" i="56"/>
  <c r="AO352" i="9"/>
  <c r="AO376" i="9"/>
  <c r="AB37" i="56" l="1"/>
  <c r="AX305" i="9" s="1"/>
  <c r="D142" i="53"/>
  <c r="D137" i="53"/>
  <c r="S45" i="53"/>
  <c r="AI100" i="53" l="1"/>
  <c r="AX269" i="9"/>
  <c r="AX377" i="9"/>
  <c r="T45" i="53"/>
  <c r="D157" i="53"/>
  <c r="D152" i="53"/>
  <c r="D147" i="53"/>
  <c r="D132" i="53"/>
  <c r="U45" i="53" l="1"/>
  <c r="D172" i="53"/>
  <c r="D167" i="53"/>
  <c r="D162" i="53"/>
  <c r="D187" i="53" l="1"/>
  <c r="F1" i="53"/>
  <c r="V45" i="53" l="1"/>
  <c r="D182" i="53"/>
  <c r="D177" i="53"/>
  <c r="F115" i="15" l="1"/>
  <c r="M113" i="15" s="1"/>
  <c r="M114" i="15" l="1"/>
  <c r="M112" i="15"/>
  <c r="M109" i="15"/>
  <c r="M105" i="15"/>
  <c r="M106" i="15"/>
  <c r="M101" i="15"/>
  <c r="M104" i="15"/>
  <c r="M108" i="15"/>
  <c r="M111" i="15"/>
  <c r="M103" i="15"/>
  <c r="M107" i="15"/>
  <c r="M110" i="15"/>
  <c r="M100" i="15"/>
  <c r="M102" i="15"/>
  <c r="C30" i="30" l="1"/>
  <c r="C32" i="30" s="1"/>
  <c r="E8" i="44"/>
  <c r="D8" i="44"/>
  <c r="M115" i="15"/>
  <c r="P145" i="9" l="1"/>
  <c r="AB145" i="9" s="1"/>
  <c r="P143" i="9"/>
  <c r="AB143" i="9" s="1"/>
  <c r="P144" i="9"/>
  <c r="AB144" i="9" s="1"/>
  <c r="P613" i="9"/>
  <c r="AB613" i="9" s="1"/>
  <c r="AD613" i="9" s="1"/>
  <c r="P612" i="9"/>
  <c r="AB612" i="9" s="1"/>
  <c r="P611" i="9"/>
  <c r="AB611" i="9" s="1"/>
  <c r="AD611" i="9" s="1"/>
  <c r="F128" i="15"/>
  <c r="C8" i="44"/>
  <c r="K8" i="44" s="1"/>
  <c r="K24" i="44" s="1"/>
  <c r="L8" i="44"/>
  <c r="L24" i="44" s="1"/>
  <c r="H8" i="44"/>
  <c r="I8" i="44"/>
  <c r="M8" i="44"/>
  <c r="M24" i="44" s="1"/>
  <c r="N11" i="45"/>
  <c r="N14" i="45" s="1"/>
  <c r="F117" i="15"/>
  <c r="F32" i="30"/>
  <c r="P25" i="9"/>
  <c r="P23" i="9"/>
  <c r="P24" i="9"/>
  <c r="AH143" i="9" l="1"/>
  <c r="AL143" i="9" s="1"/>
  <c r="AH145" i="9"/>
  <c r="AM145" i="9" s="1"/>
  <c r="AD143" i="9"/>
  <c r="AD145" i="9"/>
  <c r="AH144" i="9"/>
  <c r="AM144" i="9" s="1"/>
  <c r="AD144" i="9"/>
  <c r="AH614" i="9"/>
  <c r="AM614" i="9" s="1"/>
  <c r="G8" i="44"/>
  <c r="AH611" i="9"/>
  <c r="AM611" i="9" s="1"/>
  <c r="AH612" i="9"/>
  <c r="AL612" i="9" s="1"/>
  <c r="AD612" i="9"/>
  <c r="AH613" i="9"/>
  <c r="AM613" i="9" s="1"/>
  <c r="AB24" i="9"/>
  <c r="AD24" i="9" s="1"/>
  <c r="N37" i="45"/>
  <c r="AH146" i="9"/>
  <c r="AB23" i="9"/>
  <c r="AD23" i="9" s="1"/>
  <c r="AB25" i="9"/>
  <c r="AH14" i="9"/>
  <c r="AI145" i="9" l="1"/>
  <c r="AJ145" i="9" s="1"/>
  <c r="AL144" i="9"/>
  <c r="AL145" i="9"/>
  <c r="AM143" i="9"/>
  <c r="AI144" i="9"/>
  <c r="AJ144" i="9" s="1"/>
  <c r="AI143" i="9"/>
  <c r="AJ143" i="9" s="1"/>
  <c r="AI614" i="9"/>
  <c r="AJ614" i="9" s="1"/>
  <c r="AL614" i="9"/>
  <c r="AL611" i="9"/>
  <c r="AL613" i="9"/>
  <c r="AI613" i="9"/>
  <c r="AJ613" i="9" s="1"/>
  <c r="AI611" i="9"/>
  <c r="AJ611" i="9" s="1"/>
  <c r="AM612" i="9"/>
  <c r="AI612" i="9"/>
  <c r="AJ612" i="9" s="1"/>
  <c r="AP147" i="9"/>
  <c r="AS148" i="9"/>
  <c r="AH25" i="9"/>
  <c r="AM25" i="9" s="1"/>
  <c r="AH24" i="9"/>
  <c r="AM24" i="9" s="1"/>
  <c r="AI146" i="9"/>
  <c r="AJ146" i="9" s="1"/>
  <c r="AD25" i="9"/>
  <c r="AL146" i="9"/>
  <c r="AM146" i="9"/>
  <c r="AH23" i="9"/>
  <c r="AM23" i="9" s="1"/>
  <c r="AI14" i="9"/>
  <c r="AJ14" i="9" s="1"/>
  <c r="AL14" i="9"/>
  <c r="AM14" i="9"/>
  <c r="AI25" i="9" l="1"/>
  <c r="AJ25" i="9" s="1"/>
  <c r="AP148" i="9"/>
  <c r="AU148" i="9" s="1"/>
  <c r="AS147" i="9"/>
  <c r="AU147" i="9" s="1"/>
  <c r="D55" i="25"/>
  <c r="E55" i="25"/>
  <c r="O11" i="45"/>
  <c r="O14" i="45" s="1"/>
  <c r="AL25" i="9"/>
  <c r="AI24" i="9"/>
  <c r="AJ24" i="9" s="1"/>
  <c r="AL24" i="9"/>
  <c r="AL23" i="9"/>
  <c r="AI23" i="9"/>
  <c r="AJ23" i="9" s="1"/>
  <c r="D47" i="32"/>
  <c r="P27" i="9"/>
  <c r="W11" i="45"/>
  <c r="W14" i="45" s="1"/>
  <c r="M11" i="45"/>
  <c r="M14" i="45" s="1"/>
  <c r="F120" i="15" l="1"/>
  <c r="E77" i="25"/>
  <c r="AJ23" i="15"/>
  <c r="AS183" i="9"/>
  <c r="D77" i="25"/>
  <c r="AS184" i="9"/>
  <c r="E55" i="41"/>
  <c r="D55" i="41"/>
  <c r="AP184" i="9"/>
  <c r="AP183" i="9"/>
  <c r="F118" i="15"/>
  <c r="AJ39" i="15"/>
  <c r="AB27" i="9"/>
  <c r="P47" i="32" s="1"/>
  <c r="S24" i="44" s="1"/>
  <c r="P36" i="9"/>
  <c r="AB36" i="9" s="1"/>
  <c r="P37" i="9"/>
  <c r="P35" i="9"/>
  <c r="AB35" i="9" s="1"/>
  <c r="P563" i="9"/>
  <c r="AB563" i="9" s="1"/>
  <c r="P565" i="9"/>
  <c r="AB565" i="9" s="1"/>
  <c r="P564" i="9"/>
  <c r="AB564" i="9" s="1"/>
  <c r="D48" i="32"/>
  <c r="G47" i="32"/>
  <c r="G48" i="32" s="1"/>
  <c r="M37" i="45"/>
  <c r="L8" i="53"/>
  <c r="L11" i="53" s="1"/>
  <c r="M8" i="53"/>
  <c r="M11" i="53" s="1"/>
  <c r="L42" i="53"/>
  <c r="M42" i="53"/>
  <c r="K8" i="53"/>
  <c r="K42" i="53"/>
  <c r="AU183" i="9" l="1"/>
  <c r="AU184" i="9"/>
  <c r="AB37" i="9"/>
  <c r="AH37" i="9" s="1"/>
  <c r="AM37" i="9" s="1"/>
  <c r="E58" i="25" s="1"/>
  <c r="E80" i="25" s="1"/>
  <c r="O37" i="45"/>
  <c r="D77" i="41"/>
  <c r="E77" i="41"/>
  <c r="AD27" i="9"/>
  <c r="AH27" i="9"/>
  <c r="AL27" i="9" s="1"/>
  <c r="AH28" i="9"/>
  <c r="AM28" i="9" s="1"/>
  <c r="I55" i="25" s="1"/>
  <c r="AP258" i="9"/>
  <c r="AD36" i="9"/>
  <c r="AH36" i="9"/>
  <c r="AL36" i="9" s="1"/>
  <c r="AD35" i="9"/>
  <c r="AH35" i="9"/>
  <c r="AM35" i="9" s="1"/>
  <c r="AP255" i="9"/>
  <c r="AH26" i="9"/>
  <c r="U42" i="53"/>
  <c r="AD565" i="9"/>
  <c r="AH565" i="9"/>
  <c r="AD563" i="9"/>
  <c r="AH563" i="9"/>
  <c r="AL563" i="9" s="1"/>
  <c r="H60" i="41"/>
  <c r="AP303" i="9" s="1"/>
  <c r="AD564" i="9"/>
  <c r="AH564" i="9"/>
  <c r="K11" i="53"/>
  <c r="C171" i="53"/>
  <c r="C161" i="53"/>
  <c r="C166" i="53"/>
  <c r="AD37" i="9" l="1"/>
  <c r="I77" i="25"/>
  <c r="Y9" i="25" s="1"/>
  <c r="AG264" i="53"/>
  <c r="H57" i="41"/>
  <c r="AG53" i="53" s="1"/>
  <c r="H55" i="41"/>
  <c r="I57" i="25"/>
  <c r="S57" i="50" s="1"/>
  <c r="AX148" i="9"/>
  <c r="AP267" i="9"/>
  <c r="AP375" i="9"/>
  <c r="AS244" i="9"/>
  <c r="AI27" i="9"/>
  <c r="AJ27" i="9" s="1"/>
  <c r="AL28" i="9"/>
  <c r="I55" i="41" s="1"/>
  <c r="AH38" i="9"/>
  <c r="W38" i="45"/>
  <c r="AI28" i="9"/>
  <c r="AJ28" i="9" s="1"/>
  <c r="AP366" i="9"/>
  <c r="AP351" i="9"/>
  <c r="AP243" i="9"/>
  <c r="AM27" i="9"/>
  <c r="AS255" i="9"/>
  <c r="AU255" i="9" s="1"/>
  <c r="AS258" i="9"/>
  <c r="AU258" i="9" s="1"/>
  <c r="AS256" i="9"/>
  <c r="AS259" i="9"/>
  <c r="AP259" i="9"/>
  <c r="AO257" i="9"/>
  <c r="AP256" i="9"/>
  <c r="AO254" i="9"/>
  <c r="AL37" i="9"/>
  <c r="E58" i="41" s="1"/>
  <c r="E80" i="41" s="1"/>
  <c r="AI37" i="9"/>
  <c r="AJ37" i="9" s="1"/>
  <c r="AM26" i="9"/>
  <c r="AI26" i="9"/>
  <c r="AJ26" i="9" s="1"/>
  <c r="AL26" i="9"/>
  <c r="AM36" i="9"/>
  <c r="D56" i="25" s="1"/>
  <c r="AI36" i="9"/>
  <c r="AJ36" i="9" s="1"/>
  <c r="AL35" i="9"/>
  <c r="AI35" i="9"/>
  <c r="AJ35" i="9" s="1"/>
  <c r="AP363" i="9"/>
  <c r="AL564" i="9"/>
  <c r="AI564" i="9"/>
  <c r="AJ564" i="9" s="1"/>
  <c r="AM564" i="9"/>
  <c r="AO209" i="9"/>
  <c r="AM563" i="9"/>
  <c r="AI563" i="9"/>
  <c r="AJ563" i="9" s="1"/>
  <c r="AM565" i="9"/>
  <c r="E56" i="25" s="1"/>
  <c r="AI565" i="9"/>
  <c r="AJ565" i="9" s="1"/>
  <c r="I60" i="25"/>
  <c r="H60" i="25"/>
  <c r="AS303" i="9" s="1"/>
  <c r="AU303" i="9" s="1"/>
  <c r="AP387" i="9"/>
  <c r="H82" i="41"/>
  <c r="AG98" i="53"/>
  <c r="I60" i="41"/>
  <c r="AP304" i="9" s="1"/>
  <c r="AL565" i="9"/>
  <c r="AP195" i="9" l="1"/>
  <c r="H70" i="41"/>
  <c r="H79" i="41"/>
  <c r="AG23" i="53"/>
  <c r="H77" i="41"/>
  <c r="X9" i="41" s="1"/>
  <c r="H57" i="25"/>
  <c r="H55" i="25"/>
  <c r="I77" i="41"/>
  <c r="Y9" i="41" s="1"/>
  <c r="AG24" i="53"/>
  <c r="DY9" i="56"/>
  <c r="Z9" i="56" s="1"/>
  <c r="AF263" i="53"/>
  <c r="AS268" i="9"/>
  <c r="AS304" i="9"/>
  <c r="AU304" i="9" s="1"/>
  <c r="AG294" i="53"/>
  <c r="AS196" i="9"/>
  <c r="I79" i="25"/>
  <c r="Y11" i="25" s="1"/>
  <c r="AR195" i="9" s="1"/>
  <c r="I57" i="41"/>
  <c r="D58" i="41"/>
  <c r="D80" i="41" s="1"/>
  <c r="D58" i="25"/>
  <c r="D80" i="25" s="1"/>
  <c r="AP268" i="9"/>
  <c r="AU268" i="9" s="1"/>
  <c r="AP376" i="9"/>
  <c r="AS375" i="9"/>
  <c r="AU375" i="9" s="1"/>
  <c r="AS376" i="9"/>
  <c r="DY11" i="56"/>
  <c r="Z11" i="56" s="1"/>
  <c r="AR243" i="9"/>
  <c r="AS243" i="9"/>
  <c r="AU243" i="9" s="1"/>
  <c r="AS267" i="9"/>
  <c r="AU267" i="9" s="1"/>
  <c r="E56" i="41"/>
  <c r="AS220" i="9"/>
  <c r="AS557" i="9"/>
  <c r="E78" i="25"/>
  <c r="AP220" i="9"/>
  <c r="AS219" i="9"/>
  <c r="AS556" i="9"/>
  <c r="D56" i="41"/>
  <c r="AU256" i="9"/>
  <c r="AP244" i="9"/>
  <c r="AU244" i="9" s="1"/>
  <c r="AM38" i="9"/>
  <c r="AL38" i="9"/>
  <c r="AI38" i="9"/>
  <c r="AJ38" i="9" s="1"/>
  <c r="AP367" i="9"/>
  <c r="AP352" i="9"/>
  <c r="AS367" i="9"/>
  <c r="AS352" i="9"/>
  <c r="AS366" i="9"/>
  <c r="AU366" i="9" s="1"/>
  <c r="AS351" i="9"/>
  <c r="AU351" i="9" s="1"/>
  <c r="AU259" i="9"/>
  <c r="AP219" i="9"/>
  <c r="P253" i="9"/>
  <c r="AB253" i="9" s="1"/>
  <c r="AD253" i="9" s="1"/>
  <c r="P252" i="9"/>
  <c r="AB252" i="9" s="1"/>
  <c r="AD252" i="9" s="1"/>
  <c r="P251" i="9"/>
  <c r="AB251" i="9" s="1"/>
  <c r="AD251" i="9" s="1"/>
  <c r="R32" i="30"/>
  <c r="AS12" i="9"/>
  <c r="AF293" i="53"/>
  <c r="AS364" i="9"/>
  <c r="AP364" i="9"/>
  <c r="AS363" i="9"/>
  <c r="AU363" i="9" s="1"/>
  <c r="AP11" i="9"/>
  <c r="D78" i="25"/>
  <c r="AS13" i="9"/>
  <c r="AS388" i="9"/>
  <c r="I70" i="25"/>
  <c r="AG339" i="53"/>
  <c r="I82" i="25"/>
  <c r="I92" i="25" s="1"/>
  <c r="AP388" i="9"/>
  <c r="AG99" i="53"/>
  <c r="I82" i="41"/>
  <c r="AS387" i="9"/>
  <c r="AU387" i="9" s="1"/>
  <c r="AG338" i="53"/>
  <c r="H82" i="25"/>
  <c r="S118" i="50" l="1"/>
  <c r="AS195" i="9"/>
  <c r="AU195" i="9" s="1"/>
  <c r="S56" i="50"/>
  <c r="I70" i="41"/>
  <c r="S119" i="50"/>
  <c r="H92" i="41"/>
  <c r="AU220" i="9"/>
  <c r="H79" i="25"/>
  <c r="X11" i="25" s="1"/>
  <c r="AR194" i="9" s="1"/>
  <c r="H70" i="25"/>
  <c r="AG293" i="53"/>
  <c r="AG263" i="53"/>
  <c r="H42" i="53" s="1"/>
  <c r="H77" i="25"/>
  <c r="X9" i="25" s="1"/>
  <c r="DX32" i="56"/>
  <c r="AF22" i="53"/>
  <c r="DY32" i="56"/>
  <c r="AF23" i="53"/>
  <c r="I79" i="41"/>
  <c r="X11" i="41" s="1"/>
  <c r="AO194" i="9" s="1"/>
  <c r="AT194" i="9" s="1"/>
  <c r="AP196" i="9"/>
  <c r="AU196" i="9" s="1"/>
  <c r="AG54" i="53"/>
  <c r="I8" i="53" s="1"/>
  <c r="I11" i="53" s="1"/>
  <c r="Y14" i="25"/>
  <c r="AF338" i="53" s="1"/>
  <c r="AP556" i="9"/>
  <c r="AU556" i="9" s="1"/>
  <c r="AP557" i="9"/>
  <c r="AU557" i="9" s="1"/>
  <c r="AU376" i="9"/>
  <c r="AR351" i="9"/>
  <c r="AY243" i="9"/>
  <c r="AY242" i="9"/>
  <c r="AO243" i="9"/>
  <c r="AT243" i="9" s="1"/>
  <c r="AO242" i="9"/>
  <c r="AU219" i="9"/>
  <c r="AU367" i="9"/>
  <c r="D78" i="41"/>
  <c r="F119" i="15"/>
  <c r="E78" i="41"/>
  <c r="L41" i="44"/>
  <c r="D41" i="44"/>
  <c r="F116" i="15"/>
  <c r="M41" i="44"/>
  <c r="E41" i="44"/>
  <c r="H92" i="25"/>
  <c r="AR242" i="9"/>
  <c r="AU352" i="9"/>
  <c r="E39" i="15"/>
  <c r="O12" i="45"/>
  <c r="O15" i="45" s="1"/>
  <c r="N12" i="45"/>
  <c r="N15" i="45" s="1"/>
  <c r="Y14" i="41"/>
  <c r="X14" i="25"/>
  <c r="P180" i="9"/>
  <c r="AB180" i="9" s="1"/>
  <c r="AD180" i="9" s="1"/>
  <c r="P181" i="9"/>
  <c r="AB181" i="9" s="1"/>
  <c r="AD181" i="9" s="1"/>
  <c r="P179" i="9"/>
  <c r="AB179" i="9" s="1"/>
  <c r="AD179" i="9" s="1"/>
  <c r="P539" i="9"/>
  <c r="AB539" i="9" s="1"/>
  <c r="AD539" i="9" s="1"/>
  <c r="P540" i="9"/>
  <c r="AB540" i="9" s="1"/>
  <c r="AD540" i="9" s="1"/>
  <c r="P541" i="9"/>
  <c r="AB541" i="9" s="1"/>
  <c r="AD541" i="9" s="1"/>
  <c r="AH252" i="9"/>
  <c r="AM252" i="9" s="1"/>
  <c r="P323" i="9"/>
  <c r="AB323" i="9" s="1"/>
  <c r="AD323" i="9" s="1"/>
  <c r="P325" i="9"/>
  <c r="AB325" i="9" s="1"/>
  <c r="AD325" i="9" s="1"/>
  <c r="P324" i="9"/>
  <c r="AB324" i="9" s="1"/>
  <c r="AD324" i="9" s="1"/>
  <c r="AH254" i="9"/>
  <c r="AH253" i="9"/>
  <c r="AL253" i="9" s="1"/>
  <c r="P360" i="9"/>
  <c r="AB360" i="9" s="1"/>
  <c r="AD360" i="9" s="1"/>
  <c r="P361" i="9"/>
  <c r="AB361" i="9" s="1"/>
  <c r="AD361" i="9" s="1"/>
  <c r="P359" i="9"/>
  <c r="AB359" i="9" s="1"/>
  <c r="AD359" i="9" s="1"/>
  <c r="P576" i="9"/>
  <c r="AB576" i="9" s="1"/>
  <c r="AD576" i="9" s="1"/>
  <c r="P577" i="9"/>
  <c r="AB577" i="9" s="1"/>
  <c r="AD577" i="9" s="1"/>
  <c r="P575" i="9"/>
  <c r="AB575" i="9" s="1"/>
  <c r="P503" i="9"/>
  <c r="AB503" i="9" s="1"/>
  <c r="AD503" i="9" s="1"/>
  <c r="P505" i="9"/>
  <c r="AB505" i="9" s="1"/>
  <c r="AD505" i="9" s="1"/>
  <c r="P504" i="9"/>
  <c r="AB504" i="9" s="1"/>
  <c r="AD504" i="9" s="1"/>
  <c r="P216" i="9"/>
  <c r="AB216" i="9" s="1"/>
  <c r="AD216" i="9" s="1"/>
  <c r="P217" i="9"/>
  <c r="AB217" i="9" s="1"/>
  <c r="AD217" i="9" s="1"/>
  <c r="P215" i="9"/>
  <c r="AB215" i="9" s="1"/>
  <c r="AD215" i="9" s="1"/>
  <c r="P397" i="9"/>
  <c r="AB397" i="9" s="1"/>
  <c r="AD397" i="9" s="1"/>
  <c r="P395" i="9"/>
  <c r="AB395" i="9" s="1"/>
  <c r="AD395" i="9" s="1"/>
  <c r="P396" i="9"/>
  <c r="AB396" i="9" s="1"/>
  <c r="AD396" i="9" s="1"/>
  <c r="AH251" i="9"/>
  <c r="AL251" i="9" s="1"/>
  <c r="P468" i="9"/>
  <c r="AB468" i="9" s="1"/>
  <c r="AD468" i="9" s="1"/>
  <c r="P469" i="9"/>
  <c r="AB469" i="9" s="1"/>
  <c r="AD469" i="9" s="1"/>
  <c r="P467" i="9"/>
  <c r="AB467" i="9" s="1"/>
  <c r="AD467" i="9" s="1"/>
  <c r="P289" i="9"/>
  <c r="W12" i="45"/>
  <c r="W15" i="45" s="1"/>
  <c r="P287" i="9"/>
  <c r="M12" i="45"/>
  <c r="M15" i="45" s="1"/>
  <c r="P288" i="9"/>
  <c r="P432" i="9"/>
  <c r="AB432" i="9" s="1"/>
  <c r="AD432" i="9" s="1"/>
  <c r="P433" i="9"/>
  <c r="AB433" i="9" s="1"/>
  <c r="AD433" i="9" s="1"/>
  <c r="P431" i="9"/>
  <c r="AB431" i="9" s="1"/>
  <c r="AD431" i="9" s="1"/>
  <c r="AP12" i="9"/>
  <c r="AU12" i="9" s="1"/>
  <c r="AP13" i="9"/>
  <c r="AU13" i="9" s="1"/>
  <c r="AS530" i="9"/>
  <c r="AS540" i="9"/>
  <c r="AS539" i="9"/>
  <c r="T97" i="50"/>
  <c r="AU364" i="9"/>
  <c r="AR134" i="9"/>
  <c r="AU388" i="9"/>
  <c r="X14" i="41"/>
  <c r="AP539" i="9"/>
  <c r="AS11" i="9"/>
  <c r="AU11" i="9" s="1"/>
  <c r="AS541" i="9"/>
  <c r="AO386" i="9"/>
  <c r="AO387" i="9"/>
  <c r="AO8" i="9"/>
  <c r="AF292" i="53" l="1"/>
  <c r="DX11" i="56"/>
  <c r="Y11" i="56" s="1"/>
  <c r="AF52" i="53"/>
  <c r="Y11" i="41"/>
  <c r="AF53" i="53" s="1"/>
  <c r="I42" i="53"/>
  <c r="C156" i="53" s="1"/>
  <c r="H8" i="53"/>
  <c r="H11" i="53" s="1"/>
  <c r="Y32" i="56"/>
  <c r="AF262" i="53"/>
  <c r="DX9" i="56"/>
  <c r="Y9" i="56" s="1"/>
  <c r="Z32" i="56"/>
  <c r="DY55" i="56"/>
  <c r="I92" i="41"/>
  <c r="DX34" i="56"/>
  <c r="Y34" i="56" s="1"/>
  <c r="AX195" i="9" s="1"/>
  <c r="AO266" i="9"/>
  <c r="AO302" i="9"/>
  <c r="AO267" i="9"/>
  <c r="AO303" i="9"/>
  <c r="AO195" i="9"/>
  <c r="AT195" i="9" s="1"/>
  <c r="AY195" i="9"/>
  <c r="DY14" i="56"/>
  <c r="Z14" i="56" s="1"/>
  <c r="AR375" i="9"/>
  <c r="AO375" i="9"/>
  <c r="DY37" i="56"/>
  <c r="AO374" i="9"/>
  <c r="DX37" i="56"/>
  <c r="DX14" i="56"/>
  <c r="AT242" i="9"/>
  <c r="AR350" i="9"/>
  <c r="AR374" i="9"/>
  <c r="AO218" i="9"/>
  <c r="AO555" i="9"/>
  <c r="Q31" i="44"/>
  <c r="I41" i="44"/>
  <c r="C41" i="44"/>
  <c r="K41" i="44"/>
  <c r="P31" i="44"/>
  <c r="H41" i="44"/>
  <c r="F131" i="15"/>
  <c r="M116" i="15" s="1"/>
  <c r="AF337" i="53"/>
  <c r="AO365" i="9"/>
  <c r="AO350" i="9"/>
  <c r="AY351" i="9"/>
  <c r="AO366" i="9"/>
  <c r="AO351" i="9"/>
  <c r="AT351" i="9" s="1"/>
  <c r="AF98" i="53"/>
  <c r="O39" i="15"/>
  <c r="J39" i="15"/>
  <c r="T29" i="15"/>
  <c r="Q56" i="41"/>
  <c r="P56" i="25"/>
  <c r="O56" i="41"/>
  <c r="AP229" i="9"/>
  <c r="AS228" i="9"/>
  <c r="AH434" i="9"/>
  <c r="AH433" i="9"/>
  <c r="AL433" i="9" s="1"/>
  <c r="AB287" i="9"/>
  <c r="AH470" i="9"/>
  <c r="AH469" i="9"/>
  <c r="AM469" i="9" s="1"/>
  <c r="AH396" i="9"/>
  <c r="AH218" i="9"/>
  <c r="AH217" i="9"/>
  <c r="AH506" i="9"/>
  <c r="AH505" i="9"/>
  <c r="AH578" i="9"/>
  <c r="AH577" i="9"/>
  <c r="AI577" i="9" s="1"/>
  <c r="AJ577" i="9" s="1"/>
  <c r="AH566" i="9"/>
  <c r="AH360" i="9"/>
  <c r="AM360" i="9" s="1"/>
  <c r="AM254" i="9"/>
  <c r="AL254" i="9"/>
  <c r="AI254" i="9"/>
  <c r="AJ254" i="9" s="1"/>
  <c r="AH179" i="9"/>
  <c r="AH468" i="9"/>
  <c r="AM468" i="9" s="1"/>
  <c r="AH395" i="9"/>
  <c r="AL395" i="9" s="1"/>
  <c r="AH216" i="9"/>
  <c r="AI216" i="9" s="1"/>
  <c r="AJ216" i="9" s="1"/>
  <c r="AH503" i="9"/>
  <c r="AI503" i="9" s="1"/>
  <c r="AJ503" i="9" s="1"/>
  <c r="AH576" i="9"/>
  <c r="AL576" i="9" s="1"/>
  <c r="AH324" i="9"/>
  <c r="AI324" i="9" s="1"/>
  <c r="AJ324" i="9" s="1"/>
  <c r="AL252" i="9"/>
  <c r="AI252" i="9"/>
  <c r="AJ252" i="9" s="1"/>
  <c r="AH542" i="9"/>
  <c r="AH541" i="9"/>
  <c r="AI541" i="9" s="1"/>
  <c r="AJ541" i="9" s="1"/>
  <c r="AH432" i="9"/>
  <c r="AL432" i="9" s="1"/>
  <c r="AB288" i="9"/>
  <c r="AB289" i="9"/>
  <c r="AH398" i="9"/>
  <c r="AH397" i="9"/>
  <c r="AL397" i="9" s="1"/>
  <c r="AH359" i="9"/>
  <c r="AH326" i="9"/>
  <c r="AH325" i="9"/>
  <c r="AL325" i="9" s="1"/>
  <c r="AH540" i="9"/>
  <c r="AM540" i="9" s="1"/>
  <c r="D54" i="25" s="1"/>
  <c r="AH182" i="9"/>
  <c r="AH181" i="9"/>
  <c r="AL181" i="9" s="1"/>
  <c r="AH431" i="9"/>
  <c r="AI431" i="9" s="1"/>
  <c r="AJ431" i="9" s="1"/>
  <c r="AH467" i="9"/>
  <c r="AL467" i="9" s="1"/>
  <c r="AM251" i="9"/>
  <c r="AI251" i="9"/>
  <c r="AJ251" i="9" s="1"/>
  <c r="AH215" i="9"/>
  <c r="AL215" i="9" s="1"/>
  <c r="AH504" i="9"/>
  <c r="AD575" i="9"/>
  <c r="AH575" i="9"/>
  <c r="AH362" i="9"/>
  <c r="AH361" i="9"/>
  <c r="AM253" i="9"/>
  <c r="AI253" i="9"/>
  <c r="AJ253" i="9" s="1"/>
  <c r="AH323" i="9"/>
  <c r="AH539" i="9"/>
  <c r="AM539" i="9" s="1"/>
  <c r="AH180" i="9"/>
  <c r="AI180" i="9" s="1"/>
  <c r="AJ180" i="9" s="1"/>
  <c r="AR10" i="9"/>
  <c r="AU539" i="9"/>
  <c r="AP530" i="9"/>
  <c r="AU530" i="9" s="1"/>
  <c r="AR534" i="9"/>
  <c r="AO534" i="9"/>
  <c r="AR535" i="9"/>
  <c r="AP540" i="9"/>
  <c r="AU540" i="9" s="1"/>
  <c r="AO134" i="9"/>
  <c r="AT134" i="9" s="1"/>
  <c r="X24" i="41"/>
  <c r="AF97" i="53"/>
  <c r="C151" i="53"/>
  <c r="AP541" i="9"/>
  <c r="AU541" i="9" s="1"/>
  <c r="AR9" i="9"/>
  <c r="AO9" i="9"/>
  <c r="AR8" i="9"/>
  <c r="AT8" i="9" s="1"/>
  <c r="DY34" i="56" l="1"/>
  <c r="DY57" i="56" s="1"/>
  <c r="Y24" i="41"/>
  <c r="DX57" i="56"/>
  <c r="AI234" i="53"/>
  <c r="AI219" i="53"/>
  <c r="AI39" i="53"/>
  <c r="AI204" i="53"/>
  <c r="AI129" i="53"/>
  <c r="AI159" i="53"/>
  <c r="AI84" i="53"/>
  <c r="AI144" i="53"/>
  <c r="AI114" i="53"/>
  <c r="AI69" i="53"/>
  <c r="AI174" i="53"/>
  <c r="AI9" i="53"/>
  <c r="AI263" i="53"/>
  <c r="AI278" i="53"/>
  <c r="AI308" i="53"/>
  <c r="AI458" i="53"/>
  <c r="AI428" i="53"/>
  <c r="AI443" i="53"/>
  <c r="AI398" i="53"/>
  <c r="AI413" i="53"/>
  <c r="AI473" i="53"/>
  <c r="AI383" i="53"/>
  <c r="AI248" i="53"/>
  <c r="AI293" i="53"/>
  <c r="AI218" i="53"/>
  <c r="AI113" i="53"/>
  <c r="AI188" i="53"/>
  <c r="AI83" i="53"/>
  <c r="AI143" i="53"/>
  <c r="AI203" i="53"/>
  <c r="AI38" i="53"/>
  <c r="AI128" i="53"/>
  <c r="AI233" i="53"/>
  <c r="AI158" i="53"/>
  <c r="AI173" i="53"/>
  <c r="AI68" i="53"/>
  <c r="AI8" i="53"/>
  <c r="AX15" i="9"/>
  <c r="Y55" i="56"/>
  <c r="AI23" i="53"/>
  <c r="AI189" i="53"/>
  <c r="AI24" i="53"/>
  <c r="Z55" i="56"/>
  <c r="DX55" i="56"/>
  <c r="DY60" i="56"/>
  <c r="AT375" i="9"/>
  <c r="Y57" i="56"/>
  <c r="AT350" i="9"/>
  <c r="AI53" i="53"/>
  <c r="DX60" i="56"/>
  <c r="Y37" i="56"/>
  <c r="DY47" i="56"/>
  <c r="Z37" i="56"/>
  <c r="Y14" i="56"/>
  <c r="AT374" i="9"/>
  <c r="AS16" i="9"/>
  <c r="AP26" i="9"/>
  <c r="AG320" i="53"/>
  <c r="AG335" i="53"/>
  <c r="AG350" i="53"/>
  <c r="AG365" i="53"/>
  <c r="AG305" i="53"/>
  <c r="AG395" i="53"/>
  <c r="AG260" i="53"/>
  <c r="AG380" i="53"/>
  <c r="AG275" i="53"/>
  <c r="P65" i="41"/>
  <c r="D57" i="41"/>
  <c r="AP28" i="9" s="1"/>
  <c r="P41" i="44"/>
  <c r="AS532" i="9"/>
  <c r="AG245" i="53"/>
  <c r="D76" i="25"/>
  <c r="M118" i="15"/>
  <c r="M125" i="15"/>
  <c r="M126" i="15"/>
  <c r="M117" i="15"/>
  <c r="M129" i="15"/>
  <c r="M122" i="15"/>
  <c r="M130" i="15"/>
  <c r="M124" i="15"/>
  <c r="M121" i="15"/>
  <c r="O30" i="30" s="1"/>
  <c r="M127" i="15"/>
  <c r="M128" i="15"/>
  <c r="M119" i="15"/>
  <c r="M120" i="15"/>
  <c r="M123" i="15"/>
  <c r="Q41" i="44"/>
  <c r="O31" i="44"/>
  <c r="G41" i="44"/>
  <c r="AP227" i="9"/>
  <c r="AP226" i="9"/>
  <c r="AP214" i="9"/>
  <c r="AS225" i="9"/>
  <c r="AS213" i="9"/>
  <c r="AY350" i="9"/>
  <c r="AP224" i="9"/>
  <c r="AP212" i="9"/>
  <c r="AI575" i="9"/>
  <c r="AJ575" i="9" s="1"/>
  <c r="N38" i="45"/>
  <c r="AD288" i="9"/>
  <c r="M38" i="45"/>
  <c r="AD287" i="9"/>
  <c r="O38" i="45"/>
  <c r="AD289" i="9"/>
  <c r="T39" i="15"/>
  <c r="AT534" i="9"/>
  <c r="O60" i="41"/>
  <c r="P78" i="25"/>
  <c r="O55" i="41"/>
  <c r="AP20" i="9" s="1"/>
  <c r="P64" i="25"/>
  <c r="P62" i="25"/>
  <c r="O62" i="41"/>
  <c r="Q56" i="25"/>
  <c r="P59" i="25"/>
  <c r="Q62" i="25"/>
  <c r="Q61" i="41"/>
  <c r="O78" i="41"/>
  <c r="O64" i="25"/>
  <c r="O56" i="25"/>
  <c r="Q54" i="41"/>
  <c r="Q58" i="41"/>
  <c r="Q60" i="41"/>
  <c r="P61" i="41"/>
  <c r="P56" i="41"/>
  <c r="Q78" i="41"/>
  <c r="AL180" i="9"/>
  <c r="AL541" i="9"/>
  <c r="E54" i="41" s="1"/>
  <c r="AP157" i="9"/>
  <c r="AM503" i="9"/>
  <c r="AS444" i="9"/>
  <c r="AS336" i="9"/>
  <c r="AP301" i="9"/>
  <c r="AM323" i="9"/>
  <c r="AI323" i="9"/>
  <c r="AJ323" i="9" s="1"/>
  <c r="AM361" i="9"/>
  <c r="AI361" i="9"/>
  <c r="AJ361" i="9" s="1"/>
  <c r="AL575" i="9"/>
  <c r="O65" i="41" s="1"/>
  <c r="AM504" i="9"/>
  <c r="AI504" i="9"/>
  <c r="AJ504" i="9" s="1"/>
  <c r="AS227" i="9"/>
  <c r="AL431" i="9"/>
  <c r="AM181" i="9"/>
  <c r="AI181" i="9"/>
  <c r="AJ181" i="9" s="1"/>
  <c r="AM359" i="9"/>
  <c r="AI359" i="9"/>
  <c r="AJ359" i="9" s="1"/>
  <c r="AM397" i="9"/>
  <c r="AI397" i="9"/>
  <c r="AJ397" i="9" s="1"/>
  <c r="AM541" i="9"/>
  <c r="E54" i="25" s="1"/>
  <c r="AM542" i="9"/>
  <c r="AL542" i="9"/>
  <c r="AI542" i="9"/>
  <c r="AJ542" i="9" s="1"/>
  <c r="AL324" i="9"/>
  <c r="AL503" i="9"/>
  <c r="AL216" i="9"/>
  <c r="AL179" i="9"/>
  <c r="AI179" i="9"/>
  <c r="AJ179" i="9" s="1"/>
  <c r="AM566" i="9"/>
  <c r="AL566" i="9"/>
  <c r="AI566" i="9"/>
  <c r="AJ566" i="9" s="1"/>
  <c r="AL505" i="9"/>
  <c r="AI505" i="9"/>
  <c r="AJ505" i="9" s="1"/>
  <c r="AM396" i="9"/>
  <c r="AI396" i="9"/>
  <c r="AJ396" i="9" s="1"/>
  <c r="AL470" i="9"/>
  <c r="AM470" i="9"/>
  <c r="AI470" i="9"/>
  <c r="AJ470" i="9" s="1"/>
  <c r="AP409" i="9"/>
  <c r="AP191" i="9"/>
  <c r="AP443" i="9"/>
  <c r="AM182" i="9"/>
  <c r="AL182" i="9"/>
  <c r="C55" i="41" s="1"/>
  <c r="AI182" i="9"/>
  <c r="AJ182" i="9" s="1"/>
  <c r="AM398" i="9"/>
  <c r="C61" i="25" s="1"/>
  <c r="AL398" i="9"/>
  <c r="AI398" i="9"/>
  <c r="AJ398" i="9" s="1"/>
  <c r="AH288" i="9"/>
  <c r="AM288" i="9" s="1"/>
  <c r="AL468" i="9"/>
  <c r="AI468" i="9"/>
  <c r="AJ468" i="9" s="1"/>
  <c r="AL360" i="9"/>
  <c r="AI360" i="9"/>
  <c r="AJ360" i="9" s="1"/>
  <c r="AL217" i="9"/>
  <c r="AI217" i="9"/>
  <c r="AJ217" i="9" s="1"/>
  <c r="AS445" i="9"/>
  <c r="AS229" i="9"/>
  <c r="AU229" i="9" s="1"/>
  <c r="AL362" i="9"/>
  <c r="AM362" i="9"/>
  <c r="AI362" i="9"/>
  <c r="AJ362" i="9" s="1"/>
  <c r="AM215" i="9"/>
  <c r="AI215" i="9"/>
  <c r="AJ215" i="9" s="1"/>
  <c r="AM467" i="9"/>
  <c r="AI467" i="9"/>
  <c r="AJ467" i="9" s="1"/>
  <c r="AP228" i="9"/>
  <c r="AU228" i="9" s="1"/>
  <c r="D65" i="41"/>
  <c r="W39" i="45"/>
  <c r="AM433" i="9"/>
  <c r="AI433" i="9"/>
  <c r="AJ433" i="9" s="1"/>
  <c r="AS515" i="9"/>
  <c r="AL539" i="9"/>
  <c r="AI539" i="9"/>
  <c r="AJ539" i="9" s="1"/>
  <c r="AS516" i="9"/>
  <c r="AM325" i="9"/>
  <c r="AI325" i="9"/>
  <c r="AJ325" i="9" s="1"/>
  <c r="AP408" i="9"/>
  <c r="AP371" i="9"/>
  <c r="AM577" i="9"/>
  <c r="AL578" i="9"/>
  <c r="AM578" i="9"/>
  <c r="AI578" i="9"/>
  <c r="AJ578" i="9" s="1"/>
  <c r="AL506" i="9"/>
  <c r="AM506" i="9"/>
  <c r="C64" i="25" s="1"/>
  <c r="AI506" i="9"/>
  <c r="AJ506" i="9" s="1"/>
  <c r="AM218" i="9"/>
  <c r="AL218" i="9"/>
  <c r="AI218" i="9"/>
  <c r="AJ218" i="9" s="1"/>
  <c r="AM180" i="9"/>
  <c r="AL323" i="9"/>
  <c r="AL361" i="9"/>
  <c r="AM575" i="9"/>
  <c r="AL504" i="9"/>
  <c r="AM431" i="9"/>
  <c r="AL540" i="9"/>
  <c r="D54" i="41" s="1"/>
  <c r="AI540" i="9"/>
  <c r="AJ540" i="9" s="1"/>
  <c r="AL326" i="9"/>
  <c r="C59" i="41" s="1"/>
  <c r="AM326" i="9"/>
  <c r="AI326" i="9"/>
  <c r="AJ326" i="9" s="1"/>
  <c r="AL359" i="9"/>
  <c r="AH290" i="9"/>
  <c r="AH289" i="9"/>
  <c r="AL289" i="9" s="1"/>
  <c r="AM432" i="9"/>
  <c r="AI432" i="9"/>
  <c r="AJ432" i="9" s="1"/>
  <c r="AM324" i="9"/>
  <c r="AM576" i="9"/>
  <c r="AI576" i="9"/>
  <c r="AJ576" i="9" s="1"/>
  <c r="AM216" i="9"/>
  <c r="AM395" i="9"/>
  <c r="AI395" i="9"/>
  <c r="AJ395" i="9" s="1"/>
  <c r="AM179" i="9"/>
  <c r="AL577" i="9"/>
  <c r="AM505" i="9"/>
  <c r="AM217" i="9"/>
  <c r="AL396" i="9"/>
  <c r="AL469" i="9"/>
  <c r="AI469" i="9"/>
  <c r="AJ469" i="9" s="1"/>
  <c r="AH287" i="9"/>
  <c r="AL434" i="9"/>
  <c r="C62" i="41" s="1"/>
  <c r="AM434" i="9"/>
  <c r="AI434" i="9"/>
  <c r="AJ434" i="9" s="1"/>
  <c r="BS24" i="56"/>
  <c r="BX24" i="56"/>
  <c r="CB24" i="56"/>
  <c r="AR538" i="9"/>
  <c r="AR536" i="9"/>
  <c r="AO535" i="9"/>
  <c r="AT535" i="9" s="1"/>
  <c r="AR537" i="9"/>
  <c r="AT9" i="9"/>
  <c r="Z34" i="56" l="1"/>
  <c r="Z57" i="56" s="1"/>
  <c r="AP100" i="9"/>
  <c r="AX267" i="9"/>
  <c r="AX303" i="9"/>
  <c r="Z60" i="56"/>
  <c r="AX304" i="9"/>
  <c r="D30" i="30"/>
  <c r="D32" i="30" s="1"/>
  <c r="P30" i="30"/>
  <c r="P32" i="30" s="1"/>
  <c r="AC10" i="41"/>
  <c r="EC33" i="56" s="1"/>
  <c r="AB10" i="41"/>
  <c r="AX268" i="9"/>
  <c r="AP130" i="9"/>
  <c r="P155" i="9"/>
  <c r="AB155" i="9" s="1"/>
  <c r="AD155" i="9" s="1"/>
  <c r="P156" i="9"/>
  <c r="AB156" i="9" s="1"/>
  <c r="AD156" i="9" s="1"/>
  <c r="P157" i="9"/>
  <c r="AB157" i="9" s="1"/>
  <c r="AH158" i="9" s="1"/>
  <c r="Y47" i="56"/>
  <c r="AI338" i="53"/>
  <c r="AI98" i="53"/>
  <c r="AX375" i="9"/>
  <c r="AY375" i="9"/>
  <c r="Y60" i="56"/>
  <c r="AP17" i="9"/>
  <c r="AP16" i="9"/>
  <c r="AU16" i="9" s="1"/>
  <c r="AP452" i="9"/>
  <c r="P87" i="41"/>
  <c r="AI99" i="53"/>
  <c r="AX376" i="9"/>
  <c r="Z47" i="56"/>
  <c r="AS17" i="9"/>
  <c r="AS524" i="9"/>
  <c r="AS525" i="9"/>
  <c r="AP560" i="9"/>
  <c r="C24" i="44"/>
  <c r="AI287" i="9"/>
  <c r="AJ287" i="9" s="1"/>
  <c r="AP549" i="9"/>
  <c r="AS98" i="9"/>
  <c r="AP86" i="9"/>
  <c r="AP74" i="9"/>
  <c r="AS321" i="9"/>
  <c r="AS345" i="9"/>
  <c r="AP50" i="9"/>
  <c r="AP2" i="9"/>
  <c r="AO213" i="9"/>
  <c r="AO210" i="9"/>
  <c r="AS26" i="9"/>
  <c r="AU26" i="9" s="1"/>
  <c r="AG396" i="53"/>
  <c r="AG321" i="53"/>
  <c r="AG306" i="53"/>
  <c r="AG351" i="53"/>
  <c r="AG381" i="53"/>
  <c r="AG366" i="53"/>
  <c r="AG336" i="53"/>
  <c r="AG261" i="53"/>
  <c r="AG276" i="53"/>
  <c r="AG111" i="53"/>
  <c r="AG126" i="53"/>
  <c r="AG66" i="53"/>
  <c r="AG96" i="53"/>
  <c r="AG141" i="53"/>
  <c r="AG81" i="53"/>
  <c r="AG156" i="53"/>
  <c r="AG21" i="53"/>
  <c r="AG36" i="53"/>
  <c r="AG65" i="53"/>
  <c r="AG155" i="53"/>
  <c r="AG140" i="53"/>
  <c r="AG125" i="53"/>
  <c r="AG80" i="53"/>
  <c r="AG110" i="53"/>
  <c r="AG95" i="53"/>
  <c r="AG20" i="53"/>
  <c r="AG35" i="53"/>
  <c r="AU227" i="9"/>
  <c r="AS123" i="9"/>
  <c r="AS651" i="9"/>
  <c r="AP627" i="9"/>
  <c r="AS615" i="9"/>
  <c r="AO362" i="9"/>
  <c r="AO603" i="9"/>
  <c r="AP591" i="9"/>
  <c r="P65" i="25"/>
  <c r="AS453" i="9" s="1"/>
  <c r="D57" i="25"/>
  <c r="S53" i="50" s="1"/>
  <c r="Q65" i="25"/>
  <c r="AS454" i="9" s="1"/>
  <c r="E57" i="25"/>
  <c r="S54" i="50" s="1"/>
  <c r="Q65" i="41"/>
  <c r="AG195" i="53" s="1"/>
  <c r="E57" i="41"/>
  <c r="AP29" i="9" s="1"/>
  <c r="D79" i="41"/>
  <c r="AP40" i="9"/>
  <c r="S112" i="50"/>
  <c r="AG50" i="53"/>
  <c r="AP568" i="9"/>
  <c r="O41" i="44"/>
  <c r="O32" i="30"/>
  <c r="P169" i="9"/>
  <c r="AB169" i="9" s="1"/>
  <c r="AH170" i="9" s="1"/>
  <c r="P167" i="9"/>
  <c r="AB167" i="9" s="1"/>
  <c r="P168" i="9"/>
  <c r="AB168" i="9" s="1"/>
  <c r="AP532" i="9"/>
  <c r="AU532" i="9" s="1"/>
  <c r="AG5" i="53"/>
  <c r="D76" i="41"/>
  <c r="AP4" i="9"/>
  <c r="AS533" i="9"/>
  <c r="AG246" i="53"/>
  <c r="E76" i="25"/>
  <c r="M131" i="15"/>
  <c r="AP533" i="9"/>
  <c r="E76" i="41"/>
  <c r="AG6" i="53"/>
  <c r="AP5" i="9"/>
  <c r="E12" i="45"/>
  <c r="E15" i="45" s="1"/>
  <c r="F12" i="45"/>
  <c r="F15" i="45" s="1"/>
  <c r="I12" i="45"/>
  <c r="I15" i="45" s="1"/>
  <c r="H12" i="45"/>
  <c r="H15" i="45" s="1"/>
  <c r="AP373" i="9"/>
  <c r="AP225" i="9"/>
  <c r="AU225" i="9" s="1"/>
  <c r="AP213" i="9"/>
  <c r="AU213" i="9" s="1"/>
  <c r="AP370" i="9"/>
  <c r="AP358" i="9"/>
  <c r="AG45" i="53"/>
  <c r="AP142" i="9"/>
  <c r="AS512" i="9"/>
  <c r="AS500" i="9"/>
  <c r="AS513" i="9"/>
  <c r="AS501" i="9"/>
  <c r="AS442" i="9"/>
  <c r="AS430" i="9"/>
  <c r="AS226" i="9"/>
  <c r="AU226" i="9" s="1"/>
  <c r="AS214" i="9"/>
  <c r="AU214" i="9" s="1"/>
  <c r="AS441" i="9"/>
  <c r="AS429" i="9"/>
  <c r="AP368" i="9"/>
  <c r="AP356" i="9"/>
  <c r="AP405" i="9"/>
  <c r="AP393" i="9"/>
  <c r="AP298" i="9"/>
  <c r="AP286" i="9"/>
  <c r="AS224" i="9"/>
  <c r="AU224" i="9" s="1"/>
  <c r="AS212" i="9"/>
  <c r="AU212" i="9" s="1"/>
  <c r="AP188" i="9"/>
  <c r="AP176" i="9"/>
  <c r="AP406" i="9"/>
  <c r="AP394" i="9"/>
  <c r="AP440" i="9"/>
  <c r="AP428" i="9"/>
  <c r="AP543" i="9"/>
  <c r="AG200" i="53"/>
  <c r="AG215" i="53"/>
  <c r="AG230" i="53"/>
  <c r="AG210" i="53"/>
  <c r="AO228" i="9"/>
  <c r="AO225" i="9"/>
  <c r="AO222" i="9"/>
  <c r="AS333" i="9"/>
  <c r="C86" i="25"/>
  <c r="O64" i="41"/>
  <c r="Q55" i="25"/>
  <c r="AS22" i="9" s="1"/>
  <c r="O60" i="25"/>
  <c r="P58" i="25"/>
  <c r="O59" i="41"/>
  <c r="C54" i="41"/>
  <c r="CJ32" i="56" s="1"/>
  <c r="Q59" i="41"/>
  <c r="C56" i="25"/>
  <c r="P59" i="41"/>
  <c r="C55" i="25"/>
  <c r="C63" i="41"/>
  <c r="CJ40" i="56" s="1"/>
  <c r="O54" i="41"/>
  <c r="AP548" i="9"/>
  <c r="O87" i="41"/>
  <c r="Z19" i="41" s="1"/>
  <c r="O58" i="25"/>
  <c r="P84" i="25"/>
  <c r="P86" i="25"/>
  <c r="AC18" i="25" s="1"/>
  <c r="Q57" i="41"/>
  <c r="C62" i="25"/>
  <c r="Q62" i="41"/>
  <c r="P55" i="25"/>
  <c r="AS21" i="9" s="1"/>
  <c r="P61" i="25"/>
  <c r="P64" i="41"/>
  <c r="AP417" i="9" s="1"/>
  <c r="O61" i="25"/>
  <c r="O58" i="41"/>
  <c r="O65" i="25"/>
  <c r="Q63" i="25"/>
  <c r="Q58" i="25"/>
  <c r="Q61" i="25"/>
  <c r="O62" i="25"/>
  <c r="C60" i="25"/>
  <c r="C61" i="41"/>
  <c r="CJ38" i="56" s="1"/>
  <c r="P55" i="41"/>
  <c r="AP21" i="9" s="1"/>
  <c r="AU21" i="9" s="1"/>
  <c r="Q60" i="25"/>
  <c r="Q54" i="25"/>
  <c r="AG285" i="53" s="1"/>
  <c r="P54" i="41"/>
  <c r="P83" i="41"/>
  <c r="AG75" i="53"/>
  <c r="Q80" i="41"/>
  <c r="O78" i="25"/>
  <c r="AC10" i="25"/>
  <c r="AG120" i="53"/>
  <c r="Q83" i="41"/>
  <c r="P81" i="25"/>
  <c r="O84" i="41"/>
  <c r="C60" i="41"/>
  <c r="CJ37" i="56" s="1"/>
  <c r="P62" i="41"/>
  <c r="C83" i="25"/>
  <c r="P60" i="25"/>
  <c r="O63" i="41"/>
  <c r="AP380" i="9" s="1"/>
  <c r="O61" i="41"/>
  <c r="Q59" i="25"/>
  <c r="AR228" i="9"/>
  <c r="AG28" i="53"/>
  <c r="O77" i="41"/>
  <c r="AP8" i="9"/>
  <c r="AU8" i="9" s="1"/>
  <c r="O82" i="41"/>
  <c r="AB14" i="41" s="1"/>
  <c r="AG103" i="53"/>
  <c r="C84" i="41"/>
  <c r="P60" i="41"/>
  <c r="O54" i="25"/>
  <c r="C59" i="25"/>
  <c r="P63" i="41"/>
  <c r="P54" i="25"/>
  <c r="C81" i="41"/>
  <c r="C54" i="25"/>
  <c r="C56" i="41"/>
  <c r="CJ33" i="56" s="1"/>
  <c r="C64" i="41"/>
  <c r="CJ41" i="56" s="1"/>
  <c r="O55" i="25"/>
  <c r="AS20" i="9" s="1"/>
  <c r="AU20" i="9" s="1"/>
  <c r="Q55" i="41"/>
  <c r="P57" i="25"/>
  <c r="C77" i="41"/>
  <c r="C63" i="25"/>
  <c r="CJ17" i="56" s="1"/>
  <c r="Q63" i="41"/>
  <c r="AP382" i="9" s="1"/>
  <c r="P58" i="41"/>
  <c r="Q64" i="25"/>
  <c r="O59" i="25"/>
  <c r="P63" i="25"/>
  <c r="O63" i="25"/>
  <c r="Q64" i="41"/>
  <c r="AP418" i="9" s="1"/>
  <c r="P78" i="41"/>
  <c r="Q82" i="41"/>
  <c r="AG105" i="53"/>
  <c r="AP154" i="9"/>
  <c r="AG15" i="53"/>
  <c r="Q76" i="41"/>
  <c r="O86" i="25"/>
  <c r="Q84" i="25"/>
  <c r="Q78" i="25"/>
  <c r="AP156" i="9"/>
  <c r="AM287" i="9"/>
  <c r="AL287" i="9"/>
  <c r="AR226" i="9"/>
  <c r="AP265" i="9"/>
  <c r="T122" i="50"/>
  <c r="AS193" i="9"/>
  <c r="AS155" i="9"/>
  <c r="AP516" i="9"/>
  <c r="AU516" i="9" s="1"/>
  <c r="AS407" i="9"/>
  <c r="AP299" i="9"/>
  <c r="AS218" i="9"/>
  <c r="AG170" i="53"/>
  <c r="AP136" i="9"/>
  <c r="D87" i="41"/>
  <c r="AP336" i="9"/>
  <c r="AU336" i="9" s="1"/>
  <c r="AS372" i="9"/>
  <c r="AP479" i="9"/>
  <c r="AP407" i="9"/>
  <c r="AS337" i="9"/>
  <c r="AS434" i="9"/>
  <c r="AS481" i="9"/>
  <c r="D65" i="25"/>
  <c r="AS326" i="9"/>
  <c r="AP480" i="9"/>
  <c r="AS156" i="9"/>
  <c r="AS409" i="9"/>
  <c r="AU409" i="9" s="1"/>
  <c r="AS443" i="9"/>
  <c r="AU443" i="9" s="1"/>
  <c r="AP481" i="9"/>
  <c r="AP300" i="9"/>
  <c r="AS517" i="9"/>
  <c r="AS480" i="9"/>
  <c r="T120" i="50"/>
  <c r="AP445" i="9"/>
  <c r="AU445" i="9" s="1"/>
  <c r="E65" i="41"/>
  <c r="AS371" i="9"/>
  <c r="AU371" i="9" s="1"/>
  <c r="AS300" i="9"/>
  <c r="AM289" i="9"/>
  <c r="AI289" i="9"/>
  <c r="AJ289" i="9" s="1"/>
  <c r="AP326" i="9"/>
  <c r="AS146" i="9"/>
  <c r="C65" i="25"/>
  <c r="CJ19" i="56" s="1"/>
  <c r="AS301" i="9"/>
  <c r="AU301" i="9" s="1"/>
  <c r="AP444" i="9"/>
  <c r="AU444" i="9" s="1"/>
  <c r="AL288" i="9"/>
  <c r="AI288" i="9"/>
  <c r="AJ288" i="9" s="1"/>
  <c r="AP155" i="9"/>
  <c r="C65" i="41"/>
  <c r="CJ42" i="56" s="1"/>
  <c r="AS299" i="9"/>
  <c r="AP372" i="9"/>
  <c r="AS192" i="9"/>
  <c r="AS408" i="9"/>
  <c r="AU408" i="9" s="1"/>
  <c r="AM290" i="9"/>
  <c r="AL290" i="9"/>
  <c r="AI290" i="9"/>
  <c r="AJ290" i="9" s="1"/>
  <c r="AP335" i="9"/>
  <c r="AP146" i="9"/>
  <c r="AP337" i="9"/>
  <c r="AP218" i="9"/>
  <c r="E65" i="25"/>
  <c r="AO405" i="9"/>
  <c r="AP515" i="9"/>
  <c r="AU515" i="9" s="1"/>
  <c r="AP552" i="9"/>
  <c r="AS191" i="9"/>
  <c r="AU191" i="9" s="1"/>
  <c r="AP193" i="9"/>
  <c r="AS182" i="9"/>
  <c r="AP192" i="9"/>
  <c r="AS373" i="9"/>
  <c r="AS157" i="9"/>
  <c r="AU157" i="9" s="1"/>
  <c r="BW24" i="56"/>
  <c r="AO369" i="9"/>
  <c r="AO537" i="9"/>
  <c r="AT537" i="9" s="1"/>
  <c r="AO538" i="9"/>
  <c r="AT538" i="9" s="1"/>
  <c r="AO536" i="9"/>
  <c r="AT536" i="9" s="1"/>
  <c r="AX196" i="9" l="1"/>
  <c r="AI54" i="53"/>
  <c r="AG225" i="53"/>
  <c r="AU373" i="9"/>
  <c r="AP202" i="9"/>
  <c r="AP22" i="9"/>
  <c r="AU22" i="9" s="1"/>
  <c r="P47" i="9"/>
  <c r="AB47" i="9" s="1"/>
  <c r="AD47" i="9" s="1"/>
  <c r="P48" i="9"/>
  <c r="AB48" i="9" s="1"/>
  <c r="AD48" i="9" s="1"/>
  <c r="P49" i="9"/>
  <c r="AB49" i="9" s="1"/>
  <c r="AH50" i="9" s="1"/>
  <c r="D24" i="44"/>
  <c r="H24" i="44" s="1"/>
  <c r="E24" i="44"/>
  <c r="I24" i="44" s="1"/>
  <c r="AL158" i="9"/>
  <c r="AM158" i="9"/>
  <c r="AD157" i="9"/>
  <c r="AI158" i="9" s="1"/>
  <c r="AJ158" i="9" s="1"/>
  <c r="AB19" i="41"/>
  <c r="AO449" i="9" s="1"/>
  <c r="AP236" i="9"/>
  <c r="AS4" i="9"/>
  <c r="AS28" i="9"/>
  <c r="AU28" i="9" s="1"/>
  <c r="AS101" i="9"/>
  <c r="AP101" i="9"/>
  <c r="AS5" i="9"/>
  <c r="AS29" i="9"/>
  <c r="AU29" i="9" s="1"/>
  <c r="AS100" i="9"/>
  <c r="AU100" i="9" s="1"/>
  <c r="AO448" i="9"/>
  <c r="AO412" i="9"/>
  <c r="EB37" i="56"/>
  <c r="AC37" i="56" s="1"/>
  <c r="AX270" i="9" s="1"/>
  <c r="AO269" i="9"/>
  <c r="AC15" i="41"/>
  <c r="EC38" i="56" s="1"/>
  <c r="AD38" i="56" s="1"/>
  <c r="EB33" i="56"/>
  <c r="AC33" i="56" s="1"/>
  <c r="G12" i="45"/>
  <c r="G15" i="45" s="1"/>
  <c r="U12" i="45"/>
  <c r="U15" i="45" s="1"/>
  <c r="AP99" i="9"/>
  <c r="P8" i="44"/>
  <c r="Q8" i="44"/>
  <c r="AS164" i="9"/>
  <c r="AS128" i="9"/>
  <c r="AH157" i="9"/>
  <c r="AL157" i="9" s="1"/>
  <c r="E66" i="41" s="1"/>
  <c r="AP113" i="9" s="1"/>
  <c r="AP166" i="9"/>
  <c r="AS165" i="9"/>
  <c r="AS129" i="9"/>
  <c r="AP165" i="9"/>
  <c r="AP129" i="9"/>
  <c r="AP63" i="9"/>
  <c r="AS87" i="9"/>
  <c r="AH156" i="9"/>
  <c r="AL156" i="9" s="1"/>
  <c r="D66" i="41" s="1"/>
  <c r="AP112" i="9" s="1"/>
  <c r="AS166" i="9"/>
  <c r="AS130" i="9"/>
  <c r="AU130" i="9" s="1"/>
  <c r="AP164" i="9"/>
  <c r="AP128" i="9"/>
  <c r="AH155" i="9"/>
  <c r="AM155" i="9" s="1"/>
  <c r="C66" i="25" s="1"/>
  <c r="C88" i="25" s="1"/>
  <c r="CJ36" i="56"/>
  <c r="CJ14" i="56"/>
  <c r="CJ16" i="56"/>
  <c r="CJ10" i="56"/>
  <c r="CJ8" i="56"/>
  <c r="CJ23" i="56"/>
  <c r="CK23" i="56" s="1"/>
  <c r="CL23" i="56" s="1"/>
  <c r="CJ22" i="56"/>
  <c r="CK22" i="56" s="1"/>
  <c r="CL22" i="56" s="1"/>
  <c r="CJ21" i="56"/>
  <c r="CK21" i="56" s="1"/>
  <c r="CJ13" i="56"/>
  <c r="CJ15" i="56"/>
  <c r="CJ9" i="56"/>
  <c r="CJ31" i="56"/>
  <c r="CJ44" i="56"/>
  <c r="CJ46" i="56"/>
  <c r="CK46" i="56" s="1"/>
  <c r="CJ45" i="56"/>
  <c r="CK45" i="56" s="1"/>
  <c r="CJ18" i="56"/>
  <c r="CJ39" i="56"/>
  <c r="CK40" i="56"/>
  <c r="CK41" i="56"/>
  <c r="AU4" i="9"/>
  <c r="P227" i="9"/>
  <c r="AB227" i="9" s="1"/>
  <c r="AD227" i="9" s="1"/>
  <c r="P229" i="9"/>
  <c r="AB229" i="9" s="1"/>
  <c r="AH230" i="9" s="1"/>
  <c r="AM230" i="9" s="1"/>
  <c r="P228" i="9"/>
  <c r="AB228" i="9" s="1"/>
  <c r="AD228" i="9" s="1"/>
  <c r="AU165" i="9"/>
  <c r="EC10" i="56"/>
  <c r="AD10" i="56" s="1"/>
  <c r="EC18" i="56"/>
  <c r="AD18" i="56" s="1"/>
  <c r="AU17" i="9"/>
  <c r="AD33" i="56"/>
  <c r="DZ42" i="56"/>
  <c r="AB42" i="56" s="1"/>
  <c r="AP309" i="9"/>
  <c r="AP489" i="9"/>
  <c r="AP416" i="9"/>
  <c r="AP453" i="9"/>
  <c r="AU453" i="9" s="1"/>
  <c r="AP525" i="9"/>
  <c r="AU525" i="9" s="1"/>
  <c r="AP488" i="9"/>
  <c r="AP274" i="9"/>
  <c r="AP237" i="9"/>
  <c r="AP381" i="9"/>
  <c r="AP344" i="9"/>
  <c r="AP524" i="9"/>
  <c r="AU524" i="9" s="1"/>
  <c r="AS309" i="9"/>
  <c r="AS273" i="9"/>
  <c r="AS489" i="9"/>
  <c r="AS452" i="9"/>
  <c r="AU452" i="9" s="1"/>
  <c r="AS417" i="9"/>
  <c r="AU417" i="9" s="1"/>
  <c r="AS380" i="9"/>
  <c r="AU380" i="9" s="1"/>
  <c r="AS344" i="9"/>
  <c r="AS236" i="9"/>
  <c r="AU236" i="9" s="1"/>
  <c r="AS381" i="9"/>
  <c r="AS237" i="9"/>
  <c r="S50" i="50"/>
  <c r="AS346" i="9"/>
  <c r="AS416" i="9"/>
  <c r="AP346" i="9"/>
  <c r="S116" i="50"/>
  <c r="AP561" i="9"/>
  <c r="AP308" i="9"/>
  <c r="AP310" i="9"/>
  <c r="AS308" i="9"/>
  <c r="D12" i="45"/>
  <c r="D15" i="45" s="1"/>
  <c r="T12" i="45"/>
  <c r="T15" i="45" s="1"/>
  <c r="AR522" i="9"/>
  <c r="AS531" i="9"/>
  <c r="AP531" i="9"/>
  <c r="P623" i="9"/>
  <c r="AB623" i="9" s="1"/>
  <c r="AD623" i="9" s="1"/>
  <c r="P625" i="9"/>
  <c r="AB625" i="9" s="1"/>
  <c r="AH626" i="9" s="1"/>
  <c r="P624" i="9"/>
  <c r="AB624" i="9" s="1"/>
  <c r="AD624" i="9" s="1"/>
  <c r="AP550" i="9"/>
  <c r="AP562" i="9"/>
  <c r="AS549" i="9"/>
  <c r="AU549" i="9" s="1"/>
  <c r="AS561" i="9"/>
  <c r="P588" i="9"/>
  <c r="AB588" i="9" s="1"/>
  <c r="AD588" i="9" s="1"/>
  <c r="P589" i="9"/>
  <c r="AB589" i="9" s="1"/>
  <c r="AH590" i="9" s="1"/>
  <c r="P587" i="9"/>
  <c r="AB587" i="9" s="1"/>
  <c r="AD587" i="9" s="1"/>
  <c r="AP545" i="9"/>
  <c r="AS545" i="9"/>
  <c r="AS548" i="9"/>
  <c r="AU548" i="9" s="1"/>
  <c r="AS560" i="9"/>
  <c r="AU560" i="9" s="1"/>
  <c r="AS550" i="9"/>
  <c r="AS562" i="9"/>
  <c r="AP526" i="9"/>
  <c r="AS526" i="9"/>
  <c r="F29" i="15"/>
  <c r="P551" i="9"/>
  <c r="AB551" i="9" s="1"/>
  <c r="AD551" i="9" s="1"/>
  <c r="P552" i="9"/>
  <c r="AB552" i="9" s="1"/>
  <c r="AD552" i="9" s="1"/>
  <c r="P553" i="9"/>
  <c r="AB553" i="9" s="1"/>
  <c r="AH554" i="9" s="1"/>
  <c r="AP110" i="9"/>
  <c r="AP490" i="9"/>
  <c r="AS464" i="9"/>
  <c r="AS488" i="9"/>
  <c r="AS110" i="9"/>
  <c r="AS490" i="9"/>
  <c r="P515" i="9"/>
  <c r="AB515" i="9" s="1"/>
  <c r="AD515" i="9" s="1"/>
  <c r="P516" i="9"/>
  <c r="AB516" i="9" s="1"/>
  <c r="AD516" i="9" s="1"/>
  <c r="P517" i="9"/>
  <c r="AB517" i="9" s="1"/>
  <c r="AH518" i="9" s="1"/>
  <c r="AP98" i="9"/>
  <c r="AU98" i="9" s="1"/>
  <c r="AP454" i="9"/>
  <c r="AU454" i="9" s="1"/>
  <c r="P481" i="9"/>
  <c r="AB481" i="9" s="1"/>
  <c r="AH482" i="9" s="1"/>
  <c r="P480" i="9"/>
  <c r="AB480" i="9" s="1"/>
  <c r="AD480" i="9" s="1"/>
  <c r="P479" i="9"/>
  <c r="AB479" i="9" s="1"/>
  <c r="AD479" i="9" s="1"/>
  <c r="AO393" i="9"/>
  <c r="P444" i="9"/>
  <c r="AB444" i="9" s="1"/>
  <c r="AD444" i="9" s="1"/>
  <c r="P445" i="9"/>
  <c r="AB445" i="9" s="1"/>
  <c r="AH446" i="9" s="1"/>
  <c r="P443" i="9"/>
  <c r="AB443" i="9" s="1"/>
  <c r="AD443" i="9" s="1"/>
  <c r="AS86" i="9"/>
  <c r="AU86" i="9" s="1"/>
  <c r="AS418" i="9"/>
  <c r="AU418" i="9" s="1"/>
  <c r="Q87" i="41"/>
  <c r="AS74" i="9"/>
  <c r="AU74" i="9" s="1"/>
  <c r="AS382" i="9"/>
  <c r="AU382" i="9" s="1"/>
  <c r="P408" i="9"/>
  <c r="AB408" i="9" s="1"/>
  <c r="AD408" i="9" s="1"/>
  <c r="P409" i="9"/>
  <c r="AB409" i="9" s="1"/>
  <c r="AH410" i="9" s="1"/>
  <c r="P407" i="9"/>
  <c r="AB407" i="9" s="1"/>
  <c r="AD407" i="9" s="1"/>
  <c r="P372" i="9"/>
  <c r="AB372" i="9" s="1"/>
  <c r="AD372" i="9" s="1"/>
  <c r="P371" i="9"/>
  <c r="AB371" i="9" s="1"/>
  <c r="AD371" i="9" s="1"/>
  <c r="P373" i="9"/>
  <c r="AB373" i="9" s="1"/>
  <c r="AH374" i="9" s="1"/>
  <c r="AP321" i="9"/>
  <c r="AU321" i="9" s="1"/>
  <c r="AP345" i="9"/>
  <c r="AU345" i="9" s="1"/>
  <c r="P335" i="9"/>
  <c r="AB335" i="9" s="1"/>
  <c r="AD335" i="9" s="1"/>
  <c r="P336" i="9"/>
  <c r="AB336" i="9" s="1"/>
  <c r="AD336" i="9" s="1"/>
  <c r="P337" i="9"/>
  <c r="AB337" i="9" s="1"/>
  <c r="AH338" i="9" s="1"/>
  <c r="AS50" i="9"/>
  <c r="AU50" i="9" s="1"/>
  <c r="AS310" i="9"/>
  <c r="P301" i="9"/>
  <c r="AB301" i="9" s="1"/>
  <c r="AH302" i="9" s="1"/>
  <c r="P300" i="9"/>
  <c r="AB300" i="9" s="1"/>
  <c r="AD300" i="9" s="1"/>
  <c r="P299" i="9"/>
  <c r="AB299" i="9" s="1"/>
  <c r="AD299" i="9" s="1"/>
  <c r="AU5" i="9"/>
  <c r="AP238" i="9"/>
  <c r="AS238" i="9"/>
  <c r="P265" i="9"/>
  <c r="AB265" i="9" s="1"/>
  <c r="AH266" i="9" s="1"/>
  <c r="P264" i="9"/>
  <c r="AB264" i="9" s="1"/>
  <c r="AD264" i="9" s="1"/>
  <c r="P263" i="9"/>
  <c r="AB263" i="9" s="1"/>
  <c r="AD263" i="9" s="1"/>
  <c r="AP15" i="9"/>
  <c r="AG403" i="53"/>
  <c r="AP140" i="9"/>
  <c r="AS141" i="9"/>
  <c r="AS201" i="9"/>
  <c r="AP141" i="9"/>
  <c r="F7" i="15"/>
  <c r="AS142" i="9"/>
  <c r="AU142" i="9" s="1"/>
  <c r="P193" i="9"/>
  <c r="AB193" i="9" s="1"/>
  <c r="AH194" i="9" s="1"/>
  <c r="P192" i="9"/>
  <c r="AB192" i="9" s="1"/>
  <c r="AD192" i="9" s="1"/>
  <c r="P191" i="9"/>
  <c r="AB191" i="9" s="1"/>
  <c r="AD191" i="9" s="1"/>
  <c r="AR212" i="9"/>
  <c r="P87" i="25"/>
  <c r="AG180" i="53"/>
  <c r="AG375" i="53"/>
  <c r="AG133" i="53"/>
  <c r="AC14" i="41"/>
  <c r="AB9" i="41"/>
  <c r="AD10" i="25"/>
  <c r="AG19" i="53"/>
  <c r="Q87" i="25"/>
  <c r="AT228" i="9"/>
  <c r="AG44" i="53"/>
  <c r="AG420" i="53"/>
  <c r="AL170" i="9"/>
  <c r="AM170" i="9"/>
  <c r="AP123" i="9"/>
  <c r="AU123" i="9" s="1"/>
  <c r="AP651" i="9"/>
  <c r="AU651" i="9" s="1"/>
  <c r="AG240" i="53"/>
  <c r="AS111" i="9"/>
  <c r="AS639" i="9"/>
  <c r="AP639" i="9"/>
  <c r="AS99" i="9"/>
  <c r="AU99" i="9" s="1"/>
  <c r="AS627" i="9"/>
  <c r="AU627" i="9" s="1"/>
  <c r="AP87" i="9"/>
  <c r="AP615" i="9"/>
  <c r="AU615" i="9" s="1"/>
  <c r="AP75" i="9"/>
  <c r="AP603" i="9"/>
  <c r="AS75" i="9"/>
  <c r="AS603" i="9"/>
  <c r="AS63" i="9"/>
  <c r="AU63" i="9" s="1"/>
  <c r="AS591" i="9"/>
  <c r="AU591" i="9" s="1"/>
  <c r="AS41" i="9"/>
  <c r="AG291" i="53"/>
  <c r="E79" i="25"/>
  <c r="AS569" i="9"/>
  <c r="E79" i="41"/>
  <c r="AP41" i="9"/>
  <c r="AG51" i="53"/>
  <c r="S113" i="50"/>
  <c r="AP569" i="9"/>
  <c r="AS40" i="9"/>
  <c r="AU40" i="9" s="1"/>
  <c r="AG290" i="53"/>
  <c r="D79" i="25"/>
  <c r="AS568" i="9"/>
  <c r="AU568" i="9" s="1"/>
  <c r="AP555" i="9"/>
  <c r="AS555" i="9"/>
  <c r="AO531" i="9"/>
  <c r="O8" i="44"/>
  <c r="G24" i="44"/>
  <c r="AD168" i="9"/>
  <c r="AH168" i="9"/>
  <c r="P312" i="9"/>
  <c r="P311" i="9"/>
  <c r="P313" i="9"/>
  <c r="AD167" i="9"/>
  <c r="AH167" i="9"/>
  <c r="AL167" i="9" s="1"/>
  <c r="P203" i="9"/>
  <c r="AB203" i="9" s="1"/>
  <c r="P205" i="9"/>
  <c r="AB205" i="9" s="1"/>
  <c r="AH206" i="9" s="1"/>
  <c r="P204" i="9"/>
  <c r="AB204" i="9" s="1"/>
  <c r="P239" i="9"/>
  <c r="P240" i="9"/>
  <c r="P241" i="9"/>
  <c r="P347" i="9"/>
  <c r="AB347" i="9" s="1"/>
  <c r="P349" i="9"/>
  <c r="AB349" i="9" s="1"/>
  <c r="AH350" i="9" s="1"/>
  <c r="P348" i="9"/>
  <c r="AB348" i="9" s="1"/>
  <c r="P420" i="9"/>
  <c r="AB420" i="9" s="1"/>
  <c r="P419" i="9"/>
  <c r="AB419" i="9" s="1"/>
  <c r="P421" i="9"/>
  <c r="AB421" i="9" s="1"/>
  <c r="AH422" i="9" s="1"/>
  <c r="AU533" i="9"/>
  <c r="AD169" i="9"/>
  <c r="AI170" i="9" s="1"/>
  <c r="AJ170" i="9" s="1"/>
  <c r="AH169" i="9"/>
  <c r="AM169" i="9" s="1"/>
  <c r="P275" i="9"/>
  <c r="AB275" i="9" s="1"/>
  <c r="P276" i="9"/>
  <c r="AB276" i="9" s="1"/>
  <c r="P277" i="9"/>
  <c r="AB277" i="9" s="1"/>
  <c r="AH278" i="9" s="1"/>
  <c r="P492" i="9"/>
  <c r="AB492" i="9" s="1"/>
  <c r="P493" i="9"/>
  <c r="AB493" i="9" s="1"/>
  <c r="AH494" i="9" s="1"/>
  <c r="P491" i="9"/>
  <c r="AB491" i="9" s="1"/>
  <c r="P383" i="9"/>
  <c r="AB383" i="9" s="1"/>
  <c r="P384" i="9"/>
  <c r="AB384" i="9" s="1"/>
  <c r="P385" i="9"/>
  <c r="AB385" i="9" s="1"/>
  <c r="AH386" i="9" s="1"/>
  <c r="P529" i="9"/>
  <c r="AB529" i="9" s="1"/>
  <c r="AH530" i="9" s="1"/>
  <c r="P528" i="9"/>
  <c r="AB528" i="9" s="1"/>
  <c r="P527" i="9"/>
  <c r="AB527" i="9" s="1"/>
  <c r="P455" i="9"/>
  <c r="AB455" i="9" s="1"/>
  <c r="P456" i="9"/>
  <c r="AB456" i="9" s="1"/>
  <c r="P457" i="9"/>
  <c r="AB457" i="9" s="1"/>
  <c r="AH458" i="9" s="1"/>
  <c r="AS322" i="9"/>
  <c r="AS62" i="9"/>
  <c r="AP322" i="9"/>
  <c r="AP62" i="9"/>
  <c r="S122" i="50"/>
  <c r="AP38" i="9"/>
  <c r="S59" i="50"/>
  <c r="AU156" i="9"/>
  <c r="AP509" i="9"/>
  <c r="AP494" i="9"/>
  <c r="AP473" i="9"/>
  <c r="AP458" i="9"/>
  <c r="AR444" i="9"/>
  <c r="AR409" i="9"/>
  <c r="AP514" i="9"/>
  <c r="AP502" i="9"/>
  <c r="AS477" i="9"/>
  <c r="AS465" i="9"/>
  <c r="AS514" i="9"/>
  <c r="AS502" i="9"/>
  <c r="AP478" i="9"/>
  <c r="AP466" i="9"/>
  <c r="AP190" i="9"/>
  <c r="AP178" i="9"/>
  <c r="AP221" i="9"/>
  <c r="AP206" i="9"/>
  <c r="AP369" i="9"/>
  <c r="AP357" i="9"/>
  <c r="AR222" i="9"/>
  <c r="AT222" i="9" s="1"/>
  <c r="AR210" i="9"/>
  <c r="AT210" i="9" s="1"/>
  <c r="AS296" i="9"/>
  <c r="AS284" i="9"/>
  <c r="AS15" i="9"/>
  <c r="AS297" i="9"/>
  <c r="AS285" i="9"/>
  <c r="AS190" i="9"/>
  <c r="AS178" i="9"/>
  <c r="AP185" i="9"/>
  <c r="AP170" i="9"/>
  <c r="AP365" i="9"/>
  <c r="AP350" i="9"/>
  <c r="AS473" i="9"/>
  <c r="AS458" i="9"/>
  <c r="AO407" i="9"/>
  <c r="AP329" i="9"/>
  <c r="AP314" i="9"/>
  <c r="AO372" i="9"/>
  <c r="AO357" i="9"/>
  <c r="AP517" i="9"/>
  <c r="AU517" i="9" s="1"/>
  <c r="AS314" i="9"/>
  <c r="AP476" i="9"/>
  <c r="AP464" i="9"/>
  <c r="AS370" i="9"/>
  <c r="AU370" i="9" s="1"/>
  <c r="AS358" i="9"/>
  <c r="AU358" i="9" s="1"/>
  <c r="AS406" i="9"/>
  <c r="AU406" i="9" s="1"/>
  <c r="AS394" i="9"/>
  <c r="AU394" i="9" s="1"/>
  <c r="AS478" i="9"/>
  <c r="AS466" i="9"/>
  <c r="AS404" i="9"/>
  <c r="AS392" i="9"/>
  <c r="AS405" i="9"/>
  <c r="AU405" i="9" s="1"/>
  <c r="AS393" i="9"/>
  <c r="AU393" i="9" s="1"/>
  <c r="AS185" i="9"/>
  <c r="AS170" i="9"/>
  <c r="AS221" i="9"/>
  <c r="AS206" i="9"/>
  <c r="AR229" i="9"/>
  <c r="AS401" i="9"/>
  <c r="AS386" i="9"/>
  <c r="AO480" i="9"/>
  <c r="AR510" i="9"/>
  <c r="AR498" i="9"/>
  <c r="AS332" i="9"/>
  <c r="AS320" i="9"/>
  <c r="AP297" i="9"/>
  <c r="AP285" i="9"/>
  <c r="AS261" i="9"/>
  <c r="AS249" i="9"/>
  <c r="AS188" i="9"/>
  <c r="AU188" i="9" s="1"/>
  <c r="AS176" i="9"/>
  <c r="AU176" i="9" s="1"/>
  <c r="AP477" i="9"/>
  <c r="AP465" i="9"/>
  <c r="AG283" i="53"/>
  <c r="AS140" i="9"/>
  <c r="AP441" i="9"/>
  <c r="AU441" i="9" s="1"/>
  <c r="AP429" i="9"/>
  <c r="AU429" i="9" s="1"/>
  <c r="AO297" i="9"/>
  <c r="AO285" i="9"/>
  <c r="AS437" i="9"/>
  <c r="AS422" i="9"/>
  <c r="AP332" i="9"/>
  <c r="AP320" i="9"/>
  <c r="AS368" i="9"/>
  <c r="AU368" i="9" s="1"/>
  <c r="AS356" i="9"/>
  <c r="AU356" i="9" s="1"/>
  <c r="AP512" i="9"/>
  <c r="AU512" i="9" s="1"/>
  <c r="AP500" i="9"/>
  <c r="AU500" i="9" s="1"/>
  <c r="AO229" i="9"/>
  <c r="AR445" i="9"/>
  <c r="AS365" i="9"/>
  <c r="AS350" i="9"/>
  <c r="AS494" i="9"/>
  <c r="AP404" i="9"/>
  <c r="AP392" i="9"/>
  <c r="AS369" i="9"/>
  <c r="AS357" i="9"/>
  <c r="AP189" i="9"/>
  <c r="AP177" i="9"/>
  <c r="AS440" i="9"/>
  <c r="AU440" i="9" s="1"/>
  <c r="AS428" i="9"/>
  <c r="AU428" i="9" s="1"/>
  <c r="AS298" i="9"/>
  <c r="AU298" i="9" s="1"/>
  <c r="AS286" i="9"/>
  <c r="AU286" i="9" s="1"/>
  <c r="AP296" i="9"/>
  <c r="AP284" i="9"/>
  <c r="AP513" i="9"/>
  <c r="AU513" i="9" s="1"/>
  <c r="AP501" i="9"/>
  <c r="AU501" i="9" s="1"/>
  <c r="AS189" i="9"/>
  <c r="AS177" i="9"/>
  <c r="AP442" i="9"/>
  <c r="AU442" i="9" s="1"/>
  <c r="AP430" i="9"/>
  <c r="AU430" i="9" s="1"/>
  <c r="AP262" i="9"/>
  <c r="AP250" i="9"/>
  <c r="T59" i="50"/>
  <c r="AF234" i="53"/>
  <c r="AF204" i="53"/>
  <c r="AF189" i="53"/>
  <c r="AF219" i="53"/>
  <c r="AP544" i="9"/>
  <c r="AG231" i="53"/>
  <c r="AG201" i="53"/>
  <c r="AG216" i="53"/>
  <c r="AS544" i="9"/>
  <c r="AG471" i="53"/>
  <c r="AG456" i="53"/>
  <c r="AG441" i="53"/>
  <c r="AS543" i="9"/>
  <c r="AU543" i="9" s="1"/>
  <c r="AG455" i="53"/>
  <c r="AG440" i="53"/>
  <c r="AG470" i="53"/>
  <c r="AG119" i="53"/>
  <c r="AG178" i="53"/>
  <c r="AR147" i="9"/>
  <c r="AP153" i="9"/>
  <c r="AG224" i="53"/>
  <c r="AG194" i="53"/>
  <c r="AG209" i="53"/>
  <c r="AG239" i="53"/>
  <c r="AG179" i="53"/>
  <c r="AP152" i="9"/>
  <c r="AG193" i="53"/>
  <c r="AG208" i="53"/>
  <c r="AG223" i="53"/>
  <c r="AG238" i="53"/>
  <c r="AG43" i="53"/>
  <c r="AP149" i="9"/>
  <c r="AO157" i="9"/>
  <c r="AS153" i="9"/>
  <c r="AG479" i="53"/>
  <c r="AG449" i="53"/>
  <c r="AG464" i="53"/>
  <c r="AG434" i="53"/>
  <c r="AG284" i="53"/>
  <c r="AG329" i="53"/>
  <c r="AG419" i="53"/>
  <c r="AG374" i="53"/>
  <c r="AS149" i="9"/>
  <c r="AS154" i="9"/>
  <c r="AU154" i="9" s="1"/>
  <c r="AG450" i="53"/>
  <c r="AG465" i="53"/>
  <c r="AG435" i="53"/>
  <c r="AG480" i="53"/>
  <c r="AS152" i="9"/>
  <c r="AG448" i="53"/>
  <c r="AG463" i="53"/>
  <c r="AG433" i="53"/>
  <c r="AG478" i="53"/>
  <c r="AG404" i="53"/>
  <c r="Q70" i="41"/>
  <c r="AS335" i="9"/>
  <c r="AU335" i="9" s="1"/>
  <c r="AS264" i="9"/>
  <c r="AU372" i="9"/>
  <c r="AS479" i="9"/>
  <c r="AU479" i="9" s="1"/>
  <c r="AS476" i="9"/>
  <c r="AO367" i="9"/>
  <c r="AO438" i="9"/>
  <c r="AO186" i="9"/>
  <c r="AS334" i="9"/>
  <c r="AP333" i="9"/>
  <c r="AU333" i="9" s="1"/>
  <c r="AP334" i="9"/>
  <c r="AO408" i="9"/>
  <c r="AR551" i="9"/>
  <c r="AR373" i="9"/>
  <c r="AR182" i="9"/>
  <c r="AO219" i="9"/>
  <c r="C58" i="41"/>
  <c r="CJ35" i="56" s="1"/>
  <c r="C58" i="25"/>
  <c r="CJ12" i="56" s="1"/>
  <c r="AO373" i="9"/>
  <c r="C57" i="25"/>
  <c r="CJ11" i="56" s="1"/>
  <c r="AR227" i="9"/>
  <c r="AG165" i="53"/>
  <c r="Q86" i="41"/>
  <c r="AG389" i="53"/>
  <c r="P85" i="25"/>
  <c r="AG405" i="53"/>
  <c r="Q86" i="25"/>
  <c r="AG150" i="53"/>
  <c r="Q85" i="41"/>
  <c r="AG30" i="53"/>
  <c r="Q77" i="41"/>
  <c r="AY228" i="9"/>
  <c r="AG118" i="53"/>
  <c r="O83" i="41"/>
  <c r="P82" i="25"/>
  <c r="AG344" i="53"/>
  <c r="AO300" i="9"/>
  <c r="AG14" i="53"/>
  <c r="P76" i="41"/>
  <c r="AG345" i="53"/>
  <c r="Q82" i="25"/>
  <c r="AG109" i="53"/>
  <c r="C83" i="41"/>
  <c r="AG360" i="53"/>
  <c r="Q83" i="25"/>
  <c r="AG418" i="53"/>
  <c r="O87" i="25"/>
  <c r="Z19" i="25" s="1"/>
  <c r="Q81" i="41"/>
  <c r="AG90" i="53"/>
  <c r="O81" i="41"/>
  <c r="AC13" i="41" s="1"/>
  <c r="AG88" i="53"/>
  <c r="O82" i="25"/>
  <c r="AB14" i="25" s="1"/>
  <c r="AG343" i="53"/>
  <c r="AG163" i="53"/>
  <c r="O86" i="41"/>
  <c r="AB18" i="41" s="1"/>
  <c r="P57" i="41"/>
  <c r="AP201" i="9" s="1"/>
  <c r="AO328" i="9"/>
  <c r="C57" i="41"/>
  <c r="CJ34" i="56" s="1"/>
  <c r="AP398" i="9"/>
  <c r="AP401" i="9"/>
  <c r="AB18" i="25"/>
  <c r="Z18" i="25"/>
  <c r="AG244" i="53"/>
  <c r="C76" i="25"/>
  <c r="AG254" i="53"/>
  <c r="P70" i="25"/>
  <c r="P76" i="25"/>
  <c r="AG319" i="53"/>
  <c r="C81" i="25"/>
  <c r="P82" i="41"/>
  <c r="AF14" i="41" s="1"/>
  <c r="AG104" i="53"/>
  <c r="AG134" i="53"/>
  <c r="P84" i="41"/>
  <c r="AR225" i="9"/>
  <c r="AT225" i="9" s="1"/>
  <c r="AG334" i="53"/>
  <c r="C82" i="25"/>
  <c r="O80" i="41"/>
  <c r="AG73" i="53"/>
  <c r="P86" i="41"/>
  <c r="AG164" i="53"/>
  <c r="P77" i="25"/>
  <c r="AG269" i="53"/>
  <c r="Q84" i="41"/>
  <c r="AC16" i="41" s="1"/>
  <c r="AG135" i="53"/>
  <c r="O76" i="41"/>
  <c r="AB8" i="41" s="1"/>
  <c r="AF235" i="53" s="1"/>
  <c r="AG13" i="53"/>
  <c r="AG259" i="53"/>
  <c r="C77" i="25"/>
  <c r="O57" i="41"/>
  <c r="AP200" i="9" s="1"/>
  <c r="AR434" i="9"/>
  <c r="AP263" i="9"/>
  <c r="AD10" i="41"/>
  <c r="AG388" i="53"/>
  <c r="O85" i="25"/>
  <c r="O81" i="25"/>
  <c r="X13" i="25" s="1"/>
  <c r="AG328" i="53"/>
  <c r="Y13" i="25"/>
  <c r="P80" i="41"/>
  <c r="AG74" i="53"/>
  <c r="AG379" i="53"/>
  <c r="C85" i="25"/>
  <c r="AG299" i="53"/>
  <c r="P79" i="25"/>
  <c r="AG268" i="53"/>
  <c r="O77" i="25"/>
  <c r="AB9" i="25" s="1"/>
  <c r="AG154" i="53"/>
  <c r="C86" i="41"/>
  <c r="AS329" i="9"/>
  <c r="Q81" i="25"/>
  <c r="AG330" i="53"/>
  <c r="O85" i="41"/>
  <c r="AB17" i="41" s="1"/>
  <c r="AO377" i="9" s="1"/>
  <c r="AG148" i="53"/>
  <c r="Q76" i="25"/>
  <c r="AG255" i="53"/>
  <c r="AG29" i="53"/>
  <c r="P77" i="41"/>
  <c r="AD9" i="41" s="1"/>
  <c r="AO19" i="9" s="1"/>
  <c r="AG373" i="53"/>
  <c r="O84" i="25"/>
  <c r="AC16" i="25" s="1"/>
  <c r="Y16" i="25"/>
  <c r="AG390" i="53"/>
  <c r="Q85" i="25"/>
  <c r="AG60" i="53"/>
  <c r="Q79" i="41"/>
  <c r="AG274" i="53"/>
  <c r="C78" i="25"/>
  <c r="AG4" i="53"/>
  <c r="C76" i="41"/>
  <c r="AG314" i="53"/>
  <c r="P80" i="25"/>
  <c r="AG270" i="53"/>
  <c r="Q77" i="25"/>
  <c r="AR326" i="9"/>
  <c r="AR218" i="9"/>
  <c r="AT218" i="9" s="1"/>
  <c r="O57" i="25"/>
  <c r="AS200" i="9" s="1"/>
  <c r="AP437" i="9"/>
  <c r="AS509" i="9"/>
  <c r="AG34" i="53"/>
  <c r="C78" i="41"/>
  <c r="AG149" i="53"/>
  <c r="P85" i="41"/>
  <c r="O76" i="25"/>
  <c r="AG253" i="53"/>
  <c r="AG94" i="53"/>
  <c r="C82" i="41"/>
  <c r="Z10" i="25"/>
  <c r="AB10" i="25"/>
  <c r="Q80" i="25"/>
  <c r="AG315" i="53"/>
  <c r="Q57" i="25"/>
  <c r="AS202" i="9" s="1"/>
  <c r="AU202" i="9" s="1"/>
  <c r="AG358" i="53"/>
  <c r="O83" i="25"/>
  <c r="AG359" i="53"/>
  <c r="P83" i="25"/>
  <c r="Y15" i="25" s="1"/>
  <c r="AG364" i="53"/>
  <c r="C84" i="25"/>
  <c r="O80" i="25"/>
  <c r="Z12" i="25" s="1"/>
  <c r="AG313" i="53"/>
  <c r="AF174" i="53"/>
  <c r="Z24" i="41"/>
  <c r="AG139" i="53"/>
  <c r="C85" i="41"/>
  <c r="AG89" i="53"/>
  <c r="P81" i="41"/>
  <c r="AU299" i="9"/>
  <c r="AS506" i="9"/>
  <c r="AU337" i="9"/>
  <c r="AU155" i="9"/>
  <c r="AP434" i="9"/>
  <c r="AU434" i="9" s="1"/>
  <c r="AO370" i="9"/>
  <c r="AU326" i="9"/>
  <c r="AU480" i="9"/>
  <c r="AU407" i="9"/>
  <c r="AO441" i="9"/>
  <c r="AU481" i="9"/>
  <c r="AR406" i="9"/>
  <c r="AP290" i="9"/>
  <c r="AP542" i="9"/>
  <c r="AU192" i="9"/>
  <c r="AR442" i="9"/>
  <c r="AS290" i="9"/>
  <c r="AO154" i="9"/>
  <c r="AP182" i="9"/>
  <c r="AU182" i="9" s="1"/>
  <c r="AP137" i="9"/>
  <c r="E87" i="41"/>
  <c r="AG171" i="53"/>
  <c r="AS552" i="9"/>
  <c r="AU552" i="9" s="1"/>
  <c r="AO404" i="9"/>
  <c r="AP506" i="9"/>
  <c r="AR190" i="9"/>
  <c r="AS553" i="9"/>
  <c r="AU146" i="9"/>
  <c r="AP470" i="9"/>
  <c r="AS551" i="9"/>
  <c r="D87" i="25"/>
  <c r="AG410" i="53"/>
  <c r="AS136" i="9"/>
  <c r="AU136" i="9" s="1"/>
  <c r="AG411" i="53"/>
  <c r="E87" i="25"/>
  <c r="AS137" i="9"/>
  <c r="AP551" i="9"/>
  <c r="T121" i="50"/>
  <c r="AP264" i="9"/>
  <c r="AP362" i="9"/>
  <c r="AS135" i="9"/>
  <c r="AG409" i="53"/>
  <c r="C87" i="25"/>
  <c r="T98" i="50"/>
  <c r="AU300" i="9"/>
  <c r="AS362" i="9"/>
  <c r="AS2" i="9"/>
  <c r="AU2" i="9" s="1"/>
  <c r="AS254" i="9"/>
  <c r="AP135" i="9"/>
  <c r="AG169" i="53"/>
  <c r="C87" i="41"/>
  <c r="AS265" i="9"/>
  <c r="AU265" i="9" s="1"/>
  <c r="T60" i="50"/>
  <c r="AP553" i="9"/>
  <c r="AS470" i="9"/>
  <c r="AS398" i="9"/>
  <c r="AP254" i="9"/>
  <c r="AS542" i="9"/>
  <c r="T15" i="41"/>
  <c r="BB38" i="56" s="1"/>
  <c r="DA38" i="56" s="1"/>
  <c r="AU218" i="9"/>
  <c r="AU193" i="9"/>
  <c r="CG24" i="56"/>
  <c r="CE24" i="56"/>
  <c r="T47" i="56"/>
  <c r="S71" i="50"/>
  <c r="S79" i="50"/>
  <c r="S78" i="50"/>
  <c r="S74" i="50"/>
  <c r="S77" i="50"/>
  <c r="S75" i="50"/>
  <c r="S76" i="50"/>
  <c r="S73" i="50"/>
  <c r="S72" i="50"/>
  <c r="AI235" i="53" l="1"/>
  <c r="AI220" i="53"/>
  <c r="AI190" i="53"/>
  <c r="AI205" i="53"/>
  <c r="AF220" i="53"/>
  <c r="AF190" i="53"/>
  <c r="AF85" i="53"/>
  <c r="AF70" i="53"/>
  <c r="AF130" i="53"/>
  <c r="AF40" i="53"/>
  <c r="AF100" i="53"/>
  <c r="AF205" i="53"/>
  <c r="AM50" i="9"/>
  <c r="AL50" i="9"/>
  <c r="AD49" i="9"/>
  <c r="AI50" i="9" s="1"/>
  <c r="AJ50" i="9" s="1"/>
  <c r="AH48" i="9"/>
  <c r="AM48" i="9" s="1"/>
  <c r="AH47" i="9"/>
  <c r="AH49" i="9"/>
  <c r="AU464" i="9"/>
  <c r="AF175" i="53"/>
  <c r="EB42" i="56"/>
  <c r="AU87" i="9"/>
  <c r="AU101" i="9"/>
  <c r="AR230" i="9"/>
  <c r="AT230" i="9" s="1"/>
  <c r="AR266" i="9"/>
  <c r="AT266" i="9" s="1"/>
  <c r="AX449" i="9"/>
  <c r="AX413" i="9"/>
  <c r="AR231" i="9"/>
  <c r="AT231" i="9" s="1"/>
  <c r="AR267" i="9"/>
  <c r="AT267" i="9" s="1"/>
  <c r="AU164" i="9"/>
  <c r="AF18" i="41"/>
  <c r="EF41" i="56" s="1"/>
  <c r="AB19" i="25"/>
  <c r="EB19" i="56" s="1"/>
  <c r="AC19" i="56" s="1"/>
  <c r="AO413" i="9"/>
  <c r="EB41" i="56"/>
  <c r="AC41" i="56" s="1"/>
  <c r="AF160" i="53"/>
  <c r="EB31" i="56"/>
  <c r="AC31" i="56" s="1"/>
  <c r="AX126" i="9" s="1"/>
  <c r="AF10" i="53"/>
  <c r="AD15" i="41"/>
  <c r="ED38" i="56" s="1"/>
  <c r="AB15" i="41"/>
  <c r="AC15" i="25"/>
  <c r="EC15" i="56" s="1"/>
  <c r="AS27" i="9"/>
  <c r="AU166" i="9"/>
  <c r="Q24" i="44"/>
  <c r="E88" i="41"/>
  <c r="E92" i="41" s="1"/>
  <c r="AG186" i="53"/>
  <c r="E70" i="41"/>
  <c r="AB239" i="9"/>
  <c r="AH239" i="9" s="1"/>
  <c r="G38" i="45"/>
  <c r="AU128" i="9"/>
  <c r="D88" i="41"/>
  <c r="AG185" i="53"/>
  <c r="D70" i="41"/>
  <c r="AU129" i="9"/>
  <c r="CJ20" i="56"/>
  <c r="AM156" i="9"/>
  <c r="D66" i="25" s="1"/>
  <c r="AS112" i="9" s="1"/>
  <c r="AU112" i="9" s="1"/>
  <c r="AI156" i="9"/>
  <c r="AJ156" i="9" s="1"/>
  <c r="AB241" i="9"/>
  <c r="AH242" i="9" s="1"/>
  <c r="AM242" i="9" s="1"/>
  <c r="I38" i="45"/>
  <c r="AP27" i="9"/>
  <c r="AM157" i="9"/>
  <c r="E66" i="25" s="1"/>
  <c r="AS113" i="9" s="1"/>
  <c r="AU113" i="9" s="1"/>
  <c r="AI157" i="9"/>
  <c r="AJ157" i="9" s="1"/>
  <c r="P24" i="44"/>
  <c r="AB240" i="9"/>
  <c r="U39" i="45" s="1"/>
  <c r="AO161" i="9"/>
  <c r="AL155" i="9"/>
  <c r="C66" i="41" s="1"/>
  <c r="AP111" i="9" s="1"/>
  <c r="AU111" i="9" s="1"/>
  <c r="AI155" i="9"/>
  <c r="AJ155" i="9" s="1"/>
  <c r="AU140" i="9"/>
  <c r="CL45" i="56"/>
  <c r="CL21" i="56"/>
  <c r="CL46" i="56"/>
  <c r="BB46" i="56"/>
  <c r="DA46" i="56" s="1"/>
  <c r="BB45" i="56"/>
  <c r="DA45" i="56" s="1"/>
  <c r="BB44" i="56"/>
  <c r="DA44" i="56" s="1"/>
  <c r="BB41" i="56"/>
  <c r="DA41" i="56" s="1"/>
  <c r="CK44" i="56"/>
  <c r="AD229" i="9"/>
  <c r="AI230" i="9" s="1"/>
  <c r="AJ230" i="9" s="1"/>
  <c r="AP3" i="9"/>
  <c r="AS3" i="9"/>
  <c r="AD17" i="41"/>
  <c r="ED40" i="56" s="1"/>
  <c r="AH227" i="9"/>
  <c r="AL227" i="9" s="1"/>
  <c r="AH228" i="9"/>
  <c r="AL228" i="9" s="1"/>
  <c r="AH229" i="9"/>
  <c r="AM229" i="9" s="1"/>
  <c r="EC56" i="56"/>
  <c r="AL230" i="9"/>
  <c r="AL338" i="9"/>
  <c r="AM338" i="9"/>
  <c r="AL446" i="9"/>
  <c r="AM446" i="9"/>
  <c r="AD553" i="9"/>
  <c r="AI554" i="9" s="1"/>
  <c r="AJ554" i="9" s="1"/>
  <c r="AD265" i="9"/>
  <c r="AI266" i="9" s="1"/>
  <c r="AJ266" i="9" s="1"/>
  <c r="AD481" i="9"/>
  <c r="AI482" i="9" s="1"/>
  <c r="AJ482" i="9" s="1"/>
  <c r="AM266" i="9"/>
  <c r="AL266" i="9"/>
  <c r="AM302" i="9"/>
  <c r="AL302" i="9"/>
  <c r="AL518" i="9"/>
  <c r="AM518" i="9"/>
  <c r="AU531" i="9"/>
  <c r="AD337" i="9"/>
  <c r="AI338" i="9" s="1"/>
  <c r="AJ338" i="9" s="1"/>
  <c r="AD373" i="9"/>
  <c r="AI374" i="9" s="1"/>
  <c r="AJ374" i="9" s="1"/>
  <c r="AD625" i="9"/>
  <c r="AI626" i="9" s="1"/>
  <c r="AJ626" i="9" s="1"/>
  <c r="AD301" i="9"/>
  <c r="AI302" i="9" s="1"/>
  <c r="AJ302" i="9" s="1"/>
  <c r="AM374" i="9"/>
  <c r="AL374" i="9"/>
  <c r="AM410" i="9"/>
  <c r="AL410" i="9"/>
  <c r="AM482" i="9"/>
  <c r="AL482" i="9"/>
  <c r="AL626" i="9"/>
  <c r="AM626" i="9"/>
  <c r="AD445" i="9"/>
  <c r="AI446" i="9" s="1"/>
  <c r="AJ446" i="9" s="1"/>
  <c r="AD589" i="9"/>
  <c r="AI590" i="9" s="1"/>
  <c r="AJ590" i="9" s="1"/>
  <c r="AD409" i="9"/>
  <c r="AI410" i="9" s="1"/>
  <c r="AJ410" i="9" s="1"/>
  <c r="AM194" i="9"/>
  <c r="AL194" i="9"/>
  <c r="AL554" i="9"/>
  <c r="AM554" i="9"/>
  <c r="AL590" i="9"/>
  <c r="G66" i="41" s="1"/>
  <c r="AM590" i="9"/>
  <c r="G66" i="25" s="1"/>
  <c r="AD517" i="9"/>
  <c r="AI518" i="9" s="1"/>
  <c r="AJ518" i="9" s="1"/>
  <c r="AD193" i="9"/>
  <c r="AI194" i="9" s="1"/>
  <c r="AJ194" i="9" s="1"/>
  <c r="AU488" i="9"/>
  <c r="AD56" i="56"/>
  <c r="EB10" i="56"/>
  <c r="EB56" i="56" s="1"/>
  <c r="EB9" i="56"/>
  <c r="AC9" i="56" s="1"/>
  <c r="AY18" i="9" s="1"/>
  <c r="DY13" i="56"/>
  <c r="Z13" i="56" s="1"/>
  <c r="Z59" i="56" s="1"/>
  <c r="EB18" i="56"/>
  <c r="DX13" i="56"/>
  <c r="DX59" i="56" s="1"/>
  <c r="AU237" i="9"/>
  <c r="AU416" i="9"/>
  <c r="AU141" i="9"/>
  <c r="AU310" i="9"/>
  <c r="AC42" i="56"/>
  <c r="AX450" i="9" s="1"/>
  <c r="DZ47" i="56"/>
  <c r="AU309" i="9"/>
  <c r="AU344" i="9"/>
  <c r="EC39" i="56"/>
  <c r="EB32" i="56"/>
  <c r="ED32" i="56"/>
  <c r="EC37" i="56"/>
  <c r="AU489" i="9"/>
  <c r="AU381" i="9"/>
  <c r="AP272" i="9"/>
  <c r="AI175" i="53"/>
  <c r="AX557" i="9"/>
  <c r="AB47" i="56"/>
  <c r="AU346" i="9"/>
  <c r="EF37" i="56"/>
  <c r="AO616" i="9"/>
  <c r="AO485" i="9"/>
  <c r="EB40" i="56"/>
  <c r="DT38" i="56"/>
  <c r="AO524" i="9"/>
  <c r="ED33" i="56"/>
  <c r="AO342" i="9"/>
  <c r="EC36" i="56"/>
  <c r="AO525" i="9"/>
  <c r="AS274" i="9"/>
  <c r="AU274" i="9" s="1"/>
  <c r="AS272" i="9"/>
  <c r="S51" i="50"/>
  <c r="DZ10" i="56"/>
  <c r="DZ56" i="56" s="1"/>
  <c r="ED10" i="56"/>
  <c r="AF10" i="56" s="1"/>
  <c r="DZ19" i="56"/>
  <c r="AB19" i="56" s="1"/>
  <c r="AB65" i="56" s="1"/>
  <c r="DY15" i="56"/>
  <c r="DZ12" i="56"/>
  <c r="DZ58" i="56" s="1"/>
  <c r="DZ18" i="56"/>
  <c r="DZ64" i="56" s="1"/>
  <c r="DY16" i="56"/>
  <c r="EC16" i="56"/>
  <c r="AD16" i="56" s="1"/>
  <c r="EB14" i="56"/>
  <c r="EB60" i="56" s="1"/>
  <c r="AU308" i="9"/>
  <c r="AU545" i="9"/>
  <c r="AU561" i="9"/>
  <c r="AU550" i="9"/>
  <c r="AR303" i="9"/>
  <c r="AT303" i="9" s="1"/>
  <c r="AB311" i="9"/>
  <c r="D38" i="45" s="1"/>
  <c r="AB312" i="9"/>
  <c r="E38" i="45" s="1"/>
  <c r="AB313" i="9"/>
  <c r="AH314" i="9" s="1"/>
  <c r="AL314" i="9" s="1"/>
  <c r="AR521" i="9"/>
  <c r="AT521" i="9" s="1"/>
  <c r="AR545" i="9"/>
  <c r="AR339" i="9"/>
  <c r="AT339" i="9" s="1"/>
  <c r="AR520" i="9"/>
  <c r="AT520" i="9" s="1"/>
  <c r="AR447" i="9"/>
  <c r="AT447" i="9" s="1"/>
  <c r="AR338" i="9"/>
  <c r="AT338" i="9" s="1"/>
  <c r="AR544" i="9"/>
  <c r="AO591" i="9"/>
  <c r="AR651" i="9"/>
  <c r="AT651" i="9" s="1"/>
  <c r="AR639" i="9"/>
  <c r="AT639" i="9" s="1"/>
  <c r="AP567" i="9"/>
  <c r="AU110" i="9"/>
  <c r="AH624" i="9"/>
  <c r="AM624" i="9" s="1"/>
  <c r="T66" i="25" s="1"/>
  <c r="AH625" i="9"/>
  <c r="AL625" i="9" s="1"/>
  <c r="U66" i="41" s="1"/>
  <c r="AH623" i="9"/>
  <c r="AM623" i="9" s="1"/>
  <c r="S66" i="25" s="1"/>
  <c r="AH587" i="9"/>
  <c r="AM587" i="9" s="1"/>
  <c r="AH589" i="9"/>
  <c r="AU562" i="9"/>
  <c r="AO551" i="9"/>
  <c r="AT551" i="9" s="1"/>
  <c r="AH588" i="9"/>
  <c r="AM588" i="9" s="1"/>
  <c r="AU526" i="9"/>
  <c r="AU490" i="9"/>
  <c r="AH552" i="9"/>
  <c r="AL552" i="9" s="1"/>
  <c r="AH551" i="9"/>
  <c r="AL551" i="9" s="1"/>
  <c r="P29" i="15"/>
  <c r="K29" i="15"/>
  <c r="AH553" i="9"/>
  <c r="AL553" i="9" s="1"/>
  <c r="AH517" i="9"/>
  <c r="AM517" i="9" s="1"/>
  <c r="AH516" i="9"/>
  <c r="AH515" i="9"/>
  <c r="AM515" i="9" s="1"/>
  <c r="AH479" i="9"/>
  <c r="AL479" i="9" s="1"/>
  <c r="AR426" i="9"/>
  <c r="AH480" i="9"/>
  <c r="AM480" i="9" s="1"/>
  <c r="AO426" i="9"/>
  <c r="AH481" i="9"/>
  <c r="AM481" i="9" s="1"/>
  <c r="AR387" i="9"/>
  <c r="AT387" i="9" s="1"/>
  <c r="AR411" i="9"/>
  <c r="AT411" i="9" s="1"/>
  <c r="AO391" i="9"/>
  <c r="AH444" i="9"/>
  <c r="AL444" i="9" s="1"/>
  <c r="AR390" i="9"/>
  <c r="AT390" i="9" s="1"/>
  <c r="AH443" i="9"/>
  <c r="AM443" i="9" s="1"/>
  <c r="AH445" i="9"/>
  <c r="AM445" i="9" s="1"/>
  <c r="AR353" i="9"/>
  <c r="AT353" i="9" s="1"/>
  <c r="AO354" i="9"/>
  <c r="AH407" i="9"/>
  <c r="AH409" i="9"/>
  <c r="AM409" i="9" s="1"/>
  <c r="AH408" i="9"/>
  <c r="AM408" i="9" s="1"/>
  <c r="AH373" i="9"/>
  <c r="AM373" i="9" s="1"/>
  <c r="AH371" i="9"/>
  <c r="AI371" i="9" s="1"/>
  <c r="AJ371" i="9" s="1"/>
  <c r="AH372" i="9"/>
  <c r="AH337" i="9"/>
  <c r="AM337" i="9" s="1"/>
  <c r="AH336" i="9"/>
  <c r="AM336" i="9" s="1"/>
  <c r="AO284" i="9"/>
  <c r="AH335" i="9"/>
  <c r="AM335" i="9" s="1"/>
  <c r="AU75" i="9"/>
  <c r="AU15" i="9"/>
  <c r="S115" i="50"/>
  <c r="AP273" i="9"/>
  <c r="AU273" i="9" s="1"/>
  <c r="AH301" i="9"/>
  <c r="AL301" i="9" s="1"/>
  <c r="AH299" i="9"/>
  <c r="AM299" i="9" s="1"/>
  <c r="AH300" i="9"/>
  <c r="AM300" i="9" s="1"/>
  <c r="AO175" i="9"/>
  <c r="AH264" i="9"/>
  <c r="AM264" i="9" s="1"/>
  <c r="AH265" i="9"/>
  <c r="AM265" i="9" s="1"/>
  <c r="AU238" i="9"/>
  <c r="AF25" i="53"/>
  <c r="AO233" i="9"/>
  <c r="AH263" i="9"/>
  <c r="AL263" i="9" s="1"/>
  <c r="AU201" i="9"/>
  <c r="AU200" i="9"/>
  <c r="K7" i="15"/>
  <c r="P7" i="15"/>
  <c r="P23" i="15" s="1"/>
  <c r="F23" i="15"/>
  <c r="AO141" i="9"/>
  <c r="AU401" i="9"/>
  <c r="AH191" i="9"/>
  <c r="AM191" i="9" s="1"/>
  <c r="AR211" i="9"/>
  <c r="AH192" i="9"/>
  <c r="AH193" i="9"/>
  <c r="AM193" i="9" s="1"/>
  <c r="AU639" i="9"/>
  <c r="AD17" i="25"/>
  <c r="AC17" i="25"/>
  <c r="AC9" i="25"/>
  <c r="AR18" i="9" s="1"/>
  <c r="AC9" i="41"/>
  <c r="AO18" i="9" s="1"/>
  <c r="AD12" i="41"/>
  <c r="AC12" i="41"/>
  <c r="AD14" i="41"/>
  <c r="AB12" i="25"/>
  <c r="AF322" i="53"/>
  <c r="AD16" i="41"/>
  <c r="AD8" i="41"/>
  <c r="AF17" i="41"/>
  <c r="AO380" i="9" s="1"/>
  <c r="AU437" i="9"/>
  <c r="AM530" i="9"/>
  <c r="AL530" i="9"/>
  <c r="AM206" i="9"/>
  <c r="G54" i="25" s="1"/>
  <c r="AL206" i="9"/>
  <c r="G54" i="41" s="1"/>
  <c r="AI168" i="9"/>
  <c r="AJ168" i="9" s="1"/>
  <c r="AL386" i="9"/>
  <c r="AM386" i="9"/>
  <c r="AL494" i="9"/>
  <c r="AM494" i="9"/>
  <c r="AL422" i="9"/>
  <c r="AM422" i="9"/>
  <c r="AL350" i="9"/>
  <c r="AM350" i="9"/>
  <c r="AM458" i="9"/>
  <c r="AL458" i="9"/>
  <c r="AL278" i="9"/>
  <c r="G57" i="41" s="1"/>
  <c r="AM278" i="9"/>
  <c r="AU41" i="9"/>
  <c r="AU509" i="9"/>
  <c r="AU329" i="9"/>
  <c r="AU332" i="9"/>
  <c r="AU152" i="9"/>
  <c r="AU369" i="9"/>
  <c r="AU365" i="9"/>
  <c r="AO508" i="9"/>
  <c r="AO653" i="9"/>
  <c r="AR507" i="9"/>
  <c r="AR652" i="9"/>
  <c r="AR653" i="9"/>
  <c r="AR471" i="9"/>
  <c r="AR640" i="9"/>
  <c r="AO472" i="9"/>
  <c r="AO641" i="9"/>
  <c r="AR472" i="9"/>
  <c r="AR641" i="9"/>
  <c r="AR627" i="9"/>
  <c r="AU603" i="9"/>
  <c r="AU322" i="9"/>
  <c r="AR399" i="9"/>
  <c r="AR616" i="9"/>
  <c r="AO398" i="9"/>
  <c r="AO615" i="9"/>
  <c r="AO400" i="9"/>
  <c r="AO617" i="9"/>
  <c r="AR591" i="9"/>
  <c r="AO593" i="9"/>
  <c r="AR592" i="9"/>
  <c r="AS51" i="9"/>
  <c r="AS579" i="9"/>
  <c r="AU555" i="9"/>
  <c r="AG229" i="53"/>
  <c r="AP579" i="9"/>
  <c r="AU569" i="9"/>
  <c r="AO567" i="9"/>
  <c r="AS39" i="9"/>
  <c r="AS567" i="9"/>
  <c r="AO220" i="9"/>
  <c r="AO557" i="9"/>
  <c r="AR219" i="9"/>
  <c r="AT219" i="9" s="1"/>
  <c r="AR555" i="9"/>
  <c r="AT555" i="9" s="1"/>
  <c r="AO544" i="9"/>
  <c r="AP143" i="9"/>
  <c r="AS145" i="9"/>
  <c r="AO533" i="9"/>
  <c r="AD456" i="9"/>
  <c r="AH456" i="9"/>
  <c r="AD529" i="9"/>
  <c r="AI530" i="9" s="1"/>
  <c r="AJ530" i="9" s="1"/>
  <c r="AH529" i="9"/>
  <c r="AD491" i="9"/>
  <c r="AH491" i="9"/>
  <c r="AD276" i="9"/>
  <c r="AH276" i="9"/>
  <c r="AD419" i="9"/>
  <c r="AH419" i="9"/>
  <c r="AL419" i="9" s="1"/>
  <c r="AD347" i="9"/>
  <c r="AH347" i="9"/>
  <c r="AL347" i="9" s="1"/>
  <c r="AM168" i="9"/>
  <c r="O24" i="44"/>
  <c r="AD455" i="9"/>
  <c r="AH455" i="9"/>
  <c r="AD385" i="9"/>
  <c r="AI386" i="9" s="1"/>
  <c r="AJ386" i="9" s="1"/>
  <c r="AH385" i="9"/>
  <c r="AD493" i="9"/>
  <c r="AI494" i="9" s="1"/>
  <c r="AJ494" i="9" s="1"/>
  <c r="AH493" i="9"/>
  <c r="AD275" i="9"/>
  <c r="AH275" i="9"/>
  <c r="AD420" i="9"/>
  <c r="AH420" i="9"/>
  <c r="AD204" i="9"/>
  <c r="AH204" i="9"/>
  <c r="AM167" i="9"/>
  <c r="AI167" i="9"/>
  <c r="AJ167" i="9" s="1"/>
  <c r="AL168" i="9"/>
  <c r="AR532" i="9"/>
  <c r="AR533" i="9"/>
  <c r="F39" i="15"/>
  <c r="AD527" i="9"/>
  <c r="AH527" i="9"/>
  <c r="AD384" i="9"/>
  <c r="AH384" i="9"/>
  <c r="AD492" i="9"/>
  <c r="AH492" i="9"/>
  <c r="AL492" i="9" s="1"/>
  <c r="AD348" i="9"/>
  <c r="AH348" i="9"/>
  <c r="AM348" i="9" s="1"/>
  <c r="AD205" i="9"/>
  <c r="AI206" i="9" s="1"/>
  <c r="AJ206" i="9" s="1"/>
  <c r="AH205" i="9"/>
  <c r="AD457" i="9"/>
  <c r="AI458" i="9" s="1"/>
  <c r="AJ458" i="9" s="1"/>
  <c r="AH457" i="9"/>
  <c r="AD528" i="9"/>
  <c r="AH528" i="9"/>
  <c r="AL528" i="9" s="1"/>
  <c r="AD383" i="9"/>
  <c r="AH383" i="9"/>
  <c r="AD277" i="9"/>
  <c r="AI278" i="9" s="1"/>
  <c r="AJ278" i="9" s="1"/>
  <c r="AH277" i="9"/>
  <c r="AL277" i="9" s="1"/>
  <c r="AL169" i="9"/>
  <c r="AI169" i="9"/>
  <c r="AJ169" i="9" s="1"/>
  <c r="AD421" i="9"/>
  <c r="AI422" i="9" s="1"/>
  <c r="AJ422" i="9" s="1"/>
  <c r="AH421" i="9"/>
  <c r="AD349" i="9"/>
  <c r="AI350" i="9" s="1"/>
  <c r="AJ350" i="9" s="1"/>
  <c r="AH349" i="9"/>
  <c r="AD203" i="9"/>
  <c r="AH203" i="9"/>
  <c r="AM203" i="9" s="1"/>
  <c r="AU404" i="9"/>
  <c r="AU478" i="9"/>
  <c r="AU477" i="9"/>
  <c r="AU473" i="9"/>
  <c r="AU296" i="9"/>
  <c r="AY445" i="9"/>
  <c r="AU62" i="9"/>
  <c r="S60" i="50"/>
  <c r="AS38" i="9"/>
  <c r="AU38" i="9" s="1"/>
  <c r="AU476" i="9"/>
  <c r="AU149" i="9"/>
  <c r="AO142" i="9"/>
  <c r="AO2" i="9"/>
  <c r="AU153" i="9"/>
  <c r="S121" i="50"/>
  <c r="AP39" i="9"/>
  <c r="S111" i="50"/>
  <c r="AU544" i="9"/>
  <c r="Z15" i="25"/>
  <c r="AB17" i="25"/>
  <c r="AR377" i="9" s="1"/>
  <c r="AT377" i="9" s="1"/>
  <c r="AU297" i="9"/>
  <c r="AU392" i="9"/>
  <c r="AU285" i="9"/>
  <c r="AU465" i="9"/>
  <c r="AU177" i="9"/>
  <c r="AB15" i="25"/>
  <c r="AU314" i="9"/>
  <c r="AU170" i="9"/>
  <c r="AP260" i="9"/>
  <c r="AP248" i="9"/>
  <c r="AR186" i="9"/>
  <c r="AT186" i="9" s="1"/>
  <c r="AR174" i="9"/>
  <c r="AO189" i="9"/>
  <c r="AO177" i="9"/>
  <c r="AO516" i="9"/>
  <c r="AO501" i="9"/>
  <c r="AT373" i="9"/>
  <c r="AP293" i="9"/>
  <c r="AP278" i="9"/>
  <c r="AR480" i="9"/>
  <c r="AT480" i="9" s="1"/>
  <c r="AR407" i="9"/>
  <c r="AT407" i="9" s="1"/>
  <c r="AU206" i="9"/>
  <c r="AU466" i="9"/>
  <c r="AU458" i="9"/>
  <c r="AO265" i="9"/>
  <c r="AR404" i="9"/>
  <c r="AT404" i="9" s="1"/>
  <c r="AR479" i="9"/>
  <c r="AR517" i="9"/>
  <c r="AU221" i="9"/>
  <c r="O70" i="25"/>
  <c r="AS248" i="9"/>
  <c r="AR435" i="9"/>
  <c r="AR423" i="9"/>
  <c r="AT423" i="9" s="1"/>
  <c r="AO223" i="9"/>
  <c r="AO211" i="9"/>
  <c r="AO368" i="9"/>
  <c r="AO356" i="9"/>
  <c r="AR280" i="9"/>
  <c r="AT280" i="9" s="1"/>
  <c r="AR294" i="9"/>
  <c r="AT294" i="9" s="1"/>
  <c r="AR282" i="9"/>
  <c r="AT282" i="9" s="1"/>
  <c r="AO475" i="9"/>
  <c r="AO463" i="9"/>
  <c r="AO440" i="9"/>
  <c r="AO428" i="9"/>
  <c r="AR508" i="9"/>
  <c r="AR496" i="9"/>
  <c r="AT496" i="9" s="1"/>
  <c r="AP261" i="9"/>
  <c r="AU261" i="9" s="1"/>
  <c r="AP249" i="9"/>
  <c r="AU249" i="9" s="1"/>
  <c r="AO333" i="9"/>
  <c r="AO321" i="9"/>
  <c r="AR474" i="9"/>
  <c r="AR462" i="9"/>
  <c r="AR336" i="9"/>
  <c r="AO481" i="9"/>
  <c r="AR193" i="9"/>
  <c r="AU189" i="9"/>
  <c r="AT229" i="9"/>
  <c r="AR300" i="9"/>
  <c r="AT300" i="9" s="1"/>
  <c r="AU185" i="9"/>
  <c r="AU284" i="9"/>
  <c r="AU357" i="9"/>
  <c r="AU178" i="9"/>
  <c r="AU502" i="9"/>
  <c r="AU494" i="9"/>
  <c r="AS250" i="9"/>
  <c r="AU250" i="9" s="1"/>
  <c r="AR220" i="9"/>
  <c r="AR208" i="9"/>
  <c r="AT208" i="9" s="1"/>
  <c r="AR513" i="9"/>
  <c r="AS257" i="9"/>
  <c r="AS242" i="9"/>
  <c r="AR473" i="9"/>
  <c r="AO224" i="9"/>
  <c r="AO212" i="9"/>
  <c r="AT212" i="9" s="1"/>
  <c r="AO512" i="9"/>
  <c r="AO500" i="9"/>
  <c r="AO193" i="9"/>
  <c r="AO406" i="9"/>
  <c r="AT406" i="9" s="1"/>
  <c r="AR221" i="9"/>
  <c r="AT221" i="9" s="1"/>
  <c r="AR209" i="9"/>
  <c r="AT209" i="9" s="1"/>
  <c r="AR293" i="9"/>
  <c r="AT293" i="9" s="1"/>
  <c r="AR281" i="9"/>
  <c r="AT281" i="9" s="1"/>
  <c r="AR475" i="9"/>
  <c r="AR463" i="9"/>
  <c r="AO473" i="9"/>
  <c r="AO461" i="9"/>
  <c r="AR185" i="9"/>
  <c r="AT185" i="9" s="1"/>
  <c r="AR173" i="9"/>
  <c r="AT173" i="9" s="1"/>
  <c r="AR315" i="9"/>
  <c r="AT315" i="9" s="1"/>
  <c r="AR509" i="9"/>
  <c r="AT509" i="9" s="1"/>
  <c r="AR497" i="9"/>
  <c r="AT497" i="9" s="1"/>
  <c r="AR481" i="9"/>
  <c r="AR443" i="9"/>
  <c r="AR428" i="9"/>
  <c r="AO444" i="9"/>
  <c r="AT444" i="9" s="1"/>
  <c r="AU320" i="9"/>
  <c r="AU350" i="9"/>
  <c r="AU190" i="9"/>
  <c r="AU514" i="9"/>
  <c r="AU398" i="9"/>
  <c r="C70" i="25"/>
  <c r="AU264" i="9"/>
  <c r="Z14" i="25"/>
  <c r="T58" i="50"/>
  <c r="AU334" i="9"/>
  <c r="AS293" i="9"/>
  <c r="AG454" i="53"/>
  <c r="AP51" i="9"/>
  <c r="AG124" i="53"/>
  <c r="AG79" i="53"/>
  <c r="AG214" i="53"/>
  <c r="AG424" i="53"/>
  <c r="AG199" i="53"/>
  <c r="AG439" i="53"/>
  <c r="AD13" i="41"/>
  <c r="AG349" i="53"/>
  <c r="AG469" i="53"/>
  <c r="AG394" i="53"/>
  <c r="AY184" i="9"/>
  <c r="AR157" i="9"/>
  <c r="AT157" i="9" s="1"/>
  <c r="AU290" i="9"/>
  <c r="AR400" i="9"/>
  <c r="AO299" i="9"/>
  <c r="AO296" i="9"/>
  <c r="AS262" i="9"/>
  <c r="AU262" i="9" s="1"/>
  <c r="AY510" i="9"/>
  <c r="AO295" i="9"/>
  <c r="AO439" i="9"/>
  <c r="AO331" i="9"/>
  <c r="AR327" i="9"/>
  <c r="AO151" i="9"/>
  <c r="AO187" i="9"/>
  <c r="AS263" i="9"/>
  <c r="AU263" i="9" s="1"/>
  <c r="AS260" i="9"/>
  <c r="AO403" i="9"/>
  <c r="AR264" i="9"/>
  <c r="AR402" i="9"/>
  <c r="AT402" i="9" s="1"/>
  <c r="AF353" i="53"/>
  <c r="AR297" i="9"/>
  <c r="AT297" i="9" s="1"/>
  <c r="AR371" i="9"/>
  <c r="AR477" i="9"/>
  <c r="AO478" i="9"/>
  <c r="AR478" i="9"/>
  <c r="AR333" i="9"/>
  <c r="AR370" i="9"/>
  <c r="AT370" i="9" s="1"/>
  <c r="AR470" i="9"/>
  <c r="AT470" i="9" s="1"/>
  <c r="AO191" i="9"/>
  <c r="AR330" i="9"/>
  <c r="AT330" i="9" s="1"/>
  <c r="AF323" i="53"/>
  <c r="Y24" i="25"/>
  <c r="AG58" i="53"/>
  <c r="O79" i="41"/>
  <c r="O70" i="41"/>
  <c r="AO443" i="9"/>
  <c r="Q92" i="41"/>
  <c r="AP257" i="9"/>
  <c r="AO336" i="9"/>
  <c r="AG304" i="53"/>
  <c r="C80" i="25"/>
  <c r="AG64" i="53"/>
  <c r="C80" i="41"/>
  <c r="AR405" i="9"/>
  <c r="AT405" i="9" s="1"/>
  <c r="AR408" i="9"/>
  <c r="AT408" i="9" s="1"/>
  <c r="AO301" i="9"/>
  <c r="AO363" i="9"/>
  <c r="AO147" i="9"/>
  <c r="AT147" i="9" s="1"/>
  <c r="AR156" i="9"/>
  <c r="AR299" i="9"/>
  <c r="AO517" i="9"/>
  <c r="AR337" i="9"/>
  <c r="AO264" i="9"/>
  <c r="X15" i="25"/>
  <c r="AR302" i="9" s="1"/>
  <c r="AT302" i="9" s="1"/>
  <c r="AO479" i="9"/>
  <c r="AO476" i="9"/>
  <c r="AF145" i="53"/>
  <c r="AR191" i="9"/>
  <c r="AO515" i="9"/>
  <c r="P92" i="25"/>
  <c r="AG59" i="53"/>
  <c r="P8" i="53" s="1"/>
  <c r="P11" i="53" s="1"/>
  <c r="P79" i="41"/>
  <c r="P92" i="41" s="1"/>
  <c r="AR548" i="9"/>
  <c r="C79" i="25"/>
  <c r="AG289" i="53"/>
  <c r="AY551" i="9"/>
  <c r="AR335" i="9"/>
  <c r="AO399" i="9"/>
  <c r="AO255" i="9"/>
  <c r="AR398" i="9"/>
  <c r="AY219" i="9"/>
  <c r="AO435" i="9"/>
  <c r="AU506" i="9"/>
  <c r="AO326" i="9"/>
  <c r="AT326" i="9" s="1"/>
  <c r="AY226" i="9"/>
  <c r="AR369" i="9"/>
  <c r="AT369" i="9" s="1"/>
  <c r="AR372" i="9"/>
  <c r="AT372" i="9" s="1"/>
  <c r="AR192" i="9"/>
  <c r="AR331" i="9"/>
  <c r="AO445" i="9"/>
  <c r="AT445" i="9" s="1"/>
  <c r="AO436" i="9"/>
  <c r="AR224" i="9"/>
  <c r="AR516" i="9"/>
  <c r="Z16" i="25"/>
  <c r="AB16" i="25"/>
  <c r="AC17" i="41"/>
  <c r="AO378" i="9" s="1"/>
  <c r="AO226" i="9"/>
  <c r="AT226" i="9" s="1"/>
  <c r="AC8" i="41"/>
  <c r="AY225" i="9"/>
  <c r="AO371" i="9"/>
  <c r="AC18" i="41"/>
  <c r="AD18" i="41"/>
  <c r="AO415" i="9" s="1"/>
  <c r="AY373" i="9"/>
  <c r="AY507" i="9"/>
  <c r="AR254" i="9"/>
  <c r="AT254" i="9" s="1"/>
  <c r="AR362" i="9"/>
  <c r="AT362" i="9" s="1"/>
  <c r="AO471" i="9"/>
  <c r="AY327" i="9"/>
  <c r="AR403" i="9"/>
  <c r="AY183" i="9"/>
  <c r="AO327" i="9"/>
  <c r="AO256" i="9"/>
  <c r="AR146" i="9"/>
  <c r="AT146" i="9" s="1"/>
  <c r="AY513" i="9"/>
  <c r="AR542" i="9"/>
  <c r="AO507" i="9"/>
  <c r="AR441" i="9"/>
  <c r="AT441" i="9" s="1"/>
  <c r="AO183" i="9"/>
  <c r="AR290" i="9"/>
  <c r="AB8" i="25"/>
  <c r="AR161" i="9" s="1"/>
  <c r="AD8" i="25"/>
  <c r="AF8" i="25"/>
  <c r="AO337" i="9"/>
  <c r="AV651" i="9"/>
  <c r="AR506" i="9"/>
  <c r="AT506" i="9" s="1"/>
  <c r="AO409" i="9"/>
  <c r="AT409" i="9" s="1"/>
  <c r="AR476" i="9"/>
  <c r="Q79" i="25"/>
  <c r="Q92" i="25" s="1"/>
  <c r="AG300" i="53"/>
  <c r="AR223" i="9"/>
  <c r="O79" i="25"/>
  <c r="Z11" i="25" s="1"/>
  <c r="AG298" i="53"/>
  <c r="AY447" i="9"/>
  <c r="AF368" i="53"/>
  <c r="AR438" i="9"/>
  <c r="AT438" i="9" s="1"/>
  <c r="Q70" i="25"/>
  <c r="AR188" i="9"/>
  <c r="AO227" i="9"/>
  <c r="AT227" i="9" s="1"/>
  <c r="AO156" i="9"/>
  <c r="AG49" i="53"/>
  <c r="C79" i="41"/>
  <c r="P70" i="41"/>
  <c r="AO192" i="9"/>
  <c r="AD18" i="25"/>
  <c r="AY227" i="9"/>
  <c r="AC8" i="25"/>
  <c r="AR261" i="9"/>
  <c r="AR296" i="9"/>
  <c r="AR123" i="9"/>
  <c r="AT123" i="9" s="1"/>
  <c r="AO334" i="9"/>
  <c r="AR153" i="9"/>
  <c r="AR368" i="9"/>
  <c r="AO298" i="9"/>
  <c r="AR189" i="9"/>
  <c r="AR334" i="9"/>
  <c r="AY476" i="9"/>
  <c r="AR332" i="9"/>
  <c r="AO442" i="9"/>
  <c r="AT442" i="9" s="1"/>
  <c r="AO514" i="9"/>
  <c r="AU553" i="9"/>
  <c r="AU254" i="9"/>
  <c r="AC19" i="41"/>
  <c r="AO450" i="9" s="1"/>
  <c r="AD19" i="41"/>
  <c r="AO548" i="9"/>
  <c r="AD19" i="25"/>
  <c r="AR329" i="9"/>
  <c r="AT329" i="9" s="1"/>
  <c r="AR328" i="9"/>
  <c r="AT328" i="9" s="1"/>
  <c r="AR259" i="9"/>
  <c r="AR295" i="9"/>
  <c r="AR364" i="9"/>
  <c r="AR365" i="9"/>
  <c r="AT365" i="9" s="1"/>
  <c r="AR550" i="9"/>
  <c r="AR262" i="9"/>
  <c r="AY333" i="9"/>
  <c r="AU362" i="9"/>
  <c r="AU470" i="9"/>
  <c r="AY296" i="9"/>
  <c r="T12" i="41"/>
  <c r="S97" i="50" s="1"/>
  <c r="AY298" i="9"/>
  <c r="AY368" i="9"/>
  <c r="AO10" i="9"/>
  <c r="AT10" i="9" s="1"/>
  <c r="T99" i="50"/>
  <c r="AY9" i="9"/>
  <c r="AO190" i="9"/>
  <c r="AT190" i="9" s="1"/>
  <c r="AY478" i="9"/>
  <c r="AR546" i="9"/>
  <c r="AY404" i="9"/>
  <c r="AY441" i="9"/>
  <c r="AY442" i="9"/>
  <c r="AU542" i="9"/>
  <c r="AY544" i="9"/>
  <c r="AO550" i="9"/>
  <c r="AY334" i="9"/>
  <c r="AY190" i="9"/>
  <c r="AU137" i="9"/>
  <c r="AY297" i="9"/>
  <c r="AR154" i="9"/>
  <c r="AT154" i="9" s="1"/>
  <c r="AO87" i="9"/>
  <c r="AY477" i="9"/>
  <c r="AU135" i="9"/>
  <c r="AY332" i="9"/>
  <c r="AU551" i="9"/>
  <c r="AY405" i="9"/>
  <c r="AY406" i="9"/>
  <c r="BT24" i="56"/>
  <c r="CF24" i="56"/>
  <c r="AI49" i="9" l="1"/>
  <c r="AJ49" i="9" s="1"/>
  <c r="C70" i="41"/>
  <c r="AU27" i="9"/>
  <c r="AT161" i="9"/>
  <c r="AM49" i="9"/>
  <c r="AL47" i="9"/>
  <c r="AI47" i="9"/>
  <c r="AJ47" i="9" s="1"/>
  <c r="AL49" i="9"/>
  <c r="AT18" i="9"/>
  <c r="AL48" i="9"/>
  <c r="AI48" i="9"/>
  <c r="AJ48" i="9" s="1"/>
  <c r="AM47" i="9"/>
  <c r="AD239" i="9"/>
  <c r="EB64" i="56"/>
  <c r="AD241" i="9"/>
  <c r="AI242" i="9" s="1"/>
  <c r="AJ242" i="9" s="1"/>
  <c r="AG184" i="53"/>
  <c r="C42" i="53" s="1"/>
  <c r="AL242" i="9"/>
  <c r="AD240" i="9"/>
  <c r="AH240" i="9"/>
  <c r="AL240" i="9" s="1"/>
  <c r="AH241" i="9"/>
  <c r="AL241" i="9" s="1"/>
  <c r="AX414" i="9"/>
  <c r="AO414" i="9"/>
  <c r="AO235" i="9"/>
  <c r="AB11" i="25"/>
  <c r="EB11" i="56" s="1"/>
  <c r="O92" i="41"/>
  <c r="AB11" i="41"/>
  <c r="AO197" i="9" s="1"/>
  <c r="EB38" i="56"/>
  <c r="AC38" i="56" s="1"/>
  <c r="AX306" i="9" s="1"/>
  <c r="AO305" i="9"/>
  <c r="AF115" i="53"/>
  <c r="G59" i="41"/>
  <c r="G81" i="41" s="1"/>
  <c r="T13" i="41" s="1"/>
  <c r="G60" i="25"/>
  <c r="AG337" i="53" s="1"/>
  <c r="G62" i="41"/>
  <c r="AG127" i="53" s="1"/>
  <c r="G61" i="41"/>
  <c r="U15" i="41" s="1"/>
  <c r="DU38" i="56" s="1"/>
  <c r="BB35" i="56"/>
  <c r="DA35" i="56" s="1"/>
  <c r="AR128" i="9"/>
  <c r="AR162" i="9"/>
  <c r="AR126" i="9"/>
  <c r="AR127" i="9"/>
  <c r="D92" i="41"/>
  <c r="AP122" i="9"/>
  <c r="H38" i="45"/>
  <c r="E88" i="25"/>
  <c r="E92" i="25" s="1"/>
  <c r="AG426" i="53"/>
  <c r="E70" i="25"/>
  <c r="AO162" i="9"/>
  <c r="AO126" i="9"/>
  <c r="AS122" i="9"/>
  <c r="AO163" i="9"/>
  <c r="AO127" i="9"/>
  <c r="G65" i="25"/>
  <c r="U19" i="25" s="1"/>
  <c r="DU19" i="56" s="1"/>
  <c r="V19" i="56" s="1"/>
  <c r="C88" i="41"/>
  <c r="C92" i="41" s="1"/>
  <c r="CJ43" i="56"/>
  <c r="CJ47" i="56" s="1"/>
  <c r="G65" i="41"/>
  <c r="CN45" i="56" s="1"/>
  <c r="D88" i="25"/>
  <c r="D70" i="25"/>
  <c r="AG425" i="53"/>
  <c r="AG217" i="53"/>
  <c r="AF42" i="53"/>
  <c r="AF117" i="53"/>
  <c r="AG472" i="53"/>
  <c r="AG187" i="53"/>
  <c r="CN21" i="56"/>
  <c r="CO21" i="56" s="1"/>
  <c r="CP21" i="56" s="1"/>
  <c r="CR21" i="56" s="1"/>
  <c r="CS21" i="56" s="1"/>
  <c r="CT21" i="56" s="1"/>
  <c r="CV21" i="56" s="1"/>
  <c r="CW21" i="56" s="1"/>
  <c r="CX21" i="56" s="1"/>
  <c r="AF27" i="53"/>
  <c r="AG232" i="53"/>
  <c r="CN46" i="56"/>
  <c r="CL44" i="56"/>
  <c r="CN44" i="56" s="1"/>
  <c r="AM227" i="9"/>
  <c r="AT616" i="9"/>
  <c r="AO487" i="9"/>
  <c r="AL229" i="9"/>
  <c r="AU3" i="9"/>
  <c r="AI227" i="9"/>
  <c r="AJ227" i="9" s="1"/>
  <c r="AT211" i="9"/>
  <c r="AD313" i="9"/>
  <c r="AI314" i="9" s="1"/>
  <c r="AJ314" i="9" s="1"/>
  <c r="AH311" i="9"/>
  <c r="AM311" i="9" s="1"/>
  <c r="S58" i="25" s="1"/>
  <c r="AH312" i="9"/>
  <c r="AL312" i="9" s="1"/>
  <c r="AD311" i="9"/>
  <c r="AF147" i="53"/>
  <c r="AU567" i="9"/>
  <c r="AD312" i="9"/>
  <c r="AI228" i="9"/>
  <c r="AJ228" i="9" s="1"/>
  <c r="AI589" i="9"/>
  <c r="AJ589" i="9" s="1"/>
  <c r="AM228" i="9"/>
  <c r="AH313" i="9"/>
  <c r="AM313" i="9" s="1"/>
  <c r="G64" i="25"/>
  <c r="G86" i="25" s="1"/>
  <c r="AI229" i="9"/>
  <c r="AJ229" i="9" s="1"/>
  <c r="F38" i="45"/>
  <c r="G63" i="41"/>
  <c r="AP482" i="9" s="1"/>
  <c r="G64" i="41"/>
  <c r="AG157" i="53" s="1"/>
  <c r="G59" i="25"/>
  <c r="AG322" i="53" s="1"/>
  <c r="G58" i="41"/>
  <c r="G63" i="25"/>
  <c r="AS374" i="9" s="1"/>
  <c r="G62" i="25"/>
  <c r="G84" i="25" s="1"/>
  <c r="T16" i="25" s="1"/>
  <c r="G60" i="41"/>
  <c r="AG97" i="53" s="1"/>
  <c r="G57" i="25"/>
  <c r="EB55" i="56"/>
  <c r="G55" i="41"/>
  <c r="G88" i="41"/>
  <c r="U20" i="41" s="1"/>
  <c r="AP590" i="9"/>
  <c r="G56" i="41"/>
  <c r="G55" i="25"/>
  <c r="AS590" i="9"/>
  <c r="G88" i="25"/>
  <c r="G56" i="25"/>
  <c r="AM314" i="9"/>
  <c r="G58" i="25" s="1"/>
  <c r="S58" i="50" s="1"/>
  <c r="DY59" i="56"/>
  <c r="AC18" i="56"/>
  <c r="AC10" i="56"/>
  <c r="Y13" i="56"/>
  <c r="AY267" i="9" s="1"/>
  <c r="EB65" i="56"/>
  <c r="AC65" i="56"/>
  <c r="EC9" i="56"/>
  <c r="AD9" i="56" s="1"/>
  <c r="AY19" i="9" s="1"/>
  <c r="EB12" i="56"/>
  <c r="EB58" i="56" s="1"/>
  <c r="EC17" i="56"/>
  <c r="AD17" i="56" s="1"/>
  <c r="EC8" i="56"/>
  <c r="AD8" i="56" s="1"/>
  <c r="ED17" i="56"/>
  <c r="AF17" i="56" s="1"/>
  <c r="ED19" i="56"/>
  <c r="AF19" i="56" s="1"/>
  <c r="ED18" i="56"/>
  <c r="AF18" i="56" s="1"/>
  <c r="ED8" i="56"/>
  <c r="AF8" i="56" s="1"/>
  <c r="AY128" i="9" s="1"/>
  <c r="EF8" i="56"/>
  <c r="AG8" i="56" s="1"/>
  <c r="AY129" i="9" s="1"/>
  <c r="T39" i="45"/>
  <c r="AU272" i="9"/>
  <c r="Z16" i="56"/>
  <c r="Z62" i="56" s="1"/>
  <c r="DY62" i="56"/>
  <c r="AD15" i="56"/>
  <c r="AD61" i="56" s="1"/>
  <c r="EC61" i="56"/>
  <c r="ED56" i="56"/>
  <c r="DZ65" i="56"/>
  <c r="Z15" i="56"/>
  <c r="Z61" i="56" s="1"/>
  <c r="DY61" i="56"/>
  <c r="AD36" i="56"/>
  <c r="V38" i="56"/>
  <c r="AD37" i="56"/>
  <c r="AD39" i="56"/>
  <c r="EC62" i="56"/>
  <c r="AF40" i="56"/>
  <c r="AG41" i="56"/>
  <c r="AF32" i="56"/>
  <c r="AX20" i="9" s="1"/>
  <c r="AC32" i="56"/>
  <c r="AB18" i="56"/>
  <c r="AB64" i="56" s="1"/>
  <c r="AF33" i="56"/>
  <c r="AF56" i="56" s="1"/>
  <c r="U38" i="56"/>
  <c r="CK38" i="56" s="1"/>
  <c r="AG37" i="56"/>
  <c r="AX558" i="9"/>
  <c r="AI176" i="53"/>
  <c r="AC14" i="56"/>
  <c r="AB12" i="56"/>
  <c r="AB58" i="56" s="1"/>
  <c r="AB10" i="56"/>
  <c r="AB56" i="56" s="1"/>
  <c r="AF38" i="56"/>
  <c r="ED37" i="56"/>
  <c r="ED31" i="56"/>
  <c r="ED42" i="56"/>
  <c r="ED41" i="56"/>
  <c r="EC31" i="56"/>
  <c r="ED36" i="56"/>
  <c r="ED39" i="56"/>
  <c r="ED35" i="56"/>
  <c r="EF40" i="56"/>
  <c r="EC32" i="56"/>
  <c r="AC40" i="56"/>
  <c r="AX378" i="9" s="1"/>
  <c r="DT35" i="56"/>
  <c r="AO605" i="9"/>
  <c r="AO522" i="9"/>
  <c r="AT522" i="9" s="1"/>
  <c r="EC41" i="56"/>
  <c r="AO306" i="9"/>
  <c r="EC35" i="56"/>
  <c r="AO486" i="9"/>
  <c r="EC40" i="56"/>
  <c r="AO558" i="9"/>
  <c r="EC42" i="56"/>
  <c r="AO569" i="9"/>
  <c r="DX47" i="56"/>
  <c r="T55" i="50"/>
  <c r="S49" i="50"/>
  <c r="EB8" i="56"/>
  <c r="EB54" i="56" s="1"/>
  <c r="EB17" i="56"/>
  <c r="AC17" i="56" s="1"/>
  <c r="DZ14" i="56"/>
  <c r="DZ60" i="56" s="1"/>
  <c r="DZ15" i="56"/>
  <c r="DZ61" i="56" s="1"/>
  <c r="DZ16" i="56"/>
  <c r="DZ62" i="56" s="1"/>
  <c r="AR557" i="9"/>
  <c r="AT557" i="9" s="1"/>
  <c r="EB16" i="56"/>
  <c r="EB62" i="56" s="1"/>
  <c r="DX15" i="56"/>
  <c r="DX61" i="56" s="1"/>
  <c r="DX70" i="56" s="1"/>
  <c r="EB15" i="56"/>
  <c r="DZ11" i="56"/>
  <c r="DZ57" i="56" s="1"/>
  <c r="AT426" i="9"/>
  <c r="AO560" i="9"/>
  <c r="U16" i="41"/>
  <c r="AP554" i="9"/>
  <c r="AS554" i="9"/>
  <c r="AR556" i="9"/>
  <c r="AT399" i="9"/>
  <c r="AT400" i="9"/>
  <c r="AT220" i="9"/>
  <c r="AT544" i="9"/>
  <c r="AT508" i="9"/>
  <c r="AO556" i="9"/>
  <c r="AO545" i="9"/>
  <c r="AT545" i="9" s="1"/>
  <c r="AR560" i="9"/>
  <c r="AR524" i="9"/>
  <c r="AT524" i="9" s="1"/>
  <c r="AR449" i="9"/>
  <c r="AT449" i="9" s="1"/>
  <c r="AR487" i="9"/>
  <c r="AR523" i="9"/>
  <c r="AR486" i="9"/>
  <c r="AR448" i="9"/>
  <c r="AT448" i="9" s="1"/>
  <c r="AR376" i="9"/>
  <c r="AT376" i="9" s="1"/>
  <c r="AT591" i="9"/>
  <c r="AO542" i="9"/>
  <c r="AT542" i="9" s="1"/>
  <c r="AO579" i="9"/>
  <c r="P39" i="15"/>
  <c r="AT507" i="9"/>
  <c r="AS599" i="9"/>
  <c r="S88" i="25"/>
  <c r="AF20" i="25" s="1"/>
  <c r="EF20" i="56" s="1"/>
  <c r="AP601" i="9"/>
  <c r="U88" i="41"/>
  <c r="AS600" i="9"/>
  <c r="T88" i="25"/>
  <c r="AM625" i="9"/>
  <c r="U66" i="25" s="1"/>
  <c r="AI625" i="9"/>
  <c r="AJ625" i="9" s="1"/>
  <c r="AL623" i="9"/>
  <c r="S66" i="41" s="1"/>
  <c r="AI623" i="9"/>
  <c r="AJ623" i="9" s="1"/>
  <c r="AL624" i="9"/>
  <c r="T66" i="41" s="1"/>
  <c r="AI624" i="9"/>
  <c r="AJ624" i="9" s="1"/>
  <c r="AO552" i="9"/>
  <c r="AM589" i="9"/>
  <c r="AF207" i="53"/>
  <c r="AO559" i="9"/>
  <c r="AL588" i="9"/>
  <c r="AI588" i="9"/>
  <c r="AJ588" i="9" s="1"/>
  <c r="AR549" i="9"/>
  <c r="AL589" i="9"/>
  <c r="AL587" i="9"/>
  <c r="AI587" i="9"/>
  <c r="AJ587" i="9" s="1"/>
  <c r="AS518" i="9"/>
  <c r="AM552" i="9"/>
  <c r="AI552" i="9"/>
  <c r="AJ552" i="9" s="1"/>
  <c r="AO499" i="9"/>
  <c r="AO523" i="9"/>
  <c r="AM553" i="9"/>
  <c r="AI553" i="9"/>
  <c r="AJ553" i="9" s="1"/>
  <c r="AM551" i="9"/>
  <c r="AI551" i="9"/>
  <c r="AJ551" i="9" s="1"/>
  <c r="AL516" i="9"/>
  <c r="AI516" i="9"/>
  <c r="AJ516" i="9" s="1"/>
  <c r="AO464" i="9"/>
  <c r="AO488" i="9"/>
  <c r="AL515" i="9"/>
  <c r="AI515" i="9"/>
  <c r="AJ515" i="9" s="1"/>
  <c r="AL517" i="9"/>
  <c r="AI517" i="9"/>
  <c r="AJ517" i="9" s="1"/>
  <c r="AR461" i="9"/>
  <c r="AT461" i="9" s="1"/>
  <c r="AR485" i="9"/>
  <c r="AT485" i="9" s="1"/>
  <c r="AM516" i="9"/>
  <c r="T16" i="41"/>
  <c r="AP422" i="9"/>
  <c r="AU422" i="9" s="1"/>
  <c r="AO427" i="9"/>
  <c r="AO451" i="9"/>
  <c r="U16" i="25"/>
  <c r="AL481" i="9"/>
  <c r="AI481" i="9"/>
  <c r="AJ481" i="9" s="1"/>
  <c r="AL480" i="9"/>
  <c r="AI480" i="9"/>
  <c r="AJ480" i="9" s="1"/>
  <c r="AM479" i="9"/>
  <c r="AI479" i="9"/>
  <c r="AJ479" i="9" s="1"/>
  <c r="AR388" i="9"/>
  <c r="AT388" i="9" s="1"/>
  <c r="AR412" i="9"/>
  <c r="AT412" i="9" s="1"/>
  <c r="AR386" i="9"/>
  <c r="AT386" i="9" s="1"/>
  <c r="AR410" i="9"/>
  <c r="AT410" i="9" s="1"/>
  <c r="AL445" i="9"/>
  <c r="AI445" i="9"/>
  <c r="AJ445" i="9" s="1"/>
  <c r="AY387" i="9"/>
  <c r="AR389" i="9"/>
  <c r="AT389" i="9" s="1"/>
  <c r="AR413" i="9"/>
  <c r="AT413" i="9" s="1"/>
  <c r="AP386" i="9"/>
  <c r="AU386" i="9" s="1"/>
  <c r="AG112" i="53"/>
  <c r="G83" i="41"/>
  <c r="V15" i="41" s="1"/>
  <c r="AL443" i="9"/>
  <c r="AI443" i="9"/>
  <c r="AJ443" i="9" s="1"/>
  <c r="AM444" i="9"/>
  <c r="AI444" i="9"/>
  <c r="AJ444" i="9" s="1"/>
  <c r="AR356" i="9"/>
  <c r="AT356" i="9" s="1"/>
  <c r="AL407" i="9"/>
  <c r="AI407" i="9"/>
  <c r="AJ407" i="9" s="1"/>
  <c r="AO355" i="9"/>
  <c r="AO379" i="9"/>
  <c r="AL409" i="9"/>
  <c r="AI409" i="9"/>
  <c r="AJ409" i="9" s="1"/>
  <c r="AL408" i="9"/>
  <c r="AI408" i="9"/>
  <c r="AJ408" i="9" s="1"/>
  <c r="AM407" i="9"/>
  <c r="AM371" i="9"/>
  <c r="AM372" i="9"/>
  <c r="AI372" i="9"/>
  <c r="AJ372" i="9" s="1"/>
  <c r="AY315" i="9"/>
  <c r="AL371" i="9"/>
  <c r="AO319" i="9"/>
  <c r="AO343" i="9"/>
  <c r="AT472" i="9"/>
  <c r="AP338" i="9"/>
  <c r="AL373" i="9"/>
  <c r="AI373" i="9"/>
  <c r="AJ373" i="9" s="1"/>
  <c r="AL372" i="9"/>
  <c r="AL335" i="9"/>
  <c r="AI335" i="9"/>
  <c r="AJ335" i="9" s="1"/>
  <c r="AL336" i="9"/>
  <c r="AI336" i="9"/>
  <c r="AJ336" i="9" s="1"/>
  <c r="AS278" i="9"/>
  <c r="AU278" i="9" s="1"/>
  <c r="AO283" i="9"/>
  <c r="AO307" i="9"/>
  <c r="AL337" i="9"/>
  <c r="AI337" i="9"/>
  <c r="AJ337" i="9" s="1"/>
  <c r="AG52" i="53"/>
  <c r="AP242" i="9"/>
  <c r="AU242" i="9" s="1"/>
  <c r="AL300" i="9"/>
  <c r="AI300" i="9"/>
  <c r="AJ300" i="9" s="1"/>
  <c r="AM301" i="9"/>
  <c r="AI301" i="9"/>
  <c r="AJ301" i="9" s="1"/>
  <c r="U57" i="41"/>
  <c r="AO249" i="9"/>
  <c r="G79" i="41"/>
  <c r="AL299" i="9"/>
  <c r="AI299" i="9"/>
  <c r="AJ299" i="9" s="1"/>
  <c r="AR176" i="9"/>
  <c r="AM263" i="9"/>
  <c r="AI263" i="9"/>
  <c r="AJ263" i="9" s="1"/>
  <c r="AL264" i="9"/>
  <c r="AI264" i="9"/>
  <c r="AJ264" i="9" s="1"/>
  <c r="AO174" i="9"/>
  <c r="AT174" i="9" s="1"/>
  <c r="AO234" i="9"/>
  <c r="AL265" i="9"/>
  <c r="AI265" i="9"/>
  <c r="AJ265" i="9" s="1"/>
  <c r="AP134" i="9"/>
  <c r="G76" i="41"/>
  <c r="AG7" i="53"/>
  <c r="AS134" i="9"/>
  <c r="G76" i="25"/>
  <c r="V8" i="25" s="1"/>
  <c r="AG247" i="53"/>
  <c r="AO139" i="9"/>
  <c r="AF400" i="53"/>
  <c r="AR197" i="9"/>
  <c r="AT197" i="9" s="1"/>
  <c r="AO140" i="9"/>
  <c r="K23" i="15"/>
  <c r="AO138" i="9"/>
  <c r="S54" i="25"/>
  <c r="U7" i="15"/>
  <c r="AM192" i="9"/>
  <c r="AI192" i="9"/>
  <c r="AJ192" i="9" s="1"/>
  <c r="AL193" i="9"/>
  <c r="AI193" i="9"/>
  <c r="AJ193" i="9" s="1"/>
  <c r="AL191" i="9"/>
  <c r="AI191" i="9"/>
  <c r="AJ191" i="9" s="1"/>
  <c r="AL192" i="9"/>
  <c r="AT471" i="9"/>
  <c r="AT398" i="9"/>
  <c r="AT156" i="9"/>
  <c r="AU293" i="9"/>
  <c r="AT223" i="9"/>
  <c r="AU39" i="9"/>
  <c r="AF102" i="53"/>
  <c r="AF72" i="53"/>
  <c r="AF12" i="53"/>
  <c r="AF417" i="53"/>
  <c r="AO182" i="9"/>
  <c r="AT182" i="9" s="1"/>
  <c r="AF132" i="53"/>
  <c r="S91" i="50"/>
  <c r="AT295" i="9"/>
  <c r="AF176" i="53"/>
  <c r="AT296" i="9"/>
  <c r="AT224" i="9"/>
  <c r="AT336" i="9"/>
  <c r="AU51" i="9"/>
  <c r="AT443" i="9"/>
  <c r="AT403" i="9"/>
  <c r="AT516" i="9"/>
  <c r="AU257" i="9"/>
  <c r="AC11" i="25"/>
  <c r="AT371" i="9"/>
  <c r="AT331" i="9"/>
  <c r="AT476" i="9"/>
  <c r="AI265" i="53"/>
  <c r="AI239" i="9"/>
  <c r="AJ239" i="9" s="1"/>
  <c r="AI421" i="9"/>
  <c r="AJ421" i="9" s="1"/>
  <c r="AI383" i="9"/>
  <c r="AJ383" i="9" s="1"/>
  <c r="AI457" i="9"/>
  <c r="AJ457" i="9" s="1"/>
  <c r="AI384" i="9"/>
  <c r="AJ384" i="9" s="1"/>
  <c r="AI204" i="9"/>
  <c r="AJ204" i="9" s="1"/>
  <c r="AI420" i="9"/>
  <c r="AJ420" i="9" s="1"/>
  <c r="AI493" i="9"/>
  <c r="AJ493" i="9" s="1"/>
  <c r="AI455" i="9"/>
  <c r="AJ455" i="9" s="1"/>
  <c r="AI349" i="9"/>
  <c r="AJ349" i="9" s="1"/>
  <c r="AI491" i="9"/>
  <c r="AJ491" i="9" s="1"/>
  <c r="AI456" i="9"/>
  <c r="AJ456" i="9" s="1"/>
  <c r="AI385" i="9"/>
  <c r="AJ385" i="9" s="1"/>
  <c r="AI276" i="9"/>
  <c r="AJ276" i="9" s="1"/>
  <c r="AI529" i="9"/>
  <c r="AJ529" i="9" s="1"/>
  <c r="AT478" i="9"/>
  <c r="AT189" i="9"/>
  <c r="AT641" i="9"/>
  <c r="AT333" i="9"/>
  <c r="AY506" i="9"/>
  <c r="AY651" i="9"/>
  <c r="AY638" i="9"/>
  <c r="AY650" i="9"/>
  <c r="AY653" i="9"/>
  <c r="AT653" i="9"/>
  <c r="AV639" i="9"/>
  <c r="AY470" i="9"/>
  <c r="AY639" i="9"/>
  <c r="AY472" i="9"/>
  <c r="AY641" i="9"/>
  <c r="AY434" i="9"/>
  <c r="AY627" i="9"/>
  <c r="AY614" i="9"/>
  <c r="AY626" i="9"/>
  <c r="AO628" i="9"/>
  <c r="AO434" i="9"/>
  <c r="AT434" i="9" s="1"/>
  <c r="AO627" i="9"/>
  <c r="AT627" i="9" s="1"/>
  <c r="AU579" i="9"/>
  <c r="AV627" i="9"/>
  <c r="AV615" i="9"/>
  <c r="AY362" i="9"/>
  <c r="AY603" i="9"/>
  <c r="AY602" i="9"/>
  <c r="AY326" i="9"/>
  <c r="AY591" i="9"/>
  <c r="AL529" i="9"/>
  <c r="AR292" i="9"/>
  <c r="AR581" i="9"/>
  <c r="AY566" i="9"/>
  <c r="AY578" i="9"/>
  <c r="AR580" i="9"/>
  <c r="AR579" i="9"/>
  <c r="AL276" i="9"/>
  <c r="AO581" i="9"/>
  <c r="AR569" i="9"/>
  <c r="AY254" i="9"/>
  <c r="AY567" i="9"/>
  <c r="AM491" i="9"/>
  <c r="AR567" i="9"/>
  <c r="AT567" i="9" s="1"/>
  <c r="AO568" i="9"/>
  <c r="AR568" i="9"/>
  <c r="AL457" i="9"/>
  <c r="AM204" i="9"/>
  <c r="AY218" i="9"/>
  <c r="AY555" i="9"/>
  <c r="AY530" i="9"/>
  <c r="AM456" i="9"/>
  <c r="T65" i="25" s="1"/>
  <c r="T87" i="25" s="1"/>
  <c r="AL421" i="9"/>
  <c r="AL383" i="9"/>
  <c r="AL204" i="9"/>
  <c r="AL349" i="9"/>
  <c r="AM383" i="9"/>
  <c r="AM384" i="9"/>
  <c r="AL239" i="9"/>
  <c r="AM276" i="9"/>
  <c r="T57" i="25" s="1"/>
  <c r="AL491" i="9"/>
  <c r="AM529" i="9"/>
  <c r="AL456" i="9"/>
  <c r="AS179" i="9"/>
  <c r="AP217" i="9"/>
  <c r="AP145" i="9"/>
  <c r="AU145" i="9" s="1"/>
  <c r="AP504" i="9"/>
  <c r="AP325" i="9"/>
  <c r="AP433" i="9"/>
  <c r="AM205" i="9"/>
  <c r="AI205" i="9"/>
  <c r="AJ205" i="9" s="1"/>
  <c r="AP468" i="9"/>
  <c r="AM527" i="9"/>
  <c r="AI527" i="9"/>
  <c r="AJ527" i="9" s="1"/>
  <c r="AS180" i="9"/>
  <c r="AL420" i="9"/>
  <c r="AM275" i="9"/>
  <c r="S57" i="25" s="1"/>
  <c r="AI275" i="9"/>
  <c r="AJ275" i="9" s="1"/>
  <c r="AS252" i="9"/>
  <c r="AT533" i="9"/>
  <c r="AP253" i="9"/>
  <c r="AS324" i="9"/>
  <c r="AM492" i="9"/>
  <c r="AI492" i="9"/>
  <c r="AJ492" i="9" s="1"/>
  <c r="AY532" i="9"/>
  <c r="AS144" i="9"/>
  <c r="AP395" i="9"/>
  <c r="AP252" i="9"/>
  <c r="AS467" i="9"/>
  <c r="AP505" i="9"/>
  <c r="AS432" i="9"/>
  <c r="AP289" i="9"/>
  <c r="AL203" i="9"/>
  <c r="AI203" i="9"/>
  <c r="AJ203" i="9" s="1"/>
  <c r="AM277" i="9"/>
  <c r="AI277" i="9"/>
  <c r="AJ277" i="9" s="1"/>
  <c r="AP216" i="9"/>
  <c r="AL348" i="9"/>
  <c r="AI348" i="9"/>
  <c r="AJ348" i="9" s="1"/>
  <c r="AP144" i="9"/>
  <c r="AL493" i="9"/>
  <c r="AL385" i="9"/>
  <c r="AL455" i="9"/>
  <c r="AP323" i="9"/>
  <c r="AM419" i="9"/>
  <c r="AI419" i="9"/>
  <c r="AJ419" i="9" s="1"/>
  <c r="AM528" i="9"/>
  <c r="AI528" i="9"/>
  <c r="AJ528" i="9" s="1"/>
  <c r="AP180" i="9"/>
  <c r="AV531" i="9"/>
  <c r="AT548" i="9"/>
  <c r="AY533" i="9"/>
  <c r="AM239" i="9"/>
  <c r="AM349" i="9"/>
  <c r="AM421" i="9"/>
  <c r="AM457" i="9"/>
  <c r="AL205" i="9"/>
  <c r="AL384" i="9"/>
  <c r="AL527" i="9"/>
  <c r="K39" i="15"/>
  <c r="U29" i="15"/>
  <c r="AS143" i="9"/>
  <c r="AU143" i="9" s="1"/>
  <c r="AM420" i="9"/>
  <c r="AL275" i="9"/>
  <c r="AM493" i="9"/>
  <c r="AM385" i="9"/>
  <c r="AM455" i="9"/>
  <c r="AM347" i="9"/>
  <c r="AI347" i="9"/>
  <c r="AJ347" i="9" s="1"/>
  <c r="AT473" i="9"/>
  <c r="AY517" i="9"/>
  <c r="AT299" i="9"/>
  <c r="AY481" i="9"/>
  <c r="AY409" i="9"/>
  <c r="AO358" i="9"/>
  <c r="AO74" i="9"/>
  <c r="AY337" i="9"/>
  <c r="AY229" i="9"/>
  <c r="AT435" i="9"/>
  <c r="AT479" i="9"/>
  <c r="AT517" i="9"/>
  <c r="AU260" i="9"/>
  <c r="AT475" i="9"/>
  <c r="AT337" i="9"/>
  <c r="AT327" i="9"/>
  <c r="AT368" i="9"/>
  <c r="AT264" i="9"/>
  <c r="AR255" i="9"/>
  <c r="AT255" i="9" s="1"/>
  <c r="T37" i="50"/>
  <c r="AT463" i="9"/>
  <c r="AF87" i="53"/>
  <c r="P42" i="53"/>
  <c r="C181" i="53" s="1"/>
  <c r="H58" i="53"/>
  <c r="I154" i="53" s="1"/>
  <c r="C92" i="25"/>
  <c r="AY157" i="9"/>
  <c r="AR512" i="9"/>
  <c r="AT512" i="9" s="1"/>
  <c r="AR500" i="9"/>
  <c r="AT500" i="9" s="1"/>
  <c r="AO260" i="9"/>
  <c r="AR257" i="9"/>
  <c r="AT257" i="9" s="1"/>
  <c r="AR245" i="9"/>
  <c r="AT245" i="9" s="1"/>
  <c r="AR140" i="9"/>
  <c r="AO332" i="9"/>
  <c r="AT332" i="9" s="1"/>
  <c r="AO320" i="9"/>
  <c r="AO510" i="9"/>
  <c r="AT510" i="9" s="1"/>
  <c r="AO498" i="9"/>
  <c r="AT498" i="9" s="1"/>
  <c r="AY390" i="9"/>
  <c r="AR138" i="9"/>
  <c r="AY220" i="9"/>
  <c r="AY208" i="9"/>
  <c r="AR139" i="9"/>
  <c r="AO474" i="9"/>
  <c r="AT474" i="9" s="1"/>
  <c r="AO462" i="9"/>
  <c r="AT462" i="9" s="1"/>
  <c r="AY508" i="9"/>
  <c r="AY496" i="9"/>
  <c r="AO188" i="9"/>
  <c r="AT188" i="9" s="1"/>
  <c r="AO176" i="9"/>
  <c r="AY252" i="9"/>
  <c r="AY397" i="9"/>
  <c r="AY253" i="9"/>
  <c r="AY431" i="9"/>
  <c r="AY143" i="9"/>
  <c r="AY361" i="9"/>
  <c r="AY396" i="9"/>
  <c r="AY468" i="9"/>
  <c r="AY215" i="9"/>
  <c r="AY503" i="9"/>
  <c r="AY181" i="9"/>
  <c r="AY173" i="9"/>
  <c r="AY324" i="9"/>
  <c r="AY145" i="9"/>
  <c r="AY323" i="9"/>
  <c r="AY504" i="9"/>
  <c r="AY360" i="9"/>
  <c r="AY289" i="9"/>
  <c r="AY395" i="9"/>
  <c r="AY216" i="9"/>
  <c r="AY469" i="9"/>
  <c r="AY325" i="9"/>
  <c r="AY144" i="9"/>
  <c r="AY180" i="9"/>
  <c r="AY433" i="9"/>
  <c r="AY467" i="9"/>
  <c r="AY288" i="9"/>
  <c r="AY359" i="9"/>
  <c r="AY353" i="9"/>
  <c r="AY179" i="9"/>
  <c r="AY287" i="9"/>
  <c r="AY505" i="9"/>
  <c r="AY217" i="9"/>
  <c r="AY432" i="9"/>
  <c r="AY251" i="9"/>
  <c r="AR366" i="9"/>
  <c r="AT366" i="9" s="1"/>
  <c r="AR354" i="9"/>
  <c r="AT354" i="9" s="1"/>
  <c r="AR301" i="9"/>
  <c r="AT301" i="9" s="1"/>
  <c r="AY367" i="9"/>
  <c r="AR244" i="9"/>
  <c r="AT244" i="9" s="1"/>
  <c r="AR437" i="9"/>
  <c r="AT437" i="9" s="1"/>
  <c r="AR425" i="9"/>
  <c r="AT425" i="9" s="1"/>
  <c r="AR265" i="9"/>
  <c r="AT265" i="9" s="1"/>
  <c r="AR298" i="9"/>
  <c r="AT298" i="9" s="1"/>
  <c r="AR283" i="9"/>
  <c r="AR367" i="9"/>
  <c r="AT367" i="9" s="1"/>
  <c r="AR352" i="9"/>
  <c r="AT352" i="9" s="1"/>
  <c r="AT481" i="9"/>
  <c r="AY280" i="9"/>
  <c r="AR511" i="9"/>
  <c r="AR499" i="9"/>
  <c r="AY435" i="9"/>
  <c r="AY423" i="9"/>
  <c r="AR258" i="9"/>
  <c r="AR246" i="9"/>
  <c r="AR436" i="9"/>
  <c r="AT436" i="9" s="1"/>
  <c r="AR424" i="9"/>
  <c r="AT424" i="9" s="1"/>
  <c r="AY156" i="9"/>
  <c r="AR187" i="9"/>
  <c r="AT187" i="9" s="1"/>
  <c r="AR175" i="9"/>
  <c r="AT175" i="9" s="1"/>
  <c r="AT428" i="9"/>
  <c r="AU248" i="9"/>
  <c r="AY331" i="9"/>
  <c r="AT193" i="9"/>
  <c r="AF222" i="53"/>
  <c r="AF237" i="53"/>
  <c r="AF192" i="53"/>
  <c r="T36" i="50"/>
  <c r="AO290" i="9"/>
  <c r="AT290" i="9" s="1"/>
  <c r="AR291" i="9"/>
  <c r="AY148" i="9"/>
  <c r="AO292" i="9"/>
  <c r="AF266" i="53"/>
  <c r="AY221" i="9"/>
  <c r="AY461" i="9"/>
  <c r="AY426" i="9"/>
  <c r="AY281" i="9"/>
  <c r="AY463" i="9"/>
  <c r="AF386" i="53"/>
  <c r="AF356" i="53"/>
  <c r="AY182" i="9"/>
  <c r="AT334" i="9"/>
  <c r="AO152" i="9"/>
  <c r="AI266" i="53"/>
  <c r="AY462" i="9"/>
  <c r="AY193" i="9"/>
  <c r="AR150" i="9"/>
  <c r="AF401" i="53"/>
  <c r="AY222" i="9"/>
  <c r="AY498" i="9"/>
  <c r="AF281" i="53"/>
  <c r="AY185" i="9"/>
  <c r="AF250" i="53"/>
  <c r="AF475" i="53"/>
  <c r="AF460" i="53"/>
  <c r="AY593" i="9"/>
  <c r="AF445" i="53"/>
  <c r="AF430" i="53"/>
  <c r="AY389" i="9"/>
  <c r="AR155" i="9"/>
  <c r="AY443" i="9"/>
  <c r="AY212" i="9"/>
  <c r="AF415" i="53"/>
  <c r="AY509" i="9"/>
  <c r="AF340" i="53"/>
  <c r="AF265" i="53"/>
  <c r="AF252" i="53"/>
  <c r="AF447" i="53"/>
  <c r="AY595" i="9"/>
  <c r="AF432" i="53"/>
  <c r="AF462" i="53"/>
  <c r="AF477" i="53"/>
  <c r="AY211" i="9"/>
  <c r="AF282" i="53"/>
  <c r="AF355" i="53"/>
  <c r="AO150" i="9"/>
  <c r="AF221" i="53"/>
  <c r="AF206" i="53"/>
  <c r="AF191" i="53"/>
  <c r="AF236" i="53"/>
  <c r="AF86" i="53"/>
  <c r="AF71" i="53"/>
  <c r="AF116" i="53"/>
  <c r="AF101" i="53"/>
  <c r="AF41" i="53"/>
  <c r="AF131" i="53"/>
  <c r="AF26" i="53"/>
  <c r="AF280" i="53"/>
  <c r="AY545" i="9"/>
  <c r="AF385" i="53"/>
  <c r="AF371" i="53"/>
  <c r="AF310" i="53"/>
  <c r="AF387" i="53"/>
  <c r="AY371" i="9"/>
  <c r="AY400" i="9"/>
  <c r="AR151" i="9"/>
  <c r="AT151" i="9" s="1"/>
  <c r="AT192" i="9"/>
  <c r="AI394" i="53"/>
  <c r="AY292" i="9"/>
  <c r="AY187" i="9"/>
  <c r="AY369" i="9"/>
  <c r="AF253" i="53"/>
  <c r="AY123" i="9"/>
  <c r="AR152" i="9"/>
  <c r="AF162" i="53"/>
  <c r="AO511" i="9"/>
  <c r="AY186" i="9"/>
  <c r="AY293" i="9"/>
  <c r="AY475" i="9"/>
  <c r="AY294" i="9"/>
  <c r="AY473" i="9"/>
  <c r="AY366" i="9"/>
  <c r="AY474" i="9"/>
  <c r="AY291" i="9"/>
  <c r="AO184" i="9"/>
  <c r="AO263" i="9"/>
  <c r="O92" i="25"/>
  <c r="AO335" i="9"/>
  <c r="AT335" i="9" s="1"/>
  <c r="AF161" i="53"/>
  <c r="AO513" i="9"/>
  <c r="AT513" i="9" s="1"/>
  <c r="AF146" i="53"/>
  <c r="AO477" i="9"/>
  <c r="AT477" i="9" s="1"/>
  <c r="AY146" i="9"/>
  <c r="AY399" i="9"/>
  <c r="AO543" i="9"/>
  <c r="AY255" i="9"/>
  <c r="AO291" i="9"/>
  <c r="AY471" i="9"/>
  <c r="AY511" i="9"/>
  <c r="AF402" i="53"/>
  <c r="AR514" i="9"/>
  <c r="AT514" i="9" s="1"/>
  <c r="AY245" i="9"/>
  <c r="AF295" i="53"/>
  <c r="AY403" i="9"/>
  <c r="AO155" i="9"/>
  <c r="AF11" i="53"/>
  <c r="AO153" i="9"/>
  <c r="AT153" i="9" s="1"/>
  <c r="AY437" i="9"/>
  <c r="AF370" i="53"/>
  <c r="AR440" i="9"/>
  <c r="AT440" i="9" s="1"/>
  <c r="AY548" i="9"/>
  <c r="AY191" i="9"/>
  <c r="AF352" i="53"/>
  <c r="G58" i="53" s="1"/>
  <c r="I149" i="53" s="1"/>
  <c r="AR401" i="9"/>
  <c r="AT401" i="9" s="1"/>
  <c r="X24" i="25"/>
  <c r="AT191" i="9"/>
  <c r="AY402" i="9"/>
  <c r="AR363" i="9"/>
  <c r="AT363" i="9" s="1"/>
  <c r="AO364" i="9"/>
  <c r="AT364" i="9" s="1"/>
  <c r="AF251" i="53"/>
  <c r="AY150" i="9"/>
  <c r="AR515" i="9"/>
  <c r="AT515" i="9" s="1"/>
  <c r="AY500" i="9"/>
  <c r="O8" i="53"/>
  <c r="O11" i="53" s="1"/>
  <c r="O42" i="53"/>
  <c r="AY223" i="9"/>
  <c r="AR439" i="9"/>
  <c r="AT439" i="9" s="1"/>
  <c r="AD11" i="41"/>
  <c r="AO199" i="9" s="1"/>
  <c r="AC11" i="41"/>
  <c r="AO198" i="9" s="1"/>
  <c r="AR543" i="9"/>
  <c r="AY189" i="9"/>
  <c r="AY192" i="9"/>
  <c r="AR552" i="9"/>
  <c r="AY188" i="9"/>
  <c r="AY438" i="9"/>
  <c r="AI368" i="53"/>
  <c r="AR256" i="9"/>
  <c r="AT256" i="9" s="1"/>
  <c r="Q42" i="53"/>
  <c r="C186" i="53" s="1"/>
  <c r="Q8" i="53"/>
  <c r="Q11" i="53" s="1"/>
  <c r="AY512" i="9"/>
  <c r="AY516" i="9"/>
  <c r="AY224" i="9"/>
  <c r="AY330" i="9"/>
  <c r="AY370" i="9"/>
  <c r="AR547" i="9"/>
  <c r="AO546" i="9"/>
  <c r="AT546" i="9" s="1"/>
  <c r="AF177" i="53"/>
  <c r="AO547" i="9"/>
  <c r="AO549" i="9"/>
  <c r="AY328" i="9"/>
  <c r="AT550" i="9"/>
  <c r="AY7" i="9"/>
  <c r="AY8" i="9"/>
  <c r="AY329" i="9"/>
  <c r="AY365" i="9"/>
  <c r="AY152" i="9"/>
  <c r="AY295" i="9"/>
  <c r="AY364" i="9"/>
  <c r="AY151" i="9"/>
  <c r="AZ470" i="9"/>
  <c r="AY546" i="9"/>
  <c r="AY10" i="9"/>
  <c r="AY262" i="9"/>
  <c r="AY111" i="9"/>
  <c r="AI379" i="53"/>
  <c r="AV506" i="9"/>
  <c r="AO135" i="9"/>
  <c r="AY547" i="9"/>
  <c r="AY154" i="9"/>
  <c r="AO136" i="9"/>
  <c r="AV470" i="9"/>
  <c r="AY550" i="9"/>
  <c r="S120" i="50" l="1"/>
  <c r="CN23" i="56"/>
  <c r="CO23" i="56" s="1"/>
  <c r="CP23" i="56" s="1"/>
  <c r="CR23" i="56" s="1"/>
  <c r="CS23" i="56" s="1"/>
  <c r="CT23" i="56" s="1"/>
  <c r="CV23" i="56" s="1"/>
  <c r="CW23" i="56" s="1"/>
  <c r="CX23" i="56" s="1"/>
  <c r="CN22" i="56"/>
  <c r="CO22" i="56" s="1"/>
  <c r="CP22" i="56" s="1"/>
  <c r="CR22" i="56" s="1"/>
  <c r="CS22" i="56" s="1"/>
  <c r="CT22" i="56" s="1"/>
  <c r="CV22" i="56" s="1"/>
  <c r="CW22" i="56" s="1"/>
  <c r="CX22" i="56" s="1"/>
  <c r="AG427" i="53"/>
  <c r="AG442" i="53"/>
  <c r="AP446" i="9"/>
  <c r="AG202" i="53"/>
  <c r="AG457" i="53"/>
  <c r="AT487" i="9"/>
  <c r="AT127" i="9"/>
  <c r="AG82" i="53"/>
  <c r="AX162" i="9"/>
  <c r="AX18" i="9"/>
  <c r="AS158" i="9"/>
  <c r="AS14" i="9"/>
  <c r="AP158" i="9"/>
  <c r="AP14" i="9"/>
  <c r="G84" i="41"/>
  <c r="V16" i="41" s="1"/>
  <c r="AF126" i="53" s="1"/>
  <c r="AL311" i="9"/>
  <c r="C8" i="53"/>
  <c r="S9" i="53" s="1"/>
  <c r="AM241" i="9"/>
  <c r="U56" i="25" s="1"/>
  <c r="AM240" i="9"/>
  <c r="AI240" i="9"/>
  <c r="AJ240" i="9" s="1"/>
  <c r="AI241" i="9"/>
  <c r="AJ241" i="9" s="1"/>
  <c r="AM312" i="9"/>
  <c r="T58" i="25" s="1"/>
  <c r="U20" i="25"/>
  <c r="DU20" i="56" s="1"/>
  <c r="V20" i="56" s="1"/>
  <c r="AG412" i="53"/>
  <c r="AP410" i="9"/>
  <c r="AP230" i="9"/>
  <c r="AT162" i="9"/>
  <c r="U63" i="25"/>
  <c r="AS493" i="9" s="1"/>
  <c r="S64" i="41"/>
  <c r="G82" i="25"/>
  <c r="V14" i="25" s="1"/>
  <c r="DV14" i="56" s="1"/>
  <c r="X14" i="56" s="1"/>
  <c r="AS266" i="9"/>
  <c r="EB61" i="56"/>
  <c r="S65" i="25"/>
  <c r="S87" i="25" s="1"/>
  <c r="AF19" i="25" s="1"/>
  <c r="AF433" i="53" s="1"/>
  <c r="U61" i="25"/>
  <c r="U83" i="25" s="1"/>
  <c r="AI312" i="9"/>
  <c r="AJ312" i="9" s="1"/>
  <c r="AL313" i="9"/>
  <c r="AP374" i="9"/>
  <c r="AU374" i="9" s="1"/>
  <c r="T20" i="41"/>
  <c r="BB36" i="56"/>
  <c r="DA36" i="56" s="1"/>
  <c r="DT36" i="56"/>
  <c r="U36" i="56" s="1"/>
  <c r="CK36" i="56" s="1"/>
  <c r="AO39" i="9"/>
  <c r="AG172" i="53"/>
  <c r="U19" i="41"/>
  <c r="AG19" i="25"/>
  <c r="EG19" i="56" s="1"/>
  <c r="AH19" i="56" s="1"/>
  <c r="U8" i="41"/>
  <c r="T8" i="41"/>
  <c r="AF79" i="53" s="1"/>
  <c r="AG397" i="53"/>
  <c r="EB34" i="56"/>
  <c r="EB57" i="56" s="1"/>
  <c r="AF55" i="53"/>
  <c r="AB24" i="41"/>
  <c r="AP527" i="9"/>
  <c r="T61" i="41"/>
  <c r="T83" i="41" s="1"/>
  <c r="U11" i="41"/>
  <c r="AF50" i="53" s="1"/>
  <c r="T11" i="41"/>
  <c r="AO27" i="9" s="1"/>
  <c r="T59" i="25"/>
  <c r="T81" i="25" s="1"/>
  <c r="AS410" i="9"/>
  <c r="G87" i="25"/>
  <c r="V19" i="25" s="1"/>
  <c r="U18" i="25"/>
  <c r="DU18" i="56" s="1"/>
  <c r="V18" i="56" s="1"/>
  <c r="T18" i="25"/>
  <c r="DT18" i="56" s="1"/>
  <c r="AG20" i="56"/>
  <c r="U62" i="25"/>
  <c r="U84" i="25" s="1"/>
  <c r="AP266" i="9"/>
  <c r="AU266" i="9" s="1"/>
  <c r="AS230" i="9"/>
  <c r="AU230" i="9" s="1"/>
  <c r="S62" i="41"/>
  <c r="G87" i="41"/>
  <c r="T60" i="25"/>
  <c r="T82" i="25" s="1"/>
  <c r="AD14" i="25" s="1"/>
  <c r="AU158" i="9"/>
  <c r="AT126" i="9"/>
  <c r="S63" i="25"/>
  <c r="S85" i="25" s="1"/>
  <c r="AF17" i="25" s="1"/>
  <c r="AR380" i="9" s="1"/>
  <c r="AT380" i="9" s="1"/>
  <c r="U64" i="41"/>
  <c r="U86" i="41" s="1"/>
  <c r="S59" i="41"/>
  <c r="S81" i="41" s="1"/>
  <c r="AF13" i="41" s="1"/>
  <c r="S65" i="41"/>
  <c r="S87" i="41" s="1"/>
  <c r="AF19" i="41" s="1"/>
  <c r="G61" i="25"/>
  <c r="G83" i="25" s="1"/>
  <c r="S61" i="25"/>
  <c r="AG361" i="53" s="1"/>
  <c r="S61" i="41"/>
  <c r="BB39" i="56"/>
  <c r="DA39" i="56" s="1"/>
  <c r="AO75" i="9"/>
  <c r="T63" i="41"/>
  <c r="AP492" i="9" s="1"/>
  <c r="T65" i="41"/>
  <c r="U65" i="25"/>
  <c r="AS457" i="9" s="1"/>
  <c r="U58" i="25"/>
  <c r="T20" i="25"/>
  <c r="DT20" i="56" s="1"/>
  <c r="U20" i="56" s="1"/>
  <c r="CK20" i="56" s="1"/>
  <c r="D92" i="25"/>
  <c r="E42" i="53"/>
  <c r="C141" i="53" s="1"/>
  <c r="E8" i="53"/>
  <c r="T64" i="41"/>
  <c r="AP528" i="9" s="1"/>
  <c r="AG466" i="53"/>
  <c r="AS131" i="9"/>
  <c r="U60" i="25"/>
  <c r="AS385" i="9" s="1"/>
  <c r="U59" i="25"/>
  <c r="AS349" i="9" s="1"/>
  <c r="T62" i="25"/>
  <c r="AS564" i="9" s="1"/>
  <c r="AY339" i="9"/>
  <c r="AY231" i="9"/>
  <c r="AU122" i="9"/>
  <c r="AI252" i="53"/>
  <c r="AY127" i="9"/>
  <c r="D8" i="53"/>
  <c r="D42" i="53"/>
  <c r="C136" i="53" s="1"/>
  <c r="U65" i="41"/>
  <c r="U87" i="41" s="1"/>
  <c r="AG451" i="53"/>
  <c r="AG481" i="53"/>
  <c r="BC45" i="56"/>
  <c r="DB45" i="56" s="1"/>
  <c r="BC46" i="56"/>
  <c r="DB46" i="56" s="1"/>
  <c r="BC44" i="56"/>
  <c r="DB44" i="56" s="1"/>
  <c r="CO45" i="56"/>
  <c r="AT139" i="9"/>
  <c r="AG436" i="53"/>
  <c r="AF456" i="53"/>
  <c r="AF471" i="53"/>
  <c r="AF441" i="53"/>
  <c r="AI206" i="53"/>
  <c r="AI221" i="53"/>
  <c r="AI236" i="53"/>
  <c r="AI191" i="53"/>
  <c r="AI86" i="53"/>
  <c r="AI41" i="53"/>
  <c r="AI116" i="53"/>
  <c r="AI101" i="53"/>
  <c r="AI161" i="53"/>
  <c r="AI131" i="53"/>
  <c r="AI71" i="53"/>
  <c r="AI11" i="53"/>
  <c r="CO46" i="56"/>
  <c r="AI148" i="53"/>
  <c r="CO44" i="56"/>
  <c r="AI313" i="9"/>
  <c r="AJ313" i="9" s="1"/>
  <c r="G81" i="25"/>
  <c r="V13" i="25" s="1"/>
  <c r="DV13" i="56" s="1"/>
  <c r="X13" i="56" s="1"/>
  <c r="AF185" i="53"/>
  <c r="G85" i="41"/>
  <c r="U17" i="41" s="1"/>
  <c r="U12" i="41"/>
  <c r="S117" i="50"/>
  <c r="G80" i="25"/>
  <c r="T12" i="25" s="1"/>
  <c r="S55" i="50"/>
  <c r="AG367" i="53"/>
  <c r="AP518" i="9"/>
  <c r="AU518" i="9" s="1"/>
  <c r="AI323" i="53"/>
  <c r="AT552" i="9"/>
  <c r="AG142" i="53"/>
  <c r="AP302" i="9"/>
  <c r="AT579" i="9"/>
  <c r="AT549" i="9"/>
  <c r="AI311" i="9"/>
  <c r="AJ311" i="9" s="1"/>
  <c r="V8" i="41"/>
  <c r="V11" i="41"/>
  <c r="V20" i="41"/>
  <c r="V18" i="25"/>
  <c r="AF396" i="53" s="1"/>
  <c r="V20" i="25"/>
  <c r="AR149" i="9" s="1"/>
  <c r="AT499" i="9"/>
  <c r="AT283" i="9"/>
  <c r="AG67" i="53"/>
  <c r="AS194" i="9"/>
  <c r="G77" i="25"/>
  <c r="T9" i="25" s="1"/>
  <c r="G86" i="41"/>
  <c r="V18" i="41" s="1"/>
  <c r="G85" i="25"/>
  <c r="AS446" i="9"/>
  <c r="AU446" i="9" s="1"/>
  <c r="V16" i="25"/>
  <c r="AF366" i="53" s="1"/>
  <c r="AT569" i="9"/>
  <c r="G80" i="41"/>
  <c r="V12" i="41" s="1"/>
  <c r="S93" i="50" s="1"/>
  <c r="S114" i="50"/>
  <c r="AS338" i="9"/>
  <c r="AU338" i="9" s="1"/>
  <c r="CL38" i="56"/>
  <c r="AS482" i="9"/>
  <c r="AU482" i="9" s="1"/>
  <c r="AX525" i="9"/>
  <c r="AC56" i="56"/>
  <c r="AC64" i="56"/>
  <c r="AC60" i="56"/>
  <c r="G70" i="41"/>
  <c r="AG22" i="53"/>
  <c r="G82" i="41"/>
  <c r="G77" i="41"/>
  <c r="T9" i="41" s="1"/>
  <c r="AO3" i="9" s="1"/>
  <c r="AG382" i="53"/>
  <c r="G79" i="25"/>
  <c r="T11" i="25" s="1"/>
  <c r="AG307" i="53"/>
  <c r="S56" i="25"/>
  <c r="AG286" i="53" s="1"/>
  <c r="AG292" i="53"/>
  <c r="AP194" i="9"/>
  <c r="AG262" i="53"/>
  <c r="AT292" i="9"/>
  <c r="T56" i="41"/>
  <c r="U56" i="41"/>
  <c r="AU590" i="9"/>
  <c r="AG277" i="53"/>
  <c r="G78" i="25"/>
  <c r="V10" i="25" s="1"/>
  <c r="AO149" i="9"/>
  <c r="G78" i="41"/>
  <c r="AG37" i="53"/>
  <c r="T19" i="25"/>
  <c r="AR111" i="9" s="1"/>
  <c r="DU43" i="56"/>
  <c r="AO148" i="9"/>
  <c r="AR148" i="9"/>
  <c r="AT138" i="9"/>
  <c r="AT140" i="9"/>
  <c r="AT176" i="9"/>
  <c r="S52" i="50"/>
  <c r="ED64" i="56"/>
  <c r="Y59" i="56"/>
  <c r="U63" i="41"/>
  <c r="AP493" i="9" s="1"/>
  <c r="AC12" i="56"/>
  <c r="ED54" i="56"/>
  <c r="ED63" i="56"/>
  <c r="ED65" i="56"/>
  <c r="AX88" i="9"/>
  <c r="AD62" i="56"/>
  <c r="T60" i="41"/>
  <c r="DY70" i="56"/>
  <c r="AX343" i="9"/>
  <c r="AX526" i="9"/>
  <c r="Z70" i="56"/>
  <c r="AX488" i="9"/>
  <c r="AF63" i="56"/>
  <c r="AI132" i="53"/>
  <c r="AI43" i="53"/>
  <c r="EB63" i="56"/>
  <c r="AD32" i="56"/>
  <c r="AI102" i="53" s="1"/>
  <c r="EC55" i="56"/>
  <c r="AD40" i="56"/>
  <c r="AD63" i="56" s="1"/>
  <c r="EC63" i="56"/>
  <c r="AD41" i="56"/>
  <c r="EC64" i="56"/>
  <c r="AD31" i="56"/>
  <c r="AX127" i="9" s="1"/>
  <c r="EC54" i="56"/>
  <c r="AD42" i="56"/>
  <c r="AI177" i="53" s="1"/>
  <c r="AD35" i="56"/>
  <c r="AX307" i="9" s="1"/>
  <c r="AC16" i="56"/>
  <c r="AB15" i="56"/>
  <c r="AB61" i="56" s="1"/>
  <c r="AC8" i="56"/>
  <c r="AY126" i="9" s="1"/>
  <c r="AG40" i="56"/>
  <c r="AX381" i="9" s="1"/>
  <c r="AI118" i="53"/>
  <c r="AB11" i="56"/>
  <c r="AB57" i="56" s="1"/>
  <c r="AB14" i="56"/>
  <c r="AB60" i="56" s="1"/>
  <c r="U35" i="56"/>
  <c r="AX40" i="9" s="1"/>
  <c r="AF35" i="56"/>
  <c r="AF41" i="56"/>
  <c r="AF37" i="56"/>
  <c r="AX561" i="9"/>
  <c r="AC15" i="56"/>
  <c r="AC11" i="56"/>
  <c r="AF39" i="56"/>
  <c r="AI133" i="53" s="1"/>
  <c r="AF42" i="56"/>
  <c r="AI178" i="53" s="1"/>
  <c r="Y15" i="56"/>
  <c r="AY303" i="9" s="1"/>
  <c r="AB16" i="56"/>
  <c r="AB62" i="56" s="1"/>
  <c r="AF36" i="56"/>
  <c r="AF31" i="56"/>
  <c r="AX234" i="9"/>
  <c r="AC55" i="56"/>
  <c r="AI26" i="53"/>
  <c r="AI28" i="53"/>
  <c r="AZ651" i="9"/>
  <c r="AZ639" i="9"/>
  <c r="AZ579" i="9"/>
  <c r="EC34" i="56"/>
  <c r="AD34" i="56" s="1"/>
  <c r="S62" i="25"/>
  <c r="AC63" i="56"/>
  <c r="DV38" i="56"/>
  <c r="AI146" i="53"/>
  <c r="AX486" i="9"/>
  <c r="AT486" i="9"/>
  <c r="AG20" i="25"/>
  <c r="AO580" i="9"/>
  <c r="AT580" i="9" s="1"/>
  <c r="AF125" i="53"/>
  <c r="DU39" i="56"/>
  <c r="DT39" i="56"/>
  <c r="DU31" i="56"/>
  <c r="AO271" i="9"/>
  <c r="ED34" i="56"/>
  <c r="AO137" i="9"/>
  <c r="DV39" i="56"/>
  <c r="DT16" i="56"/>
  <c r="U16" i="56" s="1"/>
  <c r="CK16" i="56" s="1"/>
  <c r="EC11" i="56"/>
  <c r="AD11" i="56" s="1"/>
  <c r="DV8" i="56"/>
  <c r="X8" i="56" s="1"/>
  <c r="DU16" i="56"/>
  <c r="V16" i="56" s="1"/>
  <c r="AT560" i="9"/>
  <c r="AT556" i="9"/>
  <c r="AU554" i="9"/>
  <c r="AS563" i="9"/>
  <c r="S64" i="25"/>
  <c r="AS527" i="9" s="1"/>
  <c r="AU527" i="9" s="1"/>
  <c r="AT523" i="9"/>
  <c r="AY39" i="9"/>
  <c r="AY581" i="9"/>
  <c r="S58" i="41"/>
  <c r="T117" i="50" s="1"/>
  <c r="S59" i="25"/>
  <c r="AF124" i="53"/>
  <c r="U60" i="41"/>
  <c r="T62" i="41"/>
  <c r="S57" i="41"/>
  <c r="AY147" i="9"/>
  <c r="AY542" i="9"/>
  <c r="T58" i="41"/>
  <c r="T118" i="50" s="1"/>
  <c r="T64" i="25"/>
  <c r="AS528" i="9" s="1"/>
  <c r="S63" i="41"/>
  <c r="S85" i="41" s="1"/>
  <c r="AG17" i="41" s="1"/>
  <c r="T56" i="25"/>
  <c r="T50" i="50" s="1"/>
  <c r="T59" i="41"/>
  <c r="U79" i="41"/>
  <c r="U61" i="41"/>
  <c r="AP421" i="9" s="1"/>
  <c r="T61" i="25"/>
  <c r="AS312" i="9" s="1"/>
  <c r="T63" i="25"/>
  <c r="AS492" i="9" s="1"/>
  <c r="U59" i="41"/>
  <c r="U81" i="41" s="1"/>
  <c r="U58" i="41"/>
  <c r="T119" i="50" s="1"/>
  <c r="T55" i="41"/>
  <c r="AP24" i="9" s="1"/>
  <c r="U55" i="41"/>
  <c r="AP25" i="9" s="1"/>
  <c r="AG256" i="53"/>
  <c r="S83" i="41"/>
  <c r="S60" i="25"/>
  <c r="AS383" i="9" s="1"/>
  <c r="U64" i="25"/>
  <c r="AS529" i="9" s="1"/>
  <c r="S60" i="41"/>
  <c r="AT155" i="9"/>
  <c r="T57" i="41"/>
  <c r="S76" i="25"/>
  <c r="AP600" i="9"/>
  <c r="AU600" i="9" s="1"/>
  <c r="T88" i="41"/>
  <c r="AS601" i="9"/>
  <c r="AU601" i="9" s="1"/>
  <c r="U88" i="25"/>
  <c r="AH20" i="25" s="1"/>
  <c r="EH20" i="56" s="1"/>
  <c r="S88" i="41"/>
  <c r="AF20" i="41" s="1"/>
  <c r="AP599" i="9"/>
  <c r="AU599" i="9" s="1"/>
  <c r="U57" i="25"/>
  <c r="AP563" i="9"/>
  <c r="T87" i="41"/>
  <c r="AS565" i="9"/>
  <c r="AC19" i="25"/>
  <c r="U62" i="41"/>
  <c r="AY557" i="9"/>
  <c r="S56" i="41"/>
  <c r="AP529" i="9"/>
  <c r="AS505" i="9"/>
  <c r="AU505" i="9" s="1"/>
  <c r="AS491" i="9"/>
  <c r="AR112" i="9"/>
  <c r="AO640" i="9"/>
  <c r="AT640" i="9" s="1"/>
  <c r="AO112" i="9"/>
  <c r="AR464" i="9"/>
  <c r="AT464" i="9" s="1"/>
  <c r="AR488" i="9"/>
  <c r="AT488" i="9" s="1"/>
  <c r="AS456" i="9"/>
  <c r="AR628" i="9"/>
  <c r="AT628" i="9" s="1"/>
  <c r="AR100" i="9"/>
  <c r="AR629" i="9"/>
  <c r="AO629" i="9"/>
  <c r="AR99" i="9"/>
  <c r="AP397" i="9"/>
  <c r="AR617" i="9"/>
  <c r="AT617" i="9" s="1"/>
  <c r="AF111" i="53"/>
  <c r="AR615" i="9"/>
  <c r="AT615" i="9" s="1"/>
  <c r="AP359" i="9"/>
  <c r="T14" i="25"/>
  <c r="U14" i="25"/>
  <c r="AO604" i="9"/>
  <c r="AO76" i="9"/>
  <c r="AR605" i="9"/>
  <c r="AT605" i="9" s="1"/>
  <c r="U23" i="15"/>
  <c r="AR593" i="9"/>
  <c r="AT593" i="9" s="1"/>
  <c r="V13" i="41"/>
  <c r="AO41" i="9" s="1"/>
  <c r="U13" i="41"/>
  <c r="T13" i="25"/>
  <c r="U13" i="25"/>
  <c r="AS289" i="9"/>
  <c r="AU289" i="9" s="1"/>
  <c r="AS313" i="9"/>
  <c r="S98" i="50"/>
  <c r="AO270" i="9"/>
  <c r="AS276" i="9"/>
  <c r="S100" i="50"/>
  <c r="AO272" i="9"/>
  <c r="AR183" i="9"/>
  <c r="AT183" i="9" s="1"/>
  <c r="S55" i="25"/>
  <c r="T55" i="25"/>
  <c r="AS24" i="9" s="1"/>
  <c r="AR184" i="9"/>
  <c r="AT184" i="9" s="1"/>
  <c r="U55" i="25"/>
  <c r="AS25" i="9" s="1"/>
  <c r="U54" i="25"/>
  <c r="U54" i="41"/>
  <c r="AF246" i="53"/>
  <c r="T54" i="25"/>
  <c r="U8" i="25"/>
  <c r="T8" i="25"/>
  <c r="BB16" i="56" s="1"/>
  <c r="DA16" i="56" s="1"/>
  <c r="S55" i="41"/>
  <c r="AP23" i="9" s="1"/>
  <c r="S54" i="41"/>
  <c r="T54" i="41"/>
  <c r="AP132" i="9" s="1"/>
  <c r="AO532" i="9"/>
  <c r="AT532" i="9" s="1"/>
  <c r="AU134" i="9"/>
  <c r="AY135" i="9"/>
  <c r="AC13" i="25"/>
  <c r="AF296" i="53"/>
  <c r="AT291" i="9"/>
  <c r="AY258" i="9"/>
  <c r="AT568" i="9"/>
  <c r="AT581" i="9"/>
  <c r="AY479" i="9"/>
  <c r="C11" i="53"/>
  <c r="T79" i="25"/>
  <c r="AP432" i="9"/>
  <c r="AU432" i="9" s="1"/>
  <c r="AV652" i="9"/>
  <c r="AY652" i="9"/>
  <c r="AV640" i="9"/>
  <c r="AY628" i="9"/>
  <c r="AU180" i="9"/>
  <c r="AV628" i="9"/>
  <c r="AS360" i="9"/>
  <c r="AV616" i="9"/>
  <c r="AY363" i="9"/>
  <c r="AY604" i="9"/>
  <c r="AV604" i="9"/>
  <c r="AS359" i="9"/>
  <c r="AY580" i="9"/>
  <c r="AV579" i="9"/>
  <c r="AY290" i="9"/>
  <c r="AY579" i="9"/>
  <c r="AY569" i="9"/>
  <c r="AY568" i="9"/>
  <c r="AP215" i="9"/>
  <c r="AV567" i="9"/>
  <c r="AY352" i="9"/>
  <c r="AO248" i="9"/>
  <c r="AP467" i="9"/>
  <c r="AU467" i="9" s="1"/>
  <c r="AS361" i="9"/>
  <c r="U39" i="15"/>
  <c r="AP360" i="9"/>
  <c r="AS433" i="9"/>
  <c r="AU433" i="9" s="1"/>
  <c r="AP469" i="9"/>
  <c r="AS468" i="9"/>
  <c r="AU468" i="9" s="1"/>
  <c r="AO465" i="9"/>
  <c r="AU252" i="9"/>
  <c r="AR177" i="9"/>
  <c r="AT177" i="9" s="1"/>
  <c r="AS323" i="9"/>
  <c r="AU323" i="9" s="1"/>
  <c r="AS469" i="9"/>
  <c r="Z8" i="25"/>
  <c r="AR160" i="9" s="1"/>
  <c r="AT160" i="9" s="1"/>
  <c r="AS397" i="9"/>
  <c r="AS395" i="9"/>
  <c r="AU395" i="9" s="1"/>
  <c r="AP287" i="9"/>
  <c r="AP324" i="9"/>
  <c r="AU324" i="9" s="1"/>
  <c r="AP179" i="9"/>
  <c r="AU179" i="9" s="1"/>
  <c r="AU144" i="9"/>
  <c r="AP288" i="9"/>
  <c r="AV532" i="9"/>
  <c r="AZ531" i="9"/>
  <c r="S80" i="25"/>
  <c r="AG316" i="53"/>
  <c r="AS287" i="9"/>
  <c r="AP251" i="9"/>
  <c r="AS216" i="9"/>
  <c r="AU216" i="9" s="1"/>
  <c r="AS325" i="9"/>
  <c r="AU325" i="9" s="1"/>
  <c r="U78" i="25"/>
  <c r="AS217" i="9"/>
  <c r="AU217" i="9" s="1"/>
  <c r="AO62" i="9"/>
  <c r="AO322" i="9"/>
  <c r="AP431" i="9"/>
  <c r="AS253" i="9"/>
  <c r="AU253" i="9" s="1"/>
  <c r="AS251" i="9"/>
  <c r="AG301" i="53"/>
  <c r="S79" i="25"/>
  <c r="AS431" i="9"/>
  <c r="AS396" i="9"/>
  <c r="AS288" i="9"/>
  <c r="T80" i="25"/>
  <c r="AP503" i="9"/>
  <c r="AP181" i="9"/>
  <c r="AS215" i="9"/>
  <c r="AO14" i="9"/>
  <c r="AO178" i="9"/>
  <c r="AS504" i="9"/>
  <c r="AU504" i="9" s="1"/>
  <c r="AP361" i="9"/>
  <c r="AO26" i="9"/>
  <c r="AO214" i="9"/>
  <c r="AF15" i="41"/>
  <c r="AO308" i="9" s="1"/>
  <c r="AP396" i="9"/>
  <c r="AS503" i="9"/>
  <c r="AS181" i="9"/>
  <c r="AI409" i="53"/>
  <c r="AV39" i="9"/>
  <c r="AT150" i="9"/>
  <c r="AY265" i="9"/>
  <c r="AI469" i="53"/>
  <c r="AI304" i="53"/>
  <c r="AT511" i="9"/>
  <c r="S99" i="50"/>
  <c r="AO246" i="9"/>
  <c r="AT246" i="9" s="1"/>
  <c r="AI424" i="53"/>
  <c r="AI454" i="53"/>
  <c r="AI439" i="53"/>
  <c r="AT152" i="9"/>
  <c r="C131" i="53"/>
  <c r="AI387" i="53"/>
  <c r="AY137" i="9"/>
  <c r="AI386" i="53"/>
  <c r="AY244" i="9"/>
  <c r="AY398" i="9"/>
  <c r="AY386" i="9"/>
  <c r="AY155" i="9"/>
  <c r="AY140" i="9"/>
  <c r="AY428" i="9"/>
  <c r="AY138" i="9"/>
  <c r="AY356" i="9"/>
  <c r="AY436" i="9"/>
  <c r="AY424" i="9"/>
  <c r="AO259" i="9"/>
  <c r="AT259" i="9" s="1"/>
  <c r="AO247" i="9"/>
  <c r="T35" i="50"/>
  <c r="AY425" i="9"/>
  <c r="AY210" i="9"/>
  <c r="AY175" i="9"/>
  <c r="AY174" i="9"/>
  <c r="AY497" i="9"/>
  <c r="AY499" i="9"/>
  <c r="AY301" i="9"/>
  <c r="AY282" i="9"/>
  <c r="AY246" i="9"/>
  <c r="AY176" i="9"/>
  <c r="AY209" i="9"/>
  <c r="AY139" i="9"/>
  <c r="AY464" i="9"/>
  <c r="AY355" i="9"/>
  <c r="AI400" i="53"/>
  <c r="AI445" i="53"/>
  <c r="AI430" i="53"/>
  <c r="AI280" i="53"/>
  <c r="AI310" i="53"/>
  <c r="AI475" i="53"/>
  <c r="AI415" i="53"/>
  <c r="AI460" i="53"/>
  <c r="AI385" i="53"/>
  <c r="AT543" i="9"/>
  <c r="AI476" i="53"/>
  <c r="AI446" i="53"/>
  <c r="AI431" i="53"/>
  <c r="AI461" i="53"/>
  <c r="AI401" i="53"/>
  <c r="AI281" i="53"/>
  <c r="AI282" i="53"/>
  <c r="AD24" i="41"/>
  <c r="AC24" i="41"/>
  <c r="AO258" i="9"/>
  <c r="AT258" i="9" s="1"/>
  <c r="AR263" i="9"/>
  <c r="AT263" i="9" s="1"/>
  <c r="AR260" i="9"/>
  <c r="AT260" i="9" s="1"/>
  <c r="AY257" i="9"/>
  <c r="AY256" i="9"/>
  <c r="AF57" i="53"/>
  <c r="AO262" i="9"/>
  <c r="AT262" i="9" s="1"/>
  <c r="AY440" i="9"/>
  <c r="AY543" i="9"/>
  <c r="AY259" i="9"/>
  <c r="AY439" i="9"/>
  <c r="AV326" i="9"/>
  <c r="AY153" i="9"/>
  <c r="AY552" i="9"/>
  <c r="V42" i="53"/>
  <c r="C176" i="53"/>
  <c r="AI402" i="53"/>
  <c r="AY514" i="9"/>
  <c r="AY6" i="9"/>
  <c r="AY261" i="9"/>
  <c r="AF56" i="53"/>
  <c r="AO261" i="9"/>
  <c r="AT261" i="9" s="1"/>
  <c r="AY515" i="9"/>
  <c r="AY401" i="9"/>
  <c r="AV254" i="9"/>
  <c r="AY549" i="9"/>
  <c r="AV363" i="9"/>
  <c r="AT547" i="9"/>
  <c r="AV362" i="9"/>
  <c r="AZ471" i="9"/>
  <c r="S12" i="53"/>
  <c r="AV507" i="9"/>
  <c r="AZ254" i="9"/>
  <c r="AZ506" i="9"/>
  <c r="AZ507" i="9"/>
  <c r="AV471" i="9"/>
  <c r="BA11" i="9"/>
  <c r="BA13" i="9"/>
  <c r="BA12" i="9"/>
  <c r="U80" i="25" l="1"/>
  <c r="T57" i="50"/>
  <c r="T53" i="50"/>
  <c r="T56" i="50"/>
  <c r="AF336" i="53"/>
  <c r="U85" i="25"/>
  <c r="AU493" i="9"/>
  <c r="AU410" i="9"/>
  <c r="AI223" i="53"/>
  <c r="AI193" i="53"/>
  <c r="S94" i="50"/>
  <c r="AF461" i="53"/>
  <c r="AF476" i="53"/>
  <c r="AF446" i="53"/>
  <c r="AF431" i="53"/>
  <c r="AI238" i="53"/>
  <c r="AI208" i="53"/>
  <c r="AR452" i="9"/>
  <c r="AF448" i="53"/>
  <c r="AF463" i="53"/>
  <c r="AF478" i="53"/>
  <c r="AF109" i="53"/>
  <c r="AF154" i="53"/>
  <c r="AF139" i="53"/>
  <c r="AF64" i="53"/>
  <c r="AF5" i="53"/>
  <c r="AF110" i="53"/>
  <c r="AF215" i="53"/>
  <c r="AF200" i="53"/>
  <c r="AF230" i="53"/>
  <c r="AG166" i="53"/>
  <c r="AU25" i="9"/>
  <c r="U82" i="25"/>
  <c r="AU14" i="9"/>
  <c r="AS203" i="9"/>
  <c r="AS23" i="9"/>
  <c r="AU23" i="9" s="1"/>
  <c r="AU24" i="9"/>
  <c r="AI87" i="53"/>
  <c r="AX19" i="9"/>
  <c r="AU528" i="9"/>
  <c r="AU492" i="9"/>
  <c r="BC36" i="56"/>
  <c r="DB36" i="56" s="1"/>
  <c r="S83" i="25"/>
  <c r="AH15" i="25" s="1"/>
  <c r="DU34" i="56"/>
  <c r="V34" i="56" s="1"/>
  <c r="BB43" i="56"/>
  <c r="DA43" i="56" s="1"/>
  <c r="AF321" i="53"/>
  <c r="DT43" i="56"/>
  <c r="U43" i="56" s="1"/>
  <c r="S86" i="41"/>
  <c r="AH18" i="41" s="1"/>
  <c r="EH41" i="56" s="1"/>
  <c r="AX236" i="9"/>
  <c r="AX416" i="9"/>
  <c r="AR450" i="9"/>
  <c r="AT450" i="9" s="1"/>
  <c r="AR414" i="9"/>
  <c r="AT414" i="9" s="1"/>
  <c r="AG421" i="53"/>
  <c r="U18" i="41"/>
  <c r="BC41" i="56" s="1"/>
  <c r="DB41" i="56" s="1"/>
  <c r="EF19" i="56"/>
  <c r="AG19" i="56" s="1"/>
  <c r="U9" i="25"/>
  <c r="DU9" i="56" s="1"/>
  <c r="V9" i="56" s="1"/>
  <c r="AI261" i="53" s="1"/>
  <c r="AF418" i="53"/>
  <c r="U14" i="41"/>
  <c r="DU37" i="56" s="1"/>
  <c r="V37" i="56" s="1"/>
  <c r="T14" i="41"/>
  <c r="AO63" i="9" s="1"/>
  <c r="DT34" i="56"/>
  <c r="U34" i="56" s="1"/>
  <c r="CK34" i="56" s="1"/>
  <c r="AF49" i="53"/>
  <c r="BB34" i="56"/>
  <c r="DA34" i="56" s="1"/>
  <c r="AF170" i="53"/>
  <c r="DU42" i="56"/>
  <c r="EF43" i="56"/>
  <c r="V19" i="41"/>
  <c r="AO101" i="9" s="1"/>
  <c r="T19" i="41"/>
  <c r="AF199" i="53" s="1"/>
  <c r="BB40" i="56"/>
  <c r="DA40" i="56" s="1"/>
  <c r="AF4" i="53"/>
  <c r="BB31" i="56"/>
  <c r="DA31" i="56" s="1"/>
  <c r="DT31" i="56"/>
  <c r="U31" i="56" s="1"/>
  <c r="CK31" i="56" s="1"/>
  <c r="EF36" i="56"/>
  <c r="AG36" i="56" s="1"/>
  <c r="U10" i="41"/>
  <c r="DU33" i="56" s="1"/>
  <c r="V33" i="56" s="1"/>
  <c r="T10" i="41"/>
  <c r="EF42" i="56"/>
  <c r="AO452" i="9"/>
  <c r="AT452" i="9" s="1"/>
  <c r="AP347" i="9"/>
  <c r="U9" i="41"/>
  <c r="AO4" i="9" s="1"/>
  <c r="AP419" i="9"/>
  <c r="AG15" i="41"/>
  <c r="EG38" i="56" s="1"/>
  <c r="AH38" i="56" s="1"/>
  <c r="AC34" i="56"/>
  <c r="AX198" i="9" s="1"/>
  <c r="EB47" i="56"/>
  <c r="U17" i="25"/>
  <c r="AR88" i="9" s="1"/>
  <c r="T17" i="25"/>
  <c r="AF379" i="53" s="1"/>
  <c r="DT64" i="56"/>
  <c r="U18" i="56"/>
  <c r="AS455" i="9"/>
  <c r="AF16" i="25"/>
  <c r="U12" i="25"/>
  <c r="T15" i="25"/>
  <c r="DT15" i="56" s="1"/>
  <c r="DT61" i="56" s="1"/>
  <c r="U15" i="25"/>
  <c r="DU15" i="56" s="1"/>
  <c r="DU61" i="56" s="1"/>
  <c r="AG136" i="53"/>
  <c r="AP455" i="9"/>
  <c r="S84" i="41"/>
  <c r="U87" i="25"/>
  <c r="AH19" i="25" s="1"/>
  <c r="EH19" i="56" s="1"/>
  <c r="T86" i="41"/>
  <c r="AG18" i="41" s="1"/>
  <c r="AS277" i="9"/>
  <c r="AP384" i="9"/>
  <c r="AG377" i="53"/>
  <c r="AS167" i="9"/>
  <c r="T84" i="25"/>
  <c r="T85" i="41"/>
  <c r="CL20" i="56"/>
  <c r="AX379" i="9"/>
  <c r="V15" i="25"/>
  <c r="DV15" i="56" s="1"/>
  <c r="DV61" i="56" s="1"/>
  <c r="AS347" i="9"/>
  <c r="AF388" i="53"/>
  <c r="EF17" i="56"/>
  <c r="AG17" i="56" s="1"/>
  <c r="AG63" i="56" s="1"/>
  <c r="G70" i="25"/>
  <c r="AG391" i="53"/>
  <c r="U81" i="25"/>
  <c r="AS241" i="9"/>
  <c r="AR77" i="9"/>
  <c r="AP348" i="9"/>
  <c r="AS302" i="9"/>
  <c r="AU302" i="9" s="1"/>
  <c r="AG352" i="53"/>
  <c r="G8" i="53" s="1"/>
  <c r="G11" i="53" s="1"/>
  <c r="T54" i="50"/>
  <c r="AS384" i="9"/>
  <c r="AU384" i="9" s="1"/>
  <c r="AP275" i="9"/>
  <c r="AG91" i="53"/>
  <c r="AP131" i="9"/>
  <c r="AU131" i="9" s="1"/>
  <c r="AS169" i="9"/>
  <c r="AS133" i="9"/>
  <c r="AR124" i="9"/>
  <c r="AO40" i="9"/>
  <c r="AX451" i="9"/>
  <c r="S42" i="53"/>
  <c r="AP385" i="9"/>
  <c r="AU385" i="9" s="1"/>
  <c r="CK35" i="56"/>
  <c r="BC35" i="56" s="1"/>
  <c r="DB35" i="56" s="1"/>
  <c r="AX28" i="9"/>
  <c r="AO88" i="9"/>
  <c r="AP277" i="9"/>
  <c r="AX164" i="9"/>
  <c r="AX128" i="9"/>
  <c r="AD64" i="56"/>
  <c r="AX415" i="9"/>
  <c r="AO100" i="9"/>
  <c r="AT100" i="9" s="1"/>
  <c r="D11" i="53"/>
  <c r="T9" i="53"/>
  <c r="T12" i="53" s="1"/>
  <c r="AS421" i="9"/>
  <c r="AU421" i="9" s="1"/>
  <c r="AS348" i="9"/>
  <c r="AG302" i="53"/>
  <c r="AS132" i="9"/>
  <c r="AU132" i="9" s="1"/>
  <c r="AG183" i="53"/>
  <c r="AP133" i="9"/>
  <c r="AS420" i="9"/>
  <c r="AS275" i="9"/>
  <c r="AP420" i="9"/>
  <c r="E11" i="53"/>
  <c r="U9" i="53"/>
  <c r="U12" i="53" s="1"/>
  <c r="AS419" i="9"/>
  <c r="AU419" i="9" s="1"/>
  <c r="S95" i="50"/>
  <c r="T115" i="50"/>
  <c r="T52" i="50"/>
  <c r="BB13" i="56"/>
  <c r="DA13" i="56" s="1"/>
  <c r="AG168" i="53"/>
  <c r="AG138" i="53"/>
  <c r="AP168" i="9"/>
  <c r="AG242" i="53"/>
  <c r="AG212" i="53"/>
  <c r="AG227" i="53"/>
  <c r="AF455" i="53"/>
  <c r="AF410" i="53"/>
  <c r="AF470" i="53"/>
  <c r="AF440" i="53"/>
  <c r="AG181" i="53"/>
  <c r="AG196" i="53"/>
  <c r="AG121" i="53"/>
  <c r="AG241" i="53"/>
  <c r="DV31" i="56"/>
  <c r="DV54" i="56" s="1"/>
  <c r="BD44" i="56"/>
  <c r="BF44" i="56" s="1"/>
  <c r="BD45" i="56"/>
  <c r="BF45" i="56" s="1"/>
  <c r="BD46" i="56"/>
  <c r="BF46" i="56" s="1"/>
  <c r="AF201" i="53"/>
  <c r="AF216" i="53"/>
  <c r="AF231" i="53"/>
  <c r="CP44" i="56"/>
  <c r="AG182" i="53"/>
  <c r="AG288" i="53"/>
  <c r="AG318" i="53"/>
  <c r="AG467" i="53"/>
  <c r="AG422" i="53"/>
  <c r="AG437" i="53"/>
  <c r="AG482" i="53"/>
  <c r="AG452" i="53"/>
  <c r="AG152" i="53"/>
  <c r="AG106" i="53"/>
  <c r="AG332" i="53"/>
  <c r="AG226" i="53"/>
  <c r="AG483" i="53"/>
  <c r="AG48" i="53"/>
  <c r="AF425" i="53"/>
  <c r="AF186" i="53"/>
  <c r="AG197" i="53"/>
  <c r="AG348" i="53"/>
  <c r="AG333" i="53"/>
  <c r="AG167" i="53"/>
  <c r="AG137" i="53"/>
  <c r="AG211" i="53"/>
  <c r="AG468" i="53"/>
  <c r="AF395" i="53"/>
  <c r="AG47" i="53"/>
  <c r="AF51" i="53"/>
  <c r="AF304" i="53"/>
  <c r="CP46" i="56"/>
  <c r="CR46" i="56" s="1"/>
  <c r="AG122" i="53"/>
  <c r="AG363" i="53"/>
  <c r="AG317" i="53"/>
  <c r="AG393" i="53"/>
  <c r="AG378" i="53"/>
  <c r="BB8" i="56"/>
  <c r="DA8" i="56" s="1"/>
  <c r="BB23" i="56"/>
  <c r="BB22" i="56"/>
  <c r="BC22" i="56" s="1"/>
  <c r="DB22" i="56" s="1"/>
  <c r="BB21" i="56"/>
  <c r="BC21" i="56" s="1"/>
  <c r="BB20" i="56"/>
  <c r="AF394" i="53"/>
  <c r="BB18" i="56"/>
  <c r="AF454" i="53"/>
  <c r="AF469" i="53"/>
  <c r="AF439" i="53"/>
  <c r="AF424" i="53"/>
  <c r="AP169" i="9"/>
  <c r="AG213" i="53"/>
  <c r="AG243" i="53"/>
  <c r="AG228" i="53"/>
  <c r="AG198" i="53"/>
  <c r="AG272" i="53"/>
  <c r="AG347" i="53"/>
  <c r="AG423" i="53"/>
  <c r="AG438" i="53"/>
  <c r="AG62" i="53"/>
  <c r="AG32" i="53"/>
  <c r="AG63" i="53"/>
  <c r="AF364" i="53"/>
  <c r="AF365" i="53"/>
  <c r="AG453" i="53"/>
  <c r="AI27" i="53"/>
  <c r="AI237" i="53"/>
  <c r="AI207" i="53"/>
  <c r="AI222" i="53"/>
  <c r="AI192" i="53"/>
  <c r="AI117" i="53"/>
  <c r="AI42" i="53"/>
  <c r="AI471" i="53"/>
  <c r="AI441" i="53"/>
  <c r="AI456" i="53"/>
  <c r="AI411" i="53"/>
  <c r="CP45" i="56"/>
  <c r="DU40" i="56"/>
  <c r="V40" i="56" s="1"/>
  <c r="V17" i="41"/>
  <c r="AO89" i="9" s="1"/>
  <c r="AF140" i="53"/>
  <c r="V12" i="25"/>
  <c r="DV12" i="56" s="1"/>
  <c r="X12" i="56" s="1"/>
  <c r="AF65" i="53"/>
  <c r="DU35" i="56"/>
  <c r="V35" i="56" s="1"/>
  <c r="DT11" i="56"/>
  <c r="BB11" i="56"/>
  <c r="DA11" i="56" s="1"/>
  <c r="DT12" i="56"/>
  <c r="BB12" i="56"/>
  <c r="S32" i="50"/>
  <c r="DT9" i="56"/>
  <c r="U9" i="56" s="1"/>
  <c r="AI260" i="53" s="1"/>
  <c r="BB9" i="56"/>
  <c r="DA9" i="56" s="1"/>
  <c r="U80" i="41"/>
  <c r="T116" i="50"/>
  <c r="AP311" i="9"/>
  <c r="T114" i="50"/>
  <c r="DT14" i="56"/>
  <c r="U14" i="56" s="1"/>
  <c r="CK14" i="56" s="1"/>
  <c r="BB14" i="56"/>
  <c r="DA14" i="56" s="1"/>
  <c r="AR135" i="9"/>
  <c r="AT135" i="9" s="1"/>
  <c r="BB19" i="56"/>
  <c r="AO15" i="9"/>
  <c r="BB32" i="56"/>
  <c r="AV3" i="9" s="1"/>
  <c r="AO113" i="9"/>
  <c r="AF426" i="53"/>
  <c r="DV20" i="56"/>
  <c r="X20" i="56" s="1"/>
  <c r="AF95" i="53"/>
  <c r="AR101" i="9"/>
  <c r="AR125" i="9"/>
  <c r="AT149" i="9"/>
  <c r="S78" i="25"/>
  <c r="AF10" i="25" s="1"/>
  <c r="AF259" i="53"/>
  <c r="DV18" i="56"/>
  <c r="X18" i="56" s="1"/>
  <c r="AF6" i="53"/>
  <c r="DV16" i="56"/>
  <c r="X16" i="56" s="1"/>
  <c r="AY338" i="9" s="1"/>
  <c r="AF19" i="53"/>
  <c r="AF66" i="53"/>
  <c r="DV43" i="56"/>
  <c r="X43" i="56" s="1"/>
  <c r="DV34" i="56"/>
  <c r="X34" i="56" s="1"/>
  <c r="T78" i="41"/>
  <c r="V14" i="41"/>
  <c r="AF96" i="53" s="1"/>
  <c r="V10" i="41"/>
  <c r="AO29" i="9" s="1"/>
  <c r="V9" i="41"/>
  <c r="AO17" i="9" s="1"/>
  <c r="V17" i="25"/>
  <c r="V11" i="25"/>
  <c r="AF291" i="53" s="1"/>
  <c r="V9" i="25"/>
  <c r="AR17" i="9" s="1"/>
  <c r="AP241" i="9"/>
  <c r="AU194" i="9"/>
  <c r="DV35" i="56"/>
  <c r="X35" i="56" s="1"/>
  <c r="AR39" i="9"/>
  <c r="AT39" i="9" s="1"/>
  <c r="U11" i="25"/>
  <c r="AF290" i="53" s="1"/>
  <c r="G92" i="25"/>
  <c r="AF289" i="53"/>
  <c r="AC54" i="56"/>
  <c r="AC61" i="56"/>
  <c r="AC62" i="56"/>
  <c r="AC58" i="56"/>
  <c r="CL16" i="56"/>
  <c r="DT32" i="56"/>
  <c r="BC38" i="56"/>
  <c r="DB38" i="56" s="1"/>
  <c r="DT8" i="56"/>
  <c r="U78" i="41"/>
  <c r="S31" i="50"/>
  <c r="AG153" i="53"/>
  <c r="AR53" i="9"/>
  <c r="G92" i="41"/>
  <c r="T82" i="41"/>
  <c r="AI355" i="53"/>
  <c r="AG107" i="53"/>
  <c r="AR3" i="9"/>
  <c r="AT3" i="9" s="1"/>
  <c r="AY149" i="9"/>
  <c r="AI426" i="53"/>
  <c r="DT19" i="56"/>
  <c r="AF409" i="53"/>
  <c r="AO28" i="9"/>
  <c r="DV19" i="56"/>
  <c r="X19" i="56" s="1"/>
  <c r="AY446" i="9" s="1"/>
  <c r="AF411" i="53"/>
  <c r="AR137" i="9"/>
  <c r="AT137" i="9" s="1"/>
  <c r="T10" i="25"/>
  <c r="U10" i="25"/>
  <c r="AP167" i="9"/>
  <c r="AT148" i="9"/>
  <c r="AY590" i="9"/>
  <c r="AD54" i="56"/>
  <c r="AX163" i="9"/>
  <c r="V43" i="56"/>
  <c r="DU66" i="56"/>
  <c r="DV10" i="56"/>
  <c r="X10" i="56" s="1"/>
  <c r="AF276" i="53"/>
  <c r="U85" i="41"/>
  <c r="BC16" i="56"/>
  <c r="DB16" i="56" s="1"/>
  <c r="ED14" i="56"/>
  <c r="ED60" i="56" s="1"/>
  <c r="EC13" i="56"/>
  <c r="EC59" i="56" s="1"/>
  <c r="AI340" i="53"/>
  <c r="AI295" i="53"/>
  <c r="AI356" i="53"/>
  <c r="EC47" i="56"/>
  <c r="AI162" i="53"/>
  <c r="AI370" i="53"/>
  <c r="AU397" i="9"/>
  <c r="AI251" i="53"/>
  <c r="S80" i="41"/>
  <c r="AG376" i="53"/>
  <c r="AI371" i="53"/>
  <c r="S84" i="25"/>
  <c r="AD16" i="25" s="1"/>
  <c r="AI365" i="53"/>
  <c r="AI147" i="53"/>
  <c r="AX136" i="9"/>
  <c r="AX487" i="9"/>
  <c r="AI72" i="53"/>
  <c r="AX559" i="9"/>
  <c r="AX523" i="9"/>
  <c r="V31" i="56"/>
  <c r="AD55" i="56"/>
  <c r="AX235" i="9"/>
  <c r="DT62" i="56"/>
  <c r="V39" i="56"/>
  <c r="DU62" i="56"/>
  <c r="EC57" i="56"/>
  <c r="AX199" i="9"/>
  <c r="AI12" i="53"/>
  <c r="X39" i="56"/>
  <c r="U39" i="56"/>
  <c r="AI103" i="53"/>
  <c r="AX380" i="9"/>
  <c r="AX308" i="9"/>
  <c r="AI73" i="53"/>
  <c r="X38" i="56"/>
  <c r="AI88" i="53"/>
  <c r="AX344" i="9"/>
  <c r="AX489" i="9"/>
  <c r="AI163" i="53"/>
  <c r="AF64" i="56"/>
  <c r="AX524" i="9"/>
  <c r="AX452" i="9"/>
  <c r="AF54" i="56"/>
  <c r="AI13" i="53"/>
  <c r="Y61" i="56"/>
  <c r="Y70" i="56" s="1"/>
  <c r="AY411" i="9"/>
  <c r="Y24" i="56"/>
  <c r="AI353" i="53"/>
  <c r="H49" i="53" s="1"/>
  <c r="H50" i="53" s="1"/>
  <c r="AX560" i="9"/>
  <c r="AF65" i="56"/>
  <c r="AZ567" i="9"/>
  <c r="BB62" i="56"/>
  <c r="AV580" i="9"/>
  <c r="EG40" i="56"/>
  <c r="AD57" i="56"/>
  <c r="DV41" i="56"/>
  <c r="DU41" i="56"/>
  <c r="ED47" i="56"/>
  <c r="AF34" i="56"/>
  <c r="AX200" i="9" s="1"/>
  <c r="AX271" i="9"/>
  <c r="AI57" i="53"/>
  <c r="AD47" i="56"/>
  <c r="AR598" i="9"/>
  <c r="AY518" i="9"/>
  <c r="E24" i="56"/>
  <c r="AG406" i="53"/>
  <c r="AG12" i="25"/>
  <c r="T33" i="50" s="1"/>
  <c r="EG20" i="56"/>
  <c r="AH20" i="56" s="1"/>
  <c r="AR597" i="9"/>
  <c r="AH19" i="41"/>
  <c r="AO562" i="9" s="1"/>
  <c r="AG19" i="41"/>
  <c r="AP239" i="9"/>
  <c r="AH20" i="41"/>
  <c r="AG20" i="41"/>
  <c r="AO416" i="9"/>
  <c r="EF38" i="56"/>
  <c r="AO526" i="9"/>
  <c r="AO52" i="9"/>
  <c r="DU36" i="56"/>
  <c r="DV36" i="56"/>
  <c r="DV59" i="56" s="1"/>
  <c r="DU13" i="56"/>
  <c r="V13" i="56" s="1"/>
  <c r="DU14" i="56"/>
  <c r="V14" i="56" s="1"/>
  <c r="AI336" i="53" s="1"/>
  <c r="AR561" i="9"/>
  <c r="AY196" i="9"/>
  <c r="DZ8" i="56"/>
  <c r="DZ54" i="56" s="1"/>
  <c r="AR51" i="9"/>
  <c r="DT13" i="56"/>
  <c r="DT59" i="56" s="1"/>
  <c r="AI416" i="53"/>
  <c r="EC19" i="56"/>
  <c r="EC65" i="56" s="1"/>
  <c r="AR559" i="9"/>
  <c r="AT559" i="9" s="1"/>
  <c r="DU8" i="56"/>
  <c r="V8" i="56" s="1"/>
  <c r="T111" i="50"/>
  <c r="AG76" i="53"/>
  <c r="S81" i="25"/>
  <c r="AH13" i="25" s="1"/>
  <c r="S96" i="50"/>
  <c r="AU563" i="9"/>
  <c r="U82" i="41"/>
  <c r="AG331" i="53"/>
  <c r="T49" i="50"/>
  <c r="AP564" i="9"/>
  <c r="AU564" i="9" s="1"/>
  <c r="AU359" i="9"/>
  <c r="AP312" i="9"/>
  <c r="AU312" i="9" s="1"/>
  <c r="AR52" i="9"/>
  <c r="AS311" i="9"/>
  <c r="AP565" i="9"/>
  <c r="AU565" i="9" s="1"/>
  <c r="S92" i="50"/>
  <c r="S29" i="50"/>
  <c r="AG108" i="53"/>
  <c r="T84" i="41"/>
  <c r="S79" i="41"/>
  <c r="AF11" i="41" s="1"/>
  <c r="S86" i="25"/>
  <c r="AF18" i="25" s="1"/>
  <c r="AT629" i="9"/>
  <c r="AG92" i="53"/>
  <c r="AG362" i="53"/>
  <c r="T51" i="50"/>
  <c r="T81" i="41"/>
  <c r="AH13" i="41" s="1"/>
  <c r="S30" i="50"/>
  <c r="AY51" i="9"/>
  <c r="T86" i="25"/>
  <c r="AR379" i="9"/>
  <c r="AT379" i="9" s="1"/>
  <c r="AR342" i="9"/>
  <c r="AT342" i="9" s="1"/>
  <c r="AR196" i="9"/>
  <c r="AT196" i="9" s="1"/>
  <c r="AP313" i="9"/>
  <c r="AU313" i="9" s="1"/>
  <c r="AG61" i="53"/>
  <c r="AP456" i="9"/>
  <c r="AU456" i="9" s="1"/>
  <c r="U79" i="25"/>
  <c r="AG11" i="25" s="1"/>
  <c r="AG287" i="53"/>
  <c r="T85" i="25"/>
  <c r="AG17" i="25" s="1"/>
  <c r="AG408" i="53"/>
  <c r="AG407" i="53"/>
  <c r="T78" i="25"/>
  <c r="AG10" i="25" s="1"/>
  <c r="AS168" i="9"/>
  <c r="T80" i="41"/>
  <c r="AI289" i="53"/>
  <c r="AT112" i="9"/>
  <c r="AG346" i="53"/>
  <c r="AG151" i="53"/>
  <c r="U83" i="41"/>
  <c r="AH15" i="41" s="1"/>
  <c r="EH38" i="56" s="1"/>
  <c r="AG123" i="53"/>
  <c r="T112" i="50"/>
  <c r="AG77" i="53"/>
  <c r="AP491" i="9"/>
  <c r="AU491" i="9" s="1"/>
  <c r="AG93" i="53"/>
  <c r="AG303" i="53"/>
  <c r="AG33" i="53"/>
  <c r="U86" i="25"/>
  <c r="AG392" i="53"/>
  <c r="U77" i="41"/>
  <c r="S82" i="25"/>
  <c r="AP240" i="9"/>
  <c r="AP383" i="9"/>
  <c r="AU383" i="9" s="1"/>
  <c r="U84" i="41"/>
  <c r="AF16" i="41" s="1"/>
  <c r="T113" i="50"/>
  <c r="T77" i="41"/>
  <c r="AG9" i="41" s="1"/>
  <c r="AO21" i="9" s="1"/>
  <c r="AG78" i="53"/>
  <c r="AP276" i="9"/>
  <c r="AU276" i="9" s="1"/>
  <c r="T79" i="41"/>
  <c r="S82" i="41"/>
  <c r="T83" i="25"/>
  <c r="AG15" i="25" s="1"/>
  <c r="T70" i="41"/>
  <c r="AP349" i="9"/>
  <c r="AU349" i="9" s="1"/>
  <c r="S70" i="25"/>
  <c r="T70" i="25"/>
  <c r="AR40" i="9"/>
  <c r="U70" i="41"/>
  <c r="S78" i="41"/>
  <c r="AF10" i="41" s="1"/>
  <c r="AG46" i="53"/>
  <c r="AP457" i="9"/>
  <c r="AU457" i="9" s="1"/>
  <c r="AU529" i="9"/>
  <c r="AI395" i="53"/>
  <c r="AY124" i="9"/>
  <c r="AR553" i="9"/>
  <c r="AO553" i="9"/>
  <c r="AR558" i="9"/>
  <c r="AT558" i="9" s="1"/>
  <c r="AF416" i="53"/>
  <c r="AF156" i="53"/>
  <c r="AO125" i="9"/>
  <c r="AI396" i="53"/>
  <c r="AO652" i="9"/>
  <c r="AT652" i="9" s="1"/>
  <c r="AO124" i="9"/>
  <c r="AF155" i="53"/>
  <c r="AO489" i="9"/>
  <c r="AY113" i="9"/>
  <c r="AY640" i="9"/>
  <c r="U77" i="25"/>
  <c r="U70" i="25"/>
  <c r="AG273" i="53"/>
  <c r="AY629" i="9"/>
  <c r="AY101" i="9"/>
  <c r="AI366" i="53"/>
  <c r="AY99" i="9"/>
  <c r="AI364" i="53"/>
  <c r="AH109" i="53"/>
  <c r="AV87" i="9"/>
  <c r="AY616" i="9"/>
  <c r="AY617" i="9"/>
  <c r="AY615" i="9"/>
  <c r="AY87" i="9"/>
  <c r="AI349" i="53"/>
  <c r="AG31" i="53"/>
  <c r="S77" i="41"/>
  <c r="S70" i="41"/>
  <c r="AR604" i="9"/>
  <c r="AT604" i="9" s="1"/>
  <c r="AF335" i="53"/>
  <c r="AR76" i="9"/>
  <c r="AT76" i="9" s="1"/>
  <c r="AY605" i="9"/>
  <c r="AR603" i="9"/>
  <c r="AT603" i="9" s="1"/>
  <c r="AF334" i="53"/>
  <c r="AR75" i="9"/>
  <c r="AT75" i="9" s="1"/>
  <c r="AO592" i="9"/>
  <c r="AT592" i="9" s="1"/>
  <c r="AO64" i="9"/>
  <c r="AF80" i="53"/>
  <c r="AR64" i="9"/>
  <c r="AF320" i="53"/>
  <c r="AF81" i="53"/>
  <c r="AR63" i="9"/>
  <c r="AT63" i="9" s="1"/>
  <c r="AF319" i="53"/>
  <c r="AS239" i="9"/>
  <c r="AG271" i="53"/>
  <c r="S77" i="25"/>
  <c r="AI259" i="53"/>
  <c r="AY3" i="9"/>
  <c r="T77" i="25"/>
  <c r="AS240" i="9"/>
  <c r="AF245" i="53"/>
  <c r="AR16" i="9"/>
  <c r="AS204" i="9"/>
  <c r="AG257" i="53"/>
  <c r="T76" i="25"/>
  <c r="AG8" i="25" s="1"/>
  <c r="AF434" i="53" s="1"/>
  <c r="AP205" i="9"/>
  <c r="AG18" i="53"/>
  <c r="U76" i="41"/>
  <c r="AP204" i="9"/>
  <c r="AG17" i="53"/>
  <c r="T76" i="41"/>
  <c r="AS205" i="9"/>
  <c r="U76" i="25"/>
  <c r="AH8" i="25" s="1"/>
  <c r="AR130" i="9" s="1"/>
  <c r="AG258" i="53"/>
  <c r="AP203" i="9"/>
  <c r="AU203" i="9" s="1"/>
  <c r="S76" i="41"/>
  <c r="AF8" i="41" s="1"/>
  <c r="AG16" i="53"/>
  <c r="AR531" i="9"/>
  <c r="AT531" i="9" s="1"/>
  <c r="AF244" i="53"/>
  <c r="AR15" i="9"/>
  <c r="AV27" i="9"/>
  <c r="AI274" i="53"/>
  <c r="AY27" i="9"/>
  <c r="AI296" i="53"/>
  <c r="AU360" i="9"/>
  <c r="AH17" i="41"/>
  <c r="AU251" i="9"/>
  <c r="AH12" i="25"/>
  <c r="T34" i="50" s="1"/>
  <c r="AC12" i="25"/>
  <c r="AR198" i="9" s="1"/>
  <c r="AT198" i="9" s="1"/>
  <c r="AR355" i="9"/>
  <c r="AT355" i="9" s="1"/>
  <c r="AF342" i="53"/>
  <c r="AF12" i="25"/>
  <c r="T32" i="50" s="1"/>
  <c r="AD12" i="25"/>
  <c r="AR427" i="9"/>
  <c r="AT427" i="9" s="1"/>
  <c r="AF15" i="25"/>
  <c r="AD15" i="25"/>
  <c r="AD13" i="25"/>
  <c r="AR318" i="9"/>
  <c r="AT318" i="9" s="1"/>
  <c r="AF326" i="53"/>
  <c r="AF449" i="53"/>
  <c r="AF464" i="53"/>
  <c r="AF264" i="53"/>
  <c r="AF384" i="53"/>
  <c r="AF429" i="53"/>
  <c r="AF309" i="53"/>
  <c r="AF279" i="53"/>
  <c r="AF414" i="53"/>
  <c r="AF444" i="53"/>
  <c r="AY556" i="9"/>
  <c r="AY520" i="9"/>
  <c r="AF474" i="53"/>
  <c r="AF399" i="53"/>
  <c r="AF459" i="53"/>
  <c r="AF339" i="53"/>
  <c r="AF294" i="53"/>
  <c r="AF354" i="53"/>
  <c r="AY448" i="9"/>
  <c r="AY376" i="9"/>
  <c r="AF369" i="53"/>
  <c r="AY268" i="9"/>
  <c r="AY553" i="9"/>
  <c r="AF435" i="53"/>
  <c r="AU396" i="9"/>
  <c r="AZ39" i="9"/>
  <c r="AO466" i="9"/>
  <c r="AV653" i="9"/>
  <c r="AZ640" i="9"/>
  <c r="AZ641" i="9"/>
  <c r="AW639" i="9"/>
  <c r="AV641" i="9"/>
  <c r="AZ628" i="9"/>
  <c r="AV617" i="9"/>
  <c r="AW615" i="9"/>
  <c r="AU215" i="9"/>
  <c r="AU431" i="9"/>
  <c r="AO110" i="9"/>
  <c r="AW579" i="9"/>
  <c r="AZ580" i="9"/>
  <c r="AZ568" i="9"/>
  <c r="AV40" i="9"/>
  <c r="AV568" i="9"/>
  <c r="AV569" i="9"/>
  <c r="AR250" i="9"/>
  <c r="AR38" i="9"/>
  <c r="AR429" i="9"/>
  <c r="AD11" i="25"/>
  <c r="AF11" i="25"/>
  <c r="AR213" i="9"/>
  <c r="AT213" i="9" s="1"/>
  <c r="AU288" i="9"/>
  <c r="Z13" i="25"/>
  <c r="AB13" i="25"/>
  <c r="AR286" i="9"/>
  <c r="AR50" i="9"/>
  <c r="AY177" i="9"/>
  <c r="AO38" i="9"/>
  <c r="AO250" i="9"/>
  <c r="AO86" i="9"/>
  <c r="AO394" i="9"/>
  <c r="AR26" i="9"/>
  <c r="AT26" i="9" s="1"/>
  <c r="AR214" i="9"/>
  <c r="AT214" i="9" s="1"/>
  <c r="AU503" i="9"/>
  <c r="AR249" i="9"/>
  <c r="AT249" i="9" s="1"/>
  <c r="AR122" i="9"/>
  <c r="AR502" i="9"/>
  <c r="AO430" i="9"/>
  <c r="AO98" i="9"/>
  <c r="AR141" i="9"/>
  <c r="AT141" i="9" s="1"/>
  <c r="AO392" i="9"/>
  <c r="AF118" i="53"/>
  <c r="AU181" i="9"/>
  <c r="AU287" i="9"/>
  <c r="AF249" i="53"/>
  <c r="AR136" i="9"/>
  <c r="AT136" i="9" s="1"/>
  <c r="AR2" i="9"/>
  <c r="AT2" i="9" s="1"/>
  <c r="AR142" i="9"/>
  <c r="AT142" i="9" s="1"/>
  <c r="AU361" i="9"/>
  <c r="AR501" i="9"/>
  <c r="AT501" i="9" s="1"/>
  <c r="AO502" i="9"/>
  <c r="AO122" i="9"/>
  <c r="AR285" i="9"/>
  <c r="AT285" i="9" s="1"/>
  <c r="AR98" i="9"/>
  <c r="AR430" i="9"/>
  <c r="AR321" i="9"/>
  <c r="AT321" i="9" s="1"/>
  <c r="AR284" i="9"/>
  <c r="AT284" i="9" s="1"/>
  <c r="AO429" i="9"/>
  <c r="AO286" i="9"/>
  <c r="AO50" i="9"/>
  <c r="AR392" i="9"/>
  <c r="AR86" i="9"/>
  <c r="AR394" i="9"/>
  <c r="AR110" i="9"/>
  <c r="AR466" i="9"/>
  <c r="AR465" i="9"/>
  <c r="AT465" i="9" s="1"/>
  <c r="AU469" i="9"/>
  <c r="AV458" i="9"/>
  <c r="AV422" i="9"/>
  <c r="AV218" i="9"/>
  <c r="AV206" i="9"/>
  <c r="AV182" i="9"/>
  <c r="AZ434" i="9"/>
  <c r="AV219" i="9"/>
  <c r="AZ326" i="9"/>
  <c r="AY263" i="9"/>
  <c r="AY260" i="9"/>
  <c r="AV434" i="9"/>
  <c r="AV327" i="9"/>
  <c r="AV146" i="9"/>
  <c r="AZ218" i="9"/>
  <c r="AV435" i="9"/>
  <c r="AZ362" i="9"/>
  <c r="AV183" i="9"/>
  <c r="AV255" i="9"/>
  <c r="AZ472" i="9"/>
  <c r="AZ508" i="9"/>
  <c r="AW506" i="9"/>
  <c r="AV508" i="9"/>
  <c r="AW182" i="9"/>
  <c r="AV256" i="9"/>
  <c r="AV472" i="9"/>
  <c r="AW434" i="9"/>
  <c r="AV6" i="9"/>
  <c r="V15" i="56" l="1"/>
  <c r="AF350" i="53"/>
  <c r="AF349" i="53"/>
  <c r="BC40" i="56"/>
  <c r="DB40" i="56" s="1"/>
  <c r="AF20" i="53"/>
  <c r="AF229" i="53"/>
  <c r="AF214" i="53"/>
  <c r="AF184" i="53"/>
  <c r="S33" i="50"/>
  <c r="X15" i="56"/>
  <c r="AT40" i="9"/>
  <c r="AF465" i="53"/>
  <c r="AF419" i="53"/>
  <c r="AF450" i="53"/>
  <c r="AF479" i="53"/>
  <c r="AF480" i="53"/>
  <c r="AH124" i="53"/>
  <c r="AF163" i="53"/>
  <c r="AF103" i="53"/>
  <c r="AF148" i="53"/>
  <c r="AF223" i="53"/>
  <c r="AF208" i="53"/>
  <c r="AF238" i="53"/>
  <c r="AF178" i="53"/>
  <c r="AF88" i="53"/>
  <c r="AF193" i="53"/>
  <c r="U15" i="56"/>
  <c r="AI350" i="53" s="1"/>
  <c r="DT66" i="56"/>
  <c r="AR4" i="9"/>
  <c r="AT4" i="9" s="1"/>
  <c r="I62" i="53"/>
  <c r="DT55" i="56"/>
  <c r="AO5" i="9"/>
  <c r="AU311" i="9"/>
  <c r="DT57" i="56"/>
  <c r="D62" i="53"/>
  <c r="O62" i="53"/>
  <c r="E62" i="53"/>
  <c r="P62" i="53"/>
  <c r="G62" i="53"/>
  <c r="M62" i="53"/>
  <c r="L62" i="53"/>
  <c r="C62" i="53"/>
  <c r="H62" i="53"/>
  <c r="K62" i="53"/>
  <c r="Q62" i="53"/>
  <c r="DE46" i="56"/>
  <c r="U24" i="41"/>
  <c r="D24" i="41" s="1"/>
  <c r="AF35" i="53"/>
  <c r="AF260" i="53"/>
  <c r="BC31" i="56"/>
  <c r="DB31" i="56" s="1"/>
  <c r="DU17" i="56"/>
  <c r="V17" i="56" s="1"/>
  <c r="AI381" i="53" s="1"/>
  <c r="X31" i="56"/>
  <c r="AX122" i="9" s="1"/>
  <c r="CL35" i="56"/>
  <c r="CN35" i="56" s="1"/>
  <c r="CO35" i="56" s="1"/>
  <c r="CL31" i="56"/>
  <c r="CL34" i="56"/>
  <c r="CN34" i="56" s="1"/>
  <c r="CO34" i="56" s="1"/>
  <c r="CP34" i="56" s="1"/>
  <c r="CR34" i="56" s="1"/>
  <c r="CS34" i="56" s="1"/>
  <c r="CT34" i="56" s="1"/>
  <c r="G42" i="53"/>
  <c r="T42" i="53" s="1"/>
  <c r="DT54" i="56"/>
  <c r="AH10" i="25"/>
  <c r="AF285" i="53" s="1"/>
  <c r="AO65" i="9"/>
  <c r="AU168" i="9"/>
  <c r="AO418" i="9"/>
  <c r="AO453" i="9"/>
  <c r="AF380" i="53"/>
  <c r="AT88" i="9"/>
  <c r="BC34" i="56"/>
  <c r="DB34" i="56" s="1"/>
  <c r="DU12" i="56"/>
  <c r="V12" i="56" s="1"/>
  <c r="AI306" i="53" s="1"/>
  <c r="AC57" i="56"/>
  <c r="AR200" i="9"/>
  <c r="AU347" i="9"/>
  <c r="AF305" i="53"/>
  <c r="AU241" i="9"/>
  <c r="AU277" i="9"/>
  <c r="AR233" i="9"/>
  <c r="AT233" i="9" s="1"/>
  <c r="AR269" i="9"/>
  <c r="AT269" i="9" s="1"/>
  <c r="T24" i="41"/>
  <c r="C24" i="41" s="1"/>
  <c r="AO99" i="9"/>
  <c r="AT99" i="9" s="1"/>
  <c r="AR232" i="9"/>
  <c r="AT232" i="9" s="1"/>
  <c r="AR268" i="9"/>
  <c r="AT268" i="9" s="1"/>
  <c r="AT101" i="9"/>
  <c r="AR29" i="9"/>
  <c r="AT29" i="9" s="1"/>
  <c r="AR234" i="9"/>
  <c r="AT234" i="9" s="1"/>
  <c r="AF306" i="53"/>
  <c r="BB17" i="56"/>
  <c r="DA17" i="56" s="1"/>
  <c r="AU275" i="9"/>
  <c r="AU455" i="9"/>
  <c r="AU133" i="9"/>
  <c r="AU167" i="9"/>
  <c r="AY410" i="9"/>
  <c r="U11" i="56"/>
  <c r="CK11" i="56" s="1"/>
  <c r="BC11" i="56" s="1"/>
  <c r="DB11" i="56" s="1"/>
  <c r="AU169" i="9"/>
  <c r="AG13" i="41"/>
  <c r="EG36" i="56" s="1"/>
  <c r="AT15" i="9"/>
  <c r="DV37" i="56"/>
  <c r="X37" i="56" s="1"/>
  <c r="X60" i="56" s="1"/>
  <c r="AU348" i="9"/>
  <c r="AT125" i="9"/>
  <c r="AF133" i="53"/>
  <c r="EF39" i="56"/>
  <c r="AG39" i="56" s="1"/>
  <c r="AX345" i="9" s="1"/>
  <c r="AO344" i="9"/>
  <c r="EF33" i="56"/>
  <c r="AG33" i="56" s="1"/>
  <c r="AF43" i="53"/>
  <c r="AO417" i="9"/>
  <c r="EG41" i="56"/>
  <c r="AH41" i="56" s="1"/>
  <c r="AG42" i="56"/>
  <c r="EF65" i="56"/>
  <c r="AF13" i="53"/>
  <c r="AO128" i="9"/>
  <c r="AT128" i="9" s="1"/>
  <c r="EF31" i="56"/>
  <c r="CN20" i="56"/>
  <c r="CO20" i="56" s="1"/>
  <c r="CP20" i="56" s="1"/>
  <c r="CR20" i="56" s="1"/>
  <c r="BB15" i="56"/>
  <c r="DT33" i="56"/>
  <c r="U33" i="56" s="1"/>
  <c r="CK33" i="56" s="1"/>
  <c r="CL33" i="56" s="1"/>
  <c r="AF34" i="53"/>
  <c r="BB33" i="56"/>
  <c r="DT37" i="56"/>
  <c r="U37" i="56" s="1"/>
  <c r="AX64" i="9" s="1"/>
  <c r="BB37" i="56"/>
  <c r="AV63" i="9" s="1"/>
  <c r="AF94" i="53"/>
  <c r="AO51" i="9"/>
  <c r="AT51" i="9" s="1"/>
  <c r="EF34" i="56"/>
  <c r="AG34" i="56" s="1"/>
  <c r="AF58" i="53"/>
  <c r="AG12" i="41"/>
  <c r="T95" i="50" s="1"/>
  <c r="AF12" i="41"/>
  <c r="AG16" i="41"/>
  <c r="EG39" i="56" s="1"/>
  <c r="AH39" i="56" s="1"/>
  <c r="DU32" i="56"/>
  <c r="DU47" i="56" s="1"/>
  <c r="AO16" i="9"/>
  <c r="AT16" i="9" s="1"/>
  <c r="AF169" i="53"/>
  <c r="BB42" i="56"/>
  <c r="AO111" i="9"/>
  <c r="AT111" i="9" s="1"/>
  <c r="DT42" i="56"/>
  <c r="U42" i="56" s="1"/>
  <c r="AG43" i="56"/>
  <c r="AG66" i="56" s="1"/>
  <c r="EF66" i="56"/>
  <c r="AF13" i="25"/>
  <c r="AR236" i="9" s="1"/>
  <c r="AH16" i="41"/>
  <c r="AI56" i="53"/>
  <c r="AC47" i="56"/>
  <c r="AF171" i="53"/>
  <c r="DV42" i="56"/>
  <c r="X42" i="56" s="1"/>
  <c r="AX446" i="9" s="1"/>
  <c r="V42" i="56"/>
  <c r="DU65" i="56"/>
  <c r="AR129" i="9"/>
  <c r="EG8" i="56"/>
  <c r="AH8" i="56" s="1"/>
  <c r="AY130" i="9" s="1"/>
  <c r="AF254" i="53"/>
  <c r="CK18" i="56"/>
  <c r="CL18" i="56" s="1"/>
  <c r="CN18" i="56" s="1"/>
  <c r="CO18" i="56" s="1"/>
  <c r="CP18" i="56" s="1"/>
  <c r="U64" i="56"/>
  <c r="AG18" i="25"/>
  <c r="EG18" i="56" s="1"/>
  <c r="AC14" i="25"/>
  <c r="AR270" i="9" s="1"/>
  <c r="AT270" i="9" s="1"/>
  <c r="AF14" i="25"/>
  <c r="AR272" i="9" s="1"/>
  <c r="AT272" i="9" s="1"/>
  <c r="EF18" i="56"/>
  <c r="AF403" i="53"/>
  <c r="EF16" i="56"/>
  <c r="AF373" i="53"/>
  <c r="DT17" i="56"/>
  <c r="AR87" i="9"/>
  <c r="AT87" i="9" s="1"/>
  <c r="AD9" i="25"/>
  <c r="AF9" i="25"/>
  <c r="EF10" i="56"/>
  <c r="AF283" i="53"/>
  <c r="AF420" i="53"/>
  <c r="AT124" i="9"/>
  <c r="EF63" i="56"/>
  <c r="DC46" i="56"/>
  <c r="AO53" i="9"/>
  <c r="BB55" i="56"/>
  <c r="DV62" i="56"/>
  <c r="AF351" i="53"/>
  <c r="AR65" i="9"/>
  <c r="BG45" i="56"/>
  <c r="BH45" i="56" s="1"/>
  <c r="CK15" i="56"/>
  <c r="CL15" i="56" s="1"/>
  <c r="U61" i="56"/>
  <c r="AU420" i="9"/>
  <c r="U66" i="56"/>
  <c r="CK43" i="56"/>
  <c r="BC43" i="56" s="1"/>
  <c r="DB43" i="56" s="1"/>
  <c r="CK39" i="56"/>
  <c r="CL39" i="56" s="1"/>
  <c r="CN39" i="56" s="1"/>
  <c r="CO39" i="56" s="1"/>
  <c r="CP39" i="56" s="1"/>
  <c r="AX76" i="9"/>
  <c r="AR113" i="9"/>
  <c r="AT113" i="9" s="1"/>
  <c r="AR89" i="9"/>
  <c r="AT89" i="9" s="1"/>
  <c r="AR199" i="9"/>
  <c r="AT199" i="9" s="1"/>
  <c r="CL40" i="56"/>
  <c r="AX89" i="9"/>
  <c r="BG46" i="56"/>
  <c r="BH46" i="56" s="1"/>
  <c r="BJ46" i="56" s="1"/>
  <c r="CR45" i="56"/>
  <c r="CS45" i="56" s="1"/>
  <c r="DA23" i="56"/>
  <c r="BB69" i="56"/>
  <c r="CS46" i="56"/>
  <c r="CR44" i="56"/>
  <c r="CS44" i="56" s="1"/>
  <c r="DA20" i="56"/>
  <c r="BB66" i="56"/>
  <c r="CK9" i="56"/>
  <c r="CL9" i="56" s="1"/>
  <c r="DA18" i="56"/>
  <c r="BB64" i="56"/>
  <c r="DA21" i="56"/>
  <c r="DB21" i="56"/>
  <c r="BB67" i="56"/>
  <c r="BD21" i="56"/>
  <c r="DA32" i="56"/>
  <c r="AJ19" i="53" s="1"/>
  <c r="AH139" i="53"/>
  <c r="AH154" i="53"/>
  <c r="AH49" i="53"/>
  <c r="AH64" i="53"/>
  <c r="AH214" i="53"/>
  <c r="AH199" i="53"/>
  <c r="AH229" i="53"/>
  <c r="AH184" i="53"/>
  <c r="DA22" i="56"/>
  <c r="BB68" i="56"/>
  <c r="BD22" i="56"/>
  <c r="BC20" i="56"/>
  <c r="BG44" i="56"/>
  <c r="BH44" i="56" s="1"/>
  <c r="BC23" i="56"/>
  <c r="DB23" i="56" s="1"/>
  <c r="DV40" i="56"/>
  <c r="X40" i="56" s="1"/>
  <c r="AX374" i="9" s="1"/>
  <c r="AF141" i="53"/>
  <c r="AH19" i="53"/>
  <c r="DA12" i="56"/>
  <c r="DA58" i="56" s="1"/>
  <c r="BB58" i="56"/>
  <c r="T24" i="25"/>
  <c r="C24" i="25" s="1"/>
  <c r="BB10" i="56"/>
  <c r="DA19" i="56"/>
  <c r="U12" i="56"/>
  <c r="DT58" i="56"/>
  <c r="DU11" i="56"/>
  <c r="V11" i="56" s="1"/>
  <c r="V57" i="56" s="1"/>
  <c r="AH16" i="25"/>
  <c r="AF375" i="53" s="1"/>
  <c r="AT17" i="9"/>
  <c r="DV64" i="56"/>
  <c r="AF36" i="53"/>
  <c r="AH12" i="41"/>
  <c r="T96" i="50" s="1"/>
  <c r="AT53" i="9"/>
  <c r="CN16" i="56"/>
  <c r="CO16" i="56" s="1"/>
  <c r="CP16" i="56" s="1"/>
  <c r="AO77" i="9"/>
  <c r="AT77" i="9" s="1"/>
  <c r="V24" i="41"/>
  <c r="E24" i="41" s="1"/>
  <c r="V24" i="25"/>
  <c r="E24" i="25" s="1"/>
  <c r="DV33" i="56"/>
  <c r="DV56" i="56" s="1"/>
  <c r="AR41" i="9"/>
  <c r="AT41" i="9" s="1"/>
  <c r="AY5" i="9"/>
  <c r="DV11" i="56"/>
  <c r="AR5" i="9"/>
  <c r="AT5" i="9" s="1"/>
  <c r="DV66" i="56"/>
  <c r="DV32" i="56"/>
  <c r="X32" i="56" s="1"/>
  <c r="AX14" i="9" s="1"/>
  <c r="AF21" i="53"/>
  <c r="DV9" i="56"/>
  <c r="AF261" i="53"/>
  <c r="DV17" i="56"/>
  <c r="AF381" i="53"/>
  <c r="U8" i="56"/>
  <c r="CK8" i="56" s="1"/>
  <c r="U32" i="56"/>
  <c r="AI125" i="53" s="1"/>
  <c r="CN38" i="56"/>
  <c r="CO38" i="56" s="1"/>
  <c r="CP38" i="56" s="1"/>
  <c r="CR38" i="56" s="1"/>
  <c r="CS38" i="56" s="1"/>
  <c r="CT38" i="56" s="1"/>
  <c r="AX29" i="9"/>
  <c r="AY53" i="9"/>
  <c r="BD38" i="56"/>
  <c r="CL14" i="56"/>
  <c r="CN14" i="56" s="1"/>
  <c r="CO14" i="56" s="1"/>
  <c r="CP14" i="56" s="1"/>
  <c r="U24" i="25"/>
  <c r="D24" i="25" s="1"/>
  <c r="BD16" i="56"/>
  <c r="X58" i="56"/>
  <c r="AY302" i="9"/>
  <c r="DV58" i="56"/>
  <c r="DC45" i="56"/>
  <c r="AY230" i="9"/>
  <c r="DU10" i="56"/>
  <c r="AF275" i="53"/>
  <c r="AR28" i="9"/>
  <c r="AT28" i="9" s="1"/>
  <c r="AY554" i="9"/>
  <c r="V66" i="56"/>
  <c r="AX149" i="9"/>
  <c r="DT10" i="56"/>
  <c r="AR27" i="9"/>
  <c r="AT27" i="9" s="1"/>
  <c r="AF274" i="53"/>
  <c r="AX554" i="9"/>
  <c r="X65" i="56"/>
  <c r="U19" i="56"/>
  <c r="AY100" i="9" s="1"/>
  <c r="X66" i="56"/>
  <c r="AX590" i="9"/>
  <c r="U62" i="56"/>
  <c r="AF14" i="56"/>
  <c r="AF60" i="56" s="1"/>
  <c r="AX77" i="9"/>
  <c r="V61" i="56"/>
  <c r="BC14" i="56"/>
  <c r="DB14" i="56" s="1"/>
  <c r="BB57" i="56"/>
  <c r="BB54" i="56"/>
  <c r="AD13" i="56"/>
  <c r="AD59" i="56" s="1"/>
  <c r="DZ13" i="56"/>
  <c r="DZ59" i="56" s="1"/>
  <c r="DZ70" i="56" s="1"/>
  <c r="EF11" i="56"/>
  <c r="AG11" i="56" s="1"/>
  <c r="AR451" i="9"/>
  <c r="AT451" i="9" s="1"/>
  <c r="ED11" i="56"/>
  <c r="AF11" i="56" s="1"/>
  <c r="AF57" i="56" s="1"/>
  <c r="ED13" i="56"/>
  <c r="ED59" i="56" s="1"/>
  <c r="ED12" i="56"/>
  <c r="ED58" i="56" s="1"/>
  <c r="ED15" i="56"/>
  <c r="ED61" i="56" s="1"/>
  <c r="EF12" i="56"/>
  <c r="EB13" i="56"/>
  <c r="EB59" i="56" s="1"/>
  <c r="EB70" i="56" s="1"/>
  <c r="EH13" i="56"/>
  <c r="EG12" i="56"/>
  <c r="AH12" i="56" s="1"/>
  <c r="AF372" i="53"/>
  <c r="ED16" i="56"/>
  <c r="ED62" i="56" s="1"/>
  <c r="AG16" i="25"/>
  <c r="AF374" i="53" s="1"/>
  <c r="AY89" i="9"/>
  <c r="V54" i="56"/>
  <c r="AX100" i="9"/>
  <c r="AI351" i="53"/>
  <c r="V62" i="56"/>
  <c r="AH11" i="25"/>
  <c r="AF300" i="53" s="1"/>
  <c r="AX53" i="9"/>
  <c r="X62" i="56"/>
  <c r="DU59" i="56"/>
  <c r="AX302" i="9"/>
  <c r="AX113" i="9"/>
  <c r="AX482" i="9"/>
  <c r="V41" i="56"/>
  <c r="CL41" i="56" s="1"/>
  <c r="DU64" i="56"/>
  <c r="AH40" i="56"/>
  <c r="AX490" i="9" s="1"/>
  <c r="DU54" i="56"/>
  <c r="DU60" i="56"/>
  <c r="X41" i="56"/>
  <c r="X64" i="56" s="1"/>
  <c r="AX273" i="9"/>
  <c r="U13" i="56"/>
  <c r="CK13" i="56" s="1"/>
  <c r="AG38" i="56"/>
  <c r="AX309" i="9" s="1"/>
  <c r="DC44" i="56"/>
  <c r="AV581" i="9"/>
  <c r="AY77" i="9"/>
  <c r="EH40" i="56"/>
  <c r="AO561" i="9"/>
  <c r="AT561" i="9" s="1"/>
  <c r="EH42" i="56"/>
  <c r="EH65" i="56" s="1"/>
  <c r="X61" i="56"/>
  <c r="V60" i="56"/>
  <c r="EH43" i="56"/>
  <c r="EH66" i="56" s="1"/>
  <c r="AX272" i="9"/>
  <c r="AI58" i="53"/>
  <c r="AF47" i="56"/>
  <c r="X36" i="56"/>
  <c r="X59" i="56" s="1"/>
  <c r="AF314" i="53"/>
  <c r="V36" i="56"/>
  <c r="CL36" i="56" s="1"/>
  <c r="AD19" i="56"/>
  <c r="AB8" i="56"/>
  <c r="AY65" i="9"/>
  <c r="AI321" i="53"/>
  <c r="F24" i="56"/>
  <c r="AO598" i="9"/>
  <c r="AT598" i="9" s="1"/>
  <c r="AG14" i="25"/>
  <c r="AT52" i="9"/>
  <c r="AG13" i="25"/>
  <c r="EH8" i="56"/>
  <c r="AF255" i="53"/>
  <c r="EG11" i="56"/>
  <c r="AH11" i="56" s="1"/>
  <c r="AF299" i="53"/>
  <c r="AG9" i="25"/>
  <c r="AH18" i="25"/>
  <c r="AR418" i="9" s="1"/>
  <c r="AT418" i="9" s="1"/>
  <c r="AU239" i="9"/>
  <c r="AH17" i="25"/>
  <c r="EH36" i="56"/>
  <c r="AO346" i="9"/>
  <c r="EG32" i="56"/>
  <c r="AO454" i="9"/>
  <c r="EH39" i="56"/>
  <c r="AH10" i="41"/>
  <c r="AG10" i="41"/>
  <c r="AO237" i="9" s="1"/>
  <c r="AH11" i="41"/>
  <c r="AG11" i="41"/>
  <c r="AO597" i="9"/>
  <c r="AT597" i="9" s="1"/>
  <c r="EG43" i="56"/>
  <c r="AO345" i="9"/>
  <c r="EG42" i="56"/>
  <c r="AH9" i="41"/>
  <c r="AO22" i="9" s="1"/>
  <c r="AF9" i="41"/>
  <c r="AO20" i="9" s="1"/>
  <c r="AH14" i="41"/>
  <c r="AO310" i="9" s="1"/>
  <c r="AG14" i="41"/>
  <c r="AO309" i="9" s="1"/>
  <c r="S101" i="50"/>
  <c r="AH8" i="41"/>
  <c r="AF150" i="53" s="1"/>
  <c r="AG8" i="41"/>
  <c r="AF29" i="53" s="1"/>
  <c r="AF284" i="53"/>
  <c r="EG10" i="56"/>
  <c r="AH10" i="56" s="1"/>
  <c r="AF389" i="53"/>
  <c r="EG17" i="56"/>
  <c r="AH17" i="56" s="1"/>
  <c r="AR525" i="9"/>
  <c r="AT525" i="9" s="1"/>
  <c r="EF15" i="56"/>
  <c r="AG15" i="56" s="1"/>
  <c r="AI311" i="53"/>
  <c r="EC12" i="56"/>
  <c r="EC58" i="56" s="1"/>
  <c r="EH12" i="56"/>
  <c r="EG15" i="56"/>
  <c r="EH15" i="56"/>
  <c r="EH61" i="56" s="1"/>
  <c r="H24" i="25"/>
  <c r="G24" i="25"/>
  <c r="K24" i="41"/>
  <c r="L24" i="41"/>
  <c r="M24" i="41"/>
  <c r="G24" i="41"/>
  <c r="H24" i="41"/>
  <c r="I24" i="41"/>
  <c r="S36" i="50"/>
  <c r="AY304" i="9"/>
  <c r="AR304" i="9"/>
  <c r="AT304" i="9" s="1"/>
  <c r="S34" i="50"/>
  <c r="S37" i="50"/>
  <c r="S35" i="50"/>
  <c r="AR305" i="9"/>
  <c r="AT305" i="9" s="1"/>
  <c r="AR562" i="9"/>
  <c r="AT562" i="9" s="1"/>
  <c r="AT553" i="9"/>
  <c r="AR344" i="9"/>
  <c r="S39" i="50"/>
  <c r="AR489" i="9"/>
  <c r="AT489" i="9" s="1"/>
  <c r="AY489" i="9"/>
  <c r="AF313" i="53"/>
  <c r="AR415" i="9"/>
  <c r="AT415" i="9" s="1"/>
  <c r="AR341" i="9"/>
  <c r="AT341" i="9" s="1"/>
  <c r="AR271" i="9"/>
  <c r="AT271" i="9" s="1"/>
  <c r="AR307" i="9"/>
  <c r="AT307" i="9" s="1"/>
  <c r="AR343" i="9"/>
  <c r="AT343" i="9" s="1"/>
  <c r="AR378" i="9"/>
  <c r="AT378" i="9" s="1"/>
  <c r="AY378" i="9"/>
  <c r="AH14" i="25"/>
  <c r="AR310" i="9" s="1"/>
  <c r="AW627" i="9"/>
  <c r="AU240" i="9"/>
  <c r="T92" i="41"/>
  <c r="U92" i="41"/>
  <c r="S92" i="41"/>
  <c r="U8" i="53"/>
  <c r="U11" i="53" s="1"/>
  <c r="U92" i="25"/>
  <c r="S8" i="53"/>
  <c r="S11" i="53" s="1"/>
  <c r="T8" i="53"/>
  <c r="T11" i="53" s="1"/>
  <c r="AY601" i="9"/>
  <c r="AY594" i="9"/>
  <c r="AY599" i="9"/>
  <c r="AY600" i="9"/>
  <c r="AY597" i="9"/>
  <c r="AY598" i="9"/>
  <c r="AY596" i="9"/>
  <c r="AY564" i="9"/>
  <c r="AY562" i="9"/>
  <c r="AY558" i="9"/>
  <c r="AY560" i="9"/>
  <c r="AY561" i="9"/>
  <c r="AY565" i="9"/>
  <c r="AY563" i="9"/>
  <c r="AH304" i="53"/>
  <c r="AZ40" i="9"/>
  <c r="AY528" i="9"/>
  <c r="AY522" i="9"/>
  <c r="AY523" i="9"/>
  <c r="AY529" i="9"/>
  <c r="AY527" i="9"/>
  <c r="AY521" i="9"/>
  <c r="AY524" i="9"/>
  <c r="AV459" i="9"/>
  <c r="AY460" i="9"/>
  <c r="AY484" i="9"/>
  <c r="AO490" i="9"/>
  <c r="AY488" i="9"/>
  <c r="AY492" i="9"/>
  <c r="AY485" i="9"/>
  <c r="AY493" i="9"/>
  <c r="AY486" i="9"/>
  <c r="AY491" i="9"/>
  <c r="AY487" i="9"/>
  <c r="AR454" i="9"/>
  <c r="AZ627" i="9"/>
  <c r="AJ124" i="53"/>
  <c r="AV629" i="9"/>
  <c r="AY449" i="9"/>
  <c r="AY455" i="9"/>
  <c r="AY450" i="9"/>
  <c r="AY453" i="9"/>
  <c r="AY456" i="9"/>
  <c r="AY457" i="9"/>
  <c r="T92" i="25"/>
  <c r="AR416" i="9"/>
  <c r="AT416" i="9" s="1"/>
  <c r="AV88" i="9"/>
  <c r="AR417" i="9"/>
  <c r="AY414" i="9"/>
  <c r="AY420" i="9"/>
  <c r="AY421" i="9"/>
  <c r="AY419" i="9"/>
  <c r="AY413" i="9"/>
  <c r="AY388" i="9"/>
  <c r="AY412" i="9"/>
  <c r="AZ615" i="9"/>
  <c r="AJ109" i="53"/>
  <c r="AZ87" i="9"/>
  <c r="AF360" i="53"/>
  <c r="AV603" i="9"/>
  <c r="AV75" i="9"/>
  <c r="AY76" i="9"/>
  <c r="AI335" i="53"/>
  <c r="AY384" i="9"/>
  <c r="AY383" i="9"/>
  <c r="AY385" i="9"/>
  <c r="AY377" i="9"/>
  <c r="AY75" i="9"/>
  <c r="AI334" i="53"/>
  <c r="Z24" i="25"/>
  <c r="I24" i="25" s="1"/>
  <c r="AR340" i="9"/>
  <c r="AT340" i="9" s="1"/>
  <c r="AY349" i="9"/>
  <c r="AY347" i="9"/>
  <c r="AY348" i="9"/>
  <c r="AI319" i="53"/>
  <c r="AY63" i="9"/>
  <c r="AY592" i="9"/>
  <c r="AH79" i="53"/>
  <c r="AT64" i="9"/>
  <c r="AT110" i="9"/>
  <c r="AR306" i="9"/>
  <c r="AT306" i="9" s="1"/>
  <c r="AH9" i="25"/>
  <c r="AY311" i="9"/>
  <c r="AY313" i="9"/>
  <c r="AY305" i="9"/>
  <c r="AY312" i="9"/>
  <c r="S92" i="25"/>
  <c r="AF315" i="53"/>
  <c r="AY277" i="9"/>
  <c r="AY276" i="9"/>
  <c r="AY275" i="9"/>
  <c r="AU204" i="9"/>
  <c r="AY239" i="9"/>
  <c r="AY241" i="9"/>
  <c r="AY240" i="9"/>
  <c r="AY232" i="9"/>
  <c r="AR235" i="9"/>
  <c r="AT235" i="9" s="1"/>
  <c r="AI267" i="53"/>
  <c r="AW3" i="9"/>
  <c r="AY16" i="9"/>
  <c r="AH4" i="53"/>
  <c r="AY203" i="9"/>
  <c r="AY205" i="9"/>
  <c r="AY198" i="9"/>
  <c r="AY204" i="9"/>
  <c r="AY531" i="9"/>
  <c r="AY15" i="9"/>
  <c r="AI244" i="53"/>
  <c r="T24" i="56"/>
  <c r="AU205" i="9"/>
  <c r="AY160" i="9"/>
  <c r="AY162" i="9"/>
  <c r="AY167" i="9"/>
  <c r="AY168" i="9"/>
  <c r="AY163" i="9"/>
  <c r="AY169" i="9"/>
  <c r="AZ28" i="9"/>
  <c r="AV28" i="9"/>
  <c r="AZ27" i="9"/>
  <c r="AW51" i="9"/>
  <c r="DE45" i="56"/>
  <c r="AT466" i="9"/>
  <c r="AT429" i="9"/>
  <c r="AT50" i="9"/>
  <c r="AF358" i="53"/>
  <c r="AF311" i="53"/>
  <c r="AY318" i="9"/>
  <c r="AF312" i="53"/>
  <c r="AR319" i="9"/>
  <c r="AT319" i="9" s="1"/>
  <c r="AF327" i="53"/>
  <c r="AY427" i="9"/>
  <c r="AI372" i="53"/>
  <c r="AR391" i="9"/>
  <c r="AT391" i="9" s="1"/>
  <c r="AF357" i="53"/>
  <c r="AY354" i="9"/>
  <c r="AY172" i="9"/>
  <c r="AI264" i="53"/>
  <c r="AI414" i="53"/>
  <c r="AI459" i="53"/>
  <c r="AI309" i="53"/>
  <c r="AI384" i="53"/>
  <c r="AI429" i="53"/>
  <c r="AI444" i="53"/>
  <c r="AI474" i="53"/>
  <c r="AI279" i="53"/>
  <c r="AI399" i="53"/>
  <c r="AI354" i="53"/>
  <c r="AI369" i="53"/>
  <c r="AI294" i="53"/>
  <c r="AI339" i="53"/>
  <c r="AZ653" i="9"/>
  <c r="AR393" i="9"/>
  <c r="AT393" i="9" s="1"/>
  <c r="AW651" i="9"/>
  <c r="AF359" i="53"/>
  <c r="AW641" i="9"/>
  <c r="AW617" i="9"/>
  <c r="AV314" i="9"/>
  <c r="BA579" i="9"/>
  <c r="AZ581" i="9"/>
  <c r="AW580" i="9"/>
  <c r="AW568" i="9"/>
  <c r="AT392" i="9"/>
  <c r="AT122" i="9"/>
  <c r="AY480" i="9"/>
  <c r="AY465" i="9"/>
  <c r="AR358" i="9"/>
  <c r="AT358" i="9" s="1"/>
  <c r="AR74" i="9"/>
  <c r="AT74" i="9" s="1"/>
  <c r="AT430" i="9"/>
  <c r="AY264" i="9"/>
  <c r="AY249" i="9"/>
  <c r="AT394" i="9"/>
  <c r="AT286" i="9"/>
  <c r="AW531" i="9"/>
  <c r="AY394" i="9"/>
  <c r="AY86" i="9"/>
  <c r="AY300" i="9"/>
  <c r="AY285" i="9"/>
  <c r="AY408" i="9"/>
  <c r="AY393" i="9"/>
  <c r="AY141" i="9"/>
  <c r="AT86" i="9"/>
  <c r="AR317" i="9"/>
  <c r="AT317" i="9" s="1"/>
  <c r="AF325" i="53"/>
  <c r="K58" i="53" s="1"/>
  <c r="AB24" i="25"/>
  <c r="K24" i="25" s="1"/>
  <c r="S38" i="50"/>
  <c r="AF298" i="53"/>
  <c r="AR248" i="9"/>
  <c r="AT248" i="9" s="1"/>
  <c r="AY444" i="9"/>
  <c r="AY429" i="9"/>
  <c r="AT38" i="9"/>
  <c r="AY110" i="9"/>
  <c r="AY466" i="9"/>
  <c r="AY407" i="9"/>
  <c r="AY392" i="9"/>
  <c r="AY299" i="9"/>
  <c r="AY284" i="9"/>
  <c r="AY336" i="9"/>
  <c r="AY321" i="9"/>
  <c r="AY501" i="9"/>
  <c r="AI249" i="53"/>
  <c r="AT502" i="9"/>
  <c r="AY26" i="9"/>
  <c r="AY214" i="9"/>
  <c r="AY50" i="9"/>
  <c r="AY286" i="9"/>
  <c r="AR316" i="9"/>
  <c r="AT316" i="9" s="1"/>
  <c r="AF324" i="53"/>
  <c r="I58" i="53" s="1"/>
  <c r="AY340" i="9"/>
  <c r="AF297" i="53"/>
  <c r="AR247" i="9"/>
  <c r="AT247" i="9" s="1"/>
  <c r="AT250" i="9"/>
  <c r="AY98" i="9"/>
  <c r="AY430" i="9"/>
  <c r="AY2" i="9"/>
  <c r="AY142" i="9"/>
  <c r="AR62" i="9"/>
  <c r="AT62" i="9" s="1"/>
  <c r="AR322" i="9"/>
  <c r="AT322" i="9" s="1"/>
  <c r="AF330" i="53"/>
  <c r="AR357" i="9"/>
  <c r="AT357" i="9" s="1"/>
  <c r="AT98" i="9"/>
  <c r="AY122" i="9"/>
  <c r="AY502" i="9"/>
  <c r="AR320" i="9"/>
  <c r="AT320" i="9" s="1"/>
  <c r="AY213" i="9"/>
  <c r="AR178" i="9"/>
  <c r="AT178" i="9" s="1"/>
  <c r="AR14" i="9"/>
  <c r="AT14" i="9" s="1"/>
  <c r="S40" i="50"/>
  <c r="AY250" i="9"/>
  <c r="AY38" i="9"/>
  <c r="DE44" i="56"/>
  <c r="AV350" i="9"/>
  <c r="AW99" i="9"/>
  <c r="AH364" i="53"/>
  <c r="DA62" i="56"/>
  <c r="AV171" i="9"/>
  <c r="AV494" i="9"/>
  <c r="AV423" i="9"/>
  <c r="AV134" i="9"/>
  <c r="AZ206" i="9"/>
  <c r="AV278" i="9"/>
  <c r="AV386" i="9"/>
  <c r="AV242" i="9"/>
  <c r="AZ290" i="9"/>
  <c r="AZ184" i="9"/>
  <c r="AZ364" i="9"/>
  <c r="AZ147" i="9"/>
  <c r="AZ146" i="9"/>
  <c r="AZ219" i="9"/>
  <c r="AZ435" i="9"/>
  <c r="AV290" i="9"/>
  <c r="AV184" i="9"/>
  <c r="AV399" i="9"/>
  <c r="AV398" i="9"/>
  <c r="AZ327" i="9"/>
  <c r="AH409" i="53"/>
  <c r="AV147" i="9"/>
  <c r="AV542" i="9"/>
  <c r="AV328" i="9"/>
  <c r="AV436" i="9"/>
  <c r="AZ255" i="9"/>
  <c r="AZ182" i="9"/>
  <c r="AW290" i="9"/>
  <c r="AW254" i="9"/>
  <c r="AW470" i="9"/>
  <c r="AV185" i="9"/>
  <c r="AV509" i="9"/>
  <c r="BA182" i="9"/>
  <c r="AW435" i="9"/>
  <c r="AV473" i="9"/>
  <c r="AV257" i="9"/>
  <c r="BA470" i="9"/>
  <c r="AZ185" i="9"/>
  <c r="AZ509" i="9"/>
  <c r="AW398" i="9"/>
  <c r="BA434" i="9"/>
  <c r="AZ256" i="9"/>
  <c r="AW183" i="9"/>
  <c r="BA254" i="9"/>
  <c r="BA506" i="9"/>
  <c r="AW507" i="9"/>
  <c r="AV7" i="9"/>
  <c r="T91" i="50" l="1"/>
  <c r="T94" i="50"/>
  <c r="X54" i="56"/>
  <c r="C146" i="53"/>
  <c r="AI470" i="53"/>
  <c r="AY559" i="9"/>
  <c r="AI462" i="53"/>
  <c r="AI477" i="53"/>
  <c r="AI432" i="53"/>
  <c r="AI447" i="53"/>
  <c r="AI455" i="53"/>
  <c r="T31" i="50"/>
  <c r="AI440" i="53"/>
  <c r="T92" i="50"/>
  <c r="AI425" i="53"/>
  <c r="AI187" i="53"/>
  <c r="AT65" i="9"/>
  <c r="EH10" i="56"/>
  <c r="DF46" i="56"/>
  <c r="AF404" i="53"/>
  <c r="DV65" i="56"/>
  <c r="C58" i="53"/>
  <c r="I134" i="53" s="1"/>
  <c r="V63" i="56"/>
  <c r="DU63" i="56"/>
  <c r="AX4" i="9"/>
  <c r="U60" i="56"/>
  <c r="BC15" i="56"/>
  <c r="DB15" i="56" s="1"/>
  <c r="U57" i="56"/>
  <c r="AZ3" i="9"/>
  <c r="AR202" i="9"/>
  <c r="AR22" i="9"/>
  <c r="AT22" i="9" s="1"/>
  <c r="AR201" i="9"/>
  <c r="AR21" i="9"/>
  <c r="AT21" i="9" s="1"/>
  <c r="AF24" i="25"/>
  <c r="O24" i="25" s="1"/>
  <c r="AR20" i="9"/>
  <c r="AT20" i="9" s="1"/>
  <c r="AF267" i="53"/>
  <c r="M58" i="53" s="1"/>
  <c r="M59" i="53" s="1"/>
  <c r="AR19" i="9"/>
  <c r="AT19" i="9" s="1"/>
  <c r="CN31" i="56"/>
  <c r="CO31" i="56" s="1"/>
  <c r="EC14" i="56"/>
  <c r="EC60" i="56" s="1"/>
  <c r="EC70" i="56" s="1"/>
  <c r="AD24" i="25"/>
  <c r="M24" i="25" s="1"/>
  <c r="EG35" i="56"/>
  <c r="EG58" i="56" s="1"/>
  <c r="AI290" i="53"/>
  <c r="AF341" i="53"/>
  <c r="L58" i="53" s="1"/>
  <c r="I169" i="53" s="1"/>
  <c r="V58" i="56"/>
  <c r="BB63" i="56"/>
  <c r="AH94" i="53"/>
  <c r="DU58" i="56"/>
  <c r="AF328" i="53"/>
  <c r="AR308" i="9"/>
  <c r="AT308" i="9" s="1"/>
  <c r="BB60" i="56"/>
  <c r="D58" i="53"/>
  <c r="D59" i="53" s="1"/>
  <c r="AY41" i="9"/>
  <c r="AT344" i="9"/>
  <c r="AR273" i="9"/>
  <c r="AY415" i="9"/>
  <c r="AR309" i="9"/>
  <c r="AY52" i="9"/>
  <c r="BB65" i="56"/>
  <c r="AV99" i="9"/>
  <c r="EF13" i="56"/>
  <c r="EF59" i="56" s="1"/>
  <c r="AC24" i="25"/>
  <c r="L24" i="25" s="1"/>
  <c r="AT417" i="9"/>
  <c r="ED9" i="56"/>
  <c r="ED55" i="56" s="1"/>
  <c r="AI97" i="53"/>
  <c r="AR163" i="9"/>
  <c r="AT163" i="9" s="1"/>
  <c r="AH169" i="53"/>
  <c r="BB47" i="56"/>
  <c r="AX266" i="9"/>
  <c r="DV60" i="56"/>
  <c r="BC33" i="56"/>
  <c r="DB33" i="56" s="1"/>
  <c r="DF44" i="56"/>
  <c r="DT65" i="56"/>
  <c r="DT60" i="56"/>
  <c r="DF45" i="56"/>
  <c r="AX137" i="9"/>
  <c r="V65" i="56"/>
  <c r="EF35" i="56"/>
  <c r="AG35" i="56" s="1"/>
  <c r="AF73" i="53"/>
  <c r="CK37" i="56"/>
  <c r="AX52" i="9"/>
  <c r="DA15" i="56"/>
  <c r="BB61" i="56"/>
  <c r="AG31" i="56"/>
  <c r="EF54" i="56"/>
  <c r="AG65" i="56"/>
  <c r="AX453" i="9"/>
  <c r="AJ304" i="53"/>
  <c r="CL11" i="56"/>
  <c r="BD11" i="56" s="1"/>
  <c r="DA42" i="56"/>
  <c r="AJ229" i="53" s="1"/>
  <c r="AV111" i="9"/>
  <c r="DU55" i="56"/>
  <c r="V32" i="56"/>
  <c r="DA33" i="56"/>
  <c r="AJ34" i="53" s="1"/>
  <c r="AH34" i="53"/>
  <c r="DT47" i="56"/>
  <c r="T29" i="50"/>
  <c r="AX112" i="9"/>
  <c r="CK42" i="56"/>
  <c r="DA37" i="56"/>
  <c r="AJ94" i="53" s="1"/>
  <c r="AV51" i="9"/>
  <c r="BC18" i="56"/>
  <c r="AG10" i="56"/>
  <c r="EF56" i="56"/>
  <c r="DT63" i="56"/>
  <c r="U17" i="56"/>
  <c r="AG18" i="56"/>
  <c r="EF64" i="56"/>
  <c r="AF268" i="53"/>
  <c r="AR164" i="9"/>
  <c r="EF9" i="56"/>
  <c r="AG9" i="56" s="1"/>
  <c r="EF14" i="56"/>
  <c r="AF343" i="53"/>
  <c r="AG16" i="56"/>
  <c r="EF62" i="56"/>
  <c r="AR346" i="9"/>
  <c r="AT346" i="9" s="1"/>
  <c r="EH16" i="56"/>
  <c r="EH62" i="56" s="1"/>
  <c r="AR345" i="9"/>
  <c r="CN15" i="56"/>
  <c r="CO15" i="56" s="1"/>
  <c r="CP15" i="56" s="1"/>
  <c r="CR15" i="56" s="1"/>
  <c r="BD15" i="56"/>
  <c r="AY451" i="9"/>
  <c r="AR165" i="9"/>
  <c r="AR166" i="9"/>
  <c r="AX158" i="9"/>
  <c r="CN40" i="56"/>
  <c r="CO40" i="56" s="1"/>
  <c r="AX101" i="9"/>
  <c r="AI245" i="53"/>
  <c r="BJ44" i="56"/>
  <c r="BK44" i="56" s="1"/>
  <c r="AO200" i="9"/>
  <c r="AT200" i="9" s="1"/>
  <c r="AO164" i="9"/>
  <c r="AT164" i="9" s="1"/>
  <c r="AB54" i="56"/>
  <c r="AY125" i="9"/>
  <c r="CK19" i="56"/>
  <c r="BC19" i="56" s="1"/>
  <c r="DB19" i="56" s="1"/>
  <c r="AY112" i="9"/>
  <c r="AY4" i="9"/>
  <c r="AX410" i="9"/>
  <c r="AY40" i="9"/>
  <c r="AF194" i="53"/>
  <c r="AO129" i="9"/>
  <c r="AT129" i="9" s="1"/>
  <c r="AX41" i="9"/>
  <c r="AF90" i="53"/>
  <c r="AO130" i="9"/>
  <c r="AT130" i="9" s="1"/>
  <c r="BJ45" i="56"/>
  <c r="BK45" i="56" s="1"/>
  <c r="CL43" i="56"/>
  <c r="T30" i="50"/>
  <c r="AI67" i="53"/>
  <c r="U54" i="56"/>
  <c r="AI52" i="53"/>
  <c r="AI127" i="53"/>
  <c r="AI172" i="53"/>
  <c r="BC9" i="56"/>
  <c r="DB9" i="56" s="1"/>
  <c r="CT46" i="56"/>
  <c r="BK46" i="56"/>
  <c r="AF135" i="53"/>
  <c r="AF119" i="53"/>
  <c r="AF164" i="53"/>
  <c r="AF209" i="53"/>
  <c r="AF224" i="53"/>
  <c r="AF239" i="53"/>
  <c r="AF149" i="53"/>
  <c r="AF134" i="53"/>
  <c r="AF74" i="53"/>
  <c r="AF89" i="53"/>
  <c r="DB20" i="56"/>
  <c r="BD20" i="56"/>
  <c r="CK32" i="56"/>
  <c r="AI230" i="53"/>
  <c r="AI215" i="53"/>
  <c r="AI200" i="53"/>
  <c r="AI155" i="53"/>
  <c r="AI140" i="53"/>
  <c r="AI185" i="53"/>
  <c r="AI35" i="53"/>
  <c r="AI95" i="53"/>
  <c r="AI50" i="53"/>
  <c r="AI110" i="53"/>
  <c r="AI5" i="53"/>
  <c r="AI80" i="53"/>
  <c r="AI65" i="53"/>
  <c r="AI170" i="53"/>
  <c r="AI22" i="53"/>
  <c r="AI217" i="53"/>
  <c r="AI232" i="53"/>
  <c r="AI202" i="53"/>
  <c r="AI142" i="53"/>
  <c r="CT44" i="56"/>
  <c r="BD23" i="56"/>
  <c r="AF225" i="53"/>
  <c r="AF120" i="53"/>
  <c r="AF165" i="53"/>
  <c r="AF240" i="53"/>
  <c r="AF210" i="53"/>
  <c r="AF195" i="53"/>
  <c r="AF179" i="53"/>
  <c r="AF180" i="53"/>
  <c r="AI112" i="53"/>
  <c r="AJ139" i="53"/>
  <c r="AJ64" i="53"/>
  <c r="AJ154" i="53"/>
  <c r="AJ49" i="53"/>
  <c r="AJ214" i="53"/>
  <c r="AJ184" i="53"/>
  <c r="CT45" i="56"/>
  <c r="CV45" i="56" s="1"/>
  <c r="CW45" i="56" s="1"/>
  <c r="CX45" i="56" s="1"/>
  <c r="AI7" i="53"/>
  <c r="AI291" i="53"/>
  <c r="DU57" i="56"/>
  <c r="CL13" i="56"/>
  <c r="CN13" i="56" s="1"/>
  <c r="CO13" i="56" s="1"/>
  <c r="CP13" i="56" s="1"/>
  <c r="EH35" i="56"/>
  <c r="EH58" i="56" s="1"/>
  <c r="T93" i="50"/>
  <c r="DA10" i="56"/>
  <c r="BB56" i="56"/>
  <c r="CK12" i="56"/>
  <c r="AI305" i="53"/>
  <c r="U58" i="56"/>
  <c r="S102" i="50"/>
  <c r="AF75" i="53"/>
  <c r="X33" i="56"/>
  <c r="AX230" i="9" s="1"/>
  <c r="DV47" i="56"/>
  <c r="AX194" i="9"/>
  <c r="U47" i="56"/>
  <c r="AX16" i="9"/>
  <c r="X11" i="56"/>
  <c r="DV57" i="56"/>
  <c r="E58" i="53"/>
  <c r="I144" i="53" s="1"/>
  <c r="X17" i="56"/>
  <c r="DV63" i="56"/>
  <c r="X9" i="56"/>
  <c r="AY158" i="9" s="1"/>
  <c r="DV55" i="56"/>
  <c r="CN36" i="56"/>
  <c r="CO36" i="56" s="1"/>
  <c r="CP36" i="56" s="1"/>
  <c r="CN41" i="56"/>
  <c r="CO41" i="56" s="1"/>
  <c r="CP41" i="56" s="1"/>
  <c r="CR41" i="56" s="1"/>
  <c r="CS41" i="56" s="1"/>
  <c r="CT41" i="56" s="1"/>
  <c r="AI20" i="53"/>
  <c r="U55" i="56"/>
  <c r="CP35" i="56"/>
  <c r="CR35" i="56" s="1"/>
  <c r="CS35" i="56" s="1"/>
  <c r="CT35" i="56" s="1"/>
  <c r="CS20" i="56"/>
  <c r="CR18" i="56"/>
  <c r="CR16" i="56"/>
  <c r="CR39" i="56"/>
  <c r="BF16" i="56"/>
  <c r="BG16" i="56" s="1"/>
  <c r="AY136" i="9"/>
  <c r="BD33" i="56"/>
  <c r="AY417" i="9"/>
  <c r="AG57" i="56"/>
  <c r="BC8" i="56"/>
  <c r="DB8" i="56" s="1"/>
  <c r="CL8" i="56"/>
  <c r="CN8" i="56" s="1"/>
  <c r="CO8" i="56" s="1"/>
  <c r="CP8" i="56" s="1"/>
  <c r="BD34" i="56"/>
  <c r="BD35" i="56"/>
  <c r="BD31" i="56"/>
  <c r="DC31" i="56" s="1"/>
  <c r="BF38" i="56"/>
  <c r="BD40" i="56"/>
  <c r="AV89" i="9" s="1"/>
  <c r="BC39" i="56"/>
  <c r="DB39" i="56" s="1"/>
  <c r="BD14" i="56"/>
  <c r="AY380" i="9"/>
  <c r="AY161" i="9"/>
  <c r="AV149" i="9"/>
  <c r="AI410" i="53"/>
  <c r="U65" i="56"/>
  <c r="V10" i="56"/>
  <c r="V24" i="56" s="1"/>
  <c r="DU56" i="56"/>
  <c r="DT56" i="56"/>
  <c r="U10" i="56"/>
  <c r="AR453" i="9"/>
  <c r="AT453" i="9" s="1"/>
  <c r="AR274" i="9"/>
  <c r="ED57" i="56"/>
  <c r="V64" i="56"/>
  <c r="V59" i="56"/>
  <c r="BD36" i="56"/>
  <c r="U59" i="56"/>
  <c r="BC13" i="56"/>
  <c r="DB13" i="56" s="1"/>
  <c r="AT454" i="9"/>
  <c r="AY343" i="9"/>
  <c r="BB59" i="56"/>
  <c r="AF12" i="56"/>
  <c r="AF58" i="56" s="1"/>
  <c r="AI299" i="53"/>
  <c r="AG12" i="56"/>
  <c r="AY201" i="9" s="1"/>
  <c r="EF57" i="56"/>
  <c r="AB13" i="56"/>
  <c r="AY269" i="9" s="1"/>
  <c r="AF15" i="56"/>
  <c r="AF61" i="56" s="1"/>
  <c r="AI320" i="53"/>
  <c r="AF13" i="56"/>
  <c r="AF59" i="56" s="1"/>
  <c r="AY64" i="9"/>
  <c r="AF15" i="53"/>
  <c r="AF30" i="53"/>
  <c r="AO166" i="9"/>
  <c r="AT166" i="9" s="1"/>
  <c r="AF16" i="56"/>
  <c r="AC13" i="56"/>
  <c r="AF405" i="53"/>
  <c r="EH59" i="56"/>
  <c r="EG14" i="56"/>
  <c r="AH14" i="56" s="1"/>
  <c r="AY382" i="9" s="1"/>
  <c r="EG9" i="56"/>
  <c r="AH9" i="56" s="1"/>
  <c r="EH11" i="56"/>
  <c r="EG16" i="56"/>
  <c r="EH9" i="56"/>
  <c r="EH14" i="56"/>
  <c r="DG44" i="56"/>
  <c r="AX518" i="9"/>
  <c r="AT310" i="9"/>
  <c r="AO202" i="9"/>
  <c r="AR526" i="9"/>
  <c r="AT526" i="9" s="1"/>
  <c r="AH63" i="56"/>
  <c r="AI157" i="53"/>
  <c r="AI156" i="53"/>
  <c r="AX125" i="9"/>
  <c r="AY197" i="9"/>
  <c r="AR237" i="9"/>
  <c r="AT237" i="9" s="1"/>
  <c r="AX417" i="9"/>
  <c r="AG61" i="56"/>
  <c r="AH32" i="56"/>
  <c r="AX22" i="9" s="1"/>
  <c r="EF61" i="56"/>
  <c r="AH18" i="56"/>
  <c r="AH64" i="56" s="1"/>
  <c r="EG64" i="56"/>
  <c r="AH15" i="56"/>
  <c r="AH61" i="56" s="1"/>
  <c r="EG61" i="56"/>
  <c r="AH42" i="56"/>
  <c r="EG65" i="56"/>
  <c r="AH43" i="56"/>
  <c r="EG66" i="56"/>
  <c r="EG63" i="56"/>
  <c r="AH36" i="56"/>
  <c r="AZ51" i="9"/>
  <c r="AG24" i="25"/>
  <c r="P24" i="25" s="1"/>
  <c r="AT309" i="9"/>
  <c r="AR381" i="9"/>
  <c r="AI250" i="53"/>
  <c r="AF344" i="53"/>
  <c r="AF105" i="53"/>
  <c r="EH34" i="56"/>
  <c r="EH31" i="56"/>
  <c r="EH54" i="56" s="1"/>
  <c r="AO238" i="9"/>
  <c r="AF45" i="53"/>
  <c r="AI417" i="53"/>
  <c r="AD65" i="56"/>
  <c r="AF269" i="53"/>
  <c r="EH33" i="56"/>
  <c r="AX338" i="9"/>
  <c r="AI82" i="53"/>
  <c r="AI81" i="53"/>
  <c r="AX65" i="9"/>
  <c r="AD12" i="56"/>
  <c r="AY199" i="9" s="1"/>
  <c r="EH32" i="56"/>
  <c r="AI246" i="53"/>
  <c r="AY17" i="9"/>
  <c r="EH18" i="56"/>
  <c r="EH64" i="56" s="1"/>
  <c r="AO274" i="9"/>
  <c r="AT345" i="9"/>
  <c r="AY525" i="9"/>
  <c r="EG13" i="56"/>
  <c r="EG59" i="56" s="1"/>
  <c r="AF329" i="53"/>
  <c r="EH17" i="56"/>
  <c r="EH63" i="56" s="1"/>
  <c r="AR490" i="9"/>
  <c r="AT490" i="9" s="1"/>
  <c r="AY490" i="9"/>
  <c r="AF390" i="53"/>
  <c r="AH24" i="41"/>
  <c r="Q24" i="41" s="1"/>
  <c r="AF60" i="53"/>
  <c r="EH37" i="56"/>
  <c r="EG31" i="56"/>
  <c r="AO201" i="9"/>
  <c r="AT201" i="9" s="1"/>
  <c r="AF14" i="53"/>
  <c r="AG24" i="41"/>
  <c r="P24" i="41" s="1"/>
  <c r="AO236" i="9"/>
  <c r="AT236" i="9" s="1"/>
  <c r="EF32" i="56"/>
  <c r="EF55" i="56" s="1"/>
  <c r="AF28" i="53"/>
  <c r="AF24" i="41"/>
  <c r="O24" i="41" s="1"/>
  <c r="AO382" i="9"/>
  <c r="EG33" i="56"/>
  <c r="AO165" i="9"/>
  <c r="AF44" i="53"/>
  <c r="AO381" i="9"/>
  <c r="EG37" i="56"/>
  <c r="AF104" i="53"/>
  <c r="EG34" i="56"/>
  <c r="AO273" i="9"/>
  <c r="AT273" i="9" s="1"/>
  <c r="AF59" i="53"/>
  <c r="BA627" i="9"/>
  <c r="AI389" i="53"/>
  <c r="AI341" i="53"/>
  <c r="AR238" i="9"/>
  <c r="AR382" i="9"/>
  <c r="AI359" i="53"/>
  <c r="AF345" i="53"/>
  <c r="C49" i="53"/>
  <c r="C50" i="53" s="1"/>
  <c r="I159" i="53"/>
  <c r="I59" i="53"/>
  <c r="T58" i="53"/>
  <c r="N56" i="53"/>
  <c r="G59" i="53"/>
  <c r="J59" i="53"/>
  <c r="J56" i="53"/>
  <c r="F59" i="53"/>
  <c r="N59" i="53"/>
  <c r="I164" i="53"/>
  <c r="K59" i="53"/>
  <c r="C59" i="53"/>
  <c r="F56" i="53"/>
  <c r="H59" i="53"/>
  <c r="AV543" i="9"/>
  <c r="AZ652" i="9"/>
  <c r="AW111" i="9"/>
  <c r="DA63" i="56"/>
  <c r="AH379" i="53"/>
  <c r="AZ459" i="9"/>
  <c r="AZ629" i="9"/>
  <c r="AF270" i="53"/>
  <c r="AH24" i="25"/>
  <c r="Q24" i="25" s="1"/>
  <c r="AZ616" i="9"/>
  <c r="AZ88" i="9"/>
  <c r="DC38" i="56"/>
  <c r="AY381" i="9"/>
  <c r="AZ604" i="9"/>
  <c r="AZ603" i="9"/>
  <c r="AZ75" i="9"/>
  <c r="AZ63" i="9"/>
  <c r="AJ79" i="53"/>
  <c r="AV279" i="9"/>
  <c r="AY306" i="9"/>
  <c r="DA55" i="56"/>
  <c r="AH259" i="53"/>
  <c r="AV170" i="9"/>
  <c r="AJ4" i="53"/>
  <c r="AZ532" i="9"/>
  <c r="AH274" i="53"/>
  <c r="BA568" i="9"/>
  <c r="AY319" i="9"/>
  <c r="AI327" i="53"/>
  <c r="AY391" i="9"/>
  <c r="AI357" i="53"/>
  <c r="AY283" i="9"/>
  <c r="AI300" i="53"/>
  <c r="AI315" i="53"/>
  <c r="AI390" i="53"/>
  <c r="AI255" i="53"/>
  <c r="AI435" i="53"/>
  <c r="AI465" i="53"/>
  <c r="AI420" i="53"/>
  <c r="AI450" i="53"/>
  <c r="AI480" i="53"/>
  <c r="AI285" i="53"/>
  <c r="BA651" i="9"/>
  <c r="BA652" i="9"/>
  <c r="AW652" i="9"/>
  <c r="BA641" i="9"/>
  <c r="AW628" i="9"/>
  <c r="BA617" i="9"/>
  <c r="AW603" i="9"/>
  <c r="AV315" i="9"/>
  <c r="BA580" i="9"/>
  <c r="AW569" i="9"/>
  <c r="AY335" i="9"/>
  <c r="AY320" i="9"/>
  <c r="AY358" i="9"/>
  <c r="AY74" i="9"/>
  <c r="AY178" i="9"/>
  <c r="AY248" i="9"/>
  <c r="AY62" i="9"/>
  <c r="AY322" i="9"/>
  <c r="AY247" i="9"/>
  <c r="AI297" i="53"/>
  <c r="AY316" i="9"/>
  <c r="AI324" i="53"/>
  <c r="I49" i="53" s="1"/>
  <c r="I50" i="53" s="1"/>
  <c r="Z24" i="56"/>
  <c r="AY317" i="9"/>
  <c r="AY372" i="9"/>
  <c r="AY357" i="9"/>
  <c r="AJ364" i="53"/>
  <c r="BA99" i="9"/>
  <c r="AH365" i="53"/>
  <c r="AZ135" i="9"/>
  <c r="AV135" i="9"/>
  <c r="AZ243" i="9"/>
  <c r="AW206" i="9"/>
  <c r="AV364" i="9"/>
  <c r="AW326" i="9"/>
  <c r="AW458" i="9"/>
  <c r="AZ242" i="9"/>
  <c r="AW278" i="9"/>
  <c r="AZ494" i="9"/>
  <c r="AW386" i="9"/>
  <c r="AV243" i="9"/>
  <c r="AZ363" i="9"/>
  <c r="AV495" i="9"/>
  <c r="DG46" i="56"/>
  <c r="AV291" i="9"/>
  <c r="AZ183" i="9"/>
  <c r="AW218" i="9"/>
  <c r="AZ291" i="9"/>
  <c r="AZ436" i="9"/>
  <c r="AZ220" i="9"/>
  <c r="AZ399" i="9"/>
  <c r="AV292" i="9"/>
  <c r="AZ542" i="9"/>
  <c r="AZ148" i="9"/>
  <c r="AJ409" i="53"/>
  <c r="AZ398" i="9"/>
  <c r="AZ328" i="9"/>
  <c r="BA218" i="9"/>
  <c r="AW542" i="9"/>
  <c r="AV437" i="9"/>
  <c r="AV329" i="9"/>
  <c r="AV148" i="9"/>
  <c r="AZ366" i="9"/>
  <c r="AV258" i="9"/>
  <c r="AW436" i="9"/>
  <c r="AZ510" i="9"/>
  <c r="AZ186" i="9"/>
  <c r="AW471" i="9"/>
  <c r="AW255" i="9"/>
  <c r="BA435" i="9"/>
  <c r="AW291" i="9"/>
  <c r="AV474" i="9"/>
  <c r="AW508" i="9"/>
  <c r="BA184" i="9"/>
  <c r="BA398" i="9"/>
  <c r="BA290" i="9"/>
  <c r="AV510" i="9"/>
  <c r="BA183" i="9"/>
  <c r="AV186" i="9"/>
  <c r="AZ257" i="9"/>
  <c r="BA436" i="9"/>
  <c r="BA471" i="9"/>
  <c r="BA255" i="9"/>
  <c r="BA508" i="9"/>
  <c r="AW399" i="9"/>
  <c r="BA291" i="9"/>
  <c r="BA507" i="9"/>
  <c r="AW184" i="9"/>
  <c r="AZ473" i="9"/>
  <c r="AV8" i="9"/>
  <c r="AW7" i="9"/>
  <c r="AZ367" i="9"/>
  <c r="EH56" i="56" l="1"/>
  <c r="AT202" i="9"/>
  <c r="AJ199" i="53"/>
  <c r="AT165" i="9"/>
  <c r="AY21" i="9"/>
  <c r="AI434" i="53"/>
  <c r="AI254" i="53"/>
  <c r="AI464" i="53"/>
  <c r="AI479" i="53"/>
  <c r="AI449" i="53"/>
  <c r="AI419" i="53"/>
  <c r="AI201" i="53"/>
  <c r="AI66" i="53"/>
  <c r="AI216" i="53"/>
  <c r="AI51" i="53"/>
  <c r="AI126" i="53"/>
  <c r="AI111" i="53"/>
  <c r="AI186" i="53"/>
  <c r="AI141" i="53"/>
  <c r="AI231" i="53"/>
  <c r="AI36" i="53"/>
  <c r="AI6" i="53"/>
  <c r="AI96" i="53"/>
  <c r="AI171" i="53"/>
  <c r="AH35" i="56"/>
  <c r="AH58" i="56" s="1"/>
  <c r="AD14" i="56"/>
  <c r="AD60" i="56" s="1"/>
  <c r="AY14" i="9"/>
  <c r="AY202" i="9"/>
  <c r="AY22" i="9"/>
  <c r="V47" i="56"/>
  <c r="AX5" i="9"/>
  <c r="AH260" i="53"/>
  <c r="ED70" i="56"/>
  <c r="I139" i="53"/>
  <c r="AF9" i="56"/>
  <c r="AI268" i="53" s="1"/>
  <c r="AG13" i="56"/>
  <c r="AG59" i="56" s="1"/>
  <c r="AW100" i="9"/>
  <c r="AY237" i="9"/>
  <c r="AY235" i="9"/>
  <c r="AX454" i="9"/>
  <c r="AY272" i="9"/>
  <c r="AJ169" i="53"/>
  <c r="AZ99" i="9"/>
  <c r="AX418" i="9"/>
  <c r="AY234" i="9"/>
  <c r="AY270" i="9"/>
  <c r="CL19" i="56"/>
  <c r="CN19" i="56" s="1"/>
  <c r="CO19" i="56" s="1"/>
  <c r="CP19" i="56" s="1"/>
  <c r="CR19" i="56" s="1"/>
  <c r="CN11" i="56"/>
  <c r="CO11" i="56" s="1"/>
  <c r="CP11" i="56" s="1"/>
  <c r="CR11" i="56" s="1"/>
  <c r="CL32" i="56"/>
  <c r="CN32" i="56" s="1"/>
  <c r="CO32" i="56" s="1"/>
  <c r="CP32" i="56" s="1"/>
  <c r="CR32" i="56" s="1"/>
  <c r="CS32" i="56" s="1"/>
  <c r="DU70" i="56"/>
  <c r="BL45" i="56"/>
  <c r="BN45" i="56" s="1"/>
  <c r="DA47" i="56"/>
  <c r="O58" i="53"/>
  <c r="O59" i="53" s="1"/>
  <c r="DA56" i="56"/>
  <c r="DT70" i="56"/>
  <c r="EF58" i="56"/>
  <c r="AZ111" i="9"/>
  <c r="DA65" i="56"/>
  <c r="AX17" i="9"/>
  <c r="V55" i="56"/>
  <c r="AI21" i="53"/>
  <c r="CL42" i="56"/>
  <c r="BC42" i="56"/>
  <c r="AH215" i="53" s="1"/>
  <c r="AX129" i="9"/>
  <c r="AG54" i="56"/>
  <c r="CL37" i="56"/>
  <c r="BC37" i="56"/>
  <c r="AV64" i="9" s="1"/>
  <c r="AG14" i="56"/>
  <c r="EF60" i="56"/>
  <c r="AI269" i="53"/>
  <c r="AY165" i="9"/>
  <c r="AG64" i="56"/>
  <c r="AI404" i="53"/>
  <c r="AG56" i="56"/>
  <c r="AI284" i="53"/>
  <c r="AG62" i="56"/>
  <c r="AI374" i="53"/>
  <c r="CK17" i="56"/>
  <c r="U63" i="56"/>
  <c r="AI380" i="53"/>
  <c r="AY88" i="9"/>
  <c r="DB18" i="56"/>
  <c r="BA100" i="9" s="1"/>
  <c r="BD18" i="56"/>
  <c r="BF18" i="56" s="1"/>
  <c r="AV76" i="9"/>
  <c r="AY310" i="9"/>
  <c r="CN43" i="56"/>
  <c r="BD43" i="56"/>
  <c r="DC43" i="56" s="1"/>
  <c r="AI343" i="53"/>
  <c r="AY164" i="9"/>
  <c r="CK47" i="56"/>
  <c r="BC32" i="56"/>
  <c r="AH5" i="53" s="1"/>
  <c r="AY166" i="9"/>
  <c r="AB59" i="56"/>
  <c r="AB70" i="56" s="1"/>
  <c r="AY233" i="9"/>
  <c r="AY379" i="9"/>
  <c r="AY271" i="9"/>
  <c r="AY482" i="9"/>
  <c r="AY374" i="9"/>
  <c r="AI225" i="53"/>
  <c r="AI210" i="53"/>
  <c r="AI240" i="53"/>
  <c r="AI120" i="53"/>
  <c r="AI165" i="53"/>
  <c r="CV44" i="56"/>
  <c r="BL44" i="56"/>
  <c r="AI135" i="53"/>
  <c r="AI150" i="53"/>
  <c r="AY194" i="9"/>
  <c r="AI457" i="53"/>
  <c r="AI442" i="53"/>
  <c r="AI472" i="53"/>
  <c r="AI337" i="53"/>
  <c r="AI247" i="53"/>
  <c r="AI322" i="53"/>
  <c r="AI307" i="53"/>
  <c r="AI397" i="53"/>
  <c r="AI412" i="53"/>
  <c r="AI277" i="53"/>
  <c r="AI427" i="53"/>
  <c r="AI352" i="53"/>
  <c r="AI367" i="53"/>
  <c r="AI90" i="53"/>
  <c r="AH185" i="53"/>
  <c r="AH50" i="53"/>
  <c r="AH155" i="53"/>
  <c r="AH80" i="53"/>
  <c r="CV46" i="56"/>
  <c r="BL46" i="56"/>
  <c r="AI478" i="53"/>
  <c r="AI418" i="53"/>
  <c r="AI403" i="53"/>
  <c r="AI433" i="53"/>
  <c r="AI463" i="53"/>
  <c r="AI253" i="53"/>
  <c r="AI448" i="53"/>
  <c r="AI283" i="53"/>
  <c r="AI388" i="53"/>
  <c r="BD9" i="56"/>
  <c r="DC9" i="56" s="1"/>
  <c r="AI37" i="53"/>
  <c r="BB70" i="56"/>
  <c r="DC33" i="56"/>
  <c r="BC12" i="56"/>
  <c r="CL12" i="56"/>
  <c r="X47" i="56"/>
  <c r="X56" i="56"/>
  <c r="CN33" i="56"/>
  <c r="CO33" i="56" s="1"/>
  <c r="CP33" i="56" s="1"/>
  <c r="CR33" i="56" s="1"/>
  <c r="CS33" i="56" s="1"/>
  <c r="CT33" i="56" s="1"/>
  <c r="S58" i="53"/>
  <c r="E59" i="53"/>
  <c r="AV29" i="9"/>
  <c r="AY266" i="9"/>
  <c r="AI292" i="53"/>
  <c r="X57" i="56"/>
  <c r="DV70" i="56"/>
  <c r="AI262" i="53"/>
  <c r="CN9" i="56"/>
  <c r="X55" i="56"/>
  <c r="X24" i="56"/>
  <c r="AI382" i="53"/>
  <c r="X63" i="56"/>
  <c r="CP40" i="56"/>
  <c r="CR40" i="56" s="1"/>
  <c r="CS40" i="56" s="1"/>
  <c r="CP31" i="56"/>
  <c r="CR31" i="56" s="1"/>
  <c r="CS31" i="56" s="1"/>
  <c r="CT20" i="56"/>
  <c r="CV20" i="56" s="1"/>
  <c r="CW20" i="56" s="1"/>
  <c r="CX20" i="56" s="1"/>
  <c r="CS15" i="56"/>
  <c r="CS18" i="56"/>
  <c r="CS16" i="56"/>
  <c r="CS39" i="56"/>
  <c r="CR13" i="56"/>
  <c r="CR14" i="56"/>
  <c r="CV35" i="56"/>
  <c r="CV38" i="56"/>
  <c r="CV34" i="56"/>
  <c r="CW34" i="56" s="1"/>
  <c r="CR36" i="56"/>
  <c r="AH65" i="56"/>
  <c r="AG58" i="56"/>
  <c r="AY200" i="9"/>
  <c r="AY452" i="9"/>
  <c r="AI326" i="53"/>
  <c r="L49" i="53" s="1"/>
  <c r="L50" i="53" s="1"/>
  <c r="BD8" i="56"/>
  <c r="CR8" i="56"/>
  <c r="CS8" i="56" s="1"/>
  <c r="CT8" i="56" s="1"/>
  <c r="U24" i="56"/>
  <c r="CK10" i="56"/>
  <c r="AI328" i="53"/>
  <c r="BD39" i="56"/>
  <c r="BF39" i="56" s="1"/>
  <c r="BD41" i="56"/>
  <c r="DC41" i="56" s="1"/>
  <c r="BG38" i="56"/>
  <c r="BF34" i="56"/>
  <c r="BF40" i="56"/>
  <c r="DE40" i="56" s="1"/>
  <c r="BF31" i="56"/>
  <c r="BF35" i="56"/>
  <c r="AB24" i="56"/>
  <c r="AI325" i="53"/>
  <c r="K49" i="53" s="1"/>
  <c r="K50" i="53" s="1"/>
  <c r="BD13" i="56"/>
  <c r="BH16" i="56"/>
  <c r="AI313" i="53"/>
  <c r="AY308" i="9"/>
  <c r="DG45" i="56"/>
  <c r="U56" i="56"/>
  <c r="AY28" i="9"/>
  <c r="AI275" i="53"/>
  <c r="D49" i="53" s="1"/>
  <c r="D50" i="53" s="1"/>
  <c r="AY29" i="9"/>
  <c r="AI276" i="53"/>
  <c r="V56" i="56"/>
  <c r="V70" i="56" s="1"/>
  <c r="AT274" i="9"/>
  <c r="AI314" i="53"/>
  <c r="DC34" i="56"/>
  <c r="AI358" i="53"/>
  <c r="AY309" i="9"/>
  <c r="AH66" i="56"/>
  <c r="BC62" i="56"/>
  <c r="AC24" i="56"/>
  <c r="EH60" i="56"/>
  <c r="AY416" i="9"/>
  <c r="AY341" i="9"/>
  <c r="EH57" i="56"/>
  <c r="AY344" i="9"/>
  <c r="EG55" i="56"/>
  <c r="AH55" i="56"/>
  <c r="AI360" i="53"/>
  <c r="DC40" i="56"/>
  <c r="AZ89" i="9" s="1"/>
  <c r="AF62" i="56"/>
  <c r="EH55" i="56"/>
  <c r="AI373" i="53"/>
  <c r="AV41" i="9"/>
  <c r="AC59" i="56"/>
  <c r="AC70" i="56" s="1"/>
  <c r="AY342" i="9"/>
  <c r="AH16" i="56"/>
  <c r="EG62" i="56"/>
  <c r="AW4" i="9"/>
  <c r="AI312" i="53"/>
  <c r="AI75" i="53"/>
  <c r="AV100" i="9"/>
  <c r="DB62" i="56"/>
  <c r="AH125" i="53"/>
  <c r="DC35" i="56"/>
  <c r="AZ29" i="9" s="1"/>
  <c r="AI405" i="53"/>
  <c r="AY526" i="9"/>
  <c r="AX562" i="9"/>
  <c r="AX346" i="9"/>
  <c r="AY418" i="9"/>
  <c r="AZ76" i="9"/>
  <c r="AT381" i="9"/>
  <c r="AI30" i="53"/>
  <c r="AI180" i="53"/>
  <c r="AI195" i="53"/>
  <c r="AT238" i="9"/>
  <c r="AX598" i="9"/>
  <c r="AH31" i="56"/>
  <c r="AX130" i="9" s="1"/>
  <c r="EG54" i="56"/>
  <c r="AH34" i="56"/>
  <c r="EG57" i="56"/>
  <c r="AH37" i="56"/>
  <c r="AX310" i="9" s="1"/>
  <c r="EG60" i="56"/>
  <c r="AH33" i="56"/>
  <c r="AH56" i="56" s="1"/>
  <c r="EG56" i="56"/>
  <c r="AZ278" i="9"/>
  <c r="AT382" i="9"/>
  <c r="AY236" i="9"/>
  <c r="AF55" i="56"/>
  <c r="AY307" i="9"/>
  <c r="AD58" i="56"/>
  <c r="EF47" i="56"/>
  <c r="AG32" i="56"/>
  <c r="AV4" i="9"/>
  <c r="AZ458" i="9"/>
  <c r="AH13" i="56"/>
  <c r="AY238" i="9" s="1"/>
  <c r="EH47" i="56"/>
  <c r="P58" i="53"/>
  <c r="P59" i="53" s="1"/>
  <c r="AY345" i="9"/>
  <c r="AI329" i="53"/>
  <c r="EG47" i="56"/>
  <c r="AJ365" i="53"/>
  <c r="AJ259" i="53"/>
  <c r="AI345" i="53"/>
  <c r="L59" i="53"/>
  <c r="Q58" i="53"/>
  <c r="AH349" i="53"/>
  <c r="AH394" i="53"/>
  <c r="BC64" i="56"/>
  <c r="DA64" i="56"/>
  <c r="I174" i="53"/>
  <c r="U58" i="53"/>
  <c r="AI270" i="53"/>
  <c r="AW567" i="9"/>
  <c r="BC57" i="56"/>
  <c r="AH289" i="53"/>
  <c r="AW39" i="9"/>
  <c r="DA57" i="56"/>
  <c r="AZ543" i="9"/>
  <c r="AV544" i="9"/>
  <c r="BA639" i="9"/>
  <c r="AJ379" i="53"/>
  <c r="BA111" i="9"/>
  <c r="AW640" i="9"/>
  <c r="AW112" i="9"/>
  <c r="AZ422" i="9"/>
  <c r="BA615" i="9"/>
  <c r="DE38" i="56"/>
  <c r="AZ617" i="9"/>
  <c r="AZ315" i="9"/>
  <c r="DA59" i="56"/>
  <c r="AW63" i="9"/>
  <c r="AH319" i="53"/>
  <c r="AZ314" i="9"/>
  <c r="AZ171" i="9"/>
  <c r="AZ170" i="9"/>
  <c r="BF14" i="56"/>
  <c r="AZ207" i="9"/>
  <c r="AJ274" i="53"/>
  <c r="BA27" i="9"/>
  <c r="AV220" i="9"/>
  <c r="AV207" i="9"/>
  <c r="BA494" i="9"/>
  <c r="AW494" i="9"/>
  <c r="AW653" i="9"/>
  <c r="AH366" i="53"/>
  <c r="AW629" i="9"/>
  <c r="BA628" i="9"/>
  <c r="AW604" i="9"/>
  <c r="AV136" i="9"/>
  <c r="DC16" i="56"/>
  <c r="AV366" i="9"/>
  <c r="AW327" i="9"/>
  <c r="AZ279" i="9"/>
  <c r="AW459" i="9"/>
  <c r="AV137" i="9"/>
  <c r="AW219" i="9"/>
  <c r="AW207" i="9"/>
  <c r="AV365" i="9"/>
  <c r="BA386" i="9"/>
  <c r="AW279" i="9"/>
  <c r="AV293" i="9"/>
  <c r="DI46" i="56"/>
  <c r="DI45" i="56"/>
  <c r="AZ437" i="9"/>
  <c r="AZ329" i="9"/>
  <c r="BA219" i="9"/>
  <c r="AZ292" i="9"/>
  <c r="AZ221" i="9"/>
  <c r="BA326" i="9"/>
  <c r="AZ400" i="9"/>
  <c r="AV369" i="9"/>
  <c r="AV372" i="9"/>
  <c r="AV368" i="9"/>
  <c r="AV371" i="9"/>
  <c r="AV227" i="9"/>
  <c r="AV150" i="9"/>
  <c r="AV330" i="9"/>
  <c r="AV438" i="9"/>
  <c r="AZ224" i="9"/>
  <c r="BA399" i="9"/>
  <c r="AV187" i="9"/>
  <c r="AZ474" i="9"/>
  <c r="AZ223" i="9"/>
  <c r="AZ475" i="9"/>
  <c r="AW400" i="9"/>
  <c r="AW256" i="9"/>
  <c r="AW472" i="9"/>
  <c r="AV475" i="9"/>
  <c r="AZ6" i="9"/>
  <c r="AZ258" i="9"/>
  <c r="BA185" i="9"/>
  <c r="AV224" i="9"/>
  <c r="AZ511" i="9"/>
  <c r="BA292" i="9"/>
  <c r="BA256" i="9"/>
  <c r="AV259" i="9"/>
  <c r="AW185" i="9"/>
  <c r="AW509" i="9"/>
  <c r="AW292" i="9"/>
  <c r="BA472" i="9"/>
  <c r="AW437" i="9"/>
  <c r="AV511" i="9"/>
  <c r="AV9" i="9"/>
  <c r="AZ8" i="9"/>
  <c r="AW8" i="9"/>
  <c r="AZ368" i="9"/>
  <c r="AF24" i="56" l="1"/>
  <c r="AH110" i="53"/>
  <c r="AH230" i="53"/>
  <c r="AY20" i="9"/>
  <c r="AI298" i="53"/>
  <c r="AH65" i="53"/>
  <c r="AH35" i="53"/>
  <c r="AH200" i="53"/>
  <c r="AH140" i="53"/>
  <c r="AD24" i="56"/>
  <c r="AI342" i="53"/>
  <c r="I179" i="53"/>
  <c r="AX165" i="9"/>
  <c r="AX21" i="9"/>
  <c r="CL47" i="56"/>
  <c r="BD19" i="56"/>
  <c r="AW101" i="9" s="1"/>
  <c r="E49" i="53"/>
  <c r="E50" i="53" s="1"/>
  <c r="BC60" i="56"/>
  <c r="AG24" i="56"/>
  <c r="BF11" i="56"/>
  <c r="BG11" i="56" s="1"/>
  <c r="EF70" i="56"/>
  <c r="AY274" i="9"/>
  <c r="BO45" i="56"/>
  <c r="BP45" i="56" s="1"/>
  <c r="U70" i="56"/>
  <c r="AH170" i="53"/>
  <c r="BC55" i="56"/>
  <c r="DB37" i="56"/>
  <c r="AZ64" i="9" s="1"/>
  <c r="AV52" i="9"/>
  <c r="AH95" i="53"/>
  <c r="AV112" i="9"/>
  <c r="DB42" i="56"/>
  <c r="AZ112" i="9" s="1"/>
  <c r="CN37" i="56"/>
  <c r="BD37" i="56"/>
  <c r="CN42" i="56"/>
  <c r="BD42" i="56"/>
  <c r="BC17" i="56"/>
  <c r="CL17" i="56"/>
  <c r="AG60" i="56"/>
  <c r="AI344" i="53"/>
  <c r="AY273" i="9"/>
  <c r="AH186" i="53"/>
  <c r="BF33" i="56"/>
  <c r="DE33" i="56" s="1"/>
  <c r="AH20" i="53"/>
  <c r="BD32" i="56"/>
  <c r="AH141" i="53" s="1"/>
  <c r="BC47" i="56"/>
  <c r="DB32" i="56"/>
  <c r="AV77" i="9"/>
  <c r="CO43" i="56"/>
  <c r="BF43" i="56"/>
  <c r="DE43" i="56" s="1"/>
  <c r="AJ140" i="53"/>
  <c r="AJ35" i="53"/>
  <c r="AJ230" i="53"/>
  <c r="AJ65" i="53"/>
  <c r="AJ50" i="53"/>
  <c r="AJ215" i="53"/>
  <c r="AJ200" i="53"/>
  <c r="AJ5" i="53"/>
  <c r="AJ110" i="53"/>
  <c r="AJ80" i="53"/>
  <c r="AJ155" i="53"/>
  <c r="CW46" i="56"/>
  <c r="BN46" i="56"/>
  <c r="CW44" i="56"/>
  <c r="BN44" i="56"/>
  <c r="AI224" i="53"/>
  <c r="AI209" i="53"/>
  <c r="AI239" i="53"/>
  <c r="AI194" i="53"/>
  <c r="AI44" i="53"/>
  <c r="AI74" i="53"/>
  <c r="AI164" i="53"/>
  <c r="AI104" i="53"/>
  <c r="AI179" i="53"/>
  <c r="AI14" i="53"/>
  <c r="AI89" i="53"/>
  <c r="AI134" i="53"/>
  <c r="AI149" i="53"/>
  <c r="AI59" i="53"/>
  <c r="AI119" i="53"/>
  <c r="AH231" i="53"/>
  <c r="AH201" i="53"/>
  <c r="AH216" i="53"/>
  <c r="AH111" i="53"/>
  <c r="AH51" i="53"/>
  <c r="BD12" i="56"/>
  <c r="CN12" i="56"/>
  <c r="CL10" i="56"/>
  <c r="CN10" i="56" s="1"/>
  <c r="CO10" i="56" s="1"/>
  <c r="CP10" i="56" s="1"/>
  <c r="BC58" i="56"/>
  <c r="AH305" i="53"/>
  <c r="DB12" i="56"/>
  <c r="G49" i="53"/>
  <c r="G50" i="53" s="1"/>
  <c r="X70" i="56"/>
  <c r="CO9" i="56"/>
  <c r="BF9" i="56"/>
  <c r="CX34" i="56"/>
  <c r="CT32" i="56"/>
  <c r="CV32" i="56" s="1"/>
  <c r="CW32" i="56" s="1"/>
  <c r="CX32" i="56" s="1"/>
  <c r="CT39" i="56"/>
  <c r="CV39" i="56" s="1"/>
  <c r="CW39" i="56" s="1"/>
  <c r="CX39" i="56" s="1"/>
  <c r="CT40" i="56"/>
  <c r="CV40" i="56" s="1"/>
  <c r="CW40" i="56" s="1"/>
  <c r="CX40" i="56" s="1"/>
  <c r="CT31" i="56"/>
  <c r="CV31" i="56" s="1"/>
  <c r="CW31" i="56" s="1"/>
  <c r="CX31" i="56" s="1"/>
  <c r="CT15" i="56"/>
  <c r="CV15" i="56" s="1"/>
  <c r="CW15" i="56" s="1"/>
  <c r="CX15" i="56" s="1"/>
  <c r="CT16" i="56"/>
  <c r="CV16" i="56" s="1"/>
  <c r="CW16" i="56" s="1"/>
  <c r="CX16" i="56" s="1"/>
  <c r="CT18" i="56"/>
  <c r="CV18" i="56" s="1"/>
  <c r="CW18" i="56" s="1"/>
  <c r="CX18" i="56" s="1"/>
  <c r="CS14" i="56"/>
  <c r="CS13" i="56"/>
  <c r="CS19" i="56"/>
  <c r="CS11" i="56"/>
  <c r="CW38" i="56"/>
  <c r="CX38" i="56" s="1"/>
  <c r="CW35" i="56"/>
  <c r="CX35" i="56" s="1"/>
  <c r="CS36" i="56"/>
  <c r="CV41" i="56"/>
  <c r="CV33" i="56"/>
  <c r="BF8" i="56"/>
  <c r="BG8" i="56" s="1"/>
  <c r="AW123" i="9" s="1"/>
  <c r="AH126" i="53"/>
  <c r="AH60" i="56"/>
  <c r="AH54" i="56"/>
  <c r="AH57" i="56"/>
  <c r="AD70" i="56"/>
  <c r="BC10" i="56"/>
  <c r="BF13" i="56"/>
  <c r="BG13" i="56" s="1"/>
  <c r="BG35" i="56"/>
  <c r="DF35" i="56" s="1"/>
  <c r="BG40" i="56"/>
  <c r="DF40" i="56" s="1"/>
  <c r="BG34" i="56"/>
  <c r="BH38" i="56"/>
  <c r="BJ38" i="56" s="1"/>
  <c r="BG39" i="56"/>
  <c r="BF36" i="56"/>
  <c r="BG31" i="56"/>
  <c r="BF41" i="56"/>
  <c r="O49" i="53"/>
  <c r="O50" i="53" s="1"/>
  <c r="M49" i="53"/>
  <c r="M50" i="53" s="1"/>
  <c r="BG14" i="56"/>
  <c r="BG18" i="56"/>
  <c r="AJ410" i="53"/>
  <c r="AZ149" i="9"/>
  <c r="AV482" i="9"/>
  <c r="DI44" i="56"/>
  <c r="AX238" i="9"/>
  <c r="BC65" i="56"/>
  <c r="AH410" i="53"/>
  <c r="AG55" i="56"/>
  <c r="AX201" i="9"/>
  <c r="AF70" i="56"/>
  <c r="DC39" i="56"/>
  <c r="DC62" i="56" s="1"/>
  <c r="EH70" i="56"/>
  <c r="BD64" i="56"/>
  <c r="AW5" i="9"/>
  <c r="AV101" i="9"/>
  <c r="BD62" i="56"/>
  <c r="BF15" i="56"/>
  <c r="DE39" i="56"/>
  <c r="DE34" i="56"/>
  <c r="BJ16" i="56"/>
  <c r="AY454" i="9"/>
  <c r="AH62" i="56"/>
  <c r="AI375" i="53"/>
  <c r="AJ125" i="53"/>
  <c r="AZ100" i="9"/>
  <c r="DE35" i="56"/>
  <c r="AH156" i="53"/>
  <c r="AX202" i="9"/>
  <c r="AI15" i="53"/>
  <c r="AI105" i="53"/>
  <c r="AX382" i="9"/>
  <c r="AI60" i="53"/>
  <c r="AH47" i="56"/>
  <c r="AW113" i="9"/>
  <c r="AX166" i="9"/>
  <c r="AX274" i="9"/>
  <c r="AI45" i="53"/>
  <c r="EG70" i="56"/>
  <c r="AZ423" i="9"/>
  <c r="DJ44" i="56"/>
  <c r="AW52" i="9"/>
  <c r="BC59" i="56"/>
  <c r="AI330" i="53"/>
  <c r="AH59" i="56"/>
  <c r="AX237" i="9"/>
  <c r="AI29" i="53"/>
  <c r="AG47" i="56"/>
  <c r="AH24" i="56"/>
  <c r="DC36" i="56"/>
  <c r="AZ41" i="9" s="1"/>
  <c r="AV65" i="9"/>
  <c r="AH81" i="53"/>
  <c r="AV5" i="9"/>
  <c r="AZ4" i="9"/>
  <c r="AY346" i="9"/>
  <c r="V58" i="53"/>
  <c r="I184" i="53"/>
  <c r="AJ261" i="53"/>
  <c r="BA51" i="9"/>
  <c r="BA629" i="9"/>
  <c r="AJ260" i="53"/>
  <c r="Q59" i="53"/>
  <c r="I189" i="53"/>
  <c r="AV374" i="9"/>
  <c r="AJ394" i="53"/>
  <c r="DA61" i="56"/>
  <c r="DB64" i="56"/>
  <c r="AH395" i="53"/>
  <c r="DB57" i="56"/>
  <c r="BD57" i="56"/>
  <c r="AH290" i="53"/>
  <c r="AW40" i="9"/>
  <c r="BA567" i="9"/>
  <c r="BA39" i="9"/>
  <c r="AJ289" i="53"/>
  <c r="AZ544" i="9"/>
  <c r="AV545" i="9"/>
  <c r="AW543" i="9"/>
  <c r="BA640" i="9"/>
  <c r="BA112" i="9"/>
  <c r="AH261" i="53"/>
  <c r="AZ386" i="9"/>
  <c r="AV387" i="9"/>
  <c r="DF38" i="56"/>
  <c r="AV351" i="9"/>
  <c r="AZ350" i="9"/>
  <c r="DB59" i="56"/>
  <c r="AW64" i="9"/>
  <c r="AH320" i="53"/>
  <c r="BA63" i="9"/>
  <c r="AJ319" i="53"/>
  <c r="AW53" i="9"/>
  <c r="BA278" i="9"/>
  <c r="AW243" i="9"/>
  <c r="AW242" i="9"/>
  <c r="DE31" i="56"/>
  <c r="AW170" i="9"/>
  <c r="DA60" i="56"/>
  <c r="AW76" i="9"/>
  <c r="AH335" i="53"/>
  <c r="DB60" i="56"/>
  <c r="AW532" i="9"/>
  <c r="AZ134" i="9"/>
  <c r="AH334" i="53"/>
  <c r="AW75" i="9"/>
  <c r="AV221" i="9"/>
  <c r="AW495" i="9"/>
  <c r="BA653" i="9"/>
  <c r="AH367" i="53"/>
  <c r="DE16" i="56"/>
  <c r="AW422" i="9"/>
  <c r="AJ366" i="53"/>
  <c r="BA459" i="9"/>
  <c r="BA242" i="9"/>
  <c r="AZ137" i="9"/>
  <c r="BA423" i="9"/>
  <c r="BA279" i="9"/>
  <c r="AV294" i="9"/>
  <c r="DJ46" i="56"/>
  <c r="DJ45" i="56"/>
  <c r="AV223" i="9"/>
  <c r="BA220" i="9"/>
  <c r="AZ402" i="9"/>
  <c r="AZ330" i="9"/>
  <c r="AZ150" i="9"/>
  <c r="AZ403" i="9"/>
  <c r="BA327" i="9"/>
  <c r="AZ438" i="9"/>
  <c r="AZ293" i="9"/>
  <c r="AW362" i="9"/>
  <c r="BA542" i="9"/>
  <c r="AZ222" i="9"/>
  <c r="AZ401" i="9"/>
  <c r="AV191" i="9"/>
  <c r="AV404" i="9"/>
  <c r="AV407" i="9"/>
  <c r="AV263" i="9"/>
  <c r="AV228" i="9"/>
  <c r="AV370" i="9"/>
  <c r="AV373" i="9"/>
  <c r="AV439" i="9"/>
  <c r="AV515" i="9"/>
  <c r="AV151" i="9"/>
  <c r="AV403" i="9"/>
  <c r="AZ188" i="9"/>
  <c r="AW510" i="9"/>
  <c r="AW186" i="9"/>
  <c r="AV260" i="9"/>
  <c r="AZ187" i="9"/>
  <c r="BA400" i="9"/>
  <c r="AV476" i="9"/>
  <c r="AZ7" i="9"/>
  <c r="AZ259" i="9"/>
  <c r="AW438" i="9"/>
  <c r="AW293" i="9"/>
  <c r="BA509" i="9"/>
  <c r="AW257" i="9"/>
  <c r="BA437" i="9"/>
  <c r="AV188" i="9"/>
  <c r="AW401" i="9"/>
  <c r="BA257" i="9"/>
  <c r="BA293" i="9"/>
  <c r="AV225" i="9"/>
  <c r="AV512" i="9"/>
  <c r="AW473" i="9"/>
  <c r="AV10" i="9"/>
  <c r="AZ369" i="9"/>
  <c r="AJ185" i="53" l="1"/>
  <c r="AH36" i="53"/>
  <c r="AH66" i="53"/>
  <c r="AH6" i="53"/>
  <c r="CN47" i="56"/>
  <c r="AG70" i="56"/>
  <c r="S49" i="53"/>
  <c r="BF19" i="56"/>
  <c r="BG19" i="56" s="1"/>
  <c r="BH11" i="56"/>
  <c r="DB47" i="56"/>
  <c r="AJ170" i="53"/>
  <c r="DB65" i="56"/>
  <c r="BG33" i="56"/>
  <c r="DF33" i="56" s="1"/>
  <c r="AH21" i="53"/>
  <c r="AZ77" i="9"/>
  <c r="DC32" i="56"/>
  <c r="AV53" i="9"/>
  <c r="AH96" i="53"/>
  <c r="BF32" i="56"/>
  <c r="CO37" i="56"/>
  <c r="BF37" i="56"/>
  <c r="AH97" i="53" s="1"/>
  <c r="AV113" i="9"/>
  <c r="DC42" i="56"/>
  <c r="AZ113" i="9" s="1"/>
  <c r="AH171" i="53"/>
  <c r="AZ52" i="9"/>
  <c r="AJ95" i="53"/>
  <c r="AJ171" i="53"/>
  <c r="CO42" i="56"/>
  <c r="BF42" i="56"/>
  <c r="DE42" i="56" s="1"/>
  <c r="DC37" i="56"/>
  <c r="AJ96" i="53" s="1"/>
  <c r="AJ20" i="53"/>
  <c r="BD55" i="56"/>
  <c r="BD47" i="56"/>
  <c r="DB55" i="56"/>
  <c r="BD17" i="56"/>
  <c r="CN17" i="56"/>
  <c r="DB17" i="56"/>
  <c r="BC63" i="56"/>
  <c r="AH380" i="53"/>
  <c r="P49" i="53"/>
  <c r="P50" i="53" s="1"/>
  <c r="CP43" i="56"/>
  <c r="BG43" i="56"/>
  <c r="DF43" i="56" s="1"/>
  <c r="AV123" i="9"/>
  <c r="AH7" i="53"/>
  <c r="AJ156" i="53"/>
  <c r="AJ216" i="53"/>
  <c r="AJ231" i="53"/>
  <c r="AJ201" i="53"/>
  <c r="AJ6" i="53"/>
  <c r="AJ36" i="53"/>
  <c r="AJ111" i="53"/>
  <c r="AJ51" i="53"/>
  <c r="CX46" i="56"/>
  <c r="BO46" i="56"/>
  <c r="AJ186" i="53"/>
  <c r="AH232" i="53"/>
  <c r="AH217" i="53"/>
  <c r="AH202" i="53"/>
  <c r="AH112" i="53"/>
  <c r="CX44" i="56"/>
  <c r="BO44" i="56"/>
  <c r="AH37" i="53"/>
  <c r="T49" i="53"/>
  <c r="BD10" i="56"/>
  <c r="DC10" i="56" s="1"/>
  <c r="DB10" i="56"/>
  <c r="DB58" i="56"/>
  <c r="AJ305" i="53"/>
  <c r="CO12" i="56"/>
  <c r="CP12" i="56" s="1"/>
  <c r="BF12" i="56"/>
  <c r="DC12" i="56"/>
  <c r="AH306" i="53"/>
  <c r="BD58" i="56"/>
  <c r="CP9" i="56"/>
  <c r="BG9" i="56"/>
  <c r="AW15" i="9" s="1"/>
  <c r="CT36" i="56"/>
  <c r="CV36" i="56" s="1"/>
  <c r="CW36" i="56" s="1"/>
  <c r="CX36" i="56" s="1"/>
  <c r="CT19" i="56"/>
  <c r="CV19" i="56" s="1"/>
  <c r="CW19" i="56" s="1"/>
  <c r="CX19" i="56" s="1"/>
  <c r="CT13" i="56"/>
  <c r="CV13" i="56" s="1"/>
  <c r="CW13" i="56" s="1"/>
  <c r="CX13" i="56" s="1"/>
  <c r="CT11" i="56"/>
  <c r="CV11" i="56" s="1"/>
  <c r="CW11" i="56" s="1"/>
  <c r="CX11" i="56" s="1"/>
  <c r="CT14" i="56"/>
  <c r="CV14" i="56" s="1"/>
  <c r="CW14" i="56" s="1"/>
  <c r="CX14" i="56" s="1"/>
  <c r="CW33" i="56"/>
  <c r="CX33" i="56" s="1"/>
  <c r="CW41" i="56"/>
  <c r="CX41" i="56" s="1"/>
  <c r="CR10" i="56"/>
  <c r="CV8" i="56"/>
  <c r="BA28" i="9"/>
  <c r="BH39" i="56"/>
  <c r="U49" i="53"/>
  <c r="BH35" i="56"/>
  <c r="DG35" i="56" s="1"/>
  <c r="BH34" i="56"/>
  <c r="BJ34" i="56" s="1"/>
  <c r="BG41" i="56"/>
  <c r="BG36" i="56"/>
  <c r="BH31" i="56"/>
  <c r="AV124" i="9" s="1"/>
  <c r="BK38" i="56"/>
  <c r="BH40" i="56"/>
  <c r="BH13" i="56"/>
  <c r="BK16" i="56"/>
  <c r="BG15" i="56"/>
  <c r="BH8" i="56"/>
  <c r="AW124" i="9" s="1"/>
  <c r="BH18" i="56"/>
  <c r="BH14" i="56"/>
  <c r="AZ101" i="9"/>
  <c r="AJ126" i="53"/>
  <c r="AV194" i="9"/>
  <c r="AH411" i="53"/>
  <c r="BD65" i="56"/>
  <c r="AV591" i="9"/>
  <c r="BC56" i="56"/>
  <c r="AH275" i="53"/>
  <c r="AW28" i="9"/>
  <c r="DC19" i="56"/>
  <c r="AZ374" i="9"/>
  <c r="DE62" i="56"/>
  <c r="AV555" i="9"/>
  <c r="AV483" i="9"/>
  <c r="AH127" i="53"/>
  <c r="BF62" i="56"/>
  <c r="AZ483" i="9"/>
  <c r="DF39" i="56"/>
  <c r="DF34" i="56"/>
  <c r="AH70" i="56"/>
  <c r="AW158" i="9"/>
  <c r="BJ11" i="56"/>
  <c r="AW482" i="9"/>
  <c r="AV518" i="9"/>
  <c r="DE41" i="56"/>
  <c r="AZ410" i="9" s="1"/>
  <c r="AH157" i="53"/>
  <c r="AZ446" i="9"/>
  <c r="Q49" i="53"/>
  <c r="Q50" i="53" s="1"/>
  <c r="AJ334" i="53"/>
  <c r="BC54" i="56"/>
  <c r="AW77" i="9"/>
  <c r="BD60" i="56"/>
  <c r="AV375" i="9"/>
  <c r="DE36" i="56"/>
  <c r="BD59" i="56"/>
  <c r="DK44" i="56"/>
  <c r="DB61" i="56"/>
  <c r="BC61" i="56"/>
  <c r="AZ555" i="9"/>
  <c r="DE9" i="56"/>
  <c r="AJ262" i="53" s="1"/>
  <c r="AZ5" i="9"/>
  <c r="AV230" i="9"/>
  <c r="AZ53" i="9"/>
  <c r="AZ65" i="9"/>
  <c r="AJ81" i="53"/>
  <c r="AH82" i="53"/>
  <c r="AV338" i="9"/>
  <c r="BA52" i="9"/>
  <c r="AH262" i="53"/>
  <c r="BA616" i="9"/>
  <c r="AW616" i="9"/>
  <c r="AH350" i="53"/>
  <c r="AW88" i="9"/>
  <c r="AJ395" i="53"/>
  <c r="AH396" i="53"/>
  <c r="DC18" i="56"/>
  <c r="BA87" i="9"/>
  <c r="AJ349" i="53"/>
  <c r="DF16" i="56"/>
  <c r="DC11" i="56"/>
  <c r="DC57" i="56" s="1"/>
  <c r="AW41" i="9"/>
  <c r="BF57" i="56"/>
  <c r="AH291" i="53"/>
  <c r="BA40" i="9"/>
  <c r="AJ290" i="53"/>
  <c r="AH368" i="53"/>
  <c r="AW544" i="9"/>
  <c r="AZ495" i="9"/>
  <c r="BA458" i="9"/>
  <c r="AW423" i="9"/>
  <c r="AV400" i="9"/>
  <c r="DG38" i="56"/>
  <c r="AW387" i="9"/>
  <c r="AZ387" i="9"/>
  <c r="AW350" i="9"/>
  <c r="BA350" i="9"/>
  <c r="AW351" i="9"/>
  <c r="AZ351" i="9"/>
  <c r="AV195" i="9"/>
  <c r="AW65" i="9"/>
  <c r="DC13" i="56"/>
  <c r="DC59" i="56" s="1"/>
  <c r="AH321" i="53"/>
  <c r="AW302" i="9"/>
  <c r="DC14" i="56"/>
  <c r="DF31" i="56"/>
  <c r="AH336" i="53"/>
  <c r="BA64" i="9"/>
  <c r="AJ320" i="53"/>
  <c r="BA171" i="9"/>
  <c r="BA170" i="9"/>
  <c r="AW171" i="9"/>
  <c r="BA603" i="9"/>
  <c r="BA75" i="9"/>
  <c r="BA604" i="9"/>
  <c r="AJ335" i="53"/>
  <c r="BA76" i="9"/>
  <c r="AV222" i="9"/>
  <c r="BA206" i="9"/>
  <c r="BA495" i="9"/>
  <c r="BA422" i="9"/>
  <c r="BA314" i="9"/>
  <c r="BA243" i="9"/>
  <c r="DK45" i="56"/>
  <c r="DK46" i="56"/>
  <c r="AV295" i="9"/>
  <c r="AZ191" i="9"/>
  <c r="AZ225" i="9"/>
  <c r="AZ512" i="9"/>
  <c r="AZ331" i="9"/>
  <c r="AZ294" i="9"/>
  <c r="AW363" i="9"/>
  <c r="BA328" i="9"/>
  <c r="BA543" i="9"/>
  <c r="BA362" i="9"/>
  <c r="AZ439" i="9"/>
  <c r="BA221" i="9"/>
  <c r="AV192" i="9"/>
  <c r="AV516" i="9"/>
  <c r="AZ407" i="9"/>
  <c r="AV152" i="9"/>
  <c r="AV155" i="9"/>
  <c r="AV332" i="9"/>
  <c r="AV335" i="9"/>
  <c r="AV440" i="9"/>
  <c r="AV443" i="9"/>
  <c r="AZ263" i="9"/>
  <c r="AV405" i="9"/>
  <c r="AV408" i="9"/>
  <c r="AZ151" i="9"/>
  <c r="AV229" i="9"/>
  <c r="AV264" i="9"/>
  <c r="AZ513" i="9"/>
  <c r="BA402" i="9"/>
  <c r="AW511" i="9"/>
  <c r="AW474" i="9"/>
  <c r="AV189" i="9"/>
  <c r="BA401" i="9"/>
  <c r="AZ226" i="9"/>
  <c r="BA439" i="9"/>
  <c r="BA438" i="9"/>
  <c r="AW6" i="9"/>
  <c r="AW258" i="9"/>
  <c r="BA510" i="9"/>
  <c r="AZ189" i="9"/>
  <c r="AV477" i="9"/>
  <c r="BA294" i="9"/>
  <c r="BA186" i="9"/>
  <c r="AV226" i="9"/>
  <c r="AW402" i="9"/>
  <c r="AZ476" i="9"/>
  <c r="AV261" i="9"/>
  <c r="BA187" i="9"/>
  <c r="AW294" i="9"/>
  <c r="AZ260" i="9"/>
  <c r="BA473" i="9"/>
  <c r="AV513" i="9"/>
  <c r="AW439" i="9"/>
  <c r="AW187" i="9"/>
  <c r="BA6" i="9"/>
  <c r="BA258" i="9"/>
  <c r="AZ370" i="9"/>
  <c r="DC55" i="56" l="1"/>
  <c r="AJ66" i="53"/>
  <c r="AJ141" i="53"/>
  <c r="AH67" i="53"/>
  <c r="AH142" i="53"/>
  <c r="AH52" i="53"/>
  <c r="AH187" i="53"/>
  <c r="AJ367" i="53"/>
  <c r="AJ21" i="53"/>
  <c r="BH33" i="56"/>
  <c r="DG33" i="56" s="1"/>
  <c r="CO47" i="56"/>
  <c r="DC60" i="56"/>
  <c r="DC47" i="56"/>
  <c r="BF10" i="56"/>
  <c r="DE10" i="56" s="1"/>
  <c r="AH22" i="53"/>
  <c r="DE32" i="56"/>
  <c r="BF47" i="56"/>
  <c r="BG32" i="56"/>
  <c r="AH172" i="53"/>
  <c r="BF55" i="56"/>
  <c r="AV158" i="9"/>
  <c r="CP42" i="56"/>
  <c r="BG42" i="56"/>
  <c r="DF42" i="56" s="1"/>
  <c r="CP37" i="56"/>
  <c r="BG37" i="56"/>
  <c r="AV266" i="9"/>
  <c r="DE37" i="56"/>
  <c r="BF17" i="56"/>
  <c r="CO17" i="56"/>
  <c r="BD63" i="56"/>
  <c r="AH381" i="53"/>
  <c r="DB63" i="56"/>
  <c r="AJ380" i="53"/>
  <c r="DC17" i="56"/>
  <c r="CR43" i="56"/>
  <c r="BH43" i="56"/>
  <c r="DG43" i="56" s="1"/>
  <c r="AZ123" i="9"/>
  <c r="DC64" i="56"/>
  <c r="BA101" i="9"/>
  <c r="AZ158" i="9"/>
  <c r="BP44" i="56"/>
  <c r="BP46" i="56"/>
  <c r="AJ127" i="53"/>
  <c r="AZ194" i="9"/>
  <c r="AJ202" i="53"/>
  <c r="AJ217" i="53"/>
  <c r="AJ232" i="53"/>
  <c r="AJ142" i="53"/>
  <c r="AJ187" i="53"/>
  <c r="AJ112" i="53"/>
  <c r="AJ37" i="53"/>
  <c r="AH218" i="53"/>
  <c r="AH203" i="53"/>
  <c r="AH233" i="53"/>
  <c r="AH113" i="53"/>
  <c r="AJ306" i="53"/>
  <c r="DC58" i="56"/>
  <c r="BG12" i="56"/>
  <c r="BH12" i="56" s="1"/>
  <c r="DE12" i="56"/>
  <c r="AH307" i="53"/>
  <c r="BF58" i="56"/>
  <c r="CR12" i="56"/>
  <c r="CS12" i="56" s="1"/>
  <c r="CR9" i="56"/>
  <c r="BH9" i="56"/>
  <c r="AW16" i="9" s="1"/>
  <c r="AJ275" i="53"/>
  <c r="DB56" i="56"/>
  <c r="CW8" i="56"/>
  <c r="CX8" i="56" s="1"/>
  <c r="CS10" i="56"/>
  <c r="BJ35" i="56"/>
  <c r="BK35" i="56" s="1"/>
  <c r="BJ18" i="56"/>
  <c r="BK18" i="56" s="1"/>
  <c r="BL38" i="56"/>
  <c r="BH36" i="56"/>
  <c r="BH41" i="56"/>
  <c r="BJ41" i="56" s="1"/>
  <c r="BJ39" i="56"/>
  <c r="BJ40" i="56"/>
  <c r="BJ31" i="56"/>
  <c r="AV125" i="9" s="1"/>
  <c r="BK34" i="56"/>
  <c r="AV556" i="9"/>
  <c r="BK11" i="56"/>
  <c r="BL16" i="56"/>
  <c r="BH15" i="56"/>
  <c r="AZ592" i="9"/>
  <c r="DC56" i="56"/>
  <c r="AJ276" i="53"/>
  <c r="BA29" i="9"/>
  <c r="AJ411" i="53"/>
  <c r="DC65" i="56"/>
  <c r="AZ591" i="9"/>
  <c r="AH412" i="53"/>
  <c r="BF65" i="56"/>
  <c r="DE19" i="56"/>
  <c r="AH276" i="53"/>
  <c r="BD56" i="56"/>
  <c r="AW29" i="9"/>
  <c r="BH19" i="56"/>
  <c r="DF19" i="56"/>
  <c r="AV592" i="9"/>
  <c r="BG62" i="56"/>
  <c r="AJ82" i="53"/>
  <c r="DF62" i="56"/>
  <c r="DG40" i="56"/>
  <c r="AH128" i="53"/>
  <c r="BA482" i="9"/>
  <c r="DG34" i="56"/>
  <c r="BJ8" i="56"/>
  <c r="AW125" i="9" s="1"/>
  <c r="AW159" i="9"/>
  <c r="BJ13" i="56"/>
  <c r="BJ14" i="56"/>
  <c r="AJ350" i="53"/>
  <c r="BA483" i="9"/>
  <c r="AH158" i="53"/>
  <c r="AV519" i="9"/>
  <c r="DF41" i="56"/>
  <c r="AZ411" i="9" s="1"/>
  <c r="AZ518" i="9"/>
  <c r="AJ157" i="53"/>
  <c r="DG16" i="56"/>
  <c r="V49" i="53"/>
  <c r="BA88" i="9"/>
  <c r="AZ338" i="9"/>
  <c r="AZ230" i="9"/>
  <c r="AZ375" i="9"/>
  <c r="DM44" i="56"/>
  <c r="BF61" i="56"/>
  <c r="BD61" i="56"/>
  <c r="AH369" i="53"/>
  <c r="AW374" i="9"/>
  <c r="BF60" i="56"/>
  <c r="BG64" i="56"/>
  <c r="BF64" i="56"/>
  <c r="DF36" i="56"/>
  <c r="BD54" i="56"/>
  <c r="DG31" i="56"/>
  <c r="AZ124" i="9" s="1"/>
  <c r="BF59" i="56"/>
  <c r="AV231" i="9"/>
  <c r="AV339" i="9"/>
  <c r="AH83" i="53"/>
  <c r="BA53" i="9"/>
  <c r="AJ336" i="53"/>
  <c r="DF9" i="56"/>
  <c r="AH263" i="53"/>
  <c r="BA77" i="9"/>
  <c r="AH337" i="53"/>
  <c r="DE18" i="56"/>
  <c r="DE64" i="56" s="1"/>
  <c r="DC15" i="56"/>
  <c r="DC61" i="56" s="1"/>
  <c r="AW89" i="9"/>
  <c r="AH351" i="53"/>
  <c r="AJ396" i="53"/>
  <c r="AW518" i="9"/>
  <c r="AH397" i="53"/>
  <c r="AH292" i="53"/>
  <c r="AW266" i="9"/>
  <c r="DE11" i="56"/>
  <c r="DE57" i="56" s="1"/>
  <c r="BA569" i="9"/>
  <c r="BA41" i="9"/>
  <c r="AJ291" i="53"/>
  <c r="DE14" i="56"/>
  <c r="AW545" i="9"/>
  <c r="BA387" i="9"/>
  <c r="AV401" i="9"/>
  <c r="DI38" i="56"/>
  <c r="BA351" i="9"/>
  <c r="BA65" i="9"/>
  <c r="AJ321" i="53"/>
  <c r="AW314" i="9"/>
  <c r="AW338" i="9"/>
  <c r="DE13" i="56"/>
  <c r="DE59" i="56" s="1"/>
  <c r="AH322" i="53"/>
  <c r="AW303" i="9"/>
  <c r="AZ136" i="9"/>
  <c r="AW220" i="9"/>
  <c r="BA207" i="9"/>
  <c r="AV331" i="9"/>
  <c r="AV479" i="9"/>
  <c r="AW328" i="9"/>
  <c r="BA315" i="9"/>
  <c r="AV296" i="9"/>
  <c r="AZ295" i="9"/>
  <c r="DM45" i="56"/>
  <c r="DM46" i="56"/>
  <c r="AZ192" i="9"/>
  <c r="AZ227" i="9"/>
  <c r="AW364" i="9"/>
  <c r="BA363" i="9"/>
  <c r="BA222" i="9"/>
  <c r="AZ547" i="9"/>
  <c r="BA329" i="9"/>
  <c r="BA544" i="9"/>
  <c r="AZ409" i="9"/>
  <c r="AW515" i="9"/>
  <c r="AW546" i="9"/>
  <c r="AZ443" i="9"/>
  <c r="AV517" i="9"/>
  <c r="AV441" i="9"/>
  <c r="AV444" i="9"/>
  <c r="AZ152" i="9"/>
  <c r="AZ155" i="9"/>
  <c r="AV481" i="9"/>
  <c r="AZ408" i="9"/>
  <c r="AV406" i="9"/>
  <c r="AV409" i="9"/>
  <c r="AV299" i="9"/>
  <c r="AZ335" i="9"/>
  <c r="AZ264" i="9"/>
  <c r="AV193" i="9"/>
  <c r="AW191" i="9"/>
  <c r="AV551" i="9"/>
  <c r="AV336" i="9"/>
  <c r="AV153" i="9"/>
  <c r="AV156" i="9"/>
  <c r="AZ478" i="9"/>
  <c r="AZ514" i="9"/>
  <c r="AZ190" i="9"/>
  <c r="BA475" i="9"/>
  <c r="BA7" i="9"/>
  <c r="BA259" i="9"/>
  <c r="AV262" i="9"/>
  <c r="BA295" i="9"/>
  <c r="BA512" i="9"/>
  <c r="AW440" i="9"/>
  <c r="AW295" i="9"/>
  <c r="AW512" i="9"/>
  <c r="BA188" i="9"/>
  <c r="BA403" i="9"/>
  <c r="BA511" i="9"/>
  <c r="AW475" i="9"/>
  <c r="AZ477" i="9"/>
  <c r="AV514" i="9"/>
  <c r="AZ9" i="9"/>
  <c r="AZ261" i="9"/>
  <c r="AV190" i="9"/>
  <c r="AW188" i="9"/>
  <c r="AW403" i="9"/>
  <c r="BA474" i="9"/>
  <c r="AV478" i="9"/>
  <c r="AW259" i="9"/>
  <c r="BJ33" i="56" l="1"/>
  <c r="DI33" i="56" s="1"/>
  <c r="AH143" i="53"/>
  <c r="AH8" i="53"/>
  <c r="AH68" i="53"/>
  <c r="AH53" i="53"/>
  <c r="AJ67" i="53"/>
  <c r="AJ7" i="53"/>
  <c r="AJ52" i="53"/>
  <c r="AH188" i="53"/>
  <c r="AJ172" i="53"/>
  <c r="AH38" i="53"/>
  <c r="AV15" i="9"/>
  <c r="AJ22" i="53"/>
  <c r="DE55" i="56"/>
  <c r="DE47" i="56"/>
  <c r="CP47" i="56"/>
  <c r="AH23" i="53"/>
  <c r="BG55" i="56"/>
  <c r="DF32" i="56"/>
  <c r="AJ8" i="53" s="1"/>
  <c r="BH32" i="56"/>
  <c r="BG10" i="56"/>
  <c r="BH10" i="56" s="1"/>
  <c r="AV159" i="9"/>
  <c r="BG60" i="56"/>
  <c r="AV303" i="9"/>
  <c r="AV411" i="9"/>
  <c r="DE60" i="56"/>
  <c r="AV447" i="9"/>
  <c r="BG47" i="56"/>
  <c r="AH173" i="53"/>
  <c r="AV267" i="9"/>
  <c r="AH98" i="53"/>
  <c r="DF37" i="56"/>
  <c r="AJ98" i="53" s="1"/>
  <c r="CR37" i="56"/>
  <c r="CS37" i="56" s="1"/>
  <c r="BH37" i="56"/>
  <c r="AZ266" i="9"/>
  <c r="AJ97" i="53"/>
  <c r="CR42" i="56"/>
  <c r="BH42" i="56"/>
  <c r="DC63" i="56"/>
  <c r="AJ381" i="53"/>
  <c r="BG17" i="56"/>
  <c r="AW375" i="9" s="1"/>
  <c r="CP17" i="56"/>
  <c r="DE17" i="56"/>
  <c r="AH382" i="53"/>
  <c r="BF63" i="56"/>
  <c r="AZ159" i="9"/>
  <c r="BA230" i="9"/>
  <c r="CS43" i="56"/>
  <c r="BJ43" i="56"/>
  <c r="DI43" i="56" s="1"/>
  <c r="AJ368" i="53"/>
  <c r="AJ53" i="53"/>
  <c r="AJ188" i="53"/>
  <c r="AH234" i="53"/>
  <c r="AH219" i="53"/>
  <c r="AH204" i="53"/>
  <c r="AH114" i="53"/>
  <c r="AZ195" i="9"/>
  <c r="AJ233" i="53"/>
  <c r="AJ218" i="53"/>
  <c r="AJ203" i="53"/>
  <c r="AJ38" i="53"/>
  <c r="AJ68" i="53"/>
  <c r="AJ143" i="53"/>
  <c r="AJ173" i="53"/>
  <c r="AJ113" i="53"/>
  <c r="AH39" i="53"/>
  <c r="BJ12" i="56"/>
  <c r="DI12" i="56" s="1"/>
  <c r="AH309" i="53"/>
  <c r="BH58" i="56"/>
  <c r="DG12" i="56"/>
  <c r="AJ307" i="53"/>
  <c r="DE58" i="56"/>
  <c r="CT12" i="56"/>
  <c r="AH308" i="53"/>
  <c r="DF12" i="56"/>
  <c r="BG58" i="56"/>
  <c r="CS9" i="56"/>
  <c r="BJ9" i="56"/>
  <c r="DG41" i="56"/>
  <c r="CT10" i="56"/>
  <c r="CV10" i="56" s="1"/>
  <c r="CW10" i="56" s="1"/>
  <c r="CX10" i="56" s="1"/>
  <c r="DI40" i="56"/>
  <c r="BK33" i="56"/>
  <c r="BK40" i="56"/>
  <c r="DJ40" i="56" s="1"/>
  <c r="BJ36" i="56"/>
  <c r="BN38" i="56"/>
  <c r="BL35" i="56"/>
  <c r="BL34" i="56"/>
  <c r="BK41" i="56"/>
  <c r="BK31" i="56"/>
  <c r="AV126" i="9" s="1"/>
  <c r="BK39" i="56"/>
  <c r="BK14" i="56"/>
  <c r="BK8" i="56"/>
  <c r="AW126" i="9" s="1"/>
  <c r="BL18" i="56"/>
  <c r="BK13" i="56"/>
  <c r="BL11" i="56"/>
  <c r="DF65" i="56"/>
  <c r="AJ413" i="53"/>
  <c r="BA555" i="9"/>
  <c r="DG19" i="56"/>
  <c r="BJ19" i="56"/>
  <c r="BF56" i="56"/>
  <c r="AW230" i="9"/>
  <c r="AH277" i="53"/>
  <c r="AJ412" i="53"/>
  <c r="DE65" i="56"/>
  <c r="AV593" i="9"/>
  <c r="DE56" i="56"/>
  <c r="AJ277" i="53"/>
  <c r="DF10" i="56"/>
  <c r="AH413" i="53"/>
  <c r="BG65" i="56"/>
  <c r="AW555" i="9"/>
  <c r="DG39" i="56"/>
  <c r="BH62" i="56"/>
  <c r="DI16" i="56"/>
  <c r="DJ34" i="56"/>
  <c r="BJ62" i="56"/>
  <c r="DI34" i="56"/>
  <c r="BH59" i="56"/>
  <c r="BN16" i="56"/>
  <c r="DE15" i="56"/>
  <c r="DE61" i="56" s="1"/>
  <c r="DI35" i="56"/>
  <c r="AH159" i="53"/>
  <c r="AJ158" i="53"/>
  <c r="AZ519" i="9"/>
  <c r="BA518" i="9"/>
  <c r="AJ351" i="53"/>
  <c r="AZ339" i="9"/>
  <c r="DF18" i="56"/>
  <c r="DF64" i="56" s="1"/>
  <c r="BH64" i="56"/>
  <c r="AW410" i="9"/>
  <c r="BG61" i="56"/>
  <c r="AH352" i="53"/>
  <c r="AH398" i="53"/>
  <c r="AW519" i="9"/>
  <c r="AJ83" i="53"/>
  <c r="BH57" i="56"/>
  <c r="BG57" i="56"/>
  <c r="BG59" i="56"/>
  <c r="DN44" i="56"/>
  <c r="DG36" i="56"/>
  <c r="AH84" i="53"/>
  <c r="AH264" i="53"/>
  <c r="AZ545" i="9"/>
  <c r="AV546" i="9"/>
  <c r="AZ231" i="9"/>
  <c r="DJ16" i="56"/>
  <c r="BA89" i="9"/>
  <c r="AW479" i="9"/>
  <c r="BA302" i="9"/>
  <c r="AJ397" i="53"/>
  <c r="AJ263" i="53"/>
  <c r="DG9" i="56"/>
  <c r="AJ369" i="53" s="1"/>
  <c r="DI31" i="56"/>
  <c r="AZ125" i="9" s="1"/>
  <c r="AW267" i="9"/>
  <c r="AH293" i="53"/>
  <c r="DF11" i="56"/>
  <c r="DF57" i="56" s="1"/>
  <c r="BA266" i="9"/>
  <c r="AJ292" i="53"/>
  <c r="AJ337" i="53"/>
  <c r="BA374" i="9"/>
  <c r="AH338" i="53"/>
  <c r="DF14" i="56"/>
  <c r="AV402" i="9"/>
  <c r="DJ38" i="56"/>
  <c r="AZ365" i="9"/>
  <c r="AW315" i="9"/>
  <c r="AH323" i="53"/>
  <c r="DF13" i="56"/>
  <c r="DF59" i="56" s="1"/>
  <c r="BA338" i="9"/>
  <c r="AJ322" i="53"/>
  <c r="AW221" i="9"/>
  <c r="AV86" i="9"/>
  <c r="AV74" i="9"/>
  <c r="AV142" i="9"/>
  <c r="AV2" i="9"/>
  <c r="AV480" i="9"/>
  <c r="AW329" i="9"/>
  <c r="AZ153" i="9"/>
  <c r="AZ141" i="9"/>
  <c r="DN45" i="56"/>
  <c r="AZ296" i="9"/>
  <c r="AV297" i="9"/>
  <c r="DN46" i="56"/>
  <c r="AZ193" i="9"/>
  <c r="AZ228" i="9"/>
  <c r="AW365" i="9"/>
  <c r="BA330" i="9"/>
  <c r="BA545" i="9"/>
  <c r="BA223" i="9"/>
  <c r="BA365" i="9"/>
  <c r="BA364" i="9"/>
  <c r="AW299" i="9"/>
  <c r="AV154" i="9"/>
  <c r="AV157" i="9"/>
  <c r="AZ337" i="9"/>
  <c r="AV334" i="9"/>
  <c r="AV337" i="9"/>
  <c r="AZ551" i="9"/>
  <c r="AZ444" i="9"/>
  <c r="AZ156" i="9"/>
  <c r="AW547" i="9"/>
  <c r="AZ336" i="9"/>
  <c r="AZ299" i="9"/>
  <c r="AW192" i="9"/>
  <c r="AW227" i="9"/>
  <c r="AV300" i="9"/>
  <c r="AV552" i="9"/>
  <c r="AV442" i="9"/>
  <c r="AV445" i="9"/>
  <c r="AW404" i="9"/>
  <c r="BA296" i="9"/>
  <c r="AW441" i="9"/>
  <c r="AW296" i="9"/>
  <c r="AW260" i="9"/>
  <c r="AW189" i="9"/>
  <c r="AZ10" i="9"/>
  <c r="AZ262" i="9"/>
  <c r="AW513" i="9"/>
  <c r="AW476" i="9"/>
  <c r="BA440" i="9"/>
  <c r="BA189" i="9"/>
  <c r="AH244" i="53"/>
  <c r="DA54" i="56"/>
  <c r="DF60" i="56" l="1"/>
  <c r="CR47" i="56"/>
  <c r="AH144" i="53"/>
  <c r="AH54" i="53"/>
  <c r="AH69" i="53"/>
  <c r="AH9" i="53"/>
  <c r="AH129" i="53"/>
  <c r="AH189" i="53"/>
  <c r="AH370" i="53"/>
  <c r="AW17" i="9"/>
  <c r="BJ32" i="56"/>
  <c r="AV16" i="9"/>
  <c r="AJ128" i="53"/>
  <c r="AZ15" i="9"/>
  <c r="AH265" i="53"/>
  <c r="DF55" i="56"/>
  <c r="AJ23" i="53"/>
  <c r="DG32" i="56"/>
  <c r="AH24" i="53"/>
  <c r="BH55" i="56"/>
  <c r="DF47" i="56"/>
  <c r="AZ267" i="9"/>
  <c r="AZ303" i="9"/>
  <c r="BH47" i="56"/>
  <c r="BH60" i="56"/>
  <c r="CS42" i="56"/>
  <c r="BJ42" i="56"/>
  <c r="AH175" i="53" s="1"/>
  <c r="CT37" i="56"/>
  <c r="AH174" i="53"/>
  <c r="DG42" i="56"/>
  <c r="AZ556" i="9" s="1"/>
  <c r="BJ37" i="56"/>
  <c r="BJ60" i="56" s="1"/>
  <c r="AH99" i="53"/>
  <c r="DG37" i="56"/>
  <c r="DF17" i="56"/>
  <c r="AH383" i="53"/>
  <c r="BG63" i="56"/>
  <c r="DE63" i="56"/>
  <c r="AJ382" i="53"/>
  <c r="CR17" i="56"/>
  <c r="BH17" i="56"/>
  <c r="BJ58" i="56"/>
  <c r="BA231" i="9"/>
  <c r="CT43" i="56"/>
  <c r="BK43" i="56"/>
  <c r="DJ43" i="56" s="1"/>
  <c r="DI9" i="56"/>
  <c r="AJ265" i="53" s="1"/>
  <c r="BK12" i="56"/>
  <c r="DJ12" i="56" s="1"/>
  <c r="AH40" i="53"/>
  <c r="AJ9" i="53"/>
  <c r="AJ99" i="53"/>
  <c r="AJ174" i="53"/>
  <c r="AJ159" i="53"/>
  <c r="AJ310" i="53"/>
  <c r="AH205" i="53"/>
  <c r="AH115" i="53"/>
  <c r="AH310" i="53"/>
  <c r="AZ196" i="9"/>
  <c r="AJ219" i="53"/>
  <c r="AJ234" i="53"/>
  <c r="AJ204" i="53"/>
  <c r="AJ39" i="53"/>
  <c r="AJ69" i="53"/>
  <c r="AJ114" i="53"/>
  <c r="AJ189" i="53"/>
  <c r="AJ370" i="53"/>
  <c r="AJ54" i="53"/>
  <c r="AJ309" i="53"/>
  <c r="AH145" i="53"/>
  <c r="DG58" i="56"/>
  <c r="CV12" i="56"/>
  <c r="AJ308" i="53"/>
  <c r="DF58" i="56"/>
  <c r="CT9" i="56"/>
  <c r="BK9" i="56"/>
  <c r="AW18" i="9" s="1"/>
  <c r="DJ33" i="56"/>
  <c r="BL39" i="56"/>
  <c r="BL41" i="56"/>
  <c r="BO38" i="56"/>
  <c r="BL40" i="56"/>
  <c r="AV379" i="9" s="1"/>
  <c r="BN35" i="56"/>
  <c r="BN34" i="56"/>
  <c r="BL33" i="56"/>
  <c r="BL31" i="56"/>
  <c r="BK36" i="56"/>
  <c r="AV342" i="9" s="1"/>
  <c r="BL13" i="56"/>
  <c r="BL8" i="56"/>
  <c r="AW127" i="9" s="1"/>
  <c r="BO16" i="56"/>
  <c r="BL14" i="56"/>
  <c r="AJ414" i="53"/>
  <c r="BA556" i="9"/>
  <c r="BJ10" i="56"/>
  <c r="DF56" i="56"/>
  <c r="AJ278" i="53"/>
  <c r="BK19" i="56"/>
  <c r="DI19" i="56"/>
  <c r="BG56" i="56"/>
  <c r="AH278" i="53"/>
  <c r="AW231" i="9"/>
  <c r="AV595" i="9"/>
  <c r="AH414" i="53"/>
  <c r="AW556" i="9"/>
  <c r="BH65" i="56"/>
  <c r="DI58" i="56"/>
  <c r="AJ129" i="53"/>
  <c r="DG62" i="56"/>
  <c r="AJ352" i="53"/>
  <c r="AH130" i="53"/>
  <c r="DI39" i="56"/>
  <c r="BH61" i="56"/>
  <c r="BJ15" i="56"/>
  <c r="BA410" i="9"/>
  <c r="DJ35" i="56"/>
  <c r="BK62" i="56"/>
  <c r="AV522" i="9"/>
  <c r="BN18" i="56"/>
  <c r="BN11" i="56"/>
  <c r="BJ59" i="56"/>
  <c r="AJ398" i="53"/>
  <c r="DI41" i="56"/>
  <c r="AH160" i="53"/>
  <c r="BA519" i="9"/>
  <c r="AH294" i="53"/>
  <c r="BJ57" i="56"/>
  <c r="DG18" i="56"/>
  <c r="DG64" i="56" s="1"/>
  <c r="AZ440" i="9"/>
  <c r="AZ441" i="9"/>
  <c r="AJ84" i="53"/>
  <c r="DG11" i="56"/>
  <c r="DG57" i="56" s="1"/>
  <c r="AW411" i="9"/>
  <c r="BJ64" i="56"/>
  <c r="AH399" i="53"/>
  <c r="DF15" i="56"/>
  <c r="DF61" i="56" s="1"/>
  <c r="AH353" i="53"/>
  <c r="DJ31" i="56"/>
  <c r="AH295" i="53"/>
  <c r="AV98" i="9"/>
  <c r="AV38" i="9"/>
  <c r="DO44" i="56"/>
  <c r="AH85" i="53"/>
  <c r="AV50" i="9"/>
  <c r="DO45" i="56"/>
  <c r="AV547" i="9"/>
  <c r="CS47" i="56"/>
  <c r="AZ546" i="9"/>
  <c r="DI36" i="56"/>
  <c r="BA479" i="9"/>
  <c r="AJ264" i="53"/>
  <c r="BA267" i="9"/>
  <c r="AJ293" i="53"/>
  <c r="AV601" i="9"/>
  <c r="AV600" i="9"/>
  <c r="AV594" i="9"/>
  <c r="AV599" i="9"/>
  <c r="BA375" i="9"/>
  <c r="AJ338" i="53"/>
  <c r="AH339" i="53"/>
  <c r="DG14" i="56"/>
  <c r="AV563" i="9"/>
  <c r="AV565" i="9"/>
  <c r="AV564" i="9"/>
  <c r="AV558" i="9"/>
  <c r="AV529" i="9"/>
  <c r="AV528" i="9"/>
  <c r="AV527" i="9"/>
  <c r="AV521" i="9"/>
  <c r="AV520" i="9"/>
  <c r="AV491" i="9"/>
  <c r="AV486" i="9"/>
  <c r="AV485" i="9"/>
  <c r="AV493" i="9"/>
  <c r="AV484" i="9"/>
  <c r="AV492" i="9"/>
  <c r="AV446" i="9"/>
  <c r="AV455" i="9"/>
  <c r="AV456" i="9"/>
  <c r="AV457" i="9"/>
  <c r="AV448" i="9"/>
  <c r="DK38" i="56"/>
  <c r="AV410" i="9"/>
  <c r="AV419" i="9"/>
  <c r="AV412" i="9"/>
  <c r="AV420" i="9"/>
  <c r="AV421" i="9"/>
  <c r="AV413" i="9"/>
  <c r="AV376" i="9"/>
  <c r="AV384" i="9"/>
  <c r="AV378" i="9"/>
  <c r="AV383" i="9"/>
  <c r="AV377" i="9"/>
  <c r="AV385" i="9"/>
  <c r="AV367" i="9"/>
  <c r="BA339" i="9"/>
  <c r="AJ323" i="53"/>
  <c r="AH324" i="53"/>
  <c r="DG13" i="56"/>
  <c r="DG59" i="56" s="1"/>
  <c r="AV348" i="9"/>
  <c r="AV347" i="9"/>
  <c r="AV340" i="9"/>
  <c r="AV349" i="9"/>
  <c r="AV341" i="9"/>
  <c r="AV302" i="9"/>
  <c r="AV304" i="9"/>
  <c r="AV312" i="9"/>
  <c r="AV313" i="9"/>
  <c r="AV311" i="9"/>
  <c r="AV305" i="9"/>
  <c r="AV275" i="9"/>
  <c r="AV277" i="9"/>
  <c r="AV268" i="9"/>
  <c r="AV276" i="9"/>
  <c r="AV232" i="9"/>
  <c r="AV240" i="9"/>
  <c r="AV233" i="9"/>
  <c r="AV239" i="9"/>
  <c r="AV241" i="9"/>
  <c r="AV14" i="9"/>
  <c r="AV140" i="9"/>
  <c r="AV205" i="9"/>
  <c r="AV203" i="9"/>
  <c r="AV204" i="9"/>
  <c r="AV197" i="9"/>
  <c r="AV196" i="9"/>
  <c r="AV161" i="9"/>
  <c r="AV160" i="9"/>
  <c r="AV168" i="9"/>
  <c r="AV167" i="9"/>
  <c r="AV169" i="9"/>
  <c r="AW222" i="9"/>
  <c r="AV638" i="9"/>
  <c r="AV650" i="9"/>
  <c r="AV614" i="9"/>
  <c r="AV626" i="9"/>
  <c r="AV605" i="9"/>
  <c r="AV602" i="9"/>
  <c r="AV578" i="9"/>
  <c r="AV590" i="9"/>
  <c r="AZ332" i="9"/>
  <c r="AV333" i="9"/>
  <c r="AV554" i="9"/>
  <c r="AV566" i="9"/>
  <c r="BA15" i="9"/>
  <c r="BA531" i="9"/>
  <c r="AV533" i="9"/>
  <c r="AV530" i="9"/>
  <c r="AV122" i="9"/>
  <c r="AV110" i="9"/>
  <c r="AZ406" i="9"/>
  <c r="AZ86" i="9"/>
  <c r="AZ373" i="9"/>
  <c r="AZ74" i="9"/>
  <c r="AZ334" i="9"/>
  <c r="AW193" i="9"/>
  <c r="AW14" i="9"/>
  <c r="AW330" i="9"/>
  <c r="DO46" i="56"/>
  <c r="AV317" i="9"/>
  <c r="AV181" i="9"/>
  <c r="AV462" i="9"/>
  <c r="AV138" i="9"/>
  <c r="AV173" i="9"/>
  <c r="AV360" i="9"/>
  <c r="AV178" i="9"/>
  <c r="AV394" i="9"/>
  <c r="AV504" i="9"/>
  <c r="AV283" i="9"/>
  <c r="AV318" i="9"/>
  <c r="AV252" i="9"/>
  <c r="AV359" i="9"/>
  <c r="AV253" i="9"/>
  <c r="AV284" i="9"/>
  <c r="AV144" i="9"/>
  <c r="AV280" i="9"/>
  <c r="AV497" i="9"/>
  <c r="AV358" i="9"/>
  <c r="AV251" i="9"/>
  <c r="AV396" i="9"/>
  <c r="AV213" i="9"/>
  <c r="AV392" i="9"/>
  <c r="AV502" i="9"/>
  <c r="AV286" i="9"/>
  <c r="AV465" i="9"/>
  <c r="AV425" i="9"/>
  <c r="AV285" i="9"/>
  <c r="AV361" i="9"/>
  <c r="AV214" i="9"/>
  <c r="AV469" i="9"/>
  <c r="AV432" i="9"/>
  <c r="AV249" i="9"/>
  <c r="AV461" i="9"/>
  <c r="AV211" i="9"/>
  <c r="AV250" i="9"/>
  <c r="AV216" i="9"/>
  <c r="AV356" i="9"/>
  <c r="AV468" i="9"/>
  <c r="AV319" i="9"/>
  <c r="AV499" i="9"/>
  <c r="AV498" i="9"/>
  <c r="AV353" i="9"/>
  <c r="AV281" i="9"/>
  <c r="AV145" i="9"/>
  <c r="AV212" i="9"/>
  <c r="AV287" i="9"/>
  <c r="AV463" i="9"/>
  <c r="AV248" i="9"/>
  <c r="AV282" i="9"/>
  <c r="AV320" i="9"/>
  <c r="AV324" i="9"/>
  <c r="AV176" i="9"/>
  <c r="AV395" i="9"/>
  <c r="AV355" i="9"/>
  <c r="AV357" i="9"/>
  <c r="AV247" i="9"/>
  <c r="AV431" i="9"/>
  <c r="AV429" i="9"/>
  <c r="AV352" i="9"/>
  <c r="AV289" i="9"/>
  <c r="AV325" i="9"/>
  <c r="AV246" i="9"/>
  <c r="AV496" i="9"/>
  <c r="AV209" i="9"/>
  <c r="AV323" i="9"/>
  <c r="AV172" i="9"/>
  <c r="AV180" i="9"/>
  <c r="AV390" i="9"/>
  <c r="AV174" i="9"/>
  <c r="AV177" i="9"/>
  <c r="AV321" i="9"/>
  <c r="AV464" i="9"/>
  <c r="AV501" i="9"/>
  <c r="AV428" i="9"/>
  <c r="AV215" i="9"/>
  <c r="AV388" i="9"/>
  <c r="AV288" i="9"/>
  <c r="AV466" i="9"/>
  <c r="AV210" i="9"/>
  <c r="AV424" i="9"/>
  <c r="AV397" i="9"/>
  <c r="AV500" i="9"/>
  <c r="AV139" i="9"/>
  <c r="AV143" i="9"/>
  <c r="AV460" i="9"/>
  <c r="AV175" i="9"/>
  <c r="AV467" i="9"/>
  <c r="AV430" i="9"/>
  <c r="AV426" i="9"/>
  <c r="AV433" i="9"/>
  <c r="AV391" i="9"/>
  <c r="AV316" i="9"/>
  <c r="AV217" i="9"/>
  <c r="AV179" i="9"/>
  <c r="AV505" i="9"/>
  <c r="AV354" i="9"/>
  <c r="AV208" i="9"/>
  <c r="AV245" i="9"/>
  <c r="AV393" i="9"/>
  <c r="AV244" i="9"/>
  <c r="AV503" i="9"/>
  <c r="AV427" i="9"/>
  <c r="AV389" i="9"/>
  <c r="AZ154" i="9"/>
  <c r="AZ142" i="9"/>
  <c r="AV265" i="9"/>
  <c r="AW443" i="9"/>
  <c r="AV298" i="9"/>
  <c r="AZ297" i="9"/>
  <c r="AZ229" i="9"/>
  <c r="BA546" i="9"/>
  <c r="BA331" i="9"/>
  <c r="AW366" i="9"/>
  <c r="BA227" i="9"/>
  <c r="AW300" i="9"/>
  <c r="AW408" i="9"/>
  <c r="AZ552" i="9"/>
  <c r="AZ300" i="9"/>
  <c r="AW229" i="9"/>
  <c r="AW335" i="9"/>
  <c r="AW480" i="9"/>
  <c r="AW517" i="9"/>
  <c r="AZ442" i="9"/>
  <c r="AZ445" i="9"/>
  <c r="AV553" i="9"/>
  <c r="AW548" i="9"/>
  <c r="AW264" i="9"/>
  <c r="AW445" i="9"/>
  <c r="AV301" i="9"/>
  <c r="BA225" i="9"/>
  <c r="BA228" i="9"/>
  <c r="AW228" i="9"/>
  <c r="AZ157" i="9"/>
  <c r="BA477" i="9"/>
  <c r="BA405" i="9"/>
  <c r="BA9" i="9"/>
  <c r="BA261" i="9"/>
  <c r="BA514" i="9"/>
  <c r="AW297" i="9"/>
  <c r="AW190" i="9"/>
  <c r="BA476" i="9"/>
  <c r="BA442" i="9"/>
  <c r="BA441" i="9"/>
  <c r="BA404" i="9"/>
  <c r="BA513" i="9"/>
  <c r="AW442" i="9"/>
  <c r="BA8" i="9"/>
  <c r="BA260" i="9"/>
  <c r="AW9" i="9"/>
  <c r="AW261" i="9"/>
  <c r="AW514" i="9"/>
  <c r="AW405" i="9"/>
  <c r="BA297" i="9"/>
  <c r="AW477" i="9"/>
  <c r="BA3" i="9"/>
  <c r="AJ244" i="53"/>
  <c r="DB54" i="56"/>
  <c r="AH245" i="53"/>
  <c r="AH220" i="53" l="1"/>
  <c r="AH190" i="53"/>
  <c r="AH235" i="53"/>
  <c r="AV17" i="9"/>
  <c r="AH10" i="53"/>
  <c r="AH55" i="53"/>
  <c r="AH70" i="53"/>
  <c r="BJ55" i="56"/>
  <c r="BK32" i="56"/>
  <c r="AH25" i="53"/>
  <c r="DI32" i="56"/>
  <c r="AV18" i="9"/>
  <c r="AJ144" i="53"/>
  <c r="AZ16" i="9"/>
  <c r="AZ25" i="9"/>
  <c r="AZ24" i="9"/>
  <c r="AZ23" i="9"/>
  <c r="AJ145" i="53"/>
  <c r="DG65" i="56"/>
  <c r="BK58" i="56"/>
  <c r="DG55" i="56"/>
  <c r="BL12" i="56"/>
  <c r="BN12" i="56" s="1"/>
  <c r="AJ24" i="53"/>
  <c r="DG47" i="56"/>
  <c r="DG60" i="56"/>
  <c r="AV162" i="9"/>
  <c r="AV269" i="9"/>
  <c r="BJ47" i="56"/>
  <c r="AV449" i="9"/>
  <c r="AH100" i="53"/>
  <c r="DI37" i="56"/>
  <c r="AJ100" i="53" s="1"/>
  <c r="BK37" i="56"/>
  <c r="AH101" i="53" s="1"/>
  <c r="CV37" i="56"/>
  <c r="AV557" i="9"/>
  <c r="DI42" i="56"/>
  <c r="AJ175" i="53" s="1"/>
  <c r="CT42" i="56"/>
  <c r="CT47" i="56" s="1"/>
  <c r="BK42" i="56"/>
  <c r="AH384" i="53"/>
  <c r="DG17" i="56"/>
  <c r="BH63" i="56"/>
  <c r="BJ17" i="56"/>
  <c r="CS17" i="56"/>
  <c r="DF63" i="56"/>
  <c r="AJ383" i="53"/>
  <c r="AV234" i="9"/>
  <c r="BA303" i="9"/>
  <c r="AV127" i="9"/>
  <c r="CV43" i="56"/>
  <c r="BL43" i="56"/>
  <c r="AZ126" i="9"/>
  <c r="AZ132" i="9"/>
  <c r="AZ131" i="9"/>
  <c r="AZ133" i="9"/>
  <c r="AH266" i="53"/>
  <c r="AH371" i="53"/>
  <c r="AH311" i="53"/>
  <c r="AH41" i="53"/>
  <c r="AJ220" i="53"/>
  <c r="AJ205" i="53"/>
  <c r="AJ235" i="53"/>
  <c r="AJ40" i="53"/>
  <c r="AJ115" i="53"/>
  <c r="AJ190" i="53"/>
  <c r="AV198" i="9"/>
  <c r="AH206" i="53"/>
  <c r="AH221" i="53"/>
  <c r="AH236" i="53"/>
  <c r="AH191" i="53"/>
  <c r="AH71" i="53"/>
  <c r="AH116" i="53"/>
  <c r="CW12" i="56"/>
  <c r="DJ9" i="56"/>
  <c r="CV9" i="56"/>
  <c r="BL9" i="56"/>
  <c r="AW19" i="9" s="1"/>
  <c r="DK33" i="56"/>
  <c r="AV559" i="9"/>
  <c r="AV487" i="9"/>
  <c r="DK40" i="56"/>
  <c r="BL36" i="56"/>
  <c r="BN36" i="56" s="1"/>
  <c r="BP38" i="56"/>
  <c r="BN39" i="56"/>
  <c r="BO35" i="56"/>
  <c r="BN31" i="56"/>
  <c r="BN40" i="56"/>
  <c r="AV488" i="9" s="1"/>
  <c r="BN41" i="56"/>
  <c r="BO34" i="56"/>
  <c r="BN33" i="56"/>
  <c r="DM33" i="56" s="1"/>
  <c r="BL32" i="56"/>
  <c r="BO11" i="56"/>
  <c r="BK15" i="56"/>
  <c r="BP16" i="56"/>
  <c r="BO18" i="56"/>
  <c r="AJ415" i="53"/>
  <c r="BA557" i="9"/>
  <c r="BH56" i="56"/>
  <c r="AH279" i="53"/>
  <c r="BJ65" i="56"/>
  <c r="AW557" i="9"/>
  <c r="AH415" i="53"/>
  <c r="BL19" i="56"/>
  <c r="DJ19" i="56"/>
  <c r="DG10" i="56"/>
  <c r="DK43" i="56"/>
  <c r="BK10" i="56"/>
  <c r="DI10" i="56"/>
  <c r="AH131" i="53"/>
  <c r="DK16" i="56"/>
  <c r="DJ39" i="56"/>
  <c r="AJ160" i="53"/>
  <c r="DJ58" i="56"/>
  <c r="AJ130" i="53"/>
  <c r="DI62" i="56"/>
  <c r="AH57" i="53"/>
  <c r="DK35" i="56"/>
  <c r="DM35" i="56"/>
  <c r="DK39" i="56"/>
  <c r="DK34" i="56"/>
  <c r="BN14" i="56"/>
  <c r="BK59" i="56"/>
  <c r="BN13" i="56"/>
  <c r="DM16" i="56"/>
  <c r="BN8" i="56"/>
  <c r="DI11" i="56"/>
  <c r="DI57" i="56" s="1"/>
  <c r="BK57" i="56"/>
  <c r="AJ353" i="53"/>
  <c r="BK64" i="56"/>
  <c r="AH161" i="53"/>
  <c r="DJ41" i="56"/>
  <c r="AJ294" i="53"/>
  <c r="AJ399" i="53"/>
  <c r="BA411" i="9"/>
  <c r="AZ98" i="9"/>
  <c r="AZ50" i="9"/>
  <c r="AZ38" i="9"/>
  <c r="DI18" i="56"/>
  <c r="DI64" i="56" s="1"/>
  <c r="AH354" i="53"/>
  <c r="AH400" i="53"/>
  <c r="DG15" i="56"/>
  <c r="DG61" i="56" s="1"/>
  <c r="AW194" i="9"/>
  <c r="BF54" i="56"/>
  <c r="AH12" i="53"/>
  <c r="DK31" i="56"/>
  <c r="DJ32" i="56"/>
  <c r="AZ162" i="9" s="1"/>
  <c r="BK55" i="56"/>
  <c r="AJ85" i="53"/>
  <c r="AH26" i="53"/>
  <c r="DJ36" i="56"/>
  <c r="AH86" i="53"/>
  <c r="AZ479" i="9"/>
  <c r="AV548" i="9"/>
  <c r="BA532" i="9"/>
  <c r="AJ339" i="53"/>
  <c r="BA300" i="9"/>
  <c r="BA299" i="9"/>
  <c r="AW50" i="9"/>
  <c r="BA480" i="9"/>
  <c r="AJ324" i="53"/>
  <c r="AH401" i="53"/>
  <c r="AZ601" i="9"/>
  <c r="AZ594" i="9"/>
  <c r="DI14" i="56"/>
  <c r="AH340" i="53"/>
  <c r="AZ558" i="9"/>
  <c r="AZ559" i="9"/>
  <c r="AZ564" i="9"/>
  <c r="AZ563" i="9"/>
  <c r="AZ565" i="9"/>
  <c r="AZ515" i="9"/>
  <c r="AZ521" i="9"/>
  <c r="AZ528" i="9"/>
  <c r="AZ529" i="9"/>
  <c r="AZ527" i="9"/>
  <c r="AZ520" i="9"/>
  <c r="AZ482" i="9"/>
  <c r="AZ491" i="9"/>
  <c r="AZ493" i="9"/>
  <c r="AZ485" i="9"/>
  <c r="AZ484" i="9"/>
  <c r="AZ486" i="9"/>
  <c r="AZ492" i="9"/>
  <c r="AZ449" i="9"/>
  <c r="AZ447" i="9"/>
  <c r="AZ448" i="9"/>
  <c r="AZ457" i="9"/>
  <c r="AZ419" i="9"/>
  <c r="AZ421" i="9"/>
  <c r="AZ412" i="9"/>
  <c r="AZ420" i="9"/>
  <c r="DM38" i="56"/>
  <c r="AZ383" i="9"/>
  <c r="AZ384" i="9"/>
  <c r="AZ379" i="9"/>
  <c r="AZ385" i="9"/>
  <c r="AZ378" i="9"/>
  <c r="AZ376" i="9"/>
  <c r="AZ377" i="9"/>
  <c r="AZ371" i="9"/>
  <c r="DI13" i="56"/>
  <c r="DI59" i="56" s="1"/>
  <c r="AH325" i="53"/>
  <c r="AZ348" i="9"/>
  <c r="AZ341" i="9"/>
  <c r="AZ340" i="9"/>
  <c r="AZ349" i="9"/>
  <c r="AZ347" i="9"/>
  <c r="AZ302" i="9"/>
  <c r="AZ304" i="9"/>
  <c r="AZ305" i="9"/>
  <c r="AZ311" i="9"/>
  <c r="AZ312" i="9"/>
  <c r="AZ313" i="9"/>
  <c r="AZ268" i="9"/>
  <c r="AZ269" i="9"/>
  <c r="AZ276" i="9"/>
  <c r="AZ275" i="9"/>
  <c r="AZ277" i="9"/>
  <c r="AZ239" i="9"/>
  <c r="AZ241" i="9"/>
  <c r="AZ233" i="9"/>
  <c r="AZ232" i="9"/>
  <c r="AZ240" i="9"/>
  <c r="AZ14" i="9"/>
  <c r="AV141" i="9"/>
  <c r="AZ197" i="9"/>
  <c r="AZ205" i="9"/>
  <c r="AZ203" i="9"/>
  <c r="AZ140" i="9"/>
  <c r="AV26" i="9"/>
  <c r="AW223" i="9"/>
  <c r="AZ167" i="9"/>
  <c r="AZ168" i="9"/>
  <c r="AZ160" i="9"/>
  <c r="AZ169" i="9"/>
  <c r="AZ161" i="9"/>
  <c r="AV322" i="9"/>
  <c r="AZ638" i="9"/>
  <c r="AZ650" i="9"/>
  <c r="AZ614" i="9"/>
  <c r="AZ626" i="9"/>
  <c r="AZ605" i="9"/>
  <c r="AZ602" i="9"/>
  <c r="AZ578" i="9"/>
  <c r="AZ593" i="9"/>
  <c r="AZ590" i="9"/>
  <c r="AZ569" i="9"/>
  <c r="AZ566" i="9"/>
  <c r="AZ557" i="9"/>
  <c r="AZ554" i="9"/>
  <c r="AZ533" i="9"/>
  <c r="AZ530" i="9"/>
  <c r="BA517" i="9"/>
  <c r="AZ517" i="9"/>
  <c r="AZ122" i="9"/>
  <c r="AW481" i="9"/>
  <c r="AW110" i="9"/>
  <c r="AZ481" i="9"/>
  <c r="AZ110" i="9"/>
  <c r="AW226" i="9"/>
  <c r="AW26" i="9"/>
  <c r="BA193" i="9"/>
  <c r="BA14" i="9"/>
  <c r="AW331" i="9"/>
  <c r="BA4" i="9"/>
  <c r="BA16" i="9"/>
  <c r="AW146" i="9"/>
  <c r="AW134" i="9"/>
  <c r="AZ316" i="9"/>
  <c r="AZ215" i="9"/>
  <c r="AZ323" i="9"/>
  <c r="AZ502" i="9"/>
  <c r="AZ320" i="9"/>
  <c r="AZ500" i="9"/>
  <c r="AZ284" i="9"/>
  <c r="AZ289" i="9"/>
  <c r="AZ145" i="9"/>
  <c r="AZ361" i="9"/>
  <c r="AZ283" i="9"/>
  <c r="AZ397" i="9"/>
  <c r="AZ430" i="9"/>
  <c r="AZ176" i="9"/>
  <c r="AZ504" i="9"/>
  <c r="AZ498" i="9"/>
  <c r="AZ179" i="9"/>
  <c r="AZ217" i="9"/>
  <c r="AZ425" i="9"/>
  <c r="AZ251" i="9"/>
  <c r="AZ433" i="9"/>
  <c r="AZ426" i="9"/>
  <c r="AZ253" i="9"/>
  <c r="AZ288" i="9"/>
  <c r="AZ467" i="9"/>
  <c r="AZ177" i="9"/>
  <c r="AZ212" i="9"/>
  <c r="AZ395" i="9"/>
  <c r="AZ213" i="9"/>
  <c r="AZ427" i="9"/>
  <c r="AZ322" i="9"/>
  <c r="AZ216" i="9"/>
  <c r="AZ461" i="9"/>
  <c r="AZ248" i="9"/>
  <c r="AZ281" i="9"/>
  <c r="AZ252" i="9"/>
  <c r="AZ317" i="9"/>
  <c r="AZ462" i="9"/>
  <c r="AZ325" i="9"/>
  <c r="AZ469" i="9"/>
  <c r="AZ282" i="9"/>
  <c r="AZ210" i="9"/>
  <c r="AZ505" i="9"/>
  <c r="AZ392" i="9"/>
  <c r="AZ355" i="9"/>
  <c r="AZ246" i="9"/>
  <c r="AZ352" i="9"/>
  <c r="AZ429" i="9"/>
  <c r="AZ357" i="9"/>
  <c r="AZ211" i="9"/>
  <c r="AZ319" i="9"/>
  <c r="AZ181" i="9"/>
  <c r="AZ428" i="9"/>
  <c r="AZ285" i="9"/>
  <c r="AZ173" i="9"/>
  <c r="AZ249" i="9"/>
  <c r="AZ496" i="9"/>
  <c r="AZ468" i="9"/>
  <c r="AZ499" i="9"/>
  <c r="AZ394" i="9"/>
  <c r="AZ388" i="9"/>
  <c r="AZ497" i="9"/>
  <c r="AZ324" i="9"/>
  <c r="AZ180" i="9"/>
  <c r="AZ214" i="9"/>
  <c r="AZ250" i="9"/>
  <c r="AZ245" i="9"/>
  <c r="AZ431" i="9"/>
  <c r="AZ280" i="9"/>
  <c r="AZ391" i="9"/>
  <c r="AZ460" i="9"/>
  <c r="AZ143" i="9"/>
  <c r="AZ286" i="9"/>
  <c r="AZ359" i="9"/>
  <c r="AZ393" i="9"/>
  <c r="AZ424" i="9"/>
  <c r="AZ389" i="9"/>
  <c r="AZ466" i="9"/>
  <c r="AZ318" i="9"/>
  <c r="AZ356" i="9"/>
  <c r="AZ465" i="9"/>
  <c r="AZ464" i="9"/>
  <c r="AZ208" i="9"/>
  <c r="AZ247" i="9"/>
  <c r="AZ172" i="9"/>
  <c r="AZ390" i="9"/>
  <c r="AZ138" i="9"/>
  <c r="AZ321" i="9"/>
  <c r="AZ139" i="9"/>
  <c r="AZ358" i="9"/>
  <c r="AZ144" i="9"/>
  <c r="AZ354" i="9"/>
  <c r="AZ178" i="9"/>
  <c r="AZ175" i="9"/>
  <c r="AZ174" i="9"/>
  <c r="AZ209" i="9"/>
  <c r="AZ287" i="9"/>
  <c r="AZ463" i="9"/>
  <c r="AZ353" i="9"/>
  <c r="AZ244" i="9"/>
  <c r="AZ360" i="9"/>
  <c r="AZ432" i="9"/>
  <c r="AZ396" i="9"/>
  <c r="AZ501" i="9"/>
  <c r="AZ503" i="9"/>
  <c r="AZ265" i="9"/>
  <c r="BA443" i="9"/>
  <c r="AW444" i="9"/>
  <c r="AW263" i="9"/>
  <c r="AZ298" i="9"/>
  <c r="BA547" i="9"/>
  <c r="AW367" i="9"/>
  <c r="BA366" i="9"/>
  <c r="AW549" i="9"/>
  <c r="BA335" i="9"/>
  <c r="AW301" i="9"/>
  <c r="AW409" i="9"/>
  <c r="AZ301" i="9"/>
  <c r="AW551" i="9"/>
  <c r="AW336" i="9"/>
  <c r="BA229" i="9"/>
  <c r="AZ553" i="9"/>
  <c r="BA406" i="9"/>
  <c r="AW10" i="9"/>
  <c r="AW262" i="9"/>
  <c r="AW478" i="9"/>
  <c r="BA298" i="9"/>
  <c r="AW406" i="9"/>
  <c r="BA190" i="9"/>
  <c r="AW298" i="9"/>
  <c r="AJ245" i="53"/>
  <c r="DC8" i="56"/>
  <c r="DC54" i="56" s="1"/>
  <c r="DE8" i="56"/>
  <c r="AH246" i="53"/>
  <c r="AH247" i="53"/>
  <c r="BK60" i="56" l="1"/>
  <c r="AZ17" i="9"/>
  <c r="AJ10" i="53"/>
  <c r="AJ70" i="53"/>
  <c r="AJ55" i="53"/>
  <c r="AH56" i="53"/>
  <c r="AH146" i="53"/>
  <c r="AH11" i="53"/>
  <c r="DK12" i="56"/>
  <c r="DK58" i="56" s="1"/>
  <c r="DI55" i="56"/>
  <c r="AJ25" i="53"/>
  <c r="AH147" i="53"/>
  <c r="AV19" i="9"/>
  <c r="AZ18" i="9"/>
  <c r="AH312" i="53"/>
  <c r="BL58" i="56"/>
  <c r="DI47" i="56"/>
  <c r="AZ413" i="9"/>
  <c r="DI60" i="56"/>
  <c r="DI65" i="56"/>
  <c r="DJ42" i="56"/>
  <c r="AJ176" i="53" s="1"/>
  <c r="AV414" i="9"/>
  <c r="BL37" i="56"/>
  <c r="DK37" i="56" s="1"/>
  <c r="AZ307" i="9" s="1"/>
  <c r="AV306" i="9"/>
  <c r="AZ414" i="9"/>
  <c r="BK47" i="56"/>
  <c r="AV450" i="9"/>
  <c r="AZ450" i="9"/>
  <c r="AH176" i="53"/>
  <c r="AV270" i="9"/>
  <c r="DJ37" i="56"/>
  <c r="AJ101" i="53" s="1"/>
  <c r="CV42" i="56"/>
  <c r="CV47" i="56" s="1"/>
  <c r="BL42" i="56"/>
  <c r="AH177" i="53" s="1"/>
  <c r="CW37" i="56"/>
  <c r="BN37" i="56"/>
  <c r="DM37" i="56" s="1"/>
  <c r="AH385" i="53"/>
  <c r="BJ63" i="56"/>
  <c r="DI17" i="56"/>
  <c r="DG63" i="56"/>
  <c r="AJ384" i="53"/>
  <c r="CT17" i="56"/>
  <c r="BK17" i="56"/>
  <c r="AV128" i="9"/>
  <c r="CW43" i="56"/>
  <c r="CX43" i="56" s="1"/>
  <c r="BN43" i="56"/>
  <c r="DM43" i="56" s="1"/>
  <c r="AZ127" i="9"/>
  <c r="AV163" i="9"/>
  <c r="AH267" i="53"/>
  <c r="AH372" i="53"/>
  <c r="AJ221" i="53"/>
  <c r="AJ236" i="53"/>
  <c r="AJ206" i="53"/>
  <c r="AJ116" i="53"/>
  <c r="AJ56" i="53"/>
  <c r="AJ146" i="53"/>
  <c r="AJ11" i="53"/>
  <c r="AJ41" i="53"/>
  <c r="AJ266" i="53"/>
  <c r="AJ371" i="53"/>
  <c r="AJ311" i="53"/>
  <c r="AH42" i="53"/>
  <c r="BN32" i="56"/>
  <c r="AH222" i="53"/>
  <c r="AH207" i="53"/>
  <c r="AH237" i="53"/>
  <c r="AH72" i="53"/>
  <c r="AH117" i="53"/>
  <c r="AJ191" i="53"/>
  <c r="AJ71" i="53"/>
  <c r="DK9" i="56"/>
  <c r="AJ267" i="53" s="1"/>
  <c r="CX12" i="56"/>
  <c r="BO12" i="56"/>
  <c r="DJ55" i="56"/>
  <c r="AZ487" i="9"/>
  <c r="DM40" i="56"/>
  <c r="AZ488" i="9" s="1"/>
  <c r="AH148" i="53"/>
  <c r="CW9" i="56"/>
  <c r="BN9" i="56"/>
  <c r="AH268" i="53" s="1"/>
  <c r="AH43" i="53"/>
  <c r="BP34" i="56"/>
  <c r="BO40" i="56"/>
  <c r="BP35" i="56"/>
  <c r="BO36" i="56"/>
  <c r="BO33" i="56"/>
  <c r="DN33" i="56" s="1"/>
  <c r="BO41" i="56"/>
  <c r="BO31" i="56"/>
  <c r="BO39" i="56"/>
  <c r="BP39" i="56" s="1"/>
  <c r="BO8" i="56"/>
  <c r="BO14" i="56"/>
  <c r="BP18" i="56"/>
  <c r="BL15" i="56"/>
  <c r="BO13" i="56"/>
  <c r="BP11" i="56"/>
  <c r="AZ198" i="9"/>
  <c r="AJ416" i="53"/>
  <c r="AZ596" i="9"/>
  <c r="DI56" i="56"/>
  <c r="AJ280" i="53"/>
  <c r="AZ595" i="9"/>
  <c r="BN19" i="56"/>
  <c r="DK19" i="56"/>
  <c r="DE54" i="56"/>
  <c r="BA158" i="9"/>
  <c r="BJ56" i="56"/>
  <c r="AH280" i="53"/>
  <c r="DG56" i="56"/>
  <c r="AJ279" i="53"/>
  <c r="BL55" i="56"/>
  <c r="AV199" i="9"/>
  <c r="BL10" i="56"/>
  <c r="DJ10" i="56"/>
  <c r="BK65" i="56"/>
  <c r="AH416" i="53"/>
  <c r="AV596" i="9"/>
  <c r="DJ62" i="56"/>
  <c r="AJ131" i="53"/>
  <c r="AJ161" i="53"/>
  <c r="DK62" i="56"/>
  <c r="BJ61" i="56"/>
  <c r="AV451" i="9"/>
  <c r="AH132" i="53"/>
  <c r="AZ451" i="9"/>
  <c r="BL62" i="56"/>
  <c r="AH373" i="53"/>
  <c r="AV272" i="9"/>
  <c r="BN58" i="56"/>
  <c r="AV380" i="9"/>
  <c r="AV381" i="9"/>
  <c r="DN34" i="56"/>
  <c r="DM39" i="56"/>
  <c r="AH73" i="53"/>
  <c r="DM34" i="56"/>
  <c r="AH313" i="53"/>
  <c r="DM12" i="56"/>
  <c r="BN57" i="56"/>
  <c r="BL59" i="56"/>
  <c r="BL57" i="56"/>
  <c r="AH296" i="53"/>
  <c r="DJ11" i="56"/>
  <c r="DJ57" i="56" s="1"/>
  <c r="AJ400" i="53"/>
  <c r="AJ295" i="53"/>
  <c r="DJ18" i="56"/>
  <c r="DJ64" i="56" s="1"/>
  <c r="BL64" i="56"/>
  <c r="AJ354" i="53"/>
  <c r="AZ522" i="9"/>
  <c r="DK41" i="56"/>
  <c r="AH162" i="53"/>
  <c r="AV523" i="9"/>
  <c r="AH355" i="53"/>
  <c r="DI15" i="56"/>
  <c r="DI61" i="56" s="1"/>
  <c r="BK61" i="56"/>
  <c r="AZ560" i="9"/>
  <c r="AJ86" i="53"/>
  <c r="AJ26" i="53"/>
  <c r="AZ234" i="9"/>
  <c r="AW195" i="9"/>
  <c r="BG54" i="56"/>
  <c r="AZ342" i="9"/>
  <c r="DM31" i="56"/>
  <c r="AH13" i="53"/>
  <c r="AV200" i="9"/>
  <c r="AZ480" i="9"/>
  <c r="AH87" i="53"/>
  <c r="AV343" i="9"/>
  <c r="AH27" i="53"/>
  <c r="AV235" i="9"/>
  <c r="AV549" i="9"/>
  <c r="AV561" i="9"/>
  <c r="DK36" i="56"/>
  <c r="AZ271" i="9" s="1"/>
  <c r="DK32" i="56"/>
  <c r="AZ19" i="9" s="1"/>
  <c r="AZ548" i="9"/>
  <c r="BA548" i="9"/>
  <c r="AJ325" i="53"/>
  <c r="BA194" i="9"/>
  <c r="AJ340" i="53"/>
  <c r="AH402" i="53"/>
  <c r="DK18" i="56"/>
  <c r="DK11" i="56"/>
  <c r="DK57" i="56" s="1"/>
  <c r="AH297" i="53"/>
  <c r="DJ14" i="56"/>
  <c r="AH341" i="53"/>
  <c r="AZ516" i="9"/>
  <c r="AW407" i="9"/>
  <c r="AZ404" i="9"/>
  <c r="DN38" i="56"/>
  <c r="AZ372" i="9"/>
  <c r="AH326" i="53"/>
  <c r="DJ13" i="56"/>
  <c r="DJ59" i="56" s="1"/>
  <c r="BA191" i="9"/>
  <c r="BA224" i="9"/>
  <c r="AW224" i="9"/>
  <c r="AZ26" i="9"/>
  <c r="BA516" i="9"/>
  <c r="BA515" i="9"/>
  <c r="AW516" i="9"/>
  <c r="BA481" i="9"/>
  <c r="BA110" i="9"/>
  <c r="AW98" i="9"/>
  <c r="BA409" i="9"/>
  <c r="BA86" i="9"/>
  <c r="BA301" i="9"/>
  <c r="BA50" i="9"/>
  <c r="BA226" i="9"/>
  <c r="BA26" i="9"/>
  <c r="AW332" i="9"/>
  <c r="BA146" i="9"/>
  <c r="BA134" i="9"/>
  <c r="BA5" i="9"/>
  <c r="BA17" i="9"/>
  <c r="AW135" i="9"/>
  <c r="BA444" i="9"/>
  <c r="BA263" i="9"/>
  <c r="AW368" i="9"/>
  <c r="BA367" i="9"/>
  <c r="BA371" i="9"/>
  <c r="BA336" i="9"/>
  <c r="AW371" i="9"/>
  <c r="BA551" i="9"/>
  <c r="AW337" i="9"/>
  <c r="AW553" i="9"/>
  <c r="AW552" i="9"/>
  <c r="BA10" i="9"/>
  <c r="BA262" i="9"/>
  <c r="BA478" i="9"/>
  <c r="AJ247" i="53"/>
  <c r="AJ246" i="53"/>
  <c r="AH248" i="53"/>
  <c r="DF8" i="56"/>
  <c r="BA123" i="9" s="1"/>
  <c r="BL60" i="56" l="1"/>
  <c r="AH192" i="53"/>
  <c r="AJ12" i="53"/>
  <c r="AV164" i="9"/>
  <c r="AV20" i="9"/>
  <c r="BO32" i="56"/>
  <c r="AH102" i="53"/>
  <c r="BL47" i="56"/>
  <c r="DJ65" i="56"/>
  <c r="BO43" i="56"/>
  <c r="BP43" i="56" s="1"/>
  <c r="DO43" i="56" s="1"/>
  <c r="AV308" i="9"/>
  <c r="AZ380" i="9"/>
  <c r="DJ60" i="56"/>
  <c r="DJ47" i="56"/>
  <c r="AZ308" i="9"/>
  <c r="AV271" i="9"/>
  <c r="AV307" i="9"/>
  <c r="DK42" i="56"/>
  <c r="AZ415" i="9" s="1"/>
  <c r="AV415" i="9"/>
  <c r="AZ270" i="9"/>
  <c r="AZ306" i="9"/>
  <c r="CW42" i="56"/>
  <c r="CW47" i="56" s="1"/>
  <c r="BN42" i="56"/>
  <c r="AH193" i="53" s="1"/>
  <c r="CX37" i="56"/>
  <c r="BO37" i="56"/>
  <c r="DN37" i="56" s="1"/>
  <c r="DJ17" i="56"/>
  <c r="AH386" i="53"/>
  <c r="BK63" i="56"/>
  <c r="CV17" i="56"/>
  <c r="BL17" i="56"/>
  <c r="AJ385" i="53"/>
  <c r="DI63" i="56"/>
  <c r="AV165" i="9"/>
  <c r="AV129" i="9"/>
  <c r="AZ128" i="9"/>
  <c r="AZ163" i="9"/>
  <c r="AJ57" i="53"/>
  <c r="AJ192" i="53"/>
  <c r="AJ72" i="53"/>
  <c r="AH149" i="53"/>
  <c r="AJ42" i="53"/>
  <c r="AH238" i="53"/>
  <c r="AH223" i="53"/>
  <c r="AH208" i="53"/>
  <c r="AH103" i="53"/>
  <c r="AH58" i="53"/>
  <c r="AH118" i="53"/>
  <c r="AJ207" i="53"/>
  <c r="AJ237" i="53"/>
  <c r="AJ222" i="53"/>
  <c r="AJ117" i="53"/>
  <c r="AJ102" i="53"/>
  <c r="AJ147" i="53"/>
  <c r="AJ312" i="53"/>
  <c r="AJ372" i="53"/>
  <c r="AJ132" i="53"/>
  <c r="BP12" i="56"/>
  <c r="DO12" i="56" s="1"/>
  <c r="DM9" i="56"/>
  <c r="DK55" i="56"/>
  <c r="DN40" i="56"/>
  <c r="CX9" i="56"/>
  <c r="BO9" i="56"/>
  <c r="AH269" i="53" s="1"/>
  <c r="AV489" i="9"/>
  <c r="AH44" i="53"/>
  <c r="BP40" i="56"/>
  <c r="BN15" i="56"/>
  <c r="BO15" i="56" s="1"/>
  <c r="BP32" i="56"/>
  <c r="AV22" i="9" s="1"/>
  <c r="BP41" i="56"/>
  <c r="BP31" i="56"/>
  <c r="BP33" i="56"/>
  <c r="DO33" i="56" s="1"/>
  <c r="BP36" i="56"/>
  <c r="BP14" i="56"/>
  <c r="BP13" i="56"/>
  <c r="BP8" i="56"/>
  <c r="DJ56" i="56"/>
  <c r="AJ281" i="53"/>
  <c r="AJ417" i="53"/>
  <c r="DF54" i="56"/>
  <c r="BA159" i="9"/>
  <c r="AZ199" i="9"/>
  <c r="AV597" i="9"/>
  <c r="BK56" i="56"/>
  <c r="AH281" i="53"/>
  <c r="BL65" i="56"/>
  <c r="AH417" i="53"/>
  <c r="DK10" i="56"/>
  <c r="BN10" i="56"/>
  <c r="BO19" i="56"/>
  <c r="DM19" i="56"/>
  <c r="DM62" i="56"/>
  <c r="DK64" i="56"/>
  <c r="DM58" i="56"/>
  <c r="AJ296" i="53"/>
  <c r="AH133" i="53"/>
  <c r="BN62" i="56"/>
  <c r="DN35" i="56"/>
  <c r="AV309" i="9"/>
  <c r="AH59" i="53"/>
  <c r="DN39" i="56"/>
  <c r="BO58" i="56"/>
  <c r="AH374" i="53"/>
  <c r="DN16" i="56"/>
  <c r="BN59" i="56"/>
  <c r="DN12" i="56"/>
  <c r="BN60" i="56"/>
  <c r="BO57" i="56"/>
  <c r="BN64" i="56"/>
  <c r="AJ355" i="53"/>
  <c r="AJ401" i="53"/>
  <c r="AZ523" i="9"/>
  <c r="AJ162" i="53"/>
  <c r="AV524" i="9"/>
  <c r="AH163" i="53"/>
  <c r="DM41" i="56"/>
  <c r="DJ15" i="56"/>
  <c r="DJ61" i="56" s="1"/>
  <c r="AH356" i="53"/>
  <c r="BL61" i="56"/>
  <c r="AZ489" i="9"/>
  <c r="DM32" i="56"/>
  <c r="BN55" i="56"/>
  <c r="DM36" i="56"/>
  <c r="AZ272" i="9" s="1"/>
  <c r="AJ13" i="53"/>
  <c r="AW136" i="9"/>
  <c r="BH54" i="56"/>
  <c r="AH14" i="53"/>
  <c r="AV201" i="9"/>
  <c r="DN31" i="56"/>
  <c r="AV550" i="9"/>
  <c r="AZ549" i="9"/>
  <c r="AZ561" i="9"/>
  <c r="AJ27" i="53"/>
  <c r="AZ235" i="9"/>
  <c r="AH88" i="53"/>
  <c r="AV344" i="9"/>
  <c r="AJ87" i="53"/>
  <c r="AZ343" i="9"/>
  <c r="AH28" i="53"/>
  <c r="AV236" i="9"/>
  <c r="AJ402" i="53"/>
  <c r="BA195" i="9"/>
  <c r="AJ341" i="53"/>
  <c r="AJ297" i="53"/>
  <c r="BA549" i="9"/>
  <c r="AJ326" i="53"/>
  <c r="AH403" i="53"/>
  <c r="DM18" i="56"/>
  <c r="DM11" i="56"/>
  <c r="DM57" i="56" s="1"/>
  <c r="AH298" i="53"/>
  <c r="AH342" i="53"/>
  <c r="DK14" i="56"/>
  <c r="DK60" i="56" s="1"/>
  <c r="BA407" i="9"/>
  <c r="AZ405" i="9"/>
  <c r="AH120" i="53"/>
  <c r="DO38" i="56"/>
  <c r="AH327" i="53"/>
  <c r="DK13" i="56"/>
  <c r="DK59" i="56" s="1"/>
  <c r="AZ2" i="9"/>
  <c r="AW225" i="9"/>
  <c r="BA122" i="9"/>
  <c r="AW122" i="9"/>
  <c r="BA445" i="9"/>
  <c r="BA98" i="9"/>
  <c r="BA332" i="9"/>
  <c r="AW333" i="9"/>
  <c r="BA135" i="9"/>
  <c r="BA264" i="9"/>
  <c r="AW265" i="9"/>
  <c r="AW550" i="9"/>
  <c r="AW369" i="9"/>
  <c r="BA372" i="9"/>
  <c r="BA553" i="9"/>
  <c r="BA552" i="9"/>
  <c r="AW372" i="9"/>
  <c r="BA337" i="9"/>
  <c r="DG8" i="56"/>
  <c r="AH249" i="53"/>
  <c r="BJ54" i="56"/>
  <c r="AJ248" i="53"/>
  <c r="AV21" i="9" l="1"/>
  <c r="AH74" i="53"/>
  <c r="AH119" i="53"/>
  <c r="AH150" i="53"/>
  <c r="AJ133" i="53"/>
  <c r="AZ20" i="9"/>
  <c r="DN43" i="56"/>
  <c r="DK65" i="56"/>
  <c r="DK47" i="56"/>
  <c r="AJ177" i="53"/>
  <c r="BN47" i="56"/>
  <c r="AV416" i="9"/>
  <c r="AV452" i="9"/>
  <c r="AV273" i="9"/>
  <c r="AH104" i="53"/>
  <c r="BP37" i="56"/>
  <c r="AV274" i="9" s="1"/>
  <c r="AV560" i="9"/>
  <c r="AH178" i="53"/>
  <c r="DM42" i="56"/>
  <c r="AZ452" i="9" s="1"/>
  <c r="CX42" i="56"/>
  <c r="BO42" i="56"/>
  <c r="AH194" i="53" s="1"/>
  <c r="BN17" i="56"/>
  <c r="CW17" i="56"/>
  <c r="AH387" i="53"/>
  <c r="BL63" i="56"/>
  <c r="DK17" i="56"/>
  <c r="DJ63" i="56"/>
  <c r="AJ386" i="53"/>
  <c r="DG54" i="56"/>
  <c r="BA124" i="9"/>
  <c r="AZ129" i="9"/>
  <c r="AZ164" i="9"/>
  <c r="AV166" i="9"/>
  <c r="AV130" i="9"/>
  <c r="AJ58" i="53"/>
  <c r="AJ103" i="53"/>
  <c r="AJ268" i="53"/>
  <c r="AJ373" i="53"/>
  <c r="DM55" i="56"/>
  <c r="AJ208" i="53"/>
  <c r="AJ223" i="53"/>
  <c r="AJ238" i="53"/>
  <c r="AJ73" i="53"/>
  <c r="AJ43" i="53"/>
  <c r="AJ193" i="53"/>
  <c r="AJ118" i="53"/>
  <c r="AJ148" i="53"/>
  <c r="AH314" i="53"/>
  <c r="AJ314" i="53"/>
  <c r="AJ313" i="53"/>
  <c r="DN9" i="56"/>
  <c r="AJ374" i="53" s="1"/>
  <c r="BP9" i="56"/>
  <c r="BP55" i="56" s="1"/>
  <c r="AV490" i="9"/>
  <c r="DO40" i="56"/>
  <c r="AV562" i="9"/>
  <c r="AH45" i="53"/>
  <c r="AV598" i="9"/>
  <c r="BP15" i="56"/>
  <c r="DK56" i="56"/>
  <c r="AJ282" i="53"/>
  <c r="AJ418" i="53"/>
  <c r="AZ200" i="9"/>
  <c r="BO10" i="56"/>
  <c r="DM10" i="56"/>
  <c r="AZ597" i="9"/>
  <c r="AZ598" i="9"/>
  <c r="AH418" i="53"/>
  <c r="BN65" i="56"/>
  <c r="BL56" i="56"/>
  <c r="AH282" i="53"/>
  <c r="BP19" i="56"/>
  <c r="DN19" i="56"/>
  <c r="DO34" i="56"/>
  <c r="DM64" i="56"/>
  <c r="DN62" i="56"/>
  <c r="AV453" i="9"/>
  <c r="AZ382" i="9"/>
  <c r="DN58" i="56"/>
  <c r="AZ381" i="9"/>
  <c r="BO62" i="56"/>
  <c r="AH134" i="53"/>
  <c r="AH60" i="53"/>
  <c r="AZ309" i="9"/>
  <c r="AV382" i="9"/>
  <c r="DO39" i="56"/>
  <c r="BP57" i="56"/>
  <c r="AH75" i="53"/>
  <c r="DO35" i="56"/>
  <c r="DO58" i="56" s="1"/>
  <c r="AV310" i="9"/>
  <c r="AH375" i="53"/>
  <c r="DO16" i="56"/>
  <c r="AH315" i="53"/>
  <c r="BP58" i="56"/>
  <c r="BO59" i="56"/>
  <c r="BO60" i="56"/>
  <c r="BO64" i="56"/>
  <c r="AJ356" i="53"/>
  <c r="AJ163" i="53"/>
  <c r="AZ524" i="9"/>
  <c r="DN41" i="56"/>
  <c r="AH164" i="53"/>
  <c r="AV525" i="9"/>
  <c r="AZ490" i="9"/>
  <c r="BN61" i="56"/>
  <c r="DK15" i="56"/>
  <c r="DK61" i="56" s="1"/>
  <c r="AH357" i="53"/>
  <c r="AZ236" i="9"/>
  <c r="AJ28" i="53"/>
  <c r="AJ88" i="53"/>
  <c r="DM47" i="56"/>
  <c r="AZ344" i="9"/>
  <c r="AV202" i="9"/>
  <c r="DO31" i="56"/>
  <c r="AH15" i="53"/>
  <c r="DN32" i="56"/>
  <c r="BO55" i="56"/>
  <c r="DN36" i="56"/>
  <c r="AZ273" i="9" s="1"/>
  <c r="AJ14" i="53"/>
  <c r="AZ333" i="9"/>
  <c r="AZ550" i="9"/>
  <c r="AH89" i="53"/>
  <c r="AV345" i="9"/>
  <c r="AH29" i="53"/>
  <c r="AV237" i="9"/>
  <c r="AJ327" i="53"/>
  <c r="AJ403" i="53"/>
  <c r="BA550" i="9"/>
  <c r="AJ342" i="53"/>
  <c r="AJ298" i="53"/>
  <c r="DN18" i="56"/>
  <c r="AH404" i="53"/>
  <c r="DN11" i="56"/>
  <c r="DN57" i="56" s="1"/>
  <c r="AH299" i="53"/>
  <c r="AH343" i="53"/>
  <c r="DM14" i="56"/>
  <c r="DM60" i="56" s="1"/>
  <c r="AW86" i="9"/>
  <c r="BA408" i="9"/>
  <c r="AH328" i="53"/>
  <c r="DM13" i="56"/>
  <c r="DM59" i="56" s="1"/>
  <c r="BA192" i="9"/>
  <c r="AJ269" i="53"/>
  <c r="AW370" i="9"/>
  <c r="AW74" i="9"/>
  <c r="AW334" i="9"/>
  <c r="BA333" i="9"/>
  <c r="BA136" i="9"/>
  <c r="AW137" i="9"/>
  <c r="BA265" i="9"/>
  <c r="AW373" i="9"/>
  <c r="AJ249" i="53"/>
  <c r="AH250" i="53"/>
  <c r="DI8" i="56"/>
  <c r="AV417" i="9" l="1"/>
  <c r="AH239" i="53"/>
  <c r="AH209" i="53"/>
  <c r="AH224" i="53"/>
  <c r="AZ21" i="9"/>
  <c r="DM65" i="56"/>
  <c r="AJ178" i="53"/>
  <c r="BP42" i="56"/>
  <c r="BO47" i="56"/>
  <c r="AZ416" i="9"/>
  <c r="AH105" i="53"/>
  <c r="DO9" i="56"/>
  <c r="AJ315" i="53" s="1"/>
  <c r="CX47" i="56"/>
  <c r="DN42" i="56"/>
  <c r="AZ453" i="9" s="1"/>
  <c r="AH179" i="53"/>
  <c r="DO37" i="56"/>
  <c r="BO17" i="56"/>
  <c r="DN17" i="56" s="1"/>
  <c r="CX17" i="56"/>
  <c r="AJ387" i="53"/>
  <c r="DK63" i="56"/>
  <c r="AH388" i="53"/>
  <c r="BN63" i="56"/>
  <c r="DM17" i="56"/>
  <c r="AZ130" i="9"/>
  <c r="DI54" i="56"/>
  <c r="BA125" i="9"/>
  <c r="AZ165" i="9"/>
  <c r="AJ134" i="53"/>
  <c r="AJ89" i="53"/>
  <c r="AZ201" i="9"/>
  <c r="AJ239" i="53"/>
  <c r="AJ224" i="53"/>
  <c r="AJ209" i="53"/>
  <c r="AJ179" i="53"/>
  <c r="AJ149" i="53"/>
  <c r="AJ44" i="53"/>
  <c r="AJ59" i="53"/>
  <c r="AJ119" i="53"/>
  <c r="AJ74" i="53"/>
  <c r="AJ375" i="53"/>
  <c r="AJ104" i="53"/>
  <c r="AH270" i="53"/>
  <c r="AZ562" i="9"/>
  <c r="DM56" i="56"/>
  <c r="AJ283" i="53"/>
  <c r="AJ419" i="53"/>
  <c r="BN56" i="56"/>
  <c r="AH283" i="53"/>
  <c r="AH419" i="53"/>
  <c r="BO65" i="56"/>
  <c r="BP10" i="56"/>
  <c r="DN10" i="56"/>
  <c r="BP64" i="56"/>
  <c r="AV454" i="9"/>
  <c r="AZ345" i="9"/>
  <c r="AZ454" i="9"/>
  <c r="DO62" i="56"/>
  <c r="AJ29" i="53"/>
  <c r="DN55" i="56"/>
  <c r="DN64" i="56"/>
  <c r="BP62" i="56"/>
  <c r="AH135" i="53"/>
  <c r="AZ310" i="9"/>
  <c r="BP60" i="56"/>
  <c r="BP59" i="56"/>
  <c r="AJ357" i="53"/>
  <c r="DM15" i="56"/>
  <c r="DM61" i="56" s="1"/>
  <c r="AH358" i="53"/>
  <c r="BO61" i="56"/>
  <c r="AH165" i="53"/>
  <c r="AV526" i="9"/>
  <c r="AZ525" i="9"/>
  <c r="AJ164" i="53"/>
  <c r="DO41" i="56"/>
  <c r="AZ237" i="9"/>
  <c r="DO36" i="56"/>
  <c r="AJ15" i="53"/>
  <c r="AW150" i="9"/>
  <c r="BK54" i="56"/>
  <c r="AZ62" i="9"/>
  <c r="AH30" i="53"/>
  <c r="AV238" i="9"/>
  <c r="AV62" i="9"/>
  <c r="AV346" i="9"/>
  <c r="AH90" i="53"/>
  <c r="DO32" i="56"/>
  <c r="AJ299" i="53"/>
  <c r="AJ328" i="53"/>
  <c r="AJ404" i="53"/>
  <c r="AH359" i="53"/>
  <c r="DO18" i="56"/>
  <c r="AH405" i="53"/>
  <c r="AW38" i="9"/>
  <c r="AH300" i="53"/>
  <c r="DO11" i="56"/>
  <c r="DO57" i="56" s="1"/>
  <c r="DN14" i="56"/>
  <c r="DN60" i="56" s="1"/>
  <c r="AH344" i="53"/>
  <c r="BA368" i="9"/>
  <c r="AJ343" i="53"/>
  <c r="AH329" i="53"/>
  <c r="DN13" i="56"/>
  <c r="DN59" i="56" s="1"/>
  <c r="BA370" i="9"/>
  <c r="BA74" i="9"/>
  <c r="BA334" i="9"/>
  <c r="BA137" i="9"/>
  <c r="BA373" i="9"/>
  <c r="AJ250" i="53"/>
  <c r="AH251" i="53"/>
  <c r="DJ8" i="56"/>
  <c r="DJ54" i="56" s="1"/>
  <c r="BL54" i="56"/>
  <c r="AH180" i="53" l="1"/>
  <c r="AH210" i="53"/>
  <c r="AH195" i="53"/>
  <c r="AH240" i="53"/>
  <c r="AH225" i="53"/>
  <c r="AJ194" i="53"/>
  <c r="AZ166" i="9"/>
  <c r="AZ22" i="9"/>
  <c r="AJ270" i="53"/>
  <c r="BP47" i="56"/>
  <c r="AZ418" i="9"/>
  <c r="AV418" i="9"/>
  <c r="DO42" i="56"/>
  <c r="AJ180" i="53" s="1"/>
  <c r="AZ274" i="9"/>
  <c r="AZ417" i="9"/>
  <c r="DN47" i="56"/>
  <c r="DN65" i="56"/>
  <c r="DN63" i="56"/>
  <c r="AJ389" i="53"/>
  <c r="AJ388" i="53"/>
  <c r="DM63" i="56"/>
  <c r="BP17" i="56"/>
  <c r="DO17" i="56" s="1"/>
  <c r="BO63" i="56"/>
  <c r="AH389" i="53"/>
  <c r="DO55" i="56"/>
  <c r="AJ240" i="53"/>
  <c r="AJ225" i="53"/>
  <c r="AJ195" i="53"/>
  <c r="AJ120" i="53"/>
  <c r="AJ105" i="53"/>
  <c r="AJ45" i="53"/>
  <c r="AJ135" i="53"/>
  <c r="AJ60" i="53"/>
  <c r="AJ75" i="53"/>
  <c r="AJ150" i="53"/>
  <c r="AJ358" i="53"/>
  <c r="AZ202" i="9"/>
  <c r="DN56" i="56"/>
  <c r="AJ284" i="53"/>
  <c r="BP65" i="56"/>
  <c r="AH420" i="53"/>
  <c r="DO10" i="56"/>
  <c r="DO19" i="56"/>
  <c r="BO56" i="56"/>
  <c r="AH284" i="53"/>
  <c r="DO64" i="56"/>
  <c r="BP61" i="56"/>
  <c r="DN15" i="56"/>
  <c r="DN61" i="56" s="1"/>
  <c r="AJ165" i="53"/>
  <c r="AZ526" i="9"/>
  <c r="AZ346" i="9"/>
  <c r="AJ90" i="53"/>
  <c r="AJ30" i="53"/>
  <c r="AZ238" i="9"/>
  <c r="DO47" i="56"/>
  <c r="AJ359" i="53"/>
  <c r="BA150" i="9"/>
  <c r="AJ329" i="53"/>
  <c r="AW151" i="9"/>
  <c r="AJ405" i="53"/>
  <c r="BA38" i="9"/>
  <c r="AJ300" i="53"/>
  <c r="BA369" i="9"/>
  <c r="AJ344" i="53"/>
  <c r="AH345" i="53"/>
  <c r="DO14" i="56"/>
  <c r="DO60" i="56" s="1"/>
  <c r="AW62" i="9"/>
  <c r="AH330" i="53"/>
  <c r="DO13" i="56"/>
  <c r="DO59" i="56" s="1"/>
  <c r="AH252" i="53"/>
  <c r="DK8" i="56"/>
  <c r="DK54" i="56" s="1"/>
  <c r="BN54" i="56"/>
  <c r="AJ251" i="53"/>
  <c r="AJ210" i="53" l="1"/>
  <c r="AJ390" i="53"/>
  <c r="DO63" i="56"/>
  <c r="AH390" i="53"/>
  <c r="BP63" i="56"/>
  <c r="DO56" i="56"/>
  <c r="AJ285" i="53"/>
  <c r="AJ420" i="53"/>
  <c r="DO65" i="56"/>
  <c r="BP56" i="56"/>
  <c r="AH285" i="53"/>
  <c r="DO15" i="56"/>
  <c r="DO61" i="56" s="1"/>
  <c r="AH360" i="53"/>
  <c r="AW140" i="9"/>
  <c r="BA151" i="9"/>
  <c r="AJ360" i="53"/>
  <c r="AJ345" i="53"/>
  <c r="BA62" i="9"/>
  <c r="AJ330" i="53"/>
  <c r="AW152" i="9"/>
  <c r="AW155" i="9"/>
  <c r="AH253" i="53"/>
  <c r="BO54" i="56"/>
  <c r="DM8" i="56"/>
  <c r="DM54" i="56" s="1"/>
  <c r="AJ252" i="53"/>
  <c r="AW141" i="9" l="1"/>
  <c r="BA140" i="9"/>
  <c r="BA152" i="9"/>
  <c r="BA155" i="9"/>
  <c r="AW153" i="9"/>
  <c r="AW156" i="9"/>
  <c r="AJ253" i="53"/>
  <c r="AH254" i="53"/>
  <c r="DN8" i="56"/>
  <c r="DN54" i="56" s="1"/>
  <c r="BP54" i="56"/>
  <c r="BA141" i="9" l="1"/>
  <c r="AW142" i="9"/>
  <c r="AW2" i="9"/>
  <c r="AW154" i="9"/>
  <c r="AW157" i="9"/>
  <c r="BA153" i="9"/>
  <c r="BA156" i="9"/>
  <c r="AH255" i="53"/>
  <c r="DO8" i="56"/>
  <c r="DO54" i="56" s="1"/>
  <c r="AJ254" i="53"/>
  <c r="BA142" i="9" l="1"/>
  <c r="BA2" i="9"/>
  <c r="BA154" i="9"/>
  <c r="BA157" i="9"/>
  <c r="AJ255" i="53"/>
  <c r="AW27" i="9" l="1"/>
  <c r="AW87" i="9"/>
  <c r="AW467" i="9" l="1"/>
  <c r="AW282" i="9"/>
  <c r="AW323" i="9"/>
  <c r="AW427" i="9"/>
  <c r="AW173" i="9"/>
  <c r="AW281" i="9"/>
  <c r="AW497" i="9"/>
  <c r="AW178" i="9"/>
  <c r="AW324" i="9"/>
  <c r="AW289" i="9"/>
  <c r="AW325" i="9"/>
  <c r="AW462" i="9"/>
  <c r="AW424" i="9"/>
  <c r="AW284" i="9"/>
  <c r="AW394" i="9"/>
  <c r="AW429" i="9"/>
  <c r="AW504" i="9"/>
  <c r="AW353" i="9"/>
  <c r="AW397" i="9"/>
  <c r="AW286" i="9"/>
  <c r="AW174" i="9"/>
  <c r="AW181" i="9"/>
  <c r="AW288" i="9"/>
  <c r="AW505" i="9"/>
  <c r="AW245" i="9"/>
  <c r="AW248" i="9"/>
  <c r="AW464" i="9"/>
  <c r="AW244" i="9"/>
  <c r="AW499" i="9"/>
  <c r="AW432" i="9"/>
  <c r="AW145" i="9"/>
  <c r="AW180" i="9"/>
  <c r="AW390" i="9"/>
  <c r="AW431" i="9"/>
  <c r="AW213" i="9"/>
  <c r="AW139" i="9"/>
  <c r="AW355" i="9"/>
  <c r="AW500" i="9"/>
  <c r="AW211" i="9"/>
  <c r="AW321" i="9"/>
  <c r="AW463" i="9"/>
  <c r="AW216" i="9"/>
  <c r="AW247" i="9"/>
  <c r="AW319" i="9"/>
  <c r="AW316" i="9"/>
  <c r="AW246" i="9"/>
  <c r="AW138" i="9"/>
  <c r="AW144" i="9"/>
  <c r="AW395" i="9"/>
  <c r="AW359" i="9"/>
  <c r="AW251" i="9"/>
  <c r="AW352" i="9"/>
  <c r="AW426" i="9"/>
  <c r="AW215" i="9"/>
  <c r="AW143" i="9"/>
  <c r="AW391" i="9"/>
  <c r="AW388" i="9"/>
  <c r="AW358" i="9"/>
  <c r="AW287" i="9"/>
  <c r="AW317" i="9"/>
  <c r="AW503" i="9"/>
  <c r="AW208" i="9"/>
  <c r="AW496" i="9"/>
  <c r="AW214" i="9"/>
  <c r="AW285" i="9"/>
  <c r="AW217" i="9"/>
  <c r="AW460" i="9"/>
  <c r="AW396" i="9"/>
  <c r="AW465" i="9"/>
  <c r="AW318" i="9"/>
  <c r="AW176" i="9"/>
  <c r="AW209" i="9"/>
  <c r="AW498" i="9"/>
  <c r="AW172" i="9"/>
  <c r="AW469" i="9"/>
  <c r="AW428" i="9"/>
  <c r="AW433" i="9"/>
  <c r="AW210" i="9"/>
  <c r="AW179" i="9"/>
  <c r="AW253" i="9"/>
  <c r="AW356" i="9"/>
  <c r="AW430" i="9"/>
  <c r="AW322" i="9"/>
  <c r="AW361" i="9"/>
  <c r="AW252" i="9"/>
  <c r="AW320" i="9"/>
  <c r="AW501" i="9"/>
  <c r="AW466" i="9"/>
  <c r="AW249" i="9"/>
  <c r="AW389" i="9"/>
  <c r="AW393" i="9"/>
  <c r="AW468" i="9"/>
  <c r="AW175" i="9"/>
  <c r="AW250" i="9"/>
  <c r="AW280" i="9"/>
  <c r="AW360" i="9"/>
  <c r="AW283" i="9"/>
  <c r="AW177" i="9"/>
  <c r="AW461" i="9"/>
  <c r="AW357" i="9"/>
  <c r="AW425" i="9"/>
  <c r="AW354" i="9"/>
  <c r="AW502" i="9"/>
  <c r="AW212" i="9"/>
  <c r="AW392" i="9"/>
  <c r="BA285" i="9" l="1"/>
  <c r="BA139" i="9"/>
  <c r="BA281" i="9"/>
  <c r="BA433" i="9"/>
  <c r="BA392" i="9"/>
  <c r="BA390" i="9"/>
  <c r="BA468" i="9"/>
  <c r="BA431" i="9"/>
  <c r="BA502" i="9"/>
  <c r="BA426" i="9"/>
  <c r="BA505" i="9"/>
  <c r="BA248" i="9"/>
  <c r="BA361" i="9"/>
  <c r="BA181" i="9"/>
  <c r="BA352" i="9"/>
  <c r="BA209" i="9"/>
  <c r="BA211" i="9"/>
  <c r="BA287" i="9"/>
  <c r="BA208" i="9"/>
  <c r="BA143" i="9"/>
  <c r="BA321" i="9"/>
  <c r="BA316" i="9"/>
  <c r="BA246" i="9"/>
  <c r="BA174" i="9"/>
  <c r="BA466" i="9"/>
  <c r="BA216" i="9"/>
  <c r="BA391" i="9"/>
  <c r="BA172" i="9"/>
  <c r="BA499" i="9"/>
  <c r="BA359" i="9"/>
  <c r="BA178" i="9"/>
  <c r="BA497" i="9"/>
  <c r="BA353" i="9"/>
  <c r="BA467" i="9"/>
  <c r="BA394" i="9"/>
  <c r="BA429" i="9"/>
  <c r="BA358" i="9"/>
  <c r="BA430" i="9"/>
  <c r="BA282" i="9"/>
  <c r="BA356" i="9"/>
  <c r="BA319" i="9"/>
  <c r="BA396" i="9"/>
  <c r="BA428" i="9"/>
  <c r="BA245" i="9"/>
  <c r="BA498" i="9"/>
  <c r="BA427" i="9"/>
  <c r="BA284" i="9"/>
  <c r="BA496" i="9"/>
  <c r="BA432" i="9"/>
  <c r="BA251" i="9"/>
  <c r="BA286" i="9"/>
  <c r="BA173" i="9"/>
  <c r="BA465" i="9"/>
  <c r="BA460" i="9"/>
  <c r="BA395" i="9"/>
  <c r="BA177" i="9"/>
  <c r="BA212" i="9"/>
  <c r="BA503" i="9"/>
  <c r="BA288" i="9"/>
  <c r="BA215" i="9"/>
  <c r="BA244" i="9"/>
  <c r="BA175" i="9"/>
  <c r="BA324" i="9"/>
  <c r="BA249" i="9"/>
  <c r="BA354" i="9"/>
  <c r="BA393" i="9"/>
  <c r="BA463" i="9"/>
  <c r="BA318" i="9"/>
  <c r="BA397" i="9"/>
  <c r="BA461" i="9"/>
  <c r="BA145" i="9"/>
  <c r="BA388" i="9"/>
  <c r="BA317" i="9"/>
  <c r="BA252" i="9"/>
  <c r="BA283" i="9"/>
  <c r="BA253" i="9"/>
  <c r="BA504" i="9"/>
  <c r="BA325" i="9"/>
  <c r="BA213" i="9"/>
  <c r="BA289" i="9"/>
  <c r="BA322" i="9"/>
  <c r="BA250" i="9"/>
  <c r="BA320" i="9"/>
  <c r="BA425" i="9"/>
  <c r="BA210" i="9"/>
  <c r="BA247" i="9"/>
  <c r="BA360" i="9"/>
  <c r="BA144" i="9"/>
  <c r="BA469" i="9"/>
  <c r="BA355" i="9"/>
  <c r="BA176" i="9"/>
  <c r="BA280" i="9"/>
  <c r="BA179" i="9"/>
  <c r="BA501" i="9"/>
  <c r="BA424" i="9"/>
  <c r="BA389" i="9"/>
  <c r="BA217" i="9"/>
  <c r="BA138" i="9"/>
  <c r="BA464" i="9"/>
  <c r="BA323" i="9"/>
  <c r="BA214" i="9"/>
  <c r="BA462" i="9"/>
  <c r="BA500" i="9"/>
  <c r="BA180" i="9"/>
  <c r="BA357" i="9"/>
  <c r="BF22" i="56" l="1"/>
  <c r="BF21" i="56"/>
  <c r="BG21" i="56" l="1"/>
  <c r="BG22" i="56"/>
  <c r="CJ24" i="56"/>
  <c r="BH22" i="56" l="1"/>
  <c r="BH21" i="56"/>
  <c r="DA67" i="56"/>
  <c r="BC67" i="56"/>
  <c r="DA69" i="56"/>
  <c r="BF23" i="56"/>
  <c r="DA68" i="56"/>
  <c r="BC68" i="56"/>
  <c r="CK24" i="56"/>
  <c r="BF20" i="56"/>
  <c r="AW446" i="9" s="1"/>
  <c r="BG23" i="56" l="1"/>
  <c r="BG20" i="56"/>
  <c r="AW447" i="9" s="1"/>
  <c r="AH439" i="53"/>
  <c r="AW147" i="9"/>
  <c r="AH454" i="53"/>
  <c r="AH469" i="53"/>
  <c r="BC66" i="56"/>
  <c r="AH424" i="53"/>
  <c r="C46" i="53" s="1"/>
  <c r="DB67" i="56"/>
  <c r="DB68" i="56"/>
  <c r="BJ21" i="56"/>
  <c r="CL24" i="56"/>
  <c r="BJ22" i="56"/>
  <c r="BB24" i="56"/>
  <c r="DA66" i="56"/>
  <c r="DA70" i="56" s="1"/>
  <c r="BK22" i="56" l="1"/>
  <c r="BH20" i="56"/>
  <c r="BK21" i="56"/>
  <c r="BH23" i="56"/>
  <c r="C44" i="53"/>
  <c r="C47" i="53" s="1"/>
  <c r="DB69" i="56"/>
  <c r="BC69" i="56"/>
  <c r="BC70" i="56" s="1"/>
  <c r="BF67" i="56"/>
  <c r="BD67" i="56"/>
  <c r="BF68" i="56"/>
  <c r="BD68" i="56"/>
  <c r="BA147" i="9"/>
  <c r="E132" i="53"/>
  <c r="AH455" i="53"/>
  <c r="AW148" i="9"/>
  <c r="AH440" i="53"/>
  <c r="AH470" i="53"/>
  <c r="AJ439" i="53"/>
  <c r="AJ424" i="53"/>
  <c r="C55" i="53" s="1"/>
  <c r="C53" i="53" s="1"/>
  <c r="DC22" i="56"/>
  <c r="DC68" i="56" s="1"/>
  <c r="DC21" i="56"/>
  <c r="DC67" i="56" s="1"/>
  <c r="AH471" i="53"/>
  <c r="AH456" i="53"/>
  <c r="DA24" i="56"/>
  <c r="AJ469" i="53"/>
  <c r="AJ454" i="53"/>
  <c r="DE22" i="56"/>
  <c r="DE68" i="56" s="1"/>
  <c r="DB66" i="56"/>
  <c r="AH425" i="53"/>
  <c r="D46" i="53" s="1"/>
  <c r="BG68" i="56"/>
  <c r="CN24" i="56"/>
  <c r="BC24" i="56"/>
  <c r="BL21" i="56" l="1"/>
  <c r="BL22" i="56"/>
  <c r="BG67" i="56"/>
  <c r="DE21" i="56"/>
  <c r="DE67" i="56" s="1"/>
  <c r="DB70" i="56"/>
  <c r="DC23" i="56"/>
  <c r="DC69" i="56" s="1"/>
  <c r="BD69" i="56"/>
  <c r="AW149" i="9"/>
  <c r="BD66" i="56"/>
  <c r="BA148" i="9"/>
  <c r="AH441" i="53"/>
  <c r="E137" i="53"/>
  <c r="D44" i="53"/>
  <c r="D47" i="53" s="1"/>
  <c r="C56" i="53"/>
  <c r="F133" i="53"/>
  <c r="AH426" i="53"/>
  <c r="E46" i="53" s="1"/>
  <c r="DC20" i="56"/>
  <c r="AJ440" i="53"/>
  <c r="AJ425" i="53"/>
  <c r="D55" i="53" s="1"/>
  <c r="D53" i="53" s="1"/>
  <c r="AJ470" i="53"/>
  <c r="AJ455" i="53"/>
  <c r="DF22" i="56"/>
  <c r="DF68" i="56" s="1"/>
  <c r="DB24" i="56"/>
  <c r="BD24" i="56"/>
  <c r="BH68" i="56"/>
  <c r="CO24" i="56"/>
  <c r="BJ20" i="56"/>
  <c r="BJ23" i="56"/>
  <c r="DC66" i="56" l="1"/>
  <c r="BA113" i="9"/>
  <c r="BK20" i="56"/>
  <c r="BK23" i="56"/>
  <c r="BH67" i="56"/>
  <c r="DF21" i="56"/>
  <c r="DF67" i="56" s="1"/>
  <c r="BD70" i="56"/>
  <c r="DE23" i="56"/>
  <c r="DE69" i="56" s="1"/>
  <c r="BF69" i="56"/>
  <c r="AH427" i="53"/>
  <c r="G46" i="53" s="1"/>
  <c r="BF66" i="56"/>
  <c r="AJ426" i="53"/>
  <c r="E55" i="53" s="1"/>
  <c r="AH472" i="53"/>
  <c r="AH442" i="53"/>
  <c r="AH457" i="53"/>
  <c r="DC24" i="56"/>
  <c r="BA149" i="9"/>
  <c r="E142" i="53"/>
  <c r="E44" i="53"/>
  <c r="S44" i="53" s="1"/>
  <c r="BG66" i="56"/>
  <c r="AJ456" i="53"/>
  <c r="AJ471" i="53"/>
  <c r="AJ441" i="53"/>
  <c r="D56" i="53"/>
  <c r="F138" i="53"/>
  <c r="S46" i="53"/>
  <c r="DE20" i="56"/>
  <c r="BA446" i="9" s="1"/>
  <c r="BF24" i="56"/>
  <c r="AH473" i="53"/>
  <c r="AJ442" i="53"/>
  <c r="AH458" i="53"/>
  <c r="AH443" i="53"/>
  <c r="DG22" i="56"/>
  <c r="DG68" i="56" s="1"/>
  <c r="DG21" i="56"/>
  <c r="DG67" i="56" s="1"/>
  <c r="BJ67" i="56"/>
  <c r="BN22" i="56"/>
  <c r="BN21" i="56"/>
  <c r="CP24" i="56"/>
  <c r="BL23" i="56" l="1"/>
  <c r="BO22" i="56"/>
  <c r="BO21" i="56"/>
  <c r="BL20" i="56"/>
  <c r="S55" i="53"/>
  <c r="E53" i="53"/>
  <c r="E47" i="53"/>
  <c r="G44" i="53"/>
  <c r="G47" i="53" s="1"/>
  <c r="AJ427" i="53"/>
  <c r="DE66" i="56"/>
  <c r="DE70" i="56" s="1"/>
  <c r="BF70" i="56"/>
  <c r="DC70" i="56"/>
  <c r="DF23" i="56"/>
  <c r="DF69" i="56" s="1"/>
  <c r="BG69" i="56"/>
  <c r="E147" i="53"/>
  <c r="BK68" i="56"/>
  <c r="BJ68" i="56"/>
  <c r="E56" i="53"/>
  <c r="AH428" i="53"/>
  <c r="H46" i="53" s="1"/>
  <c r="DE24" i="56"/>
  <c r="F143" i="53"/>
  <c r="DF20" i="56"/>
  <c r="AW591" i="9"/>
  <c r="AJ472" i="53"/>
  <c r="AJ457" i="53"/>
  <c r="BG24" i="56"/>
  <c r="AH459" i="53"/>
  <c r="AH474" i="53"/>
  <c r="AJ443" i="53"/>
  <c r="AH444" i="53"/>
  <c r="AJ458" i="53"/>
  <c r="DI21" i="56"/>
  <c r="DI67" i="56" s="1"/>
  <c r="DI22" i="56"/>
  <c r="DI68" i="56" s="1"/>
  <c r="BK67" i="56"/>
  <c r="CR24" i="56"/>
  <c r="G55" i="53" l="1"/>
  <c r="F148" i="53" s="1"/>
  <c r="AJ473" i="53"/>
  <c r="DF66" i="56"/>
  <c r="DF70" i="56" s="1"/>
  <c r="BA447" i="9"/>
  <c r="BP22" i="56"/>
  <c r="BP21" i="56"/>
  <c r="H44" i="53"/>
  <c r="H47" i="53" s="1"/>
  <c r="BG70" i="56"/>
  <c r="DJ22" i="56"/>
  <c r="DJ68" i="56" s="1"/>
  <c r="BL68" i="56"/>
  <c r="AW592" i="9"/>
  <c r="BH66" i="56"/>
  <c r="DG23" i="56"/>
  <c r="DG69" i="56" s="1"/>
  <c r="BH69" i="56"/>
  <c r="DI20" i="56"/>
  <c r="DI66" i="56" s="1"/>
  <c r="DG20" i="56"/>
  <c r="BA592" i="9" s="1"/>
  <c r="E152" i="53"/>
  <c r="BA591" i="9"/>
  <c r="AJ428" i="53"/>
  <c r="H55" i="53" s="1"/>
  <c r="DF24" i="56"/>
  <c r="AH429" i="53"/>
  <c r="I46" i="53" s="1"/>
  <c r="BH24" i="56"/>
  <c r="AJ444" i="53"/>
  <c r="AH475" i="53"/>
  <c r="AH445" i="53"/>
  <c r="AH460" i="53"/>
  <c r="DJ21" i="56"/>
  <c r="DJ67" i="56" s="1"/>
  <c r="AJ459" i="53"/>
  <c r="AJ474" i="53"/>
  <c r="BN23" i="56"/>
  <c r="CS24" i="56"/>
  <c r="BN20" i="56"/>
  <c r="G53" i="53" l="1"/>
  <c r="G56" i="53"/>
  <c r="BO23" i="56"/>
  <c r="BO20" i="56"/>
  <c r="F153" i="53"/>
  <c r="H53" i="53"/>
  <c r="BN68" i="56"/>
  <c r="DK22" i="56"/>
  <c r="DK68" i="56" s="1"/>
  <c r="I44" i="53"/>
  <c r="T44" i="53" s="1"/>
  <c r="AJ429" i="53"/>
  <c r="I55" i="53" s="1"/>
  <c r="DG24" i="56"/>
  <c r="DG66" i="56"/>
  <c r="DG70" i="56" s="1"/>
  <c r="BJ24" i="56"/>
  <c r="AH431" i="53"/>
  <c r="BN67" i="56"/>
  <c r="BL67" i="56"/>
  <c r="DJ23" i="56"/>
  <c r="DJ69" i="56" s="1"/>
  <c r="BK69" i="56"/>
  <c r="AH430" i="53"/>
  <c r="K46" i="53" s="1"/>
  <c r="BJ66" i="56"/>
  <c r="BH70" i="56"/>
  <c r="DI23" i="56"/>
  <c r="DI69" i="56" s="1"/>
  <c r="BJ69" i="56"/>
  <c r="BA593" i="9"/>
  <c r="H56" i="53"/>
  <c r="E157" i="53"/>
  <c r="T46" i="53"/>
  <c r="AJ445" i="53"/>
  <c r="AJ430" i="53"/>
  <c r="AH476" i="53"/>
  <c r="AH461" i="53"/>
  <c r="AH446" i="53"/>
  <c r="AJ460" i="53"/>
  <c r="DK21" i="56"/>
  <c r="DK67" i="56" s="1"/>
  <c r="CT24" i="56"/>
  <c r="L46" i="53" l="1"/>
  <c r="L44" i="53" s="1"/>
  <c r="L47" i="53" s="1"/>
  <c r="K55" i="53"/>
  <c r="K53" i="53" s="1"/>
  <c r="AJ475" i="53"/>
  <c r="BP20" i="56"/>
  <c r="BP23" i="56"/>
  <c r="I56" i="53"/>
  <c r="I53" i="53"/>
  <c r="BO68" i="56"/>
  <c r="DI24" i="56"/>
  <c r="DM22" i="56"/>
  <c r="DM68" i="56" s="1"/>
  <c r="DJ20" i="56"/>
  <c r="DJ66" i="56" s="1"/>
  <c r="DM21" i="56"/>
  <c r="DM67" i="56" s="1"/>
  <c r="BO67" i="56"/>
  <c r="I47" i="53"/>
  <c r="K44" i="53"/>
  <c r="K47" i="53" s="1"/>
  <c r="F158" i="53"/>
  <c r="T55" i="53"/>
  <c r="BL66" i="56"/>
  <c r="DI70" i="56"/>
  <c r="BK24" i="56"/>
  <c r="BK66" i="56"/>
  <c r="DJ24" i="56"/>
  <c r="DK23" i="56"/>
  <c r="DK69" i="56" s="1"/>
  <c r="BL69" i="56"/>
  <c r="E162" i="53"/>
  <c r="BJ70" i="56"/>
  <c r="AJ446" i="53"/>
  <c r="AH462" i="53"/>
  <c r="AH447" i="53"/>
  <c r="AH477" i="53"/>
  <c r="AJ476" i="53"/>
  <c r="AJ461" i="53"/>
  <c r="DN22" i="56"/>
  <c r="DN68" i="56" s="1"/>
  <c r="CV24" i="56"/>
  <c r="BP68" i="56"/>
  <c r="E167" i="53" l="1"/>
  <c r="F163" i="53"/>
  <c r="K56" i="53"/>
  <c r="AW20" i="9"/>
  <c r="AW22" i="9"/>
  <c r="AW21" i="9"/>
  <c r="AW129" i="9"/>
  <c r="AW130" i="9"/>
  <c r="AW128" i="9"/>
  <c r="AJ431" i="53"/>
  <c r="L55" i="53" s="1"/>
  <c r="BA594" i="9"/>
  <c r="BP67" i="56"/>
  <c r="DN21" i="56"/>
  <c r="DN67" i="56" s="1"/>
  <c r="BN66" i="56"/>
  <c r="BL24" i="56"/>
  <c r="DK20" i="56"/>
  <c r="DK66" i="56" s="1"/>
  <c r="AH432" i="53"/>
  <c r="M46" i="53" s="1"/>
  <c r="DJ70" i="56"/>
  <c r="BK70" i="56"/>
  <c r="BL70" i="56"/>
  <c r="DK70" i="56"/>
  <c r="DM23" i="56"/>
  <c r="DM69" i="56" s="1"/>
  <c r="BN69" i="56"/>
  <c r="BA595" i="9"/>
  <c r="AJ447" i="53"/>
  <c r="AH448" i="53"/>
  <c r="AH463" i="53"/>
  <c r="AH478" i="53"/>
  <c r="DO22" i="56"/>
  <c r="DO68" i="56" s="1"/>
  <c r="AJ462" i="53"/>
  <c r="AJ477" i="53"/>
  <c r="CW24" i="56"/>
  <c r="AJ432" i="53" l="1"/>
  <c r="M55" i="53" s="1"/>
  <c r="M53" i="53" s="1"/>
  <c r="L56" i="53"/>
  <c r="L53" i="53"/>
  <c r="F168" i="53"/>
  <c r="DM20" i="56"/>
  <c r="DM66" i="56" s="1"/>
  <c r="DM70" i="56" s="1"/>
  <c r="AH433" i="53"/>
  <c r="O46" i="53" s="1"/>
  <c r="E177" i="53" s="1"/>
  <c r="BN24" i="56"/>
  <c r="BO66" i="56"/>
  <c r="DO21" i="56"/>
  <c r="DO67" i="56" s="1"/>
  <c r="DK24" i="56"/>
  <c r="E172" i="53"/>
  <c r="M44" i="53"/>
  <c r="U44" i="53" s="1"/>
  <c r="U46" i="53"/>
  <c r="BN70" i="56"/>
  <c r="DN23" i="56"/>
  <c r="DN69" i="56" s="1"/>
  <c r="BO69" i="56"/>
  <c r="BA596" i="9"/>
  <c r="AJ448" i="53"/>
  <c r="AH479" i="53"/>
  <c r="AH464" i="53"/>
  <c r="AH449" i="53"/>
  <c r="AJ463" i="53"/>
  <c r="AJ478" i="53"/>
  <c r="BP69" i="56"/>
  <c r="CX24" i="56"/>
  <c r="M56" i="53" l="1"/>
  <c r="U55" i="53"/>
  <c r="F173" i="53"/>
  <c r="DM24" i="56"/>
  <c r="AJ433" i="53"/>
  <c r="O55" i="53" s="1"/>
  <c r="O56" i="53" s="1"/>
  <c r="O44" i="53"/>
  <c r="O47" i="53" s="1"/>
  <c r="AH434" i="53"/>
  <c r="P46" i="53" s="1"/>
  <c r="E182" i="53" s="1"/>
  <c r="DN20" i="56"/>
  <c r="DN66" i="56" s="1"/>
  <c r="DN70" i="56" s="1"/>
  <c r="BP66" i="56"/>
  <c r="BP70" i="56" s="1"/>
  <c r="BO24" i="56"/>
  <c r="M47" i="53"/>
  <c r="BO70" i="56"/>
  <c r="ED24" i="56"/>
  <c r="DY24" i="56"/>
  <c r="EF24" i="56"/>
  <c r="AW596" i="9"/>
  <c r="AW594" i="9"/>
  <c r="AW600" i="9"/>
  <c r="AW601" i="9"/>
  <c r="AW595" i="9"/>
  <c r="AW597" i="9"/>
  <c r="AW599" i="9"/>
  <c r="AW560" i="9"/>
  <c r="AW564" i="9"/>
  <c r="AW562" i="9"/>
  <c r="AW559" i="9"/>
  <c r="AW565" i="9"/>
  <c r="AW563" i="9"/>
  <c r="AW558" i="9"/>
  <c r="AW561" i="9"/>
  <c r="AW521" i="9"/>
  <c r="AW528" i="9"/>
  <c r="AW524" i="9"/>
  <c r="AW529" i="9"/>
  <c r="AW523" i="9"/>
  <c r="AW525" i="9"/>
  <c r="AW526" i="9"/>
  <c r="AW527" i="9"/>
  <c r="AW520" i="9"/>
  <c r="AW522" i="9"/>
  <c r="AW483" i="9"/>
  <c r="AW491" i="9"/>
  <c r="AW492" i="9"/>
  <c r="AW484" i="9"/>
  <c r="AW489" i="9"/>
  <c r="AW490" i="9"/>
  <c r="AW485" i="9"/>
  <c r="AW486" i="9"/>
  <c r="AW487" i="9"/>
  <c r="AW493" i="9"/>
  <c r="AW488" i="9"/>
  <c r="AW456" i="9"/>
  <c r="AW455" i="9"/>
  <c r="AW449" i="9"/>
  <c r="AW451" i="9"/>
  <c r="AW448" i="9"/>
  <c r="AW452" i="9"/>
  <c r="AW457" i="9"/>
  <c r="AW450" i="9"/>
  <c r="AW453" i="9"/>
  <c r="AW454" i="9"/>
  <c r="AW417" i="9"/>
  <c r="AW420" i="9"/>
  <c r="AW414" i="9"/>
  <c r="AW413" i="9"/>
  <c r="AW415" i="9"/>
  <c r="AW419" i="9"/>
  <c r="AW412" i="9"/>
  <c r="AW418" i="9"/>
  <c r="AW421" i="9"/>
  <c r="AW416" i="9"/>
  <c r="AW378" i="9"/>
  <c r="AW383" i="9"/>
  <c r="AW379" i="9"/>
  <c r="AW385" i="9"/>
  <c r="AW377" i="9"/>
  <c r="AW380" i="9"/>
  <c r="AW376" i="9"/>
  <c r="AW382" i="9"/>
  <c r="AW384" i="9"/>
  <c r="AW381" i="9"/>
  <c r="AW339" i="9"/>
  <c r="AW341" i="9"/>
  <c r="AW348" i="9"/>
  <c r="AW346" i="9"/>
  <c r="AW345" i="9"/>
  <c r="AW342" i="9"/>
  <c r="AW343" i="9"/>
  <c r="AW344" i="9"/>
  <c r="AW349" i="9"/>
  <c r="AW347" i="9"/>
  <c r="AW340" i="9"/>
  <c r="AW309" i="9"/>
  <c r="AW310" i="9"/>
  <c r="AW313" i="9"/>
  <c r="AW305" i="9"/>
  <c r="AW312" i="9"/>
  <c r="AW304" i="9"/>
  <c r="AW311" i="9"/>
  <c r="AW307" i="9"/>
  <c r="AW308" i="9"/>
  <c r="AW306" i="9"/>
  <c r="AW268" i="9"/>
  <c r="AW272" i="9"/>
  <c r="AW269" i="9"/>
  <c r="AW273" i="9"/>
  <c r="AW271" i="9"/>
  <c r="AW275" i="9"/>
  <c r="AW276" i="9"/>
  <c r="AW274" i="9"/>
  <c r="AW277" i="9"/>
  <c r="AW270" i="9"/>
  <c r="AW240" i="9"/>
  <c r="AW241" i="9"/>
  <c r="AW235" i="9"/>
  <c r="AW232" i="9"/>
  <c r="AW234" i="9"/>
  <c r="AW239" i="9"/>
  <c r="AW233" i="9"/>
  <c r="AW236" i="9"/>
  <c r="AW238" i="9"/>
  <c r="AW237" i="9"/>
  <c r="AW202" i="9"/>
  <c r="AW201" i="9"/>
  <c r="AW205" i="9"/>
  <c r="AW196" i="9"/>
  <c r="AW200" i="9"/>
  <c r="AW198" i="9"/>
  <c r="AW203" i="9"/>
  <c r="AW204" i="9"/>
  <c r="AW197" i="9"/>
  <c r="AW199" i="9"/>
  <c r="AW165" i="9"/>
  <c r="AW160" i="9"/>
  <c r="AW161" i="9"/>
  <c r="AW167" i="9"/>
  <c r="AW162" i="9"/>
  <c r="AW166" i="9"/>
  <c r="AW169" i="9"/>
  <c r="AW164" i="9"/>
  <c r="AW163" i="9"/>
  <c r="AW168" i="9"/>
  <c r="AH465" i="53"/>
  <c r="AH450" i="53"/>
  <c r="AH480" i="53"/>
  <c r="AJ449" i="53"/>
  <c r="AJ464" i="53"/>
  <c r="AJ479" i="53"/>
  <c r="AW638" i="9"/>
  <c r="AW650" i="9"/>
  <c r="AW614" i="9"/>
  <c r="AW626" i="9"/>
  <c r="AW605" i="9"/>
  <c r="AW602" i="9"/>
  <c r="AW593" i="9"/>
  <c r="AW590" i="9"/>
  <c r="AW581" i="9"/>
  <c r="AW578" i="9"/>
  <c r="AW554" i="9"/>
  <c r="AW566" i="9"/>
  <c r="DO23" i="56"/>
  <c r="AW533" i="9"/>
  <c r="AW530" i="9"/>
  <c r="BA23" i="9" l="1"/>
  <c r="BA22" i="9"/>
  <c r="BA24" i="9"/>
  <c r="BA19" i="9"/>
  <c r="BA18" i="9"/>
  <c r="BA20" i="9"/>
  <c r="BA25" i="9"/>
  <c r="BA21" i="9"/>
  <c r="DO69" i="56"/>
  <c r="BA126" i="9"/>
  <c r="BA132" i="9"/>
  <c r="BA129" i="9"/>
  <c r="BA128" i="9"/>
  <c r="BA131" i="9"/>
  <c r="BA127" i="9"/>
  <c r="BA133" i="9"/>
  <c r="BA130" i="9"/>
  <c r="DN24" i="56"/>
  <c r="AJ434" i="53"/>
  <c r="P55" i="53" s="1"/>
  <c r="P53" i="53" s="1"/>
  <c r="BA597" i="9"/>
  <c r="DO20" i="56"/>
  <c r="DO66" i="56" s="1"/>
  <c r="AH435" i="53"/>
  <c r="Q46" i="53" s="1"/>
  <c r="Q44" i="53" s="1"/>
  <c r="F178" i="53"/>
  <c r="O53" i="53"/>
  <c r="BP24" i="56"/>
  <c r="AW598" i="9"/>
  <c r="P44" i="53"/>
  <c r="P47" i="53" s="1"/>
  <c r="DZ24" i="56"/>
  <c r="DU24" i="56"/>
  <c r="EH24" i="56"/>
  <c r="EH25" i="56" s="1"/>
  <c r="EB24" i="56"/>
  <c r="DT24" i="56"/>
  <c r="DX24" i="56"/>
  <c r="EC24" i="56"/>
  <c r="DV24" i="56"/>
  <c r="EG24" i="56"/>
  <c r="BA563" i="9"/>
  <c r="BA560" i="9"/>
  <c r="BA559" i="9"/>
  <c r="BA564" i="9"/>
  <c r="BA561" i="9"/>
  <c r="BA558" i="9"/>
  <c r="BA565" i="9"/>
  <c r="BA562" i="9"/>
  <c r="BA521" i="9"/>
  <c r="BA523" i="9"/>
  <c r="BA525" i="9"/>
  <c r="BA529" i="9"/>
  <c r="BA524" i="9"/>
  <c r="BA528" i="9"/>
  <c r="BA526" i="9"/>
  <c r="BA527" i="9"/>
  <c r="BA520" i="9"/>
  <c r="BA522" i="9"/>
  <c r="BA485" i="9"/>
  <c r="BA484" i="9"/>
  <c r="BA487" i="9"/>
  <c r="BA493" i="9"/>
  <c r="BA492" i="9"/>
  <c r="BA488" i="9"/>
  <c r="BA491" i="9"/>
  <c r="BA490" i="9"/>
  <c r="BA489" i="9"/>
  <c r="BA486" i="9"/>
  <c r="BA455" i="9"/>
  <c r="BA456" i="9"/>
  <c r="BA453" i="9"/>
  <c r="BA448" i="9"/>
  <c r="BA450" i="9"/>
  <c r="BA457" i="9"/>
  <c r="BA454" i="9"/>
  <c r="BA449" i="9"/>
  <c r="BA451" i="9"/>
  <c r="BA452" i="9"/>
  <c r="BA417" i="9"/>
  <c r="BA420" i="9"/>
  <c r="BA415" i="9"/>
  <c r="BA418" i="9"/>
  <c r="BA412" i="9"/>
  <c r="BA414" i="9"/>
  <c r="BA419" i="9"/>
  <c r="BA421" i="9"/>
  <c r="BA413" i="9"/>
  <c r="BA416" i="9"/>
  <c r="BA377" i="9"/>
  <c r="BA383" i="9"/>
  <c r="BA378" i="9"/>
  <c r="BA385" i="9"/>
  <c r="BA382" i="9"/>
  <c r="BA376" i="9"/>
  <c r="BA379" i="9"/>
  <c r="BA381" i="9"/>
  <c r="BA384" i="9"/>
  <c r="BA380" i="9"/>
  <c r="BA344" i="9"/>
  <c r="BA345" i="9"/>
  <c r="BA347" i="9"/>
  <c r="BA340" i="9"/>
  <c r="BA346" i="9"/>
  <c r="BA341" i="9"/>
  <c r="BA348" i="9"/>
  <c r="BA343" i="9"/>
  <c r="BA342" i="9"/>
  <c r="BA349" i="9"/>
  <c r="BA311" i="9"/>
  <c r="BA304" i="9"/>
  <c r="BA306" i="9"/>
  <c r="BA308" i="9"/>
  <c r="BA313" i="9"/>
  <c r="BA309" i="9"/>
  <c r="BA307" i="9"/>
  <c r="BA305" i="9"/>
  <c r="BA312" i="9"/>
  <c r="BA310" i="9"/>
  <c r="BA269" i="9"/>
  <c r="BA272" i="9"/>
  <c r="BA271" i="9"/>
  <c r="BA276" i="9"/>
  <c r="BA268" i="9"/>
  <c r="BA274" i="9"/>
  <c r="BA273" i="9"/>
  <c r="BA275" i="9"/>
  <c r="BA270" i="9"/>
  <c r="BA277" i="9"/>
  <c r="BA233" i="9"/>
  <c r="BA241" i="9"/>
  <c r="BA240" i="9"/>
  <c r="BA236" i="9"/>
  <c r="BA237" i="9"/>
  <c r="BA238" i="9"/>
  <c r="BA234" i="9"/>
  <c r="BA239" i="9"/>
  <c r="BA232" i="9"/>
  <c r="BA235" i="9"/>
  <c r="BA203" i="9"/>
  <c r="BA200" i="9"/>
  <c r="BA196" i="9"/>
  <c r="BA199" i="9"/>
  <c r="BA201" i="9"/>
  <c r="BA197" i="9"/>
  <c r="BA202" i="9"/>
  <c r="BA205" i="9"/>
  <c r="BA204" i="9"/>
  <c r="BA198" i="9"/>
  <c r="BA162" i="9"/>
  <c r="BA167" i="9"/>
  <c r="BA168" i="9"/>
  <c r="BA164" i="9"/>
  <c r="BA163" i="9"/>
  <c r="BA166" i="9"/>
  <c r="BA160" i="9"/>
  <c r="BA165" i="9"/>
  <c r="BA169" i="9"/>
  <c r="BA161" i="9"/>
  <c r="AJ450" i="53"/>
  <c r="AJ480" i="53"/>
  <c r="AJ465" i="53"/>
  <c r="BA638" i="9"/>
  <c r="BA650" i="9"/>
  <c r="BA614" i="9"/>
  <c r="BA626" i="9"/>
  <c r="BA605" i="9"/>
  <c r="BA602" i="9"/>
  <c r="BA581" i="9"/>
  <c r="BA590" i="9"/>
  <c r="BA554" i="9"/>
  <c r="BA566" i="9"/>
  <c r="BA533" i="9"/>
  <c r="BA530" i="9"/>
  <c r="DO70" i="56" l="1"/>
  <c r="V44" i="53"/>
  <c r="DO24" i="56"/>
  <c r="AJ435" i="53"/>
  <c r="Q55" i="53" s="1"/>
  <c r="Q56" i="53" s="1"/>
  <c r="P56" i="53"/>
  <c r="BA598" i="9"/>
  <c r="F183" i="53"/>
  <c r="E187" i="53"/>
  <c r="V46" i="53"/>
  <c r="Q47" i="53"/>
  <c r="F188" i="53" l="1"/>
  <c r="Q53" i="53"/>
  <c r="V55" i="5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Excel OPEN_ORDERS" type="100" refreshedVersion="6">
    <extLst>
      <ext xmlns:x15="http://schemas.microsoft.com/office/spreadsheetml/2010/11/main" uri="{DE250136-89BD-433C-8126-D09CA5730AF9}">
        <x15:connection id="0ee9f23a-62db-4ec9-93ce-e39322810015"/>
      </ext>
    </extLst>
  </connection>
  <connection id="2" xr16:uid="{00000000-0015-0000-FFFF-FFFF01000000}" keepAlive="1" name="Query - HIS_SALES" description="Connection to the 'HIS_SALES' query in the workbook." type="5" refreshedVersion="6" background="1" saveData="1">
    <dbPr connection="Provider=Microsoft.Mashup.OleDb.1;Data Source=$Workbook$;Location=HIS_SALES;Extended Properties=&quot;&quot;" command="SELECT * FROM [HIS_SALES] where brand ='VM'"/>
  </connection>
  <connection id="3" xr16:uid="{00000000-0015-0000-FFFF-FFFF02000000}" keepAlive="1" name="Query - HIS_STOCK" description="Connection to the 'HIS_STOCK' query in the workbook." type="5" refreshedVersion="6" background="1" saveData="1">
    <dbPr connection="Provider=Microsoft.Mashup.OleDb.1;Data Source=$Workbook$;Location=HIS_STOCK;Extended Properties=&quot;&quot;" command="SELECT * FROM [HIS_STOCK] where brand ='VM'"/>
  </connection>
  <connection id="4" xr16:uid="{54AB5ACA-9567-4FFC-8F49-4884D50ED795}" keepAlive="1" name="Query - OPEN ORDERS" description="Connection to the 'OPEN ORDERS' query in the workbook." type="5" refreshedVersion="6" background="1" saveData="1">
    <dbPr connection="Provider=Microsoft.Mashup.OleDb.1;Data Source=$Workbook$;Location=OPEN ORDERS;Extended Properties=&quot;&quot;" command="SELECT * FROM [OPEN ORDERS] where BRAND ='VM'"/>
  </connection>
  <connection id="5" xr16:uid="{00000000-0015-0000-FFFF-FFFF04000000}"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<sst xmlns="http://schemas.openxmlformats.org/spreadsheetml/2006/main" count="16053" uniqueCount="2091">
  <si>
    <t>Month</t>
  </si>
  <si>
    <t>TAILORING</t>
  </si>
  <si>
    <t>ACCESSORIES</t>
  </si>
  <si>
    <t>OUTERWEAR</t>
  </si>
  <si>
    <t>SHOES</t>
  </si>
  <si>
    <t>JEWELLERY</t>
  </si>
  <si>
    <t>CY</t>
  </si>
  <si>
    <t>FY</t>
  </si>
  <si>
    <t>FQ</t>
  </si>
  <si>
    <t>CQ</t>
  </si>
  <si>
    <t>BRAND</t>
  </si>
  <si>
    <t>CHA</t>
  </si>
  <si>
    <t>CAT</t>
  </si>
  <si>
    <t>YEAR</t>
  </si>
  <si>
    <t>Q</t>
  </si>
  <si>
    <t>GS II</t>
  </si>
  <si>
    <t>17/18</t>
  </si>
  <si>
    <t>18/19</t>
  </si>
  <si>
    <t>DIS %</t>
  </si>
  <si>
    <t>2017-08</t>
  </si>
  <si>
    <t>2017-09</t>
  </si>
  <si>
    <t>2017-10</t>
  </si>
  <si>
    <t>2017-11</t>
  </si>
  <si>
    <t>2017-12</t>
  </si>
  <si>
    <t>2018-01</t>
  </si>
  <si>
    <t>2018-02</t>
  </si>
  <si>
    <t>2018-03</t>
  </si>
  <si>
    <t>2018-04</t>
  </si>
  <si>
    <t>2018-05</t>
  </si>
  <si>
    <t>2018-06</t>
  </si>
  <si>
    <t>2018-07</t>
  </si>
  <si>
    <t>2018-08</t>
  </si>
  <si>
    <t>2018-09</t>
  </si>
  <si>
    <t>2018-10</t>
  </si>
  <si>
    <t>2018-11</t>
  </si>
  <si>
    <t>2018-12</t>
  </si>
  <si>
    <t>2019-01</t>
  </si>
  <si>
    <t>2019-02</t>
  </si>
  <si>
    <t>2019-03</t>
  </si>
  <si>
    <t>2019-04</t>
  </si>
  <si>
    <t>2019-05</t>
  </si>
  <si>
    <t>2019-06</t>
  </si>
  <si>
    <t>2019-07</t>
  </si>
  <si>
    <t>2019-08</t>
  </si>
  <si>
    <t>2019-09</t>
  </si>
  <si>
    <t>2019-10</t>
  </si>
  <si>
    <t>2019-11</t>
  </si>
  <si>
    <t>2019-12</t>
  </si>
  <si>
    <t>19/20</t>
  </si>
  <si>
    <t>2020-01</t>
  </si>
  <si>
    <t>2020-02</t>
  </si>
  <si>
    <t>2020-03</t>
  </si>
  <si>
    <t>2020-04</t>
  </si>
  <si>
    <t>2020-05</t>
  </si>
  <si>
    <t>2020-06</t>
  </si>
  <si>
    <t>2020-07</t>
  </si>
  <si>
    <t>Q1</t>
  </si>
  <si>
    <t>Q2</t>
  </si>
  <si>
    <t>Q3</t>
  </si>
  <si>
    <t>Q4</t>
  </si>
  <si>
    <t>Today</t>
  </si>
  <si>
    <t>Year</t>
  </si>
  <si>
    <t>YYYY-MM</t>
  </si>
  <si>
    <t>Year-Month</t>
  </si>
  <si>
    <t>Current FY</t>
  </si>
  <si>
    <t>Current FQ</t>
  </si>
  <si>
    <t>LY</t>
  </si>
  <si>
    <t>L2Y</t>
  </si>
  <si>
    <t>L3Y</t>
  </si>
  <si>
    <t>NEXT</t>
  </si>
  <si>
    <t>16/17</t>
  </si>
  <si>
    <t>15/16</t>
  </si>
  <si>
    <t>14/15</t>
  </si>
  <si>
    <t>20/21</t>
  </si>
  <si>
    <t>21/22</t>
  </si>
  <si>
    <t>Mark-Up</t>
  </si>
  <si>
    <t>CHANNEL</t>
  </si>
  <si>
    <t>CATEGORY</t>
  </si>
  <si>
    <t xml:space="preserve">GS II </t>
  </si>
  <si>
    <t xml:space="preserve">BRAND </t>
  </si>
  <si>
    <t>TOTAL</t>
  </si>
  <si>
    <t>KEY</t>
  </si>
  <si>
    <t>GROWTH</t>
  </si>
  <si>
    <t>Q+1</t>
  </si>
  <si>
    <t>Q+2</t>
  </si>
  <si>
    <t>Q+3</t>
  </si>
  <si>
    <t>Q+4</t>
  </si>
  <si>
    <t>22/23</t>
  </si>
  <si>
    <t>23/24</t>
  </si>
  <si>
    <t>24/25</t>
  </si>
  <si>
    <t>25/26</t>
  </si>
  <si>
    <t>NY</t>
  </si>
  <si>
    <t>N2Y</t>
  </si>
  <si>
    <t>N3Y</t>
  </si>
  <si>
    <t>N4Y</t>
  </si>
  <si>
    <t>Y</t>
  </si>
  <si>
    <t>GS II HISTORICAL</t>
  </si>
  <si>
    <t>GS II FORECAST</t>
  </si>
  <si>
    <t>DISCOUNT % HISTORICAL</t>
  </si>
  <si>
    <t>DISCOUNT % FORECAST</t>
  </si>
  <si>
    <t xml:space="preserve">GS II TOTAL FORECAST </t>
  </si>
  <si>
    <t>GS II TOTAL HISTORICAL</t>
  </si>
  <si>
    <t>DISCOUNT % TOTAL FORECAST</t>
  </si>
  <si>
    <t>MARK-UP FORECAST</t>
  </si>
  <si>
    <t>MARK-UP HISTORICAL</t>
  </si>
  <si>
    <t>VAT</t>
  </si>
  <si>
    <t>Growth</t>
  </si>
  <si>
    <t xml:space="preserve">Channel per Category </t>
  </si>
  <si>
    <t>CATEGORY FORECAST</t>
  </si>
  <si>
    <t>PARTNER.com</t>
  </si>
  <si>
    <t>BS.com</t>
  </si>
  <si>
    <t>BRAND.com</t>
  </si>
  <si>
    <t>Year-Month-FQ</t>
  </si>
  <si>
    <t>FY-FQ</t>
  </si>
  <si>
    <t>PRODUCT_CATEGORY</t>
  </si>
  <si>
    <t xml:space="preserve">DISCOUNT %  TOTAL HISTORICAL </t>
  </si>
  <si>
    <t>LY-FY</t>
  </si>
  <si>
    <t>MONTH_NR</t>
  </si>
  <si>
    <t>MARK_UP_Q</t>
  </si>
  <si>
    <t>DISC_VAL_Q</t>
  </si>
  <si>
    <t>GS_I_Q</t>
  </si>
  <si>
    <t>GS_I_M</t>
  </si>
  <si>
    <t>GS_II_M</t>
  </si>
  <si>
    <t>DISCOUNT_%_M</t>
  </si>
  <si>
    <t>FQ-MONTH_NR</t>
  </si>
  <si>
    <t>FM</t>
  </si>
  <si>
    <t>GR_I_M</t>
  </si>
  <si>
    <t>GR_II_M</t>
  </si>
  <si>
    <t>NET_SALES_M</t>
  </si>
  <si>
    <t>MARK_UP_eVAT_Q</t>
  </si>
  <si>
    <t>LAST 4 QUARTERS</t>
  </si>
  <si>
    <t>FC_DATE</t>
  </si>
  <si>
    <t>NET COGS</t>
  </si>
  <si>
    <t>WEEKLY NET COGS</t>
  </si>
  <si>
    <t>LAST TIME</t>
  </si>
  <si>
    <t>Row Labels</t>
  </si>
  <si>
    <t>Grand Total</t>
  </si>
  <si>
    <t>To be developed: should be able to change per single category if do not agree with auto split</t>
  </si>
  <si>
    <t>NOOS%</t>
  </si>
  <si>
    <t>NOOS% HISTORICAL</t>
  </si>
  <si>
    <t>NET_COGS_M_NOOS</t>
  </si>
  <si>
    <t>NET_COGS_M_NON</t>
  </si>
  <si>
    <t>Partner.com</t>
  </si>
  <si>
    <t>Confirm</t>
  </si>
  <si>
    <t>Aug</t>
  </si>
  <si>
    <t>Oct</t>
  </si>
  <si>
    <t>Sep</t>
  </si>
  <si>
    <t>Dec</t>
  </si>
  <si>
    <t>Jan</t>
  </si>
  <si>
    <t>Nov</t>
  </si>
  <si>
    <t>Apr</t>
  </si>
  <si>
    <t>Feb</t>
  </si>
  <si>
    <t>Mar</t>
  </si>
  <si>
    <t>Jul</t>
  </si>
  <si>
    <t>Jun</t>
  </si>
  <si>
    <t>May</t>
  </si>
  <si>
    <t>MONTH_NAME</t>
  </si>
  <si>
    <t xml:space="preserve"> Q TOTAL</t>
  </si>
  <si>
    <t>Q TOTAL</t>
  </si>
  <si>
    <t>MONTH</t>
  </si>
  <si>
    <t>* NOOS %  - All business areas consolidated</t>
  </si>
  <si>
    <t>* NOOS % Historical - ALL business areas consolidated</t>
  </si>
  <si>
    <t>BRAND TOTAL</t>
  </si>
  <si>
    <t>brand</t>
  </si>
  <si>
    <t>1st</t>
  </si>
  <si>
    <t>2nd</t>
  </si>
  <si>
    <t>3rd</t>
  </si>
  <si>
    <t>4th</t>
  </si>
  <si>
    <t>bs.com</t>
  </si>
  <si>
    <t>partner.com</t>
  </si>
  <si>
    <t>Brand Total</t>
  </si>
  <si>
    <t>DISCOUNT_M</t>
  </si>
  <si>
    <t>MARKUP_iVAT_M</t>
  </si>
  <si>
    <t>TRANS_RR_M</t>
  </si>
  <si>
    <t>NOOS_M</t>
  </si>
  <si>
    <t>Last month</t>
  </si>
  <si>
    <t>DIS_VAL_M</t>
  </si>
  <si>
    <t>MARKUP HISTORICAL</t>
  </si>
  <si>
    <t>Mark-Up HISTORICAL</t>
  </si>
  <si>
    <t>LAST_MONTH</t>
  </si>
  <si>
    <t>NEXT_MONTH</t>
  </si>
  <si>
    <t>NOOS</t>
  </si>
  <si>
    <t>NWC</t>
  </si>
  <si>
    <t>Sum of NWC</t>
  </si>
  <si>
    <t>Column Labels</t>
  </si>
  <si>
    <t>NET WEEK COVER FORECAST</t>
  </si>
  <si>
    <t>Sum of EOH_VAL</t>
  </si>
  <si>
    <t>TARGET STOCK VALUE EOH</t>
  </si>
  <si>
    <t>CTG</t>
  </si>
  <si>
    <t>LONG-TERM FC OVERVIEW</t>
  </si>
  <si>
    <t>SHORT-TERM FC OVERVIEW</t>
  </si>
  <si>
    <t>ACT</t>
  </si>
  <si>
    <t>ACT GROWTH</t>
  </si>
  <si>
    <t>DIS% HISTORICAL</t>
  </si>
  <si>
    <t>DIS% FORECAST</t>
  </si>
  <si>
    <t/>
  </si>
  <si>
    <t>Note: current quarter = actual + forecast</t>
  </si>
  <si>
    <t>NON-NOOS</t>
  </si>
  <si>
    <t>OVERVIEW</t>
  </si>
  <si>
    <t>DASH BOARD</t>
  </si>
  <si>
    <t>SALES</t>
  </si>
  <si>
    <t>STOCK</t>
  </si>
  <si>
    <t>BACK TO FRONT PAGE</t>
  </si>
  <si>
    <t>QUARTERLY FORECAST</t>
  </si>
  <si>
    <t>MONTHLY FORECAST</t>
  </si>
  <si>
    <t>GSII_M</t>
  </si>
  <si>
    <t>ACT/FC</t>
  </si>
  <si>
    <t>QUICK ACCESS</t>
  </si>
  <si>
    <t>BRAND.COM</t>
  </si>
  <si>
    <t>QUARTERLY</t>
  </si>
  <si>
    <t>MONTHLY</t>
  </si>
  <si>
    <t>BS.COM</t>
  </si>
  <si>
    <t>PARTNER.COM</t>
  </si>
  <si>
    <t>DASHBOARD</t>
  </si>
  <si>
    <t>GS_II</t>
  </si>
  <si>
    <t>DISCOUNT_%</t>
  </si>
  <si>
    <t>MARK_UP</t>
  </si>
  <si>
    <t>(*used for channel split)</t>
  </si>
  <si>
    <t>Non-NOOS NWC</t>
  </si>
  <si>
    <t>Non-NOOS EOH_VAL</t>
  </si>
  <si>
    <t>Sum of NET_COGS_ED</t>
  </si>
  <si>
    <t>Non-NOOS NET_COGS</t>
  </si>
  <si>
    <t>NOOS NWC</t>
  </si>
  <si>
    <t>* function:</t>
  </si>
  <si>
    <t>NOOS EOH_VAL</t>
  </si>
  <si>
    <t>NOOS NET_COGS</t>
  </si>
  <si>
    <t>WEIGHTED TOTAL</t>
  </si>
  <si>
    <t>NOOS_FNWC</t>
  </si>
  <si>
    <t>NOOS_TARGET_STOCK</t>
  </si>
  <si>
    <t>NOOS_NET_COGS</t>
  </si>
  <si>
    <t>TOTAL_TARGET_STOCK</t>
  </si>
  <si>
    <t>TOTAL_NET_COGS</t>
  </si>
  <si>
    <t>BS.COM NEW CATEGORY SHARE%</t>
  </si>
  <si>
    <t>PARTNER.COM NEW CATEGORY SHARE%</t>
  </si>
  <si>
    <t>FC</t>
  </si>
  <si>
    <t>NET_COGS</t>
  </si>
  <si>
    <t>PURCHASE</t>
  </si>
  <si>
    <t>BULK EXIT</t>
  </si>
  <si>
    <t>PROJECTED CLOSING STOCK</t>
  </si>
  <si>
    <t>TARGET STOCK</t>
  </si>
  <si>
    <t>CLOSING STOCK LY</t>
  </si>
  <si>
    <t>NWC LY</t>
  </si>
  <si>
    <t>PLANNING FC</t>
  </si>
  <si>
    <t>COLLECTION</t>
  </si>
  <si>
    <t>TARGET_STOCK</t>
  </si>
  <si>
    <t>NET_WEEK_COVER</t>
  </si>
  <si>
    <t>BULK-EXIT</t>
  </si>
  <si>
    <t>DELIVERY_PERIODS_NAME</t>
  </si>
  <si>
    <t>IMMEDIATELY</t>
  </si>
  <si>
    <t>STYLE_CATEGORY_NAME</t>
  </si>
  <si>
    <t>Accessories</t>
  </si>
  <si>
    <t>Shoes</t>
  </si>
  <si>
    <t>Tailoring</t>
  </si>
  <si>
    <t>Outerwear</t>
  </si>
  <si>
    <t>Key</t>
  </si>
  <si>
    <t>LAST MONTH</t>
  </si>
  <si>
    <t>Note: NOOS% all business areas combined. ! Slicer 'business area' not applicable !</t>
  </si>
  <si>
    <t>QUARTERY SUMMARY</t>
  </si>
  <si>
    <t>NET_COGS FC</t>
  </si>
  <si>
    <t>NET_COGS LY</t>
  </si>
  <si>
    <t>NET_COGS FC WEEKLY</t>
  </si>
  <si>
    <t>NET_COGS LY WEEKLY</t>
  </si>
  <si>
    <t>MONTHLY SUMMARY</t>
  </si>
  <si>
    <t>NOOS_PLAN-TO-BUY</t>
  </si>
  <si>
    <t>Sum of SUM(O145712.AMOUNT_EUR)</t>
  </si>
  <si>
    <t>BULK EXIT (NON-NOOS)</t>
  </si>
  <si>
    <t>BULK EXIT  (NOOS)</t>
  </si>
  <si>
    <t>PROJECTED CLOSING STOCK (NON-NOOS)</t>
  </si>
  <si>
    <t>BOH+ORDERS-BULK-SALES (NON-NOOS)</t>
  </si>
  <si>
    <t>BOH+ORDERS-BULK-SALES (NOOS)</t>
  </si>
  <si>
    <t>OPEN BUDGET (NON-NOOS)</t>
  </si>
  <si>
    <t>OPEN BUDGET (NOOS)</t>
  </si>
  <si>
    <t xml:space="preserve">     OPEN BUDGET</t>
  </si>
  <si>
    <t>OPEN_BUDGET</t>
  </si>
  <si>
    <t>PROJECTED STOCK</t>
  </si>
  <si>
    <t xml:space="preserve">Click here for CFT Manual </t>
  </si>
  <si>
    <t>BULK EXIT (To adjust)</t>
  </si>
  <si>
    <t>PLACED ORDERS (NON-NOOS)</t>
  </si>
  <si>
    <t>PLACED ORDERS (NOOS)</t>
  </si>
  <si>
    <t xml:space="preserve">     PLACED ORDERS</t>
  </si>
  <si>
    <t>JEANS</t>
  </si>
  <si>
    <t>SWEAT</t>
  </si>
  <si>
    <t>T-SHIRTS &amp; TOPS</t>
  </si>
  <si>
    <t>LY for LT OV</t>
  </si>
  <si>
    <t>VM</t>
  </si>
  <si>
    <t>DRESSES</t>
  </si>
  <si>
    <t>PANTS</t>
  </si>
  <si>
    <t>SHIRTS</t>
  </si>
  <si>
    <t>SKIRTS</t>
  </si>
  <si>
    <t>KNIT</t>
  </si>
  <si>
    <t>SHORTS</t>
  </si>
  <si>
    <t>VMBRAND.comACCESSORIES17/18Jul</t>
  </si>
  <si>
    <t>VMBRAND.comDRESSES17/18Jul</t>
  </si>
  <si>
    <t>VMBRAND.comJEANS17/18Jul</t>
  </si>
  <si>
    <t>VMBRAND.comKNIT17/18Jul</t>
  </si>
  <si>
    <t>VMBRAND.comOUTERWEAR17/18Jul</t>
  </si>
  <si>
    <t>VMBRAND.comPANTS17/18Jul</t>
  </si>
  <si>
    <t>VMBRAND.comSHIRTS17/18Jul</t>
  </si>
  <si>
    <t>VMBRAND.comSHOES17/18Jul</t>
  </si>
  <si>
    <t>VMBRAND.comSHORTS17/18Jul</t>
  </si>
  <si>
    <t>VMBRAND.comSKIRTS17/18Jul</t>
  </si>
  <si>
    <t>VMBRAND.comSWEAT17/18Jul</t>
  </si>
  <si>
    <t>VMBRAND.comT-SHIRTS &amp; TOPS17/18Jul</t>
  </si>
  <si>
    <t>VMBRAND.comTAILORING17/18Jul</t>
  </si>
  <si>
    <t>VMBS.comACCESSORIES17/18Jul</t>
  </si>
  <si>
    <t>VMBS.comDRESSES17/18Jul</t>
  </si>
  <si>
    <t>VMBS.comJEANS17/18Jul</t>
  </si>
  <si>
    <t>VMBS.comKNIT17/18Jul</t>
  </si>
  <si>
    <t>VMBS.comOUTERWEAR17/18Jul</t>
  </si>
  <si>
    <t>VMBS.comPANTS17/18Jul</t>
  </si>
  <si>
    <t>VMBS.comSHIRTS17/18Jul</t>
  </si>
  <si>
    <t>VMBS.comSHOES17/18Jul</t>
  </si>
  <si>
    <t>VMBS.comSHORTS17/18Jul</t>
  </si>
  <si>
    <t>VMBS.comSKIRTS17/18Jul</t>
  </si>
  <si>
    <t>VMBS.comSWEAT17/18Jul</t>
  </si>
  <si>
    <t>VMBS.comT-SHIRTS &amp; TOPS17/18Jul</t>
  </si>
  <si>
    <t>VMBS.comTAILORING17/18Jul</t>
  </si>
  <si>
    <t>Jeans</t>
  </si>
  <si>
    <t>Knit</t>
  </si>
  <si>
    <t>Pants</t>
  </si>
  <si>
    <t>Dresses</t>
  </si>
  <si>
    <t>Shirts</t>
  </si>
  <si>
    <t>Skirts</t>
  </si>
  <si>
    <t>Sweat</t>
  </si>
  <si>
    <t>T-Shirts &amp; Tops</t>
  </si>
  <si>
    <t>Shorts</t>
  </si>
  <si>
    <t>VMBRAND.comDRESSES18/19Aug</t>
  </si>
  <si>
    <t>VMBRAND.comDRESSES18/19Sep</t>
  </si>
  <si>
    <t>VMBS.comDRESSES18/19Aug</t>
  </si>
  <si>
    <t>VMBS.comDRESSES18/19Sep</t>
  </si>
  <si>
    <t>VMBRAND.comACCESSORIES18/19Aug</t>
  </si>
  <si>
    <t>VMBRAND.comACCESSORIES18/19Sep</t>
  </si>
  <si>
    <t>VMBS.comACCESSORIES18/19Aug</t>
  </si>
  <si>
    <t>VMBS.comACCESSORIES18/19Sep</t>
  </si>
  <si>
    <t>VMBRAND.comJEANS18/19Aug</t>
  </si>
  <si>
    <t>VMBRAND.comJEANS18/19Sep</t>
  </si>
  <si>
    <t>VMBS.comJEANS18/19Aug</t>
  </si>
  <si>
    <t>VMBS.comJEANS18/19Sep</t>
  </si>
  <si>
    <t>VMBRAND.comKNIT18/19Aug</t>
  </si>
  <si>
    <t>VMBRAND.comKNIT18/19Sep</t>
  </si>
  <si>
    <t>VMBS.comKNIT18/19Aug</t>
  </si>
  <si>
    <t>VMBS.comKNIT18/19Sep</t>
  </si>
  <si>
    <t>VMBRAND.comOUTERWEAR18/19Aug</t>
  </si>
  <si>
    <t>VMBRAND.comOUTERWEAR18/19Sep</t>
  </si>
  <si>
    <t>VMBS.comOUTERWEAR18/19Aug</t>
  </si>
  <si>
    <t>VMBS.comOUTERWEAR18/19Sep</t>
  </si>
  <si>
    <t>VMBRAND.comPANTS18/19Aug</t>
  </si>
  <si>
    <t>VMBRAND.comPANTS18/19Sep</t>
  </si>
  <si>
    <t>VMBS.comPANTS18/19Aug</t>
  </si>
  <si>
    <t>VMBS.comPANTS18/19Sep</t>
  </si>
  <si>
    <t>VMBRAND.comSHIRTS18/19Aug</t>
  </si>
  <si>
    <t>VMBRAND.comSHIRTS18/19Sep</t>
  </si>
  <si>
    <t>VMBS.comSHIRTS18/19Aug</t>
  </si>
  <si>
    <t>VMBS.comSHIRTS18/19Sep</t>
  </si>
  <si>
    <t>VMBRAND.comSHOES18/19Aug</t>
  </si>
  <si>
    <t>VMBRAND.comSHOES18/19Sep</t>
  </si>
  <si>
    <t>VMBS.comSHOES18/19Aug</t>
  </si>
  <si>
    <t>VMBS.comSHOES18/19Sep</t>
  </si>
  <si>
    <t>VMBRAND.comSHORTS18/19Aug</t>
  </si>
  <si>
    <t>VMBRAND.comSHORTS18/19Sep</t>
  </si>
  <si>
    <t>VMBS.comSHORTS18/19Aug</t>
  </si>
  <si>
    <t>VMBS.comSHORTS18/19Sep</t>
  </si>
  <si>
    <t>VMBRAND.comSKIRTS18/19Aug</t>
  </si>
  <si>
    <t>VMBRAND.comSKIRTS18/19Sep</t>
  </si>
  <si>
    <t>VMBS.comSKIRTS18/19Aug</t>
  </si>
  <si>
    <t>VMBS.comSKIRTS18/19Sep</t>
  </si>
  <si>
    <t>VMBRAND.comSWEAT18/19Aug</t>
  </si>
  <si>
    <t>VMBRAND.comSWEAT18/19Sep</t>
  </si>
  <si>
    <t>VMBS.comSWEAT18/19Aug</t>
  </si>
  <si>
    <t>VMBS.comSWEAT18/19Sep</t>
  </si>
  <si>
    <t>VMBRAND.comTAILORING18/19Aug</t>
  </si>
  <si>
    <t>VMBRAND.comTAILORING18/19Sep</t>
  </si>
  <si>
    <t>VMBS.comTAILORING18/19Aug</t>
  </si>
  <si>
    <t>VMBS.comTAILORING18/19Sep</t>
  </si>
  <si>
    <t>VMBRAND.comT-SHIRTS &amp; TOPS18/19Aug</t>
  </si>
  <si>
    <t>VMBRAND.comT-SHIRTS &amp; TOPS18/19Sep</t>
  </si>
  <si>
    <t>VMBS.comT-SHIRTS &amp; TOPS18/19Aug</t>
  </si>
  <si>
    <t>VMBS.comT-SHIRTS &amp; TOPS18/19Sep</t>
  </si>
  <si>
    <t>MARK-UP FORECAST(OPTIONAL)</t>
  </si>
  <si>
    <t>NOOS% FORECAST</t>
  </si>
  <si>
    <t>YoY Growth</t>
  </si>
  <si>
    <t>GSII SHARE</t>
  </si>
  <si>
    <t>*</t>
  </si>
  <si>
    <t>diff</t>
  </si>
  <si>
    <t>average diff</t>
  </si>
  <si>
    <t>Delta %P</t>
  </si>
  <si>
    <t>TARGET STOCK (NON-NOOS)</t>
  </si>
  <si>
    <t>PROJECTED CLOSING STOCK (NOOS)</t>
  </si>
  <si>
    <t>TARGET STOCK (NOOS)</t>
  </si>
  <si>
    <t xml:space="preserve">PROJECTED CLOSING STOCK VS TARGET STOCK </t>
  </si>
  <si>
    <t>BULK EXIT  (TOTAL)</t>
  </si>
  <si>
    <t>OPEN BUDGET (TOTAL)</t>
  </si>
  <si>
    <t>PLACED ORDERS (TOTAL)</t>
  </si>
  <si>
    <t>PROJECTED CLOSING STOCK (TOTAL)</t>
  </si>
  <si>
    <t>TARGET STOCK (TOTAL)</t>
  </si>
  <si>
    <t>BULK EXIT %</t>
  </si>
  <si>
    <t xml:space="preserve">     OPEN BUDGET %</t>
  </si>
  <si>
    <t>NOOS %</t>
  </si>
  <si>
    <t>DISCOUNT % (DIRECT)</t>
  </si>
  <si>
    <t>CARRY-OVER (NON-NOOS)</t>
  </si>
  <si>
    <t>CARRY-OVER (NOOS)</t>
  </si>
  <si>
    <t>CARRY-OVER (TOTAL)</t>
  </si>
  <si>
    <t>CARRY-OVER</t>
  </si>
  <si>
    <t>CARRY-OVER STOCK</t>
  </si>
  <si>
    <t>CARRY-OVER %</t>
  </si>
  <si>
    <t>VMBRAND.comACCESSORIES16/17Q1</t>
  </si>
  <si>
    <t>VMBRAND.comACCESSORIES16/17Aug</t>
  </si>
  <si>
    <t>VMBRAND.comACCESSORIES16/17Oct</t>
  </si>
  <si>
    <t>VMBRAND.comACCESSORIES16/17Sep</t>
  </si>
  <si>
    <t>VMBRAND.comACCESSORIES16/17Q2</t>
  </si>
  <si>
    <t>VMBRAND.comACCESSORIES16/17Dec</t>
  </si>
  <si>
    <t>VMBRAND.comACCESSORIES16/17Jan</t>
  </si>
  <si>
    <t>VMBRAND.comACCESSORIES16/17Nov</t>
  </si>
  <si>
    <t>VMBRAND.comACCESSORIES16/17Q3</t>
  </si>
  <si>
    <t>VMBRAND.comACCESSORIES16/17Apr</t>
  </si>
  <si>
    <t>VMBRAND.comACCESSORIES16/17Feb</t>
  </si>
  <si>
    <t>VMBRAND.comACCESSORIES16/17Mar</t>
  </si>
  <si>
    <t>VMBRAND.comACCESSORIES16/17Q4</t>
  </si>
  <si>
    <t>VMBRAND.comACCESSORIES16/17Jul</t>
  </si>
  <si>
    <t>VMBRAND.comACCESSORIES16/17Jun</t>
  </si>
  <si>
    <t>VMBRAND.comACCESSORIES16/17May</t>
  </si>
  <si>
    <t>VMBRAND.comACCESSORIES17/18Q1</t>
  </si>
  <si>
    <t>VMBRAND.comACCESSORIES17/18Aug</t>
  </si>
  <si>
    <t>VMBRAND.comACCESSORIES17/18Oct</t>
  </si>
  <si>
    <t>VMBRAND.comACCESSORIES17/18Sep</t>
  </si>
  <si>
    <t>VMBRAND.comACCESSORIES17/18Q2</t>
  </si>
  <si>
    <t>VMBRAND.comACCESSORIES17/18Dec</t>
  </si>
  <si>
    <t>VMBRAND.comACCESSORIES17/18Jan</t>
  </si>
  <si>
    <t>VMBRAND.comACCESSORIES17/18Nov</t>
  </si>
  <si>
    <t>VMBRAND.comACCESSORIES17/18Q3</t>
  </si>
  <si>
    <t>VMBRAND.comACCESSORIES17/18Apr</t>
  </si>
  <si>
    <t>VMBRAND.comACCESSORIES17/18Feb</t>
  </si>
  <si>
    <t>VMBRAND.comACCESSORIES17/18Mar</t>
  </si>
  <si>
    <t>VMBRAND.comACCESSORIES17/18Q4</t>
  </si>
  <si>
    <t>VMBRAND.comACCESSORIES17/18Jun</t>
  </si>
  <si>
    <t>VMBRAND.comACCESSORIES17/18May</t>
  </si>
  <si>
    <t>VMBRAND.comACCESSORIES18/19Q1</t>
  </si>
  <si>
    <t>VMBRAND.comDRESSES16/17Q1</t>
  </si>
  <si>
    <t>VMBRAND.comDRESSES16/17Aug</t>
  </si>
  <si>
    <t>VMBRAND.comDRESSES16/17Oct</t>
  </si>
  <si>
    <t>VMBRAND.comDRESSES16/17Sep</t>
  </si>
  <si>
    <t>VMBRAND.comDRESSES16/17Q2</t>
  </si>
  <si>
    <t>VMBRAND.comDRESSES16/17Dec</t>
  </si>
  <si>
    <t>VMBRAND.comDRESSES16/17Jan</t>
  </si>
  <si>
    <t>VMBRAND.comDRESSES16/17Nov</t>
  </si>
  <si>
    <t>VMBRAND.comDRESSES16/17Q3</t>
  </si>
  <si>
    <t>VMBRAND.comDRESSES16/17Apr</t>
  </si>
  <si>
    <t>VMBRAND.comDRESSES16/17Feb</t>
  </si>
  <si>
    <t>VMBRAND.comDRESSES16/17Mar</t>
  </si>
  <si>
    <t>VMBRAND.comDRESSES16/17Q4</t>
  </si>
  <si>
    <t>VMBRAND.comDRESSES16/17Jul</t>
  </si>
  <si>
    <t>VMBRAND.comDRESSES16/17Jun</t>
  </si>
  <si>
    <t>VMBRAND.comDRESSES16/17May</t>
  </si>
  <si>
    <t>VMBRAND.comDRESSES17/18Q1</t>
  </si>
  <si>
    <t>VMBRAND.comDRESSES17/18Aug</t>
  </si>
  <si>
    <t>VMBRAND.comDRESSES17/18Oct</t>
  </si>
  <si>
    <t>VMBRAND.comDRESSES17/18Sep</t>
  </si>
  <si>
    <t>VMBRAND.comDRESSES17/18Q2</t>
  </si>
  <si>
    <t>VMBRAND.comDRESSES17/18Dec</t>
  </si>
  <si>
    <t>VMBRAND.comDRESSES17/18Jan</t>
  </si>
  <si>
    <t>VMBRAND.comDRESSES17/18Nov</t>
  </si>
  <si>
    <t>VMBRAND.comDRESSES17/18Q3</t>
  </si>
  <si>
    <t>VMBRAND.comDRESSES17/18Apr</t>
  </si>
  <si>
    <t>VMBRAND.comDRESSES17/18Feb</t>
  </si>
  <si>
    <t>VMBRAND.comDRESSES17/18Mar</t>
  </si>
  <si>
    <t>VMBRAND.comDRESSES17/18Q4</t>
  </si>
  <si>
    <t>VMBRAND.comDRESSES17/18Jun</t>
  </si>
  <si>
    <t>VMBRAND.comDRESSES17/18May</t>
  </si>
  <si>
    <t>VMBRAND.comDRESSES18/19Q1</t>
  </si>
  <si>
    <t>VMBRAND.comJEANS16/17Q1</t>
  </si>
  <si>
    <t>VMBRAND.comJEANS16/17Aug</t>
  </si>
  <si>
    <t>VMBRAND.comJEANS16/17Oct</t>
  </si>
  <si>
    <t>VMBRAND.comJEANS16/17Sep</t>
  </si>
  <si>
    <t>VMBRAND.comJEANS16/17Q2</t>
  </si>
  <si>
    <t>VMBRAND.comJEANS16/17Dec</t>
  </si>
  <si>
    <t>VMBRAND.comJEANS16/17Jan</t>
  </si>
  <si>
    <t>VMBRAND.comJEANS16/17Nov</t>
  </si>
  <si>
    <t>VMBRAND.comJEANS16/17Q3</t>
  </si>
  <si>
    <t>VMBRAND.comJEANS16/17Apr</t>
  </si>
  <si>
    <t>VMBRAND.comJEANS16/17Feb</t>
  </si>
  <si>
    <t>VMBRAND.comJEANS16/17Mar</t>
  </si>
  <si>
    <t>VMBRAND.comJEANS16/17Q4</t>
  </si>
  <si>
    <t>VMBRAND.comJEANS16/17Jul</t>
  </si>
  <si>
    <t>VMBRAND.comJEANS16/17Jun</t>
  </si>
  <si>
    <t>VMBRAND.comJEANS16/17May</t>
  </si>
  <si>
    <t>VMBRAND.comJEANS17/18Q1</t>
  </si>
  <si>
    <t>VMBRAND.comJEANS17/18Aug</t>
  </si>
  <si>
    <t>VMBRAND.comJEANS17/18Oct</t>
  </si>
  <si>
    <t>VMBRAND.comJEANS17/18Sep</t>
  </si>
  <si>
    <t>VMBRAND.comJEANS17/18Q2</t>
  </si>
  <si>
    <t>VMBRAND.comJEANS17/18Dec</t>
  </si>
  <si>
    <t>VMBRAND.comJEANS17/18Jan</t>
  </si>
  <si>
    <t>VMBRAND.comJEANS17/18Nov</t>
  </si>
  <si>
    <t>VMBRAND.comJEANS17/18Q3</t>
  </si>
  <si>
    <t>VMBRAND.comJEANS17/18Apr</t>
  </si>
  <si>
    <t>VMBRAND.comJEANS17/18Feb</t>
  </si>
  <si>
    <t>VMBRAND.comJEANS17/18Mar</t>
  </si>
  <si>
    <t>VMBRAND.comJEANS17/18Q4</t>
  </si>
  <si>
    <t>VMBRAND.comJEANS17/18Jun</t>
  </si>
  <si>
    <t>VMBRAND.comJEANS17/18May</t>
  </si>
  <si>
    <t>VMBRAND.comJEANS18/19Q1</t>
  </si>
  <si>
    <t>VMBRAND.comKNIT16/17Q1</t>
  </si>
  <si>
    <t>VMBRAND.comKNIT16/17Aug</t>
  </si>
  <si>
    <t>VMBRAND.comKNIT16/17Oct</t>
  </si>
  <si>
    <t>VMBRAND.comKNIT16/17Sep</t>
  </si>
  <si>
    <t>VMBRAND.comKNIT16/17Q2</t>
  </si>
  <si>
    <t>VMBRAND.comKNIT16/17Dec</t>
  </si>
  <si>
    <t>VMBRAND.comKNIT16/17Jan</t>
  </si>
  <si>
    <t>VMBRAND.comKNIT16/17Nov</t>
  </si>
  <si>
    <t>VMBRAND.comKNIT16/17Q3</t>
  </si>
  <si>
    <t>VMBRAND.comKNIT16/17Apr</t>
  </si>
  <si>
    <t>VMBRAND.comKNIT16/17Feb</t>
  </si>
  <si>
    <t>VMBRAND.comKNIT16/17Mar</t>
  </si>
  <si>
    <t>VMBRAND.comKNIT16/17Q4</t>
  </si>
  <si>
    <t>VMBRAND.comKNIT16/17Jul</t>
  </si>
  <si>
    <t>VMBRAND.comKNIT16/17Jun</t>
  </si>
  <si>
    <t>VMBRAND.comKNIT16/17May</t>
  </si>
  <si>
    <t>VMBRAND.comKNIT17/18Q1</t>
  </si>
  <si>
    <t>VMBRAND.comKNIT17/18Aug</t>
  </si>
  <si>
    <t>VMBRAND.comKNIT17/18Oct</t>
  </si>
  <si>
    <t>VMBRAND.comKNIT17/18Sep</t>
  </si>
  <si>
    <t>VMBRAND.comKNIT17/18Q2</t>
  </si>
  <si>
    <t>VMBRAND.comKNIT17/18Dec</t>
  </si>
  <si>
    <t>VMBRAND.comKNIT17/18Jan</t>
  </si>
  <si>
    <t>VMBRAND.comKNIT17/18Nov</t>
  </si>
  <si>
    <t>VMBRAND.comKNIT17/18Q3</t>
  </si>
  <si>
    <t>VMBRAND.comKNIT17/18Apr</t>
  </si>
  <si>
    <t>VMBRAND.comKNIT17/18Feb</t>
  </si>
  <si>
    <t>VMBRAND.comKNIT17/18Mar</t>
  </si>
  <si>
    <t>VMBRAND.comKNIT17/18Q4</t>
  </si>
  <si>
    <t>VMBRAND.comKNIT17/18Jun</t>
  </si>
  <si>
    <t>VMBRAND.comKNIT17/18May</t>
  </si>
  <si>
    <t>VMBRAND.comKNIT18/19Q1</t>
  </si>
  <si>
    <t>VMBRAND.comOUTERWEAR16/17Q1</t>
  </si>
  <si>
    <t>VMBRAND.comOUTERWEAR16/17Aug</t>
  </si>
  <si>
    <t>VMBRAND.comOUTERWEAR16/17Oct</t>
  </si>
  <si>
    <t>VMBRAND.comOUTERWEAR16/17Sep</t>
  </si>
  <si>
    <t>VMBRAND.comOUTERWEAR16/17Q2</t>
  </si>
  <si>
    <t>VMBRAND.comOUTERWEAR16/17Dec</t>
  </si>
  <si>
    <t>VMBRAND.comOUTERWEAR16/17Jan</t>
  </si>
  <si>
    <t>VMBRAND.comOUTERWEAR16/17Nov</t>
  </si>
  <si>
    <t>VMBRAND.comOUTERWEAR16/17Q3</t>
  </si>
  <si>
    <t>VMBRAND.comOUTERWEAR16/17Apr</t>
  </si>
  <si>
    <t>VMBRAND.comOUTERWEAR16/17Feb</t>
  </si>
  <si>
    <t>VMBRAND.comOUTERWEAR16/17Mar</t>
  </si>
  <si>
    <t>VMBRAND.comOUTERWEAR16/17Q4</t>
  </si>
  <si>
    <t>VMBRAND.comOUTERWEAR16/17Jul</t>
  </si>
  <si>
    <t>VMBRAND.comOUTERWEAR16/17Jun</t>
  </si>
  <si>
    <t>VMBRAND.comOUTERWEAR16/17May</t>
  </si>
  <si>
    <t>VMBRAND.comOUTERWEAR17/18Q1</t>
  </si>
  <si>
    <t>VMBRAND.comOUTERWEAR17/18Aug</t>
  </si>
  <si>
    <t>VMBRAND.comOUTERWEAR17/18Oct</t>
  </si>
  <si>
    <t>VMBRAND.comOUTERWEAR17/18Sep</t>
  </si>
  <si>
    <t>VMBRAND.comOUTERWEAR17/18Q2</t>
  </si>
  <si>
    <t>VMBRAND.comOUTERWEAR17/18Dec</t>
  </si>
  <si>
    <t>VMBRAND.comOUTERWEAR17/18Jan</t>
  </si>
  <si>
    <t>VMBRAND.comOUTERWEAR17/18Nov</t>
  </si>
  <si>
    <t>VMBRAND.comOUTERWEAR17/18Q3</t>
  </si>
  <si>
    <t>VMBRAND.comOUTERWEAR17/18Apr</t>
  </si>
  <si>
    <t>VMBRAND.comOUTERWEAR17/18Feb</t>
  </si>
  <si>
    <t>VMBRAND.comOUTERWEAR17/18Mar</t>
  </si>
  <si>
    <t>VMBRAND.comOUTERWEAR17/18Q4</t>
  </si>
  <si>
    <t>VMBRAND.comOUTERWEAR17/18Jun</t>
  </si>
  <si>
    <t>VMBRAND.comOUTERWEAR17/18May</t>
  </si>
  <si>
    <t>VMBRAND.comOUTERWEAR18/19Q1</t>
  </si>
  <si>
    <t>VMBRAND.comPANTS16/17Q1</t>
  </si>
  <si>
    <t>VMBRAND.comPANTS16/17Aug</t>
  </si>
  <si>
    <t>VMBRAND.comPANTS16/17Oct</t>
  </si>
  <si>
    <t>VMBRAND.comPANTS16/17Sep</t>
  </si>
  <si>
    <t>VMBRAND.comPANTS16/17Q2</t>
  </si>
  <si>
    <t>VMBRAND.comPANTS16/17Dec</t>
  </si>
  <si>
    <t>VMBRAND.comPANTS16/17Jan</t>
  </si>
  <si>
    <t>VMBRAND.comPANTS16/17Nov</t>
  </si>
  <si>
    <t>VMBRAND.comPANTS16/17Q3</t>
  </si>
  <si>
    <t>VMBRAND.comPANTS16/17Apr</t>
  </si>
  <si>
    <t>VMBRAND.comPANTS16/17Feb</t>
  </si>
  <si>
    <t>VMBRAND.comPANTS16/17Mar</t>
  </si>
  <si>
    <t>VMBRAND.comPANTS16/17Q4</t>
  </si>
  <si>
    <t>VMBRAND.comPANTS16/17Jul</t>
  </si>
  <si>
    <t>VMBRAND.comPANTS16/17Jun</t>
  </si>
  <si>
    <t>VMBRAND.comPANTS16/17May</t>
  </si>
  <si>
    <t>VMBRAND.comPANTS17/18Q1</t>
  </si>
  <si>
    <t>VMBRAND.comPANTS17/18Aug</t>
  </si>
  <si>
    <t>VMBRAND.comPANTS17/18Oct</t>
  </si>
  <si>
    <t>VMBRAND.comPANTS17/18Sep</t>
  </si>
  <si>
    <t>VMBRAND.comPANTS17/18Q2</t>
  </si>
  <si>
    <t>VMBRAND.comPANTS17/18Dec</t>
  </si>
  <si>
    <t>VMBRAND.comPANTS17/18Jan</t>
  </si>
  <si>
    <t>VMBRAND.comPANTS17/18Nov</t>
  </si>
  <si>
    <t>VMBRAND.comPANTS17/18Q3</t>
  </si>
  <si>
    <t>VMBRAND.comPANTS17/18Apr</t>
  </si>
  <si>
    <t>VMBRAND.comPANTS17/18Feb</t>
  </si>
  <si>
    <t>VMBRAND.comPANTS17/18Mar</t>
  </si>
  <si>
    <t>VMBRAND.comPANTS17/18Q4</t>
  </si>
  <si>
    <t>VMBRAND.comPANTS17/18Jun</t>
  </si>
  <si>
    <t>VMBRAND.comPANTS17/18May</t>
  </si>
  <si>
    <t>VMBRAND.comPANTS18/19Q1</t>
  </si>
  <si>
    <t>VMBRAND.comSHIRTS16/17Q1</t>
  </si>
  <si>
    <t>VMBRAND.comSHIRTS16/17Aug</t>
  </si>
  <si>
    <t>VMBRAND.comSHIRTS16/17Oct</t>
  </si>
  <si>
    <t>VMBRAND.comSHIRTS16/17Sep</t>
  </si>
  <si>
    <t>VMBRAND.comSHIRTS16/17Q2</t>
  </si>
  <si>
    <t>VMBRAND.comSHIRTS16/17Dec</t>
  </si>
  <si>
    <t>VMBRAND.comSHIRTS16/17Jan</t>
  </si>
  <si>
    <t>VMBRAND.comSHIRTS16/17Nov</t>
  </si>
  <si>
    <t>VMBRAND.comSHIRTS16/17Q3</t>
  </si>
  <si>
    <t>VMBRAND.comSHIRTS16/17Apr</t>
  </si>
  <si>
    <t>VMBRAND.comSHIRTS16/17Feb</t>
  </si>
  <si>
    <t>VMBRAND.comSHIRTS16/17Mar</t>
  </si>
  <si>
    <t>VMBRAND.comSHIRTS16/17Q4</t>
  </si>
  <si>
    <t>VMBRAND.comSHIRTS16/17Jul</t>
  </si>
  <si>
    <t>VMBRAND.comSHIRTS16/17Jun</t>
  </si>
  <si>
    <t>VMBRAND.comSHIRTS16/17May</t>
  </si>
  <si>
    <t>VMBRAND.comSHIRTS17/18Q1</t>
  </si>
  <si>
    <t>VMBRAND.comSHIRTS17/18Aug</t>
  </si>
  <si>
    <t>VMBRAND.comSHIRTS17/18Oct</t>
  </si>
  <si>
    <t>VMBRAND.comSHIRTS17/18Sep</t>
  </si>
  <si>
    <t>VMBRAND.comSHIRTS17/18Q2</t>
  </si>
  <si>
    <t>VMBRAND.comSHIRTS17/18Dec</t>
  </si>
  <si>
    <t>VMBRAND.comSHIRTS17/18Jan</t>
  </si>
  <si>
    <t>VMBRAND.comSHIRTS17/18Nov</t>
  </si>
  <si>
    <t>VMBRAND.comSHIRTS17/18Q3</t>
  </si>
  <si>
    <t>VMBRAND.comSHIRTS17/18Apr</t>
  </si>
  <si>
    <t>VMBRAND.comSHIRTS17/18Feb</t>
  </si>
  <si>
    <t>VMBRAND.comSHIRTS17/18Mar</t>
  </si>
  <si>
    <t>VMBRAND.comSHIRTS17/18Q4</t>
  </si>
  <si>
    <t>VMBRAND.comSHIRTS17/18Jun</t>
  </si>
  <si>
    <t>VMBRAND.comSHIRTS17/18May</t>
  </si>
  <si>
    <t>VMBRAND.comSHIRTS18/19Q1</t>
  </si>
  <si>
    <t>VMBRAND.comSHOES16/17Q1</t>
  </si>
  <si>
    <t>VMBRAND.comSHOES16/17Aug</t>
  </si>
  <si>
    <t>VMBRAND.comSHOES16/17Oct</t>
  </si>
  <si>
    <t>VMBRAND.comSHOES16/17Sep</t>
  </si>
  <si>
    <t>VMBRAND.comSHOES16/17Q2</t>
  </si>
  <si>
    <t>VMBRAND.comSHOES16/17Dec</t>
  </si>
  <si>
    <t>VMBRAND.comSHOES16/17Jan</t>
  </si>
  <si>
    <t>VMBRAND.comSHOES16/17Nov</t>
  </si>
  <si>
    <t>VMBRAND.comSHOES16/17Q3</t>
  </si>
  <si>
    <t>VMBRAND.comSHOES16/17Apr</t>
  </si>
  <si>
    <t>VMBRAND.comSHOES16/17Feb</t>
  </si>
  <si>
    <t>VMBRAND.comSHOES16/17Mar</t>
  </si>
  <si>
    <t>VMBRAND.comSHOES16/17Q4</t>
  </si>
  <si>
    <t>VMBRAND.comSHOES16/17Jul</t>
  </si>
  <si>
    <t>VMBRAND.comSHOES16/17Jun</t>
  </si>
  <si>
    <t>VMBRAND.comSHOES16/17May</t>
  </si>
  <si>
    <t>VMBRAND.comSHOES17/18Q1</t>
  </si>
  <si>
    <t>VMBRAND.comSHOES17/18Aug</t>
  </si>
  <si>
    <t>VMBRAND.comSHOES17/18Oct</t>
  </si>
  <si>
    <t>VMBRAND.comSHOES17/18Sep</t>
  </si>
  <si>
    <t>VMBRAND.comSHOES17/18Q2</t>
  </si>
  <si>
    <t>VMBRAND.comSHOES17/18Dec</t>
  </si>
  <si>
    <t>VMBRAND.comSHOES17/18Jan</t>
  </si>
  <si>
    <t>VMBRAND.comSHOES17/18Nov</t>
  </si>
  <si>
    <t>VMBRAND.comSHOES17/18Q3</t>
  </si>
  <si>
    <t>VMBRAND.comSHOES17/18Apr</t>
  </si>
  <si>
    <t>VMBRAND.comSHOES17/18Feb</t>
  </si>
  <si>
    <t>VMBRAND.comSHOES17/18Mar</t>
  </si>
  <si>
    <t>VMBRAND.comSHOES17/18Q4</t>
  </si>
  <si>
    <t>VMBRAND.comSHOES17/18Jun</t>
  </si>
  <si>
    <t>VMBRAND.comSHOES17/18May</t>
  </si>
  <si>
    <t>VMBRAND.comSHOES18/19Q1</t>
  </si>
  <si>
    <t>VMBRAND.comSHORTS16/17Q1</t>
  </si>
  <si>
    <t>VMBRAND.comSHORTS16/17Aug</t>
  </si>
  <si>
    <t>VMBRAND.comSHORTS16/17Oct</t>
  </si>
  <si>
    <t>VMBRAND.comSHORTS16/17Sep</t>
  </si>
  <si>
    <t>VMBRAND.comSHORTS16/17Q2</t>
  </si>
  <si>
    <t>VMBRAND.comSHORTS16/17Dec</t>
  </si>
  <si>
    <t>VMBRAND.comSHORTS16/17Jan</t>
  </si>
  <si>
    <t>VMBRAND.comSHORTS16/17Nov</t>
  </si>
  <si>
    <t>VMBRAND.comSHORTS16/17Q3</t>
  </si>
  <si>
    <t>VMBRAND.comSHORTS16/17Apr</t>
  </si>
  <si>
    <t>VMBRAND.comSHORTS16/17Feb</t>
  </si>
  <si>
    <t>VMBRAND.comSHORTS16/17Mar</t>
  </si>
  <si>
    <t>VMBRAND.comSHORTS16/17Q4</t>
  </si>
  <si>
    <t>VMBRAND.comSHORTS16/17Jul</t>
  </si>
  <si>
    <t>VMBRAND.comSHORTS16/17Jun</t>
  </si>
  <si>
    <t>VMBRAND.comSHORTS16/17May</t>
  </si>
  <si>
    <t>VMBRAND.comSHORTS17/18Q1</t>
  </si>
  <si>
    <t>VMBRAND.comSHORTS17/18Aug</t>
  </si>
  <si>
    <t>VMBRAND.comSHORTS17/18Oct</t>
  </si>
  <si>
    <t>VMBRAND.comSHORTS17/18Sep</t>
  </si>
  <si>
    <t>VMBRAND.comSHORTS17/18Q2</t>
  </si>
  <si>
    <t>VMBRAND.comSHORTS17/18Dec</t>
  </si>
  <si>
    <t>VMBRAND.comSHORTS17/18Jan</t>
  </si>
  <si>
    <t>VMBRAND.comSHORTS17/18Nov</t>
  </si>
  <si>
    <t>VMBRAND.comSHORTS17/18Q3</t>
  </si>
  <si>
    <t>VMBRAND.comSHORTS17/18Apr</t>
  </si>
  <si>
    <t>VMBRAND.comSHORTS17/18Feb</t>
  </si>
  <si>
    <t>VMBRAND.comSHORTS17/18Mar</t>
  </si>
  <si>
    <t>VMBRAND.comSHORTS17/18Q4</t>
  </si>
  <si>
    <t>VMBRAND.comSHORTS17/18Jun</t>
  </si>
  <si>
    <t>VMBRAND.comSHORTS17/18May</t>
  </si>
  <si>
    <t>VMBRAND.comSHORTS18/19Q1</t>
  </si>
  <si>
    <t>VMBRAND.comSKIRTS16/17Q1</t>
  </si>
  <si>
    <t>VMBRAND.comSKIRTS16/17Aug</t>
  </si>
  <si>
    <t>VMBRAND.comSKIRTS16/17Oct</t>
  </si>
  <si>
    <t>VMBRAND.comSKIRTS16/17Sep</t>
  </si>
  <si>
    <t>VMBRAND.comSKIRTS16/17Q2</t>
  </si>
  <si>
    <t>VMBRAND.comSKIRTS16/17Dec</t>
  </si>
  <si>
    <t>VMBRAND.comSKIRTS16/17Jan</t>
  </si>
  <si>
    <t>VMBRAND.comSKIRTS16/17Nov</t>
  </si>
  <si>
    <t>VMBRAND.comSKIRTS16/17Q3</t>
  </si>
  <si>
    <t>VMBRAND.comSKIRTS16/17Apr</t>
  </si>
  <si>
    <t>VMBRAND.comSKIRTS16/17Feb</t>
  </si>
  <si>
    <t>VMBRAND.comSKIRTS16/17Mar</t>
  </si>
  <si>
    <t>VMBRAND.comSKIRTS16/17Q4</t>
  </si>
  <si>
    <t>VMBRAND.comSKIRTS16/17Jul</t>
  </si>
  <si>
    <t>VMBRAND.comSKIRTS16/17Jun</t>
  </si>
  <si>
    <t>VMBRAND.comSKIRTS16/17May</t>
  </si>
  <si>
    <t>VMBRAND.comSKIRTS17/18Q1</t>
  </si>
  <si>
    <t>VMBRAND.comSKIRTS17/18Aug</t>
  </si>
  <si>
    <t>VMBRAND.comSKIRTS17/18Oct</t>
  </si>
  <si>
    <t>VMBRAND.comSKIRTS17/18Sep</t>
  </si>
  <si>
    <t>VMBRAND.comSKIRTS17/18Q2</t>
  </si>
  <si>
    <t>VMBRAND.comSKIRTS17/18Dec</t>
  </si>
  <si>
    <t>VMBRAND.comSKIRTS17/18Jan</t>
  </si>
  <si>
    <t>VMBRAND.comSKIRTS17/18Nov</t>
  </si>
  <si>
    <t>VMBRAND.comSKIRTS17/18Q3</t>
  </si>
  <si>
    <t>VMBRAND.comSKIRTS17/18Apr</t>
  </si>
  <si>
    <t>VMBRAND.comSKIRTS17/18Feb</t>
  </si>
  <si>
    <t>VMBRAND.comSKIRTS17/18Mar</t>
  </si>
  <si>
    <t>VMBRAND.comSKIRTS17/18Q4</t>
  </si>
  <si>
    <t>VMBRAND.comSKIRTS17/18Jun</t>
  </si>
  <si>
    <t>VMBRAND.comSKIRTS17/18May</t>
  </si>
  <si>
    <t>VMBRAND.comSKIRTS18/19Q1</t>
  </si>
  <si>
    <t>VMBRAND.comSWEAT16/17Q1</t>
  </si>
  <si>
    <t>VMBRAND.comSWEAT16/17Aug</t>
  </si>
  <si>
    <t>VMBRAND.comSWEAT16/17Oct</t>
  </si>
  <si>
    <t>VMBRAND.comSWEAT16/17Sep</t>
  </si>
  <si>
    <t>VMBRAND.comSWEAT16/17Q2</t>
  </si>
  <si>
    <t>VMBRAND.comSWEAT16/17Dec</t>
  </si>
  <si>
    <t>VMBRAND.comSWEAT16/17Jan</t>
  </si>
  <si>
    <t>VMBRAND.comSWEAT16/17Nov</t>
  </si>
  <si>
    <t>VMBRAND.comSWEAT16/17Q3</t>
  </si>
  <si>
    <t>VMBRAND.comSWEAT16/17Apr</t>
  </si>
  <si>
    <t>VMBRAND.comSWEAT16/17Feb</t>
  </si>
  <si>
    <t>VMBRAND.comSWEAT16/17Mar</t>
  </si>
  <si>
    <t>VMBRAND.comSWEAT16/17Q4</t>
  </si>
  <si>
    <t>VMBRAND.comSWEAT16/17Jul</t>
  </si>
  <si>
    <t>VMBRAND.comSWEAT16/17Jun</t>
  </si>
  <si>
    <t>VMBRAND.comSWEAT16/17May</t>
  </si>
  <si>
    <t>VMBRAND.comSWEAT17/18Q1</t>
  </si>
  <si>
    <t>VMBRAND.comSWEAT17/18Aug</t>
  </si>
  <si>
    <t>VMBRAND.comSWEAT17/18Oct</t>
  </si>
  <si>
    <t>VMBRAND.comSWEAT17/18Sep</t>
  </si>
  <si>
    <t>VMBRAND.comSWEAT17/18Q2</t>
  </si>
  <si>
    <t>VMBRAND.comSWEAT17/18Dec</t>
  </si>
  <si>
    <t>VMBRAND.comSWEAT17/18Jan</t>
  </si>
  <si>
    <t>VMBRAND.comSWEAT17/18Nov</t>
  </si>
  <si>
    <t>VMBRAND.comSWEAT17/18Q3</t>
  </si>
  <si>
    <t>VMBRAND.comSWEAT17/18Apr</t>
  </si>
  <si>
    <t>VMBRAND.comSWEAT17/18Feb</t>
  </si>
  <si>
    <t>VMBRAND.comSWEAT17/18Mar</t>
  </si>
  <si>
    <t>VMBRAND.comSWEAT17/18Q4</t>
  </si>
  <si>
    <t>VMBRAND.comSWEAT17/18Jun</t>
  </si>
  <si>
    <t>VMBRAND.comSWEAT17/18May</t>
  </si>
  <si>
    <t>VMBRAND.comSWEAT18/19Q1</t>
  </si>
  <si>
    <t>VMBRAND.comT-SHIRTS &amp; TOPS16/17Q1</t>
  </si>
  <si>
    <t>VMBRAND.comT-SHIRTS &amp; TOPS16/17Aug</t>
  </si>
  <si>
    <t>VMBRAND.comT-SHIRTS &amp; TOPS16/17Oct</t>
  </si>
  <si>
    <t>VMBRAND.comT-SHIRTS &amp; TOPS16/17Sep</t>
  </si>
  <si>
    <t>VMBRAND.comT-SHIRTS &amp; TOPS16/17Q2</t>
  </si>
  <si>
    <t>VMBRAND.comT-SHIRTS &amp; TOPS16/17Dec</t>
  </si>
  <si>
    <t>VMBRAND.comT-SHIRTS &amp; TOPS16/17Jan</t>
  </si>
  <si>
    <t>VMBRAND.comT-SHIRTS &amp; TOPS16/17Nov</t>
  </si>
  <si>
    <t>VMBRAND.comT-SHIRTS &amp; TOPS16/17Q3</t>
  </si>
  <si>
    <t>VMBRAND.comT-SHIRTS &amp; TOPS16/17Apr</t>
  </si>
  <si>
    <t>VMBRAND.comT-SHIRTS &amp; TOPS16/17Feb</t>
  </si>
  <si>
    <t>VMBRAND.comT-SHIRTS &amp; TOPS16/17Mar</t>
  </si>
  <si>
    <t>VMBRAND.comT-SHIRTS &amp; TOPS16/17Q4</t>
  </si>
  <si>
    <t>VMBRAND.comT-SHIRTS &amp; TOPS16/17Jul</t>
  </si>
  <si>
    <t>VMBRAND.comT-SHIRTS &amp; TOPS16/17Jun</t>
  </si>
  <si>
    <t>VMBRAND.comT-SHIRTS &amp; TOPS16/17May</t>
  </si>
  <si>
    <t>VMBRAND.comT-SHIRTS &amp; TOPS17/18Q1</t>
  </si>
  <si>
    <t>VMBRAND.comT-SHIRTS &amp; TOPS17/18Aug</t>
  </si>
  <si>
    <t>VMBRAND.comT-SHIRTS &amp; TOPS17/18Oct</t>
  </si>
  <si>
    <t>VMBRAND.comT-SHIRTS &amp; TOPS17/18Sep</t>
  </si>
  <si>
    <t>VMBRAND.comT-SHIRTS &amp; TOPS17/18Q2</t>
  </si>
  <si>
    <t>VMBRAND.comT-SHIRTS &amp; TOPS17/18Dec</t>
  </si>
  <si>
    <t>VMBRAND.comT-SHIRTS &amp; TOPS17/18Jan</t>
  </si>
  <si>
    <t>VMBRAND.comT-SHIRTS &amp; TOPS17/18Nov</t>
  </si>
  <si>
    <t>VMBRAND.comT-SHIRTS &amp; TOPS17/18Q3</t>
  </si>
  <si>
    <t>VMBRAND.comT-SHIRTS &amp; TOPS17/18Apr</t>
  </si>
  <si>
    <t>VMBRAND.comT-SHIRTS &amp; TOPS17/18Feb</t>
  </si>
  <si>
    <t>VMBRAND.comT-SHIRTS &amp; TOPS17/18Mar</t>
  </si>
  <si>
    <t>VMBRAND.comT-SHIRTS &amp; TOPS17/18Q4</t>
  </si>
  <si>
    <t>VMBRAND.comT-SHIRTS &amp; TOPS17/18Jun</t>
  </si>
  <si>
    <t>VMBRAND.comT-SHIRTS &amp; TOPS17/18May</t>
  </si>
  <si>
    <t>VMBRAND.comT-SHIRTS &amp; TOPS18/19Q1</t>
  </si>
  <si>
    <t>VMBRAND.comTAILORING16/17Q1</t>
  </si>
  <si>
    <t>VMBRAND.comTAILORING16/17Aug</t>
  </si>
  <si>
    <t>VMBRAND.comTAILORING16/17Oct</t>
  </si>
  <si>
    <t>VMBRAND.comTAILORING16/17Sep</t>
  </si>
  <si>
    <t>VMBRAND.comTAILORING16/17Q2</t>
  </si>
  <si>
    <t>VMBRAND.comTAILORING16/17Dec</t>
  </si>
  <si>
    <t>VMBRAND.comTAILORING16/17Jan</t>
  </si>
  <si>
    <t>VMBRAND.comTAILORING16/17Nov</t>
  </si>
  <si>
    <t>VMBRAND.comTAILORING16/17Q3</t>
  </si>
  <si>
    <t>VMBRAND.comTAILORING16/17Apr</t>
  </si>
  <si>
    <t>VMBRAND.comTAILORING16/17Feb</t>
  </si>
  <si>
    <t>VMBRAND.comTAILORING16/17Mar</t>
  </si>
  <si>
    <t>VMBRAND.comTAILORING16/17Q4</t>
  </si>
  <si>
    <t>VMBRAND.comTAILORING16/17Jul</t>
  </si>
  <si>
    <t>VMBRAND.comTAILORING16/17Jun</t>
  </si>
  <si>
    <t>VMBRAND.comTAILORING16/17May</t>
  </si>
  <si>
    <t>VMBRAND.comTAILORING17/18Q1</t>
  </si>
  <si>
    <t>VMBRAND.comTAILORING17/18Aug</t>
  </si>
  <si>
    <t>VMBRAND.comTAILORING17/18Oct</t>
  </si>
  <si>
    <t>VMBRAND.comTAILORING17/18Sep</t>
  </si>
  <si>
    <t>VMBRAND.comTAILORING17/18Q2</t>
  </si>
  <si>
    <t>VMBRAND.comTAILORING17/18Dec</t>
  </si>
  <si>
    <t>VMBRAND.comTAILORING17/18Jan</t>
  </si>
  <si>
    <t>VMBRAND.comTAILORING17/18Nov</t>
  </si>
  <si>
    <t>VMBRAND.comTAILORING17/18Q3</t>
  </si>
  <si>
    <t>VMBRAND.comTAILORING17/18Apr</t>
  </si>
  <si>
    <t>VMBRAND.comTAILORING17/18Feb</t>
  </si>
  <si>
    <t>VMBRAND.comTAILORING17/18Mar</t>
  </si>
  <si>
    <t>VMBRAND.comTAILORING17/18Q4</t>
  </si>
  <si>
    <t>VMBRAND.comTAILORING17/18Jun</t>
  </si>
  <si>
    <t>VMBRAND.comTAILORING17/18May</t>
  </si>
  <si>
    <t>VMBRAND.comTAILORING18/19Q1</t>
  </si>
  <si>
    <t>VMBS.comACCESSORIES16/17Q1</t>
  </si>
  <si>
    <t>VMBS.comACCESSORIES16/17Aug</t>
  </si>
  <si>
    <t>VMBS.comACCESSORIES16/17Oct</t>
  </si>
  <si>
    <t>VMBS.comACCESSORIES16/17Sep</t>
  </si>
  <si>
    <t>VMBS.comACCESSORIES16/17Q2</t>
  </si>
  <si>
    <t>VMBS.comACCESSORIES16/17Dec</t>
  </si>
  <si>
    <t>VMBS.comACCESSORIES16/17Jan</t>
  </si>
  <si>
    <t>VMBS.comACCESSORIES16/17Nov</t>
  </si>
  <si>
    <t>VMBS.comACCESSORIES16/17Q3</t>
  </si>
  <si>
    <t>VMBS.comACCESSORIES16/17Apr</t>
  </si>
  <si>
    <t>VMBS.comACCESSORIES16/17Feb</t>
  </si>
  <si>
    <t>VMBS.comACCESSORIES16/17Mar</t>
  </si>
  <si>
    <t>VMBS.comACCESSORIES16/17Q4</t>
  </si>
  <si>
    <t>VMBS.comACCESSORIES16/17Jul</t>
  </si>
  <si>
    <t>VMBS.comACCESSORIES16/17Jun</t>
  </si>
  <si>
    <t>VMBS.comACCESSORIES16/17May</t>
  </si>
  <si>
    <t>VMBS.comACCESSORIES17/18Q1</t>
  </si>
  <si>
    <t>VMBS.comACCESSORIES17/18Aug</t>
  </si>
  <si>
    <t>VMBS.comACCESSORIES17/18Oct</t>
  </si>
  <si>
    <t>VMBS.comACCESSORIES17/18Sep</t>
  </si>
  <si>
    <t>VMBS.comACCESSORIES17/18Q2</t>
  </si>
  <si>
    <t>VMBS.comACCESSORIES17/18Dec</t>
  </si>
  <si>
    <t>VMBS.comACCESSORIES17/18Jan</t>
  </si>
  <si>
    <t>VMBS.comACCESSORIES17/18Nov</t>
  </si>
  <si>
    <t>VMBS.comACCESSORIES17/18Q3</t>
  </si>
  <si>
    <t>VMBS.comACCESSORIES17/18Apr</t>
  </si>
  <si>
    <t>VMBS.comACCESSORIES17/18Feb</t>
  </si>
  <si>
    <t>VMBS.comACCESSORIES17/18Mar</t>
  </si>
  <si>
    <t>VMBS.comACCESSORIES17/18Q4</t>
  </si>
  <si>
    <t>VMBS.comACCESSORIES17/18Jun</t>
  </si>
  <si>
    <t>VMBS.comACCESSORIES17/18May</t>
  </si>
  <si>
    <t>VMBS.comACCESSORIES18/19Q1</t>
  </si>
  <si>
    <t>VMBS.comDRESSES16/17Q1</t>
  </si>
  <si>
    <t>VMBS.comDRESSES16/17Aug</t>
  </si>
  <si>
    <t>VMBS.comDRESSES16/17Oct</t>
  </si>
  <si>
    <t>VMBS.comDRESSES16/17Sep</t>
  </si>
  <si>
    <t>VMBS.comDRESSES16/17Q2</t>
  </si>
  <si>
    <t>VMBS.comDRESSES16/17Dec</t>
  </si>
  <si>
    <t>VMBS.comDRESSES16/17Jan</t>
  </si>
  <si>
    <t>VMBS.comDRESSES16/17Nov</t>
  </si>
  <si>
    <t>VMBS.comDRESSES16/17Q3</t>
  </si>
  <si>
    <t>VMBS.comDRESSES16/17Apr</t>
  </si>
  <si>
    <t>VMBS.comDRESSES16/17Feb</t>
  </si>
  <si>
    <t>VMBS.comDRESSES16/17Mar</t>
  </si>
  <si>
    <t>VMBS.comDRESSES16/17Q4</t>
  </si>
  <si>
    <t>VMBS.comDRESSES16/17Jul</t>
  </si>
  <si>
    <t>VMBS.comDRESSES16/17Jun</t>
  </si>
  <si>
    <t>VMBS.comDRESSES16/17May</t>
  </si>
  <si>
    <t>VMBS.comDRESSES17/18Q1</t>
  </si>
  <si>
    <t>VMBS.comDRESSES17/18Aug</t>
  </si>
  <si>
    <t>VMBS.comDRESSES17/18Oct</t>
  </si>
  <si>
    <t>VMBS.comDRESSES17/18Sep</t>
  </si>
  <si>
    <t>VMBS.comDRESSES17/18Q2</t>
  </si>
  <si>
    <t>VMBS.comDRESSES17/18Dec</t>
  </si>
  <si>
    <t>VMBS.comDRESSES17/18Jan</t>
  </si>
  <si>
    <t>VMBS.comDRESSES17/18Nov</t>
  </si>
  <si>
    <t>VMBS.comDRESSES17/18Q3</t>
  </si>
  <si>
    <t>VMBS.comDRESSES17/18Apr</t>
  </si>
  <si>
    <t>VMBS.comDRESSES17/18Feb</t>
  </si>
  <si>
    <t>VMBS.comDRESSES17/18Mar</t>
  </si>
  <si>
    <t>VMBS.comDRESSES17/18Q4</t>
  </si>
  <si>
    <t>VMBS.comDRESSES17/18Jun</t>
  </si>
  <si>
    <t>VMBS.comDRESSES17/18May</t>
  </si>
  <si>
    <t>VMBS.comDRESSES18/19Q1</t>
  </si>
  <si>
    <t>VMBS.comJEANS16/17Q1</t>
  </si>
  <si>
    <t>VMBS.comJEANS16/17Aug</t>
  </si>
  <si>
    <t>VMBS.comJEANS16/17Oct</t>
  </si>
  <si>
    <t>VMBS.comJEANS16/17Sep</t>
  </si>
  <si>
    <t>VMBS.comJEANS16/17Q2</t>
  </si>
  <si>
    <t>VMBS.comJEANS16/17Dec</t>
  </si>
  <si>
    <t>VMBS.comJEANS16/17Jan</t>
  </si>
  <si>
    <t>VMBS.comJEANS16/17Nov</t>
  </si>
  <si>
    <t>VMBS.comJEANS16/17Q3</t>
  </si>
  <si>
    <t>VMBS.comJEANS16/17Apr</t>
  </si>
  <si>
    <t>VMBS.comJEANS16/17Feb</t>
  </si>
  <si>
    <t>VMBS.comJEANS16/17Mar</t>
  </si>
  <si>
    <t>VMBS.comJEANS16/17Q4</t>
  </si>
  <si>
    <t>VMBS.comJEANS16/17Jul</t>
  </si>
  <si>
    <t>VMBS.comJEANS16/17Jun</t>
  </si>
  <si>
    <t>VMBS.comJEANS16/17May</t>
  </si>
  <si>
    <t>VMBS.comJEANS17/18Q1</t>
  </si>
  <si>
    <t>VMBS.comJEANS17/18Aug</t>
  </si>
  <si>
    <t>VMBS.comJEANS17/18Oct</t>
  </si>
  <si>
    <t>VMBS.comJEANS17/18Sep</t>
  </si>
  <si>
    <t>VMBS.comJEANS17/18Q2</t>
  </si>
  <si>
    <t>VMBS.comJEANS17/18Dec</t>
  </si>
  <si>
    <t>VMBS.comJEANS17/18Jan</t>
  </si>
  <si>
    <t>VMBS.comJEANS17/18Nov</t>
  </si>
  <si>
    <t>VMBS.comJEANS17/18Q3</t>
  </si>
  <si>
    <t>VMBS.comJEANS17/18Apr</t>
  </si>
  <si>
    <t>VMBS.comJEANS17/18Feb</t>
  </si>
  <si>
    <t>VMBS.comJEANS17/18Mar</t>
  </si>
  <si>
    <t>VMBS.comJEANS17/18Q4</t>
  </si>
  <si>
    <t>VMBS.comJEANS17/18Jun</t>
  </si>
  <si>
    <t>VMBS.comJEANS17/18May</t>
  </si>
  <si>
    <t>VMBS.comJEANS18/19Q1</t>
  </si>
  <si>
    <t>VMBS.comKNIT16/17Q1</t>
  </si>
  <si>
    <t>VMBS.comKNIT16/17Aug</t>
  </si>
  <si>
    <t>VMBS.comKNIT16/17Oct</t>
  </si>
  <si>
    <t>VMBS.comKNIT16/17Sep</t>
  </si>
  <si>
    <t>VMBS.comKNIT16/17Q2</t>
  </si>
  <si>
    <t>VMBS.comKNIT16/17Dec</t>
  </si>
  <si>
    <t>VMBS.comKNIT16/17Jan</t>
  </si>
  <si>
    <t>VMBS.comKNIT16/17Nov</t>
  </si>
  <si>
    <t>VMBS.comKNIT16/17Q3</t>
  </si>
  <si>
    <t>VMBS.comKNIT16/17Apr</t>
  </si>
  <si>
    <t>VMBS.comKNIT16/17Feb</t>
  </si>
  <si>
    <t>VMBS.comKNIT16/17Mar</t>
  </si>
  <si>
    <t>VMBS.comKNIT16/17Q4</t>
  </si>
  <si>
    <t>VMBS.comKNIT16/17Jul</t>
  </si>
  <si>
    <t>VMBS.comKNIT16/17Jun</t>
  </si>
  <si>
    <t>VMBS.comKNIT16/17May</t>
  </si>
  <si>
    <t>VMBS.comKNIT17/18Q1</t>
  </si>
  <si>
    <t>VMBS.comKNIT17/18Aug</t>
  </si>
  <si>
    <t>VMBS.comKNIT17/18Oct</t>
  </si>
  <si>
    <t>VMBS.comKNIT17/18Sep</t>
  </si>
  <si>
    <t>VMBS.comKNIT17/18Q2</t>
  </si>
  <si>
    <t>VMBS.comKNIT17/18Dec</t>
  </si>
  <si>
    <t>VMBS.comKNIT17/18Jan</t>
  </si>
  <si>
    <t>VMBS.comKNIT17/18Nov</t>
  </si>
  <si>
    <t>VMBS.comKNIT17/18Q3</t>
  </si>
  <si>
    <t>VMBS.comKNIT17/18Apr</t>
  </si>
  <si>
    <t>VMBS.comKNIT17/18Feb</t>
  </si>
  <si>
    <t>VMBS.comKNIT17/18Mar</t>
  </si>
  <si>
    <t>VMBS.comKNIT17/18Q4</t>
  </si>
  <si>
    <t>VMBS.comKNIT17/18Jun</t>
  </si>
  <si>
    <t>VMBS.comKNIT17/18May</t>
  </si>
  <si>
    <t>VMBS.comKNIT18/19Q1</t>
  </si>
  <si>
    <t>VMBS.comOUTERWEAR16/17Q1</t>
  </si>
  <si>
    <t>VMBS.comOUTERWEAR16/17Aug</t>
  </si>
  <si>
    <t>VMBS.comOUTERWEAR16/17Oct</t>
  </si>
  <si>
    <t>VMBS.comOUTERWEAR16/17Sep</t>
  </si>
  <si>
    <t>VMBS.comOUTERWEAR16/17Q2</t>
  </si>
  <si>
    <t>VMBS.comOUTERWEAR16/17Dec</t>
  </si>
  <si>
    <t>VMBS.comOUTERWEAR16/17Jan</t>
  </si>
  <si>
    <t>VMBS.comOUTERWEAR16/17Nov</t>
  </si>
  <si>
    <t>VMBS.comOUTERWEAR16/17Q3</t>
  </si>
  <si>
    <t>VMBS.comOUTERWEAR16/17Apr</t>
  </si>
  <si>
    <t>VMBS.comOUTERWEAR16/17Feb</t>
  </si>
  <si>
    <t>VMBS.comOUTERWEAR16/17Mar</t>
  </si>
  <si>
    <t>VMBS.comOUTERWEAR16/17Q4</t>
  </si>
  <si>
    <t>VMBS.comOUTERWEAR16/17Jul</t>
  </si>
  <si>
    <t>VMBS.comOUTERWEAR16/17Jun</t>
  </si>
  <si>
    <t>VMBS.comOUTERWEAR16/17May</t>
  </si>
  <si>
    <t>VMBS.comOUTERWEAR17/18Q1</t>
  </si>
  <si>
    <t>VMBS.comOUTERWEAR17/18Aug</t>
  </si>
  <si>
    <t>VMBS.comOUTERWEAR17/18Oct</t>
  </si>
  <si>
    <t>VMBS.comOUTERWEAR17/18Sep</t>
  </si>
  <si>
    <t>VMBS.comOUTERWEAR17/18Q2</t>
  </si>
  <si>
    <t>VMBS.comOUTERWEAR17/18Dec</t>
  </si>
  <si>
    <t>VMBS.comOUTERWEAR17/18Jan</t>
  </si>
  <si>
    <t>VMBS.comOUTERWEAR17/18Nov</t>
  </si>
  <si>
    <t>VMBS.comOUTERWEAR17/18Q3</t>
  </si>
  <si>
    <t>VMBS.comOUTERWEAR17/18Apr</t>
  </si>
  <si>
    <t>VMBS.comOUTERWEAR17/18Feb</t>
  </si>
  <si>
    <t>VMBS.comOUTERWEAR17/18Mar</t>
  </si>
  <si>
    <t>VMBS.comOUTERWEAR17/18Q4</t>
  </si>
  <si>
    <t>VMBS.comOUTERWEAR17/18Jun</t>
  </si>
  <si>
    <t>VMBS.comOUTERWEAR17/18May</t>
  </si>
  <si>
    <t>VMBS.comOUTERWEAR18/19Q1</t>
  </si>
  <si>
    <t>VMBS.comPANTS16/17Q1</t>
  </si>
  <si>
    <t>VMBS.comPANTS16/17Aug</t>
  </si>
  <si>
    <t>VMBS.comPANTS16/17Oct</t>
  </si>
  <si>
    <t>VMBS.comPANTS16/17Sep</t>
  </si>
  <si>
    <t>VMBS.comPANTS16/17Q2</t>
  </si>
  <si>
    <t>VMBS.comPANTS16/17Dec</t>
  </si>
  <si>
    <t>VMBS.comPANTS16/17Jan</t>
  </si>
  <si>
    <t>VMBS.comPANTS16/17Nov</t>
  </si>
  <si>
    <t>VMBS.comPANTS16/17Q3</t>
  </si>
  <si>
    <t>VMBS.comPANTS16/17Apr</t>
  </si>
  <si>
    <t>VMBS.comPANTS16/17Feb</t>
  </si>
  <si>
    <t>VMBS.comPANTS16/17Mar</t>
  </si>
  <si>
    <t>VMBS.comPANTS16/17Q4</t>
  </si>
  <si>
    <t>VMBS.comPANTS16/17Jul</t>
  </si>
  <si>
    <t>VMBS.comPANTS16/17Jun</t>
  </si>
  <si>
    <t>VMBS.comPANTS16/17May</t>
  </si>
  <si>
    <t>VMBS.comPANTS17/18Q1</t>
  </si>
  <si>
    <t>VMBS.comPANTS17/18Aug</t>
  </si>
  <si>
    <t>VMBS.comPANTS17/18Oct</t>
  </si>
  <si>
    <t>VMBS.comPANTS17/18Sep</t>
  </si>
  <si>
    <t>VMBS.comPANTS17/18Q2</t>
  </si>
  <si>
    <t>VMBS.comPANTS17/18Dec</t>
  </si>
  <si>
    <t>VMBS.comPANTS17/18Jan</t>
  </si>
  <si>
    <t>VMBS.comPANTS17/18Nov</t>
  </si>
  <si>
    <t>VMBS.comPANTS17/18Q3</t>
  </si>
  <si>
    <t>VMBS.comPANTS17/18Apr</t>
  </si>
  <si>
    <t>VMBS.comPANTS17/18Feb</t>
  </si>
  <si>
    <t>VMBS.comPANTS17/18Mar</t>
  </si>
  <si>
    <t>VMBS.comPANTS17/18Q4</t>
  </si>
  <si>
    <t>VMBS.comPANTS17/18Jun</t>
  </si>
  <si>
    <t>VMBS.comPANTS17/18May</t>
  </si>
  <si>
    <t>VMBS.comPANTS18/19Q1</t>
  </si>
  <si>
    <t>VMBS.comSHIRTS16/17Q1</t>
  </si>
  <si>
    <t>VMBS.comSHIRTS16/17Aug</t>
  </si>
  <si>
    <t>VMBS.comSHIRTS16/17Oct</t>
  </si>
  <si>
    <t>VMBS.comSHIRTS16/17Sep</t>
  </si>
  <si>
    <t>VMBS.comSHIRTS16/17Q2</t>
  </si>
  <si>
    <t>VMBS.comSHIRTS16/17Dec</t>
  </si>
  <si>
    <t>VMBS.comSHIRTS16/17Jan</t>
  </si>
  <si>
    <t>VMBS.comSHIRTS16/17Nov</t>
  </si>
  <si>
    <t>VMBS.comSHIRTS16/17Q3</t>
  </si>
  <si>
    <t>VMBS.comSHIRTS16/17Apr</t>
  </si>
  <si>
    <t>VMBS.comSHIRTS16/17Feb</t>
  </si>
  <si>
    <t>VMBS.comSHIRTS16/17Mar</t>
  </si>
  <si>
    <t>VMBS.comSHIRTS16/17Q4</t>
  </si>
  <si>
    <t>VMBS.comSHIRTS16/17Jul</t>
  </si>
  <si>
    <t>VMBS.comSHIRTS16/17Jun</t>
  </si>
  <si>
    <t>VMBS.comSHIRTS16/17May</t>
  </si>
  <si>
    <t>VMBS.comSHIRTS17/18Q1</t>
  </si>
  <si>
    <t>VMBS.comSHIRTS17/18Aug</t>
  </si>
  <si>
    <t>VMBS.comSHIRTS17/18Oct</t>
  </si>
  <si>
    <t>VMBS.comSHIRTS17/18Sep</t>
  </si>
  <si>
    <t>VMBS.comSHIRTS17/18Q2</t>
  </si>
  <si>
    <t>VMBS.comSHIRTS17/18Dec</t>
  </si>
  <si>
    <t>VMBS.comSHIRTS17/18Jan</t>
  </si>
  <si>
    <t>VMBS.comSHIRTS17/18Nov</t>
  </si>
  <si>
    <t>VMBS.comSHIRTS17/18Q3</t>
  </si>
  <si>
    <t>VMBS.comSHIRTS17/18Apr</t>
  </si>
  <si>
    <t>VMBS.comSHIRTS17/18Feb</t>
  </si>
  <si>
    <t>VMBS.comSHIRTS17/18Mar</t>
  </si>
  <si>
    <t>VMBS.comSHIRTS17/18Q4</t>
  </si>
  <si>
    <t>VMBS.comSHIRTS17/18Jun</t>
  </si>
  <si>
    <t>VMBS.comSHIRTS17/18May</t>
  </si>
  <si>
    <t>VMBS.comSHIRTS18/19Q1</t>
  </si>
  <si>
    <t>VMBS.comSHOES16/17Q1</t>
  </si>
  <si>
    <t>VMBS.comSHOES16/17Aug</t>
  </si>
  <si>
    <t>VMBS.comSHOES16/17Oct</t>
  </si>
  <si>
    <t>VMBS.comSHOES16/17Sep</t>
  </si>
  <si>
    <t>VMBS.comSHOES16/17Q2</t>
  </si>
  <si>
    <t>VMBS.comSHOES16/17Dec</t>
  </si>
  <si>
    <t>VMBS.comSHOES16/17Jan</t>
  </si>
  <si>
    <t>VMBS.comSHOES16/17Nov</t>
  </si>
  <si>
    <t>VMBS.comSHOES16/17Q3</t>
  </si>
  <si>
    <t>VMBS.comSHOES16/17Apr</t>
  </si>
  <si>
    <t>VMBS.comSHOES16/17Feb</t>
  </si>
  <si>
    <t>VMBS.comSHOES16/17Mar</t>
  </si>
  <si>
    <t>VMBS.comSHOES16/17Q4</t>
  </si>
  <si>
    <t>VMBS.comSHOES16/17Jul</t>
  </si>
  <si>
    <t>VMBS.comSHOES16/17Jun</t>
  </si>
  <si>
    <t>VMBS.comSHOES16/17May</t>
  </si>
  <si>
    <t>VMBS.comSHOES17/18Q1</t>
  </si>
  <si>
    <t>VMBS.comSHOES17/18Aug</t>
  </si>
  <si>
    <t>VMBS.comSHOES17/18Oct</t>
  </si>
  <si>
    <t>VMBS.comSHOES17/18Sep</t>
  </si>
  <si>
    <t>VMBS.comSHOES17/18Q2</t>
  </si>
  <si>
    <t>VMBS.comSHOES17/18Dec</t>
  </si>
  <si>
    <t>VMBS.comSHOES17/18Jan</t>
  </si>
  <si>
    <t>VMBS.comSHOES17/18Nov</t>
  </si>
  <si>
    <t>VMBS.comSHOES17/18Q3</t>
  </si>
  <si>
    <t>VMBS.comSHOES17/18Apr</t>
  </si>
  <si>
    <t>VMBS.comSHOES17/18Feb</t>
  </si>
  <si>
    <t>VMBS.comSHOES17/18Mar</t>
  </si>
  <si>
    <t>VMBS.comSHOES17/18Q4</t>
  </si>
  <si>
    <t>VMBS.comSHOES17/18Jun</t>
  </si>
  <si>
    <t>VMBS.comSHOES17/18May</t>
  </si>
  <si>
    <t>VMBS.comSHOES18/19Q1</t>
  </si>
  <si>
    <t>VMBS.comSHORTS16/17Q1</t>
  </si>
  <si>
    <t>VMBS.comSHORTS16/17Aug</t>
  </si>
  <si>
    <t>VMBS.comSHORTS16/17Oct</t>
  </si>
  <si>
    <t>VMBS.comSHORTS16/17Sep</t>
  </si>
  <si>
    <t>VMBS.comSHORTS16/17Q2</t>
  </si>
  <si>
    <t>VMBS.comSHORTS16/17Dec</t>
  </si>
  <si>
    <t>VMBS.comSHORTS16/17Nov</t>
  </si>
  <si>
    <t>VMBS.comSHORTS16/17Q3</t>
  </si>
  <si>
    <t>VMBS.comSHORTS16/17Apr</t>
  </si>
  <si>
    <t>VMBS.comSHORTS16/17Feb</t>
  </si>
  <si>
    <t>VMBS.comSHORTS16/17Mar</t>
  </si>
  <si>
    <t>VMBS.comSHORTS16/17Q4</t>
  </si>
  <si>
    <t>VMBS.comSHORTS16/17Jul</t>
  </si>
  <si>
    <t>VMBS.comSHORTS16/17Jun</t>
  </si>
  <si>
    <t>VMBS.comSHORTS16/17May</t>
  </si>
  <si>
    <t>VMBS.comSHORTS17/18Q1</t>
  </si>
  <si>
    <t>VMBS.comSHORTS17/18Aug</t>
  </si>
  <si>
    <t>VMBS.comSHORTS17/18Oct</t>
  </si>
  <si>
    <t>VMBS.comSHORTS17/18Sep</t>
  </si>
  <si>
    <t>VMBS.comSHORTS17/18Q2</t>
  </si>
  <si>
    <t>VMBS.comSHORTS17/18Dec</t>
  </si>
  <si>
    <t>VMBS.comSHORTS17/18Jan</t>
  </si>
  <si>
    <t>VMBS.comSHORTS17/18Nov</t>
  </si>
  <si>
    <t>VMBS.comSHORTS17/18Q3</t>
  </si>
  <si>
    <t>VMBS.comSHORTS17/18Apr</t>
  </si>
  <si>
    <t>VMBS.comSHORTS17/18Feb</t>
  </si>
  <si>
    <t>VMBS.comSHORTS17/18Mar</t>
  </si>
  <si>
    <t>VMBS.comSHORTS17/18Q4</t>
  </si>
  <si>
    <t>VMBS.comSHORTS17/18Jun</t>
  </si>
  <si>
    <t>VMBS.comSHORTS17/18May</t>
  </si>
  <si>
    <t>VMBS.comSHORTS18/19Q1</t>
  </si>
  <si>
    <t>VMBS.comSKIRTS16/17Q1</t>
  </si>
  <si>
    <t>VMBS.comSKIRTS16/17Aug</t>
  </si>
  <si>
    <t>VMBS.comSKIRTS16/17Oct</t>
  </si>
  <si>
    <t>VMBS.comSKIRTS16/17Sep</t>
  </si>
  <si>
    <t>VMBS.comSKIRTS16/17Q2</t>
  </si>
  <si>
    <t>VMBS.comSKIRTS16/17Dec</t>
  </si>
  <si>
    <t>VMBS.comSKIRTS16/17Jan</t>
  </si>
  <si>
    <t>VMBS.comSKIRTS16/17Nov</t>
  </si>
  <si>
    <t>VMBS.comSKIRTS16/17Q3</t>
  </si>
  <si>
    <t>VMBS.comSKIRTS16/17Apr</t>
  </si>
  <si>
    <t>VMBS.comSKIRTS16/17Feb</t>
  </si>
  <si>
    <t>VMBS.comSKIRTS16/17Mar</t>
  </si>
  <si>
    <t>VMBS.comSKIRTS16/17Q4</t>
  </si>
  <si>
    <t>VMBS.comSKIRTS16/17Jul</t>
  </si>
  <si>
    <t>VMBS.comSKIRTS16/17Jun</t>
  </si>
  <si>
    <t>VMBS.comSKIRTS16/17May</t>
  </si>
  <si>
    <t>VMBS.comSKIRTS17/18Q1</t>
  </si>
  <si>
    <t>VMBS.comSKIRTS17/18Aug</t>
  </si>
  <si>
    <t>VMBS.comSKIRTS17/18Oct</t>
  </si>
  <si>
    <t>VMBS.comSKIRTS17/18Sep</t>
  </si>
  <si>
    <t>VMBS.comSKIRTS17/18Q2</t>
  </si>
  <si>
    <t>VMBS.comSKIRTS17/18Dec</t>
  </si>
  <si>
    <t>VMBS.comSKIRTS17/18Jan</t>
  </si>
  <si>
    <t>VMBS.comSKIRTS17/18Nov</t>
  </si>
  <si>
    <t>VMBS.comSKIRTS17/18Q3</t>
  </si>
  <si>
    <t>VMBS.comSKIRTS17/18Apr</t>
  </si>
  <si>
    <t>VMBS.comSKIRTS17/18Feb</t>
  </si>
  <si>
    <t>VMBS.comSKIRTS17/18Mar</t>
  </si>
  <si>
    <t>VMBS.comSKIRTS17/18Q4</t>
  </si>
  <si>
    <t>VMBS.comSKIRTS17/18Jun</t>
  </si>
  <si>
    <t>VMBS.comSKIRTS17/18May</t>
  </si>
  <si>
    <t>VMBS.comSKIRTS18/19Q1</t>
  </si>
  <si>
    <t>VMBS.comSWEAT16/17Q1</t>
  </si>
  <si>
    <t>VMBS.comSWEAT16/17Aug</t>
  </si>
  <si>
    <t>VMBS.comSWEAT16/17Oct</t>
  </si>
  <si>
    <t>VMBS.comSWEAT16/17Sep</t>
  </si>
  <si>
    <t>VMBS.comSWEAT16/17Q2</t>
  </si>
  <si>
    <t>VMBS.comSWEAT16/17Dec</t>
  </si>
  <si>
    <t>VMBS.comSWEAT16/17Jan</t>
  </si>
  <si>
    <t>VMBS.comSWEAT16/17Nov</t>
  </si>
  <si>
    <t>VMBS.comSWEAT16/17Q3</t>
  </si>
  <si>
    <t>VMBS.comSWEAT16/17Apr</t>
  </si>
  <si>
    <t>VMBS.comSWEAT16/17Feb</t>
  </si>
  <si>
    <t>VMBS.comSWEAT16/17Mar</t>
  </si>
  <si>
    <t>VMBS.comSWEAT16/17Q4</t>
  </si>
  <si>
    <t>VMBS.comSWEAT16/17Jul</t>
  </si>
  <si>
    <t>VMBS.comSWEAT16/17Jun</t>
  </si>
  <si>
    <t>VMBS.comSWEAT16/17May</t>
  </si>
  <si>
    <t>VMBS.comSWEAT17/18Q1</t>
  </si>
  <si>
    <t>VMBS.comSWEAT17/18Aug</t>
  </si>
  <si>
    <t>VMBS.comSWEAT17/18Oct</t>
  </si>
  <si>
    <t>VMBS.comSWEAT17/18Sep</t>
  </si>
  <si>
    <t>VMBS.comSWEAT17/18Q2</t>
  </si>
  <si>
    <t>VMBS.comSWEAT17/18Dec</t>
  </si>
  <si>
    <t>VMBS.comSWEAT17/18Jan</t>
  </si>
  <si>
    <t>VMBS.comSWEAT17/18Nov</t>
  </si>
  <si>
    <t>VMBS.comSWEAT17/18Q3</t>
  </si>
  <si>
    <t>VMBS.comSWEAT17/18Apr</t>
  </si>
  <si>
    <t>VMBS.comSWEAT17/18Feb</t>
  </si>
  <si>
    <t>VMBS.comSWEAT17/18Mar</t>
  </si>
  <si>
    <t>VMBS.comSWEAT17/18Q4</t>
  </si>
  <si>
    <t>VMBS.comSWEAT17/18Jun</t>
  </si>
  <si>
    <t>VMBS.comSWEAT17/18May</t>
  </si>
  <si>
    <t>VMBS.comSWEAT18/19Q1</t>
  </si>
  <si>
    <t>VMBS.comT-SHIRTS &amp; TOPS16/17Q1</t>
  </si>
  <si>
    <t>VMBS.comT-SHIRTS &amp; TOPS16/17Aug</t>
  </si>
  <si>
    <t>VMBS.comT-SHIRTS &amp; TOPS16/17Oct</t>
  </si>
  <si>
    <t>VMBS.comT-SHIRTS &amp; TOPS16/17Sep</t>
  </si>
  <si>
    <t>VMBS.comT-SHIRTS &amp; TOPS16/17Q2</t>
  </si>
  <si>
    <t>VMBS.comT-SHIRTS &amp; TOPS16/17Dec</t>
  </si>
  <si>
    <t>VMBS.comT-SHIRTS &amp; TOPS16/17Jan</t>
  </si>
  <si>
    <t>VMBS.comT-SHIRTS &amp; TOPS16/17Nov</t>
  </si>
  <si>
    <t>VMBS.comT-SHIRTS &amp; TOPS16/17Q3</t>
  </si>
  <si>
    <t>VMBS.comT-SHIRTS &amp; TOPS16/17Apr</t>
  </si>
  <si>
    <t>VMBS.comT-SHIRTS &amp; TOPS16/17Feb</t>
  </si>
  <si>
    <t>VMBS.comT-SHIRTS &amp; TOPS16/17Mar</t>
  </si>
  <si>
    <t>VMBS.comT-SHIRTS &amp; TOPS16/17Q4</t>
  </si>
  <si>
    <t>VMBS.comT-SHIRTS &amp; TOPS16/17Jul</t>
  </si>
  <si>
    <t>VMBS.comT-SHIRTS &amp; TOPS16/17Jun</t>
  </si>
  <si>
    <t>VMBS.comT-SHIRTS &amp; TOPS16/17May</t>
  </si>
  <si>
    <t>VMBS.comT-SHIRTS &amp; TOPS17/18Q1</t>
  </si>
  <si>
    <t>VMBS.comT-SHIRTS &amp; TOPS17/18Aug</t>
  </si>
  <si>
    <t>VMBS.comT-SHIRTS &amp; TOPS17/18Oct</t>
  </si>
  <si>
    <t>VMBS.comT-SHIRTS &amp; TOPS17/18Sep</t>
  </si>
  <si>
    <t>VMBS.comT-SHIRTS &amp; TOPS17/18Q2</t>
  </si>
  <si>
    <t>VMBS.comT-SHIRTS &amp; TOPS17/18Dec</t>
  </si>
  <si>
    <t>VMBS.comT-SHIRTS &amp; TOPS17/18Jan</t>
  </si>
  <si>
    <t>VMBS.comT-SHIRTS &amp; TOPS17/18Nov</t>
  </si>
  <si>
    <t>VMBS.comT-SHIRTS &amp; TOPS17/18Q3</t>
  </si>
  <si>
    <t>VMBS.comT-SHIRTS &amp; TOPS17/18Apr</t>
  </si>
  <si>
    <t>VMBS.comT-SHIRTS &amp; TOPS17/18Feb</t>
  </si>
  <si>
    <t>VMBS.comT-SHIRTS &amp; TOPS17/18Mar</t>
  </si>
  <si>
    <t>VMBS.comT-SHIRTS &amp; TOPS17/18Q4</t>
  </si>
  <si>
    <t>VMBS.comT-SHIRTS &amp; TOPS17/18Jun</t>
  </si>
  <si>
    <t>VMBS.comT-SHIRTS &amp; TOPS17/18May</t>
  </si>
  <si>
    <t>VMBS.comT-SHIRTS &amp; TOPS18/19Q1</t>
  </si>
  <si>
    <t>VMBS.comTAILORING16/17Q1</t>
  </si>
  <si>
    <t>VMBS.comTAILORING16/17Aug</t>
  </si>
  <si>
    <t>VMBS.comTAILORING16/17Oct</t>
  </si>
  <si>
    <t>VMBS.comTAILORING16/17Sep</t>
  </si>
  <si>
    <t>VMBS.comTAILORING16/17Q2</t>
  </si>
  <si>
    <t>VMBS.comTAILORING16/17Dec</t>
  </si>
  <si>
    <t>VMBS.comTAILORING16/17Jan</t>
  </si>
  <si>
    <t>VMBS.comTAILORING16/17Nov</t>
  </si>
  <si>
    <t>VMBS.comTAILORING16/17Q3</t>
  </si>
  <si>
    <t>VMBS.comTAILORING16/17Apr</t>
  </si>
  <si>
    <t>VMBS.comTAILORING16/17Feb</t>
  </si>
  <si>
    <t>VMBS.comTAILORING16/17Mar</t>
  </si>
  <si>
    <t>VMBS.comTAILORING16/17Q4</t>
  </si>
  <si>
    <t>VMBS.comTAILORING16/17Jul</t>
  </si>
  <si>
    <t>VMBS.comTAILORING16/17Jun</t>
  </si>
  <si>
    <t>VMBS.comTAILORING16/17May</t>
  </si>
  <si>
    <t>VMBS.comTAILORING17/18Q1</t>
  </si>
  <si>
    <t>VMBS.comTAILORING17/18Aug</t>
  </si>
  <si>
    <t>VMBS.comTAILORING17/18Oct</t>
  </si>
  <si>
    <t>VMBS.comTAILORING17/18Sep</t>
  </si>
  <si>
    <t>VMBS.comTAILORING17/18Q2</t>
  </si>
  <si>
    <t>VMBS.comTAILORING17/18Dec</t>
  </si>
  <si>
    <t>VMBS.comTAILORING17/18Jan</t>
  </si>
  <si>
    <t>VMBS.comTAILORING17/18Nov</t>
  </si>
  <si>
    <t>VMBS.comTAILORING17/18Q3</t>
  </si>
  <si>
    <t>VMBS.comTAILORING17/18Apr</t>
  </si>
  <si>
    <t>VMBS.comTAILORING17/18Feb</t>
  </si>
  <si>
    <t>VMBS.comTAILORING17/18Mar</t>
  </si>
  <si>
    <t>VMBS.comTAILORING17/18Q4</t>
  </si>
  <si>
    <t>VMBS.comTAILORING17/18Jun</t>
  </si>
  <si>
    <t>VMBS.comTAILORING17/18May</t>
  </si>
  <si>
    <t>VMBS.comTAILORING18/19Q1</t>
  </si>
  <si>
    <t>VMPARTNER.comACCESSORIES16/17Q1</t>
  </si>
  <si>
    <t>VMPARTNER.comACCESSORIES16/17Aug</t>
  </si>
  <si>
    <t>VMPARTNER.comACCESSORIES16/17Oct</t>
  </si>
  <si>
    <t>VMPARTNER.comACCESSORIES16/17Sep</t>
  </si>
  <si>
    <t>VMPARTNER.comACCESSORIES16/17Q2</t>
  </si>
  <si>
    <t>VMPARTNER.comACCESSORIES16/17Dec</t>
  </si>
  <si>
    <t>VMPARTNER.comACCESSORIES16/17Jan</t>
  </si>
  <si>
    <t>VMPARTNER.comACCESSORIES16/17Nov</t>
  </si>
  <si>
    <t>VMPARTNER.comACCESSORIES16/17Q3</t>
  </si>
  <si>
    <t>VMPARTNER.comACCESSORIES16/17Apr</t>
  </si>
  <si>
    <t>VMPARTNER.comACCESSORIES16/17Feb</t>
  </si>
  <si>
    <t>VMPARTNER.comACCESSORIES16/17Mar</t>
  </si>
  <si>
    <t>VMPARTNER.comACCESSORIES16/17Q4</t>
  </si>
  <si>
    <t>VMPARTNER.comACCESSORIES16/17Jul</t>
  </si>
  <si>
    <t>VMPARTNER.comACCESSORIES16/17Jun</t>
  </si>
  <si>
    <t>VMPARTNER.comACCESSORIES16/17May</t>
  </si>
  <si>
    <t>VMPARTNER.comACCESSORIES17/18Q1</t>
  </si>
  <si>
    <t>VMPARTNER.comACCESSORIES17/18Aug</t>
  </si>
  <si>
    <t>VMPARTNER.comACCESSORIES17/18Oct</t>
  </si>
  <si>
    <t>VMPARTNER.comACCESSORIES17/18Sep</t>
  </si>
  <si>
    <t>VMPARTNER.comACCESSORIES17/18Q2</t>
  </si>
  <si>
    <t>VMPARTNER.comACCESSORIES17/18Dec</t>
  </si>
  <si>
    <t>VMPARTNER.comACCESSORIES17/18Jan</t>
  </si>
  <si>
    <t>VMPARTNER.comACCESSORIES17/18Nov</t>
  </si>
  <si>
    <t>VMPARTNER.comACCESSORIES17/18Q3</t>
  </si>
  <si>
    <t>VMPARTNER.comACCESSORIES17/18Apr</t>
  </si>
  <si>
    <t>VMPARTNER.comACCESSORIES17/18Feb</t>
  </si>
  <si>
    <t>VMPARTNER.comACCESSORIES17/18Mar</t>
  </si>
  <si>
    <t>VMPARTNER.comACCESSORIES17/18Q4</t>
  </si>
  <si>
    <t>VMPARTNER.comACCESSORIES17/18Jul</t>
  </si>
  <si>
    <t>VMPARTNER.comACCESSORIES17/18Jun</t>
  </si>
  <si>
    <t>VMPARTNER.comACCESSORIES17/18May</t>
  </si>
  <si>
    <t>VMPARTNER.comACCESSORIES18/19Q1</t>
  </si>
  <si>
    <t>VMPARTNER.comACCESSORIES18/19Aug</t>
  </si>
  <si>
    <t>VMPARTNER.comACCESSORIES18/19Sep</t>
  </si>
  <si>
    <t>VMPARTNER.comDRESSES16/17Q1</t>
  </si>
  <si>
    <t>VMPARTNER.comDRESSES16/17Aug</t>
  </si>
  <si>
    <t>VMPARTNER.comDRESSES16/17Oct</t>
  </si>
  <si>
    <t>VMPARTNER.comDRESSES16/17Sep</t>
  </si>
  <si>
    <t>VMPARTNER.comDRESSES16/17Q2</t>
  </si>
  <si>
    <t>VMPARTNER.comDRESSES16/17Dec</t>
  </si>
  <si>
    <t>VMPARTNER.comDRESSES16/17Jan</t>
  </si>
  <si>
    <t>VMPARTNER.comDRESSES16/17Nov</t>
  </si>
  <si>
    <t>VMPARTNER.comDRESSES16/17Q3</t>
  </si>
  <si>
    <t>VMPARTNER.comDRESSES16/17Apr</t>
  </si>
  <si>
    <t>VMPARTNER.comDRESSES16/17Feb</t>
  </si>
  <si>
    <t>VMPARTNER.comDRESSES16/17Mar</t>
  </si>
  <si>
    <t>VMPARTNER.comDRESSES16/17Q4</t>
  </si>
  <si>
    <t>VMPARTNER.comDRESSES16/17Jul</t>
  </si>
  <si>
    <t>VMPARTNER.comDRESSES16/17Jun</t>
  </si>
  <si>
    <t>VMPARTNER.comDRESSES16/17May</t>
  </si>
  <si>
    <t>VMPARTNER.comDRESSES17/18Q1</t>
  </si>
  <si>
    <t>VMPARTNER.comDRESSES17/18Aug</t>
  </si>
  <si>
    <t>VMPARTNER.comDRESSES17/18Oct</t>
  </si>
  <si>
    <t>VMPARTNER.comDRESSES17/18Sep</t>
  </si>
  <si>
    <t>VMPARTNER.comDRESSES17/18Q2</t>
  </si>
  <si>
    <t>VMPARTNER.comDRESSES17/18Dec</t>
  </si>
  <si>
    <t>VMPARTNER.comDRESSES17/18Jan</t>
  </si>
  <si>
    <t>VMPARTNER.comDRESSES17/18Nov</t>
  </si>
  <si>
    <t>VMPARTNER.comDRESSES17/18Q3</t>
  </si>
  <si>
    <t>VMPARTNER.comDRESSES17/18Apr</t>
  </si>
  <si>
    <t>VMPARTNER.comDRESSES17/18Feb</t>
  </si>
  <si>
    <t>VMPARTNER.comDRESSES17/18Mar</t>
  </si>
  <si>
    <t>VMPARTNER.comDRESSES17/18Q4</t>
  </si>
  <si>
    <t>VMPARTNER.comDRESSES17/18Jul</t>
  </si>
  <si>
    <t>VMPARTNER.comDRESSES17/18Jun</t>
  </si>
  <si>
    <t>VMPARTNER.comDRESSES17/18May</t>
  </si>
  <si>
    <t>VMPARTNER.comDRESSES18/19Q1</t>
  </si>
  <si>
    <t>VMPARTNER.comDRESSES18/19Aug</t>
  </si>
  <si>
    <t>VMPARTNER.comDRESSES18/19Sep</t>
  </si>
  <si>
    <t>VMPARTNER.comJEANS16/17Q1</t>
  </si>
  <si>
    <t>VMPARTNER.comJEANS16/17Aug</t>
  </si>
  <si>
    <t>VMPARTNER.comJEANS16/17Oct</t>
  </si>
  <si>
    <t>VMPARTNER.comJEANS16/17Sep</t>
  </si>
  <si>
    <t>VMPARTNER.comJEANS16/17Q2</t>
  </si>
  <si>
    <t>VMPARTNER.comJEANS16/17Dec</t>
  </si>
  <si>
    <t>VMPARTNER.comJEANS16/17Jan</t>
  </si>
  <si>
    <t>VMPARTNER.comJEANS16/17Nov</t>
  </si>
  <si>
    <t>VMPARTNER.comJEANS16/17Q3</t>
  </si>
  <si>
    <t>VMPARTNER.comJEANS16/17Apr</t>
  </si>
  <si>
    <t>VMPARTNER.comJEANS16/17Feb</t>
  </si>
  <si>
    <t>VMPARTNER.comJEANS16/17Mar</t>
  </si>
  <si>
    <t>VMPARTNER.comJEANS16/17Q4</t>
  </si>
  <si>
    <t>VMPARTNER.comJEANS16/17Jul</t>
  </si>
  <si>
    <t>VMPARTNER.comJEANS16/17Jun</t>
  </si>
  <si>
    <t>VMPARTNER.comJEANS16/17May</t>
  </si>
  <si>
    <t>VMPARTNER.comJEANS17/18Q1</t>
  </si>
  <si>
    <t>VMPARTNER.comJEANS17/18Aug</t>
  </si>
  <si>
    <t>VMPARTNER.comJEANS17/18Oct</t>
  </si>
  <si>
    <t>VMPARTNER.comJEANS17/18Sep</t>
  </si>
  <si>
    <t>VMPARTNER.comJEANS17/18Q2</t>
  </si>
  <si>
    <t>VMPARTNER.comJEANS17/18Dec</t>
  </si>
  <si>
    <t>VMPARTNER.comJEANS17/18Jan</t>
  </si>
  <si>
    <t>VMPARTNER.comJEANS17/18Nov</t>
  </si>
  <si>
    <t>VMPARTNER.comJEANS17/18Q3</t>
  </si>
  <si>
    <t>VMPARTNER.comJEANS17/18Apr</t>
  </si>
  <si>
    <t>VMPARTNER.comJEANS17/18Feb</t>
  </si>
  <si>
    <t>VMPARTNER.comJEANS17/18Mar</t>
  </si>
  <si>
    <t>VMPARTNER.comJEANS17/18Q4</t>
  </si>
  <si>
    <t>VMPARTNER.comJEANS17/18Jul</t>
  </si>
  <si>
    <t>VMPARTNER.comJEANS17/18Jun</t>
  </si>
  <si>
    <t>VMPARTNER.comJEANS17/18May</t>
  </si>
  <si>
    <t>VMPARTNER.comJEANS18/19Q1</t>
  </si>
  <si>
    <t>VMPARTNER.comJEANS18/19Aug</t>
  </si>
  <si>
    <t>VMPARTNER.comJEANS18/19Sep</t>
  </si>
  <si>
    <t>VMPARTNER.comKNIT16/17Q1</t>
  </si>
  <si>
    <t>VMPARTNER.comKNIT16/17Aug</t>
  </si>
  <si>
    <t>VMPARTNER.comKNIT16/17Oct</t>
  </si>
  <si>
    <t>VMPARTNER.comKNIT16/17Sep</t>
  </si>
  <si>
    <t>VMPARTNER.comKNIT16/17Q2</t>
  </si>
  <si>
    <t>VMPARTNER.comKNIT16/17Dec</t>
  </si>
  <si>
    <t>VMPARTNER.comKNIT16/17Jan</t>
  </si>
  <si>
    <t>VMPARTNER.comKNIT16/17Nov</t>
  </si>
  <si>
    <t>VMPARTNER.comKNIT16/17Q3</t>
  </si>
  <si>
    <t>VMPARTNER.comKNIT16/17Apr</t>
  </si>
  <si>
    <t>VMPARTNER.comKNIT16/17Feb</t>
  </si>
  <si>
    <t>VMPARTNER.comKNIT16/17Mar</t>
  </si>
  <si>
    <t>VMPARTNER.comKNIT16/17Q4</t>
  </si>
  <si>
    <t>VMPARTNER.comKNIT16/17Jul</t>
  </si>
  <si>
    <t>VMPARTNER.comKNIT16/17Jun</t>
  </si>
  <si>
    <t>VMPARTNER.comKNIT16/17May</t>
  </si>
  <si>
    <t>VMPARTNER.comKNIT17/18Q1</t>
  </si>
  <si>
    <t>VMPARTNER.comKNIT17/18Aug</t>
  </si>
  <si>
    <t>VMPARTNER.comKNIT17/18Oct</t>
  </si>
  <si>
    <t>VMPARTNER.comKNIT17/18Sep</t>
  </si>
  <si>
    <t>VMPARTNER.comKNIT17/18Q2</t>
  </si>
  <si>
    <t>VMPARTNER.comKNIT17/18Dec</t>
  </si>
  <si>
    <t>VMPARTNER.comKNIT17/18Jan</t>
  </si>
  <si>
    <t>VMPARTNER.comKNIT17/18Nov</t>
  </si>
  <si>
    <t>VMPARTNER.comKNIT17/18Q3</t>
  </si>
  <si>
    <t>VMPARTNER.comKNIT17/18Apr</t>
  </si>
  <si>
    <t>VMPARTNER.comKNIT17/18Feb</t>
  </si>
  <si>
    <t>VMPARTNER.comKNIT17/18Mar</t>
  </si>
  <si>
    <t>VMPARTNER.comKNIT17/18Q4</t>
  </si>
  <si>
    <t>VMPARTNER.comKNIT17/18Jul</t>
  </si>
  <si>
    <t>VMPARTNER.comKNIT17/18Jun</t>
  </si>
  <si>
    <t>VMPARTNER.comKNIT17/18May</t>
  </si>
  <si>
    <t>VMPARTNER.comKNIT18/19Q1</t>
  </si>
  <si>
    <t>VMPARTNER.comKNIT18/19Aug</t>
  </si>
  <si>
    <t>VMPARTNER.comKNIT18/19Sep</t>
  </si>
  <si>
    <t>VMPARTNER.comOUTERWEAR16/17Q1</t>
  </si>
  <si>
    <t>VMPARTNER.comOUTERWEAR16/17Aug</t>
  </si>
  <si>
    <t>VMPARTNER.comOUTERWEAR16/17Oct</t>
  </si>
  <si>
    <t>VMPARTNER.comOUTERWEAR16/17Sep</t>
  </si>
  <si>
    <t>VMPARTNER.comOUTERWEAR16/17Q2</t>
  </si>
  <si>
    <t>VMPARTNER.comOUTERWEAR16/17Dec</t>
  </si>
  <si>
    <t>VMPARTNER.comOUTERWEAR16/17Jan</t>
  </si>
  <si>
    <t>VMPARTNER.comOUTERWEAR16/17Nov</t>
  </si>
  <si>
    <t>VMPARTNER.comOUTERWEAR16/17Q3</t>
  </si>
  <si>
    <t>VMPARTNER.comOUTERWEAR16/17Apr</t>
  </si>
  <si>
    <t>VMPARTNER.comOUTERWEAR16/17Feb</t>
  </si>
  <si>
    <t>VMPARTNER.comOUTERWEAR16/17Mar</t>
  </si>
  <si>
    <t>VMPARTNER.comOUTERWEAR16/17Q4</t>
  </si>
  <si>
    <t>VMPARTNER.comOUTERWEAR16/17Jul</t>
  </si>
  <si>
    <t>VMPARTNER.comOUTERWEAR16/17Jun</t>
  </si>
  <si>
    <t>VMPARTNER.comOUTERWEAR16/17May</t>
  </si>
  <si>
    <t>VMPARTNER.comOUTERWEAR17/18Q1</t>
  </si>
  <si>
    <t>VMPARTNER.comOUTERWEAR17/18Aug</t>
  </si>
  <si>
    <t>VMPARTNER.comOUTERWEAR17/18Oct</t>
  </si>
  <si>
    <t>VMPARTNER.comOUTERWEAR17/18Sep</t>
  </si>
  <si>
    <t>VMPARTNER.comOUTERWEAR17/18Q2</t>
  </si>
  <si>
    <t>VMPARTNER.comOUTERWEAR17/18Dec</t>
  </si>
  <si>
    <t>VMPARTNER.comOUTERWEAR17/18Jan</t>
  </si>
  <si>
    <t>VMPARTNER.comOUTERWEAR17/18Nov</t>
  </si>
  <si>
    <t>VMPARTNER.comOUTERWEAR17/18Q3</t>
  </si>
  <si>
    <t>VMPARTNER.comOUTERWEAR17/18Apr</t>
  </si>
  <si>
    <t>VMPARTNER.comOUTERWEAR17/18Feb</t>
  </si>
  <si>
    <t>VMPARTNER.comOUTERWEAR17/18Mar</t>
  </si>
  <si>
    <t>VMPARTNER.comOUTERWEAR17/18Q4</t>
  </si>
  <si>
    <t>VMPARTNER.comOUTERWEAR17/18Jul</t>
  </si>
  <si>
    <t>VMPARTNER.comOUTERWEAR17/18Jun</t>
  </si>
  <si>
    <t>VMPARTNER.comOUTERWEAR17/18May</t>
  </si>
  <si>
    <t>VMPARTNER.comOUTERWEAR18/19Q1</t>
  </si>
  <si>
    <t>VMPARTNER.comOUTERWEAR18/19Aug</t>
  </si>
  <si>
    <t>VMPARTNER.comOUTERWEAR18/19Sep</t>
  </si>
  <si>
    <t>VMPARTNER.comPANTS16/17Q1</t>
  </si>
  <si>
    <t>VMPARTNER.comPANTS16/17Aug</t>
  </si>
  <si>
    <t>VMPARTNER.comPANTS16/17Oct</t>
  </si>
  <si>
    <t>VMPARTNER.comPANTS16/17Sep</t>
  </si>
  <si>
    <t>VMPARTNER.comPANTS16/17Q2</t>
  </si>
  <si>
    <t>VMPARTNER.comPANTS16/17Dec</t>
  </si>
  <si>
    <t>VMPARTNER.comPANTS16/17Jan</t>
  </si>
  <si>
    <t>VMPARTNER.comPANTS16/17Nov</t>
  </si>
  <si>
    <t>VMPARTNER.comPANTS16/17Q3</t>
  </si>
  <si>
    <t>VMPARTNER.comPANTS16/17Apr</t>
  </si>
  <si>
    <t>VMPARTNER.comPANTS16/17Feb</t>
  </si>
  <si>
    <t>VMPARTNER.comPANTS16/17Mar</t>
  </si>
  <si>
    <t>VMPARTNER.comPANTS16/17Q4</t>
  </si>
  <si>
    <t>VMPARTNER.comPANTS16/17Jul</t>
  </si>
  <si>
    <t>VMPARTNER.comPANTS16/17Jun</t>
  </si>
  <si>
    <t>VMPARTNER.comPANTS16/17May</t>
  </si>
  <si>
    <t>VMPARTNER.comPANTS17/18Q1</t>
  </si>
  <si>
    <t>VMPARTNER.comPANTS17/18Aug</t>
  </si>
  <si>
    <t>VMPARTNER.comPANTS17/18Oct</t>
  </si>
  <si>
    <t>VMPARTNER.comPANTS17/18Sep</t>
  </si>
  <si>
    <t>VMPARTNER.comPANTS17/18Q2</t>
  </si>
  <si>
    <t>VMPARTNER.comPANTS17/18Dec</t>
  </si>
  <si>
    <t>VMPARTNER.comPANTS17/18Jan</t>
  </si>
  <si>
    <t>VMPARTNER.comPANTS17/18Nov</t>
  </si>
  <si>
    <t>VMPARTNER.comPANTS17/18Q3</t>
  </si>
  <si>
    <t>VMPARTNER.comPANTS17/18Apr</t>
  </si>
  <si>
    <t>VMPARTNER.comPANTS17/18Feb</t>
  </si>
  <si>
    <t>VMPARTNER.comPANTS17/18Mar</t>
  </si>
  <si>
    <t>VMPARTNER.comPANTS17/18Q4</t>
  </si>
  <si>
    <t>VMPARTNER.comPANTS17/18Jul</t>
  </si>
  <si>
    <t>VMPARTNER.comPANTS17/18Jun</t>
  </si>
  <si>
    <t>VMPARTNER.comPANTS17/18May</t>
  </si>
  <si>
    <t>VMPARTNER.comPANTS18/19Q1</t>
  </si>
  <si>
    <t>VMPARTNER.comPANTS18/19Aug</t>
  </si>
  <si>
    <t>VMPARTNER.comPANTS18/19Sep</t>
  </si>
  <si>
    <t>VMPARTNER.comSHIRTS16/17Q1</t>
  </si>
  <si>
    <t>VMPARTNER.comSHIRTS16/17Aug</t>
  </si>
  <si>
    <t>VMPARTNER.comSHIRTS16/17Oct</t>
  </si>
  <si>
    <t>VMPARTNER.comSHIRTS16/17Sep</t>
  </si>
  <si>
    <t>VMPARTNER.comSHIRTS16/17Q2</t>
  </si>
  <si>
    <t>VMPARTNER.comSHIRTS16/17Dec</t>
  </si>
  <si>
    <t>VMPARTNER.comSHIRTS16/17Jan</t>
  </si>
  <si>
    <t>VMPARTNER.comSHIRTS16/17Nov</t>
  </si>
  <si>
    <t>VMPARTNER.comSHIRTS16/17Q3</t>
  </si>
  <si>
    <t>VMPARTNER.comSHIRTS16/17Apr</t>
  </si>
  <si>
    <t>VMPARTNER.comSHIRTS16/17Feb</t>
  </si>
  <si>
    <t>VMPARTNER.comSHIRTS16/17Mar</t>
  </si>
  <si>
    <t>VMPARTNER.comSHIRTS16/17Q4</t>
  </si>
  <si>
    <t>VMPARTNER.comSHIRTS16/17Jul</t>
  </si>
  <si>
    <t>VMPARTNER.comSHIRTS16/17Jun</t>
  </si>
  <si>
    <t>VMPARTNER.comSHIRTS16/17May</t>
  </si>
  <si>
    <t>VMPARTNER.comSHIRTS17/18Q1</t>
  </si>
  <si>
    <t>VMPARTNER.comSHIRTS17/18Aug</t>
  </si>
  <si>
    <t>VMPARTNER.comSHIRTS17/18Oct</t>
  </si>
  <si>
    <t>VMPARTNER.comSHIRTS17/18Sep</t>
  </si>
  <si>
    <t>VMPARTNER.comSHIRTS17/18Q2</t>
  </si>
  <si>
    <t>VMPARTNER.comSHIRTS17/18Dec</t>
  </si>
  <si>
    <t>VMPARTNER.comSHIRTS17/18Jan</t>
  </si>
  <si>
    <t>VMPARTNER.comSHIRTS17/18Nov</t>
  </si>
  <si>
    <t>VMPARTNER.comSHIRTS17/18Q3</t>
  </si>
  <si>
    <t>VMPARTNER.comSHIRTS17/18Apr</t>
  </si>
  <si>
    <t>VMPARTNER.comSHIRTS17/18Feb</t>
  </si>
  <si>
    <t>VMPARTNER.comSHIRTS17/18Mar</t>
  </si>
  <si>
    <t>VMPARTNER.comSHIRTS17/18Q4</t>
  </si>
  <si>
    <t>VMPARTNER.comSHIRTS17/18Jul</t>
  </si>
  <si>
    <t>VMPARTNER.comSHIRTS17/18Jun</t>
  </si>
  <si>
    <t>VMPARTNER.comSHIRTS17/18May</t>
  </si>
  <si>
    <t>VMPARTNER.comSHIRTS18/19Q1</t>
  </si>
  <si>
    <t>VMPARTNER.comSHIRTS18/19Aug</t>
  </si>
  <si>
    <t>VMPARTNER.comSHIRTS18/19Sep</t>
  </si>
  <si>
    <t>VMPARTNER.comSHOES16/17Q1</t>
  </si>
  <si>
    <t>VMPARTNER.comSHOES16/17Aug</t>
  </si>
  <si>
    <t>VMPARTNER.comSHOES16/17Oct</t>
  </si>
  <si>
    <t>VMPARTNER.comSHOES16/17Sep</t>
  </si>
  <si>
    <t>VMPARTNER.comSHOES16/17Q2</t>
  </si>
  <si>
    <t>VMPARTNER.comSHOES16/17Dec</t>
  </si>
  <si>
    <t>VMPARTNER.comSHOES16/17Jan</t>
  </si>
  <si>
    <t>VMPARTNER.comSHOES16/17Nov</t>
  </si>
  <si>
    <t>VMPARTNER.comSHOES16/17Q3</t>
  </si>
  <si>
    <t>VMPARTNER.comSHOES16/17Apr</t>
  </si>
  <si>
    <t>VMPARTNER.comSHOES16/17Feb</t>
  </si>
  <si>
    <t>VMPARTNER.comSHOES16/17Mar</t>
  </si>
  <si>
    <t>VMPARTNER.comSHOES16/17Q4</t>
  </si>
  <si>
    <t>VMPARTNER.comSHOES16/17Jul</t>
  </si>
  <si>
    <t>VMPARTNER.comSHOES16/17Jun</t>
  </si>
  <si>
    <t>VMPARTNER.comSHOES16/17May</t>
  </si>
  <si>
    <t>VMPARTNER.comSHOES17/18Q1</t>
  </si>
  <si>
    <t>VMPARTNER.comSHOES17/18Aug</t>
  </si>
  <si>
    <t>VMPARTNER.comSHOES17/18Oct</t>
  </si>
  <si>
    <t>VMPARTNER.comSHOES17/18Sep</t>
  </si>
  <si>
    <t>VMPARTNER.comSHOES17/18Q2</t>
  </si>
  <si>
    <t>VMPARTNER.comSHOES17/18Dec</t>
  </si>
  <si>
    <t>VMPARTNER.comSHOES17/18Jan</t>
  </si>
  <si>
    <t>VMPARTNER.comSHOES17/18Nov</t>
  </si>
  <si>
    <t>VMPARTNER.comSHOES17/18Q3</t>
  </si>
  <si>
    <t>VMPARTNER.comSHOES17/18Apr</t>
  </si>
  <si>
    <t>VMPARTNER.comSHOES17/18Feb</t>
  </si>
  <si>
    <t>VMPARTNER.comSHOES17/18Mar</t>
  </si>
  <si>
    <t>VMPARTNER.comSHOES17/18Q4</t>
  </si>
  <si>
    <t>VMPARTNER.comSHOES17/18Jul</t>
  </si>
  <si>
    <t>VMPARTNER.comSHOES17/18Jun</t>
  </si>
  <si>
    <t>VMPARTNER.comSHOES17/18May</t>
  </si>
  <si>
    <t>VMPARTNER.comSHOES18/19Q1</t>
  </si>
  <si>
    <t>VMPARTNER.comSHOES18/19Aug</t>
  </si>
  <si>
    <t>VMPARTNER.comSHOES18/19Sep</t>
  </si>
  <si>
    <t>VMPARTNER.comSHORTS16/17Q1</t>
  </si>
  <si>
    <t>VMPARTNER.comSHORTS16/17Aug</t>
  </si>
  <si>
    <t>VMPARTNER.comSHORTS16/17Oct</t>
  </si>
  <si>
    <t>VMPARTNER.comSHORTS16/17Sep</t>
  </si>
  <si>
    <t>VMPARTNER.comSHORTS16/17Q2</t>
  </si>
  <si>
    <t>VMPARTNER.comSHORTS16/17Dec</t>
  </si>
  <si>
    <t>VMPARTNER.comSHORTS16/17Jan</t>
  </si>
  <si>
    <t>VMPARTNER.comSHORTS16/17Nov</t>
  </si>
  <si>
    <t>VMPARTNER.comSHORTS16/17Q3</t>
  </si>
  <si>
    <t>VMPARTNER.comSHORTS16/17Apr</t>
  </si>
  <si>
    <t>VMPARTNER.comSHORTS16/17Mar</t>
  </si>
  <si>
    <t>VMPARTNER.comSHORTS16/17Q4</t>
  </si>
  <si>
    <t>VMPARTNER.comSHORTS16/17Jul</t>
  </si>
  <si>
    <t>VMPARTNER.comSHORTS16/17Jun</t>
  </si>
  <si>
    <t>VMPARTNER.comSHORTS16/17May</t>
  </si>
  <si>
    <t>VMPARTNER.comSHORTS17/18Q1</t>
  </si>
  <si>
    <t>VMPARTNER.comSHORTS17/18Aug</t>
  </si>
  <si>
    <t>VMPARTNER.comSHORTS17/18Oct</t>
  </si>
  <si>
    <t>VMPARTNER.comSHORTS17/18Sep</t>
  </si>
  <si>
    <t>VMPARTNER.comSHORTS17/18Q2</t>
  </si>
  <si>
    <t>VMPARTNER.comSHORTS17/18Dec</t>
  </si>
  <si>
    <t>VMPARTNER.comSHORTS17/18Jan</t>
  </si>
  <si>
    <t>VMPARTNER.comSHORTS17/18Nov</t>
  </si>
  <si>
    <t>VMPARTNER.comSHORTS17/18Q3</t>
  </si>
  <si>
    <t>VMPARTNER.comSHORTS17/18Apr</t>
  </si>
  <si>
    <t>VMPARTNER.comSHORTS17/18Feb</t>
  </si>
  <si>
    <t>VMPARTNER.comSHORTS17/18Mar</t>
  </si>
  <si>
    <t>VMPARTNER.comSHORTS17/18Q4</t>
  </si>
  <si>
    <t>VMPARTNER.comSHORTS17/18Jul</t>
  </si>
  <si>
    <t>VMPARTNER.comSHORTS17/18Jun</t>
  </si>
  <si>
    <t>VMPARTNER.comSHORTS17/18May</t>
  </si>
  <si>
    <t>VMPARTNER.comSHORTS18/19Q1</t>
  </si>
  <si>
    <t>VMPARTNER.comSHORTS18/19Aug</t>
  </si>
  <si>
    <t>VMPARTNER.comSHORTS18/19Sep</t>
  </si>
  <si>
    <t>VMPARTNER.comSKIRTS16/17Q1</t>
  </si>
  <si>
    <t>VMPARTNER.comSKIRTS16/17Aug</t>
  </si>
  <si>
    <t>VMPARTNER.comSKIRTS16/17Oct</t>
  </si>
  <si>
    <t>VMPARTNER.comSKIRTS16/17Sep</t>
  </si>
  <si>
    <t>VMPARTNER.comSKIRTS16/17Q2</t>
  </si>
  <si>
    <t>VMPARTNER.comSKIRTS16/17Dec</t>
  </si>
  <si>
    <t>VMPARTNER.comSKIRTS16/17Jan</t>
  </si>
  <si>
    <t>VMPARTNER.comSKIRTS16/17Nov</t>
  </si>
  <si>
    <t>VMPARTNER.comSKIRTS16/17Q3</t>
  </si>
  <si>
    <t>VMPARTNER.comSKIRTS16/17Apr</t>
  </si>
  <si>
    <t>VMPARTNER.comSKIRTS16/17Feb</t>
  </si>
  <si>
    <t>VMPARTNER.comSKIRTS16/17Mar</t>
  </si>
  <si>
    <t>VMPARTNER.comSKIRTS16/17Q4</t>
  </si>
  <si>
    <t>VMPARTNER.comSKIRTS16/17Jul</t>
  </si>
  <si>
    <t>VMPARTNER.comSKIRTS16/17Jun</t>
  </si>
  <si>
    <t>VMPARTNER.comSKIRTS16/17May</t>
  </si>
  <si>
    <t>VMPARTNER.comSKIRTS17/18Q1</t>
  </si>
  <si>
    <t>VMPARTNER.comSKIRTS17/18Aug</t>
  </si>
  <si>
    <t>VMPARTNER.comSKIRTS17/18Oct</t>
  </si>
  <si>
    <t>VMPARTNER.comSKIRTS17/18Sep</t>
  </si>
  <si>
    <t>VMPARTNER.comSKIRTS17/18Q2</t>
  </si>
  <si>
    <t>VMPARTNER.comSKIRTS17/18Dec</t>
  </si>
  <si>
    <t>VMPARTNER.comSKIRTS17/18Jan</t>
  </si>
  <si>
    <t>VMPARTNER.comSKIRTS17/18Nov</t>
  </si>
  <si>
    <t>VMPARTNER.comSKIRTS17/18Q3</t>
  </si>
  <si>
    <t>VMPARTNER.comSKIRTS17/18Apr</t>
  </si>
  <si>
    <t>VMPARTNER.comSKIRTS17/18Feb</t>
  </si>
  <si>
    <t>VMPARTNER.comSKIRTS17/18Mar</t>
  </si>
  <si>
    <t>VMPARTNER.comSKIRTS17/18Q4</t>
  </si>
  <si>
    <t>VMPARTNER.comSKIRTS17/18Jul</t>
  </si>
  <si>
    <t>VMPARTNER.comSKIRTS17/18Jun</t>
  </si>
  <si>
    <t>VMPARTNER.comSKIRTS17/18May</t>
  </si>
  <si>
    <t>VMPARTNER.comSKIRTS18/19Q1</t>
  </si>
  <si>
    <t>VMPARTNER.comSKIRTS18/19Aug</t>
  </si>
  <si>
    <t>VMPARTNER.comSKIRTS18/19Sep</t>
  </si>
  <si>
    <t>VMPARTNER.comSWEAT16/17Q1</t>
  </si>
  <si>
    <t>VMPARTNER.comSWEAT16/17Aug</t>
  </si>
  <si>
    <t>VMPARTNER.comSWEAT16/17Oct</t>
  </si>
  <si>
    <t>VMPARTNER.comSWEAT16/17Sep</t>
  </si>
  <si>
    <t>VMPARTNER.comSWEAT16/17Q2</t>
  </si>
  <si>
    <t>VMPARTNER.comSWEAT16/17Dec</t>
  </si>
  <si>
    <t>VMPARTNER.comSWEAT16/17Jan</t>
  </si>
  <si>
    <t>VMPARTNER.comSWEAT16/17Nov</t>
  </si>
  <si>
    <t>VMPARTNER.comSWEAT16/17Q3</t>
  </si>
  <si>
    <t>VMPARTNER.comSWEAT16/17Apr</t>
  </si>
  <si>
    <t>VMPARTNER.comSWEAT16/17Feb</t>
  </si>
  <si>
    <t>VMPARTNER.comSWEAT16/17Mar</t>
  </si>
  <si>
    <t>VMPARTNER.comSWEAT16/17Q4</t>
  </si>
  <si>
    <t>VMPARTNER.comSWEAT16/17Jul</t>
  </si>
  <si>
    <t>VMPARTNER.comSWEAT16/17Jun</t>
  </si>
  <si>
    <t>VMPARTNER.comSWEAT16/17May</t>
  </si>
  <si>
    <t>VMPARTNER.comSWEAT17/18Q1</t>
  </si>
  <si>
    <t>VMPARTNER.comSWEAT17/18Aug</t>
  </si>
  <si>
    <t>VMPARTNER.comSWEAT17/18Oct</t>
  </si>
  <si>
    <t>VMPARTNER.comSWEAT17/18Sep</t>
  </si>
  <si>
    <t>VMPARTNER.comSWEAT17/18Q2</t>
  </si>
  <si>
    <t>VMPARTNER.comSWEAT17/18Dec</t>
  </si>
  <si>
    <t>VMPARTNER.comSWEAT17/18Jan</t>
  </si>
  <si>
    <t>VMPARTNER.comSWEAT17/18Nov</t>
  </si>
  <si>
    <t>VMPARTNER.comSWEAT17/18Q3</t>
  </si>
  <si>
    <t>VMPARTNER.comSWEAT17/18Apr</t>
  </si>
  <si>
    <t>VMPARTNER.comSWEAT17/18Feb</t>
  </si>
  <si>
    <t>VMPARTNER.comSWEAT17/18Mar</t>
  </si>
  <si>
    <t>VMPARTNER.comSWEAT17/18Q4</t>
  </si>
  <si>
    <t>VMPARTNER.comSWEAT17/18Jul</t>
  </si>
  <si>
    <t>VMPARTNER.comSWEAT17/18Jun</t>
  </si>
  <si>
    <t>VMPARTNER.comSWEAT17/18May</t>
  </si>
  <si>
    <t>VMPARTNER.comSWEAT18/19Q1</t>
  </si>
  <si>
    <t>VMPARTNER.comSWEAT18/19Aug</t>
  </si>
  <si>
    <t>VMPARTNER.comSWEAT18/19Sep</t>
  </si>
  <si>
    <t>VMPARTNER.comT-SHIRTS &amp; TOPS16/17Q1</t>
  </si>
  <si>
    <t>VMPARTNER.comT-SHIRTS &amp; TOPS16/17Aug</t>
  </si>
  <si>
    <t>VMPARTNER.comT-SHIRTS &amp; TOPS16/17Oct</t>
  </si>
  <si>
    <t>VMPARTNER.comT-SHIRTS &amp; TOPS16/17Sep</t>
  </si>
  <si>
    <t>VMPARTNER.comT-SHIRTS &amp; TOPS16/17Q2</t>
  </si>
  <si>
    <t>VMPARTNER.comT-SHIRTS &amp; TOPS16/17Dec</t>
  </si>
  <si>
    <t>VMPARTNER.comT-SHIRTS &amp; TOPS16/17Jan</t>
  </si>
  <si>
    <t>VMPARTNER.comT-SHIRTS &amp; TOPS16/17Nov</t>
  </si>
  <si>
    <t>VMPARTNER.comT-SHIRTS &amp; TOPS16/17Q3</t>
  </si>
  <si>
    <t>VMPARTNER.comT-SHIRTS &amp; TOPS16/17Apr</t>
  </si>
  <si>
    <t>VMPARTNER.comT-SHIRTS &amp; TOPS16/17Feb</t>
  </si>
  <si>
    <t>VMPARTNER.comT-SHIRTS &amp; TOPS16/17Mar</t>
  </si>
  <si>
    <t>VMPARTNER.comT-SHIRTS &amp; TOPS16/17Q4</t>
  </si>
  <si>
    <t>VMPARTNER.comT-SHIRTS &amp; TOPS16/17Jul</t>
  </si>
  <si>
    <t>VMPARTNER.comT-SHIRTS &amp; TOPS16/17Jun</t>
  </si>
  <si>
    <t>VMPARTNER.comT-SHIRTS &amp; TOPS16/17May</t>
  </si>
  <si>
    <t>VMPARTNER.comT-SHIRTS &amp; TOPS17/18Q1</t>
  </si>
  <si>
    <t>VMPARTNER.comT-SHIRTS &amp; TOPS17/18Aug</t>
  </si>
  <si>
    <t>VMPARTNER.comT-SHIRTS &amp; TOPS17/18Oct</t>
  </si>
  <si>
    <t>VMPARTNER.comT-SHIRTS &amp; TOPS17/18Sep</t>
  </si>
  <si>
    <t>VMPARTNER.comT-SHIRTS &amp; TOPS17/18Q2</t>
  </si>
  <si>
    <t>VMPARTNER.comT-SHIRTS &amp; TOPS17/18Dec</t>
  </si>
  <si>
    <t>VMPARTNER.comT-SHIRTS &amp; TOPS17/18Jan</t>
  </si>
  <si>
    <t>VMPARTNER.comT-SHIRTS &amp; TOPS17/18Nov</t>
  </si>
  <si>
    <t>VMPARTNER.comT-SHIRTS &amp; TOPS17/18Q3</t>
  </si>
  <si>
    <t>VMPARTNER.comT-SHIRTS &amp; TOPS17/18Apr</t>
  </si>
  <si>
    <t>VMPARTNER.comT-SHIRTS &amp; TOPS17/18Feb</t>
  </si>
  <si>
    <t>VMPARTNER.comT-SHIRTS &amp; TOPS17/18Mar</t>
  </si>
  <si>
    <t>VMPARTNER.comT-SHIRTS &amp; TOPS17/18Q4</t>
  </si>
  <si>
    <t>VMPARTNER.comT-SHIRTS &amp; TOPS17/18Jul</t>
  </si>
  <si>
    <t>VMPARTNER.comT-SHIRTS &amp; TOPS17/18Jun</t>
  </si>
  <si>
    <t>VMPARTNER.comT-SHIRTS &amp; TOPS17/18May</t>
  </si>
  <si>
    <t>VMPARTNER.comT-SHIRTS &amp; TOPS18/19Q1</t>
  </si>
  <si>
    <t>VMPARTNER.comT-SHIRTS &amp; TOPS18/19Aug</t>
  </si>
  <si>
    <t>VMPARTNER.comT-SHIRTS &amp; TOPS18/19Sep</t>
  </si>
  <si>
    <t>VMPARTNER.comTAILORING16/17Q1</t>
  </si>
  <si>
    <t>VMPARTNER.comTAILORING16/17Aug</t>
  </si>
  <si>
    <t>VMPARTNER.comTAILORING16/17Oct</t>
  </si>
  <si>
    <t>VMPARTNER.comTAILORING16/17Sep</t>
  </si>
  <si>
    <t>VMPARTNER.comTAILORING16/17Q2</t>
  </si>
  <si>
    <t>VMPARTNER.comTAILORING16/17Dec</t>
  </si>
  <si>
    <t>VMPARTNER.comTAILORING16/17Jan</t>
  </si>
  <si>
    <t>VMPARTNER.comTAILORING16/17Nov</t>
  </si>
  <si>
    <t>VMPARTNER.comTAILORING16/17Q3</t>
  </si>
  <si>
    <t>VMPARTNER.comTAILORING16/17Apr</t>
  </si>
  <si>
    <t>VMPARTNER.comTAILORING16/17Feb</t>
  </si>
  <si>
    <t>VMPARTNER.comTAILORING16/17Mar</t>
  </si>
  <si>
    <t>VMPARTNER.comTAILORING16/17Q4</t>
  </si>
  <si>
    <t>VMPARTNER.comTAILORING16/17Jul</t>
  </si>
  <si>
    <t>VMPARTNER.comTAILORING16/17Jun</t>
  </si>
  <si>
    <t>VMPARTNER.comTAILORING16/17May</t>
  </si>
  <si>
    <t>VMPARTNER.comTAILORING17/18Q1</t>
  </si>
  <si>
    <t>VMPARTNER.comTAILORING17/18Aug</t>
  </si>
  <si>
    <t>VMPARTNER.comTAILORING17/18Oct</t>
  </si>
  <si>
    <t>VMPARTNER.comTAILORING17/18Sep</t>
  </si>
  <si>
    <t>VMPARTNER.comTAILORING17/18Q2</t>
  </si>
  <si>
    <t>VMPARTNER.comTAILORING17/18Dec</t>
  </si>
  <si>
    <t>VMPARTNER.comTAILORING17/18Jan</t>
  </si>
  <si>
    <t>VMPARTNER.comTAILORING17/18Nov</t>
  </si>
  <si>
    <t>VMPARTNER.comTAILORING17/18Q3</t>
  </si>
  <si>
    <t>VMPARTNER.comTAILORING17/18Apr</t>
  </si>
  <si>
    <t>VMPARTNER.comTAILORING17/18Feb</t>
  </si>
  <si>
    <t>VMPARTNER.comTAILORING17/18Mar</t>
  </si>
  <si>
    <t>VMPARTNER.comTAILORING17/18Q4</t>
  </si>
  <si>
    <t>VMPARTNER.comTAILORING17/18Jul</t>
  </si>
  <si>
    <t>VMPARTNER.comTAILORING17/18Jun</t>
  </si>
  <si>
    <t>VMPARTNER.comTAILORING17/18May</t>
  </si>
  <si>
    <t>VMPARTNER.comTAILORING18/19Q1</t>
  </si>
  <si>
    <t>VMPARTNER.comTAILORING18/19Aug</t>
  </si>
  <si>
    <t>VMPARTNER.comTAILORING18/19Sep</t>
  </si>
  <si>
    <t>2016-12</t>
  </si>
  <si>
    <t>* Hide unnecessary sheets
* protect all sheets
* please use every time you leave the file</t>
  </si>
  <si>
    <t>* save forecast data to forecast database (forecast_allbrands.xlsx)</t>
  </si>
  <si>
    <t>2020-08</t>
  </si>
  <si>
    <t>2020-09</t>
  </si>
  <si>
    <t>2020-10</t>
  </si>
  <si>
    <t>2020-11</t>
  </si>
  <si>
    <t>2020-12</t>
  </si>
  <si>
    <t>2021-01</t>
  </si>
  <si>
    <t>2021-02</t>
  </si>
  <si>
    <t>2021-03</t>
  </si>
  <si>
    <t>2021-04</t>
  </si>
  <si>
    <t>2021-05</t>
  </si>
  <si>
    <t>2021-06</t>
  </si>
  <si>
    <t>2021-07</t>
  </si>
  <si>
    <t>2021-08</t>
  </si>
  <si>
    <t>2021-09</t>
  </si>
  <si>
    <t>2021-10</t>
  </si>
  <si>
    <t>2021-11</t>
  </si>
  <si>
    <t>2021-12</t>
  </si>
  <si>
    <t>2022-01</t>
  </si>
  <si>
    <t>2022-02</t>
  </si>
  <si>
    <t>2022-03</t>
  </si>
  <si>
    <t>2022-04</t>
  </si>
  <si>
    <t>2022-05</t>
  </si>
  <si>
    <t>2022-06</t>
  </si>
  <si>
    <t>2022-07</t>
  </si>
  <si>
    <t>CALENDAR_MONTH</t>
  </si>
  <si>
    <t>VMBS.comSHORTS16/17Jan</t>
  </si>
  <si>
    <t>VMPARTNER.comSHORTS16/17Feb</t>
  </si>
  <si>
    <t>key_q</t>
  </si>
  <si>
    <t>key_m</t>
  </si>
  <si>
    <t>business_area</t>
  </si>
  <si>
    <t>product_category</t>
  </si>
  <si>
    <t>fy</t>
  </si>
  <si>
    <t>fq</t>
  </si>
  <si>
    <t>month</t>
  </si>
  <si>
    <t>gsii_m</t>
  </si>
  <si>
    <t>disc_val_m</t>
  </si>
  <si>
    <t>discount_m</t>
  </si>
  <si>
    <t>markup_ivat_m</t>
  </si>
  <si>
    <t>placeholder</t>
  </si>
  <si>
    <t>noos_m</t>
  </si>
  <si>
    <t>gsii_q</t>
  </si>
  <si>
    <t>discount_q</t>
  </si>
  <si>
    <t>markup_ivat_q</t>
  </si>
  <si>
    <t>trans_rr</t>
  </si>
  <si>
    <t>noos_q</t>
  </si>
  <si>
    <t>gsii_share</t>
  </si>
  <si>
    <t>dis_val_share</t>
  </si>
  <si>
    <t>noos</t>
  </si>
  <si>
    <t>eoh_val</t>
  </si>
  <si>
    <t>net_cogs_ed</t>
  </si>
  <si>
    <t xml:space="preserve">
* save forecast data to folder "forecast master" as "brand - last forecast.xlsx"
</t>
  </si>
  <si>
    <t>* save forecast data to LAST_FC sheet</t>
  </si>
  <si>
    <t>nwc</t>
  </si>
  <si>
    <t>VMBRAND.comACCESSORIES18/19Oct</t>
  </si>
  <si>
    <t>VMBRAND.comKNIT18/19Oct</t>
  </si>
  <si>
    <t>VMBRAND.comPANTS18/19Oct</t>
  </si>
  <si>
    <t>VMBRAND.comSHOES18/19Oct</t>
  </si>
  <si>
    <t>VMBRAND.comSKIRTS18/19Oct</t>
  </si>
  <si>
    <t>VMBRAND.comT-SHIRTS &amp; TOPS18/19Oct</t>
  </si>
  <si>
    <t>VMBS.comACCESSORIES18/19Oct</t>
  </si>
  <si>
    <t>VMBS.comDRESSES18/19Oct</t>
  </si>
  <si>
    <t>VMBS.comOUTERWEAR18/19Oct</t>
  </si>
  <si>
    <t>VMBS.comPANTS18/19Oct</t>
  </si>
  <si>
    <t>VMBS.comSHOES18/19Oct</t>
  </si>
  <si>
    <t>VMBS.comSKIRTS18/19Oct</t>
  </si>
  <si>
    <t>VMBS.comT-SHIRTS &amp; TOPS18/19Oct</t>
  </si>
  <si>
    <t>VMPARTNER.comDRESSES18/19Oct</t>
  </si>
  <si>
    <t>VMPARTNER.comKNIT18/19Oct</t>
  </si>
  <si>
    <t>VMPARTNER.comPANTS18/19Oct</t>
  </si>
  <si>
    <t>VMPARTNER.comSHIRTS18/19Oct</t>
  </si>
  <si>
    <t>VMPARTNER.comSKIRTS18/19Oct</t>
  </si>
  <si>
    <t>VMPARTNER.comSWEAT18/19Oct</t>
  </si>
  <si>
    <t>VMPARTNER.comTAILORING18/19Oct</t>
  </si>
  <si>
    <t>VMBRAND.comDRESSES18/19Oct</t>
  </si>
  <si>
    <t>VMBRAND.comJEANS18/19Oct</t>
  </si>
  <si>
    <t>VMBRAND.comOUTERWEAR18/19Oct</t>
  </si>
  <si>
    <t>VMBRAND.comSHIRTS18/19Oct</t>
  </si>
  <si>
    <t>VMBRAND.comSHORTS18/19Oct</t>
  </si>
  <si>
    <t>VMBRAND.comSWEAT18/19Oct</t>
  </si>
  <si>
    <t>VMBRAND.comTAILORING18/19Oct</t>
  </si>
  <si>
    <t>VMBS.comJEANS18/19Oct</t>
  </si>
  <si>
    <t>VMBS.comKNIT18/19Oct</t>
  </si>
  <si>
    <t>VMBS.comSHIRTS18/19Oct</t>
  </si>
  <si>
    <t>VMBS.comSHORTS18/19Oct</t>
  </si>
  <si>
    <t>VMBS.comSWEAT18/19Oct</t>
  </si>
  <si>
    <t>VMBS.comTAILORING18/19Oct</t>
  </si>
  <si>
    <t>VMPARTNER.comACCESSORIES18/19Oct</t>
  </si>
  <si>
    <t>VMPARTNER.comJEANS18/19Oct</t>
  </si>
  <si>
    <t>VMPARTNER.comOUTERWEAR18/19Oct</t>
  </si>
  <si>
    <t>VMPARTNER.comSHOES18/19Oct</t>
  </si>
  <si>
    <t>VMPARTNER.comSHORTS18/19Oct</t>
  </si>
  <si>
    <t>VMPARTNER.comT-SHIRTS &amp; TOPS18/19Oct</t>
  </si>
  <si>
    <t xml:space="preserve">* save forecast to folder "forecast master" as "brand_YYYY-MM.xlsx" </t>
  </si>
  <si>
    <t>NON-NOOS_FNWC</t>
  </si>
  <si>
    <t>NON-NOOS_TARGET_STOCK</t>
  </si>
  <si>
    <t>NON-NOOS_NET_COGS</t>
  </si>
  <si>
    <t>NON-NOOS_PLAN-TO-BUY</t>
  </si>
  <si>
    <t>NOOS_BULK</t>
  </si>
  <si>
    <t>NON-NOOS_BULK</t>
  </si>
  <si>
    <t>NOOS_PRO_STOCK</t>
  </si>
  <si>
    <t>NON-NOOS_PRO_STOCK</t>
  </si>
  <si>
    <t>NON-NOOS_ON_HOLD</t>
  </si>
  <si>
    <t>NOOS_ON_HOLD</t>
  </si>
  <si>
    <t>VMBRAND.comACCESSORIES18/19Q2</t>
  </si>
  <si>
    <t>VMBRAND.comACCESSORIES18/19Nov</t>
  </si>
  <si>
    <t>VMBRAND.comDRESSES18/19Q2</t>
  </si>
  <si>
    <t>VMBRAND.comDRESSES18/19Nov</t>
  </si>
  <si>
    <t>VMBRAND.comJEANS18/19Q2</t>
  </si>
  <si>
    <t>VMBRAND.comJEANS18/19Nov</t>
  </si>
  <si>
    <t>VMBRAND.comSHIRTS18/19Q2</t>
  </si>
  <si>
    <t>VMBRAND.comSHIRTS18/19Nov</t>
  </si>
  <si>
    <t>VMBRAND.comSHOES18/19Q2</t>
  </si>
  <si>
    <t>VMBRAND.comSHOES18/19Nov</t>
  </si>
  <si>
    <t>VMBRAND.comSHORTS18/19Q2</t>
  </si>
  <si>
    <t>VMBRAND.comSHORTS18/19Nov</t>
  </si>
  <si>
    <t>VMBRAND.comSWEAT18/19Q2</t>
  </si>
  <si>
    <t>VMBRAND.comSWEAT18/19Nov</t>
  </si>
  <si>
    <t>VMBRAND.comT-SHIRTS16/17Q1</t>
  </si>
  <si>
    <t>VMBRAND.comT-SHIRTS16/17Aug</t>
  </si>
  <si>
    <t>T-SHIRTS</t>
  </si>
  <si>
    <t>VMBRAND.comT-SHIRTS16/17Sep</t>
  </si>
  <si>
    <t>VMBRAND.comT-SHIRTS16/17Q2</t>
  </si>
  <si>
    <t>VMBRAND.comT-SHIRTS16/17Jan</t>
  </si>
  <si>
    <t>VMBRAND.comT-SHIRTS16/17Q3</t>
  </si>
  <si>
    <t>VMBRAND.comT-SHIRTS16/17Apr</t>
  </si>
  <si>
    <t>VMBRAND.comT-SHIRTS16/17Mar</t>
  </si>
  <si>
    <t>VMBRAND.comT-SHIRTS16/17Q4</t>
  </si>
  <si>
    <t>VMBRAND.comT-SHIRTS16/17Jun</t>
  </si>
  <si>
    <t>VMBRAND.comT-SHIRTS17/18Q1</t>
  </si>
  <si>
    <t>VMBRAND.comT-SHIRTS17/18Oct</t>
  </si>
  <si>
    <t>VMBRAND.comT-SHIRTS17/18Q2</t>
  </si>
  <si>
    <t>VMBRAND.comT-SHIRTS17/18Dec</t>
  </si>
  <si>
    <t>VMBRAND.comT-SHIRTS17/18Nov</t>
  </si>
  <si>
    <t>VMBRAND.comT-SHIRTS17/18Q3</t>
  </si>
  <si>
    <t>VMBRAND.comT-SHIRTS17/18Feb</t>
  </si>
  <si>
    <t>VMBRAND.comT-SHIRTS17/18Q4</t>
  </si>
  <si>
    <t>VMBRAND.comT-SHIRTS17/18Jul</t>
  </si>
  <si>
    <t>VMBRAND.comT-SHIRTS17/18May</t>
  </si>
  <si>
    <t>VMBRAND.comT-SHIRTS18/19Q1</t>
  </si>
  <si>
    <t>VMBRAND.comT-SHIRTS18/19Aug</t>
  </si>
  <si>
    <t>VMBRAND.comT-SHIRTS18/19Sep</t>
  </si>
  <si>
    <t>VMBRAND.comT-SHIRTS &amp; TOPS18/19Q2</t>
  </si>
  <si>
    <t>VMBRAND.comT-SHIRTS &amp; TOPS18/19Nov</t>
  </si>
  <si>
    <t>VMBRAND.comTOPS16/17Q2</t>
  </si>
  <si>
    <t>VMBRAND.comTOPS16/17Jan</t>
  </si>
  <si>
    <t>TOPS</t>
  </si>
  <si>
    <t>VMBRAND.comTOPS16/17Q3</t>
  </si>
  <si>
    <t>VMBRAND.comTOPS16/17Feb</t>
  </si>
  <si>
    <t>VMBRAND.comTOPS16/17Q4</t>
  </si>
  <si>
    <t>VMBRAND.comTOPS16/17Jul</t>
  </si>
  <si>
    <t>VMBRAND.comTOPS16/17May</t>
  </si>
  <si>
    <t>VMBRAND.comTOPS17/18Q1</t>
  </si>
  <si>
    <t>VMBRAND.comTOPS17/18Oct</t>
  </si>
  <si>
    <t>VMBRAND.comTOPS17/18Q2</t>
  </si>
  <si>
    <t>VMBRAND.comTOPS17/18Dec</t>
  </si>
  <si>
    <t>VMBRAND.comTOPS17/18Nov</t>
  </si>
  <si>
    <t>VMBRAND.comTOPS17/18Q3</t>
  </si>
  <si>
    <t>VMBRAND.comTOPS17/18Feb</t>
  </si>
  <si>
    <t>VMBRAND.comTOPS17/18Q4</t>
  </si>
  <si>
    <t>VMBRAND.comTOPS17/18Jul</t>
  </si>
  <si>
    <t>VMBRAND.comTOPS17/18May</t>
  </si>
  <si>
    <t>VMBRAND.comTOPS18/19Q1</t>
  </si>
  <si>
    <t>VMBRAND.comTOPS18/19Oct</t>
  </si>
  <si>
    <t>VMBRAND.comTOPS18/19Q2</t>
  </si>
  <si>
    <t>VMBRAND.comTOPS18/19Nov</t>
  </si>
  <si>
    <t>VMBS.comJEANS18/19Q2</t>
  </si>
  <si>
    <t>VMBS.comJEANS18/19Nov</t>
  </si>
  <si>
    <t>VMBS.comPANTS18/19Q2</t>
  </si>
  <si>
    <t>VMBS.comPANTS18/19Nov</t>
  </si>
  <si>
    <t>VMBS.comSHOES18/19Q2</t>
  </si>
  <si>
    <t>VMBS.comSHOES18/19Nov</t>
  </si>
  <si>
    <t>VMBS.comSWEAT18/19Q2</t>
  </si>
  <si>
    <t>VMBS.comSWEAT18/19Nov</t>
  </si>
  <si>
    <t>VMBS.comT-SHIRTS16/17Q1</t>
  </si>
  <si>
    <t>VMBS.comT-SHIRTS16/17Oct</t>
  </si>
  <si>
    <t>VMBS.comT-SHIRTS16/17Q2</t>
  </si>
  <si>
    <t>VMBS.comT-SHIRTS16/17Dec</t>
  </si>
  <si>
    <t>VMBS.comT-SHIRTS16/17Nov</t>
  </si>
  <si>
    <t>VMBS.comT-SHIRTS16/17Q3</t>
  </si>
  <si>
    <t>VMBS.comT-SHIRTS16/17Feb</t>
  </si>
  <si>
    <t>VMBS.comT-SHIRTS16/17Q4</t>
  </si>
  <si>
    <t>VMBS.comT-SHIRTS16/17Jul</t>
  </si>
  <si>
    <t>VMBS.comT-SHIRTS16/17May</t>
  </si>
  <si>
    <t>VMBS.comT-SHIRTS17/18Q1</t>
  </si>
  <si>
    <t>VMBS.comT-SHIRTS17/18Oct</t>
  </si>
  <si>
    <t>VMBS.comT-SHIRTS17/18Q2</t>
  </si>
  <si>
    <t>VMBS.comT-SHIRTS17/18Dec</t>
  </si>
  <si>
    <t>VMBS.comT-SHIRTS17/18Nov</t>
  </si>
  <si>
    <t>VMBS.comT-SHIRTS17/18Q3</t>
  </si>
  <si>
    <t>VMBS.comT-SHIRTS17/18Feb</t>
  </si>
  <si>
    <t>VMBS.comT-SHIRTS17/18Q4</t>
  </si>
  <si>
    <t>VMBS.comT-SHIRTS17/18Jul</t>
  </si>
  <si>
    <t>VMBS.comT-SHIRTS17/18May</t>
  </si>
  <si>
    <t>VMBS.comT-SHIRTS18/19Q1</t>
  </si>
  <si>
    <t>VMBS.comT-SHIRTS18/19Oct</t>
  </si>
  <si>
    <t>VMBS.comT-SHIRTS18/19Q2</t>
  </si>
  <si>
    <t>VMBS.comT-SHIRTS18/19Nov</t>
  </si>
  <si>
    <t>VMBS.comTOPS16/17Q2</t>
  </si>
  <si>
    <t>VMBS.comTOPS16/17Dec</t>
  </si>
  <si>
    <t>VMBS.comTOPS16/17Q3</t>
  </si>
  <si>
    <t>VMBS.comTOPS16/17Apr</t>
  </si>
  <si>
    <t>VMBS.comTOPS16/17Mar</t>
  </si>
  <si>
    <t>VMBS.comTOPS16/17Q4</t>
  </si>
  <si>
    <t>VMBS.comTOPS16/17Jun</t>
  </si>
  <si>
    <t>VMBS.comTOPS17/18Q1</t>
  </si>
  <si>
    <t>VMBS.comTOPS17/18Oct</t>
  </si>
  <si>
    <t>VMBS.comTOPS17/18Q2</t>
  </si>
  <si>
    <t>VMBS.comTOPS17/18Dec</t>
  </si>
  <si>
    <t>VMBS.comTOPS17/18Nov</t>
  </si>
  <si>
    <t>VMBS.comTOPS17/18Q3</t>
  </si>
  <si>
    <t>VMBS.comTOPS17/18Feb</t>
  </si>
  <si>
    <t>VMBS.comTOPS17/18Q4</t>
  </si>
  <si>
    <t>VMBS.comTOPS17/18Jul</t>
  </si>
  <si>
    <t>VMBS.comTOPS17/18May</t>
  </si>
  <si>
    <t>VMBS.comTOPS18/19Q1</t>
  </si>
  <si>
    <t>VMBS.comTOPS18/19Aug</t>
  </si>
  <si>
    <t>VMBS.comTOPS18/19Sep</t>
  </si>
  <si>
    <t>VMPARTNER.comACCESSORIES18/19Q2</t>
  </si>
  <si>
    <t>VMPARTNER.comACCESSORIES18/19Nov</t>
  </si>
  <si>
    <t>VMPARTNER.comDRESSES18/19Q2</t>
  </si>
  <si>
    <t>VMPARTNER.comDRESSES18/19Nov</t>
  </si>
  <si>
    <t>VMPARTNER.comJEANS18/19Q2</t>
  </si>
  <si>
    <t>VMPARTNER.comJEANS18/19Nov</t>
  </si>
  <si>
    <t>VMPARTNER.comOUTERWEAR18/19Q2</t>
  </si>
  <si>
    <t>VMPARTNER.comOUTERWEAR18/19Nov</t>
  </si>
  <si>
    <t>VMBRAND.comKNIT18/19Q2</t>
  </si>
  <si>
    <t>VMBRAND.comKNIT18/19Nov</t>
  </si>
  <si>
    <t>VMBRAND.comOUTERWEAR18/19Q2</t>
  </si>
  <si>
    <t>VMBRAND.comOUTERWEAR18/19Nov</t>
  </si>
  <si>
    <t>VMBRAND.comPANTS18/19Q2</t>
  </si>
  <si>
    <t>VMBRAND.comPANTS18/19Nov</t>
  </si>
  <si>
    <t>VMBRAND.comSKIRTS18/19Q2</t>
  </si>
  <si>
    <t>VMBRAND.comSKIRTS18/19Nov</t>
  </si>
  <si>
    <t>VMBRAND.comT-SHIRTS16/17Oct</t>
  </si>
  <si>
    <t>VMBRAND.comT-SHIRTS16/17Dec</t>
  </si>
  <si>
    <t>VMBRAND.comT-SHIRTS16/17Nov</t>
  </si>
  <si>
    <t>VMBRAND.comT-SHIRTS16/17Feb</t>
  </si>
  <si>
    <t>VMBRAND.comT-SHIRTS16/17Jul</t>
  </si>
  <si>
    <t>VMBRAND.comT-SHIRTS16/17May</t>
  </si>
  <si>
    <t>VMBRAND.comT-SHIRTS17/18Aug</t>
  </si>
  <si>
    <t>VMBRAND.comT-SHIRTS17/18Sep</t>
  </si>
  <si>
    <t>VMBRAND.comT-SHIRTS17/18Jan</t>
  </si>
  <si>
    <t>VMBRAND.comT-SHIRTS17/18Apr</t>
  </si>
  <si>
    <t>VMBRAND.comT-SHIRTS17/18Mar</t>
  </si>
  <si>
    <t>VMBRAND.comT-SHIRTS17/18Jun</t>
  </si>
  <si>
    <t>VMBRAND.comT-SHIRTS18/19Oct</t>
  </si>
  <si>
    <t>VMBRAND.comT-SHIRTS18/19Q2</t>
  </si>
  <si>
    <t>VMBRAND.comT-SHIRTS18/19Nov</t>
  </si>
  <si>
    <t>VMBRAND.comTAILORING18/19Q2</t>
  </si>
  <si>
    <t>VMBRAND.comTAILORING18/19Nov</t>
  </si>
  <si>
    <t>VMBRAND.comTOPS16/17Dec</t>
  </si>
  <si>
    <t>VMBRAND.comTOPS16/17Apr</t>
  </si>
  <si>
    <t>VMBRAND.comTOPS16/17Mar</t>
  </si>
  <si>
    <t>VMBRAND.comTOPS16/17Jun</t>
  </si>
  <si>
    <t>VMBRAND.comTOPS17/18Aug</t>
  </si>
  <si>
    <t>VMBRAND.comTOPS17/18Sep</t>
  </si>
  <si>
    <t>VMBRAND.comTOPS17/18Jan</t>
  </si>
  <si>
    <t>VMBRAND.comTOPS17/18Apr</t>
  </si>
  <si>
    <t>VMBRAND.comTOPS17/18Mar</t>
  </si>
  <si>
    <t>VMBRAND.comTOPS17/18Jun</t>
  </si>
  <si>
    <t>VMBRAND.comTOPS18/19Aug</t>
  </si>
  <si>
    <t>VMBRAND.comTOPS18/19Sep</t>
  </si>
  <si>
    <t>VMBS.comACCESSORIES18/19Q2</t>
  </si>
  <si>
    <t>VMBS.comACCESSORIES18/19Nov</t>
  </si>
  <si>
    <t>VMBS.comDRESSES18/19Q2</t>
  </si>
  <si>
    <t>VMBS.comDRESSES18/19Nov</t>
  </si>
  <si>
    <t>VMBS.comKNIT18/19Q2</t>
  </si>
  <si>
    <t>VMBS.comKNIT18/19Nov</t>
  </si>
  <si>
    <t>VMBS.comOUTERWEAR18/19Q2</t>
  </si>
  <si>
    <t>VMBS.comOUTERWEAR18/19Nov</t>
  </si>
  <si>
    <t>VMPARTNER.comSHOES18/19Q2</t>
  </si>
  <si>
    <t>VMPARTNER.comSHOES18/19Nov</t>
  </si>
  <si>
    <t>VMPARTNER.comSHORTS18/19Q2</t>
  </si>
  <si>
    <t>VMPARTNER.comSHORTS18/19Nov</t>
  </si>
  <si>
    <t>VMPARTNER.comSKIRTS18/19Q2</t>
  </si>
  <si>
    <t>VMPARTNER.comSKIRTS18/19Nov</t>
  </si>
  <si>
    <t>VMPARTNER.comT-SHIRTS16/17Q1</t>
  </si>
  <si>
    <t>VMPARTNER.comT-SHIRTS16/17Aug</t>
  </si>
  <si>
    <t>VMPARTNER.comT-SHIRTS16/17Sep</t>
  </si>
  <si>
    <t>VMPARTNER.comT-SHIRTS16/17Q2</t>
  </si>
  <si>
    <t>VMPARTNER.comT-SHIRTS16/17Jan</t>
  </si>
  <si>
    <t>VMPARTNER.comT-SHIRTS16/17Q3</t>
  </si>
  <si>
    <t>VMPARTNER.comT-SHIRTS16/17Feb</t>
  </si>
  <si>
    <t>VMPARTNER.comT-SHIRTS16/17Q4</t>
  </si>
  <si>
    <t>VMPARTNER.comT-SHIRTS16/17Jul</t>
  </si>
  <si>
    <t>VMPARTNER.comT-SHIRTS16/17May</t>
  </si>
  <si>
    <t>VMPARTNER.comT-SHIRTS17/18Q1</t>
  </si>
  <si>
    <t>VMPARTNER.comT-SHIRTS17/18Oct</t>
  </si>
  <si>
    <t>VMPARTNER.comT-SHIRTS17/18Q2</t>
  </si>
  <si>
    <t>VMPARTNER.comT-SHIRTS17/18Dec</t>
  </si>
  <si>
    <t>VMPARTNER.comT-SHIRTS17/18Nov</t>
  </si>
  <si>
    <t>VMPARTNER.comT-SHIRTS17/18Q3</t>
  </si>
  <si>
    <t>VMPARTNER.comT-SHIRTS17/18Apr</t>
  </si>
  <si>
    <t>VMPARTNER.comT-SHIRTS17/18Mar</t>
  </si>
  <si>
    <t>VMPARTNER.comT-SHIRTS17/18Q4</t>
  </si>
  <si>
    <t>VMPARTNER.comT-SHIRTS17/18Jun</t>
  </si>
  <si>
    <t>VMPARTNER.comT-SHIRTS18/19Q1</t>
  </si>
  <si>
    <t>VMPARTNER.comT-SHIRTS18/19Aug</t>
  </si>
  <si>
    <t>VMPARTNER.comT-SHIRTS18/19Sep</t>
  </si>
  <si>
    <t>VMPARTNER.comTAILORING18/19Q2</t>
  </si>
  <si>
    <t>VMPARTNER.comTAILORING18/19Nov</t>
  </si>
  <si>
    <t>VMPARTNER.comTOPS16/17Q2</t>
  </si>
  <si>
    <t>VMPARTNER.comTOPS16/17Dec</t>
  </si>
  <si>
    <t>VMPARTNER.comTOPS16/17Q3</t>
  </si>
  <si>
    <t>VMPARTNER.comTOPS16/17Feb</t>
  </si>
  <si>
    <t>VMPARTNER.comTOPS16/17Q4</t>
  </si>
  <si>
    <t>VMPARTNER.comTOPS16/17Jul</t>
  </si>
  <si>
    <t>VMPARTNER.comTOPS16/17May</t>
  </si>
  <si>
    <t>VMPARTNER.comTOPS17/18Q1</t>
  </si>
  <si>
    <t>VMPARTNER.comTOPS17/18Aug</t>
  </si>
  <si>
    <t>VMPARTNER.comTOPS17/18Sep</t>
  </si>
  <si>
    <t>VMPARTNER.comTOPS17/18Q2</t>
  </si>
  <si>
    <t>VMPARTNER.comTOPS17/18Jan</t>
  </si>
  <si>
    <t>VMPARTNER.comTOPS17/18Q3</t>
  </si>
  <si>
    <t>VMPARTNER.comTOPS17/18Feb</t>
  </si>
  <si>
    <t>VMPARTNER.comTOPS17/18Q4</t>
  </si>
  <si>
    <t>VMPARTNER.comTOPS17/18Jul</t>
  </si>
  <si>
    <t>VMPARTNER.comTOPS17/18May</t>
  </si>
  <si>
    <t>VMPARTNER.comTOPS18/19Q1</t>
  </si>
  <si>
    <t>VMPARTNER.comTOPS18/19Aug</t>
  </si>
  <si>
    <t>VMPARTNER.comTOPS18/19Sep</t>
  </si>
  <si>
    <t>VMBS.comSHIRTS18/19Q2</t>
  </si>
  <si>
    <t>VMBS.comSHIRTS18/19Nov</t>
  </si>
  <si>
    <t>VMBS.comSHORTS18/19Q2</t>
  </si>
  <si>
    <t>VMBS.comSHORTS18/19Nov</t>
  </si>
  <si>
    <t>VMBS.comSKIRTS18/19Q2</t>
  </si>
  <si>
    <t>VMBS.comSKIRTS18/19Nov</t>
  </si>
  <si>
    <t>VMBS.comT-SHIRTS16/17Aug</t>
  </si>
  <si>
    <t>VMBS.comT-SHIRTS16/17Sep</t>
  </si>
  <si>
    <t>VMBS.comT-SHIRTS16/17Jan</t>
  </si>
  <si>
    <t>VMBS.comT-SHIRTS16/17Apr</t>
  </si>
  <si>
    <t>VMBS.comT-SHIRTS16/17Mar</t>
  </si>
  <si>
    <t>VMBS.comT-SHIRTS16/17Jun</t>
  </si>
  <si>
    <t>VMBS.comT-SHIRTS17/18Aug</t>
  </si>
  <si>
    <t>VMBS.comT-SHIRTS17/18Sep</t>
  </si>
  <si>
    <t>VMBS.comT-SHIRTS17/18Jan</t>
  </si>
  <si>
    <t>VMBS.comT-SHIRTS17/18Apr</t>
  </si>
  <si>
    <t>VMBS.comT-SHIRTS17/18Mar</t>
  </si>
  <si>
    <t>VMBS.comT-SHIRTS17/18Jun</t>
  </si>
  <si>
    <t>VMBS.comT-SHIRTS18/19Aug</t>
  </si>
  <si>
    <t>VMBS.comT-SHIRTS18/19Sep</t>
  </si>
  <si>
    <t>VMBS.comT-SHIRTS &amp; TOPS18/19Q2</t>
  </si>
  <si>
    <t>VMBS.comT-SHIRTS &amp; TOPS18/19Nov</t>
  </si>
  <si>
    <t>VMBS.comTAILORING18/19Q2</t>
  </si>
  <si>
    <t>VMBS.comTAILORING18/19Nov</t>
  </si>
  <si>
    <t>VMBS.comTOPS16/17Jan</t>
  </si>
  <si>
    <t>VMBS.comTOPS16/17Feb</t>
  </si>
  <si>
    <t>VMBS.comTOPS16/17Jul</t>
  </si>
  <si>
    <t>VMBS.comTOPS16/17May</t>
  </si>
  <si>
    <t>VMBS.comTOPS17/18Aug</t>
  </si>
  <si>
    <t>VMBS.comTOPS17/18Sep</t>
  </si>
  <si>
    <t>VMBS.comTOPS17/18Jan</t>
  </si>
  <si>
    <t>VMBS.comTOPS17/18Apr</t>
  </si>
  <si>
    <t>VMBS.comTOPS17/18Mar</t>
  </si>
  <si>
    <t>VMBS.comTOPS17/18Jun</t>
  </si>
  <si>
    <t>VMBS.comTOPS18/19Oct</t>
  </si>
  <si>
    <t>VMBS.comTOPS18/19Q2</t>
  </si>
  <si>
    <t>VMBS.comTOPS18/19Nov</t>
  </si>
  <si>
    <t>VMPARTNER.comKNIT18/19Q2</t>
  </si>
  <si>
    <t>VMPARTNER.comKNIT18/19Nov</t>
  </si>
  <si>
    <t>VMPARTNER.comPANTS18/19Q2</t>
  </si>
  <si>
    <t>VMPARTNER.comPANTS18/19Nov</t>
  </si>
  <si>
    <t>VMPARTNER.comSHIRTS18/19Q2</t>
  </si>
  <si>
    <t>VMPARTNER.comSHIRTS18/19Nov</t>
  </si>
  <si>
    <t>VMPARTNER.comSWEAT18/19Q2</t>
  </si>
  <si>
    <t>VMPARTNER.comSWEAT18/19Nov</t>
  </si>
  <si>
    <t>VMPARTNER.comT-SHIRTS16/17Oct</t>
  </si>
  <si>
    <t>VMPARTNER.comT-SHIRTS16/17Dec</t>
  </si>
  <si>
    <t>VMPARTNER.comT-SHIRTS16/17Nov</t>
  </si>
  <si>
    <t>VMPARTNER.comT-SHIRTS16/17Apr</t>
  </si>
  <si>
    <t>VMPARTNER.comT-SHIRTS16/17Mar</t>
  </si>
  <si>
    <t>VMPARTNER.comT-SHIRTS16/17Jun</t>
  </si>
  <si>
    <t>VMPARTNER.comT-SHIRTS17/18Aug</t>
  </si>
  <si>
    <t>VMPARTNER.comT-SHIRTS17/18Sep</t>
  </si>
  <si>
    <t>VMPARTNER.comT-SHIRTS17/18Jan</t>
  </si>
  <si>
    <t>VMPARTNER.comT-SHIRTS17/18Feb</t>
  </si>
  <si>
    <t>VMPARTNER.comT-SHIRTS17/18Jul</t>
  </si>
  <si>
    <t>VMPARTNER.comT-SHIRTS17/18May</t>
  </si>
  <si>
    <t>VMPARTNER.comT-SHIRTS18/19Oct</t>
  </si>
  <si>
    <t>VMPARTNER.comT-SHIRTS18/19Q2</t>
  </si>
  <si>
    <t>VMPARTNER.comT-SHIRTS18/19Nov</t>
  </si>
  <si>
    <t>VMPARTNER.comT-SHIRTS &amp; TOPS18/19Q2</t>
  </si>
  <si>
    <t>VMPARTNER.comT-SHIRTS &amp; TOPS18/19Nov</t>
  </si>
  <si>
    <t>VMPARTNER.comTOPS16/17Jan</t>
  </si>
  <si>
    <t>VMPARTNER.comTOPS16/17Apr</t>
  </si>
  <si>
    <t>VMPARTNER.comTOPS16/17Mar</t>
  </si>
  <si>
    <t>VMPARTNER.comTOPS16/17Jun</t>
  </si>
  <si>
    <t>VMPARTNER.comTOPS17/18Oct</t>
  </si>
  <si>
    <t>VMPARTNER.comTOPS17/18Dec</t>
  </si>
  <si>
    <t>VMPARTNER.comTOPS17/18Nov</t>
  </si>
  <si>
    <t>VMPARTNER.comTOPS17/18Apr</t>
  </si>
  <si>
    <t>VMPARTNER.comTOPS17/18Mar</t>
  </si>
  <si>
    <t>VMPARTNER.comTOPS17/18Jun</t>
  </si>
  <si>
    <t>VMPARTNER.comTOPS18/19Oct</t>
  </si>
  <si>
    <t>VMPARTNER.comTOPS18/19Q2</t>
  </si>
  <si>
    <t>VMPARTNER.comTOPS18/19Nov</t>
  </si>
  <si>
    <t>Tops</t>
  </si>
  <si>
    <t>T-Shirts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</si>
</sst>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
    <numFmt numFmtId="164" formatCode="_(&quot;€&quot;* #,##0.00_);_(&quot;€&quot;* \(#,##0.00\);_(&quot;€&quot;* &quot;-&quot;??_);_(@_)"/>
    <numFmt numFmtId="165" formatCode="_(* #,##0.00_);_(* \(#,##0.00\);_(* &quot;-&quot;??_);_(@_)"/>
    <numFmt numFmtId="166" formatCode="_ &quot;€&quot;\ * #,##0_ ;_ &quot;€&quot;\ * \-#,##0_ ;_ &quot;€&quot;\ * &quot;-&quot;??_ ;_ @_ "/>
    <numFmt numFmtId="167" formatCode="_ * #,##0_ ;_ * \-#,##0_ ;_ * &quot;-&quot;??_ ;_ @_ "/>
    <numFmt numFmtId="168" formatCode="_ * #,##0.0_ ;_ * \-#,##0.0_ ;_ * &quot;-&quot;??_ ;_ @_ "/>
    <numFmt numFmtId="169" formatCode="_ \ * #,\K"/>
    <numFmt numFmtId="170" formatCode="0.000%"/>
    <numFmt numFmtId="171" formatCode="#,\K"/>
    <numFmt numFmtId="172" formatCode="0.0"/>
    <numFmt numFmtId="173" formatCode="_-* #,##0_-;\-* #,##0_-;_-* &quot;-&quot;??_-;_-@_-"/>
    <numFmt numFmtId="174" formatCode="_ \ * #,###,\K\ "/>
    <numFmt numFmtId="175" formatCode="#,##0.0"/>
    <numFmt numFmtId="176" formatCode="_(* #,##0_);_(* \(#,##0\);_(* &quot;-&quot;??_);_(@_)"/>
    <numFmt numFmtId="177" formatCode="_(* #,##0.0_);_(* \(#,##0.0\);_(* &quot;-&quot;??_);_(@_)"/>
  </numFmts>
  <fonts count="84" x14ac:knownFonts="1">
    <font>
      <sz val="11"/>
      <color theme="1"/>
      <name val="Calibri"/>
      <family val="2"/>
      <scheme val="minor"/>
    </font>
    <font>
      <sz val="10"/>
      <color theme="1"/>
      <name val="Arial"/>
      <family val="2"/>
    </font>
    <font>
      <sz val="10"/>
      <color theme="1"/>
      <name val="Arial"/>
      <family val="2"/>
    </font>
    <font>
      <sz val="11"/>
      <color theme="1"/>
      <name val="Calibri"/>
      <family val="2"/>
      <scheme val="minor"/>
    </font>
    <font>
      <b/>
      <sz val="11"/>
      <color theme="1"/>
      <name val="Calibri"/>
      <family val="2"/>
      <scheme val="minor"/>
    </font>
    <font>
      <sz val="10"/>
      <color theme="1"/>
      <name val="Arial"/>
      <family val="2"/>
    </font>
    <font>
      <b/>
      <sz val="10"/>
      <color theme="1"/>
      <name val="Arial"/>
      <family val="2"/>
    </font>
    <font>
      <sz val="11"/>
      <color rgb="FFFF0000"/>
      <name val="Calibri"/>
      <family val="2"/>
      <scheme val="minor"/>
    </font>
    <font>
      <sz val="10"/>
      <color rgb="FFFF0000"/>
      <name val="Arial"/>
      <family val="2"/>
    </font>
    <font>
      <sz val="11"/>
      <color theme="0"/>
      <name val="Calibri"/>
      <family val="2"/>
      <scheme val="minor"/>
    </font>
    <font>
      <b/>
      <sz val="11"/>
      <name val="Calibri"/>
      <family val="2"/>
      <scheme val="minor"/>
    </font>
    <font>
      <sz val="11"/>
      <name val="Calibri"/>
      <family val="2"/>
      <scheme val="minor"/>
    </font>
    <font>
      <sz val="11"/>
      <color theme="1"/>
      <name val="Calibri"/>
      <family val="2"/>
      <scheme val="minor"/>
    </font>
    <font>
      <sz val="11"/>
      <color theme="0"/>
      <name val="Calibri"/>
      <family val="2"/>
      <scheme val="minor"/>
    </font>
    <font>
      <sz val="11"/>
      <name val="Calibri"/>
      <family val="2"/>
      <scheme val="minor"/>
    </font>
    <font>
      <b/>
      <sz val="11"/>
      <color theme="1"/>
      <name val="Calibri"/>
      <family val="2"/>
      <scheme val="minor"/>
    </font>
    <font>
      <sz val="11"/>
      <color theme="1"/>
      <name val="Calibri"/>
      <family val="2"/>
      <scheme val="minor"/>
    </font>
    <font>
      <b/>
      <sz val="13"/>
      <name val="Calibri"/>
      <family val="2"/>
      <scheme val="minor"/>
    </font>
    <font>
      <sz val="13"/>
      <color theme="1"/>
      <name val="Calibri"/>
      <family val="2"/>
      <scheme val="minor"/>
    </font>
    <font>
      <b/>
      <sz val="13"/>
      <color theme="0"/>
      <name val="Calibri"/>
      <family val="2"/>
      <scheme val="minor"/>
    </font>
    <font>
      <b/>
      <u/>
      <sz val="13"/>
      <color theme="0"/>
      <name val="Calibri"/>
      <family val="2"/>
      <scheme val="minor"/>
    </font>
    <font>
      <b/>
      <sz val="13"/>
      <color theme="0"/>
      <name val="Calibri"/>
      <family val="2"/>
      <scheme val="minor"/>
    </font>
    <font>
      <sz val="13"/>
      <color theme="1"/>
      <name val="Calibri"/>
      <family val="2"/>
      <scheme val="minor"/>
    </font>
    <font>
      <b/>
      <sz val="13"/>
      <name val="Calibri"/>
      <family val="2"/>
      <scheme val="minor"/>
    </font>
    <font>
      <sz val="11"/>
      <color theme="1"/>
      <name val="Calibri"/>
      <family val="2"/>
      <scheme val="minor"/>
    </font>
    <font>
      <b/>
      <sz val="13"/>
      <color theme="0"/>
      <name val="Calibri"/>
      <family val="2"/>
      <scheme val="minor"/>
    </font>
    <font>
      <sz val="13"/>
      <color theme="1"/>
      <name val="Calibri"/>
      <family val="2"/>
      <scheme val="minor"/>
    </font>
    <font>
      <sz val="11"/>
      <color theme="1"/>
      <name val="Calibri"/>
      <family val="2"/>
      <scheme val="minor"/>
    </font>
    <font>
      <sz val="11"/>
      <color theme="0"/>
      <name val="Calibri"/>
      <family val="2"/>
      <scheme val="minor"/>
    </font>
    <font>
      <b/>
      <sz val="11"/>
      <color theme="0"/>
      <name val="Calibri"/>
      <family val="2"/>
      <scheme val="minor"/>
    </font>
    <font>
      <b/>
      <sz val="11"/>
      <color theme="1"/>
      <name val="Calibri"/>
      <family val="2"/>
      <scheme val="minor"/>
    </font>
    <font>
      <b/>
      <sz val="13"/>
      <color theme="0"/>
      <name val="Calibri"/>
      <family val="2"/>
      <scheme val="minor"/>
    </font>
    <font>
      <b/>
      <u/>
      <sz val="13"/>
      <color theme="0"/>
      <name val="Calibri"/>
      <family val="2"/>
      <scheme val="minor"/>
    </font>
    <font>
      <sz val="13"/>
      <color theme="0"/>
      <name val="Calibri"/>
      <family val="2"/>
      <scheme val="minor"/>
    </font>
    <font>
      <i/>
      <sz val="13"/>
      <color theme="0"/>
      <name val="Calibri"/>
      <family val="2"/>
      <scheme val="minor"/>
    </font>
    <font>
      <sz val="11"/>
      <color theme="1"/>
      <name val="Calibri"/>
      <family val="2"/>
      <scheme val="minor"/>
    </font>
    <font>
      <sz val="10"/>
      <color theme="1"/>
      <name val="Calibri"/>
      <family val="2"/>
      <scheme val="minor"/>
    </font>
    <font>
      <b/>
      <sz val="11"/>
      <color theme="1"/>
      <name val="Calibri"/>
      <family val="2"/>
      <scheme val="minor"/>
    </font>
    <font>
      <b/>
      <sz val="11"/>
      <name val="Calibri"/>
      <family val="2"/>
      <scheme val="minor"/>
    </font>
    <font>
      <sz val="11"/>
      <name val="Calibri"/>
      <family val="2"/>
      <scheme val="minor"/>
    </font>
    <font>
      <sz val="13"/>
      <color theme="1"/>
      <name val="Calibri"/>
      <family val="2"/>
      <scheme val="minor"/>
    </font>
    <font>
      <b/>
      <sz val="12"/>
      <color theme="2" tint="-0.89999084444715716"/>
      <name val="Calibri"/>
      <family val="2"/>
      <scheme val="minor"/>
    </font>
    <font>
      <sz val="11"/>
      <color rgb="FFFF0000"/>
      <name val="Calibri"/>
      <family val="2"/>
      <scheme val="minor"/>
    </font>
    <font>
      <sz val="11"/>
      <color theme="0"/>
      <name val="Calibri"/>
      <family val="2"/>
      <scheme val="minor"/>
    </font>
    <font>
      <u/>
      <sz val="11"/>
      <color theme="1"/>
      <name val="Calibri"/>
      <family val="2"/>
      <scheme val="minor"/>
    </font>
    <font>
      <sz val="11"/>
      <color theme="0" tint="-0.499984740745262"/>
      <name val="Calibri"/>
      <family val="2"/>
      <scheme val="minor"/>
    </font>
    <font>
      <i/>
      <sz val="11"/>
      <color theme="0" tint="-0.499984740745262"/>
      <name val="Calibri"/>
      <family val="2"/>
      <scheme val="minor"/>
    </font>
    <font>
      <i/>
      <sz val="11"/>
      <color theme="0" tint="-0.499984740745262"/>
      <name val="Calibri"/>
      <family val="2"/>
      <scheme val="minor"/>
    </font>
    <font>
      <sz val="13"/>
      <name val="Calibri"/>
      <family val="2"/>
      <scheme val="minor"/>
    </font>
    <font>
      <sz val="11"/>
      <color theme="2"/>
      <name val="Calibri"/>
      <family val="2"/>
      <scheme val="minor"/>
    </font>
    <font>
      <b/>
      <sz val="16"/>
      <name val="Calibri"/>
      <family val="2"/>
      <scheme val="minor"/>
    </font>
    <font>
      <b/>
      <sz val="10"/>
      <color rgb="FFFF0000"/>
      <name val="Arial"/>
      <family val="2"/>
    </font>
    <font>
      <b/>
      <sz val="10"/>
      <name val="Arial"/>
      <family val="2"/>
    </font>
    <font>
      <sz val="10"/>
      <name val="Arial"/>
      <family val="2"/>
    </font>
    <font>
      <i/>
      <sz val="11"/>
      <color theme="1"/>
      <name val="Calibri"/>
      <family val="2"/>
      <scheme val="minor"/>
    </font>
    <font>
      <i/>
      <sz val="11"/>
      <name val="Calibri"/>
      <family val="2"/>
      <scheme val="minor"/>
    </font>
    <font>
      <b/>
      <i/>
      <sz val="13"/>
      <color theme="0"/>
      <name val="Calibri"/>
      <family val="2"/>
      <scheme val="minor"/>
    </font>
    <font>
      <i/>
      <sz val="11"/>
      <color theme="0"/>
      <name val="Calibri"/>
      <family val="2"/>
      <scheme val="minor"/>
    </font>
    <font>
      <i/>
      <sz val="11"/>
      <color rgb="FFFF0000"/>
      <name val="Calibri"/>
      <family val="2"/>
      <scheme val="minor"/>
    </font>
    <font>
      <b/>
      <sz val="14"/>
      <color theme="0"/>
      <name val="Calibri"/>
      <family val="2"/>
      <scheme val="minor"/>
    </font>
    <font>
      <u/>
      <sz val="11"/>
      <color theme="0"/>
      <name val="Calibri"/>
      <family val="2"/>
      <scheme val="minor"/>
    </font>
    <font>
      <sz val="11"/>
      <color rgb="FF000000"/>
      <name val="Calibri"/>
      <family val="2"/>
    </font>
    <font>
      <u/>
      <sz val="11"/>
      <name val="Calibri"/>
      <family val="2"/>
      <scheme val="minor"/>
    </font>
    <font>
      <b/>
      <sz val="12"/>
      <color theme="1"/>
      <name val="Calibri"/>
      <family val="2"/>
      <scheme val="minor"/>
    </font>
    <font>
      <u/>
      <sz val="11"/>
      <color theme="10"/>
      <name val="Calibri"/>
      <family val="2"/>
      <scheme val="minor"/>
    </font>
    <font>
      <sz val="11"/>
      <color theme="1"/>
      <name val="Adelle BS Office"/>
    </font>
    <font>
      <u/>
      <sz val="11"/>
      <color theme="10"/>
      <name val="Adelle BS Office"/>
    </font>
    <font>
      <u/>
      <sz val="13"/>
      <color theme="10"/>
      <name val="Calibri"/>
      <family val="2"/>
      <scheme val="minor"/>
    </font>
    <font>
      <b/>
      <sz val="13"/>
      <color rgb="FFFF0000"/>
      <name val="Calibri"/>
      <family val="2"/>
      <scheme val="minor"/>
    </font>
    <font>
      <sz val="13"/>
      <color rgb="FFFF0000"/>
      <name val="Calibri"/>
      <family val="2"/>
      <scheme val="minor"/>
    </font>
    <font>
      <b/>
      <sz val="11"/>
      <color rgb="FFFF0000"/>
      <name val="Calibri"/>
      <family val="2"/>
      <scheme val="minor"/>
    </font>
    <font>
      <sz val="10"/>
      <color rgb="FF9C0006"/>
      <name val="Arial"/>
      <family val="2"/>
    </font>
    <font>
      <b/>
      <u/>
      <sz val="13"/>
      <color theme="3" tint="0.39997558519241921"/>
      <name val="Calibri"/>
      <family val="2"/>
      <scheme val="minor"/>
    </font>
    <font>
      <b/>
      <sz val="13"/>
      <color theme="1"/>
      <name val="Calibri"/>
      <family val="2"/>
      <scheme val="minor"/>
    </font>
    <font>
      <sz val="16"/>
      <color theme="0"/>
      <name val="Calibri"/>
      <family val="2"/>
      <scheme val="minor"/>
    </font>
    <font>
      <b/>
      <sz val="16"/>
      <color theme="1"/>
      <name val="Calibri"/>
      <family val="2"/>
      <scheme val="minor"/>
    </font>
    <font>
      <sz val="16"/>
      <name val="Calibri"/>
      <family val="2"/>
      <scheme val="minor"/>
    </font>
    <font>
      <sz val="16"/>
      <color rgb="FFFF0000"/>
      <name val="Calibri"/>
      <family val="2"/>
      <scheme val="minor"/>
    </font>
    <font>
      <sz val="16"/>
      <color theme="1"/>
      <name val="Calibri"/>
      <family val="2"/>
      <scheme val="minor"/>
    </font>
    <font>
      <b/>
      <sz val="16"/>
      <color theme="0"/>
      <name val="Calibri"/>
      <family val="2"/>
      <scheme val="minor"/>
    </font>
    <font>
      <b/>
      <u/>
      <sz val="16"/>
      <color theme="0"/>
      <name val="Calibri"/>
      <family val="2"/>
      <scheme val="minor"/>
    </font>
    <font>
      <u/>
      <sz val="16"/>
      <color theme="10"/>
      <name val="Calibri"/>
      <family val="2"/>
      <scheme val="minor"/>
    </font>
    <font>
      <sz val="10"/>
      <color rgb="FF9C5700"/>
      <name val="Arial"/>
      <family val="2"/>
    </font>
    <font>
      <b/>
      <sz val="12"/>
      <color rgb="FFFF0000"/>
      <name val="Calibri"/>
      <family val="2"/>
      <scheme val="minor"/>
    </font>
  </fonts>
  <fills count="11">
    <fill>
      <patternFill patternType="none"/>
    </fill>
    <fill>
      <patternFill patternType="gray125"/>
    </fill>
    <fill>
      <patternFill patternType="solid">
        <fgColor rgb="FFFFFFCC"/>
      </patternFill>
    </fill>
    <fill>
      <patternFill patternType="solid">
        <fgColor theme="3" tint="0.79998168889431442"/>
        <bgColor indexed="64"/>
      </patternFill>
    </fill>
    <fill>
      <patternFill patternType="solid">
        <fgColor theme="3" tint="0.39997558519241921"/>
        <bgColor indexed="64"/>
      </patternFill>
    </fill>
    <fill>
      <patternFill patternType="solid">
        <fgColor theme="0"/>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rgb="FFFFFF00"/>
        <bgColor indexed="64"/>
      </patternFill>
    </fill>
    <fill>
      <patternFill patternType="solid">
        <fgColor rgb="FFFFC7CE"/>
      </patternFill>
    </fill>
    <fill>
      <patternFill patternType="solid">
        <fgColor rgb="FFFFEB9C"/>
      </patternFill>
    </fill>
  </fills>
  <borders count="45">
    <border>
      <left/>
      <right/>
      <top/>
      <bottom/>
      <diagonal/>
    </border>
    <border>
      <left style="thin">
        <color rgb="FFB2B2B2"/>
      </left>
      <right style="thin">
        <color rgb="FFB2B2B2"/>
      </right>
      <top style="thin">
        <color rgb="FFB2B2B2"/>
      </top>
      <bottom style="thin">
        <color rgb="FFB2B2B2"/>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indexed="64"/>
      </bottom>
      <diagonal/>
    </border>
    <border>
      <left/>
      <right/>
      <top style="medium">
        <color indexed="64"/>
      </top>
      <bottom style="thin">
        <color indexed="64"/>
      </bottom>
      <diagonal/>
    </border>
    <border>
      <left style="thin">
        <color indexed="64"/>
      </left>
      <right/>
      <top/>
      <bottom/>
      <diagonal/>
    </border>
    <border>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right/>
      <top style="double">
        <color indexed="64"/>
      </top>
      <bottom style="thin">
        <color indexed="64"/>
      </bottom>
      <diagonal/>
    </border>
    <border>
      <left/>
      <right/>
      <top/>
      <bottom style="dashDotDot">
        <color indexed="64"/>
      </bottom>
      <diagonal/>
    </border>
    <border>
      <left/>
      <right/>
      <top style="medium">
        <color indexed="64"/>
      </top>
      <bottom/>
      <diagonal/>
    </border>
    <border>
      <left/>
      <right/>
      <top/>
      <bottom style="hair">
        <color indexed="64"/>
      </bottom>
      <diagonal/>
    </border>
    <border>
      <left/>
      <right/>
      <top style="hair">
        <color indexed="64"/>
      </top>
      <bottom style="thin">
        <color indexed="64"/>
      </bottom>
      <diagonal/>
    </border>
    <border>
      <left/>
      <right/>
      <top/>
      <bottom style="dotted">
        <color indexed="64"/>
      </bottom>
      <diagonal/>
    </border>
    <border>
      <left style="medium">
        <color indexed="64"/>
      </left>
      <right/>
      <top style="thin">
        <color indexed="64"/>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right/>
      <top style="double">
        <color indexed="64"/>
      </top>
      <bottom style="medium">
        <color indexed="64"/>
      </bottom>
      <diagonal/>
    </border>
    <border>
      <left/>
      <right/>
      <top style="thin">
        <color indexed="64"/>
      </top>
      <bottom style="hair">
        <color indexed="64"/>
      </bottom>
      <diagonal/>
    </border>
    <border>
      <left/>
      <right/>
      <top style="double">
        <color indexed="64"/>
      </top>
      <bottom/>
      <diagonal/>
    </border>
    <border>
      <left/>
      <right/>
      <top style="hair">
        <color indexed="64"/>
      </top>
      <bottom/>
      <diagonal/>
    </border>
    <border>
      <left/>
      <right style="thin">
        <color rgb="FFB2B2B2"/>
      </right>
      <top/>
      <bottom style="thin">
        <color indexed="64"/>
      </bottom>
      <diagonal/>
    </border>
    <border>
      <left style="thin">
        <color rgb="FFB2B2B2"/>
      </left>
      <right style="thin">
        <color rgb="FFB2B2B2"/>
      </right>
      <top style="thin">
        <color rgb="FFB2B2B2"/>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hair">
        <color indexed="64"/>
      </right>
      <top style="thin">
        <color indexed="64"/>
      </top>
      <bottom/>
      <diagonal/>
    </border>
    <border>
      <left/>
      <right style="hair">
        <color indexed="64"/>
      </right>
      <top/>
      <bottom/>
      <diagonal/>
    </border>
    <border>
      <left/>
      <right style="hair">
        <color indexed="64"/>
      </right>
      <top/>
      <bottom style="thin">
        <color indexed="64"/>
      </bottom>
      <diagonal/>
    </border>
  </borders>
  <cellStyleXfs count="10">
    <xf numFmtId="0" fontId="0" fillId="0" borderId="0"/>
    <xf numFmtId="9" fontId="3" fillId="0" borderId="0" applyFont="0" applyFill="0" applyBorder="0" applyAlignment="0" applyProtection="0"/>
    <xf numFmtId="165" fontId="3" fillId="0" borderId="0" applyFont="0" applyFill="0" applyBorder="0" applyAlignment="0" applyProtection="0"/>
    <xf numFmtId="0" fontId="5" fillId="0" borderId="0"/>
    <xf numFmtId="164" fontId="3" fillId="0" borderId="0" applyFont="0" applyFill="0" applyBorder="0" applyAlignment="0" applyProtection="0"/>
    <xf numFmtId="165" fontId="3" fillId="0" borderId="0" applyFont="0" applyFill="0" applyBorder="0" applyAlignment="0" applyProtection="0"/>
    <xf numFmtId="164" fontId="3" fillId="0" borderId="0" applyFont="0" applyFill="0" applyBorder="0" applyAlignment="0" applyProtection="0"/>
    <xf numFmtId="0" fontId="64" fillId="0" borderId="0" applyNumberFormat="0" applyFill="0" applyBorder="0" applyAlignment="0" applyProtection="0"/>
    <xf numFmtId="0" fontId="71" fillId="9" borderId="0" applyNumberFormat="0" applyBorder="0" applyAlignment="0" applyProtection="0"/>
    <xf numFmtId="0" fontId="82" fillId="10" borderId="0" applyNumberFormat="0" applyBorder="0" applyAlignment="0" applyProtection="0"/>
  </cellStyleXfs>
  <cellXfs count="957">
    <xf numFmtId="0" fontId="0" fillId="0" borderId="0" xfId="0"/>
    <xf numFmtId="0" fontId="4" fillId="0" borderId="0" xfId="0" applyFont="1"/>
    <xf numFmtId="0" fontId="6" fillId="0" borderId="0" xfId="3" applyFont="1"/>
    <xf numFmtId="0" fontId="5" fillId="0" borderId="0" xfId="3"/>
    <xf numFmtId="0" fontId="0" fillId="0" borderId="0" xfId="0" pivotButton="1"/>
    <xf numFmtId="0" fontId="5" fillId="0" borderId="0" xfId="3" applyNumberFormat="1"/>
    <xf numFmtId="0" fontId="5" fillId="0" borderId="12" xfId="3" applyBorder="1"/>
    <xf numFmtId="0" fontId="5" fillId="0" borderId="7" xfId="3" applyBorder="1"/>
    <xf numFmtId="0" fontId="5" fillId="0" borderId="13" xfId="3" applyBorder="1"/>
    <xf numFmtId="0" fontId="5" fillId="0" borderId="3" xfId="3" applyBorder="1"/>
    <xf numFmtId="0" fontId="5" fillId="0" borderId="4" xfId="3" applyBorder="1"/>
    <xf numFmtId="0" fontId="5" fillId="0" borderId="5" xfId="3" applyBorder="1"/>
    <xf numFmtId="0" fontId="6" fillId="0" borderId="14" xfId="3" applyFont="1" applyBorder="1"/>
    <xf numFmtId="0" fontId="6" fillId="0" borderId="15" xfId="3" applyNumberFormat="1" applyFont="1" applyBorder="1"/>
    <xf numFmtId="0" fontId="6" fillId="0" borderId="16" xfId="3" applyFont="1" applyBorder="1"/>
    <xf numFmtId="0" fontId="6" fillId="0" borderId="17" xfId="3" applyFont="1" applyBorder="1"/>
    <xf numFmtId="0" fontId="6" fillId="0" borderId="18" xfId="3" applyFont="1" applyBorder="1"/>
    <xf numFmtId="0" fontId="6" fillId="0" borderId="19" xfId="3" applyFont="1" applyBorder="1"/>
    <xf numFmtId="167" fontId="0" fillId="0" borderId="0" xfId="2" applyNumberFormat="1" applyFont="1"/>
    <xf numFmtId="0" fontId="7" fillId="0" borderId="0" xfId="0" applyFont="1" applyFill="1" applyBorder="1"/>
    <xf numFmtId="14" fontId="8" fillId="0" borderId="0" xfId="3" applyNumberFormat="1" applyFont="1"/>
    <xf numFmtId="0" fontId="9" fillId="0" borderId="0" xfId="0" applyFont="1" applyBorder="1"/>
    <xf numFmtId="0" fontId="0" fillId="0" borderId="0" xfId="0" applyFont="1" applyBorder="1"/>
    <xf numFmtId="0" fontId="0" fillId="0" borderId="0" xfId="0" applyFont="1"/>
    <xf numFmtId="0" fontId="11" fillId="0" borderId="0" xfId="0" applyFont="1"/>
    <xf numFmtId="0" fontId="11" fillId="0" borderId="0" xfId="0" applyFont="1" applyBorder="1"/>
    <xf numFmtId="0" fontId="12" fillId="0" borderId="0" xfId="0" applyFont="1"/>
    <xf numFmtId="0" fontId="12" fillId="0" borderId="0" xfId="0" applyFont="1" applyBorder="1"/>
    <xf numFmtId="0" fontId="13" fillId="0" borderId="0" xfId="0" applyFont="1" applyBorder="1"/>
    <xf numFmtId="0" fontId="12" fillId="0" borderId="0" xfId="0" applyFont="1" applyFill="1" applyBorder="1"/>
    <xf numFmtId="0" fontId="13" fillId="5" borderId="4" xfId="0" applyFont="1" applyFill="1" applyBorder="1"/>
    <xf numFmtId="0" fontId="13" fillId="0" borderId="0" xfId="0" applyFont="1" applyFill="1" applyBorder="1" applyAlignment="1">
      <alignment horizontal="center"/>
    </xf>
    <xf numFmtId="0" fontId="12" fillId="0" borderId="0" xfId="0" applyFont="1" applyFill="1" applyBorder="1" applyAlignment="1">
      <alignment horizontal="center"/>
    </xf>
    <xf numFmtId="0" fontId="12" fillId="0" borderId="0" xfId="0" applyFont="1" applyAlignment="1">
      <alignment horizontal="center"/>
    </xf>
    <xf numFmtId="0" fontId="12" fillId="0" borderId="0" xfId="0" applyFont="1" applyBorder="1" applyAlignment="1">
      <alignment horizontal="center"/>
    </xf>
    <xf numFmtId="0" fontId="12" fillId="0" borderId="0" xfId="0" applyFont="1" applyFill="1" applyBorder="1" applyAlignment="1">
      <alignment horizontal="right"/>
    </xf>
    <xf numFmtId="0" fontId="12" fillId="0" borderId="4" xfId="0" applyFont="1" applyFill="1" applyBorder="1" applyAlignment="1">
      <alignment horizontal="left"/>
    </xf>
    <xf numFmtId="0" fontId="12" fillId="0" borderId="4" xfId="0" applyFont="1" applyFill="1" applyBorder="1" applyAlignment="1">
      <alignment horizontal="center"/>
    </xf>
    <xf numFmtId="9" fontId="12" fillId="0" borderId="0" xfId="1" applyFont="1" applyFill="1" applyBorder="1"/>
    <xf numFmtId="9" fontId="12" fillId="0" borderId="0" xfId="1" applyFont="1" applyFill="1" applyBorder="1" applyAlignment="1">
      <alignment horizontal="center"/>
    </xf>
    <xf numFmtId="167" fontId="12" fillId="0" borderId="0" xfId="2" applyNumberFormat="1" applyFont="1" applyFill="1" applyBorder="1"/>
    <xf numFmtId="0" fontId="12" fillId="0" borderId="0" xfId="0" applyFont="1" applyFill="1" applyBorder="1" applyAlignment="1">
      <alignment horizontal="left"/>
    </xf>
    <xf numFmtId="9" fontId="12" fillId="0" borderId="0" xfId="1" applyNumberFormat="1" applyFont="1" applyFill="1" applyBorder="1" applyAlignment="1">
      <alignment horizontal="center"/>
    </xf>
    <xf numFmtId="167" fontId="12" fillId="0" borderId="0" xfId="0" applyNumberFormat="1" applyFont="1" applyFill="1" applyBorder="1"/>
    <xf numFmtId="9" fontId="12" fillId="0" borderId="4" xfId="1" applyFont="1" applyFill="1" applyBorder="1" applyAlignment="1">
      <alignment horizontal="center"/>
    </xf>
    <xf numFmtId="9" fontId="12" fillId="0" borderId="4" xfId="1" applyNumberFormat="1" applyFont="1" applyFill="1" applyBorder="1" applyAlignment="1">
      <alignment horizontal="center"/>
    </xf>
    <xf numFmtId="0" fontId="12" fillId="0" borderId="11" xfId="0" applyFont="1" applyFill="1" applyBorder="1" applyAlignment="1">
      <alignment horizontal="left"/>
    </xf>
    <xf numFmtId="9" fontId="14" fillId="0" borderId="11" xfId="0" applyNumberFormat="1" applyFont="1" applyBorder="1"/>
    <xf numFmtId="9" fontId="12" fillId="0" borderId="0" xfId="1" applyFont="1" applyBorder="1" applyAlignment="1">
      <alignment horizontal="center"/>
    </xf>
    <xf numFmtId="0" fontId="12" fillId="0" borderId="0" xfId="0" applyFont="1" applyAlignment="1">
      <alignment horizontal="left"/>
    </xf>
    <xf numFmtId="0" fontId="15" fillId="3" borderId="4" xfId="0" applyFont="1" applyFill="1" applyBorder="1"/>
    <xf numFmtId="167" fontId="15" fillId="2" borderId="1" xfId="2" applyNumberFormat="1" applyFont="1" applyFill="1" applyBorder="1"/>
    <xf numFmtId="0" fontId="15" fillId="0" borderId="0" xfId="0" applyFont="1"/>
    <xf numFmtId="0" fontId="16" fillId="3" borderId="0" xfId="0" applyFont="1" applyFill="1" applyBorder="1"/>
    <xf numFmtId="10" fontId="16" fillId="3" borderId="0" xfId="1" applyNumberFormat="1" applyFont="1" applyFill="1" applyBorder="1"/>
    <xf numFmtId="165" fontId="16" fillId="3" borderId="0" xfId="2" applyFont="1" applyFill="1" applyBorder="1"/>
    <xf numFmtId="167" fontId="16" fillId="0" borderId="0" xfId="2" applyNumberFormat="1" applyFont="1" applyFill="1"/>
    <xf numFmtId="167" fontId="16" fillId="0" borderId="0" xfId="2" applyNumberFormat="1" applyFont="1"/>
    <xf numFmtId="0" fontId="16" fillId="0" borderId="0" xfId="0" applyFont="1"/>
    <xf numFmtId="0" fontId="0" fillId="0" borderId="0" xfId="0" applyFont="1" applyFill="1" applyBorder="1" applyAlignment="1">
      <alignment horizontal="center"/>
    </xf>
    <xf numFmtId="9" fontId="0" fillId="0" borderId="0" xfId="1" applyFont="1"/>
    <xf numFmtId="0" fontId="7" fillId="0" borderId="0" xfId="0" applyFont="1"/>
    <xf numFmtId="0" fontId="9" fillId="0" borderId="0" xfId="0" applyFont="1"/>
    <xf numFmtId="0" fontId="18" fillId="0" borderId="0" xfId="0" applyFont="1"/>
    <xf numFmtId="0" fontId="19" fillId="4" borderId="0" xfId="0" applyFont="1" applyFill="1" applyAlignment="1">
      <alignment horizontal="center" vertical="center"/>
    </xf>
    <xf numFmtId="0" fontId="19" fillId="4" borderId="0" xfId="0" applyFont="1" applyFill="1" applyAlignment="1">
      <alignment vertical="center"/>
    </xf>
    <xf numFmtId="0" fontId="18" fillId="0" borderId="0" xfId="0" applyFont="1" applyBorder="1"/>
    <xf numFmtId="0" fontId="19" fillId="0" borderId="0" xfId="0" applyFont="1" applyFill="1" applyAlignment="1">
      <alignment vertical="center"/>
    </xf>
    <xf numFmtId="0" fontId="19" fillId="5" borderId="0" xfId="0" applyFont="1" applyFill="1" applyAlignment="1">
      <alignment vertical="center"/>
    </xf>
    <xf numFmtId="0" fontId="19" fillId="4" borderId="0" xfId="0" applyFont="1" applyFill="1" applyBorder="1" applyAlignment="1"/>
    <xf numFmtId="0" fontId="19" fillId="0" borderId="0" xfId="0" applyFont="1" applyFill="1" applyBorder="1" applyAlignment="1"/>
    <xf numFmtId="0" fontId="18" fillId="0" borderId="0" xfId="0" applyFont="1" applyFill="1" applyBorder="1"/>
    <xf numFmtId="0" fontId="21" fillId="4" borderId="0" xfId="0" applyFont="1" applyFill="1" applyAlignment="1">
      <alignment horizontal="center" vertical="center"/>
    </xf>
    <xf numFmtId="0" fontId="21" fillId="4" borderId="0" xfId="0" applyFont="1" applyFill="1" applyAlignment="1">
      <alignment vertical="center"/>
    </xf>
    <xf numFmtId="0" fontId="22" fillId="0" borderId="0" xfId="0" applyFont="1"/>
    <xf numFmtId="0" fontId="21" fillId="0" borderId="0" xfId="0" applyFont="1" applyFill="1" applyAlignment="1">
      <alignment vertical="center"/>
    </xf>
    <xf numFmtId="0" fontId="22" fillId="0" borderId="0" xfId="0" applyFont="1" applyFill="1"/>
    <xf numFmtId="0" fontId="22" fillId="0" borderId="0" xfId="0" applyFont="1" applyFill="1" applyBorder="1"/>
    <xf numFmtId="0" fontId="24" fillId="0" borderId="0" xfId="0" applyFont="1"/>
    <xf numFmtId="0" fontId="24" fillId="0" borderId="7" xfId="0" applyFont="1" applyBorder="1"/>
    <xf numFmtId="0" fontId="24" fillId="0" borderId="0" xfId="0" applyFont="1" applyBorder="1"/>
    <xf numFmtId="171" fontId="24" fillId="0" borderId="11" xfId="0" applyNumberFormat="1" applyFont="1" applyFill="1" applyBorder="1" applyAlignment="1"/>
    <xf numFmtId="0" fontId="24" fillId="0" borderId="0" xfId="0" applyFont="1" applyFill="1" applyBorder="1" applyAlignment="1">
      <alignment horizontal="left"/>
    </xf>
    <xf numFmtId="171" fontId="24" fillId="0" borderId="0" xfId="0" applyNumberFormat="1" applyFont="1" applyFill="1" applyBorder="1" applyAlignment="1"/>
    <xf numFmtId="167" fontId="24" fillId="0" borderId="0" xfId="2" applyNumberFormat="1" applyFont="1"/>
    <xf numFmtId="171" fontId="24" fillId="0" borderId="0" xfId="0" applyNumberFormat="1" applyFont="1"/>
    <xf numFmtId="3" fontId="24" fillId="0" borderId="0" xfId="0" applyNumberFormat="1" applyFont="1"/>
    <xf numFmtId="0" fontId="21" fillId="0" borderId="0" xfId="0" applyFont="1" applyFill="1" applyBorder="1" applyAlignment="1">
      <alignment vertical="center"/>
    </xf>
    <xf numFmtId="167" fontId="3" fillId="0" borderId="0" xfId="2" applyNumberFormat="1" applyFont="1" applyBorder="1"/>
    <xf numFmtId="0" fontId="24" fillId="0" borderId="0" xfId="0" applyFont="1" applyFill="1" applyBorder="1" applyAlignment="1">
      <alignment horizontal="center"/>
    </xf>
    <xf numFmtId="0" fontId="24" fillId="0" borderId="0" xfId="0" applyFont="1" applyFill="1" applyBorder="1"/>
    <xf numFmtId="171" fontId="24" fillId="0" borderId="0" xfId="0" applyNumberFormat="1" applyFont="1" applyFill="1" applyBorder="1"/>
    <xf numFmtId="0" fontId="23" fillId="0" borderId="0" xfId="0" applyFont="1" applyFill="1" applyBorder="1" applyAlignment="1">
      <alignment horizontal="center"/>
    </xf>
    <xf numFmtId="168" fontId="24" fillId="0" borderId="0" xfId="2" applyNumberFormat="1" applyFont="1" applyFill="1" applyBorder="1"/>
    <xf numFmtId="168" fontId="11" fillId="0" borderId="0" xfId="2" applyNumberFormat="1" applyFont="1" applyFill="1" applyBorder="1" applyAlignment="1"/>
    <xf numFmtId="167" fontId="12" fillId="0" borderId="0" xfId="2" applyNumberFormat="1" applyFont="1" applyFill="1" applyBorder="1" applyAlignment="1">
      <alignment horizontal="right"/>
    </xf>
    <xf numFmtId="0" fontId="26" fillId="0" borderId="0" xfId="0" applyNumberFormat="1" applyFont="1"/>
    <xf numFmtId="0" fontId="26" fillId="0" borderId="0" xfId="0" applyFont="1"/>
    <xf numFmtId="0" fontId="27" fillId="0" borderId="0" xfId="0" applyFont="1"/>
    <xf numFmtId="0" fontId="27" fillId="0" borderId="0" xfId="0" applyNumberFormat="1" applyFont="1"/>
    <xf numFmtId="0" fontId="25" fillId="4" borderId="0" xfId="0" applyFont="1" applyFill="1" applyBorder="1" applyAlignment="1"/>
    <xf numFmtId="0" fontId="29" fillId="5" borderId="4" xfId="0" applyFont="1" applyFill="1" applyBorder="1"/>
    <xf numFmtId="0" fontId="30" fillId="5" borderId="0" xfId="0" applyFont="1" applyFill="1" applyBorder="1" applyAlignment="1"/>
    <xf numFmtId="0" fontId="30" fillId="0" borderId="0" xfId="0" applyFont="1"/>
    <xf numFmtId="0" fontId="30" fillId="0" borderId="0" xfId="0" applyNumberFormat="1" applyFont="1"/>
    <xf numFmtId="0" fontId="27" fillId="0" borderId="0" xfId="0" applyFont="1" applyAlignment="1">
      <alignment horizontal="center"/>
    </xf>
    <xf numFmtId="0" fontId="27" fillId="0" borderId="0" xfId="0" applyFont="1" applyBorder="1" applyAlignment="1">
      <alignment horizontal="center"/>
    </xf>
    <xf numFmtId="0" fontId="27" fillId="0" borderId="4" xfId="0" applyFont="1" applyFill="1" applyBorder="1" applyAlignment="1">
      <alignment horizontal="left"/>
    </xf>
    <xf numFmtId="0" fontId="27" fillId="0" borderId="4" xfId="0" applyFont="1" applyFill="1" applyBorder="1" applyAlignment="1">
      <alignment horizontal="center"/>
    </xf>
    <xf numFmtId="0" fontId="27" fillId="0" borderId="0" xfId="0" applyFont="1" applyFill="1" applyBorder="1" applyAlignment="1">
      <alignment horizontal="center"/>
    </xf>
    <xf numFmtId="0" fontId="27" fillId="0" borderId="0" xfId="0" applyFont="1" applyFill="1" applyBorder="1" applyAlignment="1">
      <alignment horizontal="left"/>
    </xf>
    <xf numFmtId="167" fontId="27" fillId="0" borderId="0" xfId="2" applyNumberFormat="1" applyFont="1" applyFill="1" applyBorder="1"/>
    <xf numFmtId="9" fontId="27" fillId="0" borderId="0" xfId="1" applyFont="1" applyFill="1" applyBorder="1" applyAlignment="1">
      <alignment horizontal="center"/>
    </xf>
    <xf numFmtId="9" fontId="27" fillId="0" borderId="0" xfId="1" applyNumberFormat="1" applyFont="1" applyFill="1" applyBorder="1" applyAlignment="1">
      <alignment horizontal="center"/>
    </xf>
    <xf numFmtId="9" fontId="27" fillId="0" borderId="0" xfId="1" applyFont="1" applyFill="1" applyBorder="1"/>
    <xf numFmtId="9" fontId="27" fillId="0" borderId="4" xfId="1" applyFont="1" applyFill="1" applyBorder="1" applyAlignment="1">
      <alignment horizontal="center"/>
    </xf>
    <xf numFmtId="0" fontId="27" fillId="0" borderId="11" xfId="0" applyFont="1" applyFill="1" applyBorder="1" applyAlignment="1">
      <alignment horizontal="left"/>
    </xf>
    <xf numFmtId="167" fontId="27" fillId="0" borderId="0" xfId="0" applyNumberFormat="1" applyFont="1" applyFill="1" applyBorder="1"/>
    <xf numFmtId="9" fontId="27" fillId="0" borderId="11" xfId="1" applyFont="1" applyFill="1" applyBorder="1"/>
    <xf numFmtId="9" fontId="27" fillId="0" borderId="11" xfId="1" applyFont="1" applyBorder="1"/>
    <xf numFmtId="167" fontId="28" fillId="0" borderId="23" xfId="0" applyNumberFormat="1" applyFont="1" applyFill="1" applyBorder="1"/>
    <xf numFmtId="0" fontId="31" fillId="4" borderId="0" xfId="0" applyFont="1" applyFill="1" applyBorder="1" applyAlignment="1">
      <alignment horizontal="center" vertical="center"/>
    </xf>
    <xf numFmtId="0" fontId="33" fillId="4" borderId="0" xfId="0" applyFont="1" applyFill="1"/>
    <xf numFmtId="0" fontId="32" fillId="4" borderId="0" xfId="0" applyFont="1" applyFill="1" applyBorder="1" applyAlignment="1">
      <alignment vertical="center"/>
    </xf>
    <xf numFmtId="0" fontId="31" fillId="4" borderId="0" xfId="0" applyFont="1" applyFill="1" applyBorder="1" applyAlignment="1">
      <alignment vertical="center"/>
    </xf>
    <xf numFmtId="0" fontId="31" fillId="4" borderId="0" xfId="0" applyFont="1" applyFill="1" applyAlignment="1"/>
    <xf numFmtId="0" fontId="34" fillId="4" borderId="0" xfId="0" applyFont="1" applyFill="1"/>
    <xf numFmtId="0" fontId="33" fillId="0" borderId="0" xfId="0" applyFont="1" applyFill="1"/>
    <xf numFmtId="0" fontId="33" fillId="0" borderId="0" xfId="0" applyFont="1" applyFill="1" applyBorder="1"/>
    <xf numFmtId="0" fontId="35" fillId="0" borderId="8" xfId="0" applyFont="1" applyBorder="1"/>
    <xf numFmtId="0" fontId="35" fillId="0" borderId="8" xfId="0" applyFont="1" applyBorder="1" applyAlignment="1">
      <alignment horizontal="left"/>
    </xf>
    <xf numFmtId="0" fontId="36" fillId="0" borderId="8" xfId="0" applyFont="1" applyBorder="1" applyAlignment="1">
      <alignment horizontal="center" vertical="top"/>
    </xf>
    <xf numFmtId="0" fontId="35" fillId="0" borderId="0" xfId="0" applyFont="1"/>
    <xf numFmtId="0" fontId="38" fillId="0" borderId="6" xfId="0" applyFont="1" applyFill="1" applyBorder="1" applyAlignment="1">
      <alignment horizontal="center"/>
    </xf>
    <xf numFmtId="0" fontId="38" fillId="0" borderId="0" xfId="0" applyFont="1" applyFill="1" applyBorder="1" applyAlignment="1">
      <alignment horizontal="center"/>
    </xf>
    <xf numFmtId="9" fontId="39" fillId="0" borderId="0" xfId="1" applyFont="1" applyFill="1" applyBorder="1" applyAlignment="1">
      <alignment horizontal="center"/>
    </xf>
    <xf numFmtId="9" fontId="39" fillId="0" borderId="0" xfId="1" applyFont="1" applyFill="1" applyBorder="1" applyAlignment="1">
      <alignment horizontal="right"/>
    </xf>
    <xf numFmtId="0" fontId="38" fillId="0" borderId="20" xfId="0" applyFont="1" applyFill="1" applyBorder="1" applyAlignment="1">
      <alignment horizontal="center"/>
    </xf>
    <xf numFmtId="9" fontId="39" fillId="0" borderId="20" xfId="1" applyFont="1" applyFill="1" applyBorder="1" applyAlignment="1">
      <alignment horizontal="center"/>
    </xf>
    <xf numFmtId="9" fontId="39" fillId="0" borderId="20" xfId="1" applyFont="1" applyFill="1" applyBorder="1" applyAlignment="1">
      <alignment horizontal="right"/>
    </xf>
    <xf numFmtId="0" fontId="35" fillId="0" borderId="0" xfId="0" applyFont="1" applyFill="1"/>
    <xf numFmtId="9" fontId="39" fillId="0" borderId="0" xfId="1" applyFont="1" applyFill="1" applyBorder="1"/>
    <xf numFmtId="0" fontId="38" fillId="0" borderId="4" xfId="0" applyFont="1" applyFill="1" applyBorder="1" applyAlignment="1">
      <alignment horizontal="center"/>
    </xf>
    <xf numFmtId="0" fontId="38" fillId="0" borderId="8" xfId="0" applyFont="1" applyFill="1" applyBorder="1" applyAlignment="1">
      <alignment horizontal="center"/>
    </xf>
    <xf numFmtId="9" fontId="39" fillId="0" borderId="8" xfId="1" applyFont="1" applyFill="1" applyBorder="1" applyAlignment="1">
      <alignment horizontal="center"/>
    </xf>
    <xf numFmtId="9" fontId="39" fillId="0" borderId="8" xfId="1" applyFont="1" applyFill="1" applyBorder="1"/>
    <xf numFmtId="9" fontId="39" fillId="0" borderId="8" xfId="1" applyFont="1" applyFill="1" applyBorder="1" applyAlignment="1">
      <alignment horizontal="right"/>
    </xf>
    <xf numFmtId="166" fontId="35" fillId="0" borderId="0" xfId="0" applyNumberFormat="1" applyFont="1"/>
    <xf numFmtId="0" fontId="35" fillId="0" borderId="0" xfId="0" applyFont="1" applyBorder="1"/>
    <xf numFmtId="9" fontId="35" fillId="0" borderId="0" xfId="1" applyFont="1" applyBorder="1"/>
    <xf numFmtId="0" fontId="40" fillId="0" borderId="0" xfId="0" applyFont="1" applyBorder="1"/>
    <xf numFmtId="0" fontId="40" fillId="0" borderId="0" xfId="0" applyFont="1"/>
    <xf numFmtId="167" fontId="35" fillId="0" borderId="8" xfId="2" applyNumberFormat="1" applyFont="1" applyBorder="1"/>
    <xf numFmtId="0" fontId="38" fillId="0" borderId="7" xfId="0" applyFont="1" applyFill="1" applyBorder="1" applyAlignment="1">
      <alignment horizontal="center"/>
    </xf>
    <xf numFmtId="9" fontId="39" fillId="0" borderId="20" xfId="1" applyFont="1" applyFill="1" applyBorder="1"/>
    <xf numFmtId="0" fontId="37" fillId="0" borderId="0" xfId="0" applyFont="1" applyAlignment="1">
      <alignment horizontal="center"/>
    </xf>
    <xf numFmtId="0" fontId="41" fillId="5" borderId="7" xfId="0" applyFont="1" applyFill="1" applyBorder="1" applyAlignment="1">
      <alignment horizontal="center"/>
    </xf>
    <xf numFmtId="167" fontId="35" fillId="5" borderId="7" xfId="2" applyNumberFormat="1" applyFont="1" applyFill="1" applyBorder="1" applyAlignment="1">
      <alignment horizontal="center"/>
    </xf>
    <xf numFmtId="0" fontId="41" fillId="5" borderId="4" xfId="0" applyFont="1" applyFill="1" applyBorder="1" applyAlignment="1">
      <alignment horizontal="center"/>
    </xf>
    <xf numFmtId="167" fontId="35" fillId="5" borderId="4" xfId="2" applyNumberFormat="1" applyFont="1" applyFill="1" applyBorder="1" applyAlignment="1">
      <alignment horizontal="center"/>
    </xf>
    <xf numFmtId="0" fontId="42" fillId="0" borderId="0" xfId="0" applyFont="1"/>
    <xf numFmtId="0" fontId="42" fillId="0" borderId="0" xfId="0" applyFont="1" applyBorder="1"/>
    <xf numFmtId="0" fontId="43" fillId="0" borderId="0" xfId="0" applyFont="1"/>
    <xf numFmtId="0" fontId="39" fillId="0" borderId="0" xfId="0" applyFont="1"/>
    <xf numFmtId="0" fontId="35" fillId="0" borderId="0" xfId="0" applyFont="1" applyFill="1" applyBorder="1" applyAlignment="1">
      <alignment horizontal="center"/>
    </xf>
    <xf numFmtId="166" fontId="35" fillId="0" borderId="0" xfId="4" applyNumberFormat="1" applyFont="1" applyFill="1" applyBorder="1" applyAlignment="1">
      <alignment horizontal="center"/>
    </xf>
    <xf numFmtId="2" fontId="35" fillId="0" borderId="0" xfId="1" applyNumberFormat="1" applyFont="1" applyFill="1" applyBorder="1" applyAlignment="1">
      <alignment horizontal="center"/>
    </xf>
    <xf numFmtId="168" fontId="35" fillId="0" borderId="0" xfId="0" applyNumberFormat="1" applyFont="1" applyBorder="1"/>
    <xf numFmtId="170" fontId="35" fillId="0" borderId="0" xfId="0" applyNumberFormat="1" applyFont="1"/>
    <xf numFmtId="0" fontId="35" fillId="0" borderId="0" xfId="1" applyNumberFormat="1" applyFont="1" applyFill="1" applyBorder="1" applyAlignment="1">
      <alignment horizontal="center"/>
    </xf>
    <xf numFmtId="2" fontId="35" fillId="0" borderId="0" xfId="2" applyNumberFormat="1" applyFont="1" applyBorder="1"/>
    <xf numFmtId="0" fontId="39" fillId="0" borderId="0" xfId="0" applyFont="1" applyBorder="1"/>
    <xf numFmtId="0" fontId="35" fillId="0" borderId="22" xfId="0" applyFont="1" applyBorder="1"/>
    <xf numFmtId="0" fontId="42" fillId="0" borderId="0" xfId="0" applyFont="1" applyFill="1" applyBorder="1" applyAlignment="1">
      <alignment horizontal="center"/>
    </xf>
    <xf numFmtId="166" fontId="42" fillId="0" borderId="0" xfId="4" applyNumberFormat="1" applyFont="1" applyFill="1" applyBorder="1" applyAlignment="1">
      <alignment horizontal="center"/>
    </xf>
    <xf numFmtId="9" fontId="42" fillId="0" borderId="0" xfId="0" applyNumberFormat="1" applyFont="1" applyFill="1" applyBorder="1" applyAlignment="1">
      <alignment horizontal="center"/>
    </xf>
    <xf numFmtId="168" fontId="42" fillId="0" borderId="0" xfId="0" applyNumberFormat="1" applyFont="1" applyBorder="1"/>
    <xf numFmtId="0" fontId="43" fillId="0" borderId="0" xfId="0" applyFont="1" applyBorder="1"/>
    <xf numFmtId="0" fontId="44" fillId="0" borderId="0" xfId="0" applyFont="1" applyBorder="1" applyAlignment="1">
      <alignment horizontal="center"/>
    </xf>
    <xf numFmtId="0" fontId="38" fillId="5" borderId="6" xfId="0" applyFont="1" applyFill="1" applyBorder="1" applyAlignment="1">
      <alignment horizontal="center"/>
    </xf>
    <xf numFmtId="0" fontId="38" fillId="5" borderId="6" xfId="0" applyFont="1" applyFill="1" applyBorder="1" applyAlignment="1">
      <alignment horizontal="right"/>
    </xf>
    <xf numFmtId="0" fontId="38" fillId="5" borderId="0" xfId="0" applyFont="1" applyFill="1" applyBorder="1" applyAlignment="1">
      <alignment horizontal="right"/>
    </xf>
    <xf numFmtId="9" fontId="44" fillId="0" borderId="0" xfId="0" applyNumberFormat="1" applyFont="1" applyBorder="1" applyAlignment="1">
      <alignment horizontal="center"/>
    </xf>
    <xf numFmtId="165" fontId="39" fillId="0" borderId="7" xfId="2" applyNumberFormat="1" applyFont="1" applyFill="1" applyBorder="1" applyAlignment="1">
      <alignment horizontal="center"/>
    </xf>
    <xf numFmtId="165" fontId="38" fillId="0" borderId="0" xfId="0" applyNumberFormat="1" applyFont="1" applyFill="1" applyBorder="1" applyAlignment="1">
      <alignment horizontal="center"/>
    </xf>
    <xf numFmtId="165" fontId="39" fillId="0" borderId="0" xfId="2" applyNumberFormat="1" applyFont="1" applyFill="1" applyBorder="1" applyAlignment="1">
      <alignment horizontal="center"/>
    </xf>
    <xf numFmtId="165" fontId="38" fillId="0" borderId="20" xfId="0" applyNumberFormat="1" applyFont="1" applyFill="1" applyBorder="1" applyAlignment="1">
      <alignment horizontal="center"/>
    </xf>
    <xf numFmtId="165" fontId="39" fillId="0" borderId="20" xfId="2" applyNumberFormat="1" applyFont="1" applyFill="1" applyBorder="1" applyAlignment="1">
      <alignment horizontal="right"/>
    </xf>
    <xf numFmtId="165" fontId="35" fillId="0" borderId="0" xfId="0" applyNumberFormat="1" applyFont="1"/>
    <xf numFmtId="0" fontId="39" fillId="0" borderId="0" xfId="0" applyFont="1" applyFill="1" applyBorder="1"/>
    <xf numFmtId="165" fontId="38" fillId="0" borderId="8" xfId="0" applyNumberFormat="1" applyFont="1" applyFill="1" applyBorder="1" applyAlignment="1">
      <alignment horizontal="center"/>
    </xf>
    <xf numFmtId="165" fontId="39" fillId="0" borderId="8" xfId="2" applyNumberFormat="1" applyFont="1" applyFill="1" applyBorder="1" applyAlignment="1">
      <alignment horizontal="center"/>
    </xf>
    <xf numFmtId="167" fontId="39" fillId="0" borderId="0" xfId="2" applyNumberFormat="1" applyFont="1" applyFill="1" applyBorder="1"/>
    <xf numFmtId="0" fontId="37" fillId="0" borderId="0" xfId="0" applyFont="1"/>
    <xf numFmtId="9" fontId="46" fillId="0" borderId="7" xfId="1" applyFont="1" applyBorder="1"/>
    <xf numFmtId="9" fontId="46" fillId="0" borderId="24" xfId="1" applyFont="1" applyBorder="1"/>
    <xf numFmtId="9" fontId="46" fillId="0" borderId="7" xfId="1" applyFont="1" applyBorder="1" applyAlignment="1">
      <alignment horizontal="center"/>
    </xf>
    <xf numFmtId="9" fontId="45" fillId="0" borderId="0" xfId="1" applyFont="1" applyFill="1" applyBorder="1"/>
    <xf numFmtId="9" fontId="46" fillId="0" borderId="24" xfId="1" applyFont="1" applyBorder="1" applyAlignment="1">
      <alignment horizontal="center"/>
    </xf>
    <xf numFmtId="0" fontId="19" fillId="4" borderId="0" xfId="0" applyFont="1" applyFill="1" applyBorder="1" applyAlignment="1">
      <alignment vertical="center"/>
    </xf>
    <xf numFmtId="0" fontId="11" fillId="0" borderId="10" xfId="0" applyFont="1" applyBorder="1"/>
    <xf numFmtId="0" fontId="11" fillId="0" borderId="3" xfId="0" applyFont="1" applyBorder="1"/>
    <xf numFmtId="0" fontId="11" fillId="0" borderId="4" xfId="0" applyFont="1" applyBorder="1"/>
    <xf numFmtId="171" fontId="11" fillId="0" borderId="0" xfId="0" applyNumberFormat="1" applyFont="1" applyFill="1" applyBorder="1" applyAlignment="1"/>
    <xf numFmtId="167" fontId="11" fillId="0" borderId="0" xfId="2" applyNumberFormat="1" applyFont="1"/>
    <xf numFmtId="167" fontId="11" fillId="0" borderId="0" xfId="2" applyNumberFormat="1" applyFont="1" applyBorder="1"/>
    <xf numFmtId="0" fontId="11" fillId="0" borderId="0" xfId="0" applyFont="1" applyFill="1" applyBorder="1"/>
    <xf numFmtId="0" fontId="17" fillId="0" borderId="0" xfId="0" applyFont="1" applyFill="1" applyAlignment="1">
      <alignment vertical="center"/>
    </xf>
    <xf numFmtId="0" fontId="17" fillId="0" borderId="0" xfId="0" applyFont="1" applyFill="1" applyBorder="1" applyAlignment="1">
      <alignment vertical="center"/>
    </xf>
    <xf numFmtId="0" fontId="48" fillId="0" borderId="0" xfId="0" applyFont="1"/>
    <xf numFmtId="0" fontId="48" fillId="0" borderId="0" xfId="0" applyFont="1" applyFill="1"/>
    <xf numFmtId="0" fontId="48" fillId="0" borderId="0" xfId="0" applyFont="1" applyFill="1" applyBorder="1"/>
    <xf numFmtId="171" fontId="11" fillId="0" borderId="0" xfId="2" applyNumberFormat="1" applyFont="1" applyBorder="1"/>
    <xf numFmtId="0" fontId="38" fillId="0" borderId="4" xfId="0" applyFont="1" applyFill="1" applyBorder="1" applyAlignment="1">
      <alignment horizontal="center"/>
    </xf>
    <xf numFmtId="0" fontId="37" fillId="0" borderId="0" xfId="0" applyFont="1" applyBorder="1" applyAlignment="1">
      <alignment horizontal="center"/>
    </xf>
    <xf numFmtId="0" fontId="49" fillId="0" borderId="0" xfId="0" applyFont="1" applyBorder="1"/>
    <xf numFmtId="0" fontId="49" fillId="0" borderId="0" xfId="0" applyFont="1" applyFill="1" applyBorder="1"/>
    <xf numFmtId="0" fontId="27" fillId="0" borderId="0" xfId="1" applyNumberFormat="1" applyFont="1" applyFill="1" applyBorder="1"/>
    <xf numFmtId="0" fontId="4" fillId="0" borderId="0" xfId="0" pivotButton="1" applyFont="1"/>
    <xf numFmtId="0" fontId="38" fillId="0" borderId="4" xfId="0" applyFont="1" applyFill="1" applyBorder="1" applyAlignment="1">
      <alignment horizontal="center"/>
    </xf>
    <xf numFmtId="0" fontId="37" fillId="0" borderId="0" xfId="0" applyFont="1" applyBorder="1" applyAlignment="1">
      <alignment horizontal="center"/>
    </xf>
    <xf numFmtId="0" fontId="38" fillId="0" borderId="4" xfId="0" applyFont="1" applyFill="1" applyBorder="1" applyAlignment="1">
      <alignment horizontal="center"/>
    </xf>
    <xf numFmtId="0" fontId="11" fillId="0" borderId="0" xfId="0" applyFont="1" applyFill="1" applyBorder="1" applyAlignment="1">
      <alignment horizontal="center"/>
    </xf>
    <xf numFmtId="9" fontId="39" fillId="0" borderId="7" xfId="1" applyFont="1" applyFill="1" applyBorder="1"/>
    <xf numFmtId="9" fontId="46" fillId="0" borderId="0" xfId="1" applyFont="1" applyFill="1" applyBorder="1"/>
    <xf numFmtId="9" fontId="39" fillId="0" borderId="4" xfId="1" applyFont="1" applyFill="1" applyBorder="1"/>
    <xf numFmtId="9" fontId="16" fillId="3" borderId="0" xfId="1" applyFont="1" applyFill="1" applyBorder="1"/>
    <xf numFmtId="0" fontId="5" fillId="0" borderId="14" xfId="3" applyBorder="1"/>
    <xf numFmtId="0" fontId="5" fillId="0" borderId="15" xfId="3" applyBorder="1"/>
    <xf numFmtId="9" fontId="16" fillId="3" borderId="17" xfId="1" applyFont="1" applyFill="1" applyBorder="1"/>
    <xf numFmtId="0" fontId="11" fillId="0" borderId="8" xfId="0" applyFont="1" applyBorder="1"/>
    <xf numFmtId="0" fontId="11" fillId="0" borderId="22" xfId="0" applyFont="1" applyBorder="1"/>
    <xf numFmtId="0" fontId="35" fillId="0" borderId="0" xfId="0" applyFont="1" applyFill="1" applyBorder="1"/>
    <xf numFmtId="0" fontId="0" fillId="0" borderId="8" xfId="0" applyFont="1" applyBorder="1"/>
    <xf numFmtId="0" fontId="10" fillId="0" borderId="4" xfId="0" applyFont="1" applyFill="1" applyBorder="1" applyAlignment="1">
      <alignment horizontal="center"/>
    </xf>
    <xf numFmtId="9" fontId="10" fillId="0" borderId="24" xfId="1" applyFont="1" applyBorder="1" applyAlignment="1">
      <alignment horizontal="center"/>
    </xf>
    <xf numFmtId="0" fontId="41" fillId="5" borderId="6" xfId="0" applyFont="1" applyFill="1" applyBorder="1" applyAlignment="1">
      <alignment horizontal="center"/>
    </xf>
    <xf numFmtId="167" fontId="35" fillId="5" borderId="6" xfId="2" applyNumberFormat="1" applyFont="1" applyFill="1" applyBorder="1"/>
    <xf numFmtId="167" fontId="35" fillId="5" borderId="6" xfId="2" applyNumberFormat="1" applyFont="1" applyFill="1" applyBorder="1" applyAlignment="1">
      <alignment horizontal="center"/>
    </xf>
    <xf numFmtId="0" fontId="10" fillId="0" borderId="8" xfId="0" applyFont="1" applyFill="1" applyBorder="1" applyAlignment="1">
      <alignment horizontal="center"/>
    </xf>
    <xf numFmtId="9" fontId="11" fillId="0" borderId="8" xfId="1" applyFont="1" applyFill="1" applyBorder="1" applyAlignment="1">
      <alignment horizontal="right"/>
    </xf>
    <xf numFmtId="9" fontId="11" fillId="0" borderId="8" xfId="1" applyFont="1" applyFill="1" applyBorder="1" applyAlignment="1">
      <alignment horizontal="center"/>
    </xf>
    <xf numFmtId="9" fontId="11" fillId="0" borderId="8" xfId="1" applyFont="1" applyFill="1" applyBorder="1"/>
    <xf numFmtId="0" fontId="20" fillId="4" borderId="0" xfId="0" applyFont="1" applyFill="1" applyBorder="1" applyAlignment="1">
      <alignment vertical="center"/>
    </xf>
    <xf numFmtId="0" fontId="8" fillId="0" borderId="0" xfId="3" applyFont="1"/>
    <xf numFmtId="0" fontId="10" fillId="0" borderId="25" xfId="0" applyFont="1" applyFill="1" applyBorder="1" applyAlignment="1">
      <alignment horizontal="center"/>
    </xf>
    <xf numFmtId="9" fontId="11" fillId="0" borderId="25" xfId="1" applyFont="1" applyFill="1" applyBorder="1"/>
    <xf numFmtId="0" fontId="51" fillId="0" borderId="0" xfId="3" applyFont="1" applyBorder="1"/>
    <xf numFmtId="0" fontId="8" fillId="0" borderId="0" xfId="3" applyFont="1" applyBorder="1"/>
    <xf numFmtId="0" fontId="5" fillId="0" borderId="0" xfId="3" applyBorder="1"/>
    <xf numFmtId="0" fontId="52" fillId="0" borderId="0" xfId="3" applyFont="1"/>
    <xf numFmtId="0" fontId="53" fillId="0" borderId="0" xfId="3" applyFont="1"/>
    <xf numFmtId="0" fontId="53" fillId="0" borderId="23" xfId="3" applyFont="1" applyBorder="1"/>
    <xf numFmtId="0" fontId="53" fillId="0" borderId="15" xfId="3" applyFont="1" applyBorder="1"/>
    <xf numFmtId="0" fontId="53" fillId="0" borderId="0" xfId="3" applyFont="1" applyBorder="1"/>
    <xf numFmtId="0" fontId="53" fillId="0" borderId="17" xfId="3" applyFont="1" applyBorder="1"/>
    <xf numFmtId="0" fontId="53" fillId="0" borderId="8" xfId="3" applyFont="1" applyBorder="1"/>
    <xf numFmtId="0" fontId="53" fillId="0" borderId="19" xfId="3" applyFont="1" applyBorder="1"/>
    <xf numFmtId="0" fontId="53" fillId="0" borderId="14" xfId="3" applyFont="1" applyBorder="1"/>
    <xf numFmtId="0" fontId="53" fillId="0" borderId="23" xfId="3" applyNumberFormat="1" applyFont="1" applyBorder="1"/>
    <xf numFmtId="0" fontId="53" fillId="0" borderId="16" xfId="3" applyFont="1" applyBorder="1"/>
    <xf numFmtId="0" fontId="53" fillId="0" borderId="18" xfId="3" applyFont="1" applyBorder="1"/>
    <xf numFmtId="9" fontId="10" fillId="0" borderId="24" xfId="1" applyFont="1" applyFill="1" applyBorder="1" applyAlignment="1">
      <alignment horizontal="center"/>
    </xf>
    <xf numFmtId="0" fontId="54" fillId="0" borderId="8" xfId="0" applyFont="1" applyBorder="1"/>
    <xf numFmtId="0" fontId="54" fillId="0" borderId="0" xfId="0" applyFont="1"/>
    <xf numFmtId="0" fontId="54" fillId="0" borderId="0" xfId="0" applyFont="1" applyBorder="1"/>
    <xf numFmtId="0" fontId="56" fillId="4" borderId="0" xfId="0" applyFont="1" applyFill="1" applyBorder="1" applyAlignment="1">
      <alignment vertical="center"/>
    </xf>
    <xf numFmtId="0" fontId="55" fillId="0" borderId="0" xfId="0" applyFont="1"/>
    <xf numFmtId="0" fontId="55" fillId="0" borderId="0" xfId="0" applyFont="1" applyBorder="1"/>
    <xf numFmtId="0" fontId="55" fillId="0" borderId="22" xfId="0" applyFont="1" applyBorder="1"/>
    <xf numFmtId="0" fontId="57" fillId="0" borderId="0" xfId="0" applyFont="1"/>
    <xf numFmtId="0" fontId="10" fillId="0" borderId="6" xfId="0" applyFont="1" applyFill="1" applyBorder="1" applyAlignment="1">
      <alignment horizontal="center"/>
    </xf>
    <xf numFmtId="0" fontId="10" fillId="0" borderId="7" xfId="0" applyFont="1" applyFill="1" applyBorder="1" applyAlignment="1">
      <alignment horizontal="center"/>
    </xf>
    <xf numFmtId="0" fontId="10" fillId="0" borderId="0" xfId="0" applyFont="1" applyFill="1" applyBorder="1" applyAlignment="1">
      <alignment horizontal="center"/>
    </xf>
    <xf numFmtId="0" fontId="10" fillId="0" borderId="20" xfId="0" applyFont="1" applyFill="1" applyBorder="1" applyAlignment="1">
      <alignment horizontal="center"/>
    </xf>
    <xf numFmtId="9" fontId="55" fillId="0" borderId="24" xfId="1" applyFont="1" applyBorder="1"/>
    <xf numFmtId="166" fontId="11" fillId="0" borderId="0" xfId="0" applyNumberFormat="1" applyFont="1"/>
    <xf numFmtId="9" fontId="11" fillId="0" borderId="0" xfId="1" applyFont="1" applyBorder="1"/>
    <xf numFmtId="0" fontId="17" fillId="4" borderId="0" xfId="0" applyFont="1" applyFill="1" applyBorder="1" applyAlignment="1">
      <alignment vertical="center"/>
    </xf>
    <xf numFmtId="167" fontId="11" fillId="0" borderId="8" xfId="2" applyNumberFormat="1" applyFont="1" applyBorder="1"/>
    <xf numFmtId="9" fontId="11" fillId="0" borderId="0" xfId="1" applyFont="1" applyFill="1" applyBorder="1" applyAlignment="1">
      <alignment horizontal="center"/>
    </xf>
    <xf numFmtId="9" fontId="11" fillId="0" borderId="20" xfId="1" applyFont="1" applyFill="1" applyBorder="1" applyAlignment="1">
      <alignment horizontal="center"/>
    </xf>
    <xf numFmtId="9" fontId="11" fillId="0" borderId="0" xfId="1" applyFont="1" applyFill="1" applyBorder="1"/>
    <xf numFmtId="0" fontId="11" fillId="0" borderId="12" xfId="0" applyFont="1" applyBorder="1"/>
    <xf numFmtId="0" fontId="11" fillId="0" borderId="7" xfId="0" applyFont="1" applyBorder="1"/>
    <xf numFmtId="9" fontId="54" fillId="5" borderId="6" xfId="1" applyFont="1" applyFill="1" applyBorder="1"/>
    <xf numFmtId="0" fontId="38" fillId="0" borderId="4" xfId="0" applyFont="1" applyFill="1" applyBorder="1" applyAlignment="1">
      <alignment horizontal="center"/>
    </xf>
    <xf numFmtId="0" fontId="11" fillId="0" borderId="0" xfId="0" applyFont="1" applyFill="1"/>
    <xf numFmtId="9" fontId="11" fillId="0" borderId="25" xfId="1" applyFont="1" applyFill="1" applyBorder="1" applyAlignment="1"/>
    <xf numFmtId="0" fontId="4" fillId="0" borderId="0" xfId="0" applyFont="1" applyFill="1" applyBorder="1" applyAlignment="1">
      <alignment horizontal="center"/>
    </xf>
    <xf numFmtId="0" fontId="11" fillId="0" borderId="13" xfId="0" applyFont="1" applyBorder="1"/>
    <xf numFmtId="0" fontId="11" fillId="0" borderId="2" xfId="0" applyFont="1" applyFill="1" applyBorder="1"/>
    <xf numFmtId="9" fontId="11" fillId="0" borderId="2" xfId="1" applyFont="1" applyFill="1" applyBorder="1"/>
    <xf numFmtId="9" fontId="11" fillId="0" borderId="2" xfId="1" applyFont="1" applyBorder="1"/>
    <xf numFmtId="0" fontId="11" fillId="0" borderId="2" xfId="0" applyFont="1" applyBorder="1"/>
    <xf numFmtId="0" fontId="11" fillId="0" borderId="5" xfId="0" applyFont="1" applyBorder="1"/>
    <xf numFmtId="0" fontId="9" fillId="0" borderId="0" xfId="0" applyFont="1" applyFill="1" applyBorder="1" applyAlignment="1">
      <alignment horizontal="center"/>
    </xf>
    <xf numFmtId="0" fontId="41" fillId="5" borderId="0" xfId="0" applyFont="1" applyFill="1" applyBorder="1" applyAlignment="1">
      <alignment horizontal="center"/>
    </xf>
    <xf numFmtId="166" fontId="11" fillId="0" borderId="0" xfId="4" applyNumberFormat="1" applyFont="1" applyFill="1" applyBorder="1" applyAlignment="1">
      <alignment horizontal="center"/>
    </xf>
    <xf numFmtId="9" fontId="11" fillId="0" borderId="0" xfId="0" applyNumberFormat="1" applyFont="1" applyFill="1" applyBorder="1" applyAlignment="1">
      <alignment horizontal="center"/>
    </xf>
    <xf numFmtId="168" fontId="11" fillId="0" borderId="0" xfId="0" applyNumberFormat="1" applyFont="1" applyBorder="1"/>
    <xf numFmtId="2" fontId="11" fillId="0" borderId="0" xfId="2" applyNumberFormat="1" applyFont="1" applyBorder="1"/>
    <xf numFmtId="0" fontId="37" fillId="0" borderId="0" xfId="0" applyFont="1" applyBorder="1" applyAlignment="1">
      <alignment horizontal="center"/>
    </xf>
    <xf numFmtId="0" fontId="38" fillId="0" borderId="4" xfId="0" applyFont="1" applyFill="1" applyBorder="1" applyAlignment="1">
      <alignment horizontal="center"/>
    </xf>
    <xf numFmtId="0" fontId="11" fillId="0" borderId="0" xfId="0" applyFont="1" applyBorder="1" applyAlignment="1">
      <alignment horizontal="center"/>
    </xf>
    <xf numFmtId="0" fontId="11" fillId="0" borderId="0" xfId="1" applyNumberFormat="1" applyFont="1" applyFill="1" applyBorder="1" applyAlignment="1">
      <alignment horizontal="center"/>
    </xf>
    <xf numFmtId="9" fontId="35" fillId="5" borderId="0" xfId="1" applyFont="1" applyFill="1" applyBorder="1"/>
    <xf numFmtId="167" fontId="35" fillId="5" borderId="0" xfId="2" applyNumberFormat="1" applyFont="1" applyFill="1" applyBorder="1" applyAlignment="1">
      <alignment horizontal="center"/>
    </xf>
    <xf numFmtId="0" fontId="19" fillId="0" borderId="0" xfId="0" applyFont="1" applyFill="1" applyBorder="1" applyAlignment="1">
      <alignment vertical="center"/>
    </xf>
    <xf numFmtId="0" fontId="31" fillId="0" borderId="0" xfId="0" applyFont="1" applyFill="1" applyBorder="1" applyAlignment="1">
      <alignment vertical="center"/>
    </xf>
    <xf numFmtId="0" fontId="32" fillId="0" borderId="0" xfId="0" applyFont="1" applyFill="1" applyBorder="1" applyAlignment="1">
      <alignment horizontal="center" vertical="center"/>
    </xf>
    <xf numFmtId="0" fontId="32" fillId="0" borderId="0" xfId="0" applyFont="1" applyFill="1" applyBorder="1" applyAlignment="1">
      <alignment vertical="center"/>
    </xf>
    <xf numFmtId="0" fontId="42" fillId="0" borderId="26" xfId="0" applyFont="1" applyBorder="1"/>
    <xf numFmtId="0" fontId="7" fillId="0" borderId="26" xfId="0" applyFont="1" applyBorder="1"/>
    <xf numFmtId="0" fontId="43" fillId="0" borderId="26" xfId="0" applyFont="1" applyBorder="1"/>
    <xf numFmtId="0" fontId="35" fillId="0" borderId="26" xfId="0" applyFont="1" applyBorder="1"/>
    <xf numFmtId="0" fontId="43" fillId="5" borderId="0" xfId="0" applyFont="1" applyFill="1" applyBorder="1"/>
    <xf numFmtId="0" fontId="44" fillId="5" borderId="0" xfId="0" applyFont="1" applyFill="1" applyBorder="1" applyAlignment="1">
      <alignment horizontal="center"/>
    </xf>
    <xf numFmtId="9" fontId="44" fillId="5" borderId="0" xfId="0" applyNumberFormat="1" applyFont="1" applyFill="1" applyBorder="1" applyAlignment="1">
      <alignment horizontal="center"/>
    </xf>
    <xf numFmtId="165" fontId="11" fillId="5" borderId="0" xfId="2" applyNumberFormat="1" applyFont="1" applyFill="1" applyBorder="1" applyAlignment="1">
      <alignment horizontal="center"/>
    </xf>
    <xf numFmtId="0" fontId="11" fillId="5" borderId="0" xfId="0" applyFont="1" applyFill="1" applyBorder="1"/>
    <xf numFmtId="0" fontId="39" fillId="5" borderId="0" xfId="0" applyFont="1" applyFill="1" applyBorder="1"/>
    <xf numFmtId="0" fontId="35" fillId="5" borderId="0" xfId="0" applyFont="1" applyFill="1" applyBorder="1"/>
    <xf numFmtId="0" fontId="3" fillId="5" borderId="0" xfId="0" applyFont="1" applyFill="1" applyBorder="1"/>
    <xf numFmtId="165" fontId="10" fillId="5" borderId="0" xfId="0" applyNumberFormat="1" applyFont="1" applyFill="1" applyBorder="1" applyAlignment="1">
      <alignment horizontal="center"/>
    </xf>
    <xf numFmtId="9" fontId="54" fillId="5" borderId="0" xfId="1" applyFont="1" applyFill="1" applyBorder="1"/>
    <xf numFmtId="168" fontId="35" fillId="0" borderId="0" xfId="2" applyNumberFormat="1" applyFont="1" applyBorder="1"/>
    <xf numFmtId="9" fontId="35" fillId="0" borderId="0" xfId="1" applyFont="1" applyFill="1" applyBorder="1"/>
    <xf numFmtId="0" fontId="0" fillId="0" borderId="0" xfId="0" applyFont="1" applyFill="1" applyBorder="1"/>
    <xf numFmtId="0" fontId="35" fillId="0" borderId="14" xfId="0" applyFont="1" applyBorder="1"/>
    <xf numFmtId="0" fontId="35" fillId="0" borderId="23" xfId="0" applyFont="1" applyBorder="1"/>
    <xf numFmtId="0" fontId="39" fillId="0" borderId="23" xfId="0" applyFont="1" applyFill="1" applyBorder="1"/>
    <xf numFmtId="9" fontId="35" fillId="0" borderId="23" xfId="1" applyFont="1" applyFill="1" applyBorder="1"/>
    <xf numFmtId="168" fontId="35" fillId="0" borderId="23" xfId="2" applyNumberFormat="1" applyFont="1" applyBorder="1"/>
    <xf numFmtId="9" fontId="35" fillId="0" borderId="23" xfId="1" applyFont="1" applyBorder="1"/>
    <xf numFmtId="0" fontId="35" fillId="0" borderId="16" xfId="0" applyFont="1" applyBorder="1"/>
    <xf numFmtId="0" fontId="35" fillId="0" borderId="18" xfId="0" applyFont="1" applyBorder="1"/>
    <xf numFmtId="9" fontId="35" fillId="0" borderId="8" xfId="1" applyFont="1" applyBorder="1"/>
    <xf numFmtId="168" fontId="35" fillId="0" borderId="8" xfId="2" applyNumberFormat="1" applyFont="1" applyBorder="1"/>
    <xf numFmtId="0" fontId="11" fillId="0" borderId="0" xfId="4" applyNumberFormat="1" applyFont="1" applyFill="1" applyBorder="1" applyAlignment="1">
      <alignment horizontal="center"/>
    </xf>
    <xf numFmtId="168" fontId="11" fillId="0" borderId="0" xfId="2" applyNumberFormat="1" applyFont="1" applyBorder="1"/>
    <xf numFmtId="9" fontId="16" fillId="0" borderId="0" xfId="1" applyFont="1" applyBorder="1" applyAlignment="1">
      <alignment horizontal="center" vertical="center"/>
    </xf>
    <xf numFmtId="9" fontId="16" fillId="0" borderId="17" xfId="1" applyFont="1" applyBorder="1" applyAlignment="1">
      <alignment horizontal="center" vertical="center"/>
    </xf>
    <xf numFmtId="0" fontId="54" fillId="0" borderId="26" xfId="0" applyFont="1" applyBorder="1"/>
    <xf numFmtId="0" fontId="16" fillId="0" borderId="16" xfId="0" applyNumberFormat="1" applyFont="1" applyBorder="1" applyAlignment="1">
      <alignment horizontal="center" vertical="center"/>
    </xf>
    <xf numFmtId="0" fontId="16" fillId="0" borderId="0" xfId="0" applyNumberFormat="1" applyFont="1" applyBorder="1" applyAlignment="1">
      <alignment horizontal="center" vertical="center"/>
    </xf>
    <xf numFmtId="0" fontId="11" fillId="0" borderId="0" xfId="0" applyFont="1" applyAlignment="1">
      <alignment horizontal="left" vertical="center"/>
    </xf>
    <xf numFmtId="0" fontId="11" fillId="0" borderId="0" xfId="0" applyFont="1" applyAlignment="1">
      <alignment horizontal="left"/>
    </xf>
    <xf numFmtId="165" fontId="0" fillId="0" borderId="0" xfId="2" applyFont="1"/>
    <xf numFmtId="0" fontId="11" fillId="0" borderId="7" xfId="0" applyFont="1" applyBorder="1" applyAlignment="1">
      <alignment horizontal="center" vertical="center"/>
    </xf>
    <xf numFmtId="0" fontId="11" fillId="0" borderId="0" xfId="0" applyFont="1" applyBorder="1" applyAlignment="1">
      <alignment horizontal="center" vertical="center"/>
    </xf>
    <xf numFmtId="0" fontId="11" fillId="0" borderId="4" xfId="0" applyFont="1" applyBorder="1" applyAlignment="1">
      <alignment horizontal="center" vertical="center"/>
    </xf>
    <xf numFmtId="0" fontId="4" fillId="3" borderId="4" xfId="0" applyFont="1" applyFill="1" applyBorder="1"/>
    <xf numFmtId="0" fontId="16" fillId="0" borderId="0" xfId="0" applyNumberFormat="1" applyFont="1" applyBorder="1" applyAlignment="1">
      <alignment horizontal="center"/>
    </xf>
    <xf numFmtId="9" fontId="16" fillId="0" borderId="0" xfId="1" applyFont="1" applyBorder="1" applyAlignment="1">
      <alignment horizontal="center"/>
    </xf>
    <xf numFmtId="0" fontId="16" fillId="0" borderId="17" xfId="0" applyFont="1" applyBorder="1" applyAlignment="1">
      <alignment horizontal="center"/>
    </xf>
    <xf numFmtId="0" fontId="16" fillId="0" borderId="16" xfId="0" applyNumberFormat="1" applyFont="1" applyBorder="1" applyAlignment="1">
      <alignment horizontal="center"/>
    </xf>
    <xf numFmtId="1" fontId="16" fillId="3" borderId="0" xfId="2" applyNumberFormat="1" applyFont="1" applyFill="1" applyBorder="1"/>
    <xf numFmtId="9" fontId="35" fillId="0" borderId="15" xfId="1" applyFont="1" applyBorder="1" applyAlignment="1">
      <alignment horizontal="right"/>
    </xf>
    <xf numFmtId="9" fontId="35" fillId="0" borderId="17" xfId="1" applyFont="1" applyBorder="1" applyAlignment="1">
      <alignment horizontal="right"/>
    </xf>
    <xf numFmtId="9" fontId="35" fillId="0" borderId="19" xfId="1" applyFont="1" applyBorder="1" applyAlignment="1">
      <alignment horizontal="right"/>
    </xf>
    <xf numFmtId="165" fontId="54" fillId="5" borderId="6" xfId="2" applyFont="1" applyFill="1" applyBorder="1"/>
    <xf numFmtId="165" fontId="11" fillId="0" borderId="8" xfId="2" applyFont="1" applyFill="1" applyBorder="1" applyAlignment="1">
      <alignment horizontal="center"/>
    </xf>
    <xf numFmtId="172" fontId="16" fillId="0" borderId="0" xfId="0" applyNumberFormat="1" applyFont="1" applyBorder="1" applyAlignment="1">
      <alignment horizontal="center" vertical="center"/>
    </xf>
    <xf numFmtId="172" fontId="16" fillId="0" borderId="0" xfId="0" applyNumberFormat="1" applyFont="1" applyBorder="1" applyAlignment="1">
      <alignment horizontal="center"/>
    </xf>
    <xf numFmtId="172" fontId="11" fillId="0" borderId="0" xfId="4" applyNumberFormat="1" applyFont="1" applyFill="1" applyBorder="1" applyAlignment="1">
      <alignment horizontal="center"/>
    </xf>
    <xf numFmtId="0" fontId="0" fillId="0" borderId="23" xfId="0" applyFont="1" applyBorder="1"/>
    <xf numFmtId="166" fontId="9" fillId="0" borderId="0" xfId="4" applyNumberFormat="1" applyFont="1" applyFill="1" applyBorder="1" applyAlignment="1">
      <alignment horizontal="center"/>
    </xf>
    <xf numFmtId="9" fontId="9" fillId="0" borderId="0" xfId="0" applyNumberFormat="1" applyFont="1" applyFill="1" applyBorder="1" applyAlignment="1">
      <alignment horizontal="center"/>
    </xf>
    <xf numFmtId="168" fontId="9" fillId="0" borderId="0" xfId="0" applyNumberFormat="1" applyFont="1" applyBorder="1"/>
    <xf numFmtId="0" fontId="60" fillId="0" borderId="0" xfId="0" applyFont="1" applyBorder="1" applyAlignment="1">
      <alignment horizontal="center"/>
    </xf>
    <xf numFmtId="0" fontId="9" fillId="0" borderId="0" xfId="0" applyFont="1" applyBorder="1" applyAlignment="1">
      <alignment horizontal="center"/>
    </xf>
    <xf numFmtId="0" fontId="10" fillId="0" borderId="0" xfId="0" applyFont="1" applyBorder="1" applyAlignment="1">
      <alignment horizontal="center"/>
    </xf>
    <xf numFmtId="0" fontId="0" fillId="0" borderId="0" xfId="0"/>
    <xf numFmtId="0" fontId="6" fillId="0" borderId="0" xfId="3" applyFont="1"/>
    <xf numFmtId="0" fontId="5" fillId="0" borderId="0" xfId="3"/>
    <xf numFmtId="0" fontId="0" fillId="0" borderId="0" xfId="0" pivotButton="1"/>
    <xf numFmtId="0" fontId="0" fillId="0" borderId="0" xfId="0" applyAlignment="1">
      <alignment horizontal="left"/>
    </xf>
    <xf numFmtId="0" fontId="4" fillId="0" borderId="0" xfId="0" applyFont="1" applyBorder="1"/>
    <xf numFmtId="0" fontId="4" fillId="0" borderId="4" xfId="0" applyFont="1" applyBorder="1"/>
    <xf numFmtId="0" fontId="4" fillId="0" borderId="4" xfId="0" applyFont="1" applyBorder="1" applyAlignment="1">
      <alignment horizontal="center"/>
    </xf>
    <xf numFmtId="0" fontId="4" fillId="0" borderId="11" xfId="0" applyFont="1" applyFill="1" applyBorder="1" applyAlignment="1">
      <alignment horizontal="left"/>
    </xf>
    <xf numFmtId="0" fontId="10" fillId="0" borderId="4" xfId="0" applyFont="1" applyBorder="1" applyAlignment="1">
      <alignment horizontal="center"/>
    </xf>
    <xf numFmtId="0" fontId="4" fillId="0" borderId="0" xfId="0" applyFont="1" applyFill="1" applyBorder="1" applyAlignment="1">
      <alignment horizontal="left"/>
    </xf>
    <xf numFmtId="0" fontId="10" fillId="5" borderId="0" xfId="0" applyFont="1" applyFill="1" applyBorder="1" applyAlignment="1"/>
    <xf numFmtId="0" fontId="10" fillId="0" borderId="5" xfId="0" applyFont="1" applyBorder="1" applyAlignment="1">
      <alignment horizontal="center"/>
    </xf>
    <xf numFmtId="171" fontId="11" fillId="0" borderId="2" xfId="2" applyNumberFormat="1" applyFont="1" applyBorder="1"/>
    <xf numFmtId="171" fontId="11" fillId="0" borderId="6" xfId="0" applyNumberFormat="1" applyFont="1" applyFill="1" applyBorder="1" applyAlignment="1"/>
    <xf numFmtId="171" fontId="11" fillId="0" borderId="4" xfId="0" applyNumberFormat="1" applyFont="1" applyFill="1" applyBorder="1" applyAlignment="1"/>
    <xf numFmtId="171" fontId="11" fillId="0" borderId="32" xfId="0" applyNumberFormat="1" applyFont="1" applyFill="1" applyBorder="1" applyAlignment="1"/>
    <xf numFmtId="0" fontId="4" fillId="0" borderId="10" xfId="0" applyFont="1" applyBorder="1"/>
    <xf numFmtId="0" fontId="4" fillId="0" borderId="3" xfId="0" applyFont="1" applyBorder="1"/>
    <xf numFmtId="0" fontId="4" fillId="0" borderId="31" xfId="0" applyFont="1" applyFill="1" applyBorder="1" applyAlignment="1">
      <alignment horizontal="left"/>
    </xf>
    <xf numFmtId="3" fontId="0" fillId="0" borderId="0" xfId="0" applyNumberFormat="1"/>
    <xf numFmtId="0" fontId="11" fillId="0" borderId="9" xfId="0" applyFont="1" applyBorder="1"/>
    <xf numFmtId="0" fontId="10" fillId="0" borderId="0" xfId="0" applyFont="1" applyBorder="1" applyAlignment="1">
      <alignment horizontal="center"/>
    </xf>
    <xf numFmtId="168" fontId="0" fillId="0" borderId="0" xfId="2" applyNumberFormat="1" applyFont="1"/>
    <xf numFmtId="171" fontId="0" fillId="0" borderId="0" xfId="2" applyNumberFormat="1" applyFont="1"/>
    <xf numFmtId="9" fontId="12" fillId="0" borderId="6" xfId="1" applyFont="1" applyFill="1" applyBorder="1" applyAlignment="1">
      <alignment horizontal="right"/>
    </xf>
    <xf numFmtId="9" fontId="0" fillId="0" borderId="6" xfId="1" applyFont="1" applyFill="1" applyBorder="1" applyAlignment="1">
      <alignment horizontal="right"/>
    </xf>
    <xf numFmtId="167" fontId="27" fillId="0" borderId="0" xfId="2" applyNumberFormat="1" applyFont="1"/>
    <xf numFmtId="167" fontId="12" fillId="0" borderId="6" xfId="2" applyNumberFormat="1" applyFont="1" applyBorder="1"/>
    <xf numFmtId="167" fontId="12" fillId="0" borderId="0" xfId="2" applyNumberFormat="1" applyFont="1"/>
    <xf numFmtId="9" fontId="0" fillId="0" borderId="0" xfId="1" applyFont="1" applyFill="1" applyBorder="1" applyAlignment="1">
      <alignment horizontal="right"/>
    </xf>
    <xf numFmtId="167" fontId="12" fillId="0" borderId="0" xfId="2" applyNumberFormat="1" applyFont="1" applyBorder="1"/>
    <xf numFmtId="0" fontId="4" fillId="0" borderId="0" xfId="0" applyNumberFormat="1" applyFont="1" applyBorder="1" applyAlignment="1">
      <alignment horizontal="center"/>
    </xf>
    <xf numFmtId="9" fontId="11" fillId="0" borderId="0" xfId="1" applyFont="1" applyFill="1" applyBorder="1" applyAlignment="1">
      <alignment horizontal="right"/>
    </xf>
    <xf numFmtId="0" fontId="17" fillId="5" borderId="0" xfId="0" applyFont="1" applyFill="1" applyBorder="1" applyAlignment="1"/>
    <xf numFmtId="9" fontId="11" fillId="5" borderId="0" xfId="1" applyNumberFormat="1" applyFont="1" applyFill="1" applyBorder="1" applyAlignment="1">
      <alignment horizontal="center"/>
    </xf>
    <xf numFmtId="0" fontId="11" fillId="5" borderId="0" xfId="0" applyFont="1" applyFill="1" applyBorder="1" applyAlignment="1">
      <alignment horizontal="center"/>
    </xf>
    <xf numFmtId="9" fontId="11" fillId="0" borderId="11" xfId="1" applyFont="1" applyFill="1" applyBorder="1" applyAlignment="1">
      <alignment horizontal="right"/>
    </xf>
    <xf numFmtId="9" fontId="16" fillId="0" borderId="16" xfId="1" applyFont="1" applyBorder="1"/>
    <xf numFmtId="167" fontId="3" fillId="0" borderId="0" xfId="0" applyNumberFormat="1" applyFont="1" applyBorder="1"/>
    <xf numFmtId="165" fontId="3" fillId="0" borderId="0" xfId="2" applyFont="1" applyBorder="1"/>
    <xf numFmtId="167" fontId="3" fillId="0" borderId="17" xfId="2" applyNumberFormat="1" applyFont="1" applyBorder="1"/>
    <xf numFmtId="0" fontId="16" fillId="0" borderId="16" xfId="0" applyFont="1" applyBorder="1"/>
    <xf numFmtId="0" fontId="16" fillId="0" borderId="0" xfId="0" applyFont="1" applyBorder="1"/>
    <xf numFmtId="0" fontId="16" fillId="0" borderId="17" xfId="0" applyFont="1" applyBorder="1"/>
    <xf numFmtId="0" fontId="9" fillId="0" borderId="0" xfId="0" applyFont="1" applyFill="1"/>
    <xf numFmtId="0" fontId="0" fillId="0" borderId="0" xfId="0" applyFill="1"/>
    <xf numFmtId="9" fontId="0" fillId="0" borderId="0" xfId="1" applyFont="1" applyFill="1"/>
    <xf numFmtId="0" fontId="54" fillId="0" borderId="0" xfId="0" applyFont="1" applyFill="1"/>
    <xf numFmtId="9" fontId="3" fillId="0" borderId="8" xfId="1" applyFont="1" applyFill="1" applyBorder="1"/>
    <xf numFmtId="0" fontId="3" fillId="0" borderId="8" xfId="0" applyFont="1" applyFill="1" applyBorder="1"/>
    <xf numFmtId="0" fontId="3" fillId="0" borderId="0" xfId="0" applyFont="1" applyFill="1"/>
    <xf numFmtId="0" fontId="4" fillId="0" borderId="6" xfId="0" applyFont="1" applyFill="1" applyBorder="1"/>
    <xf numFmtId="171" fontId="4" fillId="0" borderId="6" xfId="0" applyNumberFormat="1" applyFont="1" applyFill="1" applyBorder="1"/>
    <xf numFmtId="0" fontId="4" fillId="0" borderId="0" xfId="0" applyFont="1" applyFill="1"/>
    <xf numFmtId="171" fontId="3" fillId="0" borderId="0" xfId="0" applyNumberFormat="1" applyFont="1" applyFill="1"/>
    <xf numFmtId="0" fontId="29" fillId="0" borderId="0" xfId="0" applyFont="1" applyFill="1"/>
    <xf numFmtId="0" fontId="0" fillId="0" borderId="0" xfId="0" quotePrefix="1" applyFill="1"/>
    <xf numFmtId="0" fontId="4" fillId="0" borderId="36" xfId="0" applyFont="1" applyFill="1" applyBorder="1" applyAlignment="1"/>
    <xf numFmtId="9" fontId="4" fillId="0" borderId="36" xfId="1" applyFont="1" applyFill="1" applyBorder="1" applyAlignment="1"/>
    <xf numFmtId="9" fontId="3" fillId="0" borderId="0" xfId="1" applyFont="1" applyFill="1" applyBorder="1"/>
    <xf numFmtId="0" fontId="29" fillId="0" borderId="0" xfId="0" applyFont="1" applyFill="1" applyBorder="1"/>
    <xf numFmtId="9" fontId="9" fillId="0" borderId="0" xfId="1" applyFont="1" applyFill="1"/>
    <xf numFmtId="171" fontId="0" fillId="0" borderId="0" xfId="0" applyNumberFormat="1" applyFill="1"/>
    <xf numFmtId="9" fontId="3" fillId="0" borderId="0" xfId="1" applyFont="1" applyFill="1"/>
    <xf numFmtId="171" fontId="4" fillId="0" borderId="0" xfId="0" applyNumberFormat="1" applyFont="1" applyFill="1" applyBorder="1"/>
    <xf numFmtId="9" fontId="4" fillId="0" borderId="0" xfId="1" applyFont="1" applyFill="1"/>
    <xf numFmtId="9" fontId="54" fillId="0" borderId="0" xfId="1" applyFont="1" applyFill="1"/>
    <xf numFmtId="9" fontId="29" fillId="0" borderId="0" xfId="1" applyFont="1" applyFill="1" applyBorder="1"/>
    <xf numFmtId="2" fontId="12" fillId="0" borderId="0" xfId="0" applyNumberFormat="1" applyFont="1"/>
    <xf numFmtId="167" fontId="9" fillId="0" borderId="8" xfId="2" applyNumberFormat="1" applyFont="1" applyBorder="1"/>
    <xf numFmtId="0" fontId="41" fillId="0" borderId="0" xfId="0" applyFont="1" applyFill="1" applyBorder="1" applyAlignment="1">
      <alignment horizontal="center"/>
    </xf>
    <xf numFmtId="9" fontId="54" fillId="0" borderId="0" xfId="1" applyFont="1" applyFill="1" applyBorder="1"/>
    <xf numFmtId="167" fontId="35" fillId="0" borderId="0" xfId="2" applyNumberFormat="1" applyFont="1" applyFill="1" applyBorder="1" applyAlignment="1">
      <alignment horizontal="center"/>
    </xf>
    <xf numFmtId="165" fontId="10" fillId="0" borderId="0" xfId="0" applyNumberFormat="1" applyFont="1" applyFill="1" applyBorder="1" applyAlignment="1">
      <alignment horizontal="center"/>
    </xf>
    <xf numFmtId="165" fontId="11" fillId="0" borderId="0" xfId="2" applyNumberFormat="1" applyFont="1" applyFill="1" applyBorder="1" applyAlignment="1">
      <alignment horizontal="center"/>
    </xf>
    <xf numFmtId="0" fontId="3" fillId="0" borderId="0" xfId="0" applyFont="1" applyFill="1" applyBorder="1"/>
    <xf numFmtId="0" fontId="42" fillId="0" borderId="0" xfId="0" applyFont="1" applyFill="1"/>
    <xf numFmtId="0" fontId="42" fillId="0" borderId="0" xfId="0" applyFont="1" applyFill="1" applyBorder="1"/>
    <xf numFmtId="0" fontId="43" fillId="0" borderId="0" xfId="0" applyFont="1" applyFill="1"/>
    <xf numFmtId="0" fontId="54" fillId="0" borderId="0" xfId="0" applyFont="1" applyFill="1" applyBorder="1"/>
    <xf numFmtId="168" fontId="42" fillId="0" borderId="0" xfId="0" applyNumberFormat="1" applyFont="1" applyFill="1" applyBorder="1"/>
    <xf numFmtId="0" fontId="43" fillId="0" borderId="0" xfId="0" applyFont="1" applyFill="1" applyBorder="1"/>
    <xf numFmtId="0" fontId="57" fillId="0" borderId="0" xfId="0" applyFont="1" applyFill="1" applyBorder="1"/>
    <xf numFmtId="168" fontId="11" fillId="0" borderId="0" xfId="0" applyNumberFormat="1" applyFont="1" applyFill="1" applyBorder="1"/>
    <xf numFmtId="0" fontId="58" fillId="0" borderId="0" xfId="0" applyFont="1" applyFill="1" applyBorder="1"/>
    <xf numFmtId="0" fontId="58" fillId="0" borderId="0" xfId="0" applyFont="1" applyFill="1"/>
    <xf numFmtId="0" fontId="7" fillId="0" borderId="0" xfId="0" applyFont="1" applyFill="1"/>
    <xf numFmtId="0" fontId="11" fillId="0" borderId="12" xfId="0" applyFont="1" applyFill="1" applyBorder="1"/>
    <xf numFmtId="0" fontId="11" fillId="0" borderId="7" xfId="0" applyFont="1" applyFill="1" applyBorder="1"/>
    <xf numFmtId="0" fontId="11" fillId="0" borderId="13" xfId="0" applyFont="1" applyFill="1" applyBorder="1"/>
    <xf numFmtId="0" fontId="10" fillId="0" borderId="0" xfId="0" applyFont="1" applyFill="1" applyAlignment="1">
      <alignment horizontal="center"/>
    </xf>
    <xf numFmtId="0" fontId="11" fillId="0" borderId="10" xfId="0" applyFont="1" applyFill="1" applyBorder="1"/>
    <xf numFmtId="0" fontId="57" fillId="0" borderId="0" xfId="0" applyFont="1" applyFill="1"/>
    <xf numFmtId="168" fontId="39" fillId="0" borderId="0" xfId="2" applyNumberFormat="1" applyFont="1" applyFill="1" applyBorder="1" applyAlignment="1"/>
    <xf numFmtId="168" fontId="39" fillId="0" borderId="20" xfId="2" applyNumberFormat="1" applyFont="1" applyFill="1" applyBorder="1" applyAlignment="1"/>
    <xf numFmtId="167" fontId="35" fillId="0" borderId="0" xfId="2" applyNumberFormat="1" applyFont="1" applyFill="1" applyBorder="1"/>
    <xf numFmtId="0" fontId="3" fillId="0" borderId="0" xfId="1" applyNumberFormat="1" applyFont="1" applyFill="1"/>
    <xf numFmtId="171" fontId="3" fillId="0" borderId="20" xfId="0" applyNumberFormat="1" applyFont="1" applyFill="1" applyBorder="1"/>
    <xf numFmtId="165" fontId="11" fillId="0" borderId="0" xfId="2" applyNumberFormat="1" applyFont="1" applyFill="1" applyBorder="1" applyAlignment="1">
      <alignment horizontal="right"/>
    </xf>
    <xf numFmtId="165" fontId="11" fillId="0" borderId="0" xfId="0" applyNumberFormat="1" applyFont="1" applyBorder="1"/>
    <xf numFmtId="0" fontId="11" fillId="0" borderId="17" xfId="0" applyFont="1" applyFill="1" applyBorder="1"/>
    <xf numFmtId="0" fontId="29" fillId="0" borderId="0" xfId="0" applyFont="1"/>
    <xf numFmtId="0" fontId="10" fillId="5" borderId="14" xfId="0" applyFont="1" applyFill="1" applyBorder="1" applyAlignment="1">
      <alignment horizontal="center"/>
    </xf>
    <xf numFmtId="0" fontId="10" fillId="5" borderId="23" xfId="0" applyFont="1" applyFill="1" applyBorder="1" applyAlignment="1">
      <alignment horizontal="right"/>
    </xf>
    <xf numFmtId="9" fontId="62" fillId="0" borderId="15" xfId="0" applyNumberFormat="1" applyFont="1" applyBorder="1" applyAlignment="1">
      <alignment horizontal="center"/>
    </xf>
    <xf numFmtId="0" fontId="10" fillId="0" borderId="16" xfId="0" applyFont="1" applyFill="1" applyBorder="1" applyAlignment="1">
      <alignment horizontal="center"/>
    </xf>
    <xf numFmtId="0" fontId="11" fillId="0" borderId="17" xfId="0" applyFont="1" applyBorder="1"/>
    <xf numFmtId="165" fontId="10" fillId="0" borderId="16" xfId="0" applyNumberFormat="1" applyFont="1" applyFill="1" applyBorder="1" applyAlignment="1">
      <alignment horizontal="center"/>
    </xf>
    <xf numFmtId="165" fontId="10" fillId="0" borderId="18" xfId="0" applyNumberFormat="1" applyFont="1" applyFill="1" applyBorder="1" applyAlignment="1">
      <alignment horizontal="center"/>
    </xf>
    <xf numFmtId="165" fontId="11" fillId="0" borderId="8" xfId="2" applyNumberFormat="1" applyFont="1" applyFill="1" applyBorder="1" applyAlignment="1">
      <alignment horizontal="center"/>
    </xf>
    <xf numFmtId="165" fontId="11" fillId="0" borderId="8" xfId="2" applyNumberFormat="1" applyFont="1" applyFill="1" applyBorder="1" applyAlignment="1">
      <alignment horizontal="right"/>
    </xf>
    <xf numFmtId="0" fontId="11" fillId="0" borderId="19" xfId="0" applyFont="1" applyBorder="1"/>
    <xf numFmtId="165" fontId="11" fillId="0" borderId="0" xfId="0" applyNumberFormat="1" applyFont="1" applyFill="1" applyBorder="1"/>
    <xf numFmtId="0" fontId="10" fillId="0" borderId="14" xfId="0" applyFont="1" applyFill="1" applyBorder="1" applyAlignment="1">
      <alignment horizontal="center"/>
    </xf>
    <xf numFmtId="0" fontId="10" fillId="0" borderId="23" xfId="0" applyFont="1" applyFill="1" applyBorder="1" applyAlignment="1">
      <alignment horizontal="right"/>
    </xf>
    <xf numFmtId="9" fontId="62" fillId="0" borderId="15" xfId="0" applyNumberFormat="1" applyFont="1" applyFill="1" applyBorder="1" applyAlignment="1">
      <alignment horizontal="center"/>
    </xf>
    <xf numFmtId="0" fontId="11" fillId="0" borderId="19" xfId="0" applyFont="1" applyFill="1" applyBorder="1"/>
    <xf numFmtId="167" fontId="3" fillId="0" borderId="0" xfId="2" applyNumberFormat="1" applyFont="1" applyBorder="1" applyProtection="1"/>
    <xf numFmtId="0" fontId="63" fillId="0" borderId="0" xfId="0" applyFont="1" applyFill="1" applyBorder="1" applyAlignment="1">
      <alignment horizontal="center"/>
    </xf>
    <xf numFmtId="9" fontId="0" fillId="0" borderId="0" xfId="1" applyFont="1" applyFill="1" applyBorder="1"/>
    <xf numFmtId="167" fontId="0" fillId="0" borderId="0" xfId="2" applyNumberFormat="1" applyFont="1" applyFill="1" applyBorder="1" applyAlignment="1">
      <alignment horizontal="center"/>
    </xf>
    <xf numFmtId="0" fontId="0" fillId="0" borderId="0" xfId="0" applyFont="1" applyFill="1"/>
    <xf numFmtId="165" fontId="4" fillId="0" borderId="0" xfId="0" applyNumberFormat="1" applyFont="1" applyFill="1" applyBorder="1" applyAlignment="1">
      <alignment horizontal="center"/>
    </xf>
    <xf numFmtId="165" fontId="0" fillId="0" borderId="0" xfId="2" applyNumberFormat="1" applyFont="1" applyFill="1" applyBorder="1" applyAlignment="1">
      <alignment horizontal="center"/>
    </xf>
    <xf numFmtId="166" fontId="0" fillId="0" borderId="0" xfId="4" applyNumberFormat="1" applyFont="1" applyFill="1" applyBorder="1" applyAlignment="1">
      <alignment horizontal="center"/>
    </xf>
    <xf numFmtId="0" fontId="0" fillId="0" borderId="0" xfId="1" applyNumberFormat="1" applyFont="1" applyFill="1" applyBorder="1" applyAlignment="1">
      <alignment horizontal="center"/>
    </xf>
    <xf numFmtId="168" fontId="0" fillId="0" borderId="0" xfId="0" applyNumberFormat="1" applyFont="1" applyBorder="1"/>
    <xf numFmtId="2" fontId="0" fillId="0" borderId="0" xfId="2" applyNumberFormat="1" applyFont="1" applyBorder="1"/>
    <xf numFmtId="9" fontId="0" fillId="0" borderId="0" xfId="1" applyFont="1" applyBorder="1"/>
    <xf numFmtId="9" fontId="45" fillId="0" borderId="24" xfId="1" applyFont="1" applyBorder="1"/>
    <xf numFmtId="165" fontId="46" fillId="0" borderId="24" xfId="2" applyFont="1" applyBorder="1" applyAlignment="1">
      <alignment horizontal="center"/>
    </xf>
    <xf numFmtId="0" fontId="64" fillId="0" borderId="0" xfId="7"/>
    <xf numFmtId="0" fontId="0" fillId="0" borderId="0" xfId="0" applyAlignment="1">
      <alignment horizontal="center"/>
    </xf>
    <xf numFmtId="0" fontId="0" fillId="0" borderId="0" xfId="0" applyBorder="1"/>
    <xf numFmtId="0" fontId="64" fillId="0" borderId="0" xfId="7" applyAlignment="1"/>
    <xf numFmtId="0" fontId="3" fillId="3" borderId="0" xfId="0" applyFont="1" applyFill="1" applyBorder="1" applyProtection="1"/>
    <xf numFmtId="14" fontId="3" fillId="3" borderId="0" xfId="0" applyNumberFormat="1" applyFont="1" applyFill="1" applyBorder="1" applyProtection="1"/>
    <xf numFmtId="0" fontId="0" fillId="3" borderId="0" xfId="0" applyFont="1" applyFill="1" applyBorder="1" applyProtection="1"/>
    <xf numFmtId="1" fontId="3" fillId="3" borderId="0" xfId="2" applyNumberFormat="1" applyFont="1" applyFill="1" applyBorder="1" applyProtection="1"/>
    <xf numFmtId="10" fontId="3" fillId="3" borderId="0" xfId="1" applyNumberFormat="1" applyFont="1" applyFill="1" applyBorder="1" applyProtection="1"/>
    <xf numFmtId="165" fontId="3" fillId="3" borderId="0" xfId="2" applyFont="1" applyFill="1" applyBorder="1" applyProtection="1"/>
    <xf numFmtId="9" fontId="3" fillId="3" borderId="0" xfId="1" applyFont="1" applyFill="1" applyBorder="1" applyProtection="1"/>
    <xf numFmtId="9" fontId="3" fillId="3" borderId="17" xfId="1" applyFont="1" applyFill="1" applyBorder="1" applyProtection="1"/>
    <xf numFmtId="167" fontId="0" fillId="5" borderId="7" xfId="2" applyNumberFormat="1" applyFont="1" applyFill="1" applyBorder="1" applyAlignment="1">
      <alignment horizontal="center"/>
    </xf>
    <xf numFmtId="167" fontId="0" fillId="5" borderId="4" xfId="2" applyNumberFormat="1" applyFont="1" applyFill="1" applyBorder="1" applyAlignment="1">
      <alignment horizontal="center"/>
    </xf>
    <xf numFmtId="0" fontId="0" fillId="0" borderId="0" xfId="0" applyNumberFormat="1"/>
    <xf numFmtId="174" fontId="39" fillId="0" borderId="7" xfId="2" applyNumberFormat="1" applyFont="1" applyFill="1" applyBorder="1"/>
    <xf numFmtId="174" fontId="39" fillId="0" borderId="0" xfId="2" applyNumberFormat="1" applyFont="1" applyFill="1" applyBorder="1"/>
    <xf numFmtId="174" fontId="39" fillId="0" borderId="20" xfId="2" applyNumberFormat="1" applyFont="1" applyFill="1" applyBorder="1"/>
    <xf numFmtId="174" fontId="47" fillId="0" borderId="7" xfId="2" applyNumberFormat="1" applyFont="1" applyFill="1" applyBorder="1"/>
    <xf numFmtId="174" fontId="47" fillId="0" borderId="0" xfId="2" applyNumberFormat="1" applyFont="1" applyFill="1" applyBorder="1"/>
    <xf numFmtId="174" fontId="47" fillId="0" borderId="24" xfId="0" applyNumberFormat="1" applyFont="1" applyBorder="1"/>
    <xf numFmtId="174" fontId="39" fillId="0" borderId="4" xfId="2" applyNumberFormat="1" applyFont="1" applyFill="1" applyBorder="1"/>
    <xf numFmtId="174" fontId="11" fillId="0" borderId="0" xfId="2" applyNumberFormat="1" applyFont="1" applyFill="1" applyBorder="1"/>
    <xf numFmtId="174" fontId="11" fillId="0" borderId="7" xfId="2" applyNumberFormat="1" applyFont="1" applyFill="1" applyBorder="1"/>
    <xf numFmtId="174" fontId="11" fillId="0" borderId="20" xfId="2" applyNumberFormat="1" applyFont="1" applyFill="1" applyBorder="1"/>
    <xf numFmtId="174" fontId="46" fillId="0" borderId="24" xfId="0" applyNumberFormat="1" applyFont="1" applyBorder="1"/>
    <xf numFmtId="174" fontId="11" fillId="0" borderId="4" xfId="2" applyNumberFormat="1" applyFont="1" applyFill="1" applyBorder="1"/>
    <xf numFmtId="174" fontId="46" fillId="0" borderId="7" xfId="2" applyNumberFormat="1" applyFont="1" applyFill="1" applyBorder="1"/>
    <xf numFmtId="174" fontId="46" fillId="0" borderId="0" xfId="2" applyNumberFormat="1" applyFont="1" applyFill="1" applyBorder="1"/>
    <xf numFmtId="174" fontId="46" fillId="0" borderId="35" xfId="0" applyNumberFormat="1" applyFont="1" applyBorder="1"/>
    <xf numFmtId="174" fontId="12" fillId="0" borderId="0" xfId="2" applyNumberFormat="1" applyFont="1" applyFill="1" applyBorder="1"/>
    <xf numFmtId="174" fontId="12" fillId="0" borderId="4" xfId="2" applyNumberFormat="1" applyFont="1" applyFill="1" applyBorder="1"/>
    <xf numFmtId="174" fontId="27" fillId="0" borderId="11" xfId="0" applyNumberFormat="1" applyFont="1" applyFill="1" applyBorder="1"/>
    <xf numFmtId="174" fontId="27" fillId="0" borderId="0" xfId="2" applyNumberFormat="1" applyFont="1" applyFill="1" applyBorder="1"/>
    <xf numFmtId="174" fontId="12" fillId="0" borderId="11" xfId="0" applyNumberFormat="1" applyFont="1" applyFill="1" applyBorder="1"/>
    <xf numFmtId="174" fontId="0" fillId="0" borderId="0" xfId="0" applyNumberFormat="1" applyFill="1"/>
    <xf numFmtId="167" fontId="11" fillId="0" borderId="0" xfId="2" applyNumberFormat="1" applyFont="1" applyAlignment="1">
      <alignment horizontal="center" vertical="center"/>
    </xf>
    <xf numFmtId="168" fontId="39" fillId="0" borderId="0" xfId="2" applyNumberFormat="1" applyFont="1" applyFill="1" applyBorder="1" applyAlignment="1">
      <alignment horizontal="right"/>
    </xf>
    <xf numFmtId="168" fontId="39" fillId="0" borderId="20" xfId="2" applyNumberFormat="1" applyFont="1" applyFill="1" applyBorder="1" applyAlignment="1">
      <alignment horizontal="right"/>
    </xf>
    <xf numFmtId="168" fontId="39" fillId="0" borderId="8" xfId="2" applyNumberFormat="1" applyFont="1" applyFill="1" applyBorder="1" applyAlignment="1">
      <alignment horizontal="right"/>
    </xf>
    <xf numFmtId="0" fontId="0" fillId="0" borderId="0" xfId="0" applyBorder="1" applyAlignment="1">
      <alignment horizontal="center"/>
    </xf>
    <xf numFmtId="0" fontId="65" fillId="0" borderId="0" xfId="0" applyFont="1" applyAlignment="1">
      <alignment horizontal="left"/>
    </xf>
    <xf numFmtId="0" fontId="66" fillId="0" borderId="0" xfId="7" applyFont="1" applyAlignment="1">
      <alignment horizontal="left"/>
    </xf>
    <xf numFmtId="9" fontId="12" fillId="0" borderId="0" xfId="1" applyFont="1" applyFill="1" applyBorder="1" applyAlignment="1">
      <alignment horizontal="right"/>
    </xf>
    <xf numFmtId="14" fontId="0" fillId="3" borderId="0" xfId="0" applyNumberFormat="1" applyFont="1" applyFill="1" applyBorder="1" applyProtection="1"/>
    <xf numFmtId="0" fontId="12" fillId="0" borderId="7" xfId="0" applyFont="1" applyFill="1" applyBorder="1" applyAlignment="1">
      <alignment horizontal="center"/>
    </xf>
    <xf numFmtId="0" fontId="29" fillId="5" borderId="0" xfId="0" applyFont="1" applyFill="1" applyBorder="1"/>
    <xf numFmtId="0" fontId="0" fillId="5" borderId="0" xfId="0" applyFont="1" applyFill="1" applyBorder="1" applyAlignment="1">
      <alignment horizontal="center"/>
    </xf>
    <xf numFmtId="0" fontId="0" fillId="5" borderId="0" xfId="0" applyFont="1" applyFill="1" applyBorder="1" applyAlignment="1"/>
    <xf numFmtId="0" fontId="0" fillId="0" borderId="0" xfId="0" applyBorder="1" applyAlignment="1">
      <alignment horizontal="left"/>
    </xf>
    <xf numFmtId="0" fontId="0" fillId="0" borderId="8" xfId="0" applyBorder="1"/>
    <xf numFmtId="0" fontId="0" fillId="0" borderId="8" xfId="0" applyBorder="1" applyAlignment="1">
      <alignment horizontal="center"/>
    </xf>
    <xf numFmtId="9" fontId="12" fillId="0" borderId="0" xfId="1" applyFont="1"/>
    <xf numFmtId="9" fontId="12" fillId="0" borderId="0" xfId="1" applyFont="1" applyBorder="1"/>
    <xf numFmtId="0" fontId="10" fillId="0" borderId="0" xfId="0" applyFont="1" applyBorder="1" applyAlignment="1">
      <alignment horizontal="center"/>
    </xf>
    <xf numFmtId="0" fontId="67" fillId="4" borderId="0" xfId="7" applyFont="1" applyFill="1" applyAlignment="1"/>
    <xf numFmtId="9" fontId="9" fillId="0" borderId="0" xfId="1" applyFont="1" applyBorder="1"/>
    <xf numFmtId="0" fontId="57" fillId="0" borderId="0" xfId="0" applyFont="1" applyBorder="1"/>
    <xf numFmtId="0" fontId="48" fillId="5" borderId="0" xfId="0" applyFont="1" applyFill="1" applyBorder="1"/>
    <xf numFmtId="167" fontId="11" fillId="5" borderId="0" xfId="2" applyNumberFormat="1" applyFont="1" applyFill="1" applyBorder="1"/>
    <xf numFmtId="0" fontId="27" fillId="0" borderId="0" xfId="0" applyNumberFormat="1" applyFont="1" applyBorder="1"/>
    <xf numFmtId="0" fontId="27" fillId="0" borderId="0" xfId="0" applyFont="1" applyBorder="1"/>
    <xf numFmtId="0" fontId="26" fillId="0" borderId="0" xfId="0" applyNumberFormat="1" applyFont="1" applyBorder="1"/>
    <xf numFmtId="0" fontId="26" fillId="0" borderId="0" xfId="0" applyFont="1" applyBorder="1"/>
    <xf numFmtId="0" fontId="30" fillId="0" borderId="0" xfId="0" applyNumberFormat="1" applyFont="1" applyBorder="1"/>
    <xf numFmtId="0" fontId="30" fillId="0" borderId="0" xfId="0" applyFont="1" applyBorder="1"/>
    <xf numFmtId="167" fontId="27" fillId="0" borderId="0" xfId="2" applyNumberFormat="1" applyFont="1" applyBorder="1"/>
    <xf numFmtId="1" fontId="4" fillId="3" borderId="4" xfId="2" applyNumberFormat="1" applyFont="1" applyFill="1" applyBorder="1"/>
    <xf numFmtId="10" fontId="4" fillId="3" borderId="4" xfId="1" applyNumberFormat="1" applyFont="1" applyFill="1" applyBorder="1"/>
    <xf numFmtId="165" fontId="4" fillId="3" borderId="4" xfId="2" applyFont="1" applyFill="1" applyBorder="1"/>
    <xf numFmtId="0" fontId="4" fillId="0" borderId="0" xfId="0" applyFont="1" applyAlignment="1">
      <alignment horizontal="left"/>
    </xf>
    <xf numFmtId="0" fontId="9" fillId="0" borderId="0" xfId="0" applyFont="1" applyFill="1" applyBorder="1"/>
    <xf numFmtId="3" fontId="0" fillId="0" borderId="0" xfId="0" applyNumberFormat="1" applyBorder="1"/>
    <xf numFmtId="0" fontId="17" fillId="5" borderId="0" xfId="0" applyFont="1" applyFill="1" applyBorder="1" applyAlignment="1">
      <alignment horizontal="center"/>
    </xf>
    <xf numFmtId="168" fontId="11" fillId="0" borderId="0" xfId="2" applyNumberFormat="1" applyFont="1" applyFill="1" applyBorder="1"/>
    <xf numFmtId="168" fontId="4" fillId="0" borderId="11" xfId="2" applyNumberFormat="1" applyFont="1" applyFill="1" applyBorder="1" applyAlignment="1">
      <alignment horizontal="left"/>
    </xf>
    <xf numFmtId="171" fontId="24" fillId="0" borderId="0" xfId="0" applyNumberFormat="1" applyFont="1" applyBorder="1"/>
    <xf numFmtId="165" fontId="39" fillId="0" borderId="37" xfId="2" applyNumberFormat="1" applyFont="1" applyFill="1" applyBorder="1" applyAlignment="1">
      <alignment horizontal="center"/>
    </xf>
    <xf numFmtId="9" fontId="39" fillId="0" borderId="0" xfId="1" applyFont="1" applyFill="1" applyBorder="1" applyAlignment="1">
      <alignment horizontal="center" vertical="center"/>
    </xf>
    <xf numFmtId="9" fontId="46" fillId="0" borderId="7" xfId="1" applyFont="1" applyFill="1" applyBorder="1" applyAlignment="1">
      <alignment horizontal="center"/>
    </xf>
    <xf numFmtId="9" fontId="39" fillId="0" borderId="0" xfId="1" applyNumberFormat="1" applyFont="1" applyFill="1" applyBorder="1" applyAlignment="1">
      <alignment horizontal="center"/>
    </xf>
    <xf numFmtId="9" fontId="39" fillId="0" borderId="4" xfId="1" applyFont="1" applyFill="1" applyBorder="1" applyAlignment="1">
      <alignment horizontal="center"/>
    </xf>
    <xf numFmtId="168" fontId="46" fillId="0" borderId="7" xfId="2" applyNumberFormat="1" applyFont="1" applyFill="1" applyBorder="1" applyAlignment="1">
      <alignment horizontal="right"/>
    </xf>
    <xf numFmtId="168" fontId="46" fillId="0" borderId="24" xfId="2" applyNumberFormat="1" applyFont="1" applyBorder="1" applyAlignment="1">
      <alignment horizontal="right"/>
    </xf>
    <xf numFmtId="0" fontId="68" fillId="0" borderId="0" xfId="0" applyFont="1" applyFill="1" applyAlignment="1">
      <alignment vertical="center"/>
    </xf>
    <xf numFmtId="0" fontId="0" fillId="8" borderId="0" xfId="0" applyFill="1"/>
    <xf numFmtId="0" fontId="19" fillId="4" borderId="0" xfId="0" applyFont="1" applyFill="1" applyAlignment="1">
      <alignment horizontal="center" vertical="center"/>
    </xf>
    <xf numFmtId="167" fontId="16" fillId="0" borderId="0" xfId="2" applyNumberFormat="1" applyFont="1" applyBorder="1" applyAlignment="1">
      <alignment horizontal="center" vertical="center"/>
    </xf>
    <xf numFmtId="167" fontId="16" fillId="0" borderId="0" xfId="2" applyNumberFormat="1" applyFont="1" applyBorder="1" applyAlignment="1" applyProtection="1">
      <alignment horizontal="center" vertical="center"/>
    </xf>
    <xf numFmtId="167" fontId="16" fillId="0" borderId="0" xfId="2" applyNumberFormat="1" applyFont="1" applyBorder="1" applyAlignment="1">
      <alignment horizontal="center"/>
    </xf>
    <xf numFmtId="0" fontId="69" fillId="0" borderId="0" xfId="0" applyFont="1" applyFill="1"/>
    <xf numFmtId="0" fontId="69" fillId="0" borderId="0" xfId="0" applyFont="1" applyFill="1" applyBorder="1"/>
    <xf numFmtId="0" fontId="18" fillId="0" borderId="0" xfId="0" applyFont="1" applyFill="1"/>
    <xf numFmtId="0" fontId="17" fillId="0" borderId="0" xfId="0" applyFont="1" applyFill="1" applyBorder="1" applyAlignment="1">
      <alignment horizontal="center"/>
    </xf>
    <xf numFmtId="0" fontId="3" fillId="0" borderId="0" xfId="0" applyFont="1"/>
    <xf numFmtId="0" fontId="3" fillId="0" borderId="0" xfId="0" applyFont="1" applyBorder="1"/>
    <xf numFmtId="0" fontId="3" fillId="0" borderId="0" xfId="0" applyFont="1" applyFill="1" applyBorder="1" applyAlignment="1">
      <alignment horizontal="center"/>
    </xf>
    <xf numFmtId="174" fontId="3" fillId="5" borderId="0" xfId="2" applyNumberFormat="1" applyFont="1" applyFill="1"/>
    <xf numFmtId="174" fontId="3" fillId="5" borderId="0" xfId="2" applyNumberFormat="1" applyFont="1" applyFill="1" applyProtection="1"/>
    <xf numFmtId="168" fontId="3" fillId="5" borderId="0" xfId="2" applyNumberFormat="1" applyFont="1" applyFill="1" applyBorder="1"/>
    <xf numFmtId="0" fontId="33" fillId="0" borderId="0" xfId="0" applyFont="1"/>
    <xf numFmtId="174" fontId="3" fillId="0" borderId="0" xfId="0" applyNumberFormat="1" applyFont="1" applyFill="1" applyBorder="1"/>
    <xf numFmtId="167" fontId="17" fillId="0" borderId="0" xfId="2" applyNumberFormat="1" applyFont="1" applyBorder="1" applyAlignment="1">
      <alignment horizontal="center"/>
    </xf>
    <xf numFmtId="175" fontId="0" fillId="0" borderId="0" xfId="0" applyNumberFormat="1"/>
    <xf numFmtId="0" fontId="0" fillId="0" borderId="4" xfId="0" applyBorder="1"/>
    <xf numFmtId="174" fontId="11" fillId="5" borderId="0" xfId="2" applyNumberFormat="1" applyFont="1" applyFill="1" applyProtection="1"/>
    <xf numFmtId="0" fontId="11" fillId="5" borderId="0" xfId="0" applyFont="1" applyFill="1" applyBorder="1" applyAlignment="1">
      <alignment horizontal="left"/>
    </xf>
    <xf numFmtId="0" fontId="11" fillId="0" borderId="0" xfId="0" applyFont="1" applyFill="1" applyAlignment="1">
      <alignment horizontal="left" vertical="center"/>
    </xf>
    <xf numFmtId="167" fontId="3" fillId="0" borderId="0" xfId="2" applyNumberFormat="1" applyFont="1" applyFill="1" applyBorder="1"/>
    <xf numFmtId="167" fontId="11" fillId="0" borderId="0" xfId="2" applyNumberFormat="1" applyFont="1" applyFill="1" applyBorder="1" applyAlignment="1"/>
    <xf numFmtId="167" fontId="3" fillId="0" borderId="11" xfId="2" applyNumberFormat="1" applyFont="1" applyFill="1" applyBorder="1" applyAlignment="1"/>
    <xf numFmtId="167" fontId="3" fillId="0" borderId="0" xfId="2" applyNumberFormat="1" applyFont="1" applyFill="1" applyBorder="1" applyAlignment="1"/>
    <xf numFmtId="174" fontId="9" fillId="0" borderId="0" xfId="0" applyNumberFormat="1" applyFont="1" applyBorder="1"/>
    <xf numFmtId="0" fontId="54" fillId="0" borderId="0" xfId="0" applyFont="1" applyBorder="1" applyAlignment="1">
      <alignment horizontal="center"/>
    </xf>
    <xf numFmtId="167" fontId="10" fillId="0" borderId="0" xfId="2" applyNumberFormat="1" applyFont="1" applyAlignment="1">
      <alignment horizontal="center"/>
    </xf>
    <xf numFmtId="167" fontId="10" fillId="0" borderId="0" xfId="2" applyNumberFormat="1" applyFont="1" applyBorder="1" applyAlignment="1">
      <alignment horizontal="center"/>
    </xf>
    <xf numFmtId="167" fontId="10" fillId="0" borderId="4" xfId="2" applyNumberFormat="1" applyFont="1" applyBorder="1" applyAlignment="1">
      <alignment horizontal="center"/>
    </xf>
    <xf numFmtId="174" fontId="3" fillId="0" borderId="0" xfId="0" applyNumberFormat="1" applyFont="1"/>
    <xf numFmtId="174" fontId="11" fillId="0" borderId="0" xfId="2" applyNumberFormat="1" applyFont="1"/>
    <xf numFmtId="174" fontId="11" fillId="0" borderId="0" xfId="2" applyNumberFormat="1" applyFont="1" applyBorder="1"/>
    <xf numFmtId="174" fontId="7" fillId="0" borderId="0" xfId="2" applyNumberFormat="1" applyFont="1"/>
    <xf numFmtId="174" fontId="7" fillId="0" borderId="0" xfId="2" applyNumberFormat="1" applyFont="1" applyBorder="1"/>
    <xf numFmtId="168" fontId="3" fillId="5" borderId="0" xfId="2" applyNumberFormat="1" applyFont="1" applyFill="1" applyProtection="1"/>
    <xf numFmtId="168" fontId="3" fillId="5" borderId="0" xfId="2" applyNumberFormat="1" applyFont="1" applyFill="1"/>
    <xf numFmtId="168" fontId="3" fillId="5" borderId="4" xfId="2" applyNumberFormat="1" applyFont="1" applyFill="1" applyBorder="1"/>
    <xf numFmtId="174" fontId="11" fillId="0" borderId="0" xfId="0" applyNumberFormat="1" applyFont="1"/>
    <xf numFmtId="0" fontId="20" fillId="0" borderId="0" xfId="0" applyFont="1" applyFill="1" applyBorder="1" applyAlignment="1">
      <alignment vertical="center"/>
    </xf>
    <xf numFmtId="0" fontId="19" fillId="0" borderId="0" xfId="0" applyFont="1" applyFill="1" applyBorder="1" applyAlignment="1">
      <alignment horizontal="center" vertical="center"/>
    </xf>
    <xf numFmtId="0" fontId="67" fillId="0" borderId="0" xfId="7" applyFont="1" applyFill="1" applyBorder="1" applyAlignment="1"/>
    <xf numFmtId="0" fontId="69" fillId="0" borderId="0" xfId="0" applyFont="1" applyBorder="1"/>
    <xf numFmtId="0" fontId="69" fillId="0" borderId="0" xfId="0" applyFont="1"/>
    <xf numFmtId="167" fontId="7" fillId="0" borderId="0" xfId="2" applyNumberFormat="1" applyFont="1" applyBorder="1"/>
    <xf numFmtId="167" fontId="7" fillId="0" borderId="0" xfId="2" applyNumberFormat="1" applyFont="1"/>
    <xf numFmtId="0" fontId="7" fillId="0" borderId="0" xfId="0" applyFont="1" applyBorder="1"/>
    <xf numFmtId="0" fontId="70" fillId="0" borderId="0" xfId="0" applyFont="1"/>
    <xf numFmtId="171" fontId="7" fillId="0" borderId="0" xfId="0" applyNumberFormat="1" applyFont="1" applyFill="1" applyBorder="1" applyAlignment="1"/>
    <xf numFmtId="167" fontId="7" fillId="0" borderId="0" xfId="0" applyNumberFormat="1" applyFont="1" applyBorder="1"/>
    <xf numFmtId="174" fontId="7" fillId="0" borderId="0" xfId="0" applyNumberFormat="1" applyFont="1"/>
    <xf numFmtId="174" fontId="7" fillId="0" borderId="0" xfId="0" applyNumberFormat="1" applyFont="1" applyBorder="1"/>
    <xf numFmtId="0" fontId="48" fillId="0" borderId="0" xfId="0" applyFont="1" applyBorder="1"/>
    <xf numFmtId="0" fontId="10" fillId="0" borderId="12" xfId="0" applyFont="1" applyBorder="1"/>
    <xf numFmtId="0" fontId="10" fillId="0" borderId="7" xfId="0" applyFont="1" applyFill="1" applyBorder="1" applyAlignment="1">
      <alignment horizontal="left"/>
    </xf>
    <xf numFmtId="171" fontId="10" fillId="0" borderId="7" xfId="0" applyNumberFormat="1" applyFont="1" applyFill="1" applyBorder="1" applyAlignment="1"/>
    <xf numFmtId="172" fontId="10" fillId="0" borderId="7" xfId="0" applyNumberFormat="1" applyFont="1" applyFill="1" applyBorder="1" applyAlignment="1"/>
    <xf numFmtId="172" fontId="11" fillId="0" borderId="0" xfId="0" applyNumberFormat="1" applyFont="1" applyFill="1" applyBorder="1"/>
    <xf numFmtId="171" fontId="11" fillId="0" borderId="0" xfId="0" applyNumberFormat="1" applyFont="1" applyBorder="1"/>
    <xf numFmtId="171" fontId="11" fillId="0" borderId="2" xfId="0" applyNumberFormat="1" applyFont="1" applyBorder="1"/>
    <xf numFmtId="172" fontId="11" fillId="0" borderId="4" xfId="0" applyNumberFormat="1" applyFont="1" applyFill="1" applyBorder="1"/>
    <xf numFmtId="171" fontId="11" fillId="0" borderId="4" xfId="0" applyNumberFormat="1" applyFont="1" applyBorder="1"/>
    <xf numFmtId="0" fontId="11" fillId="0" borderId="3" xfId="0" applyFont="1" applyFill="1" applyBorder="1"/>
    <xf numFmtId="0" fontId="11" fillId="0" borderId="4" xfId="0" applyFont="1" applyFill="1" applyBorder="1"/>
    <xf numFmtId="0" fontId="72" fillId="4" borderId="0" xfId="0" applyFont="1" applyFill="1" applyBorder="1" applyAlignment="1">
      <alignment vertical="center"/>
    </xf>
    <xf numFmtId="0" fontId="12" fillId="0" borderId="4" xfId="0" applyFont="1" applyBorder="1" applyAlignment="1">
      <alignment horizontal="left"/>
    </xf>
    <xf numFmtId="167" fontId="12" fillId="0" borderId="4" xfId="2" applyNumberFormat="1" applyFont="1" applyBorder="1"/>
    <xf numFmtId="0" fontId="12" fillId="0" borderId="4" xfId="0" applyFont="1" applyBorder="1"/>
    <xf numFmtId="9" fontId="12" fillId="0" borderId="4" xfId="1" applyFont="1" applyBorder="1"/>
    <xf numFmtId="0" fontId="71" fillId="9" borderId="0" xfId="8"/>
    <xf numFmtId="9" fontId="27" fillId="0" borderId="11" xfId="1" applyFont="1" applyFill="1" applyBorder="1" applyAlignment="1">
      <alignment horizontal="center"/>
    </xf>
    <xf numFmtId="168" fontId="24" fillId="0" borderId="11" xfId="2" applyNumberFormat="1" applyFont="1" applyFill="1" applyBorder="1" applyAlignment="1">
      <alignment horizontal="center"/>
    </xf>
    <xf numFmtId="168" fontId="24" fillId="0" borderId="0" xfId="2" applyNumberFormat="1" applyFont="1" applyFill="1" applyBorder="1" applyAlignment="1">
      <alignment horizontal="center"/>
    </xf>
    <xf numFmtId="0" fontId="19" fillId="5" borderId="0" xfId="0" applyFont="1" applyFill="1" applyBorder="1" applyAlignment="1">
      <alignment horizontal="center"/>
    </xf>
    <xf numFmtId="0" fontId="33" fillId="5" borderId="0" xfId="0" applyFont="1" applyFill="1" applyBorder="1" applyAlignment="1">
      <alignment horizontal="center"/>
    </xf>
    <xf numFmtId="0" fontId="19" fillId="5" borderId="0" xfId="0" applyFont="1" applyFill="1" applyBorder="1" applyAlignment="1"/>
    <xf numFmtId="0" fontId="33" fillId="5" borderId="0" xfId="0" applyFont="1" applyFill="1" applyBorder="1" applyAlignment="1"/>
    <xf numFmtId="167" fontId="9" fillId="0" borderId="0" xfId="2" applyNumberFormat="1" applyFont="1"/>
    <xf numFmtId="4" fontId="0" fillId="0" borderId="0" xfId="0" applyNumberFormat="1"/>
    <xf numFmtId="9" fontId="3" fillId="5" borderId="0" xfId="2" applyNumberFormat="1" applyFont="1" applyFill="1" applyProtection="1"/>
    <xf numFmtId="0" fontId="73" fillId="0" borderId="0" xfId="0" applyFont="1" applyFill="1" applyAlignment="1">
      <alignment vertical="center"/>
    </xf>
    <xf numFmtId="0" fontId="73" fillId="0" borderId="0" xfId="0" applyFont="1" applyFill="1" applyBorder="1" applyAlignment="1">
      <alignment vertical="center"/>
    </xf>
    <xf numFmtId="168" fontId="4" fillId="0" borderId="8" xfId="2" applyNumberFormat="1" applyFont="1" applyFill="1" applyBorder="1" applyAlignment="1">
      <alignment horizontal="left"/>
    </xf>
    <xf numFmtId="171" fontId="3" fillId="0" borderId="0" xfId="2" applyNumberFormat="1" applyFont="1" applyBorder="1" applyAlignment="1">
      <alignment horizontal="right"/>
    </xf>
    <xf numFmtId="171" fontId="3" fillId="0" borderId="4" xfId="2" applyNumberFormat="1" applyFont="1" applyBorder="1" applyAlignment="1">
      <alignment horizontal="right"/>
    </xf>
    <xf numFmtId="171" fontId="3" fillId="0" borderId="0" xfId="2" applyNumberFormat="1" applyFont="1" applyFill="1" applyAlignment="1">
      <alignment horizontal="right"/>
    </xf>
    <xf numFmtId="171" fontId="3" fillId="0" borderId="0" xfId="2" applyNumberFormat="1" applyFont="1" applyFill="1" applyBorder="1" applyAlignment="1">
      <alignment horizontal="right"/>
    </xf>
    <xf numFmtId="171" fontId="3" fillId="0" borderId="4" xfId="2" applyNumberFormat="1" applyFont="1" applyFill="1" applyBorder="1" applyAlignment="1">
      <alignment horizontal="right"/>
    </xf>
    <xf numFmtId="171" fontId="11" fillId="0" borderId="0" xfId="2" applyNumberFormat="1" applyFont="1" applyFill="1" applyBorder="1" applyAlignment="1">
      <alignment horizontal="right"/>
    </xf>
    <xf numFmtId="171" fontId="3" fillId="5" borderId="24" xfId="2" applyNumberFormat="1" applyFont="1" applyFill="1" applyBorder="1" applyProtection="1"/>
    <xf numFmtId="171" fontId="3" fillId="5" borderId="0" xfId="2" applyNumberFormat="1" applyFont="1" applyFill="1" applyProtection="1"/>
    <xf numFmtId="171" fontId="3" fillId="5" borderId="0" xfId="2" applyNumberFormat="1" applyFont="1" applyFill="1" applyBorder="1"/>
    <xf numFmtId="171" fontId="3" fillId="0" borderId="0" xfId="0" applyNumberFormat="1" applyFont="1" applyFill="1" applyBorder="1"/>
    <xf numFmtId="171" fontId="11" fillId="5" borderId="0" xfId="2" applyNumberFormat="1" applyFont="1" applyFill="1" applyProtection="1"/>
    <xf numFmtId="171" fontId="3" fillId="5" borderId="0" xfId="2" applyNumberFormat="1" applyFont="1" applyFill="1"/>
    <xf numFmtId="171" fontId="4" fillId="0" borderId="8" xfId="2" applyNumberFormat="1" applyFont="1" applyBorder="1" applyAlignment="1">
      <alignment horizontal="right"/>
    </xf>
    <xf numFmtId="167" fontId="3" fillId="0" borderId="0" xfId="2" applyNumberFormat="1" applyFont="1" applyFill="1" applyBorder="1" applyAlignment="1">
      <alignment horizontal="right"/>
    </xf>
    <xf numFmtId="174" fontId="4" fillId="0" borderId="8" xfId="2" applyNumberFormat="1" applyFont="1" applyBorder="1" applyAlignment="1">
      <alignment horizontal="right"/>
    </xf>
    <xf numFmtId="174" fontId="4" fillId="0" borderId="0" xfId="2" applyNumberFormat="1" applyFont="1" applyBorder="1" applyAlignment="1">
      <alignment horizontal="right"/>
    </xf>
    <xf numFmtId="174" fontId="4" fillId="0" borderId="11" xfId="2" applyNumberFormat="1" applyFont="1" applyBorder="1" applyAlignment="1">
      <alignment horizontal="right"/>
    </xf>
    <xf numFmtId="171" fontId="48" fillId="0" borderId="0" xfId="0" applyNumberFormat="1" applyFont="1" applyBorder="1"/>
    <xf numFmtId="171" fontId="48" fillId="0" borderId="0" xfId="0" applyNumberFormat="1" applyFont="1" applyFill="1" applyBorder="1"/>
    <xf numFmtId="171" fontId="11" fillId="0" borderId="5" xfId="0" applyNumberFormat="1" applyFont="1" applyBorder="1"/>
    <xf numFmtId="0" fontId="33" fillId="0" borderId="0" xfId="0" applyFont="1" applyFill="1" applyAlignment="1">
      <alignment vertical="center"/>
    </xf>
    <xf numFmtId="0" fontId="33" fillId="0" borderId="0" xfId="0" applyFont="1" applyFill="1" applyBorder="1" applyAlignment="1">
      <alignment vertical="center"/>
    </xf>
    <xf numFmtId="174" fontId="9" fillId="0" borderId="0" xfId="0" applyNumberFormat="1" applyFont="1" applyFill="1" applyBorder="1"/>
    <xf numFmtId="174" fontId="9" fillId="0" borderId="7" xfId="0" applyNumberFormat="1" applyFont="1" applyBorder="1"/>
    <xf numFmtId="168" fontId="9" fillId="0" borderId="4" xfId="2" applyNumberFormat="1" applyFont="1" applyBorder="1"/>
    <xf numFmtId="168" fontId="9" fillId="0" borderId="0" xfId="2" applyNumberFormat="1" applyFont="1"/>
    <xf numFmtId="168" fontId="9" fillId="0" borderId="0" xfId="2" applyNumberFormat="1" applyFont="1" applyBorder="1"/>
    <xf numFmtId="168" fontId="9" fillId="5" borderId="0" xfId="2" applyNumberFormat="1" applyFont="1" applyFill="1" applyProtection="1"/>
    <xf numFmtId="9" fontId="4" fillId="3" borderId="4" xfId="1" applyFont="1" applyFill="1" applyBorder="1"/>
    <xf numFmtId="9" fontId="4" fillId="3" borderId="38" xfId="1" applyFont="1" applyFill="1" applyBorder="1"/>
    <xf numFmtId="167" fontId="15" fillId="2" borderId="39" xfId="2" applyNumberFormat="1" applyFont="1" applyFill="1" applyBorder="1"/>
    <xf numFmtId="167" fontId="4" fillId="2" borderId="4" xfId="2" applyNumberFormat="1" applyFont="1" applyFill="1" applyBorder="1"/>
    <xf numFmtId="167" fontId="10" fillId="0" borderId="4" xfId="2" applyNumberFormat="1" applyFont="1" applyBorder="1"/>
    <xf numFmtId="0" fontId="10" fillId="0" borderId="4" xfId="0" applyFont="1" applyBorder="1" applyAlignment="1">
      <alignment horizontal="left"/>
    </xf>
    <xf numFmtId="0" fontId="15" fillId="0" borderId="40" xfId="0" applyNumberFormat="1" applyFont="1" applyBorder="1" applyAlignment="1">
      <alignment horizontal="center"/>
    </xf>
    <xf numFmtId="0" fontId="15" fillId="0" borderId="9" xfId="0" applyNumberFormat="1" applyFont="1" applyBorder="1" applyAlignment="1">
      <alignment horizontal="center"/>
    </xf>
    <xf numFmtId="0" fontId="4" fillId="0" borderId="9" xfId="0" applyNumberFormat="1" applyFont="1" applyBorder="1" applyAlignment="1">
      <alignment horizontal="center"/>
    </xf>
    <xf numFmtId="167" fontId="15" fillId="0" borderId="9" xfId="2" applyNumberFormat="1" applyFont="1" applyBorder="1" applyAlignment="1">
      <alignment horizontal="center"/>
    </xf>
    <xf numFmtId="9" fontId="15" fillId="0" borderId="9" xfId="1" applyFont="1" applyBorder="1" applyAlignment="1">
      <alignment horizontal="center"/>
    </xf>
    <xf numFmtId="172" fontId="15" fillId="0" borderId="9" xfId="0" applyNumberFormat="1" applyFont="1" applyBorder="1" applyAlignment="1">
      <alignment horizontal="center"/>
    </xf>
    <xf numFmtId="0" fontId="15" fillId="0" borderId="41" xfId="0" applyFont="1" applyBorder="1" applyAlignment="1">
      <alignment horizontal="center"/>
    </xf>
    <xf numFmtId="0" fontId="4" fillId="0" borderId="40" xfId="0" applyFont="1" applyBorder="1"/>
    <xf numFmtId="0" fontId="15" fillId="0" borderId="9" xfId="0" applyFont="1" applyBorder="1"/>
    <xf numFmtId="0" fontId="15" fillId="0" borderId="41" xfId="0" applyFont="1" applyBorder="1"/>
    <xf numFmtId="167" fontId="4" fillId="0" borderId="4" xfId="2" applyNumberFormat="1" applyFont="1" applyBorder="1"/>
    <xf numFmtId="0" fontId="10" fillId="0" borderId="13" xfId="0" applyFont="1" applyBorder="1"/>
    <xf numFmtId="0" fontId="3" fillId="0" borderId="0" xfId="0" applyFont="1" applyAlignment="1">
      <alignment horizontal="right"/>
    </xf>
    <xf numFmtId="0" fontId="3" fillId="0" borderId="0" xfId="0" applyFont="1" applyFill="1" applyBorder="1" applyAlignment="1">
      <alignment horizontal="right"/>
    </xf>
    <xf numFmtId="167" fontId="11" fillId="0" borderId="0" xfId="2" applyNumberFormat="1" applyFont="1" applyAlignment="1">
      <alignment horizontal="right"/>
    </xf>
    <xf numFmtId="167" fontId="11" fillId="0" borderId="0" xfId="2" applyNumberFormat="1" applyFont="1" applyBorder="1" applyAlignment="1">
      <alignment horizontal="right"/>
    </xf>
    <xf numFmtId="0" fontId="19" fillId="4" borderId="0" xfId="0" applyFont="1" applyFill="1" applyAlignment="1">
      <alignment horizontal="center" vertical="center"/>
    </xf>
    <xf numFmtId="0" fontId="66" fillId="0" borderId="0" xfId="7" applyFont="1" applyBorder="1" applyAlignment="1">
      <alignment horizontal="center"/>
    </xf>
    <xf numFmtId="0" fontId="65" fillId="0" borderId="0" xfId="0" applyFont="1"/>
    <xf numFmtId="0" fontId="65" fillId="0" borderId="0" xfId="0" applyFont="1" applyAlignment="1">
      <alignment horizontal="center"/>
    </xf>
    <xf numFmtId="0" fontId="66" fillId="0" borderId="8" xfId="7" applyFont="1" applyBorder="1" applyAlignment="1">
      <alignment horizontal="center"/>
    </xf>
    <xf numFmtId="0" fontId="65" fillId="0" borderId="0" xfId="0" applyFont="1" applyBorder="1"/>
    <xf numFmtId="0" fontId="65" fillId="0" borderId="0" xfId="0" applyFont="1" applyBorder="1" applyAlignment="1">
      <alignment horizontal="center"/>
    </xf>
    <xf numFmtId="0" fontId="66" fillId="0" borderId="0" xfId="7" applyFont="1" applyBorder="1" applyAlignment="1">
      <alignment vertical="center"/>
    </xf>
    <xf numFmtId="14" fontId="2" fillId="0" borderId="0" xfId="3" applyNumberFormat="1" applyFont="1"/>
    <xf numFmtId="0" fontId="2" fillId="0" borderId="0" xfId="3" applyFont="1"/>
    <xf numFmtId="0" fontId="12" fillId="0" borderId="12" xfId="0" applyFont="1" applyBorder="1"/>
    <xf numFmtId="0" fontId="12" fillId="0" borderId="7" xfId="0" applyFont="1" applyBorder="1" applyAlignment="1">
      <alignment horizontal="left"/>
    </xf>
    <xf numFmtId="0" fontId="12" fillId="0" borderId="7" xfId="0" applyFont="1" applyBorder="1"/>
    <xf numFmtId="0" fontId="12" fillId="0" borderId="13" xfId="0" applyFont="1" applyBorder="1"/>
    <xf numFmtId="0" fontId="12" fillId="0" borderId="10" xfId="0" applyFont="1" applyBorder="1"/>
    <xf numFmtId="0" fontId="12" fillId="0" borderId="0" xfId="0" applyFont="1" applyBorder="1" applyAlignment="1">
      <alignment horizontal="left"/>
    </xf>
    <xf numFmtId="0" fontId="12" fillId="0" borderId="2" xfId="0" applyFont="1" applyBorder="1"/>
    <xf numFmtId="9" fontId="12" fillId="0" borderId="2" xfId="1" applyFont="1" applyBorder="1"/>
    <xf numFmtId="9" fontId="12" fillId="0" borderId="5" xfId="1" applyFont="1" applyBorder="1"/>
    <xf numFmtId="0" fontId="12" fillId="0" borderId="3" xfId="0" applyFont="1" applyBorder="1"/>
    <xf numFmtId="0" fontId="60" fillId="0" borderId="0" xfId="7" applyFont="1"/>
    <xf numFmtId="4" fontId="3" fillId="0" borderId="0" xfId="0" applyNumberFormat="1" applyFont="1"/>
    <xf numFmtId="167" fontId="35" fillId="5" borderId="6" xfId="2" applyNumberFormat="1" applyFont="1" applyFill="1" applyBorder="1" applyProtection="1">
      <protection locked="0"/>
    </xf>
    <xf numFmtId="9" fontId="35" fillId="5" borderId="6" xfId="1" applyFont="1" applyFill="1" applyBorder="1" applyProtection="1">
      <protection locked="0"/>
    </xf>
    <xf numFmtId="165" fontId="35" fillId="5" borderId="6" xfId="2" applyFont="1" applyFill="1" applyBorder="1" applyProtection="1">
      <protection locked="0"/>
    </xf>
    <xf numFmtId="167" fontId="35" fillId="5" borderId="7" xfId="2" applyNumberFormat="1" applyFont="1" applyFill="1" applyBorder="1" applyProtection="1">
      <protection locked="0"/>
    </xf>
    <xf numFmtId="167" fontId="0" fillId="5" borderId="7" xfId="2" applyNumberFormat="1" applyFont="1" applyFill="1" applyBorder="1" applyProtection="1">
      <protection locked="0"/>
    </xf>
    <xf numFmtId="167" fontId="35" fillId="5" borderId="4" xfId="2" applyNumberFormat="1" applyFont="1" applyFill="1" applyBorder="1" applyProtection="1">
      <protection locked="0"/>
    </xf>
    <xf numFmtId="167" fontId="0" fillId="5" borderId="4" xfId="2" applyNumberFormat="1" applyFont="1" applyFill="1" applyBorder="1" applyProtection="1">
      <protection locked="0"/>
    </xf>
    <xf numFmtId="9" fontId="35" fillId="5" borderId="7" xfId="1" applyFont="1" applyFill="1" applyBorder="1" applyProtection="1">
      <protection locked="0"/>
    </xf>
    <xf numFmtId="9" fontId="35" fillId="5" borderId="4" xfId="1" applyFont="1" applyFill="1" applyBorder="1" applyProtection="1">
      <protection locked="0"/>
    </xf>
    <xf numFmtId="165" fontId="35" fillId="5" borderId="7" xfId="2" applyFont="1" applyFill="1" applyBorder="1" applyProtection="1">
      <protection locked="0"/>
    </xf>
    <xf numFmtId="165" fontId="35" fillId="5" borderId="4" xfId="2" applyFont="1" applyFill="1" applyBorder="1" applyProtection="1">
      <protection locked="0"/>
    </xf>
    <xf numFmtId="167" fontId="0" fillId="5" borderId="6" xfId="2" applyNumberFormat="1" applyFont="1" applyFill="1" applyBorder="1" applyProtection="1">
      <protection locked="0"/>
    </xf>
    <xf numFmtId="168" fontId="24" fillId="6" borderId="0" xfId="2" applyNumberFormat="1" applyFont="1" applyFill="1" applyProtection="1">
      <protection locked="0"/>
    </xf>
    <xf numFmtId="168" fontId="11" fillId="6" borderId="0" xfId="2" applyNumberFormat="1" applyFont="1" applyFill="1" applyBorder="1" applyAlignment="1" applyProtection="1">
      <protection locked="0"/>
    </xf>
    <xf numFmtId="167" fontId="11" fillId="6" borderId="0" xfId="2" applyNumberFormat="1" applyFont="1" applyFill="1" applyBorder="1" applyProtection="1">
      <protection locked="0"/>
    </xf>
    <xf numFmtId="167" fontId="11" fillId="6" borderId="0" xfId="2" applyNumberFormat="1" applyFont="1" applyFill="1" applyBorder="1" applyAlignment="1" applyProtection="1">
      <protection locked="0"/>
    </xf>
    <xf numFmtId="167" fontId="3" fillId="6" borderId="0" xfId="2" applyNumberFormat="1" applyFont="1" applyFill="1" applyProtection="1">
      <protection locked="0"/>
    </xf>
    <xf numFmtId="174" fontId="35" fillId="0" borderId="0" xfId="0" applyNumberFormat="1" applyFont="1"/>
    <xf numFmtId="0" fontId="3" fillId="0" borderId="14" xfId="0" applyFont="1" applyBorder="1"/>
    <xf numFmtId="0" fontId="3" fillId="0" borderId="23" xfId="0" applyFont="1" applyBorder="1"/>
    <xf numFmtId="0" fontId="0" fillId="0" borderId="15" xfId="0" applyFont="1" applyBorder="1"/>
    <xf numFmtId="0" fontId="0" fillId="0" borderId="16" xfId="0" applyFont="1" applyFill="1" applyBorder="1"/>
    <xf numFmtId="9" fontId="3" fillId="0" borderId="0" xfId="0" applyNumberFormat="1" applyFont="1" applyBorder="1"/>
    <xf numFmtId="9" fontId="3" fillId="0" borderId="17" xfId="0" applyNumberFormat="1" applyFont="1" applyBorder="1"/>
    <xf numFmtId="0" fontId="3" fillId="0" borderId="18" xfId="0" applyFont="1" applyBorder="1"/>
    <xf numFmtId="0" fontId="3" fillId="0" borderId="8" xfId="0" applyFont="1" applyBorder="1"/>
    <xf numFmtId="9" fontId="3" fillId="0" borderId="19" xfId="0" applyNumberFormat="1" applyFont="1" applyBorder="1"/>
    <xf numFmtId="9" fontId="11" fillId="0" borderId="0" xfId="4" applyNumberFormat="1" applyFont="1" applyFill="1" applyBorder="1" applyAlignment="1">
      <alignment horizontal="center"/>
    </xf>
    <xf numFmtId="175" fontId="11" fillId="0" borderId="0" xfId="4" applyNumberFormat="1" applyFont="1" applyFill="1" applyBorder="1" applyAlignment="1">
      <alignment horizontal="center"/>
    </xf>
    <xf numFmtId="3" fontId="11" fillId="0" borderId="0" xfId="4" applyNumberFormat="1" applyFont="1" applyFill="1" applyBorder="1" applyAlignment="1">
      <alignment horizontal="center"/>
    </xf>
    <xf numFmtId="0" fontId="7" fillId="0" borderId="0" xfId="0" applyFont="1" applyFill="1" applyBorder="1" applyAlignment="1">
      <alignment horizontal="center"/>
    </xf>
    <xf numFmtId="0" fontId="7" fillId="0" borderId="0" xfId="0" applyFont="1" applyAlignment="1">
      <alignment horizontal="center"/>
    </xf>
    <xf numFmtId="166" fontId="7" fillId="0" borderId="0" xfId="4" applyNumberFormat="1" applyFont="1" applyFill="1" applyBorder="1" applyAlignment="1">
      <alignment horizontal="center"/>
    </xf>
    <xf numFmtId="2" fontId="7" fillId="0" borderId="0" xfId="1" applyNumberFormat="1" applyFont="1" applyFill="1" applyBorder="1" applyAlignment="1">
      <alignment horizontal="center"/>
    </xf>
    <xf numFmtId="168" fontId="7" fillId="0" borderId="0" xfId="0" applyNumberFormat="1" applyFont="1" applyBorder="1"/>
    <xf numFmtId="2" fontId="7" fillId="0" borderId="0" xfId="2" applyNumberFormat="1" applyFont="1"/>
    <xf numFmtId="0" fontId="7" fillId="0" borderId="0" xfId="1" applyNumberFormat="1" applyFont="1" applyFill="1" applyBorder="1" applyAlignment="1">
      <alignment horizontal="center"/>
    </xf>
    <xf numFmtId="2" fontId="7" fillId="0" borderId="0" xfId="2" applyNumberFormat="1" applyFont="1" applyBorder="1"/>
    <xf numFmtId="9" fontId="7" fillId="0" borderId="0" xfId="0" applyNumberFormat="1" applyFont="1" applyFill="1" applyBorder="1" applyAlignment="1">
      <alignment horizontal="center"/>
    </xf>
    <xf numFmtId="171" fontId="3" fillId="0" borderId="7" xfId="2" applyNumberFormat="1" applyFont="1" applyFill="1" applyBorder="1" applyAlignment="1">
      <alignment horizontal="right"/>
    </xf>
    <xf numFmtId="0" fontId="20" fillId="4" borderId="0" xfId="7" applyFont="1" applyFill="1" applyAlignment="1">
      <alignment horizontal="center"/>
    </xf>
    <xf numFmtId="0" fontId="30" fillId="5" borderId="0" xfId="0" applyFont="1" applyFill="1" applyBorder="1" applyAlignment="1">
      <alignment horizontal="center"/>
    </xf>
    <xf numFmtId="9" fontId="35" fillId="0" borderId="0" xfId="0" applyNumberFormat="1" applyFont="1"/>
    <xf numFmtId="9" fontId="11" fillId="0" borderId="25" xfId="1" applyFont="1" applyFill="1" applyBorder="1" applyAlignment="1">
      <alignment horizontal="center"/>
    </xf>
    <xf numFmtId="0" fontId="10" fillId="0" borderId="11" xfId="0" applyFont="1" applyFill="1" applyBorder="1" applyAlignment="1">
      <alignment horizontal="center"/>
    </xf>
    <xf numFmtId="0" fontId="54" fillId="0" borderId="4" xfId="0" applyFont="1" applyBorder="1"/>
    <xf numFmtId="9" fontId="54" fillId="0" borderId="11" xfId="0" applyNumberFormat="1" applyFont="1" applyBorder="1" applyAlignment="1">
      <alignment horizontal="center"/>
    </xf>
    <xf numFmtId="9" fontId="35" fillId="0" borderId="11" xfId="0" applyNumberFormat="1" applyFont="1" applyBorder="1" applyAlignment="1">
      <alignment horizontal="center"/>
    </xf>
    <xf numFmtId="9" fontId="35" fillId="0" borderId="8" xfId="0" applyNumberFormat="1" applyFont="1" applyBorder="1"/>
    <xf numFmtId="0" fontId="38" fillId="0" borderId="37" xfId="0" applyFont="1" applyFill="1" applyBorder="1" applyAlignment="1">
      <alignment horizontal="center"/>
    </xf>
    <xf numFmtId="165" fontId="38" fillId="0" borderId="37" xfId="0" applyNumberFormat="1" applyFont="1" applyFill="1" applyBorder="1" applyAlignment="1">
      <alignment horizontal="center"/>
    </xf>
    <xf numFmtId="9" fontId="44" fillId="5" borderId="0" xfId="7" applyNumberFormat="1" applyFont="1" applyFill="1" applyProtection="1">
      <protection locked="0"/>
    </xf>
    <xf numFmtId="0" fontId="10" fillId="5" borderId="4" xfId="0" applyFont="1" applyFill="1" applyBorder="1" applyAlignment="1">
      <alignment horizontal="left"/>
    </xf>
    <xf numFmtId="0" fontId="10" fillId="5" borderId="0" xfId="0" applyFont="1" applyFill="1" applyBorder="1" applyAlignment="1">
      <alignment horizontal="left"/>
    </xf>
    <xf numFmtId="9" fontId="11" fillId="6" borderId="42" xfId="1" applyFont="1" applyFill="1" applyBorder="1" applyProtection="1">
      <protection locked="0"/>
    </xf>
    <xf numFmtId="9" fontId="11" fillId="6" borderId="43" xfId="1" applyFont="1" applyFill="1" applyBorder="1" applyProtection="1">
      <protection locked="0"/>
    </xf>
    <xf numFmtId="9" fontId="11" fillId="6" borderId="44" xfId="1" applyFont="1" applyFill="1" applyBorder="1" applyAlignment="1" applyProtection="1">
      <protection locked="0"/>
    </xf>
    <xf numFmtId="0" fontId="74" fillId="0" borderId="0" xfId="0" applyFont="1"/>
    <xf numFmtId="0" fontId="50" fillId="5" borderId="11" xfId="0" applyFont="1" applyFill="1" applyBorder="1" applyAlignment="1"/>
    <xf numFmtId="0" fontId="50" fillId="0" borderId="0" xfId="0" applyFont="1" applyFill="1" applyBorder="1" applyAlignment="1">
      <alignment horizontal="center"/>
    </xf>
    <xf numFmtId="167" fontId="76" fillId="0" borderId="0" xfId="2" applyNumberFormat="1" applyFont="1"/>
    <xf numFmtId="0" fontId="77" fillId="0" borderId="0" xfId="0" applyFont="1"/>
    <xf numFmtId="0" fontId="78" fillId="0" borderId="0" xfId="0" applyFont="1"/>
    <xf numFmtId="0" fontId="78" fillId="0" borderId="0" xfId="0" applyFont="1" applyFill="1" applyBorder="1"/>
    <xf numFmtId="0" fontId="79" fillId="4" borderId="0" xfId="0" applyFont="1" applyFill="1" applyAlignment="1">
      <alignment vertical="center"/>
    </xf>
    <xf numFmtId="0" fontId="79" fillId="4" borderId="0" xfId="0" applyFont="1" applyFill="1" applyAlignment="1">
      <alignment horizontal="center" vertical="center"/>
    </xf>
    <xf numFmtId="0" fontId="80" fillId="4" borderId="0" xfId="0" applyFont="1" applyFill="1" applyBorder="1" applyAlignment="1">
      <alignment vertical="center"/>
    </xf>
    <xf numFmtId="0" fontId="79" fillId="4" borderId="0" xfId="0" applyFont="1" applyFill="1" applyBorder="1" applyAlignment="1">
      <alignment vertical="center"/>
    </xf>
    <xf numFmtId="0" fontId="81" fillId="4" borderId="0" xfId="7" applyFont="1" applyFill="1" applyAlignment="1"/>
    <xf numFmtId="9" fontId="11" fillId="0" borderId="42" xfId="1" applyFont="1" applyFill="1" applyBorder="1" applyProtection="1">
      <protection locked="0"/>
    </xf>
    <xf numFmtId="9" fontId="11" fillId="0" borderId="43" xfId="1" applyFont="1" applyFill="1" applyBorder="1" applyProtection="1">
      <protection locked="0"/>
    </xf>
    <xf numFmtId="9" fontId="11" fillId="0" borderId="44" xfId="1" applyFont="1" applyFill="1" applyBorder="1" applyAlignment="1" applyProtection="1">
      <protection locked="0"/>
    </xf>
    <xf numFmtId="9" fontId="3" fillId="5" borderId="0" xfId="1" applyFont="1" applyFill="1" applyProtection="1"/>
    <xf numFmtId="174" fontId="11" fillId="0" borderId="0" xfId="2" applyNumberFormat="1" applyFont="1" applyFill="1" applyBorder="1" applyAlignment="1"/>
    <xf numFmtId="0" fontId="17" fillId="0" borderId="0" xfId="0" applyFont="1" applyFill="1" applyBorder="1" applyAlignment="1">
      <alignment horizontal="center" vertical="center"/>
    </xf>
    <xf numFmtId="0" fontId="4" fillId="0" borderId="0" xfId="0" applyFont="1" applyBorder="1" applyAlignment="1">
      <alignment horizontal="center"/>
    </xf>
    <xf numFmtId="0" fontId="4" fillId="0" borderId="0" xfId="0" applyFont="1" applyAlignment="1">
      <alignment horizontal="center"/>
    </xf>
    <xf numFmtId="0" fontId="50" fillId="5" borderId="0" xfId="0" applyFont="1" applyFill="1" applyBorder="1" applyAlignment="1">
      <alignment horizontal="center"/>
    </xf>
    <xf numFmtId="0" fontId="48" fillId="0" borderId="0" xfId="0" applyFont="1" applyFill="1" applyBorder="1" applyAlignment="1">
      <alignment vertical="center"/>
    </xf>
    <xf numFmtId="0" fontId="10" fillId="0" borderId="7" xfId="0" applyFont="1" applyBorder="1"/>
    <xf numFmtId="0" fontId="68" fillId="0" borderId="0" xfId="0" applyFont="1" applyFill="1" applyBorder="1" applyAlignment="1">
      <alignment vertical="center"/>
    </xf>
    <xf numFmtId="0" fontId="68" fillId="0" borderId="0" xfId="0" applyFont="1" applyFill="1" applyBorder="1" applyAlignment="1">
      <alignment horizontal="center" vertical="center"/>
    </xf>
    <xf numFmtId="171" fontId="7" fillId="0" borderId="0" xfId="0" applyNumberFormat="1" applyFont="1"/>
    <xf numFmtId="176" fontId="9" fillId="5" borderId="0" xfId="2" applyNumberFormat="1" applyFont="1" applyFill="1" applyProtection="1"/>
    <xf numFmtId="9" fontId="3" fillId="5" borderId="0" xfId="1" applyFont="1" applyFill="1" applyBorder="1"/>
    <xf numFmtId="0" fontId="0" fillId="0" borderId="12" xfId="0" applyFont="1" applyBorder="1"/>
    <xf numFmtId="0" fontId="0" fillId="0" borderId="7" xfId="0" applyFont="1" applyBorder="1"/>
    <xf numFmtId="0" fontId="0" fillId="0" borderId="13" xfId="0" applyFont="1" applyBorder="1"/>
    <xf numFmtId="0" fontId="0" fillId="0" borderId="10" xfId="0" applyFont="1" applyBorder="1"/>
    <xf numFmtId="174" fontId="0" fillId="0" borderId="0" xfId="0" applyNumberFormat="1" applyFont="1" applyBorder="1"/>
    <xf numFmtId="0" fontId="0" fillId="0" borderId="2" xfId="0" applyFont="1" applyBorder="1"/>
    <xf numFmtId="171" fontId="0" fillId="0" borderId="0" xfId="0" applyNumberFormat="1" applyFont="1" applyBorder="1"/>
    <xf numFmtId="174" fontId="0" fillId="0" borderId="2" xfId="0" applyNumberFormat="1" applyFont="1" applyBorder="1"/>
    <xf numFmtId="0" fontId="0" fillId="0" borderId="3" xfId="0" applyFont="1" applyBorder="1"/>
    <xf numFmtId="0" fontId="0" fillId="0" borderId="4" xfId="0" applyFont="1" applyBorder="1"/>
    <xf numFmtId="174" fontId="0" fillId="0" borderId="4" xfId="0" applyNumberFormat="1" applyFont="1" applyBorder="1"/>
    <xf numFmtId="174" fontId="0" fillId="0" borderId="5" xfId="0" applyNumberFormat="1" applyFont="1" applyBorder="1"/>
    <xf numFmtId="171" fontId="24" fillId="0" borderId="0" xfId="2" applyNumberFormat="1" applyFont="1" applyAlignment="1">
      <alignment horizontal="center"/>
    </xf>
    <xf numFmtId="171" fontId="24" fillId="0" borderId="0" xfId="2" applyNumberFormat="1" applyFont="1" applyFill="1" applyBorder="1" applyAlignment="1">
      <alignment horizontal="center"/>
    </xf>
    <xf numFmtId="0" fontId="1" fillId="0" borderId="0" xfId="3" applyFont="1"/>
    <xf numFmtId="0" fontId="9" fillId="0" borderId="14" xfId="0" applyFont="1" applyBorder="1"/>
    <xf numFmtId="0" fontId="29" fillId="0" borderId="23" xfId="0" applyFont="1" applyFill="1" applyBorder="1" applyAlignment="1">
      <alignment horizontal="center"/>
    </xf>
    <xf numFmtId="0" fontId="29" fillId="0" borderId="15" xfId="0" applyFont="1" applyFill="1" applyBorder="1" applyAlignment="1">
      <alignment horizontal="center"/>
    </xf>
    <xf numFmtId="0" fontId="9" fillId="0" borderId="16" xfId="0" applyFont="1" applyBorder="1"/>
    <xf numFmtId="0" fontId="9" fillId="0" borderId="17" xfId="0" applyFont="1" applyBorder="1"/>
    <xf numFmtId="0" fontId="9" fillId="0" borderId="18" xfId="0" applyFont="1" applyBorder="1"/>
    <xf numFmtId="0" fontId="9" fillId="0" borderId="8" xfId="0" applyFont="1" applyFill="1" applyBorder="1" applyAlignment="1">
      <alignment horizontal="center"/>
    </xf>
    <xf numFmtId="166" fontId="9" fillId="0" borderId="8" xfId="4" applyNumberFormat="1" applyFont="1" applyFill="1" applyBorder="1" applyAlignment="1">
      <alignment horizontal="center"/>
    </xf>
    <xf numFmtId="0" fontId="9" fillId="0" borderId="19" xfId="0" applyFont="1" applyBorder="1"/>
    <xf numFmtId="1" fontId="9" fillId="0" borderId="0" xfId="4" applyNumberFormat="1" applyFont="1" applyFill="1" applyBorder="1" applyAlignment="1">
      <alignment horizontal="center"/>
    </xf>
    <xf numFmtId="1" fontId="9" fillId="0" borderId="0" xfId="0" applyNumberFormat="1" applyFont="1" applyFill="1" applyBorder="1" applyAlignment="1">
      <alignment horizontal="center"/>
    </xf>
    <xf numFmtId="0" fontId="9" fillId="0" borderId="17" xfId="0" applyFont="1" applyFill="1" applyBorder="1" applyAlignment="1">
      <alignment horizontal="center"/>
    </xf>
    <xf numFmtId="1" fontId="9" fillId="0" borderId="8" xfId="0" applyNumberFormat="1" applyFont="1" applyFill="1" applyBorder="1" applyAlignment="1">
      <alignment horizontal="center"/>
    </xf>
    <xf numFmtId="0" fontId="9" fillId="0" borderId="19" xfId="0" applyFont="1" applyFill="1" applyBorder="1" applyAlignment="1">
      <alignment horizontal="center"/>
    </xf>
    <xf numFmtId="0" fontId="10" fillId="0" borderId="10" xfId="0" applyFont="1" applyFill="1" applyBorder="1" applyAlignment="1">
      <alignment horizontal="center"/>
    </xf>
    <xf numFmtId="0" fontId="10" fillId="0" borderId="2" xfId="0" applyFont="1" applyFill="1" applyBorder="1" applyAlignment="1">
      <alignment horizontal="center"/>
    </xf>
    <xf numFmtId="165" fontId="11" fillId="0" borderId="0" xfId="2" applyFont="1" applyFill="1" applyBorder="1"/>
    <xf numFmtId="165" fontId="11" fillId="0" borderId="2" xfId="2" applyFont="1" applyFill="1" applyBorder="1"/>
    <xf numFmtId="9" fontId="10" fillId="0" borderId="10" xfId="1" applyFont="1" applyFill="1" applyBorder="1" applyAlignment="1">
      <alignment horizontal="center"/>
    </xf>
    <xf numFmtId="169" fontId="55" fillId="0" borderId="0" xfId="0" applyNumberFormat="1" applyFont="1" applyBorder="1"/>
    <xf numFmtId="169" fontId="55" fillId="0" borderId="2" xfId="0" applyNumberFormat="1" applyFont="1" applyBorder="1"/>
    <xf numFmtId="169" fontId="11" fillId="0" borderId="2" xfId="2" applyNumberFormat="1" applyFont="1" applyFill="1" applyBorder="1"/>
    <xf numFmtId="169" fontId="11" fillId="0" borderId="0" xfId="2" applyNumberFormat="1" applyFont="1" applyFill="1" applyBorder="1"/>
    <xf numFmtId="0" fontId="10" fillId="0" borderId="3" xfId="0" applyFont="1" applyFill="1" applyBorder="1" applyAlignment="1">
      <alignment horizontal="center"/>
    </xf>
    <xf numFmtId="9" fontId="11" fillId="0" borderId="4" xfId="1" applyFont="1" applyFill="1" applyBorder="1" applyAlignment="1">
      <alignment horizontal="right"/>
    </xf>
    <xf numFmtId="9" fontId="11" fillId="0" borderId="5" xfId="1" applyFont="1" applyFill="1" applyBorder="1" applyAlignment="1">
      <alignment horizontal="right"/>
    </xf>
    <xf numFmtId="0" fontId="70" fillId="0" borderId="0" xfId="0" applyFont="1" applyBorder="1" applyAlignment="1">
      <alignment horizontal="center"/>
    </xf>
    <xf numFmtId="167" fontId="7" fillId="0" borderId="0" xfId="2" applyNumberFormat="1" applyFont="1" applyFill="1" applyBorder="1"/>
    <xf numFmtId="0" fontId="83" fillId="5" borderId="0" xfId="0" applyFont="1" applyFill="1" applyBorder="1" applyAlignment="1">
      <alignment horizontal="center"/>
    </xf>
    <xf numFmtId="165" fontId="7" fillId="5" borderId="0" xfId="2" applyFont="1" applyFill="1" applyBorder="1"/>
    <xf numFmtId="167" fontId="7" fillId="5" borderId="0" xfId="2" applyNumberFormat="1" applyFont="1" applyFill="1" applyBorder="1" applyAlignment="1">
      <alignment horizontal="center"/>
    </xf>
    <xf numFmtId="9" fontId="7" fillId="0" borderId="0" xfId="1" applyFont="1" applyFill="1" applyBorder="1"/>
    <xf numFmtId="165" fontId="0" fillId="3" borderId="0" xfId="2" applyFont="1" applyFill="1" applyBorder="1" applyProtection="1"/>
    <xf numFmtId="177" fontId="0" fillId="0" borderId="0" xfId="2" applyNumberFormat="1" applyFont="1"/>
    <xf numFmtId="176" fontId="0" fillId="0" borderId="0" xfId="2" applyNumberFormat="1" applyFont="1"/>
    <xf numFmtId="0" fontId="52" fillId="0" borderId="0" xfId="9" applyFont="1" applyFill="1"/>
    <xf numFmtId="0" fontId="16" fillId="0" borderId="0" xfId="0" applyFont="1" applyAlignment="1">
      <alignment horizontal="center"/>
    </xf>
    <xf numFmtId="0" fontId="65" fillId="0" borderId="0" xfId="0" applyFont="1" applyBorder="1" applyAlignment="1">
      <alignment horizontal="center" vertical="center"/>
    </xf>
    <xf numFmtId="0" fontId="65" fillId="0" borderId="9" xfId="0" applyFont="1" applyBorder="1" applyAlignment="1">
      <alignment horizontal="center"/>
    </xf>
    <xf numFmtId="167" fontId="10" fillId="0" borderId="21" xfId="2" applyNumberFormat="1" applyFont="1" applyFill="1" applyBorder="1" applyAlignment="1">
      <alignment horizontal="center"/>
    </xf>
    <xf numFmtId="0" fontId="38" fillId="0" borderId="21" xfId="0" applyFont="1" applyFill="1" applyBorder="1" applyAlignment="1">
      <alignment horizontal="center"/>
    </xf>
    <xf numFmtId="0" fontId="31" fillId="4" borderId="0" xfId="0" applyFont="1" applyFill="1" applyAlignment="1">
      <alignment horizontal="center"/>
    </xf>
    <xf numFmtId="0" fontId="19" fillId="4" borderId="0" xfId="0" applyFont="1" applyFill="1" applyBorder="1" applyAlignment="1">
      <alignment horizontal="center" vertical="center"/>
    </xf>
    <xf numFmtId="0" fontId="31" fillId="4" borderId="0" xfId="0" applyFont="1" applyFill="1" applyBorder="1" applyAlignment="1">
      <alignment horizontal="center" vertical="center"/>
    </xf>
    <xf numFmtId="167" fontId="38" fillId="0" borderId="21" xfId="2" applyNumberFormat="1" applyFont="1" applyFill="1" applyBorder="1" applyAlignment="1">
      <alignment horizontal="center"/>
    </xf>
    <xf numFmtId="0" fontId="10" fillId="0" borderId="0" xfId="0" applyFont="1" applyBorder="1" applyAlignment="1">
      <alignment horizontal="center"/>
    </xf>
    <xf numFmtId="0" fontId="37" fillId="0" borderId="0" xfId="0" applyFont="1" applyBorder="1" applyAlignment="1">
      <alignment horizontal="center"/>
    </xf>
    <xf numFmtId="0" fontId="4" fillId="0" borderId="0" xfId="0" applyFont="1" applyBorder="1" applyAlignment="1">
      <alignment horizontal="center"/>
    </xf>
    <xf numFmtId="0" fontId="10" fillId="0" borderId="21" xfId="0" applyFont="1" applyFill="1" applyBorder="1" applyAlignment="1">
      <alignment horizontal="center"/>
    </xf>
    <xf numFmtId="0" fontId="64" fillId="0" borderId="0" xfId="7" applyAlignment="1">
      <alignment horizontal="center"/>
    </xf>
    <xf numFmtId="0" fontId="32" fillId="4" borderId="0" xfId="0" applyFont="1" applyFill="1" applyBorder="1" applyAlignment="1">
      <alignment horizontal="center" vertical="center"/>
    </xf>
    <xf numFmtId="0" fontId="20" fillId="7" borderId="0" xfId="0" applyFont="1" applyFill="1" applyBorder="1" applyAlignment="1">
      <alignment horizontal="center" vertical="center"/>
    </xf>
    <xf numFmtId="0" fontId="32" fillId="7" borderId="0" xfId="0" applyFont="1" applyFill="1" applyBorder="1" applyAlignment="1">
      <alignment horizontal="center" vertical="center"/>
    </xf>
    <xf numFmtId="0" fontId="37" fillId="0" borderId="9" xfId="0" applyFont="1" applyBorder="1" applyAlignment="1">
      <alignment horizontal="center"/>
    </xf>
    <xf numFmtId="0" fontId="20" fillId="4" borderId="0" xfId="7" applyFont="1" applyFill="1" applyAlignment="1">
      <alignment horizontal="center"/>
    </xf>
    <xf numFmtId="0" fontId="11" fillId="0" borderId="27" xfId="0" applyFont="1" applyBorder="1" applyAlignment="1">
      <alignment horizontal="center" vertical="center"/>
    </xf>
    <xf numFmtId="0" fontId="11" fillId="0" borderId="16" xfId="0" applyFont="1" applyBorder="1" applyAlignment="1">
      <alignment horizontal="center" vertical="center"/>
    </xf>
    <xf numFmtId="0" fontId="11" fillId="0" borderId="28" xfId="0" applyFont="1" applyBorder="1" applyAlignment="1">
      <alignment horizontal="center" vertical="center"/>
    </xf>
    <xf numFmtId="0" fontId="59" fillId="4" borderId="0" xfId="0" applyFont="1" applyFill="1" applyBorder="1" applyAlignment="1">
      <alignment horizontal="center" vertical="center"/>
    </xf>
    <xf numFmtId="165" fontId="10" fillId="0" borderId="21" xfId="0" applyNumberFormat="1" applyFont="1" applyFill="1" applyBorder="1" applyAlignment="1">
      <alignment horizontal="center"/>
    </xf>
    <xf numFmtId="165" fontId="38" fillId="0" borderId="21" xfId="0" applyNumberFormat="1" applyFont="1" applyFill="1" applyBorder="1" applyAlignment="1">
      <alignment horizontal="center"/>
    </xf>
    <xf numFmtId="0" fontId="10" fillId="0" borderId="12" xfId="0" applyFont="1" applyBorder="1" applyAlignment="1">
      <alignment horizontal="center"/>
    </xf>
    <xf numFmtId="0" fontId="10" fillId="0" borderId="7" xfId="0" applyFont="1" applyBorder="1" applyAlignment="1">
      <alignment horizontal="center"/>
    </xf>
    <xf numFmtId="0" fontId="10" fillId="0" borderId="13" xfId="0" applyFont="1" applyBorder="1" applyAlignment="1">
      <alignment horizontal="center"/>
    </xf>
    <xf numFmtId="167" fontId="10" fillId="0" borderId="10" xfId="2" applyNumberFormat="1" applyFont="1" applyFill="1" applyBorder="1" applyAlignment="1">
      <alignment horizontal="center"/>
    </xf>
    <xf numFmtId="167" fontId="10" fillId="0" borderId="0" xfId="2" applyNumberFormat="1" applyFont="1" applyFill="1" applyBorder="1" applyAlignment="1">
      <alignment horizontal="center"/>
    </xf>
    <xf numFmtId="167" fontId="10" fillId="0" borderId="2" xfId="2" applyNumberFormat="1" applyFont="1" applyFill="1" applyBorder="1" applyAlignment="1">
      <alignment horizontal="center"/>
    </xf>
    <xf numFmtId="0" fontId="50" fillId="0" borderId="8" xfId="0" applyFont="1" applyFill="1" applyBorder="1" applyAlignment="1">
      <alignment horizontal="center" vertical="center"/>
    </xf>
    <xf numFmtId="0" fontId="19" fillId="4" borderId="0" xfId="0" applyFont="1" applyFill="1" applyAlignment="1">
      <alignment horizontal="center"/>
    </xf>
    <xf numFmtId="165" fontId="10" fillId="0" borderId="16" xfId="0" applyNumberFormat="1" applyFont="1" applyFill="1" applyBorder="1" applyAlignment="1">
      <alignment horizontal="center"/>
    </xf>
    <xf numFmtId="165" fontId="10" fillId="0" borderId="0" xfId="0" applyNumberFormat="1" applyFont="1" applyFill="1" applyBorder="1" applyAlignment="1">
      <alignment horizontal="center"/>
    </xf>
    <xf numFmtId="0" fontId="29" fillId="0" borderId="0" xfId="0" applyFont="1" applyBorder="1" applyAlignment="1">
      <alignment horizontal="center"/>
    </xf>
    <xf numFmtId="0" fontId="4" fillId="5" borderId="0" xfId="0" applyFont="1" applyFill="1" applyBorder="1" applyAlignment="1">
      <alignment horizontal="center"/>
    </xf>
    <xf numFmtId="0" fontId="30" fillId="5" borderId="0" xfId="0" applyFont="1" applyFill="1" applyBorder="1" applyAlignment="1">
      <alignment horizontal="center"/>
    </xf>
    <xf numFmtId="0" fontId="4" fillId="0" borderId="6" xfId="0" applyFont="1" applyFill="1" applyBorder="1" applyAlignment="1">
      <alignment horizontal="center"/>
    </xf>
    <xf numFmtId="0" fontId="4" fillId="0" borderId="0" xfId="0" applyNumberFormat="1" applyFont="1" applyBorder="1" applyAlignment="1">
      <alignment horizontal="center"/>
    </xf>
    <xf numFmtId="0" fontId="19" fillId="7" borderId="0" xfId="0" applyFont="1" applyFill="1" applyBorder="1" applyAlignment="1">
      <alignment horizontal="center"/>
    </xf>
    <xf numFmtId="0" fontId="25" fillId="7" borderId="0" xfId="0" applyFont="1" applyFill="1" applyBorder="1" applyAlignment="1">
      <alignment horizontal="center"/>
    </xf>
    <xf numFmtId="0" fontId="30" fillId="5" borderId="4" xfId="0" applyFont="1" applyFill="1" applyBorder="1" applyAlignment="1">
      <alignment horizontal="center"/>
    </xf>
    <xf numFmtId="0" fontId="0" fillId="0" borderId="0" xfId="0" applyFont="1" applyAlignment="1">
      <alignment horizontal="center" vertical="center" textRotation="90"/>
    </xf>
    <xf numFmtId="0" fontId="12" fillId="0" borderId="0" xfId="0" applyFont="1" applyAlignment="1">
      <alignment horizontal="center" vertical="center" textRotation="90"/>
    </xf>
    <xf numFmtId="0" fontId="20" fillId="7" borderId="0" xfId="0" applyFont="1" applyFill="1" applyBorder="1" applyAlignment="1">
      <alignment horizontal="center"/>
    </xf>
    <xf numFmtId="0" fontId="4" fillId="5" borderId="4" xfId="0" applyFont="1" applyFill="1" applyBorder="1" applyAlignment="1">
      <alignment horizontal="center"/>
    </xf>
    <xf numFmtId="0" fontId="10" fillId="5" borderId="0" xfId="0" applyFont="1" applyFill="1" applyBorder="1" applyAlignment="1">
      <alignment horizontal="center"/>
    </xf>
    <xf numFmtId="0" fontId="19" fillId="4" borderId="0" xfId="0" applyFont="1" applyFill="1" applyAlignment="1">
      <alignment horizontal="center" vertical="center"/>
    </xf>
    <xf numFmtId="0" fontId="0" fillId="0" borderId="0" xfId="0" applyFill="1" applyAlignment="1">
      <alignment horizontal="center"/>
    </xf>
    <xf numFmtId="0" fontId="4" fillId="0" borderId="9" xfId="0" applyFont="1" applyFill="1" applyBorder="1" applyAlignment="1">
      <alignment horizontal="center"/>
    </xf>
    <xf numFmtId="0" fontId="4" fillId="0" borderId="34" xfId="0" applyFont="1" applyFill="1" applyBorder="1" applyAlignment="1">
      <alignment horizontal="center"/>
    </xf>
    <xf numFmtId="0" fontId="4" fillId="0" borderId="4" xfId="0" applyFont="1" applyFill="1" applyBorder="1" applyAlignment="1">
      <alignment horizontal="center"/>
    </xf>
    <xf numFmtId="0" fontId="23" fillId="5" borderId="29" xfId="0" applyFont="1" applyFill="1" applyBorder="1" applyAlignment="1">
      <alignment horizontal="center"/>
    </xf>
    <xf numFmtId="0" fontId="23" fillId="5" borderId="11" xfId="0" applyFont="1" applyFill="1" applyBorder="1" applyAlignment="1">
      <alignment horizontal="center"/>
    </xf>
    <xf numFmtId="0" fontId="23" fillId="5" borderId="30" xfId="0" applyFont="1" applyFill="1" applyBorder="1" applyAlignment="1">
      <alignment horizontal="center"/>
    </xf>
    <xf numFmtId="0" fontId="10" fillId="0" borderId="2" xfId="0" applyFont="1" applyBorder="1" applyAlignment="1">
      <alignment horizontal="center"/>
    </xf>
    <xf numFmtId="0" fontId="10" fillId="0" borderId="23" xfId="0" applyFont="1" applyBorder="1" applyAlignment="1">
      <alignment horizontal="center"/>
    </xf>
    <xf numFmtId="0" fontId="10" fillId="0" borderId="33" xfId="0" applyFont="1" applyBorder="1" applyAlignment="1">
      <alignment horizontal="center"/>
    </xf>
    <xf numFmtId="0" fontId="4" fillId="0" borderId="0" xfId="0" applyFont="1" applyAlignment="1">
      <alignment horizontal="center"/>
    </xf>
    <xf numFmtId="0" fontId="17" fillId="5" borderId="11" xfId="0" applyFont="1" applyFill="1" applyBorder="1" applyAlignment="1">
      <alignment horizontal="center"/>
    </xf>
    <xf numFmtId="0" fontId="75" fillId="5" borderId="11" xfId="0" applyFont="1" applyFill="1" applyBorder="1" applyAlignment="1">
      <alignment horizontal="center"/>
    </xf>
    <xf numFmtId="0" fontId="50" fillId="5" borderId="11" xfId="0" applyFont="1" applyFill="1" applyBorder="1" applyAlignment="1">
      <alignment horizontal="center"/>
    </xf>
    <xf numFmtId="0" fontId="79" fillId="4" borderId="0" xfId="0" applyFont="1" applyFill="1" applyAlignment="1">
      <alignment horizontal="center" vertical="center"/>
    </xf>
    <xf numFmtId="0" fontId="80" fillId="4" borderId="0" xfId="7" applyFont="1" applyFill="1" applyAlignment="1">
      <alignment horizontal="center"/>
    </xf>
    <xf numFmtId="0" fontId="79" fillId="4" borderId="0" xfId="0" applyFont="1" applyFill="1" applyBorder="1" applyAlignment="1">
      <alignment horizontal="center" vertical="center"/>
    </xf>
    <xf numFmtId="0" fontId="79" fillId="4" borderId="0" xfId="0" applyFont="1" applyFill="1" applyAlignment="1">
      <alignment horizontal="center"/>
    </xf>
    <xf numFmtId="0" fontId="19" fillId="7" borderId="0" xfId="0" applyFont="1" applyFill="1" applyAlignment="1">
      <alignment horizontal="center" vertical="center"/>
    </xf>
    <xf numFmtId="0" fontId="3" fillId="0" borderId="0" xfId="0" applyFont="1" applyAlignment="1">
      <alignment horizontal="center"/>
    </xf>
    <xf numFmtId="0" fontId="0" fillId="0" borderId="0" xfId="0"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0" fillId="0" borderId="0" xfId="0" applyAlignment="1">
      <alignment horizontal="center"/>
    </xf>
    <xf numFmtId="0" fontId="0" fillId="0" borderId="0" xfId="0" applyAlignment="1">
      <alignment horizontal="left" vertical="top"/>
    </xf>
  </cellXfs>
  <cellStyles count="10">
    <cellStyle name="Bad" xfId="8" builtinId="27"/>
    <cellStyle name="Comma" xfId="2" builtinId="3"/>
    <cellStyle name="Comma 2" xfId="5" xr:uid="{00000000-0005-0000-0000-000030000000}"/>
    <cellStyle name="Currency" xfId="4" builtinId="4"/>
    <cellStyle name="Currency 2" xfId="6" xr:uid="{00000000-0005-0000-0000-000031000000}"/>
    <cellStyle name="Hyperlink" xfId="7" builtinId="8"/>
    <cellStyle name="Neutral" xfId="9" builtinId="28"/>
    <cellStyle name="Normal" xfId="0" builtinId="0"/>
    <cellStyle name="Normal 2" xfId="3" xr:uid="{00000000-0005-0000-0000-000004000000}"/>
    <cellStyle name="Percent" xfId="1" builtinId="5"/>
  </cellStyles>
  <dxfs count="112">
    <dxf>
      <numFmt numFmtId="167" formatCode="_ * #,##0_ ;_ * \-#,##0_ ;_ * &quot;-&quot;??_ ;_ @_ "/>
    </dxf>
    <dxf>
      <numFmt numFmtId="167" formatCode="_ * #,##0_ ;_ * \-#,##0_ ;_ * &quot;-&quot;??_ ;_ @_ "/>
    </dxf>
    <dxf>
      <numFmt numFmtId="167" formatCode="_ * #,##0_ ;_ * \-#,##0_ ;_ * &quot;-&quot;??_ ;_ @_ "/>
    </dxf>
    <dxf>
      <numFmt numFmtId="168" formatCode="_ * #,##0.0_ ;_ * \-#,##0.0_ ;_ * &quot;-&quot;??_ ;_ @_ "/>
    </dxf>
    <dxf>
      <numFmt numFmtId="168" formatCode="_ * #,##0.0_ ;_ * \-#,##0.0_ ;_ * &quot;-&quot;??_ ;_ @_ "/>
    </dxf>
    <dxf>
      <numFmt numFmtId="168" formatCode="_ * #,##0.0_ ;_ * \-#,##0.0_ ;_ * &quot;-&quot;??_ ;_ @_ "/>
    </dxf>
    <dxf>
      <numFmt numFmtId="167" formatCode="_ * #,##0_ ;_ * \-#,##0_ ;_ * &quot;-&quot;??_ ;_ @_ "/>
    </dxf>
    <dxf>
      <numFmt numFmtId="167" formatCode="_ * #,##0_ ;_ * \-#,##0_ ;_ * &quot;-&quot;??_ ;_ @_ "/>
    </dxf>
    <dxf>
      <numFmt numFmtId="167" formatCode="_ * #,##0_ ;_ * \-#,##0_ ;_ * &quot;-&quot;??_ ;_ @_ "/>
    </dxf>
    <dxf>
      <numFmt numFmtId="168" formatCode="_ * #,##0.0_ ;_ * \-#,##0.0_ ;_ * &quot;-&quot;??_ ;_ @_ "/>
    </dxf>
    <dxf>
      <numFmt numFmtId="168" formatCode="_ * #,##0.0_ ;_ * \-#,##0.0_ ;_ * &quot;-&quot;??_ ;_ @_ "/>
    </dxf>
    <dxf>
      <numFmt numFmtId="168" formatCode="_ * #,##0.0_ ;_ * \-#,##0.0_ ;_ * &quot;-&quot;??_ ;_ @_ "/>
    </dxf>
    <dxf>
      <numFmt numFmtId="0" formatCode="General"/>
    </dxf>
    <dxf>
      <numFmt numFmtId="0" formatCode="General"/>
    </dxf>
    <dxf>
      <numFmt numFmtId="0" formatCode="General"/>
    </dxf>
    <dxf>
      <numFmt numFmtId="0" formatCode="General"/>
    </dxf>
    <dxf>
      <numFmt numFmtId="177" formatCode="_(* #,##0.0_);_(* \(#,##0.0\);_(* &quot;-&quot;??_);_(@_)"/>
    </dxf>
    <dxf>
      <numFmt numFmtId="176" formatCode="_(* #,##0_);_(* \(#,##0\);_(* &quot;-&quot;??_);_(@_)"/>
    </dxf>
    <dxf>
      <numFmt numFmtId="176" formatCode="_(* #,##0_);_(* \(#,##0\);_(* &quot;-&quot;??_);_(@_)"/>
    </dxf>
    <dxf>
      <numFmt numFmtId="0" formatCode="General"/>
    </dxf>
    <dxf>
      <numFmt numFmtId="0" formatCode="General"/>
    </dxf>
    <dxf>
      <numFmt numFmtId="0" formatCode="General"/>
    </dxf>
    <dxf>
      <numFmt numFmtId="0" formatCode="General"/>
    </dxf>
    <dxf>
      <numFmt numFmtId="0" formatCode="General"/>
    </dxf>
    <dxf>
      <border>
        <bottom/>
      </border>
    </dxf>
    <dxf>
      <border>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177" formatCode="_(* #,##0.0_);_(* \(#,##0.0\);_(* &quot;-&quot;??_);_(@_)"/>
    </dxf>
    <dxf>
      <font>
        <b val="0"/>
        <i val="0"/>
        <strike val="0"/>
        <condense val="0"/>
        <extend val="0"/>
        <outline val="0"/>
        <shadow val="0"/>
        <u val="none"/>
        <vertAlign val="baseline"/>
        <sz val="11"/>
        <color theme="1"/>
        <name val="Calibri"/>
        <family val="2"/>
        <scheme val="minor"/>
      </font>
    </dxf>
    <dxf>
      <numFmt numFmtId="176" formatCode="_(* #,##0_);_(* \(#,##0\);_(* &quot;-&quot;??_);_(@_)"/>
    </dxf>
    <dxf>
      <font>
        <b val="0"/>
        <i val="0"/>
        <strike val="0"/>
        <condense val="0"/>
        <extend val="0"/>
        <outline val="0"/>
        <shadow val="0"/>
        <u val="none"/>
        <vertAlign val="baseline"/>
        <sz val="11"/>
        <color theme="1"/>
        <name val="Calibri"/>
        <family val="2"/>
        <scheme val="minor"/>
      </font>
    </dxf>
    <dxf>
      <numFmt numFmtId="177" formatCode="_(* #,##0.0_);_(* \(#,##0.0\);_(* &quot;-&quot;??_);_(@_)"/>
    </dxf>
    <dxf>
      <font>
        <b val="0"/>
        <i val="0"/>
        <strike val="0"/>
        <condense val="0"/>
        <extend val="0"/>
        <outline val="0"/>
        <shadow val="0"/>
        <u val="none"/>
        <vertAlign val="baseline"/>
        <sz val="11"/>
        <color theme="1"/>
        <name val="Calibri"/>
        <family val="2"/>
        <scheme val="minor"/>
      </font>
    </dxf>
    <dxf>
      <numFmt numFmtId="176" formatCode="_(* #,##0_);_(* \(#,##0\);_(* &quot;-&quot;??_);_(@_)"/>
    </dxf>
    <dxf>
      <numFmt numFmtId="176" formatCode="_(* #,##0_);_(* \(#,##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ont>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color theme="0"/>
      </font>
      <fill>
        <patternFill>
          <bgColor theme="0"/>
        </patternFill>
      </fill>
    </dxf>
    <dxf>
      <font>
        <color theme="0"/>
      </font>
    </dxf>
    <dxf>
      <font>
        <color theme="0"/>
      </font>
    </dxf>
    <dxf>
      <font>
        <color theme="0"/>
      </font>
    </dxf>
    <dxf>
      <font>
        <color theme="0"/>
      </font>
    </dxf>
    <dxf>
      <font>
        <b val="0"/>
        <i val="0"/>
        <color theme="0"/>
      </font>
    </dxf>
    <dxf>
      <font>
        <color theme="0"/>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s>
  <tableStyles count="2" defaultTableStyle="TableStyleMedium2" defaultPivotStyle="PivotStyleLight16">
    <tableStyle name="Flattened Pivot Style" table="0" count="0" xr9:uid="{C5053531-EEDB-4CE0-8AFD-A166EF3A8B15}"/>
    <tableStyle name="Slicer Style 1" pivot="0" table="0" count="0" xr9:uid="{00000000-0011-0000-FFFF-FFFF00000000}"/>
  </tableStyles>
  <colors>
    <mruColors>
      <color rgb="FF760000"/>
      <color rgb="FFA40000"/>
      <color rgb="FFFF5050"/>
      <color rgb="FFABE3FF"/>
      <color rgb="FF3399FF"/>
      <color rgb="FF66FFFF"/>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3.xml"/><Relationship Id="rId21" Type="http://schemas.openxmlformats.org/officeDocument/2006/relationships/externalLink" Target="externalLinks/externalLink1.xml"/><Relationship Id="rId34" Type="http://schemas.openxmlformats.org/officeDocument/2006/relationships/sharedStrings" Target="sharedStrings.xml"/><Relationship Id="rId42" Type="http://schemas.openxmlformats.org/officeDocument/2006/relationships/customXml" Target="../customXml/item6.xml"/><Relationship Id="rId47" Type="http://schemas.openxmlformats.org/officeDocument/2006/relationships/customXml" Target="../customXml/item11.xml"/><Relationship Id="rId50" Type="http://schemas.openxmlformats.org/officeDocument/2006/relationships/customXml" Target="../customXml/item14.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styles" Target="styles.xml"/><Relationship Id="rId38" Type="http://schemas.openxmlformats.org/officeDocument/2006/relationships/customXml" Target="../customXml/item2.xml"/><Relationship Id="rId46" Type="http://schemas.openxmlformats.org/officeDocument/2006/relationships/customXml" Target="../customXml/item1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3.xml"/><Relationship Id="rId41" Type="http://schemas.openxmlformats.org/officeDocument/2006/relationships/customXml" Target="../customXml/item5.xml"/><Relationship Id="rId54"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onnections" Target="connections.xml"/><Relationship Id="rId37" Type="http://schemas.openxmlformats.org/officeDocument/2006/relationships/customXml" Target="../customXml/item1.xml"/><Relationship Id="rId40" Type="http://schemas.openxmlformats.org/officeDocument/2006/relationships/customXml" Target="../customXml/item4.xml"/><Relationship Id="rId45" Type="http://schemas.openxmlformats.org/officeDocument/2006/relationships/customXml" Target="../customXml/item9.xml"/><Relationship Id="rId53" Type="http://schemas.openxmlformats.org/officeDocument/2006/relationships/customXml" Target="../customXml/item17.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2.xml"/><Relationship Id="rId36" Type="http://schemas.openxmlformats.org/officeDocument/2006/relationships/calcChain" Target="calcChain.xml"/><Relationship Id="rId49" Type="http://schemas.openxmlformats.org/officeDocument/2006/relationships/customXml" Target="../customXml/item1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openxmlformats.org/officeDocument/2006/relationships/customXml" Target="../customXml/item8.xml"/><Relationship Id="rId52"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microsoft.com/office/2007/relationships/slicerCache" Target="slicerCaches/slicerCache1.xml"/><Relationship Id="rId30" Type="http://schemas.microsoft.com/office/2007/relationships/slicerCache" Target="slicerCaches/slicerCache4.xml"/><Relationship Id="rId35" Type="http://schemas.openxmlformats.org/officeDocument/2006/relationships/powerPivotData" Target="model/item.data"/><Relationship Id="rId43" Type="http://schemas.openxmlformats.org/officeDocument/2006/relationships/customXml" Target="../customXml/item7.xml"/><Relationship Id="rId48" Type="http://schemas.openxmlformats.org/officeDocument/2006/relationships/customXml" Target="../customXml/item12.xml"/><Relationship Id="rId8" Type="http://schemas.openxmlformats.org/officeDocument/2006/relationships/worksheet" Target="worksheets/sheet8.xml"/><Relationship Id="rId51" Type="http://schemas.openxmlformats.org/officeDocument/2006/relationships/customXml" Target="../customXml/item15.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Discount %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lineChart>
        <c:grouping val="standard"/>
        <c:varyColors val="0"/>
        <c:ser>
          <c:idx val="0"/>
          <c:order val="0"/>
          <c:tx>
            <c:strRef>
              <c:f>M_BRAND_FC!$N$42</c:f>
              <c:strCache>
                <c:ptCount val="1"/>
                <c:pt idx="0">
                  <c:v>16/17</c:v>
                </c:pt>
              </c:strCache>
            </c:strRef>
          </c:tx>
          <c:spPr>
            <a:ln w="28575" cap="rnd">
              <a:solidFill>
                <a:schemeClr val="bg1">
                  <a:lumMod val="75000"/>
                </a:schemeClr>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M_BRAND_FC!$O$41:$R$41</c:f>
              <c:strCache>
                <c:ptCount val="4"/>
                <c:pt idx="0">
                  <c:v>Jan</c:v>
                </c:pt>
                <c:pt idx="1">
                  <c:v>Feb</c:v>
                </c:pt>
                <c:pt idx="2">
                  <c:v>Mar</c:v>
                </c:pt>
                <c:pt idx="3">
                  <c:v>Apr</c:v>
                </c:pt>
              </c:strCache>
            </c:strRef>
          </c:cat>
          <c:val>
            <c:numRef>
              <c:f>M_BRAND_FC!$O$42:$R$42</c:f>
              <c:numCache>
                <c:formatCode>0%</c:formatCode>
                <c:ptCount val="4"/>
                <c:pt idx="0">
                  <c:v>9.1517270145069607E-2</c:v>
                </c:pt>
                <c:pt idx="1">
                  <c:v>4.7377202569856648E-2</c:v>
                </c:pt>
                <c:pt idx="2">
                  <c:v>4.2816116571937207E-2</c:v>
                </c:pt>
                <c:pt idx="3">
                  <c:v>6.2014375877031458E-2</c:v>
                </c:pt>
              </c:numCache>
            </c:numRef>
          </c:val>
          <c:smooth val="0"/>
          <c:extLst>
            <c:ext xmlns:c16="http://schemas.microsoft.com/office/drawing/2014/chart" uri="{C3380CC4-5D6E-409C-BE32-E72D297353CC}">
              <c16:uniqueId val="{00000000-2F21-449A-9B93-F569889C2532}"/>
            </c:ext>
          </c:extLst>
        </c:ser>
        <c:ser>
          <c:idx val="1"/>
          <c:order val="1"/>
          <c:tx>
            <c:strRef>
              <c:f>M_BRAND_FC!$N$43</c:f>
              <c:strCache>
                <c:ptCount val="1"/>
                <c:pt idx="0">
                  <c:v>17/18</c:v>
                </c:pt>
              </c:strCache>
            </c:strRef>
          </c:tx>
          <c:spPr>
            <a:ln w="28575" cap="rnd">
              <a:solidFill>
                <a:schemeClr val="bg1">
                  <a:lumMod val="75000"/>
                </a:schemeClr>
              </a:solidFill>
              <a:prstDash val="dash"/>
              <a:round/>
            </a:ln>
            <a:effectLst/>
          </c:spPr>
          <c:marker>
            <c:symbol val="circle"/>
            <c:size val="5"/>
            <c:spPr>
              <a:solidFill>
                <a:schemeClr val="bg1">
                  <a:lumMod val="75000"/>
                </a:schemeClr>
              </a:solidFill>
              <a:ln w="9525">
                <a:solidFill>
                  <a:schemeClr val="bg1">
                    <a:lumMod val="75000"/>
                  </a:schemeClr>
                </a:solidFill>
                <a:prstDash val="dash"/>
              </a:ln>
              <a:effectLst/>
            </c:spPr>
          </c:marker>
          <c:cat>
            <c:strRef>
              <c:f>M_BRAND_FC!$O$41:$R$41</c:f>
              <c:strCache>
                <c:ptCount val="4"/>
                <c:pt idx="0">
                  <c:v>Jan</c:v>
                </c:pt>
                <c:pt idx="1">
                  <c:v>Feb</c:v>
                </c:pt>
                <c:pt idx="2">
                  <c:v>Mar</c:v>
                </c:pt>
                <c:pt idx="3">
                  <c:v>Apr</c:v>
                </c:pt>
              </c:strCache>
            </c:strRef>
          </c:cat>
          <c:val>
            <c:numRef>
              <c:f>M_BRAND_FC!$O$43:$R$43</c:f>
              <c:numCache>
                <c:formatCode>0%</c:formatCode>
                <c:ptCount val="4"/>
                <c:pt idx="0">
                  <c:v>0.10222286578024499</c:v>
                </c:pt>
                <c:pt idx="1">
                  <c:v>6.9810281707392882E-2</c:v>
                </c:pt>
                <c:pt idx="2">
                  <c:v>2.8854729565290765E-2</c:v>
                </c:pt>
                <c:pt idx="3">
                  <c:v>5.4784578015783701E-2</c:v>
                </c:pt>
              </c:numCache>
            </c:numRef>
          </c:val>
          <c:smooth val="0"/>
          <c:extLst>
            <c:ext xmlns:c16="http://schemas.microsoft.com/office/drawing/2014/chart" uri="{C3380CC4-5D6E-409C-BE32-E72D297353CC}">
              <c16:uniqueId val="{00000001-2F21-449A-9B93-F569889C2532}"/>
            </c:ext>
          </c:extLst>
        </c:ser>
        <c:ser>
          <c:idx val="3"/>
          <c:order val="2"/>
          <c:tx>
            <c:strRef>
              <c:f>M_BRAND_FC!$N$47</c:f>
              <c:strCache>
                <c:ptCount val="1"/>
                <c:pt idx="0">
                  <c:v>18/19</c:v>
                </c:pt>
              </c:strCache>
            </c:strRef>
          </c:tx>
          <c:spPr>
            <a:ln w="28575" cap="rnd">
              <a:solidFill>
                <a:schemeClr val="tx2">
                  <a:lumMod val="60000"/>
                  <a:lumOff val="40000"/>
                </a:schemeClr>
              </a:solidFill>
              <a:round/>
            </a:ln>
            <a:effectLst/>
          </c:spPr>
          <c:marker>
            <c:symbol val="circle"/>
            <c:size val="5"/>
            <c:spPr>
              <a:solidFill>
                <a:schemeClr val="accent1">
                  <a:lumMod val="60000"/>
                </a:schemeClr>
              </a:solidFill>
              <a:ln w="9525">
                <a:solidFill>
                  <a:schemeClr val="tx2">
                    <a:lumMod val="60000"/>
                    <a:lumOff val="40000"/>
                  </a:schemeClr>
                </a:solidFill>
              </a:ln>
              <a:effectLst/>
            </c:spPr>
          </c:marker>
          <c:cat>
            <c:strRef>
              <c:f>M_BRAND_FC!$O$41:$R$41</c:f>
              <c:strCache>
                <c:ptCount val="4"/>
                <c:pt idx="0">
                  <c:v>Jan</c:v>
                </c:pt>
                <c:pt idx="1">
                  <c:v>Feb</c:v>
                </c:pt>
                <c:pt idx="2">
                  <c:v>Mar</c:v>
                </c:pt>
                <c:pt idx="3">
                  <c:v>Apr</c:v>
                </c:pt>
              </c:strCache>
            </c:strRef>
          </c:cat>
          <c:val>
            <c:numRef>
              <c:f>M_BRAND_FC!$O$47:$R$47</c:f>
              <c:numCache>
                <c:formatCode>0%</c:formatCode>
                <c:ptCount val="4"/>
                <c:pt idx="0">
                  <c:v>0</c:v>
                </c:pt>
                <c:pt idx="1">
                  <c:v>0</c:v>
                </c:pt>
                <c:pt idx="2">
                  <c:v>0</c:v>
                </c:pt>
                <c:pt idx="3">
                  <c:v>0</c:v>
                </c:pt>
              </c:numCache>
            </c:numRef>
          </c:val>
          <c:smooth val="0"/>
          <c:extLst>
            <c:ext xmlns:c16="http://schemas.microsoft.com/office/drawing/2014/chart" uri="{C3380CC4-5D6E-409C-BE32-E72D297353CC}">
              <c16:uniqueId val="{00000002-2F21-449A-9B93-F569889C2532}"/>
            </c:ext>
          </c:extLst>
        </c:ser>
        <c:dLbls>
          <c:showLegendKey val="0"/>
          <c:showVal val="0"/>
          <c:showCatName val="0"/>
          <c:showSerName val="0"/>
          <c:showPercent val="0"/>
          <c:showBubbleSize val="0"/>
        </c:dLbls>
        <c:marker val="1"/>
        <c:smooth val="0"/>
        <c:axId val="1735878960"/>
        <c:axId val="1411479760"/>
        <c:extLst/>
      </c:lineChart>
      <c:catAx>
        <c:axId val="173587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411479760"/>
        <c:crosses val="autoZero"/>
        <c:auto val="1"/>
        <c:lblAlgn val="ctr"/>
        <c:lblOffset val="100"/>
        <c:noMultiLvlLbl val="0"/>
      </c:catAx>
      <c:valAx>
        <c:axId val="14114797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735878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GS II</a:t>
            </a:r>
          </a:p>
        </c:rich>
      </c:tx>
      <c:layout>
        <c:manualLayout>
          <c:xMode val="edge"/>
          <c:yMode val="edge"/>
          <c:x val="0.4483718247130889"/>
          <c:y val="3.27680969386970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9.3552492418886954E-2"/>
          <c:y val="0.14519783464566929"/>
          <c:w val="0.80600351105263746"/>
          <c:h val="0.67552655918010251"/>
        </c:manualLayout>
      </c:layout>
      <c:lineChart>
        <c:grouping val="standard"/>
        <c:varyColors val="0"/>
        <c:ser>
          <c:idx val="1"/>
          <c:order val="0"/>
          <c:tx>
            <c:strRef>
              <c:f>M_BRAND_FC!$B$7</c:f>
              <c:strCache>
                <c:ptCount val="1"/>
                <c:pt idx="0">
                  <c:v>16/17</c:v>
                </c:pt>
              </c:strCache>
            </c:strRef>
          </c:tx>
          <c:spPr>
            <a:ln w="28575" cap="rnd">
              <a:solidFill>
                <a:schemeClr val="bg1">
                  <a:lumMod val="75000"/>
                </a:schemeClr>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M_BRAND_FC!$C$6:$F$6</c:f>
              <c:strCache>
                <c:ptCount val="4"/>
                <c:pt idx="0">
                  <c:v>Jan</c:v>
                </c:pt>
                <c:pt idx="1">
                  <c:v>Feb</c:v>
                </c:pt>
                <c:pt idx="2">
                  <c:v>Mar</c:v>
                </c:pt>
                <c:pt idx="3">
                  <c:v>Apr</c:v>
                </c:pt>
              </c:strCache>
            </c:strRef>
          </c:cat>
          <c:val>
            <c:numRef>
              <c:f>M_BRAND_FC!$C$7:$F$7</c:f>
              <c:numCache>
                <c:formatCode>_ \ * #,###,\K\ </c:formatCode>
                <c:ptCount val="4"/>
                <c:pt idx="0">
                  <c:v>251319.59429999802</c:v>
                </c:pt>
                <c:pt idx="1">
                  <c:v>251815.75969999802</c:v>
                </c:pt>
                <c:pt idx="2">
                  <c:v>559357.72919999505</c:v>
                </c:pt>
                <c:pt idx="3">
                  <c:v>730755.67439998209</c:v>
                </c:pt>
              </c:numCache>
            </c:numRef>
          </c:val>
          <c:smooth val="0"/>
          <c:extLst xmlns:c15="http://schemas.microsoft.com/office/drawing/2012/chart">
            <c:ext xmlns:c16="http://schemas.microsoft.com/office/drawing/2014/chart" uri="{C3380CC4-5D6E-409C-BE32-E72D297353CC}">
              <c16:uniqueId val="{00000000-6960-4614-8CDF-0AD1556376E5}"/>
            </c:ext>
          </c:extLst>
        </c:ser>
        <c:ser>
          <c:idx val="2"/>
          <c:order val="1"/>
          <c:tx>
            <c:strRef>
              <c:f>M_BRAND_FC!$B$8</c:f>
              <c:strCache>
                <c:ptCount val="1"/>
                <c:pt idx="0">
                  <c:v>17/18</c:v>
                </c:pt>
              </c:strCache>
            </c:strRef>
          </c:tx>
          <c:spPr>
            <a:ln w="28575" cap="rnd">
              <a:solidFill>
                <a:schemeClr val="bg1">
                  <a:lumMod val="75000"/>
                </a:schemeClr>
              </a:solidFill>
              <a:prstDash val="dash"/>
              <a:round/>
            </a:ln>
            <a:effectLst/>
          </c:spPr>
          <c:marker>
            <c:symbol val="circle"/>
            <c:size val="5"/>
            <c:spPr>
              <a:solidFill>
                <a:schemeClr val="bg1">
                  <a:lumMod val="75000"/>
                </a:schemeClr>
              </a:solidFill>
              <a:ln w="9525">
                <a:solidFill>
                  <a:schemeClr val="bg1">
                    <a:lumMod val="75000"/>
                  </a:schemeClr>
                </a:solidFill>
                <a:prstDash val="dash"/>
              </a:ln>
              <a:effectLst/>
            </c:spPr>
          </c:marker>
          <c:cat>
            <c:strRef>
              <c:f>M_BRAND_FC!$C$6:$F$6</c:f>
              <c:strCache>
                <c:ptCount val="4"/>
                <c:pt idx="0">
                  <c:v>Jan</c:v>
                </c:pt>
                <c:pt idx="1">
                  <c:v>Feb</c:v>
                </c:pt>
                <c:pt idx="2">
                  <c:v>Mar</c:v>
                </c:pt>
                <c:pt idx="3">
                  <c:v>Apr</c:v>
                </c:pt>
              </c:strCache>
            </c:strRef>
          </c:cat>
          <c:val>
            <c:numRef>
              <c:f>M_BRAND_FC!$C$8:$F$8</c:f>
              <c:numCache>
                <c:formatCode>_ \ * #,###,\K\ </c:formatCode>
                <c:ptCount val="4"/>
                <c:pt idx="0">
                  <c:v>250152.99669999903</c:v>
                </c:pt>
                <c:pt idx="1">
                  <c:v>285746.639099997</c:v>
                </c:pt>
                <c:pt idx="2">
                  <c:v>474460.69739998801</c:v>
                </c:pt>
                <c:pt idx="3">
                  <c:v>738939.03349997406</c:v>
                </c:pt>
              </c:numCache>
            </c:numRef>
          </c:val>
          <c:smooth val="0"/>
          <c:extLst>
            <c:ext xmlns:c16="http://schemas.microsoft.com/office/drawing/2014/chart" uri="{C3380CC4-5D6E-409C-BE32-E72D297353CC}">
              <c16:uniqueId val="{00000001-6960-4614-8CDF-0AD1556376E5}"/>
            </c:ext>
          </c:extLst>
        </c:ser>
        <c:ser>
          <c:idx val="4"/>
          <c:order val="3"/>
          <c:tx>
            <c:strRef>
              <c:f>M_BRAND_FC!$B$12</c:f>
              <c:strCache>
                <c:ptCount val="1"/>
                <c:pt idx="0">
                  <c:v>18/19</c:v>
                </c:pt>
              </c:strCache>
            </c:strRef>
          </c:tx>
          <c:spPr>
            <a:ln w="28575" cap="rnd">
              <a:solidFill>
                <a:schemeClr val="tx2">
                  <a:lumMod val="60000"/>
                  <a:lumOff val="40000"/>
                </a:schemeClr>
              </a:solidFill>
              <a:round/>
            </a:ln>
            <a:effectLst/>
          </c:spPr>
          <c:marker>
            <c:symbol val="circle"/>
            <c:size val="5"/>
            <c:spPr>
              <a:solidFill>
                <a:schemeClr val="accent3">
                  <a:lumMod val="60000"/>
                </a:schemeClr>
              </a:solidFill>
              <a:ln w="9525">
                <a:solidFill>
                  <a:schemeClr val="tx2">
                    <a:lumMod val="60000"/>
                    <a:lumOff val="40000"/>
                  </a:schemeClr>
                </a:solidFill>
              </a:ln>
              <a:effectLst/>
            </c:spPr>
          </c:marker>
          <c:cat>
            <c:strRef>
              <c:f>M_BRAND_FC!$C$6:$F$6</c:f>
              <c:strCache>
                <c:ptCount val="4"/>
                <c:pt idx="0">
                  <c:v>Jan</c:v>
                </c:pt>
                <c:pt idx="1">
                  <c:v>Feb</c:v>
                </c:pt>
                <c:pt idx="2">
                  <c:v>Mar</c:v>
                </c:pt>
                <c:pt idx="3">
                  <c:v>Apr</c:v>
                </c:pt>
              </c:strCache>
            </c:strRef>
          </c:cat>
          <c:val>
            <c:numRef>
              <c:f>M_BRAND_FC!$C$12:$F$12</c:f>
              <c:numCache>
                <c:formatCode>_ \ * #,###,\K\ </c:formatCode>
                <c:ptCount val="4"/>
                <c:pt idx="0">
                  <c:v>0</c:v>
                </c:pt>
                <c:pt idx="1">
                  <c:v>0</c:v>
                </c:pt>
                <c:pt idx="2">
                  <c:v>0</c:v>
                </c:pt>
                <c:pt idx="3">
                  <c:v>0</c:v>
                </c:pt>
              </c:numCache>
            </c:numRef>
          </c:val>
          <c:smooth val="0"/>
          <c:extLst>
            <c:ext xmlns:c16="http://schemas.microsoft.com/office/drawing/2014/chart" uri="{C3380CC4-5D6E-409C-BE32-E72D297353CC}">
              <c16:uniqueId val="{00000002-6960-4614-8CDF-0AD1556376E5}"/>
            </c:ext>
          </c:extLst>
        </c:ser>
        <c:dLbls>
          <c:showLegendKey val="0"/>
          <c:showVal val="0"/>
          <c:showCatName val="0"/>
          <c:showSerName val="0"/>
          <c:showPercent val="0"/>
          <c:showBubbleSize val="0"/>
        </c:dLbls>
        <c:marker val="1"/>
        <c:smooth val="0"/>
        <c:axId val="1670944191"/>
        <c:axId val="1761726383"/>
        <c:extLst>
          <c:ext xmlns:c15="http://schemas.microsoft.com/office/drawing/2012/chart" uri="{02D57815-91ED-43cb-92C2-25804820EDAC}">
            <c15:filteredLineSeries>
              <c15:ser>
                <c:idx val="3"/>
                <c:order val="2"/>
                <c:tx>
                  <c:strRef>
                    <c:extLst>
                      <c:ext uri="{02D57815-91ED-43cb-92C2-25804820EDAC}">
                        <c15:formulaRef>
                          <c15:sqref>M_BRAND_FC!$B$9</c15:sqref>
                        </c15:formulaRef>
                      </c:ext>
                    </c:extLst>
                    <c:strCache>
                      <c:ptCount val="1"/>
                      <c:pt idx="0">
                        <c:v>18/19</c:v>
                      </c:pt>
                    </c:strCache>
                  </c:strRef>
                </c:tx>
                <c:spPr>
                  <a:ln w="28575" cap="rnd">
                    <a:solidFill>
                      <a:schemeClr val="accent1">
                        <a:lumMod val="60000"/>
                      </a:schemeClr>
                    </a:solidFill>
                    <a:prstDash val="lgDash"/>
                    <a:round/>
                  </a:ln>
                  <a:effectLst/>
                </c:spPr>
                <c:marker>
                  <c:symbol val="circle"/>
                  <c:size val="5"/>
                  <c:spPr>
                    <a:solidFill>
                      <a:schemeClr val="accent1">
                        <a:lumMod val="60000"/>
                      </a:schemeClr>
                    </a:solidFill>
                    <a:ln w="9525">
                      <a:solidFill>
                        <a:schemeClr val="accent1">
                          <a:lumMod val="60000"/>
                        </a:schemeClr>
                      </a:solidFill>
                      <a:prstDash val="lgDash"/>
                    </a:ln>
                    <a:effectLst/>
                  </c:spPr>
                </c:marker>
                <c:cat>
                  <c:strRef>
                    <c:extLst>
                      <c:ext uri="{02D57815-91ED-43cb-92C2-25804820EDAC}">
                        <c15:formulaRef>
                          <c15:sqref>M_BRAND_FC!$C$6:$F$6</c15:sqref>
                        </c15:formulaRef>
                      </c:ext>
                    </c:extLst>
                    <c:strCache>
                      <c:ptCount val="4"/>
                      <c:pt idx="0">
                        <c:v>Jan</c:v>
                      </c:pt>
                      <c:pt idx="1">
                        <c:v>Feb</c:v>
                      </c:pt>
                      <c:pt idx="2">
                        <c:v>Mar</c:v>
                      </c:pt>
                      <c:pt idx="3">
                        <c:v>Apr</c:v>
                      </c:pt>
                    </c:strCache>
                  </c:strRef>
                </c:cat>
                <c:val>
                  <c:numRef>
                    <c:extLst>
                      <c:ext uri="{02D57815-91ED-43cb-92C2-25804820EDAC}">
                        <c15:formulaRef>
                          <c15:sqref>M_BRAND_FC!$C$9:$F$9</c15:sqref>
                        </c15:formulaRef>
                      </c:ext>
                    </c:extLst>
                    <c:numCache>
                      <c:formatCode>_ \ * #,###,\K\ </c:formatCode>
                      <c:ptCount val="4"/>
                      <c:pt idx="0">
                        <c:v>0</c:v>
                      </c:pt>
                      <c:pt idx="1">
                        <c:v>0</c:v>
                      </c:pt>
                      <c:pt idx="2">
                        <c:v>0</c:v>
                      </c:pt>
                      <c:pt idx="3">
                        <c:v>0</c:v>
                      </c:pt>
                    </c:numCache>
                  </c:numRef>
                </c:val>
                <c:smooth val="0"/>
                <c:extLst>
                  <c:ext xmlns:c16="http://schemas.microsoft.com/office/drawing/2014/chart" uri="{C3380CC4-5D6E-409C-BE32-E72D297353CC}">
                    <c16:uniqueId val="{00000004-6960-4614-8CDF-0AD1556376E5}"/>
                  </c:ext>
                </c:extLst>
              </c15:ser>
            </c15:filteredLineSeries>
          </c:ext>
        </c:extLst>
      </c:lineChart>
      <c:catAx>
        <c:axId val="1670944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761726383"/>
        <c:crosses val="autoZero"/>
        <c:auto val="1"/>
        <c:lblAlgn val="ctr"/>
        <c:lblOffset val="100"/>
        <c:noMultiLvlLbl val="0"/>
      </c:catAx>
      <c:valAx>
        <c:axId val="1761726383"/>
        <c:scaling>
          <c:orientation val="minMax"/>
        </c:scaling>
        <c:delete val="0"/>
        <c:axPos val="l"/>
        <c:majorGridlines>
          <c:spPr>
            <a:ln w="9525" cap="flat" cmpd="sng" algn="ctr">
              <a:solidFill>
                <a:schemeClr val="tx1">
                  <a:lumMod val="15000"/>
                  <a:lumOff val="85000"/>
                </a:schemeClr>
              </a:solidFill>
              <a:round/>
            </a:ln>
            <a:effectLst/>
          </c:spPr>
        </c:majorGridlines>
        <c:numFmt formatCode="_ \ *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670944191"/>
        <c:crosses val="autoZero"/>
        <c:crossBetween val="between"/>
      </c:valAx>
      <c:spPr>
        <a:noFill/>
        <a:ln>
          <a:noFill/>
        </a:ln>
        <a:effectLst/>
      </c:spPr>
    </c:plotArea>
    <c:legend>
      <c:legendPos val="b"/>
      <c:layout>
        <c:manualLayout>
          <c:xMode val="edge"/>
          <c:yMode val="edge"/>
          <c:x val="0.14834681197671884"/>
          <c:y val="0.8901655365626282"/>
          <c:w val="0.70330637604656232"/>
          <c:h val="6.896600548795812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Discount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lineChart>
        <c:grouping val="standard"/>
        <c:varyColors val="0"/>
        <c:ser>
          <c:idx val="1"/>
          <c:order val="0"/>
          <c:tx>
            <c:strRef>
              <c:f>M_BRAND_FC!$N$7</c:f>
              <c:strCache>
                <c:ptCount val="1"/>
                <c:pt idx="0">
                  <c:v>16/17</c:v>
                </c:pt>
              </c:strCache>
            </c:strRef>
          </c:tx>
          <c:spPr>
            <a:ln w="28575" cap="rnd">
              <a:solidFill>
                <a:schemeClr val="bg1">
                  <a:lumMod val="75000"/>
                </a:schemeClr>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M_BRAND_FC!$O$6:$R$6</c:f>
              <c:strCache>
                <c:ptCount val="4"/>
                <c:pt idx="0">
                  <c:v>Jan</c:v>
                </c:pt>
                <c:pt idx="1">
                  <c:v>Feb</c:v>
                </c:pt>
                <c:pt idx="2">
                  <c:v>Mar</c:v>
                </c:pt>
                <c:pt idx="3">
                  <c:v>Apr</c:v>
                </c:pt>
              </c:strCache>
            </c:strRef>
          </c:cat>
          <c:val>
            <c:numRef>
              <c:f>M_BRAND_FC!$O$7:$R$7</c:f>
              <c:numCache>
                <c:formatCode>0%</c:formatCode>
                <c:ptCount val="4"/>
                <c:pt idx="0">
                  <c:v>5.28651061897321E-2</c:v>
                </c:pt>
                <c:pt idx="1">
                  <c:v>3.7709227411858399E-2</c:v>
                </c:pt>
                <c:pt idx="2">
                  <c:v>2.6524546505395801E-2</c:v>
                </c:pt>
                <c:pt idx="3">
                  <c:v>3.4454874117762296E-2</c:v>
                </c:pt>
              </c:numCache>
            </c:numRef>
          </c:val>
          <c:smooth val="0"/>
          <c:extLst xmlns:c15="http://schemas.microsoft.com/office/drawing/2012/chart">
            <c:ext xmlns:c16="http://schemas.microsoft.com/office/drawing/2014/chart" uri="{C3380CC4-5D6E-409C-BE32-E72D297353CC}">
              <c16:uniqueId val="{00000000-5315-432B-AD1A-EF8D2778DEED}"/>
            </c:ext>
          </c:extLst>
        </c:ser>
        <c:ser>
          <c:idx val="2"/>
          <c:order val="1"/>
          <c:tx>
            <c:strRef>
              <c:f>M_BRAND_FC!$N$8</c:f>
              <c:strCache>
                <c:ptCount val="1"/>
                <c:pt idx="0">
                  <c:v>17/18</c:v>
                </c:pt>
              </c:strCache>
            </c:strRef>
          </c:tx>
          <c:spPr>
            <a:ln w="28575" cap="rnd">
              <a:solidFill>
                <a:schemeClr val="bg1">
                  <a:lumMod val="75000"/>
                </a:schemeClr>
              </a:solidFill>
              <a:prstDash val="dash"/>
              <a:round/>
            </a:ln>
            <a:effectLst/>
          </c:spPr>
          <c:marker>
            <c:symbol val="circle"/>
            <c:size val="5"/>
            <c:spPr>
              <a:solidFill>
                <a:schemeClr val="bg1">
                  <a:lumMod val="75000"/>
                </a:schemeClr>
              </a:solidFill>
              <a:ln w="9525">
                <a:solidFill>
                  <a:schemeClr val="bg1">
                    <a:lumMod val="75000"/>
                  </a:schemeClr>
                </a:solidFill>
                <a:prstDash val="dash"/>
              </a:ln>
              <a:effectLst/>
            </c:spPr>
          </c:marker>
          <c:cat>
            <c:strRef>
              <c:f>M_BRAND_FC!$O$6:$R$6</c:f>
              <c:strCache>
                <c:ptCount val="4"/>
                <c:pt idx="0">
                  <c:v>Jan</c:v>
                </c:pt>
                <c:pt idx="1">
                  <c:v>Feb</c:v>
                </c:pt>
                <c:pt idx="2">
                  <c:v>Mar</c:v>
                </c:pt>
                <c:pt idx="3">
                  <c:v>Apr</c:v>
                </c:pt>
              </c:strCache>
            </c:strRef>
          </c:cat>
          <c:val>
            <c:numRef>
              <c:f>M_BRAND_FC!$O$8:$R$8</c:f>
              <c:numCache>
                <c:formatCode>0%</c:formatCode>
                <c:ptCount val="4"/>
                <c:pt idx="0">
                  <c:v>0.12180252038871602</c:v>
                </c:pt>
                <c:pt idx="1">
                  <c:v>9.4027350017099012E-2</c:v>
                </c:pt>
                <c:pt idx="2">
                  <c:v>3.0307682462699801E-2</c:v>
                </c:pt>
                <c:pt idx="3">
                  <c:v>3.7744367798245901E-2</c:v>
                </c:pt>
              </c:numCache>
            </c:numRef>
          </c:val>
          <c:smooth val="0"/>
          <c:extLst>
            <c:ext xmlns:c16="http://schemas.microsoft.com/office/drawing/2014/chart" uri="{C3380CC4-5D6E-409C-BE32-E72D297353CC}">
              <c16:uniqueId val="{00000001-5315-432B-AD1A-EF8D2778DEED}"/>
            </c:ext>
          </c:extLst>
        </c:ser>
        <c:ser>
          <c:idx val="4"/>
          <c:order val="2"/>
          <c:tx>
            <c:strRef>
              <c:f>M_BRAND_FC!$N$12</c:f>
              <c:strCache>
                <c:ptCount val="1"/>
                <c:pt idx="0">
                  <c:v>18/19</c:v>
                </c:pt>
              </c:strCache>
            </c:strRef>
          </c:tx>
          <c:spPr>
            <a:ln w="28575" cap="rnd">
              <a:solidFill>
                <a:schemeClr val="tx2">
                  <a:lumMod val="60000"/>
                  <a:lumOff val="40000"/>
                </a:schemeClr>
              </a:solidFill>
              <a:round/>
            </a:ln>
            <a:effectLst/>
          </c:spPr>
          <c:marker>
            <c:symbol val="circle"/>
            <c:size val="5"/>
            <c:spPr>
              <a:solidFill>
                <a:schemeClr val="accent3">
                  <a:lumMod val="60000"/>
                </a:schemeClr>
              </a:solidFill>
              <a:ln w="9525">
                <a:solidFill>
                  <a:schemeClr val="tx2">
                    <a:lumMod val="60000"/>
                    <a:lumOff val="40000"/>
                  </a:schemeClr>
                </a:solidFill>
              </a:ln>
              <a:effectLst/>
            </c:spPr>
          </c:marker>
          <c:cat>
            <c:strRef>
              <c:f>M_BRAND_FC!$O$6:$R$6</c:f>
              <c:strCache>
                <c:ptCount val="4"/>
                <c:pt idx="0">
                  <c:v>Jan</c:v>
                </c:pt>
                <c:pt idx="1">
                  <c:v>Feb</c:v>
                </c:pt>
                <c:pt idx="2">
                  <c:v>Mar</c:v>
                </c:pt>
                <c:pt idx="3">
                  <c:v>Apr</c:v>
                </c:pt>
              </c:strCache>
            </c:strRef>
          </c:cat>
          <c:val>
            <c:numRef>
              <c:f>M_BRAND_FC!$O$12:$R$12</c:f>
              <c:numCache>
                <c:formatCode>0%</c:formatCode>
                <c:ptCount val="4"/>
                <c:pt idx="0">
                  <c:v>0</c:v>
                </c:pt>
                <c:pt idx="1">
                  <c:v>0</c:v>
                </c:pt>
                <c:pt idx="2">
                  <c:v>0</c:v>
                </c:pt>
                <c:pt idx="3">
                  <c:v>0</c:v>
                </c:pt>
              </c:numCache>
            </c:numRef>
          </c:val>
          <c:smooth val="0"/>
          <c:extLst>
            <c:ext xmlns:c16="http://schemas.microsoft.com/office/drawing/2014/chart" uri="{C3380CC4-5D6E-409C-BE32-E72D297353CC}">
              <c16:uniqueId val="{00000002-5315-432B-AD1A-EF8D2778DEED}"/>
            </c:ext>
          </c:extLst>
        </c:ser>
        <c:dLbls>
          <c:showLegendKey val="0"/>
          <c:showVal val="0"/>
          <c:showCatName val="0"/>
          <c:showSerName val="0"/>
          <c:showPercent val="0"/>
          <c:showBubbleSize val="0"/>
        </c:dLbls>
        <c:marker val="1"/>
        <c:smooth val="0"/>
        <c:axId val="1735878960"/>
        <c:axId val="1411479760"/>
        <c:extLst/>
      </c:lineChart>
      <c:catAx>
        <c:axId val="173587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411479760"/>
        <c:crosses val="autoZero"/>
        <c:auto val="1"/>
        <c:lblAlgn val="ctr"/>
        <c:lblOffset val="100"/>
        <c:noMultiLvlLbl val="0"/>
      </c:catAx>
      <c:valAx>
        <c:axId val="14114797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735878960"/>
        <c:crosses val="autoZero"/>
        <c:crossBetween val="between"/>
      </c:valAx>
      <c:spPr>
        <a:noFill/>
        <a:ln>
          <a:noFill/>
        </a:ln>
        <a:effectLst/>
      </c:spPr>
    </c:plotArea>
    <c:legend>
      <c:legendPos val="b"/>
      <c:layout>
        <c:manualLayout>
          <c:xMode val="edge"/>
          <c:yMode val="edge"/>
          <c:x val="0.12391796882759362"/>
          <c:y val="0.89260650490570626"/>
          <c:w val="0.75809964934256113"/>
          <c:h val="7.003940643928277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GS II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0.16954669967564098"/>
          <c:y val="0.18342387434128871"/>
          <c:w val="0.780962761750851"/>
          <c:h val="0.5702150603267615"/>
        </c:manualLayout>
      </c:layout>
      <c:lineChart>
        <c:grouping val="standard"/>
        <c:varyColors val="0"/>
        <c:ser>
          <c:idx val="0"/>
          <c:order val="0"/>
          <c:tx>
            <c:strRef>
              <c:f>M_BRAND_FC!$B$42</c:f>
              <c:strCache>
                <c:ptCount val="1"/>
                <c:pt idx="0">
                  <c:v>16/17</c:v>
                </c:pt>
              </c:strCache>
            </c:strRef>
          </c:tx>
          <c:spPr>
            <a:ln w="28575" cap="rnd">
              <a:solidFill>
                <a:schemeClr val="bg1">
                  <a:lumMod val="75000"/>
                </a:schemeClr>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M_BRAND_FC!$C$41:$F$41</c:f>
              <c:strCache>
                <c:ptCount val="4"/>
                <c:pt idx="0">
                  <c:v>Jan</c:v>
                </c:pt>
                <c:pt idx="1">
                  <c:v>Feb</c:v>
                </c:pt>
                <c:pt idx="2">
                  <c:v>Mar</c:v>
                </c:pt>
                <c:pt idx="3">
                  <c:v>Apr</c:v>
                </c:pt>
              </c:strCache>
            </c:strRef>
          </c:cat>
          <c:val>
            <c:numRef>
              <c:f>M_BRAND_FC!$C$42:$F$42</c:f>
              <c:numCache>
                <c:formatCode>_ \ * #,###,\K\ </c:formatCode>
                <c:ptCount val="4"/>
                <c:pt idx="0">
                  <c:v>2472386.9001999819</c:v>
                </c:pt>
                <c:pt idx="1">
                  <c:v>2315102.5636999896</c:v>
                </c:pt>
                <c:pt idx="2">
                  <c:v>3188904.7557999752</c:v>
                </c:pt>
                <c:pt idx="3">
                  <c:v>3319970.0184999593</c:v>
                </c:pt>
              </c:numCache>
            </c:numRef>
          </c:val>
          <c:smooth val="0"/>
          <c:extLst>
            <c:ext xmlns:c16="http://schemas.microsoft.com/office/drawing/2014/chart" uri="{C3380CC4-5D6E-409C-BE32-E72D297353CC}">
              <c16:uniqueId val="{00000000-D5AE-428B-BD3F-B7F2A82A5649}"/>
            </c:ext>
          </c:extLst>
        </c:ser>
        <c:ser>
          <c:idx val="1"/>
          <c:order val="1"/>
          <c:tx>
            <c:strRef>
              <c:f>M_BRAND_FC!$B$43</c:f>
              <c:strCache>
                <c:ptCount val="1"/>
                <c:pt idx="0">
                  <c:v>17/18</c:v>
                </c:pt>
              </c:strCache>
            </c:strRef>
          </c:tx>
          <c:spPr>
            <a:ln w="28575" cap="rnd">
              <a:solidFill>
                <a:schemeClr val="bg1">
                  <a:lumMod val="75000"/>
                </a:schemeClr>
              </a:solidFill>
              <a:prstDash val="dash"/>
              <a:round/>
            </a:ln>
            <a:effectLst/>
          </c:spPr>
          <c:marker>
            <c:symbol val="circle"/>
            <c:size val="5"/>
            <c:spPr>
              <a:solidFill>
                <a:schemeClr val="bg1">
                  <a:lumMod val="85000"/>
                </a:schemeClr>
              </a:solidFill>
              <a:ln w="9525">
                <a:solidFill>
                  <a:schemeClr val="bg1">
                    <a:lumMod val="75000"/>
                  </a:schemeClr>
                </a:solidFill>
                <a:prstDash val="dash"/>
              </a:ln>
              <a:effectLst/>
            </c:spPr>
          </c:marker>
          <c:cat>
            <c:strRef>
              <c:f>M_BRAND_FC!$C$41:$F$41</c:f>
              <c:strCache>
                <c:ptCount val="4"/>
                <c:pt idx="0">
                  <c:v>Jan</c:v>
                </c:pt>
                <c:pt idx="1">
                  <c:v>Feb</c:v>
                </c:pt>
                <c:pt idx="2">
                  <c:v>Mar</c:v>
                </c:pt>
                <c:pt idx="3">
                  <c:v>Apr</c:v>
                </c:pt>
              </c:strCache>
            </c:strRef>
          </c:cat>
          <c:val>
            <c:numRef>
              <c:f>M_BRAND_FC!$C$43:$F$43</c:f>
              <c:numCache>
                <c:formatCode>_ \ * #,###,\K\ </c:formatCode>
                <c:ptCount val="4"/>
                <c:pt idx="0">
                  <c:v>2516003.579799992</c:v>
                </c:pt>
                <c:pt idx="1">
                  <c:v>2460592.2858999893</c:v>
                </c:pt>
                <c:pt idx="2">
                  <c:v>3369389.1788999736</c:v>
                </c:pt>
                <c:pt idx="3">
                  <c:v>3968524.6745999362</c:v>
                </c:pt>
              </c:numCache>
            </c:numRef>
          </c:val>
          <c:smooth val="0"/>
          <c:extLst>
            <c:ext xmlns:c16="http://schemas.microsoft.com/office/drawing/2014/chart" uri="{C3380CC4-5D6E-409C-BE32-E72D297353CC}">
              <c16:uniqueId val="{00000001-D5AE-428B-BD3F-B7F2A82A5649}"/>
            </c:ext>
          </c:extLst>
        </c:ser>
        <c:ser>
          <c:idx val="3"/>
          <c:order val="2"/>
          <c:tx>
            <c:strRef>
              <c:f>M_BRAND_FC!$B$47</c:f>
              <c:strCache>
                <c:ptCount val="1"/>
                <c:pt idx="0">
                  <c:v>18/19</c:v>
                </c:pt>
              </c:strCache>
            </c:strRef>
          </c:tx>
          <c:spPr>
            <a:ln w="28575" cap="rnd">
              <a:solidFill>
                <a:schemeClr val="tx2">
                  <a:lumMod val="60000"/>
                  <a:lumOff val="40000"/>
                </a:schemeClr>
              </a:solidFill>
              <a:prstDash val="solid"/>
              <a:round/>
            </a:ln>
            <a:effectLst/>
          </c:spPr>
          <c:marker>
            <c:symbol val="circle"/>
            <c:size val="5"/>
            <c:spPr>
              <a:solidFill>
                <a:schemeClr val="accent1">
                  <a:lumMod val="60000"/>
                </a:schemeClr>
              </a:solidFill>
              <a:ln w="9525">
                <a:solidFill>
                  <a:schemeClr val="tx2">
                    <a:lumMod val="60000"/>
                    <a:lumOff val="40000"/>
                  </a:schemeClr>
                </a:solidFill>
                <a:prstDash val="solid"/>
              </a:ln>
              <a:effectLst/>
            </c:spPr>
          </c:marker>
          <c:cat>
            <c:strRef>
              <c:f>M_BRAND_FC!$C$41:$F$41</c:f>
              <c:strCache>
                <c:ptCount val="4"/>
                <c:pt idx="0">
                  <c:v>Jan</c:v>
                </c:pt>
                <c:pt idx="1">
                  <c:v>Feb</c:v>
                </c:pt>
                <c:pt idx="2">
                  <c:v>Mar</c:v>
                </c:pt>
                <c:pt idx="3">
                  <c:v>Apr</c:v>
                </c:pt>
              </c:strCache>
            </c:strRef>
          </c:cat>
          <c:val>
            <c:numRef>
              <c:f>M_BRAND_FC!$C$47:$F$47</c:f>
              <c:numCache>
                <c:formatCode>_ \ * #,###,\K\ </c:formatCode>
                <c:ptCount val="4"/>
                <c:pt idx="0">
                  <c:v>0</c:v>
                </c:pt>
                <c:pt idx="1">
                  <c:v>0</c:v>
                </c:pt>
                <c:pt idx="2">
                  <c:v>0</c:v>
                </c:pt>
                <c:pt idx="3">
                  <c:v>0</c:v>
                </c:pt>
              </c:numCache>
            </c:numRef>
          </c:val>
          <c:smooth val="0"/>
          <c:extLst>
            <c:ext xmlns:c16="http://schemas.microsoft.com/office/drawing/2014/chart" uri="{C3380CC4-5D6E-409C-BE32-E72D297353CC}">
              <c16:uniqueId val="{00000002-D5AE-428B-BD3F-B7F2A82A5649}"/>
            </c:ext>
          </c:extLst>
        </c:ser>
        <c:dLbls>
          <c:showLegendKey val="0"/>
          <c:showVal val="0"/>
          <c:showCatName val="0"/>
          <c:showSerName val="0"/>
          <c:showPercent val="0"/>
          <c:showBubbleSize val="0"/>
        </c:dLbls>
        <c:marker val="1"/>
        <c:smooth val="0"/>
        <c:axId val="657490056"/>
        <c:axId val="657485464"/>
      </c:lineChart>
      <c:catAx>
        <c:axId val="657490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657485464"/>
        <c:crosses val="autoZero"/>
        <c:auto val="1"/>
        <c:lblAlgn val="ctr"/>
        <c:lblOffset val="100"/>
        <c:noMultiLvlLbl val="0"/>
      </c:catAx>
      <c:valAx>
        <c:axId val="657485464"/>
        <c:scaling>
          <c:orientation val="minMax"/>
        </c:scaling>
        <c:delete val="0"/>
        <c:axPos val="l"/>
        <c:majorGridlines>
          <c:spPr>
            <a:ln w="9525" cap="flat" cmpd="sng" algn="ctr">
              <a:solidFill>
                <a:schemeClr val="tx1">
                  <a:lumMod val="15000"/>
                  <a:lumOff val="85000"/>
                </a:schemeClr>
              </a:solidFill>
              <a:round/>
            </a:ln>
            <a:effectLst/>
          </c:spPr>
        </c:majorGridlines>
        <c:numFmt formatCode="_ \ *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657490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GS II Growth Check</a:t>
            </a:r>
          </a:p>
        </c:rich>
      </c:tx>
      <c:layout>
        <c:manualLayout>
          <c:xMode val="edge"/>
          <c:yMode val="edge"/>
          <c:x val="0.4822349863216861"/>
          <c:y val="7.890532836188345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7.6482964538488574E-2"/>
          <c:y val="9.9806622009067952E-2"/>
          <c:w val="0.9203199897908324"/>
          <c:h val="0.67090265055113341"/>
        </c:manualLayout>
      </c:layout>
      <c:barChart>
        <c:barDir val="col"/>
        <c:grouping val="clustered"/>
        <c:varyColors val="0"/>
        <c:ser>
          <c:idx val="0"/>
          <c:order val="0"/>
          <c:tx>
            <c:strRef>
              <c:f>M_BRAND_FC!$S$99:$S$100</c:f>
              <c:strCache>
                <c:ptCount val="2"/>
                <c:pt idx="0">
                  <c:v>18/19</c:v>
                </c:pt>
                <c:pt idx="1">
                  <c:v>Feb</c:v>
                </c:pt>
              </c:strCache>
            </c:strRef>
          </c:tx>
          <c:spPr>
            <a:solidFill>
              <a:schemeClr val="accent1"/>
            </a:solidFill>
            <a:ln>
              <a:noFill/>
            </a:ln>
            <a:effectLst/>
          </c:spPr>
          <c:invertIfNegative val="0"/>
          <c:cat>
            <c:strRef>
              <c:f>M_BRAND_FC!$R$101:$R$113</c:f>
              <c:strCache>
                <c:ptCount val="13"/>
                <c:pt idx="0">
                  <c:v>ACCESSORIES</c:v>
                </c:pt>
                <c:pt idx="1">
                  <c:v>DRESSES</c:v>
                </c:pt>
                <c:pt idx="2">
                  <c:v>JEANS</c:v>
                </c:pt>
                <c:pt idx="3">
                  <c:v>KNIT</c:v>
                </c:pt>
                <c:pt idx="4">
                  <c:v>OUTERWEAR</c:v>
                </c:pt>
                <c:pt idx="5">
                  <c:v>PANTS</c:v>
                </c:pt>
                <c:pt idx="6">
                  <c:v>SHIRTS</c:v>
                </c:pt>
                <c:pt idx="7">
                  <c:v>SHOES</c:v>
                </c:pt>
                <c:pt idx="8">
                  <c:v>SHORTS</c:v>
                </c:pt>
                <c:pt idx="9">
                  <c:v>SKIRTS</c:v>
                </c:pt>
                <c:pt idx="10">
                  <c:v>SWEAT</c:v>
                </c:pt>
                <c:pt idx="11">
                  <c:v>TAILORING</c:v>
                </c:pt>
                <c:pt idx="12">
                  <c:v>TOPS</c:v>
                </c:pt>
              </c:strCache>
            </c:strRef>
          </c:cat>
          <c:val>
            <c:numRef>
              <c:f>M_BRAND_FC!$S$101:$S$113</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429-485D-97E5-BE3BC05B78C4}"/>
            </c:ext>
          </c:extLst>
        </c:ser>
        <c:ser>
          <c:idx val="1"/>
          <c:order val="1"/>
          <c:tx>
            <c:strRef>
              <c:f>M_BRAND_FC!$T$99:$T$100</c:f>
              <c:strCache>
                <c:ptCount val="2"/>
                <c:pt idx="0">
                  <c:v>18/19</c:v>
                </c:pt>
                <c:pt idx="1">
                  <c:v>Mar</c:v>
                </c:pt>
              </c:strCache>
            </c:strRef>
          </c:tx>
          <c:spPr>
            <a:solidFill>
              <a:schemeClr val="accent2"/>
            </a:solidFill>
            <a:ln>
              <a:noFill/>
            </a:ln>
            <a:effectLst/>
          </c:spPr>
          <c:invertIfNegative val="0"/>
          <c:cat>
            <c:strRef>
              <c:f>M_BRAND_FC!$R$101:$R$113</c:f>
              <c:strCache>
                <c:ptCount val="13"/>
                <c:pt idx="0">
                  <c:v>ACCESSORIES</c:v>
                </c:pt>
                <c:pt idx="1">
                  <c:v>DRESSES</c:v>
                </c:pt>
                <c:pt idx="2">
                  <c:v>JEANS</c:v>
                </c:pt>
                <c:pt idx="3">
                  <c:v>KNIT</c:v>
                </c:pt>
                <c:pt idx="4">
                  <c:v>OUTERWEAR</c:v>
                </c:pt>
                <c:pt idx="5">
                  <c:v>PANTS</c:v>
                </c:pt>
                <c:pt idx="6">
                  <c:v>SHIRTS</c:v>
                </c:pt>
                <c:pt idx="7">
                  <c:v>SHOES</c:v>
                </c:pt>
                <c:pt idx="8">
                  <c:v>SHORTS</c:v>
                </c:pt>
                <c:pt idx="9">
                  <c:v>SKIRTS</c:v>
                </c:pt>
                <c:pt idx="10">
                  <c:v>SWEAT</c:v>
                </c:pt>
                <c:pt idx="11">
                  <c:v>TAILORING</c:v>
                </c:pt>
                <c:pt idx="12">
                  <c:v>TOPS</c:v>
                </c:pt>
              </c:strCache>
            </c:strRef>
          </c:cat>
          <c:val>
            <c:numRef>
              <c:f>M_BRAND_FC!$T$101:$T$113</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3429-485D-97E5-BE3BC05B78C4}"/>
            </c:ext>
          </c:extLst>
        </c:ser>
        <c:ser>
          <c:idx val="2"/>
          <c:order val="2"/>
          <c:tx>
            <c:strRef>
              <c:f>M_BRAND_FC!$U$99:$U$100</c:f>
              <c:strCache>
                <c:ptCount val="2"/>
                <c:pt idx="0">
                  <c:v>18/19</c:v>
                </c:pt>
                <c:pt idx="1">
                  <c:v>Apr</c:v>
                </c:pt>
              </c:strCache>
            </c:strRef>
          </c:tx>
          <c:spPr>
            <a:solidFill>
              <a:schemeClr val="accent3"/>
            </a:solidFill>
            <a:ln>
              <a:noFill/>
            </a:ln>
            <a:effectLst/>
          </c:spPr>
          <c:invertIfNegative val="0"/>
          <c:cat>
            <c:strRef>
              <c:f>M_BRAND_FC!$R$101:$R$113</c:f>
              <c:strCache>
                <c:ptCount val="13"/>
                <c:pt idx="0">
                  <c:v>ACCESSORIES</c:v>
                </c:pt>
                <c:pt idx="1">
                  <c:v>DRESSES</c:v>
                </c:pt>
                <c:pt idx="2">
                  <c:v>JEANS</c:v>
                </c:pt>
                <c:pt idx="3">
                  <c:v>KNIT</c:v>
                </c:pt>
                <c:pt idx="4">
                  <c:v>OUTERWEAR</c:v>
                </c:pt>
                <c:pt idx="5">
                  <c:v>PANTS</c:v>
                </c:pt>
                <c:pt idx="6">
                  <c:v>SHIRTS</c:v>
                </c:pt>
                <c:pt idx="7">
                  <c:v>SHOES</c:v>
                </c:pt>
                <c:pt idx="8">
                  <c:v>SHORTS</c:v>
                </c:pt>
                <c:pt idx="9">
                  <c:v>SKIRTS</c:v>
                </c:pt>
                <c:pt idx="10">
                  <c:v>SWEAT</c:v>
                </c:pt>
                <c:pt idx="11">
                  <c:v>TAILORING</c:v>
                </c:pt>
                <c:pt idx="12">
                  <c:v>TOPS</c:v>
                </c:pt>
              </c:strCache>
            </c:strRef>
          </c:cat>
          <c:val>
            <c:numRef>
              <c:f>M_BRAND_FC!$U$101:$U$113</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3429-485D-97E5-BE3BC05B78C4}"/>
            </c:ext>
          </c:extLst>
        </c:ser>
        <c:dLbls>
          <c:showLegendKey val="0"/>
          <c:showVal val="0"/>
          <c:showCatName val="0"/>
          <c:showSerName val="0"/>
          <c:showPercent val="0"/>
          <c:showBubbleSize val="0"/>
        </c:dLbls>
        <c:gapWidth val="219"/>
        <c:overlap val="-27"/>
        <c:axId val="817861896"/>
        <c:axId val="817855664"/>
      </c:barChart>
      <c:catAx>
        <c:axId val="8178618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817855664"/>
        <c:crosses val="autoZero"/>
        <c:auto val="1"/>
        <c:lblAlgn val="ctr"/>
        <c:lblOffset val="100"/>
        <c:noMultiLvlLbl val="0"/>
      </c:catAx>
      <c:valAx>
        <c:axId val="817855664"/>
        <c:scaling>
          <c:orientation val="minMax"/>
        </c:scaling>
        <c:delete val="1"/>
        <c:axPos val="l"/>
        <c:numFmt formatCode="0%" sourceLinked="1"/>
        <c:majorTickMark val="out"/>
        <c:minorTickMark val="none"/>
        <c:tickLblPos val="nextTo"/>
        <c:crossAx val="817861896"/>
        <c:crosses val="autoZero"/>
        <c:crossBetween val="between"/>
      </c:valAx>
      <c:spPr>
        <a:noFill/>
        <a:ln>
          <a:noFill/>
        </a:ln>
        <a:effectLst/>
      </c:spPr>
    </c:plotArea>
    <c:legend>
      <c:legendPos val="r"/>
      <c:layout>
        <c:manualLayout>
          <c:xMode val="edge"/>
          <c:yMode val="edge"/>
          <c:x val="0.78466557400848913"/>
          <c:y val="8.6680915359648378E-3"/>
          <c:w val="0.21426660095435668"/>
          <c:h val="0.124203020099839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ysClr val="window" lastClr="FFFFFF"/>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NOOS%</a:t>
            </a:r>
          </a:p>
        </c:rich>
      </c:tx>
      <c:layout>
        <c:manualLayout>
          <c:xMode val="edge"/>
          <c:yMode val="edge"/>
          <c:x val="0.4483718247130889"/>
          <c:y val="3.27680969386970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9.3552492418886954E-2"/>
          <c:y val="0.14519783464566929"/>
          <c:w val="0.80600351105263746"/>
          <c:h val="0.67552655918010251"/>
        </c:manualLayout>
      </c:layout>
      <c:lineChart>
        <c:grouping val="standard"/>
        <c:varyColors val="0"/>
        <c:ser>
          <c:idx val="1"/>
          <c:order val="0"/>
          <c:tx>
            <c:strRef>
              <c:f>M_BRAND_FC!$B$21</c:f>
              <c:strCache>
                <c:ptCount val="1"/>
                <c:pt idx="0">
                  <c:v>16/17</c:v>
                </c:pt>
              </c:strCache>
            </c:strRef>
          </c:tx>
          <c:spPr>
            <a:ln w="28575" cap="rnd">
              <a:solidFill>
                <a:schemeClr val="bg1">
                  <a:lumMod val="75000"/>
                </a:schemeClr>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M_BRAND_FC!$C$20:$F$20</c:f>
              <c:strCache>
                <c:ptCount val="4"/>
                <c:pt idx="0">
                  <c:v>Jan</c:v>
                </c:pt>
                <c:pt idx="1">
                  <c:v>Feb</c:v>
                </c:pt>
                <c:pt idx="2">
                  <c:v>Mar</c:v>
                </c:pt>
                <c:pt idx="3">
                  <c:v>Apr</c:v>
                </c:pt>
              </c:strCache>
            </c:strRef>
          </c:cat>
          <c:val>
            <c:numRef>
              <c:f>M_BRAND_FC!$C$21:$F$21</c:f>
              <c:numCache>
                <c:formatCode>0%</c:formatCode>
                <c:ptCount val="4"/>
                <c:pt idx="0">
                  <c:v>9.4087636365407498E-2</c:v>
                </c:pt>
                <c:pt idx="1">
                  <c:v>0.115904755265403</c:v>
                </c:pt>
                <c:pt idx="2">
                  <c:v>8.4017682149873193E-2</c:v>
                </c:pt>
                <c:pt idx="3">
                  <c:v>6.3090525349468504E-2</c:v>
                </c:pt>
              </c:numCache>
            </c:numRef>
          </c:val>
          <c:smooth val="0"/>
          <c:extLst xmlns:c15="http://schemas.microsoft.com/office/drawing/2012/chart">
            <c:ext xmlns:c16="http://schemas.microsoft.com/office/drawing/2014/chart" uri="{C3380CC4-5D6E-409C-BE32-E72D297353CC}">
              <c16:uniqueId val="{00000000-EBEB-43CA-992F-AB89F5F621A9}"/>
            </c:ext>
          </c:extLst>
        </c:ser>
        <c:ser>
          <c:idx val="2"/>
          <c:order val="1"/>
          <c:tx>
            <c:strRef>
              <c:f>M_BRAND_FC!$B$22</c:f>
              <c:strCache>
                <c:ptCount val="1"/>
                <c:pt idx="0">
                  <c:v>17/18</c:v>
                </c:pt>
              </c:strCache>
            </c:strRef>
          </c:tx>
          <c:spPr>
            <a:ln w="28575" cap="rnd">
              <a:solidFill>
                <a:schemeClr val="bg1">
                  <a:lumMod val="75000"/>
                </a:schemeClr>
              </a:solidFill>
              <a:prstDash val="dash"/>
              <a:round/>
            </a:ln>
            <a:effectLst/>
          </c:spPr>
          <c:marker>
            <c:symbol val="circle"/>
            <c:size val="5"/>
            <c:spPr>
              <a:solidFill>
                <a:schemeClr val="bg1">
                  <a:lumMod val="75000"/>
                </a:schemeClr>
              </a:solidFill>
              <a:ln w="9525">
                <a:solidFill>
                  <a:schemeClr val="bg1">
                    <a:lumMod val="75000"/>
                  </a:schemeClr>
                </a:solidFill>
                <a:prstDash val="dash"/>
              </a:ln>
              <a:effectLst/>
            </c:spPr>
          </c:marker>
          <c:cat>
            <c:strRef>
              <c:f>M_BRAND_FC!$C$20:$F$20</c:f>
              <c:strCache>
                <c:ptCount val="4"/>
                <c:pt idx="0">
                  <c:v>Jan</c:v>
                </c:pt>
                <c:pt idx="1">
                  <c:v>Feb</c:v>
                </c:pt>
                <c:pt idx="2">
                  <c:v>Mar</c:v>
                </c:pt>
                <c:pt idx="3">
                  <c:v>Apr</c:v>
                </c:pt>
              </c:strCache>
            </c:strRef>
          </c:cat>
          <c:val>
            <c:numRef>
              <c:f>M_BRAND_FC!$C$22:$F$22</c:f>
              <c:numCache>
                <c:formatCode>0%</c:formatCode>
                <c:ptCount val="4"/>
                <c:pt idx="0">
                  <c:v>9.6833763814751395E-2</c:v>
                </c:pt>
                <c:pt idx="1">
                  <c:v>0.17705254857711702</c:v>
                </c:pt>
                <c:pt idx="2">
                  <c:v>0.21960597151877601</c:v>
                </c:pt>
                <c:pt idx="3">
                  <c:v>0.21866564408524602</c:v>
                </c:pt>
              </c:numCache>
            </c:numRef>
          </c:val>
          <c:smooth val="0"/>
          <c:extLst>
            <c:ext xmlns:c16="http://schemas.microsoft.com/office/drawing/2014/chart" uri="{C3380CC4-5D6E-409C-BE32-E72D297353CC}">
              <c16:uniqueId val="{00000001-EBEB-43CA-992F-AB89F5F621A9}"/>
            </c:ext>
          </c:extLst>
        </c:ser>
        <c:ser>
          <c:idx val="4"/>
          <c:order val="3"/>
          <c:tx>
            <c:strRef>
              <c:f>M_BRAND_FC!$B$26</c:f>
              <c:strCache>
                <c:ptCount val="1"/>
                <c:pt idx="0">
                  <c:v>18/19</c:v>
                </c:pt>
              </c:strCache>
            </c:strRef>
          </c:tx>
          <c:spPr>
            <a:ln w="28575" cap="rnd">
              <a:solidFill>
                <a:schemeClr val="tx2">
                  <a:lumMod val="60000"/>
                  <a:lumOff val="40000"/>
                </a:schemeClr>
              </a:solidFill>
              <a:round/>
            </a:ln>
            <a:effectLst/>
          </c:spPr>
          <c:marker>
            <c:symbol val="circle"/>
            <c:size val="5"/>
            <c:spPr>
              <a:solidFill>
                <a:schemeClr val="accent3">
                  <a:lumMod val="60000"/>
                </a:schemeClr>
              </a:solidFill>
              <a:ln w="9525">
                <a:solidFill>
                  <a:schemeClr val="tx2">
                    <a:lumMod val="60000"/>
                    <a:lumOff val="40000"/>
                  </a:schemeClr>
                </a:solidFill>
              </a:ln>
              <a:effectLst/>
            </c:spPr>
          </c:marker>
          <c:cat>
            <c:strRef>
              <c:f>M_BRAND_FC!$C$20:$F$20</c:f>
              <c:strCache>
                <c:ptCount val="4"/>
                <c:pt idx="0">
                  <c:v>Jan</c:v>
                </c:pt>
                <c:pt idx="1">
                  <c:v>Feb</c:v>
                </c:pt>
                <c:pt idx="2">
                  <c:v>Mar</c:v>
                </c:pt>
                <c:pt idx="3">
                  <c:v>Apr</c:v>
                </c:pt>
              </c:strCache>
            </c:strRef>
          </c:cat>
          <c:val>
            <c:numRef>
              <c:f>M_BRAND_FC!$C$26:$F$26</c:f>
              <c:numCache>
                <c:formatCode>0%</c:formatCode>
                <c:ptCount val="4"/>
                <c:pt idx="0">
                  <c:v>0</c:v>
                </c:pt>
                <c:pt idx="1">
                  <c:v>0</c:v>
                </c:pt>
                <c:pt idx="2">
                  <c:v>0</c:v>
                </c:pt>
                <c:pt idx="3">
                  <c:v>0</c:v>
                </c:pt>
              </c:numCache>
            </c:numRef>
          </c:val>
          <c:smooth val="0"/>
          <c:extLst>
            <c:ext xmlns:c16="http://schemas.microsoft.com/office/drawing/2014/chart" uri="{C3380CC4-5D6E-409C-BE32-E72D297353CC}">
              <c16:uniqueId val="{00000002-EBEB-43CA-992F-AB89F5F621A9}"/>
            </c:ext>
          </c:extLst>
        </c:ser>
        <c:dLbls>
          <c:showLegendKey val="0"/>
          <c:showVal val="0"/>
          <c:showCatName val="0"/>
          <c:showSerName val="0"/>
          <c:showPercent val="0"/>
          <c:showBubbleSize val="0"/>
        </c:dLbls>
        <c:marker val="1"/>
        <c:smooth val="0"/>
        <c:axId val="1670944191"/>
        <c:axId val="1761726383"/>
        <c:extLst>
          <c:ext xmlns:c15="http://schemas.microsoft.com/office/drawing/2012/chart" uri="{02D57815-91ED-43cb-92C2-25804820EDAC}">
            <c15:filteredLineSeries>
              <c15:ser>
                <c:idx val="3"/>
                <c:order val="2"/>
                <c:tx>
                  <c:strRef>
                    <c:extLst>
                      <c:ext uri="{02D57815-91ED-43cb-92C2-25804820EDAC}">
                        <c15:formulaRef>
                          <c15:sqref>M_BRAND_FC!$B$9</c15:sqref>
                        </c15:formulaRef>
                      </c:ext>
                    </c:extLst>
                    <c:strCache>
                      <c:ptCount val="1"/>
                      <c:pt idx="0">
                        <c:v>18/19</c:v>
                      </c:pt>
                    </c:strCache>
                  </c:strRef>
                </c:tx>
                <c:spPr>
                  <a:ln w="28575" cap="rnd">
                    <a:solidFill>
                      <a:schemeClr val="accent1">
                        <a:lumMod val="60000"/>
                      </a:schemeClr>
                    </a:solidFill>
                    <a:prstDash val="lgDash"/>
                    <a:round/>
                  </a:ln>
                  <a:effectLst/>
                </c:spPr>
                <c:marker>
                  <c:symbol val="circle"/>
                  <c:size val="5"/>
                  <c:spPr>
                    <a:solidFill>
                      <a:schemeClr val="accent1">
                        <a:lumMod val="60000"/>
                      </a:schemeClr>
                    </a:solidFill>
                    <a:ln w="9525">
                      <a:solidFill>
                        <a:schemeClr val="accent1">
                          <a:lumMod val="60000"/>
                        </a:schemeClr>
                      </a:solidFill>
                      <a:prstDash val="lgDash"/>
                    </a:ln>
                    <a:effectLst/>
                  </c:spPr>
                </c:marker>
                <c:cat>
                  <c:strRef>
                    <c:extLst>
                      <c:ext uri="{02D57815-91ED-43cb-92C2-25804820EDAC}">
                        <c15:formulaRef>
                          <c15:sqref>M_BRAND_FC!$C$20:$F$20</c15:sqref>
                        </c15:formulaRef>
                      </c:ext>
                    </c:extLst>
                    <c:strCache>
                      <c:ptCount val="4"/>
                      <c:pt idx="0">
                        <c:v>Jan</c:v>
                      </c:pt>
                      <c:pt idx="1">
                        <c:v>Feb</c:v>
                      </c:pt>
                      <c:pt idx="2">
                        <c:v>Mar</c:v>
                      </c:pt>
                      <c:pt idx="3">
                        <c:v>Apr</c:v>
                      </c:pt>
                    </c:strCache>
                  </c:strRef>
                </c:cat>
                <c:val>
                  <c:numRef>
                    <c:extLst>
                      <c:ext uri="{02D57815-91ED-43cb-92C2-25804820EDAC}">
                        <c15:formulaRef>
                          <c15:sqref>M_BRAND_FC!$C$9:$F$9</c15:sqref>
                        </c15:formulaRef>
                      </c:ext>
                    </c:extLst>
                    <c:numCache>
                      <c:formatCode>_ \ * #,###,\K\ </c:formatCode>
                      <c:ptCount val="4"/>
                      <c:pt idx="0">
                        <c:v>0</c:v>
                      </c:pt>
                      <c:pt idx="1">
                        <c:v>0</c:v>
                      </c:pt>
                      <c:pt idx="2">
                        <c:v>0</c:v>
                      </c:pt>
                      <c:pt idx="3">
                        <c:v>0</c:v>
                      </c:pt>
                    </c:numCache>
                  </c:numRef>
                </c:val>
                <c:smooth val="0"/>
                <c:extLst>
                  <c:ext xmlns:c16="http://schemas.microsoft.com/office/drawing/2014/chart" uri="{C3380CC4-5D6E-409C-BE32-E72D297353CC}">
                    <c16:uniqueId val="{00000004-EBEB-43CA-992F-AB89F5F621A9}"/>
                  </c:ext>
                </c:extLst>
              </c15:ser>
            </c15:filteredLineSeries>
          </c:ext>
        </c:extLst>
      </c:lineChart>
      <c:catAx>
        <c:axId val="1670944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761726383"/>
        <c:crosses val="autoZero"/>
        <c:auto val="1"/>
        <c:lblAlgn val="ctr"/>
        <c:lblOffset val="100"/>
        <c:noMultiLvlLbl val="0"/>
      </c:catAx>
      <c:valAx>
        <c:axId val="17617263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670944191"/>
        <c:crosses val="autoZero"/>
        <c:crossBetween val="between"/>
      </c:valAx>
      <c:spPr>
        <a:noFill/>
        <a:ln>
          <a:noFill/>
        </a:ln>
        <a:effectLst/>
      </c:spPr>
    </c:plotArea>
    <c:legend>
      <c:legendPos val="b"/>
      <c:layout>
        <c:manualLayout>
          <c:xMode val="edge"/>
          <c:yMode val="edge"/>
          <c:x val="0.14834681197671884"/>
          <c:y val="0.8901655365626282"/>
          <c:w val="0.70330637604656232"/>
          <c:h val="6.896600548795812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Mark-up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lineChart>
        <c:grouping val="standard"/>
        <c:varyColors val="0"/>
        <c:ser>
          <c:idx val="1"/>
          <c:order val="0"/>
          <c:tx>
            <c:strRef>
              <c:f>M_BRAND_FC!$N$21</c:f>
              <c:strCache>
                <c:ptCount val="1"/>
                <c:pt idx="0">
                  <c:v>16/17</c:v>
                </c:pt>
              </c:strCache>
            </c:strRef>
          </c:tx>
          <c:spPr>
            <a:ln w="28575" cap="rnd">
              <a:solidFill>
                <a:schemeClr val="bg1">
                  <a:lumMod val="75000"/>
                </a:schemeClr>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M_BRAND_FC!$O$20:$R$20</c:f>
              <c:strCache>
                <c:ptCount val="4"/>
                <c:pt idx="0">
                  <c:v>Jan</c:v>
                </c:pt>
                <c:pt idx="1">
                  <c:v>Feb</c:v>
                </c:pt>
                <c:pt idx="2">
                  <c:v>Mar</c:v>
                </c:pt>
                <c:pt idx="3">
                  <c:v>Apr</c:v>
                </c:pt>
              </c:strCache>
            </c:strRef>
          </c:cat>
          <c:val>
            <c:numRef>
              <c:f>M_BRAND_FC!$O$21:$R$21</c:f>
              <c:numCache>
                <c:formatCode>_ * #,##0.0_ ;_ * \-#,##0.0_ ;_ * "-"??_ ;_ @_ </c:formatCode>
                <c:ptCount val="4"/>
                <c:pt idx="0">
                  <c:v>2.99750419374383</c:v>
                </c:pt>
                <c:pt idx="1">
                  <c:v>3.00277982155148</c:v>
                </c:pt>
                <c:pt idx="2">
                  <c:v>3.1075180717628599</c:v>
                </c:pt>
                <c:pt idx="3">
                  <c:v>3.0314210366386298</c:v>
                </c:pt>
              </c:numCache>
            </c:numRef>
          </c:val>
          <c:smooth val="0"/>
          <c:extLst xmlns:c15="http://schemas.microsoft.com/office/drawing/2012/chart">
            <c:ext xmlns:c16="http://schemas.microsoft.com/office/drawing/2014/chart" uri="{C3380CC4-5D6E-409C-BE32-E72D297353CC}">
              <c16:uniqueId val="{00000000-1B89-47BF-8A01-10FA486F2434}"/>
            </c:ext>
          </c:extLst>
        </c:ser>
        <c:ser>
          <c:idx val="2"/>
          <c:order val="1"/>
          <c:tx>
            <c:strRef>
              <c:f>M_BRAND_FC!$N$22</c:f>
              <c:strCache>
                <c:ptCount val="1"/>
                <c:pt idx="0">
                  <c:v>17/18</c:v>
                </c:pt>
              </c:strCache>
            </c:strRef>
          </c:tx>
          <c:spPr>
            <a:ln w="28575" cap="rnd">
              <a:solidFill>
                <a:schemeClr val="bg2">
                  <a:lumMod val="75000"/>
                </a:schemeClr>
              </a:solidFill>
              <a:prstDash val="dash"/>
              <a:round/>
            </a:ln>
            <a:effectLst/>
          </c:spPr>
          <c:marker>
            <c:symbol val="circle"/>
            <c:size val="5"/>
            <c:spPr>
              <a:solidFill>
                <a:schemeClr val="bg1">
                  <a:lumMod val="75000"/>
                </a:schemeClr>
              </a:solidFill>
              <a:ln w="9525">
                <a:solidFill>
                  <a:schemeClr val="bg2">
                    <a:lumMod val="75000"/>
                  </a:schemeClr>
                </a:solidFill>
                <a:prstDash val="dash"/>
              </a:ln>
              <a:effectLst/>
            </c:spPr>
          </c:marker>
          <c:cat>
            <c:strRef>
              <c:f>M_BRAND_FC!$O$20:$R$20</c:f>
              <c:strCache>
                <c:ptCount val="4"/>
                <c:pt idx="0">
                  <c:v>Jan</c:v>
                </c:pt>
                <c:pt idx="1">
                  <c:v>Feb</c:v>
                </c:pt>
                <c:pt idx="2">
                  <c:v>Mar</c:v>
                </c:pt>
                <c:pt idx="3">
                  <c:v>Apr</c:v>
                </c:pt>
              </c:strCache>
            </c:strRef>
          </c:cat>
          <c:val>
            <c:numRef>
              <c:f>M_BRAND_FC!$O$22:$R$22</c:f>
              <c:numCache>
                <c:formatCode>_ * #,##0.0_ ;_ * \-#,##0.0_ ;_ * "-"??_ ;_ @_ </c:formatCode>
                <c:ptCount val="4"/>
                <c:pt idx="0">
                  <c:v>3.0933571847644199</c:v>
                </c:pt>
                <c:pt idx="1">
                  <c:v>3.1334930542360202</c:v>
                </c:pt>
                <c:pt idx="2">
                  <c:v>3.1246091725254601</c:v>
                </c:pt>
                <c:pt idx="3">
                  <c:v>3.1199547452820502</c:v>
                </c:pt>
              </c:numCache>
            </c:numRef>
          </c:val>
          <c:smooth val="0"/>
          <c:extLst>
            <c:ext xmlns:c16="http://schemas.microsoft.com/office/drawing/2014/chart" uri="{C3380CC4-5D6E-409C-BE32-E72D297353CC}">
              <c16:uniqueId val="{00000001-1B89-47BF-8A01-10FA486F2434}"/>
            </c:ext>
          </c:extLst>
        </c:ser>
        <c:ser>
          <c:idx val="4"/>
          <c:order val="2"/>
          <c:tx>
            <c:strRef>
              <c:f>M_BRAND_FC!$N$26</c:f>
              <c:strCache>
                <c:ptCount val="1"/>
                <c:pt idx="0">
                  <c:v>18/19</c:v>
                </c:pt>
              </c:strCache>
            </c:strRef>
          </c:tx>
          <c:spPr>
            <a:ln w="28575" cap="rnd">
              <a:solidFill>
                <a:schemeClr val="tx2">
                  <a:lumMod val="60000"/>
                  <a:lumOff val="40000"/>
                </a:schemeClr>
              </a:solidFill>
              <a:round/>
            </a:ln>
            <a:effectLst/>
          </c:spPr>
          <c:marker>
            <c:symbol val="circle"/>
            <c:size val="5"/>
            <c:spPr>
              <a:solidFill>
                <a:schemeClr val="accent3">
                  <a:lumMod val="60000"/>
                </a:schemeClr>
              </a:solidFill>
              <a:ln w="9525">
                <a:solidFill>
                  <a:schemeClr val="tx2">
                    <a:lumMod val="60000"/>
                    <a:lumOff val="40000"/>
                  </a:schemeClr>
                </a:solidFill>
              </a:ln>
              <a:effectLst/>
            </c:spPr>
          </c:marker>
          <c:cat>
            <c:strRef>
              <c:f>M_BRAND_FC!$O$20:$R$20</c:f>
              <c:strCache>
                <c:ptCount val="4"/>
                <c:pt idx="0">
                  <c:v>Jan</c:v>
                </c:pt>
                <c:pt idx="1">
                  <c:v>Feb</c:v>
                </c:pt>
                <c:pt idx="2">
                  <c:v>Mar</c:v>
                </c:pt>
                <c:pt idx="3">
                  <c:v>Apr</c:v>
                </c:pt>
              </c:strCache>
            </c:strRef>
          </c:cat>
          <c:val>
            <c:numRef>
              <c:f>M_BRAND_FC!$O$26:$R$26</c:f>
              <c:numCache>
                <c:formatCode>_(* #,##0.00_);_(* \(#,##0.00\);_(* "-"??_);_(@_)</c:formatCode>
                <c:ptCount val="4"/>
                <c:pt idx="0">
                  <c:v>0</c:v>
                </c:pt>
                <c:pt idx="1">
                  <c:v>0</c:v>
                </c:pt>
                <c:pt idx="2">
                  <c:v>0</c:v>
                </c:pt>
                <c:pt idx="3">
                  <c:v>3.1199547452820502</c:v>
                </c:pt>
              </c:numCache>
            </c:numRef>
          </c:val>
          <c:smooth val="0"/>
          <c:extLst>
            <c:ext xmlns:c16="http://schemas.microsoft.com/office/drawing/2014/chart" uri="{C3380CC4-5D6E-409C-BE32-E72D297353CC}">
              <c16:uniqueId val="{00000002-1B89-47BF-8A01-10FA486F2434}"/>
            </c:ext>
          </c:extLst>
        </c:ser>
        <c:dLbls>
          <c:showLegendKey val="0"/>
          <c:showVal val="0"/>
          <c:showCatName val="0"/>
          <c:showSerName val="0"/>
          <c:showPercent val="0"/>
          <c:showBubbleSize val="0"/>
        </c:dLbls>
        <c:marker val="1"/>
        <c:smooth val="0"/>
        <c:axId val="1735878960"/>
        <c:axId val="1411479760"/>
        <c:extLst/>
      </c:lineChart>
      <c:catAx>
        <c:axId val="173587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411479760"/>
        <c:crosses val="autoZero"/>
        <c:auto val="1"/>
        <c:lblAlgn val="ctr"/>
        <c:lblOffset val="100"/>
        <c:noMultiLvlLbl val="0"/>
      </c:catAx>
      <c:valAx>
        <c:axId val="1411479760"/>
        <c:scaling>
          <c:orientation val="minMax"/>
        </c:scaling>
        <c:delete val="0"/>
        <c:axPos val="l"/>
        <c:majorGridlines>
          <c:spPr>
            <a:ln w="9525" cap="flat" cmpd="sng" algn="ctr">
              <a:solidFill>
                <a:schemeClr val="tx1">
                  <a:lumMod val="15000"/>
                  <a:lumOff val="85000"/>
                </a:schemeClr>
              </a:solidFill>
              <a:round/>
            </a:ln>
            <a:effectLst/>
          </c:spPr>
        </c:majorGridlines>
        <c:numFmt formatCode="_ * #,##0.0_ ;_ * \-#,##0.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735878960"/>
        <c:crosses val="autoZero"/>
        <c:crossBetween val="between"/>
      </c:valAx>
      <c:spPr>
        <a:noFill/>
        <a:ln>
          <a:noFill/>
        </a:ln>
        <a:effectLst/>
      </c:spPr>
    </c:plotArea>
    <c:legend>
      <c:legendPos val="b"/>
      <c:layout>
        <c:manualLayout>
          <c:xMode val="edge"/>
          <c:yMode val="edge"/>
          <c:x val="0.12391796882759362"/>
          <c:y val="0.89260650490570626"/>
          <c:w val="0.75809964934256113"/>
          <c:h val="7.003940643928277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Discount %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lineChart>
        <c:grouping val="standard"/>
        <c:varyColors val="0"/>
        <c:ser>
          <c:idx val="0"/>
          <c:order val="0"/>
          <c:tx>
            <c:strRef>
              <c:f>Q_BRAND_FC!$N$51</c:f>
              <c:strCache>
                <c:ptCount val="1"/>
                <c:pt idx="0">
                  <c:v>16/17</c:v>
                </c:pt>
              </c:strCache>
            </c:strRef>
          </c:tx>
          <c:spPr>
            <a:ln w="28575" cap="rnd">
              <a:solidFill>
                <a:schemeClr val="bg1">
                  <a:lumMod val="75000"/>
                </a:schemeClr>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Q_BRAND_FC!$O$50:$R$50</c:f>
              <c:strCache>
                <c:ptCount val="4"/>
                <c:pt idx="0">
                  <c:v>Q1</c:v>
                </c:pt>
                <c:pt idx="1">
                  <c:v>Q2</c:v>
                </c:pt>
                <c:pt idx="2">
                  <c:v>Q3</c:v>
                </c:pt>
                <c:pt idx="3">
                  <c:v>Q4</c:v>
                </c:pt>
              </c:strCache>
            </c:strRef>
          </c:cat>
          <c:val>
            <c:numRef>
              <c:f>Q_BRAND_FC!$O$51:$R$51</c:f>
              <c:numCache>
                <c:formatCode>0%</c:formatCode>
                <c:ptCount val="4"/>
                <c:pt idx="0">
                  <c:v>6.6990032380927933E-2</c:v>
                </c:pt>
                <c:pt idx="1">
                  <c:v>7.6051200111961967E-2</c:v>
                </c:pt>
                <c:pt idx="2">
                  <c:v>5.1313479583926118E-2</c:v>
                </c:pt>
                <c:pt idx="3">
                  <c:v>4.7348895913578617E-2</c:v>
                </c:pt>
              </c:numCache>
            </c:numRef>
          </c:val>
          <c:smooth val="0"/>
          <c:extLst>
            <c:ext xmlns:c16="http://schemas.microsoft.com/office/drawing/2014/chart" uri="{C3380CC4-5D6E-409C-BE32-E72D297353CC}">
              <c16:uniqueId val="{00000004-5482-40E6-9C77-01646CCA1988}"/>
            </c:ext>
          </c:extLst>
        </c:ser>
        <c:ser>
          <c:idx val="1"/>
          <c:order val="1"/>
          <c:tx>
            <c:strRef>
              <c:f>Q_BRAND_FC!$N$52</c:f>
              <c:strCache>
                <c:ptCount val="1"/>
                <c:pt idx="0">
                  <c:v>17/18</c:v>
                </c:pt>
              </c:strCache>
            </c:strRef>
          </c:tx>
          <c:spPr>
            <a:ln w="28575" cap="rnd">
              <a:solidFill>
                <a:schemeClr val="bg1">
                  <a:lumMod val="75000"/>
                </a:schemeClr>
              </a:solidFill>
              <a:prstDash val="dash"/>
              <a:round/>
            </a:ln>
            <a:effectLst/>
          </c:spPr>
          <c:marker>
            <c:symbol val="circle"/>
            <c:size val="5"/>
            <c:spPr>
              <a:solidFill>
                <a:schemeClr val="bg1">
                  <a:lumMod val="75000"/>
                </a:schemeClr>
              </a:solidFill>
              <a:ln w="9525">
                <a:solidFill>
                  <a:schemeClr val="bg1">
                    <a:lumMod val="75000"/>
                  </a:schemeClr>
                </a:solidFill>
                <a:prstDash val="dash"/>
              </a:ln>
              <a:effectLst/>
            </c:spPr>
          </c:marker>
          <c:cat>
            <c:strRef>
              <c:f>Q_BRAND_FC!$O$50:$R$50</c:f>
              <c:strCache>
                <c:ptCount val="4"/>
                <c:pt idx="0">
                  <c:v>Q1</c:v>
                </c:pt>
                <c:pt idx="1">
                  <c:v>Q2</c:v>
                </c:pt>
                <c:pt idx="2">
                  <c:v>Q3</c:v>
                </c:pt>
                <c:pt idx="3">
                  <c:v>Q4</c:v>
                </c:pt>
              </c:strCache>
            </c:strRef>
          </c:cat>
          <c:val>
            <c:numRef>
              <c:f>Q_BRAND_FC!$O$52:$R$52</c:f>
              <c:numCache>
                <c:formatCode>0%</c:formatCode>
                <c:ptCount val="4"/>
                <c:pt idx="0">
                  <c:v>4.0499699013396291E-2</c:v>
                </c:pt>
                <c:pt idx="1">
                  <c:v>7.4902733342980574E-2</c:v>
                </c:pt>
                <c:pt idx="2">
                  <c:v>4.9915451710273694E-2</c:v>
                </c:pt>
                <c:pt idx="3">
                  <c:v>6.3543366848550262E-2</c:v>
                </c:pt>
              </c:numCache>
            </c:numRef>
          </c:val>
          <c:smooth val="0"/>
          <c:extLst>
            <c:ext xmlns:c16="http://schemas.microsoft.com/office/drawing/2014/chart" uri="{C3380CC4-5D6E-409C-BE32-E72D297353CC}">
              <c16:uniqueId val="{00000005-5482-40E6-9C77-01646CCA1988}"/>
            </c:ext>
          </c:extLst>
        </c:ser>
        <c:ser>
          <c:idx val="3"/>
          <c:order val="2"/>
          <c:tx>
            <c:strRef>
              <c:f>Q_BRAND_FC!$N$57</c:f>
              <c:strCache>
                <c:ptCount val="1"/>
                <c:pt idx="0">
                  <c:v>18/19</c:v>
                </c:pt>
              </c:strCache>
            </c:strRef>
          </c:tx>
          <c:spPr>
            <a:ln w="28575" cap="rnd">
              <a:solidFill>
                <a:schemeClr val="tx2">
                  <a:lumMod val="60000"/>
                  <a:lumOff val="40000"/>
                </a:schemeClr>
              </a:solidFill>
              <a:round/>
            </a:ln>
            <a:effectLst/>
          </c:spPr>
          <c:marker>
            <c:symbol val="circle"/>
            <c:size val="5"/>
            <c:spPr>
              <a:solidFill>
                <a:schemeClr val="accent1">
                  <a:lumMod val="60000"/>
                </a:schemeClr>
              </a:solidFill>
              <a:ln w="9525">
                <a:solidFill>
                  <a:schemeClr val="tx2">
                    <a:lumMod val="60000"/>
                    <a:lumOff val="40000"/>
                  </a:schemeClr>
                </a:solidFill>
              </a:ln>
              <a:effectLst/>
            </c:spPr>
          </c:marker>
          <c:cat>
            <c:strRef>
              <c:f>Q_BRAND_FC!$O$50:$R$50</c:f>
              <c:strCache>
                <c:ptCount val="4"/>
                <c:pt idx="0">
                  <c:v>Q1</c:v>
                </c:pt>
                <c:pt idx="1">
                  <c:v>Q2</c:v>
                </c:pt>
                <c:pt idx="2">
                  <c:v>Q3</c:v>
                </c:pt>
                <c:pt idx="3">
                  <c:v>Q4</c:v>
                </c:pt>
              </c:strCache>
            </c:strRef>
          </c:cat>
          <c:val>
            <c:numRef>
              <c:f>Q_BRAND_FC!$O$57:$R$57</c:f>
              <c:numCache>
                <c:formatCode>0%</c:formatCode>
                <c:ptCount val="4"/>
                <c:pt idx="0">
                  <c:v>4.946982431671678E-2</c:v>
                </c:pt>
                <c:pt idx="1">
                  <c:v>8.461808501181825E-2</c:v>
                </c:pt>
                <c:pt idx="2">
                  <c:v>0</c:v>
                </c:pt>
                <c:pt idx="3">
                  <c:v>0</c:v>
                </c:pt>
              </c:numCache>
            </c:numRef>
          </c:val>
          <c:smooth val="0"/>
          <c:extLst>
            <c:ext xmlns:c16="http://schemas.microsoft.com/office/drawing/2014/chart" uri="{C3380CC4-5D6E-409C-BE32-E72D297353CC}">
              <c16:uniqueId val="{00000007-5482-40E6-9C77-01646CCA1988}"/>
            </c:ext>
          </c:extLst>
        </c:ser>
        <c:ser>
          <c:idx val="4"/>
          <c:order val="3"/>
          <c:tx>
            <c:strRef>
              <c:f>Q_BRAND_FC!$N$58</c:f>
              <c:strCache>
                <c:ptCount val="1"/>
                <c:pt idx="0">
                  <c:v>19/20</c:v>
                </c:pt>
              </c:strCache>
              <c:extLst xmlns:c15="http://schemas.microsoft.com/office/drawing/2012/chart"/>
            </c:strRef>
          </c:tx>
          <c:spPr>
            <a:ln w="28575" cap="rnd">
              <a:solidFill>
                <a:schemeClr val="bg2">
                  <a:lumMod val="25000"/>
                </a:schemeClr>
              </a:solidFill>
              <a:round/>
            </a:ln>
            <a:effectLst/>
          </c:spPr>
          <c:marker>
            <c:symbol val="circle"/>
            <c:size val="5"/>
            <c:spPr>
              <a:solidFill>
                <a:schemeClr val="accent3">
                  <a:lumMod val="60000"/>
                </a:schemeClr>
              </a:solidFill>
              <a:ln w="9525">
                <a:solidFill>
                  <a:schemeClr val="bg2">
                    <a:lumMod val="25000"/>
                  </a:schemeClr>
                </a:solidFill>
              </a:ln>
              <a:effectLst/>
            </c:spPr>
          </c:marker>
          <c:cat>
            <c:strRef>
              <c:f>Q_BRAND_FC!$O$50:$R$50</c:f>
              <c:strCache>
                <c:ptCount val="4"/>
                <c:pt idx="0">
                  <c:v>Q1</c:v>
                </c:pt>
                <c:pt idx="1">
                  <c:v>Q2</c:v>
                </c:pt>
                <c:pt idx="2">
                  <c:v>Q3</c:v>
                </c:pt>
                <c:pt idx="3">
                  <c:v>Q4</c:v>
                </c:pt>
              </c:strCache>
              <c:extLst xmlns:c15="http://schemas.microsoft.com/office/drawing/2012/chart"/>
            </c:strRef>
          </c:cat>
          <c:val>
            <c:numRef>
              <c:f>Q_BRAND_FC!$O$58:$R$58</c:f>
              <c:numCache>
                <c:formatCode>0%</c:formatCode>
                <c:ptCount val="4"/>
                <c:pt idx="0">
                  <c:v>0</c:v>
                </c:pt>
                <c:pt idx="1">
                  <c:v>#N/A</c:v>
                </c:pt>
                <c:pt idx="2">
                  <c:v>#N/A</c:v>
                </c:pt>
                <c:pt idx="3">
                  <c:v>#N/A</c:v>
                </c:pt>
              </c:numCache>
            </c:numRef>
          </c:val>
          <c:smooth val="0"/>
          <c:extLst xmlns:c15="http://schemas.microsoft.com/office/drawing/2012/chart">
            <c:ext xmlns:c16="http://schemas.microsoft.com/office/drawing/2014/chart" uri="{C3380CC4-5D6E-409C-BE32-E72D297353CC}">
              <c16:uniqueId val="{00000008-5482-40E6-9C77-01646CCA1988}"/>
            </c:ext>
          </c:extLst>
        </c:ser>
        <c:dLbls>
          <c:showLegendKey val="0"/>
          <c:showVal val="0"/>
          <c:showCatName val="0"/>
          <c:showSerName val="0"/>
          <c:showPercent val="0"/>
          <c:showBubbleSize val="0"/>
        </c:dLbls>
        <c:marker val="1"/>
        <c:smooth val="0"/>
        <c:axId val="1735878960"/>
        <c:axId val="1411479760"/>
        <c:extLst/>
      </c:lineChart>
      <c:catAx>
        <c:axId val="173587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411479760"/>
        <c:crosses val="autoZero"/>
        <c:auto val="1"/>
        <c:lblAlgn val="ctr"/>
        <c:lblOffset val="100"/>
        <c:noMultiLvlLbl val="0"/>
      </c:catAx>
      <c:valAx>
        <c:axId val="14114797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735878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GS II</a:t>
            </a:r>
          </a:p>
        </c:rich>
      </c:tx>
      <c:layout>
        <c:manualLayout>
          <c:xMode val="edge"/>
          <c:yMode val="edge"/>
          <c:x val="0.4483718247130889"/>
          <c:y val="3.27680969386970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9.3552492418886954E-2"/>
          <c:y val="0.14519783464566929"/>
          <c:w val="0.80600351105263746"/>
          <c:h val="0.67552655918010251"/>
        </c:manualLayout>
      </c:layout>
      <c:lineChart>
        <c:grouping val="standard"/>
        <c:varyColors val="0"/>
        <c:ser>
          <c:idx val="1"/>
          <c:order val="0"/>
          <c:tx>
            <c:strRef>
              <c:f>Q_BRAND_FC!$B$7</c:f>
              <c:strCache>
                <c:ptCount val="1"/>
                <c:pt idx="0">
                  <c:v>16/17</c:v>
                </c:pt>
              </c:strCache>
              <c:extLst xmlns:c15="http://schemas.microsoft.com/office/drawing/2012/chart"/>
            </c:strRef>
          </c:tx>
          <c:spPr>
            <a:ln w="28575" cap="rnd">
              <a:solidFill>
                <a:schemeClr val="bg1">
                  <a:lumMod val="75000"/>
                </a:schemeClr>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Q_BRAND_FC!$C$6:$F$6</c:f>
              <c:strCache>
                <c:ptCount val="4"/>
                <c:pt idx="0">
                  <c:v>Q1</c:v>
                </c:pt>
                <c:pt idx="1">
                  <c:v>Q2</c:v>
                </c:pt>
                <c:pt idx="2">
                  <c:v>Q3</c:v>
                </c:pt>
                <c:pt idx="3">
                  <c:v>Q4</c:v>
                </c:pt>
              </c:strCache>
            </c:strRef>
          </c:cat>
          <c:val>
            <c:numRef>
              <c:f>Q_BRAND_FC!$C$7:$F$7</c:f>
              <c:numCache>
                <c:formatCode>_ \ * #,###,\K\ </c:formatCode>
                <c:ptCount val="4"/>
                <c:pt idx="0">
                  <c:v>1054816.0115</c:v>
                </c:pt>
                <c:pt idx="1">
                  <c:v>1238355.5079999999</c:v>
                </c:pt>
                <c:pt idx="2">
                  <c:v>1541929.1632999801</c:v>
                </c:pt>
                <c:pt idx="3">
                  <c:v>2174877.94749995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5EB-40CA-88B3-12B78BB45F18}"/>
            </c:ext>
          </c:extLst>
        </c:ser>
        <c:ser>
          <c:idx val="2"/>
          <c:order val="1"/>
          <c:tx>
            <c:strRef>
              <c:f>Q_BRAND_FC!$B$8</c:f>
              <c:strCache>
                <c:ptCount val="1"/>
                <c:pt idx="0">
                  <c:v>17/18</c:v>
                </c:pt>
              </c:strCache>
            </c:strRef>
          </c:tx>
          <c:spPr>
            <a:ln w="28575" cap="rnd">
              <a:solidFill>
                <a:schemeClr val="bg1">
                  <a:lumMod val="75000"/>
                </a:schemeClr>
              </a:solidFill>
              <a:prstDash val="dash"/>
              <a:round/>
            </a:ln>
            <a:effectLst/>
          </c:spPr>
          <c:marker>
            <c:symbol val="circle"/>
            <c:size val="5"/>
            <c:spPr>
              <a:solidFill>
                <a:schemeClr val="bg1">
                  <a:lumMod val="75000"/>
                </a:schemeClr>
              </a:solidFill>
              <a:ln w="9525">
                <a:solidFill>
                  <a:schemeClr val="bg1">
                    <a:lumMod val="75000"/>
                  </a:schemeClr>
                </a:solidFill>
                <a:prstDash val="dash"/>
              </a:ln>
              <a:effectLst/>
            </c:spPr>
          </c:marker>
          <c:cat>
            <c:strRef>
              <c:f>Q_BRAND_FC!$C$6:$F$6</c:f>
              <c:strCache>
                <c:ptCount val="4"/>
                <c:pt idx="0">
                  <c:v>Q1</c:v>
                </c:pt>
                <c:pt idx="1">
                  <c:v>Q2</c:v>
                </c:pt>
                <c:pt idx="2">
                  <c:v>Q3</c:v>
                </c:pt>
                <c:pt idx="3">
                  <c:v>Q4</c:v>
                </c:pt>
              </c:strCache>
            </c:strRef>
          </c:cat>
          <c:val>
            <c:numRef>
              <c:f>Q_BRAND_FC!$C$8:$F$8</c:f>
              <c:numCache>
                <c:formatCode>_ \ * #,###,\K\ </c:formatCode>
                <c:ptCount val="4"/>
                <c:pt idx="0">
                  <c:v>1008667.65719999</c:v>
                </c:pt>
                <c:pt idx="1">
                  <c:v>1176687.9963999901</c:v>
                </c:pt>
                <c:pt idx="2">
                  <c:v>1499146.3699999601</c:v>
                </c:pt>
                <c:pt idx="3">
                  <c:v>2382275.34299993</c:v>
                </c:pt>
              </c:numCache>
            </c:numRef>
          </c:val>
          <c:smooth val="0"/>
          <c:extLst>
            <c:ext xmlns:c16="http://schemas.microsoft.com/office/drawing/2014/chart" uri="{C3380CC4-5D6E-409C-BE32-E72D297353CC}">
              <c16:uniqueId val="{00000007-85EB-40CA-88B3-12B78BB45F18}"/>
            </c:ext>
          </c:extLst>
        </c:ser>
        <c:ser>
          <c:idx val="4"/>
          <c:order val="3"/>
          <c:tx>
            <c:strRef>
              <c:f>Q_BRAND_FC!$B$13</c:f>
              <c:strCache>
                <c:ptCount val="1"/>
                <c:pt idx="0">
                  <c:v>18/19</c:v>
                </c:pt>
              </c:strCache>
            </c:strRef>
          </c:tx>
          <c:spPr>
            <a:ln w="28575" cap="rnd">
              <a:solidFill>
                <a:schemeClr val="tx2">
                  <a:lumMod val="60000"/>
                  <a:lumOff val="40000"/>
                </a:schemeClr>
              </a:solidFill>
              <a:round/>
            </a:ln>
            <a:effectLst/>
          </c:spPr>
          <c:marker>
            <c:symbol val="circle"/>
            <c:size val="5"/>
            <c:spPr>
              <a:solidFill>
                <a:schemeClr val="accent3">
                  <a:lumMod val="60000"/>
                </a:schemeClr>
              </a:solidFill>
              <a:ln w="9525">
                <a:solidFill>
                  <a:schemeClr val="tx2">
                    <a:lumMod val="60000"/>
                    <a:lumOff val="40000"/>
                  </a:schemeClr>
                </a:solidFill>
              </a:ln>
              <a:effectLst/>
            </c:spPr>
          </c:marker>
          <c:cat>
            <c:strRef>
              <c:f>Q_BRAND_FC!$C$6:$F$6</c:f>
              <c:strCache>
                <c:ptCount val="4"/>
                <c:pt idx="0">
                  <c:v>Q1</c:v>
                </c:pt>
                <c:pt idx="1">
                  <c:v>Q2</c:v>
                </c:pt>
                <c:pt idx="2">
                  <c:v>Q3</c:v>
                </c:pt>
                <c:pt idx="3">
                  <c:v>Q4</c:v>
                </c:pt>
              </c:strCache>
            </c:strRef>
          </c:cat>
          <c:val>
            <c:numRef>
              <c:f>Q_BRAND_FC!$C$13:$F$13</c:f>
              <c:numCache>
                <c:formatCode>_ \ * #,###,\K\ </c:formatCode>
                <c:ptCount val="4"/>
                <c:pt idx="0">
                  <c:v>1301548.6662999701</c:v>
                </c:pt>
                <c:pt idx="1">
                  <c:v>547028.13719998999</c:v>
                </c:pt>
                <c:pt idx="2">
                  <c:v>0</c:v>
                </c:pt>
                <c:pt idx="3">
                  <c:v>0</c:v>
                </c:pt>
              </c:numCache>
            </c:numRef>
          </c:val>
          <c:smooth val="0"/>
          <c:extLst>
            <c:ext xmlns:c16="http://schemas.microsoft.com/office/drawing/2014/chart" uri="{C3380CC4-5D6E-409C-BE32-E72D297353CC}">
              <c16:uniqueId val="{00000009-85EB-40CA-88B3-12B78BB45F18}"/>
            </c:ext>
          </c:extLst>
        </c:ser>
        <c:ser>
          <c:idx val="0"/>
          <c:order val="4"/>
          <c:tx>
            <c:strRef>
              <c:f>Q_BRAND_FC!$B$14</c:f>
              <c:strCache>
                <c:ptCount val="1"/>
                <c:pt idx="0">
                  <c:v>19/20</c:v>
                </c:pt>
              </c:strCache>
            </c:strRef>
          </c:tx>
          <c:spPr>
            <a:ln w="28575" cap="rnd">
              <a:solidFill>
                <a:schemeClr val="bg2">
                  <a:lumMod val="25000"/>
                </a:schemeClr>
              </a:solidFill>
              <a:round/>
            </a:ln>
            <a:effectLst/>
          </c:spPr>
          <c:marker>
            <c:symbol val="circle"/>
            <c:size val="5"/>
            <c:spPr>
              <a:solidFill>
                <a:schemeClr val="tx1"/>
              </a:solidFill>
              <a:ln w="9525">
                <a:solidFill>
                  <a:schemeClr val="bg2">
                    <a:lumMod val="25000"/>
                  </a:schemeClr>
                </a:solidFill>
              </a:ln>
              <a:effectLst/>
            </c:spPr>
          </c:marker>
          <c:val>
            <c:numRef>
              <c:f>Q_BRAND_FC!$C$14:$F$14</c:f>
              <c:numCache>
                <c:formatCode>_ \ * #,###,\K\ </c:formatCode>
                <c:ptCount val="4"/>
                <c:pt idx="0">
                  <c:v>0</c:v>
                </c:pt>
                <c:pt idx="1">
                  <c:v>#N/A</c:v>
                </c:pt>
                <c:pt idx="2">
                  <c:v>#N/A</c:v>
                </c:pt>
                <c:pt idx="3">
                  <c:v>#N/A</c:v>
                </c:pt>
              </c:numCache>
            </c:numRef>
          </c:val>
          <c:smooth val="0"/>
          <c:extLst>
            <c:ext xmlns:c16="http://schemas.microsoft.com/office/drawing/2014/chart" uri="{C3380CC4-5D6E-409C-BE32-E72D297353CC}">
              <c16:uniqueId val="{00000000-7F68-4831-882D-82AAEA36A5B6}"/>
            </c:ext>
          </c:extLst>
        </c:ser>
        <c:dLbls>
          <c:showLegendKey val="0"/>
          <c:showVal val="0"/>
          <c:showCatName val="0"/>
          <c:showSerName val="0"/>
          <c:showPercent val="0"/>
          <c:showBubbleSize val="0"/>
        </c:dLbls>
        <c:marker val="1"/>
        <c:smooth val="0"/>
        <c:axId val="1670944191"/>
        <c:axId val="1761726383"/>
        <c:extLst>
          <c:ext xmlns:c15="http://schemas.microsoft.com/office/drawing/2012/chart" uri="{02D57815-91ED-43cb-92C2-25804820EDAC}">
            <c15:filteredLineSeries>
              <c15:ser>
                <c:idx val="3"/>
                <c:order val="2"/>
                <c:tx>
                  <c:strRef>
                    <c:extLst>
                      <c:ext uri="{02D57815-91ED-43cb-92C2-25804820EDAC}">
                        <c15:formulaRef>
                          <c15:sqref>Q_BRAND_FC!$B$9</c15:sqref>
                        </c15:formulaRef>
                      </c:ext>
                    </c:extLst>
                    <c:strCache>
                      <c:ptCount val="1"/>
                      <c:pt idx="0">
                        <c:v>18/19</c:v>
                      </c:pt>
                    </c:strCache>
                  </c:strRef>
                </c:tx>
                <c:spPr>
                  <a:ln w="28575" cap="rnd">
                    <a:solidFill>
                      <a:schemeClr val="accent1">
                        <a:lumMod val="60000"/>
                      </a:schemeClr>
                    </a:solidFill>
                    <a:prstDash val="lgDash"/>
                    <a:round/>
                  </a:ln>
                  <a:effectLst/>
                </c:spPr>
                <c:marker>
                  <c:symbol val="circle"/>
                  <c:size val="5"/>
                  <c:spPr>
                    <a:solidFill>
                      <a:schemeClr val="accent1">
                        <a:lumMod val="60000"/>
                      </a:schemeClr>
                    </a:solidFill>
                    <a:ln w="9525">
                      <a:solidFill>
                        <a:schemeClr val="accent1">
                          <a:lumMod val="60000"/>
                        </a:schemeClr>
                      </a:solidFill>
                      <a:prstDash val="lgDash"/>
                    </a:ln>
                    <a:effectLst/>
                  </c:spPr>
                </c:marker>
                <c:cat>
                  <c:strRef>
                    <c:extLst>
                      <c:ext uri="{02D57815-91ED-43cb-92C2-25804820EDAC}">
                        <c15:formulaRef>
                          <c15:sqref>Q_BRAND_FC!$C$6:$F$6</c15:sqref>
                        </c15:formulaRef>
                      </c:ext>
                    </c:extLst>
                    <c:strCache>
                      <c:ptCount val="4"/>
                      <c:pt idx="0">
                        <c:v>Q1</c:v>
                      </c:pt>
                      <c:pt idx="1">
                        <c:v>Q2</c:v>
                      </c:pt>
                      <c:pt idx="2">
                        <c:v>Q3</c:v>
                      </c:pt>
                      <c:pt idx="3">
                        <c:v>Q4</c:v>
                      </c:pt>
                    </c:strCache>
                  </c:strRef>
                </c:cat>
                <c:val>
                  <c:numRef>
                    <c:extLst>
                      <c:ext uri="{02D57815-91ED-43cb-92C2-25804820EDAC}">
                        <c15:formulaRef>
                          <c15:sqref>Q_BRAND_FC!$C$9:$F$9</c15:sqref>
                        </c15:formulaRef>
                      </c:ext>
                    </c:extLst>
                    <c:numCache>
                      <c:formatCode>_ \ * #,###,\K\ </c:formatCode>
                      <c:ptCount val="4"/>
                      <c:pt idx="0">
                        <c:v>1301548.6662999701</c:v>
                      </c:pt>
                      <c:pt idx="1">
                        <c:v>547028.13719998999</c:v>
                      </c:pt>
                      <c:pt idx="2">
                        <c:v>0</c:v>
                      </c:pt>
                      <c:pt idx="3">
                        <c:v>0</c:v>
                      </c:pt>
                    </c:numCache>
                  </c:numRef>
                </c:val>
                <c:smooth val="0"/>
                <c:extLst>
                  <c:ext xmlns:c16="http://schemas.microsoft.com/office/drawing/2014/chart" uri="{C3380CC4-5D6E-409C-BE32-E72D297353CC}">
                    <c16:uniqueId val="{00000008-85EB-40CA-88B3-12B78BB45F18}"/>
                  </c:ext>
                </c:extLst>
              </c15:ser>
            </c15:filteredLineSeries>
          </c:ext>
        </c:extLst>
      </c:lineChart>
      <c:catAx>
        <c:axId val="1670944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761726383"/>
        <c:crosses val="autoZero"/>
        <c:auto val="1"/>
        <c:lblAlgn val="ctr"/>
        <c:lblOffset val="100"/>
        <c:noMultiLvlLbl val="0"/>
      </c:catAx>
      <c:valAx>
        <c:axId val="1761726383"/>
        <c:scaling>
          <c:orientation val="minMax"/>
        </c:scaling>
        <c:delete val="0"/>
        <c:axPos val="l"/>
        <c:majorGridlines>
          <c:spPr>
            <a:ln w="9525" cap="flat" cmpd="sng" algn="ctr">
              <a:solidFill>
                <a:schemeClr val="tx1">
                  <a:lumMod val="15000"/>
                  <a:lumOff val="85000"/>
                </a:schemeClr>
              </a:solidFill>
              <a:round/>
            </a:ln>
            <a:effectLst/>
          </c:spPr>
        </c:majorGridlines>
        <c:numFmt formatCode="_ \ *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670944191"/>
        <c:crosses val="autoZero"/>
        <c:crossBetween val="between"/>
      </c:valAx>
      <c:spPr>
        <a:noFill/>
        <a:ln>
          <a:noFill/>
        </a:ln>
        <a:effectLst/>
      </c:spPr>
    </c:plotArea>
    <c:legend>
      <c:legendPos val="b"/>
      <c:layout>
        <c:manualLayout>
          <c:xMode val="edge"/>
          <c:yMode val="edge"/>
          <c:x val="0.14834681197671884"/>
          <c:y val="0.8901655365626282"/>
          <c:w val="0.70330637604656232"/>
          <c:h val="6.896600548795812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ysClr val="window" lastClr="FFFFFF"/>
    </a:solidFill>
    <a:ln w="9525" cap="flat" cmpd="sng" algn="ctr">
      <a:solidFill>
        <a:schemeClr val="bg1"/>
      </a:solidFill>
      <a:round/>
    </a:ln>
    <a:effectLst/>
  </c:spPr>
  <c:txPr>
    <a:bodyPr/>
    <a:lstStyle/>
    <a:p>
      <a:pPr>
        <a:defRPr/>
      </a:pPr>
      <a:endParaRPr lang="nl-NL"/>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Discount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lineChart>
        <c:grouping val="standard"/>
        <c:varyColors val="0"/>
        <c:ser>
          <c:idx val="1"/>
          <c:order val="0"/>
          <c:tx>
            <c:strRef>
              <c:f>Q_BRAND_FC!$N$7</c:f>
              <c:strCache>
                <c:ptCount val="1"/>
                <c:pt idx="0">
                  <c:v>16/17</c:v>
                </c:pt>
              </c:strCache>
              <c:extLst xmlns:c15="http://schemas.microsoft.com/office/drawing/2012/chart"/>
            </c:strRef>
          </c:tx>
          <c:spPr>
            <a:ln w="28575" cap="rnd">
              <a:solidFill>
                <a:schemeClr val="bg1">
                  <a:lumMod val="75000"/>
                </a:schemeClr>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Q_BRAND_FC!$O$6:$R$6</c:f>
              <c:strCache>
                <c:ptCount val="4"/>
                <c:pt idx="0">
                  <c:v>Q1</c:v>
                </c:pt>
                <c:pt idx="1">
                  <c:v>Q2</c:v>
                </c:pt>
                <c:pt idx="2">
                  <c:v>Q3</c:v>
                </c:pt>
                <c:pt idx="3">
                  <c:v>Q4</c:v>
                </c:pt>
              </c:strCache>
            </c:strRef>
          </c:cat>
          <c:val>
            <c:numRef>
              <c:f>Q_BRAND_FC!$O$7:$R$7</c:f>
              <c:numCache>
                <c:formatCode>0%</c:formatCode>
                <c:ptCount val="4"/>
                <c:pt idx="0">
                  <c:v>0.12557227767263701</c:v>
                </c:pt>
                <c:pt idx="1">
                  <c:v>6.0636425950261301E-2</c:v>
                </c:pt>
                <c:pt idx="2">
                  <c:v>3.2129150071987099E-2</c:v>
                </c:pt>
                <c:pt idx="3">
                  <c:v>2.9175795507639001E-2</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4304-4483-B1E4-2D83DE4443C6}"/>
            </c:ext>
          </c:extLst>
        </c:ser>
        <c:ser>
          <c:idx val="2"/>
          <c:order val="1"/>
          <c:tx>
            <c:strRef>
              <c:f>Q_BRAND_FC!$N$8</c:f>
              <c:strCache>
                <c:ptCount val="1"/>
                <c:pt idx="0">
                  <c:v>17/18</c:v>
                </c:pt>
              </c:strCache>
            </c:strRef>
          </c:tx>
          <c:spPr>
            <a:ln w="28575" cap="rnd">
              <a:solidFill>
                <a:schemeClr val="bg1">
                  <a:lumMod val="75000"/>
                </a:schemeClr>
              </a:solidFill>
              <a:prstDash val="dash"/>
              <a:round/>
            </a:ln>
            <a:effectLst/>
          </c:spPr>
          <c:marker>
            <c:symbol val="circle"/>
            <c:size val="5"/>
            <c:spPr>
              <a:solidFill>
                <a:schemeClr val="bg1">
                  <a:lumMod val="75000"/>
                </a:schemeClr>
              </a:solidFill>
              <a:ln w="9525">
                <a:solidFill>
                  <a:schemeClr val="bg1">
                    <a:lumMod val="75000"/>
                  </a:schemeClr>
                </a:solidFill>
                <a:prstDash val="dash"/>
              </a:ln>
              <a:effectLst/>
            </c:spPr>
          </c:marker>
          <c:cat>
            <c:strRef>
              <c:f>Q_BRAND_FC!$O$6:$R$6</c:f>
              <c:strCache>
                <c:ptCount val="4"/>
                <c:pt idx="0">
                  <c:v>Q1</c:v>
                </c:pt>
                <c:pt idx="1">
                  <c:v>Q2</c:v>
                </c:pt>
                <c:pt idx="2">
                  <c:v>Q3</c:v>
                </c:pt>
                <c:pt idx="3">
                  <c:v>Q4</c:v>
                </c:pt>
              </c:strCache>
            </c:strRef>
          </c:cat>
          <c:val>
            <c:numRef>
              <c:f>Q_BRAND_FC!$O$8:$R$8</c:f>
              <c:numCache>
                <c:formatCode>0%</c:formatCode>
                <c:ptCount val="4"/>
                <c:pt idx="0">
                  <c:v>5.2078130625489098E-2</c:v>
                </c:pt>
                <c:pt idx="1">
                  <c:v>7.4733007424791192E-2</c:v>
                </c:pt>
                <c:pt idx="2">
                  <c:v>4.6718667214655396E-2</c:v>
                </c:pt>
                <c:pt idx="3">
                  <c:v>4.2868414924505098E-2</c:v>
                </c:pt>
              </c:numCache>
            </c:numRef>
          </c:val>
          <c:smooth val="0"/>
          <c:extLst>
            <c:ext xmlns:c16="http://schemas.microsoft.com/office/drawing/2014/chart" uri="{C3380CC4-5D6E-409C-BE32-E72D297353CC}">
              <c16:uniqueId val="{00000006-4304-4483-B1E4-2D83DE4443C6}"/>
            </c:ext>
          </c:extLst>
        </c:ser>
        <c:ser>
          <c:idx val="4"/>
          <c:order val="2"/>
          <c:tx>
            <c:strRef>
              <c:f>Q_BRAND_FC!$N$13</c:f>
              <c:strCache>
                <c:ptCount val="1"/>
                <c:pt idx="0">
                  <c:v>18/19</c:v>
                </c:pt>
              </c:strCache>
            </c:strRef>
          </c:tx>
          <c:spPr>
            <a:ln w="28575" cap="rnd">
              <a:solidFill>
                <a:schemeClr val="tx2">
                  <a:lumMod val="60000"/>
                  <a:lumOff val="40000"/>
                </a:schemeClr>
              </a:solidFill>
              <a:round/>
            </a:ln>
            <a:effectLst/>
          </c:spPr>
          <c:marker>
            <c:symbol val="circle"/>
            <c:size val="5"/>
            <c:spPr>
              <a:solidFill>
                <a:schemeClr val="accent3">
                  <a:lumMod val="60000"/>
                </a:schemeClr>
              </a:solidFill>
              <a:ln w="9525">
                <a:solidFill>
                  <a:schemeClr val="tx2">
                    <a:lumMod val="60000"/>
                    <a:lumOff val="40000"/>
                  </a:schemeClr>
                </a:solidFill>
              </a:ln>
              <a:effectLst/>
            </c:spPr>
          </c:marker>
          <c:cat>
            <c:strRef>
              <c:f>Q_BRAND_FC!$O$6:$R$6</c:f>
              <c:strCache>
                <c:ptCount val="4"/>
                <c:pt idx="0">
                  <c:v>Q1</c:v>
                </c:pt>
                <c:pt idx="1">
                  <c:v>Q2</c:v>
                </c:pt>
                <c:pt idx="2">
                  <c:v>Q3</c:v>
                </c:pt>
                <c:pt idx="3">
                  <c:v>Q4</c:v>
                </c:pt>
              </c:strCache>
            </c:strRef>
          </c:cat>
          <c:val>
            <c:numRef>
              <c:f>Q_BRAND_FC!$O$13:$R$13</c:f>
              <c:numCache>
                <c:formatCode>0%</c:formatCode>
                <c:ptCount val="4"/>
                <c:pt idx="0">
                  <c:v>5.0729283265678396E-2</c:v>
                </c:pt>
                <c:pt idx="1">
                  <c:v>6.9260950856088493E-2</c:v>
                </c:pt>
                <c:pt idx="2">
                  <c:v>0</c:v>
                </c:pt>
                <c:pt idx="3">
                  <c:v>0</c:v>
                </c:pt>
              </c:numCache>
            </c:numRef>
          </c:val>
          <c:smooth val="0"/>
          <c:extLst>
            <c:ext xmlns:c16="http://schemas.microsoft.com/office/drawing/2014/chart" uri="{C3380CC4-5D6E-409C-BE32-E72D297353CC}">
              <c16:uniqueId val="{00000008-4304-4483-B1E4-2D83DE4443C6}"/>
            </c:ext>
          </c:extLst>
        </c:ser>
        <c:ser>
          <c:idx val="0"/>
          <c:order val="3"/>
          <c:tx>
            <c:strRef>
              <c:f>Q_BRAND_FC!$N$14</c:f>
              <c:strCache>
                <c:ptCount val="1"/>
                <c:pt idx="0">
                  <c:v>19/20</c:v>
                </c:pt>
              </c:strCache>
            </c:strRef>
          </c:tx>
          <c:spPr>
            <a:ln w="28575" cap="rnd">
              <a:solidFill>
                <a:schemeClr val="bg2">
                  <a:lumMod val="25000"/>
                </a:schemeClr>
              </a:solidFill>
              <a:round/>
            </a:ln>
            <a:effectLst/>
          </c:spPr>
          <c:marker>
            <c:symbol val="circle"/>
            <c:size val="5"/>
            <c:spPr>
              <a:solidFill>
                <a:schemeClr val="tx1"/>
              </a:solidFill>
              <a:ln w="9525">
                <a:solidFill>
                  <a:schemeClr val="bg2">
                    <a:lumMod val="25000"/>
                  </a:schemeClr>
                </a:solidFill>
              </a:ln>
              <a:effectLst/>
            </c:spPr>
          </c:marker>
          <c:val>
            <c:numRef>
              <c:f>Q_BRAND_FC!$O$14:$R$14</c:f>
              <c:numCache>
                <c:formatCode>0%</c:formatCode>
                <c:ptCount val="4"/>
                <c:pt idx="0">
                  <c:v>0</c:v>
                </c:pt>
                <c:pt idx="1">
                  <c:v>#N/A</c:v>
                </c:pt>
                <c:pt idx="2">
                  <c:v>#N/A</c:v>
                </c:pt>
                <c:pt idx="3">
                  <c:v>#N/A</c:v>
                </c:pt>
              </c:numCache>
            </c:numRef>
          </c:val>
          <c:smooth val="0"/>
          <c:extLst>
            <c:ext xmlns:c16="http://schemas.microsoft.com/office/drawing/2014/chart" uri="{C3380CC4-5D6E-409C-BE32-E72D297353CC}">
              <c16:uniqueId val="{00000000-7676-4076-9DA1-D7E82480B372}"/>
            </c:ext>
          </c:extLst>
        </c:ser>
        <c:dLbls>
          <c:showLegendKey val="0"/>
          <c:showVal val="0"/>
          <c:showCatName val="0"/>
          <c:showSerName val="0"/>
          <c:showPercent val="0"/>
          <c:showBubbleSize val="0"/>
        </c:dLbls>
        <c:marker val="1"/>
        <c:smooth val="0"/>
        <c:axId val="1735878960"/>
        <c:axId val="1411479760"/>
        <c:extLst/>
      </c:lineChart>
      <c:catAx>
        <c:axId val="173587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411479760"/>
        <c:crosses val="autoZero"/>
        <c:auto val="1"/>
        <c:lblAlgn val="ctr"/>
        <c:lblOffset val="100"/>
        <c:noMultiLvlLbl val="0"/>
      </c:catAx>
      <c:valAx>
        <c:axId val="14114797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735878960"/>
        <c:crosses val="autoZero"/>
        <c:crossBetween val="between"/>
      </c:valAx>
      <c:spPr>
        <a:noFill/>
        <a:ln>
          <a:noFill/>
        </a:ln>
        <a:effectLst/>
      </c:spPr>
    </c:plotArea>
    <c:legend>
      <c:legendPos val="b"/>
      <c:layout>
        <c:manualLayout>
          <c:xMode val="edge"/>
          <c:yMode val="edge"/>
          <c:x val="0.12391796882759362"/>
          <c:y val="0.89260650490570626"/>
          <c:w val="0.75809964934256113"/>
          <c:h val="7.003940643928277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GS II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0.12934516590873918"/>
          <c:y val="0.18342387434128871"/>
          <c:w val="0.84345703507035408"/>
          <c:h val="0.5702150603267615"/>
        </c:manualLayout>
      </c:layout>
      <c:lineChart>
        <c:grouping val="standard"/>
        <c:varyColors val="0"/>
        <c:ser>
          <c:idx val="0"/>
          <c:order val="0"/>
          <c:tx>
            <c:strRef>
              <c:f>Q_BRAND_FC!$B$51</c:f>
              <c:strCache>
                <c:ptCount val="1"/>
                <c:pt idx="0">
                  <c:v>16/17</c:v>
                </c:pt>
              </c:strCache>
            </c:strRef>
          </c:tx>
          <c:spPr>
            <a:ln w="28575" cap="rnd">
              <a:solidFill>
                <a:schemeClr val="bg1">
                  <a:lumMod val="75000"/>
                </a:schemeClr>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Q_BRAND_FC!$C$50:$F$50</c:f>
              <c:strCache>
                <c:ptCount val="4"/>
                <c:pt idx="0">
                  <c:v>Q1</c:v>
                </c:pt>
                <c:pt idx="1">
                  <c:v>Q2</c:v>
                </c:pt>
                <c:pt idx="2">
                  <c:v>Q3</c:v>
                </c:pt>
                <c:pt idx="3">
                  <c:v>Q4</c:v>
                </c:pt>
              </c:strCache>
            </c:strRef>
          </c:cat>
          <c:val>
            <c:numRef>
              <c:f>Q_BRAND_FC!$C$51:$F$51</c:f>
              <c:numCache>
                <c:formatCode>_ \ * #,###,\K\ </c:formatCode>
                <c:ptCount val="4"/>
                <c:pt idx="0">
                  <c:v>8475806.1245000418</c:v>
                </c:pt>
                <c:pt idx="1">
                  <c:v>9144043.7896999791</c:v>
                </c:pt>
                <c:pt idx="2">
                  <c:v>8823977.3379999232</c:v>
                </c:pt>
                <c:pt idx="3">
                  <c:v>7460087.4669999154</c:v>
                </c:pt>
              </c:numCache>
            </c:numRef>
          </c:val>
          <c:smooth val="0"/>
          <c:extLst>
            <c:ext xmlns:c16="http://schemas.microsoft.com/office/drawing/2014/chart" uri="{C3380CC4-5D6E-409C-BE32-E72D297353CC}">
              <c16:uniqueId val="{00000001-A15C-4EF9-8DC4-2DA42DE35BFA}"/>
            </c:ext>
          </c:extLst>
        </c:ser>
        <c:ser>
          <c:idx val="1"/>
          <c:order val="1"/>
          <c:tx>
            <c:strRef>
              <c:f>Q_BRAND_FC!$B$52</c:f>
              <c:strCache>
                <c:ptCount val="1"/>
                <c:pt idx="0">
                  <c:v>17/18</c:v>
                </c:pt>
              </c:strCache>
            </c:strRef>
          </c:tx>
          <c:spPr>
            <a:ln w="28575" cap="rnd">
              <a:solidFill>
                <a:schemeClr val="bg1">
                  <a:lumMod val="75000"/>
                </a:schemeClr>
              </a:solidFill>
              <a:prstDash val="dash"/>
              <a:round/>
            </a:ln>
            <a:effectLst/>
          </c:spPr>
          <c:marker>
            <c:symbol val="circle"/>
            <c:size val="5"/>
            <c:spPr>
              <a:solidFill>
                <a:schemeClr val="bg1">
                  <a:lumMod val="85000"/>
                </a:schemeClr>
              </a:solidFill>
              <a:ln w="9525">
                <a:solidFill>
                  <a:schemeClr val="bg1">
                    <a:lumMod val="75000"/>
                  </a:schemeClr>
                </a:solidFill>
                <a:prstDash val="dash"/>
              </a:ln>
              <a:effectLst/>
            </c:spPr>
          </c:marker>
          <c:cat>
            <c:strRef>
              <c:f>Q_BRAND_FC!$C$50:$F$50</c:f>
              <c:strCache>
                <c:ptCount val="4"/>
                <c:pt idx="0">
                  <c:v>Q1</c:v>
                </c:pt>
                <c:pt idx="1">
                  <c:v>Q2</c:v>
                </c:pt>
                <c:pt idx="2">
                  <c:v>Q3</c:v>
                </c:pt>
                <c:pt idx="3">
                  <c:v>Q4</c:v>
                </c:pt>
              </c:strCache>
            </c:strRef>
          </c:cat>
          <c:val>
            <c:numRef>
              <c:f>Q_BRAND_FC!$C$52:$F$52</c:f>
              <c:numCache>
                <c:formatCode>_ \ * #,###,\K\ </c:formatCode>
                <c:ptCount val="4"/>
                <c:pt idx="0">
                  <c:v>9075678.3576998971</c:v>
                </c:pt>
                <c:pt idx="1">
                  <c:v>9456700.3081999477</c:v>
                </c:pt>
                <c:pt idx="2">
                  <c:v>9798506.1393998992</c:v>
                </c:pt>
                <c:pt idx="3">
                  <c:v>8340623.7313998966</c:v>
                </c:pt>
              </c:numCache>
            </c:numRef>
          </c:val>
          <c:smooth val="0"/>
          <c:extLst>
            <c:ext xmlns:c16="http://schemas.microsoft.com/office/drawing/2014/chart" uri="{C3380CC4-5D6E-409C-BE32-E72D297353CC}">
              <c16:uniqueId val="{00000002-A15C-4EF9-8DC4-2DA42DE35BFA}"/>
            </c:ext>
          </c:extLst>
        </c:ser>
        <c:ser>
          <c:idx val="3"/>
          <c:order val="2"/>
          <c:tx>
            <c:strRef>
              <c:f>Q_BRAND_FC!$B$57</c:f>
              <c:strCache>
                <c:ptCount val="1"/>
                <c:pt idx="0">
                  <c:v>18/19</c:v>
                </c:pt>
              </c:strCache>
            </c:strRef>
          </c:tx>
          <c:spPr>
            <a:ln w="28575" cap="rnd">
              <a:solidFill>
                <a:schemeClr val="tx2">
                  <a:lumMod val="60000"/>
                  <a:lumOff val="40000"/>
                </a:schemeClr>
              </a:solidFill>
              <a:prstDash val="solid"/>
              <a:round/>
            </a:ln>
            <a:effectLst/>
          </c:spPr>
          <c:marker>
            <c:symbol val="circle"/>
            <c:size val="5"/>
            <c:spPr>
              <a:solidFill>
                <a:schemeClr val="accent1">
                  <a:lumMod val="60000"/>
                </a:schemeClr>
              </a:solidFill>
              <a:ln w="9525">
                <a:solidFill>
                  <a:schemeClr val="tx2">
                    <a:lumMod val="60000"/>
                    <a:lumOff val="40000"/>
                  </a:schemeClr>
                </a:solidFill>
                <a:prstDash val="solid"/>
              </a:ln>
              <a:effectLst/>
            </c:spPr>
          </c:marker>
          <c:cat>
            <c:strRef>
              <c:f>Q_BRAND_FC!$C$50:$F$50</c:f>
              <c:strCache>
                <c:ptCount val="4"/>
                <c:pt idx="0">
                  <c:v>Q1</c:v>
                </c:pt>
                <c:pt idx="1">
                  <c:v>Q2</c:v>
                </c:pt>
                <c:pt idx="2">
                  <c:v>Q3</c:v>
                </c:pt>
                <c:pt idx="3">
                  <c:v>Q4</c:v>
                </c:pt>
              </c:strCache>
            </c:strRef>
          </c:cat>
          <c:val>
            <c:numRef>
              <c:f>Q_BRAND_FC!$C$57:$F$57</c:f>
              <c:numCache>
                <c:formatCode>_ \ * #,###,\K\ </c:formatCode>
                <c:ptCount val="4"/>
                <c:pt idx="0">
                  <c:v>10806817.290099872</c:v>
                </c:pt>
                <c:pt idx="1">
                  <c:v>4168066.5928999409</c:v>
                </c:pt>
                <c:pt idx="2">
                  <c:v>0</c:v>
                </c:pt>
                <c:pt idx="3">
                  <c:v>0</c:v>
                </c:pt>
              </c:numCache>
            </c:numRef>
          </c:val>
          <c:smooth val="0"/>
          <c:extLst>
            <c:ext xmlns:c16="http://schemas.microsoft.com/office/drawing/2014/chart" uri="{C3380CC4-5D6E-409C-BE32-E72D297353CC}">
              <c16:uniqueId val="{00000004-A15C-4EF9-8DC4-2DA42DE35BFA}"/>
            </c:ext>
          </c:extLst>
        </c:ser>
        <c:ser>
          <c:idx val="4"/>
          <c:order val="3"/>
          <c:tx>
            <c:strRef>
              <c:f>Q_BRAND_FC!$B$58</c:f>
              <c:strCache>
                <c:ptCount val="1"/>
                <c:pt idx="0">
                  <c:v>19/20</c:v>
                </c:pt>
              </c:strCache>
            </c:strRef>
          </c:tx>
          <c:spPr>
            <a:ln w="28575" cap="rnd">
              <a:solidFill>
                <a:schemeClr val="bg2">
                  <a:lumMod val="25000"/>
                </a:schemeClr>
              </a:solidFill>
              <a:round/>
            </a:ln>
            <a:effectLst/>
          </c:spPr>
          <c:marker>
            <c:symbol val="circle"/>
            <c:size val="5"/>
            <c:spPr>
              <a:solidFill>
                <a:schemeClr val="tx1"/>
              </a:solidFill>
              <a:ln w="9525">
                <a:solidFill>
                  <a:schemeClr val="bg2">
                    <a:lumMod val="25000"/>
                  </a:schemeClr>
                </a:solidFill>
              </a:ln>
              <a:effectLst/>
            </c:spPr>
          </c:marker>
          <c:cat>
            <c:strRef>
              <c:f>Q_BRAND_FC!$C$50:$F$50</c:f>
              <c:strCache>
                <c:ptCount val="4"/>
                <c:pt idx="0">
                  <c:v>Q1</c:v>
                </c:pt>
                <c:pt idx="1">
                  <c:v>Q2</c:v>
                </c:pt>
                <c:pt idx="2">
                  <c:v>Q3</c:v>
                </c:pt>
                <c:pt idx="3">
                  <c:v>Q4</c:v>
                </c:pt>
              </c:strCache>
            </c:strRef>
          </c:cat>
          <c:val>
            <c:numRef>
              <c:f>Q_BRAND_FC!$C$58:$F$58</c:f>
              <c:numCache>
                <c:formatCode>_ \ * #,###,\K\ </c:formatCode>
                <c:ptCount val="4"/>
                <c:pt idx="0">
                  <c:v>0</c:v>
                </c:pt>
                <c:pt idx="1">
                  <c:v>#N/A</c:v>
                </c:pt>
                <c:pt idx="2">
                  <c:v>#N/A</c:v>
                </c:pt>
                <c:pt idx="3">
                  <c:v>#N/A</c:v>
                </c:pt>
              </c:numCache>
            </c:numRef>
          </c:val>
          <c:smooth val="0"/>
          <c:extLst>
            <c:ext xmlns:c16="http://schemas.microsoft.com/office/drawing/2014/chart" uri="{C3380CC4-5D6E-409C-BE32-E72D297353CC}">
              <c16:uniqueId val="{00000000-CFCF-4712-A657-C59D4EBE81DC}"/>
            </c:ext>
          </c:extLst>
        </c:ser>
        <c:dLbls>
          <c:showLegendKey val="0"/>
          <c:showVal val="0"/>
          <c:showCatName val="0"/>
          <c:showSerName val="0"/>
          <c:showPercent val="0"/>
          <c:showBubbleSize val="0"/>
        </c:dLbls>
        <c:marker val="1"/>
        <c:smooth val="0"/>
        <c:axId val="657490056"/>
        <c:axId val="657485464"/>
      </c:lineChart>
      <c:catAx>
        <c:axId val="657490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657485464"/>
        <c:crosses val="autoZero"/>
        <c:auto val="1"/>
        <c:lblAlgn val="ctr"/>
        <c:lblOffset val="100"/>
        <c:noMultiLvlLbl val="0"/>
      </c:catAx>
      <c:valAx>
        <c:axId val="657485464"/>
        <c:scaling>
          <c:orientation val="minMax"/>
        </c:scaling>
        <c:delete val="0"/>
        <c:axPos val="l"/>
        <c:majorGridlines>
          <c:spPr>
            <a:ln w="9525" cap="flat" cmpd="sng" algn="ctr">
              <a:solidFill>
                <a:schemeClr val="tx1">
                  <a:lumMod val="15000"/>
                  <a:lumOff val="85000"/>
                </a:schemeClr>
              </a:solidFill>
              <a:round/>
            </a:ln>
            <a:effectLst/>
          </c:spPr>
        </c:majorGridlines>
        <c:numFmt formatCode="_ \ *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657490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Mark-Up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lineChart>
        <c:grouping val="standard"/>
        <c:varyColors val="0"/>
        <c:ser>
          <c:idx val="0"/>
          <c:order val="0"/>
          <c:tx>
            <c:strRef>
              <c:f>Q_BRAND_FC!$N$25</c:f>
              <c:strCache>
                <c:ptCount val="1"/>
                <c:pt idx="0">
                  <c:v>16/17</c:v>
                </c:pt>
              </c:strCache>
            </c:strRef>
          </c:tx>
          <c:spPr>
            <a:ln w="28575" cap="rnd">
              <a:solidFill>
                <a:schemeClr val="bg1">
                  <a:lumMod val="65000"/>
                </a:schemeClr>
              </a:solidFill>
              <a:prstDash val="sysDot"/>
              <a:round/>
            </a:ln>
            <a:effectLst/>
          </c:spPr>
          <c:marker>
            <c:symbol val="circle"/>
            <c:size val="5"/>
            <c:spPr>
              <a:solidFill>
                <a:schemeClr val="bg2">
                  <a:lumMod val="75000"/>
                </a:schemeClr>
              </a:solidFill>
              <a:ln w="9525">
                <a:solidFill>
                  <a:schemeClr val="bg1">
                    <a:lumMod val="65000"/>
                  </a:schemeClr>
                </a:solidFill>
                <a:prstDash val="sysDot"/>
              </a:ln>
              <a:effectLst/>
            </c:spPr>
          </c:marker>
          <c:cat>
            <c:strRef>
              <c:f>Q_BRAND_FC!$O$24:$R$24</c:f>
              <c:strCache>
                <c:ptCount val="4"/>
                <c:pt idx="0">
                  <c:v>Q1</c:v>
                </c:pt>
                <c:pt idx="1">
                  <c:v>Q2</c:v>
                </c:pt>
                <c:pt idx="2">
                  <c:v>Q3</c:v>
                </c:pt>
                <c:pt idx="3">
                  <c:v>Q4</c:v>
                </c:pt>
              </c:strCache>
            </c:strRef>
          </c:cat>
          <c:val>
            <c:numRef>
              <c:f>Q_BRAND_FC!$O$25:$R$25</c:f>
              <c:numCache>
                <c:formatCode>_ * #,##0.0_ ;_ * \-#,##0.0_ ;_ * "-"??_ ;_ @_ </c:formatCode>
                <c:ptCount val="4"/>
                <c:pt idx="0">
                  <c:v>3.0169983473191002</c:v>
                </c:pt>
                <c:pt idx="1">
                  <c:v>3.01730443473109</c:v>
                </c:pt>
                <c:pt idx="2">
                  <c:v>3.0596204304773802</c:v>
                </c:pt>
                <c:pt idx="3">
                  <c:v>3.02314375757273</c:v>
                </c:pt>
              </c:numCache>
            </c:numRef>
          </c:val>
          <c:smooth val="0"/>
          <c:extLst>
            <c:ext xmlns:c16="http://schemas.microsoft.com/office/drawing/2014/chart" uri="{C3380CC4-5D6E-409C-BE32-E72D297353CC}">
              <c16:uniqueId val="{00000000-5298-4022-B3FC-19AB987FB099}"/>
            </c:ext>
          </c:extLst>
        </c:ser>
        <c:ser>
          <c:idx val="1"/>
          <c:order val="1"/>
          <c:tx>
            <c:strRef>
              <c:f>Q_BRAND_FC!$N$26</c:f>
              <c:strCache>
                <c:ptCount val="1"/>
                <c:pt idx="0">
                  <c:v> 17/18 </c:v>
                </c:pt>
              </c:strCache>
            </c:strRef>
          </c:tx>
          <c:spPr>
            <a:ln w="28575" cap="rnd">
              <a:solidFill>
                <a:schemeClr val="bg1">
                  <a:lumMod val="75000"/>
                </a:schemeClr>
              </a:solidFill>
              <a:prstDash val="dash"/>
              <a:round/>
            </a:ln>
            <a:effectLst/>
          </c:spPr>
          <c:marker>
            <c:symbol val="circle"/>
            <c:size val="5"/>
            <c:spPr>
              <a:solidFill>
                <a:schemeClr val="bg2">
                  <a:lumMod val="75000"/>
                </a:schemeClr>
              </a:solidFill>
              <a:ln w="9525">
                <a:solidFill>
                  <a:schemeClr val="bg1">
                    <a:lumMod val="75000"/>
                  </a:schemeClr>
                </a:solidFill>
                <a:prstDash val="dash"/>
              </a:ln>
              <a:effectLst/>
            </c:spPr>
          </c:marker>
          <c:cat>
            <c:strRef>
              <c:f>Q_BRAND_FC!$O$24:$R$24</c:f>
              <c:strCache>
                <c:ptCount val="4"/>
                <c:pt idx="0">
                  <c:v>Q1</c:v>
                </c:pt>
                <c:pt idx="1">
                  <c:v>Q2</c:v>
                </c:pt>
                <c:pt idx="2">
                  <c:v>Q3</c:v>
                </c:pt>
                <c:pt idx="3">
                  <c:v>Q4</c:v>
                </c:pt>
              </c:strCache>
            </c:strRef>
          </c:cat>
          <c:val>
            <c:numRef>
              <c:f>Q_BRAND_FC!$O$26:$R$26</c:f>
              <c:numCache>
                <c:formatCode>_ * #,##0.0_ ;_ * \-#,##0.0_ ;_ * "-"??_ ;_ @_ </c:formatCode>
                <c:ptCount val="4"/>
                <c:pt idx="0">
                  <c:v>3.1323238814655499</c:v>
                </c:pt>
                <c:pt idx="1">
                  <c:v>3.1003291631653198</c:v>
                </c:pt>
                <c:pt idx="2">
                  <c:v>3.1240388382618698</c:v>
                </c:pt>
                <c:pt idx="3">
                  <c:v>3.0581261080632598</c:v>
                </c:pt>
              </c:numCache>
            </c:numRef>
          </c:val>
          <c:smooth val="0"/>
          <c:extLst>
            <c:ext xmlns:c16="http://schemas.microsoft.com/office/drawing/2014/chart" uri="{C3380CC4-5D6E-409C-BE32-E72D297353CC}">
              <c16:uniqueId val="{00000001-5298-4022-B3FC-19AB987FB099}"/>
            </c:ext>
          </c:extLst>
        </c:ser>
        <c:ser>
          <c:idx val="3"/>
          <c:order val="2"/>
          <c:tx>
            <c:strRef>
              <c:f>Q_BRAND_FC!$N$31</c:f>
              <c:strCache>
                <c:ptCount val="1"/>
                <c:pt idx="0">
                  <c:v> 18/19 </c:v>
                </c:pt>
              </c:strCache>
            </c:strRef>
          </c:tx>
          <c:spPr>
            <a:ln w="28575" cap="rnd">
              <a:solidFill>
                <a:schemeClr val="tx2">
                  <a:lumMod val="60000"/>
                  <a:lumOff val="40000"/>
                </a:schemeClr>
              </a:solidFill>
              <a:round/>
            </a:ln>
            <a:effectLst/>
          </c:spPr>
          <c:marker>
            <c:symbol val="circle"/>
            <c:size val="5"/>
            <c:spPr>
              <a:solidFill>
                <a:schemeClr val="accent1">
                  <a:lumMod val="60000"/>
                </a:schemeClr>
              </a:solidFill>
              <a:ln w="9525">
                <a:solidFill>
                  <a:schemeClr val="tx2">
                    <a:lumMod val="60000"/>
                    <a:lumOff val="40000"/>
                  </a:schemeClr>
                </a:solidFill>
              </a:ln>
              <a:effectLst/>
            </c:spPr>
          </c:marker>
          <c:cat>
            <c:strRef>
              <c:f>Q_BRAND_FC!$O$24:$R$24</c:f>
              <c:strCache>
                <c:ptCount val="4"/>
                <c:pt idx="0">
                  <c:v>Q1</c:v>
                </c:pt>
                <c:pt idx="1">
                  <c:v>Q2</c:v>
                </c:pt>
                <c:pt idx="2">
                  <c:v>Q3</c:v>
                </c:pt>
                <c:pt idx="3">
                  <c:v>Q4</c:v>
                </c:pt>
              </c:strCache>
            </c:strRef>
          </c:cat>
          <c:val>
            <c:numRef>
              <c:f>Q_BRAND_FC!$O$31:$R$31</c:f>
              <c:numCache>
                <c:formatCode>_ * #,##0.0_ ;_ * \-#,##0.0_ ;_ * "-"??_ ;_ @_ </c:formatCode>
                <c:ptCount val="4"/>
                <c:pt idx="0">
                  <c:v>3.0764532711331398</c:v>
                </c:pt>
                <c:pt idx="1">
                  <c:v>3.0953748875310598</c:v>
                </c:pt>
                <c:pt idx="2">
                  <c:v>3.1240388382618698</c:v>
                </c:pt>
                <c:pt idx="3">
                  <c:v>3.0581261080632598</c:v>
                </c:pt>
              </c:numCache>
            </c:numRef>
          </c:val>
          <c:smooth val="0"/>
          <c:extLst>
            <c:ext xmlns:c16="http://schemas.microsoft.com/office/drawing/2014/chart" uri="{C3380CC4-5D6E-409C-BE32-E72D297353CC}">
              <c16:uniqueId val="{00000003-5298-4022-B3FC-19AB987FB099}"/>
            </c:ext>
          </c:extLst>
        </c:ser>
        <c:ser>
          <c:idx val="2"/>
          <c:order val="3"/>
          <c:tx>
            <c:strRef>
              <c:f>Q_BRAND_FC!$N$32</c:f>
              <c:strCache>
                <c:ptCount val="1"/>
                <c:pt idx="0">
                  <c:v> 19/20 </c:v>
                </c:pt>
              </c:strCache>
            </c:strRef>
          </c:tx>
          <c:spPr>
            <a:ln w="28575" cap="rnd">
              <a:solidFill>
                <a:schemeClr val="tx1">
                  <a:lumMod val="75000"/>
                  <a:lumOff val="25000"/>
                </a:schemeClr>
              </a:solidFill>
              <a:round/>
            </a:ln>
            <a:effectLst/>
          </c:spPr>
          <c:marker>
            <c:symbol val="circle"/>
            <c:size val="5"/>
            <c:spPr>
              <a:solidFill>
                <a:schemeClr val="tx1">
                  <a:lumMod val="75000"/>
                  <a:lumOff val="25000"/>
                </a:schemeClr>
              </a:solidFill>
              <a:ln w="28575">
                <a:solidFill>
                  <a:schemeClr val="tx1">
                    <a:lumMod val="75000"/>
                    <a:lumOff val="25000"/>
                  </a:schemeClr>
                </a:solidFill>
              </a:ln>
              <a:effectLst/>
            </c:spPr>
          </c:marker>
          <c:val>
            <c:numRef>
              <c:f>Q_BRAND_FC!$O$32:$R$32</c:f>
              <c:numCache>
                <c:formatCode>_ * #,##0.0_ ;_ * \-#,##0.0_ ;_ * "-"??_ ;_ @_ </c:formatCode>
                <c:ptCount val="4"/>
                <c:pt idx="0">
                  <c:v>3.0764532711331398</c:v>
                </c:pt>
                <c:pt idx="1">
                  <c:v>3.0953748875310598</c:v>
                </c:pt>
                <c:pt idx="2">
                  <c:v>3.1240388382618698</c:v>
                </c:pt>
                <c:pt idx="3">
                  <c:v>3.0581261080632598</c:v>
                </c:pt>
              </c:numCache>
            </c:numRef>
          </c:val>
          <c:smooth val="0"/>
          <c:extLst>
            <c:ext xmlns:c16="http://schemas.microsoft.com/office/drawing/2014/chart" uri="{C3380CC4-5D6E-409C-BE32-E72D297353CC}">
              <c16:uniqueId val="{00000000-0E8B-477B-9A19-F7059DAEB9DB}"/>
            </c:ext>
          </c:extLst>
        </c:ser>
        <c:dLbls>
          <c:showLegendKey val="0"/>
          <c:showVal val="0"/>
          <c:showCatName val="0"/>
          <c:showSerName val="0"/>
          <c:showPercent val="0"/>
          <c:showBubbleSize val="0"/>
        </c:dLbls>
        <c:marker val="1"/>
        <c:smooth val="0"/>
        <c:axId val="630321360"/>
        <c:axId val="630318736"/>
      </c:lineChart>
      <c:catAx>
        <c:axId val="630321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630318736"/>
        <c:crosses val="autoZero"/>
        <c:auto val="1"/>
        <c:lblAlgn val="ctr"/>
        <c:lblOffset val="100"/>
        <c:noMultiLvlLbl val="0"/>
      </c:catAx>
      <c:valAx>
        <c:axId val="630318736"/>
        <c:scaling>
          <c:orientation val="minMax"/>
        </c:scaling>
        <c:delete val="0"/>
        <c:axPos val="l"/>
        <c:majorGridlines>
          <c:spPr>
            <a:ln w="9525" cap="flat" cmpd="sng" algn="ctr">
              <a:solidFill>
                <a:schemeClr val="tx1">
                  <a:lumMod val="15000"/>
                  <a:lumOff val="85000"/>
                </a:schemeClr>
              </a:solidFill>
              <a:round/>
            </a:ln>
            <a:effectLst/>
          </c:spPr>
        </c:majorGridlines>
        <c:numFmt formatCode="_ * #,##0.0_ ;_ * \-#,##0.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630321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GS II Growth Check</a:t>
            </a:r>
          </a:p>
        </c:rich>
      </c:tx>
      <c:layout>
        <c:manualLayout>
          <c:xMode val="edge"/>
          <c:yMode val="edge"/>
          <c:x val="0.4822349863216861"/>
          <c:y val="7.890532836188345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1.2262562448050922E-2"/>
          <c:y val="0.11014396935772114"/>
          <c:w val="0.92708907193728662"/>
          <c:h val="0.67090265055113341"/>
        </c:manualLayout>
      </c:layout>
      <c:barChart>
        <c:barDir val="col"/>
        <c:grouping val="clustered"/>
        <c:varyColors val="0"/>
        <c:ser>
          <c:idx val="0"/>
          <c:order val="0"/>
          <c:tx>
            <c:strRef>
              <c:f>Q_BRAND_FC!$T$101:$T$102</c:f>
              <c:strCache>
                <c:ptCount val="2"/>
                <c:pt idx="0">
                  <c:v>18/19</c:v>
                </c:pt>
                <c:pt idx="1">
                  <c:v>Q4</c:v>
                </c:pt>
              </c:strCache>
            </c:strRef>
          </c:tx>
          <c:spPr>
            <a:solidFill>
              <a:schemeClr val="accent1"/>
            </a:solidFill>
            <a:ln>
              <a:noFill/>
            </a:ln>
            <a:effectLst/>
          </c:spPr>
          <c:invertIfNegative val="0"/>
          <c:cat>
            <c:strRef>
              <c:f>Q_BRAND_FC!$R$103:$R$115</c:f>
              <c:strCache>
                <c:ptCount val="13"/>
                <c:pt idx="0">
                  <c:v>ACCESSORIES</c:v>
                </c:pt>
                <c:pt idx="1">
                  <c:v>DRESSES</c:v>
                </c:pt>
                <c:pt idx="2">
                  <c:v>JEANS</c:v>
                </c:pt>
                <c:pt idx="3">
                  <c:v>KNIT</c:v>
                </c:pt>
                <c:pt idx="4">
                  <c:v>OUTERWEAR</c:v>
                </c:pt>
                <c:pt idx="5">
                  <c:v>PANTS</c:v>
                </c:pt>
                <c:pt idx="6">
                  <c:v>SHIRTS</c:v>
                </c:pt>
                <c:pt idx="7">
                  <c:v>SHOES</c:v>
                </c:pt>
                <c:pt idx="8">
                  <c:v>SHORTS</c:v>
                </c:pt>
                <c:pt idx="9">
                  <c:v>SKIRTS</c:v>
                </c:pt>
                <c:pt idx="10">
                  <c:v>SWEAT</c:v>
                </c:pt>
                <c:pt idx="11">
                  <c:v>TAILORING</c:v>
                </c:pt>
                <c:pt idx="12">
                  <c:v>TOPS</c:v>
                </c:pt>
              </c:strCache>
            </c:strRef>
          </c:cat>
          <c:val>
            <c:numRef>
              <c:f>Q_BRAND_FC!$T$103:$T$115</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C773-4037-94D2-3A49B70400B4}"/>
            </c:ext>
          </c:extLst>
        </c:ser>
        <c:ser>
          <c:idx val="1"/>
          <c:order val="1"/>
          <c:tx>
            <c:strRef>
              <c:f>Q_BRAND_FC!$U$101:$U$102</c:f>
              <c:strCache>
                <c:ptCount val="2"/>
                <c:pt idx="0">
                  <c:v>19/20</c:v>
                </c:pt>
                <c:pt idx="1">
                  <c:v>Q1</c:v>
                </c:pt>
              </c:strCache>
            </c:strRef>
          </c:tx>
          <c:spPr>
            <a:solidFill>
              <a:schemeClr val="accent2"/>
            </a:solidFill>
            <a:ln>
              <a:noFill/>
            </a:ln>
            <a:effectLst/>
          </c:spPr>
          <c:invertIfNegative val="0"/>
          <c:cat>
            <c:strRef>
              <c:f>Q_BRAND_FC!$R$103:$R$115</c:f>
              <c:strCache>
                <c:ptCount val="13"/>
                <c:pt idx="0">
                  <c:v>ACCESSORIES</c:v>
                </c:pt>
                <c:pt idx="1">
                  <c:v>DRESSES</c:v>
                </c:pt>
                <c:pt idx="2">
                  <c:v>JEANS</c:v>
                </c:pt>
                <c:pt idx="3">
                  <c:v>KNIT</c:v>
                </c:pt>
                <c:pt idx="4">
                  <c:v>OUTERWEAR</c:v>
                </c:pt>
                <c:pt idx="5">
                  <c:v>PANTS</c:v>
                </c:pt>
                <c:pt idx="6">
                  <c:v>SHIRTS</c:v>
                </c:pt>
                <c:pt idx="7">
                  <c:v>SHOES</c:v>
                </c:pt>
                <c:pt idx="8">
                  <c:v>SHORTS</c:v>
                </c:pt>
                <c:pt idx="9">
                  <c:v>SKIRTS</c:v>
                </c:pt>
                <c:pt idx="10">
                  <c:v>SWEAT</c:v>
                </c:pt>
                <c:pt idx="11">
                  <c:v>TAILORING</c:v>
                </c:pt>
                <c:pt idx="12">
                  <c:v>TOPS</c:v>
                </c:pt>
              </c:strCache>
            </c:strRef>
          </c:cat>
          <c:val>
            <c:numRef>
              <c:f>Q_BRAND_FC!$U$103:$U$115</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C773-4037-94D2-3A49B70400B4}"/>
            </c:ext>
          </c:extLst>
        </c:ser>
        <c:ser>
          <c:idx val="2"/>
          <c:order val="2"/>
          <c:tx>
            <c:strRef>
              <c:f>Q_BRAND_FC!$V$101:$V$102</c:f>
              <c:strCache>
                <c:ptCount val="2"/>
                <c:pt idx="0">
                  <c:v>19/20</c:v>
                </c:pt>
                <c:pt idx="1">
                  <c:v>Q2</c:v>
                </c:pt>
              </c:strCache>
            </c:strRef>
          </c:tx>
          <c:spPr>
            <a:solidFill>
              <a:schemeClr val="accent3"/>
            </a:solidFill>
            <a:ln>
              <a:noFill/>
            </a:ln>
            <a:effectLst/>
          </c:spPr>
          <c:invertIfNegative val="0"/>
          <c:cat>
            <c:strRef>
              <c:f>Q_BRAND_FC!$R$103:$R$115</c:f>
              <c:strCache>
                <c:ptCount val="13"/>
                <c:pt idx="0">
                  <c:v>ACCESSORIES</c:v>
                </c:pt>
                <c:pt idx="1">
                  <c:v>DRESSES</c:v>
                </c:pt>
                <c:pt idx="2">
                  <c:v>JEANS</c:v>
                </c:pt>
                <c:pt idx="3">
                  <c:v>KNIT</c:v>
                </c:pt>
                <c:pt idx="4">
                  <c:v>OUTERWEAR</c:v>
                </c:pt>
                <c:pt idx="5">
                  <c:v>PANTS</c:v>
                </c:pt>
                <c:pt idx="6">
                  <c:v>SHIRTS</c:v>
                </c:pt>
                <c:pt idx="7">
                  <c:v>SHOES</c:v>
                </c:pt>
                <c:pt idx="8">
                  <c:v>SHORTS</c:v>
                </c:pt>
                <c:pt idx="9">
                  <c:v>SKIRTS</c:v>
                </c:pt>
                <c:pt idx="10">
                  <c:v>SWEAT</c:v>
                </c:pt>
                <c:pt idx="11">
                  <c:v>TAILORING</c:v>
                </c:pt>
                <c:pt idx="12">
                  <c:v>TOPS</c:v>
                </c:pt>
              </c:strCache>
            </c:strRef>
          </c:cat>
          <c:val>
            <c:numRef>
              <c:f>Q_BRAND_FC!$V$103:$V$115</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C773-4037-94D2-3A49B70400B4}"/>
            </c:ext>
          </c:extLst>
        </c:ser>
        <c:ser>
          <c:idx val="3"/>
          <c:order val="3"/>
          <c:tx>
            <c:strRef>
              <c:f>Q_BRAND_FC!$W$101:$W$102</c:f>
              <c:strCache>
                <c:ptCount val="2"/>
                <c:pt idx="0">
                  <c:v>19/20</c:v>
                </c:pt>
                <c:pt idx="1">
                  <c:v>Q3</c:v>
                </c:pt>
              </c:strCache>
            </c:strRef>
          </c:tx>
          <c:spPr>
            <a:solidFill>
              <a:schemeClr val="accent4"/>
            </a:solidFill>
            <a:ln>
              <a:noFill/>
            </a:ln>
            <a:effectLst/>
          </c:spPr>
          <c:invertIfNegative val="0"/>
          <c:cat>
            <c:strRef>
              <c:f>Q_BRAND_FC!$R$103:$R$115</c:f>
              <c:strCache>
                <c:ptCount val="13"/>
                <c:pt idx="0">
                  <c:v>ACCESSORIES</c:v>
                </c:pt>
                <c:pt idx="1">
                  <c:v>DRESSES</c:v>
                </c:pt>
                <c:pt idx="2">
                  <c:v>JEANS</c:v>
                </c:pt>
                <c:pt idx="3">
                  <c:v>KNIT</c:v>
                </c:pt>
                <c:pt idx="4">
                  <c:v>OUTERWEAR</c:v>
                </c:pt>
                <c:pt idx="5">
                  <c:v>PANTS</c:v>
                </c:pt>
                <c:pt idx="6">
                  <c:v>SHIRTS</c:v>
                </c:pt>
                <c:pt idx="7">
                  <c:v>SHOES</c:v>
                </c:pt>
                <c:pt idx="8">
                  <c:v>SHORTS</c:v>
                </c:pt>
                <c:pt idx="9">
                  <c:v>SKIRTS</c:v>
                </c:pt>
                <c:pt idx="10">
                  <c:v>SWEAT</c:v>
                </c:pt>
                <c:pt idx="11">
                  <c:v>TAILORING</c:v>
                </c:pt>
                <c:pt idx="12">
                  <c:v>TOPS</c:v>
                </c:pt>
              </c:strCache>
            </c:strRef>
          </c:cat>
          <c:val>
            <c:numRef>
              <c:f>Q_BRAND_FC!$W$103:$W$115</c:f>
              <c:numCache>
                <c:formatCode>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C773-4037-94D2-3A49B70400B4}"/>
            </c:ext>
          </c:extLst>
        </c:ser>
        <c:dLbls>
          <c:showLegendKey val="0"/>
          <c:showVal val="0"/>
          <c:showCatName val="0"/>
          <c:showSerName val="0"/>
          <c:showPercent val="0"/>
          <c:showBubbleSize val="0"/>
        </c:dLbls>
        <c:gapWidth val="219"/>
        <c:overlap val="-27"/>
        <c:axId val="817861896"/>
        <c:axId val="817855664"/>
      </c:barChart>
      <c:catAx>
        <c:axId val="8178618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817855664"/>
        <c:crosses val="autoZero"/>
        <c:auto val="1"/>
        <c:lblAlgn val="ctr"/>
        <c:lblOffset val="100"/>
        <c:noMultiLvlLbl val="0"/>
      </c:catAx>
      <c:valAx>
        <c:axId val="817855664"/>
        <c:scaling>
          <c:orientation val="minMax"/>
        </c:scaling>
        <c:delete val="1"/>
        <c:axPos val="l"/>
        <c:numFmt formatCode="0%" sourceLinked="1"/>
        <c:majorTickMark val="out"/>
        <c:minorTickMark val="none"/>
        <c:tickLblPos val="nextTo"/>
        <c:crossAx val="817861896"/>
        <c:crosses val="autoZero"/>
        <c:crossBetween val="between"/>
      </c:valAx>
      <c:spPr>
        <a:noFill/>
        <a:ln>
          <a:noFill/>
        </a:ln>
        <a:effectLst/>
      </c:spPr>
    </c:plotArea>
    <c:legend>
      <c:legendPos val="r"/>
      <c:layout>
        <c:manualLayout>
          <c:xMode val="edge"/>
          <c:yMode val="edge"/>
          <c:x val="0.94669571506729788"/>
          <c:y val="8.3894567839730219E-2"/>
          <c:w val="4.835489610335969E-2"/>
          <c:h val="0.832210459771096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ysClr val="window" lastClr="FFFFFF"/>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NOOS%</a:t>
            </a:r>
          </a:p>
        </c:rich>
      </c:tx>
      <c:layout>
        <c:manualLayout>
          <c:xMode val="edge"/>
          <c:yMode val="edge"/>
          <c:x val="0.4483718247130889"/>
          <c:y val="3.27680969386970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9.3552492418886954E-2"/>
          <c:y val="0.14519783464566929"/>
          <c:w val="0.80600351105263746"/>
          <c:h val="0.67552655918010251"/>
        </c:manualLayout>
      </c:layout>
      <c:lineChart>
        <c:grouping val="standard"/>
        <c:varyColors val="0"/>
        <c:ser>
          <c:idx val="1"/>
          <c:order val="0"/>
          <c:tx>
            <c:strRef>
              <c:f>Q_BRAND_FC!$B$25</c:f>
              <c:strCache>
                <c:ptCount val="1"/>
                <c:pt idx="0">
                  <c:v>16/17</c:v>
                </c:pt>
              </c:strCache>
            </c:strRef>
          </c:tx>
          <c:spPr>
            <a:ln w="28575" cap="rnd">
              <a:solidFill>
                <a:schemeClr val="accent3"/>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Q_BRAND_FC!$C$24:$F$24</c:f>
              <c:strCache>
                <c:ptCount val="4"/>
                <c:pt idx="0">
                  <c:v>Q1</c:v>
                </c:pt>
                <c:pt idx="1">
                  <c:v>Q2</c:v>
                </c:pt>
                <c:pt idx="2">
                  <c:v>Q3</c:v>
                </c:pt>
                <c:pt idx="3">
                  <c:v>Q4</c:v>
                </c:pt>
              </c:strCache>
            </c:strRef>
          </c:cat>
          <c:val>
            <c:numRef>
              <c:f>Q_BRAND_FC!$C$25:$F$25</c:f>
              <c:numCache>
                <c:formatCode>0%</c:formatCode>
                <c:ptCount val="4"/>
                <c:pt idx="0">
                  <c:v>7.0281485673105604E-2</c:v>
                </c:pt>
                <c:pt idx="1">
                  <c:v>6.0668945399482102E-2</c:v>
                </c:pt>
                <c:pt idx="2">
                  <c:v>7.9307367815968699E-2</c:v>
                </c:pt>
                <c:pt idx="3">
                  <c:v>4.2226200511880502E-2</c:v>
                </c:pt>
              </c:numCache>
            </c:numRef>
          </c:val>
          <c:smooth val="0"/>
          <c:extLst xmlns:c15="http://schemas.microsoft.com/office/drawing/2012/chart">
            <c:ext xmlns:c16="http://schemas.microsoft.com/office/drawing/2014/chart" uri="{C3380CC4-5D6E-409C-BE32-E72D297353CC}">
              <c16:uniqueId val="{00000000-245C-4869-98FF-7546C6019F42}"/>
            </c:ext>
          </c:extLst>
        </c:ser>
        <c:ser>
          <c:idx val="2"/>
          <c:order val="1"/>
          <c:tx>
            <c:strRef>
              <c:f>Q_BRAND_FC!$B$26</c:f>
              <c:strCache>
                <c:ptCount val="1"/>
                <c:pt idx="0">
                  <c:v>17/18</c:v>
                </c:pt>
              </c:strCache>
            </c:strRef>
          </c:tx>
          <c:spPr>
            <a:ln w="28575" cap="rnd">
              <a:solidFill>
                <a:schemeClr val="bg1">
                  <a:lumMod val="65000"/>
                </a:schemeClr>
              </a:solidFill>
              <a:prstDash val="dash"/>
              <a:round/>
            </a:ln>
            <a:effectLst/>
          </c:spPr>
          <c:marker>
            <c:symbol val="circle"/>
            <c:size val="5"/>
            <c:spPr>
              <a:solidFill>
                <a:schemeClr val="bg1">
                  <a:lumMod val="75000"/>
                </a:schemeClr>
              </a:solidFill>
              <a:ln w="9525">
                <a:solidFill>
                  <a:schemeClr val="bg1">
                    <a:lumMod val="65000"/>
                  </a:schemeClr>
                </a:solidFill>
                <a:prstDash val="dash"/>
              </a:ln>
              <a:effectLst/>
            </c:spPr>
          </c:marker>
          <c:cat>
            <c:strRef>
              <c:f>Q_BRAND_FC!$C$24:$F$24</c:f>
              <c:strCache>
                <c:ptCount val="4"/>
                <c:pt idx="0">
                  <c:v>Q1</c:v>
                </c:pt>
                <c:pt idx="1">
                  <c:v>Q2</c:v>
                </c:pt>
                <c:pt idx="2">
                  <c:v>Q3</c:v>
                </c:pt>
                <c:pt idx="3">
                  <c:v>Q4</c:v>
                </c:pt>
              </c:strCache>
            </c:strRef>
          </c:cat>
          <c:val>
            <c:numRef>
              <c:f>Q_BRAND_FC!$C$26:$F$26</c:f>
              <c:numCache>
                <c:formatCode>0%</c:formatCode>
                <c:ptCount val="4"/>
                <c:pt idx="0">
                  <c:v>8.7203751872218502E-2</c:v>
                </c:pt>
                <c:pt idx="1">
                  <c:v>7.6724603358077598E-2</c:v>
                </c:pt>
                <c:pt idx="2">
                  <c:v>0.21103153043022102</c:v>
                </c:pt>
                <c:pt idx="3">
                  <c:v>0.26979577347706402</c:v>
                </c:pt>
              </c:numCache>
            </c:numRef>
          </c:val>
          <c:smooth val="0"/>
          <c:extLst>
            <c:ext xmlns:c16="http://schemas.microsoft.com/office/drawing/2014/chart" uri="{C3380CC4-5D6E-409C-BE32-E72D297353CC}">
              <c16:uniqueId val="{00000001-245C-4869-98FF-7546C6019F42}"/>
            </c:ext>
          </c:extLst>
        </c:ser>
        <c:ser>
          <c:idx val="4"/>
          <c:order val="3"/>
          <c:tx>
            <c:strRef>
              <c:f>Q_BRAND_FC!$B$31</c:f>
              <c:strCache>
                <c:ptCount val="1"/>
                <c:pt idx="0">
                  <c:v>18/19</c:v>
                </c:pt>
              </c:strCache>
            </c:strRef>
          </c:tx>
          <c:spPr>
            <a:ln w="28575" cap="rnd">
              <a:solidFill>
                <a:schemeClr val="tx2">
                  <a:lumMod val="60000"/>
                  <a:lumOff val="40000"/>
                </a:schemeClr>
              </a:solidFill>
              <a:round/>
            </a:ln>
            <a:effectLst/>
          </c:spPr>
          <c:marker>
            <c:symbol val="circle"/>
            <c:size val="5"/>
            <c:spPr>
              <a:solidFill>
                <a:schemeClr val="accent3">
                  <a:lumMod val="60000"/>
                </a:schemeClr>
              </a:solidFill>
              <a:ln w="9525">
                <a:solidFill>
                  <a:schemeClr val="tx2">
                    <a:lumMod val="60000"/>
                    <a:lumOff val="40000"/>
                  </a:schemeClr>
                </a:solidFill>
              </a:ln>
              <a:effectLst/>
            </c:spPr>
          </c:marker>
          <c:cat>
            <c:strRef>
              <c:f>Q_BRAND_FC!$C$24:$F$24</c:f>
              <c:strCache>
                <c:ptCount val="4"/>
                <c:pt idx="0">
                  <c:v>Q1</c:v>
                </c:pt>
                <c:pt idx="1">
                  <c:v>Q2</c:v>
                </c:pt>
                <c:pt idx="2">
                  <c:v>Q3</c:v>
                </c:pt>
                <c:pt idx="3">
                  <c:v>Q4</c:v>
                </c:pt>
              </c:strCache>
            </c:strRef>
          </c:cat>
          <c:val>
            <c:numRef>
              <c:f>Q_BRAND_FC!$C$31:$F$31</c:f>
              <c:numCache>
                <c:formatCode>0%</c:formatCode>
                <c:ptCount val="4"/>
                <c:pt idx="0">
                  <c:v>0.28525973489371903</c:v>
                </c:pt>
                <c:pt idx="1">
                  <c:v>0.25916894078918201</c:v>
                </c:pt>
                <c:pt idx="2">
                  <c:v>0</c:v>
                </c:pt>
                <c:pt idx="3">
                  <c:v>0</c:v>
                </c:pt>
              </c:numCache>
            </c:numRef>
          </c:val>
          <c:smooth val="0"/>
          <c:extLst>
            <c:ext xmlns:c16="http://schemas.microsoft.com/office/drawing/2014/chart" uri="{C3380CC4-5D6E-409C-BE32-E72D297353CC}">
              <c16:uniqueId val="{00000002-245C-4869-98FF-7546C6019F42}"/>
            </c:ext>
          </c:extLst>
        </c:ser>
        <c:ser>
          <c:idx val="0"/>
          <c:order val="4"/>
          <c:tx>
            <c:strRef>
              <c:f>Q_BRAND_FC!$B$32</c:f>
              <c:strCache>
                <c:ptCount val="1"/>
                <c:pt idx="0">
                  <c:v>19/20</c:v>
                </c:pt>
              </c:strCache>
            </c:strRef>
          </c:tx>
          <c:spPr>
            <a:ln w="28575" cap="rnd">
              <a:solidFill>
                <a:schemeClr val="bg2">
                  <a:lumMod val="25000"/>
                </a:schemeClr>
              </a:solidFill>
              <a:round/>
            </a:ln>
            <a:effectLst/>
          </c:spPr>
          <c:marker>
            <c:symbol val="circle"/>
            <c:size val="5"/>
            <c:spPr>
              <a:solidFill>
                <a:schemeClr val="tx1"/>
              </a:solidFill>
              <a:ln w="9525">
                <a:solidFill>
                  <a:schemeClr val="bg2">
                    <a:lumMod val="25000"/>
                  </a:schemeClr>
                </a:solidFill>
              </a:ln>
              <a:effectLst/>
            </c:spPr>
          </c:marker>
          <c:cat>
            <c:strRef>
              <c:f>Q_BRAND_FC!$C$24:$F$24</c:f>
              <c:strCache>
                <c:ptCount val="4"/>
                <c:pt idx="0">
                  <c:v>Q1</c:v>
                </c:pt>
                <c:pt idx="1">
                  <c:v>Q2</c:v>
                </c:pt>
                <c:pt idx="2">
                  <c:v>Q3</c:v>
                </c:pt>
                <c:pt idx="3">
                  <c:v>Q4</c:v>
                </c:pt>
              </c:strCache>
            </c:strRef>
          </c:cat>
          <c:val>
            <c:numRef>
              <c:f>Q_BRAND_FC!$C$32:$F$32</c:f>
              <c:numCache>
                <c:formatCode>0%</c:formatCode>
                <c:ptCount val="4"/>
                <c:pt idx="0">
                  <c:v>0</c:v>
                </c:pt>
                <c:pt idx="1">
                  <c:v>#N/A</c:v>
                </c:pt>
                <c:pt idx="2">
                  <c:v>#N/A</c:v>
                </c:pt>
                <c:pt idx="3">
                  <c:v>#N/A</c:v>
                </c:pt>
              </c:numCache>
            </c:numRef>
          </c:val>
          <c:smooth val="0"/>
          <c:extLst>
            <c:ext xmlns:c16="http://schemas.microsoft.com/office/drawing/2014/chart" uri="{C3380CC4-5D6E-409C-BE32-E72D297353CC}">
              <c16:uniqueId val="{00000003-245C-4869-98FF-7546C6019F42}"/>
            </c:ext>
          </c:extLst>
        </c:ser>
        <c:dLbls>
          <c:showLegendKey val="0"/>
          <c:showVal val="0"/>
          <c:showCatName val="0"/>
          <c:showSerName val="0"/>
          <c:showPercent val="0"/>
          <c:showBubbleSize val="0"/>
        </c:dLbls>
        <c:marker val="1"/>
        <c:smooth val="0"/>
        <c:axId val="1670944191"/>
        <c:axId val="1761726383"/>
        <c:extLst>
          <c:ext xmlns:c15="http://schemas.microsoft.com/office/drawing/2012/chart" uri="{02D57815-91ED-43cb-92C2-25804820EDAC}">
            <c15:filteredLineSeries>
              <c15:ser>
                <c:idx val="3"/>
                <c:order val="2"/>
                <c:tx>
                  <c:strRef>
                    <c:extLst>
                      <c:ext uri="{02D57815-91ED-43cb-92C2-25804820EDAC}">
                        <c15:formulaRef>
                          <c15:sqref>Q_BRAND_FC!$B$9</c15:sqref>
                        </c15:formulaRef>
                      </c:ext>
                    </c:extLst>
                    <c:strCache>
                      <c:ptCount val="1"/>
                      <c:pt idx="0">
                        <c:v>18/19</c:v>
                      </c:pt>
                    </c:strCache>
                  </c:strRef>
                </c:tx>
                <c:spPr>
                  <a:ln w="28575" cap="rnd">
                    <a:solidFill>
                      <a:schemeClr val="accent1">
                        <a:lumMod val="60000"/>
                      </a:schemeClr>
                    </a:solidFill>
                    <a:prstDash val="lgDash"/>
                    <a:round/>
                  </a:ln>
                  <a:effectLst/>
                </c:spPr>
                <c:marker>
                  <c:symbol val="circle"/>
                  <c:size val="5"/>
                  <c:spPr>
                    <a:solidFill>
                      <a:schemeClr val="accent1">
                        <a:lumMod val="60000"/>
                      </a:schemeClr>
                    </a:solidFill>
                    <a:ln w="9525">
                      <a:solidFill>
                        <a:schemeClr val="accent1">
                          <a:lumMod val="60000"/>
                        </a:schemeClr>
                      </a:solidFill>
                      <a:prstDash val="lgDash"/>
                    </a:ln>
                    <a:effectLst/>
                  </c:spPr>
                </c:marker>
                <c:cat>
                  <c:strRef>
                    <c:extLst>
                      <c:ext uri="{02D57815-91ED-43cb-92C2-25804820EDAC}">
                        <c15:formulaRef>
                          <c15:sqref>Q_BRAND_FC!$C$24:$F$24</c15:sqref>
                        </c15:formulaRef>
                      </c:ext>
                    </c:extLst>
                    <c:strCache>
                      <c:ptCount val="4"/>
                      <c:pt idx="0">
                        <c:v>Q1</c:v>
                      </c:pt>
                      <c:pt idx="1">
                        <c:v>Q2</c:v>
                      </c:pt>
                      <c:pt idx="2">
                        <c:v>Q3</c:v>
                      </c:pt>
                      <c:pt idx="3">
                        <c:v>Q4</c:v>
                      </c:pt>
                    </c:strCache>
                  </c:strRef>
                </c:cat>
                <c:val>
                  <c:numRef>
                    <c:extLst>
                      <c:ext uri="{02D57815-91ED-43cb-92C2-25804820EDAC}">
                        <c15:formulaRef>
                          <c15:sqref>Q_BRAND_FC!$C$9:$F$9</c15:sqref>
                        </c15:formulaRef>
                      </c:ext>
                    </c:extLst>
                    <c:numCache>
                      <c:formatCode>_ \ * #,###,\K\ </c:formatCode>
                      <c:ptCount val="4"/>
                      <c:pt idx="0">
                        <c:v>1301548.6662999701</c:v>
                      </c:pt>
                      <c:pt idx="1">
                        <c:v>547028.13719998999</c:v>
                      </c:pt>
                      <c:pt idx="2">
                        <c:v>0</c:v>
                      </c:pt>
                      <c:pt idx="3">
                        <c:v>0</c:v>
                      </c:pt>
                    </c:numCache>
                  </c:numRef>
                </c:val>
                <c:smooth val="0"/>
                <c:extLst>
                  <c:ext xmlns:c16="http://schemas.microsoft.com/office/drawing/2014/chart" uri="{C3380CC4-5D6E-409C-BE32-E72D297353CC}">
                    <c16:uniqueId val="{00000004-245C-4869-98FF-7546C6019F42}"/>
                  </c:ext>
                </c:extLst>
              </c15:ser>
            </c15:filteredLineSeries>
          </c:ext>
        </c:extLst>
      </c:lineChart>
      <c:catAx>
        <c:axId val="1670944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761726383"/>
        <c:crosses val="autoZero"/>
        <c:auto val="1"/>
        <c:lblAlgn val="ctr"/>
        <c:lblOffset val="100"/>
        <c:noMultiLvlLbl val="0"/>
      </c:catAx>
      <c:valAx>
        <c:axId val="17617263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670944191"/>
        <c:crosses val="autoZero"/>
        <c:crossBetween val="between"/>
      </c:valAx>
      <c:spPr>
        <a:noFill/>
        <a:ln>
          <a:noFill/>
        </a:ln>
        <a:effectLst/>
      </c:spPr>
    </c:plotArea>
    <c:legend>
      <c:legendPos val="b"/>
      <c:layout>
        <c:manualLayout>
          <c:xMode val="edge"/>
          <c:yMode val="edge"/>
          <c:x val="0.14834681197671884"/>
          <c:y val="0.8901655365626282"/>
          <c:w val="0.70330637604656232"/>
          <c:h val="6.896600548795812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GS II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lineChart>
        <c:grouping val="standard"/>
        <c:varyColors val="0"/>
        <c:ser>
          <c:idx val="0"/>
          <c:order val="0"/>
          <c:tx>
            <c:strRef>
              <c:f>M_BUSAREA_FC!$N$5</c:f>
              <c:strCache>
                <c:ptCount val="1"/>
                <c:pt idx="0">
                  <c:v>16/17</c:v>
                </c:pt>
              </c:strCache>
            </c:strRef>
          </c:tx>
          <c:spPr>
            <a:ln w="28575" cap="rnd">
              <a:solidFill>
                <a:schemeClr val="bg1">
                  <a:lumMod val="75000"/>
                </a:schemeClr>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M_BUSAREA_FC!$O$4:$R$4</c:f>
              <c:strCache>
                <c:ptCount val="4"/>
                <c:pt idx="0">
                  <c:v>Jan</c:v>
                </c:pt>
                <c:pt idx="1">
                  <c:v>Feb</c:v>
                </c:pt>
                <c:pt idx="2">
                  <c:v>Mar</c:v>
                </c:pt>
                <c:pt idx="3">
                  <c:v>Apr</c:v>
                </c:pt>
              </c:strCache>
            </c:strRef>
          </c:cat>
          <c:val>
            <c:numRef>
              <c:f>M_BUSAREA_FC!$O$5:$R$5</c:f>
              <c:numCache>
                <c:formatCode>_ \ * #,###,\K\ </c:formatCode>
                <c:ptCount val="4"/>
                <c:pt idx="0">
                  <c:v>1421684.5774149022</c:v>
                </c:pt>
                <c:pt idx="1">
                  <c:v>1627149.8332360748</c:v>
                </c:pt>
                <c:pt idx="2">
                  <c:v>1651408.1921499684</c:v>
                </c:pt>
                <c:pt idx="3">
                  <c:v>1471735.2708075722</c:v>
                </c:pt>
              </c:numCache>
            </c:numRef>
          </c:val>
          <c:smooth val="0"/>
          <c:extLst>
            <c:ext xmlns:c16="http://schemas.microsoft.com/office/drawing/2014/chart" uri="{C3380CC4-5D6E-409C-BE32-E72D297353CC}">
              <c16:uniqueId val="{00000000-A71B-4741-8616-91D8DA0A5C0B}"/>
            </c:ext>
          </c:extLst>
        </c:ser>
        <c:ser>
          <c:idx val="1"/>
          <c:order val="1"/>
          <c:tx>
            <c:strRef>
              <c:f>M_BUSAREA_FC!$N$6</c:f>
              <c:strCache>
                <c:ptCount val="1"/>
                <c:pt idx="0">
                  <c:v>17/18</c:v>
                </c:pt>
              </c:strCache>
            </c:strRef>
          </c:tx>
          <c:spPr>
            <a:ln w="28575" cap="rnd">
              <a:solidFill>
                <a:schemeClr val="bg1">
                  <a:lumMod val="75000"/>
                </a:schemeClr>
              </a:solidFill>
              <a:prstDash val="dash"/>
              <a:round/>
            </a:ln>
            <a:effectLst/>
          </c:spPr>
          <c:marker>
            <c:symbol val="circle"/>
            <c:size val="5"/>
            <c:spPr>
              <a:solidFill>
                <a:schemeClr val="bg1">
                  <a:lumMod val="75000"/>
                </a:schemeClr>
              </a:solidFill>
              <a:ln w="9525">
                <a:solidFill>
                  <a:schemeClr val="bg1">
                    <a:lumMod val="75000"/>
                  </a:schemeClr>
                </a:solidFill>
                <a:prstDash val="dash"/>
              </a:ln>
              <a:effectLst/>
            </c:spPr>
          </c:marker>
          <c:cat>
            <c:strRef>
              <c:f>M_BUSAREA_FC!$O$4:$R$4</c:f>
              <c:strCache>
                <c:ptCount val="4"/>
                <c:pt idx="0">
                  <c:v>Jan</c:v>
                </c:pt>
                <c:pt idx="1">
                  <c:v>Feb</c:v>
                </c:pt>
                <c:pt idx="2">
                  <c:v>Mar</c:v>
                </c:pt>
                <c:pt idx="3">
                  <c:v>Apr</c:v>
                </c:pt>
              </c:strCache>
            </c:strRef>
          </c:cat>
          <c:val>
            <c:numRef>
              <c:f>M_BUSAREA_FC!$O$6:$R$6</c:f>
              <c:numCache>
                <c:formatCode>_ \ * #,###,\K\ </c:formatCode>
                <c:ptCount val="4"/>
                <c:pt idx="0">
                  <c:v>1529563.3168817312</c:v>
                </c:pt>
                <c:pt idx="1">
                  <c:v>1319107.9112867918</c:v>
                </c:pt>
                <c:pt idx="2">
                  <c:v>2263961.3762500784</c:v>
                </c:pt>
                <c:pt idx="3">
                  <c:v>2374796.4405582435</c:v>
                </c:pt>
              </c:numCache>
            </c:numRef>
          </c:val>
          <c:smooth val="0"/>
          <c:extLst>
            <c:ext xmlns:c16="http://schemas.microsoft.com/office/drawing/2014/chart" uri="{C3380CC4-5D6E-409C-BE32-E72D297353CC}">
              <c16:uniqueId val="{00000001-A71B-4741-8616-91D8DA0A5C0B}"/>
            </c:ext>
          </c:extLst>
        </c:ser>
        <c:ser>
          <c:idx val="3"/>
          <c:order val="2"/>
          <c:tx>
            <c:strRef>
              <c:f>M_BUSAREA_FC!$N$10</c:f>
              <c:strCache>
                <c:ptCount val="1"/>
                <c:pt idx="0">
                  <c:v>18/19</c:v>
                </c:pt>
              </c:strCache>
            </c:strRef>
          </c:tx>
          <c:spPr>
            <a:ln w="28575" cap="rnd">
              <a:solidFill>
                <a:schemeClr val="tx2">
                  <a:lumMod val="60000"/>
                  <a:lumOff val="40000"/>
                </a:schemeClr>
              </a:solidFill>
              <a:round/>
            </a:ln>
            <a:effectLst/>
          </c:spPr>
          <c:marker>
            <c:symbol val="circle"/>
            <c:size val="5"/>
            <c:spPr>
              <a:solidFill>
                <a:schemeClr val="accent1">
                  <a:lumMod val="60000"/>
                </a:schemeClr>
              </a:solidFill>
              <a:ln w="9525">
                <a:solidFill>
                  <a:schemeClr val="tx2">
                    <a:lumMod val="60000"/>
                    <a:lumOff val="40000"/>
                  </a:schemeClr>
                </a:solidFill>
              </a:ln>
              <a:effectLst/>
            </c:spPr>
          </c:marker>
          <c:cat>
            <c:strRef>
              <c:f>M_BUSAREA_FC!$O$4:$R$4</c:f>
              <c:strCache>
                <c:ptCount val="4"/>
                <c:pt idx="0">
                  <c:v>Jan</c:v>
                </c:pt>
                <c:pt idx="1">
                  <c:v>Feb</c:v>
                </c:pt>
                <c:pt idx="2">
                  <c:v>Mar</c:v>
                </c:pt>
                <c:pt idx="3">
                  <c:v>Apr</c:v>
                </c:pt>
              </c:strCache>
            </c:strRef>
          </c:cat>
          <c:val>
            <c:numRef>
              <c:f>M_BUSAREA_FC!$O$10:$R$10</c:f>
              <c:numCache>
                <c:formatCode>_ \ * #,###,\K\ </c:formatCode>
                <c:ptCount val="4"/>
                <c:pt idx="0">
                  <c:v>0</c:v>
                </c:pt>
                <c:pt idx="1">
                  <c:v>0</c:v>
                </c:pt>
                <c:pt idx="2">
                  <c:v>0</c:v>
                </c:pt>
                <c:pt idx="3">
                  <c:v>0</c:v>
                </c:pt>
              </c:numCache>
            </c:numRef>
          </c:val>
          <c:smooth val="0"/>
          <c:extLst>
            <c:ext xmlns:c16="http://schemas.microsoft.com/office/drawing/2014/chart" uri="{C3380CC4-5D6E-409C-BE32-E72D297353CC}">
              <c16:uniqueId val="{00000002-A71B-4741-8616-91D8DA0A5C0B}"/>
            </c:ext>
          </c:extLst>
        </c:ser>
        <c:dLbls>
          <c:showLegendKey val="0"/>
          <c:showVal val="0"/>
          <c:showCatName val="0"/>
          <c:showSerName val="0"/>
          <c:showPercent val="0"/>
          <c:showBubbleSize val="0"/>
        </c:dLbls>
        <c:marker val="1"/>
        <c:smooth val="0"/>
        <c:axId val="1735878960"/>
        <c:axId val="1411479760"/>
        <c:extLst/>
      </c:lineChart>
      <c:catAx>
        <c:axId val="173587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411479760"/>
        <c:crosses val="autoZero"/>
        <c:auto val="1"/>
        <c:lblAlgn val="ctr"/>
        <c:lblOffset val="100"/>
        <c:noMultiLvlLbl val="0"/>
      </c:catAx>
      <c:valAx>
        <c:axId val="1411479760"/>
        <c:scaling>
          <c:orientation val="minMax"/>
        </c:scaling>
        <c:delete val="0"/>
        <c:axPos val="l"/>
        <c:majorGridlines>
          <c:spPr>
            <a:ln w="9525" cap="flat" cmpd="sng" algn="ctr">
              <a:solidFill>
                <a:schemeClr val="tx1">
                  <a:lumMod val="15000"/>
                  <a:lumOff val="85000"/>
                </a:schemeClr>
              </a:solidFill>
              <a:round/>
            </a:ln>
            <a:effectLst/>
          </c:spPr>
        </c:majorGridlines>
        <c:numFmt formatCode="_ \ * #,###,\K\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735878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GS II</a:t>
            </a:r>
          </a:p>
        </c:rich>
      </c:tx>
      <c:layout>
        <c:manualLayout>
          <c:xMode val="edge"/>
          <c:yMode val="edge"/>
          <c:x val="0.4483718247130889"/>
          <c:y val="3.27680969386970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0.14962225458131703"/>
          <c:y val="0.14519783464566929"/>
          <c:w val="0.76264311319095923"/>
          <c:h val="0.5855200306164392"/>
        </c:manualLayout>
      </c:layout>
      <c:lineChart>
        <c:grouping val="standard"/>
        <c:varyColors val="0"/>
        <c:ser>
          <c:idx val="1"/>
          <c:order val="0"/>
          <c:tx>
            <c:strRef>
              <c:f>M_BUSAREA_FC!$B$19</c:f>
              <c:strCache>
                <c:ptCount val="1"/>
                <c:pt idx="0">
                  <c:v>16/17</c:v>
                </c:pt>
              </c:strCache>
            </c:strRef>
          </c:tx>
          <c:spPr>
            <a:ln w="28575" cap="rnd">
              <a:solidFill>
                <a:schemeClr val="bg1">
                  <a:lumMod val="75000"/>
                </a:schemeClr>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M_BUSAREA_FC!$C$18:$F$18</c:f>
              <c:strCache>
                <c:ptCount val="4"/>
                <c:pt idx="0">
                  <c:v>Jan</c:v>
                </c:pt>
                <c:pt idx="1">
                  <c:v>Feb</c:v>
                </c:pt>
                <c:pt idx="2">
                  <c:v>Mar</c:v>
                </c:pt>
                <c:pt idx="3">
                  <c:v>Apr</c:v>
                </c:pt>
              </c:strCache>
            </c:strRef>
          </c:cat>
          <c:val>
            <c:numRef>
              <c:f>M_BUSAREA_FC!$C$19:$F$19</c:f>
              <c:numCache>
                <c:formatCode>_ \ * #,###,\K\ </c:formatCode>
                <c:ptCount val="4"/>
                <c:pt idx="0">
                  <c:v>0</c:v>
                </c:pt>
                <c:pt idx="1">
                  <c:v>2175.9865</c:v>
                </c:pt>
                <c:pt idx="2">
                  <c:v>18921.177975540002</c:v>
                </c:pt>
                <c:pt idx="3">
                  <c:v>35452.125190930099</c:v>
                </c:pt>
              </c:numCache>
            </c:numRef>
          </c:val>
          <c:smooth val="0"/>
          <c:extLst xmlns:c15="http://schemas.microsoft.com/office/drawing/2012/chart">
            <c:ext xmlns:c16="http://schemas.microsoft.com/office/drawing/2014/chart" uri="{C3380CC4-5D6E-409C-BE32-E72D297353CC}">
              <c16:uniqueId val="{00000000-DA57-44CD-8801-FCC6C7A54641}"/>
            </c:ext>
          </c:extLst>
        </c:ser>
        <c:ser>
          <c:idx val="2"/>
          <c:order val="1"/>
          <c:tx>
            <c:strRef>
              <c:f>M_BUSAREA_FC!$B$20</c:f>
              <c:strCache>
                <c:ptCount val="1"/>
                <c:pt idx="0">
                  <c:v>17/18</c:v>
                </c:pt>
              </c:strCache>
            </c:strRef>
          </c:tx>
          <c:spPr>
            <a:ln w="28575" cap="rnd">
              <a:solidFill>
                <a:schemeClr val="bg1">
                  <a:lumMod val="75000"/>
                </a:schemeClr>
              </a:solidFill>
              <a:prstDash val="dash"/>
              <a:round/>
            </a:ln>
            <a:effectLst/>
          </c:spPr>
          <c:marker>
            <c:symbol val="circle"/>
            <c:size val="5"/>
            <c:spPr>
              <a:solidFill>
                <a:schemeClr val="bg1">
                  <a:lumMod val="75000"/>
                </a:schemeClr>
              </a:solidFill>
              <a:ln w="9525">
                <a:solidFill>
                  <a:schemeClr val="bg1">
                    <a:lumMod val="75000"/>
                  </a:schemeClr>
                </a:solidFill>
                <a:prstDash val="dash"/>
              </a:ln>
              <a:effectLst/>
            </c:spPr>
          </c:marker>
          <c:cat>
            <c:strRef>
              <c:f>M_BUSAREA_FC!$C$18:$F$18</c:f>
              <c:strCache>
                <c:ptCount val="4"/>
                <c:pt idx="0">
                  <c:v>Jan</c:v>
                </c:pt>
                <c:pt idx="1">
                  <c:v>Feb</c:v>
                </c:pt>
                <c:pt idx="2">
                  <c:v>Mar</c:v>
                </c:pt>
                <c:pt idx="3">
                  <c:v>Apr</c:v>
                </c:pt>
              </c:strCache>
            </c:strRef>
          </c:cat>
          <c:val>
            <c:numRef>
              <c:f>M_BUSAREA_FC!$C$20:$F$20</c:f>
              <c:numCache>
                <c:formatCode>_ \ * #,###,\K\ </c:formatCode>
                <c:ptCount val="4"/>
                <c:pt idx="0">
                  <c:v>858.46850000000006</c:v>
                </c:pt>
                <c:pt idx="1">
                  <c:v>8278.4417793299999</c:v>
                </c:pt>
                <c:pt idx="2">
                  <c:v>29450.815483599999</c:v>
                </c:pt>
                <c:pt idx="3">
                  <c:v>58810.299621390302</c:v>
                </c:pt>
              </c:numCache>
            </c:numRef>
          </c:val>
          <c:smooth val="0"/>
          <c:extLst>
            <c:ext xmlns:c16="http://schemas.microsoft.com/office/drawing/2014/chart" uri="{C3380CC4-5D6E-409C-BE32-E72D297353CC}">
              <c16:uniqueId val="{00000001-DA57-44CD-8801-FCC6C7A54641}"/>
            </c:ext>
          </c:extLst>
        </c:ser>
        <c:ser>
          <c:idx val="4"/>
          <c:order val="3"/>
          <c:tx>
            <c:strRef>
              <c:f>M_BUSAREA_FC!$B$24</c:f>
              <c:strCache>
                <c:ptCount val="1"/>
                <c:pt idx="0">
                  <c:v>18/19</c:v>
                </c:pt>
              </c:strCache>
            </c:strRef>
          </c:tx>
          <c:spPr>
            <a:ln w="28575" cap="rnd">
              <a:solidFill>
                <a:schemeClr val="tx2">
                  <a:lumMod val="60000"/>
                  <a:lumOff val="40000"/>
                </a:schemeClr>
              </a:solidFill>
              <a:round/>
            </a:ln>
            <a:effectLst/>
          </c:spPr>
          <c:marker>
            <c:symbol val="circle"/>
            <c:size val="5"/>
            <c:spPr>
              <a:solidFill>
                <a:schemeClr val="accent3">
                  <a:lumMod val="60000"/>
                </a:schemeClr>
              </a:solidFill>
              <a:ln w="9525">
                <a:solidFill>
                  <a:schemeClr val="tx2">
                    <a:lumMod val="60000"/>
                    <a:lumOff val="40000"/>
                  </a:schemeClr>
                </a:solidFill>
              </a:ln>
              <a:effectLst/>
            </c:spPr>
          </c:marker>
          <c:cat>
            <c:strRef>
              <c:f>M_BUSAREA_FC!$C$18:$F$18</c:f>
              <c:strCache>
                <c:ptCount val="4"/>
                <c:pt idx="0">
                  <c:v>Jan</c:v>
                </c:pt>
                <c:pt idx="1">
                  <c:v>Feb</c:v>
                </c:pt>
                <c:pt idx="2">
                  <c:v>Mar</c:v>
                </c:pt>
                <c:pt idx="3">
                  <c:v>Apr</c:v>
                </c:pt>
              </c:strCache>
            </c:strRef>
          </c:cat>
          <c:val>
            <c:numRef>
              <c:f>M_BUSAREA_FC!$C$24:$F$24</c:f>
              <c:numCache>
                <c:formatCode>_ \ * #,###,\K\ </c:formatCode>
                <c:ptCount val="4"/>
                <c:pt idx="0">
                  <c:v>0</c:v>
                </c:pt>
                <c:pt idx="1">
                  <c:v>0</c:v>
                </c:pt>
                <c:pt idx="2">
                  <c:v>0</c:v>
                </c:pt>
                <c:pt idx="3">
                  <c:v>0</c:v>
                </c:pt>
              </c:numCache>
            </c:numRef>
          </c:val>
          <c:smooth val="0"/>
          <c:extLst>
            <c:ext xmlns:c16="http://schemas.microsoft.com/office/drawing/2014/chart" uri="{C3380CC4-5D6E-409C-BE32-E72D297353CC}">
              <c16:uniqueId val="{00000002-DA57-44CD-8801-FCC6C7A54641}"/>
            </c:ext>
          </c:extLst>
        </c:ser>
        <c:dLbls>
          <c:showLegendKey val="0"/>
          <c:showVal val="0"/>
          <c:showCatName val="0"/>
          <c:showSerName val="0"/>
          <c:showPercent val="0"/>
          <c:showBubbleSize val="0"/>
        </c:dLbls>
        <c:marker val="1"/>
        <c:smooth val="0"/>
        <c:axId val="1670944191"/>
        <c:axId val="1761726383"/>
        <c:extLst>
          <c:ext xmlns:c15="http://schemas.microsoft.com/office/drawing/2012/chart" uri="{02D57815-91ED-43cb-92C2-25804820EDAC}">
            <c15:filteredLineSeries>
              <c15:ser>
                <c:idx val="3"/>
                <c:order val="2"/>
                <c:tx>
                  <c:strRef>
                    <c:extLst>
                      <c:ext uri="{02D57815-91ED-43cb-92C2-25804820EDAC}">
                        <c15:formulaRef>
                          <c15:sqref>M_BUSAREA_FC!$B$21</c15:sqref>
                        </c15:formulaRef>
                      </c:ext>
                    </c:extLst>
                    <c:strCache>
                      <c:ptCount val="1"/>
                      <c:pt idx="0">
                        <c:v>18/19</c:v>
                      </c:pt>
                    </c:strCache>
                  </c:strRef>
                </c:tx>
                <c:spPr>
                  <a:ln w="28575" cap="rnd">
                    <a:solidFill>
                      <a:schemeClr val="accent1">
                        <a:lumMod val="60000"/>
                      </a:schemeClr>
                    </a:solidFill>
                    <a:prstDash val="lgDash"/>
                    <a:round/>
                  </a:ln>
                  <a:effectLst/>
                </c:spPr>
                <c:marker>
                  <c:symbol val="circle"/>
                  <c:size val="5"/>
                  <c:spPr>
                    <a:solidFill>
                      <a:schemeClr val="accent1">
                        <a:lumMod val="60000"/>
                      </a:schemeClr>
                    </a:solidFill>
                    <a:ln w="9525">
                      <a:solidFill>
                        <a:schemeClr val="accent1">
                          <a:lumMod val="60000"/>
                        </a:schemeClr>
                      </a:solidFill>
                      <a:prstDash val="lgDash"/>
                    </a:ln>
                    <a:effectLst/>
                  </c:spPr>
                </c:marker>
                <c:cat>
                  <c:strRef>
                    <c:extLst>
                      <c:ext uri="{02D57815-91ED-43cb-92C2-25804820EDAC}">
                        <c15:formulaRef>
                          <c15:sqref>M_BUSAREA_FC!$C$18:$F$18</c15:sqref>
                        </c15:formulaRef>
                      </c:ext>
                    </c:extLst>
                    <c:strCache>
                      <c:ptCount val="4"/>
                      <c:pt idx="0">
                        <c:v>Jan</c:v>
                      </c:pt>
                      <c:pt idx="1">
                        <c:v>Feb</c:v>
                      </c:pt>
                      <c:pt idx="2">
                        <c:v>Mar</c:v>
                      </c:pt>
                      <c:pt idx="3">
                        <c:v>Apr</c:v>
                      </c:pt>
                    </c:strCache>
                  </c:strRef>
                </c:cat>
                <c:val>
                  <c:numRef>
                    <c:extLst>
                      <c:ext uri="{02D57815-91ED-43cb-92C2-25804820EDAC}">
                        <c15:formulaRef>
                          <c15:sqref>M_BUSAREA_FC!$C$21:$F$21</c15:sqref>
                        </c15:formulaRef>
                      </c:ext>
                    </c:extLst>
                    <c:numCache>
                      <c:formatCode>_ \ * #,###,\K\ </c:formatCode>
                      <c:ptCount val="4"/>
                      <c:pt idx="0">
                        <c:v>0</c:v>
                      </c:pt>
                      <c:pt idx="1">
                        <c:v>0</c:v>
                      </c:pt>
                      <c:pt idx="2">
                        <c:v>0</c:v>
                      </c:pt>
                      <c:pt idx="3">
                        <c:v>0</c:v>
                      </c:pt>
                    </c:numCache>
                  </c:numRef>
                </c:val>
                <c:smooth val="0"/>
                <c:extLst>
                  <c:ext xmlns:c16="http://schemas.microsoft.com/office/drawing/2014/chart" uri="{C3380CC4-5D6E-409C-BE32-E72D297353CC}">
                    <c16:uniqueId val="{00000003-DA57-44CD-8801-FCC6C7A54641}"/>
                  </c:ext>
                </c:extLst>
              </c15:ser>
            </c15:filteredLineSeries>
          </c:ext>
        </c:extLst>
      </c:lineChart>
      <c:catAx>
        <c:axId val="1670944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761726383"/>
        <c:crosses val="autoZero"/>
        <c:auto val="1"/>
        <c:lblAlgn val="ctr"/>
        <c:lblOffset val="100"/>
        <c:noMultiLvlLbl val="0"/>
      </c:catAx>
      <c:valAx>
        <c:axId val="1761726383"/>
        <c:scaling>
          <c:orientation val="minMax"/>
        </c:scaling>
        <c:delete val="0"/>
        <c:axPos val="l"/>
        <c:majorGridlines>
          <c:spPr>
            <a:ln w="9525" cap="flat" cmpd="sng" algn="ctr">
              <a:solidFill>
                <a:schemeClr val="tx1">
                  <a:lumMod val="15000"/>
                  <a:lumOff val="85000"/>
                </a:schemeClr>
              </a:solidFill>
              <a:round/>
            </a:ln>
            <a:effectLst/>
          </c:spPr>
        </c:majorGridlines>
        <c:numFmt formatCode="_ \ * #,###,\K\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670944191"/>
        <c:crosses val="autoZero"/>
        <c:crossBetween val="between"/>
      </c:valAx>
      <c:spPr>
        <a:noFill/>
        <a:ln>
          <a:noFill/>
        </a:ln>
        <a:effectLst/>
      </c:spPr>
    </c:plotArea>
    <c:legend>
      <c:legendPos val="b"/>
      <c:layout>
        <c:manualLayout>
          <c:xMode val="edge"/>
          <c:yMode val="edge"/>
          <c:x val="0.14834681197671884"/>
          <c:y val="0.8901655365626282"/>
          <c:w val="0.70330637604656232"/>
          <c:h val="6.896600548795812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GS II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lineChart>
        <c:grouping val="standard"/>
        <c:varyColors val="0"/>
        <c:ser>
          <c:idx val="1"/>
          <c:order val="0"/>
          <c:tx>
            <c:strRef>
              <c:f>M_BUSAREA_FC!$N$19</c:f>
              <c:strCache>
                <c:ptCount val="1"/>
                <c:pt idx="0">
                  <c:v>16/17</c:v>
                </c:pt>
              </c:strCache>
            </c:strRef>
          </c:tx>
          <c:spPr>
            <a:ln w="28575" cap="rnd">
              <a:solidFill>
                <a:schemeClr val="bg1">
                  <a:lumMod val="75000"/>
                </a:schemeClr>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M_BUSAREA_FC!$O$18:$R$18</c:f>
              <c:strCache>
                <c:ptCount val="4"/>
                <c:pt idx="0">
                  <c:v>Jan</c:v>
                </c:pt>
                <c:pt idx="1">
                  <c:v>Feb</c:v>
                </c:pt>
                <c:pt idx="2">
                  <c:v>Mar</c:v>
                </c:pt>
                <c:pt idx="3">
                  <c:v>Apr</c:v>
                </c:pt>
              </c:strCache>
            </c:strRef>
          </c:cat>
          <c:val>
            <c:numRef>
              <c:f>M_BUSAREA_FC!$O$19:$R$19</c:f>
              <c:numCache>
                <c:formatCode>_ \ * #,###,\K\ </c:formatCode>
                <c:ptCount val="4"/>
                <c:pt idx="0">
                  <c:v>20.79</c:v>
                </c:pt>
                <c:pt idx="1">
                  <c:v>268.22025206000001</c:v>
                </c:pt>
                <c:pt idx="2">
                  <c:v>11217.49824031</c:v>
                </c:pt>
                <c:pt idx="3">
                  <c:v>29137.81314989</c:v>
                </c:pt>
              </c:numCache>
            </c:numRef>
          </c:val>
          <c:smooth val="0"/>
          <c:extLst xmlns:c15="http://schemas.microsoft.com/office/drawing/2012/chart">
            <c:ext xmlns:c16="http://schemas.microsoft.com/office/drawing/2014/chart" uri="{C3380CC4-5D6E-409C-BE32-E72D297353CC}">
              <c16:uniqueId val="{00000000-230D-4CB2-8ADD-BAD8E1C2E9FE}"/>
            </c:ext>
          </c:extLst>
        </c:ser>
        <c:ser>
          <c:idx val="2"/>
          <c:order val="1"/>
          <c:tx>
            <c:strRef>
              <c:f>M_BUSAREA_FC!$N$20</c:f>
              <c:strCache>
                <c:ptCount val="1"/>
                <c:pt idx="0">
                  <c:v>17/18</c:v>
                </c:pt>
              </c:strCache>
            </c:strRef>
          </c:tx>
          <c:spPr>
            <a:ln w="28575" cap="rnd">
              <a:solidFill>
                <a:schemeClr val="bg1">
                  <a:lumMod val="75000"/>
                </a:schemeClr>
              </a:solidFill>
              <a:prstDash val="dash"/>
              <a:round/>
            </a:ln>
            <a:effectLst/>
          </c:spPr>
          <c:marker>
            <c:symbol val="circle"/>
            <c:size val="5"/>
            <c:spPr>
              <a:solidFill>
                <a:schemeClr val="bg1">
                  <a:lumMod val="75000"/>
                </a:schemeClr>
              </a:solidFill>
              <a:ln w="9525">
                <a:solidFill>
                  <a:schemeClr val="bg1">
                    <a:lumMod val="75000"/>
                  </a:schemeClr>
                </a:solidFill>
                <a:prstDash val="dash"/>
              </a:ln>
              <a:effectLst/>
            </c:spPr>
          </c:marker>
          <c:cat>
            <c:strRef>
              <c:f>M_BUSAREA_FC!$O$18:$R$18</c:f>
              <c:strCache>
                <c:ptCount val="4"/>
                <c:pt idx="0">
                  <c:v>Jan</c:v>
                </c:pt>
                <c:pt idx="1">
                  <c:v>Feb</c:v>
                </c:pt>
                <c:pt idx="2">
                  <c:v>Mar</c:v>
                </c:pt>
                <c:pt idx="3">
                  <c:v>Apr</c:v>
                </c:pt>
              </c:strCache>
            </c:strRef>
          </c:cat>
          <c:val>
            <c:numRef>
              <c:f>M_BUSAREA_FC!$O$20:$R$20</c:f>
              <c:numCache>
                <c:formatCode>_ \ * #,###,\K\ </c:formatCode>
                <c:ptCount val="4"/>
                <c:pt idx="0">
                  <c:v>710.46650669999997</c:v>
                </c:pt>
                <c:pt idx="1">
                  <c:v>3890.10512268</c:v>
                </c:pt>
                <c:pt idx="2">
                  <c:v>29045.582554979999</c:v>
                </c:pt>
                <c:pt idx="3">
                  <c:v>76309.972884719798</c:v>
                </c:pt>
              </c:numCache>
            </c:numRef>
          </c:val>
          <c:smooth val="0"/>
          <c:extLst>
            <c:ext xmlns:c16="http://schemas.microsoft.com/office/drawing/2014/chart" uri="{C3380CC4-5D6E-409C-BE32-E72D297353CC}">
              <c16:uniqueId val="{00000001-230D-4CB2-8ADD-BAD8E1C2E9FE}"/>
            </c:ext>
          </c:extLst>
        </c:ser>
        <c:ser>
          <c:idx val="4"/>
          <c:order val="2"/>
          <c:tx>
            <c:strRef>
              <c:f>M_BUSAREA_FC!$N$24</c:f>
              <c:strCache>
                <c:ptCount val="1"/>
                <c:pt idx="0">
                  <c:v>18/19</c:v>
                </c:pt>
              </c:strCache>
            </c:strRef>
          </c:tx>
          <c:spPr>
            <a:ln w="28575" cap="rnd">
              <a:solidFill>
                <a:schemeClr val="tx2">
                  <a:lumMod val="60000"/>
                  <a:lumOff val="40000"/>
                </a:schemeClr>
              </a:solidFill>
              <a:round/>
            </a:ln>
            <a:effectLst/>
          </c:spPr>
          <c:marker>
            <c:symbol val="circle"/>
            <c:size val="5"/>
            <c:spPr>
              <a:solidFill>
                <a:schemeClr val="accent3">
                  <a:lumMod val="60000"/>
                </a:schemeClr>
              </a:solidFill>
              <a:ln w="9525">
                <a:solidFill>
                  <a:schemeClr val="tx2">
                    <a:lumMod val="60000"/>
                    <a:lumOff val="40000"/>
                  </a:schemeClr>
                </a:solidFill>
              </a:ln>
              <a:effectLst/>
            </c:spPr>
          </c:marker>
          <c:cat>
            <c:strRef>
              <c:f>M_BUSAREA_FC!$O$18:$R$18</c:f>
              <c:strCache>
                <c:ptCount val="4"/>
                <c:pt idx="0">
                  <c:v>Jan</c:v>
                </c:pt>
                <c:pt idx="1">
                  <c:v>Feb</c:v>
                </c:pt>
                <c:pt idx="2">
                  <c:v>Mar</c:v>
                </c:pt>
                <c:pt idx="3">
                  <c:v>Apr</c:v>
                </c:pt>
              </c:strCache>
            </c:strRef>
          </c:cat>
          <c:val>
            <c:numRef>
              <c:f>M_BUSAREA_FC!$O$24:$R$24</c:f>
              <c:numCache>
                <c:formatCode>_ \ * #,###,\K\ </c:formatCode>
                <c:ptCount val="4"/>
                <c:pt idx="0">
                  <c:v>0</c:v>
                </c:pt>
                <c:pt idx="1">
                  <c:v>0</c:v>
                </c:pt>
                <c:pt idx="2">
                  <c:v>0</c:v>
                </c:pt>
                <c:pt idx="3">
                  <c:v>0</c:v>
                </c:pt>
              </c:numCache>
            </c:numRef>
          </c:val>
          <c:smooth val="0"/>
          <c:extLst>
            <c:ext xmlns:c16="http://schemas.microsoft.com/office/drawing/2014/chart" uri="{C3380CC4-5D6E-409C-BE32-E72D297353CC}">
              <c16:uniqueId val="{00000002-230D-4CB2-8ADD-BAD8E1C2E9FE}"/>
            </c:ext>
          </c:extLst>
        </c:ser>
        <c:dLbls>
          <c:showLegendKey val="0"/>
          <c:showVal val="0"/>
          <c:showCatName val="0"/>
          <c:showSerName val="0"/>
          <c:showPercent val="0"/>
          <c:showBubbleSize val="0"/>
        </c:dLbls>
        <c:marker val="1"/>
        <c:smooth val="0"/>
        <c:axId val="1735878960"/>
        <c:axId val="1411479760"/>
        <c:extLst/>
      </c:lineChart>
      <c:catAx>
        <c:axId val="173587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411479760"/>
        <c:crosses val="autoZero"/>
        <c:auto val="1"/>
        <c:lblAlgn val="ctr"/>
        <c:lblOffset val="100"/>
        <c:noMultiLvlLbl val="0"/>
      </c:catAx>
      <c:valAx>
        <c:axId val="1411479760"/>
        <c:scaling>
          <c:orientation val="minMax"/>
        </c:scaling>
        <c:delete val="0"/>
        <c:axPos val="l"/>
        <c:majorGridlines>
          <c:spPr>
            <a:ln w="9525" cap="flat" cmpd="sng" algn="ctr">
              <a:solidFill>
                <a:schemeClr val="tx1">
                  <a:lumMod val="15000"/>
                  <a:lumOff val="85000"/>
                </a:schemeClr>
              </a:solidFill>
              <a:round/>
            </a:ln>
            <a:effectLst/>
          </c:spPr>
        </c:majorGridlines>
        <c:numFmt formatCode="_ \ * #,###,\K\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735878960"/>
        <c:crosses val="autoZero"/>
        <c:crossBetween val="between"/>
      </c:valAx>
      <c:spPr>
        <a:noFill/>
        <a:ln>
          <a:noFill/>
        </a:ln>
        <a:effectLst/>
      </c:spPr>
    </c:plotArea>
    <c:legend>
      <c:legendPos val="b"/>
      <c:layout>
        <c:manualLayout>
          <c:xMode val="edge"/>
          <c:yMode val="edge"/>
          <c:x val="0.12391796882759362"/>
          <c:y val="0.89260650490570626"/>
          <c:w val="0.75809964934256113"/>
          <c:h val="7.003940643928277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GS II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0.14756016096509811"/>
          <c:y val="0.18342387434128871"/>
          <c:w val="0.80294932854128043"/>
          <c:h val="0.5702150603267615"/>
        </c:manualLayout>
      </c:layout>
      <c:lineChart>
        <c:grouping val="standard"/>
        <c:varyColors val="0"/>
        <c:ser>
          <c:idx val="0"/>
          <c:order val="0"/>
          <c:tx>
            <c:strRef>
              <c:f>M_BUSAREA_FC!$B$5</c:f>
              <c:strCache>
                <c:ptCount val="1"/>
                <c:pt idx="0">
                  <c:v>16/17</c:v>
                </c:pt>
              </c:strCache>
            </c:strRef>
          </c:tx>
          <c:spPr>
            <a:ln w="28575" cap="rnd">
              <a:solidFill>
                <a:schemeClr val="bg1">
                  <a:lumMod val="75000"/>
                </a:schemeClr>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M_BUSAREA_FC!$C$4:$F$4</c:f>
              <c:strCache>
                <c:ptCount val="4"/>
                <c:pt idx="0">
                  <c:v>Jan</c:v>
                </c:pt>
                <c:pt idx="1">
                  <c:v>Feb</c:v>
                </c:pt>
                <c:pt idx="2">
                  <c:v>Mar</c:v>
                </c:pt>
                <c:pt idx="3">
                  <c:v>Apr</c:v>
                </c:pt>
              </c:strCache>
            </c:strRef>
          </c:cat>
          <c:val>
            <c:numRef>
              <c:f>M_BUSAREA_FC!$C$5:$F$5</c:f>
              <c:numCache>
                <c:formatCode>_ \ * #,###,\K\ </c:formatCode>
                <c:ptCount val="4"/>
                <c:pt idx="0">
                  <c:v>693186.88019256061</c:v>
                </c:pt>
                <c:pt idx="1">
                  <c:v>659904.40412397974</c:v>
                </c:pt>
                <c:pt idx="2">
                  <c:v>880952.378523138</c:v>
                </c:pt>
                <c:pt idx="3">
                  <c:v>978755.6298430569</c:v>
                </c:pt>
              </c:numCache>
            </c:numRef>
          </c:val>
          <c:smooth val="0"/>
          <c:extLst>
            <c:ext xmlns:c16="http://schemas.microsoft.com/office/drawing/2014/chart" uri="{C3380CC4-5D6E-409C-BE32-E72D297353CC}">
              <c16:uniqueId val="{00000000-041A-4132-A0B0-773F22C604D0}"/>
            </c:ext>
          </c:extLst>
        </c:ser>
        <c:ser>
          <c:idx val="1"/>
          <c:order val="1"/>
          <c:tx>
            <c:strRef>
              <c:f>M_BUSAREA_FC!$B$6</c:f>
              <c:strCache>
                <c:ptCount val="1"/>
                <c:pt idx="0">
                  <c:v>17/18</c:v>
                </c:pt>
              </c:strCache>
            </c:strRef>
          </c:tx>
          <c:spPr>
            <a:ln w="28575" cap="rnd">
              <a:solidFill>
                <a:schemeClr val="bg1">
                  <a:lumMod val="75000"/>
                </a:schemeClr>
              </a:solidFill>
              <a:prstDash val="dash"/>
              <a:round/>
            </a:ln>
            <a:effectLst/>
          </c:spPr>
          <c:marker>
            <c:symbol val="circle"/>
            <c:size val="5"/>
            <c:spPr>
              <a:solidFill>
                <a:schemeClr val="bg1">
                  <a:lumMod val="85000"/>
                </a:schemeClr>
              </a:solidFill>
              <a:ln w="9525">
                <a:solidFill>
                  <a:schemeClr val="bg1">
                    <a:lumMod val="75000"/>
                  </a:schemeClr>
                </a:solidFill>
                <a:prstDash val="dash"/>
              </a:ln>
              <a:effectLst/>
            </c:spPr>
          </c:marker>
          <c:cat>
            <c:strRef>
              <c:f>M_BUSAREA_FC!$C$4:$F$4</c:f>
              <c:strCache>
                <c:ptCount val="4"/>
                <c:pt idx="0">
                  <c:v>Jan</c:v>
                </c:pt>
                <c:pt idx="1">
                  <c:v>Feb</c:v>
                </c:pt>
                <c:pt idx="2">
                  <c:v>Mar</c:v>
                </c:pt>
                <c:pt idx="3">
                  <c:v>Apr</c:v>
                </c:pt>
              </c:strCache>
            </c:strRef>
          </c:cat>
          <c:val>
            <c:numRef>
              <c:f>M_BUSAREA_FC!$C$6:$F$6</c:f>
              <c:numCache>
                <c:formatCode>_ \ * #,###,\K\ </c:formatCode>
                <c:ptCount val="4"/>
                <c:pt idx="0">
                  <c:v>792445.81010944129</c:v>
                </c:pt>
                <c:pt idx="1">
                  <c:v>775215.0250901524</c:v>
                </c:pt>
                <c:pt idx="2">
                  <c:v>1065766.4964814119</c:v>
                </c:pt>
                <c:pt idx="3">
                  <c:v>1412097.8560341902</c:v>
                </c:pt>
              </c:numCache>
            </c:numRef>
          </c:val>
          <c:smooth val="0"/>
          <c:extLst>
            <c:ext xmlns:c16="http://schemas.microsoft.com/office/drawing/2014/chart" uri="{C3380CC4-5D6E-409C-BE32-E72D297353CC}">
              <c16:uniqueId val="{00000001-041A-4132-A0B0-773F22C604D0}"/>
            </c:ext>
          </c:extLst>
        </c:ser>
        <c:ser>
          <c:idx val="3"/>
          <c:order val="2"/>
          <c:tx>
            <c:strRef>
              <c:f>M_BUSAREA_FC!$B$10</c:f>
              <c:strCache>
                <c:ptCount val="1"/>
                <c:pt idx="0">
                  <c:v>18/19</c:v>
                </c:pt>
              </c:strCache>
            </c:strRef>
          </c:tx>
          <c:spPr>
            <a:ln w="28575" cap="rnd">
              <a:solidFill>
                <a:schemeClr val="tx2">
                  <a:lumMod val="60000"/>
                  <a:lumOff val="40000"/>
                </a:schemeClr>
              </a:solidFill>
              <a:prstDash val="solid"/>
              <a:round/>
            </a:ln>
            <a:effectLst/>
          </c:spPr>
          <c:marker>
            <c:symbol val="circle"/>
            <c:size val="5"/>
            <c:spPr>
              <a:solidFill>
                <a:schemeClr val="accent1">
                  <a:lumMod val="60000"/>
                </a:schemeClr>
              </a:solidFill>
              <a:ln w="9525">
                <a:solidFill>
                  <a:schemeClr val="tx2">
                    <a:lumMod val="60000"/>
                    <a:lumOff val="40000"/>
                  </a:schemeClr>
                </a:solidFill>
                <a:prstDash val="solid"/>
              </a:ln>
              <a:effectLst/>
            </c:spPr>
          </c:marker>
          <c:cat>
            <c:strRef>
              <c:f>M_BUSAREA_FC!$C$4:$F$4</c:f>
              <c:strCache>
                <c:ptCount val="4"/>
                <c:pt idx="0">
                  <c:v>Jan</c:v>
                </c:pt>
                <c:pt idx="1">
                  <c:v>Feb</c:v>
                </c:pt>
                <c:pt idx="2">
                  <c:v>Mar</c:v>
                </c:pt>
                <c:pt idx="3">
                  <c:v>Apr</c:v>
                </c:pt>
              </c:strCache>
            </c:strRef>
          </c:cat>
          <c:val>
            <c:numRef>
              <c:f>M_BUSAREA_FC!$C$10:$F$10</c:f>
              <c:numCache>
                <c:formatCode>_ \ * #,###,\K\ </c:formatCode>
                <c:ptCount val="4"/>
                <c:pt idx="0">
                  <c:v>0</c:v>
                </c:pt>
                <c:pt idx="1">
                  <c:v>0</c:v>
                </c:pt>
                <c:pt idx="2">
                  <c:v>0</c:v>
                </c:pt>
                <c:pt idx="3">
                  <c:v>0</c:v>
                </c:pt>
              </c:numCache>
            </c:numRef>
          </c:val>
          <c:smooth val="0"/>
          <c:extLst>
            <c:ext xmlns:c16="http://schemas.microsoft.com/office/drawing/2014/chart" uri="{C3380CC4-5D6E-409C-BE32-E72D297353CC}">
              <c16:uniqueId val="{00000002-041A-4132-A0B0-773F22C604D0}"/>
            </c:ext>
          </c:extLst>
        </c:ser>
        <c:dLbls>
          <c:showLegendKey val="0"/>
          <c:showVal val="0"/>
          <c:showCatName val="0"/>
          <c:showSerName val="0"/>
          <c:showPercent val="0"/>
          <c:showBubbleSize val="0"/>
        </c:dLbls>
        <c:marker val="1"/>
        <c:smooth val="0"/>
        <c:axId val="657490056"/>
        <c:axId val="657485464"/>
      </c:lineChart>
      <c:catAx>
        <c:axId val="657490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657485464"/>
        <c:crosses val="autoZero"/>
        <c:auto val="1"/>
        <c:lblAlgn val="ctr"/>
        <c:lblOffset val="100"/>
        <c:noMultiLvlLbl val="0"/>
      </c:catAx>
      <c:valAx>
        <c:axId val="657485464"/>
        <c:scaling>
          <c:orientation val="minMax"/>
        </c:scaling>
        <c:delete val="0"/>
        <c:axPos val="l"/>
        <c:majorGridlines>
          <c:spPr>
            <a:ln w="9525" cap="flat" cmpd="sng" algn="ctr">
              <a:solidFill>
                <a:schemeClr val="tx1">
                  <a:lumMod val="15000"/>
                  <a:lumOff val="85000"/>
                </a:schemeClr>
              </a:solidFill>
              <a:round/>
            </a:ln>
            <a:effectLst/>
          </c:spPr>
        </c:majorGridlines>
        <c:numFmt formatCode="_ \ * #,###,\K\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657490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GS II</a:t>
            </a:r>
          </a:p>
        </c:rich>
      </c:tx>
      <c:layout>
        <c:manualLayout>
          <c:xMode val="edge"/>
          <c:yMode val="edge"/>
          <c:x val="0.4483718247130889"/>
          <c:y val="3.27680969386970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9.3552492418886954E-2"/>
          <c:y val="0.14519783464566929"/>
          <c:w val="0.80600351105263746"/>
          <c:h val="0.67552655918010251"/>
        </c:manualLayout>
      </c:layout>
      <c:lineChart>
        <c:grouping val="standard"/>
        <c:varyColors val="0"/>
        <c:ser>
          <c:idx val="1"/>
          <c:order val="0"/>
          <c:tx>
            <c:strRef>
              <c:f>Q_BUSAREA_FC!$B$23</c:f>
              <c:strCache>
                <c:ptCount val="1"/>
                <c:pt idx="0">
                  <c:v>16/17</c:v>
                </c:pt>
              </c:strCache>
            </c:strRef>
          </c:tx>
          <c:spPr>
            <a:ln w="28575" cap="rnd">
              <a:solidFill>
                <a:schemeClr val="bg1">
                  <a:lumMod val="75000"/>
                </a:schemeClr>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Q_BUSAREA_FC!$C$22:$F$22</c:f>
              <c:strCache>
                <c:ptCount val="4"/>
                <c:pt idx="0">
                  <c:v>Q1</c:v>
                </c:pt>
                <c:pt idx="1">
                  <c:v>Q2</c:v>
                </c:pt>
                <c:pt idx="2">
                  <c:v>Q3</c:v>
                </c:pt>
                <c:pt idx="3">
                  <c:v>Q4</c:v>
                </c:pt>
              </c:strCache>
            </c:strRef>
          </c:cat>
          <c:val>
            <c:numRef>
              <c:f>Q_BUSAREA_FC!$C$23:$F$23</c:f>
              <c:numCache>
                <c:formatCode>_ \ * #,###,\K\ </c:formatCode>
                <c:ptCount val="4"/>
                <c:pt idx="0">
                  <c:v>9293.2555166500006</c:v>
                </c:pt>
                <c:pt idx="1">
                  <c:v>74.580500000000001</c:v>
                </c:pt>
                <c:pt idx="2">
                  <c:v>56549.289666470104</c:v>
                </c:pt>
                <c:pt idx="3">
                  <c:v>132210.83895852999</c:v>
                </c:pt>
              </c:numCache>
            </c:numRef>
          </c:val>
          <c:smooth val="0"/>
          <c:extLst xmlns:c15="http://schemas.microsoft.com/office/drawing/2012/chart">
            <c:ext xmlns:c16="http://schemas.microsoft.com/office/drawing/2014/chart" uri="{C3380CC4-5D6E-409C-BE32-E72D297353CC}">
              <c16:uniqueId val="{00000000-2252-4345-B577-B4CF5855AF0B}"/>
            </c:ext>
          </c:extLst>
        </c:ser>
        <c:ser>
          <c:idx val="2"/>
          <c:order val="1"/>
          <c:tx>
            <c:strRef>
              <c:f>Q_BUSAREA_FC!$B$24</c:f>
              <c:strCache>
                <c:ptCount val="1"/>
                <c:pt idx="0">
                  <c:v>17/18</c:v>
                </c:pt>
              </c:strCache>
            </c:strRef>
          </c:tx>
          <c:spPr>
            <a:ln w="28575" cap="rnd">
              <a:solidFill>
                <a:schemeClr val="bg1">
                  <a:lumMod val="75000"/>
                </a:schemeClr>
              </a:solidFill>
              <a:prstDash val="dash"/>
              <a:round/>
            </a:ln>
            <a:effectLst/>
          </c:spPr>
          <c:marker>
            <c:symbol val="circle"/>
            <c:size val="5"/>
            <c:spPr>
              <a:solidFill>
                <a:schemeClr val="bg1">
                  <a:lumMod val="75000"/>
                </a:schemeClr>
              </a:solidFill>
              <a:ln w="9525">
                <a:solidFill>
                  <a:schemeClr val="bg1">
                    <a:lumMod val="75000"/>
                  </a:schemeClr>
                </a:solidFill>
                <a:prstDash val="dash"/>
              </a:ln>
              <a:effectLst/>
            </c:spPr>
          </c:marker>
          <c:cat>
            <c:strRef>
              <c:f>Q_BUSAREA_FC!$C$22:$F$22</c:f>
              <c:strCache>
                <c:ptCount val="4"/>
                <c:pt idx="0">
                  <c:v>Q1</c:v>
                </c:pt>
                <c:pt idx="1">
                  <c:v>Q2</c:v>
                </c:pt>
                <c:pt idx="2">
                  <c:v>Q3</c:v>
                </c:pt>
                <c:pt idx="3">
                  <c:v>Q4</c:v>
                </c:pt>
              </c:strCache>
            </c:strRef>
          </c:cat>
          <c:val>
            <c:numRef>
              <c:f>Q_BUSAREA_FC!$C$24:$F$24</c:f>
              <c:numCache>
                <c:formatCode>_ \ * #,###,\K\ </c:formatCode>
                <c:ptCount val="4"/>
                <c:pt idx="0">
                  <c:v>14076.654560000001</c:v>
                </c:pt>
                <c:pt idx="1">
                  <c:v>1515.7683400000001</c:v>
                </c:pt>
                <c:pt idx="2">
                  <c:v>96539.556884320205</c:v>
                </c:pt>
                <c:pt idx="3">
                  <c:v>183992.68403648102</c:v>
                </c:pt>
              </c:numCache>
            </c:numRef>
          </c:val>
          <c:smooth val="0"/>
          <c:extLst>
            <c:ext xmlns:c16="http://schemas.microsoft.com/office/drawing/2014/chart" uri="{C3380CC4-5D6E-409C-BE32-E72D297353CC}">
              <c16:uniqueId val="{00000001-2252-4345-B577-B4CF5855AF0B}"/>
            </c:ext>
          </c:extLst>
        </c:ser>
        <c:ser>
          <c:idx val="4"/>
          <c:order val="3"/>
          <c:tx>
            <c:strRef>
              <c:f>Q_BUSAREA_FC!$B$29</c:f>
              <c:strCache>
                <c:ptCount val="1"/>
                <c:pt idx="0">
                  <c:v>18/19</c:v>
                </c:pt>
              </c:strCache>
            </c:strRef>
          </c:tx>
          <c:spPr>
            <a:ln w="28575" cap="rnd">
              <a:solidFill>
                <a:schemeClr val="tx2">
                  <a:lumMod val="60000"/>
                  <a:lumOff val="40000"/>
                </a:schemeClr>
              </a:solidFill>
              <a:round/>
            </a:ln>
            <a:effectLst/>
          </c:spPr>
          <c:marker>
            <c:symbol val="circle"/>
            <c:size val="5"/>
            <c:spPr>
              <a:solidFill>
                <a:schemeClr val="accent3">
                  <a:lumMod val="60000"/>
                </a:schemeClr>
              </a:solidFill>
              <a:ln w="9525">
                <a:solidFill>
                  <a:schemeClr val="tx2">
                    <a:lumMod val="60000"/>
                    <a:lumOff val="40000"/>
                  </a:schemeClr>
                </a:solidFill>
              </a:ln>
              <a:effectLst/>
            </c:spPr>
          </c:marker>
          <c:cat>
            <c:strRef>
              <c:f>Q_BUSAREA_FC!$C$22:$F$22</c:f>
              <c:strCache>
                <c:ptCount val="4"/>
                <c:pt idx="0">
                  <c:v>Q1</c:v>
                </c:pt>
                <c:pt idx="1">
                  <c:v>Q2</c:v>
                </c:pt>
                <c:pt idx="2">
                  <c:v>Q3</c:v>
                </c:pt>
                <c:pt idx="3">
                  <c:v>Q4</c:v>
                </c:pt>
              </c:strCache>
            </c:strRef>
          </c:cat>
          <c:val>
            <c:numRef>
              <c:f>Q_BUSAREA_FC!$C$29:$F$29</c:f>
              <c:numCache>
                <c:formatCode>_ \ * #,###,\K\ </c:formatCode>
                <c:ptCount val="4"/>
                <c:pt idx="0">
                  <c:v>17286.518480000002</c:v>
                </c:pt>
                <c:pt idx="1">
                  <c:v>951.42882000000009</c:v>
                </c:pt>
                <c:pt idx="2">
                  <c:v>0</c:v>
                </c:pt>
                <c:pt idx="3">
                  <c:v>0</c:v>
                </c:pt>
              </c:numCache>
            </c:numRef>
          </c:val>
          <c:smooth val="0"/>
          <c:extLst>
            <c:ext xmlns:c16="http://schemas.microsoft.com/office/drawing/2014/chart" uri="{C3380CC4-5D6E-409C-BE32-E72D297353CC}">
              <c16:uniqueId val="{00000002-2252-4345-B577-B4CF5855AF0B}"/>
            </c:ext>
          </c:extLst>
        </c:ser>
        <c:ser>
          <c:idx val="0"/>
          <c:order val="4"/>
          <c:tx>
            <c:strRef>
              <c:f>Q_BUSAREA_FC!$B$30</c:f>
              <c:strCache>
                <c:ptCount val="1"/>
                <c:pt idx="0">
                  <c:v>19/20</c:v>
                </c:pt>
              </c:strCache>
            </c:strRef>
          </c:tx>
          <c:spPr>
            <a:ln w="28575" cap="rnd">
              <a:solidFill>
                <a:schemeClr val="bg2">
                  <a:lumMod val="25000"/>
                </a:schemeClr>
              </a:solidFill>
              <a:round/>
            </a:ln>
            <a:effectLst/>
          </c:spPr>
          <c:marker>
            <c:symbol val="circle"/>
            <c:size val="5"/>
            <c:spPr>
              <a:solidFill>
                <a:schemeClr val="tx1"/>
              </a:solidFill>
              <a:ln w="9525">
                <a:solidFill>
                  <a:schemeClr val="bg2">
                    <a:lumMod val="25000"/>
                  </a:schemeClr>
                </a:solidFill>
              </a:ln>
              <a:effectLst/>
            </c:spPr>
          </c:marker>
          <c:val>
            <c:numRef>
              <c:f>Q_BUSAREA_FC!$C$30:$F$30</c:f>
              <c:numCache>
                <c:formatCode>_ \ * #,###,\K\ </c:formatCode>
                <c:ptCount val="4"/>
                <c:pt idx="0">
                  <c:v>#N/A</c:v>
                </c:pt>
                <c:pt idx="1">
                  <c:v>#N/A</c:v>
                </c:pt>
                <c:pt idx="2">
                  <c:v>#N/A</c:v>
                </c:pt>
                <c:pt idx="3">
                  <c:v>#N/A</c:v>
                </c:pt>
              </c:numCache>
            </c:numRef>
          </c:val>
          <c:smooth val="0"/>
          <c:extLst>
            <c:ext xmlns:c16="http://schemas.microsoft.com/office/drawing/2014/chart" uri="{C3380CC4-5D6E-409C-BE32-E72D297353CC}">
              <c16:uniqueId val="{00000003-2252-4345-B577-B4CF5855AF0B}"/>
            </c:ext>
          </c:extLst>
        </c:ser>
        <c:dLbls>
          <c:showLegendKey val="0"/>
          <c:showVal val="0"/>
          <c:showCatName val="0"/>
          <c:showSerName val="0"/>
          <c:showPercent val="0"/>
          <c:showBubbleSize val="0"/>
        </c:dLbls>
        <c:marker val="1"/>
        <c:smooth val="0"/>
        <c:axId val="1670944191"/>
        <c:axId val="1761726383"/>
        <c:extLst>
          <c:ext xmlns:c15="http://schemas.microsoft.com/office/drawing/2012/chart" uri="{02D57815-91ED-43cb-92C2-25804820EDAC}">
            <c15:filteredLineSeries>
              <c15:ser>
                <c:idx val="3"/>
                <c:order val="2"/>
                <c:tx>
                  <c:strRef>
                    <c:extLst>
                      <c:ext uri="{02D57815-91ED-43cb-92C2-25804820EDAC}">
                        <c15:formulaRef>
                          <c15:sqref>Q_BUSAREA_FC!$B$25</c15:sqref>
                        </c15:formulaRef>
                      </c:ext>
                    </c:extLst>
                    <c:strCache>
                      <c:ptCount val="1"/>
                      <c:pt idx="0">
                        <c:v>18/19</c:v>
                      </c:pt>
                    </c:strCache>
                  </c:strRef>
                </c:tx>
                <c:spPr>
                  <a:ln w="28575" cap="rnd">
                    <a:solidFill>
                      <a:schemeClr val="accent1">
                        <a:lumMod val="60000"/>
                      </a:schemeClr>
                    </a:solidFill>
                    <a:prstDash val="lgDash"/>
                    <a:round/>
                  </a:ln>
                  <a:effectLst/>
                </c:spPr>
                <c:marker>
                  <c:symbol val="circle"/>
                  <c:size val="5"/>
                  <c:spPr>
                    <a:solidFill>
                      <a:schemeClr val="accent1">
                        <a:lumMod val="60000"/>
                      </a:schemeClr>
                    </a:solidFill>
                    <a:ln w="9525">
                      <a:solidFill>
                        <a:schemeClr val="accent1">
                          <a:lumMod val="60000"/>
                        </a:schemeClr>
                      </a:solidFill>
                      <a:prstDash val="lgDash"/>
                    </a:ln>
                    <a:effectLst/>
                  </c:spPr>
                </c:marker>
                <c:cat>
                  <c:strRef>
                    <c:extLst>
                      <c:ext uri="{02D57815-91ED-43cb-92C2-25804820EDAC}">
                        <c15:formulaRef>
                          <c15:sqref>Q_BUSAREA_FC!$C$22:$F$22</c15:sqref>
                        </c15:formulaRef>
                      </c:ext>
                    </c:extLst>
                    <c:strCache>
                      <c:ptCount val="4"/>
                      <c:pt idx="0">
                        <c:v>Q1</c:v>
                      </c:pt>
                      <c:pt idx="1">
                        <c:v>Q2</c:v>
                      </c:pt>
                      <c:pt idx="2">
                        <c:v>Q3</c:v>
                      </c:pt>
                      <c:pt idx="3">
                        <c:v>Q4</c:v>
                      </c:pt>
                    </c:strCache>
                  </c:strRef>
                </c:cat>
                <c:val>
                  <c:numRef>
                    <c:extLst>
                      <c:ext uri="{02D57815-91ED-43cb-92C2-25804820EDAC}">
                        <c15:formulaRef>
                          <c15:sqref>Q_BUSAREA_FC!$C$25:$F$25</c15:sqref>
                        </c15:formulaRef>
                      </c:ext>
                    </c:extLst>
                    <c:numCache>
                      <c:formatCode>_ \ * #,###,\K\ </c:formatCode>
                      <c:ptCount val="4"/>
                      <c:pt idx="0">
                        <c:v>17286.518480000002</c:v>
                      </c:pt>
                      <c:pt idx="1">
                        <c:v>951.42882000000009</c:v>
                      </c:pt>
                      <c:pt idx="2">
                        <c:v>0</c:v>
                      </c:pt>
                      <c:pt idx="3">
                        <c:v>0</c:v>
                      </c:pt>
                    </c:numCache>
                  </c:numRef>
                </c:val>
                <c:smooth val="0"/>
                <c:extLst>
                  <c:ext xmlns:c16="http://schemas.microsoft.com/office/drawing/2014/chart" uri="{C3380CC4-5D6E-409C-BE32-E72D297353CC}">
                    <c16:uniqueId val="{00000004-2252-4345-B577-B4CF5855AF0B}"/>
                  </c:ext>
                </c:extLst>
              </c15:ser>
            </c15:filteredLineSeries>
          </c:ext>
        </c:extLst>
      </c:lineChart>
      <c:catAx>
        <c:axId val="1670944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761726383"/>
        <c:crosses val="autoZero"/>
        <c:auto val="1"/>
        <c:lblAlgn val="ctr"/>
        <c:lblOffset val="100"/>
        <c:noMultiLvlLbl val="0"/>
      </c:catAx>
      <c:valAx>
        <c:axId val="1761726383"/>
        <c:scaling>
          <c:orientation val="minMax"/>
        </c:scaling>
        <c:delete val="0"/>
        <c:axPos val="l"/>
        <c:majorGridlines>
          <c:spPr>
            <a:ln w="9525" cap="flat" cmpd="sng" algn="ctr">
              <a:solidFill>
                <a:schemeClr val="tx1">
                  <a:lumMod val="15000"/>
                  <a:lumOff val="85000"/>
                </a:schemeClr>
              </a:solidFill>
              <a:round/>
            </a:ln>
            <a:effectLst/>
          </c:spPr>
        </c:majorGridlines>
        <c:numFmt formatCode="_ \ *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670944191"/>
        <c:crosses val="autoZero"/>
        <c:crossBetween val="between"/>
      </c:valAx>
      <c:spPr>
        <a:noFill/>
        <a:ln>
          <a:noFill/>
        </a:ln>
        <a:effectLst/>
      </c:spPr>
    </c:plotArea>
    <c:legend>
      <c:legendPos val="b"/>
      <c:layout>
        <c:manualLayout>
          <c:xMode val="edge"/>
          <c:yMode val="edge"/>
          <c:x val="0.14834681197671884"/>
          <c:y val="0.8901655365626282"/>
          <c:w val="0.70330637604656232"/>
          <c:h val="6.896600548795812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GS II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lineChart>
        <c:grouping val="standard"/>
        <c:varyColors val="0"/>
        <c:ser>
          <c:idx val="1"/>
          <c:order val="0"/>
          <c:tx>
            <c:strRef>
              <c:f>Q_BUSAREA_FC!$N$23</c:f>
              <c:strCache>
                <c:ptCount val="1"/>
                <c:pt idx="0">
                  <c:v>16/17</c:v>
                </c:pt>
              </c:strCache>
            </c:strRef>
          </c:tx>
          <c:spPr>
            <a:ln w="28575" cap="rnd">
              <a:solidFill>
                <a:schemeClr val="bg1">
                  <a:lumMod val="75000"/>
                </a:schemeClr>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Q_BUSAREA_FC!$O$22:$R$22</c:f>
              <c:strCache>
                <c:ptCount val="4"/>
                <c:pt idx="0">
                  <c:v>Q1</c:v>
                </c:pt>
                <c:pt idx="1">
                  <c:v>Q2</c:v>
                </c:pt>
                <c:pt idx="2">
                  <c:v>Q3</c:v>
                </c:pt>
                <c:pt idx="3">
                  <c:v>Q4</c:v>
                </c:pt>
              </c:strCache>
            </c:strRef>
          </c:cat>
          <c:val>
            <c:numRef>
              <c:f>Q_BUSAREA_FC!$O$23:$R$23</c:f>
              <c:numCache>
                <c:formatCode>_ \ * #,###,\K\ </c:formatCode>
                <c:ptCount val="4"/>
                <c:pt idx="0">
                  <c:v>17148.136472310001</c:v>
                </c:pt>
                <c:pt idx="1">
                  <c:v>107.04260000000001</c:v>
                </c:pt>
                <c:pt idx="2">
                  <c:v>40623.531642259899</c:v>
                </c:pt>
                <c:pt idx="3">
                  <c:v>109470.97630317</c:v>
                </c:pt>
              </c:numCache>
            </c:numRef>
          </c:val>
          <c:smooth val="0"/>
          <c:extLst xmlns:c15="http://schemas.microsoft.com/office/drawing/2012/chart">
            <c:ext xmlns:c16="http://schemas.microsoft.com/office/drawing/2014/chart" uri="{C3380CC4-5D6E-409C-BE32-E72D297353CC}">
              <c16:uniqueId val="{00000000-8CAD-4E68-815D-83F88A61B7A2}"/>
            </c:ext>
          </c:extLst>
        </c:ser>
        <c:ser>
          <c:idx val="2"/>
          <c:order val="1"/>
          <c:tx>
            <c:strRef>
              <c:f>Q_BUSAREA_FC!$N$24</c:f>
              <c:strCache>
                <c:ptCount val="1"/>
                <c:pt idx="0">
                  <c:v>17/18</c:v>
                </c:pt>
              </c:strCache>
            </c:strRef>
          </c:tx>
          <c:spPr>
            <a:ln w="28575" cap="rnd">
              <a:solidFill>
                <a:schemeClr val="bg1">
                  <a:lumMod val="75000"/>
                </a:schemeClr>
              </a:solidFill>
              <a:prstDash val="dash"/>
              <a:round/>
            </a:ln>
            <a:effectLst/>
          </c:spPr>
          <c:marker>
            <c:symbol val="circle"/>
            <c:size val="5"/>
            <c:spPr>
              <a:solidFill>
                <a:schemeClr val="bg1">
                  <a:lumMod val="75000"/>
                </a:schemeClr>
              </a:solidFill>
              <a:ln w="9525">
                <a:solidFill>
                  <a:schemeClr val="bg1">
                    <a:lumMod val="75000"/>
                  </a:schemeClr>
                </a:solidFill>
                <a:prstDash val="dash"/>
              </a:ln>
              <a:effectLst/>
            </c:spPr>
          </c:marker>
          <c:cat>
            <c:strRef>
              <c:f>Q_BUSAREA_FC!$O$22:$R$22</c:f>
              <c:strCache>
                <c:ptCount val="4"/>
                <c:pt idx="0">
                  <c:v>Q1</c:v>
                </c:pt>
                <c:pt idx="1">
                  <c:v>Q2</c:v>
                </c:pt>
                <c:pt idx="2">
                  <c:v>Q3</c:v>
                </c:pt>
                <c:pt idx="3">
                  <c:v>Q4</c:v>
                </c:pt>
              </c:strCache>
            </c:strRef>
          </c:cat>
          <c:val>
            <c:numRef>
              <c:f>Q_BUSAREA_FC!$O$24:$R$24</c:f>
              <c:numCache>
                <c:formatCode>_ \ * #,###,\K\ </c:formatCode>
                <c:ptCount val="4"/>
                <c:pt idx="0">
                  <c:v>8491.7610344999994</c:v>
                </c:pt>
                <c:pt idx="1">
                  <c:v>2776.1765655300001</c:v>
                </c:pt>
                <c:pt idx="2">
                  <c:v>109245.66056238</c:v>
                </c:pt>
                <c:pt idx="3">
                  <c:v>146988.14421533002</c:v>
                </c:pt>
              </c:numCache>
            </c:numRef>
          </c:val>
          <c:smooth val="0"/>
          <c:extLst>
            <c:ext xmlns:c16="http://schemas.microsoft.com/office/drawing/2014/chart" uri="{C3380CC4-5D6E-409C-BE32-E72D297353CC}">
              <c16:uniqueId val="{00000001-8CAD-4E68-815D-83F88A61B7A2}"/>
            </c:ext>
          </c:extLst>
        </c:ser>
        <c:ser>
          <c:idx val="4"/>
          <c:order val="2"/>
          <c:tx>
            <c:strRef>
              <c:f>Q_BUSAREA_FC!$N$29</c:f>
              <c:strCache>
                <c:ptCount val="1"/>
                <c:pt idx="0">
                  <c:v>18/19</c:v>
                </c:pt>
              </c:strCache>
            </c:strRef>
          </c:tx>
          <c:spPr>
            <a:ln w="28575" cap="rnd">
              <a:solidFill>
                <a:schemeClr val="tx2">
                  <a:lumMod val="60000"/>
                  <a:lumOff val="40000"/>
                </a:schemeClr>
              </a:solidFill>
              <a:round/>
            </a:ln>
            <a:effectLst/>
          </c:spPr>
          <c:marker>
            <c:symbol val="circle"/>
            <c:size val="5"/>
            <c:spPr>
              <a:solidFill>
                <a:schemeClr val="accent3">
                  <a:lumMod val="60000"/>
                </a:schemeClr>
              </a:solidFill>
              <a:ln w="9525">
                <a:solidFill>
                  <a:schemeClr val="tx2">
                    <a:lumMod val="60000"/>
                    <a:lumOff val="40000"/>
                  </a:schemeClr>
                </a:solidFill>
              </a:ln>
              <a:effectLst/>
            </c:spPr>
          </c:marker>
          <c:cat>
            <c:strRef>
              <c:f>Q_BUSAREA_FC!$O$22:$R$22</c:f>
              <c:strCache>
                <c:ptCount val="4"/>
                <c:pt idx="0">
                  <c:v>Q1</c:v>
                </c:pt>
                <c:pt idx="1">
                  <c:v>Q2</c:v>
                </c:pt>
                <c:pt idx="2">
                  <c:v>Q3</c:v>
                </c:pt>
                <c:pt idx="3">
                  <c:v>Q4</c:v>
                </c:pt>
              </c:strCache>
            </c:strRef>
          </c:cat>
          <c:val>
            <c:numRef>
              <c:f>Q_BUSAREA_FC!$O$29:$R$29</c:f>
              <c:numCache>
                <c:formatCode>_ \ * #,###,\K\ </c:formatCode>
                <c:ptCount val="4"/>
                <c:pt idx="0">
                  <c:v>24672.93642093</c:v>
                </c:pt>
                <c:pt idx="1">
                  <c:v>1978.2968949600001</c:v>
                </c:pt>
                <c:pt idx="2">
                  <c:v>0</c:v>
                </c:pt>
                <c:pt idx="3">
                  <c:v>0</c:v>
                </c:pt>
              </c:numCache>
            </c:numRef>
          </c:val>
          <c:smooth val="0"/>
          <c:extLst>
            <c:ext xmlns:c16="http://schemas.microsoft.com/office/drawing/2014/chart" uri="{C3380CC4-5D6E-409C-BE32-E72D297353CC}">
              <c16:uniqueId val="{00000002-8CAD-4E68-815D-83F88A61B7A2}"/>
            </c:ext>
          </c:extLst>
        </c:ser>
        <c:ser>
          <c:idx val="0"/>
          <c:order val="3"/>
          <c:tx>
            <c:strRef>
              <c:f>Q_BUSAREA_FC!$N$30</c:f>
              <c:strCache>
                <c:ptCount val="1"/>
                <c:pt idx="0">
                  <c:v>19/20</c:v>
                </c:pt>
              </c:strCache>
            </c:strRef>
          </c:tx>
          <c:spPr>
            <a:ln w="28575" cap="rnd">
              <a:solidFill>
                <a:schemeClr val="bg2">
                  <a:lumMod val="25000"/>
                </a:schemeClr>
              </a:solidFill>
              <a:round/>
            </a:ln>
            <a:effectLst/>
          </c:spPr>
          <c:marker>
            <c:symbol val="circle"/>
            <c:size val="5"/>
            <c:spPr>
              <a:solidFill>
                <a:schemeClr val="tx1"/>
              </a:solidFill>
              <a:ln w="9525">
                <a:solidFill>
                  <a:schemeClr val="bg2">
                    <a:lumMod val="25000"/>
                  </a:schemeClr>
                </a:solidFill>
              </a:ln>
              <a:effectLst/>
            </c:spPr>
          </c:marker>
          <c:val>
            <c:numRef>
              <c:f>Q_BUSAREA_FC!$O$30:$R$30</c:f>
              <c:numCache>
                <c:formatCode>_ \ * #,###,\K\ </c:formatCode>
                <c:ptCount val="4"/>
                <c:pt idx="0">
                  <c:v>#N/A</c:v>
                </c:pt>
                <c:pt idx="1">
                  <c:v>#N/A</c:v>
                </c:pt>
                <c:pt idx="2">
                  <c:v>#N/A</c:v>
                </c:pt>
                <c:pt idx="3">
                  <c:v>#N/A</c:v>
                </c:pt>
              </c:numCache>
            </c:numRef>
          </c:val>
          <c:smooth val="0"/>
          <c:extLst>
            <c:ext xmlns:c16="http://schemas.microsoft.com/office/drawing/2014/chart" uri="{C3380CC4-5D6E-409C-BE32-E72D297353CC}">
              <c16:uniqueId val="{00000003-8CAD-4E68-815D-83F88A61B7A2}"/>
            </c:ext>
          </c:extLst>
        </c:ser>
        <c:dLbls>
          <c:showLegendKey val="0"/>
          <c:showVal val="0"/>
          <c:showCatName val="0"/>
          <c:showSerName val="0"/>
          <c:showPercent val="0"/>
          <c:showBubbleSize val="0"/>
        </c:dLbls>
        <c:marker val="1"/>
        <c:smooth val="0"/>
        <c:axId val="1735878960"/>
        <c:axId val="1411479760"/>
        <c:extLst/>
      </c:lineChart>
      <c:catAx>
        <c:axId val="1735878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411479760"/>
        <c:crosses val="autoZero"/>
        <c:auto val="1"/>
        <c:lblAlgn val="ctr"/>
        <c:lblOffset val="100"/>
        <c:noMultiLvlLbl val="0"/>
      </c:catAx>
      <c:valAx>
        <c:axId val="1411479760"/>
        <c:scaling>
          <c:orientation val="minMax"/>
        </c:scaling>
        <c:delete val="0"/>
        <c:axPos val="l"/>
        <c:majorGridlines>
          <c:spPr>
            <a:ln w="9525" cap="flat" cmpd="sng" algn="ctr">
              <a:solidFill>
                <a:schemeClr val="tx1">
                  <a:lumMod val="15000"/>
                  <a:lumOff val="85000"/>
                </a:schemeClr>
              </a:solidFill>
              <a:round/>
            </a:ln>
            <a:effectLst/>
          </c:spPr>
        </c:majorGridlines>
        <c:numFmt formatCode="_ \ *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735878960"/>
        <c:crosses val="autoZero"/>
        <c:crossBetween val="between"/>
      </c:valAx>
      <c:spPr>
        <a:noFill/>
        <a:ln>
          <a:noFill/>
        </a:ln>
        <a:effectLst/>
      </c:spPr>
    </c:plotArea>
    <c:legend>
      <c:legendPos val="b"/>
      <c:layout>
        <c:manualLayout>
          <c:xMode val="edge"/>
          <c:yMode val="edge"/>
          <c:x val="0.12391796882759362"/>
          <c:y val="0.89260650490570626"/>
          <c:w val="0.75809964934256113"/>
          <c:h val="7.003940643928277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GS II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0.11642656813240322"/>
          <c:y val="0.18342387434128871"/>
          <c:w val="0.83408289544291325"/>
          <c:h val="0.5702150603267615"/>
        </c:manualLayout>
      </c:layout>
      <c:lineChart>
        <c:grouping val="standard"/>
        <c:varyColors val="0"/>
        <c:ser>
          <c:idx val="0"/>
          <c:order val="0"/>
          <c:tx>
            <c:strRef>
              <c:f>Q_BUSAREA_FC!$B$5</c:f>
              <c:strCache>
                <c:ptCount val="1"/>
                <c:pt idx="0">
                  <c:v>16/17</c:v>
                </c:pt>
              </c:strCache>
            </c:strRef>
          </c:tx>
          <c:spPr>
            <a:ln w="28575" cap="rnd">
              <a:solidFill>
                <a:schemeClr val="bg1">
                  <a:lumMod val="75000"/>
                </a:schemeClr>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Q_BUSAREA_FC!$C$4:$F$4</c:f>
              <c:strCache>
                <c:ptCount val="4"/>
                <c:pt idx="0">
                  <c:v>Q1</c:v>
                </c:pt>
                <c:pt idx="1">
                  <c:v>Q2</c:v>
                </c:pt>
                <c:pt idx="2">
                  <c:v>Q3</c:v>
                </c:pt>
                <c:pt idx="3">
                  <c:v>Q4</c:v>
                </c:pt>
              </c:strCache>
            </c:strRef>
          </c:cat>
          <c:val>
            <c:numRef>
              <c:f>Q_BUSAREA_FC!$C$5:$F$5</c:f>
              <c:numCache>
                <c:formatCode>_ \ * #,###,\K\ </c:formatCode>
                <c:ptCount val="4"/>
                <c:pt idx="0">
                  <c:v>2028702.9303980363</c:v>
                </c:pt>
                <c:pt idx="1">
                  <c:v>2378129.1224750383</c:v>
                </c:pt>
                <c:pt idx="2">
                  <c:v>2519612.4124901742</c:v>
                </c:pt>
                <c:pt idx="3">
                  <c:v>2586819.9378390084</c:v>
                </c:pt>
              </c:numCache>
            </c:numRef>
          </c:val>
          <c:smooth val="0"/>
          <c:extLst>
            <c:ext xmlns:c16="http://schemas.microsoft.com/office/drawing/2014/chart" uri="{C3380CC4-5D6E-409C-BE32-E72D297353CC}">
              <c16:uniqueId val="{00000000-54B3-472D-A3D9-BF7971916C29}"/>
            </c:ext>
          </c:extLst>
        </c:ser>
        <c:ser>
          <c:idx val="1"/>
          <c:order val="1"/>
          <c:tx>
            <c:strRef>
              <c:f>Q_BUSAREA_FC!$B$6</c:f>
              <c:strCache>
                <c:ptCount val="1"/>
                <c:pt idx="0">
                  <c:v>17/18</c:v>
                </c:pt>
              </c:strCache>
            </c:strRef>
          </c:tx>
          <c:spPr>
            <a:ln w="28575" cap="rnd">
              <a:solidFill>
                <a:schemeClr val="bg1">
                  <a:lumMod val="75000"/>
                </a:schemeClr>
              </a:solidFill>
              <a:prstDash val="dash"/>
              <a:round/>
            </a:ln>
            <a:effectLst/>
          </c:spPr>
          <c:marker>
            <c:symbol val="circle"/>
            <c:size val="5"/>
            <c:spPr>
              <a:solidFill>
                <a:schemeClr val="bg1">
                  <a:lumMod val="85000"/>
                </a:schemeClr>
              </a:solidFill>
              <a:ln w="9525">
                <a:solidFill>
                  <a:schemeClr val="bg1">
                    <a:lumMod val="75000"/>
                  </a:schemeClr>
                </a:solidFill>
                <a:prstDash val="dash"/>
              </a:ln>
              <a:effectLst/>
            </c:spPr>
          </c:marker>
          <c:cat>
            <c:strRef>
              <c:f>Q_BUSAREA_FC!$C$4:$F$4</c:f>
              <c:strCache>
                <c:ptCount val="4"/>
                <c:pt idx="0">
                  <c:v>Q1</c:v>
                </c:pt>
                <c:pt idx="1">
                  <c:v>Q2</c:v>
                </c:pt>
                <c:pt idx="2">
                  <c:v>Q3</c:v>
                </c:pt>
                <c:pt idx="3">
                  <c:v>Q4</c:v>
                </c:pt>
              </c:strCache>
            </c:strRef>
          </c:cat>
          <c:val>
            <c:numRef>
              <c:f>Q_BUSAREA_FC!$C$6:$F$6</c:f>
              <c:numCache>
                <c:formatCode>_ \ * #,###,\K\ </c:formatCode>
                <c:ptCount val="4"/>
                <c:pt idx="0">
                  <c:v>2783001.3259205595</c:v>
                </c:pt>
                <c:pt idx="1">
                  <c:v>2673098.3004301665</c:v>
                </c:pt>
                <c:pt idx="2">
                  <c:v>3253079.3776057544</c:v>
                </c:pt>
                <c:pt idx="3">
                  <c:v>3178088.0167517904</c:v>
                </c:pt>
              </c:numCache>
            </c:numRef>
          </c:val>
          <c:smooth val="0"/>
          <c:extLst>
            <c:ext xmlns:c16="http://schemas.microsoft.com/office/drawing/2014/chart" uri="{C3380CC4-5D6E-409C-BE32-E72D297353CC}">
              <c16:uniqueId val="{00000001-54B3-472D-A3D9-BF7971916C29}"/>
            </c:ext>
          </c:extLst>
        </c:ser>
        <c:ser>
          <c:idx val="3"/>
          <c:order val="2"/>
          <c:tx>
            <c:strRef>
              <c:f>Q_BUSAREA_FC!$B$11</c:f>
              <c:strCache>
                <c:ptCount val="1"/>
                <c:pt idx="0">
                  <c:v>18/19</c:v>
                </c:pt>
              </c:strCache>
            </c:strRef>
          </c:tx>
          <c:spPr>
            <a:ln w="28575" cap="rnd">
              <a:solidFill>
                <a:schemeClr val="tx2">
                  <a:lumMod val="60000"/>
                  <a:lumOff val="40000"/>
                </a:schemeClr>
              </a:solidFill>
              <a:prstDash val="solid"/>
              <a:round/>
            </a:ln>
            <a:effectLst/>
          </c:spPr>
          <c:marker>
            <c:symbol val="circle"/>
            <c:size val="5"/>
            <c:spPr>
              <a:solidFill>
                <a:schemeClr val="accent1">
                  <a:lumMod val="60000"/>
                </a:schemeClr>
              </a:solidFill>
              <a:ln w="9525">
                <a:solidFill>
                  <a:schemeClr val="tx2">
                    <a:lumMod val="60000"/>
                    <a:lumOff val="40000"/>
                  </a:schemeClr>
                </a:solidFill>
                <a:prstDash val="solid"/>
              </a:ln>
              <a:effectLst/>
            </c:spPr>
          </c:marker>
          <c:cat>
            <c:strRef>
              <c:f>Q_BUSAREA_FC!$C$4:$F$4</c:f>
              <c:strCache>
                <c:ptCount val="4"/>
                <c:pt idx="0">
                  <c:v>Q1</c:v>
                </c:pt>
                <c:pt idx="1">
                  <c:v>Q2</c:v>
                </c:pt>
                <c:pt idx="2">
                  <c:v>Q3</c:v>
                </c:pt>
                <c:pt idx="3">
                  <c:v>Q4</c:v>
                </c:pt>
              </c:strCache>
            </c:strRef>
          </c:cat>
          <c:val>
            <c:numRef>
              <c:f>Q_BUSAREA_FC!$C$11:$F$11</c:f>
              <c:numCache>
                <c:formatCode>_ \ * #,###,\K\ </c:formatCode>
                <c:ptCount val="4"/>
                <c:pt idx="0">
                  <c:v>3657637.8002055045</c:v>
                </c:pt>
                <c:pt idx="1">
                  <c:v>1233910.5125693262</c:v>
                </c:pt>
                <c:pt idx="2">
                  <c:v>0</c:v>
                </c:pt>
                <c:pt idx="3">
                  <c:v>0</c:v>
                </c:pt>
              </c:numCache>
            </c:numRef>
          </c:val>
          <c:smooth val="0"/>
          <c:extLst>
            <c:ext xmlns:c16="http://schemas.microsoft.com/office/drawing/2014/chart" uri="{C3380CC4-5D6E-409C-BE32-E72D297353CC}">
              <c16:uniqueId val="{00000002-54B3-472D-A3D9-BF7971916C29}"/>
            </c:ext>
          </c:extLst>
        </c:ser>
        <c:ser>
          <c:idx val="4"/>
          <c:order val="3"/>
          <c:tx>
            <c:strRef>
              <c:f>Q_BUSAREA_FC!$B$12</c:f>
              <c:strCache>
                <c:ptCount val="1"/>
                <c:pt idx="0">
                  <c:v>19/20</c:v>
                </c:pt>
              </c:strCache>
            </c:strRef>
          </c:tx>
          <c:spPr>
            <a:ln w="28575" cap="rnd">
              <a:solidFill>
                <a:schemeClr val="bg2">
                  <a:lumMod val="25000"/>
                </a:schemeClr>
              </a:solidFill>
              <a:round/>
            </a:ln>
            <a:effectLst/>
          </c:spPr>
          <c:marker>
            <c:symbol val="circle"/>
            <c:size val="5"/>
            <c:spPr>
              <a:solidFill>
                <a:schemeClr val="tx1"/>
              </a:solidFill>
              <a:ln w="9525">
                <a:solidFill>
                  <a:schemeClr val="bg2">
                    <a:lumMod val="25000"/>
                  </a:schemeClr>
                </a:solidFill>
              </a:ln>
              <a:effectLst/>
            </c:spPr>
          </c:marker>
          <c:cat>
            <c:strRef>
              <c:f>Q_BUSAREA_FC!$C$4:$F$4</c:f>
              <c:strCache>
                <c:ptCount val="4"/>
                <c:pt idx="0">
                  <c:v>Q1</c:v>
                </c:pt>
                <c:pt idx="1">
                  <c:v>Q2</c:v>
                </c:pt>
                <c:pt idx="2">
                  <c:v>Q3</c:v>
                </c:pt>
                <c:pt idx="3">
                  <c:v>Q4</c:v>
                </c:pt>
              </c:strCache>
            </c:strRef>
          </c:cat>
          <c:val>
            <c:numRef>
              <c:f>Q_BUSAREA_FC!$C$12:$F$12</c:f>
              <c:numCache>
                <c:formatCode>_ \ * #,###,\K\ </c:formatCode>
                <c:ptCount val="4"/>
                <c:pt idx="0">
                  <c:v>0</c:v>
                </c:pt>
                <c:pt idx="1">
                  <c:v>#N/A</c:v>
                </c:pt>
                <c:pt idx="2">
                  <c:v>#N/A</c:v>
                </c:pt>
                <c:pt idx="3">
                  <c:v>#N/A</c:v>
                </c:pt>
              </c:numCache>
            </c:numRef>
          </c:val>
          <c:smooth val="0"/>
          <c:extLst>
            <c:ext xmlns:c16="http://schemas.microsoft.com/office/drawing/2014/chart" uri="{C3380CC4-5D6E-409C-BE32-E72D297353CC}">
              <c16:uniqueId val="{00000003-54B3-472D-A3D9-BF7971916C29}"/>
            </c:ext>
          </c:extLst>
        </c:ser>
        <c:dLbls>
          <c:showLegendKey val="0"/>
          <c:showVal val="0"/>
          <c:showCatName val="0"/>
          <c:showSerName val="0"/>
          <c:showPercent val="0"/>
          <c:showBubbleSize val="0"/>
        </c:dLbls>
        <c:marker val="1"/>
        <c:smooth val="0"/>
        <c:axId val="657490056"/>
        <c:axId val="657485464"/>
      </c:lineChart>
      <c:catAx>
        <c:axId val="657490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657485464"/>
        <c:crosses val="autoZero"/>
        <c:auto val="1"/>
        <c:lblAlgn val="ctr"/>
        <c:lblOffset val="100"/>
        <c:noMultiLvlLbl val="0"/>
      </c:catAx>
      <c:valAx>
        <c:axId val="657485464"/>
        <c:scaling>
          <c:orientation val="minMax"/>
        </c:scaling>
        <c:delete val="0"/>
        <c:axPos val="l"/>
        <c:majorGridlines>
          <c:spPr>
            <a:ln w="9525" cap="flat" cmpd="sng" algn="ctr">
              <a:solidFill>
                <a:schemeClr val="tx1">
                  <a:lumMod val="15000"/>
                  <a:lumOff val="85000"/>
                </a:schemeClr>
              </a:solidFill>
              <a:round/>
            </a:ln>
            <a:effectLst/>
          </c:spPr>
        </c:majorGridlines>
        <c:numFmt formatCode="_ \ *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657490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a:t>GS II 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0.16954669967564098"/>
          <c:y val="0.18342387434128871"/>
          <c:w val="0.780962761750851"/>
          <c:h val="0.5702150603267615"/>
        </c:manualLayout>
      </c:layout>
      <c:lineChart>
        <c:grouping val="standard"/>
        <c:varyColors val="0"/>
        <c:ser>
          <c:idx val="0"/>
          <c:order val="0"/>
          <c:tx>
            <c:strRef>
              <c:f>Q_BUSAREA_FC!$N$5</c:f>
              <c:strCache>
                <c:ptCount val="1"/>
                <c:pt idx="0">
                  <c:v>16/17</c:v>
                </c:pt>
              </c:strCache>
            </c:strRef>
          </c:tx>
          <c:spPr>
            <a:ln w="28575" cap="rnd">
              <a:solidFill>
                <a:schemeClr val="bg1">
                  <a:lumMod val="75000"/>
                </a:schemeClr>
              </a:solidFill>
              <a:prstDash val="sysDot"/>
              <a:round/>
            </a:ln>
            <a:effectLst/>
          </c:spPr>
          <c:marker>
            <c:symbol val="circle"/>
            <c:size val="5"/>
            <c:spPr>
              <a:solidFill>
                <a:schemeClr val="bg1">
                  <a:lumMod val="95000"/>
                </a:schemeClr>
              </a:solidFill>
              <a:ln w="9525">
                <a:solidFill>
                  <a:schemeClr val="bg1">
                    <a:lumMod val="75000"/>
                  </a:schemeClr>
                </a:solidFill>
                <a:prstDash val="sysDot"/>
              </a:ln>
              <a:effectLst/>
            </c:spPr>
          </c:marker>
          <c:cat>
            <c:strRef>
              <c:f>Q_BUSAREA_FC!$O$4:$R$4</c:f>
              <c:strCache>
                <c:ptCount val="4"/>
                <c:pt idx="0">
                  <c:v>Q1</c:v>
                </c:pt>
                <c:pt idx="1">
                  <c:v>Q2</c:v>
                </c:pt>
                <c:pt idx="2">
                  <c:v>Q3</c:v>
                </c:pt>
                <c:pt idx="3">
                  <c:v>Q4</c:v>
                </c:pt>
              </c:strCache>
            </c:strRef>
          </c:cat>
          <c:val>
            <c:numRef>
              <c:f>Q_BUSAREA_FC!$O$5:$R$5</c:f>
              <c:numCache>
                <c:formatCode>_ \ * #,###,\K\ </c:formatCode>
                <c:ptCount val="4"/>
                <c:pt idx="0">
                  <c:v>4999440.7882520398</c:v>
                </c:pt>
                <c:pt idx="1">
                  <c:v>4681834.5623525744</c:v>
                </c:pt>
                <c:pt idx="2">
                  <c:v>4750293.2961936137</c:v>
                </c:pt>
                <c:pt idx="3">
                  <c:v>2407097.8985286779</c:v>
                </c:pt>
              </c:numCache>
            </c:numRef>
          </c:val>
          <c:smooth val="0"/>
          <c:extLst>
            <c:ext xmlns:c16="http://schemas.microsoft.com/office/drawing/2014/chart" uri="{C3380CC4-5D6E-409C-BE32-E72D297353CC}">
              <c16:uniqueId val="{00000000-B6B0-4835-9687-EEAE059E7E33}"/>
            </c:ext>
          </c:extLst>
        </c:ser>
        <c:ser>
          <c:idx val="1"/>
          <c:order val="1"/>
          <c:tx>
            <c:strRef>
              <c:f>Q_BUSAREA_FC!$N$6</c:f>
              <c:strCache>
                <c:ptCount val="1"/>
                <c:pt idx="0">
                  <c:v>17/18</c:v>
                </c:pt>
              </c:strCache>
            </c:strRef>
          </c:tx>
          <c:spPr>
            <a:ln w="28575" cap="rnd">
              <a:solidFill>
                <a:schemeClr val="accent3"/>
              </a:solidFill>
              <a:prstDash val="dash"/>
              <a:round/>
            </a:ln>
            <a:effectLst/>
          </c:spPr>
          <c:marker>
            <c:symbol val="circle"/>
            <c:size val="5"/>
            <c:spPr>
              <a:solidFill>
                <a:schemeClr val="bg1">
                  <a:lumMod val="85000"/>
                </a:schemeClr>
              </a:solidFill>
              <a:ln w="9525">
                <a:solidFill>
                  <a:schemeClr val="bg1">
                    <a:lumMod val="75000"/>
                  </a:schemeClr>
                </a:solidFill>
                <a:prstDash val="dash"/>
              </a:ln>
              <a:effectLst/>
            </c:spPr>
          </c:marker>
          <c:cat>
            <c:strRef>
              <c:f>Q_BUSAREA_FC!$O$4:$R$4</c:f>
              <c:strCache>
                <c:ptCount val="4"/>
                <c:pt idx="0">
                  <c:v>Q1</c:v>
                </c:pt>
                <c:pt idx="1">
                  <c:v>Q2</c:v>
                </c:pt>
                <c:pt idx="2">
                  <c:v>Q3</c:v>
                </c:pt>
                <c:pt idx="3">
                  <c:v>Q4</c:v>
                </c:pt>
              </c:strCache>
            </c:strRef>
          </c:cat>
          <c:val>
            <c:numRef>
              <c:f>Q_BUSAREA_FC!$O$6:$R$6</c:f>
              <c:numCache>
                <c:formatCode>_ \ * #,###,\K\ </c:formatCode>
                <c:ptCount val="4"/>
                <c:pt idx="0">
                  <c:v>4270084.2139585065</c:v>
                </c:pt>
                <c:pt idx="1">
                  <c:v>5686580.7246097727</c:v>
                </c:pt>
                <c:pt idx="2">
                  <c:v>5957865.7280951124</c:v>
                </c:pt>
                <c:pt idx="3">
                  <c:v>4827767.6737599047</c:v>
                </c:pt>
              </c:numCache>
            </c:numRef>
          </c:val>
          <c:smooth val="0"/>
          <c:extLst>
            <c:ext xmlns:c16="http://schemas.microsoft.com/office/drawing/2014/chart" uri="{C3380CC4-5D6E-409C-BE32-E72D297353CC}">
              <c16:uniqueId val="{00000001-B6B0-4835-9687-EEAE059E7E33}"/>
            </c:ext>
          </c:extLst>
        </c:ser>
        <c:ser>
          <c:idx val="3"/>
          <c:order val="2"/>
          <c:tx>
            <c:strRef>
              <c:f>Q_BUSAREA_FC!$N$11</c:f>
              <c:strCache>
                <c:ptCount val="1"/>
                <c:pt idx="0">
                  <c:v>18/19</c:v>
                </c:pt>
              </c:strCache>
            </c:strRef>
          </c:tx>
          <c:spPr>
            <a:ln w="28575" cap="rnd">
              <a:solidFill>
                <a:schemeClr val="tx2">
                  <a:lumMod val="60000"/>
                  <a:lumOff val="40000"/>
                </a:schemeClr>
              </a:solidFill>
              <a:round/>
            </a:ln>
            <a:effectLst/>
          </c:spPr>
          <c:marker>
            <c:symbol val="circle"/>
            <c:size val="5"/>
            <c:spPr>
              <a:solidFill>
                <a:schemeClr val="accent1">
                  <a:lumMod val="60000"/>
                </a:schemeClr>
              </a:solidFill>
              <a:ln w="9525">
                <a:solidFill>
                  <a:schemeClr val="tx2">
                    <a:lumMod val="60000"/>
                    <a:lumOff val="40000"/>
                  </a:schemeClr>
                </a:solidFill>
                <a:prstDash val="solid"/>
              </a:ln>
              <a:effectLst/>
            </c:spPr>
          </c:marker>
          <c:cat>
            <c:strRef>
              <c:f>Q_BUSAREA_FC!$O$4:$R$4</c:f>
              <c:strCache>
                <c:ptCount val="4"/>
                <c:pt idx="0">
                  <c:v>Q1</c:v>
                </c:pt>
                <c:pt idx="1">
                  <c:v>Q2</c:v>
                </c:pt>
                <c:pt idx="2">
                  <c:v>Q3</c:v>
                </c:pt>
                <c:pt idx="3">
                  <c:v>Q4</c:v>
                </c:pt>
              </c:strCache>
            </c:strRef>
          </c:cat>
          <c:val>
            <c:numRef>
              <c:f>Q_BUSAREA_FC!$O$11:$R$11</c:f>
              <c:numCache>
                <c:formatCode>_ \ * #,###,\K\ </c:formatCode>
                <c:ptCount val="4"/>
                <c:pt idx="0">
                  <c:v>8081447.1014983132</c:v>
                </c:pt>
                <c:pt idx="1">
                  <c:v>3081069.9331429885</c:v>
                </c:pt>
                <c:pt idx="2">
                  <c:v>0</c:v>
                </c:pt>
                <c:pt idx="3">
                  <c:v>0</c:v>
                </c:pt>
              </c:numCache>
            </c:numRef>
          </c:val>
          <c:smooth val="0"/>
          <c:extLst>
            <c:ext xmlns:c16="http://schemas.microsoft.com/office/drawing/2014/chart" uri="{C3380CC4-5D6E-409C-BE32-E72D297353CC}">
              <c16:uniqueId val="{00000002-B6B0-4835-9687-EEAE059E7E33}"/>
            </c:ext>
          </c:extLst>
        </c:ser>
        <c:ser>
          <c:idx val="4"/>
          <c:order val="3"/>
          <c:tx>
            <c:strRef>
              <c:f>Q_BUSAREA_FC!$N$12</c:f>
              <c:strCache>
                <c:ptCount val="1"/>
                <c:pt idx="0">
                  <c:v>19/20</c:v>
                </c:pt>
              </c:strCache>
            </c:strRef>
          </c:tx>
          <c:spPr>
            <a:ln w="28575" cap="rnd">
              <a:solidFill>
                <a:schemeClr val="accent3">
                  <a:lumMod val="60000"/>
                </a:schemeClr>
              </a:solidFill>
              <a:round/>
            </a:ln>
            <a:effectLst/>
          </c:spPr>
          <c:marker>
            <c:symbol val="circle"/>
            <c:size val="5"/>
            <c:spPr>
              <a:solidFill>
                <a:schemeClr val="tx1"/>
              </a:solidFill>
              <a:ln w="9525">
                <a:solidFill>
                  <a:schemeClr val="bg2">
                    <a:lumMod val="25000"/>
                  </a:schemeClr>
                </a:solidFill>
              </a:ln>
              <a:effectLst/>
            </c:spPr>
          </c:marker>
          <c:cat>
            <c:strRef>
              <c:f>Q_BUSAREA_FC!$O$4:$R$4</c:f>
              <c:strCache>
                <c:ptCount val="4"/>
                <c:pt idx="0">
                  <c:v>Q1</c:v>
                </c:pt>
                <c:pt idx="1">
                  <c:v>Q2</c:v>
                </c:pt>
                <c:pt idx="2">
                  <c:v>Q3</c:v>
                </c:pt>
                <c:pt idx="3">
                  <c:v>Q4</c:v>
                </c:pt>
              </c:strCache>
            </c:strRef>
          </c:cat>
          <c:val>
            <c:numRef>
              <c:f>Q_BUSAREA_FC!$O$12:$R$12</c:f>
              <c:numCache>
                <c:formatCode>_ \ * #,###,\K\ </c:formatCode>
                <c:ptCount val="4"/>
                <c:pt idx="0">
                  <c:v>0</c:v>
                </c:pt>
                <c:pt idx="1">
                  <c:v>#N/A</c:v>
                </c:pt>
                <c:pt idx="2">
                  <c:v>#N/A</c:v>
                </c:pt>
                <c:pt idx="3">
                  <c:v>#N/A</c:v>
                </c:pt>
              </c:numCache>
            </c:numRef>
          </c:val>
          <c:smooth val="0"/>
          <c:extLst>
            <c:ext xmlns:c16="http://schemas.microsoft.com/office/drawing/2014/chart" uri="{C3380CC4-5D6E-409C-BE32-E72D297353CC}">
              <c16:uniqueId val="{00000003-B6B0-4835-9687-EEAE059E7E33}"/>
            </c:ext>
          </c:extLst>
        </c:ser>
        <c:dLbls>
          <c:showLegendKey val="0"/>
          <c:showVal val="0"/>
          <c:showCatName val="0"/>
          <c:showSerName val="0"/>
          <c:showPercent val="0"/>
          <c:showBubbleSize val="0"/>
        </c:dLbls>
        <c:marker val="1"/>
        <c:smooth val="0"/>
        <c:axId val="657490056"/>
        <c:axId val="657485464"/>
      </c:lineChart>
      <c:catAx>
        <c:axId val="657490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657485464"/>
        <c:crosses val="autoZero"/>
        <c:auto val="1"/>
        <c:lblAlgn val="ctr"/>
        <c:lblOffset val="100"/>
        <c:noMultiLvlLbl val="0"/>
      </c:catAx>
      <c:valAx>
        <c:axId val="657485464"/>
        <c:scaling>
          <c:orientation val="minMax"/>
        </c:scaling>
        <c:delete val="0"/>
        <c:axPos val="l"/>
        <c:majorGridlines>
          <c:spPr>
            <a:ln w="9525" cap="flat" cmpd="sng" algn="ctr">
              <a:solidFill>
                <a:schemeClr val="tx1">
                  <a:lumMod val="15000"/>
                  <a:lumOff val="85000"/>
                </a:schemeClr>
              </a:solidFill>
              <a:round/>
            </a:ln>
            <a:effectLst/>
          </c:spPr>
        </c:majorGridlines>
        <c:numFmt formatCode="_ \ *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657490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showDLblsOverMax val="0"/>
  </c:chart>
  <c:spPr>
    <a:solidFill>
      <a:schemeClr val="bg1"/>
    </a:solidFill>
    <a:ln w="9525" cap="flat" cmpd="sng" algn="ctr">
      <a:noFill/>
      <a:round/>
    </a:ln>
    <a:effectLst/>
  </c:spPr>
  <c:txPr>
    <a:bodyPr/>
    <a:lstStyle/>
    <a:p>
      <a:pPr>
        <a:defRPr/>
      </a:pPr>
      <a:endParaRPr lang="nl-NL"/>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nl-NL" sz="1200" b="1"/>
              <a:t>GS II Monthly</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barChart>
        <c:barDir val="col"/>
        <c:grouping val="clustered"/>
        <c:varyColors val="0"/>
        <c:ser>
          <c:idx val="3"/>
          <c:order val="3"/>
          <c:tx>
            <c:strRef>
              <c:f>DASHBOARD!$C$11</c:f>
              <c:strCache>
                <c:ptCount val="1"/>
                <c:pt idx="0">
                  <c:v>18/19 FC</c:v>
                </c:pt>
              </c:strCache>
            </c:strRef>
          </c:tx>
          <c:spPr>
            <a:solidFill>
              <a:schemeClr val="accent1">
                <a:lumMod val="40000"/>
                <a:lumOff val="60000"/>
              </a:schemeClr>
            </a:solidFill>
            <a:ln>
              <a:noFill/>
            </a:ln>
            <a:effectLst/>
          </c:spPr>
          <c:invertIfNegative val="0"/>
          <c:dLbls>
            <c:numFmt formatCode="_ \ * #,###,\K\ " sourceLinked="0"/>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nl-N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DASHBOARD!$D$6:$O$6</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DASHBOARD!$D$11:$O$11</c:f>
              <c:numCache>
                <c:formatCode>#,\K</c:formatCode>
                <c:ptCount val="12"/>
                <c:pt idx="0">
                  <c:v>#N/A</c:v>
                </c:pt>
                <c:pt idx="1">
                  <c:v>#N/A</c:v>
                </c:pt>
                <c:pt idx="2">
                  <c:v>#N/A</c:v>
                </c:pt>
                <c:pt idx="3">
                  <c:v>#N/A</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E9E-44B0-A100-31B78AFD6689}"/>
            </c:ext>
          </c:extLst>
        </c:ser>
        <c:ser>
          <c:idx val="4"/>
          <c:order val="4"/>
          <c:tx>
            <c:strRef>
              <c:f>DASHBOARD!$C$12</c:f>
              <c:strCache>
                <c:ptCount val="1"/>
                <c:pt idx="0">
                  <c:v>19/20 FC</c:v>
                </c:pt>
              </c:strCache>
            </c:strRef>
          </c:tx>
          <c:spPr>
            <a:solidFill>
              <a:schemeClr val="tx2">
                <a:lumMod val="60000"/>
                <a:lumOff val="40000"/>
              </a:schemeClr>
            </a:solidFill>
            <a:ln>
              <a:noFill/>
            </a:ln>
            <a:effectLst/>
          </c:spPr>
          <c:invertIfNegative val="0"/>
          <c:dLbls>
            <c:numFmt formatCode="_ \ * #,###,\K\ " sourceLinked="0"/>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nl-N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DASHBOARD!$D$6:$O$6</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DASHBOARD!$D$12:$O$12</c:f>
              <c:numCache>
                <c:formatCode>#,\K</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4E9E-44B0-A100-31B78AFD6689}"/>
            </c:ext>
          </c:extLst>
        </c:ser>
        <c:dLbls>
          <c:dLblPos val="outEnd"/>
          <c:showLegendKey val="0"/>
          <c:showVal val="1"/>
          <c:showCatName val="0"/>
          <c:showSerName val="0"/>
          <c:showPercent val="0"/>
          <c:showBubbleSize val="0"/>
        </c:dLbls>
        <c:gapWidth val="150"/>
        <c:overlap val="-20"/>
        <c:axId val="1038457471"/>
        <c:axId val="1039148671"/>
      </c:barChart>
      <c:lineChart>
        <c:grouping val="standard"/>
        <c:varyColors val="0"/>
        <c:ser>
          <c:idx val="0"/>
          <c:order val="0"/>
          <c:tx>
            <c:strRef>
              <c:f>DASHBOARD!$C$7</c:f>
              <c:strCache>
                <c:ptCount val="1"/>
                <c:pt idx="0">
                  <c:v>16/17</c:v>
                </c:pt>
              </c:strCache>
            </c:strRef>
          </c:tx>
          <c:spPr>
            <a:ln w="28575" cap="rnd">
              <a:solidFill>
                <a:schemeClr val="bg2">
                  <a:lumMod val="90000"/>
                </a:schemeClr>
              </a:solidFill>
              <a:prstDash val="sysDot"/>
              <a:round/>
            </a:ln>
            <a:effectLst/>
          </c:spPr>
          <c:marker>
            <c:symbol val="none"/>
          </c:marker>
          <c:dLbls>
            <c:delete val="1"/>
          </c:dLbls>
          <c:cat>
            <c:strRef>
              <c:f>DASHBOARD!$D$6:$O$6</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DASHBOARD!$D$7:$O$7</c:f>
              <c:numCache>
                <c:formatCode>#,\K</c:formatCode>
                <c:ptCount val="12"/>
                <c:pt idx="0">
                  <c:v>327660.45520000299</c:v>
                </c:pt>
                <c:pt idx="1">
                  <c:v>568879.05140000302</c:v>
                </c:pt>
                <c:pt idx="2">
                  <c:v>1303118.0158000002</c:v>
                </c:pt>
                <c:pt idx="3">
                  <c:v>1072843.9743000001</c:v>
                </c:pt>
                <c:pt idx="4">
                  <c:v>566054.60179999901</c:v>
                </c:pt>
                <c:pt idx="5">
                  <c:v>510688.54579999705</c:v>
                </c:pt>
                <c:pt idx="6">
                  <c:v>435396.55620000104</c:v>
                </c:pt>
                <c:pt idx="7">
                  <c:v>708292.18189999904</c:v>
                </c:pt>
                <c:pt idx="8">
                  <c:v>582296.320499997</c:v>
                </c:pt>
                <c:pt idx="9">
                  <c:v>340789.36300000001</c:v>
                </c:pt>
                <c:pt idx="10">
                  <c:v>163150.47</c:v>
                </c:pt>
                <c:pt idx="11">
                  <c:v>158773.17890000102</c:v>
                </c:pt>
              </c:numCache>
            </c:numRef>
          </c:val>
          <c:smooth val="0"/>
          <c:extLst>
            <c:ext xmlns:c16="http://schemas.microsoft.com/office/drawing/2014/chart" uri="{C3380CC4-5D6E-409C-BE32-E72D297353CC}">
              <c16:uniqueId val="{00000002-4E9E-44B0-A100-31B78AFD6689}"/>
            </c:ext>
          </c:extLst>
        </c:ser>
        <c:ser>
          <c:idx val="1"/>
          <c:order val="1"/>
          <c:tx>
            <c:strRef>
              <c:f>DASHBOARD!$C$8</c:f>
              <c:strCache>
                <c:ptCount val="1"/>
                <c:pt idx="0">
                  <c:v>17/18</c:v>
                </c:pt>
              </c:strCache>
            </c:strRef>
          </c:tx>
          <c:spPr>
            <a:ln w="28575" cap="rnd">
              <a:solidFill>
                <a:schemeClr val="bg2">
                  <a:lumMod val="50000"/>
                </a:schemeClr>
              </a:solidFill>
              <a:prstDash val="dash"/>
              <a:round/>
            </a:ln>
            <a:effectLst/>
          </c:spPr>
          <c:marker>
            <c:symbol val="none"/>
          </c:marker>
          <c:dLbls>
            <c:delete val="1"/>
          </c:dLbls>
          <c:cat>
            <c:strRef>
              <c:f>DASHBOARD!$D$6:$O$6</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DASHBOARD!$D$8:$O$8</c:f>
              <c:numCache>
                <c:formatCode>#,\K</c:formatCode>
                <c:ptCount val="12"/>
                <c:pt idx="0">
                  <c:v>324577.44130000001</c:v>
                </c:pt>
                <c:pt idx="1">
                  <c:v>1006400.08849997</c:v>
                </c:pt>
                <c:pt idx="2">
                  <c:v>1156970.44609997</c:v>
                </c:pt>
                <c:pt idx="3">
                  <c:v>1174524.7726999901</c:v>
                </c:pt>
                <c:pt idx="4">
                  <c:v>666992.46119999408</c:v>
                </c:pt>
                <c:pt idx="5">
                  <c:v>498277.58680000203</c:v>
                </c:pt>
                <c:pt idx="6">
                  <c:v>463645.54770000401</c:v>
                </c:pt>
                <c:pt idx="7">
                  <c:v>619106.07630000298</c:v>
                </c:pt>
                <c:pt idx="8">
                  <c:v>732136.50239998999</c:v>
                </c:pt>
                <c:pt idx="9">
                  <c:v>248327.86479999902</c:v>
                </c:pt>
                <c:pt idx="10">
                  <c:v>187329.68019999901</c:v>
                </c:pt>
                <c:pt idx="11">
                  <c:v>158617.1961</c:v>
                </c:pt>
              </c:numCache>
            </c:numRef>
          </c:val>
          <c:smooth val="0"/>
          <c:extLst>
            <c:ext xmlns:c16="http://schemas.microsoft.com/office/drawing/2014/chart" uri="{C3380CC4-5D6E-409C-BE32-E72D297353CC}">
              <c16:uniqueId val="{00000003-4E9E-44B0-A100-31B78AFD6689}"/>
            </c:ext>
          </c:extLst>
        </c:ser>
        <c:ser>
          <c:idx val="2"/>
          <c:order val="2"/>
          <c:tx>
            <c:strRef>
              <c:f>DASHBOARD!$C$9</c:f>
              <c:strCache>
                <c:ptCount val="1"/>
                <c:pt idx="0">
                  <c:v>18/19</c:v>
                </c:pt>
              </c:strCache>
            </c:strRef>
          </c:tx>
          <c:spPr>
            <a:ln w="28575" cap="rnd">
              <a:solidFill>
                <a:schemeClr val="bg2">
                  <a:lumMod val="25000"/>
                </a:schemeClr>
              </a:solidFill>
              <a:round/>
            </a:ln>
            <a:effectLst/>
          </c:spPr>
          <c:marker>
            <c:symbol val="none"/>
          </c:marker>
          <c:dLbls>
            <c:delete val="1"/>
          </c:dLbls>
          <c:cat>
            <c:strRef>
              <c:f>DASHBOARD!$D$6:$O$6</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DASHBOARD!$D$9:$O$9</c:f>
              <c:numCache>
                <c:formatCode>#,\K</c:formatCode>
                <c:ptCount val="12"/>
                <c:pt idx="0">
                  <c:v>402328.01539999904</c:v>
                </c:pt>
                <c:pt idx="1">
                  <c:v>1076223.6043999901</c:v>
                </c:pt>
                <c:pt idx="2">
                  <c:v>1185718.5315999901</c:v>
                </c:pt>
                <c:pt idx="3">
                  <c:v>1090145.06729998</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4-4E9E-44B0-A100-31B78AFD6689}"/>
            </c:ext>
          </c:extLst>
        </c:ser>
        <c:dLbls>
          <c:showLegendKey val="0"/>
          <c:showVal val="1"/>
          <c:showCatName val="0"/>
          <c:showSerName val="0"/>
          <c:showPercent val="0"/>
          <c:showBubbleSize val="0"/>
        </c:dLbls>
        <c:marker val="1"/>
        <c:smooth val="0"/>
        <c:axId val="1038457471"/>
        <c:axId val="1039148671"/>
      </c:lineChart>
      <c:catAx>
        <c:axId val="1038457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crossAx val="1039148671"/>
        <c:crosses val="autoZero"/>
        <c:auto val="1"/>
        <c:lblAlgn val="ctr"/>
        <c:lblOffset val="100"/>
        <c:noMultiLvlLbl val="0"/>
      </c:catAx>
      <c:valAx>
        <c:axId val="1039148671"/>
        <c:scaling>
          <c:orientation val="minMax"/>
        </c:scaling>
        <c:delete val="0"/>
        <c:axPos val="l"/>
        <c:numFmt formatCode="#,\K"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nl-NL"/>
          </a:p>
        </c:txPr>
        <c:crossAx val="103845747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sz="800"/>
      </a:pPr>
      <a:endParaRPr lang="nl-NL"/>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nl-NL" sz="1200" b="1" baseline="0"/>
              <a:t>YoY Growth Monthly</a:t>
            </a:r>
            <a:endParaRPr lang="nl-NL" sz="1050" b="1"/>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manualLayout>
          <c:layoutTarget val="inner"/>
          <c:xMode val="edge"/>
          <c:yMode val="edge"/>
          <c:x val="5.4941836607881891E-2"/>
          <c:y val="0.30916048537411084"/>
          <c:w val="0.93171669947506575"/>
          <c:h val="0.53662241495175422"/>
        </c:manualLayout>
      </c:layout>
      <c:barChart>
        <c:barDir val="col"/>
        <c:grouping val="clustered"/>
        <c:varyColors val="0"/>
        <c:ser>
          <c:idx val="3"/>
          <c:order val="0"/>
          <c:tx>
            <c:strRef>
              <c:f>DASHBOARD!$C$14</c:f>
              <c:strCache>
                <c:ptCount val="1"/>
                <c:pt idx="0">
                  <c:v>18/19 FC</c:v>
                </c:pt>
              </c:strCache>
            </c:strRef>
          </c:tx>
          <c:spPr>
            <a:solidFill>
              <a:schemeClr val="accent1">
                <a:lumMod val="40000"/>
                <a:lumOff val="60000"/>
              </a:schemeClr>
            </a:solidFill>
            <a:ln>
              <a:solidFill>
                <a:schemeClr val="accent1">
                  <a:lumMod val="40000"/>
                  <a:lumOff val="6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nl-N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DASHBOARD!$D$6:$O$6</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DASHBOARD!$D$14:$O$14</c:f>
              <c:numCache>
                <c:formatCode>0%</c:formatCode>
                <c:ptCount val="12"/>
                <c:pt idx="0">
                  <c:v>#N/A</c:v>
                </c:pt>
                <c:pt idx="1">
                  <c:v>#N/A</c:v>
                </c:pt>
                <c:pt idx="2">
                  <c:v>#N/A</c:v>
                </c:pt>
                <c:pt idx="3">
                  <c:v>#N/A</c:v>
                </c:pt>
                <c:pt idx="4">
                  <c:v>-1</c:v>
                </c:pt>
                <c:pt idx="5">
                  <c:v>-1</c:v>
                </c:pt>
                <c:pt idx="6">
                  <c:v>-1</c:v>
                </c:pt>
                <c:pt idx="7">
                  <c:v>-1</c:v>
                </c:pt>
                <c:pt idx="8">
                  <c:v>-1</c:v>
                </c:pt>
                <c:pt idx="9">
                  <c:v>-1</c:v>
                </c:pt>
                <c:pt idx="10">
                  <c:v>-1</c:v>
                </c:pt>
                <c:pt idx="11">
                  <c:v>-1</c:v>
                </c:pt>
              </c:numCache>
            </c:numRef>
          </c:val>
          <c:extLst>
            <c:ext xmlns:c16="http://schemas.microsoft.com/office/drawing/2014/chart" uri="{C3380CC4-5D6E-409C-BE32-E72D297353CC}">
              <c16:uniqueId val="{00000000-E187-4F26-9C49-4B2D1057D643}"/>
            </c:ext>
          </c:extLst>
        </c:ser>
        <c:ser>
          <c:idx val="4"/>
          <c:order val="1"/>
          <c:tx>
            <c:strRef>
              <c:f>DASHBOARD!$C$15</c:f>
              <c:strCache>
                <c:ptCount val="1"/>
                <c:pt idx="0">
                  <c:v>19/20 FC</c:v>
                </c:pt>
              </c:strCache>
            </c:strRef>
          </c:tx>
          <c:spPr>
            <a:solidFill>
              <a:schemeClr val="tx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nl-N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DASHBOARD!$D$6:$O$6</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DASHBOARD!$D$15:$O$15</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E187-4F26-9C49-4B2D1057D643}"/>
            </c:ext>
          </c:extLst>
        </c:ser>
        <c:ser>
          <c:idx val="0"/>
          <c:order val="2"/>
          <c:tx>
            <c:strRef>
              <c:f>DASHBOARD!$C$13</c:f>
              <c:strCache>
                <c:ptCount val="1"/>
                <c:pt idx="0">
                  <c:v>ACT</c:v>
                </c:pt>
              </c:strCache>
            </c:strRef>
          </c:tx>
          <c:spPr>
            <a:solidFill>
              <a:schemeClr val="tx1">
                <a:lumMod val="75000"/>
                <a:lumOff val="2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nl-N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DASHBOARD!$D$13:$O$13</c:f>
              <c:numCache>
                <c:formatCode>0%</c:formatCode>
                <c:ptCount val="12"/>
                <c:pt idx="0">
                  <c:v>0.23954398613961536</c:v>
                </c:pt>
                <c:pt idx="1">
                  <c:v>6.9379481081019545E-2</c:v>
                </c:pt>
                <c:pt idx="2">
                  <c:v>2.4847726747841303E-2</c:v>
                </c:pt>
                <c:pt idx="3">
                  <c:v>-7.184157146897685E-2</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E187-4F26-9C49-4B2D1057D643}"/>
            </c:ext>
          </c:extLst>
        </c:ser>
        <c:dLbls>
          <c:dLblPos val="outEnd"/>
          <c:showLegendKey val="0"/>
          <c:showVal val="1"/>
          <c:showCatName val="0"/>
          <c:showSerName val="0"/>
          <c:showPercent val="0"/>
          <c:showBubbleSize val="0"/>
        </c:dLbls>
        <c:gapWidth val="100"/>
        <c:overlap val="-20"/>
        <c:axId val="1038457471"/>
        <c:axId val="1039148671"/>
      </c:barChart>
      <c:catAx>
        <c:axId val="1038457471"/>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crossAx val="1039148671"/>
        <c:crosses val="autoZero"/>
        <c:auto val="1"/>
        <c:lblAlgn val="ctr"/>
        <c:lblOffset val="100"/>
        <c:noMultiLvlLbl val="0"/>
      </c:catAx>
      <c:valAx>
        <c:axId val="1039148671"/>
        <c:scaling>
          <c:orientation val="minMax"/>
          <c:max val="1"/>
          <c:min val="-1"/>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nl-NL"/>
          </a:p>
        </c:txPr>
        <c:crossAx val="1038457471"/>
        <c:crosses val="autoZero"/>
        <c:crossBetween val="between"/>
      </c:valAx>
      <c:spPr>
        <a:noFill/>
        <a:ln>
          <a:noFill/>
        </a:ln>
        <a:effectLst/>
      </c:spPr>
    </c:plotArea>
    <c:legend>
      <c:legendPos val="t"/>
      <c:layout>
        <c:manualLayout>
          <c:xMode val="edge"/>
          <c:yMode val="edge"/>
          <c:x val="0.40224212197312359"/>
          <c:y val="0.17165861513687597"/>
          <c:w val="0.19551563881248665"/>
          <c:h val="0.10869641294838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nl-NL" sz="1200" b="1"/>
              <a:t>Discount Monthly</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barChart>
        <c:barDir val="col"/>
        <c:grouping val="clustered"/>
        <c:varyColors val="0"/>
        <c:ser>
          <c:idx val="3"/>
          <c:order val="3"/>
          <c:tx>
            <c:strRef>
              <c:f>DASHBOARD!$C$37</c:f>
              <c:strCache>
                <c:ptCount val="1"/>
                <c:pt idx="0">
                  <c:v>18/19 FC</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DASHBOARD!$C$32:$O$32</c:f>
              <c:strCache>
                <c:ptCount val="13"/>
                <c:pt idx="0">
                  <c:v>FY</c:v>
                </c:pt>
                <c:pt idx="1">
                  <c:v>Aug</c:v>
                </c:pt>
                <c:pt idx="2">
                  <c:v>Sep</c:v>
                </c:pt>
                <c:pt idx="3">
                  <c:v>Oct</c:v>
                </c:pt>
                <c:pt idx="4">
                  <c:v>Nov</c:v>
                </c:pt>
                <c:pt idx="5">
                  <c:v>Dec</c:v>
                </c:pt>
                <c:pt idx="6">
                  <c:v>Jan</c:v>
                </c:pt>
                <c:pt idx="7">
                  <c:v>Feb</c:v>
                </c:pt>
                <c:pt idx="8">
                  <c:v>Mar</c:v>
                </c:pt>
                <c:pt idx="9">
                  <c:v>Apr</c:v>
                </c:pt>
                <c:pt idx="10">
                  <c:v>May</c:v>
                </c:pt>
                <c:pt idx="11">
                  <c:v>Jun</c:v>
                </c:pt>
                <c:pt idx="12">
                  <c:v>Jul</c:v>
                </c:pt>
              </c:strCache>
            </c:strRef>
          </c:cat>
          <c:val>
            <c:numRef>
              <c:f>DASHBOARD!$D$37:$O$37</c:f>
              <c:numCache>
                <c:formatCode>0%</c:formatCode>
                <c:ptCount val="12"/>
                <c:pt idx="0" formatCode="General">
                  <c:v>#N/A</c:v>
                </c:pt>
                <c:pt idx="1">
                  <c:v>#N/A</c:v>
                </c:pt>
                <c:pt idx="2">
                  <c:v>#N/A</c:v>
                </c:pt>
                <c:pt idx="3">
                  <c:v>#N/A</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621-4673-B9F2-2B9F6795A76D}"/>
            </c:ext>
          </c:extLst>
        </c:ser>
        <c:ser>
          <c:idx val="4"/>
          <c:order val="4"/>
          <c:tx>
            <c:strRef>
              <c:f>DASHBOARD!$C$38</c:f>
              <c:strCache>
                <c:ptCount val="1"/>
                <c:pt idx="0">
                  <c:v>19/20 FC</c:v>
                </c:pt>
              </c:strCache>
            </c:strRef>
          </c:tx>
          <c:spPr>
            <a:solidFill>
              <a:schemeClr val="tx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DASHBOARD!$C$32:$O$32</c:f>
              <c:strCache>
                <c:ptCount val="13"/>
                <c:pt idx="0">
                  <c:v>FY</c:v>
                </c:pt>
                <c:pt idx="1">
                  <c:v>Aug</c:v>
                </c:pt>
                <c:pt idx="2">
                  <c:v>Sep</c:v>
                </c:pt>
                <c:pt idx="3">
                  <c:v>Oct</c:v>
                </c:pt>
                <c:pt idx="4">
                  <c:v>Nov</c:v>
                </c:pt>
                <c:pt idx="5">
                  <c:v>Dec</c:v>
                </c:pt>
                <c:pt idx="6">
                  <c:v>Jan</c:v>
                </c:pt>
                <c:pt idx="7">
                  <c:v>Feb</c:v>
                </c:pt>
                <c:pt idx="8">
                  <c:v>Mar</c:v>
                </c:pt>
                <c:pt idx="9">
                  <c:v>Apr</c:v>
                </c:pt>
                <c:pt idx="10">
                  <c:v>May</c:v>
                </c:pt>
                <c:pt idx="11">
                  <c:v>Jun</c:v>
                </c:pt>
                <c:pt idx="12">
                  <c:v>Jul</c:v>
                </c:pt>
              </c:strCache>
            </c:strRef>
          </c:cat>
          <c:val>
            <c:numRef>
              <c:f>DASHBOARD!$D$38:$O$38</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A621-4673-B9F2-2B9F6795A76D}"/>
            </c:ext>
          </c:extLst>
        </c:ser>
        <c:dLbls>
          <c:dLblPos val="outEnd"/>
          <c:showLegendKey val="0"/>
          <c:showVal val="1"/>
          <c:showCatName val="0"/>
          <c:showSerName val="0"/>
          <c:showPercent val="0"/>
          <c:showBubbleSize val="0"/>
        </c:dLbls>
        <c:gapWidth val="219"/>
        <c:overlap val="-20"/>
        <c:axId val="856288312"/>
        <c:axId val="856291920"/>
      </c:barChart>
      <c:lineChart>
        <c:grouping val="standard"/>
        <c:varyColors val="0"/>
        <c:ser>
          <c:idx val="0"/>
          <c:order val="0"/>
          <c:tx>
            <c:strRef>
              <c:f>DASHBOARD!$C$33</c:f>
              <c:strCache>
                <c:ptCount val="1"/>
                <c:pt idx="0">
                  <c:v>16/17</c:v>
                </c:pt>
              </c:strCache>
            </c:strRef>
          </c:tx>
          <c:spPr>
            <a:ln w="28575" cap="rnd">
              <a:solidFill>
                <a:schemeClr val="bg2">
                  <a:lumMod val="75000"/>
                </a:schemeClr>
              </a:solidFill>
              <a:prstDash val="sysDot"/>
              <a:round/>
            </a:ln>
            <a:effectLst/>
          </c:spPr>
          <c:marker>
            <c:symbol val="none"/>
          </c:marker>
          <c:dLbls>
            <c:delete val="1"/>
          </c:dLbls>
          <c:cat>
            <c:strRef>
              <c:f>DASHBOARD!$D$32:$O$32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DASHBOARD!$D$33:$O$33</c:f>
              <c:numCache>
                <c:formatCode>0%</c:formatCode>
                <c:ptCount val="12"/>
                <c:pt idx="0">
                  <c:v>9.2168682227146831E-2</c:v>
                </c:pt>
                <c:pt idx="1">
                  <c:v>4.7203331749643564E-2</c:v>
                </c:pt>
                <c:pt idx="2">
                  <c:v>3.542629870519895E-2</c:v>
                </c:pt>
                <c:pt idx="3">
                  <c:v>5.9255374465097488E-2</c:v>
                </c:pt>
                <c:pt idx="4">
                  <c:v>0.10575014953790407</c:v>
                </c:pt>
                <c:pt idx="5">
                  <c:v>0.20147845326351099</c:v>
                </c:pt>
                <c:pt idx="6">
                  <c:v>8.9421130548196254E-2</c:v>
                </c:pt>
                <c:pt idx="7">
                  <c:v>7.5562383125141047E-2</c:v>
                </c:pt>
                <c:pt idx="8">
                  <c:v>0.12214242560050215</c:v>
                </c:pt>
                <c:pt idx="9">
                  <c:v>8.3881335571375767E-2</c:v>
                </c:pt>
                <c:pt idx="10">
                  <c:v>0.17188899497943758</c:v>
                </c:pt>
                <c:pt idx="11">
                  <c:v>8.3256641511749191E-2</c:v>
                </c:pt>
              </c:numCache>
            </c:numRef>
          </c:val>
          <c:smooth val="0"/>
          <c:extLst>
            <c:ext xmlns:c16="http://schemas.microsoft.com/office/drawing/2014/chart" uri="{C3380CC4-5D6E-409C-BE32-E72D297353CC}">
              <c16:uniqueId val="{00000002-A621-4673-B9F2-2B9F6795A76D}"/>
            </c:ext>
          </c:extLst>
        </c:ser>
        <c:ser>
          <c:idx val="1"/>
          <c:order val="1"/>
          <c:tx>
            <c:strRef>
              <c:f>DASHBOARD!$C$34</c:f>
              <c:strCache>
                <c:ptCount val="1"/>
                <c:pt idx="0">
                  <c:v>17/18</c:v>
                </c:pt>
              </c:strCache>
            </c:strRef>
          </c:tx>
          <c:spPr>
            <a:ln w="28575" cap="rnd">
              <a:solidFill>
                <a:schemeClr val="bg2">
                  <a:lumMod val="50000"/>
                </a:schemeClr>
              </a:solidFill>
              <a:prstDash val="dash"/>
              <a:round/>
            </a:ln>
            <a:effectLst/>
          </c:spPr>
          <c:marker>
            <c:symbol val="none"/>
          </c:marker>
          <c:dLbls>
            <c:delete val="1"/>
          </c:dLbls>
          <c:cat>
            <c:strRef>
              <c:f>DASHBOARD!$D$32:$O$32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DASHBOARD!$D$34:$O$34</c:f>
              <c:numCache>
                <c:formatCode>0%</c:formatCode>
                <c:ptCount val="12"/>
                <c:pt idx="0">
                  <c:v>8.7022249360311318E-2</c:v>
                </c:pt>
                <c:pt idx="1">
                  <c:v>4.2686898959571597E-2</c:v>
                </c:pt>
                <c:pt idx="2">
                  <c:v>2.1638650917414674E-2</c:v>
                </c:pt>
                <c:pt idx="3">
                  <c:v>6.5500993280158293E-2</c:v>
                </c:pt>
                <c:pt idx="4">
                  <c:v>8.7757259526730927E-2</c:v>
                </c:pt>
                <c:pt idx="5">
                  <c:v>0.15035269945181004</c:v>
                </c:pt>
                <c:pt idx="6">
                  <c:v>0.12342341023282401</c:v>
                </c:pt>
                <c:pt idx="7">
                  <c:v>4.7423827857158346E-2</c:v>
                </c:pt>
                <c:pt idx="8">
                  <c:v>0.10530266938054259</c:v>
                </c:pt>
                <c:pt idx="9">
                  <c:v>8.4986409131810672E-2</c:v>
                </c:pt>
                <c:pt idx="10">
                  <c:v>0.23372622327701531</c:v>
                </c:pt>
                <c:pt idx="11">
                  <c:v>9.5555879603022795E-2</c:v>
                </c:pt>
              </c:numCache>
            </c:numRef>
          </c:val>
          <c:smooth val="0"/>
          <c:extLst>
            <c:ext xmlns:c16="http://schemas.microsoft.com/office/drawing/2014/chart" uri="{C3380CC4-5D6E-409C-BE32-E72D297353CC}">
              <c16:uniqueId val="{00000003-A621-4673-B9F2-2B9F6795A76D}"/>
            </c:ext>
          </c:extLst>
        </c:ser>
        <c:ser>
          <c:idx val="2"/>
          <c:order val="2"/>
          <c:tx>
            <c:strRef>
              <c:f>DASHBOARD!$C$35</c:f>
              <c:strCache>
                <c:ptCount val="1"/>
                <c:pt idx="0">
                  <c:v>18/19</c:v>
                </c:pt>
              </c:strCache>
            </c:strRef>
          </c:tx>
          <c:spPr>
            <a:ln w="28575" cap="rnd">
              <a:solidFill>
                <a:schemeClr val="bg2">
                  <a:lumMod val="25000"/>
                </a:schemeClr>
              </a:solidFill>
              <a:round/>
            </a:ln>
            <a:effectLst/>
          </c:spPr>
          <c:marker>
            <c:symbol val="none"/>
          </c:marker>
          <c:dLbls>
            <c:delete val="1"/>
          </c:dLbls>
          <c:cat>
            <c:strRef>
              <c:f>DASHBOARD!$D$32:$O$32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DASHBOARD!$D$35:$O$35</c:f>
              <c:numCache>
                <c:formatCode>0%</c:formatCode>
                <c:ptCount val="12"/>
                <c:pt idx="0">
                  <c:v>0.1053489710879055</c:v>
                </c:pt>
                <c:pt idx="1">
                  <c:v>5.9037645602780797E-2</c:v>
                </c:pt>
                <c:pt idx="2">
                  <c:v>3.6114234819226758E-2</c:v>
                </c:pt>
                <c:pt idx="3">
                  <c:v>8.0106717167663433E-2</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4-A621-4673-B9F2-2B9F6795A76D}"/>
            </c:ext>
          </c:extLst>
        </c:ser>
        <c:dLbls>
          <c:showLegendKey val="0"/>
          <c:showVal val="1"/>
          <c:showCatName val="0"/>
          <c:showSerName val="0"/>
          <c:showPercent val="0"/>
          <c:showBubbleSize val="0"/>
        </c:dLbls>
        <c:marker val="1"/>
        <c:smooth val="0"/>
        <c:axId val="856288312"/>
        <c:axId val="856291920"/>
      </c:lineChart>
      <c:catAx>
        <c:axId val="856288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nl-NL"/>
          </a:p>
        </c:txPr>
        <c:crossAx val="856291920"/>
        <c:crosses val="autoZero"/>
        <c:auto val="1"/>
        <c:lblAlgn val="ctr"/>
        <c:lblOffset val="100"/>
        <c:noMultiLvlLbl val="0"/>
      </c:catAx>
      <c:valAx>
        <c:axId val="856291920"/>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nl-NL"/>
          </a:p>
        </c:txPr>
        <c:crossAx val="85628831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nl-NL" sz="1200" b="1"/>
              <a:t>NOOS</a:t>
            </a:r>
            <a:r>
              <a:rPr lang="nl-NL" sz="1200" b="1" baseline="0"/>
              <a:t> % Monthly</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barChart>
        <c:barDir val="col"/>
        <c:grouping val="clustered"/>
        <c:varyColors val="0"/>
        <c:ser>
          <c:idx val="3"/>
          <c:order val="3"/>
          <c:tx>
            <c:strRef>
              <c:f>DASHBOARD!$C$57</c:f>
              <c:strCache>
                <c:ptCount val="1"/>
                <c:pt idx="0">
                  <c:v>18/19 FC</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DASHBOARD!$D$52:$O$52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DASHBOARD!$D$57:$O$57</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0-A23E-46D0-97DA-C7779689902D}"/>
            </c:ext>
          </c:extLst>
        </c:ser>
        <c:ser>
          <c:idx val="4"/>
          <c:order val="4"/>
          <c:tx>
            <c:strRef>
              <c:f>DASHBOARD!$C$58</c:f>
              <c:strCache>
                <c:ptCount val="1"/>
                <c:pt idx="0">
                  <c:v>19/20 FC</c:v>
                </c:pt>
              </c:strCache>
            </c:strRef>
          </c:tx>
          <c:spPr>
            <a:solidFill>
              <a:schemeClr val="tx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DASHBOARD!$D$52:$O$52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DASHBOARD!$D$58:$O$58</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A23E-46D0-97DA-C7779689902D}"/>
            </c:ext>
          </c:extLst>
        </c:ser>
        <c:dLbls>
          <c:dLblPos val="outEnd"/>
          <c:showLegendKey val="0"/>
          <c:showVal val="1"/>
          <c:showCatName val="0"/>
          <c:showSerName val="0"/>
          <c:showPercent val="0"/>
          <c:showBubbleSize val="0"/>
        </c:dLbls>
        <c:gapWidth val="219"/>
        <c:axId val="1000294192"/>
        <c:axId val="1000286320"/>
      </c:barChart>
      <c:lineChart>
        <c:grouping val="standard"/>
        <c:varyColors val="0"/>
        <c:ser>
          <c:idx val="0"/>
          <c:order val="0"/>
          <c:tx>
            <c:strRef>
              <c:f>DASHBOARD!$C$53</c:f>
              <c:strCache>
                <c:ptCount val="1"/>
                <c:pt idx="0">
                  <c:v>16/17</c:v>
                </c:pt>
              </c:strCache>
            </c:strRef>
          </c:tx>
          <c:spPr>
            <a:ln w="28575" cap="rnd">
              <a:solidFill>
                <a:schemeClr val="bg2">
                  <a:lumMod val="75000"/>
                </a:schemeClr>
              </a:solidFill>
              <a:prstDash val="sysDot"/>
              <a:round/>
            </a:ln>
            <a:effectLst/>
          </c:spPr>
          <c:marker>
            <c:symbol val="none"/>
          </c:marker>
          <c:dLbls>
            <c:delete val="1"/>
          </c:dLbls>
          <c:cat>
            <c:strRef>
              <c:f>DASHBOARD!$D$52:$O$52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DASHBOARD!$D$53:$O$53</c:f>
              <c:numCache>
                <c:formatCode>0%</c:formatCode>
                <c:ptCount val="12"/>
                <c:pt idx="0">
                  <c:v>0.12934437747188901</c:v>
                </c:pt>
                <c:pt idx="1">
                  <c:v>9.2364902118805103E-2</c:v>
                </c:pt>
                <c:pt idx="2">
                  <c:v>4.9689896628624199E-2</c:v>
                </c:pt>
                <c:pt idx="3">
                  <c:v>3.2644803008612201E-2</c:v>
                </c:pt>
                <c:pt idx="4">
                  <c:v>4.84810919524973E-2</c:v>
                </c:pt>
                <c:pt idx="5">
                  <c:v>6.0724435186656898E-2</c:v>
                </c:pt>
                <c:pt idx="6">
                  <c:v>0.101411977819405</c:v>
                </c:pt>
                <c:pt idx="7">
                  <c:v>0.123538072755904</c:v>
                </c:pt>
                <c:pt idx="8">
                  <c:v>0.15236879089982303</c:v>
                </c:pt>
                <c:pt idx="9">
                  <c:v>0.16791477643625902</c:v>
                </c:pt>
                <c:pt idx="10">
                  <c:v>0.17972079393948401</c:v>
                </c:pt>
                <c:pt idx="11">
                  <c:v>0.15272297542944702</c:v>
                </c:pt>
              </c:numCache>
            </c:numRef>
          </c:val>
          <c:smooth val="0"/>
          <c:extLst>
            <c:ext xmlns:c16="http://schemas.microsoft.com/office/drawing/2014/chart" uri="{C3380CC4-5D6E-409C-BE32-E72D297353CC}">
              <c16:uniqueId val="{00000002-A23E-46D0-97DA-C7779689902D}"/>
            </c:ext>
          </c:extLst>
        </c:ser>
        <c:ser>
          <c:idx val="1"/>
          <c:order val="1"/>
          <c:tx>
            <c:strRef>
              <c:f>DASHBOARD!$C$54</c:f>
              <c:strCache>
                <c:ptCount val="1"/>
                <c:pt idx="0">
                  <c:v>17/18</c:v>
                </c:pt>
              </c:strCache>
            </c:strRef>
          </c:tx>
          <c:spPr>
            <a:ln w="28575" cap="rnd">
              <a:solidFill>
                <a:schemeClr val="bg2">
                  <a:lumMod val="50000"/>
                </a:schemeClr>
              </a:solidFill>
              <a:prstDash val="dash"/>
              <a:round/>
            </a:ln>
            <a:effectLst/>
          </c:spPr>
          <c:marker>
            <c:symbol val="none"/>
          </c:marker>
          <c:dLbls>
            <c:delete val="1"/>
          </c:dLbls>
          <c:cat>
            <c:strRef>
              <c:f>DASHBOARD!$D$52:$O$52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DASHBOARD!$D$54:$O$54</c:f>
              <c:numCache>
                <c:formatCode>0%</c:formatCode>
                <c:ptCount val="12"/>
                <c:pt idx="0">
                  <c:v>0.15973030285885101</c:v>
                </c:pt>
                <c:pt idx="1">
                  <c:v>8.1941445497003593E-2</c:v>
                </c:pt>
                <c:pt idx="2">
                  <c:v>4.3523417793205101E-2</c:v>
                </c:pt>
                <c:pt idx="3">
                  <c:v>4.6280572758838602E-2</c:v>
                </c:pt>
                <c:pt idx="4">
                  <c:v>5.4364516406621599E-2</c:v>
                </c:pt>
                <c:pt idx="5">
                  <c:v>9.41432947069894E-2</c:v>
                </c:pt>
                <c:pt idx="6">
                  <c:v>0.12011998061078201</c:v>
                </c:pt>
                <c:pt idx="7">
                  <c:v>0.18943438772384</c:v>
                </c:pt>
                <c:pt idx="8">
                  <c:v>0.20406550200713403</c:v>
                </c:pt>
                <c:pt idx="9">
                  <c:v>0.25727521980449303</c:v>
                </c:pt>
                <c:pt idx="10">
                  <c:v>0.22451444242630203</c:v>
                </c:pt>
                <c:pt idx="11">
                  <c:v>0.20367849006505101</c:v>
                </c:pt>
              </c:numCache>
            </c:numRef>
          </c:val>
          <c:smooth val="0"/>
          <c:extLst>
            <c:ext xmlns:c16="http://schemas.microsoft.com/office/drawing/2014/chart" uri="{C3380CC4-5D6E-409C-BE32-E72D297353CC}">
              <c16:uniqueId val="{00000003-A23E-46D0-97DA-C7779689902D}"/>
            </c:ext>
          </c:extLst>
        </c:ser>
        <c:ser>
          <c:idx val="2"/>
          <c:order val="2"/>
          <c:tx>
            <c:strRef>
              <c:f>DASHBOARD!$C$55</c:f>
              <c:strCache>
                <c:ptCount val="1"/>
                <c:pt idx="0">
                  <c:v>18/19</c:v>
                </c:pt>
              </c:strCache>
            </c:strRef>
          </c:tx>
          <c:spPr>
            <a:ln w="28575" cap="rnd">
              <a:solidFill>
                <a:schemeClr val="bg2">
                  <a:lumMod val="25000"/>
                </a:schemeClr>
              </a:solidFill>
              <a:round/>
            </a:ln>
            <a:effectLst/>
          </c:spPr>
          <c:marker>
            <c:symbol val="none"/>
          </c:marker>
          <c:dLbls>
            <c:delete val="1"/>
          </c:dLbls>
          <c:cat>
            <c:strRef>
              <c:f>DASHBOARD!$D$52:$O$52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DASHBOARD!$D$55:$O$55</c:f>
              <c:numCache>
                <c:formatCode>0%</c:formatCode>
                <c:ptCount val="12"/>
                <c:pt idx="0">
                  <c:v>0.24114207757454703</c:v>
                </c:pt>
                <c:pt idx="1">
                  <c:v>0.26843257601756704</c:v>
                </c:pt>
                <c:pt idx="2">
                  <c:v>0.25374386650937303</c:v>
                </c:pt>
                <c:pt idx="3">
                  <c:v>0.27400879420555402</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4-A23E-46D0-97DA-C7779689902D}"/>
            </c:ext>
          </c:extLst>
        </c:ser>
        <c:dLbls>
          <c:showLegendKey val="0"/>
          <c:showVal val="1"/>
          <c:showCatName val="0"/>
          <c:showSerName val="0"/>
          <c:showPercent val="0"/>
          <c:showBubbleSize val="0"/>
        </c:dLbls>
        <c:marker val="1"/>
        <c:smooth val="0"/>
        <c:axId val="1000294192"/>
        <c:axId val="1000286320"/>
      </c:lineChart>
      <c:catAx>
        <c:axId val="100029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000286320"/>
        <c:crosses val="autoZero"/>
        <c:auto val="1"/>
        <c:lblAlgn val="ctr"/>
        <c:lblOffset val="100"/>
        <c:noMultiLvlLbl val="0"/>
      </c:catAx>
      <c:valAx>
        <c:axId val="1000286320"/>
        <c:scaling>
          <c:orientation val="minMax"/>
          <c:max val="1"/>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00029419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nl-NL" sz="1200" b="1"/>
              <a:t>GS</a:t>
            </a:r>
            <a:r>
              <a:rPr lang="nl-NL" sz="1200" b="1" baseline="0"/>
              <a:t> II Quarterly</a:t>
            </a:r>
            <a:endParaRPr lang="nl-NL" sz="1200" b="1"/>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barChart>
        <c:barDir val="col"/>
        <c:grouping val="clustered"/>
        <c:varyColors val="0"/>
        <c:ser>
          <c:idx val="3"/>
          <c:order val="3"/>
          <c:tx>
            <c:strRef>
              <c:f>DASHBOARD!$S$11</c:f>
              <c:strCache>
                <c:ptCount val="1"/>
                <c:pt idx="0">
                  <c:v>18/19 FC</c:v>
                </c:pt>
              </c:strCache>
            </c:strRef>
          </c:tx>
          <c:spPr>
            <a:solidFill>
              <a:schemeClr val="accent1">
                <a:lumMod val="40000"/>
                <a:lumOff val="60000"/>
              </a:schemeClr>
            </a:solidFill>
            <a:ln>
              <a:noFill/>
            </a:ln>
            <a:effectLst/>
          </c:spPr>
          <c:invertIfNegative val="0"/>
          <c:dLbls>
            <c:numFmt formatCode="_ \ * #,###,\K\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DASHBOARD!$T$11:$W$11</c:f>
              <c:numCache>
                <c:formatCode>_ \ * #,###,\K\ </c:formatCode>
                <c:ptCount val="4"/>
                <c:pt idx="0">
                  <c:v>#N/A</c:v>
                </c:pt>
                <c:pt idx="1">
                  <c:v>#N/A</c:v>
                </c:pt>
                <c:pt idx="2">
                  <c:v>0</c:v>
                </c:pt>
                <c:pt idx="3">
                  <c:v>0</c:v>
                </c:pt>
              </c:numCache>
            </c:numRef>
          </c:val>
          <c:extLst>
            <c:ext xmlns:c16="http://schemas.microsoft.com/office/drawing/2014/chart" uri="{C3380CC4-5D6E-409C-BE32-E72D297353CC}">
              <c16:uniqueId val="{00000000-95D1-4EE6-B241-7A71F579F8DE}"/>
            </c:ext>
          </c:extLst>
        </c:ser>
        <c:ser>
          <c:idx val="4"/>
          <c:order val="4"/>
          <c:tx>
            <c:strRef>
              <c:f>DASHBOARD!$S$12</c:f>
              <c:strCache>
                <c:ptCount val="1"/>
                <c:pt idx="0">
                  <c:v>19/20 FC</c:v>
                </c:pt>
              </c:strCache>
            </c:strRef>
          </c:tx>
          <c:spPr>
            <a:solidFill>
              <a:schemeClr val="tx2">
                <a:lumMod val="60000"/>
                <a:lumOff val="40000"/>
              </a:schemeClr>
            </a:solidFill>
            <a:ln w="0">
              <a:solidFill>
                <a:schemeClr val="tx2">
                  <a:lumMod val="60000"/>
                  <a:lumOff val="40000"/>
                </a:schemeClr>
              </a:solidFill>
            </a:ln>
            <a:effectLst/>
          </c:spPr>
          <c:invertIfNegative val="0"/>
          <c:dLbls>
            <c:numFmt formatCode="_ \ * #,###,\K\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DASHBOARD!$T$12:$W$12</c:f>
              <c:numCache>
                <c:formatCode>_ \ * #,###,\K\ </c:formatCode>
                <c:ptCount val="4"/>
                <c:pt idx="0">
                  <c:v>0</c:v>
                </c:pt>
                <c:pt idx="1">
                  <c:v>0</c:v>
                </c:pt>
                <c:pt idx="2">
                  <c:v>0</c:v>
                </c:pt>
                <c:pt idx="3">
                  <c:v>#N/A</c:v>
                </c:pt>
              </c:numCache>
            </c:numRef>
          </c:val>
          <c:extLst>
            <c:ext xmlns:c16="http://schemas.microsoft.com/office/drawing/2014/chart" uri="{C3380CC4-5D6E-409C-BE32-E72D297353CC}">
              <c16:uniqueId val="{00000001-95D1-4EE6-B241-7A71F579F8DE}"/>
            </c:ext>
          </c:extLst>
        </c:ser>
        <c:dLbls>
          <c:showLegendKey val="0"/>
          <c:showVal val="0"/>
          <c:showCatName val="0"/>
          <c:showSerName val="0"/>
          <c:showPercent val="0"/>
          <c:showBubbleSize val="0"/>
        </c:dLbls>
        <c:gapWidth val="150"/>
        <c:overlap val="-20"/>
        <c:axId val="846263328"/>
        <c:axId val="846260048"/>
      </c:barChart>
      <c:lineChart>
        <c:grouping val="standard"/>
        <c:varyColors val="0"/>
        <c:ser>
          <c:idx val="0"/>
          <c:order val="0"/>
          <c:tx>
            <c:strRef>
              <c:f>DASHBOARD!$S$7</c:f>
              <c:strCache>
                <c:ptCount val="1"/>
                <c:pt idx="0">
                  <c:v>16/17</c:v>
                </c:pt>
              </c:strCache>
            </c:strRef>
          </c:tx>
          <c:spPr>
            <a:ln w="28575" cap="rnd">
              <a:solidFill>
                <a:schemeClr val="bg2">
                  <a:lumMod val="75000"/>
                </a:schemeClr>
              </a:solidFill>
              <a:prstDash val="sysDot"/>
              <a:round/>
            </a:ln>
            <a:effectLst/>
          </c:spPr>
          <c:marker>
            <c:symbol val="none"/>
          </c:marker>
          <c:cat>
            <c:strRef>
              <c:f>DASHBOARD!$T$6:$W$6</c:f>
              <c:strCache>
                <c:ptCount val="4"/>
                <c:pt idx="0">
                  <c:v>Q1</c:v>
                </c:pt>
                <c:pt idx="1">
                  <c:v>Q2</c:v>
                </c:pt>
                <c:pt idx="2">
                  <c:v>Q3</c:v>
                </c:pt>
                <c:pt idx="3">
                  <c:v>Q4</c:v>
                </c:pt>
              </c:strCache>
            </c:strRef>
          </c:cat>
          <c:val>
            <c:numRef>
              <c:f>DASHBOARD!$T$7:$W$7</c:f>
              <c:numCache>
                <c:formatCode>_ \ * #,###,\K\ </c:formatCode>
                <c:ptCount val="4"/>
                <c:pt idx="0">
                  <c:v>2199657.5224000062</c:v>
                </c:pt>
                <c:pt idx="1">
                  <c:v>2149587.121899996</c:v>
                </c:pt>
                <c:pt idx="2">
                  <c:v>1725985.0585999968</c:v>
                </c:pt>
                <c:pt idx="3">
                  <c:v>662713.01190000097</c:v>
                </c:pt>
              </c:numCache>
            </c:numRef>
          </c:val>
          <c:smooth val="0"/>
          <c:extLst>
            <c:ext xmlns:c16="http://schemas.microsoft.com/office/drawing/2014/chart" uri="{C3380CC4-5D6E-409C-BE32-E72D297353CC}">
              <c16:uniqueId val="{00000002-95D1-4EE6-B241-7A71F579F8DE}"/>
            </c:ext>
          </c:extLst>
        </c:ser>
        <c:ser>
          <c:idx val="1"/>
          <c:order val="1"/>
          <c:tx>
            <c:strRef>
              <c:f>DASHBOARD!$S$8</c:f>
              <c:strCache>
                <c:ptCount val="1"/>
                <c:pt idx="0">
                  <c:v>17/18</c:v>
                </c:pt>
              </c:strCache>
            </c:strRef>
          </c:tx>
          <c:spPr>
            <a:ln w="28575" cap="rnd">
              <a:solidFill>
                <a:schemeClr val="bg2">
                  <a:lumMod val="50000"/>
                </a:schemeClr>
              </a:solidFill>
              <a:prstDash val="dash"/>
              <a:round/>
            </a:ln>
            <a:effectLst/>
          </c:spPr>
          <c:marker>
            <c:symbol val="none"/>
          </c:marker>
          <c:cat>
            <c:strRef>
              <c:f>DASHBOARD!$T$6:$W$6</c:f>
              <c:strCache>
                <c:ptCount val="4"/>
                <c:pt idx="0">
                  <c:v>Q1</c:v>
                </c:pt>
                <c:pt idx="1">
                  <c:v>Q2</c:v>
                </c:pt>
                <c:pt idx="2">
                  <c:v>Q3</c:v>
                </c:pt>
                <c:pt idx="3">
                  <c:v>Q4</c:v>
                </c:pt>
              </c:strCache>
            </c:strRef>
          </c:cat>
          <c:val>
            <c:numRef>
              <c:f>DASHBOARD!$T$8:$W$8</c:f>
              <c:numCache>
                <c:formatCode>_ \ * #,###,\K\ </c:formatCode>
                <c:ptCount val="4"/>
                <c:pt idx="0">
                  <c:v>2487947.9758999404</c:v>
                </c:pt>
                <c:pt idx="1">
                  <c:v>2339794.8206999861</c:v>
                </c:pt>
                <c:pt idx="2">
                  <c:v>1814888.1263999969</c:v>
                </c:pt>
                <c:pt idx="3">
                  <c:v>594274.74109999801</c:v>
                </c:pt>
              </c:numCache>
            </c:numRef>
          </c:val>
          <c:smooth val="0"/>
          <c:extLst>
            <c:ext xmlns:c16="http://schemas.microsoft.com/office/drawing/2014/chart" uri="{C3380CC4-5D6E-409C-BE32-E72D297353CC}">
              <c16:uniqueId val="{00000003-95D1-4EE6-B241-7A71F579F8DE}"/>
            </c:ext>
          </c:extLst>
        </c:ser>
        <c:ser>
          <c:idx val="2"/>
          <c:order val="2"/>
          <c:tx>
            <c:strRef>
              <c:f>DASHBOARD!$S$9</c:f>
              <c:strCache>
                <c:ptCount val="1"/>
                <c:pt idx="0">
                  <c:v>18/19</c:v>
                </c:pt>
              </c:strCache>
            </c:strRef>
          </c:tx>
          <c:spPr>
            <a:ln w="28575" cap="rnd">
              <a:solidFill>
                <a:schemeClr val="bg2">
                  <a:lumMod val="25000"/>
                </a:schemeClr>
              </a:solidFill>
              <a:round/>
            </a:ln>
            <a:effectLst/>
          </c:spPr>
          <c:marker>
            <c:symbol val="none"/>
          </c:marker>
          <c:cat>
            <c:strRef>
              <c:f>DASHBOARD!$T$6:$W$6</c:f>
              <c:strCache>
                <c:ptCount val="4"/>
                <c:pt idx="0">
                  <c:v>Q1</c:v>
                </c:pt>
                <c:pt idx="1">
                  <c:v>Q2</c:v>
                </c:pt>
                <c:pt idx="2">
                  <c:v>Q3</c:v>
                </c:pt>
                <c:pt idx="3">
                  <c:v>Q4</c:v>
                </c:pt>
              </c:strCache>
            </c:strRef>
          </c:cat>
          <c:val>
            <c:numRef>
              <c:f>DASHBOARD!$T$9:$W$9</c:f>
              <c:numCache>
                <c:formatCode>_ \ * #,###,\K\ </c:formatCode>
                <c:ptCount val="4"/>
                <c:pt idx="0">
                  <c:v>2664270.1513999794</c:v>
                </c:pt>
                <c:pt idx="1">
                  <c:v>1090145.06729998</c:v>
                </c:pt>
                <c:pt idx="2">
                  <c:v>#N/A</c:v>
                </c:pt>
                <c:pt idx="3">
                  <c:v>#N/A</c:v>
                </c:pt>
              </c:numCache>
            </c:numRef>
          </c:val>
          <c:smooth val="0"/>
          <c:extLst>
            <c:ext xmlns:c16="http://schemas.microsoft.com/office/drawing/2014/chart" uri="{C3380CC4-5D6E-409C-BE32-E72D297353CC}">
              <c16:uniqueId val="{00000004-95D1-4EE6-B241-7A71F579F8DE}"/>
            </c:ext>
          </c:extLst>
        </c:ser>
        <c:dLbls>
          <c:showLegendKey val="0"/>
          <c:showVal val="0"/>
          <c:showCatName val="0"/>
          <c:showSerName val="0"/>
          <c:showPercent val="0"/>
          <c:showBubbleSize val="0"/>
        </c:dLbls>
        <c:marker val="1"/>
        <c:smooth val="0"/>
        <c:axId val="846263328"/>
        <c:axId val="846260048"/>
      </c:lineChart>
      <c:catAx>
        <c:axId val="846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846260048"/>
        <c:crosses val="autoZero"/>
        <c:auto val="1"/>
        <c:lblAlgn val="ctr"/>
        <c:lblOffset val="100"/>
        <c:noMultiLvlLbl val="0"/>
      </c:catAx>
      <c:valAx>
        <c:axId val="846260048"/>
        <c:scaling>
          <c:orientation val="minMax"/>
        </c:scaling>
        <c:delete val="0"/>
        <c:axPos val="l"/>
        <c:numFmt formatCode="_ \ * #,\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84626332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nl-NL" sz="1200" b="1"/>
              <a:t>YoY Growth Quarterly</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barChart>
        <c:barDir val="col"/>
        <c:grouping val="clustered"/>
        <c:varyColors val="0"/>
        <c:ser>
          <c:idx val="3"/>
          <c:order val="0"/>
          <c:tx>
            <c:strRef>
              <c:f>DASHBOARD!$S$14</c:f>
              <c:strCache>
                <c:ptCount val="1"/>
                <c:pt idx="0">
                  <c:v>18/19 FC</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DASHBOARD!$T$6:$W$6</c:f>
              <c:strCache>
                <c:ptCount val="4"/>
                <c:pt idx="0">
                  <c:v>Q1</c:v>
                </c:pt>
                <c:pt idx="1">
                  <c:v>Q2</c:v>
                </c:pt>
                <c:pt idx="2">
                  <c:v>Q3</c:v>
                </c:pt>
                <c:pt idx="3">
                  <c:v>Q4</c:v>
                </c:pt>
              </c:strCache>
            </c:strRef>
          </c:cat>
          <c:val>
            <c:numRef>
              <c:f>DASHBOARD!$T$14:$W$14</c:f>
              <c:numCache>
                <c:formatCode>0%</c:formatCode>
                <c:ptCount val="4"/>
                <c:pt idx="0">
                  <c:v>#N/A</c:v>
                </c:pt>
                <c:pt idx="1">
                  <c:v>#N/A</c:v>
                </c:pt>
                <c:pt idx="2">
                  <c:v>-1</c:v>
                </c:pt>
                <c:pt idx="3">
                  <c:v>-1</c:v>
                </c:pt>
              </c:numCache>
            </c:numRef>
          </c:val>
          <c:extLst>
            <c:ext xmlns:c16="http://schemas.microsoft.com/office/drawing/2014/chart" uri="{C3380CC4-5D6E-409C-BE32-E72D297353CC}">
              <c16:uniqueId val="{00000000-8DF1-4CB2-9161-6F96F73A6BF2}"/>
            </c:ext>
          </c:extLst>
        </c:ser>
        <c:ser>
          <c:idx val="4"/>
          <c:order val="1"/>
          <c:tx>
            <c:strRef>
              <c:f>DASHBOARD!$S$15</c:f>
              <c:strCache>
                <c:ptCount val="1"/>
                <c:pt idx="0">
                  <c:v>19/20 FC</c:v>
                </c:pt>
              </c:strCache>
            </c:strRef>
          </c:tx>
          <c:spPr>
            <a:solidFill>
              <a:schemeClr val="tx2">
                <a:lumMod val="60000"/>
                <a:lumOff val="40000"/>
              </a:schemeClr>
            </a:solidFill>
            <a:ln>
              <a:solidFill>
                <a:schemeClr val="tx2">
                  <a:lumMod val="60000"/>
                  <a:lumOff val="4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DASHBOARD!$T$6:$W$6</c:f>
              <c:strCache>
                <c:ptCount val="4"/>
                <c:pt idx="0">
                  <c:v>Q1</c:v>
                </c:pt>
                <c:pt idx="1">
                  <c:v>Q2</c:v>
                </c:pt>
                <c:pt idx="2">
                  <c:v>Q3</c:v>
                </c:pt>
                <c:pt idx="3">
                  <c:v>Q4</c:v>
                </c:pt>
              </c:strCache>
            </c:strRef>
          </c:cat>
          <c:val>
            <c:numRef>
              <c:f>DASHBOARD!$T$15:$W$15</c:f>
              <c:numCache>
                <c:formatCode>0%</c:formatCode>
                <c:ptCount val="4"/>
                <c:pt idx="0">
                  <c:v>-1</c:v>
                </c:pt>
                <c:pt idx="1">
                  <c:v>-1</c:v>
                </c:pt>
                <c:pt idx="2">
                  <c:v>0</c:v>
                </c:pt>
                <c:pt idx="3">
                  <c:v>#N/A</c:v>
                </c:pt>
              </c:numCache>
            </c:numRef>
          </c:val>
          <c:extLst>
            <c:ext xmlns:c16="http://schemas.microsoft.com/office/drawing/2014/chart" uri="{C3380CC4-5D6E-409C-BE32-E72D297353CC}">
              <c16:uniqueId val="{00000001-8DF1-4CB2-9161-6F96F73A6BF2}"/>
            </c:ext>
          </c:extLst>
        </c:ser>
        <c:ser>
          <c:idx val="0"/>
          <c:order val="2"/>
          <c:tx>
            <c:strRef>
              <c:f>DASHBOARD!$S$13</c:f>
              <c:strCache>
                <c:ptCount val="1"/>
                <c:pt idx="0">
                  <c:v>ACT GROWTH</c:v>
                </c:pt>
              </c:strCache>
            </c:strRef>
          </c:tx>
          <c:spPr>
            <a:solidFill>
              <a:schemeClr val="bg2">
                <a:lumMod val="2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DASHBOARD!$T$6:$W$6</c:f>
              <c:strCache>
                <c:ptCount val="4"/>
                <c:pt idx="0">
                  <c:v>Q1</c:v>
                </c:pt>
                <c:pt idx="1">
                  <c:v>Q2</c:v>
                </c:pt>
                <c:pt idx="2">
                  <c:v>Q3</c:v>
                </c:pt>
                <c:pt idx="3">
                  <c:v>Q4</c:v>
                </c:pt>
              </c:strCache>
            </c:strRef>
          </c:cat>
          <c:val>
            <c:numRef>
              <c:f>DASHBOARD!$T$13:$W$13</c:f>
              <c:numCache>
                <c:formatCode>0%</c:formatCode>
                <c:ptCount val="4"/>
                <c:pt idx="0">
                  <c:v>7.0870523502911897E-2</c:v>
                </c:pt>
                <c:pt idx="1">
                  <c:v>-0.53408518659176873</c:v>
                </c:pt>
                <c:pt idx="2">
                  <c:v>#N/A</c:v>
                </c:pt>
                <c:pt idx="3">
                  <c:v>#N/A</c:v>
                </c:pt>
              </c:numCache>
            </c:numRef>
          </c:val>
          <c:extLst>
            <c:ext xmlns:c16="http://schemas.microsoft.com/office/drawing/2014/chart" uri="{C3380CC4-5D6E-409C-BE32-E72D297353CC}">
              <c16:uniqueId val="{00000002-8DF1-4CB2-9161-6F96F73A6BF2}"/>
            </c:ext>
          </c:extLst>
        </c:ser>
        <c:dLbls>
          <c:dLblPos val="outEnd"/>
          <c:showLegendKey val="0"/>
          <c:showVal val="1"/>
          <c:showCatName val="0"/>
          <c:showSerName val="0"/>
          <c:showPercent val="0"/>
          <c:showBubbleSize val="0"/>
        </c:dLbls>
        <c:gapWidth val="150"/>
        <c:overlap val="-20"/>
        <c:axId val="846263328"/>
        <c:axId val="846260048"/>
      </c:barChart>
      <c:catAx>
        <c:axId val="846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846260048"/>
        <c:crosses val="autoZero"/>
        <c:auto val="1"/>
        <c:lblAlgn val="ctr"/>
        <c:lblOffset val="100"/>
        <c:noMultiLvlLbl val="0"/>
      </c:catAx>
      <c:valAx>
        <c:axId val="846260048"/>
        <c:scaling>
          <c:orientation val="minMax"/>
          <c:max val="1"/>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846263328"/>
        <c:crosses val="autoZero"/>
        <c:crossBetween val="between"/>
      </c:valAx>
      <c:spPr>
        <a:noFill/>
        <a:ln>
          <a:noFill/>
        </a:ln>
        <a:effectLst/>
      </c:spPr>
    </c:plotArea>
    <c:legend>
      <c:legendPos val="t"/>
      <c:layout>
        <c:manualLayout>
          <c:xMode val="edge"/>
          <c:yMode val="edge"/>
          <c:x val="0.27367433721947548"/>
          <c:y val="0.17099999999999996"/>
          <c:w val="0.45265132556104903"/>
          <c:h val="0.112500787401574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nl-NL" sz="1200" b="1"/>
              <a:t>Discount</a:t>
            </a:r>
            <a:r>
              <a:rPr lang="nl-NL" sz="1200" b="1" baseline="0"/>
              <a:t> Quarterly</a:t>
            </a:r>
            <a:endParaRPr lang="nl-NL" sz="1200" b="1"/>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barChart>
        <c:barDir val="col"/>
        <c:grouping val="clustered"/>
        <c:varyColors val="0"/>
        <c:ser>
          <c:idx val="3"/>
          <c:order val="3"/>
          <c:tx>
            <c:strRef>
              <c:f>DASHBOARD!$S$38</c:f>
              <c:strCache>
                <c:ptCount val="1"/>
                <c:pt idx="0">
                  <c:v>18/19 FC</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DASHBOARD!$T$38:$W$38</c:f>
              <c:numCache>
                <c:formatCode>0%</c:formatCode>
                <c:ptCount val="4"/>
                <c:pt idx="0">
                  <c:v>#N/A</c:v>
                </c:pt>
                <c:pt idx="1">
                  <c:v>#N/A</c:v>
                </c:pt>
                <c:pt idx="2">
                  <c:v>0</c:v>
                </c:pt>
                <c:pt idx="3">
                  <c:v>0</c:v>
                </c:pt>
              </c:numCache>
            </c:numRef>
          </c:val>
          <c:extLst>
            <c:ext xmlns:c16="http://schemas.microsoft.com/office/drawing/2014/chart" uri="{C3380CC4-5D6E-409C-BE32-E72D297353CC}">
              <c16:uniqueId val="{00000000-A625-4786-A1D9-57CFF07DAAB7}"/>
            </c:ext>
          </c:extLst>
        </c:ser>
        <c:ser>
          <c:idx val="4"/>
          <c:order val="4"/>
          <c:tx>
            <c:strRef>
              <c:f>DASHBOARD!$S$39</c:f>
              <c:strCache>
                <c:ptCount val="1"/>
                <c:pt idx="0">
                  <c:v>19/20 FC</c:v>
                </c:pt>
              </c:strCache>
            </c:strRef>
          </c:tx>
          <c:spPr>
            <a:solidFill>
              <a:schemeClr val="tx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DASHBOARD!$T$39:$W$39</c:f>
              <c:numCache>
                <c:formatCode>0%</c:formatCode>
                <c:ptCount val="4"/>
                <c:pt idx="0">
                  <c:v>0</c:v>
                </c:pt>
                <c:pt idx="1">
                  <c:v>0</c:v>
                </c:pt>
                <c:pt idx="2">
                  <c:v>0</c:v>
                </c:pt>
                <c:pt idx="3">
                  <c:v>#N/A</c:v>
                </c:pt>
              </c:numCache>
            </c:numRef>
          </c:val>
          <c:extLst>
            <c:ext xmlns:c16="http://schemas.microsoft.com/office/drawing/2014/chart" uri="{C3380CC4-5D6E-409C-BE32-E72D297353CC}">
              <c16:uniqueId val="{00000001-A625-4786-A1D9-57CFF07DAAB7}"/>
            </c:ext>
          </c:extLst>
        </c:ser>
        <c:dLbls>
          <c:dLblPos val="outEnd"/>
          <c:showLegendKey val="0"/>
          <c:showVal val="1"/>
          <c:showCatName val="0"/>
          <c:showSerName val="0"/>
          <c:showPercent val="0"/>
          <c:showBubbleSize val="0"/>
        </c:dLbls>
        <c:gapWidth val="150"/>
        <c:overlap val="-20"/>
        <c:axId val="846263328"/>
        <c:axId val="846260048"/>
      </c:barChart>
      <c:lineChart>
        <c:grouping val="standard"/>
        <c:varyColors val="0"/>
        <c:ser>
          <c:idx val="0"/>
          <c:order val="0"/>
          <c:tx>
            <c:strRef>
              <c:f>DASHBOARD!$S$34</c:f>
              <c:strCache>
                <c:ptCount val="1"/>
                <c:pt idx="0">
                  <c:v>16/17</c:v>
                </c:pt>
              </c:strCache>
            </c:strRef>
          </c:tx>
          <c:spPr>
            <a:ln w="28575" cap="rnd">
              <a:solidFill>
                <a:schemeClr val="bg2">
                  <a:lumMod val="75000"/>
                </a:schemeClr>
              </a:solidFill>
              <a:prstDash val="sysDot"/>
              <a:round/>
            </a:ln>
            <a:effectLst/>
          </c:spPr>
          <c:marker>
            <c:symbol val="none"/>
          </c:marker>
          <c:dLbls>
            <c:delete val="1"/>
          </c:dLbls>
          <c:cat>
            <c:strRef>
              <c:f>DASHBOARD!$T$33:$W$33</c:f>
              <c:strCache>
                <c:ptCount val="4"/>
                <c:pt idx="0">
                  <c:v>Q1</c:v>
                </c:pt>
                <c:pt idx="1">
                  <c:v>Q2</c:v>
                </c:pt>
                <c:pt idx="2">
                  <c:v>Q3</c:v>
                </c:pt>
                <c:pt idx="3">
                  <c:v>Q4</c:v>
                </c:pt>
              </c:strCache>
            </c:strRef>
          </c:cat>
          <c:val>
            <c:numRef>
              <c:f>DASHBOARD!$T$34:$W$34</c:f>
              <c:numCache>
                <c:formatCode>General</c:formatCode>
                <c:ptCount val="4"/>
                <c:pt idx="0">
                  <c:v>4.734134831465614E-2</c:v>
                </c:pt>
                <c:pt idx="1">
                  <c:v>0.10914795543120846</c:v>
                </c:pt>
                <c:pt idx="2">
                  <c:v>9.5232524672861016E-2</c:v>
                </c:pt>
                <c:pt idx="3">
                  <c:v>0.13517945994359842</c:v>
                </c:pt>
              </c:numCache>
            </c:numRef>
          </c:val>
          <c:smooth val="0"/>
          <c:extLst>
            <c:ext xmlns:c16="http://schemas.microsoft.com/office/drawing/2014/chart" uri="{C3380CC4-5D6E-409C-BE32-E72D297353CC}">
              <c16:uniqueId val="{00000002-A625-4786-A1D9-57CFF07DAAB7}"/>
            </c:ext>
          </c:extLst>
        </c:ser>
        <c:ser>
          <c:idx val="1"/>
          <c:order val="1"/>
          <c:tx>
            <c:strRef>
              <c:f>DASHBOARD!$S$35</c:f>
              <c:strCache>
                <c:ptCount val="1"/>
                <c:pt idx="0">
                  <c:v>17/18</c:v>
                </c:pt>
              </c:strCache>
            </c:strRef>
          </c:tx>
          <c:spPr>
            <a:ln w="28575" cap="rnd">
              <a:solidFill>
                <a:schemeClr val="bg2">
                  <a:lumMod val="50000"/>
                </a:schemeClr>
              </a:solidFill>
              <a:prstDash val="dash"/>
              <a:round/>
            </a:ln>
            <a:effectLst/>
          </c:spPr>
          <c:marker>
            <c:symbol val="none"/>
          </c:marker>
          <c:dLbls>
            <c:delete val="1"/>
          </c:dLbls>
          <c:cat>
            <c:strRef>
              <c:f>DASHBOARD!$T$33:$W$33</c:f>
              <c:strCache>
                <c:ptCount val="4"/>
                <c:pt idx="0">
                  <c:v>Q1</c:v>
                </c:pt>
                <c:pt idx="1">
                  <c:v>Q2</c:v>
                </c:pt>
                <c:pt idx="2">
                  <c:v>Q3</c:v>
                </c:pt>
                <c:pt idx="3">
                  <c:v>Q4</c:v>
                </c:pt>
              </c:strCache>
            </c:strRef>
          </c:cat>
          <c:val>
            <c:numRef>
              <c:f>DASHBOARD!$T$35:$W$35</c:f>
              <c:numCache>
                <c:formatCode>General</c:formatCode>
                <c:ptCount val="4"/>
                <c:pt idx="0">
                  <c:v>3.9161337233355964E-2</c:v>
                </c:pt>
                <c:pt idx="1">
                  <c:v>9.115077159947732E-2</c:v>
                </c:pt>
                <c:pt idx="2">
                  <c:v>9.1266488255171863E-2</c:v>
                </c:pt>
                <c:pt idx="3">
                  <c:v>0.19354173648707562</c:v>
                </c:pt>
              </c:numCache>
            </c:numRef>
          </c:val>
          <c:smooth val="0"/>
          <c:extLst>
            <c:ext xmlns:c16="http://schemas.microsoft.com/office/drawing/2014/chart" uri="{C3380CC4-5D6E-409C-BE32-E72D297353CC}">
              <c16:uniqueId val="{00000003-A625-4786-A1D9-57CFF07DAAB7}"/>
            </c:ext>
          </c:extLst>
        </c:ser>
        <c:ser>
          <c:idx val="2"/>
          <c:order val="2"/>
          <c:tx>
            <c:strRef>
              <c:f>DASHBOARD!$S$36</c:f>
              <c:strCache>
                <c:ptCount val="1"/>
                <c:pt idx="0">
                  <c:v>18/19</c:v>
                </c:pt>
              </c:strCache>
            </c:strRef>
          </c:tx>
          <c:spPr>
            <a:ln w="28575" cap="rnd">
              <a:solidFill>
                <a:schemeClr val="bg2">
                  <a:lumMod val="25000"/>
                </a:schemeClr>
              </a:solidFill>
              <a:prstDash val="solid"/>
              <a:round/>
            </a:ln>
            <a:effectLst/>
          </c:spPr>
          <c:marker>
            <c:symbol val="none"/>
          </c:marker>
          <c:dLbls>
            <c:delete val="1"/>
          </c:dLbls>
          <c:cat>
            <c:strRef>
              <c:f>DASHBOARD!$T$33:$W$33</c:f>
              <c:strCache>
                <c:ptCount val="4"/>
                <c:pt idx="0">
                  <c:v>Q1</c:v>
                </c:pt>
                <c:pt idx="1">
                  <c:v>Q2</c:v>
                </c:pt>
                <c:pt idx="2">
                  <c:v>Q3</c:v>
                </c:pt>
                <c:pt idx="3">
                  <c:v>Q4</c:v>
                </c:pt>
              </c:strCache>
            </c:strRef>
          </c:cat>
          <c:val>
            <c:numRef>
              <c:f>DASHBOARD!$T$36:$W$36</c:f>
              <c:numCache>
                <c:formatCode>0%</c:formatCode>
                <c:ptCount val="4"/>
                <c:pt idx="0">
                  <c:v>5.6426535257501673E-2</c:v>
                </c:pt>
                <c:pt idx="1">
                  <c:v>8.0106717167663433E-2</c:v>
                </c:pt>
                <c:pt idx="2">
                  <c:v>#N/A</c:v>
                </c:pt>
                <c:pt idx="3">
                  <c:v>#N/A</c:v>
                </c:pt>
              </c:numCache>
            </c:numRef>
          </c:val>
          <c:smooth val="0"/>
          <c:extLst>
            <c:ext xmlns:c16="http://schemas.microsoft.com/office/drawing/2014/chart" uri="{C3380CC4-5D6E-409C-BE32-E72D297353CC}">
              <c16:uniqueId val="{00000004-A625-4786-A1D9-57CFF07DAAB7}"/>
            </c:ext>
          </c:extLst>
        </c:ser>
        <c:dLbls>
          <c:showLegendKey val="0"/>
          <c:showVal val="1"/>
          <c:showCatName val="0"/>
          <c:showSerName val="0"/>
          <c:showPercent val="0"/>
          <c:showBubbleSize val="0"/>
        </c:dLbls>
        <c:marker val="1"/>
        <c:smooth val="0"/>
        <c:axId val="846263328"/>
        <c:axId val="846260048"/>
      </c:lineChart>
      <c:catAx>
        <c:axId val="84626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846260048"/>
        <c:crosses val="autoZero"/>
        <c:auto val="1"/>
        <c:lblAlgn val="ctr"/>
        <c:lblOffset val="100"/>
        <c:noMultiLvlLbl val="0"/>
      </c:catAx>
      <c:valAx>
        <c:axId val="84626004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84626332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nl-NL" sz="1200" b="1"/>
              <a:t>NOOS% Quarterly</a:t>
            </a:r>
          </a:p>
        </c:rich>
      </c:tx>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barChart>
        <c:barDir val="col"/>
        <c:grouping val="clustered"/>
        <c:varyColors val="0"/>
        <c:ser>
          <c:idx val="3"/>
          <c:order val="3"/>
          <c:tx>
            <c:strRef>
              <c:f>DASHBOARD!$S$57</c:f>
              <c:strCache>
                <c:ptCount val="1"/>
                <c:pt idx="0">
                  <c:v>18/19 FC</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DASHBOARD!$T$52:$W$52</c:f>
              <c:strCache>
                <c:ptCount val="4"/>
                <c:pt idx="0">
                  <c:v>Q1</c:v>
                </c:pt>
                <c:pt idx="1">
                  <c:v>Q2</c:v>
                </c:pt>
                <c:pt idx="2">
                  <c:v>Q3</c:v>
                </c:pt>
                <c:pt idx="3">
                  <c:v>Q4</c:v>
                </c:pt>
              </c:strCache>
            </c:strRef>
          </c:cat>
          <c:val>
            <c:numRef>
              <c:f>DASHBOARD!$T$57:$W$57</c:f>
              <c:numCache>
                <c:formatCode>0%</c:formatCode>
                <c:ptCount val="4"/>
                <c:pt idx="0">
                  <c:v>#N/A</c:v>
                </c:pt>
                <c:pt idx="1">
                  <c:v>#N/A</c:v>
                </c:pt>
                <c:pt idx="2">
                  <c:v>#N/A</c:v>
                </c:pt>
                <c:pt idx="3">
                  <c:v>#N/A</c:v>
                </c:pt>
              </c:numCache>
            </c:numRef>
          </c:val>
          <c:extLst>
            <c:ext xmlns:c16="http://schemas.microsoft.com/office/drawing/2014/chart" uri="{C3380CC4-5D6E-409C-BE32-E72D297353CC}">
              <c16:uniqueId val="{00000003-6D99-4919-945E-DE7C79714EA9}"/>
            </c:ext>
          </c:extLst>
        </c:ser>
        <c:ser>
          <c:idx val="4"/>
          <c:order val="4"/>
          <c:tx>
            <c:strRef>
              <c:f>DASHBOARD!$S$58</c:f>
              <c:strCache>
                <c:ptCount val="1"/>
                <c:pt idx="0">
                  <c:v>19/20 FC</c:v>
                </c:pt>
              </c:strCache>
            </c:strRef>
          </c:tx>
          <c:spPr>
            <a:solidFill>
              <a:schemeClr val="tx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nl-N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DASHBOARD!$T$52:$W$52</c:f>
              <c:strCache>
                <c:ptCount val="4"/>
                <c:pt idx="0">
                  <c:v>Q1</c:v>
                </c:pt>
                <c:pt idx="1">
                  <c:v>Q2</c:v>
                </c:pt>
                <c:pt idx="2">
                  <c:v>Q3</c:v>
                </c:pt>
                <c:pt idx="3">
                  <c:v>Q4</c:v>
                </c:pt>
              </c:strCache>
            </c:strRef>
          </c:cat>
          <c:val>
            <c:numRef>
              <c:f>DASHBOARD!$T$58:$W$58</c:f>
              <c:numCache>
                <c:formatCode>0%</c:formatCode>
                <c:ptCount val="4"/>
                <c:pt idx="0">
                  <c:v>#N/A</c:v>
                </c:pt>
                <c:pt idx="1">
                  <c:v>#N/A</c:v>
                </c:pt>
                <c:pt idx="2">
                  <c:v>#N/A</c:v>
                </c:pt>
                <c:pt idx="3">
                  <c:v>#N/A</c:v>
                </c:pt>
              </c:numCache>
            </c:numRef>
          </c:val>
          <c:extLst>
            <c:ext xmlns:c16="http://schemas.microsoft.com/office/drawing/2014/chart" uri="{C3380CC4-5D6E-409C-BE32-E72D297353CC}">
              <c16:uniqueId val="{00000004-6D99-4919-945E-DE7C79714EA9}"/>
            </c:ext>
          </c:extLst>
        </c:ser>
        <c:dLbls>
          <c:dLblPos val="outEnd"/>
          <c:showLegendKey val="0"/>
          <c:showVal val="1"/>
          <c:showCatName val="0"/>
          <c:showSerName val="0"/>
          <c:showPercent val="0"/>
          <c:showBubbleSize val="0"/>
        </c:dLbls>
        <c:gapWidth val="219"/>
        <c:axId val="989848704"/>
        <c:axId val="989843784"/>
      </c:barChart>
      <c:lineChart>
        <c:grouping val="standard"/>
        <c:varyColors val="0"/>
        <c:ser>
          <c:idx val="0"/>
          <c:order val="0"/>
          <c:tx>
            <c:strRef>
              <c:f>DASHBOARD!$S$53</c:f>
              <c:strCache>
                <c:ptCount val="1"/>
                <c:pt idx="0">
                  <c:v>16/17</c:v>
                </c:pt>
              </c:strCache>
            </c:strRef>
          </c:tx>
          <c:spPr>
            <a:ln w="28575" cap="rnd">
              <a:solidFill>
                <a:schemeClr val="bg2">
                  <a:lumMod val="75000"/>
                </a:schemeClr>
              </a:solidFill>
              <a:prstDash val="sysDot"/>
              <a:round/>
            </a:ln>
            <a:effectLst/>
          </c:spPr>
          <c:marker>
            <c:symbol val="none"/>
          </c:marker>
          <c:dLbls>
            <c:delete val="1"/>
          </c:dLbls>
          <c:cat>
            <c:strRef>
              <c:f>DASHBOARD!$T$52:$W$52</c:f>
              <c:strCache>
                <c:ptCount val="4"/>
                <c:pt idx="0">
                  <c:v>Q1</c:v>
                </c:pt>
                <c:pt idx="1">
                  <c:v>Q2</c:v>
                </c:pt>
                <c:pt idx="2">
                  <c:v>Q3</c:v>
                </c:pt>
                <c:pt idx="3">
                  <c:v>Q4</c:v>
                </c:pt>
              </c:strCache>
            </c:strRef>
          </c:cat>
          <c:val>
            <c:numRef>
              <c:f>DASHBOARD!$T$53:$W$53</c:f>
              <c:numCache>
                <c:formatCode>0%</c:formatCode>
                <c:ptCount val="4"/>
                <c:pt idx="0">
                  <c:v>7.2591889134531698E-2</c:v>
                </c:pt>
                <c:pt idx="1">
                  <c:v>4.3486024803394301E-2</c:v>
                </c:pt>
                <c:pt idx="2">
                  <c:v>0.12768318138209001</c:v>
                </c:pt>
                <c:pt idx="3">
                  <c:v>0.167181588425969</c:v>
                </c:pt>
              </c:numCache>
            </c:numRef>
          </c:val>
          <c:smooth val="0"/>
          <c:extLst>
            <c:ext xmlns:c16="http://schemas.microsoft.com/office/drawing/2014/chart" uri="{C3380CC4-5D6E-409C-BE32-E72D297353CC}">
              <c16:uniqueId val="{00000000-6D99-4919-945E-DE7C79714EA9}"/>
            </c:ext>
          </c:extLst>
        </c:ser>
        <c:ser>
          <c:idx val="1"/>
          <c:order val="1"/>
          <c:tx>
            <c:strRef>
              <c:f>DASHBOARD!$S$54</c:f>
              <c:strCache>
                <c:ptCount val="1"/>
                <c:pt idx="0">
                  <c:v>17/18</c:v>
                </c:pt>
              </c:strCache>
            </c:strRef>
          </c:tx>
          <c:spPr>
            <a:ln w="28575" cap="rnd">
              <a:solidFill>
                <a:schemeClr val="bg2">
                  <a:lumMod val="50000"/>
                </a:schemeClr>
              </a:solidFill>
              <a:prstDash val="dash"/>
              <a:round/>
            </a:ln>
            <a:effectLst/>
          </c:spPr>
          <c:marker>
            <c:symbol val="none"/>
          </c:marker>
          <c:dLbls>
            <c:delete val="1"/>
          </c:dLbls>
          <c:cat>
            <c:strRef>
              <c:f>DASHBOARD!$T$52:$W$52</c:f>
              <c:strCache>
                <c:ptCount val="4"/>
                <c:pt idx="0">
                  <c:v>Q1</c:v>
                </c:pt>
                <c:pt idx="1">
                  <c:v>Q2</c:v>
                </c:pt>
                <c:pt idx="2">
                  <c:v>Q3</c:v>
                </c:pt>
                <c:pt idx="3">
                  <c:v>Q4</c:v>
                </c:pt>
              </c:strCache>
            </c:strRef>
          </c:cat>
          <c:val>
            <c:numRef>
              <c:f>DASHBOARD!$T$54:$W$54</c:f>
              <c:numCache>
                <c:formatCode>0%</c:formatCode>
                <c:ptCount val="4"/>
                <c:pt idx="0">
                  <c:v>7.4224236555108195E-2</c:v>
                </c:pt>
                <c:pt idx="1">
                  <c:v>5.8777758751879197E-2</c:v>
                </c:pt>
                <c:pt idx="2">
                  <c:v>0.17762906314201601</c:v>
                </c:pt>
                <c:pt idx="3">
                  <c:v>0.23264279320385403</c:v>
                </c:pt>
              </c:numCache>
            </c:numRef>
          </c:val>
          <c:smooth val="0"/>
          <c:extLst>
            <c:ext xmlns:c16="http://schemas.microsoft.com/office/drawing/2014/chart" uri="{C3380CC4-5D6E-409C-BE32-E72D297353CC}">
              <c16:uniqueId val="{00000001-6D99-4919-945E-DE7C79714EA9}"/>
            </c:ext>
          </c:extLst>
        </c:ser>
        <c:ser>
          <c:idx val="2"/>
          <c:order val="2"/>
          <c:tx>
            <c:strRef>
              <c:f>DASHBOARD!$S$55</c:f>
              <c:strCache>
                <c:ptCount val="1"/>
                <c:pt idx="0">
                  <c:v>18/19</c:v>
                </c:pt>
              </c:strCache>
            </c:strRef>
          </c:tx>
          <c:spPr>
            <a:ln w="28575" cap="rnd">
              <a:solidFill>
                <a:schemeClr val="bg2">
                  <a:lumMod val="25000"/>
                </a:schemeClr>
              </a:solidFill>
              <a:round/>
            </a:ln>
            <a:effectLst/>
          </c:spPr>
          <c:marker>
            <c:symbol val="none"/>
          </c:marker>
          <c:dLbls>
            <c:delete val="1"/>
          </c:dLbls>
          <c:cat>
            <c:strRef>
              <c:f>DASHBOARD!$T$52:$W$52</c:f>
              <c:strCache>
                <c:ptCount val="4"/>
                <c:pt idx="0">
                  <c:v>Q1</c:v>
                </c:pt>
                <c:pt idx="1">
                  <c:v>Q2</c:v>
                </c:pt>
                <c:pt idx="2">
                  <c:v>Q3</c:v>
                </c:pt>
                <c:pt idx="3">
                  <c:v>Q4</c:v>
                </c:pt>
              </c:strCache>
            </c:strRef>
          </c:cat>
          <c:val>
            <c:numRef>
              <c:f>DASHBOARD!$T$55:$W$55</c:f>
              <c:numCache>
                <c:formatCode>0%</c:formatCode>
                <c:ptCount val="4"/>
                <c:pt idx="0">
                  <c:v>0.25777434485730399</c:v>
                </c:pt>
                <c:pt idx="1">
                  <c:v>0.27400879420555402</c:v>
                </c:pt>
                <c:pt idx="2">
                  <c:v>#N/A</c:v>
                </c:pt>
                <c:pt idx="3">
                  <c:v>#N/A</c:v>
                </c:pt>
              </c:numCache>
            </c:numRef>
          </c:val>
          <c:smooth val="0"/>
          <c:extLst>
            <c:ext xmlns:c16="http://schemas.microsoft.com/office/drawing/2014/chart" uri="{C3380CC4-5D6E-409C-BE32-E72D297353CC}">
              <c16:uniqueId val="{00000002-6D99-4919-945E-DE7C79714EA9}"/>
            </c:ext>
          </c:extLst>
        </c:ser>
        <c:dLbls>
          <c:showLegendKey val="0"/>
          <c:showVal val="1"/>
          <c:showCatName val="0"/>
          <c:showSerName val="0"/>
          <c:showPercent val="0"/>
          <c:showBubbleSize val="0"/>
        </c:dLbls>
        <c:marker val="1"/>
        <c:smooth val="0"/>
        <c:axId val="989848704"/>
        <c:axId val="989843784"/>
      </c:lineChart>
      <c:catAx>
        <c:axId val="989848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989843784"/>
        <c:crosses val="autoZero"/>
        <c:auto val="1"/>
        <c:lblAlgn val="ctr"/>
        <c:lblOffset val="100"/>
        <c:noMultiLvlLbl val="0"/>
      </c:catAx>
      <c:valAx>
        <c:axId val="989843784"/>
        <c:scaling>
          <c:orientation val="minMax"/>
          <c:max val="1"/>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98984870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nl-NL" sz="1800"/>
              <a:t>FORWARD NET WEEK</a:t>
            </a:r>
            <a:r>
              <a:rPr lang="nl-NL" sz="1800" baseline="0"/>
              <a:t> COVER</a:t>
            </a:r>
            <a:endParaRPr lang="nl-NL" sz="1800"/>
          </a:p>
        </c:rich>
      </c:tx>
      <c:layout>
        <c:manualLayout>
          <c:xMode val="edge"/>
          <c:yMode val="edge"/>
          <c:x val="0.26308567490164236"/>
          <c:y val="2.7860698700254531E-2"/>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lineChart>
        <c:grouping val="standard"/>
        <c:varyColors val="0"/>
        <c:ser>
          <c:idx val="0"/>
          <c:order val="0"/>
          <c:tx>
            <c:strRef>
              <c:f>HIS_STOCK!$P$70</c:f>
              <c:strCache>
                <c:ptCount val="1"/>
                <c:pt idx="0">
                  <c:v>16/17</c:v>
                </c:pt>
              </c:strCache>
            </c:strRef>
          </c:tx>
          <c:spPr>
            <a:ln w="28575" cap="rnd">
              <a:solidFill>
                <a:schemeClr val="bg1">
                  <a:lumMod val="75000"/>
                </a:schemeClr>
              </a:solidFill>
              <a:prstDash val="sysDot"/>
              <a:round/>
            </a:ln>
            <a:effectLst/>
          </c:spPr>
          <c:marker>
            <c:symbol val="none"/>
          </c:marker>
          <c:cat>
            <c:strRef>
              <c:f>HIS_STOCK!$K$71:$K$82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HIS_STOCK!$P$71:$P$82</c:f>
              <c:numCache>
                <c:formatCode>_ * #,##0.0_ ;_ * \-#,##0.0_ ;_ * "-"??_ ;_ @_ </c:formatCode>
                <c:ptCount val="12"/>
                <c:pt idx="0">
                  <c:v>24.818781699938199</c:v>
                </c:pt>
                <c:pt idx="1">
                  <c:v>21.818816492286501</c:v>
                </c:pt>
                <c:pt idx="2">
                  <c:v>17.927960918261</c:v>
                </c:pt>
                <c:pt idx="3">
                  <c:v>14.8430321171092</c:v>
                </c:pt>
                <c:pt idx="4">
                  <c:v>14.1661957962051</c:v>
                </c:pt>
                <c:pt idx="5">
                  <c:v>10.2701940649878</c:v>
                </c:pt>
                <c:pt idx="6">
                  <c:v>6.4617924982877097</c:v>
                </c:pt>
                <c:pt idx="7">
                  <c:v>5.2446094712952096</c:v>
                </c:pt>
                <c:pt idx="8">
                  <c:v>8.9503423334138894</c:v>
                </c:pt>
                <c:pt idx="9">
                  <c:v>9.8376637199982806</c:v>
                </c:pt>
                <c:pt idx="10">
                  <c:v>6.3957666249668703</c:v>
                </c:pt>
                <c:pt idx="11">
                  <c:v>4.9785128552040501</c:v>
                </c:pt>
              </c:numCache>
            </c:numRef>
          </c:val>
          <c:smooth val="0"/>
          <c:extLst>
            <c:ext xmlns:c16="http://schemas.microsoft.com/office/drawing/2014/chart" uri="{C3380CC4-5D6E-409C-BE32-E72D297353CC}">
              <c16:uniqueId val="{00000000-80A3-412F-AD86-671DEAB3044B}"/>
            </c:ext>
          </c:extLst>
        </c:ser>
        <c:ser>
          <c:idx val="1"/>
          <c:order val="1"/>
          <c:tx>
            <c:strRef>
              <c:f>HIS_STOCK!$Q$70</c:f>
              <c:strCache>
                <c:ptCount val="1"/>
                <c:pt idx="0">
                  <c:v>17/18</c:v>
                </c:pt>
              </c:strCache>
            </c:strRef>
          </c:tx>
          <c:spPr>
            <a:ln w="28575" cap="rnd">
              <a:solidFill>
                <a:schemeClr val="bg1">
                  <a:lumMod val="75000"/>
                </a:schemeClr>
              </a:solidFill>
              <a:prstDash val="dash"/>
              <a:round/>
            </a:ln>
            <a:effectLst/>
          </c:spPr>
          <c:marker>
            <c:symbol val="none"/>
          </c:marker>
          <c:cat>
            <c:strRef>
              <c:f>HIS_STOCK!$K$71:$K$82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HIS_STOCK!$Q$71:$Q$82</c:f>
              <c:numCache>
                <c:formatCode>_ * #,##0.0_ ;_ * \-#,##0.0_ ;_ * "-"??_ ;_ @_ </c:formatCode>
                <c:ptCount val="12"/>
                <c:pt idx="0">
                  <c:v>4.76148018499181</c:v>
                </c:pt>
                <c:pt idx="1">
                  <c:v>11.201183395987801</c:v>
                </c:pt>
                <c:pt idx="2">
                  <c:v>10.099095427011401</c:v>
                </c:pt>
                <c:pt idx="3">
                  <c:v>9.1184272507823998</c:v>
                </c:pt>
                <c:pt idx="4">
                  <c:v>7.5861858629080796</c:v>
                </c:pt>
                <c:pt idx="5">
                  <c:v>5.4311729467951597</c:v>
                </c:pt>
                <c:pt idx="6">
                  <c:v>3.8252243143086502</c:v>
                </c:pt>
                <c:pt idx="7">
                  <c:v>2.91540330995366</c:v>
                </c:pt>
                <c:pt idx="8">
                  <c:v>14.493503717992601</c:v>
                </c:pt>
                <c:pt idx="9">
                  <c:v>12.6404710988177</c:v>
                </c:pt>
                <c:pt idx="10">
                  <c:v>9.3647749590697593</c:v>
                </c:pt>
                <c:pt idx="11">
                  <c:v>7.0946010443053398</c:v>
                </c:pt>
              </c:numCache>
            </c:numRef>
          </c:val>
          <c:smooth val="0"/>
          <c:extLst>
            <c:ext xmlns:c16="http://schemas.microsoft.com/office/drawing/2014/chart" uri="{C3380CC4-5D6E-409C-BE32-E72D297353CC}">
              <c16:uniqueId val="{00000001-80A3-412F-AD86-671DEAB3044B}"/>
            </c:ext>
          </c:extLst>
        </c:ser>
        <c:ser>
          <c:idx val="2"/>
          <c:order val="2"/>
          <c:tx>
            <c:strRef>
              <c:f>HIS_STOCK!$R$70</c:f>
              <c:strCache>
                <c:ptCount val="1"/>
                <c:pt idx="0">
                  <c:v>18/19</c:v>
                </c:pt>
              </c:strCache>
            </c:strRef>
          </c:tx>
          <c:spPr>
            <a:ln w="28575" cap="rnd">
              <a:solidFill>
                <a:schemeClr val="bg2">
                  <a:lumMod val="25000"/>
                </a:schemeClr>
              </a:solidFill>
              <a:prstDash val="dash"/>
              <a:round/>
            </a:ln>
            <a:effectLst/>
          </c:spPr>
          <c:marker>
            <c:symbol val="none"/>
          </c:marker>
          <c:cat>
            <c:strRef>
              <c:f>HIS_STOCK!$K$71:$K$82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HIS_STOCK!$R$71:$R$82</c:f>
              <c:numCache>
                <c:formatCode>_ * #,##0.0_ ;_ * \-#,##0.0_ ;_ * "-"??_ ;_ @_ </c:formatCode>
                <c:ptCount val="12"/>
                <c:pt idx="0">
                  <c:v>7.5139550657316203</c:v>
                </c:pt>
                <c:pt idx="1">
                  <c:v>8.5948924887261793</c:v>
                </c:pt>
                <c:pt idx="2">
                  <c:v>7.6278812631460404</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2-80A3-412F-AD86-671DEAB3044B}"/>
            </c:ext>
          </c:extLst>
        </c:ser>
        <c:ser>
          <c:idx val="3"/>
          <c:order val="3"/>
          <c:tx>
            <c:strRef>
              <c:f>HIS_STOCK!$S$70</c:f>
              <c:strCache>
                <c:ptCount val="1"/>
                <c:pt idx="0">
                  <c:v>18/19</c:v>
                </c:pt>
              </c:strCache>
            </c:strRef>
          </c:tx>
          <c:spPr>
            <a:ln w="28575" cap="rnd">
              <a:solidFill>
                <a:schemeClr val="accent1">
                  <a:lumMod val="60000"/>
                  <a:lumOff val="40000"/>
                </a:schemeClr>
              </a:solidFill>
              <a:round/>
            </a:ln>
            <a:effectLst/>
          </c:spPr>
          <c:marker>
            <c:symbol val="none"/>
          </c:marker>
          <c:cat>
            <c:strRef>
              <c:f>HIS_STOCK!$K$71:$K$82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HIS_STOCK!$S$71:$S$82</c:f>
              <c:numCache>
                <c:formatCode>_ * #,##0.0_ ;_ * \-#,##0.0_ ;_ * "-"??_ ;_ @_ </c:formatCode>
                <c:ptCount val="12"/>
                <c:pt idx="0">
                  <c:v>#N/A</c:v>
                </c:pt>
                <c:pt idx="1">
                  <c:v>#N/A</c:v>
                </c:pt>
                <c:pt idx="2">
                  <c:v>#N/A</c:v>
                </c:pt>
                <c:pt idx="3">
                  <c:v>#N/A</c:v>
                </c:pt>
                <c:pt idx="4">
                  <c:v>#N/A</c:v>
                </c:pt>
                <c:pt idx="5">
                  <c:v>#N/A</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80A3-412F-AD86-671DEAB3044B}"/>
            </c:ext>
          </c:extLst>
        </c:ser>
        <c:ser>
          <c:idx val="4"/>
          <c:order val="4"/>
          <c:tx>
            <c:strRef>
              <c:f>HIS_STOCK!$T$70</c:f>
              <c:strCache>
                <c:ptCount val="1"/>
                <c:pt idx="0">
                  <c:v>19/20</c:v>
                </c:pt>
              </c:strCache>
            </c:strRef>
          </c:tx>
          <c:spPr>
            <a:ln w="28575" cap="rnd">
              <a:solidFill>
                <a:schemeClr val="accent1">
                  <a:lumMod val="75000"/>
                </a:schemeClr>
              </a:solidFill>
              <a:round/>
            </a:ln>
            <a:effectLst/>
          </c:spPr>
          <c:marker>
            <c:symbol val="none"/>
          </c:marker>
          <c:cat>
            <c:strRef>
              <c:f>HIS_STOCK!$K$71:$K$82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HIS_STOCK!$T$71:$T$82</c:f>
              <c:numCache>
                <c:formatCode>_ * #,##0.0_ ;_ * \-#,##0.0_ ;_ * "-"??_ ;_ @_ </c:formatCode>
                <c:ptCount val="12"/>
                <c:pt idx="0">
                  <c:v>0</c:v>
                </c:pt>
                <c:pt idx="1">
                  <c:v>0</c:v>
                </c:pt>
                <c:pt idx="2">
                  <c:v>0</c:v>
                </c:pt>
                <c:pt idx="3">
                  <c:v>0</c:v>
                </c:pt>
                <c:pt idx="4">
                  <c:v>0</c:v>
                </c:pt>
                <c:pt idx="5">
                  <c:v>0</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4-80A3-412F-AD86-671DEAB3044B}"/>
            </c:ext>
          </c:extLst>
        </c:ser>
        <c:dLbls>
          <c:showLegendKey val="0"/>
          <c:showVal val="0"/>
          <c:showCatName val="0"/>
          <c:showSerName val="0"/>
          <c:showPercent val="0"/>
          <c:showBubbleSize val="0"/>
        </c:dLbls>
        <c:smooth val="0"/>
        <c:axId val="1032442191"/>
        <c:axId val="1168884559"/>
      </c:lineChart>
      <c:catAx>
        <c:axId val="1032442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168884559"/>
        <c:crosses val="autoZero"/>
        <c:auto val="1"/>
        <c:lblAlgn val="ctr"/>
        <c:lblOffset val="100"/>
        <c:noMultiLvlLbl val="0"/>
      </c:catAx>
      <c:valAx>
        <c:axId val="1168884559"/>
        <c:scaling>
          <c:orientation val="minMax"/>
          <c:max val="24"/>
          <c:min val="0"/>
        </c:scaling>
        <c:delete val="0"/>
        <c:axPos val="l"/>
        <c:majorGridlines>
          <c:spPr>
            <a:ln w="9525" cap="flat" cmpd="sng" algn="ctr">
              <a:solidFill>
                <a:schemeClr val="tx1">
                  <a:lumMod val="15000"/>
                  <a:lumOff val="85000"/>
                </a:schemeClr>
              </a:solidFill>
              <a:round/>
            </a:ln>
            <a:effectLst/>
          </c:spPr>
        </c:majorGridlines>
        <c:numFmt formatCode="_ * #,##0.0_ ;_ * \-#,##0.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0324421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nl-NL" sz="1800"/>
              <a:t> TARGET STOCK</a:t>
            </a:r>
            <a:r>
              <a:rPr lang="nl-NL" sz="1800" baseline="0"/>
              <a:t> VALUE EOH</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lineChart>
        <c:grouping val="standard"/>
        <c:varyColors val="0"/>
        <c:ser>
          <c:idx val="0"/>
          <c:order val="0"/>
          <c:tx>
            <c:strRef>
              <c:f>HIS_STOCK!$P$90</c:f>
              <c:strCache>
                <c:ptCount val="1"/>
                <c:pt idx="0">
                  <c:v>16/17</c:v>
                </c:pt>
              </c:strCache>
            </c:strRef>
          </c:tx>
          <c:spPr>
            <a:ln w="28575" cap="rnd">
              <a:solidFill>
                <a:schemeClr val="bg1">
                  <a:lumMod val="75000"/>
                </a:schemeClr>
              </a:solidFill>
              <a:prstDash val="sysDot"/>
              <a:round/>
            </a:ln>
            <a:effectLst/>
          </c:spPr>
          <c:marker>
            <c:symbol val="none"/>
          </c:marker>
          <c:cat>
            <c:strRef>
              <c:f>HIS_STOCK!$K$91:$K$102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HIS_STOCK!$P$91:$P$102</c:f>
              <c:numCache>
                <c:formatCode>#,\K</c:formatCode>
                <c:ptCount val="12"/>
                <c:pt idx="0">
                  <c:v>82829.668799999999</c:v>
                </c:pt>
                <c:pt idx="1">
                  <c:v>47338.953000000001</c:v>
                </c:pt>
                <c:pt idx="2">
                  <c:v>34882.904999999999</c:v>
                </c:pt>
                <c:pt idx="3">
                  <c:v>45921.567900000002</c:v>
                </c:pt>
                <c:pt idx="4">
                  <c:v>60859.107000000004</c:v>
                </c:pt>
                <c:pt idx="5">
                  <c:v>51095.911200000002</c:v>
                </c:pt>
                <c:pt idx="6">
                  <c:v>39723.806100000002</c:v>
                </c:pt>
                <c:pt idx="7">
                  <c:v>27888.477300000002</c:v>
                </c:pt>
                <c:pt idx="8">
                  <c:v>22950.781800000001</c:v>
                </c:pt>
                <c:pt idx="9">
                  <c:v>30760.177800000001</c:v>
                </c:pt>
                <c:pt idx="10">
                  <c:v>29811.6522</c:v>
                </c:pt>
                <c:pt idx="11">
                  <c:v>47477.150999999998</c:v>
                </c:pt>
              </c:numCache>
            </c:numRef>
          </c:val>
          <c:smooth val="0"/>
          <c:extLst>
            <c:ext xmlns:c16="http://schemas.microsoft.com/office/drawing/2014/chart" uri="{C3380CC4-5D6E-409C-BE32-E72D297353CC}">
              <c16:uniqueId val="{00000000-4465-44D9-91D8-27D7DAFF76F6}"/>
            </c:ext>
          </c:extLst>
        </c:ser>
        <c:ser>
          <c:idx val="1"/>
          <c:order val="1"/>
          <c:tx>
            <c:strRef>
              <c:f>HIS_STOCK!$Q$90</c:f>
              <c:strCache>
                <c:ptCount val="1"/>
                <c:pt idx="0">
                  <c:v>17/18</c:v>
                </c:pt>
              </c:strCache>
            </c:strRef>
          </c:tx>
          <c:spPr>
            <a:ln w="28575" cap="rnd">
              <a:solidFill>
                <a:schemeClr val="bg1">
                  <a:lumMod val="75000"/>
                </a:schemeClr>
              </a:solidFill>
              <a:prstDash val="dash"/>
              <a:round/>
            </a:ln>
            <a:effectLst/>
          </c:spPr>
          <c:marker>
            <c:symbol val="none"/>
          </c:marker>
          <c:cat>
            <c:strRef>
              <c:f>HIS_STOCK!$K$91:$K$102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HIS_STOCK!$Q$91:$Q$102</c:f>
              <c:numCache>
                <c:formatCode>#,\K</c:formatCode>
                <c:ptCount val="12"/>
                <c:pt idx="0">
                  <c:v>51426.1728</c:v>
                </c:pt>
                <c:pt idx="1">
                  <c:v>62869.906500000005</c:v>
                </c:pt>
                <c:pt idx="2">
                  <c:v>50629.804500000006</c:v>
                </c:pt>
                <c:pt idx="3">
                  <c:v>45599.053200000002</c:v>
                </c:pt>
                <c:pt idx="4">
                  <c:v>57541.285500000005</c:v>
                </c:pt>
                <c:pt idx="5">
                  <c:v>54149.594100000002</c:v>
                </c:pt>
                <c:pt idx="6">
                  <c:v>68847.890700000004</c:v>
                </c:pt>
                <c:pt idx="7">
                  <c:v>58810.2333</c:v>
                </c:pt>
                <c:pt idx="8">
                  <c:v>74641.195500000002</c:v>
                </c:pt>
                <c:pt idx="9">
                  <c:v>95669.276700000002</c:v>
                </c:pt>
                <c:pt idx="10">
                  <c:v>107129.769</c:v>
                </c:pt>
                <c:pt idx="11">
                  <c:v>172767.1323</c:v>
                </c:pt>
              </c:numCache>
            </c:numRef>
          </c:val>
          <c:smooth val="0"/>
          <c:extLst>
            <c:ext xmlns:c16="http://schemas.microsoft.com/office/drawing/2014/chart" uri="{C3380CC4-5D6E-409C-BE32-E72D297353CC}">
              <c16:uniqueId val="{00000001-4465-44D9-91D8-27D7DAFF76F6}"/>
            </c:ext>
          </c:extLst>
        </c:ser>
        <c:ser>
          <c:idx val="2"/>
          <c:order val="2"/>
          <c:tx>
            <c:strRef>
              <c:f>HIS_STOCK!$R$90</c:f>
              <c:strCache>
                <c:ptCount val="1"/>
                <c:pt idx="0">
                  <c:v>18/19</c:v>
                </c:pt>
              </c:strCache>
            </c:strRef>
          </c:tx>
          <c:spPr>
            <a:ln w="28575" cap="rnd">
              <a:solidFill>
                <a:schemeClr val="tx2">
                  <a:lumMod val="75000"/>
                </a:schemeClr>
              </a:solidFill>
              <a:prstDash val="dash"/>
              <a:round/>
            </a:ln>
            <a:effectLst/>
          </c:spPr>
          <c:marker>
            <c:symbol val="none"/>
          </c:marker>
          <c:cat>
            <c:strRef>
              <c:f>HIS_STOCK!$K$91:$K$102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HIS_STOCK!$R$91:$R$102</c:f>
              <c:numCache>
                <c:formatCode>#,\K</c:formatCode>
                <c:ptCount val="12"/>
                <c:pt idx="0">
                  <c:v>247646.55660000001</c:v>
                </c:pt>
                <c:pt idx="1">
                  <c:v>221266.43700000001</c:v>
                </c:pt>
                <c:pt idx="2">
                  <c:v>207485.6784</c:v>
                </c:pt>
                <c:pt idx="3">
                  <c:v>144795.978</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2-4465-44D9-91D8-27D7DAFF76F6}"/>
            </c:ext>
          </c:extLst>
        </c:ser>
        <c:ser>
          <c:idx val="3"/>
          <c:order val="3"/>
          <c:tx>
            <c:strRef>
              <c:f>HIS_STOCK!$S$90</c:f>
              <c:strCache>
                <c:ptCount val="1"/>
                <c:pt idx="0">
                  <c:v>18/19</c:v>
                </c:pt>
              </c:strCache>
            </c:strRef>
          </c:tx>
          <c:spPr>
            <a:ln w="28575" cap="rnd">
              <a:solidFill>
                <a:schemeClr val="accent1">
                  <a:lumMod val="60000"/>
                  <a:lumOff val="40000"/>
                </a:schemeClr>
              </a:solidFill>
              <a:round/>
            </a:ln>
            <a:effectLst/>
          </c:spPr>
          <c:marker>
            <c:symbol val="none"/>
          </c:marker>
          <c:cat>
            <c:strRef>
              <c:f>HIS_STOCK!$K$91:$K$102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HIS_STOCK!$S$91:$S$102</c:f>
              <c:numCache>
                <c:formatCode>#,\K</c:formatCode>
                <c:ptCount val="12"/>
                <c:pt idx="0">
                  <c:v>#N/A</c:v>
                </c:pt>
                <c:pt idx="1">
                  <c:v>#N/A</c:v>
                </c:pt>
                <c:pt idx="2">
                  <c:v>#N/A</c:v>
                </c:pt>
                <c:pt idx="3">
                  <c:v>#N/A</c:v>
                </c:pt>
                <c:pt idx="4">
                  <c:v>#N/A</c:v>
                </c:pt>
                <c:pt idx="5">
                  <c:v>#N/A</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4465-44D9-91D8-27D7DAFF76F6}"/>
            </c:ext>
          </c:extLst>
        </c:ser>
        <c:ser>
          <c:idx val="4"/>
          <c:order val="4"/>
          <c:tx>
            <c:strRef>
              <c:f>HIS_STOCK!$T$90</c:f>
              <c:strCache>
                <c:ptCount val="1"/>
                <c:pt idx="0">
                  <c:v>19/20</c:v>
                </c:pt>
              </c:strCache>
            </c:strRef>
          </c:tx>
          <c:spPr>
            <a:ln w="28575" cap="rnd">
              <a:solidFill>
                <a:schemeClr val="accent1">
                  <a:lumMod val="75000"/>
                </a:schemeClr>
              </a:solidFill>
              <a:round/>
            </a:ln>
            <a:effectLst/>
          </c:spPr>
          <c:marker>
            <c:symbol val="none"/>
          </c:marker>
          <c:cat>
            <c:strRef>
              <c:f>HIS_STOCK!$K$91:$K$102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HIS_STOCK!$T$91:$T$102</c:f>
              <c:numCache>
                <c:formatCode>#,\K</c:formatCode>
                <c:ptCount val="12"/>
                <c:pt idx="0">
                  <c:v>0</c:v>
                </c:pt>
                <c:pt idx="1">
                  <c:v>0</c:v>
                </c:pt>
                <c:pt idx="2">
                  <c:v>0</c:v>
                </c:pt>
                <c:pt idx="3">
                  <c:v>0</c:v>
                </c:pt>
                <c:pt idx="4">
                  <c:v>0</c:v>
                </c:pt>
                <c:pt idx="5">
                  <c:v>0</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4-4465-44D9-91D8-27D7DAFF76F6}"/>
            </c:ext>
          </c:extLst>
        </c:ser>
        <c:dLbls>
          <c:showLegendKey val="0"/>
          <c:showVal val="0"/>
          <c:showCatName val="0"/>
          <c:showSerName val="0"/>
          <c:showPercent val="0"/>
          <c:showBubbleSize val="0"/>
        </c:dLbls>
        <c:smooth val="0"/>
        <c:axId val="2067226383"/>
        <c:axId val="1179416287"/>
      </c:lineChart>
      <c:catAx>
        <c:axId val="2067226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179416287"/>
        <c:crosses val="autoZero"/>
        <c:auto val="1"/>
        <c:lblAlgn val="ctr"/>
        <c:lblOffset val="100"/>
        <c:noMultiLvlLbl val="0"/>
      </c:catAx>
      <c:valAx>
        <c:axId val="1179416287"/>
        <c:scaling>
          <c:orientation val="minMax"/>
        </c:scaling>
        <c:delete val="0"/>
        <c:axPos val="l"/>
        <c:majorGridlines>
          <c:spPr>
            <a:ln w="9525" cap="flat" cmpd="sng" algn="ctr">
              <a:solidFill>
                <a:schemeClr val="tx1">
                  <a:lumMod val="15000"/>
                  <a:lumOff val="85000"/>
                </a:schemeClr>
              </a:solidFill>
              <a:round/>
            </a:ln>
            <a:effectLst/>
          </c:spPr>
        </c:majorGridlines>
        <c:numFmt formatCode="#,\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0672263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a:t>NET COGS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lineChart>
        <c:grouping val="standard"/>
        <c:varyColors val="0"/>
        <c:ser>
          <c:idx val="0"/>
          <c:order val="0"/>
          <c:tx>
            <c:strRef>
              <c:f>HIS_STOCK!$P$110</c:f>
              <c:strCache>
                <c:ptCount val="1"/>
                <c:pt idx="0">
                  <c:v>16/17</c:v>
                </c:pt>
              </c:strCache>
            </c:strRef>
          </c:tx>
          <c:spPr>
            <a:ln w="28575" cap="rnd">
              <a:solidFill>
                <a:schemeClr val="bg1">
                  <a:lumMod val="75000"/>
                </a:schemeClr>
              </a:solidFill>
              <a:prstDash val="sysDot"/>
              <a:round/>
            </a:ln>
            <a:effectLst/>
          </c:spPr>
          <c:marker>
            <c:symbol val="none"/>
          </c:marker>
          <c:cat>
            <c:strRef>
              <c:f>HIS_STOCK!$K$111:$K$122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HIS_STOCK!$P$111:$P$122</c:f>
              <c:numCache>
                <c:formatCode>#,\K</c:formatCode>
                <c:ptCount val="12"/>
                <c:pt idx="0">
                  <c:v>18688.470300000001</c:v>
                </c:pt>
                <c:pt idx="1">
                  <c:v>40751.443899999998</c:v>
                </c:pt>
                <c:pt idx="2">
                  <c:v>15040.4858</c:v>
                </c:pt>
                <c:pt idx="3">
                  <c:v>-3363.4369000000002</c:v>
                </c:pt>
                <c:pt idx="4">
                  <c:v>7308.4801000000007</c:v>
                </c:pt>
                <c:pt idx="5">
                  <c:v>12110.8055</c:v>
                </c:pt>
                <c:pt idx="6">
                  <c:v>14228.7541</c:v>
                </c:pt>
                <c:pt idx="7">
                  <c:v>27161.759600000001</c:v>
                </c:pt>
                <c:pt idx="8">
                  <c:v>24987.042000000001</c:v>
                </c:pt>
                <c:pt idx="9">
                  <c:v>13207.7564</c:v>
                </c:pt>
                <c:pt idx="10">
                  <c:v>8895.4722000000002</c:v>
                </c:pt>
                <c:pt idx="11">
                  <c:v>10402.6217</c:v>
                </c:pt>
              </c:numCache>
            </c:numRef>
          </c:val>
          <c:smooth val="0"/>
          <c:extLst>
            <c:ext xmlns:c16="http://schemas.microsoft.com/office/drawing/2014/chart" uri="{C3380CC4-5D6E-409C-BE32-E72D297353CC}">
              <c16:uniqueId val="{00000000-03B4-4A92-B85A-5CCC87AEC777}"/>
            </c:ext>
          </c:extLst>
        </c:ser>
        <c:ser>
          <c:idx val="1"/>
          <c:order val="1"/>
          <c:tx>
            <c:strRef>
              <c:f>HIS_STOCK!$Q$110</c:f>
              <c:strCache>
                <c:ptCount val="1"/>
                <c:pt idx="0">
                  <c:v>17/18</c:v>
                </c:pt>
              </c:strCache>
            </c:strRef>
          </c:tx>
          <c:spPr>
            <a:ln w="28575" cap="rnd">
              <a:solidFill>
                <a:schemeClr val="bg1">
                  <a:lumMod val="75000"/>
                </a:schemeClr>
              </a:solidFill>
              <a:prstDash val="dash"/>
              <a:round/>
            </a:ln>
            <a:effectLst/>
          </c:spPr>
          <c:marker>
            <c:symbol val="none"/>
          </c:marker>
          <c:cat>
            <c:strRef>
              <c:f>HIS_STOCK!$K$111:$K$122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HIS_STOCK!$Q$111:$Q$122</c:f>
              <c:numCache>
                <c:formatCode>#,\K</c:formatCode>
                <c:ptCount val="12"/>
                <c:pt idx="0">
                  <c:v>39822.578600000001</c:v>
                </c:pt>
                <c:pt idx="1">
                  <c:v>48510.004000000001</c:v>
                </c:pt>
                <c:pt idx="2">
                  <c:v>27172.403600000001</c:v>
                </c:pt>
                <c:pt idx="3">
                  <c:v>29764.752</c:v>
                </c:pt>
                <c:pt idx="4">
                  <c:v>9807.3934000000008</c:v>
                </c:pt>
                <c:pt idx="5">
                  <c:v>31717.750100000001</c:v>
                </c:pt>
                <c:pt idx="6">
                  <c:v>33790.298800000004</c:v>
                </c:pt>
                <c:pt idx="7">
                  <c:v>77393.090100000001</c:v>
                </c:pt>
                <c:pt idx="8">
                  <c:v>86740.65860000001</c:v>
                </c:pt>
                <c:pt idx="9">
                  <c:v>14568.658300000001</c:v>
                </c:pt>
                <c:pt idx="10">
                  <c:v>22476.231100000001</c:v>
                </c:pt>
                <c:pt idx="11">
                  <c:v>14415.1484</c:v>
                </c:pt>
              </c:numCache>
            </c:numRef>
          </c:val>
          <c:smooth val="0"/>
          <c:extLst>
            <c:ext xmlns:c16="http://schemas.microsoft.com/office/drawing/2014/chart" uri="{C3380CC4-5D6E-409C-BE32-E72D297353CC}">
              <c16:uniqueId val="{00000001-03B4-4A92-B85A-5CCC87AEC777}"/>
            </c:ext>
          </c:extLst>
        </c:ser>
        <c:ser>
          <c:idx val="2"/>
          <c:order val="2"/>
          <c:tx>
            <c:strRef>
              <c:f>HIS_STOCK!$R$110</c:f>
              <c:strCache>
                <c:ptCount val="1"/>
                <c:pt idx="0">
                  <c:v>18/19</c:v>
                </c:pt>
              </c:strCache>
            </c:strRef>
          </c:tx>
          <c:spPr>
            <a:ln w="28575" cap="rnd">
              <a:solidFill>
                <a:schemeClr val="tx2">
                  <a:lumMod val="75000"/>
                </a:schemeClr>
              </a:solidFill>
              <a:prstDash val="dash"/>
              <a:round/>
            </a:ln>
            <a:effectLst/>
          </c:spPr>
          <c:marker>
            <c:symbol val="none"/>
          </c:marker>
          <c:cat>
            <c:strRef>
              <c:f>HIS_STOCK!$K$111:$K$122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HIS_STOCK!$R$111:$R$122</c:f>
              <c:numCache>
                <c:formatCode>#,\K</c:formatCode>
                <c:ptCount val="12"/>
                <c:pt idx="0">
                  <c:v>62553.338900000002</c:v>
                </c:pt>
                <c:pt idx="1">
                  <c:v>169583.8884</c:v>
                </c:pt>
                <c:pt idx="2">
                  <c:v>104441.24650000001</c:v>
                </c:pt>
                <c:pt idx="3">
                  <c:v>116964.11970000001</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2-03B4-4A92-B85A-5CCC87AEC777}"/>
            </c:ext>
          </c:extLst>
        </c:ser>
        <c:ser>
          <c:idx val="3"/>
          <c:order val="3"/>
          <c:tx>
            <c:strRef>
              <c:f>HIS_STOCK!$S$110</c:f>
              <c:strCache>
                <c:ptCount val="1"/>
                <c:pt idx="0">
                  <c:v>18/19</c:v>
                </c:pt>
              </c:strCache>
            </c:strRef>
          </c:tx>
          <c:spPr>
            <a:ln w="28575" cap="rnd">
              <a:solidFill>
                <a:schemeClr val="accent1">
                  <a:lumMod val="60000"/>
                  <a:lumOff val="40000"/>
                </a:schemeClr>
              </a:solidFill>
              <a:round/>
            </a:ln>
            <a:effectLst/>
          </c:spPr>
          <c:marker>
            <c:symbol val="none"/>
          </c:marker>
          <c:cat>
            <c:strRef>
              <c:f>HIS_STOCK!$K$111:$K$122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HIS_STOCK!$S$111:$S$122</c:f>
              <c:numCache>
                <c:formatCode>#,\K</c:formatCode>
                <c:ptCount val="12"/>
                <c:pt idx="0">
                  <c:v>#N/A</c:v>
                </c:pt>
                <c:pt idx="1">
                  <c:v>#N/A</c:v>
                </c:pt>
                <c:pt idx="2">
                  <c:v>#N/A</c:v>
                </c:pt>
                <c:pt idx="3">
                  <c:v>#N/A</c:v>
                </c:pt>
                <c:pt idx="4">
                  <c:v>#N/A</c:v>
                </c:pt>
                <c:pt idx="5">
                  <c:v>#N/A</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03B4-4A92-B85A-5CCC87AEC777}"/>
            </c:ext>
          </c:extLst>
        </c:ser>
        <c:ser>
          <c:idx val="4"/>
          <c:order val="4"/>
          <c:tx>
            <c:strRef>
              <c:f>HIS_STOCK!$T$110</c:f>
              <c:strCache>
                <c:ptCount val="1"/>
                <c:pt idx="0">
                  <c:v>19/20</c:v>
                </c:pt>
              </c:strCache>
            </c:strRef>
          </c:tx>
          <c:spPr>
            <a:ln w="28575" cap="rnd">
              <a:solidFill>
                <a:schemeClr val="accent1">
                  <a:lumMod val="75000"/>
                </a:schemeClr>
              </a:solidFill>
              <a:round/>
            </a:ln>
            <a:effectLst/>
          </c:spPr>
          <c:marker>
            <c:symbol val="none"/>
          </c:marker>
          <c:cat>
            <c:strRef>
              <c:f>HIS_STOCK!$K$111:$K$122</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HIS_STOCK!$T$111:$T$122</c:f>
              <c:numCache>
                <c:formatCode>#,\K</c:formatCode>
                <c:ptCount val="12"/>
                <c:pt idx="0">
                  <c:v>0</c:v>
                </c:pt>
                <c:pt idx="1">
                  <c:v>0</c:v>
                </c:pt>
                <c:pt idx="2">
                  <c:v>0</c:v>
                </c:pt>
                <c:pt idx="3">
                  <c:v>0</c:v>
                </c:pt>
                <c:pt idx="4">
                  <c:v>0</c:v>
                </c:pt>
                <c:pt idx="5">
                  <c:v>0</c:v>
                </c:pt>
                <c:pt idx="6">
                  <c:v>0</c:v>
                </c:pt>
                <c:pt idx="7">
                  <c:v>0</c:v>
                </c:pt>
                <c:pt idx="8">
                  <c:v>0</c:v>
                </c:pt>
                <c:pt idx="9">
                  <c:v>#N/A</c:v>
                </c:pt>
                <c:pt idx="10">
                  <c:v>#N/A</c:v>
                </c:pt>
                <c:pt idx="11">
                  <c:v>#N/A</c:v>
                </c:pt>
              </c:numCache>
            </c:numRef>
          </c:val>
          <c:smooth val="0"/>
          <c:extLst>
            <c:ext xmlns:c16="http://schemas.microsoft.com/office/drawing/2014/chart" uri="{C3380CC4-5D6E-409C-BE32-E72D297353CC}">
              <c16:uniqueId val="{00000004-03B4-4A92-B85A-5CCC87AEC777}"/>
            </c:ext>
          </c:extLst>
        </c:ser>
        <c:dLbls>
          <c:showLegendKey val="0"/>
          <c:showVal val="0"/>
          <c:showCatName val="0"/>
          <c:showSerName val="0"/>
          <c:showPercent val="0"/>
          <c:showBubbleSize val="0"/>
        </c:dLbls>
        <c:smooth val="0"/>
        <c:axId val="1082652815"/>
        <c:axId val="1187013551"/>
      </c:lineChart>
      <c:catAx>
        <c:axId val="1082652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187013551"/>
        <c:crosses val="autoZero"/>
        <c:auto val="1"/>
        <c:lblAlgn val="ctr"/>
        <c:lblOffset val="100"/>
        <c:noMultiLvlLbl val="0"/>
      </c:catAx>
      <c:valAx>
        <c:axId val="1187013551"/>
        <c:scaling>
          <c:orientation val="minMax"/>
        </c:scaling>
        <c:delete val="0"/>
        <c:axPos val="l"/>
        <c:majorGridlines>
          <c:spPr>
            <a:ln w="9525" cap="flat" cmpd="sng" algn="ctr">
              <a:solidFill>
                <a:schemeClr val="tx1">
                  <a:lumMod val="15000"/>
                  <a:lumOff val="85000"/>
                </a:schemeClr>
              </a:solidFill>
              <a:round/>
            </a:ln>
            <a:effectLst/>
          </c:spPr>
        </c:majorGridlines>
        <c:numFmt formatCode="#,\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0826528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0" i="0" baseline="0">
                <a:effectLst/>
              </a:rPr>
              <a:t>FORWARD NET WEEK COVER</a:t>
            </a:r>
            <a:endParaRPr lang="nl-NL">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lineChart>
        <c:grouping val="standard"/>
        <c:varyColors val="0"/>
        <c:ser>
          <c:idx val="0"/>
          <c:order val="0"/>
          <c:tx>
            <c:strRef>
              <c:f>HIS_STOCK!$P$8</c:f>
              <c:strCache>
                <c:ptCount val="1"/>
                <c:pt idx="0">
                  <c:v>16/17</c:v>
                </c:pt>
              </c:strCache>
            </c:strRef>
          </c:tx>
          <c:spPr>
            <a:ln w="28575" cap="rnd">
              <a:solidFill>
                <a:schemeClr val="bg1">
                  <a:lumMod val="75000"/>
                </a:schemeClr>
              </a:solidFill>
              <a:prstDash val="sysDot"/>
              <a:round/>
            </a:ln>
            <a:effectLst/>
          </c:spPr>
          <c:marker>
            <c:symbol val="none"/>
          </c:marker>
          <c:cat>
            <c:strRef>
              <c:f>HIS_STOCK!$K$9:$K$20</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HIS_STOCK!$P$9:$P$20</c:f>
              <c:numCache>
                <c:formatCode>_ * #,##0.0_ ;_ * \-#,##0.0_ ;_ * "-"??_ ;_ @_ </c:formatCode>
                <c:ptCount val="12"/>
                <c:pt idx="0">
                  <c:v>5.9901206458439802</c:v>
                </c:pt>
                <c:pt idx="1">
                  <c:v>8.6253492022264595</c:v>
                </c:pt>
                <c:pt idx="2">
                  <c:v>12.3127169538321</c:v>
                </c:pt>
                <c:pt idx="3">
                  <c:v>11.6045966966437</c:v>
                </c:pt>
                <c:pt idx="4">
                  <c:v>10.196280876103101</c:v>
                </c:pt>
                <c:pt idx="5">
                  <c:v>11.8693872360098</c:v>
                </c:pt>
                <c:pt idx="6">
                  <c:v>20.5229374670208</c:v>
                </c:pt>
                <c:pt idx="7">
                  <c:v>21.772119551870102</c:v>
                </c:pt>
                <c:pt idx="8">
                  <c:v>17.993218429666701</c:v>
                </c:pt>
                <c:pt idx="9">
                  <c:v>13.7310452566481</c:v>
                </c:pt>
                <c:pt idx="10">
                  <c:v>9.7227950696129497</c:v>
                </c:pt>
                <c:pt idx="11">
                  <c:v>5.7103988205555103</c:v>
                </c:pt>
              </c:numCache>
            </c:numRef>
          </c:val>
          <c:smooth val="0"/>
          <c:extLst>
            <c:ext xmlns:c16="http://schemas.microsoft.com/office/drawing/2014/chart" uri="{C3380CC4-5D6E-409C-BE32-E72D297353CC}">
              <c16:uniqueId val="{00000000-D711-49F3-8085-6109914E40A3}"/>
            </c:ext>
          </c:extLst>
        </c:ser>
        <c:ser>
          <c:idx val="1"/>
          <c:order val="1"/>
          <c:tx>
            <c:strRef>
              <c:f>HIS_STOCK!$Q$8</c:f>
              <c:strCache>
                <c:ptCount val="1"/>
                <c:pt idx="0">
                  <c:v>17/18</c:v>
                </c:pt>
              </c:strCache>
            </c:strRef>
          </c:tx>
          <c:spPr>
            <a:ln w="28575" cap="rnd">
              <a:solidFill>
                <a:schemeClr val="bg1">
                  <a:lumMod val="75000"/>
                </a:schemeClr>
              </a:solidFill>
              <a:prstDash val="dash"/>
              <a:round/>
            </a:ln>
            <a:effectLst/>
          </c:spPr>
          <c:marker>
            <c:symbol val="none"/>
          </c:marker>
          <c:cat>
            <c:strRef>
              <c:f>HIS_STOCK!$K$9:$K$20</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HIS_STOCK!$Q$9:$Q$20</c:f>
              <c:numCache>
                <c:formatCode>_ * #,##0.0_ ;_ * \-#,##0.0_ ;_ * "-"??_ ;_ @_ </c:formatCode>
                <c:ptCount val="12"/>
                <c:pt idx="0">
                  <c:v>5.5972734742077899</c:v>
                </c:pt>
                <c:pt idx="1">
                  <c:v>7.7964924752742801</c:v>
                </c:pt>
                <c:pt idx="2">
                  <c:v>14.105762555130701</c:v>
                </c:pt>
                <c:pt idx="3">
                  <c:v>14.274249010580501</c:v>
                </c:pt>
                <c:pt idx="4">
                  <c:v>10.5400539216319</c:v>
                </c:pt>
                <c:pt idx="5">
                  <c:v>22.228505369041802</c:v>
                </c:pt>
                <c:pt idx="6">
                  <c:v>26.7263250482468</c:v>
                </c:pt>
                <c:pt idx="7">
                  <c:v>22.807690580917999</c:v>
                </c:pt>
                <c:pt idx="8">
                  <c:v>19.346341185741899</c:v>
                </c:pt>
                <c:pt idx="9">
                  <c:v>15.3875966129233</c:v>
                </c:pt>
                <c:pt idx="10">
                  <c:v>12.324628065831801</c:v>
                </c:pt>
                <c:pt idx="11">
                  <c:v>9.2996825127528506</c:v>
                </c:pt>
              </c:numCache>
            </c:numRef>
          </c:val>
          <c:smooth val="0"/>
          <c:extLst>
            <c:ext xmlns:c16="http://schemas.microsoft.com/office/drawing/2014/chart" uri="{C3380CC4-5D6E-409C-BE32-E72D297353CC}">
              <c16:uniqueId val="{00000001-D711-49F3-8085-6109914E40A3}"/>
            </c:ext>
          </c:extLst>
        </c:ser>
        <c:ser>
          <c:idx val="2"/>
          <c:order val="2"/>
          <c:tx>
            <c:strRef>
              <c:f>HIS_STOCK!$R$8</c:f>
              <c:strCache>
                <c:ptCount val="1"/>
                <c:pt idx="0">
                  <c:v>18/19</c:v>
                </c:pt>
              </c:strCache>
            </c:strRef>
          </c:tx>
          <c:spPr>
            <a:ln w="28575" cap="rnd">
              <a:solidFill>
                <a:schemeClr val="bg2">
                  <a:lumMod val="25000"/>
                </a:schemeClr>
              </a:solidFill>
              <a:prstDash val="dash"/>
              <a:round/>
            </a:ln>
            <a:effectLst/>
          </c:spPr>
          <c:marker>
            <c:symbol val="none"/>
          </c:marker>
          <c:cat>
            <c:strRef>
              <c:f>HIS_STOCK!$K$9:$K$20</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HIS_STOCK!$R$9:$R$20</c:f>
              <c:numCache>
                <c:formatCode>_ * #,##0.0_ ;_ * \-#,##0.0_ ;_ * "-"??_ ;_ @_ </c:formatCode>
                <c:ptCount val="12"/>
                <c:pt idx="0">
                  <c:v>11.5092819308594</c:v>
                </c:pt>
                <c:pt idx="1">
                  <c:v>13.7605954933835</c:v>
                </c:pt>
                <c:pt idx="2">
                  <c:v>11.7680338224409</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2-D711-49F3-8085-6109914E40A3}"/>
            </c:ext>
          </c:extLst>
        </c:ser>
        <c:ser>
          <c:idx val="3"/>
          <c:order val="3"/>
          <c:tx>
            <c:strRef>
              <c:f>HIS_STOCK!$S$8</c:f>
              <c:strCache>
                <c:ptCount val="1"/>
                <c:pt idx="0">
                  <c:v>18/19</c:v>
                </c:pt>
              </c:strCache>
            </c:strRef>
          </c:tx>
          <c:spPr>
            <a:ln w="28575" cap="rnd">
              <a:solidFill>
                <a:schemeClr val="accent1">
                  <a:lumMod val="60000"/>
                  <a:lumOff val="40000"/>
                </a:schemeClr>
              </a:solidFill>
              <a:prstDash val="solid"/>
              <a:round/>
            </a:ln>
            <a:effectLst/>
          </c:spPr>
          <c:marker>
            <c:symbol val="none"/>
          </c:marker>
          <c:cat>
            <c:strRef>
              <c:f>HIS_STOCK!$K$9:$K$20</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HIS_STOCK!$S$9:$S$20</c:f>
              <c:numCache>
                <c:formatCode>_ * #,##0.0_ ;_ * \-#,##0.0_ ;_ * "-"??_ ;_ @_ </c:formatCode>
                <c:ptCount val="12"/>
                <c:pt idx="0">
                  <c:v>#N/A</c:v>
                </c:pt>
                <c:pt idx="1">
                  <c:v>#N/A</c:v>
                </c:pt>
                <c:pt idx="2">
                  <c:v>#N/A</c:v>
                </c:pt>
                <c:pt idx="3">
                  <c:v>#N/A</c:v>
                </c:pt>
                <c:pt idx="4">
                  <c:v>#N/A</c:v>
                </c:pt>
                <c:pt idx="5">
                  <c:v>#N/A</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D711-49F3-8085-6109914E40A3}"/>
            </c:ext>
          </c:extLst>
        </c:ser>
        <c:ser>
          <c:idx val="4"/>
          <c:order val="4"/>
          <c:tx>
            <c:strRef>
              <c:f>HIS_STOCK!$T$8</c:f>
              <c:strCache>
                <c:ptCount val="1"/>
                <c:pt idx="0">
                  <c:v>19/20</c:v>
                </c:pt>
              </c:strCache>
            </c:strRef>
          </c:tx>
          <c:spPr>
            <a:ln w="28575" cap="rnd">
              <a:solidFill>
                <a:schemeClr val="tx2">
                  <a:lumMod val="60000"/>
                  <a:lumOff val="40000"/>
                </a:schemeClr>
              </a:solidFill>
              <a:round/>
            </a:ln>
            <a:effectLst/>
          </c:spPr>
          <c:marker>
            <c:symbol val="none"/>
          </c:marker>
          <c:val>
            <c:numRef>
              <c:f>HIS_STOCK!$T$9:$T$20</c:f>
              <c:numCache>
                <c:formatCode>_ * #,##0.0_ ;_ * \-#,##0.0_ ;_ * "-"??_ ;_ @_ </c:formatCode>
                <c:ptCount val="12"/>
                <c:pt idx="0">
                  <c:v>0</c:v>
                </c:pt>
                <c:pt idx="1">
                  <c:v>0</c:v>
                </c:pt>
                <c:pt idx="2">
                  <c:v>0</c:v>
                </c:pt>
                <c:pt idx="3">
                  <c:v>0</c:v>
                </c:pt>
                <c:pt idx="4">
                  <c:v>0</c:v>
                </c:pt>
                <c:pt idx="5">
                  <c:v>0</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2-7229-452D-B457-20920BAF7DD7}"/>
            </c:ext>
          </c:extLst>
        </c:ser>
        <c:dLbls>
          <c:showLegendKey val="0"/>
          <c:showVal val="0"/>
          <c:showCatName val="0"/>
          <c:showSerName val="0"/>
          <c:showPercent val="0"/>
          <c:showBubbleSize val="0"/>
        </c:dLbls>
        <c:smooth val="0"/>
        <c:axId val="1032442191"/>
        <c:axId val="1168884559"/>
      </c:lineChart>
      <c:catAx>
        <c:axId val="1032442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168884559"/>
        <c:crosses val="autoZero"/>
        <c:auto val="1"/>
        <c:lblAlgn val="ctr"/>
        <c:lblOffset val="100"/>
        <c:noMultiLvlLbl val="0"/>
      </c:catAx>
      <c:valAx>
        <c:axId val="1168884559"/>
        <c:scaling>
          <c:orientation val="minMax"/>
          <c:max val="24"/>
          <c:min val="0"/>
        </c:scaling>
        <c:delete val="0"/>
        <c:axPos val="l"/>
        <c:majorGridlines>
          <c:spPr>
            <a:ln w="9525" cap="flat" cmpd="sng" algn="ctr">
              <a:solidFill>
                <a:schemeClr val="tx1">
                  <a:lumMod val="15000"/>
                  <a:lumOff val="85000"/>
                </a:schemeClr>
              </a:solidFill>
              <a:round/>
            </a:ln>
            <a:effectLst/>
          </c:spPr>
        </c:majorGridlines>
        <c:numFmt formatCode="_ * #,##0.0_ ;_ * \-#,##0.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0324421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b="0" i="0" baseline="0">
                <a:effectLst/>
              </a:rPr>
              <a:t> TARGET STOCK VALUE EOH</a:t>
            </a:r>
            <a:endParaRPr lang="nl-NL">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lineChart>
        <c:grouping val="standard"/>
        <c:varyColors val="0"/>
        <c:ser>
          <c:idx val="0"/>
          <c:order val="0"/>
          <c:tx>
            <c:strRef>
              <c:f>HIS_STOCK!$P$28</c:f>
              <c:strCache>
                <c:ptCount val="1"/>
                <c:pt idx="0">
                  <c:v>16/17</c:v>
                </c:pt>
              </c:strCache>
            </c:strRef>
          </c:tx>
          <c:spPr>
            <a:ln w="28575" cap="rnd">
              <a:solidFill>
                <a:schemeClr val="bg1">
                  <a:lumMod val="75000"/>
                </a:schemeClr>
              </a:solidFill>
              <a:prstDash val="sysDot"/>
              <a:round/>
            </a:ln>
            <a:effectLst/>
          </c:spPr>
          <c:marker>
            <c:symbol val="none"/>
          </c:marker>
          <c:cat>
            <c:strRef>
              <c:f>HIS_STOCK!$K$29:$K$40</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HIS_STOCK!$P$29:$P$40</c:f>
              <c:numCache>
                <c:formatCode>#,\K</c:formatCode>
                <c:ptCount val="12"/>
                <c:pt idx="0">
                  <c:v>406773.35100000002</c:v>
                </c:pt>
                <c:pt idx="1">
                  <c:v>565561.34640000004</c:v>
                </c:pt>
                <c:pt idx="2">
                  <c:v>365912.19210000004</c:v>
                </c:pt>
                <c:pt idx="3">
                  <c:v>307620.08040000004</c:v>
                </c:pt>
                <c:pt idx="4">
                  <c:v>348337.34040000004</c:v>
                </c:pt>
                <c:pt idx="5">
                  <c:v>407584.2831</c:v>
                </c:pt>
                <c:pt idx="6">
                  <c:v>416373.7317</c:v>
                </c:pt>
                <c:pt idx="7">
                  <c:v>363560.03610000003</c:v>
                </c:pt>
                <c:pt idx="8">
                  <c:v>287368.38180000003</c:v>
                </c:pt>
                <c:pt idx="9">
                  <c:v>256428.41640000002</c:v>
                </c:pt>
                <c:pt idx="10">
                  <c:v>260174.3634</c:v>
                </c:pt>
                <c:pt idx="11">
                  <c:v>229475.5098</c:v>
                </c:pt>
              </c:numCache>
            </c:numRef>
          </c:val>
          <c:smooth val="0"/>
          <c:extLst>
            <c:ext xmlns:c16="http://schemas.microsoft.com/office/drawing/2014/chart" uri="{C3380CC4-5D6E-409C-BE32-E72D297353CC}">
              <c16:uniqueId val="{00000000-E159-407E-A934-F44181A5337D}"/>
            </c:ext>
          </c:extLst>
        </c:ser>
        <c:ser>
          <c:idx val="1"/>
          <c:order val="1"/>
          <c:tx>
            <c:strRef>
              <c:f>HIS_STOCK!$Q$28</c:f>
              <c:strCache>
                <c:ptCount val="1"/>
                <c:pt idx="0">
                  <c:v>17/18</c:v>
                </c:pt>
              </c:strCache>
            </c:strRef>
          </c:tx>
          <c:spPr>
            <a:ln w="28575" cap="rnd">
              <a:solidFill>
                <a:schemeClr val="bg1">
                  <a:lumMod val="75000"/>
                </a:schemeClr>
              </a:solidFill>
              <a:prstDash val="dash"/>
              <a:round/>
            </a:ln>
            <a:effectLst/>
          </c:spPr>
          <c:marker>
            <c:symbol val="none"/>
          </c:marker>
          <c:cat>
            <c:strRef>
              <c:f>HIS_STOCK!$K$29:$K$40</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HIS_STOCK!$Q$29:$Q$40</c:f>
              <c:numCache>
                <c:formatCode>#,\K</c:formatCode>
                <c:ptCount val="12"/>
                <c:pt idx="0">
                  <c:v>484224.67170000001</c:v>
                </c:pt>
                <c:pt idx="1">
                  <c:v>616823.79269999999</c:v>
                </c:pt>
                <c:pt idx="2">
                  <c:v>627474.75719999999</c:v>
                </c:pt>
                <c:pt idx="3">
                  <c:v>367041.40740000003</c:v>
                </c:pt>
                <c:pt idx="4">
                  <c:v>386110.67610000004</c:v>
                </c:pt>
                <c:pt idx="5">
                  <c:v>599610.92489999998</c:v>
                </c:pt>
                <c:pt idx="6">
                  <c:v>771037.56450000009</c:v>
                </c:pt>
                <c:pt idx="7">
                  <c:v>576407.00640000007</c:v>
                </c:pt>
                <c:pt idx="8">
                  <c:v>464717.08470000001</c:v>
                </c:pt>
                <c:pt idx="9">
                  <c:v>523101.84299999999</c:v>
                </c:pt>
                <c:pt idx="10">
                  <c:v>572154.64650000003</c:v>
                </c:pt>
                <c:pt idx="11">
                  <c:v>618212.478</c:v>
                </c:pt>
              </c:numCache>
            </c:numRef>
          </c:val>
          <c:smooth val="0"/>
          <c:extLst>
            <c:ext xmlns:c16="http://schemas.microsoft.com/office/drawing/2014/chart" uri="{C3380CC4-5D6E-409C-BE32-E72D297353CC}">
              <c16:uniqueId val="{00000001-E159-407E-A934-F44181A5337D}"/>
            </c:ext>
          </c:extLst>
        </c:ser>
        <c:ser>
          <c:idx val="2"/>
          <c:order val="2"/>
          <c:tx>
            <c:strRef>
              <c:f>HIS_STOCK!$R$28</c:f>
              <c:strCache>
                <c:ptCount val="1"/>
                <c:pt idx="0">
                  <c:v>18/19</c:v>
                </c:pt>
              </c:strCache>
            </c:strRef>
          </c:tx>
          <c:spPr>
            <a:ln w="28575" cap="rnd">
              <a:solidFill>
                <a:schemeClr val="bg2">
                  <a:lumMod val="25000"/>
                </a:schemeClr>
              </a:solidFill>
              <a:prstDash val="dash"/>
              <a:round/>
            </a:ln>
            <a:effectLst/>
          </c:spPr>
          <c:marker>
            <c:symbol val="none"/>
          </c:marker>
          <c:cat>
            <c:strRef>
              <c:f>HIS_STOCK!$K$29:$K$40</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HIS_STOCK!$R$29:$R$40</c:f>
              <c:numCache>
                <c:formatCode>#,\K</c:formatCode>
                <c:ptCount val="12"/>
                <c:pt idx="0">
                  <c:v>827802.57900000003</c:v>
                </c:pt>
                <c:pt idx="1">
                  <c:v>815999.65140000009</c:v>
                </c:pt>
                <c:pt idx="2">
                  <c:v>662474.3493</c:v>
                </c:pt>
                <c:pt idx="3">
                  <c:v>469605.03450000001</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2-E159-407E-A934-F44181A5337D}"/>
            </c:ext>
          </c:extLst>
        </c:ser>
        <c:ser>
          <c:idx val="3"/>
          <c:order val="3"/>
          <c:tx>
            <c:strRef>
              <c:f>HIS_STOCK!$S$28</c:f>
              <c:strCache>
                <c:ptCount val="1"/>
                <c:pt idx="0">
                  <c:v>18/19</c:v>
                </c:pt>
              </c:strCache>
            </c:strRef>
          </c:tx>
          <c:spPr>
            <a:ln w="28575" cap="rnd">
              <a:solidFill>
                <a:schemeClr val="accent1">
                  <a:lumMod val="60000"/>
                  <a:lumOff val="40000"/>
                </a:schemeClr>
              </a:solidFill>
              <a:prstDash val="solid"/>
              <a:round/>
            </a:ln>
            <a:effectLst/>
          </c:spPr>
          <c:marker>
            <c:symbol val="none"/>
          </c:marker>
          <c:cat>
            <c:strRef>
              <c:f>HIS_STOCK!$K$29:$K$40</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HIS_STOCK!$S$29:$S$40</c:f>
              <c:numCache>
                <c:formatCode>#,\K</c:formatCode>
                <c:ptCount val="12"/>
                <c:pt idx="0">
                  <c:v>#N/A</c:v>
                </c:pt>
                <c:pt idx="1">
                  <c:v>#N/A</c:v>
                </c:pt>
                <c:pt idx="2">
                  <c:v>#N/A</c:v>
                </c:pt>
                <c:pt idx="3">
                  <c:v>#N/A</c:v>
                </c:pt>
                <c:pt idx="4">
                  <c:v>#N/A</c:v>
                </c:pt>
                <c:pt idx="5">
                  <c:v>#N/A</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E159-407E-A934-F44181A5337D}"/>
            </c:ext>
          </c:extLst>
        </c:ser>
        <c:ser>
          <c:idx val="4"/>
          <c:order val="4"/>
          <c:tx>
            <c:strRef>
              <c:f>HIS_STOCK!$T$28</c:f>
              <c:strCache>
                <c:ptCount val="1"/>
                <c:pt idx="0">
                  <c:v>19/20</c:v>
                </c:pt>
              </c:strCache>
            </c:strRef>
          </c:tx>
          <c:spPr>
            <a:ln w="28575" cap="rnd">
              <a:solidFill>
                <a:schemeClr val="accent1">
                  <a:lumMod val="75000"/>
                </a:schemeClr>
              </a:solidFill>
              <a:round/>
            </a:ln>
            <a:effectLst/>
          </c:spPr>
          <c:marker>
            <c:symbol val="none"/>
          </c:marker>
          <c:val>
            <c:numRef>
              <c:f>HIS_STOCK!$T$29:$T$40</c:f>
              <c:numCache>
                <c:formatCode>#,\K</c:formatCode>
                <c:ptCount val="12"/>
                <c:pt idx="0">
                  <c:v>0</c:v>
                </c:pt>
                <c:pt idx="1">
                  <c:v>0</c:v>
                </c:pt>
                <c:pt idx="2">
                  <c:v>0</c:v>
                </c:pt>
                <c:pt idx="3">
                  <c:v>0</c:v>
                </c:pt>
                <c:pt idx="4">
                  <c:v>0</c:v>
                </c:pt>
                <c:pt idx="5">
                  <c:v>0</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0-9FB6-41F2-924D-96AB050B7C0A}"/>
            </c:ext>
          </c:extLst>
        </c:ser>
        <c:dLbls>
          <c:showLegendKey val="0"/>
          <c:showVal val="0"/>
          <c:showCatName val="0"/>
          <c:showSerName val="0"/>
          <c:showPercent val="0"/>
          <c:showBubbleSize val="0"/>
        </c:dLbls>
        <c:smooth val="0"/>
        <c:axId val="2067226383"/>
        <c:axId val="1179416287"/>
      </c:lineChart>
      <c:catAx>
        <c:axId val="20672263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179416287"/>
        <c:crosses val="autoZero"/>
        <c:auto val="1"/>
        <c:lblAlgn val="ctr"/>
        <c:lblOffset val="100"/>
        <c:noMultiLvlLbl val="0"/>
      </c:catAx>
      <c:valAx>
        <c:axId val="1179416287"/>
        <c:scaling>
          <c:orientation val="minMax"/>
        </c:scaling>
        <c:delete val="0"/>
        <c:axPos val="l"/>
        <c:majorGridlines>
          <c:spPr>
            <a:ln w="9525" cap="flat" cmpd="sng" algn="ctr">
              <a:solidFill>
                <a:schemeClr val="tx1">
                  <a:lumMod val="15000"/>
                  <a:lumOff val="85000"/>
                </a:schemeClr>
              </a:solidFill>
              <a:round/>
            </a:ln>
            <a:effectLst/>
          </c:spPr>
        </c:majorGridlines>
        <c:numFmt formatCode="#,\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0672263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nl-NL" sz="1800"/>
              <a:t>NET</a:t>
            </a:r>
            <a:r>
              <a:rPr lang="nl-NL" sz="1800" baseline="0"/>
              <a:t> COGS</a:t>
            </a:r>
            <a:endParaRPr lang="nl-NL" sz="18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nl-NL"/>
        </a:p>
      </c:txPr>
    </c:title>
    <c:autoTitleDeleted val="0"/>
    <c:plotArea>
      <c:layout/>
      <c:lineChart>
        <c:grouping val="standard"/>
        <c:varyColors val="0"/>
        <c:ser>
          <c:idx val="0"/>
          <c:order val="0"/>
          <c:tx>
            <c:strRef>
              <c:f>HIS_STOCK!$P$48</c:f>
              <c:strCache>
                <c:ptCount val="1"/>
                <c:pt idx="0">
                  <c:v>16/17</c:v>
                </c:pt>
              </c:strCache>
            </c:strRef>
          </c:tx>
          <c:spPr>
            <a:ln w="28575" cap="rnd">
              <a:solidFill>
                <a:schemeClr val="bg1">
                  <a:lumMod val="75000"/>
                </a:schemeClr>
              </a:solidFill>
              <a:prstDash val="sysDot"/>
              <a:round/>
            </a:ln>
            <a:effectLst/>
          </c:spPr>
          <c:marker>
            <c:symbol val="none"/>
          </c:marker>
          <c:cat>
            <c:strRef>
              <c:f>HIS_STOCK!$K$49:$K$60</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HIS_STOCK!$P$49:$P$60</c:f>
              <c:numCache>
                <c:formatCode>#,\K</c:formatCode>
                <c:ptCount val="12"/>
                <c:pt idx="0">
                  <c:v>118920.88340000001</c:v>
                </c:pt>
                <c:pt idx="1">
                  <c:v>249937.29500000001</c:v>
                </c:pt>
                <c:pt idx="2">
                  <c:v>399021.8346</c:v>
                </c:pt>
                <c:pt idx="3">
                  <c:v>166147.3259</c:v>
                </c:pt>
                <c:pt idx="4">
                  <c:v>66526.723599999998</c:v>
                </c:pt>
                <c:pt idx="5">
                  <c:v>154313.9486</c:v>
                </c:pt>
                <c:pt idx="6">
                  <c:v>124193.5251</c:v>
                </c:pt>
                <c:pt idx="7">
                  <c:v>188105.0079</c:v>
                </c:pt>
                <c:pt idx="8">
                  <c:v>125322.7886</c:v>
                </c:pt>
                <c:pt idx="9">
                  <c:v>34506.418900000004</c:v>
                </c:pt>
                <c:pt idx="10">
                  <c:v>23761.307100000002</c:v>
                </c:pt>
                <c:pt idx="11">
                  <c:v>57815.2016</c:v>
                </c:pt>
              </c:numCache>
            </c:numRef>
          </c:val>
          <c:smooth val="0"/>
          <c:extLst>
            <c:ext xmlns:c16="http://schemas.microsoft.com/office/drawing/2014/chart" uri="{C3380CC4-5D6E-409C-BE32-E72D297353CC}">
              <c16:uniqueId val="{00000000-AA7C-4BF4-A434-789A9BAD1680}"/>
            </c:ext>
          </c:extLst>
        </c:ser>
        <c:ser>
          <c:idx val="1"/>
          <c:order val="1"/>
          <c:tx>
            <c:strRef>
              <c:f>HIS_STOCK!$Q$48</c:f>
              <c:strCache>
                <c:ptCount val="1"/>
                <c:pt idx="0">
                  <c:v>17/18</c:v>
                </c:pt>
              </c:strCache>
            </c:strRef>
          </c:tx>
          <c:spPr>
            <a:ln w="28575" cap="rnd">
              <a:solidFill>
                <a:schemeClr val="bg1">
                  <a:lumMod val="75000"/>
                </a:schemeClr>
              </a:solidFill>
              <a:prstDash val="dash"/>
              <a:round/>
            </a:ln>
            <a:effectLst/>
          </c:spPr>
          <c:marker>
            <c:symbol val="none"/>
          </c:marker>
          <c:cat>
            <c:strRef>
              <c:f>HIS_STOCK!$K$49:$K$60</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HIS_STOCK!$Q$49:$Q$60</c:f>
              <c:numCache>
                <c:formatCode>#,\K</c:formatCode>
                <c:ptCount val="12"/>
                <c:pt idx="0">
                  <c:v>96497.8796</c:v>
                </c:pt>
                <c:pt idx="1">
                  <c:v>405419.94330000004</c:v>
                </c:pt>
                <c:pt idx="2">
                  <c:v>261209.6361</c:v>
                </c:pt>
                <c:pt idx="3">
                  <c:v>437335.66830000002</c:v>
                </c:pt>
                <c:pt idx="4">
                  <c:v>10982.380200000001</c:v>
                </c:pt>
                <c:pt idx="5">
                  <c:v>138664.3927</c:v>
                </c:pt>
                <c:pt idx="6">
                  <c:v>144404.0189</c:v>
                </c:pt>
                <c:pt idx="7">
                  <c:v>228386.3002</c:v>
                </c:pt>
                <c:pt idx="8">
                  <c:v>185921.2591</c:v>
                </c:pt>
                <c:pt idx="9">
                  <c:v>-28179.275100000003</c:v>
                </c:pt>
                <c:pt idx="10">
                  <c:v>60440.349700000006</c:v>
                </c:pt>
                <c:pt idx="11">
                  <c:v>50987.366200000004</c:v>
                </c:pt>
              </c:numCache>
            </c:numRef>
          </c:val>
          <c:smooth val="0"/>
          <c:extLst>
            <c:ext xmlns:c16="http://schemas.microsoft.com/office/drawing/2014/chart" uri="{C3380CC4-5D6E-409C-BE32-E72D297353CC}">
              <c16:uniqueId val="{00000001-AA7C-4BF4-A434-789A9BAD1680}"/>
            </c:ext>
          </c:extLst>
        </c:ser>
        <c:ser>
          <c:idx val="2"/>
          <c:order val="2"/>
          <c:tx>
            <c:strRef>
              <c:f>HIS_STOCK!$R$48</c:f>
              <c:strCache>
                <c:ptCount val="1"/>
                <c:pt idx="0">
                  <c:v>18/19</c:v>
                </c:pt>
              </c:strCache>
            </c:strRef>
          </c:tx>
          <c:spPr>
            <a:ln w="28575" cap="rnd">
              <a:solidFill>
                <a:schemeClr val="bg2">
                  <a:lumMod val="25000"/>
                </a:schemeClr>
              </a:solidFill>
              <a:prstDash val="dash"/>
              <a:round/>
            </a:ln>
            <a:effectLst/>
          </c:spPr>
          <c:marker>
            <c:symbol val="none"/>
          </c:marker>
          <c:cat>
            <c:strRef>
              <c:f>HIS_STOCK!$K$49:$K$60</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HIS_STOCK!$R$49:$R$60</c:f>
              <c:numCache>
                <c:formatCode>#,\K</c:formatCode>
                <c:ptCount val="12"/>
                <c:pt idx="0">
                  <c:v>191489.91399999999</c:v>
                </c:pt>
                <c:pt idx="1">
                  <c:v>380605.16380000004</c:v>
                </c:pt>
                <c:pt idx="2">
                  <c:v>283421.14780000004</c:v>
                </c:pt>
                <c:pt idx="3">
                  <c:v>242065.90030000001</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2-AA7C-4BF4-A434-789A9BAD1680}"/>
            </c:ext>
          </c:extLst>
        </c:ser>
        <c:ser>
          <c:idx val="3"/>
          <c:order val="3"/>
          <c:tx>
            <c:strRef>
              <c:f>HIS_STOCK!$S$48</c:f>
              <c:strCache>
                <c:ptCount val="1"/>
                <c:pt idx="0">
                  <c:v>18/19</c:v>
                </c:pt>
              </c:strCache>
            </c:strRef>
          </c:tx>
          <c:spPr>
            <a:ln w="28575" cap="rnd">
              <a:solidFill>
                <a:schemeClr val="accent1">
                  <a:lumMod val="60000"/>
                  <a:lumOff val="40000"/>
                </a:schemeClr>
              </a:solidFill>
              <a:round/>
            </a:ln>
            <a:effectLst/>
          </c:spPr>
          <c:marker>
            <c:symbol val="none"/>
          </c:marker>
          <c:cat>
            <c:strRef>
              <c:f>HIS_STOCK!$K$49:$K$60</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HIS_STOCK!$S$49:$S$60</c:f>
              <c:numCache>
                <c:formatCode>#,\K</c:formatCode>
                <c:ptCount val="12"/>
                <c:pt idx="0">
                  <c:v>#N/A</c:v>
                </c:pt>
                <c:pt idx="1">
                  <c:v>#N/A</c:v>
                </c:pt>
                <c:pt idx="2">
                  <c:v>#N/A</c:v>
                </c:pt>
                <c:pt idx="3">
                  <c:v>#N/A</c:v>
                </c:pt>
                <c:pt idx="4">
                  <c:v>#N/A</c:v>
                </c:pt>
                <c:pt idx="5">
                  <c:v>#N/A</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3-AA7C-4BF4-A434-789A9BAD1680}"/>
            </c:ext>
          </c:extLst>
        </c:ser>
        <c:ser>
          <c:idx val="4"/>
          <c:order val="4"/>
          <c:tx>
            <c:strRef>
              <c:f>HIS_STOCK!$T$48</c:f>
              <c:strCache>
                <c:ptCount val="1"/>
                <c:pt idx="0">
                  <c:v>19/20</c:v>
                </c:pt>
              </c:strCache>
            </c:strRef>
          </c:tx>
          <c:spPr>
            <a:ln w="28575" cap="rnd">
              <a:solidFill>
                <a:schemeClr val="accent1">
                  <a:lumMod val="75000"/>
                </a:schemeClr>
              </a:solidFill>
              <a:round/>
            </a:ln>
            <a:effectLst/>
          </c:spPr>
          <c:marker>
            <c:symbol val="none"/>
          </c:marker>
          <c:cat>
            <c:strRef>
              <c:f>HIS_STOCK!$K$49:$K$60</c:f>
              <c:strCache>
                <c:ptCount val="12"/>
                <c:pt idx="0">
                  <c:v>Aug</c:v>
                </c:pt>
                <c:pt idx="1">
                  <c:v>Sep</c:v>
                </c:pt>
                <c:pt idx="2">
                  <c:v>Oct</c:v>
                </c:pt>
                <c:pt idx="3">
                  <c:v>Nov</c:v>
                </c:pt>
                <c:pt idx="4">
                  <c:v>Dec</c:v>
                </c:pt>
                <c:pt idx="5">
                  <c:v>Jan</c:v>
                </c:pt>
                <c:pt idx="6">
                  <c:v>Feb</c:v>
                </c:pt>
                <c:pt idx="7">
                  <c:v>Mar</c:v>
                </c:pt>
                <c:pt idx="8">
                  <c:v>Apr</c:v>
                </c:pt>
                <c:pt idx="9">
                  <c:v>May</c:v>
                </c:pt>
                <c:pt idx="10">
                  <c:v>Jun</c:v>
                </c:pt>
                <c:pt idx="11">
                  <c:v>Jul</c:v>
                </c:pt>
              </c:strCache>
            </c:strRef>
          </c:cat>
          <c:val>
            <c:numRef>
              <c:f>HIS_STOCK!$T$49:$T$60</c:f>
              <c:numCache>
                <c:formatCode>#,\K</c:formatCode>
                <c:ptCount val="12"/>
                <c:pt idx="0">
                  <c:v>0</c:v>
                </c:pt>
                <c:pt idx="1">
                  <c:v>0</c:v>
                </c:pt>
                <c:pt idx="2">
                  <c:v>0</c:v>
                </c:pt>
                <c:pt idx="3">
                  <c:v>0</c:v>
                </c:pt>
                <c:pt idx="4">
                  <c:v>0</c:v>
                </c:pt>
                <c:pt idx="5">
                  <c:v>0</c:v>
                </c:pt>
                <c:pt idx="6">
                  <c:v>0</c:v>
                </c:pt>
                <c:pt idx="7">
                  <c:v>0</c:v>
                </c:pt>
                <c:pt idx="8">
                  <c:v>0</c:v>
                </c:pt>
                <c:pt idx="9">
                  <c:v>#N/A</c:v>
                </c:pt>
                <c:pt idx="10">
                  <c:v>#N/A</c:v>
                </c:pt>
                <c:pt idx="11">
                  <c:v>#N/A</c:v>
                </c:pt>
              </c:numCache>
            </c:numRef>
          </c:val>
          <c:smooth val="0"/>
          <c:extLst>
            <c:ext xmlns:c16="http://schemas.microsoft.com/office/drawing/2014/chart" uri="{C3380CC4-5D6E-409C-BE32-E72D297353CC}">
              <c16:uniqueId val="{00000004-AA7C-4BF4-A434-789A9BAD1680}"/>
            </c:ext>
          </c:extLst>
        </c:ser>
        <c:dLbls>
          <c:showLegendKey val="0"/>
          <c:showVal val="0"/>
          <c:showCatName val="0"/>
          <c:showSerName val="0"/>
          <c:showPercent val="0"/>
          <c:showBubbleSize val="0"/>
        </c:dLbls>
        <c:smooth val="0"/>
        <c:axId val="108285776"/>
        <c:axId val="23204848"/>
      </c:lineChart>
      <c:catAx>
        <c:axId val="108285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23204848"/>
        <c:crosses val="autoZero"/>
        <c:auto val="1"/>
        <c:lblAlgn val="ctr"/>
        <c:lblOffset val="100"/>
        <c:noMultiLvlLbl val="0"/>
      </c:catAx>
      <c:valAx>
        <c:axId val="23204848"/>
        <c:scaling>
          <c:orientation val="minMax"/>
        </c:scaling>
        <c:delete val="0"/>
        <c:axPos val="l"/>
        <c:majorGridlines>
          <c:spPr>
            <a:ln w="9525" cap="flat" cmpd="sng" algn="ctr">
              <a:solidFill>
                <a:schemeClr val="tx1">
                  <a:lumMod val="15000"/>
                  <a:lumOff val="85000"/>
                </a:schemeClr>
              </a:solidFill>
              <a:round/>
            </a:ln>
            <a:effectLst/>
          </c:spPr>
        </c:majorGridlines>
        <c:numFmt formatCode="#,\K"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crossAx val="10828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nl-N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nl-NL"/>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385511345034011E-2"/>
          <c:y val="4.4104302179618853E-2"/>
          <c:w val="0.9509453968404683"/>
          <c:h val="0.82787628819124892"/>
        </c:manualLayout>
      </c:layout>
      <c:barChart>
        <c:barDir val="col"/>
        <c:grouping val="stacked"/>
        <c:varyColors val="0"/>
        <c:ser>
          <c:idx val="1"/>
          <c:order val="0"/>
          <c:tx>
            <c:strRef>
              <c:f>STOCK_OVERVIEW!$C$130</c:f>
              <c:strCache>
                <c:ptCount val="1"/>
                <c:pt idx="0">
                  <c:v>NET_COGS</c:v>
                </c:pt>
              </c:strCache>
            </c:strRef>
          </c:tx>
          <c:spPr>
            <a:solidFill>
              <a:schemeClr val="accent6">
                <a:lumMod val="60000"/>
                <a:lumOff val="40000"/>
              </a:schemeClr>
            </a:solidFill>
            <a:ln>
              <a:noFill/>
            </a:ln>
          </c:spPr>
          <c:invertIfNegative val="0"/>
          <c:cat>
            <c:strRef>
              <c:f>STOCK_OVERVIEW!$B$131:$B$189</c:f>
              <c:strCache>
                <c:ptCount val="56"/>
                <c:pt idx="0">
                  <c:v>Feb</c:v>
                </c:pt>
                <c:pt idx="5">
                  <c:v>Mar</c:v>
                </c:pt>
                <c:pt idx="10">
                  <c:v>Apr</c:v>
                </c:pt>
                <c:pt idx="15">
                  <c:v>May</c:v>
                </c:pt>
                <c:pt idx="20">
                  <c:v>Jun</c:v>
                </c:pt>
                <c:pt idx="25">
                  <c:v>Jul</c:v>
                </c:pt>
                <c:pt idx="30">
                  <c:v>Aug</c:v>
                </c:pt>
                <c:pt idx="35">
                  <c:v>Sep</c:v>
                </c:pt>
                <c:pt idx="40">
                  <c:v>Oct</c:v>
                </c:pt>
                <c:pt idx="45">
                  <c:v>Nov</c:v>
                </c:pt>
                <c:pt idx="50">
                  <c:v>Dec</c:v>
                </c:pt>
                <c:pt idx="55">
                  <c:v>Jan</c:v>
                </c:pt>
              </c:strCache>
            </c:strRef>
          </c:cat>
          <c:val>
            <c:numRef>
              <c:f>STOCK_OVERVIEW!$C$131:$C$189</c:f>
              <c:numCache>
                <c:formatCode>General</c:formatCode>
                <c:ptCount val="59"/>
                <c:pt idx="0" formatCode="_ \ * #,###,\K\ ">
                  <c:v>0</c:v>
                </c:pt>
                <c:pt idx="5" formatCode="_ \ * #,###,\K\ ">
                  <c:v>0</c:v>
                </c:pt>
                <c:pt idx="10" formatCode="_ \ * #,###,\K\ ">
                  <c:v>0</c:v>
                </c:pt>
                <c:pt idx="15" formatCode="_ \ * #,###,\K\ ">
                  <c:v>0</c:v>
                </c:pt>
                <c:pt idx="20" formatCode="_ \ * #,###,\K\ ">
                  <c:v>0</c:v>
                </c:pt>
                <c:pt idx="25" formatCode="_ \ * #,###,\K\ ">
                  <c:v>0</c:v>
                </c:pt>
                <c:pt idx="30" formatCode="_ \ * #,###,\K\ ">
                  <c:v>0</c:v>
                </c:pt>
                <c:pt idx="35" formatCode="_ \ * #,###,\K\ ">
                  <c:v>0</c:v>
                </c:pt>
                <c:pt idx="40" formatCode="_ \ * #,###,\K\ ">
                  <c:v>0</c:v>
                </c:pt>
                <c:pt idx="45" formatCode="_ \ * #,###,\K\ ">
                  <c:v>0</c:v>
                </c:pt>
                <c:pt idx="50" formatCode="_ \ * #,###,\K\ ">
                  <c:v>0</c:v>
                </c:pt>
                <c:pt idx="55" formatCode="_ \ * #,###,\K\ ">
                  <c:v>0</c:v>
                </c:pt>
              </c:numCache>
            </c:numRef>
          </c:val>
          <c:extLst>
            <c:ext xmlns:c16="http://schemas.microsoft.com/office/drawing/2014/chart" uri="{C3380CC4-5D6E-409C-BE32-E72D297353CC}">
              <c16:uniqueId val="{00000007-491B-48E7-B246-24A8179ED4B0}"/>
            </c:ext>
          </c:extLst>
        </c:ser>
        <c:ser>
          <c:idx val="0"/>
          <c:order val="1"/>
          <c:tx>
            <c:strRef>
              <c:f>STOCK_OVERVIEW!$D$130</c:f>
              <c:strCache>
                <c:ptCount val="1"/>
                <c:pt idx="0">
                  <c:v>     PLACED ORDERS</c:v>
                </c:pt>
              </c:strCache>
            </c:strRef>
          </c:tx>
          <c:spPr>
            <a:solidFill>
              <a:srgbClr val="3399FF"/>
            </a:solidFill>
            <a:ln cap="rnd">
              <a:noFill/>
            </a:ln>
          </c:spPr>
          <c:invertIfNegative val="0"/>
          <c:cat>
            <c:strRef>
              <c:f>STOCK_OVERVIEW!$B$131:$B$189</c:f>
              <c:strCache>
                <c:ptCount val="56"/>
                <c:pt idx="0">
                  <c:v>Feb</c:v>
                </c:pt>
                <c:pt idx="5">
                  <c:v>Mar</c:v>
                </c:pt>
                <c:pt idx="10">
                  <c:v>Apr</c:v>
                </c:pt>
                <c:pt idx="15">
                  <c:v>May</c:v>
                </c:pt>
                <c:pt idx="20">
                  <c:v>Jun</c:v>
                </c:pt>
                <c:pt idx="25">
                  <c:v>Jul</c:v>
                </c:pt>
                <c:pt idx="30">
                  <c:v>Aug</c:v>
                </c:pt>
                <c:pt idx="35">
                  <c:v>Sep</c:v>
                </c:pt>
                <c:pt idx="40">
                  <c:v>Oct</c:v>
                </c:pt>
                <c:pt idx="45">
                  <c:v>Nov</c:v>
                </c:pt>
                <c:pt idx="50">
                  <c:v>Dec</c:v>
                </c:pt>
                <c:pt idx="55">
                  <c:v>Jan</c:v>
                </c:pt>
              </c:strCache>
            </c:strRef>
          </c:cat>
          <c:val>
            <c:numRef>
              <c:f>STOCK_OVERVIEW!$D$131:$D$189</c:f>
              <c:numCache>
                <c:formatCode>_ \ * #,###,\K\ </c:formatCode>
                <c:ptCount val="59"/>
                <c:pt idx="1">
                  <c:v>1170421</c:v>
                </c:pt>
                <c:pt idx="6">
                  <c:v>1050251</c:v>
                </c:pt>
                <c:pt idx="11">
                  <c:v>588494</c:v>
                </c:pt>
                <c:pt idx="16">
                  <c:v>232651</c:v>
                </c:pt>
                <c:pt idx="21">
                  <c:v>92874</c:v>
                </c:pt>
                <c:pt idx="26">
                  <c:v>9605</c:v>
                </c:pt>
                <c:pt idx="31">
                  <c:v>285171</c:v>
                </c:pt>
                <c:pt idx="36">
                  <c:v>114241</c:v>
                </c:pt>
                <c:pt idx="41">
                  <c:v>2678</c:v>
                </c:pt>
                <c:pt idx="46">
                  <c:v>0</c:v>
                </c:pt>
                <c:pt idx="51">
                  <c:v>0</c:v>
                </c:pt>
                <c:pt idx="56">
                  <c:v>0</c:v>
                </c:pt>
              </c:numCache>
            </c:numRef>
          </c:val>
          <c:extLst>
            <c:ext xmlns:c16="http://schemas.microsoft.com/office/drawing/2014/chart" uri="{C3380CC4-5D6E-409C-BE32-E72D297353CC}">
              <c16:uniqueId val="{00000006-491B-48E7-B246-24A8179ED4B0}"/>
            </c:ext>
          </c:extLst>
        </c:ser>
        <c:ser>
          <c:idx val="2"/>
          <c:order val="2"/>
          <c:tx>
            <c:strRef>
              <c:f>STOCK_OVERVIEW!$E$130</c:f>
              <c:strCache>
                <c:ptCount val="1"/>
                <c:pt idx="0">
                  <c:v>     OPEN BUDGET</c:v>
                </c:pt>
              </c:strCache>
            </c:strRef>
          </c:tx>
          <c:spPr>
            <a:solidFill>
              <a:srgbClr val="ABE3FF"/>
            </a:solidFill>
            <a:ln>
              <a:solidFill>
                <a:srgbClr val="ABE3FF"/>
              </a:solidFill>
            </a:ln>
          </c:spPr>
          <c:invertIfNegative val="0"/>
          <c:dPt>
            <c:idx val="6"/>
            <c:invertIfNegative val="0"/>
            <c:bubble3D val="0"/>
            <c:spPr>
              <a:solidFill>
                <a:srgbClr val="ABE3FF"/>
              </a:solidFill>
              <a:ln>
                <a:noFill/>
              </a:ln>
            </c:spPr>
            <c:extLst>
              <c:ext xmlns:c16="http://schemas.microsoft.com/office/drawing/2014/chart" uri="{C3380CC4-5D6E-409C-BE32-E72D297353CC}">
                <c16:uniqueId val="{00000004-1235-45A6-A6FD-4E883C68EFB3}"/>
              </c:ext>
            </c:extLst>
          </c:dPt>
          <c:cat>
            <c:strRef>
              <c:f>STOCK_OVERVIEW!$B$131:$B$189</c:f>
              <c:strCache>
                <c:ptCount val="56"/>
                <c:pt idx="0">
                  <c:v>Feb</c:v>
                </c:pt>
                <c:pt idx="5">
                  <c:v>Mar</c:v>
                </c:pt>
                <c:pt idx="10">
                  <c:v>Apr</c:v>
                </c:pt>
                <c:pt idx="15">
                  <c:v>May</c:v>
                </c:pt>
                <c:pt idx="20">
                  <c:v>Jun</c:v>
                </c:pt>
                <c:pt idx="25">
                  <c:v>Jul</c:v>
                </c:pt>
                <c:pt idx="30">
                  <c:v>Aug</c:v>
                </c:pt>
                <c:pt idx="35">
                  <c:v>Sep</c:v>
                </c:pt>
                <c:pt idx="40">
                  <c:v>Oct</c:v>
                </c:pt>
                <c:pt idx="45">
                  <c:v>Nov</c:v>
                </c:pt>
                <c:pt idx="50">
                  <c:v>Dec</c:v>
                </c:pt>
                <c:pt idx="55">
                  <c:v>Jan</c:v>
                </c:pt>
              </c:strCache>
            </c:strRef>
          </c:cat>
          <c:val>
            <c:numRef>
              <c:f>STOCK_OVERVIEW!$E$131:$E$189</c:f>
              <c:numCache>
                <c:formatCode>_ \ * #,###,\K\ </c:formatCode>
                <c:ptCount val="59"/>
                <c:pt idx="1">
                  <c:v>0</c:v>
                </c:pt>
                <c:pt idx="6">
                  <c:v>0</c:v>
                </c:pt>
                <c:pt idx="11">
                  <c:v>0</c:v>
                </c:pt>
                <c:pt idx="16">
                  <c:v>0</c:v>
                </c:pt>
                <c:pt idx="21">
                  <c:v>0</c:v>
                </c:pt>
                <c:pt idx="26">
                  <c:v>0</c:v>
                </c:pt>
                <c:pt idx="31">
                  <c:v>0</c:v>
                </c:pt>
                <c:pt idx="36">
                  <c:v>0</c:v>
                </c:pt>
                <c:pt idx="41">
                  <c:v>0</c:v>
                </c:pt>
                <c:pt idx="46">
                  <c:v>0</c:v>
                </c:pt>
                <c:pt idx="51">
                  <c:v>0</c:v>
                </c:pt>
                <c:pt idx="56">
                  <c:v>0</c:v>
                </c:pt>
              </c:numCache>
            </c:numRef>
          </c:val>
          <c:extLst>
            <c:ext xmlns:c16="http://schemas.microsoft.com/office/drawing/2014/chart" uri="{C3380CC4-5D6E-409C-BE32-E72D297353CC}">
              <c16:uniqueId val="{00000008-491B-48E7-B246-24A8179ED4B0}"/>
            </c:ext>
          </c:extLst>
        </c:ser>
        <c:ser>
          <c:idx val="3"/>
          <c:order val="3"/>
          <c:tx>
            <c:strRef>
              <c:f>STOCK_OVERVIEW!$F$130</c:f>
              <c:strCache>
                <c:ptCount val="1"/>
                <c:pt idx="0">
                  <c:v>PROJECTED CLOSING STOCK</c:v>
                </c:pt>
              </c:strCache>
            </c:strRef>
          </c:tx>
          <c:spPr>
            <a:solidFill>
              <a:schemeClr val="tx2">
                <a:lumMod val="60000"/>
                <a:lumOff val="40000"/>
              </a:schemeClr>
            </a:solidFill>
            <a:ln>
              <a:noFill/>
            </a:ln>
          </c:spPr>
          <c:invertIfNegative val="0"/>
          <c:cat>
            <c:strRef>
              <c:f>STOCK_OVERVIEW!$B$131:$B$189</c:f>
              <c:strCache>
                <c:ptCount val="56"/>
                <c:pt idx="0">
                  <c:v>Feb</c:v>
                </c:pt>
                <c:pt idx="5">
                  <c:v>Mar</c:v>
                </c:pt>
                <c:pt idx="10">
                  <c:v>Apr</c:v>
                </c:pt>
                <c:pt idx="15">
                  <c:v>May</c:v>
                </c:pt>
                <c:pt idx="20">
                  <c:v>Jun</c:v>
                </c:pt>
                <c:pt idx="25">
                  <c:v>Jul</c:v>
                </c:pt>
                <c:pt idx="30">
                  <c:v>Aug</c:v>
                </c:pt>
                <c:pt idx="35">
                  <c:v>Sep</c:v>
                </c:pt>
                <c:pt idx="40">
                  <c:v>Oct</c:v>
                </c:pt>
                <c:pt idx="45">
                  <c:v>Nov</c:v>
                </c:pt>
                <c:pt idx="50">
                  <c:v>Dec</c:v>
                </c:pt>
                <c:pt idx="55">
                  <c:v>Jan</c:v>
                </c:pt>
              </c:strCache>
            </c:strRef>
          </c:cat>
          <c:val>
            <c:numRef>
              <c:f>STOCK_OVERVIEW!$F$131:$F$189</c:f>
              <c:numCache>
                <c:formatCode>General</c:formatCode>
                <c:ptCount val="59"/>
                <c:pt idx="2" formatCode="_ \ * #,###,\K\ ">
                  <c:v>0</c:v>
                </c:pt>
                <c:pt idx="7" formatCode="_ \ * #,###,\K\ ">
                  <c:v>0</c:v>
                </c:pt>
                <c:pt idx="12" formatCode="_ \ * #,###,\K\ ">
                  <c:v>5030820</c:v>
                </c:pt>
                <c:pt idx="17" formatCode="_ \ * #,###,\K\ ">
                  <c:v>5263471</c:v>
                </c:pt>
                <c:pt idx="22" formatCode="_ \ * #,###,\K\ ">
                  <c:v>5356345</c:v>
                </c:pt>
                <c:pt idx="27" formatCode="_ \ * #,###,\K\ ">
                  <c:v>5365950</c:v>
                </c:pt>
                <c:pt idx="32" formatCode="_ \ * #,###,\K\ ">
                  <c:v>5651121</c:v>
                </c:pt>
                <c:pt idx="37" formatCode="_ \ * #,###,\K\ ">
                  <c:v>5765362</c:v>
                </c:pt>
                <c:pt idx="42" formatCode="_ \ * #,###,\K\ ">
                  <c:v>5768040</c:v>
                </c:pt>
                <c:pt idx="47" formatCode="_ \ * #,###,\K\ ">
                  <c:v>5768040</c:v>
                </c:pt>
                <c:pt idx="52" formatCode="_ \ * #,###,\K\ ">
                  <c:v>5768040</c:v>
                </c:pt>
                <c:pt idx="57" formatCode="_ \ * #,###,\K\ ">
                  <c:v>5768040</c:v>
                </c:pt>
              </c:numCache>
            </c:numRef>
          </c:val>
          <c:extLst>
            <c:ext xmlns:c16="http://schemas.microsoft.com/office/drawing/2014/chart" uri="{C3380CC4-5D6E-409C-BE32-E72D297353CC}">
              <c16:uniqueId val="{00000009-491B-48E7-B246-24A8179ED4B0}"/>
            </c:ext>
          </c:extLst>
        </c:ser>
        <c:ser>
          <c:idx val="4"/>
          <c:order val="4"/>
          <c:tx>
            <c:strRef>
              <c:f>STOCK_OVERVIEW!$I$130</c:f>
              <c:strCache>
                <c:ptCount val="1"/>
                <c:pt idx="0">
                  <c:v>TARGET STOCK</c:v>
                </c:pt>
              </c:strCache>
            </c:strRef>
          </c:tx>
          <c:spPr>
            <a:solidFill>
              <a:schemeClr val="bg1">
                <a:lumMod val="75000"/>
              </a:schemeClr>
            </a:solidFill>
            <a:ln>
              <a:noFill/>
            </a:ln>
          </c:spPr>
          <c:invertIfNegative val="0"/>
          <c:cat>
            <c:strRef>
              <c:f>STOCK_OVERVIEW!$B$131:$B$189</c:f>
              <c:strCache>
                <c:ptCount val="56"/>
                <c:pt idx="0">
                  <c:v>Feb</c:v>
                </c:pt>
                <c:pt idx="5">
                  <c:v>Mar</c:v>
                </c:pt>
                <c:pt idx="10">
                  <c:v>Apr</c:v>
                </c:pt>
                <c:pt idx="15">
                  <c:v>May</c:v>
                </c:pt>
                <c:pt idx="20">
                  <c:v>Jun</c:v>
                </c:pt>
                <c:pt idx="25">
                  <c:v>Jul</c:v>
                </c:pt>
                <c:pt idx="30">
                  <c:v>Aug</c:v>
                </c:pt>
                <c:pt idx="35">
                  <c:v>Sep</c:v>
                </c:pt>
                <c:pt idx="40">
                  <c:v>Oct</c:v>
                </c:pt>
                <c:pt idx="45">
                  <c:v>Nov</c:v>
                </c:pt>
                <c:pt idx="50">
                  <c:v>Dec</c:v>
                </c:pt>
                <c:pt idx="55">
                  <c:v>Jan</c:v>
                </c:pt>
              </c:strCache>
            </c:strRef>
          </c:cat>
          <c:val>
            <c:numRef>
              <c:f>STOCK_OVERVIEW!$I$131:$I$189</c:f>
              <c:numCache>
                <c:formatCode>General</c:formatCode>
                <c:ptCount val="59"/>
                <c:pt idx="3" formatCode="_ \ * #,###,\K\ ">
                  <c:v>0</c:v>
                </c:pt>
                <c:pt idx="8" formatCode="_ \ * #,###,\K\ ">
                  <c:v>0</c:v>
                </c:pt>
                <c:pt idx="13" formatCode="_ \ * #,###,\K\ ">
                  <c:v>0</c:v>
                </c:pt>
                <c:pt idx="18" formatCode="_ \ * #,###,\K\ ">
                  <c:v>0</c:v>
                </c:pt>
                <c:pt idx="23" formatCode="_ \ * #,###,\K\ ">
                  <c:v>0</c:v>
                </c:pt>
                <c:pt idx="28" formatCode="_ \ * #,###,\K\ ">
                  <c:v>0</c:v>
                </c:pt>
                <c:pt idx="33" formatCode="_ \ * #,###,\K\ ">
                  <c:v>0</c:v>
                </c:pt>
                <c:pt idx="38" formatCode="_ \ * #,###,\K\ ">
                  <c:v>0</c:v>
                </c:pt>
                <c:pt idx="43" formatCode="_ \ * #,###,\K\ ">
                  <c:v>0</c:v>
                </c:pt>
                <c:pt idx="48" formatCode="_ \ * #,###,\K\ ">
                  <c:v>0</c:v>
                </c:pt>
                <c:pt idx="53" formatCode="_ \ * #,###,\K\ ">
                  <c:v>0</c:v>
                </c:pt>
                <c:pt idx="58" formatCode="_ \ * #,###,\K\ ">
                  <c:v>0</c:v>
                </c:pt>
              </c:numCache>
            </c:numRef>
          </c:val>
          <c:extLst>
            <c:ext xmlns:c16="http://schemas.microsoft.com/office/drawing/2014/chart" uri="{C3380CC4-5D6E-409C-BE32-E72D297353CC}">
              <c16:uniqueId val="{0000000A-491B-48E7-B246-24A8179ED4B0}"/>
            </c:ext>
          </c:extLst>
        </c:ser>
        <c:ser>
          <c:idx val="6"/>
          <c:order val="6"/>
          <c:tx>
            <c:strRef>
              <c:f>STOCK_OVERVIEW!$G$130</c:f>
              <c:strCache>
                <c:ptCount val="1"/>
                <c:pt idx="0">
                  <c:v>CARRY-OVER STOCK</c:v>
                </c:pt>
              </c:strCache>
            </c:strRef>
          </c:tx>
          <c:spPr>
            <a:solidFill>
              <a:schemeClr val="tx2">
                <a:lumMod val="75000"/>
              </a:schemeClr>
            </a:solidFill>
            <a:ln w="0">
              <a:noFill/>
            </a:ln>
          </c:spPr>
          <c:invertIfNegative val="0"/>
          <c:dPt>
            <c:idx val="37"/>
            <c:invertIfNegative val="0"/>
            <c:bubble3D val="0"/>
            <c:spPr>
              <a:solidFill>
                <a:schemeClr val="tx2">
                  <a:lumMod val="75000"/>
                </a:schemeClr>
              </a:solidFill>
              <a:ln w="0" cmpd="sng">
                <a:noFill/>
              </a:ln>
            </c:spPr>
            <c:extLst>
              <c:ext xmlns:c16="http://schemas.microsoft.com/office/drawing/2014/chart" uri="{C3380CC4-5D6E-409C-BE32-E72D297353CC}">
                <c16:uniqueId val="{0000001C-E864-435F-BC19-EB36DCC2884B}"/>
              </c:ext>
            </c:extLst>
          </c:dPt>
          <c:val>
            <c:numRef>
              <c:f>STOCK_OVERVIEW!$G$131:$G$189</c:f>
              <c:numCache>
                <c:formatCode>General</c:formatCode>
                <c:ptCount val="59"/>
                <c:pt idx="2" formatCode="#,\K">
                  <c:v>0</c:v>
                </c:pt>
                <c:pt idx="7" formatCode="#,\K">
                  <c:v>0</c:v>
                </c:pt>
                <c:pt idx="12" formatCode="#,\K">
                  <c:v>0</c:v>
                </c:pt>
                <c:pt idx="17" formatCode="#,\K">
                  <c:v>0</c:v>
                </c:pt>
                <c:pt idx="22" formatCode="#,\K">
                  <c:v>0</c:v>
                </c:pt>
                <c:pt idx="27" formatCode="#,\K">
                  <c:v>0</c:v>
                </c:pt>
                <c:pt idx="32" formatCode="#,\K">
                  <c:v>0</c:v>
                </c:pt>
                <c:pt idx="37" formatCode="#,\K">
                  <c:v>0</c:v>
                </c:pt>
                <c:pt idx="42" formatCode="#,\K">
                  <c:v>0</c:v>
                </c:pt>
                <c:pt idx="47" formatCode="#,\K">
                  <c:v>0</c:v>
                </c:pt>
                <c:pt idx="52" formatCode="#,\K">
                  <c:v>0</c:v>
                </c:pt>
                <c:pt idx="57" formatCode="#,\K">
                  <c:v>0</c:v>
                </c:pt>
              </c:numCache>
            </c:numRef>
          </c:val>
          <c:extLst>
            <c:ext xmlns:c16="http://schemas.microsoft.com/office/drawing/2014/chart" uri="{C3380CC4-5D6E-409C-BE32-E72D297353CC}">
              <c16:uniqueId val="{00000001-E864-435F-BC19-EB36DCC2884B}"/>
            </c:ext>
          </c:extLst>
        </c:ser>
        <c:dLbls>
          <c:showLegendKey val="0"/>
          <c:showVal val="0"/>
          <c:showCatName val="0"/>
          <c:showSerName val="0"/>
          <c:showPercent val="0"/>
          <c:showBubbleSize val="0"/>
        </c:dLbls>
        <c:gapWidth val="0"/>
        <c:overlap val="100"/>
        <c:axId val="734712336"/>
        <c:axId val="734712896"/>
      </c:barChart>
      <c:lineChart>
        <c:grouping val="standard"/>
        <c:varyColors val="0"/>
        <c:ser>
          <c:idx val="5"/>
          <c:order val="5"/>
          <c:tx>
            <c:strRef>
              <c:f>STOCK_OVERVIEW!$H$130</c:f>
              <c:strCache>
                <c:ptCount val="1"/>
                <c:pt idx="0">
                  <c:v>CLOSING STOCK LY</c:v>
                </c:pt>
              </c:strCache>
            </c:strRef>
          </c:tx>
          <c:spPr>
            <a:ln>
              <a:solidFill>
                <a:schemeClr val="bg1">
                  <a:lumMod val="75000"/>
                </a:schemeClr>
              </a:solidFill>
              <a:prstDash val="dash"/>
            </a:ln>
          </c:spPr>
          <c:marker>
            <c:symbol val="none"/>
          </c:marker>
          <c:cat>
            <c:strRef>
              <c:f>STOCK_OVERVIEW!$B$131:$B$189</c:f>
              <c:strCache>
                <c:ptCount val="56"/>
                <c:pt idx="0">
                  <c:v>Feb</c:v>
                </c:pt>
                <c:pt idx="5">
                  <c:v>Mar</c:v>
                </c:pt>
                <c:pt idx="10">
                  <c:v>Apr</c:v>
                </c:pt>
                <c:pt idx="15">
                  <c:v>May</c:v>
                </c:pt>
                <c:pt idx="20">
                  <c:v>Jun</c:v>
                </c:pt>
                <c:pt idx="25">
                  <c:v>Jul</c:v>
                </c:pt>
                <c:pt idx="30">
                  <c:v>Aug</c:v>
                </c:pt>
                <c:pt idx="35">
                  <c:v>Sep</c:v>
                </c:pt>
                <c:pt idx="40">
                  <c:v>Oct</c:v>
                </c:pt>
                <c:pt idx="45">
                  <c:v>Nov</c:v>
                </c:pt>
                <c:pt idx="50">
                  <c:v>Dec</c:v>
                </c:pt>
                <c:pt idx="55">
                  <c:v>Jan</c:v>
                </c:pt>
              </c:strCache>
            </c:strRef>
          </c:cat>
          <c:val>
            <c:numRef>
              <c:f>STOCK_OVERVIEW!$H$131:$H$189</c:f>
              <c:numCache>
                <c:formatCode>General</c:formatCode>
                <c:ptCount val="59"/>
                <c:pt idx="3" formatCode="_ \ * #,###,\K\ ">
                  <c:v>2790643.7552999998</c:v>
                </c:pt>
                <c:pt idx="8" formatCode="_ \ * #,###,\K\ ">
                  <c:v>2530224.4391999999</c:v>
                </c:pt>
                <c:pt idx="13" formatCode="_ \ * #,###,\K\ ">
                  <c:v>2236765.1804999993</c:v>
                </c:pt>
                <c:pt idx="18" formatCode="_ \ * #,###,\K\ ">
                  <c:v>2345813.8928999989</c:v>
                </c:pt>
                <c:pt idx="22" formatCode="_ \ * #,###,\K\ ">
                  <c:v>2579901.5516999997</c:v>
                </c:pt>
                <c:pt idx="28" formatCode="_ \ * #,###,\K\ ">
                  <c:v>2810007.0063000005</c:v>
                </c:pt>
                <c:pt idx="33" formatCode="_ \ * #,###,\K\ ">
                  <c:v>3310757.0526000005</c:v>
                </c:pt>
                <c:pt idx="38" formatCode="_ \ * #,###,\K\ ">
                  <c:v>3511805.0106000002</c:v>
                </c:pt>
                <c:pt idx="43" formatCode="_ \ * #,###,\K\ ">
                  <c:v>3282124.3428000002</c:v>
                </c:pt>
                <c:pt idx="48" formatCode="_ \ * #,###,\K\ ">
                  <c:v>2539484.8398000011</c:v>
                </c:pt>
                <c:pt idx="53" formatCode="_ \ * #,###,\K\ ">
                  <c:v>0</c:v>
                </c:pt>
                <c:pt idx="58" formatCode="_ \ * #,###,\K\ ">
                  <c:v>0</c:v>
                </c:pt>
              </c:numCache>
            </c:numRef>
          </c:val>
          <c:smooth val="0"/>
          <c:extLst>
            <c:ext xmlns:c16="http://schemas.microsoft.com/office/drawing/2014/chart" uri="{C3380CC4-5D6E-409C-BE32-E72D297353CC}">
              <c16:uniqueId val="{0000000D-491B-48E7-B246-24A8179ED4B0}"/>
            </c:ext>
          </c:extLst>
        </c:ser>
        <c:dLbls>
          <c:showLegendKey val="0"/>
          <c:showVal val="0"/>
          <c:showCatName val="0"/>
          <c:showSerName val="0"/>
          <c:showPercent val="0"/>
          <c:showBubbleSize val="0"/>
        </c:dLbls>
        <c:marker val="1"/>
        <c:smooth val="0"/>
        <c:axId val="734712336"/>
        <c:axId val="734712896"/>
      </c:lineChart>
      <c:catAx>
        <c:axId val="734712336"/>
        <c:scaling>
          <c:orientation val="minMax"/>
        </c:scaling>
        <c:delete val="0"/>
        <c:axPos val="b"/>
        <c:numFmt formatCode="General" sourceLinked="1"/>
        <c:majorTickMark val="none"/>
        <c:minorTickMark val="none"/>
        <c:tickLblPos val="nextTo"/>
        <c:txPr>
          <a:bodyPr/>
          <a:lstStyle/>
          <a:p>
            <a:pPr>
              <a:defRPr b="1"/>
            </a:pPr>
            <a:endParaRPr lang="nl-NL"/>
          </a:p>
        </c:txPr>
        <c:crossAx val="734712896"/>
        <c:crosses val="autoZero"/>
        <c:auto val="1"/>
        <c:lblAlgn val="ctr"/>
        <c:lblOffset val="100"/>
        <c:noMultiLvlLbl val="0"/>
      </c:catAx>
      <c:valAx>
        <c:axId val="734712896"/>
        <c:scaling>
          <c:orientation val="minMax"/>
        </c:scaling>
        <c:delete val="0"/>
        <c:axPos val="l"/>
        <c:majorGridlines>
          <c:spPr>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c:spPr>
        </c:majorGridlines>
        <c:numFmt formatCode="_ \ * #,###,\K\ " sourceLinked="0"/>
        <c:majorTickMark val="out"/>
        <c:minorTickMark val="none"/>
        <c:tickLblPos val="nextTo"/>
        <c:spPr>
          <a:solidFill>
            <a:schemeClr val="bg1">
              <a:lumMod val="95000"/>
            </a:schemeClr>
          </a:solidFill>
          <a:ln>
            <a:solidFill>
              <a:schemeClr val="bg1">
                <a:lumMod val="95000"/>
              </a:schemeClr>
            </a:solidFill>
          </a:ln>
        </c:spPr>
        <c:crossAx val="734712336"/>
        <c:crosses val="autoZero"/>
        <c:crossBetween val="between"/>
      </c:valAx>
      <c:spPr>
        <a:solidFill>
          <a:schemeClr val="bg1">
            <a:lumMod val="95000"/>
          </a:schemeClr>
        </a:solidFill>
        <a:ln>
          <a:noFill/>
        </a:ln>
      </c:spPr>
    </c:plotArea>
    <c:legend>
      <c:legendPos val="r"/>
      <c:layout>
        <c:manualLayout>
          <c:xMode val="edge"/>
          <c:yMode val="edge"/>
          <c:x val="4.3925875085792723E-2"/>
          <c:y val="8.6589460276390081E-3"/>
          <c:w val="0.90981504799889024"/>
          <c:h val="8.8467183694837331E-2"/>
        </c:manualLayout>
      </c:layout>
      <c:overlay val="0"/>
    </c:legend>
    <c:plotVisOnly val="1"/>
    <c:dispBlanksAs val="span"/>
    <c:showDLblsOverMax val="0"/>
  </c:chart>
  <c:spPr>
    <a:solidFill>
      <a:schemeClr val="bg1">
        <a:lumMod val="95000"/>
      </a:schemeClr>
    </a:solidFill>
    <a:ln>
      <a:solidFill>
        <a:schemeClr val="bg1">
          <a:lumMod val="95000"/>
        </a:schemeClr>
      </a:solidFill>
    </a:ln>
    <a:effectLst/>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2.jpg"/><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microsoft.com/office/2007/relationships/hdphoto" Target="../media/hdphoto1.wdp"/><Relationship Id="rId5" Type="http://schemas.openxmlformats.org/officeDocument/2006/relationships/image" Target="../media/image1.png"/><Relationship Id="rId10" Type="http://schemas.openxmlformats.org/officeDocument/2006/relationships/chart" Target="../charts/chart7.xml"/><Relationship Id="rId4" Type="http://schemas.openxmlformats.org/officeDocument/2006/relationships/chart" Target="../charts/chart4.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10.xml"/><Relationship Id="rId7" Type="http://schemas.microsoft.com/office/2007/relationships/hdphoto" Target="../media/hdphoto1.wdp"/><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1.png"/><Relationship Id="rId5" Type="http://schemas.openxmlformats.org/officeDocument/2006/relationships/chart" Target="../charts/chart12.xml"/><Relationship Id="rId10" Type="http://schemas.openxmlformats.org/officeDocument/2006/relationships/chart" Target="../charts/chart14.xml"/><Relationship Id="rId4" Type="http://schemas.openxmlformats.org/officeDocument/2006/relationships/chart" Target="../charts/chart11.xml"/><Relationship Id="rId9" Type="http://schemas.openxmlformats.org/officeDocument/2006/relationships/image" Target="../media/image2.jpg"/></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5" Type="http://schemas.openxmlformats.org/officeDocument/2006/relationships/image" Target="../media/image2.jpg"/><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5" Type="http://schemas.openxmlformats.org/officeDocument/2006/relationships/chart" Target="../charts/chart22.xml"/><Relationship Id="rId4" Type="http://schemas.openxmlformats.org/officeDocument/2006/relationships/image" Target="../media/image2.jp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2.jpg"/></Relationships>
</file>

<file path=xl/drawings/_rels/drawing8.xml.rels><?xml version="1.0" encoding="UTF-8" standalone="yes"?>
<Relationships xmlns="http://schemas.openxmlformats.org/package/2006/relationships"><Relationship Id="rId8" Type="http://schemas.openxmlformats.org/officeDocument/2006/relationships/chart" Target="../charts/chart30.xml"/><Relationship Id="rId3" Type="http://schemas.openxmlformats.org/officeDocument/2006/relationships/chart" Target="../charts/chart25.xml"/><Relationship Id="rId7" Type="http://schemas.openxmlformats.org/officeDocument/2006/relationships/chart" Target="../charts/chart29.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1</xdr:col>
      <xdr:colOff>0</xdr:colOff>
      <xdr:row>25</xdr:row>
      <xdr:rowOff>26916</xdr:rowOff>
    </xdr:from>
    <xdr:to>
      <xdr:col>3</xdr:col>
      <xdr:colOff>0</xdr:colOff>
      <xdr:row>29</xdr:row>
      <xdr:rowOff>0</xdr:rowOff>
    </xdr:to>
    <xdr:sp macro="[0]!front_page_button" textlink="">
      <xdr:nvSpPr>
        <xdr:cNvPr id="3" name="Rectangle: Rounded Corners 2">
          <a:extLst>
            <a:ext uri="{FF2B5EF4-FFF2-40B4-BE49-F238E27FC236}">
              <a16:creationId xmlns:a16="http://schemas.microsoft.com/office/drawing/2014/main" id="{00000000-0008-0000-0000-000003000000}"/>
            </a:ext>
          </a:extLst>
        </xdr:cNvPr>
        <xdr:cNvSpPr/>
      </xdr:nvSpPr>
      <xdr:spPr>
        <a:xfrm>
          <a:off x="814917" y="5233916"/>
          <a:ext cx="2751666" cy="735084"/>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nl-NL" sz="1600">
              <a:latin typeface="Arial Black" panose="020B0A04020102020204" pitchFamily="34" charset="0"/>
            </a:rPr>
            <a:t>Export</a:t>
          </a:r>
          <a:r>
            <a:rPr lang="nl-NL" sz="1600" baseline="0">
              <a:latin typeface="Arial Black" panose="020B0A04020102020204" pitchFamily="34" charset="0"/>
            </a:rPr>
            <a:t> forcast data</a:t>
          </a:r>
          <a:endParaRPr lang="nl-NL" sz="1600">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276225</xdr:colOff>
      <xdr:row>38</xdr:row>
      <xdr:rowOff>104775</xdr:rowOff>
    </xdr:from>
    <xdr:to>
      <xdr:col>26</xdr:col>
      <xdr:colOff>200024</xdr:colOff>
      <xdr:row>50</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114299</xdr:colOff>
      <xdr:row>3</xdr:row>
      <xdr:rowOff>202405</xdr:rowOff>
    </xdr:from>
    <xdr:to>
      <xdr:col>13</xdr:col>
      <xdr:colOff>0</xdr:colOff>
      <xdr:row>15</xdr:row>
      <xdr:rowOff>178592</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150019</xdr:colOff>
      <xdr:row>4</xdr:row>
      <xdr:rowOff>0</xdr:rowOff>
    </xdr:from>
    <xdr:to>
      <xdr:col>26</xdr:col>
      <xdr:colOff>35718</xdr:colOff>
      <xdr:row>15</xdr:row>
      <xdr:rowOff>130968</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171451</xdr:colOff>
      <xdr:row>38</xdr:row>
      <xdr:rowOff>133351</xdr:rowOff>
    </xdr:from>
    <xdr:to>
      <xdr:col>13</xdr:col>
      <xdr:colOff>0</xdr:colOff>
      <xdr:row>50</xdr:row>
      <xdr:rowOff>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20</xdr:col>
      <xdr:colOff>141312</xdr:colOff>
      <xdr:row>30</xdr:row>
      <xdr:rowOff>184603</xdr:rowOff>
    </xdr:from>
    <xdr:to>
      <xdr:col>22</xdr:col>
      <xdr:colOff>183989</xdr:colOff>
      <xdr:row>32</xdr:row>
      <xdr:rowOff>186770</xdr:rowOff>
    </xdr:to>
    <xdr:pic macro="[0]!INPUTDATA.savedata_M">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5">
          <a:biLevel thresh="75000"/>
          <a:extLst>
            <a:ext uri="{BEBA8EAE-BF5A-486C-A8C5-ECC9F3942E4B}">
              <a14:imgProps xmlns:a14="http://schemas.microsoft.com/office/drawing/2010/main">
                <a14:imgLayer r:embed="rId6">
                  <a14:imgEffect>
                    <a14:sharpenSoften amount="-25000"/>
                  </a14:imgEffect>
                  <a14:imgEffect>
                    <a14:saturation sat="0"/>
                  </a14:imgEffect>
                </a14:imgLayer>
              </a14:imgProps>
            </a:ext>
            <a:ext uri="{28A0092B-C50C-407E-A947-70E740481C1C}">
              <a14:useLocalDpi xmlns:a14="http://schemas.microsoft.com/office/drawing/2010/main" val="0"/>
            </a:ext>
          </a:extLst>
        </a:blip>
        <a:srcRect l="11583" t="36083" r="12741" b="35567"/>
        <a:stretch/>
      </xdr:blipFill>
      <xdr:spPr>
        <a:xfrm>
          <a:off x="14115047" y="6314221"/>
          <a:ext cx="1347826" cy="379357"/>
        </a:xfrm>
        <a:prstGeom prst="rect">
          <a:avLst/>
        </a:prstGeom>
        <a:ln>
          <a:noFill/>
        </a:ln>
        <a:effectLst/>
      </xdr:spPr>
    </xdr:pic>
    <xdr:clientData/>
  </xdr:twoCellAnchor>
  <xdr:twoCellAnchor>
    <xdr:from>
      <xdr:col>1</xdr:col>
      <xdr:colOff>0</xdr:colOff>
      <xdr:row>29</xdr:row>
      <xdr:rowOff>123264</xdr:rowOff>
    </xdr:from>
    <xdr:to>
      <xdr:col>19</xdr:col>
      <xdr:colOff>0</xdr:colOff>
      <xdr:row>36</xdr:row>
      <xdr:rowOff>0</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60</xdr:col>
      <xdr:colOff>550777</xdr:colOff>
      <xdr:row>15</xdr:row>
      <xdr:rowOff>0</xdr:rowOff>
    </xdr:from>
    <xdr:to>
      <xdr:col>63</xdr:col>
      <xdr:colOff>79486</xdr:colOff>
      <xdr:row>22</xdr:row>
      <xdr:rowOff>34514</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18940" t="14015" r="18559" b="13636"/>
        <a:stretch/>
      </xdr:blipFill>
      <xdr:spPr>
        <a:xfrm>
          <a:off x="40222402" y="6415617"/>
          <a:ext cx="1176422" cy="1370542"/>
        </a:xfrm>
        <a:prstGeom prst="rect">
          <a:avLst/>
        </a:prstGeom>
      </xdr:spPr>
    </xdr:pic>
    <xdr:clientData/>
  </xdr:twoCellAnchor>
  <xdr:twoCellAnchor>
    <xdr:from>
      <xdr:col>7</xdr:col>
      <xdr:colOff>114299</xdr:colOff>
      <xdr:row>18</xdr:row>
      <xdr:rowOff>699</xdr:rowOff>
    </xdr:from>
    <xdr:to>
      <xdr:col>13</xdr:col>
      <xdr:colOff>0</xdr:colOff>
      <xdr:row>29</xdr:row>
      <xdr:rowOff>201705</xdr:rowOff>
    </xdr:to>
    <xdr:graphicFrame macro="">
      <xdr:nvGraphicFramePr>
        <xdr:cNvPr id="10" name="Chart 9">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0</xdr:colOff>
      <xdr:row>18</xdr:row>
      <xdr:rowOff>0</xdr:rowOff>
    </xdr:from>
    <xdr:to>
      <xdr:col>25</xdr:col>
      <xdr:colOff>445293</xdr:colOff>
      <xdr:row>29</xdr:row>
      <xdr:rowOff>119061</xdr:rowOff>
    </xdr:to>
    <xdr:graphicFrame macro="">
      <xdr:nvGraphicFramePr>
        <xdr:cNvPr id="11" name="Chart 10">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76201</xdr:colOff>
      <xdr:row>47</xdr:row>
      <xdr:rowOff>59951</xdr:rowOff>
    </xdr:from>
    <xdr:to>
      <xdr:col>26</xdr:col>
      <xdr:colOff>0</xdr:colOff>
      <xdr:row>63</xdr:row>
      <xdr:rowOff>0</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114299</xdr:colOff>
      <xdr:row>4</xdr:row>
      <xdr:rowOff>699</xdr:rowOff>
    </xdr:from>
    <xdr:to>
      <xdr:col>13</xdr:col>
      <xdr:colOff>0</xdr:colOff>
      <xdr:row>19</xdr:row>
      <xdr:rowOff>130968</xdr:rowOff>
    </xdr:to>
    <xdr:graphicFrame macro="">
      <xdr:nvGraphicFramePr>
        <xdr:cNvPr id="23" name="Chart 22">
          <a:extLst>
            <a:ext uri="{FF2B5EF4-FFF2-40B4-BE49-F238E27FC236}">
              <a16:creationId xmlns:a16="http://schemas.microsoft.com/office/drawing/2014/main" id="{00000000-0008-0000-02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150019</xdr:colOff>
      <xdr:row>4</xdr:row>
      <xdr:rowOff>0</xdr:rowOff>
    </xdr:from>
    <xdr:to>
      <xdr:col>26</xdr:col>
      <xdr:colOff>35718</xdr:colOff>
      <xdr:row>20</xdr:row>
      <xdr:rowOff>0</xdr:rowOff>
    </xdr:to>
    <xdr:graphicFrame macro="">
      <xdr:nvGraphicFramePr>
        <xdr:cNvPr id="25" name="Chart 24">
          <a:extLst>
            <a:ext uri="{FF2B5EF4-FFF2-40B4-BE49-F238E27FC236}">
              <a16:creationId xmlns:a16="http://schemas.microsoft.com/office/drawing/2014/main" id="{00000000-0008-0000-02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0</xdr:colOff>
      <xdr:row>48</xdr:row>
      <xdr:rowOff>0</xdr:rowOff>
    </xdr:from>
    <xdr:to>
      <xdr:col>12</xdr:col>
      <xdr:colOff>523314</xdr:colOff>
      <xdr:row>63</xdr:row>
      <xdr:rowOff>124384</xdr:rowOff>
    </xdr:to>
    <xdr:graphicFrame macro="">
      <xdr:nvGraphicFramePr>
        <xdr:cNvPr id="26" name="Chart 25">
          <a:extLst>
            <a:ext uri="{FF2B5EF4-FFF2-40B4-BE49-F238E27FC236}">
              <a16:creationId xmlns:a16="http://schemas.microsoft.com/office/drawing/2014/main" id="{00000000-0008-0000-02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xdr:colOff>
      <xdr:row>22</xdr:row>
      <xdr:rowOff>0</xdr:rowOff>
    </xdr:from>
    <xdr:to>
      <xdr:col>26</xdr:col>
      <xdr:colOff>1</xdr:colOff>
      <xdr:row>36</xdr:row>
      <xdr:rowOff>1</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20</xdr:col>
      <xdr:colOff>107693</xdr:colOff>
      <xdr:row>40</xdr:row>
      <xdr:rowOff>27721</xdr:rowOff>
    </xdr:from>
    <xdr:to>
      <xdr:col>22</xdr:col>
      <xdr:colOff>148465</xdr:colOff>
      <xdr:row>42</xdr:row>
      <xdr:rowOff>3666</xdr:rowOff>
    </xdr:to>
    <xdr:pic macro="[0]!savedata_Q">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rotWithShape="1">
        <a:blip xmlns:r="http://schemas.openxmlformats.org/officeDocument/2006/relationships" r:embed="rId6">
          <a:biLevel thresh="75000"/>
          <a:extLst>
            <a:ext uri="{BEBA8EAE-BF5A-486C-A8C5-ECC9F3942E4B}">
              <a14:imgProps xmlns:a14="http://schemas.microsoft.com/office/drawing/2010/main">
                <a14:imgLayer r:embed="rId7">
                  <a14:imgEffect>
                    <a14:sharpenSoften amount="-25000"/>
                  </a14:imgEffect>
                  <a14:imgEffect>
                    <a14:saturation sat="0"/>
                  </a14:imgEffect>
                </a14:imgLayer>
              </a14:imgProps>
            </a:ext>
            <a:ext uri="{28A0092B-C50C-407E-A947-70E740481C1C}">
              <a14:useLocalDpi xmlns:a14="http://schemas.microsoft.com/office/drawing/2010/main" val="0"/>
            </a:ext>
          </a:extLst>
        </a:blip>
        <a:srcRect l="11583" t="36083" r="12741" b="35567"/>
        <a:stretch/>
      </xdr:blipFill>
      <xdr:spPr>
        <a:xfrm>
          <a:off x="14081428" y="7950280"/>
          <a:ext cx="1347826" cy="379357"/>
        </a:xfrm>
        <a:prstGeom prst="rect">
          <a:avLst/>
        </a:prstGeom>
        <a:ln>
          <a:noFill/>
        </a:ln>
        <a:effectLst/>
      </xdr:spPr>
    </xdr:pic>
    <xdr:clientData/>
  </xdr:twoCellAnchor>
  <xdr:twoCellAnchor>
    <xdr:from>
      <xdr:col>0</xdr:col>
      <xdr:colOff>0</xdr:colOff>
      <xdr:row>37</xdr:row>
      <xdr:rowOff>78441</xdr:rowOff>
    </xdr:from>
    <xdr:to>
      <xdr:col>19</xdr:col>
      <xdr:colOff>0</xdr:colOff>
      <xdr:row>44</xdr:row>
      <xdr:rowOff>0</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60</xdr:col>
      <xdr:colOff>550777</xdr:colOff>
      <xdr:row>18</xdr:row>
      <xdr:rowOff>52917</xdr:rowOff>
    </xdr:from>
    <xdr:to>
      <xdr:col>63</xdr:col>
      <xdr:colOff>110049</xdr:colOff>
      <xdr:row>25</xdr:row>
      <xdr:rowOff>73038</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8940" t="14015" r="18559" b="13636"/>
        <a:stretch/>
      </xdr:blipFill>
      <xdr:spPr>
        <a:xfrm>
          <a:off x="39878444" y="6445250"/>
          <a:ext cx="1184889" cy="1371600"/>
        </a:xfrm>
        <a:prstGeom prst="rect">
          <a:avLst/>
        </a:prstGeom>
      </xdr:spPr>
    </xdr:pic>
    <xdr:clientData/>
  </xdr:twoCellAnchor>
  <xdr:twoCellAnchor>
    <xdr:from>
      <xdr:col>7</xdr:col>
      <xdr:colOff>114299</xdr:colOff>
      <xdr:row>22</xdr:row>
      <xdr:rowOff>700</xdr:rowOff>
    </xdr:from>
    <xdr:to>
      <xdr:col>13</xdr:col>
      <xdr:colOff>0</xdr:colOff>
      <xdr:row>36</xdr:row>
      <xdr:rowOff>0</xdr:rowOff>
    </xdr:to>
    <xdr:graphicFrame macro="">
      <xdr:nvGraphicFramePr>
        <xdr:cNvPr id="19" name="Chart 18">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276225</xdr:colOff>
      <xdr:row>2</xdr:row>
      <xdr:rowOff>0</xdr:rowOff>
    </xdr:from>
    <xdr:to>
      <xdr:col>26</xdr:col>
      <xdr:colOff>0</xdr:colOff>
      <xdr:row>13</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114299</xdr:colOff>
      <xdr:row>15</xdr:row>
      <xdr:rowOff>202405</xdr:rowOff>
    </xdr:from>
    <xdr:to>
      <xdr:col>13</xdr:col>
      <xdr:colOff>0</xdr:colOff>
      <xdr:row>26</xdr:row>
      <xdr:rowOff>178592</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150019</xdr:colOff>
      <xdr:row>16</xdr:row>
      <xdr:rowOff>0</xdr:rowOff>
    </xdr:from>
    <xdr:to>
      <xdr:col>26</xdr:col>
      <xdr:colOff>35718</xdr:colOff>
      <xdr:row>27</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171451</xdr:colOff>
      <xdr:row>2</xdr:row>
      <xdr:rowOff>0</xdr:rowOff>
    </xdr:from>
    <xdr:to>
      <xdr:col>13</xdr:col>
      <xdr:colOff>0</xdr:colOff>
      <xdr:row>13</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65</xdr:col>
      <xdr:colOff>550777</xdr:colOff>
      <xdr:row>26</xdr:row>
      <xdr:rowOff>0</xdr:rowOff>
    </xdr:from>
    <xdr:to>
      <xdr:col>68</xdr:col>
      <xdr:colOff>349015</xdr:colOff>
      <xdr:row>33</xdr:row>
      <xdr:rowOff>30956</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18940" t="14015" r="18559" b="13636"/>
        <a:stretch/>
      </xdr:blipFill>
      <xdr:spPr>
        <a:xfrm>
          <a:off x="40222402" y="5210175"/>
          <a:ext cx="1176422" cy="13716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114299</xdr:colOff>
      <xdr:row>19</xdr:row>
      <xdr:rowOff>202405</xdr:rowOff>
    </xdr:from>
    <xdr:to>
      <xdr:col>13</xdr:col>
      <xdr:colOff>0</xdr:colOff>
      <xdr:row>33</xdr:row>
      <xdr:rowOff>178592</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150019</xdr:colOff>
      <xdr:row>20</xdr:row>
      <xdr:rowOff>0</xdr:rowOff>
    </xdr:from>
    <xdr:to>
      <xdr:col>26</xdr:col>
      <xdr:colOff>35718</xdr:colOff>
      <xdr:row>33</xdr:row>
      <xdr:rowOff>130968</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171451</xdr:colOff>
      <xdr:row>1</xdr:row>
      <xdr:rowOff>133351</xdr:rowOff>
    </xdr:from>
    <xdr:to>
      <xdr:col>13</xdr:col>
      <xdr:colOff>0</xdr:colOff>
      <xdr:row>16</xdr:row>
      <xdr:rowOff>0</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89</xdr:col>
      <xdr:colOff>349071</xdr:colOff>
      <xdr:row>32</xdr:row>
      <xdr:rowOff>78441</xdr:rowOff>
    </xdr:from>
    <xdr:to>
      <xdr:col>92</xdr:col>
      <xdr:colOff>217768</xdr:colOff>
      <xdr:row>39</xdr:row>
      <xdr:rowOff>60854</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18940" t="14015" r="18559" b="13636"/>
        <a:stretch/>
      </xdr:blipFill>
      <xdr:spPr>
        <a:xfrm>
          <a:off x="62407247" y="6477000"/>
          <a:ext cx="1167458" cy="1372223"/>
        </a:xfrm>
        <a:prstGeom prst="rect">
          <a:avLst/>
        </a:prstGeom>
      </xdr:spPr>
    </xdr:pic>
    <xdr:clientData/>
  </xdr:twoCellAnchor>
  <xdr:twoCellAnchor>
    <xdr:from>
      <xdr:col>19</xdr:col>
      <xdr:colOff>171451</xdr:colOff>
      <xdr:row>1</xdr:row>
      <xdr:rowOff>133351</xdr:rowOff>
    </xdr:from>
    <xdr:to>
      <xdr:col>26</xdr:col>
      <xdr:colOff>0</xdr:colOff>
      <xdr:row>16</xdr:row>
      <xdr:rowOff>0</xdr:rowOff>
    </xdr:to>
    <xdr:graphicFrame macro="">
      <xdr:nvGraphicFramePr>
        <xdr:cNvPr id="12" name="Chart 11">
          <a:extLst>
            <a:ext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387</xdr:row>
      <xdr:rowOff>0</xdr:rowOff>
    </xdr:from>
    <xdr:to>
      <xdr:col>15</xdr:col>
      <xdr:colOff>470514</xdr:colOff>
      <xdr:row>394</xdr:row>
      <xdr:rowOff>38100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8940" t="14015" r="18559" b="13636"/>
        <a:stretch/>
      </xdr:blipFill>
      <xdr:spPr>
        <a:xfrm>
          <a:off x="10534650" y="76866750"/>
          <a:ext cx="1184889" cy="13716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17</xdr:col>
      <xdr:colOff>0</xdr:colOff>
      <xdr:row>385</xdr:row>
      <xdr:rowOff>0</xdr:rowOff>
    </xdr:from>
    <xdr:to>
      <xdr:col>18</xdr:col>
      <xdr:colOff>463106</xdr:colOff>
      <xdr:row>392</xdr:row>
      <xdr:rowOff>38100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8940" t="14015" r="18559" b="13636"/>
        <a:stretch/>
      </xdr:blipFill>
      <xdr:spPr>
        <a:xfrm>
          <a:off x="12734925" y="77952600"/>
          <a:ext cx="1184889" cy="13716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3</xdr:row>
      <xdr:rowOff>0</xdr:rowOff>
    </xdr:from>
    <xdr:to>
      <xdr:col>16</xdr:col>
      <xdr:colOff>0</xdr:colOff>
      <xdr:row>18</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xdr:colOff>
      <xdr:row>19</xdr:row>
      <xdr:rowOff>1</xdr:rowOff>
    </xdr:from>
    <xdr:to>
      <xdr:col>16</xdr:col>
      <xdr:colOff>1</xdr:colOff>
      <xdr:row>29</xdr:row>
      <xdr:rowOff>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30</xdr:row>
      <xdr:rowOff>0</xdr:rowOff>
    </xdr:from>
    <xdr:to>
      <xdr:col>16</xdr:col>
      <xdr:colOff>0</xdr:colOff>
      <xdr:row>46</xdr:row>
      <xdr:rowOff>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47</xdr:row>
      <xdr:rowOff>0</xdr:rowOff>
    </xdr:from>
    <xdr:to>
      <xdr:col>16</xdr:col>
      <xdr:colOff>0</xdr:colOff>
      <xdr:row>62</xdr:row>
      <xdr:rowOff>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3</xdr:row>
      <xdr:rowOff>0</xdr:rowOff>
    </xdr:from>
    <xdr:to>
      <xdr:col>24</xdr:col>
      <xdr:colOff>0</xdr:colOff>
      <xdr:row>18</xdr:row>
      <xdr:rowOff>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0</xdr:colOff>
      <xdr:row>19</xdr:row>
      <xdr:rowOff>0</xdr:rowOff>
    </xdr:from>
    <xdr:to>
      <xdr:col>24</xdr:col>
      <xdr:colOff>0</xdr:colOff>
      <xdr:row>29</xdr:row>
      <xdr:rowOff>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0</xdr:colOff>
      <xdr:row>30</xdr:row>
      <xdr:rowOff>0</xdr:rowOff>
    </xdr:from>
    <xdr:to>
      <xdr:col>24</xdr:col>
      <xdr:colOff>0</xdr:colOff>
      <xdr:row>46</xdr:row>
      <xdr:rowOff>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0</xdr:colOff>
      <xdr:row>3</xdr:row>
      <xdr:rowOff>19050</xdr:rowOff>
    </xdr:from>
    <xdr:to>
      <xdr:col>0</xdr:col>
      <xdr:colOff>1295401</xdr:colOff>
      <xdr:row>10</xdr:row>
      <xdr:rowOff>0</xdr:rowOff>
    </xdr:to>
    <mc:AlternateContent xmlns:mc="http://schemas.openxmlformats.org/markup-compatibility/2006" xmlns:a14="http://schemas.microsoft.com/office/drawing/2010/main">
      <mc:Choice Requires="a14">
        <xdr:graphicFrame macro="">
          <xdr:nvGraphicFramePr>
            <xdr:cNvPr id="10" name="BUSINESS_AREA">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microsoft.com/office/drawing/2010/slicer">
              <sle:slicer xmlns:sle="http://schemas.microsoft.com/office/drawing/2010/slicer" name="BUSINESS_AREA"/>
            </a:graphicData>
          </a:graphic>
        </xdr:graphicFrame>
      </mc:Choice>
      <mc:Fallback xmlns="">
        <xdr:sp macro="" textlink="">
          <xdr:nvSpPr>
            <xdr:cNvPr id="0" name=""/>
            <xdr:cNvSpPr>
              <a:spLocks noTextEdit="1"/>
            </xdr:cNvSpPr>
          </xdr:nvSpPr>
          <xdr:spPr>
            <a:xfrm>
              <a:off x="0" y="619125"/>
              <a:ext cx="1295401" cy="1352550"/>
            </a:xfrm>
            <a:prstGeom prst="rect">
              <a:avLst/>
            </a:prstGeom>
            <a:solidFill>
              <a:prstClr val="white"/>
            </a:solidFill>
            <a:ln w="1">
              <a:solidFill>
                <a:prstClr val="green"/>
              </a:solidFill>
            </a:ln>
          </xdr:spPr>
          <xdr:txBody>
            <a:bodyPr vertOverflow="clip" horzOverflow="clip"/>
            <a:lstStyle/>
            <a:p>
              <a:r>
                <a:rPr lang="nl-N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11</xdr:row>
      <xdr:rowOff>0</xdr:rowOff>
    </xdr:from>
    <xdr:to>
      <xdr:col>0</xdr:col>
      <xdr:colOff>1304924</xdr:colOff>
      <xdr:row>32</xdr:row>
      <xdr:rowOff>104775</xdr:rowOff>
    </xdr:to>
    <mc:AlternateContent xmlns:mc="http://schemas.openxmlformats.org/markup-compatibility/2006" xmlns:a14="http://schemas.microsoft.com/office/drawing/2010/main">
      <mc:Choice Requires="a14">
        <xdr:graphicFrame macro="">
          <xdr:nvGraphicFramePr>
            <xdr:cNvPr id="11" name="PRODUCT_CATEGORY 2">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microsoft.com/office/drawing/2010/slicer">
              <sle:slicer xmlns:sle="http://schemas.microsoft.com/office/drawing/2010/slicer" name="PRODUCT_CATEGORY 2"/>
            </a:graphicData>
          </a:graphic>
        </xdr:graphicFrame>
      </mc:Choice>
      <mc:Fallback xmlns="">
        <xdr:sp macro="" textlink="">
          <xdr:nvSpPr>
            <xdr:cNvPr id="0" name=""/>
            <xdr:cNvSpPr>
              <a:spLocks noTextEdit="1"/>
            </xdr:cNvSpPr>
          </xdr:nvSpPr>
          <xdr:spPr>
            <a:xfrm>
              <a:off x="0" y="2162175"/>
              <a:ext cx="1304924" cy="3990975"/>
            </a:xfrm>
            <a:prstGeom prst="rect">
              <a:avLst/>
            </a:prstGeom>
            <a:solidFill>
              <a:prstClr val="white"/>
            </a:solidFill>
            <a:ln w="1">
              <a:solidFill>
                <a:prstClr val="green"/>
              </a:solidFill>
            </a:ln>
          </xdr:spPr>
          <xdr:txBody>
            <a:bodyPr vertOverflow="clip" horzOverflow="clip"/>
            <a:lstStyle/>
            <a:p>
              <a:r>
                <a:rPr lang="nl-N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0</xdr:colOff>
      <xdr:row>47</xdr:row>
      <xdr:rowOff>0</xdr:rowOff>
    </xdr:from>
    <xdr:to>
      <xdr:col>24</xdr:col>
      <xdr:colOff>0</xdr:colOff>
      <xdr:row>61</xdr:row>
      <xdr:rowOff>190499</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1360713</xdr:colOff>
      <xdr:row>25</xdr:row>
      <xdr:rowOff>27215</xdr:rowOff>
    </xdr:from>
    <xdr:to>
      <xdr:col>11</xdr:col>
      <xdr:colOff>711610</xdr:colOff>
      <xdr:row>44</xdr:row>
      <xdr:rowOff>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12</xdr:col>
      <xdr:colOff>204150</xdr:colOff>
      <xdr:row>25</xdr:row>
      <xdr:rowOff>27129</xdr:rowOff>
    </xdr:from>
    <xdr:to>
      <xdr:col>21</xdr:col>
      <xdr:colOff>176893</xdr:colOff>
      <xdr:row>44</xdr:row>
      <xdr:rowOff>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1</xdr:colOff>
      <xdr:row>25</xdr:row>
      <xdr:rowOff>0</xdr:rowOff>
    </xdr:from>
    <xdr:to>
      <xdr:col>2</xdr:col>
      <xdr:colOff>1</xdr:colOff>
      <xdr:row>48</xdr:row>
      <xdr:rowOff>0</xdr:rowOff>
    </xdr:to>
    <mc:AlternateContent xmlns:mc="http://schemas.openxmlformats.org/markup-compatibility/2006" xmlns:a14="http://schemas.microsoft.com/office/drawing/2010/main">
      <mc:Choice Requires="a14">
        <xdr:graphicFrame macro="">
          <xdr:nvGraphicFramePr>
            <xdr:cNvPr id="6" name="PRODUCT_CATEGORY 1">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microsoft.com/office/drawing/2010/slicer">
              <sle:slicer xmlns:sle="http://schemas.microsoft.com/office/drawing/2010/slicer" name="PRODUCT_CATEGORY 1"/>
            </a:graphicData>
          </a:graphic>
        </xdr:graphicFrame>
      </mc:Choice>
      <mc:Fallback xmlns="">
        <xdr:sp macro="" textlink="">
          <xdr:nvSpPr>
            <xdr:cNvPr id="0" name=""/>
            <xdr:cNvSpPr>
              <a:spLocks noTextEdit="1"/>
            </xdr:cNvSpPr>
          </xdr:nvSpPr>
          <xdr:spPr>
            <a:xfrm>
              <a:off x="176894" y="4708071"/>
              <a:ext cx="1360714" cy="4435929"/>
            </a:xfrm>
            <a:prstGeom prst="rect">
              <a:avLst/>
            </a:prstGeom>
            <a:solidFill>
              <a:prstClr val="white"/>
            </a:solidFill>
            <a:ln w="1">
              <a:solidFill>
                <a:prstClr val="green"/>
              </a:solidFill>
            </a:ln>
          </xdr:spPr>
          <xdr:txBody>
            <a:bodyPr vertOverflow="clip" horzOverflow="clip"/>
            <a:lstStyle/>
            <a:p>
              <a:r>
                <a:rPr lang="nl-N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21</xdr:col>
      <xdr:colOff>353786</xdr:colOff>
      <xdr:row>25</xdr:row>
      <xdr:rowOff>27214</xdr:rowOff>
    </xdr:from>
    <xdr:to>
      <xdr:col>32</xdr:col>
      <xdr:colOff>231279</xdr:colOff>
      <xdr:row>44</xdr:row>
      <xdr:rowOff>85</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2</xdr:col>
      <xdr:colOff>2</xdr:colOff>
      <xdr:row>25</xdr:row>
      <xdr:rowOff>0</xdr:rowOff>
    </xdr:from>
    <xdr:to>
      <xdr:col>12</xdr:col>
      <xdr:colOff>1</xdr:colOff>
      <xdr:row>44</xdr:row>
      <xdr:rowOff>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12</xdr:col>
      <xdr:colOff>285752</xdr:colOff>
      <xdr:row>25</xdr:row>
      <xdr:rowOff>0</xdr:rowOff>
    </xdr:from>
    <xdr:to>
      <xdr:col>21</xdr:col>
      <xdr:colOff>258495</xdr:colOff>
      <xdr:row>44</xdr:row>
      <xdr:rowOff>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1</xdr:colOff>
      <xdr:row>25</xdr:row>
      <xdr:rowOff>0</xdr:rowOff>
    </xdr:from>
    <xdr:to>
      <xdr:col>2</xdr:col>
      <xdr:colOff>0</xdr:colOff>
      <xdr:row>48</xdr:row>
      <xdr:rowOff>0</xdr:rowOff>
    </xdr:to>
    <mc:AlternateContent xmlns:mc="http://schemas.openxmlformats.org/markup-compatibility/2006" xmlns:a14="http://schemas.microsoft.com/office/drawing/2010/main">
      <mc:Choice Requires="a14">
        <xdr:graphicFrame macro="">
          <xdr:nvGraphicFramePr>
            <xdr:cNvPr id="7" name="PRODUCT_CATEGORY">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microsoft.com/office/drawing/2010/slicer">
              <sle:slicer xmlns:sle="http://schemas.microsoft.com/office/drawing/2010/slicer" name="PRODUCT_CATEGORY"/>
            </a:graphicData>
          </a:graphic>
        </xdr:graphicFrame>
      </mc:Choice>
      <mc:Fallback xmlns="">
        <xdr:sp macro="" textlink="">
          <xdr:nvSpPr>
            <xdr:cNvPr id="0" name=""/>
            <xdr:cNvSpPr>
              <a:spLocks noTextEdit="1"/>
            </xdr:cNvSpPr>
          </xdr:nvSpPr>
          <xdr:spPr>
            <a:xfrm>
              <a:off x="176894" y="4694464"/>
              <a:ext cx="1360713" cy="4435929"/>
            </a:xfrm>
            <a:prstGeom prst="rect">
              <a:avLst/>
            </a:prstGeom>
            <a:solidFill>
              <a:prstClr val="white"/>
            </a:solidFill>
            <a:ln w="1">
              <a:solidFill>
                <a:prstClr val="green"/>
              </a:solidFill>
            </a:ln>
          </xdr:spPr>
          <xdr:txBody>
            <a:bodyPr vertOverflow="clip" horzOverflow="clip"/>
            <a:lstStyle/>
            <a:p>
              <a:r>
                <a:rPr lang="nl-N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21</xdr:col>
      <xdr:colOff>551090</xdr:colOff>
      <xdr:row>25</xdr:row>
      <xdr:rowOff>0</xdr:rowOff>
    </xdr:from>
    <xdr:to>
      <xdr:col>32</xdr:col>
      <xdr:colOff>428583</xdr:colOff>
      <xdr:row>44</xdr:row>
      <xdr:rowOff>1671</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4</xdr:row>
      <xdr:rowOff>0</xdr:rowOff>
    </xdr:from>
    <xdr:to>
      <xdr:col>22</xdr:col>
      <xdr:colOff>0</xdr:colOff>
      <xdr:row>30</xdr:row>
      <xdr:rowOff>154781</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0</xdr:rowOff>
        </xdr:from>
        <xdr:to>
          <xdr:col>4</xdr:col>
          <xdr:colOff>0</xdr:colOff>
          <xdr:row>5</xdr:row>
          <xdr:rowOff>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1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hide &amp; 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0</xdr:rowOff>
        </xdr:from>
        <xdr:to>
          <xdr:col>4</xdr:col>
          <xdr:colOff>0</xdr:colOff>
          <xdr:row>9</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11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4</xdr:col>
          <xdr:colOff>0</xdr:colOff>
          <xdr:row>13</xdr:row>
          <xdr:rowOff>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1100-00000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save to Brand_Last_FC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18</xdr:row>
          <xdr:rowOff>0</xdr:rowOff>
        </xdr:from>
        <xdr:to>
          <xdr:col>4</xdr:col>
          <xdr:colOff>0</xdr:colOff>
          <xdr:row>21</xdr:row>
          <xdr:rowOff>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1100-000006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PrepareBrand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14</xdr:row>
          <xdr:rowOff>0</xdr:rowOff>
        </xdr:from>
        <xdr:to>
          <xdr:col>4</xdr:col>
          <xdr:colOff>0</xdr:colOff>
          <xdr:row>17</xdr:row>
          <xdr:rowOff>0</xdr:rowOff>
        </xdr:to>
        <xdr:sp macro="" textlink="">
          <xdr:nvSpPr>
            <xdr:cNvPr id="19463" name="Button 7" hidden="1">
              <a:extLst>
                <a:ext uri="{63B3BB69-23CF-44E3-9099-C40C66FF867C}">
                  <a14:compatExt spid="_x0000_s19463"/>
                </a:ext>
                <a:ext uri="{FF2B5EF4-FFF2-40B4-BE49-F238E27FC236}">
                  <a16:creationId xmlns:a16="http://schemas.microsoft.com/office/drawing/2014/main" id="{00000000-0008-0000-1100-000007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save to all brands forecast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4</xdr:col>
          <xdr:colOff>0</xdr:colOff>
          <xdr:row>26</xdr:row>
          <xdr:rowOff>0</xdr:rowOff>
        </xdr:to>
        <xdr:sp macro="" textlink="">
          <xdr:nvSpPr>
            <xdr:cNvPr id="19464" name="Button 8" hidden="1">
              <a:extLst>
                <a:ext uri="{63B3BB69-23CF-44E3-9099-C40C66FF867C}">
                  <a14:compatExt spid="_x0000_s19464"/>
                </a:ext>
                <a:ext uri="{FF2B5EF4-FFF2-40B4-BE49-F238E27FC236}">
                  <a16:creationId xmlns:a16="http://schemas.microsoft.com/office/drawing/2014/main" id="{00000000-0008-0000-1100-000008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save to LAST_FC(this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27</xdr:row>
          <xdr:rowOff>0</xdr:rowOff>
        </xdr:from>
        <xdr:to>
          <xdr:col>4</xdr:col>
          <xdr:colOff>0</xdr:colOff>
          <xdr:row>30</xdr:row>
          <xdr:rowOff>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1100-000009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l-NL" sz="1100" b="0" i="0" u="none" strike="noStrike" baseline="0">
                  <a:solidFill>
                    <a:srgbClr val="000000"/>
                  </a:solidFill>
                  <a:latin typeface="Calibri"/>
                  <a:cs typeface="Calibri"/>
                </a:rPr>
                <a:t>save to YYYY-MM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estcorp.net\dfsroot1$\project00370\PC\PSMS%20-%20PC.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bestcorp.net\dfsroot1$\Bestseller%20Group\Personal\Amsterdam-eCommerce\jon.thompson\My%20Documents\Cat%20Mgt\STAGE%201%20-%2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Buying Strategy"/>
      <sheetName val="OTB Plan"/>
      <sheetName val="Max Stock"/>
      <sheetName val="OTB Budget"/>
      <sheetName val="OTB Summary"/>
      <sheetName val="Current Season +1"/>
      <sheetName val="Current Season +2"/>
      <sheetName val="Free Money"/>
      <sheetName val="NOOS %"/>
      <sheetName val="PO%"/>
      <sheetName val="Stock End"/>
      <sheetName val="Actual Stock"/>
      <sheetName val="Open PO"/>
      <sheetName val="categories"/>
      <sheetName val="Category FC"/>
      <sheetName val="Hist Sales"/>
      <sheetName val="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4">
          <cell r="D4" t="str">
            <v>ACCESSORIES</v>
          </cell>
        </row>
        <row r="5">
          <cell r="D5" t="str">
            <v>BAGS</v>
          </cell>
        </row>
        <row r="6">
          <cell r="D6" t="str">
            <v>BELTS</v>
          </cell>
        </row>
        <row r="7">
          <cell r="D7" t="str">
            <v>BOTTOMS</v>
          </cell>
        </row>
        <row r="8">
          <cell r="D8" t="str">
            <v>JEWELLERY</v>
          </cell>
        </row>
        <row r="9">
          <cell r="D9" t="str">
            <v>OUTERWEAR</v>
          </cell>
        </row>
        <row r="10">
          <cell r="D10" t="str">
            <v>SCARVES</v>
          </cell>
        </row>
        <row r="11">
          <cell r="D11" t="str">
            <v>SHOES</v>
          </cell>
        </row>
        <row r="12">
          <cell r="D12" t="str">
            <v>TAILORING</v>
          </cell>
        </row>
        <row r="13">
          <cell r="D13" t="str">
            <v>TOPS</v>
          </cell>
        </row>
        <row r="14">
          <cell r="D14" t="str">
            <v>UNDERWEAR</v>
          </cell>
        </row>
        <row r="15">
          <cell r="D15" t="str">
            <v>WINTER ACCESSORIES</v>
          </cell>
        </row>
      </sheetData>
      <sheetData sheetId="15"/>
      <sheetData sheetId="16"/>
      <sheetData sheetId="1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
      <sheetName val="Actual Stock"/>
      <sheetName val="Category"/>
      <sheetName val="BI2"/>
      <sheetName val="Free Money"/>
      <sheetName val="Max Stock Pivot"/>
      <sheetName val="SLICER"/>
      <sheetName val="Demand"/>
      <sheetName val="GSII Index"/>
      <sheetName val="PO%"/>
      <sheetName val="Stock End"/>
      <sheetName val="NOOS Split"/>
      <sheetName val="OTB recommendations"/>
      <sheetName val="Time"/>
    </sheetNames>
    <sheetDataSet>
      <sheetData sheetId="0"/>
      <sheetData sheetId="1">
        <row r="2">
          <cell r="J2" t="str">
            <v>KNIT</v>
          </cell>
        </row>
      </sheetData>
      <sheetData sheetId="2">
        <row r="1">
          <cell r="G1" t="str">
            <v>ON</v>
          </cell>
        </row>
      </sheetData>
      <sheetData sheetId="3">
        <row r="1">
          <cell r="N1">
            <v>6</v>
          </cell>
        </row>
      </sheetData>
      <sheetData sheetId="4">
        <row r="1">
          <cell r="C1" t="str">
            <v>ON</v>
          </cell>
        </row>
      </sheetData>
      <sheetData sheetId="5">
        <row r="3">
          <cell r="B3" t="str">
            <v>Row Labels</v>
          </cell>
        </row>
      </sheetData>
      <sheetData sheetId="6"/>
      <sheetData sheetId="7"/>
      <sheetData sheetId="8">
        <row r="2">
          <cell r="A2" t="str">
            <v>AD</v>
          </cell>
        </row>
      </sheetData>
      <sheetData sheetId="9">
        <row r="24">
          <cell r="E24">
            <v>1.441660054910616</v>
          </cell>
        </row>
      </sheetData>
      <sheetData sheetId="10"/>
      <sheetData sheetId="11">
        <row r="2">
          <cell r="K2" t="str">
            <v>KNIT</v>
          </cell>
        </row>
      </sheetData>
      <sheetData sheetId="12"/>
      <sheetData sheetId="13">
        <row r="16">
          <cell r="C16">
            <v>6</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o.zhang" refreshedDate="43439.700684374999" createdVersion="6" refreshedVersion="6" minRefreshableVersion="3" recordCount="3" xr:uid="{EE523F59-6EC2-47C4-85B7-C2F664505E85}">
  <cacheSource type="worksheet">
    <worksheetSource ref="F3:F6" sheet="PIVOT TABLE"/>
  </cacheSource>
  <cacheFields count="1">
    <cacheField name="business_area" numFmtId="0">
      <sharedItems count="3">
        <s v="BRAND.com"/>
        <s v="BS.com"/>
        <s v="PARTNER.com"/>
      </sharedItems>
    </cacheField>
  </cacheFields>
  <extLst>
    <ext xmlns:x14="http://schemas.microsoft.com/office/spreadsheetml/2009/9/main" uri="{725AE2AE-9491-48be-B2B4-4EB974FC3084}">
      <x14:pivotCacheDefinition pivotCacheId="1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o.zhang" refreshedDate="43439.700685069445" createdVersion="6" refreshedVersion="6" minRefreshableVersion="3" recordCount="16" xr:uid="{03A88789-B83A-43BC-A82C-F10B96AF55A0}">
  <cacheSource type="worksheet">
    <worksheetSource ref="B3:B19" sheet="PIVOT TABLE"/>
  </cacheSource>
  <cacheFields count="1">
    <cacheField name="product_category" numFmtId="0">
      <sharedItems count="23">
        <s v="ACCESSORIES"/>
        <s v="DRESSES"/>
        <s v="JEANS"/>
        <s v="KNIT"/>
        <s v="OUTERWEAR"/>
        <s v="PANTS"/>
        <s v="SHIRTS"/>
        <s v="SHOES"/>
        <s v="SHORTS"/>
        <s v="SKIRTS"/>
        <s v="SWEAT"/>
        <s v="TAILORING"/>
        <s v="TOPS"/>
        <s v="T-SHIRTS"/>
        <s v="T-SHIRTS &amp; TOPS"/>
        <s v=""/>
        <s v="SCARVES" u="1"/>
        <s v="WINTER ACCESSORIES" u="1"/>
        <s v="UNDERWEAR" u="1"/>
        <s v="JEWELLERY" u="1"/>
        <s v="BAGS" u="1"/>
        <s v="BELTS" u="1"/>
        <s v="BOTTOMS" u="1"/>
      </sharedItems>
    </cacheField>
  </cacheFields>
  <extLst>
    <ext xmlns:x14="http://schemas.microsoft.com/office/spreadsheetml/2009/9/main" uri="{725AE2AE-9491-48be-B2B4-4EB974FC3084}">
      <x14:pivotCacheDefinition pivotCacheId="1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o.zhang" refreshedDate="43439.700685995369" createdVersion="6" refreshedVersion="6" minRefreshableVersion="3" recordCount="1249" xr:uid="{D2BC1E0B-485E-4E1D-8FE9-87EF9AA454F5}">
  <cacheSource type="worksheet">
    <worksheetSource ref="C1:E1048576" sheet="HIS_SALES"/>
  </cacheSource>
  <cacheFields count="6">
    <cacheField name="brand" numFmtId="0">
      <sharedItems containsBlank="1" count="9">
        <s v="VM"/>
        <m/>
        <s v="ON" u="1"/>
        <s v="SL-F" u="1"/>
        <s v="PT" u="1"/>
        <s v="PC" u="1"/>
        <s v="JJ" u="1"/>
        <s v="SL-H" u="1"/>
        <s v="VL" u="1"/>
      </sharedItems>
    </cacheField>
    <cacheField name="business_area" numFmtId="0">
      <sharedItems containsBlank="1" count="4">
        <s v="BRAND.com"/>
        <s v="BS.com"/>
        <s v="PARTNER.com"/>
        <m/>
      </sharedItems>
    </cacheField>
    <cacheField name="product_category" numFmtId="0">
      <sharedItems containsBlank="1" count="28">
        <s v="ACCESSORIES"/>
        <s v="DRESSES"/>
        <s v="JEANS"/>
        <s v="KNIT"/>
        <s v="OUTERWEAR"/>
        <s v="PANTS"/>
        <s v="SHIRTS"/>
        <s v="SHOES"/>
        <s v="SHORTS"/>
        <s v="SKIRTS"/>
        <s v="SWEAT"/>
        <s v="T-SHIRTS"/>
        <s v="T-SHIRTS &amp; TOPS"/>
        <s v="TAILORING"/>
        <s v="TOPS"/>
        <m/>
        <s v="SCARVES" u="1"/>
        <s v="WINTER ACCESSORIES" u="1"/>
        <s v="JACKETS" u="1"/>
        <s v="UNDERWEAR" u="1"/>
        <s v="JEWELLERY" u="1"/>
        <s v="BAGS" u="1"/>
        <s v="EFFECTS" u="1"/>
        <s v="KNIT TOPS" u="1"/>
        <s v="TEES &amp; TOPS" u="1"/>
        <s v="BELTS" u="1"/>
        <s v="SWIMWEAR" u="1"/>
        <s v="BOTTOMS" u="1"/>
      </sharedItems>
    </cacheField>
    <cacheField name="Discount %" numFmtId="0" formula="#NAME?/#NAME?" databaseField="0"/>
    <cacheField name="Mark-up" numFmtId="0" formula=" (#NAME?-#NAME?)/#NAME?*1.19" databaseField="0"/>
    <cacheField name="Discount_%" numFmtId="0" formula="#NAME?/(#NAME?+#NAME?)"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o.zhang" refreshedDate="43439.700687384262" createdVersion="6" refreshedVersion="6" minRefreshableVersion="3" recordCount="786" xr:uid="{41DECA4F-C03B-4D1A-80BA-AC7A1F43C844}">
  <cacheSource type="worksheet">
    <worksheetSource ref="A1:H1048576" sheet="HIS_STOCK"/>
  </cacheSource>
  <cacheFields count="8">
    <cacheField name="noos" numFmtId="0">
      <sharedItems containsBlank="1" count="3">
        <s v="NON-NOOS"/>
        <s v="NOOS"/>
        <m/>
      </sharedItems>
    </cacheField>
    <cacheField name="brand" numFmtId="0">
      <sharedItems containsBlank="1"/>
    </cacheField>
    <cacheField name="product_category" numFmtId="0">
      <sharedItems containsBlank="1" count="16">
        <s v="ACCESSORIES"/>
        <s v="DRESSES"/>
        <s v="JEANS"/>
        <s v="KNIT"/>
        <s v="OUTERWEAR"/>
        <s v="PANTS"/>
        <s v="SHIRTS"/>
        <s v="SHOES"/>
        <s v="SHORTS"/>
        <s v="SKIRTS"/>
        <s v="SWEAT"/>
        <s v="T-SHIRTS"/>
        <s v="T-SHIRTS &amp; TOPS"/>
        <s v="TAILORING"/>
        <s v="TOPS"/>
        <m/>
      </sharedItems>
    </cacheField>
    <cacheField name="fy" numFmtId="0">
      <sharedItems containsBlank="1" count="4">
        <s v="16/17"/>
        <s v="17/18"/>
        <s v="18/19"/>
        <m/>
      </sharedItems>
    </cacheField>
    <cacheField name="month" numFmtId="0">
      <sharedItems containsBlank="1" count="13">
        <s v="Sep"/>
        <s v="Nov"/>
        <s v="Jan"/>
        <s v="Mar"/>
        <s v="May"/>
        <s v="Jul"/>
        <s v="Aug"/>
        <s v="Oct"/>
        <s v="Dec"/>
        <s v="Feb"/>
        <s v="Apr"/>
        <s v="Jun"/>
        <m/>
      </sharedItems>
    </cacheField>
    <cacheField name="eoh_val" numFmtId="176">
      <sharedItems containsString="0" containsBlank="1" containsNumber="1" minValue="0" maxValue="827802.57900000003"/>
    </cacheField>
    <cacheField name="net_cogs_ed" numFmtId="176">
      <sharedItems containsString="0" containsBlank="1" containsNumber="1" minValue="-28179.275100000003" maxValue="437335.66830000002"/>
    </cacheField>
    <cacheField name="nwc" numFmtId="177">
      <sharedItems containsString="0" containsBlank="1" containsNumber="1" minValue="-99.852371098378001" maxValue="74.693576107430303"/>
    </cacheField>
  </cacheFields>
  <extLst>
    <ext xmlns:x14="http://schemas.microsoft.com/office/spreadsheetml/2009/9/main" uri="{725AE2AE-9491-48be-B2B4-4EB974FC3084}">
      <x14:pivotCacheDefinition pivotCacheId="19610944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r>
  <r>
    <x v="1"/>
  </r>
  <r>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x v="0"/>
  </r>
  <r>
    <x v="1"/>
  </r>
  <r>
    <x v="2"/>
  </r>
  <r>
    <x v="3"/>
  </r>
  <r>
    <x v="4"/>
  </r>
  <r>
    <x v="5"/>
  </r>
  <r>
    <x v="6"/>
  </r>
  <r>
    <x v="7"/>
  </r>
  <r>
    <x v="8"/>
  </r>
  <r>
    <x v="9"/>
  </r>
  <r>
    <x v="10"/>
  </r>
  <r>
    <x v="11"/>
  </r>
  <r>
    <x v="12"/>
  </r>
  <r>
    <x v="13"/>
  </r>
  <r>
    <x v="14"/>
  </r>
  <r>
    <x v="1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9">
  <r>
    <x v="0"/>
    <x v="0"/>
    <x v="0"/>
  </r>
  <r>
    <x v="0"/>
    <x v="0"/>
    <x v="0"/>
  </r>
  <r>
    <x v="0"/>
    <x v="0"/>
    <x v="0"/>
  </r>
  <r>
    <x v="0"/>
    <x v="0"/>
    <x v="0"/>
  </r>
  <r>
    <x v="0"/>
    <x v="0"/>
    <x v="0"/>
  </r>
  <r>
    <x v="0"/>
    <x v="0"/>
    <x v="0"/>
  </r>
  <r>
    <x v="0"/>
    <x v="0"/>
    <x v="0"/>
  </r>
  <r>
    <x v="0"/>
    <x v="0"/>
    <x v="0"/>
  </r>
  <r>
    <x v="0"/>
    <x v="0"/>
    <x v="0"/>
  </r>
  <r>
    <x v="0"/>
    <x v="0"/>
    <x v="0"/>
  </r>
  <r>
    <x v="0"/>
    <x v="0"/>
    <x v="0"/>
  </r>
  <r>
    <x v="0"/>
    <x v="0"/>
    <x v="0"/>
  </r>
  <r>
    <x v="0"/>
    <x v="0"/>
    <x v="0"/>
  </r>
  <r>
    <x v="0"/>
    <x v="0"/>
    <x v="0"/>
  </r>
  <r>
    <x v="0"/>
    <x v="0"/>
    <x v="1"/>
  </r>
  <r>
    <x v="0"/>
    <x v="0"/>
    <x v="1"/>
  </r>
  <r>
    <x v="0"/>
    <x v="0"/>
    <x v="1"/>
  </r>
  <r>
    <x v="0"/>
    <x v="0"/>
    <x v="1"/>
  </r>
  <r>
    <x v="0"/>
    <x v="0"/>
    <x v="1"/>
  </r>
  <r>
    <x v="0"/>
    <x v="0"/>
    <x v="1"/>
  </r>
  <r>
    <x v="0"/>
    <x v="0"/>
    <x v="1"/>
  </r>
  <r>
    <x v="0"/>
    <x v="0"/>
    <x v="1"/>
  </r>
  <r>
    <x v="0"/>
    <x v="0"/>
    <x v="1"/>
  </r>
  <r>
    <x v="0"/>
    <x v="0"/>
    <x v="1"/>
  </r>
  <r>
    <x v="0"/>
    <x v="0"/>
    <x v="1"/>
  </r>
  <r>
    <x v="0"/>
    <x v="0"/>
    <x v="1"/>
  </r>
  <r>
    <x v="0"/>
    <x v="0"/>
    <x v="1"/>
  </r>
  <r>
    <x v="0"/>
    <x v="0"/>
    <x v="1"/>
  </r>
  <r>
    <x v="0"/>
    <x v="0"/>
    <x v="2"/>
  </r>
  <r>
    <x v="0"/>
    <x v="0"/>
    <x v="2"/>
  </r>
  <r>
    <x v="0"/>
    <x v="0"/>
    <x v="2"/>
  </r>
  <r>
    <x v="0"/>
    <x v="0"/>
    <x v="2"/>
  </r>
  <r>
    <x v="0"/>
    <x v="0"/>
    <x v="2"/>
  </r>
  <r>
    <x v="0"/>
    <x v="0"/>
    <x v="2"/>
  </r>
  <r>
    <x v="0"/>
    <x v="0"/>
    <x v="2"/>
  </r>
  <r>
    <x v="0"/>
    <x v="0"/>
    <x v="2"/>
  </r>
  <r>
    <x v="0"/>
    <x v="0"/>
    <x v="2"/>
  </r>
  <r>
    <x v="0"/>
    <x v="0"/>
    <x v="2"/>
  </r>
  <r>
    <x v="0"/>
    <x v="0"/>
    <x v="2"/>
  </r>
  <r>
    <x v="0"/>
    <x v="0"/>
    <x v="2"/>
  </r>
  <r>
    <x v="0"/>
    <x v="0"/>
    <x v="2"/>
  </r>
  <r>
    <x v="0"/>
    <x v="0"/>
    <x v="2"/>
  </r>
  <r>
    <x v="0"/>
    <x v="0"/>
    <x v="3"/>
  </r>
  <r>
    <x v="0"/>
    <x v="0"/>
    <x v="3"/>
  </r>
  <r>
    <x v="0"/>
    <x v="0"/>
    <x v="3"/>
  </r>
  <r>
    <x v="0"/>
    <x v="0"/>
    <x v="3"/>
  </r>
  <r>
    <x v="0"/>
    <x v="0"/>
    <x v="3"/>
  </r>
  <r>
    <x v="0"/>
    <x v="0"/>
    <x v="3"/>
  </r>
  <r>
    <x v="0"/>
    <x v="0"/>
    <x v="3"/>
  </r>
  <r>
    <x v="0"/>
    <x v="0"/>
    <x v="3"/>
  </r>
  <r>
    <x v="0"/>
    <x v="0"/>
    <x v="3"/>
  </r>
  <r>
    <x v="0"/>
    <x v="0"/>
    <x v="3"/>
  </r>
  <r>
    <x v="0"/>
    <x v="0"/>
    <x v="3"/>
  </r>
  <r>
    <x v="0"/>
    <x v="0"/>
    <x v="3"/>
  </r>
  <r>
    <x v="0"/>
    <x v="0"/>
    <x v="3"/>
  </r>
  <r>
    <x v="0"/>
    <x v="0"/>
    <x v="3"/>
  </r>
  <r>
    <x v="0"/>
    <x v="0"/>
    <x v="4"/>
  </r>
  <r>
    <x v="0"/>
    <x v="0"/>
    <x v="4"/>
  </r>
  <r>
    <x v="0"/>
    <x v="0"/>
    <x v="4"/>
  </r>
  <r>
    <x v="0"/>
    <x v="0"/>
    <x v="4"/>
  </r>
  <r>
    <x v="0"/>
    <x v="0"/>
    <x v="4"/>
  </r>
  <r>
    <x v="0"/>
    <x v="0"/>
    <x v="4"/>
  </r>
  <r>
    <x v="0"/>
    <x v="0"/>
    <x v="4"/>
  </r>
  <r>
    <x v="0"/>
    <x v="0"/>
    <x v="4"/>
  </r>
  <r>
    <x v="0"/>
    <x v="0"/>
    <x v="4"/>
  </r>
  <r>
    <x v="0"/>
    <x v="0"/>
    <x v="4"/>
  </r>
  <r>
    <x v="0"/>
    <x v="0"/>
    <x v="4"/>
  </r>
  <r>
    <x v="0"/>
    <x v="0"/>
    <x v="4"/>
  </r>
  <r>
    <x v="0"/>
    <x v="0"/>
    <x v="4"/>
  </r>
  <r>
    <x v="0"/>
    <x v="0"/>
    <x v="4"/>
  </r>
  <r>
    <x v="0"/>
    <x v="0"/>
    <x v="5"/>
  </r>
  <r>
    <x v="0"/>
    <x v="0"/>
    <x v="5"/>
  </r>
  <r>
    <x v="0"/>
    <x v="0"/>
    <x v="5"/>
  </r>
  <r>
    <x v="0"/>
    <x v="0"/>
    <x v="5"/>
  </r>
  <r>
    <x v="0"/>
    <x v="0"/>
    <x v="5"/>
  </r>
  <r>
    <x v="0"/>
    <x v="0"/>
    <x v="5"/>
  </r>
  <r>
    <x v="0"/>
    <x v="0"/>
    <x v="5"/>
  </r>
  <r>
    <x v="0"/>
    <x v="0"/>
    <x v="5"/>
  </r>
  <r>
    <x v="0"/>
    <x v="0"/>
    <x v="5"/>
  </r>
  <r>
    <x v="0"/>
    <x v="0"/>
    <x v="5"/>
  </r>
  <r>
    <x v="0"/>
    <x v="0"/>
    <x v="5"/>
  </r>
  <r>
    <x v="0"/>
    <x v="0"/>
    <x v="5"/>
  </r>
  <r>
    <x v="0"/>
    <x v="0"/>
    <x v="5"/>
  </r>
  <r>
    <x v="0"/>
    <x v="0"/>
    <x v="5"/>
  </r>
  <r>
    <x v="0"/>
    <x v="0"/>
    <x v="6"/>
  </r>
  <r>
    <x v="0"/>
    <x v="0"/>
    <x v="6"/>
  </r>
  <r>
    <x v="0"/>
    <x v="0"/>
    <x v="6"/>
  </r>
  <r>
    <x v="0"/>
    <x v="0"/>
    <x v="6"/>
  </r>
  <r>
    <x v="0"/>
    <x v="0"/>
    <x v="6"/>
  </r>
  <r>
    <x v="0"/>
    <x v="0"/>
    <x v="6"/>
  </r>
  <r>
    <x v="0"/>
    <x v="0"/>
    <x v="6"/>
  </r>
  <r>
    <x v="0"/>
    <x v="0"/>
    <x v="6"/>
  </r>
  <r>
    <x v="0"/>
    <x v="0"/>
    <x v="6"/>
  </r>
  <r>
    <x v="0"/>
    <x v="0"/>
    <x v="6"/>
  </r>
  <r>
    <x v="0"/>
    <x v="0"/>
    <x v="6"/>
  </r>
  <r>
    <x v="0"/>
    <x v="0"/>
    <x v="6"/>
  </r>
  <r>
    <x v="0"/>
    <x v="0"/>
    <x v="6"/>
  </r>
  <r>
    <x v="0"/>
    <x v="0"/>
    <x v="6"/>
  </r>
  <r>
    <x v="0"/>
    <x v="0"/>
    <x v="7"/>
  </r>
  <r>
    <x v="0"/>
    <x v="0"/>
    <x v="7"/>
  </r>
  <r>
    <x v="0"/>
    <x v="0"/>
    <x v="7"/>
  </r>
  <r>
    <x v="0"/>
    <x v="0"/>
    <x v="7"/>
  </r>
  <r>
    <x v="0"/>
    <x v="0"/>
    <x v="7"/>
  </r>
  <r>
    <x v="0"/>
    <x v="0"/>
    <x v="7"/>
  </r>
  <r>
    <x v="0"/>
    <x v="0"/>
    <x v="7"/>
  </r>
  <r>
    <x v="0"/>
    <x v="0"/>
    <x v="7"/>
  </r>
  <r>
    <x v="0"/>
    <x v="0"/>
    <x v="7"/>
  </r>
  <r>
    <x v="0"/>
    <x v="0"/>
    <x v="7"/>
  </r>
  <r>
    <x v="0"/>
    <x v="0"/>
    <x v="7"/>
  </r>
  <r>
    <x v="0"/>
    <x v="0"/>
    <x v="7"/>
  </r>
  <r>
    <x v="0"/>
    <x v="0"/>
    <x v="7"/>
  </r>
  <r>
    <x v="0"/>
    <x v="0"/>
    <x v="7"/>
  </r>
  <r>
    <x v="0"/>
    <x v="0"/>
    <x v="8"/>
  </r>
  <r>
    <x v="0"/>
    <x v="0"/>
    <x v="8"/>
  </r>
  <r>
    <x v="0"/>
    <x v="0"/>
    <x v="8"/>
  </r>
  <r>
    <x v="0"/>
    <x v="0"/>
    <x v="8"/>
  </r>
  <r>
    <x v="0"/>
    <x v="0"/>
    <x v="8"/>
  </r>
  <r>
    <x v="0"/>
    <x v="0"/>
    <x v="8"/>
  </r>
  <r>
    <x v="0"/>
    <x v="0"/>
    <x v="8"/>
  </r>
  <r>
    <x v="0"/>
    <x v="0"/>
    <x v="8"/>
  </r>
  <r>
    <x v="0"/>
    <x v="0"/>
    <x v="8"/>
  </r>
  <r>
    <x v="0"/>
    <x v="0"/>
    <x v="8"/>
  </r>
  <r>
    <x v="0"/>
    <x v="0"/>
    <x v="8"/>
  </r>
  <r>
    <x v="0"/>
    <x v="0"/>
    <x v="8"/>
  </r>
  <r>
    <x v="0"/>
    <x v="0"/>
    <x v="8"/>
  </r>
  <r>
    <x v="0"/>
    <x v="0"/>
    <x v="8"/>
  </r>
  <r>
    <x v="0"/>
    <x v="0"/>
    <x v="9"/>
  </r>
  <r>
    <x v="0"/>
    <x v="0"/>
    <x v="9"/>
  </r>
  <r>
    <x v="0"/>
    <x v="0"/>
    <x v="9"/>
  </r>
  <r>
    <x v="0"/>
    <x v="0"/>
    <x v="9"/>
  </r>
  <r>
    <x v="0"/>
    <x v="0"/>
    <x v="9"/>
  </r>
  <r>
    <x v="0"/>
    <x v="0"/>
    <x v="9"/>
  </r>
  <r>
    <x v="0"/>
    <x v="0"/>
    <x v="9"/>
  </r>
  <r>
    <x v="0"/>
    <x v="0"/>
    <x v="9"/>
  </r>
  <r>
    <x v="0"/>
    <x v="0"/>
    <x v="9"/>
  </r>
  <r>
    <x v="0"/>
    <x v="0"/>
    <x v="9"/>
  </r>
  <r>
    <x v="0"/>
    <x v="0"/>
    <x v="9"/>
  </r>
  <r>
    <x v="0"/>
    <x v="0"/>
    <x v="9"/>
  </r>
  <r>
    <x v="0"/>
    <x v="0"/>
    <x v="9"/>
  </r>
  <r>
    <x v="0"/>
    <x v="0"/>
    <x v="9"/>
  </r>
  <r>
    <x v="0"/>
    <x v="0"/>
    <x v="10"/>
  </r>
  <r>
    <x v="0"/>
    <x v="0"/>
    <x v="10"/>
  </r>
  <r>
    <x v="0"/>
    <x v="0"/>
    <x v="10"/>
  </r>
  <r>
    <x v="0"/>
    <x v="0"/>
    <x v="10"/>
  </r>
  <r>
    <x v="0"/>
    <x v="0"/>
    <x v="10"/>
  </r>
  <r>
    <x v="0"/>
    <x v="0"/>
    <x v="10"/>
  </r>
  <r>
    <x v="0"/>
    <x v="0"/>
    <x v="10"/>
  </r>
  <r>
    <x v="0"/>
    <x v="0"/>
    <x v="10"/>
  </r>
  <r>
    <x v="0"/>
    <x v="0"/>
    <x v="10"/>
  </r>
  <r>
    <x v="0"/>
    <x v="0"/>
    <x v="10"/>
  </r>
  <r>
    <x v="0"/>
    <x v="0"/>
    <x v="10"/>
  </r>
  <r>
    <x v="0"/>
    <x v="0"/>
    <x v="10"/>
  </r>
  <r>
    <x v="0"/>
    <x v="0"/>
    <x v="10"/>
  </r>
  <r>
    <x v="0"/>
    <x v="0"/>
    <x v="10"/>
  </r>
  <r>
    <x v="0"/>
    <x v="0"/>
    <x v="11"/>
  </r>
  <r>
    <x v="0"/>
    <x v="0"/>
    <x v="11"/>
  </r>
  <r>
    <x v="0"/>
    <x v="0"/>
    <x v="11"/>
  </r>
  <r>
    <x v="0"/>
    <x v="0"/>
    <x v="11"/>
  </r>
  <r>
    <x v="0"/>
    <x v="0"/>
    <x v="11"/>
  </r>
  <r>
    <x v="0"/>
    <x v="0"/>
    <x v="11"/>
  </r>
  <r>
    <x v="0"/>
    <x v="0"/>
    <x v="11"/>
  </r>
  <r>
    <x v="0"/>
    <x v="0"/>
    <x v="11"/>
  </r>
  <r>
    <x v="0"/>
    <x v="0"/>
    <x v="11"/>
  </r>
  <r>
    <x v="0"/>
    <x v="0"/>
    <x v="11"/>
  </r>
  <r>
    <x v="0"/>
    <x v="0"/>
    <x v="11"/>
  </r>
  <r>
    <x v="0"/>
    <x v="0"/>
    <x v="11"/>
  </r>
  <r>
    <x v="0"/>
    <x v="0"/>
    <x v="11"/>
  </r>
  <r>
    <x v="0"/>
    <x v="0"/>
    <x v="11"/>
  </r>
  <r>
    <x v="0"/>
    <x v="0"/>
    <x v="12"/>
  </r>
  <r>
    <x v="0"/>
    <x v="0"/>
    <x v="12"/>
  </r>
  <r>
    <x v="0"/>
    <x v="0"/>
    <x v="12"/>
  </r>
  <r>
    <x v="0"/>
    <x v="0"/>
    <x v="12"/>
  </r>
  <r>
    <x v="0"/>
    <x v="0"/>
    <x v="12"/>
  </r>
  <r>
    <x v="0"/>
    <x v="0"/>
    <x v="12"/>
  </r>
  <r>
    <x v="0"/>
    <x v="0"/>
    <x v="12"/>
  </r>
  <r>
    <x v="0"/>
    <x v="0"/>
    <x v="12"/>
  </r>
  <r>
    <x v="0"/>
    <x v="0"/>
    <x v="12"/>
  </r>
  <r>
    <x v="0"/>
    <x v="0"/>
    <x v="12"/>
  </r>
  <r>
    <x v="0"/>
    <x v="0"/>
    <x v="12"/>
  </r>
  <r>
    <x v="0"/>
    <x v="0"/>
    <x v="12"/>
  </r>
  <r>
    <x v="0"/>
    <x v="0"/>
    <x v="12"/>
  </r>
  <r>
    <x v="0"/>
    <x v="0"/>
    <x v="12"/>
  </r>
  <r>
    <x v="0"/>
    <x v="0"/>
    <x v="13"/>
  </r>
  <r>
    <x v="0"/>
    <x v="0"/>
    <x v="13"/>
  </r>
  <r>
    <x v="0"/>
    <x v="0"/>
    <x v="13"/>
  </r>
  <r>
    <x v="0"/>
    <x v="0"/>
    <x v="13"/>
  </r>
  <r>
    <x v="0"/>
    <x v="0"/>
    <x v="13"/>
  </r>
  <r>
    <x v="0"/>
    <x v="0"/>
    <x v="13"/>
  </r>
  <r>
    <x v="0"/>
    <x v="0"/>
    <x v="13"/>
  </r>
  <r>
    <x v="0"/>
    <x v="0"/>
    <x v="13"/>
  </r>
  <r>
    <x v="0"/>
    <x v="0"/>
    <x v="13"/>
  </r>
  <r>
    <x v="0"/>
    <x v="0"/>
    <x v="13"/>
  </r>
  <r>
    <x v="0"/>
    <x v="0"/>
    <x v="13"/>
  </r>
  <r>
    <x v="0"/>
    <x v="0"/>
    <x v="13"/>
  </r>
  <r>
    <x v="0"/>
    <x v="0"/>
    <x v="13"/>
  </r>
  <r>
    <x v="0"/>
    <x v="0"/>
    <x v="13"/>
  </r>
  <r>
    <x v="0"/>
    <x v="0"/>
    <x v="14"/>
  </r>
  <r>
    <x v="0"/>
    <x v="0"/>
    <x v="14"/>
  </r>
  <r>
    <x v="0"/>
    <x v="0"/>
    <x v="14"/>
  </r>
  <r>
    <x v="0"/>
    <x v="0"/>
    <x v="14"/>
  </r>
  <r>
    <x v="0"/>
    <x v="0"/>
    <x v="14"/>
  </r>
  <r>
    <x v="0"/>
    <x v="0"/>
    <x v="14"/>
  </r>
  <r>
    <x v="0"/>
    <x v="0"/>
    <x v="14"/>
  </r>
  <r>
    <x v="0"/>
    <x v="0"/>
    <x v="14"/>
  </r>
  <r>
    <x v="0"/>
    <x v="0"/>
    <x v="14"/>
  </r>
  <r>
    <x v="0"/>
    <x v="0"/>
    <x v="14"/>
  </r>
  <r>
    <x v="0"/>
    <x v="0"/>
    <x v="14"/>
  </r>
  <r>
    <x v="0"/>
    <x v="0"/>
    <x v="14"/>
  </r>
  <r>
    <x v="0"/>
    <x v="1"/>
    <x v="0"/>
  </r>
  <r>
    <x v="0"/>
    <x v="1"/>
    <x v="0"/>
  </r>
  <r>
    <x v="0"/>
    <x v="1"/>
    <x v="0"/>
  </r>
  <r>
    <x v="0"/>
    <x v="1"/>
    <x v="0"/>
  </r>
  <r>
    <x v="0"/>
    <x v="1"/>
    <x v="0"/>
  </r>
  <r>
    <x v="0"/>
    <x v="1"/>
    <x v="0"/>
  </r>
  <r>
    <x v="0"/>
    <x v="1"/>
    <x v="0"/>
  </r>
  <r>
    <x v="0"/>
    <x v="1"/>
    <x v="0"/>
  </r>
  <r>
    <x v="0"/>
    <x v="1"/>
    <x v="0"/>
  </r>
  <r>
    <x v="0"/>
    <x v="1"/>
    <x v="0"/>
  </r>
  <r>
    <x v="0"/>
    <x v="1"/>
    <x v="0"/>
  </r>
  <r>
    <x v="0"/>
    <x v="1"/>
    <x v="0"/>
  </r>
  <r>
    <x v="0"/>
    <x v="1"/>
    <x v="0"/>
  </r>
  <r>
    <x v="0"/>
    <x v="1"/>
    <x v="0"/>
  </r>
  <r>
    <x v="0"/>
    <x v="1"/>
    <x v="1"/>
  </r>
  <r>
    <x v="0"/>
    <x v="1"/>
    <x v="1"/>
  </r>
  <r>
    <x v="0"/>
    <x v="1"/>
    <x v="1"/>
  </r>
  <r>
    <x v="0"/>
    <x v="1"/>
    <x v="1"/>
  </r>
  <r>
    <x v="0"/>
    <x v="1"/>
    <x v="1"/>
  </r>
  <r>
    <x v="0"/>
    <x v="1"/>
    <x v="1"/>
  </r>
  <r>
    <x v="0"/>
    <x v="1"/>
    <x v="1"/>
  </r>
  <r>
    <x v="0"/>
    <x v="1"/>
    <x v="1"/>
  </r>
  <r>
    <x v="0"/>
    <x v="1"/>
    <x v="1"/>
  </r>
  <r>
    <x v="0"/>
    <x v="1"/>
    <x v="1"/>
  </r>
  <r>
    <x v="0"/>
    <x v="1"/>
    <x v="1"/>
  </r>
  <r>
    <x v="0"/>
    <x v="1"/>
    <x v="1"/>
  </r>
  <r>
    <x v="0"/>
    <x v="1"/>
    <x v="1"/>
  </r>
  <r>
    <x v="0"/>
    <x v="1"/>
    <x v="1"/>
  </r>
  <r>
    <x v="0"/>
    <x v="1"/>
    <x v="2"/>
  </r>
  <r>
    <x v="0"/>
    <x v="1"/>
    <x v="2"/>
  </r>
  <r>
    <x v="0"/>
    <x v="1"/>
    <x v="2"/>
  </r>
  <r>
    <x v="0"/>
    <x v="1"/>
    <x v="2"/>
  </r>
  <r>
    <x v="0"/>
    <x v="1"/>
    <x v="2"/>
  </r>
  <r>
    <x v="0"/>
    <x v="1"/>
    <x v="2"/>
  </r>
  <r>
    <x v="0"/>
    <x v="1"/>
    <x v="2"/>
  </r>
  <r>
    <x v="0"/>
    <x v="1"/>
    <x v="2"/>
  </r>
  <r>
    <x v="0"/>
    <x v="1"/>
    <x v="2"/>
  </r>
  <r>
    <x v="0"/>
    <x v="1"/>
    <x v="2"/>
  </r>
  <r>
    <x v="0"/>
    <x v="1"/>
    <x v="2"/>
  </r>
  <r>
    <x v="0"/>
    <x v="1"/>
    <x v="2"/>
  </r>
  <r>
    <x v="0"/>
    <x v="1"/>
    <x v="2"/>
  </r>
  <r>
    <x v="0"/>
    <x v="1"/>
    <x v="2"/>
  </r>
  <r>
    <x v="0"/>
    <x v="1"/>
    <x v="3"/>
  </r>
  <r>
    <x v="0"/>
    <x v="1"/>
    <x v="3"/>
  </r>
  <r>
    <x v="0"/>
    <x v="1"/>
    <x v="3"/>
  </r>
  <r>
    <x v="0"/>
    <x v="1"/>
    <x v="3"/>
  </r>
  <r>
    <x v="0"/>
    <x v="1"/>
    <x v="3"/>
  </r>
  <r>
    <x v="0"/>
    <x v="1"/>
    <x v="3"/>
  </r>
  <r>
    <x v="0"/>
    <x v="1"/>
    <x v="3"/>
  </r>
  <r>
    <x v="0"/>
    <x v="1"/>
    <x v="3"/>
  </r>
  <r>
    <x v="0"/>
    <x v="1"/>
    <x v="3"/>
  </r>
  <r>
    <x v="0"/>
    <x v="1"/>
    <x v="3"/>
  </r>
  <r>
    <x v="0"/>
    <x v="1"/>
    <x v="3"/>
  </r>
  <r>
    <x v="0"/>
    <x v="1"/>
    <x v="3"/>
  </r>
  <r>
    <x v="0"/>
    <x v="1"/>
    <x v="3"/>
  </r>
  <r>
    <x v="0"/>
    <x v="1"/>
    <x v="3"/>
  </r>
  <r>
    <x v="0"/>
    <x v="1"/>
    <x v="4"/>
  </r>
  <r>
    <x v="0"/>
    <x v="1"/>
    <x v="4"/>
  </r>
  <r>
    <x v="0"/>
    <x v="1"/>
    <x v="4"/>
  </r>
  <r>
    <x v="0"/>
    <x v="1"/>
    <x v="4"/>
  </r>
  <r>
    <x v="0"/>
    <x v="1"/>
    <x v="4"/>
  </r>
  <r>
    <x v="0"/>
    <x v="1"/>
    <x v="4"/>
  </r>
  <r>
    <x v="0"/>
    <x v="1"/>
    <x v="4"/>
  </r>
  <r>
    <x v="0"/>
    <x v="1"/>
    <x v="4"/>
  </r>
  <r>
    <x v="0"/>
    <x v="1"/>
    <x v="4"/>
  </r>
  <r>
    <x v="0"/>
    <x v="1"/>
    <x v="4"/>
  </r>
  <r>
    <x v="0"/>
    <x v="1"/>
    <x v="4"/>
  </r>
  <r>
    <x v="0"/>
    <x v="1"/>
    <x v="4"/>
  </r>
  <r>
    <x v="0"/>
    <x v="1"/>
    <x v="4"/>
  </r>
  <r>
    <x v="0"/>
    <x v="1"/>
    <x v="4"/>
  </r>
  <r>
    <x v="0"/>
    <x v="1"/>
    <x v="5"/>
  </r>
  <r>
    <x v="0"/>
    <x v="1"/>
    <x v="5"/>
  </r>
  <r>
    <x v="0"/>
    <x v="1"/>
    <x v="5"/>
  </r>
  <r>
    <x v="0"/>
    <x v="1"/>
    <x v="5"/>
  </r>
  <r>
    <x v="0"/>
    <x v="1"/>
    <x v="5"/>
  </r>
  <r>
    <x v="0"/>
    <x v="1"/>
    <x v="5"/>
  </r>
  <r>
    <x v="0"/>
    <x v="1"/>
    <x v="5"/>
  </r>
  <r>
    <x v="0"/>
    <x v="1"/>
    <x v="5"/>
  </r>
  <r>
    <x v="0"/>
    <x v="1"/>
    <x v="5"/>
  </r>
  <r>
    <x v="0"/>
    <x v="1"/>
    <x v="5"/>
  </r>
  <r>
    <x v="0"/>
    <x v="1"/>
    <x v="5"/>
  </r>
  <r>
    <x v="0"/>
    <x v="1"/>
    <x v="5"/>
  </r>
  <r>
    <x v="0"/>
    <x v="1"/>
    <x v="5"/>
  </r>
  <r>
    <x v="0"/>
    <x v="1"/>
    <x v="5"/>
  </r>
  <r>
    <x v="0"/>
    <x v="1"/>
    <x v="6"/>
  </r>
  <r>
    <x v="0"/>
    <x v="1"/>
    <x v="6"/>
  </r>
  <r>
    <x v="0"/>
    <x v="1"/>
    <x v="6"/>
  </r>
  <r>
    <x v="0"/>
    <x v="1"/>
    <x v="6"/>
  </r>
  <r>
    <x v="0"/>
    <x v="1"/>
    <x v="6"/>
  </r>
  <r>
    <x v="0"/>
    <x v="1"/>
    <x v="6"/>
  </r>
  <r>
    <x v="0"/>
    <x v="1"/>
    <x v="6"/>
  </r>
  <r>
    <x v="0"/>
    <x v="1"/>
    <x v="6"/>
  </r>
  <r>
    <x v="0"/>
    <x v="1"/>
    <x v="6"/>
  </r>
  <r>
    <x v="0"/>
    <x v="1"/>
    <x v="6"/>
  </r>
  <r>
    <x v="0"/>
    <x v="1"/>
    <x v="6"/>
  </r>
  <r>
    <x v="0"/>
    <x v="1"/>
    <x v="6"/>
  </r>
  <r>
    <x v="0"/>
    <x v="1"/>
    <x v="6"/>
  </r>
  <r>
    <x v="0"/>
    <x v="1"/>
    <x v="6"/>
  </r>
  <r>
    <x v="0"/>
    <x v="1"/>
    <x v="7"/>
  </r>
  <r>
    <x v="0"/>
    <x v="1"/>
    <x v="7"/>
  </r>
  <r>
    <x v="0"/>
    <x v="1"/>
    <x v="7"/>
  </r>
  <r>
    <x v="0"/>
    <x v="1"/>
    <x v="7"/>
  </r>
  <r>
    <x v="0"/>
    <x v="1"/>
    <x v="7"/>
  </r>
  <r>
    <x v="0"/>
    <x v="1"/>
    <x v="7"/>
  </r>
  <r>
    <x v="0"/>
    <x v="1"/>
    <x v="7"/>
  </r>
  <r>
    <x v="0"/>
    <x v="1"/>
    <x v="7"/>
  </r>
  <r>
    <x v="0"/>
    <x v="1"/>
    <x v="7"/>
  </r>
  <r>
    <x v="0"/>
    <x v="1"/>
    <x v="7"/>
  </r>
  <r>
    <x v="0"/>
    <x v="1"/>
    <x v="7"/>
  </r>
  <r>
    <x v="0"/>
    <x v="1"/>
    <x v="7"/>
  </r>
  <r>
    <x v="0"/>
    <x v="1"/>
    <x v="7"/>
  </r>
  <r>
    <x v="0"/>
    <x v="1"/>
    <x v="7"/>
  </r>
  <r>
    <x v="0"/>
    <x v="1"/>
    <x v="8"/>
  </r>
  <r>
    <x v="0"/>
    <x v="1"/>
    <x v="8"/>
  </r>
  <r>
    <x v="0"/>
    <x v="1"/>
    <x v="8"/>
  </r>
  <r>
    <x v="0"/>
    <x v="1"/>
    <x v="8"/>
  </r>
  <r>
    <x v="0"/>
    <x v="1"/>
    <x v="8"/>
  </r>
  <r>
    <x v="0"/>
    <x v="1"/>
    <x v="8"/>
  </r>
  <r>
    <x v="0"/>
    <x v="1"/>
    <x v="8"/>
  </r>
  <r>
    <x v="0"/>
    <x v="1"/>
    <x v="8"/>
  </r>
  <r>
    <x v="0"/>
    <x v="1"/>
    <x v="8"/>
  </r>
  <r>
    <x v="0"/>
    <x v="1"/>
    <x v="8"/>
  </r>
  <r>
    <x v="0"/>
    <x v="1"/>
    <x v="8"/>
  </r>
  <r>
    <x v="0"/>
    <x v="1"/>
    <x v="8"/>
  </r>
  <r>
    <x v="0"/>
    <x v="1"/>
    <x v="8"/>
  </r>
  <r>
    <x v="0"/>
    <x v="1"/>
    <x v="8"/>
  </r>
  <r>
    <x v="0"/>
    <x v="1"/>
    <x v="9"/>
  </r>
  <r>
    <x v="0"/>
    <x v="1"/>
    <x v="9"/>
  </r>
  <r>
    <x v="0"/>
    <x v="1"/>
    <x v="9"/>
  </r>
  <r>
    <x v="0"/>
    <x v="1"/>
    <x v="9"/>
  </r>
  <r>
    <x v="0"/>
    <x v="1"/>
    <x v="9"/>
  </r>
  <r>
    <x v="0"/>
    <x v="1"/>
    <x v="9"/>
  </r>
  <r>
    <x v="0"/>
    <x v="1"/>
    <x v="9"/>
  </r>
  <r>
    <x v="0"/>
    <x v="1"/>
    <x v="9"/>
  </r>
  <r>
    <x v="0"/>
    <x v="1"/>
    <x v="9"/>
  </r>
  <r>
    <x v="0"/>
    <x v="1"/>
    <x v="9"/>
  </r>
  <r>
    <x v="0"/>
    <x v="1"/>
    <x v="9"/>
  </r>
  <r>
    <x v="0"/>
    <x v="1"/>
    <x v="9"/>
  </r>
  <r>
    <x v="0"/>
    <x v="1"/>
    <x v="9"/>
  </r>
  <r>
    <x v="0"/>
    <x v="1"/>
    <x v="9"/>
  </r>
  <r>
    <x v="0"/>
    <x v="1"/>
    <x v="10"/>
  </r>
  <r>
    <x v="0"/>
    <x v="1"/>
    <x v="10"/>
  </r>
  <r>
    <x v="0"/>
    <x v="1"/>
    <x v="10"/>
  </r>
  <r>
    <x v="0"/>
    <x v="1"/>
    <x v="10"/>
  </r>
  <r>
    <x v="0"/>
    <x v="1"/>
    <x v="10"/>
  </r>
  <r>
    <x v="0"/>
    <x v="1"/>
    <x v="10"/>
  </r>
  <r>
    <x v="0"/>
    <x v="1"/>
    <x v="10"/>
  </r>
  <r>
    <x v="0"/>
    <x v="1"/>
    <x v="10"/>
  </r>
  <r>
    <x v="0"/>
    <x v="1"/>
    <x v="10"/>
  </r>
  <r>
    <x v="0"/>
    <x v="1"/>
    <x v="10"/>
  </r>
  <r>
    <x v="0"/>
    <x v="1"/>
    <x v="10"/>
  </r>
  <r>
    <x v="0"/>
    <x v="1"/>
    <x v="10"/>
  </r>
  <r>
    <x v="0"/>
    <x v="1"/>
    <x v="10"/>
  </r>
  <r>
    <x v="0"/>
    <x v="1"/>
    <x v="10"/>
  </r>
  <r>
    <x v="0"/>
    <x v="1"/>
    <x v="11"/>
  </r>
  <r>
    <x v="0"/>
    <x v="1"/>
    <x v="11"/>
  </r>
  <r>
    <x v="0"/>
    <x v="1"/>
    <x v="11"/>
  </r>
  <r>
    <x v="0"/>
    <x v="1"/>
    <x v="11"/>
  </r>
  <r>
    <x v="0"/>
    <x v="1"/>
    <x v="11"/>
  </r>
  <r>
    <x v="0"/>
    <x v="1"/>
    <x v="11"/>
  </r>
  <r>
    <x v="0"/>
    <x v="1"/>
    <x v="11"/>
  </r>
  <r>
    <x v="0"/>
    <x v="1"/>
    <x v="11"/>
  </r>
  <r>
    <x v="0"/>
    <x v="1"/>
    <x v="11"/>
  </r>
  <r>
    <x v="0"/>
    <x v="1"/>
    <x v="11"/>
  </r>
  <r>
    <x v="0"/>
    <x v="1"/>
    <x v="11"/>
  </r>
  <r>
    <x v="0"/>
    <x v="1"/>
    <x v="11"/>
  </r>
  <r>
    <x v="0"/>
    <x v="1"/>
    <x v="11"/>
  </r>
  <r>
    <x v="0"/>
    <x v="1"/>
    <x v="11"/>
  </r>
  <r>
    <x v="0"/>
    <x v="1"/>
    <x v="12"/>
  </r>
  <r>
    <x v="0"/>
    <x v="1"/>
    <x v="12"/>
  </r>
  <r>
    <x v="0"/>
    <x v="1"/>
    <x v="12"/>
  </r>
  <r>
    <x v="0"/>
    <x v="1"/>
    <x v="12"/>
  </r>
  <r>
    <x v="0"/>
    <x v="1"/>
    <x v="12"/>
  </r>
  <r>
    <x v="0"/>
    <x v="1"/>
    <x v="12"/>
  </r>
  <r>
    <x v="0"/>
    <x v="1"/>
    <x v="12"/>
  </r>
  <r>
    <x v="0"/>
    <x v="1"/>
    <x v="12"/>
  </r>
  <r>
    <x v="0"/>
    <x v="1"/>
    <x v="12"/>
  </r>
  <r>
    <x v="0"/>
    <x v="1"/>
    <x v="12"/>
  </r>
  <r>
    <x v="0"/>
    <x v="1"/>
    <x v="12"/>
  </r>
  <r>
    <x v="0"/>
    <x v="1"/>
    <x v="12"/>
  </r>
  <r>
    <x v="0"/>
    <x v="1"/>
    <x v="12"/>
  </r>
  <r>
    <x v="0"/>
    <x v="1"/>
    <x v="12"/>
  </r>
  <r>
    <x v="0"/>
    <x v="1"/>
    <x v="13"/>
  </r>
  <r>
    <x v="0"/>
    <x v="1"/>
    <x v="13"/>
  </r>
  <r>
    <x v="0"/>
    <x v="1"/>
    <x v="13"/>
  </r>
  <r>
    <x v="0"/>
    <x v="1"/>
    <x v="13"/>
  </r>
  <r>
    <x v="0"/>
    <x v="1"/>
    <x v="13"/>
  </r>
  <r>
    <x v="0"/>
    <x v="1"/>
    <x v="13"/>
  </r>
  <r>
    <x v="0"/>
    <x v="1"/>
    <x v="13"/>
  </r>
  <r>
    <x v="0"/>
    <x v="1"/>
    <x v="13"/>
  </r>
  <r>
    <x v="0"/>
    <x v="1"/>
    <x v="13"/>
  </r>
  <r>
    <x v="0"/>
    <x v="1"/>
    <x v="13"/>
  </r>
  <r>
    <x v="0"/>
    <x v="1"/>
    <x v="13"/>
  </r>
  <r>
    <x v="0"/>
    <x v="1"/>
    <x v="13"/>
  </r>
  <r>
    <x v="0"/>
    <x v="1"/>
    <x v="13"/>
  </r>
  <r>
    <x v="0"/>
    <x v="1"/>
    <x v="13"/>
  </r>
  <r>
    <x v="0"/>
    <x v="1"/>
    <x v="14"/>
  </r>
  <r>
    <x v="0"/>
    <x v="1"/>
    <x v="14"/>
  </r>
  <r>
    <x v="0"/>
    <x v="1"/>
    <x v="14"/>
  </r>
  <r>
    <x v="0"/>
    <x v="1"/>
    <x v="14"/>
  </r>
  <r>
    <x v="0"/>
    <x v="1"/>
    <x v="14"/>
  </r>
  <r>
    <x v="0"/>
    <x v="1"/>
    <x v="14"/>
  </r>
  <r>
    <x v="0"/>
    <x v="1"/>
    <x v="14"/>
  </r>
  <r>
    <x v="0"/>
    <x v="1"/>
    <x v="14"/>
  </r>
  <r>
    <x v="0"/>
    <x v="1"/>
    <x v="14"/>
  </r>
  <r>
    <x v="0"/>
    <x v="1"/>
    <x v="14"/>
  </r>
  <r>
    <x v="0"/>
    <x v="1"/>
    <x v="14"/>
  </r>
  <r>
    <x v="0"/>
    <x v="1"/>
    <x v="14"/>
  </r>
  <r>
    <x v="0"/>
    <x v="2"/>
    <x v="0"/>
  </r>
  <r>
    <x v="0"/>
    <x v="2"/>
    <x v="0"/>
  </r>
  <r>
    <x v="0"/>
    <x v="2"/>
    <x v="0"/>
  </r>
  <r>
    <x v="0"/>
    <x v="2"/>
    <x v="0"/>
  </r>
  <r>
    <x v="0"/>
    <x v="2"/>
    <x v="0"/>
  </r>
  <r>
    <x v="0"/>
    <x v="2"/>
    <x v="0"/>
  </r>
  <r>
    <x v="0"/>
    <x v="2"/>
    <x v="0"/>
  </r>
  <r>
    <x v="0"/>
    <x v="2"/>
    <x v="0"/>
  </r>
  <r>
    <x v="0"/>
    <x v="2"/>
    <x v="0"/>
  </r>
  <r>
    <x v="0"/>
    <x v="2"/>
    <x v="0"/>
  </r>
  <r>
    <x v="0"/>
    <x v="2"/>
    <x v="0"/>
  </r>
  <r>
    <x v="0"/>
    <x v="2"/>
    <x v="0"/>
  </r>
  <r>
    <x v="0"/>
    <x v="2"/>
    <x v="0"/>
  </r>
  <r>
    <x v="0"/>
    <x v="2"/>
    <x v="0"/>
  </r>
  <r>
    <x v="0"/>
    <x v="2"/>
    <x v="1"/>
  </r>
  <r>
    <x v="0"/>
    <x v="2"/>
    <x v="1"/>
  </r>
  <r>
    <x v="0"/>
    <x v="2"/>
    <x v="1"/>
  </r>
  <r>
    <x v="0"/>
    <x v="2"/>
    <x v="1"/>
  </r>
  <r>
    <x v="0"/>
    <x v="2"/>
    <x v="1"/>
  </r>
  <r>
    <x v="0"/>
    <x v="2"/>
    <x v="1"/>
  </r>
  <r>
    <x v="0"/>
    <x v="2"/>
    <x v="1"/>
  </r>
  <r>
    <x v="0"/>
    <x v="2"/>
    <x v="1"/>
  </r>
  <r>
    <x v="0"/>
    <x v="2"/>
    <x v="1"/>
  </r>
  <r>
    <x v="0"/>
    <x v="2"/>
    <x v="1"/>
  </r>
  <r>
    <x v="0"/>
    <x v="2"/>
    <x v="1"/>
  </r>
  <r>
    <x v="0"/>
    <x v="2"/>
    <x v="1"/>
  </r>
  <r>
    <x v="0"/>
    <x v="2"/>
    <x v="1"/>
  </r>
  <r>
    <x v="0"/>
    <x v="2"/>
    <x v="1"/>
  </r>
  <r>
    <x v="0"/>
    <x v="2"/>
    <x v="2"/>
  </r>
  <r>
    <x v="0"/>
    <x v="2"/>
    <x v="2"/>
  </r>
  <r>
    <x v="0"/>
    <x v="2"/>
    <x v="2"/>
  </r>
  <r>
    <x v="0"/>
    <x v="2"/>
    <x v="2"/>
  </r>
  <r>
    <x v="0"/>
    <x v="2"/>
    <x v="2"/>
  </r>
  <r>
    <x v="0"/>
    <x v="2"/>
    <x v="2"/>
  </r>
  <r>
    <x v="0"/>
    <x v="2"/>
    <x v="2"/>
  </r>
  <r>
    <x v="0"/>
    <x v="2"/>
    <x v="2"/>
  </r>
  <r>
    <x v="0"/>
    <x v="2"/>
    <x v="2"/>
  </r>
  <r>
    <x v="0"/>
    <x v="2"/>
    <x v="2"/>
  </r>
  <r>
    <x v="0"/>
    <x v="2"/>
    <x v="2"/>
  </r>
  <r>
    <x v="0"/>
    <x v="2"/>
    <x v="2"/>
  </r>
  <r>
    <x v="0"/>
    <x v="2"/>
    <x v="2"/>
  </r>
  <r>
    <x v="0"/>
    <x v="2"/>
    <x v="2"/>
  </r>
  <r>
    <x v="0"/>
    <x v="2"/>
    <x v="3"/>
  </r>
  <r>
    <x v="0"/>
    <x v="2"/>
    <x v="3"/>
  </r>
  <r>
    <x v="0"/>
    <x v="2"/>
    <x v="3"/>
  </r>
  <r>
    <x v="0"/>
    <x v="2"/>
    <x v="3"/>
  </r>
  <r>
    <x v="0"/>
    <x v="2"/>
    <x v="3"/>
  </r>
  <r>
    <x v="0"/>
    <x v="2"/>
    <x v="3"/>
  </r>
  <r>
    <x v="0"/>
    <x v="2"/>
    <x v="3"/>
  </r>
  <r>
    <x v="0"/>
    <x v="2"/>
    <x v="3"/>
  </r>
  <r>
    <x v="0"/>
    <x v="2"/>
    <x v="3"/>
  </r>
  <r>
    <x v="0"/>
    <x v="2"/>
    <x v="3"/>
  </r>
  <r>
    <x v="0"/>
    <x v="2"/>
    <x v="3"/>
  </r>
  <r>
    <x v="0"/>
    <x v="2"/>
    <x v="3"/>
  </r>
  <r>
    <x v="0"/>
    <x v="2"/>
    <x v="3"/>
  </r>
  <r>
    <x v="0"/>
    <x v="2"/>
    <x v="3"/>
  </r>
  <r>
    <x v="0"/>
    <x v="2"/>
    <x v="4"/>
  </r>
  <r>
    <x v="0"/>
    <x v="2"/>
    <x v="4"/>
  </r>
  <r>
    <x v="0"/>
    <x v="2"/>
    <x v="4"/>
  </r>
  <r>
    <x v="0"/>
    <x v="2"/>
    <x v="4"/>
  </r>
  <r>
    <x v="0"/>
    <x v="2"/>
    <x v="4"/>
  </r>
  <r>
    <x v="0"/>
    <x v="2"/>
    <x v="4"/>
  </r>
  <r>
    <x v="0"/>
    <x v="2"/>
    <x v="4"/>
  </r>
  <r>
    <x v="0"/>
    <x v="2"/>
    <x v="4"/>
  </r>
  <r>
    <x v="0"/>
    <x v="2"/>
    <x v="4"/>
  </r>
  <r>
    <x v="0"/>
    <x v="2"/>
    <x v="4"/>
  </r>
  <r>
    <x v="0"/>
    <x v="2"/>
    <x v="4"/>
  </r>
  <r>
    <x v="0"/>
    <x v="2"/>
    <x v="4"/>
  </r>
  <r>
    <x v="0"/>
    <x v="2"/>
    <x v="4"/>
  </r>
  <r>
    <x v="0"/>
    <x v="2"/>
    <x v="4"/>
  </r>
  <r>
    <x v="0"/>
    <x v="2"/>
    <x v="5"/>
  </r>
  <r>
    <x v="0"/>
    <x v="2"/>
    <x v="5"/>
  </r>
  <r>
    <x v="0"/>
    <x v="2"/>
    <x v="5"/>
  </r>
  <r>
    <x v="0"/>
    <x v="2"/>
    <x v="5"/>
  </r>
  <r>
    <x v="0"/>
    <x v="2"/>
    <x v="5"/>
  </r>
  <r>
    <x v="0"/>
    <x v="2"/>
    <x v="5"/>
  </r>
  <r>
    <x v="0"/>
    <x v="2"/>
    <x v="5"/>
  </r>
  <r>
    <x v="0"/>
    <x v="2"/>
    <x v="5"/>
  </r>
  <r>
    <x v="0"/>
    <x v="2"/>
    <x v="5"/>
  </r>
  <r>
    <x v="0"/>
    <x v="2"/>
    <x v="5"/>
  </r>
  <r>
    <x v="0"/>
    <x v="2"/>
    <x v="5"/>
  </r>
  <r>
    <x v="0"/>
    <x v="2"/>
    <x v="5"/>
  </r>
  <r>
    <x v="0"/>
    <x v="2"/>
    <x v="5"/>
  </r>
  <r>
    <x v="0"/>
    <x v="2"/>
    <x v="5"/>
  </r>
  <r>
    <x v="0"/>
    <x v="2"/>
    <x v="6"/>
  </r>
  <r>
    <x v="0"/>
    <x v="2"/>
    <x v="6"/>
  </r>
  <r>
    <x v="0"/>
    <x v="2"/>
    <x v="6"/>
  </r>
  <r>
    <x v="0"/>
    <x v="0"/>
    <x v="0"/>
  </r>
  <r>
    <x v="0"/>
    <x v="0"/>
    <x v="0"/>
  </r>
  <r>
    <x v="0"/>
    <x v="0"/>
    <x v="0"/>
  </r>
  <r>
    <x v="0"/>
    <x v="0"/>
    <x v="0"/>
  </r>
  <r>
    <x v="0"/>
    <x v="0"/>
    <x v="0"/>
  </r>
  <r>
    <x v="0"/>
    <x v="0"/>
    <x v="0"/>
  </r>
  <r>
    <x v="0"/>
    <x v="0"/>
    <x v="0"/>
  </r>
  <r>
    <x v="0"/>
    <x v="0"/>
    <x v="0"/>
  </r>
  <r>
    <x v="0"/>
    <x v="0"/>
    <x v="0"/>
  </r>
  <r>
    <x v="0"/>
    <x v="0"/>
    <x v="0"/>
  </r>
  <r>
    <x v="0"/>
    <x v="0"/>
    <x v="0"/>
  </r>
  <r>
    <x v="0"/>
    <x v="0"/>
    <x v="0"/>
  </r>
  <r>
    <x v="0"/>
    <x v="0"/>
    <x v="0"/>
  </r>
  <r>
    <x v="0"/>
    <x v="0"/>
    <x v="0"/>
  </r>
  <r>
    <x v="0"/>
    <x v="0"/>
    <x v="1"/>
  </r>
  <r>
    <x v="0"/>
    <x v="0"/>
    <x v="1"/>
  </r>
  <r>
    <x v="0"/>
    <x v="0"/>
    <x v="1"/>
  </r>
  <r>
    <x v="0"/>
    <x v="0"/>
    <x v="1"/>
  </r>
  <r>
    <x v="0"/>
    <x v="0"/>
    <x v="1"/>
  </r>
  <r>
    <x v="0"/>
    <x v="0"/>
    <x v="1"/>
  </r>
  <r>
    <x v="0"/>
    <x v="0"/>
    <x v="1"/>
  </r>
  <r>
    <x v="0"/>
    <x v="0"/>
    <x v="1"/>
  </r>
  <r>
    <x v="0"/>
    <x v="0"/>
    <x v="1"/>
  </r>
  <r>
    <x v="0"/>
    <x v="0"/>
    <x v="1"/>
  </r>
  <r>
    <x v="0"/>
    <x v="0"/>
    <x v="1"/>
  </r>
  <r>
    <x v="0"/>
    <x v="0"/>
    <x v="1"/>
  </r>
  <r>
    <x v="0"/>
    <x v="0"/>
    <x v="1"/>
  </r>
  <r>
    <x v="0"/>
    <x v="0"/>
    <x v="1"/>
  </r>
  <r>
    <x v="0"/>
    <x v="0"/>
    <x v="2"/>
  </r>
  <r>
    <x v="0"/>
    <x v="0"/>
    <x v="2"/>
  </r>
  <r>
    <x v="0"/>
    <x v="0"/>
    <x v="2"/>
  </r>
  <r>
    <x v="0"/>
    <x v="0"/>
    <x v="2"/>
  </r>
  <r>
    <x v="0"/>
    <x v="0"/>
    <x v="2"/>
  </r>
  <r>
    <x v="0"/>
    <x v="0"/>
    <x v="2"/>
  </r>
  <r>
    <x v="0"/>
    <x v="0"/>
    <x v="2"/>
  </r>
  <r>
    <x v="0"/>
    <x v="0"/>
    <x v="2"/>
  </r>
  <r>
    <x v="0"/>
    <x v="0"/>
    <x v="2"/>
  </r>
  <r>
    <x v="0"/>
    <x v="0"/>
    <x v="2"/>
  </r>
  <r>
    <x v="0"/>
    <x v="0"/>
    <x v="2"/>
  </r>
  <r>
    <x v="0"/>
    <x v="0"/>
    <x v="2"/>
  </r>
  <r>
    <x v="0"/>
    <x v="0"/>
    <x v="2"/>
  </r>
  <r>
    <x v="0"/>
    <x v="0"/>
    <x v="2"/>
  </r>
  <r>
    <x v="0"/>
    <x v="0"/>
    <x v="3"/>
  </r>
  <r>
    <x v="0"/>
    <x v="0"/>
    <x v="3"/>
  </r>
  <r>
    <x v="0"/>
    <x v="0"/>
    <x v="3"/>
  </r>
  <r>
    <x v="0"/>
    <x v="0"/>
    <x v="3"/>
  </r>
  <r>
    <x v="0"/>
    <x v="0"/>
    <x v="3"/>
  </r>
  <r>
    <x v="0"/>
    <x v="0"/>
    <x v="3"/>
  </r>
  <r>
    <x v="0"/>
    <x v="0"/>
    <x v="3"/>
  </r>
  <r>
    <x v="0"/>
    <x v="0"/>
    <x v="3"/>
  </r>
  <r>
    <x v="0"/>
    <x v="0"/>
    <x v="3"/>
  </r>
  <r>
    <x v="0"/>
    <x v="0"/>
    <x v="3"/>
  </r>
  <r>
    <x v="0"/>
    <x v="0"/>
    <x v="3"/>
  </r>
  <r>
    <x v="0"/>
    <x v="0"/>
    <x v="3"/>
  </r>
  <r>
    <x v="0"/>
    <x v="0"/>
    <x v="3"/>
  </r>
  <r>
    <x v="0"/>
    <x v="0"/>
    <x v="3"/>
  </r>
  <r>
    <x v="0"/>
    <x v="0"/>
    <x v="4"/>
  </r>
  <r>
    <x v="0"/>
    <x v="0"/>
    <x v="4"/>
  </r>
  <r>
    <x v="0"/>
    <x v="0"/>
    <x v="4"/>
  </r>
  <r>
    <x v="0"/>
    <x v="0"/>
    <x v="4"/>
  </r>
  <r>
    <x v="0"/>
    <x v="0"/>
    <x v="4"/>
  </r>
  <r>
    <x v="0"/>
    <x v="0"/>
    <x v="4"/>
  </r>
  <r>
    <x v="0"/>
    <x v="0"/>
    <x v="4"/>
  </r>
  <r>
    <x v="0"/>
    <x v="0"/>
    <x v="4"/>
  </r>
  <r>
    <x v="0"/>
    <x v="0"/>
    <x v="4"/>
  </r>
  <r>
    <x v="0"/>
    <x v="0"/>
    <x v="4"/>
  </r>
  <r>
    <x v="0"/>
    <x v="0"/>
    <x v="4"/>
  </r>
  <r>
    <x v="0"/>
    <x v="0"/>
    <x v="4"/>
  </r>
  <r>
    <x v="0"/>
    <x v="0"/>
    <x v="4"/>
  </r>
  <r>
    <x v="0"/>
    <x v="0"/>
    <x v="4"/>
  </r>
  <r>
    <x v="0"/>
    <x v="0"/>
    <x v="5"/>
  </r>
  <r>
    <x v="0"/>
    <x v="0"/>
    <x v="5"/>
  </r>
  <r>
    <x v="0"/>
    <x v="0"/>
    <x v="5"/>
  </r>
  <r>
    <x v="0"/>
    <x v="0"/>
    <x v="5"/>
  </r>
  <r>
    <x v="0"/>
    <x v="0"/>
    <x v="5"/>
  </r>
  <r>
    <x v="0"/>
    <x v="0"/>
    <x v="5"/>
  </r>
  <r>
    <x v="0"/>
    <x v="0"/>
    <x v="5"/>
  </r>
  <r>
    <x v="0"/>
    <x v="0"/>
    <x v="5"/>
  </r>
  <r>
    <x v="0"/>
    <x v="0"/>
    <x v="5"/>
  </r>
  <r>
    <x v="0"/>
    <x v="0"/>
    <x v="5"/>
  </r>
  <r>
    <x v="0"/>
    <x v="0"/>
    <x v="5"/>
  </r>
  <r>
    <x v="0"/>
    <x v="0"/>
    <x v="5"/>
  </r>
  <r>
    <x v="0"/>
    <x v="0"/>
    <x v="5"/>
  </r>
  <r>
    <x v="0"/>
    <x v="0"/>
    <x v="5"/>
  </r>
  <r>
    <x v="0"/>
    <x v="0"/>
    <x v="6"/>
  </r>
  <r>
    <x v="0"/>
    <x v="0"/>
    <x v="6"/>
  </r>
  <r>
    <x v="0"/>
    <x v="0"/>
    <x v="6"/>
  </r>
  <r>
    <x v="0"/>
    <x v="0"/>
    <x v="6"/>
  </r>
  <r>
    <x v="0"/>
    <x v="0"/>
    <x v="6"/>
  </r>
  <r>
    <x v="0"/>
    <x v="0"/>
    <x v="6"/>
  </r>
  <r>
    <x v="0"/>
    <x v="0"/>
    <x v="6"/>
  </r>
  <r>
    <x v="0"/>
    <x v="0"/>
    <x v="6"/>
  </r>
  <r>
    <x v="0"/>
    <x v="0"/>
    <x v="6"/>
  </r>
  <r>
    <x v="0"/>
    <x v="0"/>
    <x v="6"/>
  </r>
  <r>
    <x v="0"/>
    <x v="0"/>
    <x v="6"/>
  </r>
  <r>
    <x v="0"/>
    <x v="0"/>
    <x v="6"/>
  </r>
  <r>
    <x v="0"/>
    <x v="0"/>
    <x v="6"/>
  </r>
  <r>
    <x v="0"/>
    <x v="0"/>
    <x v="6"/>
  </r>
  <r>
    <x v="0"/>
    <x v="0"/>
    <x v="7"/>
  </r>
  <r>
    <x v="0"/>
    <x v="0"/>
    <x v="7"/>
  </r>
  <r>
    <x v="0"/>
    <x v="0"/>
    <x v="7"/>
  </r>
  <r>
    <x v="0"/>
    <x v="0"/>
    <x v="7"/>
  </r>
  <r>
    <x v="0"/>
    <x v="0"/>
    <x v="7"/>
  </r>
  <r>
    <x v="0"/>
    <x v="0"/>
    <x v="7"/>
  </r>
  <r>
    <x v="0"/>
    <x v="0"/>
    <x v="7"/>
  </r>
  <r>
    <x v="0"/>
    <x v="0"/>
    <x v="7"/>
  </r>
  <r>
    <x v="0"/>
    <x v="0"/>
    <x v="7"/>
  </r>
  <r>
    <x v="0"/>
    <x v="0"/>
    <x v="7"/>
  </r>
  <r>
    <x v="0"/>
    <x v="0"/>
    <x v="7"/>
  </r>
  <r>
    <x v="0"/>
    <x v="0"/>
    <x v="7"/>
  </r>
  <r>
    <x v="0"/>
    <x v="0"/>
    <x v="7"/>
  </r>
  <r>
    <x v="0"/>
    <x v="0"/>
    <x v="7"/>
  </r>
  <r>
    <x v="0"/>
    <x v="0"/>
    <x v="8"/>
  </r>
  <r>
    <x v="0"/>
    <x v="0"/>
    <x v="8"/>
  </r>
  <r>
    <x v="0"/>
    <x v="0"/>
    <x v="8"/>
  </r>
  <r>
    <x v="0"/>
    <x v="0"/>
    <x v="8"/>
  </r>
  <r>
    <x v="0"/>
    <x v="0"/>
    <x v="8"/>
  </r>
  <r>
    <x v="0"/>
    <x v="0"/>
    <x v="8"/>
  </r>
  <r>
    <x v="0"/>
    <x v="0"/>
    <x v="8"/>
  </r>
  <r>
    <x v="0"/>
    <x v="0"/>
    <x v="8"/>
  </r>
  <r>
    <x v="0"/>
    <x v="0"/>
    <x v="8"/>
  </r>
  <r>
    <x v="0"/>
    <x v="0"/>
    <x v="8"/>
  </r>
  <r>
    <x v="0"/>
    <x v="0"/>
    <x v="8"/>
  </r>
  <r>
    <x v="0"/>
    <x v="0"/>
    <x v="8"/>
  </r>
  <r>
    <x v="0"/>
    <x v="0"/>
    <x v="8"/>
  </r>
  <r>
    <x v="0"/>
    <x v="0"/>
    <x v="8"/>
  </r>
  <r>
    <x v="0"/>
    <x v="0"/>
    <x v="9"/>
  </r>
  <r>
    <x v="0"/>
    <x v="0"/>
    <x v="9"/>
  </r>
  <r>
    <x v="0"/>
    <x v="0"/>
    <x v="9"/>
  </r>
  <r>
    <x v="0"/>
    <x v="0"/>
    <x v="9"/>
  </r>
  <r>
    <x v="0"/>
    <x v="0"/>
    <x v="9"/>
  </r>
  <r>
    <x v="0"/>
    <x v="0"/>
    <x v="9"/>
  </r>
  <r>
    <x v="0"/>
    <x v="0"/>
    <x v="9"/>
  </r>
  <r>
    <x v="0"/>
    <x v="0"/>
    <x v="9"/>
  </r>
  <r>
    <x v="0"/>
    <x v="0"/>
    <x v="9"/>
  </r>
  <r>
    <x v="0"/>
    <x v="0"/>
    <x v="9"/>
  </r>
  <r>
    <x v="0"/>
    <x v="0"/>
    <x v="9"/>
  </r>
  <r>
    <x v="0"/>
    <x v="0"/>
    <x v="9"/>
  </r>
  <r>
    <x v="0"/>
    <x v="0"/>
    <x v="9"/>
  </r>
  <r>
    <x v="0"/>
    <x v="0"/>
    <x v="9"/>
  </r>
  <r>
    <x v="0"/>
    <x v="0"/>
    <x v="10"/>
  </r>
  <r>
    <x v="0"/>
    <x v="0"/>
    <x v="10"/>
  </r>
  <r>
    <x v="0"/>
    <x v="0"/>
    <x v="10"/>
  </r>
  <r>
    <x v="0"/>
    <x v="0"/>
    <x v="10"/>
  </r>
  <r>
    <x v="0"/>
    <x v="0"/>
    <x v="10"/>
  </r>
  <r>
    <x v="0"/>
    <x v="0"/>
    <x v="10"/>
  </r>
  <r>
    <x v="0"/>
    <x v="0"/>
    <x v="10"/>
  </r>
  <r>
    <x v="0"/>
    <x v="0"/>
    <x v="10"/>
  </r>
  <r>
    <x v="0"/>
    <x v="0"/>
    <x v="10"/>
  </r>
  <r>
    <x v="0"/>
    <x v="0"/>
    <x v="10"/>
  </r>
  <r>
    <x v="0"/>
    <x v="0"/>
    <x v="10"/>
  </r>
  <r>
    <x v="0"/>
    <x v="0"/>
    <x v="10"/>
  </r>
  <r>
    <x v="0"/>
    <x v="0"/>
    <x v="10"/>
  </r>
  <r>
    <x v="0"/>
    <x v="0"/>
    <x v="10"/>
  </r>
  <r>
    <x v="0"/>
    <x v="0"/>
    <x v="11"/>
  </r>
  <r>
    <x v="0"/>
    <x v="0"/>
    <x v="11"/>
  </r>
  <r>
    <x v="0"/>
    <x v="0"/>
    <x v="11"/>
  </r>
  <r>
    <x v="0"/>
    <x v="0"/>
    <x v="11"/>
  </r>
  <r>
    <x v="0"/>
    <x v="0"/>
    <x v="11"/>
  </r>
  <r>
    <x v="0"/>
    <x v="0"/>
    <x v="11"/>
  </r>
  <r>
    <x v="0"/>
    <x v="0"/>
    <x v="11"/>
  </r>
  <r>
    <x v="0"/>
    <x v="0"/>
    <x v="11"/>
  </r>
  <r>
    <x v="0"/>
    <x v="0"/>
    <x v="11"/>
  </r>
  <r>
    <x v="0"/>
    <x v="0"/>
    <x v="11"/>
  </r>
  <r>
    <x v="0"/>
    <x v="0"/>
    <x v="11"/>
  </r>
  <r>
    <x v="0"/>
    <x v="0"/>
    <x v="11"/>
  </r>
  <r>
    <x v="0"/>
    <x v="0"/>
    <x v="11"/>
  </r>
  <r>
    <x v="0"/>
    <x v="0"/>
    <x v="11"/>
  </r>
  <r>
    <x v="0"/>
    <x v="0"/>
    <x v="12"/>
  </r>
  <r>
    <x v="0"/>
    <x v="0"/>
    <x v="12"/>
  </r>
  <r>
    <x v="0"/>
    <x v="0"/>
    <x v="12"/>
  </r>
  <r>
    <x v="0"/>
    <x v="0"/>
    <x v="12"/>
  </r>
  <r>
    <x v="0"/>
    <x v="0"/>
    <x v="12"/>
  </r>
  <r>
    <x v="0"/>
    <x v="0"/>
    <x v="12"/>
  </r>
  <r>
    <x v="0"/>
    <x v="0"/>
    <x v="12"/>
  </r>
  <r>
    <x v="0"/>
    <x v="0"/>
    <x v="12"/>
  </r>
  <r>
    <x v="0"/>
    <x v="0"/>
    <x v="12"/>
  </r>
  <r>
    <x v="0"/>
    <x v="0"/>
    <x v="12"/>
  </r>
  <r>
    <x v="0"/>
    <x v="0"/>
    <x v="12"/>
  </r>
  <r>
    <x v="0"/>
    <x v="0"/>
    <x v="12"/>
  </r>
  <r>
    <x v="0"/>
    <x v="0"/>
    <x v="12"/>
  </r>
  <r>
    <x v="0"/>
    <x v="0"/>
    <x v="12"/>
  </r>
  <r>
    <x v="0"/>
    <x v="0"/>
    <x v="13"/>
  </r>
  <r>
    <x v="0"/>
    <x v="0"/>
    <x v="13"/>
  </r>
  <r>
    <x v="0"/>
    <x v="0"/>
    <x v="13"/>
  </r>
  <r>
    <x v="0"/>
    <x v="0"/>
    <x v="13"/>
  </r>
  <r>
    <x v="0"/>
    <x v="0"/>
    <x v="13"/>
  </r>
  <r>
    <x v="0"/>
    <x v="0"/>
    <x v="13"/>
  </r>
  <r>
    <x v="0"/>
    <x v="0"/>
    <x v="13"/>
  </r>
  <r>
    <x v="0"/>
    <x v="0"/>
    <x v="13"/>
  </r>
  <r>
    <x v="0"/>
    <x v="0"/>
    <x v="13"/>
  </r>
  <r>
    <x v="0"/>
    <x v="0"/>
    <x v="13"/>
  </r>
  <r>
    <x v="0"/>
    <x v="0"/>
    <x v="13"/>
  </r>
  <r>
    <x v="0"/>
    <x v="0"/>
    <x v="13"/>
  </r>
  <r>
    <x v="0"/>
    <x v="0"/>
    <x v="13"/>
  </r>
  <r>
    <x v="0"/>
    <x v="0"/>
    <x v="13"/>
  </r>
  <r>
    <x v="0"/>
    <x v="0"/>
    <x v="14"/>
  </r>
  <r>
    <x v="0"/>
    <x v="0"/>
    <x v="14"/>
  </r>
  <r>
    <x v="0"/>
    <x v="0"/>
    <x v="14"/>
  </r>
  <r>
    <x v="0"/>
    <x v="0"/>
    <x v="14"/>
  </r>
  <r>
    <x v="0"/>
    <x v="0"/>
    <x v="14"/>
  </r>
  <r>
    <x v="0"/>
    <x v="0"/>
    <x v="14"/>
  </r>
  <r>
    <x v="0"/>
    <x v="0"/>
    <x v="14"/>
  </r>
  <r>
    <x v="0"/>
    <x v="0"/>
    <x v="14"/>
  </r>
  <r>
    <x v="0"/>
    <x v="0"/>
    <x v="14"/>
  </r>
  <r>
    <x v="0"/>
    <x v="0"/>
    <x v="14"/>
  </r>
  <r>
    <x v="0"/>
    <x v="0"/>
    <x v="14"/>
  </r>
  <r>
    <x v="0"/>
    <x v="0"/>
    <x v="14"/>
  </r>
  <r>
    <x v="0"/>
    <x v="1"/>
    <x v="0"/>
  </r>
  <r>
    <x v="0"/>
    <x v="1"/>
    <x v="0"/>
  </r>
  <r>
    <x v="0"/>
    <x v="1"/>
    <x v="0"/>
  </r>
  <r>
    <x v="0"/>
    <x v="1"/>
    <x v="0"/>
  </r>
  <r>
    <x v="0"/>
    <x v="1"/>
    <x v="0"/>
  </r>
  <r>
    <x v="0"/>
    <x v="1"/>
    <x v="0"/>
  </r>
  <r>
    <x v="0"/>
    <x v="1"/>
    <x v="0"/>
  </r>
  <r>
    <x v="0"/>
    <x v="1"/>
    <x v="0"/>
  </r>
  <r>
    <x v="0"/>
    <x v="1"/>
    <x v="0"/>
  </r>
  <r>
    <x v="0"/>
    <x v="1"/>
    <x v="0"/>
  </r>
  <r>
    <x v="0"/>
    <x v="1"/>
    <x v="0"/>
  </r>
  <r>
    <x v="0"/>
    <x v="1"/>
    <x v="0"/>
  </r>
  <r>
    <x v="0"/>
    <x v="1"/>
    <x v="0"/>
  </r>
  <r>
    <x v="0"/>
    <x v="1"/>
    <x v="0"/>
  </r>
  <r>
    <x v="0"/>
    <x v="1"/>
    <x v="1"/>
  </r>
  <r>
    <x v="0"/>
    <x v="1"/>
    <x v="1"/>
  </r>
  <r>
    <x v="0"/>
    <x v="1"/>
    <x v="1"/>
  </r>
  <r>
    <x v="0"/>
    <x v="1"/>
    <x v="1"/>
  </r>
  <r>
    <x v="0"/>
    <x v="1"/>
    <x v="1"/>
  </r>
  <r>
    <x v="0"/>
    <x v="1"/>
    <x v="1"/>
  </r>
  <r>
    <x v="0"/>
    <x v="1"/>
    <x v="1"/>
  </r>
  <r>
    <x v="0"/>
    <x v="1"/>
    <x v="1"/>
  </r>
  <r>
    <x v="0"/>
    <x v="1"/>
    <x v="1"/>
  </r>
  <r>
    <x v="0"/>
    <x v="1"/>
    <x v="1"/>
  </r>
  <r>
    <x v="0"/>
    <x v="1"/>
    <x v="1"/>
  </r>
  <r>
    <x v="0"/>
    <x v="1"/>
    <x v="1"/>
  </r>
  <r>
    <x v="0"/>
    <x v="1"/>
    <x v="1"/>
  </r>
  <r>
    <x v="0"/>
    <x v="1"/>
    <x v="1"/>
  </r>
  <r>
    <x v="0"/>
    <x v="1"/>
    <x v="2"/>
  </r>
  <r>
    <x v="0"/>
    <x v="1"/>
    <x v="2"/>
  </r>
  <r>
    <x v="0"/>
    <x v="1"/>
    <x v="2"/>
  </r>
  <r>
    <x v="0"/>
    <x v="1"/>
    <x v="2"/>
  </r>
  <r>
    <x v="0"/>
    <x v="1"/>
    <x v="2"/>
  </r>
  <r>
    <x v="0"/>
    <x v="1"/>
    <x v="2"/>
  </r>
  <r>
    <x v="0"/>
    <x v="1"/>
    <x v="2"/>
  </r>
  <r>
    <x v="0"/>
    <x v="1"/>
    <x v="2"/>
  </r>
  <r>
    <x v="0"/>
    <x v="1"/>
    <x v="2"/>
  </r>
  <r>
    <x v="0"/>
    <x v="1"/>
    <x v="2"/>
  </r>
  <r>
    <x v="0"/>
    <x v="1"/>
    <x v="2"/>
  </r>
  <r>
    <x v="0"/>
    <x v="1"/>
    <x v="2"/>
  </r>
  <r>
    <x v="0"/>
    <x v="1"/>
    <x v="2"/>
  </r>
  <r>
    <x v="0"/>
    <x v="1"/>
    <x v="2"/>
  </r>
  <r>
    <x v="0"/>
    <x v="1"/>
    <x v="3"/>
  </r>
  <r>
    <x v="0"/>
    <x v="1"/>
    <x v="3"/>
  </r>
  <r>
    <x v="0"/>
    <x v="1"/>
    <x v="3"/>
  </r>
  <r>
    <x v="0"/>
    <x v="1"/>
    <x v="3"/>
  </r>
  <r>
    <x v="0"/>
    <x v="1"/>
    <x v="3"/>
  </r>
  <r>
    <x v="0"/>
    <x v="1"/>
    <x v="3"/>
  </r>
  <r>
    <x v="0"/>
    <x v="1"/>
    <x v="3"/>
  </r>
  <r>
    <x v="0"/>
    <x v="1"/>
    <x v="3"/>
  </r>
  <r>
    <x v="0"/>
    <x v="1"/>
    <x v="3"/>
  </r>
  <r>
    <x v="0"/>
    <x v="1"/>
    <x v="3"/>
  </r>
  <r>
    <x v="0"/>
    <x v="1"/>
    <x v="3"/>
  </r>
  <r>
    <x v="0"/>
    <x v="1"/>
    <x v="3"/>
  </r>
  <r>
    <x v="0"/>
    <x v="1"/>
    <x v="3"/>
  </r>
  <r>
    <x v="0"/>
    <x v="1"/>
    <x v="3"/>
  </r>
  <r>
    <x v="0"/>
    <x v="1"/>
    <x v="4"/>
  </r>
  <r>
    <x v="0"/>
    <x v="1"/>
    <x v="4"/>
  </r>
  <r>
    <x v="0"/>
    <x v="1"/>
    <x v="4"/>
  </r>
  <r>
    <x v="0"/>
    <x v="1"/>
    <x v="4"/>
  </r>
  <r>
    <x v="0"/>
    <x v="1"/>
    <x v="4"/>
  </r>
  <r>
    <x v="0"/>
    <x v="1"/>
    <x v="4"/>
  </r>
  <r>
    <x v="0"/>
    <x v="1"/>
    <x v="4"/>
  </r>
  <r>
    <x v="0"/>
    <x v="1"/>
    <x v="4"/>
  </r>
  <r>
    <x v="0"/>
    <x v="1"/>
    <x v="4"/>
  </r>
  <r>
    <x v="0"/>
    <x v="1"/>
    <x v="4"/>
  </r>
  <r>
    <x v="0"/>
    <x v="1"/>
    <x v="4"/>
  </r>
  <r>
    <x v="0"/>
    <x v="1"/>
    <x v="4"/>
  </r>
  <r>
    <x v="0"/>
    <x v="1"/>
    <x v="4"/>
  </r>
  <r>
    <x v="0"/>
    <x v="1"/>
    <x v="4"/>
  </r>
  <r>
    <x v="0"/>
    <x v="1"/>
    <x v="5"/>
  </r>
  <r>
    <x v="0"/>
    <x v="1"/>
    <x v="5"/>
  </r>
  <r>
    <x v="0"/>
    <x v="1"/>
    <x v="5"/>
  </r>
  <r>
    <x v="0"/>
    <x v="1"/>
    <x v="5"/>
  </r>
  <r>
    <x v="0"/>
    <x v="1"/>
    <x v="5"/>
  </r>
  <r>
    <x v="0"/>
    <x v="1"/>
    <x v="5"/>
  </r>
  <r>
    <x v="0"/>
    <x v="1"/>
    <x v="5"/>
  </r>
  <r>
    <x v="0"/>
    <x v="1"/>
    <x v="5"/>
  </r>
  <r>
    <x v="0"/>
    <x v="1"/>
    <x v="5"/>
  </r>
  <r>
    <x v="0"/>
    <x v="1"/>
    <x v="5"/>
  </r>
  <r>
    <x v="0"/>
    <x v="1"/>
    <x v="5"/>
  </r>
  <r>
    <x v="0"/>
    <x v="1"/>
    <x v="5"/>
  </r>
  <r>
    <x v="0"/>
    <x v="1"/>
    <x v="5"/>
  </r>
  <r>
    <x v="0"/>
    <x v="1"/>
    <x v="5"/>
  </r>
  <r>
    <x v="0"/>
    <x v="1"/>
    <x v="6"/>
  </r>
  <r>
    <x v="0"/>
    <x v="1"/>
    <x v="6"/>
  </r>
  <r>
    <x v="0"/>
    <x v="1"/>
    <x v="6"/>
  </r>
  <r>
    <x v="0"/>
    <x v="1"/>
    <x v="6"/>
  </r>
  <r>
    <x v="0"/>
    <x v="2"/>
    <x v="6"/>
  </r>
  <r>
    <x v="0"/>
    <x v="2"/>
    <x v="6"/>
  </r>
  <r>
    <x v="0"/>
    <x v="2"/>
    <x v="6"/>
  </r>
  <r>
    <x v="0"/>
    <x v="2"/>
    <x v="6"/>
  </r>
  <r>
    <x v="0"/>
    <x v="2"/>
    <x v="6"/>
  </r>
  <r>
    <x v="0"/>
    <x v="2"/>
    <x v="6"/>
  </r>
  <r>
    <x v="0"/>
    <x v="2"/>
    <x v="6"/>
  </r>
  <r>
    <x v="0"/>
    <x v="2"/>
    <x v="6"/>
  </r>
  <r>
    <x v="0"/>
    <x v="2"/>
    <x v="6"/>
  </r>
  <r>
    <x v="0"/>
    <x v="2"/>
    <x v="6"/>
  </r>
  <r>
    <x v="0"/>
    <x v="2"/>
    <x v="6"/>
  </r>
  <r>
    <x v="0"/>
    <x v="2"/>
    <x v="7"/>
  </r>
  <r>
    <x v="0"/>
    <x v="2"/>
    <x v="7"/>
  </r>
  <r>
    <x v="0"/>
    <x v="2"/>
    <x v="7"/>
  </r>
  <r>
    <x v="0"/>
    <x v="2"/>
    <x v="7"/>
  </r>
  <r>
    <x v="0"/>
    <x v="2"/>
    <x v="7"/>
  </r>
  <r>
    <x v="0"/>
    <x v="2"/>
    <x v="7"/>
  </r>
  <r>
    <x v="0"/>
    <x v="2"/>
    <x v="7"/>
  </r>
  <r>
    <x v="0"/>
    <x v="2"/>
    <x v="7"/>
  </r>
  <r>
    <x v="0"/>
    <x v="2"/>
    <x v="7"/>
  </r>
  <r>
    <x v="0"/>
    <x v="2"/>
    <x v="7"/>
  </r>
  <r>
    <x v="0"/>
    <x v="2"/>
    <x v="7"/>
  </r>
  <r>
    <x v="0"/>
    <x v="2"/>
    <x v="7"/>
  </r>
  <r>
    <x v="0"/>
    <x v="2"/>
    <x v="7"/>
  </r>
  <r>
    <x v="0"/>
    <x v="2"/>
    <x v="7"/>
  </r>
  <r>
    <x v="0"/>
    <x v="2"/>
    <x v="8"/>
  </r>
  <r>
    <x v="0"/>
    <x v="2"/>
    <x v="8"/>
  </r>
  <r>
    <x v="0"/>
    <x v="2"/>
    <x v="8"/>
  </r>
  <r>
    <x v="0"/>
    <x v="2"/>
    <x v="8"/>
  </r>
  <r>
    <x v="0"/>
    <x v="2"/>
    <x v="8"/>
  </r>
  <r>
    <x v="0"/>
    <x v="2"/>
    <x v="8"/>
  </r>
  <r>
    <x v="0"/>
    <x v="2"/>
    <x v="8"/>
  </r>
  <r>
    <x v="0"/>
    <x v="2"/>
    <x v="8"/>
  </r>
  <r>
    <x v="0"/>
    <x v="2"/>
    <x v="8"/>
  </r>
  <r>
    <x v="0"/>
    <x v="2"/>
    <x v="8"/>
  </r>
  <r>
    <x v="0"/>
    <x v="2"/>
    <x v="8"/>
  </r>
  <r>
    <x v="0"/>
    <x v="2"/>
    <x v="8"/>
  </r>
  <r>
    <x v="0"/>
    <x v="2"/>
    <x v="8"/>
  </r>
  <r>
    <x v="0"/>
    <x v="2"/>
    <x v="8"/>
  </r>
  <r>
    <x v="0"/>
    <x v="2"/>
    <x v="9"/>
  </r>
  <r>
    <x v="0"/>
    <x v="2"/>
    <x v="9"/>
  </r>
  <r>
    <x v="0"/>
    <x v="2"/>
    <x v="9"/>
  </r>
  <r>
    <x v="0"/>
    <x v="2"/>
    <x v="9"/>
  </r>
  <r>
    <x v="0"/>
    <x v="2"/>
    <x v="9"/>
  </r>
  <r>
    <x v="0"/>
    <x v="2"/>
    <x v="9"/>
  </r>
  <r>
    <x v="0"/>
    <x v="2"/>
    <x v="9"/>
  </r>
  <r>
    <x v="0"/>
    <x v="2"/>
    <x v="9"/>
  </r>
  <r>
    <x v="0"/>
    <x v="2"/>
    <x v="9"/>
  </r>
  <r>
    <x v="0"/>
    <x v="2"/>
    <x v="9"/>
  </r>
  <r>
    <x v="0"/>
    <x v="2"/>
    <x v="9"/>
  </r>
  <r>
    <x v="0"/>
    <x v="2"/>
    <x v="9"/>
  </r>
  <r>
    <x v="0"/>
    <x v="2"/>
    <x v="9"/>
  </r>
  <r>
    <x v="0"/>
    <x v="2"/>
    <x v="9"/>
  </r>
  <r>
    <x v="0"/>
    <x v="2"/>
    <x v="10"/>
  </r>
  <r>
    <x v="0"/>
    <x v="2"/>
    <x v="10"/>
  </r>
  <r>
    <x v="0"/>
    <x v="2"/>
    <x v="10"/>
  </r>
  <r>
    <x v="0"/>
    <x v="2"/>
    <x v="10"/>
  </r>
  <r>
    <x v="0"/>
    <x v="2"/>
    <x v="10"/>
  </r>
  <r>
    <x v="0"/>
    <x v="2"/>
    <x v="10"/>
  </r>
  <r>
    <x v="0"/>
    <x v="2"/>
    <x v="10"/>
  </r>
  <r>
    <x v="0"/>
    <x v="2"/>
    <x v="10"/>
  </r>
  <r>
    <x v="0"/>
    <x v="2"/>
    <x v="10"/>
  </r>
  <r>
    <x v="0"/>
    <x v="2"/>
    <x v="10"/>
  </r>
  <r>
    <x v="0"/>
    <x v="2"/>
    <x v="10"/>
  </r>
  <r>
    <x v="0"/>
    <x v="2"/>
    <x v="10"/>
  </r>
  <r>
    <x v="0"/>
    <x v="2"/>
    <x v="10"/>
  </r>
  <r>
    <x v="0"/>
    <x v="2"/>
    <x v="10"/>
  </r>
  <r>
    <x v="0"/>
    <x v="2"/>
    <x v="11"/>
  </r>
  <r>
    <x v="0"/>
    <x v="2"/>
    <x v="11"/>
  </r>
  <r>
    <x v="0"/>
    <x v="2"/>
    <x v="11"/>
  </r>
  <r>
    <x v="0"/>
    <x v="2"/>
    <x v="11"/>
  </r>
  <r>
    <x v="0"/>
    <x v="2"/>
    <x v="11"/>
  </r>
  <r>
    <x v="0"/>
    <x v="2"/>
    <x v="11"/>
  </r>
  <r>
    <x v="0"/>
    <x v="2"/>
    <x v="11"/>
  </r>
  <r>
    <x v="0"/>
    <x v="2"/>
    <x v="11"/>
  </r>
  <r>
    <x v="0"/>
    <x v="2"/>
    <x v="11"/>
  </r>
  <r>
    <x v="0"/>
    <x v="2"/>
    <x v="11"/>
  </r>
  <r>
    <x v="0"/>
    <x v="2"/>
    <x v="11"/>
  </r>
  <r>
    <x v="0"/>
    <x v="2"/>
    <x v="11"/>
  </r>
  <r>
    <x v="0"/>
    <x v="2"/>
    <x v="11"/>
  </r>
  <r>
    <x v="0"/>
    <x v="2"/>
    <x v="11"/>
  </r>
  <r>
    <x v="0"/>
    <x v="2"/>
    <x v="12"/>
  </r>
  <r>
    <x v="0"/>
    <x v="2"/>
    <x v="12"/>
  </r>
  <r>
    <x v="0"/>
    <x v="2"/>
    <x v="12"/>
  </r>
  <r>
    <x v="0"/>
    <x v="2"/>
    <x v="12"/>
  </r>
  <r>
    <x v="0"/>
    <x v="2"/>
    <x v="12"/>
  </r>
  <r>
    <x v="0"/>
    <x v="2"/>
    <x v="12"/>
  </r>
  <r>
    <x v="0"/>
    <x v="2"/>
    <x v="12"/>
  </r>
  <r>
    <x v="0"/>
    <x v="2"/>
    <x v="12"/>
  </r>
  <r>
    <x v="0"/>
    <x v="2"/>
    <x v="12"/>
  </r>
  <r>
    <x v="0"/>
    <x v="2"/>
    <x v="12"/>
  </r>
  <r>
    <x v="0"/>
    <x v="2"/>
    <x v="12"/>
  </r>
  <r>
    <x v="0"/>
    <x v="2"/>
    <x v="12"/>
  </r>
  <r>
    <x v="0"/>
    <x v="2"/>
    <x v="12"/>
  </r>
  <r>
    <x v="0"/>
    <x v="2"/>
    <x v="12"/>
  </r>
  <r>
    <x v="0"/>
    <x v="2"/>
    <x v="13"/>
  </r>
  <r>
    <x v="0"/>
    <x v="2"/>
    <x v="13"/>
  </r>
  <r>
    <x v="0"/>
    <x v="2"/>
    <x v="13"/>
  </r>
  <r>
    <x v="0"/>
    <x v="2"/>
    <x v="13"/>
  </r>
  <r>
    <x v="0"/>
    <x v="2"/>
    <x v="13"/>
  </r>
  <r>
    <x v="0"/>
    <x v="2"/>
    <x v="13"/>
  </r>
  <r>
    <x v="0"/>
    <x v="2"/>
    <x v="13"/>
  </r>
  <r>
    <x v="0"/>
    <x v="2"/>
    <x v="13"/>
  </r>
  <r>
    <x v="0"/>
    <x v="2"/>
    <x v="13"/>
  </r>
  <r>
    <x v="0"/>
    <x v="2"/>
    <x v="13"/>
  </r>
  <r>
    <x v="0"/>
    <x v="2"/>
    <x v="13"/>
  </r>
  <r>
    <x v="0"/>
    <x v="2"/>
    <x v="13"/>
  </r>
  <r>
    <x v="0"/>
    <x v="2"/>
    <x v="13"/>
  </r>
  <r>
    <x v="0"/>
    <x v="2"/>
    <x v="13"/>
  </r>
  <r>
    <x v="0"/>
    <x v="2"/>
    <x v="14"/>
  </r>
  <r>
    <x v="0"/>
    <x v="2"/>
    <x v="14"/>
  </r>
  <r>
    <x v="0"/>
    <x v="2"/>
    <x v="14"/>
  </r>
  <r>
    <x v="0"/>
    <x v="2"/>
    <x v="14"/>
  </r>
  <r>
    <x v="0"/>
    <x v="2"/>
    <x v="14"/>
  </r>
  <r>
    <x v="0"/>
    <x v="2"/>
    <x v="14"/>
  </r>
  <r>
    <x v="0"/>
    <x v="2"/>
    <x v="14"/>
  </r>
  <r>
    <x v="0"/>
    <x v="2"/>
    <x v="14"/>
  </r>
  <r>
    <x v="0"/>
    <x v="2"/>
    <x v="14"/>
  </r>
  <r>
    <x v="0"/>
    <x v="2"/>
    <x v="14"/>
  </r>
  <r>
    <x v="0"/>
    <x v="2"/>
    <x v="14"/>
  </r>
  <r>
    <x v="0"/>
    <x v="2"/>
    <x v="14"/>
  </r>
  <r>
    <x v="0"/>
    <x v="1"/>
    <x v="6"/>
  </r>
  <r>
    <x v="0"/>
    <x v="1"/>
    <x v="6"/>
  </r>
  <r>
    <x v="0"/>
    <x v="1"/>
    <x v="6"/>
  </r>
  <r>
    <x v="0"/>
    <x v="1"/>
    <x v="6"/>
  </r>
  <r>
    <x v="0"/>
    <x v="1"/>
    <x v="6"/>
  </r>
  <r>
    <x v="0"/>
    <x v="1"/>
    <x v="6"/>
  </r>
  <r>
    <x v="0"/>
    <x v="1"/>
    <x v="6"/>
  </r>
  <r>
    <x v="0"/>
    <x v="1"/>
    <x v="6"/>
  </r>
  <r>
    <x v="0"/>
    <x v="1"/>
    <x v="6"/>
  </r>
  <r>
    <x v="0"/>
    <x v="1"/>
    <x v="6"/>
  </r>
  <r>
    <x v="0"/>
    <x v="1"/>
    <x v="7"/>
  </r>
  <r>
    <x v="0"/>
    <x v="1"/>
    <x v="7"/>
  </r>
  <r>
    <x v="0"/>
    <x v="1"/>
    <x v="7"/>
  </r>
  <r>
    <x v="0"/>
    <x v="1"/>
    <x v="7"/>
  </r>
  <r>
    <x v="0"/>
    <x v="1"/>
    <x v="7"/>
  </r>
  <r>
    <x v="0"/>
    <x v="1"/>
    <x v="7"/>
  </r>
  <r>
    <x v="0"/>
    <x v="1"/>
    <x v="7"/>
  </r>
  <r>
    <x v="0"/>
    <x v="1"/>
    <x v="7"/>
  </r>
  <r>
    <x v="0"/>
    <x v="1"/>
    <x v="7"/>
  </r>
  <r>
    <x v="0"/>
    <x v="1"/>
    <x v="7"/>
  </r>
  <r>
    <x v="0"/>
    <x v="1"/>
    <x v="7"/>
  </r>
  <r>
    <x v="0"/>
    <x v="1"/>
    <x v="7"/>
  </r>
  <r>
    <x v="0"/>
    <x v="1"/>
    <x v="7"/>
  </r>
  <r>
    <x v="0"/>
    <x v="1"/>
    <x v="7"/>
  </r>
  <r>
    <x v="0"/>
    <x v="1"/>
    <x v="8"/>
  </r>
  <r>
    <x v="0"/>
    <x v="1"/>
    <x v="8"/>
  </r>
  <r>
    <x v="0"/>
    <x v="1"/>
    <x v="8"/>
  </r>
  <r>
    <x v="0"/>
    <x v="1"/>
    <x v="8"/>
  </r>
  <r>
    <x v="0"/>
    <x v="1"/>
    <x v="8"/>
  </r>
  <r>
    <x v="0"/>
    <x v="1"/>
    <x v="8"/>
  </r>
  <r>
    <x v="0"/>
    <x v="1"/>
    <x v="8"/>
  </r>
  <r>
    <x v="0"/>
    <x v="1"/>
    <x v="8"/>
  </r>
  <r>
    <x v="0"/>
    <x v="1"/>
    <x v="8"/>
  </r>
  <r>
    <x v="0"/>
    <x v="1"/>
    <x v="8"/>
  </r>
  <r>
    <x v="0"/>
    <x v="1"/>
    <x v="8"/>
  </r>
  <r>
    <x v="0"/>
    <x v="1"/>
    <x v="8"/>
  </r>
  <r>
    <x v="0"/>
    <x v="1"/>
    <x v="8"/>
  </r>
  <r>
    <x v="0"/>
    <x v="1"/>
    <x v="8"/>
  </r>
  <r>
    <x v="0"/>
    <x v="1"/>
    <x v="9"/>
  </r>
  <r>
    <x v="0"/>
    <x v="1"/>
    <x v="9"/>
  </r>
  <r>
    <x v="0"/>
    <x v="1"/>
    <x v="9"/>
  </r>
  <r>
    <x v="0"/>
    <x v="1"/>
    <x v="9"/>
  </r>
  <r>
    <x v="0"/>
    <x v="1"/>
    <x v="9"/>
  </r>
  <r>
    <x v="0"/>
    <x v="1"/>
    <x v="9"/>
  </r>
  <r>
    <x v="0"/>
    <x v="1"/>
    <x v="9"/>
  </r>
  <r>
    <x v="0"/>
    <x v="1"/>
    <x v="9"/>
  </r>
  <r>
    <x v="0"/>
    <x v="1"/>
    <x v="9"/>
  </r>
  <r>
    <x v="0"/>
    <x v="1"/>
    <x v="9"/>
  </r>
  <r>
    <x v="0"/>
    <x v="1"/>
    <x v="9"/>
  </r>
  <r>
    <x v="0"/>
    <x v="1"/>
    <x v="9"/>
  </r>
  <r>
    <x v="0"/>
    <x v="1"/>
    <x v="9"/>
  </r>
  <r>
    <x v="0"/>
    <x v="1"/>
    <x v="9"/>
  </r>
  <r>
    <x v="0"/>
    <x v="1"/>
    <x v="10"/>
  </r>
  <r>
    <x v="0"/>
    <x v="1"/>
    <x v="10"/>
  </r>
  <r>
    <x v="0"/>
    <x v="1"/>
    <x v="10"/>
  </r>
  <r>
    <x v="0"/>
    <x v="1"/>
    <x v="10"/>
  </r>
  <r>
    <x v="0"/>
    <x v="1"/>
    <x v="10"/>
  </r>
  <r>
    <x v="0"/>
    <x v="1"/>
    <x v="10"/>
  </r>
  <r>
    <x v="0"/>
    <x v="1"/>
    <x v="10"/>
  </r>
  <r>
    <x v="0"/>
    <x v="1"/>
    <x v="10"/>
  </r>
  <r>
    <x v="0"/>
    <x v="1"/>
    <x v="10"/>
  </r>
  <r>
    <x v="0"/>
    <x v="1"/>
    <x v="10"/>
  </r>
  <r>
    <x v="0"/>
    <x v="1"/>
    <x v="10"/>
  </r>
  <r>
    <x v="0"/>
    <x v="1"/>
    <x v="10"/>
  </r>
  <r>
    <x v="0"/>
    <x v="1"/>
    <x v="10"/>
  </r>
  <r>
    <x v="0"/>
    <x v="1"/>
    <x v="10"/>
  </r>
  <r>
    <x v="0"/>
    <x v="1"/>
    <x v="11"/>
  </r>
  <r>
    <x v="0"/>
    <x v="1"/>
    <x v="11"/>
  </r>
  <r>
    <x v="0"/>
    <x v="1"/>
    <x v="11"/>
  </r>
  <r>
    <x v="0"/>
    <x v="1"/>
    <x v="11"/>
  </r>
  <r>
    <x v="0"/>
    <x v="1"/>
    <x v="11"/>
  </r>
  <r>
    <x v="0"/>
    <x v="1"/>
    <x v="11"/>
  </r>
  <r>
    <x v="0"/>
    <x v="1"/>
    <x v="11"/>
  </r>
  <r>
    <x v="0"/>
    <x v="1"/>
    <x v="11"/>
  </r>
  <r>
    <x v="0"/>
    <x v="1"/>
    <x v="11"/>
  </r>
  <r>
    <x v="0"/>
    <x v="1"/>
    <x v="11"/>
  </r>
  <r>
    <x v="0"/>
    <x v="1"/>
    <x v="11"/>
  </r>
  <r>
    <x v="0"/>
    <x v="1"/>
    <x v="11"/>
  </r>
  <r>
    <x v="0"/>
    <x v="1"/>
    <x v="11"/>
  </r>
  <r>
    <x v="0"/>
    <x v="1"/>
    <x v="11"/>
  </r>
  <r>
    <x v="0"/>
    <x v="1"/>
    <x v="12"/>
  </r>
  <r>
    <x v="0"/>
    <x v="1"/>
    <x v="12"/>
  </r>
  <r>
    <x v="0"/>
    <x v="1"/>
    <x v="12"/>
  </r>
  <r>
    <x v="0"/>
    <x v="1"/>
    <x v="12"/>
  </r>
  <r>
    <x v="0"/>
    <x v="1"/>
    <x v="12"/>
  </r>
  <r>
    <x v="0"/>
    <x v="1"/>
    <x v="12"/>
  </r>
  <r>
    <x v="0"/>
    <x v="1"/>
    <x v="12"/>
  </r>
  <r>
    <x v="0"/>
    <x v="1"/>
    <x v="12"/>
  </r>
  <r>
    <x v="0"/>
    <x v="1"/>
    <x v="12"/>
  </r>
  <r>
    <x v="0"/>
    <x v="1"/>
    <x v="12"/>
  </r>
  <r>
    <x v="0"/>
    <x v="1"/>
    <x v="12"/>
  </r>
  <r>
    <x v="0"/>
    <x v="1"/>
    <x v="12"/>
  </r>
  <r>
    <x v="0"/>
    <x v="1"/>
    <x v="12"/>
  </r>
  <r>
    <x v="0"/>
    <x v="1"/>
    <x v="12"/>
  </r>
  <r>
    <x v="0"/>
    <x v="1"/>
    <x v="13"/>
  </r>
  <r>
    <x v="0"/>
    <x v="1"/>
    <x v="13"/>
  </r>
  <r>
    <x v="0"/>
    <x v="1"/>
    <x v="13"/>
  </r>
  <r>
    <x v="0"/>
    <x v="1"/>
    <x v="13"/>
  </r>
  <r>
    <x v="0"/>
    <x v="1"/>
    <x v="13"/>
  </r>
  <r>
    <x v="0"/>
    <x v="1"/>
    <x v="13"/>
  </r>
  <r>
    <x v="0"/>
    <x v="1"/>
    <x v="13"/>
  </r>
  <r>
    <x v="0"/>
    <x v="1"/>
    <x v="13"/>
  </r>
  <r>
    <x v="0"/>
    <x v="1"/>
    <x v="13"/>
  </r>
  <r>
    <x v="0"/>
    <x v="1"/>
    <x v="13"/>
  </r>
  <r>
    <x v="0"/>
    <x v="1"/>
    <x v="13"/>
  </r>
  <r>
    <x v="0"/>
    <x v="1"/>
    <x v="13"/>
  </r>
  <r>
    <x v="0"/>
    <x v="1"/>
    <x v="13"/>
  </r>
  <r>
    <x v="0"/>
    <x v="1"/>
    <x v="13"/>
  </r>
  <r>
    <x v="0"/>
    <x v="1"/>
    <x v="14"/>
  </r>
  <r>
    <x v="0"/>
    <x v="1"/>
    <x v="14"/>
  </r>
  <r>
    <x v="0"/>
    <x v="1"/>
    <x v="14"/>
  </r>
  <r>
    <x v="0"/>
    <x v="1"/>
    <x v="14"/>
  </r>
  <r>
    <x v="0"/>
    <x v="1"/>
    <x v="14"/>
  </r>
  <r>
    <x v="0"/>
    <x v="1"/>
    <x v="14"/>
  </r>
  <r>
    <x v="0"/>
    <x v="1"/>
    <x v="14"/>
  </r>
  <r>
    <x v="0"/>
    <x v="1"/>
    <x v="14"/>
  </r>
  <r>
    <x v="0"/>
    <x v="1"/>
    <x v="14"/>
  </r>
  <r>
    <x v="0"/>
    <x v="1"/>
    <x v="14"/>
  </r>
  <r>
    <x v="0"/>
    <x v="1"/>
    <x v="14"/>
  </r>
  <r>
    <x v="0"/>
    <x v="1"/>
    <x v="14"/>
  </r>
  <r>
    <x v="0"/>
    <x v="2"/>
    <x v="0"/>
  </r>
  <r>
    <x v="0"/>
    <x v="2"/>
    <x v="0"/>
  </r>
  <r>
    <x v="0"/>
    <x v="2"/>
    <x v="0"/>
  </r>
  <r>
    <x v="0"/>
    <x v="2"/>
    <x v="0"/>
  </r>
  <r>
    <x v="0"/>
    <x v="2"/>
    <x v="0"/>
  </r>
  <r>
    <x v="0"/>
    <x v="2"/>
    <x v="0"/>
  </r>
  <r>
    <x v="0"/>
    <x v="2"/>
    <x v="0"/>
  </r>
  <r>
    <x v="0"/>
    <x v="2"/>
    <x v="0"/>
  </r>
  <r>
    <x v="0"/>
    <x v="2"/>
    <x v="0"/>
  </r>
  <r>
    <x v="0"/>
    <x v="2"/>
    <x v="0"/>
  </r>
  <r>
    <x v="0"/>
    <x v="2"/>
    <x v="0"/>
  </r>
  <r>
    <x v="0"/>
    <x v="2"/>
    <x v="0"/>
  </r>
  <r>
    <x v="0"/>
    <x v="2"/>
    <x v="0"/>
  </r>
  <r>
    <x v="0"/>
    <x v="2"/>
    <x v="0"/>
  </r>
  <r>
    <x v="0"/>
    <x v="2"/>
    <x v="1"/>
  </r>
  <r>
    <x v="0"/>
    <x v="2"/>
    <x v="1"/>
  </r>
  <r>
    <x v="0"/>
    <x v="2"/>
    <x v="1"/>
  </r>
  <r>
    <x v="0"/>
    <x v="2"/>
    <x v="1"/>
  </r>
  <r>
    <x v="0"/>
    <x v="2"/>
    <x v="1"/>
  </r>
  <r>
    <x v="0"/>
    <x v="2"/>
    <x v="1"/>
  </r>
  <r>
    <x v="0"/>
    <x v="2"/>
    <x v="1"/>
  </r>
  <r>
    <x v="0"/>
    <x v="2"/>
    <x v="1"/>
  </r>
  <r>
    <x v="0"/>
    <x v="2"/>
    <x v="1"/>
  </r>
  <r>
    <x v="0"/>
    <x v="2"/>
    <x v="1"/>
  </r>
  <r>
    <x v="0"/>
    <x v="2"/>
    <x v="1"/>
  </r>
  <r>
    <x v="0"/>
    <x v="2"/>
    <x v="1"/>
  </r>
  <r>
    <x v="0"/>
    <x v="2"/>
    <x v="1"/>
  </r>
  <r>
    <x v="0"/>
    <x v="2"/>
    <x v="1"/>
  </r>
  <r>
    <x v="0"/>
    <x v="2"/>
    <x v="2"/>
  </r>
  <r>
    <x v="0"/>
    <x v="2"/>
    <x v="2"/>
  </r>
  <r>
    <x v="0"/>
    <x v="2"/>
    <x v="2"/>
  </r>
  <r>
    <x v="0"/>
    <x v="2"/>
    <x v="2"/>
  </r>
  <r>
    <x v="0"/>
    <x v="2"/>
    <x v="2"/>
  </r>
  <r>
    <x v="0"/>
    <x v="2"/>
    <x v="2"/>
  </r>
  <r>
    <x v="0"/>
    <x v="2"/>
    <x v="2"/>
  </r>
  <r>
    <x v="0"/>
    <x v="2"/>
    <x v="2"/>
  </r>
  <r>
    <x v="0"/>
    <x v="2"/>
    <x v="2"/>
  </r>
  <r>
    <x v="0"/>
    <x v="2"/>
    <x v="2"/>
  </r>
  <r>
    <x v="0"/>
    <x v="2"/>
    <x v="2"/>
  </r>
  <r>
    <x v="0"/>
    <x v="2"/>
    <x v="2"/>
  </r>
  <r>
    <x v="0"/>
    <x v="2"/>
    <x v="2"/>
  </r>
  <r>
    <x v="0"/>
    <x v="2"/>
    <x v="2"/>
  </r>
  <r>
    <x v="0"/>
    <x v="2"/>
    <x v="3"/>
  </r>
  <r>
    <x v="0"/>
    <x v="2"/>
    <x v="3"/>
  </r>
  <r>
    <x v="0"/>
    <x v="2"/>
    <x v="3"/>
  </r>
  <r>
    <x v="0"/>
    <x v="2"/>
    <x v="3"/>
  </r>
  <r>
    <x v="0"/>
    <x v="2"/>
    <x v="3"/>
  </r>
  <r>
    <x v="0"/>
    <x v="2"/>
    <x v="3"/>
  </r>
  <r>
    <x v="0"/>
    <x v="2"/>
    <x v="3"/>
  </r>
  <r>
    <x v="0"/>
    <x v="2"/>
    <x v="3"/>
  </r>
  <r>
    <x v="0"/>
    <x v="2"/>
    <x v="3"/>
  </r>
  <r>
    <x v="0"/>
    <x v="2"/>
    <x v="3"/>
  </r>
  <r>
    <x v="0"/>
    <x v="2"/>
    <x v="3"/>
  </r>
  <r>
    <x v="0"/>
    <x v="2"/>
    <x v="3"/>
  </r>
  <r>
    <x v="0"/>
    <x v="2"/>
    <x v="3"/>
  </r>
  <r>
    <x v="0"/>
    <x v="2"/>
    <x v="3"/>
  </r>
  <r>
    <x v="0"/>
    <x v="2"/>
    <x v="4"/>
  </r>
  <r>
    <x v="0"/>
    <x v="2"/>
    <x v="4"/>
  </r>
  <r>
    <x v="0"/>
    <x v="2"/>
    <x v="4"/>
  </r>
  <r>
    <x v="0"/>
    <x v="2"/>
    <x v="4"/>
  </r>
  <r>
    <x v="0"/>
    <x v="2"/>
    <x v="4"/>
  </r>
  <r>
    <x v="0"/>
    <x v="2"/>
    <x v="4"/>
  </r>
  <r>
    <x v="0"/>
    <x v="2"/>
    <x v="4"/>
  </r>
  <r>
    <x v="0"/>
    <x v="2"/>
    <x v="4"/>
  </r>
  <r>
    <x v="0"/>
    <x v="2"/>
    <x v="4"/>
  </r>
  <r>
    <x v="0"/>
    <x v="2"/>
    <x v="4"/>
  </r>
  <r>
    <x v="0"/>
    <x v="2"/>
    <x v="4"/>
  </r>
  <r>
    <x v="0"/>
    <x v="2"/>
    <x v="4"/>
  </r>
  <r>
    <x v="0"/>
    <x v="2"/>
    <x v="4"/>
  </r>
  <r>
    <x v="0"/>
    <x v="2"/>
    <x v="4"/>
  </r>
  <r>
    <x v="0"/>
    <x v="2"/>
    <x v="5"/>
  </r>
  <r>
    <x v="0"/>
    <x v="2"/>
    <x v="5"/>
  </r>
  <r>
    <x v="0"/>
    <x v="2"/>
    <x v="5"/>
  </r>
  <r>
    <x v="0"/>
    <x v="2"/>
    <x v="5"/>
  </r>
  <r>
    <x v="0"/>
    <x v="2"/>
    <x v="5"/>
  </r>
  <r>
    <x v="0"/>
    <x v="2"/>
    <x v="5"/>
  </r>
  <r>
    <x v="0"/>
    <x v="2"/>
    <x v="5"/>
  </r>
  <r>
    <x v="0"/>
    <x v="2"/>
    <x v="5"/>
  </r>
  <r>
    <x v="0"/>
    <x v="2"/>
    <x v="5"/>
  </r>
  <r>
    <x v="0"/>
    <x v="2"/>
    <x v="5"/>
  </r>
  <r>
    <x v="0"/>
    <x v="2"/>
    <x v="5"/>
  </r>
  <r>
    <x v="0"/>
    <x v="2"/>
    <x v="5"/>
  </r>
  <r>
    <x v="0"/>
    <x v="2"/>
    <x v="5"/>
  </r>
  <r>
    <x v="0"/>
    <x v="2"/>
    <x v="5"/>
  </r>
  <r>
    <x v="0"/>
    <x v="2"/>
    <x v="6"/>
  </r>
  <r>
    <x v="0"/>
    <x v="2"/>
    <x v="6"/>
  </r>
  <r>
    <x v="0"/>
    <x v="2"/>
    <x v="6"/>
  </r>
  <r>
    <x v="0"/>
    <x v="2"/>
    <x v="6"/>
  </r>
  <r>
    <x v="0"/>
    <x v="2"/>
    <x v="6"/>
  </r>
  <r>
    <x v="0"/>
    <x v="2"/>
    <x v="6"/>
  </r>
  <r>
    <x v="0"/>
    <x v="2"/>
    <x v="6"/>
  </r>
  <r>
    <x v="0"/>
    <x v="2"/>
    <x v="6"/>
  </r>
  <r>
    <x v="0"/>
    <x v="2"/>
    <x v="6"/>
  </r>
  <r>
    <x v="0"/>
    <x v="2"/>
    <x v="6"/>
  </r>
  <r>
    <x v="0"/>
    <x v="2"/>
    <x v="6"/>
  </r>
  <r>
    <x v="0"/>
    <x v="2"/>
    <x v="6"/>
  </r>
  <r>
    <x v="0"/>
    <x v="2"/>
    <x v="6"/>
  </r>
  <r>
    <x v="0"/>
    <x v="2"/>
    <x v="6"/>
  </r>
  <r>
    <x v="0"/>
    <x v="2"/>
    <x v="7"/>
  </r>
  <r>
    <x v="0"/>
    <x v="2"/>
    <x v="7"/>
  </r>
  <r>
    <x v="0"/>
    <x v="2"/>
    <x v="7"/>
  </r>
  <r>
    <x v="0"/>
    <x v="2"/>
    <x v="7"/>
  </r>
  <r>
    <x v="0"/>
    <x v="2"/>
    <x v="7"/>
  </r>
  <r>
    <x v="0"/>
    <x v="2"/>
    <x v="7"/>
  </r>
  <r>
    <x v="0"/>
    <x v="2"/>
    <x v="7"/>
  </r>
  <r>
    <x v="0"/>
    <x v="2"/>
    <x v="7"/>
  </r>
  <r>
    <x v="0"/>
    <x v="2"/>
    <x v="7"/>
  </r>
  <r>
    <x v="0"/>
    <x v="2"/>
    <x v="7"/>
  </r>
  <r>
    <x v="0"/>
    <x v="2"/>
    <x v="7"/>
  </r>
  <r>
    <x v="0"/>
    <x v="2"/>
    <x v="7"/>
  </r>
  <r>
    <x v="0"/>
    <x v="2"/>
    <x v="7"/>
  </r>
  <r>
    <x v="0"/>
    <x v="2"/>
    <x v="7"/>
  </r>
  <r>
    <x v="0"/>
    <x v="2"/>
    <x v="8"/>
  </r>
  <r>
    <x v="0"/>
    <x v="2"/>
    <x v="8"/>
  </r>
  <r>
    <x v="0"/>
    <x v="2"/>
    <x v="8"/>
  </r>
  <r>
    <x v="0"/>
    <x v="2"/>
    <x v="8"/>
  </r>
  <r>
    <x v="0"/>
    <x v="2"/>
    <x v="8"/>
  </r>
  <r>
    <x v="0"/>
    <x v="2"/>
    <x v="8"/>
  </r>
  <r>
    <x v="0"/>
    <x v="2"/>
    <x v="8"/>
  </r>
  <r>
    <x v="0"/>
    <x v="2"/>
    <x v="8"/>
  </r>
  <r>
    <x v="0"/>
    <x v="2"/>
    <x v="8"/>
  </r>
  <r>
    <x v="0"/>
    <x v="2"/>
    <x v="8"/>
  </r>
  <r>
    <x v="0"/>
    <x v="2"/>
    <x v="8"/>
  </r>
  <r>
    <x v="0"/>
    <x v="2"/>
    <x v="8"/>
  </r>
  <r>
    <x v="0"/>
    <x v="2"/>
    <x v="8"/>
  </r>
  <r>
    <x v="0"/>
    <x v="2"/>
    <x v="8"/>
  </r>
  <r>
    <x v="0"/>
    <x v="2"/>
    <x v="9"/>
  </r>
  <r>
    <x v="0"/>
    <x v="2"/>
    <x v="9"/>
  </r>
  <r>
    <x v="0"/>
    <x v="2"/>
    <x v="9"/>
  </r>
  <r>
    <x v="0"/>
    <x v="2"/>
    <x v="9"/>
  </r>
  <r>
    <x v="0"/>
    <x v="2"/>
    <x v="9"/>
  </r>
  <r>
    <x v="0"/>
    <x v="2"/>
    <x v="9"/>
  </r>
  <r>
    <x v="0"/>
    <x v="2"/>
    <x v="9"/>
  </r>
  <r>
    <x v="0"/>
    <x v="2"/>
    <x v="9"/>
  </r>
  <r>
    <x v="0"/>
    <x v="2"/>
    <x v="9"/>
  </r>
  <r>
    <x v="0"/>
    <x v="2"/>
    <x v="9"/>
  </r>
  <r>
    <x v="0"/>
    <x v="2"/>
    <x v="9"/>
  </r>
  <r>
    <x v="0"/>
    <x v="2"/>
    <x v="9"/>
  </r>
  <r>
    <x v="0"/>
    <x v="2"/>
    <x v="9"/>
  </r>
  <r>
    <x v="0"/>
    <x v="2"/>
    <x v="9"/>
  </r>
  <r>
    <x v="0"/>
    <x v="2"/>
    <x v="10"/>
  </r>
  <r>
    <x v="0"/>
    <x v="2"/>
    <x v="10"/>
  </r>
  <r>
    <x v="0"/>
    <x v="2"/>
    <x v="10"/>
  </r>
  <r>
    <x v="0"/>
    <x v="2"/>
    <x v="10"/>
  </r>
  <r>
    <x v="0"/>
    <x v="2"/>
    <x v="10"/>
  </r>
  <r>
    <x v="0"/>
    <x v="2"/>
    <x v="10"/>
  </r>
  <r>
    <x v="0"/>
    <x v="2"/>
    <x v="10"/>
  </r>
  <r>
    <x v="0"/>
    <x v="2"/>
    <x v="10"/>
  </r>
  <r>
    <x v="0"/>
    <x v="2"/>
    <x v="10"/>
  </r>
  <r>
    <x v="0"/>
    <x v="2"/>
    <x v="10"/>
  </r>
  <r>
    <x v="0"/>
    <x v="2"/>
    <x v="10"/>
  </r>
  <r>
    <x v="0"/>
    <x v="2"/>
    <x v="10"/>
  </r>
  <r>
    <x v="0"/>
    <x v="2"/>
    <x v="10"/>
  </r>
  <r>
    <x v="0"/>
    <x v="2"/>
    <x v="10"/>
  </r>
  <r>
    <x v="0"/>
    <x v="2"/>
    <x v="11"/>
  </r>
  <r>
    <x v="0"/>
    <x v="2"/>
    <x v="11"/>
  </r>
  <r>
    <x v="0"/>
    <x v="2"/>
    <x v="11"/>
  </r>
  <r>
    <x v="0"/>
    <x v="2"/>
    <x v="11"/>
  </r>
  <r>
    <x v="0"/>
    <x v="2"/>
    <x v="11"/>
  </r>
  <r>
    <x v="0"/>
    <x v="2"/>
    <x v="11"/>
  </r>
  <r>
    <x v="0"/>
    <x v="2"/>
    <x v="11"/>
  </r>
  <r>
    <x v="0"/>
    <x v="2"/>
    <x v="11"/>
  </r>
  <r>
    <x v="0"/>
    <x v="2"/>
    <x v="11"/>
  </r>
  <r>
    <x v="0"/>
    <x v="2"/>
    <x v="11"/>
  </r>
  <r>
    <x v="0"/>
    <x v="2"/>
    <x v="11"/>
  </r>
  <r>
    <x v="0"/>
    <x v="2"/>
    <x v="11"/>
  </r>
  <r>
    <x v="0"/>
    <x v="2"/>
    <x v="11"/>
  </r>
  <r>
    <x v="0"/>
    <x v="2"/>
    <x v="11"/>
  </r>
  <r>
    <x v="0"/>
    <x v="2"/>
    <x v="12"/>
  </r>
  <r>
    <x v="0"/>
    <x v="2"/>
    <x v="12"/>
  </r>
  <r>
    <x v="0"/>
    <x v="2"/>
    <x v="12"/>
  </r>
  <r>
    <x v="0"/>
    <x v="2"/>
    <x v="12"/>
  </r>
  <r>
    <x v="0"/>
    <x v="2"/>
    <x v="12"/>
  </r>
  <r>
    <x v="0"/>
    <x v="2"/>
    <x v="12"/>
  </r>
  <r>
    <x v="0"/>
    <x v="2"/>
    <x v="12"/>
  </r>
  <r>
    <x v="0"/>
    <x v="2"/>
    <x v="12"/>
  </r>
  <r>
    <x v="0"/>
    <x v="2"/>
    <x v="12"/>
  </r>
  <r>
    <x v="0"/>
    <x v="2"/>
    <x v="12"/>
  </r>
  <r>
    <x v="0"/>
    <x v="2"/>
    <x v="12"/>
  </r>
  <r>
    <x v="0"/>
    <x v="2"/>
    <x v="12"/>
  </r>
  <r>
    <x v="0"/>
    <x v="2"/>
    <x v="12"/>
  </r>
  <r>
    <x v="0"/>
    <x v="2"/>
    <x v="12"/>
  </r>
  <r>
    <x v="0"/>
    <x v="2"/>
    <x v="13"/>
  </r>
  <r>
    <x v="0"/>
    <x v="2"/>
    <x v="13"/>
  </r>
  <r>
    <x v="0"/>
    <x v="2"/>
    <x v="13"/>
  </r>
  <r>
    <x v="0"/>
    <x v="2"/>
    <x v="13"/>
  </r>
  <r>
    <x v="0"/>
    <x v="2"/>
    <x v="13"/>
  </r>
  <r>
    <x v="0"/>
    <x v="2"/>
    <x v="13"/>
  </r>
  <r>
    <x v="0"/>
    <x v="2"/>
    <x v="13"/>
  </r>
  <r>
    <x v="0"/>
    <x v="2"/>
    <x v="13"/>
  </r>
  <r>
    <x v="0"/>
    <x v="2"/>
    <x v="13"/>
  </r>
  <r>
    <x v="0"/>
    <x v="2"/>
    <x v="13"/>
  </r>
  <r>
    <x v="0"/>
    <x v="2"/>
    <x v="13"/>
  </r>
  <r>
    <x v="0"/>
    <x v="2"/>
    <x v="13"/>
  </r>
  <r>
    <x v="0"/>
    <x v="2"/>
    <x v="13"/>
  </r>
  <r>
    <x v="0"/>
    <x v="2"/>
    <x v="13"/>
  </r>
  <r>
    <x v="0"/>
    <x v="2"/>
    <x v="14"/>
  </r>
  <r>
    <x v="0"/>
    <x v="2"/>
    <x v="14"/>
  </r>
  <r>
    <x v="0"/>
    <x v="2"/>
    <x v="14"/>
  </r>
  <r>
    <x v="0"/>
    <x v="2"/>
    <x v="14"/>
  </r>
  <r>
    <x v="0"/>
    <x v="2"/>
    <x v="14"/>
  </r>
  <r>
    <x v="0"/>
    <x v="2"/>
    <x v="14"/>
  </r>
  <r>
    <x v="0"/>
    <x v="2"/>
    <x v="14"/>
  </r>
  <r>
    <x v="0"/>
    <x v="2"/>
    <x v="14"/>
  </r>
  <r>
    <x v="0"/>
    <x v="2"/>
    <x v="14"/>
  </r>
  <r>
    <x v="0"/>
    <x v="2"/>
    <x v="14"/>
  </r>
  <r>
    <x v="0"/>
    <x v="2"/>
    <x v="14"/>
  </r>
  <r>
    <x v="0"/>
    <x v="2"/>
    <x v="14"/>
  </r>
  <r>
    <x v="1"/>
    <x v="3"/>
    <x v="15"/>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6">
  <r>
    <x v="0"/>
    <s v="VM"/>
    <x v="0"/>
    <x v="0"/>
    <x v="0"/>
    <n v="32934.462"/>
    <n v="15491.638800000001"/>
    <n v="8.7514368203553197"/>
  </r>
  <r>
    <x v="0"/>
    <s v="VM"/>
    <x v="0"/>
    <x v="0"/>
    <x v="1"/>
    <n v="18404.523300000001"/>
    <n v="15985.236700000001"/>
    <n v="17.097899802027701"/>
  </r>
  <r>
    <x v="0"/>
    <s v="VM"/>
    <x v="0"/>
    <x v="0"/>
    <x v="2"/>
    <n v="10214.1993"/>
    <n v="3114.4866000000002"/>
    <n v="11.259848289730501"/>
  </r>
  <r>
    <x v="0"/>
    <s v="VM"/>
    <x v="0"/>
    <x v="0"/>
    <x v="3"/>
    <n v="7568.9166000000005"/>
    <n v="5945.4776000000002"/>
    <n v="7.2743584089736304"/>
  </r>
  <r>
    <x v="0"/>
    <s v="VM"/>
    <x v="0"/>
    <x v="0"/>
    <x v="4"/>
    <n v="5232.2451000000001"/>
    <n v="4297.5001000000002"/>
    <n v="9.6101085325650306"/>
  </r>
  <r>
    <x v="0"/>
    <s v="VM"/>
    <x v="0"/>
    <x v="0"/>
    <x v="5"/>
    <n v="16744.1571"/>
    <n v="1896.787"/>
    <n v="9.0278019174421011"/>
  </r>
  <r>
    <x v="0"/>
    <s v="VM"/>
    <x v="0"/>
    <x v="1"/>
    <x v="0"/>
    <n v="12725.8968"/>
    <n v="8883.3080000000009"/>
    <n v="5.9971563023244601"/>
  </r>
  <r>
    <x v="0"/>
    <s v="VM"/>
    <x v="0"/>
    <x v="1"/>
    <x v="1"/>
    <n v="12194.8575"/>
    <n v="12419.382800000001"/>
    <n v="11.313484361383301"/>
  </r>
  <r>
    <x v="0"/>
    <s v="VM"/>
    <x v="0"/>
    <x v="1"/>
    <x v="2"/>
    <n v="8685.5118000000002"/>
    <n v="3984.1845000000003"/>
    <n v="6.9373838170068396"/>
  </r>
  <r>
    <x v="0"/>
    <s v="VM"/>
    <x v="0"/>
    <x v="1"/>
    <x v="3"/>
    <n v="5645.1651000000002"/>
    <n v="5195.2849000000006"/>
    <n v="10.321225996539999"/>
  </r>
  <r>
    <x v="0"/>
    <s v="VM"/>
    <x v="0"/>
    <x v="1"/>
    <x v="4"/>
    <n v="3103.7169000000004"/>
    <n v="1699.3162"/>
    <n v="7.0591577653868196"/>
  </r>
  <r>
    <x v="0"/>
    <s v="VM"/>
    <x v="0"/>
    <x v="1"/>
    <x v="5"/>
    <n v="7165.1478000000006"/>
    <n v="3011.9826000000003"/>
    <n v="6.1641840621144102"/>
  </r>
  <r>
    <x v="0"/>
    <s v="VM"/>
    <x v="0"/>
    <x v="2"/>
    <x v="0"/>
    <n v="15348.199200000001"/>
    <n v="5444.0057000000006"/>
    <n v="7.5858031972012299"/>
  </r>
  <r>
    <x v="0"/>
    <s v="VM"/>
    <x v="0"/>
    <x v="2"/>
    <x v="1"/>
    <n v="8910.3858"/>
    <n v="11670.4509"/>
    <n v="0"/>
  </r>
  <r>
    <x v="0"/>
    <s v="VM"/>
    <x v="1"/>
    <x v="0"/>
    <x v="0"/>
    <n v="250442.93640000001"/>
    <n v="88333.36480000001"/>
    <n v="9.6539792190655405"/>
  </r>
  <r>
    <x v="0"/>
    <s v="VM"/>
    <x v="1"/>
    <x v="0"/>
    <x v="1"/>
    <n v="167051.8173"/>
    <n v="139150.82200000001"/>
    <n v="10.6804948346995"/>
  </r>
  <r>
    <x v="0"/>
    <s v="VM"/>
    <x v="1"/>
    <x v="0"/>
    <x v="2"/>
    <n v="165979.01579999999"/>
    <n v="58469.721900000004"/>
    <n v="7.0378793860743301"/>
  </r>
  <r>
    <x v="0"/>
    <s v="VM"/>
    <x v="1"/>
    <x v="0"/>
    <x v="3"/>
    <n v="249352.87410000002"/>
    <n v="168850.73500000002"/>
    <n v="6.2545401835265197"/>
  </r>
  <r>
    <x v="0"/>
    <s v="VM"/>
    <x v="1"/>
    <x v="0"/>
    <x v="4"/>
    <n v="207880.6587"/>
    <n v="182342.00890000002"/>
    <n v="8.5925689633880804"/>
  </r>
  <r>
    <x v="0"/>
    <s v="VM"/>
    <x v="1"/>
    <x v="0"/>
    <x v="5"/>
    <n v="232754.22480000003"/>
    <n v="62102.433900000004"/>
    <n v="14.2568100850034"/>
  </r>
  <r>
    <x v="0"/>
    <s v="VM"/>
    <x v="1"/>
    <x v="1"/>
    <x v="0"/>
    <n v="318368.05320000002"/>
    <n v="57813.6489"/>
    <n v="13.308764098400999"/>
  </r>
  <r>
    <x v="0"/>
    <s v="VM"/>
    <x v="1"/>
    <x v="1"/>
    <x v="1"/>
    <n v="327702.63990000001"/>
    <n v="209162.13150000002"/>
    <n v="19.098346499114701"/>
  </r>
  <r>
    <x v="0"/>
    <s v="VM"/>
    <x v="1"/>
    <x v="1"/>
    <x v="2"/>
    <n v="276885.85889999999"/>
    <n v="37341.264900000002"/>
    <n v="10.7152608136296"/>
  </r>
  <r>
    <x v="0"/>
    <s v="VM"/>
    <x v="1"/>
    <x v="1"/>
    <x v="3"/>
    <n v="325422.14970000001"/>
    <n v="116566.6689"/>
    <n v="7.0295345219324696"/>
  </r>
  <r>
    <x v="0"/>
    <s v="VM"/>
    <x v="1"/>
    <x v="1"/>
    <x v="4"/>
    <n v="251829.78030000001"/>
    <n v="190758.45930000002"/>
    <n v="12.7034173462594"/>
  </r>
  <r>
    <x v="0"/>
    <s v="VM"/>
    <x v="0"/>
    <x v="0"/>
    <x v="6"/>
    <n v="46744.459800000004"/>
    <n v="7759.3488000000007"/>
    <n v="12.5239995795621"/>
  </r>
  <r>
    <x v="0"/>
    <s v="VM"/>
    <x v="0"/>
    <x v="0"/>
    <x v="7"/>
    <n v="25632.036900000003"/>
    <n v="16665.364700000002"/>
    <n v="10.790626994510101"/>
  </r>
  <r>
    <x v="0"/>
    <s v="VM"/>
    <x v="0"/>
    <x v="0"/>
    <x v="8"/>
    <n v="13512.621000000001"/>
    <n v="8060.1308000000008"/>
    <n v="15.7319265044218"/>
  </r>
  <r>
    <x v="0"/>
    <s v="VM"/>
    <x v="0"/>
    <x v="0"/>
    <x v="9"/>
    <n v="12143.344800000001"/>
    <n v="1425.5991000000001"/>
    <n v="10.2025114554389"/>
  </r>
  <r>
    <x v="0"/>
    <s v="VM"/>
    <x v="0"/>
    <x v="0"/>
    <x v="10"/>
    <n v="4192.9794000000002"/>
    <n v="4596.2874000000002"/>
    <n v="4.1954184992340098"/>
  </r>
  <r>
    <x v="0"/>
    <s v="VM"/>
    <x v="0"/>
    <x v="0"/>
    <x v="11"/>
    <n v="5151.5862000000006"/>
    <n v="1671.7303000000002"/>
    <n v="6.2761047712888098"/>
  </r>
  <r>
    <x v="0"/>
    <s v="VM"/>
    <x v="0"/>
    <x v="1"/>
    <x v="6"/>
    <n v="16618.588500000002"/>
    <n v="7082.4365000000007"/>
    <n v="8.55117454400472"/>
  </r>
  <r>
    <x v="0"/>
    <s v="VM"/>
    <x v="0"/>
    <x v="1"/>
    <x v="7"/>
    <n v="15764.643900000001"/>
    <n v="7824.1215000000002"/>
    <n v="7.3343705703435198"/>
  </r>
  <r>
    <x v="0"/>
    <s v="VM"/>
    <x v="0"/>
    <x v="1"/>
    <x v="8"/>
    <n v="8489.6630999999998"/>
    <n v="4740.5623000000005"/>
    <n v="7.8230996295441901"/>
  </r>
  <r>
    <x v="0"/>
    <s v="VM"/>
    <x v="0"/>
    <x v="1"/>
    <x v="9"/>
    <n v="9302.9853000000003"/>
    <n v="5499.0093999999999"/>
    <n v="10.195686623831401"/>
  </r>
  <r>
    <x v="0"/>
    <s v="VM"/>
    <x v="0"/>
    <x v="1"/>
    <x v="10"/>
    <n v="4769.6259"/>
    <n v="3477.1013000000003"/>
    <n v="11.311464608062501"/>
  </r>
  <r>
    <x v="0"/>
    <s v="VM"/>
    <x v="0"/>
    <x v="1"/>
    <x v="11"/>
    <n v="3746.1144000000004"/>
    <n v="1171.0343"/>
    <n v="4.9569751693735098"/>
  </r>
  <r>
    <x v="0"/>
    <s v="VM"/>
    <x v="0"/>
    <x v="2"/>
    <x v="6"/>
    <n v="12329.270400000001"/>
    <n v="4805.0016000000005"/>
    <n v="8.7676187618423604"/>
  </r>
  <r>
    <x v="0"/>
    <s v="VM"/>
    <x v="0"/>
    <x v="2"/>
    <x v="7"/>
    <n v="15337.4856"/>
    <n v="6430.3376000000007"/>
    <n v="5.6511259629223103"/>
  </r>
  <r>
    <x v="0"/>
    <s v="VM"/>
    <x v="1"/>
    <x v="0"/>
    <x v="6"/>
    <n v="269493.12150000001"/>
    <n v="36297.081200000001"/>
    <n v="11.367196531113601"/>
  </r>
  <r>
    <x v="0"/>
    <s v="VM"/>
    <x v="1"/>
    <x v="0"/>
    <x v="7"/>
    <n v="239269.8327"/>
    <n v="91611.460900000005"/>
    <n v="10.058075122980901"/>
  </r>
  <r>
    <x v="0"/>
    <s v="VM"/>
    <x v="1"/>
    <x v="0"/>
    <x v="8"/>
    <n v="171647.17050000001"/>
    <n v="80292.674200000009"/>
    <n v="9.9932199212517503"/>
  </r>
  <r>
    <x v="0"/>
    <s v="VM"/>
    <x v="1"/>
    <x v="0"/>
    <x v="9"/>
    <n v="205163.25450000001"/>
    <n v="58469.028200000001"/>
    <n v="5.2379677435719101"/>
  </r>
  <r>
    <x v="0"/>
    <s v="VM"/>
    <x v="1"/>
    <x v="0"/>
    <x v="10"/>
    <n v="245369.67480000001"/>
    <n v="166470.36629999999"/>
    <n v="6.1577506061652603"/>
  </r>
  <r>
    <x v="0"/>
    <s v="VM"/>
    <x v="1"/>
    <x v="0"/>
    <x v="11"/>
    <n v="229909.4571"/>
    <n v="145885.54699999999"/>
    <n v="17.221611572360601"/>
  </r>
  <r>
    <x v="0"/>
    <s v="VM"/>
    <x v="1"/>
    <x v="1"/>
    <x v="6"/>
    <n v="291445.25070000003"/>
    <n v="27069.0795"/>
    <n v="11.719884741851601"/>
  </r>
  <r>
    <x v="0"/>
    <s v="VM"/>
    <x v="1"/>
    <x v="1"/>
    <x v="7"/>
    <n v="374770.56300000002"/>
    <n v="81873.057000000001"/>
    <n v="18.848216412745099"/>
  </r>
  <r>
    <x v="0"/>
    <s v="VM"/>
    <x v="1"/>
    <x v="1"/>
    <x v="8"/>
    <n v="292479.0294"/>
    <n v="23783.151100000003"/>
    <n v="14.5575929791767"/>
  </r>
  <r>
    <x v="0"/>
    <s v="VM"/>
    <x v="1"/>
    <x v="1"/>
    <x v="9"/>
    <n v="307950.56520000001"/>
    <n v="59803.295300000005"/>
    <n v="8.3274909496789498"/>
  </r>
  <r>
    <x v="0"/>
    <s v="VM"/>
    <x v="1"/>
    <x v="1"/>
    <x v="5"/>
    <n v="201477.19020000001"/>
    <n v="113442.23090000001"/>
    <n v="11.933788873554901"/>
  </r>
  <r>
    <x v="0"/>
    <s v="VM"/>
    <x v="1"/>
    <x v="2"/>
    <x v="0"/>
    <n v="257492.3922"/>
    <n v="73797.252900000007"/>
    <n v="9.1216450411750198"/>
  </r>
  <r>
    <x v="0"/>
    <s v="VM"/>
    <x v="1"/>
    <x v="2"/>
    <x v="1"/>
    <n v="198984.06480000002"/>
    <n v="153596.53109999999"/>
    <n v="0"/>
  </r>
  <r>
    <x v="0"/>
    <s v="VM"/>
    <x v="2"/>
    <x v="0"/>
    <x v="0"/>
    <n v="65283.098400000003"/>
    <n v="33578.507400000002"/>
    <n v="13.189178917983101"/>
  </r>
  <r>
    <x v="0"/>
    <s v="VM"/>
    <x v="2"/>
    <x v="0"/>
    <x v="1"/>
    <n v="43611.224699999999"/>
    <n v="22014.825199999999"/>
    <n v="9.8004301917355203"/>
  </r>
  <r>
    <x v="0"/>
    <s v="VM"/>
    <x v="2"/>
    <x v="0"/>
    <x v="2"/>
    <n v="55208.389800000004"/>
    <n v="28026.314700000003"/>
    <n v="7.1233433490430498"/>
  </r>
  <r>
    <x v="0"/>
    <s v="VM"/>
    <x v="2"/>
    <x v="0"/>
    <x v="3"/>
    <n v="66349.436400000006"/>
    <n v="42213.883200000004"/>
    <n v="15.9207931617506"/>
  </r>
  <r>
    <x v="0"/>
    <s v="VM"/>
    <x v="2"/>
    <x v="0"/>
    <x v="4"/>
    <n v="53832.529200000004"/>
    <n v="7051.0336000000007"/>
    <n v="13.818380602107901"/>
  </r>
  <r>
    <x v="0"/>
    <s v="VM"/>
    <x v="2"/>
    <x v="0"/>
    <x v="5"/>
    <n v="52177.733700000004"/>
    <n v="18097.4738"/>
    <n v="8.6598330990660308"/>
  </r>
  <r>
    <x v="0"/>
    <s v="VM"/>
    <x v="2"/>
    <x v="1"/>
    <x v="0"/>
    <n v="58542.039900000003"/>
    <n v="38958.047500000001"/>
    <n v="6.7268325651711702"/>
  </r>
  <r>
    <x v="0"/>
    <s v="VM"/>
    <x v="2"/>
    <x v="1"/>
    <x v="1"/>
    <n v="58564.108800000002"/>
    <n v="54228.8272"/>
    <n v="11.9981068574515"/>
  </r>
  <r>
    <x v="0"/>
    <s v="VM"/>
    <x v="2"/>
    <x v="1"/>
    <x v="2"/>
    <n v="80042.886599999998"/>
    <n v="28325.393700000001"/>
    <n v="11.382995411708301"/>
  </r>
  <r>
    <x v="0"/>
    <s v="VM"/>
    <x v="2"/>
    <x v="1"/>
    <x v="3"/>
    <n v="96048.30750000001"/>
    <n v="35767.446000000004"/>
    <n v="19.989501359365601"/>
  </r>
  <r>
    <x v="0"/>
    <s v="VM"/>
    <x v="2"/>
    <x v="1"/>
    <x v="4"/>
    <n v="106790.71890000001"/>
    <n v="15139.1574"/>
    <n v="16.266766482996999"/>
  </r>
  <r>
    <x v="0"/>
    <s v="VM"/>
    <x v="2"/>
    <x v="1"/>
    <x v="5"/>
    <n v="130820.77500000001"/>
    <n v="16991.597300000001"/>
    <n v="15.370977803562999"/>
  </r>
  <r>
    <x v="0"/>
    <s v="VM"/>
    <x v="2"/>
    <x v="2"/>
    <x v="0"/>
    <n v="115677.56640000001"/>
    <n v="44553.531300000002"/>
    <n v="14.033418329658"/>
  </r>
  <r>
    <x v="0"/>
    <s v="VM"/>
    <x v="2"/>
    <x v="2"/>
    <x v="1"/>
    <n v="72845.021399999998"/>
    <n v="39384.604899999998"/>
    <n v="0"/>
  </r>
  <r>
    <x v="0"/>
    <s v="VM"/>
    <x v="3"/>
    <x v="0"/>
    <x v="0"/>
    <n v="150774.50160000002"/>
    <n v="129603.0022"/>
    <n v="3.7801061907875102"/>
  </r>
  <r>
    <x v="0"/>
    <s v="VM"/>
    <x v="3"/>
    <x v="0"/>
    <x v="1"/>
    <n v="142255.45050000001"/>
    <n v="160219.8224"/>
    <n v="7.4045028650718399"/>
  </r>
  <r>
    <x v="0"/>
    <s v="VM"/>
    <x v="3"/>
    <x v="0"/>
    <x v="2"/>
    <n v="139144.2936"/>
    <n v="96277.812700000009"/>
    <n v="11.9104796743056"/>
  </r>
  <r>
    <x v="0"/>
    <s v="VM"/>
    <x v="3"/>
    <x v="0"/>
    <x v="3"/>
    <n v="178823.05050000001"/>
    <n v="49892.127899999999"/>
    <n v="21.734809461569302"/>
  </r>
  <r>
    <x v="0"/>
    <s v="VM"/>
    <x v="3"/>
    <x v="0"/>
    <x v="4"/>
    <n v="139139.61569999999"/>
    <n v="15209.193800000001"/>
    <n v="13.645672909453701"/>
  </r>
  <r>
    <x v="0"/>
    <s v="VM"/>
    <x v="3"/>
    <x v="0"/>
    <x v="5"/>
    <n v="154843.96770000001"/>
    <n v="25826.896100000002"/>
    <n v="6.3610429145247496"/>
  </r>
  <r>
    <x v="0"/>
    <s v="VM"/>
    <x v="3"/>
    <x v="1"/>
    <x v="0"/>
    <n v="200168.92199999999"/>
    <n v="187583.6642"/>
    <n v="5.3184363630894396"/>
  </r>
  <r>
    <x v="0"/>
    <s v="VM"/>
    <x v="3"/>
    <x v="1"/>
    <x v="1"/>
    <n v="164758.58610000001"/>
    <n v="207321.82760000002"/>
    <n v="11.552228733951999"/>
  </r>
  <r>
    <x v="0"/>
    <s v="VM"/>
    <x v="3"/>
    <x v="1"/>
    <x v="2"/>
    <n v="229947.48480000001"/>
    <n v="69423.218500000003"/>
    <n v="28.358888381144201"/>
  </r>
  <r>
    <x v="0"/>
    <s v="VM"/>
    <x v="3"/>
    <x v="1"/>
    <x v="3"/>
    <n v="173109.38160000002"/>
    <n v="41079.178400000004"/>
    <n v="21.623015425632602"/>
  </r>
  <r>
    <x v="0"/>
    <s v="VM"/>
    <x v="3"/>
    <x v="1"/>
    <x v="4"/>
    <n v="148645.28520000001"/>
    <n v="7928.6776"/>
    <n v="13.5076095032429"/>
  </r>
  <r>
    <x v="0"/>
    <s v="VM"/>
    <x v="3"/>
    <x v="1"/>
    <x v="5"/>
    <n v="263089.8297"/>
    <n v="19393.2634"/>
    <n v="8.4945300005671793"/>
  </r>
  <r>
    <x v="0"/>
    <s v="VM"/>
    <x v="3"/>
    <x v="2"/>
    <x v="0"/>
    <n v="345932.9277"/>
    <n v="184516.34820000001"/>
    <n v="8.1372972522101392"/>
  </r>
  <r>
    <x v="0"/>
    <s v="VM"/>
    <x v="3"/>
    <x v="2"/>
    <x v="1"/>
    <n v="216311.73180000001"/>
    <n v="213816.49230000001"/>
    <n v="0"/>
  </r>
  <r>
    <x v="0"/>
    <s v="VM"/>
    <x v="4"/>
    <x v="0"/>
    <x v="0"/>
    <n v="565561.34640000004"/>
    <n v="249937.29500000001"/>
    <n v="8.6253492022264595"/>
  </r>
  <r>
    <x v="0"/>
    <s v="VM"/>
    <x v="4"/>
    <x v="0"/>
    <x v="1"/>
    <n v="307620.08040000004"/>
    <n v="166147.3259"/>
    <n v="11.6045966966437"/>
  </r>
  <r>
    <x v="0"/>
    <s v="VM"/>
    <x v="4"/>
    <x v="0"/>
    <x v="2"/>
    <n v="407584.2831"/>
    <n v="154313.9486"/>
    <n v="11.8693872360098"/>
  </r>
  <r>
    <x v="0"/>
    <s v="VM"/>
    <x v="4"/>
    <x v="0"/>
    <x v="3"/>
    <n v="363560.03610000003"/>
    <n v="188105.0079"/>
    <n v="21.772119551870102"/>
  </r>
  <r>
    <x v="0"/>
    <s v="VM"/>
    <x v="4"/>
    <x v="0"/>
    <x v="4"/>
    <n v="256428.41640000002"/>
    <n v="34506.418900000004"/>
    <n v="13.7310452566481"/>
  </r>
  <r>
    <x v="0"/>
    <s v="VM"/>
    <x v="4"/>
    <x v="0"/>
    <x v="5"/>
    <n v="229475.5098"/>
    <n v="57815.2016"/>
    <n v="5.7103988205555103"/>
  </r>
  <r>
    <x v="0"/>
    <s v="VM"/>
    <x v="4"/>
    <x v="1"/>
    <x v="0"/>
    <n v="616823.79269999999"/>
    <n v="405419.94330000004"/>
    <n v="7.7964924752742801"/>
  </r>
  <r>
    <x v="0"/>
    <s v="VM"/>
    <x v="4"/>
    <x v="1"/>
    <x v="1"/>
    <n v="367041.40740000003"/>
    <n v="437335.66830000002"/>
    <n v="14.274249010580501"/>
  </r>
  <r>
    <x v="0"/>
    <s v="VM"/>
    <x v="4"/>
    <x v="1"/>
    <x v="2"/>
    <n v="599610.92489999998"/>
    <n v="138664.3927"/>
    <n v="22.228505369041802"/>
  </r>
  <r>
    <x v="0"/>
    <s v="VM"/>
    <x v="4"/>
    <x v="1"/>
    <x v="3"/>
    <n v="576407.00640000007"/>
    <n v="228386.3002"/>
    <n v="22.807690580917999"/>
  </r>
  <r>
    <x v="0"/>
    <s v="VM"/>
    <x v="4"/>
    <x v="1"/>
    <x v="4"/>
    <n v="523101.84299999999"/>
    <n v="-28179.275100000003"/>
    <n v="15.3875966129233"/>
  </r>
  <r>
    <x v="0"/>
    <s v="VM"/>
    <x v="4"/>
    <x v="1"/>
    <x v="5"/>
    <n v="618212.478"/>
    <n v="50987.366200000004"/>
    <n v="9.2996825127528506"/>
  </r>
  <r>
    <x v="0"/>
    <s v="VM"/>
    <x v="4"/>
    <x v="2"/>
    <x v="0"/>
    <n v="815999.65140000009"/>
    <n v="380605.16380000004"/>
    <n v="13.7605954933835"/>
  </r>
  <r>
    <x v="0"/>
    <s v="VM"/>
    <x v="4"/>
    <x v="2"/>
    <x v="1"/>
    <n v="469605.03450000001"/>
    <n v="242065.90030000001"/>
    <n v="0"/>
  </r>
  <r>
    <x v="0"/>
    <s v="VM"/>
    <x v="5"/>
    <x v="0"/>
    <x v="0"/>
    <n v="66241.258799999996"/>
    <n v="37389.043700000002"/>
    <n v="6.9289500538714304"/>
  </r>
  <r>
    <x v="0"/>
    <s v="VM"/>
    <x v="5"/>
    <x v="0"/>
    <x v="1"/>
    <n v="51669.693299999999"/>
    <n v="46736.549299999999"/>
    <n v="6.2814876038489702"/>
  </r>
  <r>
    <x v="0"/>
    <s v="VM"/>
    <x v="5"/>
    <x v="0"/>
    <x v="2"/>
    <n v="79901.489400000006"/>
    <n v="45736.059400000006"/>
    <n v="7.2883580752105797"/>
  </r>
  <r>
    <x v="0"/>
    <s v="VM"/>
    <x v="5"/>
    <x v="0"/>
    <x v="3"/>
    <n v="77460.592799999999"/>
    <n v="55360.3439"/>
    <n v="5.4828964971895804"/>
  </r>
  <r>
    <x v="0"/>
    <s v="VM"/>
    <x v="5"/>
    <x v="0"/>
    <x v="4"/>
    <n v="62856.681900000003"/>
    <n v="76035.302500000005"/>
    <n v="7.35303054200521"/>
  </r>
  <r>
    <x v="0"/>
    <s v="VM"/>
    <x v="5"/>
    <x v="0"/>
    <x v="5"/>
    <n v="94653.949200000003"/>
    <n v="39048.729500000001"/>
    <n v="8.81748523081421"/>
  </r>
  <r>
    <x v="0"/>
    <s v="VM"/>
    <x v="5"/>
    <x v="1"/>
    <x v="0"/>
    <n v="77818.531199999998"/>
    <n v="57473.030600000006"/>
    <n v="8.5786515446130291"/>
  </r>
  <r>
    <x v="0"/>
    <s v="VM"/>
    <x v="5"/>
    <x v="1"/>
    <x v="1"/>
    <n v="72614.8557"/>
    <n v="46570.314900000005"/>
    <n v="10.329073015018601"/>
  </r>
  <r>
    <x v="0"/>
    <s v="VM"/>
    <x v="5"/>
    <x v="1"/>
    <x v="2"/>
    <n v="76292.959199999998"/>
    <n v="27343.424200000001"/>
    <n v="6.0535450027053797"/>
  </r>
  <r>
    <x v="0"/>
    <s v="VM"/>
    <x v="5"/>
    <x v="1"/>
    <x v="3"/>
    <n v="91631.319000000003"/>
    <n v="62348.084999999999"/>
    <n v="6.1272137412446801"/>
  </r>
  <r>
    <x v="0"/>
    <s v="VM"/>
    <x v="5"/>
    <x v="1"/>
    <x v="4"/>
    <n v="85091.3079"/>
    <n v="52220.794900000001"/>
    <n v="9.6563348707003307"/>
  </r>
  <r>
    <x v="0"/>
    <s v="VM"/>
    <x v="5"/>
    <x v="1"/>
    <x v="5"/>
    <n v="142017.81690000001"/>
    <n v="29695.584800000001"/>
    <n v="8.46353364353876"/>
  </r>
  <r>
    <x v="0"/>
    <s v="VM"/>
    <x v="5"/>
    <x v="2"/>
    <x v="0"/>
    <n v="173093.1531"/>
    <n v="88658.325200000007"/>
    <n v="11.7747324153853"/>
  </r>
  <r>
    <x v="0"/>
    <s v="VM"/>
    <x v="5"/>
    <x v="2"/>
    <x v="1"/>
    <n v="151115.96040000001"/>
    <n v="66853.086900000009"/>
    <n v="0"/>
  </r>
  <r>
    <x v="0"/>
    <s v="VM"/>
    <x v="6"/>
    <x v="0"/>
    <x v="0"/>
    <n v="33110.510999999999"/>
    <n v="29082.716100000001"/>
    <n v="5.8393248384262"/>
  </r>
  <r>
    <x v="0"/>
    <s v="VM"/>
    <x v="6"/>
    <x v="0"/>
    <x v="1"/>
    <n v="38050.643100000001"/>
    <n v="22026.9467"/>
    <n v="8.0976871911608601"/>
  </r>
  <r>
    <x v="0"/>
    <s v="VM"/>
    <x v="6"/>
    <x v="0"/>
    <x v="2"/>
    <n v="39517.234499999999"/>
    <n v="23984.4725"/>
    <n v="7.0992087313428103"/>
  </r>
  <r>
    <x v="0"/>
    <s v="VM"/>
    <x v="6"/>
    <x v="0"/>
    <x v="3"/>
    <n v="40399.944000000003"/>
    <n v="28836.425900000002"/>
    <n v="12.8932068916018"/>
  </r>
  <r>
    <x v="0"/>
    <s v="VM"/>
    <x v="6"/>
    <x v="0"/>
    <x v="4"/>
    <n v="26868.620699999999"/>
    <n v="9799.308500000001"/>
    <n v="7.8300565500048904"/>
  </r>
  <r>
    <x v="0"/>
    <s v="VM"/>
    <x v="6"/>
    <x v="0"/>
    <x v="5"/>
    <n v="39792.133200000004"/>
    <n v="20071.510200000001"/>
    <n v="9.0881669853225908"/>
  </r>
  <r>
    <x v="0"/>
    <s v="VM"/>
    <x v="6"/>
    <x v="1"/>
    <x v="0"/>
    <n v="29970.7287"/>
    <n v="23437.343400000002"/>
    <n v="3.2682948490791701"/>
  </r>
  <r>
    <x v="0"/>
    <s v="VM"/>
    <x v="6"/>
    <x v="1"/>
    <x v="1"/>
    <n v="43455.700799999999"/>
    <n v="28574.285600000003"/>
    <n v="13.9894615406337"/>
  </r>
  <r>
    <x v="0"/>
    <s v="VM"/>
    <x v="6"/>
    <x v="1"/>
    <x v="2"/>
    <n v="30332.8056"/>
    <n v="14475.529500000001"/>
    <n v="7.2836728825694204"/>
  </r>
  <r>
    <x v="0"/>
    <s v="VM"/>
    <x v="6"/>
    <x v="1"/>
    <x v="3"/>
    <n v="31956.827400000002"/>
    <n v="20397.788"/>
    <n v="14.5173579088887"/>
  </r>
  <r>
    <x v="0"/>
    <s v="VM"/>
    <x v="6"/>
    <x v="1"/>
    <x v="4"/>
    <n v="34965.702900000004"/>
    <n v="2710.6307999999999"/>
    <n v="10.7387967247573"/>
  </r>
  <r>
    <x v="0"/>
    <s v="VM"/>
    <x v="6"/>
    <x v="1"/>
    <x v="5"/>
    <n v="59593.767599999999"/>
    <n v="9075.5114000000012"/>
    <n v="11.1926673600688"/>
  </r>
  <r>
    <x v="0"/>
    <s v="VM"/>
    <x v="6"/>
    <x v="2"/>
    <x v="0"/>
    <n v="58009.977600000006"/>
    <n v="22432.3505"/>
    <n v="11.7739212466913"/>
  </r>
  <r>
    <x v="0"/>
    <s v="VM"/>
    <x v="6"/>
    <x v="2"/>
    <x v="1"/>
    <n v="43026.617400000003"/>
    <n v="22831.774700000002"/>
    <n v="0"/>
  </r>
  <r>
    <x v="0"/>
    <s v="VM"/>
    <x v="7"/>
    <x v="0"/>
    <x v="0"/>
    <n v="13120.495800000001"/>
    <n v="6454.1949000000004"/>
    <n v="4.5542965706108598"/>
  </r>
  <r>
    <x v="0"/>
    <s v="VM"/>
    <x v="7"/>
    <x v="0"/>
    <x v="1"/>
    <n v="9546.4500000000007"/>
    <n v="8028.6310000000003"/>
    <n v="14.987704959143"/>
  </r>
  <r>
    <x v="0"/>
    <s v="VM"/>
    <x v="7"/>
    <x v="0"/>
    <x v="2"/>
    <n v="3745.6215000000002"/>
    <n v="3748.1212"/>
    <n v="6.8718110027585002"/>
  </r>
  <r>
    <x v="0"/>
    <s v="VM"/>
    <x v="7"/>
    <x v="0"/>
    <x v="3"/>
    <n v="3509.634"/>
    <n v="4543.9605000000001"/>
    <n v="16.0659513362674"/>
  </r>
  <r>
    <x v="0"/>
    <s v="VM"/>
    <x v="7"/>
    <x v="0"/>
    <x v="4"/>
    <n v="1764.1449"/>
    <n v="1093.8563000000001"/>
    <n v="7.9665491623027203"/>
  </r>
  <r>
    <x v="0"/>
    <s v="VM"/>
    <x v="7"/>
    <x v="0"/>
    <x v="5"/>
    <n v="3042.9414000000002"/>
    <n v="1156.8081"/>
    <n v="6.0348022850267702"/>
  </r>
  <r>
    <x v="0"/>
    <s v="VM"/>
    <x v="7"/>
    <x v="1"/>
    <x v="0"/>
    <n v="5048.8026"/>
    <n v="3462.2264"/>
    <n v="11.3268592892068"/>
  </r>
  <r>
    <x v="0"/>
    <s v="VM"/>
    <x v="7"/>
    <x v="1"/>
    <x v="1"/>
    <n v="3911.5521000000003"/>
    <n v="3184.9316000000003"/>
    <n v="12.960872099585901"/>
  </r>
  <r>
    <x v="0"/>
    <s v="VM"/>
    <x v="7"/>
    <x v="1"/>
    <x v="2"/>
    <n v="3703.9110000000001"/>
    <n v="1470.4024000000002"/>
    <n v="5.3562353256630102"/>
  </r>
  <r>
    <x v="0"/>
    <s v="VM"/>
    <x v="7"/>
    <x v="1"/>
    <x v="3"/>
    <n v="19260.2814"/>
    <n v="10132.186900000001"/>
    <n v="12.8374083420975"/>
  </r>
  <r>
    <x v="0"/>
    <s v="VM"/>
    <x v="7"/>
    <x v="1"/>
    <x v="4"/>
    <n v="17634.715800000002"/>
    <n v="3380.7561000000001"/>
    <n v="11.4649421648316"/>
  </r>
  <r>
    <x v="0"/>
    <s v="VM"/>
    <x v="7"/>
    <x v="1"/>
    <x v="5"/>
    <n v="20762.194200000002"/>
    <n v="7120.0020000000004"/>
    <n v="7.8203271995442005"/>
  </r>
  <r>
    <x v="0"/>
    <s v="VM"/>
    <x v="7"/>
    <x v="2"/>
    <x v="0"/>
    <n v="22039.084200000001"/>
    <n v="14458.186400000001"/>
    <n v="10.171801498654601"/>
  </r>
  <r>
    <x v="0"/>
    <s v="VM"/>
    <x v="7"/>
    <x v="2"/>
    <x v="1"/>
    <n v="8786.705100000001"/>
    <n v="10495.747500000001"/>
    <n v="0"/>
  </r>
  <r>
    <x v="0"/>
    <s v="VM"/>
    <x v="8"/>
    <x v="0"/>
    <x v="0"/>
    <n v="10861.191000000001"/>
    <n v="-617.8578"/>
    <n v="23.739239847141999"/>
  </r>
  <r>
    <x v="0"/>
    <s v="VM"/>
    <x v="8"/>
    <x v="0"/>
    <x v="1"/>
    <n v="3599.1465000000003"/>
    <n v="-584.16849999999999"/>
    <n v="13.406842784229701"/>
  </r>
  <r>
    <x v="0"/>
    <s v="VM"/>
    <x v="8"/>
    <x v="0"/>
    <x v="2"/>
    <n v="3243.8307"/>
    <n v="-37.954799999999999"/>
    <n v="4.7228448606112998"/>
  </r>
  <r>
    <x v="0"/>
    <s v="VM"/>
    <x v="8"/>
    <x v="0"/>
    <x v="3"/>
    <n v="29670.9804"/>
    <n v="20572.133400000002"/>
    <n v="4.8793799176535204"/>
  </r>
  <r>
    <x v="0"/>
    <s v="VM"/>
    <x v="8"/>
    <x v="0"/>
    <x v="4"/>
    <n v="35702.792999999998"/>
    <n v="46926.496400000004"/>
    <n v="38.995650758249099"/>
  </r>
  <r>
    <x v="0"/>
    <s v="VM"/>
    <x v="1"/>
    <x v="1"/>
    <x v="10"/>
    <n v="294387.86369999999"/>
    <n v="204333.359"/>
    <n v="9.5098140776249505"/>
  </r>
  <r>
    <x v="0"/>
    <s v="VM"/>
    <x v="1"/>
    <x v="1"/>
    <x v="11"/>
    <n v="238445.0343"/>
    <n v="79626.767500000002"/>
    <n v="12.2957466582066"/>
  </r>
  <r>
    <x v="0"/>
    <s v="VM"/>
    <x v="1"/>
    <x v="2"/>
    <x v="6"/>
    <n v="193949.6586"/>
    <n v="61575.838100000001"/>
    <n v="9.5767538986432204"/>
  </r>
  <r>
    <x v="0"/>
    <s v="VM"/>
    <x v="1"/>
    <x v="2"/>
    <x v="7"/>
    <n v="286810.40970000002"/>
    <n v="85262.635800000004"/>
    <n v="8.0293790027527496"/>
  </r>
  <r>
    <x v="0"/>
    <s v="VM"/>
    <x v="2"/>
    <x v="0"/>
    <x v="6"/>
    <n v="80287.160400000008"/>
    <n v="27142.184700000002"/>
    <n v="11.185176209802501"/>
  </r>
  <r>
    <x v="0"/>
    <s v="VM"/>
    <x v="2"/>
    <x v="0"/>
    <x v="7"/>
    <n v="50480.7906"/>
    <n v="33473.257100000003"/>
    <n v="11.7538110627866"/>
  </r>
  <r>
    <x v="0"/>
    <s v="VM"/>
    <x v="2"/>
    <x v="0"/>
    <x v="8"/>
    <n v="58497.604500000001"/>
    <n v="7910.2209000000003"/>
    <n v="8.90356734321945"/>
  </r>
  <r>
    <x v="0"/>
    <s v="VM"/>
    <x v="2"/>
    <x v="0"/>
    <x v="9"/>
    <n v="64394.2137"/>
    <n v="27491.1139"/>
    <n v="7.2803711528945296"/>
  </r>
  <r>
    <x v="0"/>
    <s v="VM"/>
    <x v="2"/>
    <x v="0"/>
    <x v="10"/>
    <n v="52981.811700000006"/>
    <n v="32001.189200000001"/>
    <n v="17.246223707438102"/>
  </r>
  <r>
    <x v="0"/>
    <s v="VM"/>
    <x v="2"/>
    <x v="0"/>
    <x v="11"/>
    <n v="53961.920100000003"/>
    <n v="14583.5566"/>
    <n v="11.142324262272099"/>
  </r>
  <r>
    <x v="0"/>
    <s v="VM"/>
    <x v="2"/>
    <x v="1"/>
    <x v="6"/>
    <n v="63475.150500000003"/>
    <n v="12830.9604"/>
    <n v="8.0736992312089004"/>
  </r>
  <r>
    <x v="0"/>
    <s v="VM"/>
    <x v="2"/>
    <x v="1"/>
    <x v="7"/>
    <n v="67422.32160000001"/>
    <n v="27936.392500000002"/>
    <n v="9.6129123811613599"/>
  </r>
  <r>
    <x v="0"/>
    <s v="VM"/>
    <x v="2"/>
    <x v="1"/>
    <x v="8"/>
    <n v="80240.837100000004"/>
    <n v="6521.1358"/>
    <n v="11.233198128264501"/>
  </r>
  <r>
    <x v="0"/>
    <s v="VM"/>
    <x v="2"/>
    <x v="1"/>
    <x v="9"/>
    <n v="86780.820300000007"/>
    <n v="30012.4732"/>
    <n v="16.241184498739301"/>
  </r>
  <r>
    <x v="0"/>
    <s v="VM"/>
    <x v="2"/>
    <x v="1"/>
    <x v="10"/>
    <n v="86119.506600000008"/>
    <n v="22037.679100000001"/>
    <n v="17.0926575203192"/>
  </r>
  <r>
    <x v="0"/>
    <s v="VM"/>
    <x v="2"/>
    <x v="1"/>
    <x v="11"/>
    <n v="101681.93130000001"/>
    <n v="17807.191600000002"/>
    <n v="13.390979754560501"/>
  </r>
  <r>
    <x v="0"/>
    <s v="VM"/>
    <x v="2"/>
    <x v="2"/>
    <x v="6"/>
    <n v="131055.86970000001"/>
    <n v="37107.898399999998"/>
    <n v="15.1480752059036"/>
  </r>
  <r>
    <x v="0"/>
    <s v="VM"/>
    <x v="2"/>
    <x v="2"/>
    <x v="7"/>
    <n v="98681.825700000001"/>
    <n v="26527.139600000002"/>
    <n v="10.774053760026399"/>
  </r>
  <r>
    <x v="0"/>
    <s v="VM"/>
    <x v="3"/>
    <x v="0"/>
    <x v="6"/>
    <n v="164442.20010000002"/>
    <n v="56472.855800000005"/>
    <n v="5.1734624639201003"/>
  </r>
  <r>
    <x v="0"/>
    <s v="VM"/>
    <x v="3"/>
    <x v="0"/>
    <x v="7"/>
    <n v="110137.947"/>
    <n v="171511.14920000001"/>
    <n v="2.9558962493270098"/>
  </r>
  <r>
    <x v="0"/>
    <s v="VM"/>
    <x v="3"/>
    <x v="0"/>
    <x v="8"/>
    <n v="145396.014"/>
    <n v="72745.044600000008"/>
    <n v="8.2661686210127296"/>
  </r>
  <r>
    <x v="0"/>
    <s v="VM"/>
    <x v="3"/>
    <x v="0"/>
    <x v="9"/>
    <n v="159005.2806"/>
    <n v="53252.467500000006"/>
    <n v="21.861988617245899"/>
  </r>
  <r>
    <x v="0"/>
    <s v="VM"/>
    <x v="3"/>
    <x v="0"/>
    <x v="10"/>
    <n v="140638.34789999999"/>
    <n v="46760.203200000004"/>
    <n v="17.6313865608453"/>
  </r>
  <r>
    <x v="0"/>
    <s v="VM"/>
    <x v="3"/>
    <x v="0"/>
    <x v="11"/>
    <n v="138075.85380000001"/>
    <n v="15850.595000000001"/>
    <n v="9.6846330347991998"/>
  </r>
  <r>
    <x v="0"/>
    <s v="VM"/>
    <x v="3"/>
    <x v="1"/>
    <x v="6"/>
    <n v="238893.98250000001"/>
    <n v="64932.809100000006"/>
    <n v="5.7605198135395801"/>
  </r>
  <r>
    <x v="0"/>
    <s v="VM"/>
    <x v="3"/>
    <x v="1"/>
    <x v="7"/>
    <n v="224679.63930000001"/>
    <n v="151065.64569999999"/>
    <n v="5.5915406428514096"/>
  </r>
  <r>
    <x v="0"/>
    <s v="VM"/>
    <x v="3"/>
    <x v="1"/>
    <x v="8"/>
    <n v="222325.37220000001"/>
    <n v="57790.353500000005"/>
    <n v="24.043896614795401"/>
  </r>
  <r>
    <x v="0"/>
    <s v="VM"/>
    <x v="3"/>
    <x v="1"/>
    <x v="9"/>
    <n v="219854.5203"/>
    <n v="54685.315800000004"/>
    <n v="26.055055917045301"/>
  </r>
  <r>
    <x v="0"/>
    <s v="VM"/>
    <x v="3"/>
    <x v="1"/>
    <x v="10"/>
    <n v="143936.2395"/>
    <n v="37329.728000000003"/>
    <n v="17.5130978747606"/>
  </r>
  <r>
    <x v="0"/>
    <s v="VM"/>
    <x v="3"/>
    <x v="1"/>
    <x v="11"/>
    <n v="137595.40650000001"/>
    <n v="20079.743600000002"/>
    <n v="9.4180429930056508"/>
  </r>
  <r>
    <x v="0"/>
    <s v="VM"/>
    <x v="3"/>
    <x v="2"/>
    <x v="6"/>
    <n v="323487.6102"/>
    <n v="83099.281300000002"/>
    <n v="8.1522444938806498"/>
  </r>
  <r>
    <x v="0"/>
    <s v="VM"/>
    <x v="3"/>
    <x v="2"/>
    <x v="7"/>
    <n v="329549.39670000004"/>
    <n v="155124.2211"/>
    <n v="6.6274700822505297"/>
  </r>
  <r>
    <x v="0"/>
    <s v="VM"/>
    <x v="4"/>
    <x v="0"/>
    <x v="6"/>
    <n v="406773.35100000002"/>
    <n v="118920.88340000001"/>
    <n v="5.9901206458439802"/>
  </r>
  <r>
    <x v="0"/>
    <s v="VM"/>
    <x v="4"/>
    <x v="0"/>
    <x v="7"/>
    <n v="365912.19210000004"/>
    <n v="399021.8346"/>
    <n v="12.3127169538321"/>
  </r>
  <r>
    <x v="0"/>
    <s v="VM"/>
    <x v="4"/>
    <x v="0"/>
    <x v="8"/>
    <n v="348337.34040000004"/>
    <n v="66526.723599999998"/>
    <n v="10.196280876103101"/>
  </r>
  <r>
    <x v="0"/>
    <s v="VM"/>
    <x v="4"/>
    <x v="0"/>
    <x v="9"/>
    <n v="416373.7317"/>
    <n v="124193.5251"/>
    <n v="20.5229374670208"/>
  </r>
  <r>
    <x v="0"/>
    <s v="VM"/>
    <x v="4"/>
    <x v="0"/>
    <x v="10"/>
    <n v="287368.38180000003"/>
    <n v="125322.7886"/>
    <n v="17.993218429666701"/>
  </r>
  <r>
    <x v="0"/>
    <s v="VM"/>
    <x v="4"/>
    <x v="0"/>
    <x v="11"/>
    <n v="260174.3634"/>
    <n v="23761.307100000002"/>
    <n v="9.7227950696129497"/>
  </r>
  <r>
    <x v="0"/>
    <s v="VM"/>
    <x v="4"/>
    <x v="1"/>
    <x v="6"/>
    <n v="484224.67170000001"/>
    <n v="96497.8796"/>
    <n v="5.5972734742077899"/>
  </r>
  <r>
    <x v="0"/>
    <s v="VM"/>
    <x v="4"/>
    <x v="1"/>
    <x v="7"/>
    <n v="627474.75719999999"/>
    <n v="261209.6361"/>
    <n v="14.105762555130701"/>
  </r>
  <r>
    <x v="0"/>
    <s v="VM"/>
    <x v="4"/>
    <x v="1"/>
    <x v="8"/>
    <n v="386110.67610000004"/>
    <n v="10982.380200000001"/>
    <n v="10.5400539216319"/>
  </r>
  <r>
    <x v="0"/>
    <s v="VM"/>
    <x v="4"/>
    <x v="1"/>
    <x v="9"/>
    <n v="771037.56450000009"/>
    <n v="144404.0189"/>
    <n v="26.7263250482468"/>
  </r>
  <r>
    <x v="0"/>
    <s v="VM"/>
    <x v="4"/>
    <x v="1"/>
    <x v="10"/>
    <n v="464717.08470000001"/>
    <n v="185921.2591"/>
    <n v="19.346341185741899"/>
  </r>
  <r>
    <x v="0"/>
    <s v="VM"/>
    <x v="4"/>
    <x v="1"/>
    <x v="11"/>
    <n v="572154.64650000003"/>
    <n v="60440.349700000006"/>
    <n v="12.324628065831801"/>
  </r>
  <r>
    <x v="0"/>
    <s v="VM"/>
    <x v="4"/>
    <x v="2"/>
    <x v="6"/>
    <n v="827802.57900000003"/>
    <n v="191489.91399999999"/>
    <n v="11.5092819308594"/>
  </r>
  <r>
    <x v="0"/>
    <s v="VM"/>
    <x v="4"/>
    <x v="2"/>
    <x v="7"/>
    <n v="662474.3493"/>
    <n v="283421.14780000004"/>
    <n v="11.7680338224409"/>
  </r>
  <r>
    <x v="0"/>
    <s v="VM"/>
    <x v="5"/>
    <x v="0"/>
    <x v="6"/>
    <n v="79618.164900000003"/>
    <n v="32581.5802"/>
    <n v="9.0197113910589906"/>
  </r>
  <r>
    <x v="0"/>
    <s v="VM"/>
    <x v="5"/>
    <x v="0"/>
    <x v="7"/>
    <n v="61611.830400000006"/>
    <n v="37667.292800000003"/>
    <n v="6.3907264872247502"/>
  </r>
  <r>
    <x v="0"/>
    <s v="VM"/>
    <x v="5"/>
    <x v="0"/>
    <x v="8"/>
    <n v="63447.427200000006"/>
    <n v="30594.0108"/>
    <n v="6.1383486181778197"/>
  </r>
  <r>
    <x v="0"/>
    <s v="VM"/>
    <x v="5"/>
    <x v="0"/>
    <x v="9"/>
    <n v="68653.492800000007"/>
    <n v="41427.8776"/>
    <n v="5.3109059873657198"/>
  </r>
  <r>
    <x v="0"/>
    <s v="VM"/>
    <x v="5"/>
    <x v="0"/>
    <x v="10"/>
    <n v="67089.781499999997"/>
    <n v="56543.873500000002"/>
    <n v="3.79410682886413"/>
  </r>
  <r>
    <x v="0"/>
    <s v="VM"/>
    <x v="5"/>
    <x v="0"/>
    <x v="11"/>
    <n v="73009.408200000005"/>
    <n v="35131.806600000004"/>
    <n v="8.4032883835149992"/>
  </r>
  <r>
    <x v="0"/>
    <s v="VM"/>
    <x v="5"/>
    <x v="1"/>
    <x v="6"/>
    <n v="99771.422999999995"/>
    <n v="35588.753400000001"/>
    <n v="9.5989529390105108"/>
  </r>
  <r>
    <x v="0"/>
    <s v="VM"/>
    <x v="5"/>
    <x v="1"/>
    <x v="7"/>
    <n v="75342.220200000011"/>
    <n v="31479.426600000003"/>
    <n v="9.2219183817511805"/>
  </r>
  <r>
    <x v="0"/>
    <s v="VM"/>
    <x v="5"/>
    <x v="1"/>
    <x v="8"/>
    <n v="69289.175700000007"/>
    <n v="24817.1662"/>
    <n v="7.8458260636389197"/>
  </r>
  <r>
    <x v="0"/>
    <s v="VM"/>
    <x v="5"/>
    <x v="1"/>
    <x v="9"/>
    <n v="105756.51240000001"/>
    <n v="50867.337599999999"/>
    <n v="6.9879847898295697"/>
  </r>
  <r>
    <x v="0"/>
    <s v="VM"/>
    <x v="5"/>
    <x v="1"/>
    <x v="10"/>
    <n v="73502.112900000007"/>
    <n v="69440.957600000009"/>
    <n v="6.4999494305491599"/>
  </r>
  <r>
    <x v="0"/>
    <s v="VM"/>
    <x v="5"/>
    <x v="1"/>
    <x v="11"/>
    <n v="90890.574000000008"/>
    <n v="41596.2595"/>
    <n v="8.8435615673010695"/>
  </r>
  <r>
    <x v="0"/>
    <s v="VM"/>
    <x v="5"/>
    <x v="2"/>
    <x v="6"/>
    <n v="158602.16280000002"/>
    <n v="56173.184400000006"/>
    <n v="9.4401538608683193"/>
  </r>
  <r>
    <x v="0"/>
    <s v="VM"/>
    <x v="5"/>
    <x v="2"/>
    <x v="7"/>
    <n v="169899.9516"/>
    <n v="56881.772700000001"/>
    <n v="10.9279889045782"/>
  </r>
  <r>
    <x v="0"/>
    <s v="VM"/>
    <x v="6"/>
    <x v="0"/>
    <x v="6"/>
    <n v="40853.356200000002"/>
    <n v="21316.242900000001"/>
    <n v="6.3064718579924701"/>
  </r>
  <r>
    <x v="0"/>
    <s v="VM"/>
    <x v="6"/>
    <x v="0"/>
    <x v="7"/>
    <n v="35000.8848"/>
    <n v="25225.249100000001"/>
    <n v="7.6073307962121399"/>
  </r>
  <r>
    <x v="0"/>
    <s v="VM"/>
    <x v="6"/>
    <x v="0"/>
    <x v="8"/>
    <n v="35949.336000000003"/>
    <n v="16867.963100000001"/>
    <n v="6.7800234494183798"/>
  </r>
  <r>
    <x v="0"/>
    <s v="VM"/>
    <x v="6"/>
    <x v="0"/>
    <x v="9"/>
    <n v="41885.386500000001"/>
    <n v="20745.333300000002"/>
    <n v="7.07417776541525"/>
  </r>
  <r>
    <x v="0"/>
    <s v="VM"/>
    <x v="6"/>
    <x v="0"/>
    <x v="10"/>
    <n v="34340.807999999997"/>
    <n v="20226.004000000001"/>
    <n v="11.6315080571267"/>
  </r>
  <r>
    <x v="0"/>
    <s v="VM"/>
    <x v="6"/>
    <x v="0"/>
    <x v="11"/>
    <n v="36041.043300000005"/>
    <n v="10391.047200000001"/>
    <n v="9.3506229225621205"/>
  </r>
  <r>
    <x v="0"/>
    <s v="VM"/>
    <x v="6"/>
    <x v="1"/>
    <x v="6"/>
    <n v="39871.090199999999"/>
    <n v="11878.2291"/>
    <n v="6.0920928968774604"/>
  </r>
  <r>
    <x v="0"/>
    <s v="VM"/>
    <x v="6"/>
    <x v="1"/>
    <x v="7"/>
    <n v="44396.014500000005"/>
    <n v="39431.611700000001"/>
    <n v="11.0325217519677"/>
  </r>
  <r>
    <x v="0"/>
    <s v="VM"/>
    <x v="6"/>
    <x v="1"/>
    <x v="8"/>
    <n v="36454.037700000001"/>
    <n v="7632.8823000000002"/>
    <n v="9.8225270749945999"/>
  </r>
  <r>
    <x v="0"/>
    <s v="VM"/>
    <x v="6"/>
    <x v="1"/>
    <x v="9"/>
    <n v="40229.930700000004"/>
    <n v="16179.2412"/>
    <n v="14.2967865541214"/>
  </r>
  <r>
    <x v="0"/>
    <s v="VM"/>
    <x v="6"/>
    <x v="1"/>
    <x v="10"/>
    <n v="24607.176900000002"/>
    <n v="12930.442800000001"/>
    <n v="12.861551258698201"/>
  </r>
  <r>
    <x v="0"/>
    <s v="VM"/>
    <x v="6"/>
    <x v="1"/>
    <x v="11"/>
    <n v="33719.419200000004"/>
    <n v="12902.184000000001"/>
    <n v="8.3582290461305799"/>
  </r>
  <r>
    <x v="0"/>
    <s v="VM"/>
    <x v="6"/>
    <x v="2"/>
    <x v="6"/>
    <n v="51140.142"/>
    <n v="26112.0805"/>
    <n v="10.555322632015999"/>
  </r>
  <r>
    <x v="0"/>
    <s v="VM"/>
    <x v="6"/>
    <x v="2"/>
    <x v="7"/>
    <n v="60628.811100000006"/>
    <n v="18325.585500000001"/>
    <n v="11.4184679533475"/>
  </r>
  <r>
    <x v="0"/>
    <s v="VM"/>
    <x v="7"/>
    <x v="0"/>
    <x v="6"/>
    <n v="9942.7695000000003"/>
    <n v="1646.5518000000002"/>
    <n v="5.4862435009194899"/>
  </r>
  <r>
    <x v="0"/>
    <s v="VM"/>
    <x v="7"/>
    <x v="0"/>
    <x v="7"/>
    <n v="10534.5471"/>
    <n v="12645.692700000001"/>
    <n v="8.5021319871148204"/>
  </r>
  <r>
    <x v="0"/>
    <s v="VM"/>
    <x v="7"/>
    <x v="0"/>
    <x v="8"/>
    <n v="6646.1985000000004"/>
    <n v="2564.2791000000002"/>
    <n v="10.369770566887601"/>
  </r>
  <r>
    <x v="0"/>
    <s v="VM"/>
    <x v="7"/>
    <x v="0"/>
    <x v="9"/>
    <n v="6350.7654000000002"/>
    <n v="1027.8987999999999"/>
    <n v="12.611627861904701"/>
  </r>
  <r>
    <x v="0"/>
    <s v="VM"/>
    <x v="7"/>
    <x v="0"/>
    <x v="10"/>
    <n v="1848.1704000000002"/>
    <n v="786.30619999999999"/>
    <n v="8.4704229631334407"/>
  </r>
  <r>
    <x v="0"/>
    <s v="VM"/>
    <x v="7"/>
    <x v="0"/>
    <x v="11"/>
    <n v="3584.0154000000002"/>
    <n v="777.75099999999998"/>
    <n v="9.5700756830922398"/>
  </r>
  <r>
    <x v="0"/>
    <s v="VM"/>
    <x v="7"/>
    <x v="1"/>
    <x v="6"/>
    <n v="5933.4465"/>
    <n v="1646.1325000000002"/>
    <n v="10.346912178584901"/>
  </r>
  <r>
    <x v="0"/>
    <s v="VM"/>
    <x v="7"/>
    <x v="1"/>
    <x v="7"/>
    <n v="3385.3953000000001"/>
    <n v="1177.3141000000001"/>
    <n v="5.0961995611634796"/>
  </r>
  <r>
    <x v="0"/>
    <s v="VM"/>
    <x v="7"/>
    <x v="1"/>
    <x v="8"/>
    <n v="3751.0806000000002"/>
    <n v="1082.6355000000001"/>
    <n v="9.0522293888992493"/>
  </r>
  <r>
    <x v="0"/>
    <s v="VM"/>
    <x v="7"/>
    <x v="1"/>
    <x v="9"/>
    <n v="7139.5449000000008"/>
    <n v="1215.0799"/>
    <n v="3.0299523067423899"/>
  </r>
  <r>
    <x v="0"/>
    <s v="VM"/>
    <x v="7"/>
    <x v="1"/>
    <x v="10"/>
    <n v="9109.9452000000001"/>
    <n v="11378.093800000001"/>
    <n v="9.3013261794027606"/>
  </r>
  <r>
    <x v="0"/>
    <s v="VM"/>
    <x v="7"/>
    <x v="1"/>
    <x v="11"/>
    <n v="16725.994200000001"/>
    <n v="4567.9231"/>
    <n v="8.8023682749034204"/>
  </r>
  <r>
    <x v="0"/>
    <s v="VM"/>
    <x v="7"/>
    <x v="2"/>
    <x v="6"/>
    <n v="20409.045300000002"/>
    <n v="8925.5554000000011"/>
    <n v="7.6202871352921404"/>
  </r>
  <r>
    <x v="0"/>
    <s v="VM"/>
    <x v="7"/>
    <x v="2"/>
    <x v="7"/>
    <n v="14897.205"/>
    <n v="7706.7712000000001"/>
    <n v="6.1032319517976203"/>
  </r>
  <r>
    <x v="0"/>
    <s v="VM"/>
    <x v="8"/>
    <x v="0"/>
    <x v="6"/>
    <n v="10802.712600000001"/>
    <n v="688.75729999999999"/>
    <n v="28.156161674024499"/>
  </r>
  <r>
    <x v="0"/>
    <s v="VM"/>
    <x v="8"/>
    <x v="0"/>
    <x v="7"/>
    <n v="5363.1891000000005"/>
    <n v="-441.95060000000001"/>
    <n v="18.197667315340301"/>
  </r>
  <r>
    <x v="0"/>
    <s v="VM"/>
    <x v="8"/>
    <x v="0"/>
    <x v="8"/>
    <n v="3616.6026000000002"/>
    <n v="-8.5937000000000001"/>
    <n v="9.1086952085387498"/>
  </r>
  <r>
    <x v="0"/>
    <s v="VM"/>
    <x v="8"/>
    <x v="0"/>
    <x v="9"/>
    <n v="5506.4556000000002"/>
    <n v="1220.8491000000001"/>
    <n v="1.1509627426390301"/>
  </r>
  <r>
    <x v="0"/>
    <s v="VM"/>
    <x v="8"/>
    <x v="0"/>
    <x v="5"/>
    <n v="7565.3454000000002"/>
    <n v="9051.9513000000006"/>
    <n v="31.090437599243099"/>
  </r>
  <r>
    <x v="0"/>
    <s v="VM"/>
    <x v="8"/>
    <x v="1"/>
    <x v="0"/>
    <n v="6222.4254000000001"/>
    <n v="-230.22460000000001"/>
    <n v="21.9771430609002"/>
  </r>
  <r>
    <x v="0"/>
    <s v="VM"/>
    <x v="8"/>
    <x v="1"/>
    <x v="1"/>
    <n v="2792.2599"/>
    <n v="432.90860000000004"/>
    <n v="12.446381431215201"/>
  </r>
  <r>
    <x v="0"/>
    <s v="VM"/>
    <x v="8"/>
    <x v="1"/>
    <x v="2"/>
    <n v="2033.6682000000001"/>
    <n v="783.46430000000009"/>
    <n v="4.2462185266079704"/>
  </r>
  <r>
    <x v="0"/>
    <s v="VM"/>
    <x v="8"/>
    <x v="1"/>
    <x v="3"/>
    <n v="28596.811800000003"/>
    <n v="16937.513300000002"/>
    <n v="3.3769410184232598"/>
  </r>
  <r>
    <x v="0"/>
    <s v="VM"/>
    <x v="8"/>
    <x v="1"/>
    <x v="4"/>
    <n v="24313.538700000001"/>
    <n v="31307.035100000001"/>
    <n v="-72.278459292359301"/>
  </r>
  <r>
    <x v="0"/>
    <s v="VM"/>
    <x v="8"/>
    <x v="1"/>
    <x v="5"/>
    <n v="6518.1375000000007"/>
    <n v="6917.3367000000007"/>
    <n v="-81.206965164773308"/>
  </r>
  <r>
    <x v="0"/>
    <s v="VM"/>
    <x v="8"/>
    <x v="2"/>
    <x v="0"/>
    <n v="6393.7872000000007"/>
    <n v="-22.375"/>
    <n v="-90.368495030255303"/>
  </r>
  <r>
    <x v="0"/>
    <s v="VM"/>
    <x v="8"/>
    <x v="2"/>
    <x v="1"/>
    <n v="4545.2262000000001"/>
    <n v="-276.51320000000004"/>
    <n v="0"/>
  </r>
  <r>
    <x v="0"/>
    <s v="VM"/>
    <x v="9"/>
    <x v="0"/>
    <x v="0"/>
    <n v="19939.7952"/>
    <n v="20158.6973"/>
    <n v="4.2176331153643005"/>
  </r>
  <r>
    <x v="0"/>
    <s v="VM"/>
    <x v="9"/>
    <x v="0"/>
    <x v="1"/>
    <n v="13805.9802"/>
    <n v="30091.525300000001"/>
    <n v="2.9058663818891501"/>
  </r>
  <r>
    <x v="0"/>
    <s v="VM"/>
    <x v="9"/>
    <x v="0"/>
    <x v="2"/>
    <n v="30139.626"/>
    <n v="5607.0399000000007"/>
    <n v="9.8842251139867106"/>
  </r>
  <r>
    <x v="0"/>
    <s v="VM"/>
    <x v="9"/>
    <x v="0"/>
    <x v="3"/>
    <n v="32404.985100000002"/>
    <n v="11930.657300000001"/>
    <n v="5.7012684579566004"/>
  </r>
  <r>
    <x v="0"/>
    <s v="VM"/>
    <x v="9"/>
    <x v="0"/>
    <x v="4"/>
    <n v="27642.4365"/>
    <n v="29602.518400000001"/>
    <n v="6.0643556013950697"/>
  </r>
  <r>
    <x v="0"/>
    <s v="VM"/>
    <x v="9"/>
    <x v="0"/>
    <x v="5"/>
    <n v="41116.555500000002"/>
    <n v="14848.1296"/>
    <n v="10.0147275743532"/>
  </r>
  <r>
    <x v="0"/>
    <s v="VM"/>
    <x v="9"/>
    <x v="1"/>
    <x v="0"/>
    <n v="25412.7801"/>
    <n v="19411.909200000002"/>
    <n v="4.6253705315631697"/>
  </r>
  <r>
    <x v="0"/>
    <s v="VM"/>
    <x v="9"/>
    <x v="1"/>
    <x v="1"/>
    <n v="30328.3416"/>
    <n v="25518.096000000001"/>
    <n v="13.285682216326201"/>
  </r>
  <r>
    <x v="0"/>
    <s v="VM"/>
    <x v="9"/>
    <x v="1"/>
    <x v="2"/>
    <n v="24627.3393"/>
    <n v="8963.5282999999999"/>
    <n v="6.6411704995288297"/>
  </r>
  <r>
    <x v="0"/>
    <s v="VM"/>
    <x v="9"/>
    <x v="1"/>
    <x v="3"/>
    <n v="28629.3246"/>
    <n v="19892.223300000001"/>
    <n v="4.7211982041225999"/>
  </r>
  <r>
    <x v="0"/>
    <s v="VM"/>
    <x v="9"/>
    <x v="1"/>
    <x v="4"/>
    <n v="12329.967900000001"/>
    <n v="18508.7245"/>
    <n v="3.3374078638961002"/>
  </r>
  <r>
    <x v="0"/>
    <s v="VM"/>
    <x v="9"/>
    <x v="1"/>
    <x v="5"/>
    <n v="22205.0985"/>
    <n v="11595.62"/>
    <n v="5.8151685229872001"/>
  </r>
  <r>
    <x v="0"/>
    <s v="VM"/>
    <x v="9"/>
    <x v="2"/>
    <x v="0"/>
    <n v="44844.125700000004"/>
    <n v="21789.528900000001"/>
    <n v="7.5818493432569296"/>
  </r>
  <r>
    <x v="0"/>
    <s v="VM"/>
    <x v="9"/>
    <x v="2"/>
    <x v="1"/>
    <n v="33409.217700000001"/>
    <n v="29902.721300000001"/>
    <n v="0"/>
  </r>
  <r>
    <x v="0"/>
    <s v="VM"/>
    <x v="10"/>
    <x v="0"/>
    <x v="0"/>
    <n v="9425.3082000000013"/>
    <n v="13031.824500000001"/>
    <n v="4.9734452143391197"/>
  </r>
  <r>
    <x v="0"/>
    <s v="VM"/>
    <x v="10"/>
    <x v="0"/>
    <x v="1"/>
    <n v="12058.8078"/>
    <n v="9447.0787"/>
    <n v="2.6457780032185698"/>
  </r>
  <r>
    <x v="0"/>
    <s v="VM"/>
    <x v="10"/>
    <x v="0"/>
    <x v="2"/>
    <n v="17307.495300000002"/>
    <n v="18932.146800000002"/>
    <n v="11.834961316577301"/>
  </r>
  <r>
    <x v="0"/>
    <s v="VM"/>
    <x v="10"/>
    <x v="0"/>
    <x v="3"/>
    <n v="13518.6288"/>
    <n v="5391.7624000000005"/>
    <n v="12.1288350962721"/>
  </r>
  <r>
    <x v="0"/>
    <s v="VM"/>
    <x v="10"/>
    <x v="0"/>
    <x v="4"/>
    <n v="6990.4287000000004"/>
    <n v="2682.9908"/>
    <n v="5.4449330573076802"/>
  </r>
  <r>
    <x v="0"/>
    <s v="VM"/>
    <x v="10"/>
    <x v="0"/>
    <x v="5"/>
    <n v="18263.033100000001"/>
    <n v="9036.0199000000011"/>
    <n v="6.4864167909696402"/>
  </r>
  <r>
    <x v="0"/>
    <s v="VM"/>
    <x v="10"/>
    <x v="1"/>
    <x v="0"/>
    <n v="14833.230300000001"/>
    <n v="16576.5674"/>
    <n v="7.4644017970499004"/>
  </r>
  <r>
    <x v="0"/>
    <s v="VM"/>
    <x v="10"/>
    <x v="1"/>
    <x v="1"/>
    <n v="7278.3009000000002"/>
    <n v="10684.9565"/>
    <n v="8.1532191843156507"/>
  </r>
  <r>
    <x v="0"/>
    <s v="VM"/>
    <x v="10"/>
    <x v="1"/>
    <x v="2"/>
    <n v="10331.0445"/>
    <n v="4948.9928"/>
    <n v="6.4831496158610804"/>
  </r>
  <r>
    <x v="0"/>
    <s v="VM"/>
    <x v="10"/>
    <x v="1"/>
    <x v="3"/>
    <n v="9316.8237000000008"/>
    <n v="6854.6556"/>
    <n v="8.8085588848393606"/>
  </r>
  <r>
    <x v="0"/>
    <s v="VM"/>
    <x v="10"/>
    <x v="1"/>
    <x v="4"/>
    <n v="9379.5056999999997"/>
    <n v="3109.0554999999999"/>
    <n v="9.0846019121261694"/>
  </r>
  <r>
    <x v="0"/>
    <s v="VM"/>
    <x v="10"/>
    <x v="1"/>
    <x v="5"/>
    <n v="8119.1046000000006"/>
    <n v="2778.3606"/>
    <n v="5.5708848903575303"/>
  </r>
  <r>
    <x v="0"/>
    <s v="VM"/>
    <x v="10"/>
    <x v="2"/>
    <x v="0"/>
    <n v="11096.6484"/>
    <n v="8964.4914000000008"/>
    <n v="5.8838807303581797"/>
  </r>
  <r>
    <x v="0"/>
    <s v="VM"/>
    <x v="10"/>
    <x v="2"/>
    <x v="1"/>
    <n v="8530.4343000000008"/>
    <n v="7303.3371000000006"/>
    <n v="0"/>
  </r>
  <r>
    <x v="0"/>
    <s v="VM"/>
    <x v="11"/>
    <x v="0"/>
    <x v="0"/>
    <n v="38908.819200000005"/>
    <n v="11385.885100000001"/>
    <n v="8.7651651117235598"/>
  </r>
  <r>
    <x v="0"/>
    <s v="VM"/>
    <x v="11"/>
    <x v="0"/>
    <x v="1"/>
    <n v="25156.537200000002"/>
    <n v="16762.187900000001"/>
    <n v="7.8951030144340102"/>
  </r>
  <r>
    <x v="0"/>
    <s v="VM"/>
    <x v="11"/>
    <x v="0"/>
    <x v="2"/>
    <n v="41386.729800000001"/>
    <n v="15131.4475"/>
    <n v="17.160153847482"/>
  </r>
  <r>
    <x v="0"/>
    <s v="VM"/>
    <x v="11"/>
    <x v="0"/>
    <x v="3"/>
    <n v="56887.653600000005"/>
    <n v="12624.618"/>
    <n v="31.878006982704999"/>
  </r>
  <r>
    <x v="0"/>
    <s v="VM"/>
    <x v="11"/>
    <x v="0"/>
    <x v="4"/>
    <n v="42695.7048"/>
    <n v="7957.8293000000003"/>
    <n v="24.904023355359602"/>
  </r>
  <r>
    <x v="0"/>
    <s v="VM"/>
    <x v="11"/>
    <x v="0"/>
    <x v="5"/>
    <n v="48318.438300000002"/>
    <n v="4167.7838000000002"/>
    <n v="23.4069502189476"/>
  </r>
  <r>
    <x v="0"/>
    <s v="VM"/>
    <x v="11"/>
    <x v="1"/>
    <x v="0"/>
    <n v="37796.102100000004"/>
    <n v="9979.6663000000008"/>
    <n v="16.970704725581601"/>
  </r>
  <r>
    <x v="0"/>
    <s v="VM"/>
    <x v="11"/>
    <x v="1"/>
    <x v="1"/>
    <n v="33313.251000000004"/>
    <n v="15039.186100000001"/>
    <n v="20.8830003370932"/>
  </r>
  <r>
    <x v="0"/>
    <s v="VM"/>
    <x v="11"/>
    <x v="1"/>
    <x v="2"/>
    <n v="26326.4493"/>
    <n v="8817.4732999999997"/>
    <n v="19.133132662713699"/>
  </r>
  <r>
    <x v="0"/>
    <s v="VM"/>
    <x v="11"/>
    <x v="1"/>
    <x v="3"/>
    <n v="19736.562300000001"/>
    <n v="5593.7467000000006"/>
    <n v="16.282692705948602"/>
  </r>
  <r>
    <x v="0"/>
    <s v="VM"/>
    <x v="11"/>
    <x v="1"/>
    <x v="4"/>
    <n v="14925.2724"/>
    <n v="5972.4048000000003"/>
    <n v="12.710901479675101"/>
  </r>
  <r>
    <x v="0"/>
    <s v="VM"/>
    <x v="11"/>
    <x v="1"/>
    <x v="5"/>
    <n v="29123.359200000003"/>
    <n v="5126.6749"/>
    <n v="12.0822168113042"/>
  </r>
  <r>
    <x v="0"/>
    <s v="VM"/>
    <x v="11"/>
    <x v="2"/>
    <x v="0"/>
    <n v="31948.569"/>
    <n v="11863.784300000001"/>
    <n v="8.6007725256937295"/>
  </r>
  <r>
    <x v="0"/>
    <s v="VM"/>
    <x v="11"/>
    <x v="2"/>
    <x v="1"/>
    <n v="24248.5131"/>
    <n v="18632.713599999999"/>
    <n v="0"/>
  </r>
  <r>
    <x v="0"/>
    <s v="VM"/>
    <x v="12"/>
    <x v="0"/>
    <x v="0"/>
    <n v="222722.4357"/>
    <n v="162143.2248"/>
    <n v="5.3004924640604703"/>
  </r>
  <r>
    <x v="0"/>
    <s v="VM"/>
    <x v="12"/>
    <x v="0"/>
    <x v="1"/>
    <n v="203686.88880000002"/>
    <n v="170507.3461"/>
    <n v="7.1721578069646901"/>
  </r>
  <r>
    <x v="0"/>
    <s v="VM"/>
    <x v="12"/>
    <x v="0"/>
    <x v="2"/>
    <n v="186258.14010000002"/>
    <n v="110743.43160000001"/>
    <n v="6.4789535773653197"/>
  </r>
  <r>
    <x v="0"/>
    <s v="VM"/>
    <x v="12"/>
    <x v="0"/>
    <x v="3"/>
    <n v="254764.758"/>
    <n v="152984.9878"/>
    <n v="6.2138278721767604"/>
  </r>
  <r>
    <x v="0"/>
    <s v="VM"/>
    <x v="12"/>
    <x v="0"/>
    <x v="4"/>
    <n v="247576.19280000002"/>
    <n v="197812.98200000002"/>
    <n v="8.1276374508167599"/>
  </r>
  <r>
    <x v="0"/>
    <s v="VM"/>
    <x v="12"/>
    <x v="0"/>
    <x v="5"/>
    <n v="272961.9192"/>
    <n v="128859.3707"/>
    <n v="10.6151141234792"/>
  </r>
  <r>
    <x v="0"/>
    <s v="VM"/>
    <x v="12"/>
    <x v="1"/>
    <x v="0"/>
    <n v="265670.97029999999"/>
    <n v="107096.8024"/>
    <n v="7.0080061580210904"/>
  </r>
  <r>
    <x v="0"/>
    <s v="VM"/>
    <x v="12"/>
    <x v="1"/>
    <x v="1"/>
    <n v="294630.11940000003"/>
    <n v="173008.1765"/>
    <n v="14.3430788381231"/>
  </r>
  <r>
    <x v="0"/>
    <s v="VM"/>
    <x v="12"/>
    <x v="1"/>
    <x v="2"/>
    <n v="258058.79940000002"/>
    <n v="105767.285"/>
    <n v="9.1550968811823399"/>
  </r>
  <r>
    <x v="0"/>
    <s v="VM"/>
    <x v="12"/>
    <x v="1"/>
    <x v="3"/>
    <n v="263433.51120000001"/>
    <n v="137845.96170000001"/>
    <n v="6.5168891577819803"/>
  </r>
  <r>
    <x v="0"/>
    <s v="VM"/>
    <x v="12"/>
    <x v="1"/>
    <x v="4"/>
    <n v="251637.6795"/>
    <n v="121755.61840000001"/>
    <n v="8.9388245810866707"/>
  </r>
  <r>
    <x v="0"/>
    <s v="VM"/>
    <x v="12"/>
    <x v="1"/>
    <x v="5"/>
    <n v="242340.27420000001"/>
    <n v="102411.75230000001"/>
    <n v="8.5035033314813706"/>
  </r>
  <r>
    <x v="0"/>
    <s v="VM"/>
    <x v="12"/>
    <x v="2"/>
    <x v="0"/>
    <n v="394894.04250000004"/>
    <n v="139655.18610000002"/>
    <n v="12.3057428491816"/>
  </r>
  <r>
    <x v="0"/>
    <s v="VM"/>
    <x v="12"/>
    <x v="2"/>
    <x v="1"/>
    <n v="297244.15409999999"/>
    <n v="151362.7561"/>
    <n v="0"/>
  </r>
  <r>
    <x v="0"/>
    <s v="VM"/>
    <x v="13"/>
    <x v="0"/>
    <x v="0"/>
    <n v="83791.15860000001"/>
    <n v="60413.303599999999"/>
    <n v="6.0664328574822903"/>
  </r>
  <r>
    <x v="0"/>
    <s v="VM"/>
    <x v="13"/>
    <x v="0"/>
    <x v="1"/>
    <n v="70407.296100000007"/>
    <n v="65887.431700000001"/>
    <n v="7.5500261359968599"/>
  </r>
  <r>
    <x v="0"/>
    <s v="VM"/>
    <x v="13"/>
    <x v="0"/>
    <x v="2"/>
    <n v="84460.377300000007"/>
    <n v="57110.505800000006"/>
    <n v="6.2993438884442101"/>
  </r>
  <r>
    <x v="0"/>
    <s v="VM"/>
    <x v="13"/>
    <x v="0"/>
    <x v="3"/>
    <n v="103112.34570000001"/>
    <n v="61114.576700000005"/>
    <n v="6.52492806254212"/>
  </r>
  <r>
    <x v="0"/>
    <s v="VM"/>
    <x v="13"/>
    <x v="0"/>
    <x v="4"/>
    <n v="116220.16560000001"/>
    <n v="27389.312300000001"/>
    <n v="14.113811432011"/>
  </r>
  <r>
    <x v="0"/>
    <s v="VM"/>
    <x v="13"/>
    <x v="0"/>
    <x v="5"/>
    <n v="126593.01360000001"/>
    <n v="36197.661800000002"/>
    <n v="12.436246278378"/>
  </r>
  <r>
    <x v="0"/>
    <s v="VM"/>
    <x v="13"/>
    <x v="1"/>
    <x v="0"/>
    <n v="120541.18740000001"/>
    <n v="55391.874600000003"/>
    <n v="13.213100791971801"/>
  </r>
  <r>
    <x v="0"/>
    <s v="VM"/>
    <x v="13"/>
    <x v="1"/>
    <x v="1"/>
    <n v="86720.0913"/>
    <n v="73670.565100000007"/>
    <n v="12.222677301041701"/>
  </r>
  <r>
    <x v="0"/>
    <s v="VM"/>
    <x v="13"/>
    <x v="1"/>
    <x v="2"/>
    <n v="115431.3861"/>
    <n v="45615.285800000005"/>
    <n v="7.3599880971060703"/>
  </r>
  <r>
    <x v="0"/>
    <s v="VM"/>
    <x v="13"/>
    <x v="1"/>
    <x v="3"/>
    <n v="156087.4614"/>
    <n v="105842.4957"/>
    <n v="15.143203789554901"/>
  </r>
  <r>
    <x v="0"/>
    <s v="VM"/>
    <x v="13"/>
    <x v="1"/>
    <x v="4"/>
    <n v="127291.50870000001"/>
    <n v="21003.118600000002"/>
    <n v="13.6207892387143"/>
  </r>
  <r>
    <x v="0"/>
    <s v="VM"/>
    <x v="13"/>
    <x v="1"/>
    <x v="5"/>
    <n v="130286.78760000001"/>
    <n v="19578.130499999999"/>
    <n v="9.0356074932028605"/>
  </r>
  <r>
    <x v="0"/>
    <s v="VM"/>
    <x v="13"/>
    <x v="2"/>
    <x v="0"/>
    <n v="148608.05730000001"/>
    <n v="66771.374800000005"/>
    <n v="12.4431722980567"/>
  </r>
  <r>
    <x v="0"/>
    <s v="VM"/>
    <x v="13"/>
    <x v="2"/>
    <x v="1"/>
    <n v="131886.27600000001"/>
    <n v="56101.225300000006"/>
    <n v="0"/>
  </r>
  <r>
    <x v="0"/>
    <s v="VM"/>
    <x v="14"/>
    <x v="0"/>
    <x v="5"/>
    <n v="107.58240000000001"/>
    <n v="2016.2833000000001"/>
    <n v="18.447821785715899"/>
  </r>
  <r>
    <x v="0"/>
    <s v="VM"/>
    <x v="14"/>
    <x v="1"/>
    <x v="0"/>
    <n v="161.37360000000001"/>
    <n v="-44.969799999999999"/>
    <n v="13.064614279424401"/>
  </r>
  <r>
    <x v="0"/>
    <s v="VM"/>
    <x v="14"/>
    <x v="1"/>
    <x v="1"/>
    <n v="80.686800000000005"/>
    <n v="35.781800000000004"/>
    <n v="11.717601152535501"/>
  </r>
  <r>
    <x v="0"/>
    <s v="VM"/>
    <x v="14"/>
    <x v="1"/>
    <x v="2"/>
    <n v="0"/>
    <n v="8.6306000000000012"/>
    <n v="0"/>
  </r>
  <r>
    <x v="0"/>
    <s v="VM"/>
    <x v="14"/>
    <x v="1"/>
    <x v="3"/>
    <n v="370.42830000000004"/>
    <n v="778.93349999999998"/>
    <n v="4.2318061804857399"/>
  </r>
  <r>
    <x v="0"/>
    <s v="VM"/>
    <x v="14"/>
    <x v="1"/>
    <x v="4"/>
    <n v="1697.9289000000001"/>
    <n v="15391.8313"/>
    <n v="4.3341339822959002"/>
  </r>
  <r>
    <x v="0"/>
    <s v="VM"/>
    <x v="14"/>
    <x v="1"/>
    <x v="5"/>
    <n v="7895.3187000000007"/>
    <n v="3603.2895000000003"/>
    <n v="10.347037174767701"/>
  </r>
  <r>
    <x v="0"/>
    <s v="VM"/>
    <x v="14"/>
    <x v="2"/>
    <x v="0"/>
    <n v="10367.826000000001"/>
    <n v="2861.8069"/>
    <n v="4.8122971899045197"/>
  </r>
  <r>
    <x v="0"/>
    <s v="VM"/>
    <x v="14"/>
    <x v="2"/>
    <x v="1"/>
    <n v="62062.545600000005"/>
    <n v="14899.4617"/>
    <n v="0"/>
  </r>
  <r>
    <x v="0"/>
    <s v="VM"/>
    <x v="8"/>
    <x v="0"/>
    <x v="10"/>
    <n v="49569.055800000002"/>
    <n v="23348.127"/>
    <n v="4.8207077662978701"/>
  </r>
  <r>
    <x v="0"/>
    <s v="VM"/>
    <x v="8"/>
    <x v="0"/>
    <x v="11"/>
    <n v="12195.8619"/>
    <n v="21822.231500000002"/>
    <n v="33.313959753156503"/>
  </r>
  <r>
    <x v="0"/>
    <s v="VM"/>
    <x v="8"/>
    <x v="1"/>
    <x v="6"/>
    <n v="5924.4999000000007"/>
    <n v="-448.70030000000003"/>
    <n v="26.259955539636401"/>
  </r>
  <r>
    <x v="0"/>
    <s v="VM"/>
    <x v="8"/>
    <x v="1"/>
    <x v="7"/>
    <n v="3576.8451"/>
    <n v="900.55670000000009"/>
    <n v="17.234126347224802"/>
  </r>
  <r>
    <x v="0"/>
    <s v="VM"/>
    <x v="8"/>
    <x v="1"/>
    <x v="8"/>
    <n v="2179.1295"/>
    <n v="166.62390000000002"/>
    <n v="7.2140935719907597"/>
  </r>
  <r>
    <x v="0"/>
    <s v="VM"/>
    <x v="8"/>
    <x v="1"/>
    <x v="9"/>
    <n v="11666.887200000001"/>
    <n v="2059.4261000000001"/>
    <n v="2.9619232806742701"/>
  </r>
  <r>
    <x v="0"/>
    <s v="VM"/>
    <x v="8"/>
    <x v="1"/>
    <x v="10"/>
    <n v="23721.351900000001"/>
    <n v="36413.514500000005"/>
    <n v="3.25811156643192"/>
  </r>
  <r>
    <x v="0"/>
    <s v="VM"/>
    <x v="8"/>
    <x v="1"/>
    <x v="11"/>
    <n v="14910.9876"/>
    <n v="10899.189200000001"/>
    <n v="-99.852371098378001"/>
  </r>
  <r>
    <x v="0"/>
    <s v="VM"/>
    <x v="8"/>
    <x v="2"/>
    <x v="6"/>
    <n v="6026.7906000000003"/>
    <n v="182.8347"/>
    <n v="-80.7093552857513"/>
  </r>
  <r>
    <x v="0"/>
    <s v="VM"/>
    <x v="8"/>
    <x v="2"/>
    <x v="7"/>
    <n v="5091.1455000000005"/>
    <n v="306.09219999999999"/>
    <n v="-79.171358365531901"/>
  </r>
  <r>
    <x v="0"/>
    <s v="VM"/>
    <x v="9"/>
    <x v="0"/>
    <x v="6"/>
    <n v="33025.890299999999"/>
    <n v="11239.054600000001"/>
    <n v="7.0216477779362396"/>
  </r>
  <r>
    <x v="0"/>
    <s v="VM"/>
    <x v="9"/>
    <x v="0"/>
    <x v="7"/>
    <n v="22278.754500000003"/>
    <n v="20329.2029"/>
    <n v="3.1835755547426499"/>
  </r>
  <r>
    <x v="0"/>
    <s v="VM"/>
    <x v="9"/>
    <x v="0"/>
    <x v="8"/>
    <n v="25311.521700000001"/>
    <n v="20429.6093"/>
    <n v="11.588719520927"/>
  </r>
  <r>
    <x v="0"/>
    <s v="VM"/>
    <x v="9"/>
    <x v="0"/>
    <x v="9"/>
    <n v="27353.308800000003"/>
    <n v="11412.065900000001"/>
    <n v="7.2139972960279497"/>
  </r>
  <r>
    <x v="0"/>
    <s v="VM"/>
    <x v="9"/>
    <x v="0"/>
    <x v="10"/>
    <n v="38072.953800000003"/>
    <n v="22758.223400000003"/>
    <n v="5.99015472670692"/>
  </r>
  <r>
    <x v="0"/>
    <s v="VM"/>
    <x v="9"/>
    <x v="0"/>
    <x v="11"/>
    <n v="30601.547700000003"/>
    <n v="21550.022400000002"/>
    <n v="8.9930676252081394"/>
  </r>
  <r>
    <x v="0"/>
    <s v="VM"/>
    <x v="9"/>
    <x v="1"/>
    <x v="6"/>
    <n v="35689.577700000002"/>
    <n v="13978.954600000001"/>
    <n v="7.2807643596663301"/>
  </r>
  <r>
    <x v="0"/>
    <s v="VM"/>
    <x v="9"/>
    <x v="1"/>
    <x v="7"/>
    <n v="33790.0527"/>
    <n v="23481.887900000002"/>
    <n v="9.7936444736834307"/>
  </r>
  <r>
    <x v="0"/>
    <s v="VM"/>
    <x v="9"/>
    <x v="1"/>
    <x v="8"/>
    <n v="25268.648700000002"/>
    <n v="5783.7553000000007"/>
    <n v="9.1421990758569507"/>
  </r>
  <r>
    <x v="0"/>
    <s v="VM"/>
    <x v="9"/>
    <x v="1"/>
    <x v="9"/>
    <n v="34808.979299999999"/>
    <n v="13796.8541"/>
    <n v="6.6919019189577496"/>
  </r>
  <r>
    <x v="0"/>
    <s v="VM"/>
    <x v="9"/>
    <x v="1"/>
    <x v="10"/>
    <n v="16982.041799999999"/>
    <n v="26816.338200000002"/>
    <n v="3.94531669321676"/>
  </r>
  <r>
    <x v="0"/>
    <s v="VM"/>
    <x v="9"/>
    <x v="1"/>
    <x v="11"/>
    <n v="16908.199800000002"/>
    <n v="15886.2399"/>
    <n v="5.8725009893657596"/>
  </r>
  <r>
    <x v="0"/>
    <s v="VM"/>
    <x v="9"/>
    <x v="2"/>
    <x v="6"/>
    <n v="54487.825800000006"/>
    <n v="14527.2361"/>
    <n v="10.1352837609465"/>
  </r>
  <r>
    <x v="0"/>
    <s v="VM"/>
    <x v="9"/>
    <x v="2"/>
    <x v="7"/>
    <n v="35491.8318"/>
    <n v="22021.747500000001"/>
    <n v="5.1037119735319898"/>
  </r>
  <r>
    <x v="0"/>
    <s v="VM"/>
    <x v="10"/>
    <x v="0"/>
    <x v="6"/>
    <n v="18907.783500000001"/>
    <n v="8419.0393000000004"/>
    <n v="7.4798906419485203"/>
  </r>
  <r>
    <x v="0"/>
    <s v="VM"/>
    <x v="10"/>
    <x v="0"/>
    <x v="7"/>
    <n v="6742.2861000000003"/>
    <n v="7945.7524000000003"/>
    <n v="3.06886722876565"/>
  </r>
  <r>
    <x v="0"/>
    <s v="VM"/>
    <x v="10"/>
    <x v="0"/>
    <x v="8"/>
    <n v="24428.4774"/>
    <n v="19598.346300000001"/>
    <n v="7.8840204683652404"/>
  </r>
  <r>
    <x v="0"/>
    <s v="VM"/>
    <x v="10"/>
    <x v="0"/>
    <x v="9"/>
    <n v="16102.4385"/>
    <n v="6594.3322000000007"/>
    <n v="13.7951160204817"/>
  </r>
  <r>
    <x v="0"/>
    <s v="VM"/>
    <x v="10"/>
    <x v="0"/>
    <x v="10"/>
    <n v="9104.7000000000007"/>
    <n v="7073.3529000000008"/>
    <n v="9.4742946703780504"/>
  </r>
  <r>
    <x v="0"/>
    <s v="VM"/>
    <x v="10"/>
    <x v="0"/>
    <x v="11"/>
    <n v="13673.2878"/>
    <n v="4584.4664000000002"/>
    <n v="6.3276101049807796"/>
  </r>
  <r>
    <x v="0"/>
    <s v="VM"/>
    <x v="10"/>
    <x v="1"/>
    <x v="6"/>
    <n v="23454.283800000001"/>
    <n v="9834.3621000000003"/>
    <n v="8.5430116228885193"/>
  </r>
  <r>
    <x v="0"/>
    <s v="VM"/>
    <x v="10"/>
    <x v="1"/>
    <x v="7"/>
    <n v="12045.769200000001"/>
    <n v="6970.0918000000001"/>
    <n v="6.35783421883764"/>
  </r>
  <r>
    <x v="0"/>
    <s v="VM"/>
    <x v="10"/>
    <x v="1"/>
    <x v="8"/>
    <n v="12126.8094"/>
    <n v="2843.5209"/>
    <n v="8.8050954638771302"/>
  </r>
  <r>
    <x v="0"/>
    <s v="VM"/>
    <x v="10"/>
    <x v="1"/>
    <x v="9"/>
    <n v="17685.828600000001"/>
    <n v="6850.8726999999999"/>
    <n v="14.196611535028801"/>
  </r>
  <r>
    <x v="0"/>
    <s v="VM"/>
    <x v="10"/>
    <x v="1"/>
    <x v="10"/>
    <n v="5335.7727000000004"/>
    <n v="5917.4964"/>
    <n v="5.8998855420492902"/>
  </r>
  <r>
    <x v="0"/>
    <s v="VM"/>
    <x v="10"/>
    <x v="1"/>
    <x v="11"/>
    <n v="9536.3873999999996"/>
    <n v="5984.7305999999999"/>
    <n v="9.2180163360968805"/>
  </r>
  <r>
    <x v="0"/>
    <s v="VM"/>
    <x v="10"/>
    <x v="2"/>
    <x v="6"/>
    <n v="8692.7565000000013"/>
    <n v="5469.6077000000005"/>
    <n v="4.1696568474592999"/>
  </r>
  <r>
    <x v="0"/>
    <s v="VM"/>
    <x v="10"/>
    <x v="2"/>
    <x v="7"/>
    <n v="10024.9908"/>
    <n v="8406.5054"/>
    <n v="5.9024333465314101"/>
  </r>
  <r>
    <x v="0"/>
    <s v="VM"/>
    <x v="11"/>
    <x v="0"/>
    <x v="6"/>
    <n v="29263.7706"/>
    <n v="6180.5249000000003"/>
    <n v="7.8481350315244098"/>
  </r>
  <r>
    <x v="0"/>
    <s v="VM"/>
    <x v="11"/>
    <x v="0"/>
    <x v="7"/>
    <n v="32124.459900000002"/>
    <n v="21666.285800000001"/>
    <n v="9.4118041687683895"/>
  </r>
  <r>
    <x v="0"/>
    <s v="VM"/>
    <x v="11"/>
    <x v="0"/>
    <x v="8"/>
    <n v="57045.762900000002"/>
    <n v="12505.5808"/>
    <n v="22.001056104683602"/>
  </r>
  <r>
    <x v="0"/>
    <s v="VM"/>
    <x v="11"/>
    <x v="0"/>
    <x v="9"/>
    <n v="50455.494600000005"/>
    <n v="8956.9364999999998"/>
    <n v="27.915486757307701"/>
  </r>
  <r>
    <x v="0"/>
    <s v="VM"/>
    <x v="11"/>
    <x v="0"/>
    <x v="10"/>
    <n v="45073.073100000001"/>
    <n v="11921.087600000001"/>
    <n v="27.608459463773801"/>
  </r>
  <r>
    <x v="0"/>
    <s v="VM"/>
    <x v="11"/>
    <x v="0"/>
    <x v="11"/>
    <n v="43611.782700000003"/>
    <n v="3894.8317000000002"/>
    <n v="22.585948415343701"/>
  </r>
  <r>
    <x v="0"/>
    <s v="VM"/>
    <x v="11"/>
    <x v="1"/>
    <x v="6"/>
    <n v="43103.500500000002"/>
    <n v="4979.6112000000003"/>
    <n v="18.992188955083101"/>
  </r>
  <r>
    <x v="0"/>
    <s v="VM"/>
    <x v="11"/>
    <x v="1"/>
    <x v="7"/>
    <n v="33070.437300000005"/>
    <n v="7768.2907000000005"/>
    <n v="14.4772208970055"/>
  </r>
  <r>
    <x v="0"/>
    <s v="VM"/>
    <x v="11"/>
    <x v="1"/>
    <x v="8"/>
    <n v="36012.036599999999"/>
    <n v="6641.3392000000003"/>
    <n v="24.468709964521899"/>
  </r>
  <r>
    <x v="0"/>
    <s v="VM"/>
    <x v="11"/>
    <x v="1"/>
    <x v="9"/>
    <n v="18358.376700000001"/>
    <n v="7013.2766000000001"/>
    <n v="13.6941519925976"/>
  </r>
  <r>
    <x v="0"/>
    <s v="VM"/>
    <x v="11"/>
    <x v="1"/>
    <x v="10"/>
    <n v="21200.028900000001"/>
    <n v="6126.4956000000002"/>
    <n v="17.206319056222199"/>
  </r>
  <r>
    <x v="0"/>
    <s v="VM"/>
    <x v="11"/>
    <x v="1"/>
    <x v="11"/>
    <n v="25832.517"/>
    <n v="3604.6466"/>
    <n v="13.663320882611501"/>
  </r>
  <r>
    <x v="0"/>
    <s v="VM"/>
    <x v="11"/>
    <x v="2"/>
    <x v="6"/>
    <n v="30639.054600000003"/>
    <n v="6478.8681999999999"/>
    <n v="9.8606794063533503"/>
  </r>
  <r>
    <x v="0"/>
    <s v="VM"/>
    <x v="11"/>
    <x v="2"/>
    <x v="7"/>
    <n v="30153.752700000001"/>
    <n v="13312.507900000001"/>
    <n v="6.9587897604995099"/>
  </r>
  <r>
    <x v="0"/>
    <s v="VM"/>
    <x v="12"/>
    <x v="0"/>
    <x v="6"/>
    <n v="259841.30250000002"/>
    <n v="135179.28169999999"/>
    <n v="6.5950103765316399"/>
  </r>
  <r>
    <x v="0"/>
    <s v="VM"/>
    <x v="12"/>
    <x v="0"/>
    <x v="7"/>
    <n v="231245.94150000002"/>
    <n v="183050.03690000001"/>
    <n v="6.3134364713192896"/>
  </r>
  <r>
    <x v="0"/>
    <s v="VM"/>
    <x v="12"/>
    <x v="0"/>
    <x v="8"/>
    <n v="197273.28330000001"/>
    <n v="129716.514"/>
    <n v="7.7218652622740596"/>
  </r>
  <r>
    <x v="0"/>
    <s v="VM"/>
    <x v="12"/>
    <x v="0"/>
    <x v="9"/>
    <n v="218188.1091"/>
    <n v="108735.5386"/>
    <n v="5.9816731542068498"/>
  </r>
  <r>
    <x v="0"/>
    <s v="VM"/>
    <x v="12"/>
    <x v="0"/>
    <x v="10"/>
    <n v="273810.53490000003"/>
    <n v="166722.89790000001"/>
    <n v="6.7594260801492796"/>
  </r>
  <r>
    <x v="0"/>
    <s v="VM"/>
    <x v="12"/>
    <x v="0"/>
    <x v="11"/>
    <n v="268071.42120000004"/>
    <n v="132872.25020000001"/>
    <n v="10.4785999585549"/>
  </r>
  <r>
    <x v="0"/>
    <s v="VM"/>
    <x v="12"/>
    <x v="1"/>
    <x v="6"/>
    <n v="249298.79460000002"/>
    <n v="92423.202000000005"/>
    <n v="8.2017670447380002"/>
  </r>
  <r>
    <x v="0"/>
    <s v="VM"/>
    <x v="12"/>
    <x v="1"/>
    <x v="7"/>
    <n v="285493.65990000003"/>
    <n v="156715.8058"/>
    <n v="11.209771907920301"/>
  </r>
  <r>
    <x v="0"/>
    <s v="VM"/>
    <x v="12"/>
    <x v="1"/>
    <x v="8"/>
    <n v="263450.32560000004"/>
    <n v="48292.811500000003"/>
    <n v="10.576906417854101"/>
  </r>
  <r>
    <x v="0"/>
    <s v="VM"/>
    <x v="12"/>
    <x v="1"/>
    <x v="9"/>
    <n v="296590.58730000001"/>
    <n v="94308.955400000006"/>
    <n v="7.7017544379831602"/>
  </r>
  <r>
    <x v="0"/>
    <s v="VM"/>
    <x v="12"/>
    <x v="1"/>
    <x v="10"/>
    <n v="200237.19330000001"/>
    <n v="200661.7181"/>
    <n v="6.6953164470537203"/>
  </r>
  <r>
    <x v="0"/>
    <s v="VM"/>
    <x v="12"/>
    <x v="1"/>
    <x v="11"/>
    <n v="259362.66870000001"/>
    <n v="140887.76140000002"/>
    <n v="10.174354720579901"/>
  </r>
  <r>
    <x v="0"/>
    <s v="VM"/>
    <x v="12"/>
    <x v="2"/>
    <x v="6"/>
    <n v="339116.44620000001"/>
    <n v="105819.1021"/>
    <n v="11.053776262600699"/>
  </r>
  <r>
    <x v="0"/>
    <s v="VM"/>
    <x v="12"/>
    <x v="2"/>
    <x v="7"/>
    <n v="399707.60159999999"/>
    <n v="113086.7629"/>
    <n v="11.3551228265458"/>
  </r>
  <r>
    <x v="0"/>
    <s v="VM"/>
    <x v="13"/>
    <x v="0"/>
    <x v="6"/>
    <n v="105398.2206"/>
    <n v="54916.886600000005"/>
    <n v="7.7100683696562697"/>
  </r>
  <r>
    <x v="0"/>
    <s v="VM"/>
    <x v="13"/>
    <x v="0"/>
    <x v="7"/>
    <n v="74827.176900000006"/>
    <n v="56724.7111"/>
    <n v="5.7110880070259702"/>
  </r>
  <r>
    <x v="0"/>
    <s v="VM"/>
    <x v="13"/>
    <x v="0"/>
    <x v="8"/>
    <n v="60160.928100000005"/>
    <n v="27242.031800000001"/>
    <n v="4.5340436351353999"/>
  </r>
  <r>
    <x v="0"/>
    <s v="VM"/>
    <x v="13"/>
    <x v="0"/>
    <x v="9"/>
    <n v="102883.1937"/>
    <n v="56044.317900000002"/>
    <n v="6.3193859952586298"/>
  </r>
  <r>
    <x v="0"/>
    <s v="VM"/>
    <x v="13"/>
    <x v="0"/>
    <x v="10"/>
    <n v="83749.475999999995"/>
    <n v="88940.427200000006"/>
    <n v="12.2642302575466"/>
  </r>
  <r>
    <x v="0"/>
    <s v="VM"/>
    <x v="13"/>
    <x v="0"/>
    <x v="11"/>
    <n v="128844.1251"/>
    <n v="25514.4503"/>
    <n v="12.774447144816401"/>
  </r>
  <r>
    <x v="0"/>
    <s v="VM"/>
    <x v="13"/>
    <x v="1"/>
    <x v="6"/>
    <n v="114898.7844"/>
    <n v="38871.939400000003"/>
    <n v="9.9581941248065693"/>
  </r>
  <r>
    <x v="0"/>
    <s v="VM"/>
    <x v="13"/>
    <x v="1"/>
    <x v="7"/>
    <n v="113849.1771"/>
    <n v="36237.391500000005"/>
    <n v="11.6982447833309"/>
  </r>
  <r>
    <x v="0"/>
    <s v="VM"/>
    <x v="13"/>
    <x v="1"/>
    <x v="8"/>
    <n v="122002.42200000001"/>
    <n v="7311.7931000000008"/>
    <n v="10.0737606233523"/>
  </r>
  <r>
    <x v="0"/>
    <s v="VM"/>
    <x v="13"/>
    <x v="1"/>
    <x v="9"/>
    <n v="159174.01980000001"/>
    <n v="40111.205399999999"/>
    <n v="6.91865761164589"/>
  </r>
  <r>
    <x v="0"/>
    <s v="VM"/>
    <x v="13"/>
    <x v="1"/>
    <x v="10"/>
    <n v="129233.8509"/>
    <n v="87573.70670000001"/>
    <n v="16.628720045097602"/>
  </r>
  <r>
    <x v="0"/>
    <s v="VM"/>
    <x v="13"/>
    <x v="1"/>
    <x v="11"/>
    <n v="131735.2347"/>
    <n v="37297.209000000003"/>
    <n v="12.008857606897701"/>
  </r>
  <r>
    <x v="0"/>
    <s v="VM"/>
    <x v="13"/>
    <x v="2"/>
    <x v="6"/>
    <n v="174117.4644"/>
    <n v="59223.590500000006"/>
    <n v="13.5805593575868"/>
  </r>
  <r>
    <x v="0"/>
    <s v="VM"/>
    <x v="13"/>
    <x v="2"/>
    <x v="7"/>
    <n v="135075.2181"/>
    <n v="42365.7448"/>
    <n v="10.353132836654801"/>
  </r>
  <r>
    <x v="0"/>
    <s v="VM"/>
    <x v="14"/>
    <x v="0"/>
    <x v="11"/>
    <n v="179.304"/>
    <n v="7821.5540000000001"/>
    <n v="0.38239031191698103"/>
  </r>
  <r>
    <x v="0"/>
    <s v="VM"/>
    <x v="14"/>
    <x v="1"/>
    <x v="6"/>
    <n v="80.686800000000005"/>
    <n v="23.2941"/>
    <n v="13.801986163403999"/>
  </r>
  <r>
    <x v="0"/>
    <s v="VM"/>
    <x v="14"/>
    <x v="1"/>
    <x v="7"/>
    <n v="26.895600000000002"/>
    <n v="80.4816"/>
    <n v="3.2321202398985003"/>
  </r>
  <r>
    <x v="0"/>
    <s v="VM"/>
    <x v="14"/>
    <x v="1"/>
    <x v="8"/>
    <n v="17.930400000000002"/>
    <n v="44.779800000000002"/>
    <n v="5.3629359885597001"/>
  </r>
  <r>
    <x v="0"/>
    <s v="VM"/>
    <x v="14"/>
    <x v="1"/>
    <x v="9"/>
    <n v="617.38049999999998"/>
    <n v="37.621400000000001"/>
    <n v="3.4081678988000901"/>
  </r>
  <r>
    <x v="0"/>
    <s v="VM"/>
    <x v="14"/>
    <x v="1"/>
    <x v="10"/>
    <n v="886.12260000000003"/>
    <n v="376.39760000000001"/>
    <n v="0.24755515479175"/>
  </r>
  <r>
    <x v="0"/>
    <s v="VM"/>
    <x v="14"/>
    <x v="1"/>
    <x v="11"/>
    <n v="4719.8616000000002"/>
    <n v="1669.3255000000001"/>
    <n v="7.4128604159674003"/>
  </r>
  <r>
    <x v="0"/>
    <s v="VM"/>
    <x v="14"/>
    <x v="2"/>
    <x v="6"/>
    <n v="6117.3912"/>
    <n v="1542.3949"/>
    <n v="5.9291711107382898"/>
  </r>
  <r>
    <x v="0"/>
    <s v="VM"/>
    <x v="14"/>
    <x v="2"/>
    <x v="7"/>
    <n v="17586.076800000003"/>
    <n v="8592.720800000001"/>
    <n v="5.07535988632395"/>
  </r>
  <r>
    <x v="1"/>
    <s v="VM"/>
    <x v="0"/>
    <x v="0"/>
    <x v="8"/>
    <n v="10057.9686"/>
    <n v="9542.5773000000008"/>
    <n v="16.435827378083999"/>
  </r>
  <r>
    <x v="1"/>
    <s v="VM"/>
    <x v="0"/>
    <x v="0"/>
    <x v="2"/>
    <n v="5517.2714999999998"/>
    <n v="5272.9275000000007"/>
    <n v="15.007551059752501"/>
  </r>
  <r>
    <x v="1"/>
    <s v="VM"/>
    <x v="0"/>
    <x v="0"/>
    <x v="3"/>
    <n v="2612.5745999999999"/>
    <n v="1523.5705"/>
    <n v="9.6263723478040006"/>
  </r>
  <r>
    <x v="1"/>
    <s v="VM"/>
    <x v="0"/>
    <x v="0"/>
    <x v="10"/>
    <n v="1444.6248000000001"/>
    <n v="1591.0193000000002"/>
    <n v="9.3738556719703805"/>
  </r>
  <r>
    <x v="1"/>
    <s v="VM"/>
    <x v="0"/>
    <x v="0"/>
    <x v="4"/>
    <n v="406.1961"/>
    <n v="917.07260000000008"/>
    <n v="3.9902150770015199"/>
  </r>
  <r>
    <x v="1"/>
    <s v="VM"/>
    <x v="0"/>
    <x v="0"/>
    <x v="11"/>
    <n v="292.84770000000003"/>
    <n v="437.73160000000001"/>
    <n v="2.5230498757354298"/>
  </r>
  <r>
    <x v="1"/>
    <s v="VM"/>
    <x v="0"/>
    <x v="1"/>
    <x v="6"/>
    <n v="5781.5682000000006"/>
    <n v="3015.6205"/>
    <n v="6.8474857642169598"/>
  </r>
  <r>
    <x v="1"/>
    <s v="VM"/>
    <x v="0"/>
    <x v="1"/>
    <x v="8"/>
    <n v="1352.0433"/>
    <n v="2210.7485999999999"/>
    <n v="7.1307120510989899"/>
  </r>
  <r>
    <x v="1"/>
    <s v="VM"/>
    <x v="0"/>
    <x v="1"/>
    <x v="9"/>
    <n v="664.26179999999999"/>
    <n v="969.70990000000006"/>
    <n v="2.7323439919584902"/>
  </r>
  <r>
    <x v="1"/>
    <s v="VM"/>
    <x v="0"/>
    <x v="1"/>
    <x v="3"/>
    <n v="640.49099999999999"/>
    <n v="1045.3756000000001"/>
    <n v="1.7461673049789399"/>
  </r>
  <r>
    <x v="1"/>
    <s v="VM"/>
    <x v="0"/>
    <x v="1"/>
    <x v="11"/>
    <n v="127.08450000000001"/>
    <n v="300.18029999999999"/>
    <n v="4.5908014088653903"/>
  </r>
  <r>
    <x v="1"/>
    <s v="VM"/>
    <x v="0"/>
    <x v="1"/>
    <x v="5"/>
    <n v="4978.1319000000003"/>
    <n v="40.2836"/>
    <n v="9.0649403271785491"/>
  </r>
  <r>
    <x v="1"/>
    <s v="VM"/>
    <x v="0"/>
    <x v="2"/>
    <x v="1"/>
    <n v="1723.5039000000002"/>
    <n v="4843.3531000000003"/>
    <n v="0"/>
  </r>
  <r>
    <x v="1"/>
    <s v="VM"/>
    <x v="1"/>
    <x v="0"/>
    <x v="8"/>
    <n v="27302.047200000001"/>
    <n v="13021.237999999999"/>
    <n v="7.7291108489155196"/>
  </r>
  <r>
    <x v="1"/>
    <s v="VM"/>
    <x v="1"/>
    <x v="0"/>
    <x v="2"/>
    <n v="25487.394"/>
    <n v="15041.4943"/>
    <n v="7.0812156139111204"/>
  </r>
  <r>
    <x v="1"/>
    <s v="VM"/>
    <x v="1"/>
    <x v="0"/>
    <x v="9"/>
    <n v="40579.173600000002"/>
    <n v="15374.357900000001"/>
    <n v="18.0222256159667"/>
  </r>
  <r>
    <x v="1"/>
    <s v="VM"/>
    <x v="1"/>
    <x v="0"/>
    <x v="10"/>
    <n v="31303.818600000002"/>
    <n v="10024.2037"/>
    <n v="19.253002868357701"/>
  </r>
  <r>
    <x v="1"/>
    <s v="VM"/>
    <x v="1"/>
    <x v="0"/>
    <x v="5"/>
    <n v="26934.288"/>
    <n v="6865.2455"/>
    <n v="14.495502040300201"/>
  </r>
  <r>
    <x v="1"/>
    <s v="VM"/>
    <x v="1"/>
    <x v="1"/>
    <x v="6"/>
    <n v="31789.278600000001"/>
    <n v="6480.0633000000007"/>
    <n v="14.7974510253357"/>
  </r>
  <r>
    <x v="1"/>
    <s v="VM"/>
    <x v="1"/>
    <x v="1"/>
    <x v="0"/>
    <n v="27171.103200000001"/>
    <n v="9115.0416000000005"/>
    <n v="14.301415058767999"/>
  </r>
  <r>
    <x v="1"/>
    <s v="VM"/>
    <x v="1"/>
    <x v="1"/>
    <x v="7"/>
    <n v="16260.7245"/>
    <n v="5721.9945000000007"/>
    <n v="5.4739169803736401"/>
  </r>
  <r>
    <x v="1"/>
    <s v="VM"/>
    <x v="1"/>
    <x v="1"/>
    <x v="9"/>
    <n v="33866.684700000005"/>
    <n v="21331.845300000001"/>
    <n v="3.3120401110556901"/>
  </r>
  <r>
    <x v="1"/>
    <s v="VM"/>
    <x v="1"/>
    <x v="1"/>
    <x v="10"/>
    <n v="68794.806299999997"/>
    <n v="73121.27410000001"/>
    <n v="3.2055422293295299"/>
  </r>
  <r>
    <x v="1"/>
    <s v="VM"/>
    <x v="0"/>
    <x v="0"/>
    <x v="6"/>
    <n v="23595.578700000002"/>
    <n v="3404.3931000000002"/>
    <n v="9.5375092130015098"/>
  </r>
  <r>
    <x v="1"/>
    <s v="VM"/>
    <x v="0"/>
    <x v="0"/>
    <x v="0"/>
    <n v="18004.279200000001"/>
    <n v="8783.3006000000005"/>
    <n v="6.4827175250417399"/>
  </r>
  <r>
    <x v="1"/>
    <s v="VM"/>
    <x v="0"/>
    <x v="0"/>
    <x v="7"/>
    <n v="16186.770900000001"/>
    <n v="12409.041300000001"/>
    <n v="6.62697536859356"/>
  </r>
  <r>
    <x v="1"/>
    <s v="VM"/>
    <x v="0"/>
    <x v="0"/>
    <x v="1"/>
    <n v="10902.7155"/>
    <n v="11022.737800000001"/>
    <n v="5.4091740328309097"/>
  </r>
  <r>
    <x v="1"/>
    <s v="VM"/>
    <x v="0"/>
    <x v="0"/>
    <x v="9"/>
    <n v="3747.9651000000003"/>
    <n v="1953.1986000000002"/>
    <n v="11.5697908213592"/>
  </r>
  <r>
    <x v="1"/>
    <s v="VM"/>
    <x v="0"/>
    <x v="0"/>
    <x v="5"/>
    <n v="4429.4225999999999"/>
    <n v="499.09640000000002"/>
    <n v="5.6217703361193596"/>
  </r>
  <r>
    <x v="1"/>
    <s v="VM"/>
    <x v="0"/>
    <x v="1"/>
    <x v="0"/>
    <n v="1447.3589999999999"/>
    <n v="4599.3989000000001"/>
    <n v="3.1189495854877101"/>
  </r>
  <r>
    <x v="1"/>
    <s v="VM"/>
    <x v="0"/>
    <x v="1"/>
    <x v="7"/>
    <n v="1953.5766000000001"/>
    <n v="1995.4294"/>
    <n v="2.42943163410941"/>
  </r>
  <r>
    <x v="1"/>
    <s v="VM"/>
    <x v="0"/>
    <x v="1"/>
    <x v="1"/>
    <n v="536.57280000000003"/>
    <n v="3457.7550000000001"/>
    <n v="1.04365690427215"/>
  </r>
  <r>
    <x v="1"/>
    <s v="VM"/>
    <x v="0"/>
    <x v="1"/>
    <x v="2"/>
    <n v="873.87450000000001"/>
    <n v="713.67830000000004"/>
    <n v="3.87503556476014"/>
  </r>
  <r>
    <x v="1"/>
    <s v="VM"/>
    <x v="0"/>
    <x v="1"/>
    <x v="10"/>
    <n v="825.42150000000004"/>
    <n v="1577.2322000000001"/>
    <n v="2.4281333074920801"/>
  </r>
  <r>
    <x v="1"/>
    <s v="VM"/>
    <x v="0"/>
    <x v="1"/>
    <x v="4"/>
    <n v="112.7625"/>
    <n v="1461.7453"/>
    <n v="1.6152917096824799"/>
  </r>
  <r>
    <x v="1"/>
    <s v="VM"/>
    <x v="0"/>
    <x v="2"/>
    <x v="6"/>
    <n v="9135.7340999999997"/>
    <n v="1283.5009"/>
    <n v="10.5292631235166"/>
  </r>
  <r>
    <x v="1"/>
    <s v="VM"/>
    <x v="0"/>
    <x v="2"/>
    <x v="0"/>
    <n v="6259.2906000000003"/>
    <n v="3298.4309000000003"/>
    <n v="6.60390973352738"/>
  </r>
  <r>
    <x v="1"/>
    <s v="VM"/>
    <x v="0"/>
    <x v="2"/>
    <x v="7"/>
    <n v="3991.1322"/>
    <n v="3664.2561000000001"/>
    <n v="3.5433857713161601"/>
  </r>
  <r>
    <x v="1"/>
    <s v="VM"/>
    <x v="1"/>
    <x v="0"/>
    <x v="6"/>
    <n v="22826.942999999999"/>
    <n v="4063.7503000000002"/>
    <n v="15.7260300372361"/>
  </r>
  <r>
    <x v="1"/>
    <s v="VM"/>
    <x v="1"/>
    <x v="0"/>
    <x v="0"/>
    <n v="17716.1466"/>
    <n v="5843.3656000000001"/>
    <n v="11.6679461714777"/>
  </r>
  <r>
    <x v="1"/>
    <s v="VM"/>
    <x v="1"/>
    <x v="0"/>
    <x v="7"/>
    <n v="21170.9385"/>
    <n v="4209.6647000000003"/>
    <n v="9.7245091021309005"/>
  </r>
  <r>
    <x v="1"/>
    <s v="VM"/>
    <x v="1"/>
    <x v="0"/>
    <x v="1"/>
    <n v="23073.021000000001"/>
    <n v="4216.143"/>
    <n v="7.1735620303363099"/>
  </r>
  <r>
    <x v="1"/>
    <s v="VM"/>
    <x v="1"/>
    <x v="0"/>
    <x v="3"/>
    <n v="37309.163400000005"/>
    <n v="15635.628900000002"/>
    <n v="21.657115386066902"/>
  </r>
  <r>
    <x v="1"/>
    <s v="VM"/>
    <x v="1"/>
    <x v="0"/>
    <x v="4"/>
    <n v="25127.288700000001"/>
    <n v="5878.7579000000005"/>
    <n v="14.812529609299901"/>
  </r>
  <r>
    <x v="1"/>
    <s v="VM"/>
    <x v="1"/>
    <x v="0"/>
    <x v="11"/>
    <n v="23564.805"/>
    <n v="7727.8434000000007"/>
    <n v="13.7299824091058"/>
  </r>
  <r>
    <x v="1"/>
    <s v="VM"/>
    <x v="1"/>
    <x v="1"/>
    <x v="1"/>
    <n v="15084.293100000001"/>
    <n v="15138.7528"/>
    <n v="9.4511200364836707"/>
  </r>
  <r>
    <x v="1"/>
    <s v="VM"/>
    <x v="1"/>
    <x v="1"/>
    <x v="8"/>
    <n v="18384.1005"/>
    <n v="4109.7269999999999"/>
    <n v="6.6447084941123196"/>
  </r>
  <r>
    <x v="1"/>
    <s v="VM"/>
    <x v="1"/>
    <x v="1"/>
    <x v="2"/>
    <n v="24793.660500000002"/>
    <n v="6752.2496000000001"/>
    <n v="4.6385530913648099"/>
  </r>
  <r>
    <x v="1"/>
    <s v="VM"/>
    <x v="1"/>
    <x v="1"/>
    <x v="3"/>
    <n v="51464.9352"/>
    <n v="43968.895100000002"/>
    <n v="3.02646834432006"/>
  </r>
  <r>
    <x v="1"/>
    <s v="VM"/>
    <x v="1"/>
    <x v="1"/>
    <x v="4"/>
    <n v="42054.107100000001"/>
    <n v="92283.191400000011"/>
    <n v="2.8973504001055801"/>
  </r>
  <r>
    <x v="1"/>
    <s v="VM"/>
    <x v="1"/>
    <x v="2"/>
    <x v="0"/>
    <n v="90051.416400000002"/>
    <n v="35741.683499999999"/>
    <n v="8.7233812126912902"/>
  </r>
  <r>
    <x v="1"/>
    <s v="VM"/>
    <x v="1"/>
    <x v="2"/>
    <x v="7"/>
    <n v="96581.699699999997"/>
    <n v="25939.287500000002"/>
    <n v="6.6636014631355005"/>
  </r>
  <r>
    <x v="1"/>
    <s v="VM"/>
    <x v="2"/>
    <x v="0"/>
    <x v="0"/>
    <n v="139755.61980000001"/>
    <n v="84333.507700000002"/>
    <n v="6.26931523047877"/>
  </r>
  <r>
    <x v="1"/>
    <s v="VM"/>
    <x v="2"/>
    <x v="0"/>
    <x v="7"/>
    <n v="105879.6165"/>
    <n v="97894.534400000004"/>
    <n v="5.28138504137533"/>
  </r>
  <r>
    <x v="1"/>
    <s v="VM"/>
    <x v="2"/>
    <x v="0"/>
    <x v="1"/>
    <n v="86532.8079"/>
    <n v="91403.684099999999"/>
    <n v="5.3457984515861297"/>
  </r>
  <r>
    <x v="1"/>
    <s v="VM"/>
    <x v="2"/>
    <x v="0"/>
    <x v="8"/>
    <n v="131551.15050000002"/>
    <n v="63427.204100000003"/>
    <n v="6.3784473729189104"/>
  </r>
  <r>
    <x v="1"/>
    <s v="VM"/>
    <x v="2"/>
    <x v="0"/>
    <x v="10"/>
    <n v="98604.012600000002"/>
    <n v="75139.635699999999"/>
    <n v="11.291927457878201"/>
  </r>
  <r>
    <x v="1"/>
    <s v="VM"/>
    <x v="2"/>
    <x v="0"/>
    <x v="11"/>
    <n v="118139.31360000001"/>
    <n v="21127.4944"/>
    <n v="8.3500175607852398"/>
  </r>
  <r>
    <x v="1"/>
    <s v="VM"/>
    <x v="2"/>
    <x v="0"/>
    <x v="5"/>
    <n v="133806.35399999999"/>
    <n v="73508.944400000008"/>
    <n v="7.3088215422767497"/>
  </r>
  <r>
    <x v="1"/>
    <s v="VM"/>
    <x v="1"/>
    <x v="1"/>
    <x v="11"/>
    <n v="148560.432"/>
    <n v="62413.113900000004"/>
    <n v="10.9940665195583"/>
  </r>
  <r>
    <x v="1"/>
    <s v="VM"/>
    <x v="1"/>
    <x v="1"/>
    <x v="5"/>
    <n v="54483.110700000005"/>
    <n v="116375.0613"/>
    <n v="9.6701531709381001"/>
  </r>
  <r>
    <x v="1"/>
    <s v="VM"/>
    <x v="1"/>
    <x v="2"/>
    <x v="6"/>
    <n v="72195.583800000008"/>
    <n v="12285.8433"/>
    <n v="9.3254499502081494"/>
  </r>
  <r>
    <x v="1"/>
    <s v="VM"/>
    <x v="1"/>
    <x v="2"/>
    <x v="1"/>
    <n v="63790.4205"/>
    <n v="62323.851600000002"/>
    <n v="0"/>
  </r>
  <r>
    <x v="1"/>
    <s v="VM"/>
    <x v="2"/>
    <x v="0"/>
    <x v="6"/>
    <n v="169862.6214"/>
    <n v="65601.189200000008"/>
    <n v="8.0568510965817506"/>
  </r>
  <r>
    <x v="1"/>
    <s v="VM"/>
    <x v="2"/>
    <x v="0"/>
    <x v="2"/>
    <n v="114140.7228"/>
    <n v="95003.1014"/>
    <n v="6.8580576084276696"/>
  </r>
  <r>
    <x v="1"/>
    <s v="VM"/>
    <x v="2"/>
    <x v="0"/>
    <x v="9"/>
    <n v="114445.2699"/>
    <n v="75612.504400000005"/>
    <n v="7.1430705016047904"/>
  </r>
  <r>
    <x v="1"/>
    <s v="VM"/>
    <x v="2"/>
    <x v="0"/>
    <x v="3"/>
    <n v="111388.5273"/>
    <n v="64764.506700000005"/>
    <n v="9.5751251643924196"/>
  </r>
  <r>
    <x v="1"/>
    <s v="VM"/>
    <x v="2"/>
    <x v="0"/>
    <x v="4"/>
    <n v="99395.944800000012"/>
    <n v="31457.740100000003"/>
    <n v="9.03190507329845"/>
  </r>
  <r>
    <x v="1"/>
    <s v="VM"/>
    <x v="2"/>
    <x v="1"/>
    <x v="7"/>
    <n v="170485.7493"/>
    <n v="75779.064700000003"/>
    <n v="4.6138517170935103"/>
  </r>
  <r>
    <x v="1"/>
    <s v="VM"/>
    <x v="2"/>
    <x v="1"/>
    <x v="8"/>
    <n v="259628.2488"/>
    <n v="39043.991900000001"/>
    <n v="8.1386138637228491"/>
  </r>
  <r>
    <x v="1"/>
    <s v="VM"/>
    <x v="2"/>
    <x v="1"/>
    <x v="2"/>
    <n v="248033.33430000002"/>
    <n v="161472.14350000001"/>
    <n v="9.0094139342433106"/>
  </r>
  <r>
    <x v="1"/>
    <s v="VM"/>
    <x v="2"/>
    <x v="1"/>
    <x v="10"/>
    <n v="303256.32510000002"/>
    <n v="116812.10550000001"/>
    <n v="17.395323446956702"/>
  </r>
  <r>
    <x v="1"/>
    <s v="VM"/>
    <x v="2"/>
    <x v="2"/>
    <x v="0"/>
    <n v="286721.39010000002"/>
    <n v="157330.78470000002"/>
    <n v="8.7173108254511291"/>
  </r>
  <r>
    <x v="1"/>
    <s v="VM"/>
    <x v="3"/>
    <x v="0"/>
    <x v="6"/>
    <n v="31393.219500000003"/>
    <n v="16557.491099999999"/>
    <n v="3.9149234152498398"/>
  </r>
  <r>
    <x v="1"/>
    <s v="VM"/>
    <x v="3"/>
    <x v="0"/>
    <x v="7"/>
    <n v="53043.321900000003"/>
    <n v="43599.6178"/>
    <n v="5.5368623890305804"/>
  </r>
  <r>
    <x v="1"/>
    <s v="VM"/>
    <x v="3"/>
    <x v="0"/>
    <x v="1"/>
    <n v="54075.8079"/>
    <n v="45124.168100000003"/>
    <n v="8.1994973693063997"/>
  </r>
  <r>
    <x v="1"/>
    <s v="VM"/>
    <x v="3"/>
    <x v="0"/>
    <x v="8"/>
    <n v="42582.607500000006"/>
    <n v="27531.244900000002"/>
    <n v="10.189471083750099"/>
  </r>
  <r>
    <x v="1"/>
    <s v="VM"/>
    <x v="3"/>
    <x v="0"/>
    <x v="2"/>
    <n v="19959.855299999999"/>
    <n v="29270.8547"/>
    <n v="8.8310633492564605"/>
  </r>
  <r>
    <x v="1"/>
    <s v="VM"/>
    <x v="3"/>
    <x v="0"/>
    <x v="9"/>
    <n v="22612.094400000002"/>
    <n v="9871.9001000000007"/>
    <n v="8.2311277134682594"/>
  </r>
  <r>
    <x v="1"/>
    <s v="VM"/>
    <x v="3"/>
    <x v="0"/>
    <x v="3"/>
    <n v="19321.001100000001"/>
    <n v="9305.8419000000013"/>
    <n v="6.99484013281287"/>
  </r>
  <r>
    <x v="1"/>
    <s v="VM"/>
    <x v="3"/>
    <x v="0"/>
    <x v="10"/>
    <n v="12773.7081"/>
    <n v="14554.827500000001"/>
    <n v="9.0433452274674195"/>
  </r>
  <r>
    <x v="1"/>
    <s v="VM"/>
    <x v="3"/>
    <x v="0"/>
    <x v="11"/>
    <n v="11818.8771"/>
    <n v="4037.6971000000003"/>
    <n v="4.5216925184593801"/>
  </r>
  <r>
    <x v="1"/>
    <s v="VM"/>
    <x v="3"/>
    <x v="1"/>
    <x v="1"/>
    <n v="52886.7192"/>
    <n v="69912.702300000004"/>
    <n v="7.4387899503285402"/>
  </r>
  <r>
    <x v="1"/>
    <s v="VM"/>
    <x v="3"/>
    <x v="1"/>
    <x v="9"/>
    <n v="57883.813800000004"/>
    <n v="19316.632100000003"/>
    <n v="21.391288518327201"/>
  </r>
  <r>
    <x v="1"/>
    <s v="VM"/>
    <x v="3"/>
    <x v="1"/>
    <x v="3"/>
    <n v="46098.267899999999"/>
    <n v="17026.857400000001"/>
    <n v="17.7950318681124"/>
  </r>
  <r>
    <x v="1"/>
    <s v="VM"/>
    <x v="3"/>
    <x v="1"/>
    <x v="4"/>
    <n v="52853.6391"/>
    <n v="6406.3796000000002"/>
    <n v="12.231611320998301"/>
  </r>
  <r>
    <x v="1"/>
    <s v="VM"/>
    <x v="3"/>
    <x v="2"/>
    <x v="6"/>
    <n v="110167.59540000001"/>
    <n v="35854.555400000005"/>
    <n v="4.0286056268180603"/>
  </r>
  <r>
    <x v="1"/>
    <s v="VM"/>
    <x v="3"/>
    <x v="2"/>
    <x v="7"/>
    <n v="95252.348400000003"/>
    <n v="83785.781499999997"/>
    <n v="6.3407993686414699"/>
  </r>
  <r>
    <x v="1"/>
    <s v="VM"/>
    <x v="3"/>
    <x v="2"/>
    <x v="1"/>
    <n v="78590.161500000002"/>
    <n v="64595.183400000002"/>
    <n v="0"/>
  </r>
  <r>
    <x v="1"/>
    <s v="VM"/>
    <x v="4"/>
    <x v="0"/>
    <x v="0"/>
    <n v="47338.953000000001"/>
    <n v="40751.443899999998"/>
    <n v="21.818816492286501"/>
  </r>
  <r>
    <x v="1"/>
    <s v="VM"/>
    <x v="4"/>
    <x v="0"/>
    <x v="1"/>
    <n v="45921.567900000002"/>
    <n v="-3363.4369000000002"/>
    <n v="14.8430321171092"/>
  </r>
  <r>
    <x v="1"/>
    <s v="VM"/>
    <x v="4"/>
    <x v="0"/>
    <x v="8"/>
    <n v="60859.107000000004"/>
    <n v="7308.4801000000007"/>
    <n v="14.1661957962051"/>
  </r>
  <r>
    <x v="1"/>
    <s v="VM"/>
    <x v="4"/>
    <x v="0"/>
    <x v="9"/>
    <n v="39723.806100000002"/>
    <n v="14228.7541"/>
    <n v="6.4617924982877097"/>
  </r>
  <r>
    <x v="1"/>
    <s v="VM"/>
    <x v="4"/>
    <x v="0"/>
    <x v="3"/>
    <n v="27888.477300000002"/>
    <n v="27161.759600000001"/>
    <n v="5.2446094712952096"/>
  </r>
  <r>
    <x v="1"/>
    <s v="VM"/>
    <x v="4"/>
    <x v="0"/>
    <x v="10"/>
    <n v="22950.781800000001"/>
    <n v="24987.042000000001"/>
    <n v="8.9503423334138894"/>
  </r>
  <r>
    <x v="1"/>
    <s v="VM"/>
    <x v="4"/>
    <x v="0"/>
    <x v="4"/>
    <n v="30760.177800000001"/>
    <n v="13207.7564"/>
    <n v="9.8376637199982806"/>
  </r>
  <r>
    <x v="1"/>
    <s v="VM"/>
    <x v="4"/>
    <x v="0"/>
    <x v="11"/>
    <n v="29811.6522"/>
    <n v="8895.4722000000002"/>
    <n v="6.3957666249668703"/>
  </r>
  <r>
    <x v="1"/>
    <s v="VM"/>
    <x v="4"/>
    <x v="1"/>
    <x v="6"/>
    <n v="51426.1728"/>
    <n v="39822.578600000001"/>
    <n v="4.76148018499181"/>
  </r>
  <r>
    <x v="1"/>
    <s v="VM"/>
    <x v="4"/>
    <x v="1"/>
    <x v="7"/>
    <n v="50629.804500000006"/>
    <n v="27172.403600000001"/>
    <n v="10.099095427011401"/>
  </r>
  <r>
    <x v="1"/>
    <s v="VM"/>
    <x v="4"/>
    <x v="1"/>
    <x v="1"/>
    <n v="45599.053200000002"/>
    <n v="29764.752"/>
    <n v="9.1184272507823998"/>
  </r>
  <r>
    <x v="1"/>
    <s v="VM"/>
    <x v="4"/>
    <x v="1"/>
    <x v="8"/>
    <n v="57541.285500000005"/>
    <n v="9807.3934000000008"/>
    <n v="7.5861858629080796"/>
  </r>
  <r>
    <x v="1"/>
    <s v="VM"/>
    <x v="4"/>
    <x v="1"/>
    <x v="2"/>
    <n v="54149.594100000002"/>
    <n v="31717.750100000001"/>
    <n v="5.4311729467951597"/>
  </r>
  <r>
    <x v="1"/>
    <s v="VM"/>
    <x v="4"/>
    <x v="1"/>
    <x v="9"/>
    <n v="68847.890700000004"/>
    <n v="33790.298800000004"/>
    <n v="3.8252243143086502"/>
  </r>
  <r>
    <x v="1"/>
    <s v="VM"/>
    <x v="4"/>
    <x v="1"/>
    <x v="10"/>
    <n v="74641.195500000002"/>
    <n v="86740.65860000001"/>
    <n v="14.493503717992601"/>
  </r>
  <r>
    <x v="1"/>
    <s v="VM"/>
    <x v="4"/>
    <x v="1"/>
    <x v="4"/>
    <n v="95669.276700000002"/>
    <n v="14568.658300000001"/>
    <n v="12.6404710988177"/>
  </r>
  <r>
    <x v="1"/>
    <s v="VM"/>
    <x v="4"/>
    <x v="1"/>
    <x v="11"/>
    <n v="107129.769"/>
    <n v="22476.231100000001"/>
    <n v="9.3647749590697593"/>
  </r>
  <r>
    <x v="1"/>
    <s v="VM"/>
    <x v="4"/>
    <x v="1"/>
    <x v="5"/>
    <n v="172767.1323"/>
    <n v="14415.1484"/>
    <n v="7.0946010443053398"/>
  </r>
  <r>
    <x v="1"/>
    <s v="VM"/>
    <x v="4"/>
    <x v="2"/>
    <x v="1"/>
    <n v="144795.978"/>
    <n v="116964.11970000001"/>
    <n v="0"/>
  </r>
  <r>
    <x v="1"/>
    <s v="VM"/>
    <x v="5"/>
    <x v="0"/>
    <x v="6"/>
    <n v="71065.001400000008"/>
    <n v="26470.9031"/>
    <n v="6.0162677269047098"/>
  </r>
  <r>
    <x v="1"/>
    <s v="VM"/>
    <x v="5"/>
    <x v="0"/>
    <x v="0"/>
    <n v="61265.145000000004"/>
    <n v="46991.389800000004"/>
    <n v="4.36958913161933"/>
  </r>
  <r>
    <x v="1"/>
    <s v="VM"/>
    <x v="5"/>
    <x v="0"/>
    <x v="7"/>
    <n v="50877.965700000001"/>
    <n v="60314.907900000006"/>
    <n v="3.7259684468444298"/>
  </r>
  <r>
    <x v="1"/>
    <s v="VM"/>
    <x v="5"/>
    <x v="0"/>
    <x v="3"/>
    <n v="42960.996599999999"/>
    <n v="22161.1607"/>
    <n v="12.2998639379769"/>
  </r>
  <r>
    <x v="1"/>
    <s v="VM"/>
    <x v="5"/>
    <x v="0"/>
    <x v="10"/>
    <n v="33363.8802"/>
    <n v="20079.863600000001"/>
    <n v="11.5891402924336"/>
  </r>
  <r>
    <x v="1"/>
    <s v="VM"/>
    <x v="5"/>
    <x v="0"/>
    <x v="4"/>
    <n v="48362.139000000003"/>
    <n v="15243.966700000001"/>
    <n v="15.5791189947233"/>
  </r>
  <r>
    <x v="1"/>
    <s v="VM"/>
    <x v="5"/>
    <x v="0"/>
    <x v="11"/>
    <n v="50374.138200000001"/>
    <n v="8875.9521000000004"/>
    <n v="13.150433990527"/>
  </r>
  <r>
    <x v="1"/>
    <s v="VM"/>
    <x v="5"/>
    <x v="0"/>
    <x v="5"/>
    <n v="52186.540800000002"/>
    <n v="13297.8148"/>
    <n v="11.1403807388676"/>
  </r>
  <r>
    <x v="1"/>
    <s v="VM"/>
    <x v="5"/>
    <x v="1"/>
    <x v="6"/>
    <n v="45449.444100000001"/>
    <n v="10923.2773"/>
    <n v="7.4747945529889197"/>
  </r>
  <r>
    <x v="1"/>
    <s v="VM"/>
    <x v="5"/>
    <x v="1"/>
    <x v="8"/>
    <n v="55148.200199999999"/>
    <n v="25964.3439"/>
    <n v="7.5172186833826604"/>
  </r>
  <r>
    <x v="1"/>
    <s v="VM"/>
    <x v="5"/>
    <x v="1"/>
    <x v="9"/>
    <n v="62282.081400000003"/>
    <n v="37297.3488"/>
    <n v="4.1652090503886603"/>
  </r>
  <r>
    <x v="1"/>
    <s v="VM"/>
    <x v="5"/>
    <x v="1"/>
    <x v="10"/>
    <n v="76887.164100000009"/>
    <n v="100806.4338"/>
    <n v="8.2345707663564198"/>
  </r>
  <r>
    <x v="1"/>
    <s v="VM"/>
    <x v="5"/>
    <x v="1"/>
    <x v="4"/>
    <n v="83190.081000000006"/>
    <n v="46591.9113"/>
    <n v="8.9315364316822894"/>
  </r>
  <r>
    <x v="1"/>
    <s v="VM"/>
    <x v="5"/>
    <x v="2"/>
    <x v="7"/>
    <n v="153456.03570000001"/>
    <n v="62929.814300000005"/>
    <n v="8.2992327043066307"/>
  </r>
  <r>
    <x v="1"/>
    <s v="VM"/>
    <x v="6"/>
    <x v="0"/>
    <x v="0"/>
    <n v="14697.2736"/>
    <n v="20683.936799999999"/>
    <n v="2.5833995196266502"/>
  </r>
  <r>
    <x v="1"/>
    <s v="VM"/>
    <x v="6"/>
    <x v="0"/>
    <x v="7"/>
    <n v="17363.4627"/>
    <n v="24463.2222"/>
    <n v="3.4618638780944"/>
  </r>
  <r>
    <x v="1"/>
    <s v="VM"/>
    <x v="6"/>
    <x v="0"/>
    <x v="1"/>
    <n v="14750.9439"/>
    <n v="21567.251700000001"/>
    <n v="4.2550986585728197"/>
  </r>
  <r>
    <x v="1"/>
    <s v="VM"/>
    <x v="6"/>
    <x v="0"/>
    <x v="3"/>
    <n v="19979.0226"/>
    <n v="21668.950800000002"/>
    <n v="5.7288764637345801"/>
  </r>
  <r>
    <x v="1"/>
    <s v="VM"/>
    <x v="6"/>
    <x v="0"/>
    <x v="10"/>
    <n v="14753.1108"/>
    <n v="14982.5108"/>
    <n v="4.21901791345483"/>
  </r>
  <r>
    <x v="1"/>
    <s v="VM"/>
    <x v="6"/>
    <x v="0"/>
    <x v="11"/>
    <n v="21904.355100000001"/>
    <n v="6955.3681000000006"/>
    <n v="6.5793056766255704"/>
  </r>
  <r>
    <x v="1"/>
    <s v="VM"/>
    <x v="6"/>
    <x v="0"/>
    <x v="5"/>
    <n v="31328.984400000001"/>
    <n v="13792.0013"/>
    <n v="7.8933412112671002"/>
  </r>
  <r>
    <x v="1"/>
    <s v="VM"/>
    <x v="6"/>
    <x v="1"/>
    <x v="6"/>
    <n v="21140.313600000001"/>
    <n v="15304.2752"/>
    <n v="4.8610532457923599"/>
  </r>
  <r>
    <x v="1"/>
    <s v="VM"/>
    <x v="6"/>
    <x v="1"/>
    <x v="0"/>
    <n v="29651.059800000003"/>
    <n v="19176.0942"/>
    <n v="7.7728003893264006"/>
  </r>
  <r>
    <x v="1"/>
    <s v="VM"/>
    <x v="6"/>
    <x v="1"/>
    <x v="9"/>
    <n v="23799.7137"/>
    <n v="12861.7114"/>
    <n v="5.0312489964436997"/>
  </r>
  <r>
    <x v="1"/>
    <s v="VM"/>
    <x v="6"/>
    <x v="1"/>
    <x v="3"/>
    <n v="20260.691699999999"/>
    <n v="19240.5196"/>
    <n v="3.2496116962601298"/>
  </r>
  <r>
    <x v="1"/>
    <s v="VM"/>
    <x v="6"/>
    <x v="1"/>
    <x v="11"/>
    <n v="28784.3184"/>
    <n v="10229.6764"/>
    <n v="7.0507986092264003"/>
  </r>
  <r>
    <x v="1"/>
    <s v="VM"/>
    <x v="6"/>
    <x v="2"/>
    <x v="6"/>
    <n v="26979.2628"/>
    <n v="19779.035200000002"/>
    <n v="6.4781766487766301"/>
  </r>
  <r>
    <x v="1"/>
    <s v="VM"/>
    <x v="6"/>
    <x v="2"/>
    <x v="0"/>
    <n v="29687.832000000002"/>
    <n v="20855.5857"/>
    <n v="11.6314788288333"/>
  </r>
  <r>
    <x v="1"/>
    <s v="VM"/>
    <x v="6"/>
    <x v="2"/>
    <x v="7"/>
    <n v="28263.918300000001"/>
    <n v="12088.9238"/>
    <n v="11.774384881234999"/>
  </r>
  <r>
    <x v="1"/>
    <s v="VM"/>
    <x v="8"/>
    <x v="0"/>
    <x v="0"/>
    <n v="1540.7124000000001"/>
    <n v="46.468800000000002"/>
    <n v="9.8376638013043891"/>
  </r>
  <r>
    <x v="1"/>
    <s v="VM"/>
    <x v="8"/>
    <x v="0"/>
    <x v="4"/>
    <n v="2728.248"/>
    <n v="7523.8735000000006"/>
    <n v="1.7117277109732201"/>
  </r>
  <r>
    <x v="1"/>
    <s v="VM"/>
    <x v="8"/>
    <x v="0"/>
    <x v="5"/>
    <n v="1159.1706000000001"/>
    <n v="898.5652"/>
    <n v="26.295610064903499"/>
  </r>
  <r>
    <x v="1"/>
    <s v="VM"/>
    <x v="8"/>
    <x v="1"/>
    <x v="6"/>
    <n v="1030.7934"/>
    <n v="8.6440000000000001"/>
    <n v="21.9102862040451"/>
  </r>
  <r>
    <x v="1"/>
    <s v="VM"/>
    <x v="8"/>
    <x v="1"/>
    <x v="7"/>
    <n v="988.89690000000007"/>
    <n v="78.557600000000008"/>
    <n v="13.3138876256057"/>
  </r>
  <r>
    <x v="1"/>
    <s v="VM"/>
    <x v="8"/>
    <x v="1"/>
    <x v="1"/>
    <n v="960.67140000000006"/>
    <n v="62.715600000000002"/>
    <n v="9.0384658419516608"/>
  </r>
  <r>
    <x v="1"/>
    <s v="VM"/>
    <x v="8"/>
    <x v="1"/>
    <x v="2"/>
    <n v="613.71630000000005"/>
    <n v="282.52430000000004"/>
    <n v="0.43734439727438401"/>
  </r>
  <r>
    <x v="1"/>
    <s v="VM"/>
    <x v="8"/>
    <x v="1"/>
    <x v="3"/>
    <n v="21719.6106"/>
    <n v="14191.4647"/>
    <n v="3.2380676149111398"/>
  </r>
  <r>
    <x v="1"/>
    <s v="VM"/>
    <x v="8"/>
    <x v="1"/>
    <x v="10"/>
    <n v="19137.009900000001"/>
    <n v="28842.6113"/>
    <n v="2.8850103955941599"/>
  </r>
  <r>
    <x v="1"/>
    <s v="VM"/>
    <x v="8"/>
    <x v="1"/>
    <x v="4"/>
    <n v="13291.8948"/>
    <n v="28522.996900000002"/>
    <n v="4.9267258205885005"/>
  </r>
  <r>
    <x v="1"/>
    <s v="VM"/>
    <x v="8"/>
    <x v="1"/>
    <x v="5"/>
    <n v="4144.4241000000002"/>
    <n v="12786.731800000001"/>
    <n v="44.817533087564904"/>
  </r>
  <r>
    <x v="1"/>
    <s v="VM"/>
    <x v="8"/>
    <x v="2"/>
    <x v="6"/>
    <n v="4553.2335000000003"/>
    <n v="-914.52719999999999"/>
    <n v="37.237792301203498"/>
  </r>
  <r>
    <x v="1"/>
    <s v="VM"/>
    <x v="8"/>
    <x v="2"/>
    <x v="0"/>
    <n v="5224.2006000000001"/>
    <n v="-41.899799999999999"/>
    <n v="37.0174938287674"/>
  </r>
  <r>
    <x v="1"/>
    <s v="VM"/>
    <x v="8"/>
    <x v="2"/>
    <x v="7"/>
    <n v="4641.7509"/>
    <n v="179.3449"/>
    <n v="30.103230985462201"/>
  </r>
  <r>
    <x v="1"/>
    <s v="VM"/>
    <x v="9"/>
    <x v="0"/>
    <x v="6"/>
    <n v="5653.5165000000006"/>
    <n v="411.8501"/>
    <n v="14.4513028146438"/>
  </r>
  <r>
    <x v="1"/>
    <s v="VM"/>
    <x v="9"/>
    <x v="0"/>
    <x v="0"/>
    <n v="6328.2314999999999"/>
    <n v="3151.6641"/>
    <n v="27.8522411673388"/>
  </r>
  <r>
    <x v="1"/>
    <s v="VM"/>
    <x v="9"/>
    <x v="0"/>
    <x v="7"/>
    <n v="5115.3999000000003"/>
    <n v="2133.2584999999999"/>
    <n v="24.903768010449102"/>
  </r>
  <r>
    <x v="1"/>
    <s v="VM"/>
    <x v="2"/>
    <x v="1"/>
    <x v="6"/>
    <n v="142614.58860000002"/>
    <n v="47385.124800000005"/>
    <n v="5.3842247841836999"/>
  </r>
  <r>
    <x v="1"/>
    <s v="VM"/>
    <x v="2"/>
    <x v="1"/>
    <x v="0"/>
    <n v="127781.8512"/>
    <n v="123507.2537"/>
    <n v="5.6339140373414001"/>
  </r>
  <r>
    <x v="1"/>
    <s v="VM"/>
    <x v="2"/>
    <x v="1"/>
    <x v="1"/>
    <n v="181485.54750000002"/>
    <n v="167635.97630000001"/>
    <n v="8.0932158191731691"/>
  </r>
  <r>
    <x v="1"/>
    <s v="VM"/>
    <x v="2"/>
    <x v="1"/>
    <x v="9"/>
    <n v="273679.80480000004"/>
    <n v="109954.07920000001"/>
    <n v="10.534144313255601"/>
  </r>
  <r>
    <x v="1"/>
    <s v="VM"/>
    <x v="2"/>
    <x v="1"/>
    <x v="3"/>
    <n v="270706.48320000002"/>
    <n v="126957.27750000001"/>
    <n v="16.033641119138199"/>
  </r>
  <r>
    <x v="1"/>
    <s v="VM"/>
    <x v="2"/>
    <x v="1"/>
    <x v="4"/>
    <n v="293375.43780000001"/>
    <n v="66497.009999999995"/>
    <n v="14.6426959340018"/>
  </r>
  <r>
    <x v="1"/>
    <s v="VM"/>
    <x v="2"/>
    <x v="1"/>
    <x v="11"/>
    <n v="296456.07209999999"/>
    <n v="37814.784599999999"/>
    <n v="11.460406632548901"/>
  </r>
  <r>
    <x v="1"/>
    <s v="VM"/>
    <x v="2"/>
    <x v="1"/>
    <x v="5"/>
    <n v="295993.37849999999"/>
    <n v="68037.49990000001"/>
    <n v="9.1367403450058298"/>
  </r>
  <r>
    <x v="1"/>
    <s v="VM"/>
    <x v="2"/>
    <x v="2"/>
    <x v="6"/>
    <n v="252770.30790000001"/>
    <n v="123760.428"/>
    <n v="7.7375031990021501"/>
  </r>
  <r>
    <x v="1"/>
    <s v="VM"/>
    <x v="2"/>
    <x v="2"/>
    <x v="7"/>
    <n v="279536.66580000002"/>
    <n v="119386.0561"/>
    <n v="7.3791966731237704"/>
  </r>
  <r>
    <x v="1"/>
    <s v="VM"/>
    <x v="2"/>
    <x v="2"/>
    <x v="1"/>
    <n v="242830.2261"/>
    <n v="162891.39810000002"/>
    <n v="0"/>
  </r>
  <r>
    <x v="1"/>
    <s v="VM"/>
    <x v="3"/>
    <x v="0"/>
    <x v="0"/>
    <n v="38616.538800000002"/>
    <n v="34481.094400000002"/>
    <n v="3.8085452400456599"/>
  </r>
  <r>
    <x v="1"/>
    <s v="VM"/>
    <x v="3"/>
    <x v="0"/>
    <x v="4"/>
    <n v="10889.788500000001"/>
    <n v="7605.1066000000001"/>
    <n v="6.9862058546774897"/>
  </r>
  <r>
    <x v="1"/>
    <s v="VM"/>
    <x v="3"/>
    <x v="0"/>
    <x v="5"/>
    <n v="20594.124599999999"/>
    <n v="10968.6281"/>
    <n v="4.6972314193828497"/>
  </r>
  <r>
    <x v="1"/>
    <s v="VM"/>
    <x v="3"/>
    <x v="1"/>
    <x v="6"/>
    <n v="34045.505100000002"/>
    <n v="16491.628700000001"/>
    <n v="3.29651622917627"/>
  </r>
  <r>
    <x v="1"/>
    <s v="VM"/>
    <x v="3"/>
    <x v="1"/>
    <x v="0"/>
    <n v="46520.2647"/>
    <n v="44409.2071"/>
    <n v="5.1084671494667697"/>
  </r>
  <r>
    <x v="1"/>
    <s v="VM"/>
    <x v="3"/>
    <x v="1"/>
    <x v="7"/>
    <n v="55077.39"/>
    <n v="33375.584900000002"/>
    <n v="3.3875500332362298"/>
  </r>
  <r>
    <x v="1"/>
    <s v="VM"/>
    <x v="3"/>
    <x v="1"/>
    <x v="8"/>
    <n v="73722.522899999996"/>
    <n v="30123.2016"/>
    <n v="15.090677366527601"/>
  </r>
  <r>
    <x v="1"/>
    <s v="VM"/>
    <x v="3"/>
    <x v="1"/>
    <x v="2"/>
    <n v="68885.0628"/>
    <n v="31184.9876"/>
    <n v="22.460211011372099"/>
  </r>
  <r>
    <x v="1"/>
    <s v="VM"/>
    <x v="3"/>
    <x v="1"/>
    <x v="10"/>
    <n v="39991.525200000004"/>
    <n v="12158.0646"/>
    <n v="14.220760687775801"/>
  </r>
  <r>
    <x v="1"/>
    <s v="VM"/>
    <x v="3"/>
    <x v="1"/>
    <x v="11"/>
    <n v="58576.421999999999"/>
    <n v="11505.965100000001"/>
    <n v="9.0262196007827509"/>
  </r>
  <r>
    <x v="1"/>
    <s v="VM"/>
    <x v="3"/>
    <x v="1"/>
    <x v="5"/>
    <n v="89998.183199999999"/>
    <n v="11066.323"/>
    <n v="6.2799227061229201"/>
  </r>
  <r>
    <x v="1"/>
    <s v="VM"/>
    <x v="3"/>
    <x v="2"/>
    <x v="0"/>
    <n v="110872.5261"/>
    <n v="117589.2366"/>
    <n v="6.1031220851058103"/>
  </r>
  <r>
    <x v="1"/>
    <s v="VM"/>
    <x v="4"/>
    <x v="0"/>
    <x v="6"/>
    <n v="82829.668799999999"/>
    <n v="18688.470300000001"/>
    <n v="24.818781699938199"/>
  </r>
  <r>
    <x v="1"/>
    <s v="VM"/>
    <x v="4"/>
    <x v="0"/>
    <x v="7"/>
    <n v="34882.904999999999"/>
    <n v="15040.4858"/>
    <n v="17.927960918261"/>
  </r>
  <r>
    <x v="1"/>
    <s v="VM"/>
    <x v="4"/>
    <x v="0"/>
    <x v="2"/>
    <n v="51095.911200000002"/>
    <n v="12110.8055"/>
    <n v="10.2701940649878"/>
  </r>
  <r>
    <x v="1"/>
    <s v="VM"/>
    <x v="4"/>
    <x v="0"/>
    <x v="5"/>
    <n v="47477.150999999998"/>
    <n v="10402.6217"/>
    <n v="4.9785128552040501"/>
  </r>
  <r>
    <x v="1"/>
    <s v="VM"/>
    <x v="4"/>
    <x v="1"/>
    <x v="0"/>
    <n v="62869.906500000005"/>
    <n v="48510.004000000001"/>
    <n v="11.201183395987801"/>
  </r>
  <r>
    <x v="1"/>
    <s v="VM"/>
    <x v="4"/>
    <x v="1"/>
    <x v="3"/>
    <n v="58810.2333"/>
    <n v="77393.090100000001"/>
    <n v="2.91540330995366"/>
  </r>
  <r>
    <x v="1"/>
    <s v="VM"/>
    <x v="4"/>
    <x v="2"/>
    <x v="6"/>
    <n v="247646.55660000001"/>
    <n v="62553.338900000002"/>
    <n v="7.5139550657316203"/>
  </r>
  <r>
    <x v="1"/>
    <s v="VM"/>
    <x v="4"/>
    <x v="2"/>
    <x v="0"/>
    <n v="221266.43700000001"/>
    <n v="169583.8884"/>
    <n v="8.5948924887261793"/>
  </r>
  <r>
    <x v="1"/>
    <s v="VM"/>
    <x v="4"/>
    <x v="2"/>
    <x v="7"/>
    <n v="207485.6784"/>
    <n v="104441.24650000001"/>
    <n v="7.6278812631460404"/>
  </r>
  <r>
    <x v="1"/>
    <s v="VM"/>
    <x v="5"/>
    <x v="0"/>
    <x v="1"/>
    <n v="54888.553500000002"/>
    <n v="58716.345999999998"/>
    <n v="5.4673719567468604"/>
  </r>
  <r>
    <x v="1"/>
    <s v="VM"/>
    <x v="5"/>
    <x v="0"/>
    <x v="8"/>
    <n v="74787.558900000004"/>
    <n v="45202.5815"/>
    <n v="9.9671843898501198"/>
  </r>
  <r>
    <x v="1"/>
    <s v="VM"/>
    <x v="5"/>
    <x v="0"/>
    <x v="2"/>
    <n v="59553.777600000001"/>
    <n v="35678.1567"/>
    <n v="9.7412535780372504"/>
  </r>
  <r>
    <x v="1"/>
    <s v="VM"/>
    <x v="5"/>
    <x v="0"/>
    <x v="9"/>
    <n v="44596.940999999999"/>
    <n v="32063.264300000003"/>
    <n v="9.2645541812945496"/>
  </r>
  <r>
    <x v="1"/>
    <s v="VM"/>
    <x v="5"/>
    <x v="1"/>
    <x v="0"/>
    <n v="52429.410300000003"/>
    <n v="24500.557000000001"/>
    <n v="6.2829836691573497"/>
  </r>
  <r>
    <x v="1"/>
    <s v="VM"/>
    <x v="5"/>
    <x v="1"/>
    <x v="7"/>
    <n v="52221.164700000001"/>
    <n v="28373.557100000002"/>
    <n v="4.30948312658884"/>
  </r>
  <r>
    <x v="1"/>
    <s v="VM"/>
    <x v="5"/>
    <x v="1"/>
    <x v="1"/>
    <n v="60682.881300000001"/>
    <n v="52163.9035"/>
    <n v="9.4618890723943405"/>
  </r>
  <r>
    <x v="1"/>
    <s v="VM"/>
    <x v="5"/>
    <x v="1"/>
    <x v="2"/>
    <n v="53451.629100000006"/>
    <n v="27242.682200000003"/>
    <n v="5.3803420983306296"/>
  </r>
  <r>
    <x v="1"/>
    <s v="VM"/>
    <x v="5"/>
    <x v="1"/>
    <x v="3"/>
    <n v="80281.013100000011"/>
    <n v="64297.6011"/>
    <n v="3.4244674999107003"/>
  </r>
  <r>
    <x v="1"/>
    <s v="VM"/>
    <x v="5"/>
    <x v="1"/>
    <x v="11"/>
    <n v="102237.8481"/>
    <n v="33108.970399999998"/>
    <n v="8.0893753064996403"/>
  </r>
  <r>
    <x v="1"/>
    <s v="VM"/>
    <x v="5"/>
    <x v="1"/>
    <x v="5"/>
    <n v="101457.48510000001"/>
    <n v="45080.340100000001"/>
    <n v="5.8535063885947798"/>
  </r>
  <r>
    <x v="1"/>
    <s v="VM"/>
    <x v="5"/>
    <x v="2"/>
    <x v="6"/>
    <n v="104458.3719"/>
    <n v="64859.578300000001"/>
    <n v="4.5157765636375"/>
  </r>
  <r>
    <x v="1"/>
    <s v="VM"/>
    <x v="5"/>
    <x v="2"/>
    <x v="0"/>
    <n v="158740.2585"/>
    <n v="101300.5163"/>
    <n v="9.4816350415390396"/>
  </r>
  <r>
    <x v="1"/>
    <s v="VM"/>
    <x v="5"/>
    <x v="2"/>
    <x v="1"/>
    <n v="128728.48890000001"/>
    <n v="79508.669900000008"/>
    <n v="0"/>
  </r>
  <r>
    <x v="1"/>
    <s v="VM"/>
    <x v="6"/>
    <x v="0"/>
    <x v="6"/>
    <n v="20659.959300000002"/>
    <n v="12611.522700000001"/>
    <n v="4.2950152985383303"/>
  </r>
  <r>
    <x v="1"/>
    <s v="VM"/>
    <x v="6"/>
    <x v="0"/>
    <x v="8"/>
    <n v="26513.249100000001"/>
    <n v="14906.601200000001"/>
    <n v="5.4469828679773604"/>
  </r>
  <r>
    <x v="1"/>
    <s v="VM"/>
    <x v="6"/>
    <x v="0"/>
    <x v="2"/>
    <n v="18694.971600000001"/>
    <n v="22012.127800000002"/>
    <n v="4.6612452708139402"/>
  </r>
  <r>
    <x v="1"/>
    <s v="VM"/>
    <x v="6"/>
    <x v="0"/>
    <x v="9"/>
    <n v="20128.1109"/>
    <n v="16874.551600000003"/>
    <n v="3.99423477716328"/>
  </r>
  <r>
    <x v="1"/>
    <s v="VM"/>
    <x v="6"/>
    <x v="0"/>
    <x v="4"/>
    <n v="15467.443800000001"/>
    <n v="15036.289900000002"/>
    <n v="6.9538516574820797"/>
  </r>
  <r>
    <x v="1"/>
    <s v="VM"/>
    <x v="6"/>
    <x v="1"/>
    <x v="7"/>
    <n v="29985.655200000001"/>
    <n v="15054.085300000001"/>
    <n v="10.2629846635229"/>
  </r>
  <r>
    <x v="1"/>
    <s v="VM"/>
    <x v="6"/>
    <x v="1"/>
    <x v="1"/>
    <n v="30995.337600000003"/>
    <n v="18073.883700000002"/>
    <n v="11.9697545639222"/>
  </r>
  <r>
    <x v="1"/>
    <s v="VM"/>
    <x v="6"/>
    <x v="1"/>
    <x v="8"/>
    <n v="31361.274000000001"/>
    <n v="6233.3723"/>
    <n v="9.4530164164589401"/>
  </r>
  <r>
    <x v="1"/>
    <s v="VM"/>
    <x v="6"/>
    <x v="1"/>
    <x v="2"/>
    <n v="27724.6299"/>
    <n v="14682.707"/>
    <n v="7.6216644289585602"/>
  </r>
  <r>
    <x v="1"/>
    <s v="VM"/>
    <x v="6"/>
    <x v="1"/>
    <x v="10"/>
    <n v="26902.3053"/>
    <n v="26809.656800000001"/>
    <n v="6.1707149504748804"/>
  </r>
  <r>
    <x v="1"/>
    <s v="VM"/>
    <x v="6"/>
    <x v="1"/>
    <x v="4"/>
    <n v="20733.680400000001"/>
    <n v="22451.884700000002"/>
    <n v="7.0999803859115298"/>
  </r>
  <r>
    <x v="1"/>
    <s v="VM"/>
    <x v="6"/>
    <x v="1"/>
    <x v="5"/>
    <n v="32177.302500000002"/>
    <n v="16131.262000000001"/>
    <n v="6.8562719818508899"/>
  </r>
  <r>
    <x v="1"/>
    <s v="VM"/>
    <x v="6"/>
    <x v="2"/>
    <x v="1"/>
    <n v="24049.3629"/>
    <n v="10321.9701"/>
    <n v="0"/>
  </r>
  <r>
    <x v="1"/>
    <s v="VM"/>
    <x v="8"/>
    <x v="0"/>
    <x v="6"/>
    <n v="1596.4008000000001"/>
    <n v="97.968600000000009"/>
    <n v="14.1591153459329"/>
  </r>
  <r>
    <x v="1"/>
    <s v="VM"/>
    <x v="8"/>
    <x v="0"/>
    <x v="7"/>
    <n v="1689.2148"/>
    <n v="-167.904"/>
    <n v="5.4925214645148097"/>
  </r>
  <r>
    <x v="1"/>
    <s v="VM"/>
    <x v="8"/>
    <x v="0"/>
    <x v="9"/>
    <n v="7192.6944000000003"/>
    <n v="1176.6843000000001"/>
    <n v="8.0114385131249097"/>
  </r>
  <r>
    <x v="1"/>
    <s v="VM"/>
    <x v="8"/>
    <x v="0"/>
    <x v="3"/>
    <n v="6867.1014000000005"/>
    <n v="1848.0851"/>
    <n v="4.6857387168989497"/>
  </r>
  <r>
    <x v="1"/>
    <s v="VM"/>
    <x v="8"/>
    <x v="0"/>
    <x v="10"/>
    <n v="4255.1778000000004"/>
    <n v="6192.1597000000002"/>
    <n v="2.43189422841838"/>
  </r>
  <r>
    <x v="1"/>
    <s v="VM"/>
    <x v="8"/>
    <x v="0"/>
    <x v="11"/>
    <n v="2049.0410999999999"/>
    <n v="6853.5821000000005"/>
    <n v="30.589414077716899"/>
  </r>
  <r>
    <x v="1"/>
    <s v="VM"/>
    <x v="8"/>
    <x v="1"/>
    <x v="0"/>
    <n v="1135.6323"/>
    <n v="-31.607300000000002"/>
    <n v="17.662472254771501"/>
  </r>
  <r>
    <x v="1"/>
    <s v="VM"/>
    <x v="8"/>
    <x v="1"/>
    <x v="8"/>
    <n v="916.22670000000005"/>
    <n v="62.857100000000003"/>
    <n v="4.7515868230635698"/>
  </r>
  <r>
    <x v="1"/>
    <s v="VM"/>
    <x v="8"/>
    <x v="1"/>
    <x v="9"/>
    <n v="10648.0815"/>
    <n v="6034.1006000000007"/>
    <n v="3.22635833706439"/>
  </r>
  <r>
    <x v="1"/>
    <s v="VM"/>
    <x v="8"/>
    <x v="1"/>
    <x v="11"/>
    <n v="20370.217800000002"/>
    <n v="11428.226200000001"/>
    <n v="71.420943369448509"/>
  </r>
  <r>
    <x v="1"/>
    <s v="VM"/>
    <x v="8"/>
    <x v="2"/>
    <x v="1"/>
    <n v="3922.4889000000003"/>
    <n v="663.03610000000003"/>
    <n v="0"/>
  </r>
  <r>
    <x v="1"/>
    <s v="VM"/>
    <x v="9"/>
    <x v="0"/>
    <x v="1"/>
    <n v="4841.8775999999998"/>
    <n v="323.57870000000003"/>
    <n v="20.6772693045436"/>
  </r>
  <r>
    <x v="1"/>
    <s v="VM"/>
    <x v="9"/>
    <x v="0"/>
    <x v="2"/>
    <n v="4627.0475999999999"/>
    <n v="170.30250000000001"/>
    <n v="12.1951037592617"/>
  </r>
  <r>
    <x v="1"/>
    <s v="VM"/>
    <x v="9"/>
    <x v="0"/>
    <x v="9"/>
    <n v="6317.6574000000001"/>
    <n v="384.74170000000004"/>
    <n v="9.8502243395228"/>
  </r>
  <r>
    <x v="1"/>
    <s v="VM"/>
    <x v="9"/>
    <x v="0"/>
    <x v="3"/>
    <n v="6117.54"/>
    <n v="1793.9415000000001"/>
    <n v="6.7992937500980704"/>
  </r>
  <r>
    <x v="1"/>
    <s v="VM"/>
    <x v="9"/>
    <x v="0"/>
    <x v="10"/>
    <n v="7064.6892000000007"/>
    <n v="2928.4181000000003"/>
    <n v="5.3474303220804202"/>
  </r>
  <r>
    <x v="1"/>
    <s v="VM"/>
    <x v="9"/>
    <x v="0"/>
    <x v="11"/>
    <n v="4337.4549000000006"/>
    <n v="6477.5219000000006"/>
    <n v="3.6681575791389198"/>
  </r>
  <r>
    <x v="1"/>
    <s v="VM"/>
    <x v="9"/>
    <x v="0"/>
    <x v="5"/>
    <n v="5401.1981999999998"/>
    <n v="5084.5842000000002"/>
    <n v="6.0392753358931897"/>
  </r>
  <r>
    <x v="1"/>
    <s v="VM"/>
    <x v="9"/>
    <x v="1"/>
    <x v="0"/>
    <n v="4493.1741000000002"/>
    <n v="6625.0969999999998"/>
    <n v="2.0149840772584899"/>
  </r>
  <r>
    <x v="1"/>
    <s v="VM"/>
    <x v="9"/>
    <x v="1"/>
    <x v="1"/>
    <n v="8064.8205000000007"/>
    <n v="15899.9933"/>
    <n v="3.6344627396840798"/>
  </r>
  <r>
    <x v="1"/>
    <s v="VM"/>
    <x v="9"/>
    <x v="1"/>
    <x v="3"/>
    <n v="15717.957900000001"/>
    <n v="10039.666999999999"/>
    <n v="4.4179488825834499"/>
  </r>
  <r>
    <x v="1"/>
    <s v="VM"/>
    <x v="9"/>
    <x v="1"/>
    <x v="10"/>
    <n v="16445.3295"/>
    <n v="15026.393700000001"/>
    <n v="2.8048129707142802"/>
  </r>
  <r>
    <x v="1"/>
    <s v="VM"/>
    <x v="9"/>
    <x v="1"/>
    <x v="4"/>
    <n v="12841.1517"/>
    <n v="25211.990100000003"/>
    <n v="3.0611955970237501"/>
  </r>
  <r>
    <x v="1"/>
    <s v="VM"/>
    <x v="9"/>
    <x v="1"/>
    <x v="5"/>
    <n v="9887.2950000000001"/>
    <n v="16761.4198"/>
    <n v="2.5760583496910501"/>
  </r>
  <r>
    <x v="1"/>
    <s v="VM"/>
    <x v="10"/>
    <x v="0"/>
    <x v="5"/>
    <n v="3515.4186"/>
    <n v="176.88670000000002"/>
    <n v="35.4310669372855"/>
  </r>
  <r>
    <x v="1"/>
    <s v="VM"/>
    <x v="10"/>
    <x v="1"/>
    <x v="6"/>
    <n v="3387.9714000000004"/>
    <n v="113.4773"/>
    <n v="30.692657384762601"/>
  </r>
  <r>
    <x v="1"/>
    <s v="VM"/>
    <x v="10"/>
    <x v="1"/>
    <x v="0"/>
    <n v="2448.0482999999999"/>
    <n v="947.05899999999997"/>
    <n v="26.616599340384901"/>
  </r>
  <r>
    <x v="1"/>
    <s v="VM"/>
    <x v="10"/>
    <x v="1"/>
    <x v="7"/>
    <n v="1603.7106000000001"/>
    <n v="702.02480000000003"/>
    <n v="16.905350479595501"/>
  </r>
  <r>
    <x v="1"/>
    <s v="VM"/>
    <x v="10"/>
    <x v="1"/>
    <x v="8"/>
    <n v="1226.6793"/>
    <n v="112.343"/>
    <n v="68.364792445639708"/>
  </r>
  <r>
    <x v="1"/>
    <s v="VM"/>
    <x v="10"/>
    <x v="1"/>
    <x v="10"/>
    <n v="430.1343"/>
    <n v="137.01930000000002"/>
    <n v="45.078790690119405"/>
  </r>
  <r>
    <x v="1"/>
    <s v="VM"/>
    <x v="10"/>
    <x v="2"/>
    <x v="6"/>
    <n v="244.27380000000002"/>
    <n v="90.072900000000004"/>
    <n v="25.705801963558901"/>
  </r>
  <r>
    <x v="1"/>
    <s v="VM"/>
    <x v="11"/>
    <x v="0"/>
    <x v="0"/>
    <n v="24852.2412"/>
    <n v="9211.7201999999997"/>
    <n v="10.827649248552701"/>
  </r>
  <r>
    <x v="1"/>
    <s v="VM"/>
    <x v="11"/>
    <x v="0"/>
    <x v="1"/>
    <n v="30674.636400000003"/>
    <n v="9323.8770999999997"/>
    <n v="11.946399731774301"/>
  </r>
  <r>
    <x v="1"/>
    <s v="VM"/>
    <x v="11"/>
    <x v="0"/>
    <x v="8"/>
    <n v="25924.624200000002"/>
    <n v="8208.2672000000002"/>
    <n v="8.7877335734243704"/>
  </r>
  <r>
    <x v="1"/>
    <s v="VM"/>
    <x v="11"/>
    <x v="0"/>
    <x v="2"/>
    <n v="31513.9614"/>
    <n v="12451.864100000001"/>
    <n v="10.392942238421"/>
  </r>
  <r>
    <x v="1"/>
    <s v="VM"/>
    <x v="11"/>
    <x v="0"/>
    <x v="5"/>
    <n v="33391.129200000003"/>
    <n v="12306.438400000001"/>
    <n v="10.539765979346999"/>
  </r>
  <r>
    <x v="1"/>
    <s v="VM"/>
    <x v="11"/>
    <x v="1"/>
    <x v="6"/>
    <n v="33897.318899999998"/>
    <n v="13366.5957"/>
    <n v="9.7839659243428194"/>
  </r>
  <r>
    <x v="1"/>
    <s v="VM"/>
    <x v="9"/>
    <x v="0"/>
    <x v="8"/>
    <n v="4761.9813000000004"/>
    <n v="124.776"/>
    <n v="16.443169289931699"/>
  </r>
  <r>
    <x v="1"/>
    <s v="VM"/>
    <x v="9"/>
    <x v="0"/>
    <x v="4"/>
    <n v="3651.1521000000002"/>
    <n v="5486.8397000000004"/>
    <n v="2.42375931295578"/>
  </r>
  <r>
    <x v="1"/>
    <s v="VM"/>
    <x v="9"/>
    <x v="1"/>
    <x v="6"/>
    <n v="4552.1639999999998"/>
    <n v="2721.4615000000003"/>
    <n v="2.95456884631274"/>
  </r>
  <r>
    <x v="1"/>
    <s v="VM"/>
    <x v="9"/>
    <x v="1"/>
    <x v="7"/>
    <n v="5679.1100999999999"/>
    <n v="9588.487000000001"/>
    <n v="1.53586061133749"/>
  </r>
  <r>
    <x v="1"/>
    <s v="VM"/>
    <x v="9"/>
    <x v="1"/>
    <x v="8"/>
    <n v="11170.0905"/>
    <n v="9541.6381000000001"/>
    <n v="7.1127357895569299"/>
  </r>
  <r>
    <x v="1"/>
    <s v="VM"/>
    <x v="9"/>
    <x v="1"/>
    <x v="2"/>
    <n v="14876.903100000001"/>
    <n v="6312.6153000000004"/>
    <n v="7.4912651027170503"/>
  </r>
  <r>
    <x v="1"/>
    <s v="VM"/>
    <x v="9"/>
    <x v="1"/>
    <x v="9"/>
    <n v="17103.016200000002"/>
    <n v="7425.9173000000001"/>
    <n v="6.3212701840761696"/>
  </r>
  <r>
    <x v="1"/>
    <s v="VM"/>
    <x v="9"/>
    <x v="1"/>
    <x v="11"/>
    <n v="12780.618"/>
    <n v="18037.707999999999"/>
    <n v="3.2787590822109198"/>
  </r>
  <r>
    <x v="1"/>
    <s v="VM"/>
    <x v="9"/>
    <x v="2"/>
    <x v="6"/>
    <n v="17283.306"/>
    <n v="16504.039400000001"/>
    <n v="2.8713078482597498"/>
  </r>
  <r>
    <x v="1"/>
    <s v="VM"/>
    <x v="9"/>
    <x v="2"/>
    <x v="0"/>
    <n v="20350.762200000001"/>
    <n v="25883.053900000003"/>
    <n v="3.7010846353888498"/>
  </r>
  <r>
    <x v="1"/>
    <s v="VM"/>
    <x v="9"/>
    <x v="2"/>
    <x v="7"/>
    <n v="23466.531900000002"/>
    <n v="23643.954700000002"/>
    <n v="2.80778291312894"/>
  </r>
  <r>
    <x v="1"/>
    <s v="VM"/>
    <x v="9"/>
    <x v="2"/>
    <x v="1"/>
    <n v="27112.922400000003"/>
    <n v="35937.994599999998"/>
    <n v="0"/>
  </r>
  <r>
    <x v="1"/>
    <s v="VM"/>
    <x v="10"/>
    <x v="0"/>
    <x v="11"/>
    <n v="3127.7667000000001"/>
    <n v="484.86940000000004"/>
    <n v="27.064090524724502"/>
  </r>
  <r>
    <x v="1"/>
    <s v="VM"/>
    <x v="10"/>
    <x v="1"/>
    <x v="1"/>
    <n v="1354.1265000000001"/>
    <n v="993.4439000000001"/>
    <n v="74.693576107430303"/>
  </r>
  <r>
    <x v="1"/>
    <s v="VM"/>
    <x v="10"/>
    <x v="1"/>
    <x v="2"/>
    <n v="923.99220000000003"/>
    <n v="280.74540000000002"/>
    <n v="61.117601434403902"/>
  </r>
  <r>
    <x v="1"/>
    <s v="VM"/>
    <x v="10"/>
    <x v="1"/>
    <x v="9"/>
    <n v="679.71840000000009"/>
    <n v="233.15480000000002"/>
    <n v="55.324106543218001"/>
  </r>
  <r>
    <x v="1"/>
    <s v="VM"/>
    <x v="10"/>
    <x v="1"/>
    <x v="3"/>
    <n v="562.89179999999999"/>
    <n v="100.3155"/>
    <n v="48.806349236098704"/>
  </r>
  <r>
    <x v="1"/>
    <s v="VM"/>
    <x v="10"/>
    <x v="1"/>
    <x v="4"/>
    <n v="414.20340000000004"/>
    <n v="-5.2094000000000005"/>
    <n v="37.9392430646013"/>
  </r>
  <r>
    <x v="1"/>
    <s v="VM"/>
    <x v="10"/>
    <x v="1"/>
    <x v="11"/>
    <n v="382.34160000000003"/>
    <n v="42.488900000000001"/>
    <n v="35.066666354296501"/>
  </r>
  <r>
    <x v="1"/>
    <s v="VM"/>
    <x v="10"/>
    <x v="1"/>
    <x v="5"/>
    <n v="334.5489"/>
    <n v="42.330300000000001"/>
    <n v="30.032961300459501"/>
  </r>
  <r>
    <x v="1"/>
    <s v="VM"/>
    <x v="10"/>
    <x v="2"/>
    <x v="0"/>
    <n v="180.55020000000002"/>
    <n v="63.701300000000003"/>
    <n v="21.402806645987802"/>
  </r>
  <r>
    <x v="1"/>
    <s v="VM"/>
    <x v="10"/>
    <x v="2"/>
    <x v="7"/>
    <n v="127.44720000000001"/>
    <n v="53.220600000000005"/>
    <n v="17.118602580802399"/>
  </r>
  <r>
    <x v="1"/>
    <s v="VM"/>
    <x v="10"/>
    <x v="2"/>
    <x v="1"/>
    <n v="95.585400000000007"/>
    <n v="32.013300000000001"/>
    <n v="0"/>
  </r>
  <r>
    <x v="1"/>
    <s v="VM"/>
    <x v="11"/>
    <x v="0"/>
    <x v="6"/>
    <n v="21152.719800000003"/>
    <n v="5136.152"/>
    <n v="8.90668281867422"/>
  </r>
  <r>
    <x v="1"/>
    <s v="VM"/>
    <x v="11"/>
    <x v="0"/>
    <x v="7"/>
    <n v="22511.2824"/>
    <n v="11276.0059"/>
    <n v="10.3194448684996"/>
  </r>
  <r>
    <x v="1"/>
    <s v="VM"/>
    <x v="11"/>
    <x v="0"/>
    <x v="9"/>
    <n v="32702.371200000001"/>
    <n v="12868.269"/>
    <n v="10.258001700781101"/>
  </r>
  <r>
    <x v="1"/>
    <s v="VM"/>
    <x v="11"/>
    <x v="0"/>
    <x v="3"/>
    <n v="28411.5"/>
    <n v="13845.7479"/>
    <n v="8.1148573736272596"/>
  </r>
  <r>
    <x v="1"/>
    <s v="VM"/>
    <x v="11"/>
    <x v="0"/>
    <x v="10"/>
    <n v="18496.77"/>
    <n v="11511.671100000001"/>
    <n v="4.1753404629314099"/>
  </r>
  <r>
    <x v="1"/>
    <s v="VM"/>
    <x v="11"/>
    <x v="0"/>
    <x v="4"/>
    <n v="24585.321900000003"/>
    <n v="19049.0121"/>
    <n v="9.3125080995754193"/>
  </r>
  <r>
    <x v="1"/>
    <s v="VM"/>
    <x v="11"/>
    <x v="0"/>
    <x v="11"/>
    <n v="30809.2353"/>
    <n v="10064.0445"/>
    <n v="10.092861962851801"/>
  </r>
  <r>
    <x v="1"/>
    <s v="VM"/>
    <x v="11"/>
    <x v="1"/>
    <x v="8"/>
    <n v="51071.759100000003"/>
    <n v="17682.2497"/>
    <n v="7.3109883999039198"/>
  </r>
  <r>
    <x v="1"/>
    <s v="VM"/>
    <x v="11"/>
    <x v="1"/>
    <x v="2"/>
    <n v="41248.531800000004"/>
    <n v="31201.579400000002"/>
    <n v="5.8186250017590702"/>
  </r>
  <r>
    <x v="1"/>
    <s v="VM"/>
    <x v="11"/>
    <x v="1"/>
    <x v="9"/>
    <n v="42107.712299999999"/>
    <n v="28376.652900000001"/>
    <n v="4.9695826465220501"/>
  </r>
  <r>
    <x v="1"/>
    <s v="VM"/>
    <x v="11"/>
    <x v="1"/>
    <x v="3"/>
    <n v="46855.566900000005"/>
    <n v="36446.837899999999"/>
    <n v="6.75724182728705"/>
  </r>
  <r>
    <x v="1"/>
    <s v="VM"/>
    <x v="11"/>
    <x v="1"/>
    <x v="4"/>
    <n v="41472.940800000004"/>
    <n v="18377.649000000001"/>
    <n v="7.1455823311559401"/>
  </r>
  <r>
    <x v="1"/>
    <s v="VM"/>
    <x v="11"/>
    <x v="1"/>
    <x v="5"/>
    <n v="68825.710200000001"/>
    <n v="28580.527300000002"/>
    <n v="9.0852635840145197"/>
  </r>
  <r>
    <x v="1"/>
    <s v="VM"/>
    <x v="11"/>
    <x v="2"/>
    <x v="0"/>
    <n v="59352.823200000006"/>
    <n v="37018.435600000004"/>
    <n v="8.2291799543825004"/>
  </r>
  <r>
    <x v="1"/>
    <s v="VM"/>
    <x v="12"/>
    <x v="0"/>
    <x v="0"/>
    <n v="35245.307400000005"/>
    <n v="20119.653700000003"/>
    <n v="13.097484332248701"/>
  </r>
  <r>
    <x v="1"/>
    <s v="VM"/>
    <x v="12"/>
    <x v="0"/>
    <x v="2"/>
    <n v="36016.909800000001"/>
    <n v="26147.6898"/>
    <n v="6.5778608348293197"/>
  </r>
  <r>
    <x v="1"/>
    <s v="VM"/>
    <x v="12"/>
    <x v="0"/>
    <x v="9"/>
    <n v="34791.458100000003"/>
    <n v="23099.508300000001"/>
    <n v="7.3100373173793498"/>
  </r>
  <r>
    <x v="1"/>
    <s v="VM"/>
    <x v="12"/>
    <x v="0"/>
    <x v="3"/>
    <n v="27901.311300000001"/>
    <n v="24384.644400000001"/>
    <n v="7.6264927622029397"/>
  </r>
  <r>
    <x v="1"/>
    <s v="VM"/>
    <x v="12"/>
    <x v="0"/>
    <x v="10"/>
    <n v="23256.602999999999"/>
    <n v="14866.6924"/>
    <n v="6.8042287784744504"/>
  </r>
  <r>
    <x v="1"/>
    <s v="VM"/>
    <x v="12"/>
    <x v="0"/>
    <x v="4"/>
    <n v="32884.6512"/>
    <n v="16849.2359"/>
    <n v="11.8748436145098"/>
  </r>
  <r>
    <x v="1"/>
    <s v="VM"/>
    <x v="12"/>
    <x v="0"/>
    <x v="11"/>
    <n v="41858.583900000005"/>
    <n v="11002.061300000001"/>
    <n v="15.1316762934651"/>
  </r>
  <r>
    <x v="1"/>
    <s v="VM"/>
    <x v="12"/>
    <x v="0"/>
    <x v="5"/>
    <n v="42925.786800000002"/>
    <n v="9908.7025000000012"/>
    <n v="14.698353955997501"/>
  </r>
  <r>
    <x v="1"/>
    <s v="VM"/>
    <x v="12"/>
    <x v="1"/>
    <x v="0"/>
    <n v="36592.598400000003"/>
    <n v="11773.043"/>
    <n v="14.6280076391779"/>
  </r>
  <r>
    <x v="1"/>
    <s v="VM"/>
    <x v="12"/>
    <x v="1"/>
    <x v="1"/>
    <n v="28395.317999999999"/>
    <n v="16372.472400000001"/>
    <n v="10.1894999546777"/>
  </r>
  <r>
    <x v="1"/>
    <s v="VM"/>
    <x v="12"/>
    <x v="1"/>
    <x v="8"/>
    <n v="49014.217800000006"/>
    <n v="4281.9440000000004"/>
    <n v="10.5838420080039"/>
  </r>
  <r>
    <x v="1"/>
    <s v="VM"/>
    <x v="12"/>
    <x v="1"/>
    <x v="10"/>
    <n v="51480.503400000001"/>
    <n v="33239.814600000005"/>
    <n v="15.651549195039101"/>
  </r>
  <r>
    <x v="1"/>
    <s v="VM"/>
    <x v="12"/>
    <x v="1"/>
    <x v="4"/>
    <n v="44648.714100000005"/>
    <n v="19180.761600000002"/>
    <n v="16.876350730397601"/>
  </r>
  <r>
    <x v="1"/>
    <s v="VM"/>
    <x v="12"/>
    <x v="1"/>
    <x v="11"/>
    <n v="51432.069000000003"/>
    <n v="14172.042100000001"/>
    <n v="27.453149855726501"/>
  </r>
  <r>
    <x v="1"/>
    <s v="VM"/>
    <x v="12"/>
    <x v="2"/>
    <x v="1"/>
    <n v="30795.917700000002"/>
    <n v="5640.9535999999998"/>
    <n v="0"/>
  </r>
  <r>
    <x v="1"/>
    <s v="VM"/>
    <x v="13"/>
    <x v="0"/>
    <x v="0"/>
    <n v="42539.334600000002"/>
    <n v="24312.7461"/>
    <n v="14.1885223470907"/>
  </r>
  <r>
    <x v="1"/>
    <s v="VM"/>
    <x v="13"/>
    <x v="0"/>
    <x v="7"/>
    <n v="35622.989699999998"/>
    <n v="16070.4079"/>
    <n v="11.738680919369701"/>
  </r>
  <r>
    <x v="1"/>
    <s v="VM"/>
    <x v="13"/>
    <x v="0"/>
    <x v="2"/>
    <n v="20021.0586"/>
    <n v="21275.187700000002"/>
    <n v="3.9985247205777599"/>
  </r>
  <r>
    <x v="1"/>
    <s v="VM"/>
    <x v="13"/>
    <x v="0"/>
    <x v="9"/>
    <n v="28318.834800000001"/>
    <n v="21530.5789"/>
    <n v="4.5319170001239604"/>
  </r>
  <r>
    <x v="1"/>
    <s v="VM"/>
    <x v="13"/>
    <x v="0"/>
    <x v="5"/>
    <n v="33733.9179"/>
    <n v="7721.4929000000002"/>
    <n v="12.2862766077741"/>
  </r>
  <r>
    <x v="1"/>
    <s v="VM"/>
    <x v="13"/>
    <x v="1"/>
    <x v="6"/>
    <n v="26923.574400000001"/>
    <n v="7177.9589000000005"/>
    <n v="8.1695862193238895"/>
  </r>
  <r>
    <x v="1"/>
    <s v="VM"/>
    <x v="13"/>
    <x v="1"/>
    <x v="0"/>
    <n v="23587.729500000001"/>
    <n v="19163.373100000001"/>
    <n v="11.253491395077999"/>
  </r>
  <r>
    <x v="1"/>
    <s v="VM"/>
    <x v="13"/>
    <x v="1"/>
    <x v="8"/>
    <n v="35564.157899999998"/>
    <n v="4705.1908000000003"/>
    <n v="9.9896647462253494"/>
  </r>
  <r>
    <x v="1"/>
    <s v="VM"/>
    <x v="13"/>
    <x v="1"/>
    <x v="3"/>
    <n v="24066.8655"/>
    <n v="20955.981800000001"/>
    <n v="9.6617792831169709"/>
  </r>
  <r>
    <x v="1"/>
    <s v="VM"/>
    <x v="13"/>
    <x v="1"/>
    <x v="5"/>
    <n v="22749.929700000001"/>
    <n v="2641.0866000000001"/>
    <n v="11.697834372799301"/>
  </r>
  <r>
    <x v="1"/>
    <s v="VM"/>
    <x v="13"/>
    <x v="2"/>
    <x v="0"/>
    <n v="20427.8685"/>
    <n v="10821.812400000001"/>
    <n v="9.9601218573219494"/>
  </r>
  <r>
    <x v="1"/>
    <s v="VM"/>
    <x v="13"/>
    <x v="2"/>
    <x v="7"/>
    <n v="18079.088400000001"/>
    <n v="7267.5297"/>
    <n v="7.7756237866228597"/>
  </r>
  <r>
    <x v="1"/>
    <s v="VM"/>
    <x v="14"/>
    <x v="0"/>
    <x v="8"/>
    <n v="338.65020000000004"/>
    <n v="2391.7664"/>
    <n v="4.1669230868283096"/>
  </r>
  <r>
    <x v="1"/>
    <s v="VM"/>
    <x v="14"/>
    <x v="0"/>
    <x v="2"/>
    <n v="26.5608"/>
    <n v="349.46550000000002"/>
    <n v="4.3220273392738697"/>
  </r>
  <r>
    <x v="1"/>
    <s v="VM"/>
    <x v="14"/>
    <x v="0"/>
    <x v="9"/>
    <n v="33.201000000000001"/>
    <n v="1.7713000000000001"/>
    <n v="2.9501591045871401E-2"/>
  </r>
  <r>
    <x v="1"/>
    <s v="VM"/>
    <x v="14"/>
    <x v="0"/>
    <x v="3"/>
    <n v="2456.8740000000003"/>
    <n v="4839.2067999999999"/>
    <n v="1.24786353639401"/>
  </r>
  <r>
    <x v="1"/>
    <s v="VM"/>
    <x v="14"/>
    <x v="1"/>
    <x v="8"/>
    <n v="20684.5206"/>
    <n v="2184.5544"/>
    <n v="13.0082056081998"/>
  </r>
  <r>
    <x v="1"/>
    <s v="VM"/>
    <x v="14"/>
    <x v="1"/>
    <x v="4"/>
    <n v="8194.6298999999999"/>
    <n v="10438.473400000001"/>
    <n v="10.2845289382792"/>
  </r>
  <r>
    <x v="1"/>
    <s v="VM"/>
    <x v="14"/>
    <x v="1"/>
    <x v="11"/>
    <n v="9049.3929000000007"/>
    <n v="1967.873"/>
    <n v="8.1173932102278599"/>
  </r>
  <r>
    <x v="1"/>
    <s v="VM"/>
    <x v="14"/>
    <x v="1"/>
    <x v="5"/>
    <n v="16709.0589"/>
    <n v="3997.4486000000002"/>
    <n v="15.3099921113287"/>
  </r>
  <r>
    <x v="1"/>
    <s v="VM"/>
    <x v="14"/>
    <x v="2"/>
    <x v="7"/>
    <n v="7418.1914999999999"/>
    <n v="4004.8864000000003"/>
    <n v="8.2673916277034394"/>
  </r>
  <r>
    <x v="1"/>
    <s v="VM"/>
    <x v="14"/>
    <x v="2"/>
    <x v="1"/>
    <n v="5948.0196000000005"/>
    <n v="3858.3177000000001"/>
    <n v="0"/>
  </r>
  <r>
    <x v="1"/>
    <s v="VM"/>
    <x v="11"/>
    <x v="1"/>
    <x v="0"/>
    <n v="25861.5144"/>
    <n v="14794.1777"/>
    <n v="6.5496229087149702"/>
  </r>
  <r>
    <x v="1"/>
    <s v="VM"/>
    <x v="11"/>
    <x v="1"/>
    <x v="7"/>
    <n v="17550.002100000002"/>
    <n v="11594.455300000001"/>
    <n v="2.7672757570728699"/>
  </r>
  <r>
    <x v="1"/>
    <s v="VM"/>
    <x v="11"/>
    <x v="1"/>
    <x v="1"/>
    <n v="32245.359900000003"/>
    <n v="27270.5056"/>
    <n v="6.3069937184013201"/>
  </r>
  <r>
    <x v="1"/>
    <s v="VM"/>
    <x v="11"/>
    <x v="1"/>
    <x v="10"/>
    <n v="25661.1738"/>
    <n v="36353.6302"/>
    <n v="5.6882976706317603"/>
  </r>
  <r>
    <x v="1"/>
    <s v="VM"/>
    <x v="11"/>
    <x v="1"/>
    <x v="11"/>
    <n v="63778.665300000001"/>
    <n v="22559.395800000002"/>
    <n v="9.3672906701654295"/>
  </r>
  <r>
    <x v="1"/>
    <s v="VM"/>
    <x v="11"/>
    <x v="2"/>
    <x v="6"/>
    <n v="56633.121900000006"/>
    <n v="28592.579800000003"/>
    <n v="7.2608698695933702"/>
  </r>
  <r>
    <x v="1"/>
    <s v="VM"/>
    <x v="11"/>
    <x v="2"/>
    <x v="7"/>
    <n v="56870.095200000003"/>
    <n v="28485.9365"/>
    <n v="7.2392412048366603"/>
  </r>
  <r>
    <x v="1"/>
    <s v="VM"/>
    <x v="11"/>
    <x v="2"/>
    <x v="1"/>
    <n v="34796.907899999998"/>
    <n v="33779.9781"/>
    <n v="0"/>
  </r>
  <r>
    <x v="1"/>
    <s v="VM"/>
    <x v="12"/>
    <x v="0"/>
    <x v="6"/>
    <n v="47134.743600000002"/>
    <n v="10925.8634"/>
    <n v="14.750724690281201"/>
  </r>
  <r>
    <x v="1"/>
    <s v="VM"/>
    <x v="12"/>
    <x v="0"/>
    <x v="7"/>
    <n v="30248.0082"/>
    <n v="11406.231400000001"/>
    <n v="9.8514362748788606"/>
  </r>
  <r>
    <x v="1"/>
    <s v="VM"/>
    <x v="12"/>
    <x v="0"/>
    <x v="1"/>
    <n v="29181.726000000002"/>
    <n v="10297.3367"/>
    <n v="7.0694875694142603"/>
  </r>
  <r>
    <x v="1"/>
    <s v="VM"/>
    <x v="12"/>
    <x v="0"/>
    <x v="8"/>
    <n v="47147.540400000005"/>
    <n v="12340.865100000001"/>
    <n v="8.2091463076727003"/>
  </r>
  <r>
    <x v="1"/>
    <s v="VM"/>
    <x v="12"/>
    <x v="1"/>
    <x v="6"/>
    <n v="39638.3577"/>
    <n v="15722.190700000001"/>
    <n v="15.821884095168"/>
  </r>
  <r>
    <x v="1"/>
    <s v="VM"/>
    <x v="12"/>
    <x v="1"/>
    <x v="7"/>
    <n v="35241.345600000001"/>
    <n v="8583.2273999999998"/>
    <n v="12.0271217785284"/>
  </r>
  <r>
    <x v="1"/>
    <s v="VM"/>
    <x v="12"/>
    <x v="1"/>
    <x v="2"/>
    <n v="54110.9061"/>
    <n v="18302.178800000002"/>
    <n v="9.3627721732238491"/>
  </r>
  <r>
    <x v="1"/>
    <s v="VM"/>
    <x v="12"/>
    <x v="1"/>
    <x v="9"/>
    <n v="71001.640500000009"/>
    <n v="15720.755000000001"/>
    <n v="9.7810066634684603"/>
  </r>
  <r>
    <x v="1"/>
    <s v="VM"/>
    <x v="12"/>
    <x v="1"/>
    <x v="3"/>
    <n v="56738.537400000001"/>
    <n v="32493.777700000002"/>
    <n v="9.9101311038301301"/>
  </r>
  <r>
    <x v="1"/>
    <s v="VM"/>
    <x v="12"/>
    <x v="1"/>
    <x v="5"/>
    <n v="45874.035600000003"/>
    <n v="13380.707"/>
    <n v="29.116236749403502"/>
  </r>
  <r>
    <x v="1"/>
    <s v="VM"/>
    <x v="12"/>
    <x v="2"/>
    <x v="6"/>
    <n v="39162.234900000003"/>
    <n v="7418.3913000000002"/>
    <n v="25.354858371818601"/>
  </r>
  <r>
    <x v="1"/>
    <s v="VM"/>
    <x v="12"/>
    <x v="2"/>
    <x v="0"/>
    <n v="42354.097200000004"/>
    <n v="10465.2657"/>
    <n v="31.465447531778999"/>
  </r>
  <r>
    <x v="1"/>
    <s v="VM"/>
    <x v="12"/>
    <x v="2"/>
    <x v="7"/>
    <n v="35543.707200000004"/>
    <n v="6717.1136999999999"/>
    <n v="27.0943446441396"/>
  </r>
  <r>
    <x v="1"/>
    <s v="VM"/>
    <x v="13"/>
    <x v="0"/>
    <x v="6"/>
    <n v="34843.1103"/>
    <n v="14646.9084"/>
    <n v="7.1176363874373099"/>
  </r>
  <r>
    <x v="1"/>
    <s v="VM"/>
    <x v="13"/>
    <x v="0"/>
    <x v="1"/>
    <n v="32598.276300000001"/>
    <n v="6544.3551000000007"/>
    <n v="8.1500475838340094"/>
  </r>
  <r>
    <x v="1"/>
    <s v="VM"/>
    <x v="13"/>
    <x v="0"/>
    <x v="8"/>
    <n v="33465.6129"/>
    <n v="13549.326300000001"/>
    <n v="6.7346223389283804"/>
  </r>
  <r>
    <x v="1"/>
    <s v="VM"/>
    <x v="13"/>
    <x v="0"/>
    <x v="3"/>
    <n v="27210.981600000003"/>
    <n v="26926.374200000002"/>
    <n v="6.6931608741747901"/>
  </r>
  <r>
    <x v="1"/>
    <s v="VM"/>
    <x v="13"/>
    <x v="0"/>
    <x v="10"/>
    <n v="19744.913700000001"/>
    <n v="25817.773500000003"/>
    <n v="15.1853846697283"/>
  </r>
  <r>
    <x v="1"/>
    <s v="VM"/>
    <x v="13"/>
    <x v="0"/>
    <x v="4"/>
    <n v="30614.772300000001"/>
    <n v="2503.2980000000002"/>
    <n v="15.146146704726"/>
  </r>
  <r>
    <x v="1"/>
    <s v="VM"/>
    <x v="13"/>
    <x v="0"/>
    <x v="11"/>
    <n v="41310.609300000004"/>
    <n v="5705.1467000000002"/>
    <n v="16.5140720518256"/>
  </r>
  <r>
    <x v="1"/>
    <s v="VM"/>
    <x v="13"/>
    <x v="1"/>
    <x v="7"/>
    <n v="23488.266"/>
    <n v="8623.3679000000011"/>
    <n v="10.605434621235501"/>
  </r>
  <r>
    <x v="1"/>
    <s v="VM"/>
    <x v="13"/>
    <x v="1"/>
    <x v="1"/>
    <n v="17139.388500000001"/>
    <n v="12060.830600000001"/>
    <n v="8.0094708744854106"/>
  </r>
  <r>
    <x v="1"/>
    <s v="VM"/>
    <x v="13"/>
    <x v="1"/>
    <x v="2"/>
    <n v="34711.068899999998"/>
    <n v="14413.659500000002"/>
    <n v="8.4721854463530804"/>
  </r>
  <r>
    <x v="1"/>
    <s v="VM"/>
    <x v="13"/>
    <x v="1"/>
    <x v="9"/>
    <n v="26718.723300000001"/>
    <n v="14377.989300000001"/>
    <n v="5.7345496892135603"/>
  </r>
  <r>
    <x v="1"/>
    <s v="VM"/>
    <x v="13"/>
    <x v="1"/>
    <x v="10"/>
    <n v="25897.5798"/>
    <n v="17273.5658"/>
    <n v="19.2435567049748"/>
  </r>
  <r>
    <x v="1"/>
    <s v="VM"/>
    <x v="13"/>
    <x v="1"/>
    <x v="4"/>
    <n v="24222.900900000001"/>
    <n v="5275.8990000000003"/>
    <n v="16.374485819029701"/>
  </r>
  <r>
    <x v="1"/>
    <s v="VM"/>
    <x v="13"/>
    <x v="1"/>
    <x v="11"/>
    <n v="22271.323800000002"/>
    <n v="6145.1783000000005"/>
    <n v="14.151997024518501"/>
  </r>
  <r>
    <x v="1"/>
    <s v="VM"/>
    <x v="13"/>
    <x v="2"/>
    <x v="6"/>
    <n v="20784.876899999999"/>
    <n v="6692.3956000000007"/>
    <n v="9.7593208708769694"/>
  </r>
  <r>
    <x v="1"/>
    <s v="VM"/>
    <x v="13"/>
    <x v="2"/>
    <x v="1"/>
    <n v="20792.9679"/>
    <n v="9997.9220000000005"/>
    <n v="0"/>
  </r>
  <r>
    <x v="1"/>
    <s v="VM"/>
    <x v="14"/>
    <x v="0"/>
    <x v="10"/>
    <n v="4880.5470000000005"/>
    <n v="8466.1166000000012"/>
    <n v="3.0479801334169698"/>
  </r>
  <r>
    <x v="1"/>
    <s v="VM"/>
    <x v="14"/>
    <x v="0"/>
    <x v="4"/>
    <n v="4448.9340000000002"/>
    <n v="6885.3310000000001"/>
    <n v="4.3322403547952"/>
  </r>
  <r>
    <x v="1"/>
    <s v="VM"/>
    <x v="14"/>
    <x v="0"/>
    <x v="11"/>
    <n v="9511.3518000000004"/>
    <n v="4393.2299000000003"/>
    <n v="5.25164664401946"/>
  </r>
  <r>
    <x v="1"/>
    <s v="VM"/>
    <x v="14"/>
    <x v="0"/>
    <x v="5"/>
    <n v="7800.0681000000004"/>
    <n v="7429.4353000000001"/>
    <n v="3.56542091408962"/>
  </r>
  <r>
    <x v="1"/>
    <s v="VM"/>
    <x v="14"/>
    <x v="1"/>
    <x v="6"/>
    <n v="9165.0570000000007"/>
    <n v="9407.1061000000009"/>
    <n v="2.6092006079946799"/>
  </r>
  <r>
    <x v="1"/>
    <s v="VM"/>
    <x v="14"/>
    <x v="1"/>
    <x v="0"/>
    <n v="17125.819800000001"/>
    <n v="15104.1453"/>
    <n v="6.4284715636732104"/>
  </r>
  <r>
    <x v="1"/>
    <s v="VM"/>
    <x v="14"/>
    <x v="1"/>
    <x v="7"/>
    <n v="14957.478300000001"/>
    <n v="8171.4617000000007"/>
    <n v="3.5554270747569299"/>
  </r>
  <r>
    <x v="1"/>
    <s v="VM"/>
    <x v="14"/>
    <x v="1"/>
    <x v="1"/>
    <n v="13269.8817"/>
    <n v="18089.853999999999"/>
    <n v="11.9971664096418"/>
  </r>
  <r>
    <x v="1"/>
    <s v="VM"/>
    <x v="14"/>
    <x v="1"/>
    <x v="2"/>
    <n v="16437.963900000002"/>
    <n v="6726.8561"/>
    <n v="9.8781830924720104"/>
  </r>
  <r>
    <x v="1"/>
    <s v="VM"/>
    <x v="14"/>
    <x v="1"/>
    <x v="9"/>
    <n v="14406.109200000001"/>
    <n v="5516.7819"/>
    <n v="7.2220517150776899"/>
  </r>
  <r>
    <x v="1"/>
    <s v="VM"/>
    <x v="14"/>
    <x v="1"/>
    <x v="3"/>
    <n v="10649.532300000001"/>
    <n v="8211.4916000000012"/>
    <n v="4.9317997016690196"/>
  </r>
  <r>
    <x v="1"/>
    <s v="VM"/>
    <x v="14"/>
    <x v="1"/>
    <x v="10"/>
    <n v="7668.7893000000004"/>
    <n v="9115.8057000000008"/>
    <n v="3.15906289419677"/>
  </r>
  <r>
    <x v="1"/>
    <s v="VM"/>
    <x v="14"/>
    <x v="2"/>
    <x v="6"/>
    <n v="10768.525800000001"/>
    <n v="5690.6269000000002"/>
    <n v="10.731477809616401"/>
  </r>
  <r>
    <x v="1"/>
    <s v="VM"/>
    <x v="14"/>
    <x v="2"/>
    <x v="0"/>
    <n v="8569.5501000000004"/>
    <n v="4851.1001999999999"/>
    <n v="9.3872052112245701"/>
  </r>
  <r>
    <x v="2"/>
    <m/>
    <x v="15"/>
    <x v="3"/>
    <x v="12"/>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0253B11-7C75-4981-8A7E-FDE9EAB10A44}" name="NOOS EOH_VAL" cacheId="3"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3">
  <location ref="K89:O103" firstHeaderRow="1" firstDataRow="2" firstDataCol="1" rowPageCount="1" colPageCount="1"/>
  <pivotFields count="8">
    <pivotField axis="axisPage" showAll="0">
      <items count="4">
        <item x="2"/>
        <item x="0"/>
        <item x="1"/>
        <item t="default"/>
      </items>
    </pivotField>
    <pivotField showAll="0"/>
    <pivotField showAll="0">
      <items count="17">
        <item h="1" x="0"/>
        <item h="1" x="1"/>
        <item h="1" x="2"/>
        <item h="1" x="3"/>
        <item x="4"/>
        <item h="1" x="5"/>
        <item h="1" x="6"/>
        <item h="1" x="7"/>
        <item h="1" x="8"/>
        <item h="1" x="9"/>
        <item h="1" x="10"/>
        <item h="1" x="13"/>
        <item h="1" x="14"/>
        <item h="1" x="11"/>
        <item h="1" x="12"/>
        <item h="1" x="15"/>
        <item t="default"/>
      </items>
    </pivotField>
    <pivotField axis="axisCol" showAll="0">
      <items count="5">
        <item x="0"/>
        <item x="1"/>
        <item x="3"/>
        <item x="2"/>
        <item t="default"/>
      </items>
    </pivotField>
    <pivotField axis="axisRow" showAll="0">
      <items count="14">
        <item x="6"/>
        <item x="0"/>
        <item x="7"/>
        <item x="1"/>
        <item x="8"/>
        <item x="2"/>
        <item x="9"/>
        <item x="3"/>
        <item x="10"/>
        <item x="4"/>
        <item x="11"/>
        <item x="5"/>
        <item h="1" x="12"/>
        <item t="default"/>
      </items>
    </pivotField>
    <pivotField dataField="1" numFmtId="173" showAll="0"/>
    <pivotField numFmtId="173" showAll="0"/>
    <pivotField showAll="0"/>
  </pivotFields>
  <rowFields count="1">
    <field x="4"/>
  </rowFields>
  <rowItems count="13">
    <i>
      <x/>
    </i>
    <i>
      <x v="1"/>
    </i>
    <i>
      <x v="2"/>
    </i>
    <i>
      <x v="3"/>
    </i>
    <i>
      <x v="4"/>
    </i>
    <i>
      <x v="5"/>
    </i>
    <i>
      <x v="6"/>
    </i>
    <i>
      <x v="7"/>
    </i>
    <i>
      <x v="8"/>
    </i>
    <i>
      <x v="9"/>
    </i>
    <i>
      <x v="10"/>
    </i>
    <i>
      <x v="11"/>
    </i>
    <i t="grand">
      <x/>
    </i>
  </rowItems>
  <colFields count="1">
    <field x="3"/>
  </colFields>
  <colItems count="4">
    <i>
      <x/>
    </i>
    <i>
      <x v="1"/>
    </i>
    <i>
      <x v="3"/>
    </i>
    <i t="grand">
      <x/>
    </i>
  </colItems>
  <pageFields count="1">
    <pageField fld="0" item="2" hier="-1"/>
  </pageFields>
  <dataFields count="1">
    <dataField name="Sum of EOH_VAL" fld="5" baseField="5" baseItem="4" numFmtId="3"/>
  </dataFields>
  <chartFormats count="2">
    <chartFormat chart="2" format="10" series="1">
      <pivotArea type="data" outline="0" fieldPosition="0">
        <references count="2">
          <reference field="4294967294" count="1" selected="0">
            <x v="0"/>
          </reference>
          <reference field="3" count="1" selected="0">
            <x v="0"/>
          </reference>
        </references>
      </pivotArea>
    </chartFormat>
    <chartFormat chart="2" format="11"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C1C2D2-4E04-49F6-83C6-C15171D6395A}" name="Non-NOOS EOH" cacheId="3"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8">
  <location ref="K27:O41" firstHeaderRow="1" firstDataRow="2" firstDataCol="1" rowPageCount="1" colPageCount="1"/>
  <pivotFields count="8">
    <pivotField axis="axisPage" showAll="0">
      <items count="4">
        <item x="2"/>
        <item x="0"/>
        <item x="1"/>
        <item t="default"/>
      </items>
    </pivotField>
    <pivotField showAll="0"/>
    <pivotField showAll="0">
      <items count="17">
        <item h="1" x="0"/>
        <item h="1" x="1"/>
        <item h="1" x="2"/>
        <item h="1" x="3"/>
        <item x="4"/>
        <item h="1" x="5"/>
        <item h="1" x="6"/>
        <item h="1" x="7"/>
        <item h="1" x="8"/>
        <item h="1" x="9"/>
        <item h="1" x="10"/>
        <item h="1" x="13"/>
        <item h="1" x="14"/>
        <item h="1" x="11"/>
        <item h="1" x="12"/>
        <item h="1" x="15"/>
        <item t="default"/>
      </items>
    </pivotField>
    <pivotField axis="axisCol" showAll="0">
      <items count="5">
        <item x="0"/>
        <item x="1"/>
        <item x="3"/>
        <item x="2"/>
        <item t="default"/>
      </items>
    </pivotField>
    <pivotField axis="axisRow" showAll="0">
      <items count="14">
        <item x="6"/>
        <item x="0"/>
        <item x="7"/>
        <item x="1"/>
        <item x="8"/>
        <item x="2"/>
        <item x="9"/>
        <item x="3"/>
        <item x="10"/>
        <item x="4"/>
        <item x="11"/>
        <item x="5"/>
        <item h="1" x="12"/>
        <item t="default"/>
      </items>
    </pivotField>
    <pivotField dataField="1" numFmtId="173" showAll="0"/>
    <pivotField numFmtId="173" showAll="0"/>
    <pivotField showAll="0"/>
  </pivotFields>
  <rowFields count="1">
    <field x="4"/>
  </rowFields>
  <rowItems count="13">
    <i>
      <x/>
    </i>
    <i>
      <x v="1"/>
    </i>
    <i>
      <x v="2"/>
    </i>
    <i>
      <x v="3"/>
    </i>
    <i>
      <x v="4"/>
    </i>
    <i>
      <x v="5"/>
    </i>
    <i>
      <x v="6"/>
    </i>
    <i>
      <x v="7"/>
    </i>
    <i>
      <x v="8"/>
    </i>
    <i>
      <x v="9"/>
    </i>
    <i>
      <x v="10"/>
    </i>
    <i>
      <x v="11"/>
    </i>
    <i t="grand">
      <x/>
    </i>
  </rowItems>
  <colFields count="1">
    <field x="3"/>
  </colFields>
  <colItems count="4">
    <i>
      <x/>
    </i>
    <i>
      <x v="1"/>
    </i>
    <i>
      <x v="3"/>
    </i>
    <i t="grand">
      <x/>
    </i>
  </colItems>
  <pageFields count="1">
    <pageField fld="0" item="1" hier="-1"/>
  </pageFields>
  <dataFields count="1">
    <dataField name="Sum of EOH_VAL" fld="5" baseField="5" baseItem="4" numFmtId="3"/>
  </dataFields>
  <chartFormats count="12">
    <chartFormat chart="2" format="10" series="1">
      <pivotArea type="data" outline="0" fieldPosition="0">
        <references count="2">
          <reference field="4294967294" count="1" selected="0">
            <x v="0"/>
          </reference>
          <reference field="3" count="1" selected="0">
            <x v="0"/>
          </reference>
        </references>
      </pivotArea>
    </chartFormat>
    <chartFormat chart="2" format="11" series="1">
      <pivotArea type="data" outline="0" fieldPosition="0">
        <references count="2">
          <reference field="4294967294" count="1" selected="0">
            <x v="0"/>
          </reference>
          <reference field="3" count="1" selected="0">
            <x v="1"/>
          </reference>
        </references>
      </pivotArea>
    </chartFormat>
    <chartFormat chart="3" format="1" series="1">
      <pivotArea type="data" outline="0" fieldPosition="0">
        <references count="2">
          <reference field="4294967294" count="1" selected="0">
            <x v="0"/>
          </reference>
          <reference field="3" count="1" selected="0">
            <x v="0"/>
          </reference>
        </references>
      </pivotArea>
    </chartFormat>
    <chartFormat chart="3" format="2" series="1">
      <pivotArea type="data" outline="0" fieldPosition="0">
        <references count="2">
          <reference field="4294967294" count="1" selected="0">
            <x v="0"/>
          </reference>
          <reference field="3" count="1" selected="0">
            <x v="1"/>
          </reference>
        </references>
      </pivotArea>
    </chartFormat>
    <chartFormat chart="4" format="1" series="1">
      <pivotArea type="data" outline="0" fieldPosition="0">
        <references count="2">
          <reference field="4294967294" count="1" selected="0">
            <x v="0"/>
          </reference>
          <reference field="3" count="1" selected="0">
            <x v="0"/>
          </reference>
        </references>
      </pivotArea>
    </chartFormat>
    <chartFormat chart="4" format="2" series="1">
      <pivotArea type="data" outline="0" fieldPosition="0">
        <references count="2">
          <reference field="4294967294" count="1" selected="0">
            <x v="0"/>
          </reference>
          <reference field="3" count="1" selected="0">
            <x v="1"/>
          </reference>
        </references>
      </pivotArea>
    </chartFormat>
    <chartFormat chart="5" format="1" series="1">
      <pivotArea type="data" outline="0" fieldPosition="0">
        <references count="2">
          <reference field="4294967294" count="1" selected="0">
            <x v="0"/>
          </reference>
          <reference field="3" count="1" selected="0">
            <x v="0"/>
          </reference>
        </references>
      </pivotArea>
    </chartFormat>
    <chartFormat chart="5" format="2" series="1">
      <pivotArea type="data" outline="0" fieldPosition="0">
        <references count="2">
          <reference field="4294967294" count="1" selected="0">
            <x v="0"/>
          </reference>
          <reference field="3" count="1" selected="0">
            <x v="1"/>
          </reference>
        </references>
      </pivotArea>
    </chartFormat>
    <chartFormat chart="6" format="1" series="1">
      <pivotArea type="data" outline="0" fieldPosition="0">
        <references count="2">
          <reference field="4294967294" count="1" selected="0">
            <x v="0"/>
          </reference>
          <reference field="3" count="1" selected="0">
            <x v="0"/>
          </reference>
        </references>
      </pivotArea>
    </chartFormat>
    <chartFormat chart="6" format="2" series="1">
      <pivotArea type="data" outline="0" fieldPosition="0">
        <references count="2">
          <reference field="4294967294" count="1" selected="0">
            <x v="0"/>
          </reference>
          <reference field="3" count="1" selected="0">
            <x v="1"/>
          </reference>
        </references>
      </pivotArea>
    </chartFormat>
    <chartFormat chart="7" format="1" series="1">
      <pivotArea type="data" outline="0" fieldPosition="0">
        <references count="2">
          <reference field="4294967294" count="1" selected="0">
            <x v="0"/>
          </reference>
          <reference field="3" count="1" selected="0">
            <x v="0"/>
          </reference>
        </references>
      </pivotArea>
    </chartFormat>
    <chartFormat chart="7" format="2"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5535F56-9D6A-431A-BB01-C264DE962997}" name="Non-NOOS NWC" cacheId="3"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7">
  <location ref="K7:O21" firstHeaderRow="1" firstDataRow="2" firstDataCol="1" rowPageCount="2" colPageCount="1"/>
  <pivotFields count="8">
    <pivotField axis="axisPage" multipleItemSelectionAllowed="1" showAll="0">
      <items count="4">
        <item x="0"/>
        <item h="1" x="1"/>
        <item h="1" x="2"/>
        <item t="default"/>
      </items>
    </pivotField>
    <pivotField showAll="0"/>
    <pivotField axis="axisPage" multipleItemSelectionAllowed="1" showAll="0">
      <items count="17">
        <item h="1" x="0"/>
        <item x="4"/>
        <item h="1" x="7"/>
        <item h="1" x="13"/>
        <item h="1" x="15"/>
        <item h="1" x="2"/>
        <item h="1" x="3"/>
        <item h="1" x="5"/>
        <item h="1" x="6"/>
        <item h="1" x="8"/>
        <item h="1" x="10"/>
        <item h="1" x="12"/>
        <item h="1" x="1"/>
        <item h="1" x="9"/>
        <item h="1" x="11"/>
        <item h="1" x="14"/>
        <item t="default"/>
      </items>
    </pivotField>
    <pivotField axis="axisCol" showAll="0">
      <items count="5">
        <item x="0"/>
        <item x="1"/>
        <item x="3"/>
        <item x="2"/>
        <item t="default"/>
      </items>
    </pivotField>
    <pivotField axis="axisRow" showAll="0">
      <items count="14">
        <item x="6"/>
        <item x="0"/>
        <item x="7"/>
        <item x="1"/>
        <item x="8"/>
        <item x="2"/>
        <item x="9"/>
        <item x="3"/>
        <item x="10"/>
        <item x="4"/>
        <item x="11"/>
        <item x="5"/>
        <item h="1" x="12"/>
        <item t="default"/>
      </items>
    </pivotField>
    <pivotField numFmtId="173" showAll="0"/>
    <pivotField numFmtId="173" showAll="0"/>
    <pivotField dataField="1" showAll="0"/>
  </pivotFields>
  <rowFields count="1">
    <field x="4"/>
  </rowFields>
  <rowItems count="13">
    <i>
      <x/>
    </i>
    <i>
      <x v="1"/>
    </i>
    <i>
      <x v="2"/>
    </i>
    <i>
      <x v="3"/>
    </i>
    <i>
      <x v="4"/>
    </i>
    <i>
      <x v="5"/>
    </i>
    <i>
      <x v="6"/>
    </i>
    <i>
      <x v="7"/>
    </i>
    <i>
      <x v="8"/>
    </i>
    <i>
      <x v="9"/>
    </i>
    <i>
      <x v="10"/>
    </i>
    <i>
      <x v="11"/>
    </i>
    <i t="grand">
      <x/>
    </i>
  </rowItems>
  <colFields count="1">
    <field x="3"/>
  </colFields>
  <colItems count="4">
    <i>
      <x/>
    </i>
    <i>
      <x v="1"/>
    </i>
    <i>
      <x v="3"/>
    </i>
    <i t="grand">
      <x/>
    </i>
  </colItems>
  <pageFields count="2">
    <pageField fld="0" hier="-1"/>
    <pageField fld="2" hier="-1"/>
  </pageFields>
  <dataFields count="1">
    <dataField name="Sum of NWC" fld="7" baseField="4" baseItem="10" numFmtId="17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DBD5ED1-B51A-4925-A722-22F182212B46}" name="Non-NOOS NET_COGS" cacheId="3"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8">
  <location ref="K47:O61" firstHeaderRow="1" firstDataRow="2" firstDataCol="1" rowPageCount="1" colPageCount="1"/>
  <pivotFields count="8">
    <pivotField axis="axisPage" showAll="0">
      <items count="4">
        <item x="2"/>
        <item x="0"/>
        <item x="1"/>
        <item t="default"/>
      </items>
    </pivotField>
    <pivotField showAll="0"/>
    <pivotField showAll="0">
      <items count="17">
        <item h="1" x="0"/>
        <item h="1" x="1"/>
        <item h="1" x="2"/>
        <item h="1" x="3"/>
        <item x="4"/>
        <item h="1" x="5"/>
        <item h="1" x="6"/>
        <item h="1" x="7"/>
        <item h="1" x="8"/>
        <item h="1" x="9"/>
        <item h="1" x="10"/>
        <item h="1" x="13"/>
        <item h="1" x="14"/>
        <item h="1" x="11"/>
        <item h="1" x="12"/>
        <item h="1" x="15"/>
        <item t="default"/>
      </items>
    </pivotField>
    <pivotField axis="axisCol" showAll="0">
      <items count="5">
        <item x="0"/>
        <item x="1"/>
        <item x="3"/>
        <item x="2"/>
        <item t="default"/>
      </items>
    </pivotField>
    <pivotField axis="axisRow" showAll="0">
      <items count="14">
        <item x="6"/>
        <item x="0"/>
        <item x="7"/>
        <item x="1"/>
        <item x="8"/>
        <item x="2"/>
        <item x="9"/>
        <item x="3"/>
        <item x="10"/>
        <item x="4"/>
        <item x="11"/>
        <item x="5"/>
        <item h="1" x="12"/>
        <item t="default"/>
      </items>
    </pivotField>
    <pivotField numFmtId="173" showAll="0"/>
    <pivotField dataField="1" numFmtId="173" showAll="0"/>
    <pivotField showAll="0"/>
  </pivotFields>
  <rowFields count="1">
    <field x="4"/>
  </rowFields>
  <rowItems count="13">
    <i>
      <x/>
    </i>
    <i>
      <x v="1"/>
    </i>
    <i>
      <x v="2"/>
    </i>
    <i>
      <x v="3"/>
    </i>
    <i>
      <x v="4"/>
    </i>
    <i>
      <x v="5"/>
    </i>
    <i>
      <x v="6"/>
    </i>
    <i>
      <x v="7"/>
    </i>
    <i>
      <x v="8"/>
    </i>
    <i>
      <x v="9"/>
    </i>
    <i>
      <x v="10"/>
    </i>
    <i>
      <x v="11"/>
    </i>
    <i t="grand">
      <x/>
    </i>
  </rowItems>
  <colFields count="1">
    <field x="3"/>
  </colFields>
  <colItems count="4">
    <i>
      <x/>
    </i>
    <i>
      <x v="1"/>
    </i>
    <i>
      <x v="3"/>
    </i>
    <i t="grand">
      <x/>
    </i>
  </colItems>
  <pageFields count="1">
    <pageField fld="0" item="1" hier="-1"/>
  </pageFields>
  <dataFields count="1">
    <dataField name="Sum of NET_COGS_ED" fld="6" baseField="4" baseItem="4" numFmtId="3"/>
  </dataFields>
  <formats count="2">
    <format dxfId="25">
      <pivotArea grandRow="1" outline="0" collapsedLevelsAreSubtotals="1" fieldPosition="0"/>
    </format>
    <format dxfId="24">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99D379E-C430-4EB8-A5E6-F43819D7D659}" name="NOOS NET_COGS" cacheId="3"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3">
  <location ref="K109:O123" firstHeaderRow="1" firstDataRow="2" firstDataCol="1" rowPageCount="1" colPageCount="1"/>
  <pivotFields count="8">
    <pivotField axis="axisPage" showAll="0">
      <items count="4">
        <item x="2"/>
        <item x="0"/>
        <item x="1"/>
        <item t="default"/>
      </items>
    </pivotField>
    <pivotField showAll="0"/>
    <pivotField showAll="0">
      <items count="17">
        <item h="1" x="0"/>
        <item h="1" x="1"/>
        <item h="1" x="2"/>
        <item h="1" x="3"/>
        <item x="4"/>
        <item h="1" x="5"/>
        <item h="1" x="6"/>
        <item h="1" x="7"/>
        <item h="1" x="8"/>
        <item h="1" x="9"/>
        <item h="1" x="10"/>
        <item h="1" x="13"/>
        <item h="1" x="14"/>
        <item h="1" x="11"/>
        <item h="1" x="12"/>
        <item h="1" x="15"/>
        <item t="default"/>
      </items>
    </pivotField>
    <pivotField axis="axisCol" showAll="0">
      <items count="5">
        <item x="0"/>
        <item x="1"/>
        <item x="3"/>
        <item x="2"/>
        <item t="default"/>
      </items>
    </pivotField>
    <pivotField axis="axisRow" showAll="0">
      <items count="14">
        <item x="6"/>
        <item x="0"/>
        <item x="7"/>
        <item x="1"/>
        <item x="8"/>
        <item x="2"/>
        <item x="9"/>
        <item x="3"/>
        <item x="10"/>
        <item x="4"/>
        <item x="11"/>
        <item x="5"/>
        <item h="1" x="12"/>
        <item t="default"/>
      </items>
    </pivotField>
    <pivotField numFmtId="173" showAll="0"/>
    <pivotField dataField="1" numFmtId="173" showAll="0"/>
    <pivotField showAll="0"/>
  </pivotFields>
  <rowFields count="1">
    <field x="4"/>
  </rowFields>
  <rowItems count="13">
    <i>
      <x/>
    </i>
    <i>
      <x v="1"/>
    </i>
    <i>
      <x v="2"/>
    </i>
    <i>
      <x v="3"/>
    </i>
    <i>
      <x v="4"/>
    </i>
    <i>
      <x v="5"/>
    </i>
    <i>
      <x v="6"/>
    </i>
    <i>
      <x v="7"/>
    </i>
    <i>
      <x v="8"/>
    </i>
    <i>
      <x v="9"/>
    </i>
    <i>
      <x v="10"/>
    </i>
    <i>
      <x v="11"/>
    </i>
    <i t="grand">
      <x/>
    </i>
  </rowItems>
  <colFields count="1">
    <field x="3"/>
  </colFields>
  <colItems count="4">
    <i>
      <x/>
    </i>
    <i>
      <x v="1"/>
    </i>
    <i>
      <x v="3"/>
    </i>
    <i t="grand">
      <x/>
    </i>
  </colItems>
  <pageFields count="1">
    <pageField fld="0" item="2" hier="-1"/>
  </pageFields>
  <dataFields count="1">
    <dataField name="Sum of NET_COGS_ED" fld="6" baseField="4" baseItem="6"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C1E69BC-489C-46EB-928E-C553CAE79B83}" name="NOOS NWC" cacheId="3" applyNumberFormats="0" applyBorderFormats="0" applyFontFormats="0" applyPatternFormats="0" applyAlignmentFormats="0" applyWidthHeightFormats="1" dataCaption="Values" updatedVersion="6" minRefreshableVersion="3" itemPrintTitles="1" createdVersion="6" indent="0" outline="1" outlineData="1" multipleFieldFilters="0" chartFormat="9">
  <location ref="K69:O83" firstHeaderRow="1" firstDataRow="2" firstDataCol="1" rowPageCount="2" colPageCount="1"/>
  <pivotFields count="8">
    <pivotField axis="axisPage" multipleItemSelectionAllowed="1" showAll="0">
      <items count="4">
        <item h="1" x="2"/>
        <item h="1" x="0"/>
        <item x="1"/>
        <item t="default"/>
      </items>
    </pivotField>
    <pivotField showAll="0"/>
    <pivotField axis="axisPage" multipleItemSelectionAllowed="1" showAll="0">
      <items count="17">
        <item h="1" x="0"/>
        <item x="4"/>
        <item h="1" x="7"/>
        <item h="1" x="13"/>
        <item h="1" x="15"/>
        <item h="1" x="2"/>
        <item h="1" x="3"/>
        <item h="1" x="5"/>
        <item h="1" x="6"/>
        <item h="1" x="8"/>
        <item h="1" x="10"/>
        <item h="1" x="12"/>
        <item h="1" x="1"/>
        <item h="1" x="9"/>
        <item h="1" x="11"/>
        <item h="1" x="14"/>
        <item t="default"/>
      </items>
    </pivotField>
    <pivotField axis="axisCol" showAll="0">
      <items count="5">
        <item x="0"/>
        <item x="1"/>
        <item x="3"/>
        <item x="2"/>
        <item t="default"/>
      </items>
    </pivotField>
    <pivotField axis="axisRow" showAll="0">
      <items count="14">
        <item x="6"/>
        <item x="0"/>
        <item x="7"/>
        <item x="1"/>
        <item x="8"/>
        <item x="2"/>
        <item x="9"/>
        <item x="3"/>
        <item x="10"/>
        <item x="4"/>
        <item x="11"/>
        <item x="5"/>
        <item h="1" x="12"/>
        <item t="default"/>
      </items>
    </pivotField>
    <pivotField numFmtId="173" showAll="0"/>
    <pivotField numFmtId="173" showAll="0"/>
    <pivotField dataField="1" showAll="0"/>
  </pivotFields>
  <rowFields count="1">
    <field x="4"/>
  </rowFields>
  <rowItems count="13">
    <i>
      <x/>
    </i>
    <i>
      <x v="1"/>
    </i>
    <i>
      <x v="2"/>
    </i>
    <i>
      <x v="3"/>
    </i>
    <i>
      <x v="4"/>
    </i>
    <i>
      <x v="5"/>
    </i>
    <i>
      <x v="6"/>
    </i>
    <i>
      <x v="7"/>
    </i>
    <i>
      <x v="8"/>
    </i>
    <i>
      <x v="9"/>
    </i>
    <i>
      <x v="10"/>
    </i>
    <i>
      <x v="11"/>
    </i>
    <i t="grand">
      <x/>
    </i>
  </rowItems>
  <colFields count="1">
    <field x="3"/>
  </colFields>
  <colItems count="4">
    <i>
      <x/>
    </i>
    <i>
      <x v="1"/>
    </i>
    <i>
      <x v="3"/>
    </i>
    <i t="grand">
      <x/>
    </i>
  </colItems>
  <pageFields count="2">
    <pageField fld="0" hier="-1"/>
    <pageField fld="2" hier="-1"/>
  </pageFields>
  <dataFields count="1">
    <dataField name="Sum of NWC" fld="7" baseField="5" baseItem="11" numFmtId="3"/>
  </dataFields>
  <chartFormats count="2">
    <chartFormat chart="3" format="11" series="1">
      <pivotArea type="data" outline="0" fieldPosition="0">
        <references count="2">
          <reference field="4294967294" count="1" selected="0">
            <x v="0"/>
          </reference>
          <reference field="3" count="1" selected="0">
            <x v="0"/>
          </reference>
        </references>
      </pivotArea>
    </chartFormat>
    <chartFormat chart="3" format="12"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F0507A0-623D-42BD-AA10-3668B3B2A4B5}"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P3" firstHeaderRow="0" firstDataRow="0" firstDataCol="0" rowPageCount="1" colPageCount="1"/>
  <pivotFields count="1">
    <pivotField axis="axisPage" multipleItemSelectionAllowed="1" showAll="0">
      <items count="4">
        <item x="0"/>
        <item h="1" x="1"/>
        <item h="1" x="2"/>
        <item t="default"/>
      </items>
    </pivotField>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4C224C3-1544-4CAA-862F-8FF2FBC25D86}"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L3" firstHeaderRow="0" firstDataRow="0" firstDataCol="0" rowPageCount="1" colPageCount="1"/>
  <pivotFields count="1">
    <pivotField axis="axisPage" multipleItemSelectionAllowed="1" showAll="0">
      <items count="24">
        <item h="1" x="0"/>
        <item x="4"/>
        <item h="1" x="7"/>
        <item h="1" x="11"/>
        <item h="1" x="1"/>
        <item h="1" x="2"/>
        <item h="1" x="3"/>
        <item h="1" x="5"/>
        <item h="1" x="6"/>
        <item h="1" x="8"/>
        <item h="1" x="9"/>
        <item h="1" x="10"/>
        <item h="1" x="14"/>
        <item h="1" x="15"/>
        <item h="1" m="1" x="20"/>
        <item h="1" m="1" x="21"/>
        <item h="1" m="1" x="22"/>
        <item h="1" m="1" x="19"/>
        <item h="1" m="1" x="16"/>
        <item h="1" x="12"/>
        <item h="1" m="1" x="18"/>
        <item h="1" m="1" x="17"/>
        <item h="1" x="13"/>
        <item t="default"/>
      </items>
    </pivotField>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7DC7E00-F081-4811-9814-3A5E96EEA488}" name="PivotTable3" cacheId="2" applyNumberFormats="0" applyBorderFormats="0" applyFontFormats="0" applyPatternFormats="0" applyAlignmentFormats="0" applyWidthHeightFormats="1" dataCaption="Values" updatedVersion="6" minRefreshableVersion="3" useAutoFormatting="1" rowGrandTotals="0" itemPrintTitles="1" createdVersion="6" indent="0" compact="0" compactData="0" multipleFieldFilters="0">
  <location ref="A3:A18" firstHeaderRow="1" firstDataRow="1" firstDataCol="1" rowPageCount="1" colPageCount="1"/>
  <pivotFields count="6">
    <pivotField axis="axisPage" compact="0" outline="0" showAll="0" defaultSubtotal="0">
      <items count="9">
        <item h="1" x="1"/>
        <item m="1" x="5"/>
        <item m="1" x="6"/>
        <item m="1" x="4"/>
        <item m="1" x="7"/>
        <item m="1" x="2"/>
        <item x="0"/>
        <item m="1" x="8"/>
        <item m="1"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28">
        <item x="0"/>
        <item m="1" x="21"/>
        <item m="1" x="25"/>
        <item m="1" x="27"/>
        <item x="1"/>
        <item m="1" x="22"/>
        <item m="1" x="18"/>
        <item x="2"/>
        <item m="1" x="20"/>
        <item x="3"/>
        <item m="1" x="23"/>
        <item x="4"/>
        <item x="5"/>
        <item m="1" x="16"/>
        <item x="6"/>
        <item x="7"/>
        <item x="8"/>
        <item x="9"/>
        <item x="10"/>
        <item m="1" x="26"/>
        <item x="13"/>
        <item m="1" x="24"/>
        <item x="14"/>
        <item x="11"/>
        <item x="12"/>
        <item m="1" x="19"/>
        <item m="1" x="17"/>
        <item x="15"/>
      </items>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
    <field x="2"/>
  </rowFields>
  <rowItems count="15">
    <i>
      <x/>
    </i>
    <i>
      <x v="4"/>
    </i>
    <i>
      <x v="7"/>
    </i>
    <i>
      <x v="9"/>
    </i>
    <i>
      <x v="11"/>
    </i>
    <i>
      <x v="12"/>
    </i>
    <i>
      <x v="14"/>
    </i>
    <i>
      <x v="15"/>
    </i>
    <i>
      <x v="16"/>
    </i>
    <i>
      <x v="17"/>
    </i>
    <i>
      <x v="18"/>
    </i>
    <i>
      <x v="20"/>
    </i>
    <i>
      <x v="22"/>
    </i>
    <i>
      <x v="23"/>
    </i>
    <i>
      <x v="24"/>
    </i>
  </rowItems>
  <colItems count="1">
    <i/>
  </colItems>
  <pageFields count="1">
    <pageField fld="0" item="6" hier="-1"/>
  </pageFields>
  <formats count="6">
    <format dxfId="5">
      <pivotArea outline="0" collapsedLevelsAreSubtotals="1" fieldPosition="0"/>
    </format>
    <format dxfId="4">
      <pivotArea dataOnly="0" labelOnly="1" outline="0" axis="axisValues" fieldPosition="0"/>
    </format>
    <format dxfId="3">
      <pivotArea dataOnly="0" labelOnly="1" outline="0" axis="axisValues" fieldPosition="0"/>
    </format>
    <format dxfId="2">
      <pivotArea outline="0" collapsedLevelsAreSubtotals="1" fieldPosition="0"/>
    </format>
    <format dxfId="1">
      <pivotArea dataOnly="0" labelOnly="1" outline="0" axis="axisValues"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36F38C7-1F43-40A1-8B29-2ACECF214E4B}" name="PivotTable1" cacheId="2" applyNumberFormats="0" applyBorderFormats="0" applyFontFormats="0" applyPatternFormats="0" applyAlignmentFormats="0" applyWidthHeightFormats="1" dataCaption="Values" updatedVersion="6" minRefreshableVersion="3" useAutoFormatting="1" rowGrandTotals="0" itemPrintTitles="1" createdVersion="6" indent="0" compact="0" compactData="0" multipleFieldFilters="0">
  <location ref="E3:E6" firstHeaderRow="1" firstDataRow="1" firstDataCol="1" rowPageCount="1" colPageCount="1"/>
  <pivotFields count="6">
    <pivotField axis="axisPage" compact="0" outline="0" showAll="0" defaultSubtotal="0">
      <items count="9">
        <item x="1"/>
        <item m="1" x="5"/>
        <item m="1" x="6"/>
        <item m="1" x="4"/>
        <item m="1" x="7"/>
        <item m="1" x="2"/>
        <item x="0"/>
        <item m="1" x="8"/>
        <item m="1" x="3"/>
      </items>
      <extLst>
        <ext xmlns:x14="http://schemas.microsoft.com/office/spreadsheetml/2009/9/main" uri="{2946ED86-A175-432a-8AC1-64E0C546D7DE}">
          <x14:pivotField fillDownLabels="1"/>
        </ext>
      </extLst>
    </pivotField>
    <pivotField axis="axisRow" compact="0" outline="0" showAll="0" defaultSubtotal="0">
      <items count="4">
        <item x="0"/>
        <item x="1"/>
        <item x="2"/>
        <item h="1"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1">
    <field x="1"/>
  </rowFields>
  <rowItems count="3">
    <i>
      <x/>
    </i>
    <i>
      <x v="1"/>
    </i>
    <i>
      <x v="2"/>
    </i>
  </rowItems>
  <colItems count="1">
    <i/>
  </colItems>
  <pageFields count="1">
    <pageField fld="0" item="6" hier="-1"/>
  </pageFields>
  <formats count="6">
    <format dxfId="11">
      <pivotArea outline="0" collapsedLevelsAreSubtotals="1" fieldPosition="0"/>
    </format>
    <format dxfId="10">
      <pivotArea dataOnly="0" labelOnly="1" outline="0" axis="axisValues" fieldPosition="0"/>
    </format>
    <format dxfId="9">
      <pivotArea dataOnly="0" labelOnly="1" outline="0" axis="axisValues" fieldPosition="0"/>
    </format>
    <format dxfId="8">
      <pivotArea outline="0" collapsedLevelsAreSubtotals="1" fieldPosition="0"/>
    </format>
    <format dxfId="7">
      <pivotArea dataOnly="0" labelOnly="1" outline="0" axis="axisValues" fieldPosition="0"/>
    </format>
    <format dxfId="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00000000-0016-0000-0E00-000000000000}" autoFormatId="16" applyNumberFormats="0" applyBorderFormats="0" applyFontFormats="0" applyPatternFormats="0" applyAlignmentFormats="0" applyWidthHeightFormats="0">
  <queryTableRefresh nextId="26">
    <queryTableFields count="21">
      <queryTableField id="1" name="KEY_Q" tableColumnId="1"/>
      <queryTableField id="2" name="KEY_M" tableColumnId="2"/>
      <queryTableField id="3" name="BRAND" tableColumnId="3"/>
      <queryTableField id="4" name="BUSINESS_AREA" tableColumnId="4"/>
      <queryTableField id="5" name="PRODUCT_CATEGORY" tableColumnId="5"/>
      <queryTableField id="6" name="FY" tableColumnId="6"/>
      <queryTableField id="7" name="FQ" tableColumnId="7"/>
      <queryTableField id="8" name="MONTH" tableColumnId="8"/>
      <queryTableField id="9" name="GSII_M" tableColumnId="9"/>
      <queryTableField id="10" name="DISC_VAL_M" tableColumnId="10"/>
      <queryTableField id="11" name="DISCOUNT_M" tableColumnId="11"/>
      <queryTableField id="12" name="MARKUP_iVAT_M" tableColumnId="12"/>
      <queryTableField id="22" name="placeholder" tableColumnId="13"/>
      <queryTableField id="14" name="NOOS_M" tableColumnId="14"/>
      <queryTableField id="15" name="GSII_Q" tableColumnId="15"/>
      <queryTableField id="16" name="DISCOUNT_Q" tableColumnId="16"/>
      <queryTableField id="17" name="MARKUP_iVAT_Q" tableColumnId="17"/>
      <queryTableField id="23" name="trans_rr" tableColumnId="18"/>
      <queryTableField id="19" name="NOOS_Q" tableColumnId="19"/>
      <queryTableField id="20" name="GSII_SHARE" tableColumnId="20"/>
      <queryTableField id="21" name="DIS_VAL_SHARE"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00000000-0016-0000-0F00-000001000000}" autoFormatId="16" applyNumberFormats="0" applyBorderFormats="0" applyFontFormats="0" applyPatternFormats="0" applyAlignmentFormats="0" applyWidthHeightFormats="0">
  <queryTableRefresh nextId="20">
    <queryTableFields count="8">
      <queryTableField id="1" name="NOOS" tableColumnId="1"/>
      <queryTableField id="2" name="BRAND" tableColumnId="2"/>
      <queryTableField id="3" name="PRODUCT_CATEGORY" tableColumnId="3"/>
      <queryTableField id="4" name="FY" tableColumnId="4"/>
      <queryTableField id="13" name="MONTH" tableColumnId="5"/>
      <queryTableField id="10" name="EOH_VAL" tableColumnId="10"/>
      <queryTableField id="7" name="NET_COGS_ED" tableColumnId="7"/>
      <queryTableField id="19" name="nwc"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E104FB85-A0F1-48F0-BA8A-CD33C85DBA15}" autoFormatId="16" applyNumberFormats="0" applyBorderFormats="0" applyFontFormats="0" applyPatternFormats="0" applyAlignmentFormats="0" applyWidthHeightFormats="0">
  <queryTableRefresh nextId="8">
    <queryTableFields count="5">
      <queryTableField id="6" name="BRAND" tableColumnId="6"/>
      <queryTableField id="2" name="DELIVERY_PERIODS_NAME" tableColumnId="2"/>
      <queryTableField id="3" name="STYLE_CATEGORY_NAME" tableColumnId="3"/>
      <queryTableField id="4" name="NOOS" tableColumnId="4"/>
      <queryTableField id="5" name="Sum of SUM(O145712.AMOUNT_EUR)"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SINESS_AREA" xr10:uid="{D904CDE2-3F85-48E6-B678-6E35DC5A05AD}" sourceName="BUSINESS_AREA">
  <pivotTables>
    <pivotTable tabId="12" name="PivotTable4"/>
  </pivotTables>
  <data>
    <tabular pivotCacheId="11">
      <items count="3">
        <i x="0" s="1"/>
        <i x="1"/>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2" xr10:uid="{4A536111-DE25-4B1E-BCAD-1B65AF050517}" sourceName="PRODUCT_CATEGORY">
  <pivotTables>
    <pivotTable tabId="12" name="PivotTable2"/>
  </pivotTables>
  <data>
    <tabular pivotCacheId="14" showMissing="0" crossFilter="none">
      <items count="23">
        <i x="15"/>
        <i x="0"/>
        <i x="1"/>
        <i x="2"/>
        <i x="3"/>
        <i x="4" s="1"/>
        <i x="5"/>
        <i x="6"/>
        <i x="7"/>
        <i x="8"/>
        <i x="9"/>
        <i x="10"/>
        <i x="11"/>
        <i x="12"/>
        <i x="13"/>
        <i x="14"/>
        <i x="20"/>
        <i x="21"/>
        <i x="22"/>
        <i x="19"/>
        <i x="16"/>
        <i x="18"/>
        <i x="1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62360972-F0FF-460F-89F7-EA370F7525EB}" sourceName="PRODUCT_CATEGORY">
  <pivotTables>
    <pivotTable tabId="50" name="Non-NOOS EOH"/>
    <pivotTable tabId="50" name="Non-NOOS NET_COGS"/>
    <pivotTable tabId="50" name="Non-NOOS NWC"/>
  </pivotTables>
  <data>
    <tabular pivotCacheId="1961094465" showMissing="0" crossFilter="none">
      <items count="16">
        <i x="0"/>
        <i x="1"/>
        <i x="2"/>
        <i x="3"/>
        <i x="4" s="1"/>
        <i x="5"/>
        <i x="6"/>
        <i x="7"/>
        <i x="8"/>
        <i x="9"/>
        <i x="10"/>
        <i x="13"/>
        <i x="14"/>
        <i x="11"/>
        <i x="12"/>
        <i x="15"/>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1" xr10:uid="{811265F1-CFC1-4C62-97E6-54482F2DF870}" sourceName="PRODUCT_CATEGORY">
  <pivotTables>
    <pivotTable tabId="50" name="NOOS EOH_VAL"/>
    <pivotTable tabId="50" name="NOOS NET_COGS"/>
    <pivotTable tabId="50" name="NOOS NWC"/>
  </pivotTables>
  <data>
    <tabular pivotCacheId="1961094465" showMissing="0" crossFilter="none">
      <items count="16">
        <i x="0"/>
        <i x="1"/>
        <i x="2"/>
        <i x="3"/>
        <i x="4" s="1"/>
        <i x="5"/>
        <i x="6"/>
        <i x="7"/>
        <i x="8"/>
        <i x="9"/>
        <i x="10"/>
        <i x="13"/>
        <i x="14"/>
        <i x="11"/>
        <i x="12"/>
        <i x="1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USINESS_AREA" xr10:uid="{803C6E2F-2AEC-4BB9-9704-F1070B3B0130}" cache="Slicer_BUSINESS_AREA" caption="BUSINESS_AREA" rowHeight="241300"/>
  <slicer name="PRODUCT_CATEGORY 2" xr10:uid="{F72534A6-EEEC-4D20-B54A-EA2B5F85CFA5}" cache="Slicer_PRODUCT_CATEGORY2" caption="PRODUCT_CATEGORY"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_CATEGORY 1" xr10:uid="{176670AA-0CD0-4330-A5FF-CBCC53C18651}" cache="Slicer_PRODUCT_CATEGORY1" caption="PRODUCT_CATEGORY"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_CATEGORY" xr10:uid="{FFB3FEBA-037E-4F88-AE33-5DE208E608EC}" cache="Slicer_PRODUCT_CATEGORY" caption="PRODUCT_CATEGORY"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7BA9DA0-A178-43E7-B9B8-5729869778C0}" name="HIS_SALES" displayName="HIS_SALES" ref="A1:U1249" tableType="queryTable" totalsRowShown="0">
  <tableColumns count="21">
    <tableColumn id="1" xr3:uid="{928F7E2F-A889-42D8-9AA8-0DA98DC58808}" uniqueName="1" name="key_q" queryTableFieldId="1" dataDxfId="45"/>
    <tableColumn id="2" xr3:uid="{69625738-3963-4131-A4AB-623C356DDFCC}" uniqueName="2" name="key_m" queryTableFieldId="2" dataDxfId="44"/>
    <tableColumn id="3" xr3:uid="{026FF6BB-1529-42D3-84F2-1D70394561B8}" uniqueName="3" name="brand" queryTableFieldId="3" dataDxfId="43"/>
    <tableColumn id="4" xr3:uid="{2D6A5DA3-D231-4437-8AEC-B186FA4C8997}" uniqueName="4" name="business_area" queryTableFieldId="4" dataDxfId="42"/>
    <tableColumn id="5" xr3:uid="{458D2F8B-2601-4D83-9A96-666AF55D181B}" uniqueName="5" name="product_category" queryTableFieldId="5" dataDxfId="41"/>
    <tableColumn id="6" xr3:uid="{A67A2D84-3811-4CD5-96B5-3C345DE232A4}" uniqueName="6" name="fy" queryTableFieldId="6" dataDxfId="40"/>
    <tableColumn id="7" xr3:uid="{5CAD6DC2-5B31-4300-BFBD-675EE6011887}" uniqueName="7" name="fq" queryTableFieldId="7" dataDxfId="39"/>
    <tableColumn id="8" xr3:uid="{2D29C8C3-9C65-49C7-A570-90A936469E73}" uniqueName="8" name="month" queryTableFieldId="8" dataDxfId="38"/>
    <tableColumn id="9" xr3:uid="{C4B7F0A6-BA14-4CD1-9A20-9D75B3703605}" uniqueName="9" name="gsii_m" queryTableFieldId="9" dataDxfId="37" dataCellStyle="Comma"/>
    <tableColumn id="10" xr3:uid="{CD54ADC3-D494-422A-9445-BDBB8E50EA0B}" uniqueName="10" name="disc_val_m" queryTableFieldId="10" dataDxfId="36" dataCellStyle="Comma"/>
    <tableColumn id="11" xr3:uid="{E3978D15-0FB1-4045-9E8B-6749078B37A2}" uniqueName="11" name="discount_m" queryTableFieldId="11" dataDxfId="35" dataCellStyle="Percent"/>
    <tableColumn id="12" xr3:uid="{70E079B4-1B59-43EB-A13D-AB8E3A9BF13A}" uniqueName="12" name="markup_ivat_m" queryTableFieldId="12" dataDxfId="34" dataCellStyle="Comma"/>
    <tableColumn id="13" xr3:uid="{B2AEAB34-64E2-4F5E-8775-BF40D4F9CD7F}" uniqueName="13" name="placeholder" queryTableFieldId="22"/>
    <tableColumn id="14" xr3:uid="{6D8EFC74-0338-4CA2-9C21-510B35EC966E}" uniqueName="14" name="noos_m" queryTableFieldId="14" dataDxfId="33" dataCellStyle="Percent"/>
    <tableColumn id="15" xr3:uid="{8476FB8B-0CD8-4CDB-AE3D-749479923DE4}" uniqueName="15" name="gsii_q" queryTableFieldId="15" dataDxfId="32" dataCellStyle="Comma"/>
    <tableColumn id="16" xr3:uid="{46A37F20-FCE6-4E95-9B8A-EAB033F08344}" uniqueName="16" name="discount_q" queryTableFieldId="16" dataDxfId="31" dataCellStyle="Percent"/>
    <tableColumn id="17" xr3:uid="{9D33C6A0-2977-4D3D-82F5-49B4E5DC61C7}" uniqueName="17" name="markup_ivat_q" queryTableFieldId="17" dataDxfId="30" dataCellStyle="Comma"/>
    <tableColumn id="18" xr3:uid="{36E25412-68FE-43C3-BA83-48E50779A15E}" uniqueName="18" name="trans_rr" queryTableFieldId="23" dataDxfId="29" dataCellStyle="Percent"/>
    <tableColumn id="19" xr3:uid="{45A9A98D-A06B-472E-BEA2-4C559601E795}" uniqueName="19" name="noos_q" queryTableFieldId="19" dataDxfId="28" dataCellStyle="Percent"/>
    <tableColumn id="20" xr3:uid="{0F285CD7-AC04-4000-8D2E-69DC5091E083}" uniqueName="20" name="gsii_share" queryTableFieldId="20" dataDxfId="27" dataCellStyle="Percent"/>
    <tableColumn id="21" xr3:uid="{CA726247-18B9-46B1-B5C1-590C849BBF36}" uniqueName="21" name="dis_val_share" queryTableFieldId="21" dataDxfId="26" dataCellStyle="Percent"/>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937329F-DDBF-4D20-9E76-BB4FC078E7CE}" name="HIS_STOCK" displayName="HIS_STOCK" ref="A1:H786" tableType="queryTable" totalsRowShown="0">
  <tableColumns count="8">
    <tableColumn id="1" xr3:uid="{5BC14E74-B4FE-4F20-A535-8F7BEBFB6713}" uniqueName="1" name="noos" queryTableFieldId="1" dataDxfId="23"/>
    <tableColumn id="2" xr3:uid="{61942579-414D-4716-80F8-DE6365DEBF04}" uniqueName="2" name="brand" queryTableFieldId="2" dataDxfId="22"/>
    <tableColumn id="3" xr3:uid="{50244E12-3CAA-41A5-A0B2-8DB90E27D8C1}" uniqueName="3" name="product_category" queryTableFieldId="3" dataDxfId="21"/>
    <tableColumn id="4" xr3:uid="{10506464-1678-4648-B941-144CE25D402C}" uniqueName="4" name="fy" queryTableFieldId="4" dataDxfId="20"/>
    <tableColumn id="5" xr3:uid="{3D730092-EDAB-48A9-AE26-7712B42F2FBC}" uniqueName="5" name="month" queryTableFieldId="13" dataDxfId="19"/>
    <tableColumn id="10" xr3:uid="{33EA4AE9-B6BD-4DBD-8F29-5D3D761CF37E}" uniqueName="10" name="eoh_val" queryTableFieldId="10" dataDxfId="18" dataCellStyle="Comma"/>
    <tableColumn id="7" xr3:uid="{26BBC113-0E5A-411B-8F98-D609D75BC2E1}" uniqueName="7" name="net_cogs_ed" queryTableFieldId="7" dataDxfId="17" dataCellStyle="Comma"/>
    <tableColumn id="6" xr3:uid="{3994E251-9C6E-4D6D-A544-EB18F5F5071D}" uniqueName="6" name="nwc" queryTableFieldId="19" dataDxfId="16" dataCellStyle="Comma"/>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A917DF3-5342-4786-9DD6-DBF3FE484A60}" name="OPEN_ORDERS" displayName="OPEN_ORDERS" ref="A1:E171" tableType="queryTable" totalsRowShown="0">
  <tableColumns count="5">
    <tableColumn id="6" xr3:uid="{84A02CE4-AA58-449A-8D9B-00D0B16F06A8}" uniqueName="6" name="BRAND" queryTableFieldId="6" dataDxfId="15"/>
    <tableColumn id="2" xr3:uid="{5296ECC2-7B45-42F8-A94A-86BEF7A06058}" uniqueName="2" name="DELIVERY_PERIODS_NAME" queryTableFieldId="2" dataDxfId="14"/>
    <tableColumn id="3" xr3:uid="{8A713730-F9BF-4E79-97FC-E7511F530C2B}" uniqueName="3" name="STYLE_CATEGORY_NAME" queryTableFieldId="3" dataDxfId="13"/>
    <tableColumn id="4" xr3:uid="{36730D1C-5023-4280-B5EC-C16CD45FD89A}" uniqueName="4" name="NOOS" queryTableFieldId="4" dataDxfId="12"/>
    <tableColumn id="5" xr3:uid="{DB7ADF96-B68B-4A28-A625-3071EDFA6B39}" uniqueName="5" name="Sum of SUM(O145712.AMOUNT_EUR)" queryTableFieldId="5"/>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bestseller.jira.com/wiki/spaces/PORTAL/pages/245563403/The+Category+Forecast+Tool+CFT+User+Manual"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rinterSettings" Target="../printerSettings/printerSettings14.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2.xml"/><Relationship Id="rId1" Type="http://schemas.openxmlformats.org/officeDocument/2006/relationships/printerSettings" Target="../printerSettings/printerSettings15.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5" Type="http://schemas.openxmlformats.org/officeDocument/2006/relationships/printerSettings" Target="../printerSettings/printerSettings16.bin"/><Relationship Id="rId4" Type="http://schemas.openxmlformats.org/officeDocument/2006/relationships/pivotTable" Target="../pivotTables/pivotTable10.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40484-0238-4BF6-88B0-303BA42E7DE2}">
  <sheetPr codeName="Sheet6">
    <tabColor theme="3" tint="0.79998168889431442"/>
  </sheetPr>
  <dimension ref="A2:I30"/>
  <sheetViews>
    <sheetView showGridLines="0" tabSelected="1" zoomScale="90" zoomScaleNormal="90" workbookViewId="0">
      <selection activeCell="G29" sqref="G29"/>
    </sheetView>
  </sheetViews>
  <sheetFormatPr defaultColWidth="9.140625" defaultRowHeight="15" x14ac:dyDescent="0.25"/>
  <cols>
    <col min="1" max="1" width="12.140625" style="373" customWidth="1"/>
    <col min="2" max="2" width="22.42578125" style="23" customWidth="1"/>
    <col min="3" max="3" width="18.85546875" style="506" customWidth="1"/>
    <col min="4" max="4" width="9.140625" style="373" customWidth="1"/>
    <col min="5" max="13" width="11.7109375" style="373" customWidth="1"/>
    <col min="14" max="16384" width="9.140625" style="373"/>
  </cols>
  <sheetData>
    <row r="2" spans="2:9" ht="15.75" thickBot="1" x14ac:dyDescent="0.3">
      <c r="B2" s="555"/>
      <c r="C2" s="556"/>
    </row>
    <row r="3" spans="2:9" ht="16.5" x14ac:dyDescent="0.35">
      <c r="B3" s="885" t="s">
        <v>207</v>
      </c>
      <c r="C3" s="885"/>
      <c r="D3" s="507"/>
    </row>
    <row r="4" spans="2:9" ht="16.5" x14ac:dyDescent="0.25">
      <c r="B4" s="884" t="s">
        <v>208</v>
      </c>
      <c r="C4" s="884"/>
      <c r="D4" s="507"/>
    </row>
    <row r="5" spans="2:9" ht="16.5" x14ac:dyDescent="0.35">
      <c r="B5" s="726" t="s">
        <v>209</v>
      </c>
      <c r="C5" s="726" t="s">
        <v>210</v>
      </c>
      <c r="D5" s="507"/>
    </row>
    <row r="6" spans="2:9" ht="15" customHeight="1" x14ac:dyDescent="0.35">
      <c r="B6" s="727"/>
      <c r="C6" s="728"/>
    </row>
    <row r="7" spans="2:9" ht="16.5" x14ac:dyDescent="0.25">
      <c r="B7" s="884" t="s">
        <v>211</v>
      </c>
      <c r="C7" s="884"/>
      <c r="D7" s="507"/>
    </row>
    <row r="8" spans="2:9" ht="16.5" x14ac:dyDescent="0.35">
      <c r="B8" s="726" t="s">
        <v>209</v>
      </c>
      <c r="C8" s="726" t="s">
        <v>210</v>
      </c>
      <c r="D8" s="507"/>
      <c r="H8" s="506"/>
    </row>
    <row r="9" spans="2:9" ht="16.5" x14ac:dyDescent="0.35">
      <c r="B9" s="727"/>
      <c r="C9" s="727"/>
      <c r="D9" s="507"/>
      <c r="H9" s="506"/>
    </row>
    <row r="10" spans="2:9" ht="16.5" x14ac:dyDescent="0.25">
      <c r="B10" s="884" t="s">
        <v>212</v>
      </c>
      <c r="C10" s="884"/>
      <c r="D10" s="507"/>
    </row>
    <row r="11" spans="2:9" ht="16.5" x14ac:dyDescent="0.35">
      <c r="B11" s="726" t="s">
        <v>209</v>
      </c>
      <c r="C11" s="726" t="s">
        <v>210</v>
      </c>
      <c r="G11" s="377"/>
      <c r="I11" s="506"/>
    </row>
    <row r="12" spans="2:9" ht="16.5" x14ac:dyDescent="0.35">
      <c r="B12" s="727"/>
      <c r="C12" s="728"/>
      <c r="G12" s="377"/>
    </row>
    <row r="13" spans="2:9" ht="16.5" x14ac:dyDescent="0.25">
      <c r="B13" s="884" t="s">
        <v>198</v>
      </c>
      <c r="C13" s="884"/>
      <c r="G13" s="377"/>
    </row>
    <row r="14" spans="2:9" ht="16.5" x14ac:dyDescent="0.35">
      <c r="B14" s="726" t="s">
        <v>209</v>
      </c>
      <c r="C14" s="726" t="s">
        <v>210</v>
      </c>
      <c r="G14" s="377"/>
    </row>
    <row r="15" spans="2:9" ht="16.5" x14ac:dyDescent="0.35">
      <c r="B15" s="727"/>
      <c r="C15" s="728"/>
      <c r="G15" s="546"/>
    </row>
    <row r="16" spans="2:9" ht="16.5" x14ac:dyDescent="0.35">
      <c r="B16" s="884" t="s">
        <v>199</v>
      </c>
      <c r="C16" s="884"/>
      <c r="G16" s="547"/>
    </row>
    <row r="17" spans="1:7" ht="16.5" x14ac:dyDescent="0.35">
      <c r="B17" s="726" t="s">
        <v>200</v>
      </c>
      <c r="C17" s="726" t="s">
        <v>201</v>
      </c>
      <c r="G17" s="547"/>
    </row>
    <row r="18" spans="1:7" ht="16.5" x14ac:dyDescent="0.35">
      <c r="B18" s="727"/>
      <c r="C18" s="728"/>
      <c r="G18" s="547"/>
    </row>
    <row r="19" spans="1:7" ht="16.5" x14ac:dyDescent="0.35">
      <c r="B19" s="884" t="s">
        <v>185</v>
      </c>
      <c r="C19" s="884"/>
      <c r="G19" s="547"/>
    </row>
    <row r="20" spans="1:7" ht="17.25" thickBot="1" x14ac:dyDescent="0.4">
      <c r="B20" s="729" t="s">
        <v>181</v>
      </c>
      <c r="C20" s="729" t="s">
        <v>197</v>
      </c>
      <c r="G20" s="547"/>
    </row>
    <row r="21" spans="1:7" ht="16.5" x14ac:dyDescent="0.35">
      <c r="B21" s="730"/>
      <c r="C21" s="731"/>
    </row>
    <row r="22" spans="1:7" ht="16.5" x14ac:dyDescent="0.35">
      <c r="B22" s="730"/>
      <c r="C22" s="731"/>
    </row>
    <row r="23" spans="1:7" ht="16.5" x14ac:dyDescent="0.35">
      <c r="A23" s="507"/>
      <c r="B23" s="732" t="s">
        <v>275</v>
      </c>
      <c r="C23" s="731"/>
    </row>
    <row r="24" spans="1:7" x14ac:dyDescent="0.25">
      <c r="A24" s="507"/>
      <c r="B24" s="22"/>
      <c r="C24" s="545"/>
      <c r="G24" s="506"/>
    </row>
    <row r="25" spans="1:7" x14ac:dyDescent="0.25">
      <c r="A25" s="507"/>
      <c r="B25" s="22"/>
      <c r="C25" s="545"/>
      <c r="G25" s="506"/>
    </row>
    <row r="26" spans="1:7" x14ac:dyDescent="0.25">
      <c r="A26" s="507"/>
      <c r="B26" s="22"/>
      <c r="C26" s="545"/>
      <c r="G26" s="506"/>
    </row>
    <row r="27" spans="1:7" x14ac:dyDescent="0.25">
      <c r="B27" s="22"/>
      <c r="C27" s="545"/>
    </row>
    <row r="28" spans="1:7" x14ac:dyDescent="0.25">
      <c r="B28" s="22"/>
      <c r="C28" s="545"/>
    </row>
    <row r="29" spans="1:7" x14ac:dyDescent="0.25">
      <c r="B29" s="22"/>
      <c r="C29" s="545"/>
    </row>
    <row r="30" spans="1:7" x14ac:dyDescent="0.25">
      <c r="B30" s="22"/>
      <c r="C30" s="545"/>
    </row>
  </sheetData>
  <sheetProtection pivotTables="0"/>
  <mergeCells count="7">
    <mergeCell ref="B19:C19"/>
    <mergeCell ref="B10:C10"/>
    <mergeCell ref="B13:C13"/>
    <mergeCell ref="B16:C16"/>
    <mergeCell ref="B3:C3"/>
    <mergeCell ref="B4:C4"/>
    <mergeCell ref="B7:C7"/>
  </mergeCells>
  <hyperlinks>
    <hyperlink ref="B5" location="Q_BRAND_FC!A1" display="QUARTER" xr:uid="{FD726FCA-4579-4146-97A4-5012DE63332B}"/>
    <hyperlink ref="C5" location="M_BRAND_FC!A1" display="MONTH " xr:uid="{8B455A44-4B81-4E61-925B-FFDF1B1CE334}"/>
    <hyperlink ref="B11" location="Q_BUSAREA_FC!A1" display="QUARTER" xr:uid="{2FF6C59A-AEBF-4F1D-8E5E-17DF4F2BD8C5}"/>
    <hyperlink ref="C11" location="M_BUSAREA_FC!A1" display="MONTH" xr:uid="{0B015FEC-80B6-447A-8A84-B4DC5B52CA61}"/>
    <hyperlink ref="B20" location="NWC_FC_NOOS!A1" display="NOOS" xr:uid="{284AB026-8CF4-403A-853A-9A9A2B8DD688}"/>
    <hyperlink ref="C20" location="'NWC_FC_NON-NOOS'!A1" display="NON-NOOS" xr:uid="{467FAC13-6580-40DB-BF14-9DABC671019A}"/>
    <hyperlink ref="C14" location="ST_OVERVIEW!A1" display="SHORT TERM" xr:uid="{0FC0169B-76F2-4C82-9CE1-A3EE20FCA9C3}"/>
    <hyperlink ref="B17" location="DASHBOARD!A1" display="SALES" xr:uid="{7EDCB915-B84C-47FC-93F2-D3176D0D1462}"/>
    <hyperlink ref="B8" location="Q_BUSAREA_FC!A1" display="QUARTER" xr:uid="{0FCB73A4-BF5B-49AF-8C2F-BE4E62CA8203}"/>
    <hyperlink ref="C8" location="M_BUSAREA_FC!A1" display="MONTH" xr:uid="{0F408EC0-0327-4638-8265-3921CEBAE3FC}"/>
    <hyperlink ref="C17" location="STOCK_OVERVIEW!A1" display="STOCK" xr:uid="{A9D45E37-20C1-4A22-AADB-24AC09109FC4}"/>
    <hyperlink ref="B23" r:id="rId1" xr:uid="{4C60ED53-C715-4E7C-A239-C44FF565C1CF}"/>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5A19B-E218-4D5A-A3C9-F27CDF456ABB}">
  <sheetPr codeName="Sheet15">
    <tabColor theme="3" tint="0.59999389629810485"/>
  </sheetPr>
  <dimension ref="A1:AC132"/>
  <sheetViews>
    <sheetView showGridLines="0" zoomScale="85" zoomScaleNormal="85" workbookViewId="0">
      <pane ySplit="1" topLeftCell="A2" activePane="bottomLeft" state="frozen"/>
      <selection activeCell="P64" sqref="P64"/>
      <selection pane="bottomLeft" activeCell="A2" sqref="A2"/>
    </sheetView>
  </sheetViews>
  <sheetFormatPr defaultColWidth="9.140625" defaultRowHeight="15" x14ac:dyDescent="0.25"/>
  <cols>
    <col min="1" max="1" width="2.7109375" style="132" customWidth="1"/>
    <col min="2" max="2" width="18.28515625" style="132" customWidth="1"/>
    <col min="3" max="9" width="10.7109375" style="132" customWidth="1"/>
    <col min="10" max="10" width="10" style="132" customWidth="1"/>
    <col min="11" max="12" width="10.7109375" style="132" customWidth="1"/>
    <col min="13" max="13" width="10.42578125" style="132" customWidth="1"/>
    <col min="14" max="14" width="14.5703125" style="132" customWidth="1"/>
    <col min="15" max="15" width="9.7109375" style="264" customWidth="1"/>
    <col min="16" max="19" width="9.7109375" style="132" customWidth="1"/>
    <col min="20" max="22" width="9.85546875" style="132" bestFit="1" customWidth="1"/>
    <col min="23" max="23" width="10" style="132" bestFit="1" customWidth="1"/>
    <col min="24" max="25" width="10.28515625" style="132" bestFit="1" customWidth="1"/>
    <col min="26" max="26" width="8.42578125" style="132" customWidth="1"/>
    <col min="27" max="28" width="9.140625" style="132"/>
    <col min="29" max="29" width="14.5703125" style="132" bestFit="1" customWidth="1"/>
    <col min="30" max="32" width="11.42578125" style="132" bestFit="1" customWidth="1"/>
    <col min="33" max="33" width="15.85546875" style="132" customWidth="1"/>
    <col min="34" max="16384" width="9.140625" style="132"/>
  </cols>
  <sheetData>
    <row r="1" spans="1:29" s="127" customFormat="1" ht="17.25" x14ac:dyDescent="0.3">
      <c r="A1" s="127">
        <v>1</v>
      </c>
      <c r="B1" s="121" t="str">
        <f>'PIVOT TABLE'!B1</f>
        <v>VM</v>
      </c>
      <c r="C1" s="897" t="s">
        <v>111</v>
      </c>
      <c r="D1" s="897"/>
      <c r="E1" s="897"/>
      <c r="F1" s="122"/>
      <c r="G1" s="123" t="str">
        <f ca="1">TIME!M27</f>
        <v>18/19</v>
      </c>
      <c r="H1" s="199" t="str">
        <f ca="1">TIME!N27</f>
        <v>Q3</v>
      </c>
      <c r="I1" s="124" t="str">
        <f ca="1">TIME!E9&amp; "  -"</f>
        <v>Apr  -</v>
      </c>
      <c r="J1" s="125" t="str">
        <f ca="1">TIME!$Q$42</f>
        <v>Jun</v>
      </c>
      <c r="K1" s="888" t="s">
        <v>108</v>
      </c>
      <c r="L1" s="888"/>
      <c r="M1" s="888"/>
      <c r="N1" s="125"/>
      <c r="O1" s="126"/>
      <c r="P1" s="122"/>
      <c r="Q1" s="122"/>
      <c r="R1" s="122"/>
      <c r="S1" s="122"/>
      <c r="T1" s="122"/>
      <c r="U1" s="122"/>
      <c r="V1" s="126"/>
      <c r="W1" s="122"/>
      <c r="X1" s="901" t="s">
        <v>202</v>
      </c>
      <c r="Y1" s="901"/>
      <c r="Z1" s="901"/>
      <c r="AC1" s="128"/>
    </row>
    <row r="2" spans="1:29" x14ac:dyDescent="0.25">
      <c r="B2" s="25"/>
      <c r="C2" s="277"/>
      <c r="D2" s="277"/>
      <c r="E2" s="277"/>
      <c r="F2" s="277"/>
      <c r="G2" s="277"/>
      <c r="H2" s="148"/>
      <c r="I2" s="148"/>
      <c r="J2" s="148"/>
      <c r="K2" s="148"/>
      <c r="L2" s="148"/>
      <c r="M2" s="148"/>
      <c r="N2" s="148"/>
      <c r="O2" s="265"/>
      <c r="P2" s="148"/>
      <c r="Q2" s="148"/>
      <c r="R2" s="148"/>
      <c r="S2" s="148"/>
      <c r="T2" s="148"/>
      <c r="U2" s="148"/>
      <c r="V2" s="148"/>
      <c r="W2" s="148"/>
      <c r="X2" s="148"/>
      <c r="Y2" s="148"/>
      <c r="Z2" s="148"/>
      <c r="AA2" s="148"/>
      <c r="AB2" s="148"/>
      <c r="AC2" s="23"/>
    </row>
    <row r="3" spans="1:29" s="151" customFormat="1" ht="20.100000000000001" customHeight="1" x14ac:dyDescent="0.3">
      <c r="B3" s="278"/>
      <c r="C3" s="278"/>
      <c r="D3" s="278"/>
      <c r="E3" s="278"/>
      <c r="F3" s="278"/>
      <c r="G3" s="278"/>
      <c r="H3" s="124"/>
      <c r="I3" s="124"/>
      <c r="J3" s="124"/>
      <c r="K3" s="898" t="s">
        <v>285</v>
      </c>
      <c r="L3" s="899"/>
      <c r="M3" s="899"/>
      <c r="N3" s="123"/>
      <c r="O3" s="266"/>
      <c r="P3" s="124"/>
      <c r="Q3" s="124"/>
      <c r="R3" s="124"/>
      <c r="S3" s="124"/>
      <c r="T3" s="124"/>
      <c r="U3" s="124"/>
      <c r="V3" s="124"/>
      <c r="W3" s="124"/>
      <c r="X3" s="124"/>
      <c r="Y3" s="124"/>
      <c r="Z3" s="124"/>
      <c r="AA3" s="150"/>
      <c r="AB3" s="150"/>
      <c r="AC3" s="150"/>
    </row>
    <row r="4" spans="1:29" ht="15.75" thickBot="1" x14ac:dyDescent="0.3">
      <c r="B4" s="230"/>
      <c r="C4" s="443" t="str">
        <f ca="1">$B12&amp;C6</f>
        <v>18/19Jan</v>
      </c>
      <c r="D4" s="443" t="str">
        <f t="shared" ref="D4:F4" ca="1" si="0">$B12&amp;D6</f>
        <v>18/19Feb</v>
      </c>
      <c r="E4" s="443" t="str">
        <f t="shared" ca="1" si="0"/>
        <v>18/19Mar</v>
      </c>
      <c r="F4" s="443" t="str">
        <f t="shared" ca="1" si="0"/>
        <v>18/19Apr</v>
      </c>
      <c r="G4" s="230"/>
      <c r="N4" s="129"/>
      <c r="O4" s="263"/>
      <c r="P4" s="129"/>
      <c r="Q4" s="129"/>
      <c r="R4" s="129"/>
      <c r="S4" s="129"/>
    </row>
    <row r="5" spans="1:29" x14ac:dyDescent="0.25">
      <c r="B5" s="892" t="s">
        <v>96</v>
      </c>
      <c r="C5" s="892"/>
      <c r="D5" s="892"/>
      <c r="E5" s="892"/>
      <c r="F5" s="892"/>
      <c r="G5" s="892"/>
      <c r="N5" s="893" t="s">
        <v>98</v>
      </c>
      <c r="O5" s="893"/>
      <c r="P5" s="893"/>
      <c r="Q5" s="893"/>
      <c r="R5" s="893"/>
      <c r="S5" s="893"/>
    </row>
    <row r="6" spans="1:29" x14ac:dyDescent="0.25">
      <c r="B6" s="271" t="s">
        <v>7</v>
      </c>
      <c r="C6" s="271" t="str">
        <f ca="1">C41</f>
        <v>Jan</v>
      </c>
      <c r="D6" s="271" t="str">
        <f ca="1">D41</f>
        <v>Feb</v>
      </c>
      <c r="E6" s="271" t="str">
        <f ca="1">E41</f>
        <v>Mar</v>
      </c>
      <c r="F6" s="271" t="str">
        <f ca="1">F41</f>
        <v>Apr</v>
      </c>
      <c r="G6" s="272" t="s">
        <v>158</v>
      </c>
      <c r="N6" s="133" t="s">
        <v>7</v>
      </c>
      <c r="O6" s="271" t="str">
        <f ca="1">C41</f>
        <v>Jan</v>
      </c>
      <c r="P6" s="133" t="str">
        <f ca="1">D41</f>
        <v>Feb</v>
      </c>
      <c r="Q6" s="133" t="str">
        <f ca="1">E41</f>
        <v>Mar</v>
      </c>
      <c r="R6" s="133" t="str">
        <f ca="1">F41</f>
        <v>Apr</v>
      </c>
      <c r="S6" s="271" t="s">
        <v>157</v>
      </c>
    </row>
    <row r="7" spans="1:29" x14ac:dyDescent="0.25">
      <c r="A7" s="62" t="str">
        <f ca="1">VLOOKUP($B7,TIME!$M$12:$N$17,2,FALSE)</f>
        <v>15/16</v>
      </c>
      <c r="B7" s="273" t="str">
        <f ca="1">$B$42</f>
        <v>16/17</v>
      </c>
      <c r="C7" s="527">
        <f ca="1">IF($D$6="Aug",IFERROR(VLOOKUP(_xlfn.CONCAT($B$1&amp;$C$1&amp;$K$3&amp;$A7&amp;C$6),HIS_SALES!$B$2:$I$5093,8,FALSE),0),IFERROR(VLOOKUP(_xlfn.CONCAT($B$1&amp;$C$1&amp;$K$3&amp;$B7&amp;C$6),HIS_SALES!$B$2:$I$5093,8,FALSE),0))</f>
        <v>251319.59429999802</v>
      </c>
      <c r="D7" s="527">
        <f ca="1">IFERROR(VLOOKUP(_xlfn.CONCAT($B$1&amp;$C$1&amp;$K$3&amp;$B7&amp;D$6),HIS_SALES!$B$2:$I$5093,8,FALSE),0)</f>
        <v>251815.75969999802</v>
      </c>
      <c r="E7" s="527">
        <f ca="1">IFERROR(VLOOKUP(_xlfn.CONCAT($B$1&amp;$C$1&amp;$K$3&amp;$B7&amp;E$6),HIS_SALES!$B$2:$I$5093,8,FALSE),0)</f>
        <v>559357.72919999505</v>
      </c>
      <c r="F7" s="527">
        <f ca="1">IFERROR(VLOOKUP(_xlfn.CONCAT($B$1&amp;$C$1&amp;$K$3&amp;$B7&amp;F$6),HIS_SALES!$B$2:$I$5093,8,FALSE),0)</f>
        <v>730755.67439998209</v>
      </c>
      <c r="G7" s="528">
        <f ca="1">IFERROR(SUM(D7:F7),0)</f>
        <v>1541929.163299975</v>
      </c>
      <c r="N7" s="134" t="str">
        <f ca="1">B7</f>
        <v>16/17</v>
      </c>
      <c r="O7" s="280">
        <f ca="1">IF($P$6="Aug",IFERROR(VLOOKUP(_xlfn.CONCAT($B$1&amp;$C$1&amp;$K$3&amp;$A7&amp;O$6),HIS_SALES!$B$2:$K$5093,10,FALSE),0),IFERROR(VLOOKUP(_xlfn.CONCAT($B$1&amp;$C$1&amp;$K$3&amp;$N7&amp;O$6),HIS_SALES!$B$2:$K$5093,10,FALSE),0))</f>
        <v>5.28651061897321E-2</v>
      </c>
      <c r="P7" s="135">
        <f ca="1">IFERROR(VLOOKUP(_xlfn.CONCAT($B$1&amp;$C$1&amp;$K$3&amp;$N7&amp;P$6),HIS_SALES!$B$2:$K$5093,10,FALSE),0)</f>
        <v>3.7709227411858399E-2</v>
      </c>
      <c r="Q7" s="135">
        <f ca="1">IFERROR(VLOOKUP(_xlfn.CONCAT($B$1&amp;$C$1&amp;$K$3&amp;$N7&amp;Q$6),HIS_SALES!$B$2:$K$5093,10,FALSE),0)</f>
        <v>2.6524546505395801E-2</v>
      </c>
      <c r="R7" s="135">
        <f ca="1">IFERROR(VLOOKUP(_xlfn.CONCAT($B$1&amp;$C$1&amp;$K$3&amp;$N7&amp;R$6),HIS_SALES!$B$2:$K$5093,10,FALSE),0)</f>
        <v>3.4454874117762296E-2</v>
      </c>
      <c r="S7" s="141">
        <f ca="1">VLOOKUP(_xlfn.CONCAT($B$1,$C$1,$K$3,$N$7,$H$1),HIS_SALES!A2:$P$5093,16,FALSE)</f>
        <v>3.2129150071987099E-2</v>
      </c>
    </row>
    <row r="8" spans="1:29" x14ac:dyDescent="0.25">
      <c r="A8" s="62" t="str">
        <f ca="1">VLOOKUP($B8,TIME!$M$12:$N$17,2,FALSE)</f>
        <v>16/17</v>
      </c>
      <c r="B8" s="273" t="str">
        <f ca="1">$B$43</f>
        <v>17/18</v>
      </c>
      <c r="C8" s="527">
        <f ca="1">IF($D$6="Aug",IFERROR(VLOOKUP(_xlfn.CONCAT($B$1&amp;$C$1&amp;$K$3&amp;$A8&amp;C$6),HIS_SALES!$B$2:$I$5093,8,FALSE),0),IFERROR(VLOOKUP(_xlfn.CONCAT($B$1&amp;$C$1&amp;$K$3&amp;$B8&amp;C$6),HIS_SALES!$B$2:$I$5093,8,FALSE),0))</f>
        <v>250152.99669999903</v>
      </c>
      <c r="D8" s="527">
        <f ca="1">IFERROR(VLOOKUP(_xlfn.CONCAT($B$1&amp;$C$1&amp;$K$3&amp;$B8&amp;D$6),HIS_SALES!$B$2:$I$5093,8,FALSE),0)</f>
        <v>285746.639099997</v>
      </c>
      <c r="E8" s="527">
        <f ca="1">IFERROR(VLOOKUP(_xlfn.CONCAT($B$1&amp;$C$1&amp;$K$3&amp;$B8&amp;E$6),HIS_SALES!$B$2:$I$5093,8,FALSE),0)</f>
        <v>474460.69739998801</v>
      </c>
      <c r="F8" s="527">
        <f ca="1">IFERROR(VLOOKUP(_xlfn.CONCAT($B$1&amp;$C$1&amp;$K$3&amp;$B8&amp;F$6),HIS_SALES!$B$2:$I$5093,8,FALSE),0)</f>
        <v>738939.03349997406</v>
      </c>
      <c r="G8" s="527">
        <f ca="1">IFERROR(SUM(D8:F8),0)</f>
        <v>1499146.3699999591</v>
      </c>
      <c r="N8" s="134" t="str">
        <f ca="1">B8</f>
        <v>17/18</v>
      </c>
      <c r="O8" s="280">
        <f ca="1">IF($P$6="Aug",IFERROR(VLOOKUP(_xlfn.CONCAT($B$1&amp;$C$1&amp;$K$3&amp;$A8&amp;O$6),HIS_SALES!$B$2:$K$5093,10,FALSE),0),IFERROR(VLOOKUP(_xlfn.CONCAT($B$1&amp;$C$1&amp;$K$3&amp;$N8&amp;O$6),HIS_SALES!$B$2:$K$5093,10,FALSE),0))</f>
        <v>0.12180252038871602</v>
      </c>
      <c r="P8" s="135">
        <f ca="1">IFERROR(VLOOKUP(_xlfn.CONCAT($B$1&amp;$C$1&amp;$K$3&amp;$N8&amp;P$6),HIS_SALES!$B$2:$K$5093,10,FALSE),0)</f>
        <v>9.4027350017099012E-2</v>
      </c>
      <c r="Q8" s="135">
        <f ca="1">IFERROR(VLOOKUP(_xlfn.CONCAT($B$1&amp;$C$1&amp;$K$3&amp;$N8&amp;Q$6),HIS_SALES!$B$2:$K$5093,10,FALSE),0)</f>
        <v>3.0307682462699801E-2</v>
      </c>
      <c r="R8" s="135">
        <f ca="1">IFERROR(VLOOKUP(_xlfn.CONCAT($B$1&amp;$C$1&amp;$K$3&amp;$N8&amp;R$6),HIS_SALES!$B$2:$K$5093,10,FALSE),0)</f>
        <v>3.7744367798245901E-2</v>
      </c>
      <c r="S8" s="141">
        <f ca="1">VLOOKUP(_xlfn.CONCAT($B$1,$C$1,$K$3,$N$8,$H$1),HIS_SALES!A3:$P$5093,16,FALSE)</f>
        <v>4.6718667214655396E-2</v>
      </c>
    </row>
    <row r="9" spans="1:29" ht="15.75" thickBot="1" x14ac:dyDescent="0.3">
      <c r="A9" s="62" t="str">
        <f ca="1">VLOOKUP($B9,TIME!$M$12:$N$17,2,FALSE)</f>
        <v>17/18</v>
      </c>
      <c r="B9" s="274" t="str">
        <f ca="1">$B$44</f>
        <v>18/19</v>
      </c>
      <c r="C9" s="529">
        <f ca="1">IF($D$6="Aug",IFERROR(VLOOKUP(_xlfn.CONCAT($B$1&amp;$C$1&amp;$K$3&amp;$A9&amp;C$6),HIS_SALES!$B$2:$I$5093,8,FALSE),0),IFERROR(VLOOKUP(_xlfn.CONCAT($B$1&amp;$C$1&amp;$K$3&amp;$B9&amp;C$6),HIS_SALES!$B$2:$I$5093,8,FALSE),0))</f>
        <v>0</v>
      </c>
      <c r="D9" s="529">
        <f ca="1">IFERROR(VLOOKUP(_xlfn.CONCAT($B$1&amp;$C$1&amp;$K$3&amp;$B9&amp;D$6),HIS_SALES!$B$2:$I$5093,8,FALSE),0)</f>
        <v>0</v>
      </c>
      <c r="E9" s="529">
        <f ca="1">IFERROR(VLOOKUP(_xlfn.CONCAT($B$1&amp;$C$1&amp;$K$3&amp;$B9&amp;E$6),HIS_SALES!$B$2:$I$5093,8,FALSE),0)</f>
        <v>0</v>
      </c>
      <c r="F9" s="529">
        <f ca="1">IFERROR(VLOOKUP(_xlfn.CONCAT($B$1&amp;$C$1&amp;$K$3&amp;$B9&amp;F$6),HIS_SALES!$B$2:$I$5093,8,FALSE),0)</f>
        <v>0</v>
      </c>
      <c r="G9" s="529">
        <f ca="1">IFERROR(SUM(D9:F9),0)</f>
        <v>0</v>
      </c>
      <c r="N9" s="137" t="str">
        <f ca="1">B9</f>
        <v>18/19</v>
      </c>
      <c r="O9" s="280">
        <f ca="1">IF($P$6="Aug",IFERROR(VLOOKUP(_xlfn.CONCAT($B$1&amp;$C$1&amp;$K$3&amp;$A9&amp;O$6),HIS_SALES!$B$2:$K$5093,10,FALSE),0),IFERROR(VLOOKUP(_xlfn.CONCAT($B$1&amp;$C$1&amp;$K$3&amp;$N9&amp;O$6),HIS_SALES!$B$2:$K$5093,10,FALSE),0))</f>
        <v>0</v>
      </c>
      <c r="P9" s="138">
        <f ca="1">IFERROR(VLOOKUP(_xlfn.CONCAT($B$1&amp;$C$1&amp;$K$3&amp;$N9&amp;P$6),HIS_SALES!$B$2:$K$5093,10,FALSE),0)</f>
        <v>0</v>
      </c>
      <c r="Q9" s="138">
        <f ca="1">IFERROR(VLOOKUP(_xlfn.CONCAT($B$1&amp;$C$1&amp;$K$3&amp;$N9&amp;Q$6),HIS_SALES!$B$2:$K$5093,10,FALSE),0)</f>
        <v>0</v>
      </c>
      <c r="R9" s="138">
        <f ca="1">IFERROR(VLOOKUP(_xlfn.CONCAT($B$1&amp;$C$1&amp;$K$3&amp;$N9&amp;R$6),HIS_SALES!$B$2:$K$5093,10,FALSE),0)</f>
        <v>0</v>
      </c>
      <c r="S9" s="138" t="str">
        <f ca="1">IFERROR(VLOOKUP(_xlfn.CONCAT($B$1,$C$1,$K$3,$N$9,$H$1),HIS_SALES!A4:$P$5093,16,FALSE),"-")</f>
        <v>-</v>
      </c>
    </row>
    <row r="10" spans="1:29" ht="15.75" thickTop="1" x14ac:dyDescent="0.25">
      <c r="B10" s="886" t="s">
        <v>97</v>
      </c>
      <c r="C10" s="886"/>
      <c r="D10" s="886"/>
      <c r="E10" s="886"/>
      <c r="F10" s="886"/>
      <c r="G10" s="886"/>
      <c r="N10" s="887" t="s">
        <v>99</v>
      </c>
      <c r="O10" s="887"/>
      <c r="P10" s="887"/>
      <c r="Q10" s="887"/>
      <c r="R10" s="887"/>
      <c r="S10" s="887"/>
    </row>
    <row r="11" spans="1:29" x14ac:dyDescent="0.25">
      <c r="B11" s="262" t="str">
        <f ca="1">$B$46</f>
        <v>18/19 L.FC</v>
      </c>
      <c r="C11" s="530"/>
      <c r="D11" s="530" t="str">
        <f ca="1">IF(ISNA(VLOOKUP(_xlfn.CONCAT($B$12,D$6),TIME!$M$40:$M$42,1,FALSE))=FALSE,SUMIFS(LAST_FC!$I:$I,LAST_FC!$A:$A,TIME!$E$1,LAST_FC!$C:$C,$C$1,LAST_FC!$D:$D,$K$3,LAST_FC!$E:$E,$B12,LAST_FC!$G:$G,D$6),"")</f>
        <v/>
      </c>
      <c r="E11" s="530" t="str">
        <f ca="1">IF(ISNA(VLOOKUP(_xlfn.CONCAT($B$12,E$6),TIME!$M$40:$M$42,1,FALSE))=FALSE,SUMIFS(LAST_FC!$I:$I,LAST_FC!$A:$A,TIME!$E$1,LAST_FC!$C:$C,$C$1,LAST_FC!$D:$D,$K$3,LAST_FC!$E:$E,$B12,LAST_FC!$G:$G,E$6),"")</f>
        <v/>
      </c>
      <c r="F11" s="530">
        <f ca="1">IF(ISNA(VLOOKUP(_xlfn.CONCAT($B$12,F$6),TIME!$M$40:$M$42,1,FALSE))=FALSE,SUMIFS(LAST_FC!$I:$I,LAST_FC!$A:$A,TIME!$E$1,LAST_FC!$C:$C,$C$1,LAST_FC!$D:$D,$K$3,LAST_FC!$E:$E,$B12,LAST_FC!$G:$G,F$6),"")</f>
        <v>0</v>
      </c>
      <c r="G11" s="530">
        <f ca="1">IFERROR(SUM(D11:F11),0)</f>
        <v>0</v>
      </c>
      <c r="N11" s="235" t="str">
        <f ca="1">B11</f>
        <v>18/19 L.FC</v>
      </c>
      <c r="O11" s="198"/>
      <c r="P11" s="198" t="str">
        <f ca="1">IF(ISNA(VLOOKUP(_xlfn.CONCAT($B$12,P$6),TIME!$M$40:$M$42,1,FALSE))=FALSE,SUMIFS(LAST_FC!$J:$J,LAST_FC!$A:$A,TIME!$E$1,LAST_FC!$C:$C,$C$1,LAST_FC!$D:$D,$K$3,LAST_FC!$E:$E,$B12,LAST_FC!$G:$G,P$6),"")</f>
        <v/>
      </c>
      <c r="Q11" s="198" t="str">
        <f ca="1">IF(ISNA(VLOOKUP(_xlfn.CONCAT($B$12,Q$6),TIME!$M$40:$M$42,1,FALSE))=FALSE,SUMIFS(LAST_FC!$J:$J,LAST_FC!$A:$A,TIME!$E$1,LAST_FC!$C:$C,$C$1,LAST_FC!$D:$D,$K$3,LAST_FC!$E:$E,$B12,LAST_FC!$G:$G,Q$6),"")</f>
        <v/>
      </c>
      <c r="R11" s="198">
        <f ca="1">IF(ISNA(VLOOKUP(_xlfn.CONCAT($B$12,R$6),TIME!$M$40:$M$42,1,FALSE))=FALSE,SUMIFS(LAST_FC!$J:$J,LAST_FC!$A:$A,TIME!$E$1,LAST_FC!$C:$C,$C$1,LAST_FC!$D:$D,$K$3,LAST_FC!$E:$E,$B12,LAST_FC!$G:$G,R$6),"")</f>
        <v>0</v>
      </c>
      <c r="S11" s="195"/>
    </row>
    <row r="12" spans="1:29" ht="15" customHeight="1" x14ac:dyDescent="0.25">
      <c r="B12" s="234" t="str">
        <f ca="1">$B$47</f>
        <v>18/19</v>
      </c>
      <c r="C12" s="531">
        <f ca="1">C9</f>
        <v>0</v>
      </c>
      <c r="D12" s="531">
        <f ca="1">IF(ISNA(VLOOKUP(_xlfn.CONCAT($B12&amp;D$6),TIME!$M$40:$Q$43,5,FALSE)),D9,IF(D$15&lt;&gt;"",D$15*1000,IFERROR(VLOOKUP(_xlfn.CONCAT($B$1,$C$1,$K$3,$B$12,D$6),FC_DATA!$A$2:$I$5000,MATCH("GS_II",FC_DATA!$A$1:$I$1,0),FALSE),D11)))</f>
        <v>0</v>
      </c>
      <c r="E12" s="531">
        <f ca="1">IF(ISNA(VLOOKUP(_xlfn.CONCAT($B12&amp;E$6),TIME!$M$40:$Q$43,5,FALSE)),E9,IF(E$15&lt;&gt;"",E$15*1000,IFERROR(VLOOKUP(_xlfn.CONCAT($B$1,$C$1,$K$3,$B$12,E$6),FC_DATA!$A$2:$I$5000,MATCH("GS_II",FC_DATA!$A$1:$I$1,0),FALSE),E11)))</f>
        <v>0</v>
      </c>
      <c r="F12" s="531">
        <f ca="1">IF(ISNA(VLOOKUP(_xlfn.CONCAT($B12&amp;F$6),TIME!$M$40:$Q$43,5,FALSE)),F9,IF(F$15&lt;&gt;"",F$15*1000,IFERROR(VLOOKUP(_xlfn.CONCAT($B$1,$C$1,$K$3,$B$12,F$6),FC_DATA!$A$2:$I$5000,MATCH("GS_II",FC_DATA!$A$1:$I$1,0),FALSE),F11)))</f>
        <v>0</v>
      </c>
      <c r="G12" s="531">
        <f ca="1">IFERROR(D12,0)+IFERROR(E12,0)+IFERROR(F12,0)</f>
        <v>0</v>
      </c>
      <c r="N12" s="245" t="str">
        <f ca="1">B12</f>
        <v>18/19</v>
      </c>
      <c r="O12" s="790">
        <f ca="1">O9</f>
        <v>0</v>
      </c>
      <c r="P12" s="790">
        <f ca="1">IF(ISNA(VLOOKUP(_xlfn.CONCAT($N12&amp;P$6),TIME!$M$40:$Q$43,5,FALSE)),P9,IF(P$15&lt;&gt;"",P$15,IFERROR(VLOOKUP(_xlfn.CONCAT($B$1,$C$1,$K$3,$N$12,P$6),FC_DATA!$A$2:$M$5000,MATCH("DISCOUNT_%",FC_DATA!$A$1:$M$1,0),FALSE),P11)))</f>
        <v>0</v>
      </c>
      <c r="Q12" s="790">
        <f ca="1">IF(ISNA(VLOOKUP(_xlfn.CONCAT($N12&amp;Q$6),TIME!$M$40:$Q$43,5,FALSE)),Q9,IF(Q$15&lt;&gt;"",Q$15,IFERROR(VLOOKUP(_xlfn.CONCAT($B$1,$C$1,$K$3,$N$12,Q$6),FC_DATA!$A$2:$M$5000,MATCH("DISCOUNT_%",FC_DATA!$A$1:$M$1,0),FALSE),Q11)))</f>
        <v>0</v>
      </c>
      <c r="R12" s="790">
        <f ca="1">IF(ISNA(VLOOKUP(_xlfn.CONCAT($N12&amp;R$6),TIME!$M$40:$Q$43,5,FALSE)),R9,IF(R$15&lt;&gt;"",R$15,IFERROR(VLOOKUP(_xlfn.CONCAT($B$1,$C$1,$K$3,$N$12,R$6),FC_DATA!$A$2:$M$5000,MATCH("DISCOUNT_%",FC_DATA!$A$1:$M$1,0),FALSE),R11)))</f>
        <v>0</v>
      </c>
      <c r="S12" s="246"/>
    </row>
    <row r="13" spans="1:29" ht="15.75" collapsed="1" thickBot="1" x14ac:dyDescent="0.3">
      <c r="B13" s="239" t="str">
        <f>$B$48</f>
        <v>YoY Growth</v>
      </c>
      <c r="C13" s="240" t="str">
        <f ca="1">IFERROR(IF(C12=0,"-",(C12-C8)/C8),"")</f>
        <v>-</v>
      </c>
      <c r="D13" s="240" t="str">
        <f t="shared" ref="D13:F13" ca="1" si="1">IFERROR(IF(D12=0,"-",(D12-D8)/D8),"")</f>
        <v>-</v>
      </c>
      <c r="E13" s="240" t="str">
        <f t="shared" ca="1" si="1"/>
        <v>-</v>
      </c>
      <c r="F13" s="240" t="str">
        <f t="shared" ca="1" si="1"/>
        <v>-</v>
      </c>
      <c r="G13" s="240">
        <f ca="1">IFERROR((G12-G8)/G8,"-")</f>
        <v>-1</v>
      </c>
      <c r="N13" s="791" t="str">
        <f>B27</f>
        <v>Delta %P</v>
      </c>
      <c r="O13" s="793">
        <f ca="1">IFERROR(O12-O8,"")</f>
        <v>-0.12180252038871602</v>
      </c>
      <c r="P13" s="794">
        <f t="shared" ref="P13:R13" ca="1" si="2">IFERROR(P12-P8,"")</f>
        <v>-9.4027350017099012E-2</v>
      </c>
      <c r="Q13" s="794">
        <f t="shared" ca="1" si="2"/>
        <v>-3.0307682462699801E-2</v>
      </c>
      <c r="R13" s="794">
        <f t="shared" ca="1" si="2"/>
        <v>-3.7744367798245901E-2</v>
      </c>
      <c r="S13" s="794"/>
      <c r="T13" s="140"/>
      <c r="U13" s="140"/>
    </row>
    <row r="14" spans="1:29" x14ac:dyDescent="0.25">
      <c r="C14" s="264"/>
      <c r="O14" s="792"/>
    </row>
    <row r="15" spans="1:29" ht="15.75" x14ac:dyDescent="0.25">
      <c r="B15" s="236" t="str">
        <f ca="1">"INPUT " &amp;$B$47</f>
        <v>INPUT 18/19</v>
      </c>
      <c r="C15" s="237"/>
      <c r="D15" s="747"/>
      <c r="E15" s="747"/>
      <c r="F15" s="747"/>
      <c r="G15" s="238"/>
      <c r="N15" s="236" t="str">
        <f ca="1">B15</f>
        <v>INPUT 18/19</v>
      </c>
      <c r="O15" s="285"/>
      <c r="P15" s="748"/>
      <c r="Q15" s="748"/>
      <c r="R15" s="748"/>
      <c r="S15" s="238"/>
    </row>
    <row r="16" spans="1:29" x14ac:dyDescent="0.25">
      <c r="B16" s="312"/>
      <c r="C16" s="313"/>
      <c r="D16" s="312"/>
      <c r="E16" s="312"/>
      <c r="F16" s="312"/>
      <c r="G16" s="312"/>
      <c r="H16" s="312"/>
      <c r="I16" s="312"/>
      <c r="J16" s="312"/>
      <c r="K16" s="312"/>
      <c r="L16" s="312"/>
      <c r="M16" s="314"/>
      <c r="N16" s="315"/>
      <c r="O16" s="343"/>
      <c r="P16" s="315"/>
      <c r="Q16" s="315"/>
      <c r="R16" s="315"/>
      <c r="S16" s="315"/>
      <c r="T16" s="315"/>
      <c r="U16" s="315"/>
      <c r="V16" s="315"/>
      <c r="W16" s="315"/>
      <c r="X16" s="315"/>
      <c r="Y16" s="315"/>
      <c r="Z16" s="315"/>
    </row>
    <row r="17" spans="2:27" x14ac:dyDescent="0.25">
      <c r="N17" s="163"/>
      <c r="P17" s="163"/>
    </row>
    <row r="18" spans="2:27" ht="15.75" thickBot="1" x14ac:dyDescent="0.3">
      <c r="B18" s="233" t="s">
        <v>160</v>
      </c>
      <c r="C18" s="152"/>
      <c r="D18" s="129"/>
      <c r="E18" s="129"/>
      <c r="F18" s="129"/>
      <c r="G18" s="129"/>
      <c r="N18" s="233"/>
      <c r="O18" s="152"/>
      <c r="P18" s="129"/>
      <c r="Q18" s="129"/>
      <c r="R18" s="129"/>
      <c r="S18" s="129"/>
      <c r="T18" s="316"/>
      <c r="U18" s="316"/>
      <c r="V18" s="316"/>
      <c r="W18" s="177"/>
      <c r="X18" s="177"/>
      <c r="Y18" s="177"/>
      <c r="Z18" s="177"/>
      <c r="AA18" s="177"/>
    </row>
    <row r="19" spans="2:27" x14ac:dyDescent="0.25">
      <c r="B19" s="894" t="s">
        <v>139</v>
      </c>
      <c r="C19" s="893"/>
      <c r="D19" s="893"/>
      <c r="E19" s="893"/>
      <c r="F19" s="893"/>
      <c r="G19" s="893"/>
      <c r="N19" s="894" t="s">
        <v>178</v>
      </c>
      <c r="O19" s="893"/>
      <c r="P19" s="893"/>
      <c r="Q19" s="893"/>
      <c r="R19" s="893"/>
      <c r="S19" s="893"/>
      <c r="T19" s="317"/>
      <c r="U19" s="322"/>
      <c r="V19" s="322"/>
      <c r="Z19" s="162"/>
      <c r="AA19" s="177"/>
    </row>
    <row r="20" spans="2:27" x14ac:dyDescent="0.25">
      <c r="B20" s="133" t="s">
        <v>7</v>
      </c>
      <c r="C20" s="133" t="str">
        <f ca="1">C41</f>
        <v>Jan</v>
      </c>
      <c r="D20" s="133" t="str">
        <f ca="1">D41</f>
        <v>Feb</v>
      </c>
      <c r="E20" s="133" t="str">
        <f ca="1">E41</f>
        <v>Mar</v>
      </c>
      <c r="F20" s="133" t="str">
        <f ca="1">F41</f>
        <v>Apr</v>
      </c>
      <c r="G20" s="272"/>
      <c r="N20" s="133" t="s">
        <v>7</v>
      </c>
      <c r="O20" s="271" t="str">
        <f ca="1">C6</f>
        <v>Jan</v>
      </c>
      <c r="P20" s="133" t="str">
        <f t="shared" ref="P20:R20" ca="1" si="3">D6</f>
        <v>Feb</v>
      </c>
      <c r="Q20" s="133" t="str">
        <f t="shared" ca="1" si="3"/>
        <v>Mar</v>
      </c>
      <c r="R20" s="133" t="str">
        <f t="shared" ca="1" si="3"/>
        <v>Apr</v>
      </c>
      <c r="S20" s="271"/>
      <c r="T20" s="318"/>
      <c r="U20" s="322"/>
      <c r="V20" s="322"/>
      <c r="Z20" s="162"/>
      <c r="AA20" s="177"/>
    </row>
    <row r="21" spans="2:27" x14ac:dyDescent="0.25">
      <c r="B21" s="134" t="str">
        <f ca="1">$B$42</f>
        <v>16/17</v>
      </c>
      <c r="C21" s="280">
        <f ca="1">IF($D$20="Aug",IFERROR(VLOOKUP(_xlfn.CONCAT($B$1&amp;$C$1&amp;$K$3&amp;A7&amp;C$6),HIS_SALES!$B$2:$N$5093,13,FALSE),"-"),IFERROR(VLOOKUP(_xlfn.CONCAT($B$1&amp;$C$1&amp;$K$3&amp;$B21&amp;C$6),HIS_SALES!$B$2:$N$5093,13,FALSE),"-"))</f>
        <v>9.4087636365407498E-2</v>
      </c>
      <c r="D21" s="280">
        <f ca="1">IFERROR(VLOOKUP(_xlfn.CONCAT($B$1&amp;$C$1&amp;$K$3&amp;$B21&amp;D$6),HIS_SALES!$B$2:$N$5093,13,FALSE),"-")</f>
        <v>0.115904755265403</v>
      </c>
      <c r="E21" s="280">
        <f ca="1">IFERROR(VLOOKUP(_xlfn.CONCAT($B$1&amp;$C$1&amp;$K$3&amp;$B21&amp;E$6),HIS_SALES!$B$2:$N$5093,13,FALSE),"-")</f>
        <v>8.4017682149873193E-2</v>
      </c>
      <c r="F21" s="280">
        <f ca="1">IFERROR(VLOOKUP(_xlfn.CONCAT($B$1&amp;$C$1&amp;$K$3&amp;$B21&amp;F$6),HIS_SALES!$B$2:$N$5093,13,FALSE),"-")</f>
        <v>6.3090525349468504E-2</v>
      </c>
      <c r="G21" s="223"/>
      <c r="N21" s="134" t="str">
        <f ca="1">B21</f>
        <v>16/17</v>
      </c>
      <c r="O21" s="94">
        <f ca="1">IF($P$20="Aug",IFERROR(VLOOKUP(_xlfn.CONCAT($B$1&amp;$C$1&amp;$K$3&amp;$A7&amp;O$6),HIS_SALES!$B$2:$L$5093,11,FALSE),0),IFERROR(VLOOKUP(_xlfn.CONCAT($B$1&amp;$C$1&amp;$K$3&amp;$N21&amp;O$6),HIS_SALES!$B$2:$L$5093,11,FALSE),0))</f>
        <v>2.99750419374383</v>
      </c>
      <c r="P21" s="467">
        <f ca="1">IFERROR(VLOOKUP(_xlfn.CONCAT($B$1&amp;$C$1&amp;$K$3&amp;$N21&amp;P$6),HIS_SALES!$B$2:$L$5093,11,FALSE),0)</f>
        <v>3.00277982155148</v>
      </c>
      <c r="Q21" s="467">
        <f ca="1">IFERROR(VLOOKUP(_xlfn.CONCAT($B$1&amp;$C$1&amp;$K$3&amp;$N21&amp;Q$6),HIS_SALES!$B$2:$L$5093,11,FALSE),0)</f>
        <v>3.1075180717628599</v>
      </c>
      <c r="R21" s="467">
        <f ca="1">IFERROR(VLOOKUP(_xlfn.CONCAT($B$1&amp;$C$1&amp;$K$3&amp;$N21&amp;R$6),HIS_SALES!$B$2:$L$5093,11,FALSE),0)</f>
        <v>3.0314210366386298</v>
      </c>
      <c r="S21" s="141"/>
      <c r="T21" s="323"/>
      <c r="U21" s="322"/>
      <c r="V21" s="322"/>
      <c r="Z21" s="162"/>
      <c r="AA21" s="177"/>
    </row>
    <row r="22" spans="2:27" x14ac:dyDescent="0.25">
      <c r="B22" s="134" t="str">
        <f ca="1">$B$43</f>
        <v>17/18</v>
      </c>
      <c r="C22" s="280">
        <f ca="1">IF($D$20="Aug",IFERROR(VLOOKUP(_xlfn.CONCAT($B$1&amp;$C$1&amp;$K$3&amp;A8&amp;C$6),HIS_SALES!$B$2:$N$5093,13,FALSE),"-"),IFERROR(VLOOKUP(_xlfn.CONCAT($B$1&amp;$C$1&amp;$K$3&amp;$B22&amp;C$6),HIS_SALES!$B$2:$N$5093,13,FALSE),"-"))</f>
        <v>9.6833763814751395E-2</v>
      </c>
      <c r="D22" s="280">
        <f ca="1">IFERROR(VLOOKUP(_xlfn.CONCAT($B$1&amp;$C$1&amp;$K$3&amp;$B22&amp;D$6),HIS_SALES!$B$2:$N$5093,13,FALSE),"-")</f>
        <v>0.17705254857711702</v>
      </c>
      <c r="E22" s="280">
        <f ca="1">IFERROR(VLOOKUP(_xlfn.CONCAT($B$1&amp;$C$1&amp;$K$3&amp;$B22&amp;E$6),HIS_SALES!$B$2:$N$5093,13,FALSE),"-")</f>
        <v>0.21960597151877601</v>
      </c>
      <c r="F22" s="280">
        <f ca="1">IFERROR(VLOOKUP(_xlfn.CONCAT($B$1&amp;$C$1&amp;$K$3&amp;$B22&amp;F$6),HIS_SALES!$B$2:$N$5093,13,FALSE),"-")</f>
        <v>0.21866564408524602</v>
      </c>
      <c r="G22" s="141"/>
      <c r="N22" s="134" t="str">
        <f ca="1">B22</f>
        <v>17/18</v>
      </c>
      <c r="O22" s="94">
        <f ca="1">IF($P$20="Aug",IFERROR(VLOOKUP(_xlfn.CONCAT($B$1&amp;$C$1&amp;$K$3&amp;$A8&amp;O$6),HIS_SALES!$B$2:$L$5093,11,FALSE),0),IFERROR(VLOOKUP(_xlfn.CONCAT($B$1&amp;$C$1&amp;$K$3&amp;$N22&amp;O$6),HIS_SALES!$B$2:$L$5093,11,FALSE),0))</f>
        <v>3.0933571847644199</v>
      </c>
      <c r="P22" s="467">
        <f ca="1">IFERROR(VLOOKUP(_xlfn.CONCAT($B$1&amp;$C$1&amp;$K$3&amp;$N22&amp;P$6),HIS_SALES!$B$2:$L$5093,11,FALSE),0)</f>
        <v>3.1334930542360202</v>
      </c>
      <c r="Q22" s="467">
        <f ca="1">IFERROR(VLOOKUP(_xlfn.CONCAT($B$1&amp;$C$1&amp;$K$3&amp;$N22&amp;Q$6),HIS_SALES!$B$2:$L$5093,11,FALSE),0)</f>
        <v>3.1246091725254601</v>
      </c>
      <c r="R22" s="467">
        <f ca="1">IFERROR(VLOOKUP(_xlfn.CONCAT($B$1&amp;$C$1&amp;$K$3&amp;$N22&amp;R$6),HIS_SALES!$B$2:$L$5093,11,FALSE),0)</f>
        <v>3.1199547452820502</v>
      </c>
      <c r="S22" s="141"/>
      <c r="T22" s="323"/>
      <c r="U22" s="322"/>
      <c r="V22" s="322"/>
      <c r="Z22" s="162"/>
      <c r="AA22" s="177"/>
    </row>
    <row r="23" spans="2:27" ht="15.75" thickBot="1" x14ac:dyDescent="0.3">
      <c r="B23" s="137" t="str">
        <f ca="1">$B$44</f>
        <v>18/19</v>
      </c>
      <c r="C23" s="280" t="str">
        <f ca="1">IF($D$20="Aug",IFERROR(VLOOKUP(_xlfn.CONCAT($B$1&amp;$C$1&amp;$K$3&amp;A9&amp;C$6),HIS_SALES!$B$2:$N$5093,13,FALSE),"-"),IFERROR(VLOOKUP(_xlfn.CONCAT($B$1&amp;$C$1&amp;$K$3&amp;$B23&amp;C$6),HIS_SALES!$B$2:$N$5093,13,FALSE),"-"))</f>
        <v>-</v>
      </c>
      <c r="D23" s="281" t="str">
        <f ca="1">IFERROR(VLOOKUP(_xlfn.CONCAT($B$1&amp;$C$1&amp;$K$3&amp;$B23&amp;D$6),HIS_SALES!$B$2:$N$5093,13,FALSE),"-")</f>
        <v>-</v>
      </c>
      <c r="E23" s="281" t="str">
        <f ca="1">IFERROR(VLOOKUP(_xlfn.CONCAT($B$1&amp;$C$1&amp;$K$3&amp;$B23&amp;E$6),HIS_SALES!$B$2:$N$5093,13,FALSE),"-")</f>
        <v>-</v>
      </c>
      <c r="F23" s="281" t="str">
        <f ca="1">IFERROR(VLOOKUP(_xlfn.CONCAT($B$1&amp;$C$1&amp;$K$3&amp;$B23&amp;F$6),HIS_SALES!$B$2:$N$5093,13,FALSE),"-")</f>
        <v>-</v>
      </c>
      <c r="G23" s="154"/>
      <c r="N23" s="137" t="str">
        <f ca="1">B23</f>
        <v>18/19</v>
      </c>
      <c r="O23" s="94">
        <f ca="1">IF($P$20="Aug",IFERROR(VLOOKUP(_xlfn.CONCAT($B$1&amp;$C$1&amp;$K$3&amp;$A9&amp;O$6),HIS_SALES!$B$2:$L$5093,11,FALSE),0),IFERROR(VLOOKUP(_xlfn.CONCAT($B$1&amp;$C$1&amp;$K$3&amp;$N23&amp;O$6),HIS_SALES!$B$2:$L$5093,11,FALSE),0))</f>
        <v>0</v>
      </c>
      <c r="P23" s="468">
        <f ca="1">IFERROR(VLOOKUP(_xlfn.CONCAT($B$1&amp;$C$1&amp;$K$3&amp;$N23&amp;P$6),HIS_SALES!$B$2:$L$5093,11,FALSE),0)</f>
        <v>0</v>
      </c>
      <c r="Q23" s="468">
        <f ca="1">IFERROR(VLOOKUP(_xlfn.CONCAT($B$1&amp;$C$1&amp;$K$3&amp;$N23&amp;Q$6),HIS_SALES!$B$2:$L$5093,11,FALSE),0)</f>
        <v>0</v>
      </c>
      <c r="R23" s="468">
        <f ca="1">IFERROR(VLOOKUP(_xlfn.CONCAT($B$1&amp;$C$1&amp;$K$3&amp;$N23&amp;R$6),HIS_SALES!$B$2:$L$5093,11,FALSE),0)</f>
        <v>0</v>
      </c>
      <c r="S23" s="138"/>
      <c r="T23" s="323"/>
      <c r="U23" s="322"/>
      <c r="V23" s="322"/>
      <c r="Z23" s="162"/>
      <c r="AA23" s="177"/>
    </row>
    <row r="24" spans="2:27" ht="15.75" thickTop="1" x14ac:dyDescent="0.25">
      <c r="B24" s="886" t="s">
        <v>379</v>
      </c>
      <c r="C24" s="891"/>
      <c r="D24" s="891"/>
      <c r="E24" s="891"/>
      <c r="F24" s="891"/>
      <c r="G24" s="891"/>
      <c r="N24" s="895" t="s">
        <v>378</v>
      </c>
      <c r="O24" s="887"/>
      <c r="P24" s="887"/>
      <c r="Q24" s="887"/>
      <c r="R24" s="887"/>
      <c r="S24" s="887"/>
      <c r="T24" s="323"/>
      <c r="U24" s="322"/>
      <c r="V24" s="322"/>
      <c r="Z24" s="162"/>
      <c r="AA24" s="177"/>
    </row>
    <row r="25" spans="2:27" x14ac:dyDescent="0.25">
      <c r="B25" s="235" t="str">
        <f ca="1">$B$46</f>
        <v>18/19 L.FC</v>
      </c>
      <c r="C25" s="275"/>
      <c r="D25" s="195" t="str">
        <f ca="1">IF(ISNA(VLOOKUP(_xlfn.CONCAT($B$12,D$6),TIME!$M$40:$M$42,1,FALSE))=FALSE,SUMIFS(LAST_FC!$L:$L,LAST_FC!$A:$A,TIME!$E$1,LAST_FC!$C:$C,$C$1,LAST_FC!$D:$D,$K$3,LAST_FC!$E:$E,$B26,LAST_FC!$G:$G,D$6),"")</f>
        <v/>
      </c>
      <c r="E25" s="195" t="str">
        <f ca="1">IF(ISNA(VLOOKUP(_xlfn.CONCAT($B$12,E$6),TIME!$M$40:$M$42,1,FALSE))=FALSE,SUMIFS(LAST_FC!$L:$L,LAST_FC!$A:$A,TIME!$E$1,LAST_FC!$C:$C,$C$1,LAST_FC!$D:$D,$K$3,LAST_FC!$E:$E,$B26,LAST_FC!$G:$G,E$6),"")</f>
        <v/>
      </c>
      <c r="F25" s="195">
        <f ca="1">IF(ISNA(VLOOKUP(_xlfn.CONCAT($B$12,F$6),TIME!$M$40:$M$42,1,FALSE))=FALSE,SUMIFS(LAST_FC!$L:$L,LAST_FC!$A:$A,TIME!$E$1,LAST_FC!$C:$C,$C$1,LAST_FC!$D:$D,$K$3,LAST_FC!$E:$E,$B26,LAST_FC!$G:$G,F$6),"")</f>
        <v>0</v>
      </c>
      <c r="G25" s="195"/>
      <c r="N25" s="235" t="str">
        <f ca="1">B25</f>
        <v>18/19 L.FC</v>
      </c>
      <c r="O25" s="198"/>
      <c r="P25" s="504" t="str">
        <f ca="1">IF(ISNA(VLOOKUP(_xlfn.CONCAT($B$12,P$6),TIME!$M$40:$M$42,1,FALSE))=FALSE,SUMIFS(LAST_FC!$K:$K,LAST_FC!$A:$A,TIME!$E$1,LAST_FC!$C:$C,$C$1,LAST_FC!$D:$D,$K$3,LAST_FC!$E:$E,$B26,LAST_FC!$G:$G,P$6),"")</f>
        <v/>
      </c>
      <c r="Q25" s="504" t="str">
        <f ca="1">IF(ISNA(VLOOKUP(_xlfn.CONCAT($B$12,Q$6),TIME!$M$40:$M$42,1,FALSE))=FALSE,SUMIFS(LAST_FC!$K:$K,LAST_FC!$A:$A,TIME!$E$1,LAST_FC!$C:$C,$C$1,LAST_FC!$D:$D,$K$3,LAST_FC!$E:$E,$B26,LAST_FC!$G:$G,Q$6),"")</f>
        <v/>
      </c>
      <c r="R25" s="504">
        <f ca="1">IF(ISNA(VLOOKUP(_xlfn.CONCAT($B$12,R$6),TIME!$M$40:$M$42,1,FALSE))=FALSE,SUMIFS(LAST_FC!$K:$K,LAST_FC!$A:$A,TIME!$E$1,LAST_FC!$C:$C,$C$1,LAST_FC!$D:$D,$K$3,LAST_FC!$E:$E,$B26,LAST_FC!$G:$G,R$6),"")</f>
        <v>0</v>
      </c>
      <c r="S25" s="195"/>
      <c r="T25" s="323"/>
      <c r="U25" s="322"/>
      <c r="V25" s="322"/>
      <c r="Z25" s="162"/>
      <c r="AA25" s="177"/>
    </row>
    <row r="26" spans="2:27" ht="15.75" thickBot="1" x14ac:dyDescent="0.3">
      <c r="B26" s="245" t="str">
        <f ca="1">$B$47</f>
        <v>18/19</v>
      </c>
      <c r="C26" s="288" t="str">
        <f ca="1">C23</f>
        <v>-</v>
      </c>
      <c r="D26" s="288" t="str">
        <f ca="1">IF(ISNA(VLOOKUP(_xlfn.CONCAT($B26&amp;D$6),TIME!$M$40:$Q$43,5,FALSE)),D23,IF(D$29&lt;&gt;"",D$29,IFERROR(VLOOKUP(_xlfn.CONCAT($B$1,$C$1,$K$3,$B$26,D$6),FC_DATA!$A$2:$M$5000,MATCH("NOOS%",FC_DATA!$A$1:$M$1,0),FALSE),D25)))</f>
        <v>-</v>
      </c>
      <c r="E26" s="288" t="str">
        <f ca="1">IF(ISNA(VLOOKUP(_xlfn.CONCAT($B26&amp;E$6),TIME!$M$40:$Q$43,5,FALSE)),E23,IF(E$29&lt;&gt;"",E$29,IFERROR(VLOOKUP(_xlfn.CONCAT($B$1,$C$1,$K$3,$B$26,E$6),FC_DATA!$A$2:$M$5000,MATCH("NOOS%",FC_DATA!$A$1:$M$1,0),FALSE),E25)))</f>
        <v>-</v>
      </c>
      <c r="F26" s="288">
        <f ca="1">IF(ISNA(VLOOKUP(_xlfn.CONCAT($B26&amp;F$6),TIME!$M$40:$Q$43,5,FALSE)),F23,IF(F$29&lt;&gt;"",F$29,IFERROR(VLOOKUP(_xlfn.CONCAT($B$1,$C$1,$K$3,$B$26,F$6),FC_DATA!$A$2:$M$5000,MATCH("NOOS%",FC_DATA!$A$1:$M$1,0),FALSE),F25)))</f>
        <v>0</v>
      </c>
      <c r="G26" s="246"/>
      <c r="N26" s="239" t="str">
        <f ca="1">B26</f>
        <v>18/19</v>
      </c>
      <c r="O26" s="362">
        <f ca="1">O23</f>
        <v>0</v>
      </c>
      <c r="P26" s="362">
        <f ca="1">IF(ISNA(VLOOKUP(_xlfn.CONCAT($N26&amp;P$20),TIME!$M$40:$Q$43,5,FALSE)),P23,IF(P$29&lt;&gt;"",P$29,IFERROR(VLOOKUP(_xlfn.CONCAT($B$1,$C$1,$K$3,$N26,$Q20),FC_DATA!$A2:$K5000,11,FALSE),P22)))</f>
        <v>0</v>
      </c>
      <c r="Q26" s="362">
        <f ca="1">IF(ISNA(VLOOKUP(_xlfn.CONCAT($N26&amp;Q$20),TIME!$M$40:$Q$43,5,FALSE)),Q23,IF(Q$29&lt;&gt;"",Q$29,IFERROR(VLOOKUP(_xlfn.CONCAT($B$1,$C$1,$K$3,$N26,$Q20),FC_DATA!$A2:$K5000,11,FALSE),Q22)))</f>
        <v>0</v>
      </c>
      <c r="R26" s="362">
        <f ca="1">IF(ISNA(VLOOKUP(_xlfn.CONCAT($N26&amp;R$20),TIME!$M$40:$Q$43,5,FALSE)),R23,IF(R$29&lt;&gt;"",R$29,IFERROR(VLOOKUP(_xlfn.CONCAT($B$1,$C$1,$K$3,$N26,$Q20),FC_DATA!$A2:$K5000,11,FALSE),R22)))</f>
        <v>3.1199547452820502</v>
      </c>
      <c r="S26" s="242"/>
      <c r="T26" s="320"/>
      <c r="U26" s="321"/>
      <c r="V26" s="322"/>
      <c r="Z26" s="162"/>
      <c r="AA26" s="177"/>
    </row>
    <row r="27" spans="2:27" ht="15.75" thickBot="1" x14ac:dyDescent="0.3">
      <c r="B27" s="239" t="s">
        <v>385</v>
      </c>
      <c r="C27" s="240">
        <f ca="1">IFERROR(C26-C22,0)</f>
        <v>0</v>
      </c>
      <c r="D27" s="240">
        <f t="shared" ref="D27:F27" ca="1" si="4">IFERROR(D26-D22,0)</f>
        <v>0</v>
      </c>
      <c r="E27" s="240">
        <f t="shared" ca="1" si="4"/>
        <v>0</v>
      </c>
      <c r="F27" s="240">
        <f t="shared" ca="1" si="4"/>
        <v>-0.21866564408524602</v>
      </c>
      <c r="G27" s="240"/>
      <c r="T27" s="320"/>
      <c r="U27" s="322"/>
      <c r="V27" s="322"/>
      <c r="Z27" s="162"/>
      <c r="AA27" s="177"/>
    </row>
    <row r="28" spans="2:27" x14ac:dyDescent="0.25">
      <c r="T28" s="323"/>
      <c r="U28" s="322"/>
      <c r="V28" s="322"/>
      <c r="Z28" s="162"/>
      <c r="AA28" s="177"/>
    </row>
    <row r="29" spans="2:27" ht="15.75" x14ac:dyDescent="0.25">
      <c r="B29" s="236" t="str">
        <f ca="1">"INPUT " &amp;$B$47</f>
        <v>INPUT 18/19</v>
      </c>
      <c r="C29" s="285"/>
      <c r="D29" s="748"/>
      <c r="E29" s="748"/>
      <c r="F29" s="748"/>
      <c r="G29" s="238"/>
      <c r="N29" s="236" t="str">
        <f ca="1">B29</f>
        <v>INPUT 18/19</v>
      </c>
      <c r="O29" s="361"/>
      <c r="P29" s="749"/>
      <c r="Q29" s="749"/>
      <c r="R29" s="749"/>
      <c r="S29" s="238"/>
      <c r="T29" s="323"/>
      <c r="U29" s="322"/>
      <c r="V29" s="322"/>
      <c r="Z29" s="162"/>
      <c r="AA29" s="177"/>
    </row>
    <row r="30" spans="2:27" ht="15.75" x14ac:dyDescent="0.25">
      <c r="B30" s="297"/>
      <c r="C30" s="325"/>
      <c r="D30" s="306"/>
      <c r="E30" s="306"/>
      <c r="F30" s="306"/>
      <c r="G30" s="307"/>
      <c r="N30" s="324"/>
      <c r="O30" s="325"/>
      <c r="P30" s="306"/>
      <c r="Q30" s="306"/>
      <c r="R30" s="306"/>
      <c r="S30" s="319"/>
      <c r="T30" s="323"/>
      <c r="U30" s="322"/>
      <c r="V30" s="322"/>
      <c r="Z30" s="162"/>
      <c r="AA30" s="177"/>
    </row>
    <row r="31" spans="2:27" x14ac:dyDescent="0.25">
      <c r="N31" s="24"/>
      <c r="O31" s="267"/>
      <c r="P31" s="24"/>
      <c r="Q31" s="24"/>
      <c r="R31" s="24"/>
      <c r="S31" s="24"/>
    </row>
    <row r="32" spans="2:27" x14ac:dyDescent="0.25">
      <c r="N32" s="24"/>
      <c r="O32" s="267"/>
      <c r="P32" s="24"/>
      <c r="Q32" s="24"/>
      <c r="R32" s="24"/>
      <c r="S32" s="24"/>
      <c r="X32" s="168"/>
      <c r="Y32" s="168"/>
      <c r="Z32" s="168"/>
    </row>
    <row r="33" spans="1:29" x14ac:dyDescent="0.25">
      <c r="A33" s="148"/>
      <c r="B33" s="148"/>
      <c r="N33" s="25"/>
      <c r="O33" s="268"/>
      <c r="P33" s="25"/>
      <c r="Q33" s="25"/>
      <c r="R33" s="25"/>
      <c r="S33" s="25"/>
      <c r="T33" s="148"/>
      <c r="U33" s="148"/>
      <c r="V33" s="148"/>
      <c r="W33" s="148"/>
      <c r="X33" s="896"/>
      <c r="Y33" s="896"/>
      <c r="Z33" s="148"/>
      <c r="AA33" s="148"/>
    </row>
    <row r="34" spans="1:29" x14ac:dyDescent="0.25">
      <c r="A34" s="148"/>
      <c r="B34" s="148"/>
      <c r="N34" s="25"/>
      <c r="O34" s="268"/>
      <c r="P34" s="25"/>
      <c r="Q34" s="25"/>
      <c r="R34" s="25"/>
      <c r="S34" s="25"/>
      <c r="T34" s="148"/>
      <c r="U34" s="148"/>
      <c r="V34" s="148"/>
      <c r="W34" s="148"/>
      <c r="X34" s="148"/>
      <c r="Y34" s="148"/>
      <c r="Z34" s="148"/>
      <c r="AA34" s="148"/>
    </row>
    <row r="35" spans="1:29" x14ac:dyDescent="0.25">
      <c r="A35" s="148"/>
      <c r="B35" s="148"/>
      <c r="N35" s="25"/>
      <c r="O35" s="268"/>
      <c r="P35" s="25"/>
      <c r="Q35" s="25"/>
      <c r="R35" s="25"/>
      <c r="S35" s="25"/>
      <c r="T35" s="148"/>
      <c r="U35" s="148"/>
      <c r="V35" s="148"/>
      <c r="W35" s="148"/>
      <c r="X35" s="148"/>
      <c r="Y35" s="148"/>
      <c r="Z35" s="148"/>
      <c r="AA35" s="148"/>
    </row>
    <row r="36" spans="1:29" x14ac:dyDescent="0.25">
      <c r="A36" s="148"/>
      <c r="B36" s="231"/>
      <c r="C36" s="231"/>
      <c r="D36" s="231"/>
      <c r="E36" s="231"/>
      <c r="F36" s="231"/>
      <c r="G36" s="231"/>
      <c r="H36" s="231"/>
      <c r="I36" s="231"/>
      <c r="J36" s="231"/>
      <c r="K36" s="231"/>
      <c r="L36" s="231"/>
      <c r="M36" s="231"/>
      <c r="N36" s="231"/>
      <c r="O36" s="269"/>
      <c r="P36" s="231"/>
      <c r="Q36" s="231"/>
      <c r="R36" s="231"/>
      <c r="S36" s="231"/>
      <c r="T36" s="172"/>
      <c r="U36" s="172"/>
      <c r="V36" s="172"/>
      <c r="W36" s="172"/>
      <c r="X36" s="172"/>
      <c r="Y36" s="172"/>
      <c r="Z36" s="172"/>
      <c r="AA36" s="148"/>
    </row>
    <row r="37" spans="1:29" ht="15.75" x14ac:dyDescent="0.25">
      <c r="B37" s="297"/>
      <c r="C37" s="325"/>
      <c r="D37" s="306"/>
      <c r="E37" s="306"/>
      <c r="F37" s="306"/>
      <c r="G37" s="307"/>
      <c r="N37" s="324"/>
      <c r="O37" s="325"/>
      <c r="P37" s="306"/>
      <c r="Q37" s="306"/>
      <c r="R37" s="306"/>
      <c r="S37" s="319"/>
      <c r="T37" s="323"/>
      <c r="U37" s="322"/>
      <c r="V37" s="322"/>
      <c r="Z37" s="162"/>
      <c r="AA37" s="177"/>
    </row>
    <row r="38" spans="1:29" ht="17.25" x14ac:dyDescent="0.25">
      <c r="B38" s="278"/>
      <c r="C38" s="278"/>
      <c r="D38" s="278"/>
      <c r="E38" s="278"/>
      <c r="F38" s="278"/>
      <c r="G38" s="278"/>
      <c r="H38" s="124"/>
      <c r="I38" s="124"/>
      <c r="J38" s="124"/>
      <c r="K38" s="889" t="s">
        <v>170</v>
      </c>
      <c r="L38" s="890"/>
      <c r="M38" s="890"/>
      <c r="N38" s="123"/>
      <c r="O38" s="266"/>
      <c r="P38" s="124"/>
      <c r="Q38" s="124"/>
      <c r="R38" s="124"/>
      <c r="S38" s="124"/>
      <c r="T38" s="124"/>
      <c r="U38" s="124"/>
      <c r="V38" s="124"/>
      <c r="W38" s="124"/>
      <c r="X38" s="124"/>
      <c r="Y38" s="124"/>
      <c r="Z38" s="124"/>
      <c r="AA38" s="177"/>
    </row>
    <row r="39" spans="1:29" ht="21.95" customHeight="1" thickBot="1" x14ac:dyDescent="0.3">
      <c r="B39" s="129"/>
      <c r="C39" s="130"/>
      <c r="D39" s="131"/>
      <c r="E39" s="131"/>
      <c r="F39" s="131"/>
      <c r="G39" s="131"/>
      <c r="N39" s="129"/>
      <c r="O39" s="263"/>
      <c r="P39" s="129"/>
      <c r="Q39" s="129"/>
      <c r="R39" s="129"/>
      <c r="S39" s="129"/>
    </row>
    <row r="40" spans="1:29" x14ac:dyDescent="0.25">
      <c r="B40" s="893" t="s">
        <v>101</v>
      </c>
      <c r="C40" s="893"/>
      <c r="D40" s="893"/>
      <c r="E40" s="893"/>
      <c r="F40" s="893"/>
      <c r="G40" s="893"/>
      <c r="N40" s="900" t="s">
        <v>115</v>
      </c>
      <c r="O40" s="900"/>
      <c r="P40" s="900"/>
      <c r="Q40" s="900"/>
      <c r="R40" s="900"/>
      <c r="S40" s="900"/>
    </row>
    <row r="41" spans="1:29" x14ac:dyDescent="0.25">
      <c r="B41" s="271" t="s">
        <v>7</v>
      </c>
      <c r="C41" s="271" t="str">
        <f ca="1">VLOOKUP(TIME!$E$7,TIME!$R$21:$V$24,2,FALSE)</f>
        <v>Jan</v>
      </c>
      <c r="D41" s="271" t="str">
        <f ca="1">VLOOKUP(TIME!$E$7,TIME!$R$21:$V$24,3,FALSE)</f>
        <v>Feb</v>
      </c>
      <c r="E41" s="271" t="str">
        <f ca="1">VLOOKUP(TIME!$E$7,TIME!$R$21:$V$24,4,FALSE)</f>
        <v>Mar</v>
      </c>
      <c r="F41" s="271" t="str">
        <f ca="1">VLOOKUP(TIME!$E$7,TIME!$R$21:$V$24,5,FALSE)</f>
        <v>Apr</v>
      </c>
      <c r="G41" s="272" t="s">
        <v>158</v>
      </c>
      <c r="N41" s="133" t="s">
        <v>7</v>
      </c>
      <c r="O41" s="271" t="str">
        <f ca="1">C41</f>
        <v>Jan</v>
      </c>
      <c r="P41" s="133" t="str">
        <f t="shared" ref="P41:R41" ca="1" si="5">D41</f>
        <v>Feb</v>
      </c>
      <c r="Q41" s="133" t="str">
        <f t="shared" ca="1" si="5"/>
        <v>Mar</v>
      </c>
      <c r="R41" s="133" t="str">
        <f t="shared" ca="1" si="5"/>
        <v>Apr</v>
      </c>
      <c r="S41" s="271" t="s">
        <v>158</v>
      </c>
    </row>
    <row r="42" spans="1:29" x14ac:dyDescent="0.25">
      <c r="B42" s="273" t="str">
        <f ca="1">VLOOKUP($G$1,TIME!$L$12:$P$16,3)</f>
        <v>16/17</v>
      </c>
      <c r="C42" s="527">
        <f ca="1">IF($D$41="Aug",SUMIFS(HIS_SALES!$I:$I,HIS_SALES!$C:$C,M_BRAND_FC!$B$1,HIS_SALES!$D:$D,M_BRAND_FC!$C$1,HIS_SALES!$F:$F,$A7,HIS_SALES!$H:$H,M_BRAND_FC!C$41),SUMIFS(HIS_SALES!$I:$I,HIS_SALES!$C:$C,M_BRAND_FC!$B$1,HIS_SALES!$D:$D,M_BRAND_FC!$C$1,HIS_SALES!$F:$F,M_BRAND_FC!$B42,HIS_SALES!$H:$H,M_BRAND_FC!C$41))</f>
        <v>2472386.9001999819</v>
      </c>
      <c r="D42" s="527">
        <f ca="1">SUMIFS(HIS_SALES!$I:$I,HIS_SALES!$C:$C,M_BRAND_FC!$B$1,HIS_SALES!$D:$D,M_BRAND_FC!$C$1,HIS_SALES!$F:$F,M_BRAND_FC!$B42,HIS_SALES!$H:$H,M_BRAND_FC!D$41)</f>
        <v>2315102.5636999896</v>
      </c>
      <c r="E42" s="527">
        <f ca="1">SUMIFS(HIS_SALES!$I:$I,HIS_SALES!$C:$C,M_BRAND_FC!$B$1,HIS_SALES!$D:$D,M_BRAND_FC!$C$1,HIS_SALES!$F:$F,M_BRAND_FC!$B42,HIS_SALES!$H:$H,M_BRAND_FC!E$41)</f>
        <v>3188904.7557999752</v>
      </c>
      <c r="F42" s="527">
        <f ca="1">SUMIFS(HIS_SALES!$I:$I,HIS_SALES!$C:$C,M_BRAND_FC!$B$1,HIS_SALES!$D:$D,M_BRAND_FC!$C$1,HIS_SALES!$F:$F,M_BRAND_FC!$B42,HIS_SALES!$H:$H,M_BRAND_FC!F$41)</f>
        <v>3319970.0184999593</v>
      </c>
      <c r="G42" s="528">
        <f ca="1">IFERROR(SUM(D42:F42),0)</f>
        <v>8823977.337999925</v>
      </c>
      <c r="N42" s="134" t="str">
        <f ca="1">B42</f>
        <v>16/17</v>
      </c>
      <c r="O42" s="280">
        <f ca="1">IF($P$41="Aug",SUMIFS(HIS_SALES!$J:$J,HIS_SALES!$C:$C,M_BRAND_FC!$B$1,HIS_SALES!$D:$D,M_BRAND_FC!$C$1,HIS_SALES!$F:$F,$A7,HIS_SALES!$H:$H,M_BRAND_FC!C$41)/(SUMIFS(HIS_SALES!$J:$J,HIS_SALES!$C:$C,M_BRAND_FC!$B$1,HIS_SALES!$D:$D,M_BRAND_FC!$C$1,HIS_SALES!$F:$F,$A7,HIS_SALES!$H:$H,M_BRAND_FC!C$41)+SUMIFS(HIS_SALES!$I:$I,HIS_SALES!$C:$C,M_BRAND_FC!$B$1,HIS_SALES!$D:$D,M_BRAND_FC!$C$1,HIS_SALES!$F:$F,$A7,HIS_SALES!$H:$H,M_BRAND_FC!C$41)),SUMIFS(HIS_SALES!$J:$J,HIS_SALES!$C:$C,M_BRAND_FC!$B$1,HIS_SALES!$D:$D,M_BRAND_FC!$C$1,HIS_SALES!$F:$F,M_BRAND_FC!$B42,HIS_SALES!$H:$H,M_BRAND_FC!C$41)/(SUMIFS(HIS_SALES!$J:$J,HIS_SALES!$C:$C,M_BRAND_FC!$B$1,HIS_SALES!$D:$D,M_BRAND_FC!$C$1,HIS_SALES!$F:$F,M_BRAND_FC!$B42,HIS_SALES!$H:$H,M_BRAND_FC!C$41)+SUMIFS(HIS_SALES!$I:$I,HIS_SALES!$C:$C,M_BRAND_FC!$B$1,HIS_SALES!$D:$D,M_BRAND_FC!$C$1,HIS_SALES!$F:$F,M_BRAND_FC!$B42,HIS_SALES!$H:$H,M_BRAND_FC!C$41)))</f>
        <v>9.1517270145069607E-2</v>
      </c>
      <c r="P42" s="135">
        <f ca="1">SUMIFS(HIS_SALES!$J:$J,HIS_SALES!$C:$C,M_BRAND_FC!$B$1,HIS_SALES!$D:$D,M_BRAND_FC!$C$1,HIS_SALES!$F:$F,M_BRAND_FC!$B42,HIS_SALES!$H:$H,M_BRAND_FC!D$41)/(SUMIFS(HIS_SALES!$J:$J,HIS_SALES!$C:$C,M_BRAND_FC!$B$1,HIS_SALES!$D:$D,M_BRAND_FC!$C$1,HIS_SALES!$F:$F,M_BRAND_FC!$B42,HIS_SALES!$H:$H,M_BRAND_FC!D$41)+SUMIFS(HIS_SALES!$I:$I,HIS_SALES!$C:$C,M_BRAND_FC!$B$1,HIS_SALES!$D:$D,M_BRAND_FC!$C$1,HIS_SALES!$F:$F,M_BRAND_FC!$B42,HIS_SALES!$H:$H,M_BRAND_FC!D$41))</f>
        <v>4.7377202569856648E-2</v>
      </c>
      <c r="Q42" s="135">
        <f ca="1">SUMIFS(HIS_SALES!$J:$J,HIS_SALES!$C:$C,M_BRAND_FC!$B$1,HIS_SALES!$D:$D,M_BRAND_FC!$C$1,HIS_SALES!$F:$F,M_BRAND_FC!$B42,HIS_SALES!$H:$H,M_BRAND_FC!E$41)/(SUMIFS(HIS_SALES!$J:$J,HIS_SALES!$C:$C,M_BRAND_FC!$B$1,HIS_SALES!$D:$D,M_BRAND_FC!$C$1,HIS_SALES!$F:$F,M_BRAND_FC!$B42,HIS_SALES!$H:$H,M_BRAND_FC!E$41)+SUMIFS(HIS_SALES!$I:$I,HIS_SALES!$C:$C,M_BRAND_FC!$B$1,HIS_SALES!$D:$D,M_BRAND_FC!$C$1,HIS_SALES!$F:$F,M_BRAND_FC!$B42,HIS_SALES!$H:$H,M_BRAND_FC!E$41))</f>
        <v>4.2816116571937207E-2</v>
      </c>
      <c r="R42" s="135">
        <f ca="1">SUMIFS(HIS_SALES!$J:$J,HIS_SALES!$C:$C,M_BRAND_FC!$B$1,HIS_SALES!$D:$D,M_BRAND_FC!$C$1,HIS_SALES!$F:$F,M_BRAND_FC!$B42,HIS_SALES!$H:$H,M_BRAND_FC!F$41)/(SUMIFS(HIS_SALES!$J:$J,HIS_SALES!$C:$C,M_BRAND_FC!$B$1,HIS_SALES!$D:$D,M_BRAND_FC!$C$1,HIS_SALES!$F:$F,M_BRAND_FC!$B42,HIS_SALES!$H:$H,M_BRAND_FC!F$41)+SUMIFS(HIS_SALES!$I:$I,HIS_SALES!$C:$C,M_BRAND_FC!$B$1,HIS_SALES!$D:$D,M_BRAND_FC!$C$1,HIS_SALES!$F:$F,M_BRAND_FC!$B42,HIS_SALES!$H:$H,M_BRAND_FC!F$41))</f>
        <v>6.2014375877031458E-2</v>
      </c>
      <c r="S42" s="141">
        <f ca="1">SUMIFS(HIS_SALES!$J:$J,HIS_SALES!$C:$C,$B$1,HIS_SALES!$D:$D,$C$1,HIS_SALES!$F:$F,$N42,HIS_SALES!$G:$G,$H$1)/(SUMIFS(HIS_SALES!$I:$I,HIS_SALES!$C:$C,$B$1,HIS_SALES!$D:$D,$C$1,HIS_SALES!$F:$F,$N42,HIS_SALES!$G:$G,$H$1)+SUMIFS(HIS_SALES!$J:$J,HIS_SALES!$C:$C,$B$1,HIS_SALES!$D:$D,$C$1,HIS_SALES!$F:$F,$N42,HIS_SALES!$G:$G,$H$1))</f>
        <v>5.1313479583926118E-2</v>
      </c>
    </row>
    <row r="43" spans="1:29" x14ac:dyDescent="0.25">
      <c r="B43" s="273" t="str">
        <f ca="1">VLOOKUP($G$1,TIME!$L$12:$P$16,2)</f>
        <v>17/18</v>
      </c>
      <c r="C43" s="527">
        <f ca="1">IF($D$41="Aug",SUMIFS(HIS_SALES!$I:$I,HIS_SALES!$C:$C,M_BRAND_FC!$B$1,HIS_SALES!$D:$D,M_BRAND_FC!$C$1,HIS_SALES!$F:$F,$A8,HIS_SALES!$H:$H,M_BRAND_FC!C$41),SUMIFS(HIS_SALES!$I:$I,HIS_SALES!$C:$C,M_BRAND_FC!$B$1,HIS_SALES!$D:$D,M_BRAND_FC!$C$1,HIS_SALES!$F:$F,M_BRAND_FC!$B43,HIS_SALES!$H:$H,M_BRAND_FC!C$41))</f>
        <v>2516003.579799992</v>
      </c>
      <c r="D43" s="527">
        <f ca="1">SUMIFS(HIS_SALES!$I:$I,HIS_SALES!$C:$C,M_BRAND_FC!$B$1,HIS_SALES!$D:$D,M_BRAND_FC!$C$1,HIS_SALES!$F:$F,M_BRAND_FC!$B43,HIS_SALES!$H:$H,M_BRAND_FC!D$41)</f>
        <v>2460592.2858999893</v>
      </c>
      <c r="E43" s="527">
        <f ca="1">SUMIFS(HIS_SALES!$I:$I,HIS_SALES!$C:$C,M_BRAND_FC!$B$1,HIS_SALES!$D:$D,M_BRAND_FC!$C$1,HIS_SALES!$F:$F,M_BRAND_FC!$B43,HIS_SALES!$H:$H,M_BRAND_FC!E$41)</f>
        <v>3369389.1788999736</v>
      </c>
      <c r="F43" s="527">
        <f ca="1">SUMIFS(HIS_SALES!$I:$I,HIS_SALES!$C:$C,M_BRAND_FC!$B$1,HIS_SALES!$D:$D,M_BRAND_FC!$C$1,HIS_SALES!$F:$F,M_BRAND_FC!$B43,HIS_SALES!$H:$H,M_BRAND_FC!F$41)</f>
        <v>3968524.6745999362</v>
      </c>
      <c r="G43" s="527">
        <f t="shared" ref="G43:G44" ca="1" si="6">IFERROR(SUM(D43:F43),0)</f>
        <v>9798506.1393998992</v>
      </c>
      <c r="N43" s="134" t="str">
        <f ca="1">B43</f>
        <v>17/18</v>
      </c>
      <c r="O43" s="280">
        <f ca="1">IF($P$41="Aug",SUMIFS(HIS_SALES!$J:$J,HIS_SALES!$C:$C,M_BRAND_FC!$B$1,HIS_SALES!$D:$D,M_BRAND_FC!$C$1,HIS_SALES!$F:$F,$A8,HIS_SALES!$H:$H,M_BRAND_FC!C$41)/(SUMIFS(HIS_SALES!$J:$J,HIS_SALES!$C:$C,M_BRAND_FC!$B$1,HIS_SALES!$D:$D,M_BRAND_FC!$C$1,HIS_SALES!$F:$F,$A8,HIS_SALES!$H:$H,M_BRAND_FC!C$41)+SUMIFS(HIS_SALES!$I:$I,HIS_SALES!$C:$C,M_BRAND_FC!$B$1,HIS_SALES!$D:$D,M_BRAND_FC!$C$1,HIS_SALES!$F:$F,$A8,HIS_SALES!$H:$H,M_BRAND_FC!C$41)),SUMIFS(HIS_SALES!$J:$J,HIS_SALES!$C:$C,M_BRAND_FC!$B$1,HIS_SALES!$D:$D,M_BRAND_FC!$C$1,HIS_SALES!$F:$F,M_BRAND_FC!$B43,HIS_SALES!$H:$H,M_BRAND_FC!C$41)/(SUMIFS(HIS_SALES!$J:$J,HIS_SALES!$C:$C,M_BRAND_FC!$B$1,HIS_SALES!$D:$D,M_BRAND_FC!$C$1,HIS_SALES!$F:$F,M_BRAND_FC!$B43,HIS_SALES!$H:$H,M_BRAND_FC!C$41)+SUMIFS(HIS_SALES!$I:$I,HIS_SALES!$C:$C,M_BRAND_FC!$B$1,HIS_SALES!$D:$D,M_BRAND_FC!$C$1,HIS_SALES!$F:$F,M_BRAND_FC!$B43,HIS_SALES!$H:$H,M_BRAND_FC!C$41)))</f>
        <v>0.10222286578024499</v>
      </c>
      <c r="P43" s="135">
        <f ca="1">SUMIFS(HIS_SALES!$J:$J,HIS_SALES!$C:$C,M_BRAND_FC!$B$1,HIS_SALES!$D:$D,M_BRAND_FC!$C$1,HIS_SALES!$F:$F,M_BRAND_FC!$B43,HIS_SALES!$H:$H,M_BRAND_FC!D$41)/(SUMIFS(HIS_SALES!$J:$J,HIS_SALES!$C:$C,M_BRAND_FC!$B$1,HIS_SALES!$D:$D,M_BRAND_FC!$C$1,HIS_SALES!$F:$F,M_BRAND_FC!$B43,HIS_SALES!$H:$H,M_BRAND_FC!D$41)+SUMIFS(HIS_SALES!$I:$I,HIS_SALES!$C:$C,M_BRAND_FC!$B$1,HIS_SALES!$D:$D,M_BRAND_FC!$C$1,HIS_SALES!$F:$F,M_BRAND_FC!$B43,HIS_SALES!$H:$H,M_BRAND_FC!D$41))</f>
        <v>6.9810281707392882E-2</v>
      </c>
      <c r="Q43" s="135">
        <f ca="1">SUMIFS(HIS_SALES!$J:$J,HIS_SALES!$C:$C,M_BRAND_FC!$B$1,HIS_SALES!$D:$D,M_BRAND_FC!$C$1,HIS_SALES!$F:$F,M_BRAND_FC!$B43,HIS_SALES!$H:$H,M_BRAND_FC!E$41)/(SUMIFS(HIS_SALES!$J:$J,HIS_SALES!$C:$C,M_BRAND_FC!$B$1,HIS_SALES!$D:$D,M_BRAND_FC!$C$1,HIS_SALES!$F:$F,M_BRAND_FC!$B43,HIS_SALES!$H:$H,M_BRAND_FC!E$41)+SUMIFS(HIS_SALES!$I:$I,HIS_SALES!$C:$C,M_BRAND_FC!$B$1,HIS_SALES!$D:$D,M_BRAND_FC!$C$1,HIS_SALES!$F:$F,M_BRAND_FC!$B43,HIS_SALES!$H:$H,M_BRAND_FC!E$41))</f>
        <v>2.8854729565290765E-2</v>
      </c>
      <c r="R43" s="135">
        <f ca="1">SUMIFS(HIS_SALES!$J:$J,HIS_SALES!$C:$C,M_BRAND_FC!$B$1,HIS_SALES!$D:$D,M_BRAND_FC!$C$1,HIS_SALES!$F:$F,M_BRAND_FC!$B43,HIS_SALES!$H:$H,M_BRAND_FC!F$41)/(SUMIFS(HIS_SALES!$J:$J,HIS_SALES!$C:$C,M_BRAND_FC!$B$1,HIS_SALES!$D:$D,M_BRAND_FC!$C$1,HIS_SALES!$F:$F,M_BRAND_FC!$B43,HIS_SALES!$H:$H,M_BRAND_FC!F$41)+SUMIFS(HIS_SALES!$I:$I,HIS_SALES!$C:$C,M_BRAND_FC!$B$1,HIS_SALES!$D:$D,M_BRAND_FC!$C$1,HIS_SALES!$F:$F,M_BRAND_FC!$B43,HIS_SALES!$H:$H,M_BRAND_FC!F$41))</f>
        <v>5.4784578015783701E-2</v>
      </c>
      <c r="S43" s="141">
        <f ca="1">SUMIFS(HIS_SALES!$J:$J,HIS_SALES!$C:$C,$B$1,HIS_SALES!$D:$D,$C$1,HIS_SALES!$F:$F,$N43,HIS_SALES!$G:$G,$H$1)/(SUMIFS(HIS_SALES!$I:$I,HIS_SALES!$C:$C,$B$1,HIS_SALES!$D:$D,$C$1,HIS_SALES!$F:$F,$N43,HIS_SALES!$G:$G,$H$1)+SUMIFS(HIS_SALES!$J:$J,HIS_SALES!$C:$C,$B$1,HIS_SALES!$D:$D,$C$1,HIS_SALES!$F:$F,$N43,HIS_SALES!$G:$G,$H$1))</f>
        <v>4.9915451710273694E-2</v>
      </c>
    </row>
    <row r="44" spans="1:29" ht="15.75" thickBot="1" x14ac:dyDescent="0.3">
      <c r="B44" s="274" t="str">
        <f ca="1">VLOOKUP($G$1,TIME!$L$12:$P$16,1)</f>
        <v>18/19</v>
      </c>
      <c r="C44" s="527">
        <f ca="1">IF($D$41="Aug",SUMIFS(HIS_SALES!$I:$I,HIS_SALES!$C:$C,M_BRAND_FC!$B$1,HIS_SALES!$D:$D,M_BRAND_FC!$C$1,HIS_SALES!$F:$F,$A9,HIS_SALES!$H:$H,M_BRAND_FC!C$41),SUMIFS(HIS_SALES!$I:$I,HIS_SALES!$C:$C,M_BRAND_FC!$B$1,HIS_SALES!$D:$D,M_BRAND_FC!$C$1,HIS_SALES!$F:$F,M_BRAND_FC!$B44,HIS_SALES!$H:$H,M_BRAND_FC!C$41))</f>
        <v>0</v>
      </c>
      <c r="D44" s="529">
        <f ca="1">SUMIFS(HIS_SALES!$I:$I,HIS_SALES!$C:$C,M_BRAND_FC!$B$1,HIS_SALES!$D:$D,M_BRAND_FC!$C$1,HIS_SALES!$F:$F,M_BRAND_FC!$B44,HIS_SALES!$H:$H,M_BRAND_FC!D$41)</f>
        <v>0</v>
      </c>
      <c r="E44" s="529">
        <f ca="1">SUMIFS(HIS_SALES!$I:$I,HIS_SALES!$C:$C,M_BRAND_FC!$B$1,HIS_SALES!$D:$D,M_BRAND_FC!$C$1,HIS_SALES!$F:$F,M_BRAND_FC!$B44,HIS_SALES!$H:$H,M_BRAND_FC!E$41)</f>
        <v>0</v>
      </c>
      <c r="F44" s="529">
        <f ca="1">SUMIFS(HIS_SALES!$I:$I,HIS_SALES!$C:$C,M_BRAND_FC!$B$1,HIS_SALES!$D:$D,M_BRAND_FC!$C$1,HIS_SALES!$F:$F,M_BRAND_FC!$B44,HIS_SALES!$H:$H,M_BRAND_FC!F$41)</f>
        <v>0</v>
      </c>
      <c r="G44" s="529">
        <f t="shared" ca="1" si="6"/>
        <v>0</v>
      </c>
      <c r="N44" s="137" t="str">
        <f ca="1">B44</f>
        <v>18/19</v>
      </c>
      <c r="O44" s="280" t="e">
        <f ca="1">IF($P$41="Aug",SUMIFS(HIS_SALES!$J:$J,HIS_SALES!$C:$C,M_BRAND_FC!$B$1,HIS_SALES!$D:$D,M_BRAND_FC!$C$1,HIS_SALES!$F:$F,$A9,HIS_SALES!$H:$H,M_BRAND_FC!C$41)/(SUMIFS(HIS_SALES!$J:$J,HIS_SALES!$C:$C,M_BRAND_FC!$B$1,HIS_SALES!$D:$D,M_BRAND_FC!$C$1,HIS_SALES!$F:$F,$A9,HIS_SALES!$H:$H,M_BRAND_FC!C$41)+SUMIFS(HIS_SALES!$I:$I,HIS_SALES!$C:$C,M_BRAND_FC!$B$1,HIS_SALES!$D:$D,M_BRAND_FC!$C$1,HIS_SALES!$F:$F,$A9,HIS_SALES!$H:$H,M_BRAND_FC!C$41)),SUMIFS(HIS_SALES!$J:$J,HIS_SALES!$C:$C,M_BRAND_FC!$B$1,HIS_SALES!$D:$D,M_BRAND_FC!$C$1,HIS_SALES!$F:$F,M_BRAND_FC!$B44,HIS_SALES!$H:$H,M_BRAND_FC!C$41)/(SUMIFS(HIS_SALES!$J:$J,HIS_SALES!$C:$C,M_BRAND_FC!$B$1,HIS_SALES!$D:$D,M_BRAND_FC!$C$1,HIS_SALES!$F:$F,M_BRAND_FC!$B44,HIS_SALES!$H:$H,M_BRAND_FC!C$41)+SUMIFS(HIS_SALES!$I:$I,HIS_SALES!$C:$C,M_BRAND_FC!$B$1,HIS_SALES!$D:$D,M_BRAND_FC!$C$1,HIS_SALES!$F:$F,M_BRAND_FC!$B44,HIS_SALES!$H:$H,M_BRAND_FC!C$41)))</f>
        <v>#DIV/0!</v>
      </c>
      <c r="P44" s="138" t="str">
        <f ca="1">IFERROR(SUMIFS(HIS_SALES!$J:$J,HIS_SALES!$C:$C,M_BRAND_FC!$B$1,HIS_SALES!$D:$D,M_BRAND_FC!$C$1,HIS_SALES!$F:$F,M_BRAND_FC!$B44,HIS_SALES!$H:$H,M_BRAND_FC!D$41)/(SUMIFS(HIS_SALES!$J:$J,HIS_SALES!$C:$C,M_BRAND_FC!$B$1,HIS_SALES!$D:$D,M_BRAND_FC!$C$1,HIS_SALES!$F:$F,M_BRAND_FC!$B44,HIS_SALES!$H:$H,M_BRAND_FC!D$41)+SUMIFS(HIS_SALES!$I:$I,HIS_SALES!$C:$C,M_BRAND_FC!$B$1,HIS_SALES!$D:$D,M_BRAND_FC!$C$1,HIS_SALES!$F:$F,M_BRAND_FC!$B44,HIS_SALES!$H:$H,M_BRAND_FC!D$41)),"-")</f>
        <v>-</v>
      </c>
      <c r="Q44" s="138" t="str">
        <f ca="1">IFERROR(SUMIFS(HIS_SALES!$J:$J,HIS_SALES!$C:$C,M_BRAND_FC!$B$1,HIS_SALES!$D:$D,M_BRAND_FC!$C$1,HIS_SALES!$F:$F,M_BRAND_FC!$B44,HIS_SALES!$H:$H,M_BRAND_FC!E$41)/(SUMIFS(HIS_SALES!$J:$J,HIS_SALES!$C:$C,M_BRAND_FC!$B$1,HIS_SALES!$D:$D,M_BRAND_FC!$C$1,HIS_SALES!$F:$F,M_BRAND_FC!$B44,HIS_SALES!$H:$H,M_BRAND_FC!E$41)+SUMIFS(HIS_SALES!$I:$I,HIS_SALES!$C:$C,M_BRAND_FC!$B$1,HIS_SALES!$D:$D,M_BRAND_FC!$C$1,HIS_SALES!$F:$F,M_BRAND_FC!$B44,HIS_SALES!$H:$H,M_BRAND_FC!E$41)),"-")</f>
        <v>-</v>
      </c>
      <c r="R44" s="138" t="str">
        <f ca="1">IFERROR(SUMIFS(HIS_SALES!$J:$J,HIS_SALES!$C:$C,M_BRAND_FC!$B$1,HIS_SALES!$D:$D,M_BRAND_FC!$C$1,HIS_SALES!$F:$F,M_BRAND_FC!$B44,HIS_SALES!$H:$H,M_BRAND_FC!F$41)/(SUMIFS(HIS_SALES!$J:$J,HIS_SALES!$C:$C,M_BRAND_FC!$B$1,HIS_SALES!$D:$D,M_BRAND_FC!$C$1,HIS_SALES!$F:$F,M_BRAND_FC!$B44,HIS_SALES!$H:$H,M_BRAND_FC!F$41)+SUMIFS(HIS_SALES!$I:$I,HIS_SALES!$C:$C,M_BRAND_FC!$B$1,HIS_SALES!$D:$D,M_BRAND_FC!$C$1,HIS_SALES!$F:$F,M_BRAND_FC!$B44,HIS_SALES!$H:$H,M_BRAND_FC!F$41)),"-")</f>
        <v>-</v>
      </c>
      <c r="S44" s="139" t="str">
        <f ca="1">IFERROR(SUMIFS(HIS_SALES!$J:$J,HIS_SALES!$C:$C,$B$1,HIS_SALES!$D:$D,$C$1,HIS_SALES!$F:$F,$N44,HIS_SALES!$G:$G,$H$1)/(SUMIFS(HIS_SALES!$I:$I,HIS_SALES!$C:$C,$B$1,HIS_SALES!$D:$D,$C$1,HIS_SALES!$F:$F,$N44,HIS_SALES!$G:$G,$H$1)+SUMIFS(HIS_SALES!$J:$J,HIS_SALES!$C:$C,$B$1,HIS_SALES!$D:$D,$C$1,HIS_SALES!$F:$F,$N44,HIS_SALES!$G:$G,$H$1)),"-")</f>
        <v>-</v>
      </c>
      <c r="AC44" s="23"/>
    </row>
    <row r="45" spans="1:29" ht="15.75" thickTop="1" x14ac:dyDescent="0.25">
      <c r="B45" s="886" t="s">
        <v>100</v>
      </c>
      <c r="C45" s="886"/>
      <c r="D45" s="886"/>
      <c r="E45" s="886"/>
      <c r="F45" s="886"/>
      <c r="G45" s="886"/>
      <c r="N45" s="887" t="s">
        <v>102</v>
      </c>
      <c r="O45" s="887"/>
      <c r="P45" s="887"/>
      <c r="Q45" s="887"/>
      <c r="R45" s="887"/>
      <c r="S45" s="887"/>
      <c r="AC45" s="23"/>
    </row>
    <row r="46" spans="1:29" x14ac:dyDescent="0.25">
      <c r="B46" s="262" t="str">
        <f ca="1">$B47&amp;" L.FC"</f>
        <v>18/19 L.FC</v>
      </c>
      <c r="C46" s="530"/>
      <c r="D46" s="530" t="str">
        <f ca="1">IF(ISNA(VLOOKUP(_xlfn.CONCAT($B$12,D$6),TIME!$M$40:$M$42,1,FALSE))=FALSE,SUMIFS(LAST_FC!$I:$I,LAST_FC!$A:$A,TIME!$E$1,LAST_FC!$B:$B,M_BRAND_FC!$B$1,LAST_FC!$C:$C,M_BRAND_FC!$C$1,LAST_FC!$G:$G,M_BRAND_FC!D$41),"")</f>
        <v/>
      </c>
      <c r="E46" s="530" t="str">
        <f ca="1">IF(ISNA(VLOOKUP(_xlfn.CONCAT($B$12,E$6),TIME!$M$40:$M$42,1,FALSE))=FALSE,SUMIFS(LAST_FC!$I:$I,LAST_FC!$A:$A,TIME!$E$1,LAST_FC!$B:$B,M_BRAND_FC!$B$1,LAST_FC!$C:$C,M_BRAND_FC!$C$1,LAST_FC!$G:$G,M_BRAND_FC!E$41,LAST_FC!$E:$E,$B$47),"")</f>
        <v/>
      </c>
      <c r="F46" s="530">
        <f ca="1">IF(ISNA(VLOOKUP(_xlfn.CONCAT($B$12,F$6),TIME!$M$40:$M$42,1,FALSE))=FALSE,SUMIFS(LAST_FC!$I:$I,LAST_FC!$A:$A,TIME!$E$1,LAST_FC!$B:$B,M_BRAND_FC!$B$1,LAST_FC!$C:$C,M_BRAND_FC!$C$1,LAST_FC!$G:$G,M_BRAND_FC!F$41,LAST_FC!$E:$E,$B$47),"")</f>
        <v>0</v>
      </c>
      <c r="G46" s="530">
        <f ca="1">IFERROR(SUM(D46:F46),0)</f>
        <v>0</v>
      </c>
      <c r="N46" s="235" t="str">
        <f ca="1">B46</f>
        <v>18/19 L.FC</v>
      </c>
      <c r="O46" s="195"/>
      <c r="P46" s="198" t="str">
        <f ca="1">IFERROR(IF(ISNA(VLOOKUP(_xlfn.CONCAT($B$12,D$6),TIME!$M$40:$M$42,1,FALSE))=FALSE,1-SUMIFS(LAST_FC!$I:$I,LAST_FC!$A:$A,TIME!$E$1,LAST_FC!$B:$B,M_BRAND_FC!$B$1,LAST_FC!$C:$C,M_BRAND_FC!$C$1,LAST_FC!$G:$G,M_BRAND_FC!D$41,LAST_FC!$E:$E,$B$47)/SUMIFS(LAST_FC!$H:$H,LAST_FC!$A:$A,TIME!$E$1,LAST_FC!$B:$B,M_BRAND_FC!$B$1,LAST_FC!$C:$C,M_BRAND_FC!$C$1,LAST_FC!$G:$G,M_BRAND_FC!D$41,LAST_FC!$E:$E,$B$47),""),"-")</f>
        <v/>
      </c>
      <c r="Q46" s="198" t="str">
        <f ca="1">IFERROR(IF(ISNA(VLOOKUP(_xlfn.CONCAT($B$12,E$6),TIME!$M$40:$M$42,1,FALSE))=FALSE,1-SUMIFS(LAST_FC!$I:$I,LAST_FC!$A:$A,TIME!$E$1,LAST_FC!$B:$B,M_BRAND_FC!$B$1,LAST_FC!$C:$C,M_BRAND_FC!$C$1,LAST_FC!$G:$G,M_BRAND_FC!E$41,LAST_FC!$E:$E,$B$47)/SUMIFS(LAST_FC!$H:$H,LAST_FC!$A:$A,TIME!$E$1,LAST_FC!$B:$B,M_BRAND_FC!$B$1,LAST_FC!$C:$C,M_BRAND_FC!$C$1,LAST_FC!$G:$G,M_BRAND_FC!E$41,LAST_FC!$E:$E,$B$47),""),"-")</f>
        <v/>
      </c>
      <c r="R46" s="198" t="str">
        <f ca="1">IFERROR(IF(ISNA(VLOOKUP(_xlfn.CONCAT($B$12,F$6),TIME!$M$40:$M$42,1,FALSE))=FALSE,1-SUMIFS(LAST_FC!$I:$I,LAST_FC!$A:$A,TIME!$E$1,LAST_FC!$B:$B,M_BRAND_FC!$B$1,LAST_FC!$C:$C,M_BRAND_FC!$C$1,LAST_FC!$G:$G,M_BRAND_FC!F$41,LAST_FC!$E:$E,$B$47)/SUMIFS(LAST_FC!$H:$H,LAST_FC!$A:$A,TIME!$E$1,LAST_FC!$B:$B,M_BRAND_FC!$B$1,LAST_FC!$C:$C,M_BRAND_FC!$C$1,LAST_FC!$G:$G,M_BRAND_FC!F$41,LAST_FC!$E:$E,$B$47),""),"-")</f>
        <v>-</v>
      </c>
      <c r="S46" s="195"/>
      <c r="AC46" s="23"/>
    </row>
    <row r="47" spans="1:29" ht="15.75" thickBot="1" x14ac:dyDescent="0.3">
      <c r="B47" s="234" t="str">
        <f ca="1">G1</f>
        <v>18/19</v>
      </c>
      <c r="C47" s="531">
        <f ca="1">C44</f>
        <v>0</v>
      </c>
      <c r="D47" s="531">
        <f ca="1">IF(ISNA(VLOOKUP(_xlfn.CONCAT($B47&amp;D$41),TIME!$M$40:$Q$43,5,FALSE)),D44,SUMIFS(FC_DATA!$AC:$AC,FC_DATA!$U:$U,$B$1,FC_DATA!$V:$V,$C$1,FC_DATA!$Z:$Z,D$41,FC_DATA!$X:$X,$B$47))</f>
        <v>0</v>
      </c>
      <c r="E47" s="531">
        <f ca="1">IF(ISNA(VLOOKUP(_xlfn.CONCAT($B47&amp;E$41),TIME!$M$40:$Q$43,5,FALSE)),E44,SUMIFS(FC_DATA!$AC:$AC,FC_DATA!$U:$U,$B$1,FC_DATA!$V:$V,$C$1,FC_DATA!$Z:$Z,E$41,FC_DATA!$X:$X,$B$47))</f>
        <v>0</v>
      </c>
      <c r="F47" s="531">
        <f ca="1">IF(ISNA(VLOOKUP(_xlfn.CONCAT($B47&amp;F$41),TIME!$M$40:$Q$43,5,FALSE)),F44,SUMIFS(FC_DATA!$AC:$AC,FC_DATA!$U:$U,$B$1,FC_DATA!$V:$V,$C$1,FC_DATA!$Z:$Z,F$41,FC_DATA!$X:$X,$B$47))</f>
        <v>0</v>
      </c>
      <c r="G47" s="531">
        <f ca="1">IFERROR(D47,0)+IFERROR(E47,0)+IFERROR(F47,0)</f>
        <v>0</v>
      </c>
      <c r="J47" s="140"/>
      <c r="N47" s="239" t="str">
        <f ca="1">B47</f>
        <v>18/19</v>
      </c>
      <c r="O47" s="241" t="e">
        <f ca="1">O44</f>
        <v>#DIV/0!</v>
      </c>
      <c r="P47" s="241" t="str">
        <f ca="1">IFERROR(IF(ISNA(VLOOKUP(_xlfn.CONCAT($B47&amp;P$6),TIME!$M$40:$Q$43,5,FALSE)),P44,1-(SUMIFS(FC_DATA!$AC:$AC,FC_DATA!$U:$U,$B$1,FC_DATA!$V:$V,$C$1,FC_DATA!$Z:$Z,P$6,FC_DATA!$X:$X,$N$47)/SUMIFS(FC_DATA!$AB:$AB,FC_DATA!$U:$U,$B$1,FC_DATA!$V:$V,$C$1,FC_DATA!$Z:$Z,P$6,FC_DATA!$X:$X,$N$47))),"-")</f>
        <v>-</v>
      </c>
      <c r="Q47" s="241" t="str">
        <f ca="1">IFERROR(IF(ISNA(VLOOKUP(_xlfn.CONCAT($B47&amp;Q$6),TIME!$M$40:$Q$43,5,FALSE)),Q44,1-(SUMIFS(FC_DATA!$AC:$AC,FC_DATA!$U:$U,$B$1,FC_DATA!$V:$V,$C$1,FC_DATA!$Z:$Z,Q$6,FC_DATA!$X:$X,$N$47)/SUMIFS(FC_DATA!$AB:$AB,FC_DATA!$U:$U,$B$1,FC_DATA!$V:$V,$C$1,FC_DATA!$Z:$Z,Q$6,FC_DATA!$X:$X,$N$47))),"-")</f>
        <v>-</v>
      </c>
      <c r="R47" s="241" t="str">
        <f ca="1">IFERROR(IF(ISNA(VLOOKUP(_xlfn.CONCAT($B47&amp;R$6),TIME!$M$40:$Q$43,5,FALSE)),R44,1-(SUMIFS(FC_DATA!$AC:$AC,FC_DATA!$U:$U,$B$1,FC_DATA!$V:$V,$C$1,FC_DATA!$Z:$Z,R$6,FC_DATA!$X:$X,$N$47)/SUMIFS(FC_DATA!$AB:$AB,FC_DATA!$U:$U,$B$1,FC_DATA!$V:$V,$C$1,FC_DATA!$Z:$Z,R$6,FC_DATA!$X:$X,$N$47))),"-")</f>
        <v>-</v>
      </c>
      <c r="S47" s="241" t="str">
        <f ca="1">IFERROR(SUMIFS(FC_DATA!$N:$N,FC_DATA!$C:$C,$B$1,FC_DATA!$D:$D,$C$1,FC_DATA!$F:$F,$N$12,FC_DATA!$G:$G,$H$1)/(SUMIFS(FC_DATA!$N:$N,FC_DATA!$C:$C,$B$1,FC_DATA!$D:$D,$C$1,FC_DATA!$F:$F,$N$12,FC_DATA!$G:$G,$H$1)+SUMIFS(FC_DATA!$I:$I,FC_DATA!$C:$C,$B$1,FC_DATA!$D:$D,$C$1,FC_DATA!$F:$F,$N$12,FC_DATA!$G:$G,$H$1)),"-")</f>
        <v>-</v>
      </c>
      <c r="AC47" s="23"/>
    </row>
    <row r="48" spans="1:29" ht="15.75" thickBot="1" x14ac:dyDescent="0.3">
      <c r="B48" s="239" t="str">
        <f>"YoY Growth"</f>
        <v>YoY Growth</v>
      </c>
      <c r="C48" s="240">
        <f ca="1">IFERROR((C47-C43)/C43,"-")</f>
        <v>-1</v>
      </c>
      <c r="D48" s="240">
        <f ca="1">IFERROR((D47-D43)/D43,"-")</f>
        <v>-1</v>
      </c>
      <c r="E48" s="240">
        <f ca="1">IFERROR((E47-E43)/E43,"-")</f>
        <v>-1</v>
      </c>
      <c r="F48" s="240">
        <f ca="1">IFERROR((F47-F43)/F43,"-")</f>
        <v>-1</v>
      </c>
      <c r="G48" s="240">
        <f ca="1">IFERROR((G47-G43)/G43,"-")</f>
        <v>-1</v>
      </c>
      <c r="AC48" s="23"/>
    </row>
    <row r="49" spans="2:29" x14ac:dyDescent="0.25">
      <c r="B49" s="24"/>
      <c r="C49" s="24"/>
      <c r="D49" s="276"/>
      <c r="E49" s="276"/>
      <c r="F49" s="276"/>
      <c r="G49" s="276"/>
      <c r="AC49" s="23"/>
    </row>
    <row r="50" spans="2:29" ht="15.75" x14ac:dyDescent="0.25">
      <c r="B50" s="444"/>
      <c r="C50" s="445"/>
      <c r="D50" s="327"/>
      <c r="E50" s="469"/>
      <c r="F50" s="327"/>
      <c r="G50" s="446"/>
      <c r="H50" s="140"/>
      <c r="I50" s="140"/>
      <c r="J50" s="140"/>
      <c r="K50" s="140"/>
      <c r="L50" s="140"/>
      <c r="M50" s="140"/>
      <c r="N50" s="447"/>
      <c r="O50" s="445"/>
      <c r="P50" s="327"/>
      <c r="Q50" s="327"/>
      <c r="R50" s="327"/>
      <c r="S50" s="448"/>
      <c r="T50" s="449"/>
      <c r="U50" s="232"/>
      <c r="V50" s="232"/>
      <c r="W50" s="140"/>
      <c r="X50" s="140"/>
      <c r="Y50" s="140"/>
      <c r="Z50" s="162"/>
      <c r="AA50" s="177"/>
    </row>
    <row r="51" spans="2:29" ht="15.75" x14ac:dyDescent="0.25">
      <c r="B51" s="444"/>
      <c r="C51" s="445"/>
      <c r="D51" s="327"/>
      <c r="E51" s="327"/>
      <c r="F51" s="327"/>
      <c r="G51" s="446"/>
      <c r="H51" s="140"/>
      <c r="I51" s="140"/>
      <c r="J51" s="140"/>
      <c r="K51" s="140"/>
      <c r="L51" s="140"/>
      <c r="M51" s="140"/>
      <c r="N51" s="447"/>
      <c r="O51" s="445"/>
      <c r="P51" s="327"/>
      <c r="Q51" s="327"/>
      <c r="R51" s="327"/>
      <c r="S51" s="448"/>
      <c r="T51" s="449"/>
      <c r="U51" s="232"/>
      <c r="V51" s="232"/>
      <c r="W51" s="140"/>
      <c r="X51" s="140"/>
      <c r="Y51" s="140"/>
      <c r="Z51" s="162"/>
      <c r="AA51" s="177"/>
    </row>
    <row r="52" spans="2:29" ht="15.75" x14ac:dyDescent="0.25">
      <c r="B52" s="444"/>
      <c r="C52" s="445"/>
      <c r="D52" s="327"/>
      <c r="E52" s="327"/>
      <c r="F52" s="327"/>
      <c r="G52" s="446"/>
      <c r="H52" s="140"/>
      <c r="I52" s="140"/>
      <c r="J52" s="140"/>
      <c r="K52" s="140"/>
      <c r="L52" s="140"/>
      <c r="M52" s="140"/>
      <c r="N52" s="447"/>
      <c r="O52" s="445"/>
      <c r="P52" s="327"/>
      <c r="Q52" s="327"/>
      <c r="R52" s="327"/>
      <c r="S52" s="448"/>
      <c r="T52" s="449"/>
      <c r="U52" s="232"/>
      <c r="V52" s="232"/>
      <c r="W52" s="140"/>
      <c r="X52" s="140"/>
      <c r="Y52" s="140"/>
      <c r="Z52" s="162"/>
      <c r="AA52" s="177"/>
    </row>
    <row r="53" spans="2:29" ht="15.75" x14ac:dyDescent="0.25">
      <c r="B53" s="492"/>
      <c r="C53" s="445"/>
      <c r="D53" s="493"/>
      <c r="E53" s="493"/>
      <c r="F53" s="493"/>
      <c r="G53" s="494"/>
      <c r="H53" s="495"/>
      <c r="I53" s="495"/>
      <c r="J53" s="495"/>
      <c r="K53" s="495"/>
      <c r="L53" s="495"/>
      <c r="M53" s="495"/>
      <c r="N53" s="496"/>
      <c r="O53" s="445"/>
      <c r="P53" s="493"/>
      <c r="Q53" s="493"/>
      <c r="R53" s="493"/>
      <c r="S53" s="497"/>
      <c r="T53" s="328"/>
      <c r="U53" s="328"/>
      <c r="V53" s="328"/>
      <c r="W53" s="495"/>
      <c r="X53" s="495"/>
      <c r="Y53" s="495"/>
      <c r="Z53" s="23"/>
      <c r="AA53" s="177"/>
    </row>
    <row r="54" spans="2:29" ht="15.75" x14ac:dyDescent="0.25">
      <c r="B54" s="492"/>
      <c r="C54" s="445"/>
      <c r="D54" s="493"/>
      <c r="E54" s="493"/>
      <c r="F54" s="493"/>
      <c r="G54" s="494"/>
      <c r="H54" s="495"/>
      <c r="I54" s="495"/>
      <c r="J54" s="495"/>
      <c r="K54" s="495"/>
      <c r="L54" s="495"/>
      <c r="M54" s="495"/>
      <c r="N54" s="496"/>
      <c r="O54" s="445"/>
      <c r="P54" s="493"/>
      <c r="Q54" s="493"/>
      <c r="R54" s="493"/>
      <c r="S54" s="497"/>
      <c r="T54" s="328"/>
      <c r="U54" s="328"/>
      <c r="V54" s="328"/>
      <c r="W54" s="495"/>
      <c r="X54" s="495"/>
      <c r="Y54" s="495"/>
      <c r="Z54" s="23"/>
      <c r="AA54" s="177"/>
    </row>
    <row r="55" spans="2:29" ht="15.75" x14ac:dyDescent="0.25">
      <c r="B55" s="492"/>
      <c r="C55" s="445"/>
      <c r="D55" s="493"/>
      <c r="E55" s="493"/>
      <c r="F55" s="493"/>
      <c r="G55" s="494"/>
      <c r="H55" s="495"/>
      <c r="I55" s="495"/>
      <c r="J55" s="495"/>
      <c r="K55" s="495"/>
      <c r="L55" s="495"/>
      <c r="M55" s="495"/>
      <c r="N55" s="496"/>
      <c r="O55" s="445"/>
      <c r="P55" s="493"/>
      <c r="Q55" s="493"/>
      <c r="R55" s="493"/>
      <c r="S55" s="497"/>
      <c r="T55" s="328"/>
      <c r="U55" s="328"/>
      <c r="V55" s="328"/>
      <c r="W55" s="495"/>
      <c r="X55" s="495"/>
      <c r="Y55" s="495"/>
      <c r="Z55" s="23"/>
      <c r="AA55" s="177"/>
    </row>
    <row r="56" spans="2:29" ht="15.75" x14ac:dyDescent="0.25">
      <c r="B56" s="492"/>
      <c r="C56" s="445"/>
      <c r="D56" s="493"/>
      <c r="E56" s="493"/>
      <c r="F56" s="493"/>
      <c r="G56" s="494"/>
      <c r="H56" s="495"/>
      <c r="I56" s="495"/>
      <c r="J56" s="495"/>
      <c r="K56" s="495"/>
      <c r="L56" s="495"/>
      <c r="M56" s="495"/>
      <c r="N56" s="496"/>
      <c r="O56" s="445"/>
      <c r="P56" s="493"/>
      <c r="Q56" s="493"/>
      <c r="R56" s="493"/>
      <c r="S56" s="497"/>
      <c r="T56" s="328"/>
      <c r="U56" s="328"/>
      <c r="V56" s="328"/>
      <c r="W56" s="495"/>
      <c r="X56" s="495"/>
      <c r="Y56" s="495"/>
      <c r="Z56" s="23"/>
      <c r="AA56" s="177"/>
    </row>
    <row r="57" spans="2:29" ht="15.75" x14ac:dyDescent="0.25">
      <c r="B57" s="492"/>
      <c r="C57" s="445"/>
      <c r="D57" s="493"/>
      <c r="E57" s="493"/>
      <c r="F57" s="493"/>
      <c r="G57" s="494"/>
      <c r="H57" s="495"/>
      <c r="I57" s="495"/>
      <c r="J57" s="495"/>
      <c r="K57" s="495"/>
      <c r="L57" s="495"/>
      <c r="M57" s="495"/>
      <c r="N57" s="496"/>
      <c r="O57" s="445"/>
      <c r="P57" s="493"/>
      <c r="Q57" s="493"/>
      <c r="R57" s="493"/>
      <c r="S57" s="497"/>
      <c r="T57" s="328"/>
      <c r="U57" s="328"/>
      <c r="V57" s="328"/>
      <c r="W57" s="495"/>
      <c r="X57" s="495"/>
      <c r="Y57" s="495"/>
      <c r="Z57" s="23"/>
      <c r="AA57" s="177"/>
    </row>
    <row r="58" spans="2:29" ht="15.75" x14ac:dyDescent="0.25">
      <c r="B58" s="492"/>
      <c r="C58" s="445"/>
      <c r="D58" s="493"/>
      <c r="E58" s="493"/>
      <c r="F58" s="493"/>
      <c r="G58" s="494"/>
      <c r="H58" s="495"/>
      <c r="I58" s="495"/>
      <c r="J58" s="495"/>
      <c r="K58" s="495"/>
      <c r="L58" s="495"/>
      <c r="M58" s="495"/>
      <c r="N58" s="496"/>
      <c r="O58" s="445"/>
      <c r="P58" s="493"/>
      <c r="Q58" s="493"/>
      <c r="R58" s="493"/>
      <c r="S58" s="497"/>
      <c r="T58" s="328"/>
      <c r="U58" s="328"/>
      <c r="V58" s="328"/>
      <c r="W58" s="495"/>
      <c r="X58" s="495"/>
      <c r="Y58" s="495"/>
      <c r="Z58" s="23"/>
      <c r="AA58" s="177"/>
    </row>
    <row r="59" spans="2:29" ht="15.75" x14ac:dyDescent="0.25">
      <c r="B59" s="492"/>
      <c r="C59" s="445"/>
      <c r="D59" s="493"/>
      <c r="E59" s="493"/>
      <c r="F59" s="493"/>
      <c r="G59" s="494"/>
      <c r="H59" s="495"/>
      <c r="I59" s="495"/>
      <c r="J59" s="495"/>
      <c r="K59" s="495"/>
      <c r="L59" s="495"/>
      <c r="M59" s="495"/>
      <c r="N59" s="496"/>
      <c r="O59" s="445"/>
      <c r="P59" s="493"/>
      <c r="Q59" s="493"/>
      <c r="R59" s="493"/>
      <c r="S59" s="497"/>
      <c r="T59" s="328"/>
      <c r="U59" s="328"/>
      <c r="V59" s="328"/>
      <c r="W59" s="495"/>
      <c r="X59" s="495"/>
      <c r="Y59" s="495"/>
      <c r="Z59" s="23"/>
      <c r="AA59" s="177"/>
    </row>
    <row r="60" spans="2:29" ht="15.75" x14ac:dyDescent="0.25">
      <c r="B60" s="492"/>
      <c r="C60" s="445"/>
      <c r="D60" s="493"/>
      <c r="E60" s="493"/>
      <c r="F60" s="493"/>
      <c r="G60" s="494"/>
      <c r="H60" s="495"/>
      <c r="I60" s="495"/>
      <c r="J60" s="495"/>
      <c r="K60" s="495"/>
      <c r="L60" s="495"/>
      <c r="M60" s="495"/>
      <c r="N60" s="496"/>
      <c r="O60" s="445"/>
      <c r="P60" s="493"/>
      <c r="Q60" s="493"/>
      <c r="R60" s="493"/>
      <c r="S60" s="497"/>
      <c r="T60" s="328"/>
      <c r="U60" s="328"/>
      <c r="V60" s="328"/>
      <c r="W60" s="495"/>
      <c r="X60" s="495"/>
      <c r="Y60" s="495"/>
      <c r="Z60" s="23"/>
      <c r="AA60" s="177"/>
    </row>
    <row r="61" spans="2:29" ht="15.75" x14ac:dyDescent="0.25">
      <c r="B61" s="492"/>
      <c r="C61" s="445"/>
      <c r="D61" s="493"/>
      <c r="E61" s="493"/>
      <c r="F61" s="493"/>
      <c r="G61" s="494"/>
      <c r="H61" s="495"/>
      <c r="I61" s="495"/>
      <c r="J61" s="495"/>
      <c r="K61" s="495"/>
      <c r="L61" s="495"/>
      <c r="M61" s="495"/>
      <c r="N61" s="496"/>
      <c r="O61" s="445"/>
      <c r="P61" s="493"/>
      <c r="Q61" s="493"/>
      <c r="R61" s="493"/>
      <c r="S61" s="497"/>
      <c r="T61" s="328"/>
      <c r="U61" s="328"/>
      <c r="V61" s="328"/>
      <c r="W61" s="495"/>
      <c r="X61" s="495"/>
      <c r="Y61" s="495"/>
      <c r="Z61" s="23"/>
      <c r="AA61" s="177"/>
    </row>
    <row r="62" spans="2:29" ht="15.75" x14ac:dyDescent="0.25">
      <c r="B62" s="492"/>
      <c r="C62" s="445"/>
      <c r="D62" s="493"/>
      <c r="E62" s="493"/>
      <c r="F62" s="493"/>
      <c r="G62" s="494"/>
      <c r="H62" s="495"/>
      <c r="I62" s="495"/>
      <c r="J62" s="495"/>
      <c r="K62" s="495"/>
      <c r="L62" s="495"/>
      <c r="M62" s="495"/>
      <c r="N62" s="496"/>
      <c r="O62" s="445"/>
      <c r="P62" s="493"/>
      <c r="Q62" s="493"/>
      <c r="R62" s="493"/>
      <c r="S62" s="497"/>
      <c r="T62" s="328"/>
      <c r="U62" s="328"/>
      <c r="V62" s="328"/>
      <c r="W62" s="495"/>
      <c r="X62" s="495"/>
      <c r="Y62" s="495"/>
      <c r="Z62" s="23"/>
      <c r="AA62" s="177"/>
    </row>
    <row r="63" spans="2:29" ht="15.75" x14ac:dyDescent="0.25">
      <c r="B63" s="492"/>
      <c r="C63" s="445"/>
      <c r="D63" s="493"/>
      <c r="E63" s="493"/>
      <c r="F63" s="493"/>
      <c r="G63" s="494"/>
      <c r="H63" s="495"/>
      <c r="I63" s="495"/>
      <c r="J63" s="495"/>
      <c r="K63" s="495"/>
      <c r="L63" s="495"/>
      <c r="M63" s="495"/>
      <c r="N63" s="496"/>
      <c r="O63" s="445"/>
      <c r="P63" s="493"/>
      <c r="Q63" s="493"/>
      <c r="R63" s="493"/>
      <c r="S63" s="497"/>
      <c r="T63" s="328"/>
      <c r="U63" s="328"/>
      <c r="V63" s="328"/>
      <c r="W63" s="495"/>
      <c r="X63" s="495"/>
      <c r="Y63" s="495"/>
      <c r="Z63" s="23"/>
      <c r="AA63" s="177"/>
    </row>
    <row r="64" spans="2:29" ht="15.75" x14ac:dyDescent="0.25">
      <c r="B64" s="492"/>
      <c r="C64" s="445"/>
      <c r="D64" s="493"/>
      <c r="E64" s="493"/>
      <c r="F64" s="493"/>
      <c r="G64" s="494"/>
      <c r="H64" s="495"/>
      <c r="I64" s="495"/>
      <c r="J64" s="495"/>
      <c r="K64" s="495"/>
      <c r="L64" s="495"/>
      <c r="M64" s="495"/>
      <c r="N64" s="496"/>
      <c r="O64" s="445"/>
      <c r="P64" s="493"/>
      <c r="Q64" s="493"/>
      <c r="R64" s="493"/>
      <c r="S64" s="497"/>
      <c r="T64" s="328"/>
      <c r="U64" s="328"/>
      <c r="V64" s="328"/>
      <c r="W64" s="495"/>
      <c r="X64" s="495"/>
      <c r="Y64" s="495"/>
      <c r="Z64" s="23"/>
      <c r="AA64" s="177"/>
    </row>
    <row r="65" spans="2:27" ht="15.75" x14ac:dyDescent="0.25">
      <c r="B65" s="492"/>
      <c r="C65" s="445"/>
      <c r="D65" s="493"/>
      <c r="E65" s="493"/>
      <c r="F65" s="493"/>
      <c r="G65" s="494"/>
      <c r="H65" s="495"/>
      <c r="I65" s="495"/>
      <c r="J65" s="495"/>
      <c r="K65" s="495"/>
      <c r="L65" s="495"/>
      <c r="M65" s="495"/>
      <c r="N65" s="496"/>
      <c r="O65" s="445"/>
      <c r="P65" s="493"/>
      <c r="Q65" s="493"/>
      <c r="R65" s="493"/>
      <c r="S65" s="497"/>
      <c r="T65" s="328"/>
      <c r="U65" s="328"/>
      <c r="V65" s="328"/>
      <c r="W65" s="495"/>
      <c r="X65" s="495"/>
      <c r="Y65" s="495"/>
      <c r="Z65" s="23"/>
      <c r="AA65" s="177"/>
    </row>
    <row r="66" spans="2:27" ht="15.75" x14ac:dyDescent="0.25">
      <c r="B66" s="492"/>
      <c r="C66" s="445"/>
      <c r="D66" s="493"/>
      <c r="E66" s="493"/>
      <c r="F66" s="493"/>
      <c r="G66" s="494"/>
      <c r="H66" s="495"/>
      <c r="I66" s="495"/>
      <c r="J66" s="495"/>
      <c r="K66" s="495"/>
      <c r="L66" s="495"/>
      <c r="M66" s="495"/>
      <c r="N66" s="496"/>
      <c r="O66" s="445"/>
      <c r="P66" s="493"/>
      <c r="Q66" s="493"/>
      <c r="R66" s="493"/>
      <c r="S66" s="497"/>
      <c r="T66" s="328"/>
      <c r="U66" s="328"/>
      <c r="V66" s="328"/>
      <c r="W66" s="495"/>
      <c r="X66" s="495"/>
      <c r="Y66" s="495"/>
      <c r="Z66" s="23"/>
      <c r="AA66" s="177"/>
    </row>
    <row r="67" spans="2:27" ht="15.75" x14ac:dyDescent="0.25">
      <c r="B67" s="492"/>
      <c r="C67" s="445"/>
      <c r="D67" s="493"/>
      <c r="E67" s="493"/>
      <c r="F67" s="493"/>
      <c r="G67" s="494"/>
      <c r="H67" s="495"/>
      <c r="I67" s="495"/>
      <c r="J67" s="495"/>
      <c r="K67" s="495"/>
      <c r="L67" s="495"/>
      <c r="M67" s="495"/>
      <c r="N67" s="496"/>
      <c r="O67" s="445"/>
      <c r="P67" s="493"/>
      <c r="Q67" s="493"/>
      <c r="R67" s="493"/>
      <c r="S67" s="497"/>
      <c r="T67" s="328"/>
      <c r="U67" s="328"/>
      <c r="V67" s="328"/>
      <c r="W67" s="495"/>
      <c r="X67" s="495"/>
      <c r="Y67" s="495"/>
      <c r="Z67" s="23"/>
      <c r="AA67" s="177"/>
    </row>
    <row r="68" spans="2:27" ht="15.75" x14ac:dyDescent="0.25">
      <c r="B68" s="492"/>
      <c r="C68" s="445"/>
      <c r="D68" s="493"/>
      <c r="E68" s="493"/>
      <c r="F68" s="493"/>
      <c r="G68" s="494"/>
      <c r="H68" s="495"/>
      <c r="I68" s="495"/>
      <c r="J68" s="495"/>
      <c r="K68" s="495"/>
      <c r="L68" s="495"/>
      <c r="M68" s="495"/>
      <c r="N68" s="496"/>
      <c r="O68" s="445"/>
      <c r="P68" s="493"/>
      <c r="Q68" s="493"/>
      <c r="R68" s="493"/>
      <c r="S68" s="497"/>
      <c r="T68" s="328"/>
      <c r="U68" s="328"/>
      <c r="V68" s="328"/>
      <c r="W68" s="495"/>
      <c r="X68" s="495"/>
      <c r="Y68" s="495"/>
      <c r="Z68" s="23"/>
      <c r="AA68" s="177"/>
    </row>
    <row r="69" spans="2:27" ht="15.75" x14ac:dyDescent="0.25">
      <c r="B69" s="492"/>
      <c r="C69" s="445"/>
      <c r="D69" s="493"/>
      <c r="E69" s="493"/>
      <c r="F69" s="493"/>
      <c r="G69" s="494"/>
      <c r="H69" s="495"/>
      <c r="I69" s="495"/>
      <c r="J69" s="495"/>
      <c r="K69" s="495"/>
      <c r="L69" s="495"/>
      <c r="M69" s="495"/>
      <c r="N69" s="496"/>
      <c r="O69" s="445"/>
      <c r="P69" s="493"/>
      <c r="Q69" s="493"/>
      <c r="R69" s="493"/>
      <c r="S69" s="497"/>
      <c r="T69" s="328"/>
      <c r="U69" s="328"/>
      <c r="V69" s="328"/>
      <c r="W69" s="495"/>
      <c r="X69" s="495"/>
      <c r="Y69" s="495"/>
      <c r="Z69" s="23"/>
      <c r="AA69" s="177"/>
    </row>
    <row r="70" spans="2:27" ht="15.75" x14ac:dyDescent="0.25">
      <c r="B70" s="492"/>
      <c r="C70" s="445"/>
      <c r="D70" s="493"/>
      <c r="E70" s="493"/>
      <c r="F70" s="493"/>
      <c r="G70" s="494"/>
      <c r="H70" s="495"/>
      <c r="I70" s="495"/>
      <c r="J70" s="495"/>
      <c r="K70" s="495"/>
      <c r="L70" s="495"/>
      <c r="M70" s="495"/>
      <c r="N70" s="496"/>
      <c r="O70" s="445"/>
      <c r="P70" s="493"/>
      <c r="Q70" s="493"/>
      <c r="R70" s="493"/>
      <c r="S70" s="497"/>
      <c r="T70" s="328"/>
      <c r="U70" s="328"/>
      <c r="V70" s="328"/>
      <c r="W70" s="495"/>
      <c r="X70" s="495"/>
      <c r="Y70" s="495"/>
      <c r="Z70" s="23"/>
      <c r="AA70" s="177"/>
    </row>
    <row r="71" spans="2:27" ht="15.75" x14ac:dyDescent="0.25">
      <c r="B71" s="492"/>
      <c r="C71" s="445"/>
      <c r="D71" s="493"/>
      <c r="E71" s="493"/>
      <c r="F71" s="493"/>
      <c r="G71" s="494"/>
      <c r="H71" s="495"/>
      <c r="I71" s="495"/>
      <c r="J71" s="495"/>
      <c r="K71" s="495"/>
      <c r="L71" s="495"/>
      <c r="M71" s="495"/>
      <c r="N71" s="496"/>
      <c r="O71" s="445"/>
      <c r="P71" s="493"/>
      <c r="Q71" s="493"/>
      <c r="R71" s="493"/>
      <c r="S71" s="497"/>
      <c r="T71" s="328"/>
      <c r="U71" s="328"/>
      <c r="V71" s="328"/>
      <c r="W71" s="495"/>
      <c r="X71" s="495"/>
      <c r="Y71" s="495"/>
      <c r="Z71" s="23"/>
      <c r="AA71" s="177"/>
    </row>
    <row r="72" spans="2:27" ht="15.75" x14ac:dyDescent="0.25">
      <c r="B72" s="492"/>
      <c r="C72" s="445"/>
      <c r="D72" s="493"/>
      <c r="E72" s="493"/>
      <c r="F72" s="493"/>
      <c r="G72" s="494"/>
      <c r="H72" s="495"/>
      <c r="I72" s="495"/>
      <c r="J72" s="495"/>
      <c r="K72" s="495"/>
      <c r="L72" s="495"/>
      <c r="M72" s="495"/>
      <c r="N72" s="496"/>
      <c r="O72" s="445"/>
      <c r="P72" s="493"/>
      <c r="Q72" s="493"/>
      <c r="R72" s="493"/>
      <c r="S72" s="497"/>
      <c r="T72" s="328"/>
      <c r="U72" s="328"/>
      <c r="V72" s="328"/>
      <c r="W72" s="495"/>
      <c r="X72" s="495"/>
      <c r="Y72" s="495"/>
      <c r="Z72" s="23"/>
      <c r="AA72" s="177"/>
    </row>
    <row r="73" spans="2:27" ht="15.75" x14ac:dyDescent="0.25">
      <c r="B73" s="492"/>
      <c r="C73" s="445"/>
      <c r="D73" s="493"/>
      <c r="E73" s="493"/>
      <c r="F73" s="493"/>
      <c r="G73" s="494"/>
      <c r="H73" s="495"/>
      <c r="I73" s="495"/>
      <c r="J73" s="495"/>
      <c r="K73" s="495"/>
      <c r="L73" s="495"/>
      <c r="M73" s="495"/>
      <c r="N73" s="496"/>
      <c r="O73" s="445"/>
      <c r="P73" s="493"/>
      <c r="Q73" s="493"/>
      <c r="R73" s="493"/>
      <c r="S73" s="497"/>
      <c r="T73" s="328"/>
      <c r="U73" s="328"/>
      <c r="V73" s="328"/>
      <c r="W73" s="495"/>
      <c r="X73" s="495"/>
      <c r="Y73" s="495"/>
      <c r="Z73" s="23"/>
      <c r="AA73" s="177"/>
    </row>
    <row r="74" spans="2:27" ht="15.75" x14ac:dyDescent="0.25">
      <c r="B74" s="492"/>
      <c r="C74" s="445"/>
      <c r="D74" s="493"/>
      <c r="E74" s="493"/>
      <c r="F74" s="493"/>
      <c r="G74" s="494"/>
      <c r="H74" s="495"/>
      <c r="I74" s="495"/>
      <c r="J74" s="495"/>
      <c r="K74" s="495"/>
      <c r="L74" s="495"/>
      <c r="M74" s="495"/>
      <c r="N74" s="496"/>
      <c r="O74" s="445"/>
      <c r="P74" s="493"/>
      <c r="Q74" s="493"/>
      <c r="R74" s="493"/>
      <c r="S74" s="497"/>
      <c r="T74" s="328"/>
      <c r="U74" s="328"/>
      <c r="V74" s="328"/>
      <c r="W74" s="495"/>
      <c r="X74" s="495"/>
      <c r="Y74" s="495"/>
      <c r="Z74" s="23"/>
      <c r="AA74" s="177"/>
    </row>
    <row r="75" spans="2:27" ht="15.75" x14ac:dyDescent="0.25">
      <c r="B75" s="492"/>
      <c r="C75" s="445"/>
      <c r="D75" s="493"/>
      <c r="E75" s="493"/>
      <c r="F75" s="493"/>
      <c r="G75" s="494"/>
      <c r="H75" s="495"/>
      <c r="I75" s="495"/>
      <c r="J75" s="495"/>
      <c r="K75" s="495"/>
      <c r="L75" s="495"/>
      <c r="M75" s="495"/>
      <c r="N75" s="496"/>
      <c r="O75" s="445"/>
      <c r="P75" s="493"/>
      <c r="Q75" s="493"/>
      <c r="R75" s="493"/>
      <c r="S75" s="497"/>
      <c r="T75" s="328"/>
      <c r="U75" s="328"/>
      <c r="V75" s="328"/>
      <c r="W75" s="495"/>
      <c r="X75" s="495"/>
      <c r="Y75" s="495"/>
      <c r="Z75" s="23"/>
      <c r="AA75" s="177"/>
    </row>
    <row r="76" spans="2:27" ht="15.75" x14ac:dyDescent="0.25">
      <c r="B76" s="492"/>
      <c r="C76" s="445"/>
      <c r="D76" s="493"/>
      <c r="E76" s="493"/>
      <c r="F76" s="493"/>
      <c r="G76" s="494"/>
      <c r="H76" s="495"/>
      <c r="I76" s="495"/>
      <c r="J76" s="495"/>
      <c r="K76" s="495"/>
      <c r="L76" s="495"/>
      <c r="M76" s="495"/>
      <c r="N76" s="496"/>
      <c r="O76" s="445"/>
      <c r="P76" s="493"/>
      <c r="Q76" s="493"/>
      <c r="R76" s="493"/>
      <c r="S76" s="497"/>
      <c r="T76" s="328"/>
      <c r="U76" s="328"/>
      <c r="V76" s="328"/>
      <c r="W76" s="495"/>
      <c r="X76" s="495"/>
      <c r="Y76" s="495"/>
      <c r="Z76" s="23"/>
      <c r="AA76" s="177"/>
    </row>
    <row r="77" spans="2:27" ht="15.75" x14ac:dyDescent="0.25">
      <c r="B77" s="492"/>
      <c r="C77" s="445"/>
      <c r="D77" s="493"/>
      <c r="E77" s="493"/>
      <c r="F77" s="493"/>
      <c r="G77" s="494"/>
      <c r="H77" s="495"/>
      <c r="I77" s="495"/>
      <c r="J77" s="495"/>
      <c r="K77" s="495"/>
      <c r="L77" s="495"/>
      <c r="M77" s="495"/>
      <c r="N77" s="496"/>
      <c r="O77" s="445"/>
      <c r="P77" s="493"/>
      <c r="Q77" s="493"/>
      <c r="R77" s="493"/>
      <c r="S77" s="497"/>
      <c r="T77" s="328"/>
      <c r="U77" s="328"/>
      <c r="V77" s="328"/>
      <c r="W77" s="495"/>
      <c r="X77" s="495"/>
      <c r="Y77" s="495"/>
      <c r="Z77" s="23"/>
      <c r="AA77" s="177"/>
    </row>
    <row r="78" spans="2:27" ht="15.75" x14ac:dyDescent="0.25">
      <c r="B78" s="492"/>
      <c r="C78" s="445"/>
      <c r="D78" s="493"/>
      <c r="E78" s="493"/>
      <c r="F78" s="493"/>
      <c r="G78" s="494"/>
      <c r="H78" s="495"/>
      <c r="I78" s="495"/>
      <c r="J78" s="495"/>
      <c r="K78" s="495"/>
      <c r="L78" s="495"/>
      <c r="M78" s="495"/>
      <c r="N78" s="496"/>
      <c r="O78" s="445"/>
      <c r="P78" s="493"/>
      <c r="Q78" s="493"/>
      <c r="R78" s="493"/>
      <c r="S78" s="497"/>
      <c r="T78" s="328"/>
      <c r="U78" s="328"/>
      <c r="V78" s="328"/>
      <c r="W78" s="495"/>
      <c r="X78" s="495"/>
      <c r="Y78" s="495"/>
      <c r="Z78" s="23"/>
      <c r="AA78" s="177"/>
    </row>
    <row r="79" spans="2:27" ht="15.75" x14ac:dyDescent="0.25">
      <c r="B79" s="492"/>
      <c r="C79" s="445"/>
      <c r="D79" s="493"/>
      <c r="E79" s="493"/>
      <c r="F79" s="493"/>
      <c r="G79" s="494"/>
      <c r="H79" s="495"/>
      <c r="I79" s="495"/>
      <c r="J79" s="495"/>
      <c r="K79" s="495"/>
      <c r="L79" s="495"/>
      <c r="M79" s="495"/>
      <c r="N79" s="496"/>
      <c r="O79" s="445"/>
      <c r="P79" s="493"/>
      <c r="Q79" s="493"/>
      <c r="R79" s="493"/>
      <c r="S79" s="497"/>
      <c r="T79" s="328"/>
      <c r="U79" s="328"/>
      <c r="V79" s="328"/>
      <c r="W79" s="495"/>
      <c r="X79" s="495"/>
      <c r="Y79" s="495"/>
      <c r="Z79" s="23"/>
      <c r="AA79" s="177"/>
    </row>
    <row r="80" spans="2:27" ht="15.75" x14ac:dyDescent="0.25">
      <c r="B80" s="492"/>
      <c r="C80" s="445"/>
      <c r="D80" s="493"/>
      <c r="E80" s="493"/>
      <c r="F80" s="493"/>
      <c r="G80" s="494"/>
      <c r="H80" s="495"/>
      <c r="I80" s="495"/>
      <c r="J80" s="495"/>
      <c r="K80" s="495"/>
      <c r="L80" s="495"/>
      <c r="M80" s="495"/>
      <c r="N80" s="496"/>
      <c r="O80" s="445"/>
      <c r="P80" s="493"/>
      <c r="Q80" s="493"/>
      <c r="R80" s="493"/>
      <c r="S80" s="497"/>
      <c r="T80" s="328"/>
      <c r="U80" s="328"/>
      <c r="V80" s="328"/>
      <c r="W80" s="495"/>
      <c r="X80" s="495"/>
      <c r="Y80" s="495"/>
      <c r="Z80" s="23"/>
      <c r="AA80" s="177"/>
    </row>
    <row r="81" spans="2:27" ht="15.75" x14ac:dyDescent="0.25">
      <c r="B81" s="492"/>
      <c r="C81" s="445"/>
      <c r="D81" s="493"/>
      <c r="E81" s="493"/>
      <c r="F81" s="493"/>
      <c r="G81" s="494"/>
      <c r="H81" s="495"/>
      <c r="I81" s="495"/>
      <c r="J81" s="495"/>
      <c r="K81" s="495"/>
      <c r="L81" s="495"/>
      <c r="M81" s="495"/>
      <c r="N81" s="496"/>
      <c r="O81" s="445"/>
      <c r="P81" s="493"/>
      <c r="Q81" s="493"/>
      <c r="R81" s="493"/>
      <c r="S81" s="497"/>
      <c r="T81" s="328"/>
      <c r="U81" s="328"/>
      <c r="V81" s="328"/>
      <c r="W81" s="495"/>
      <c r="X81" s="495"/>
      <c r="Y81" s="495"/>
      <c r="Z81" s="23"/>
      <c r="AA81" s="177"/>
    </row>
    <row r="82" spans="2:27" ht="15.75" x14ac:dyDescent="0.25">
      <c r="B82" s="492"/>
      <c r="C82" s="445"/>
      <c r="D82" s="493"/>
      <c r="E82" s="493"/>
      <c r="F82" s="493"/>
      <c r="G82" s="494"/>
      <c r="H82" s="495"/>
      <c r="I82" s="495"/>
      <c r="J82" s="495"/>
      <c r="K82" s="495"/>
      <c r="L82" s="495"/>
      <c r="M82" s="495"/>
      <c r="N82" s="496"/>
      <c r="O82" s="445"/>
      <c r="P82" s="493"/>
      <c r="Q82" s="493"/>
      <c r="R82" s="493"/>
      <c r="S82" s="497"/>
      <c r="T82" s="328"/>
      <c r="U82" s="328"/>
      <c r="V82" s="328"/>
      <c r="W82" s="495"/>
      <c r="X82" s="495"/>
      <c r="Y82" s="495"/>
      <c r="Z82" s="23"/>
      <c r="AA82" s="177"/>
    </row>
    <row r="83" spans="2:27" ht="15.75" x14ac:dyDescent="0.25">
      <c r="B83" s="492"/>
      <c r="C83" s="445"/>
      <c r="D83" s="493"/>
      <c r="E83" s="493"/>
      <c r="F83" s="493"/>
      <c r="G83" s="494"/>
      <c r="H83" s="495"/>
      <c r="I83" s="495"/>
      <c r="J83" s="495"/>
      <c r="K83" s="495"/>
      <c r="L83" s="495"/>
      <c r="M83" s="495"/>
      <c r="N83" s="496"/>
      <c r="O83" s="445"/>
      <c r="P83" s="493"/>
      <c r="Q83" s="493"/>
      <c r="R83" s="493"/>
      <c r="S83" s="497"/>
      <c r="T83" s="328"/>
      <c r="U83" s="328"/>
      <c r="V83" s="328"/>
      <c r="W83" s="495"/>
      <c r="X83" s="495"/>
      <c r="Y83" s="495"/>
      <c r="Z83" s="23"/>
      <c r="AA83" s="177"/>
    </row>
    <row r="84" spans="2:27" ht="15.75" x14ac:dyDescent="0.25">
      <c r="B84" s="444"/>
      <c r="C84" s="445"/>
      <c r="D84" s="327"/>
      <c r="E84" s="327"/>
      <c r="F84" s="327"/>
      <c r="G84" s="446"/>
      <c r="H84" s="140"/>
      <c r="I84" s="140"/>
      <c r="J84" s="140"/>
      <c r="K84" s="140"/>
      <c r="L84" s="140"/>
      <c r="M84" s="140"/>
      <c r="N84" s="447"/>
      <c r="O84" s="445"/>
      <c r="P84" s="327"/>
      <c r="Q84" s="327"/>
      <c r="R84" s="327"/>
      <c r="S84" s="448"/>
      <c r="T84" s="449"/>
      <c r="U84" s="232"/>
      <c r="V84" s="232"/>
      <c r="W84" s="140"/>
      <c r="X84" s="140"/>
      <c r="Y84" s="140"/>
      <c r="Z84" s="162"/>
      <c r="AA84" s="177"/>
    </row>
    <row r="85" spans="2:27" ht="15.75" x14ac:dyDescent="0.25">
      <c r="B85" s="444"/>
      <c r="C85" s="445"/>
      <c r="D85" s="327"/>
      <c r="E85" s="327"/>
      <c r="F85" s="327"/>
      <c r="G85" s="446"/>
      <c r="H85" s="140"/>
      <c r="I85" s="140"/>
      <c r="J85" s="140"/>
      <c r="K85" s="140"/>
      <c r="L85" s="140"/>
      <c r="M85" s="140"/>
      <c r="N85" s="447"/>
      <c r="O85" s="445"/>
      <c r="P85" s="327"/>
      <c r="Q85" s="327"/>
      <c r="R85" s="327"/>
      <c r="S85" s="448"/>
      <c r="T85" s="449"/>
      <c r="U85" s="232"/>
      <c r="V85" s="232"/>
      <c r="W85" s="140"/>
      <c r="X85" s="140"/>
      <c r="Y85" s="140"/>
      <c r="Z85" s="162"/>
      <c r="AA85" s="177"/>
    </row>
    <row r="86" spans="2:27" ht="15.75" x14ac:dyDescent="0.25">
      <c r="B86" s="444"/>
      <c r="C86" s="445"/>
      <c r="D86" s="327"/>
      <c r="E86" s="327"/>
      <c r="F86" s="327"/>
      <c r="G86" s="446"/>
      <c r="H86" s="140"/>
      <c r="I86" s="140"/>
      <c r="J86" s="140"/>
      <c r="K86" s="140"/>
      <c r="L86" s="140"/>
      <c r="M86" s="140"/>
      <c r="N86" s="447"/>
      <c r="O86" s="445"/>
      <c r="P86" s="327"/>
      <c r="Q86" s="327"/>
      <c r="R86" s="327"/>
      <c r="S86" s="448"/>
      <c r="T86" s="449"/>
      <c r="U86" s="232"/>
      <c r="V86" s="232"/>
      <c r="W86" s="140"/>
      <c r="X86" s="140"/>
      <c r="Y86" s="140"/>
      <c r="Z86" s="162"/>
      <c r="AA86" s="177"/>
    </row>
    <row r="87" spans="2:27" ht="15.75" x14ac:dyDescent="0.25">
      <c r="B87" s="444"/>
      <c r="C87" s="445"/>
      <c r="D87" s="327"/>
      <c r="E87" s="327"/>
      <c r="F87" s="327"/>
      <c r="G87" s="446"/>
      <c r="H87" s="140"/>
      <c r="I87" s="140"/>
      <c r="J87" s="140"/>
      <c r="K87" s="140"/>
      <c r="L87" s="140"/>
      <c r="M87" s="140"/>
      <c r="N87" s="447"/>
      <c r="O87" s="445"/>
      <c r="P87" s="327"/>
      <c r="Q87" s="327"/>
      <c r="R87" s="327"/>
      <c r="S87" s="448"/>
      <c r="T87" s="449"/>
      <c r="U87" s="232"/>
      <c r="V87" s="232"/>
      <c r="W87" s="140"/>
      <c r="X87" s="140"/>
      <c r="Y87" s="140"/>
      <c r="Z87" s="162"/>
      <c r="AA87" s="177"/>
    </row>
    <row r="88" spans="2:27" ht="15.75" x14ac:dyDescent="0.25">
      <c r="B88" s="444"/>
      <c r="C88" s="445"/>
      <c r="D88" s="327"/>
      <c r="E88" s="327"/>
      <c r="F88" s="327"/>
      <c r="G88" s="446"/>
      <c r="H88" s="140"/>
      <c r="I88" s="140"/>
      <c r="J88" s="140"/>
      <c r="K88" s="140"/>
      <c r="L88" s="140"/>
      <c r="M88" s="140"/>
      <c r="N88" s="447"/>
      <c r="O88" s="445"/>
      <c r="P88" s="327"/>
      <c r="Q88" s="327"/>
      <c r="R88" s="327"/>
      <c r="S88" s="448"/>
      <c r="T88" s="449"/>
      <c r="U88" s="232"/>
      <c r="V88" s="232"/>
      <c r="W88" s="140"/>
      <c r="X88" s="140"/>
      <c r="Y88" s="140"/>
      <c r="Z88" s="162"/>
      <c r="AA88" s="177"/>
    </row>
    <row r="89" spans="2:27" ht="15.75" x14ac:dyDescent="0.25">
      <c r="B89" s="444"/>
      <c r="C89" s="445"/>
      <c r="D89" s="327"/>
      <c r="E89" s="327"/>
      <c r="F89" s="327"/>
      <c r="G89" s="446"/>
      <c r="H89" s="140"/>
      <c r="I89" s="140"/>
      <c r="J89" s="140"/>
      <c r="K89" s="140"/>
      <c r="L89" s="140"/>
      <c r="M89" s="140"/>
      <c r="N89" s="447"/>
      <c r="O89" s="445"/>
      <c r="P89" s="327"/>
      <c r="Q89" s="327"/>
      <c r="R89" s="327"/>
      <c r="S89" s="448"/>
      <c r="T89" s="449"/>
      <c r="U89" s="232"/>
      <c r="V89" s="232"/>
      <c r="W89" s="140"/>
      <c r="X89" s="140"/>
      <c r="Y89" s="140"/>
      <c r="Z89" s="162"/>
      <c r="AA89" s="177"/>
    </row>
    <row r="90" spans="2:27" ht="15.75" x14ac:dyDescent="0.25">
      <c r="B90" s="444"/>
      <c r="C90" s="445"/>
      <c r="D90" s="327"/>
      <c r="E90" s="327"/>
      <c r="F90" s="327"/>
      <c r="G90" s="446"/>
      <c r="H90" s="140"/>
      <c r="I90" s="140"/>
      <c r="J90" s="140"/>
      <c r="K90" s="140"/>
      <c r="L90" s="140"/>
      <c r="M90" s="140"/>
      <c r="N90" s="447"/>
      <c r="O90" s="445"/>
      <c r="P90" s="327"/>
      <c r="Q90" s="327"/>
      <c r="R90" s="327"/>
      <c r="S90" s="448"/>
      <c r="T90" s="449"/>
      <c r="U90" s="232"/>
      <c r="V90" s="232"/>
      <c r="W90" s="140"/>
      <c r="X90" s="140"/>
      <c r="Y90" s="140"/>
      <c r="Z90" s="162"/>
      <c r="AA90" s="177"/>
    </row>
    <row r="91" spans="2:27" ht="15.75" x14ac:dyDescent="0.25">
      <c r="B91" s="444"/>
      <c r="C91" s="445"/>
      <c r="D91" s="327"/>
      <c r="E91" s="327"/>
      <c r="F91" s="327"/>
      <c r="G91" s="446"/>
      <c r="H91" s="140"/>
      <c r="I91" s="140"/>
      <c r="J91" s="140"/>
      <c r="K91" s="140"/>
      <c r="L91" s="140"/>
      <c r="M91" s="140"/>
      <c r="N91" s="447"/>
      <c r="O91" s="445"/>
      <c r="P91" s="327"/>
      <c r="Q91" s="327"/>
      <c r="R91" s="327"/>
      <c r="S91" s="448"/>
      <c r="T91" s="449"/>
      <c r="U91" s="232"/>
      <c r="V91" s="232"/>
      <c r="W91" s="140"/>
      <c r="X91" s="140"/>
      <c r="Y91" s="140"/>
      <c r="Z91" s="162"/>
      <c r="AA91" s="177"/>
    </row>
    <row r="92" spans="2:27" x14ac:dyDescent="0.25">
      <c r="B92" s="450"/>
      <c r="C92" s="450"/>
      <c r="D92" s="450"/>
      <c r="E92" s="450"/>
      <c r="F92" s="450"/>
      <c r="G92" s="451"/>
      <c r="H92" s="450"/>
      <c r="I92" s="450"/>
      <c r="J92" s="450"/>
      <c r="K92" s="450"/>
      <c r="L92" s="450"/>
      <c r="M92" s="452"/>
      <c r="N92" s="232"/>
      <c r="O92" s="453"/>
      <c r="P92" s="232"/>
      <c r="Q92" s="232"/>
      <c r="R92" s="232"/>
      <c r="S92" s="232"/>
      <c r="T92" s="189"/>
      <c r="U92" s="189"/>
      <c r="V92" s="232"/>
      <c r="W92" s="140"/>
      <c r="X92" s="140"/>
      <c r="Y92" s="140"/>
      <c r="Z92" s="162"/>
      <c r="AA92" s="177"/>
    </row>
    <row r="93" spans="2:27" x14ac:dyDescent="0.25">
      <c r="B93" s="173"/>
      <c r="C93" s="173"/>
      <c r="D93" s="173"/>
      <c r="E93" s="173"/>
      <c r="F93" s="173"/>
      <c r="G93" s="173"/>
      <c r="H93" s="174"/>
      <c r="I93" s="175"/>
      <c r="J93" s="454"/>
      <c r="K93" s="451"/>
      <c r="L93" s="451"/>
      <c r="M93" s="455"/>
      <c r="N93" s="455"/>
      <c r="O93" s="456"/>
      <c r="P93" s="19"/>
      <c r="Q93" s="19"/>
      <c r="R93" s="19"/>
      <c r="S93" s="19"/>
      <c r="T93" s="19"/>
      <c r="U93" s="19"/>
      <c r="V93" s="19"/>
      <c r="W93" s="19"/>
      <c r="X93" s="19"/>
      <c r="Y93" s="455"/>
      <c r="Z93" s="177"/>
      <c r="AA93" s="177"/>
    </row>
    <row r="94" spans="2:27" x14ac:dyDescent="0.25">
      <c r="B94" s="173"/>
      <c r="C94" s="173"/>
      <c r="D94" s="173"/>
      <c r="E94" s="173"/>
      <c r="F94" s="173"/>
      <c r="G94" s="173"/>
      <c r="H94" s="174"/>
      <c r="I94" s="175"/>
      <c r="J94" s="454"/>
      <c r="K94" s="451"/>
      <c r="L94" s="451"/>
      <c r="M94" s="455"/>
      <c r="N94" s="455"/>
      <c r="O94" s="456"/>
      <c r="P94" s="19"/>
      <c r="Q94" s="19"/>
      <c r="R94" s="19"/>
      <c r="S94" s="19"/>
      <c r="T94" s="19"/>
      <c r="U94" s="19"/>
      <c r="V94" s="19"/>
      <c r="W94" s="19"/>
      <c r="X94" s="19"/>
      <c r="Y94" s="455"/>
      <c r="Z94" s="177"/>
      <c r="AA94" s="177"/>
    </row>
    <row r="95" spans="2:27" x14ac:dyDescent="0.25">
      <c r="B95" s="173"/>
      <c r="C95" s="173"/>
      <c r="D95" s="173"/>
      <c r="E95" s="173"/>
      <c r="F95" s="173"/>
      <c r="G95" s="173"/>
      <c r="H95" s="174"/>
      <c r="I95" s="175"/>
      <c r="J95" s="454"/>
      <c r="K95" s="451"/>
      <c r="L95" s="451"/>
      <c r="M95" s="455"/>
      <c r="N95" s="455"/>
      <c r="O95" s="456"/>
      <c r="P95" s="19"/>
      <c r="Q95" s="19"/>
      <c r="R95" s="19"/>
      <c r="S95" s="19"/>
      <c r="T95" s="19"/>
      <c r="U95" s="19"/>
      <c r="V95" s="19"/>
      <c r="W95" s="19"/>
      <c r="X95" s="19"/>
      <c r="Y95" s="19"/>
      <c r="Z95" s="177"/>
      <c r="AA95" s="177"/>
    </row>
    <row r="96" spans="2:27" x14ac:dyDescent="0.25">
      <c r="B96" s="173"/>
      <c r="C96" s="173"/>
      <c r="D96" s="173"/>
      <c r="E96" s="173"/>
      <c r="F96" s="173"/>
      <c r="G96" s="173"/>
      <c r="H96" s="174"/>
      <c r="I96" s="175"/>
      <c r="J96" s="454"/>
      <c r="K96" s="451"/>
      <c r="L96" s="451"/>
      <c r="M96" s="455"/>
      <c r="N96" s="455"/>
      <c r="O96" s="456"/>
      <c r="P96" s="19"/>
      <c r="Q96" s="206"/>
      <c r="R96" s="206"/>
      <c r="S96" s="206" t="s">
        <v>217</v>
      </c>
      <c r="T96" s="206"/>
      <c r="U96" s="206"/>
      <c r="V96" s="206"/>
      <c r="W96" s="206"/>
      <c r="X96" s="206"/>
      <c r="Y96" s="206"/>
      <c r="Z96" s="25"/>
      <c r="AA96" s="177"/>
    </row>
    <row r="97" spans="2:27" x14ac:dyDescent="0.25">
      <c r="B97" s="222"/>
      <c r="C97" s="222"/>
      <c r="D97" s="222"/>
      <c r="E97" s="222"/>
      <c r="F97" s="222"/>
      <c r="G97" s="222"/>
      <c r="H97" s="298"/>
      <c r="I97" s="299"/>
      <c r="J97" s="457"/>
      <c r="K97" s="206"/>
      <c r="L97" s="206"/>
      <c r="M97" s="206"/>
      <c r="N97" s="206"/>
      <c r="O97" s="456"/>
      <c r="P97" s="19"/>
      <c r="Q97" s="206"/>
      <c r="R97" s="206"/>
      <c r="S97" s="206" t="str">
        <f ca="1">_xlfn.CONCAT($B$1,$C$1,$R101,$H$1,S$99,S$100)</f>
        <v>VMBRAND.comACCESSORIESQ318/19Feb</v>
      </c>
      <c r="T97" s="206"/>
      <c r="U97" s="206"/>
      <c r="V97" s="206"/>
      <c r="W97" s="206"/>
      <c r="X97" s="206"/>
      <c r="Y97" s="206"/>
      <c r="Z97" s="25"/>
      <c r="AA97" s="177"/>
    </row>
    <row r="98" spans="2:27" x14ac:dyDescent="0.25">
      <c r="B98" s="222"/>
      <c r="C98" s="222"/>
      <c r="D98" s="222"/>
      <c r="E98" s="222"/>
      <c r="F98" s="222"/>
      <c r="G98" s="222"/>
      <c r="H98" s="298"/>
      <c r="I98" s="299"/>
      <c r="J98" s="457"/>
      <c r="K98" s="206"/>
      <c r="L98" s="206"/>
      <c r="M98" s="206"/>
      <c r="N98" s="206"/>
      <c r="O98" s="458"/>
      <c r="P98" s="19"/>
      <c r="Q98" s="206"/>
      <c r="R98" s="206"/>
      <c r="S98" s="206"/>
      <c r="T98" s="206"/>
      <c r="U98" s="206"/>
      <c r="V98" s="206"/>
      <c r="W98" s="206"/>
      <c r="X98" s="206"/>
      <c r="Y98" s="206"/>
      <c r="Z98" s="25"/>
      <c r="AA98" s="177"/>
    </row>
    <row r="99" spans="2:27" x14ac:dyDescent="0.25">
      <c r="B99" s="287"/>
      <c r="C99" s="287"/>
      <c r="D99" s="287"/>
      <c r="E99" s="287"/>
      <c r="F99" s="287"/>
      <c r="G99" s="287"/>
      <c r="H99" s="287"/>
      <c r="I99" s="287"/>
      <c r="J99" s="287"/>
      <c r="K99" s="287"/>
      <c r="L99" s="287"/>
      <c r="M99" s="287"/>
      <c r="N99" s="287"/>
      <c r="O99" s="459"/>
      <c r="P99" s="460"/>
      <c r="Q99" s="287"/>
      <c r="R99" s="461"/>
      <c r="S99" s="462" t="str">
        <f ca="1">$G$1</f>
        <v>18/19</v>
      </c>
      <c r="T99" s="462" t="str">
        <f t="shared" ref="T99:U99" ca="1" si="7">$G$1</f>
        <v>18/19</v>
      </c>
      <c r="U99" s="463" t="str">
        <f t="shared" ca="1" si="7"/>
        <v>18/19</v>
      </c>
      <c r="V99" s="206"/>
      <c r="W99" s="206"/>
      <c r="X99" s="206"/>
      <c r="Y99" s="206"/>
      <c r="Z99" s="25"/>
      <c r="AA99" s="162"/>
    </row>
    <row r="100" spans="2:27" x14ac:dyDescent="0.25">
      <c r="B100" s="273" t="s">
        <v>81</v>
      </c>
      <c r="C100" s="464" t="s">
        <v>131</v>
      </c>
      <c r="D100" s="273" t="s">
        <v>10</v>
      </c>
      <c r="E100" s="273" t="s">
        <v>76</v>
      </c>
      <c r="F100" s="273" t="s">
        <v>77</v>
      </c>
      <c r="G100" s="273" t="s">
        <v>7</v>
      </c>
      <c r="H100" s="273" t="s">
        <v>8</v>
      </c>
      <c r="I100" s="273" t="s">
        <v>159</v>
      </c>
      <c r="J100" s="273" t="s">
        <v>205</v>
      </c>
      <c r="K100" s="273" t="s">
        <v>171</v>
      </c>
      <c r="L100" s="273" t="s">
        <v>172</v>
      </c>
      <c r="M100" s="273" t="s">
        <v>82</v>
      </c>
      <c r="N100" s="273" t="s">
        <v>174</v>
      </c>
      <c r="O100" s="421"/>
      <c r="P100" s="19"/>
      <c r="Q100" s="287"/>
      <c r="R100" s="465"/>
      <c r="S100" s="206" t="str">
        <f ca="1">D41</f>
        <v>Feb</v>
      </c>
      <c r="T100" s="206" t="str">
        <f ca="1">E41</f>
        <v>Mar</v>
      </c>
      <c r="U100" s="291" t="str">
        <f ca="1">F41</f>
        <v>Apr</v>
      </c>
      <c r="V100" s="206"/>
      <c r="W100" s="206"/>
      <c r="X100" s="206"/>
      <c r="Y100" s="206"/>
      <c r="Z100" s="25"/>
      <c r="AA100" s="162"/>
    </row>
    <row r="101" spans="2:27" x14ac:dyDescent="0.25">
      <c r="B101" s="222" t="str">
        <f ca="1">IF(ISTEXT(C101),CONCATENATE(D101,E101,F101,G101,I101),"-")</f>
        <v>VMBRAND.comDRESSES18/19Jan</v>
      </c>
      <c r="C101" s="222" t="str">
        <f ca="1">TIME!$E$5</f>
        <v>2019-04</v>
      </c>
      <c r="D101" s="222" t="str">
        <f t="shared" ref="D101:D112" si="8">$B$1</f>
        <v>VM</v>
      </c>
      <c r="E101" s="222" t="str">
        <f>$C$1</f>
        <v>BRAND.com</v>
      </c>
      <c r="F101" s="222" t="str">
        <f t="shared" ref="F101:F112" si="9">$K$3</f>
        <v>DRESSES</v>
      </c>
      <c r="G101" s="222" t="str">
        <f ca="1">IF($D$6="Aug",TIME!$M$34,$G$1)</f>
        <v>18/19</v>
      </c>
      <c r="H101" s="222" t="str">
        <f ca="1">TIME!$N$34</f>
        <v>Q2</v>
      </c>
      <c r="I101" s="298" t="str">
        <f ca="1">$C$41</f>
        <v>Jan</v>
      </c>
      <c r="J101" s="776" t="str">
        <f ca="1">IFERROR(VLOOKUP(_xlfn.CONCAT($D$101,$E$101,$F$101,$G$101,$I$101),HIS_SALES!$B$2:$N$5093,MATCH(J$100,HIS_SALES!$B$1:$N$1,0),FALSE),"")</f>
        <v/>
      </c>
      <c r="K101" s="280" t="str">
        <f ca="1">IFERROR(VLOOKUP(_xlfn.CONCAT($D$101,$E$101,$F$101,$G$101,$I$101),HIS_SALES!$B$2:$N$5093,MATCH(K$100,HIS_SALES!$B$1:$N$1,0),FALSE),"")</f>
        <v/>
      </c>
      <c r="L101" s="365" t="str">
        <f ca="1">IFERROR(VLOOKUP(_xlfn.CONCAT($D$101,$E$101,$F$101,$G$101,$I$101),HIS_SALES!$B$2:$N$5093,MATCH(L$100,HIS_SALES!$B$1:$N$1,0),FALSE),"")</f>
        <v/>
      </c>
      <c r="M101" s="299" t="str">
        <f ca="1">IFERROR(VLOOKUP(_xlfn.CONCAT($D$101,$E$101,$F$101,$G$101,$I$101),HIS_SALES!$B$2:$N$5093,MATCH(M$100,HIS_SALES!$B$1:$N$1,0),FALSE),"")</f>
        <v/>
      </c>
      <c r="N101" s="774" t="str">
        <f ca="1">IFERROR(VLOOKUP(_xlfn.CONCAT($D$101,$E$101,$F$101,$G$101,$I$101),HIS_SALES!$B$2:$N$5093,MATCH(N$100,HIS_SALES!$B$1:$N$1,0),FALSE),"")</f>
        <v/>
      </c>
      <c r="O101" s="421"/>
      <c r="P101" s="19"/>
      <c r="Q101" s="287"/>
      <c r="R101" s="465" t="str">
        <f>'PIVOT TABLE'!A4</f>
        <v>ACCESSORIES</v>
      </c>
      <c r="S101" s="282">
        <f ca="1">IFERROR(VLOOKUP(_xlfn.CONCAT($D$102,$E$102,$R101,S$99,S$100),FC_DATA!$A$2:$M$5000,12,FALSE),0)</f>
        <v>0</v>
      </c>
      <c r="T101" s="282">
        <f ca="1">IFERROR(VLOOKUP(_xlfn.CONCAT($D$102,$E$102,$R101,T$99,T$100),FC_DATA!$A$2:$M$5000,12,FALSE),0)</f>
        <v>0</v>
      </c>
      <c r="U101" s="292">
        <f ca="1">IFERROR(VLOOKUP(_xlfn.CONCAT($D$102,$E$102,$R101,U$99,U$100),FC_DATA!$A$2:$M$5000,12,FALSE),0)</f>
        <v>0</v>
      </c>
      <c r="V101" s="282"/>
      <c r="W101" s="282"/>
      <c r="X101" s="282"/>
      <c r="Y101" s="282"/>
      <c r="Z101" s="25"/>
      <c r="AA101" s="162"/>
    </row>
    <row r="102" spans="2:27" x14ac:dyDescent="0.25">
      <c r="B102" s="222" t="str">
        <f t="shared" ref="B102:B112" ca="1" si="10">IF(ISTEXT(C102),CONCATENATE(D102,E102,F102,G102,I102),"-")</f>
        <v>VMBRAND.comDRESSES18/19Feb</v>
      </c>
      <c r="C102" s="222" t="str">
        <f ca="1">TIME!$E$5</f>
        <v>2019-04</v>
      </c>
      <c r="D102" s="222" t="str">
        <f t="shared" si="8"/>
        <v>VM</v>
      </c>
      <c r="E102" s="222" t="str">
        <f>$C$1</f>
        <v>BRAND.com</v>
      </c>
      <c r="F102" s="222" t="str">
        <f t="shared" si="9"/>
        <v>DRESSES</v>
      </c>
      <c r="G102" s="222" t="str">
        <f ca="1">$G$1</f>
        <v>18/19</v>
      </c>
      <c r="H102" s="222" t="str">
        <f ca="1">TIME!$N$27</f>
        <v>Q3</v>
      </c>
      <c r="I102" s="298" t="str">
        <f ca="1">$D$41</f>
        <v>Feb</v>
      </c>
      <c r="J102" s="776" t="str">
        <f ca="1">IF(ISNA(VLOOKUP(_xlfn.CONCAT($G102,$I102),TIME!$M$40:$Q$42,1,FALSE)),IFERROR(VLOOKUP(_xlfn.CONCAT(D102,E102,F102,G102,I102),HIS_SALES!$B$2:$N$5093,MATCH(J$100,HIS_SALES!$B$1:$N$1,0),FALSE),""),$D$12)</f>
        <v/>
      </c>
      <c r="K102" s="280" t="str">
        <f ca="1">IF(ISNA(VLOOKUP(_xlfn.CONCAT($G102,$I102),TIME!$M$40:$Q$42,1,FALSE)),IFERROR(VLOOKUP(_xlfn.CONCAT(D102,E102,F102,G102,I102),HIS_SALES!$B$2:$N$5093,MATCH(K$100,HIS_SALES!$B$1:$N$1,0),FALSE),""),P12)</f>
        <v/>
      </c>
      <c r="L102" s="365" t="str">
        <f ca="1">IF(ISNA(VLOOKUP(_xlfn.CONCAT($G102,$I102),TIME!$M$40:$Q$42,1,FALSE)),IFERROR(VLOOKUP(_xlfn.CONCAT(D102,E102,F102,G102,I102),HIS_SALES!$B$2:$N$5093,MATCH(L$100,HIS_SALES!$B$1:$N$1,0),FALSE),""),P26)</f>
        <v/>
      </c>
      <c r="M102" s="299">
        <f ca="1">IF(ISNA(VLOOKUP(_xlfn.CONCAT($G102,$I102),TIME!$M$40:$Q$42,1,FALSE)),0,D13)</f>
        <v>0</v>
      </c>
      <c r="N102" s="774" t="str">
        <f ca="1">IF(ISNA(VLOOKUP(_xlfn.CONCAT($G102,$I102),TIME!$M$40:$Q$42,1,FALSE)),IFERROR(VLOOKUP(_xlfn.CONCAT(D102,E102,F102,G102,I102),HIS_SALES!$B$2:$N$5093,MATCH(N$100,HIS_SALES!$B$1:$N$1,0),FALSE),""),D26)</f>
        <v/>
      </c>
      <c r="O102" s="421"/>
      <c r="P102" s="19"/>
      <c r="Q102" s="287"/>
      <c r="R102" s="465" t="str">
        <f>'PIVOT TABLE'!A5</f>
        <v>DRESSES</v>
      </c>
      <c r="S102" s="282">
        <f ca="1">IFERROR(VLOOKUP(_xlfn.CONCAT($D$102,$E$102,$R102,S$99,S$100),FC_DATA!$A$2:$M$5000,12,FALSE),0)</f>
        <v>0</v>
      </c>
      <c r="T102" s="282">
        <f ca="1">IFERROR(VLOOKUP(_xlfn.CONCAT($D$102,$E$102,$R102,T$99,T$100),FC_DATA!$A$2:$M$5000,12,FALSE),0)</f>
        <v>0</v>
      </c>
      <c r="U102" s="292">
        <f ca="1">IFERROR(VLOOKUP(_xlfn.CONCAT($D$102,$E$102,$R102,U$99,U$100),FC_DATA!$A$2:$M$5000,12,FALSE),0)</f>
        <v>0</v>
      </c>
      <c r="V102" s="282"/>
      <c r="W102" s="282"/>
      <c r="X102" s="282"/>
      <c r="Y102" s="282"/>
      <c r="Z102" s="25"/>
      <c r="AA102" s="162"/>
    </row>
    <row r="103" spans="2:27" x14ac:dyDescent="0.25">
      <c r="B103" s="222" t="str">
        <f t="shared" ca="1" si="10"/>
        <v>VMBRAND.comDRESSES18/19Mar</v>
      </c>
      <c r="C103" s="222" t="str">
        <f ca="1">TIME!$E$5</f>
        <v>2019-04</v>
      </c>
      <c r="D103" s="222" t="str">
        <f t="shared" si="8"/>
        <v>VM</v>
      </c>
      <c r="E103" s="222" t="str">
        <f>$C$1</f>
        <v>BRAND.com</v>
      </c>
      <c r="F103" s="222" t="str">
        <f t="shared" si="9"/>
        <v>DRESSES</v>
      </c>
      <c r="G103" s="222" t="str">
        <f t="shared" ref="G103:G112" ca="1" si="11">$G$1</f>
        <v>18/19</v>
      </c>
      <c r="H103" s="222" t="str">
        <f ca="1">TIME!$N$27</f>
        <v>Q3</v>
      </c>
      <c r="I103" s="222" t="str">
        <f ca="1">$E$41</f>
        <v>Mar</v>
      </c>
      <c r="J103" s="776" t="str">
        <f ca="1">IF(ISNA(VLOOKUP(_xlfn.CONCAT($G103,$I103),TIME!$M$40:$Q$42,1,FALSE)),IFERROR(VLOOKUP(_xlfn.CONCAT(D103,E103,F103,G103,I103),HIS_SALES!$B$2:$N$5093,MATCH(J$100,HIS_SALES!$B$1:$N$1,0),FALSE),""),$E$12)</f>
        <v/>
      </c>
      <c r="K103" s="280" t="str">
        <f ca="1">IF(ISNA(VLOOKUP(_xlfn.CONCAT($G103,$I103),TIME!$M$40:$Q$42,1,FALSE)),IFERROR(VLOOKUP(_xlfn.CONCAT(D103,E103,F103,G103,I103),HIS_SALES!$B$2:$N$5093,MATCH(K$100,HIS_SALES!$B$1:$N$1,0),FALSE),""),Q12)</f>
        <v/>
      </c>
      <c r="L103" s="365" t="str">
        <f ca="1">IF(ISNA(VLOOKUP(_xlfn.CONCAT($G103,$I103),TIME!$M$40:$Q$42,1,FALSE)),IFERROR(VLOOKUP(_xlfn.CONCAT(D103,E103,F103,G103,I103),HIS_SALES!$B$2:$N$5093,MATCH(L$100,HIS_SALES!$B$1:$N$1,0),FALSE),""),Q26)</f>
        <v/>
      </c>
      <c r="M103" s="299">
        <f ca="1">IF(ISNA(VLOOKUP(_xlfn.CONCAT($G103,$I103),TIME!$M$40:$Q$42,1,FALSE)),0,E13)</f>
        <v>0</v>
      </c>
      <c r="N103" s="774" t="str">
        <f ca="1">IF(ISNA(VLOOKUP(_xlfn.CONCAT($G103,$I103),TIME!$M$40:$Q$42,1,FALSE)),IFERROR(VLOOKUP(_xlfn.CONCAT(D103,E103,F103,G103,I103),HIS_SALES!$B$2:$N$5093,MATCH(N$100,HIS_SALES!$B$1:$N$1,0),FALSE),""),E26)</f>
        <v/>
      </c>
      <c r="O103" s="421"/>
      <c r="P103" s="19"/>
      <c r="Q103" s="287"/>
      <c r="R103" s="465" t="str">
        <f>'PIVOT TABLE'!A6</f>
        <v>JEANS</v>
      </c>
      <c r="S103" s="282">
        <f ca="1">IFERROR(VLOOKUP(_xlfn.CONCAT($D$102,$E$102,$R103,S$99,S$100),FC_DATA!$A$2:$M$5000,12,FALSE),0)</f>
        <v>0</v>
      </c>
      <c r="T103" s="282">
        <f ca="1">IFERROR(VLOOKUP(_xlfn.CONCAT($D$102,$E$102,$R103,T$99,T$100),FC_DATA!$A$2:$M$5000,12,FALSE),0)</f>
        <v>0</v>
      </c>
      <c r="U103" s="292">
        <f ca="1">IFERROR(VLOOKUP(_xlfn.CONCAT($D$102,$E$102,$R103,U$99,U$100),FC_DATA!$A$2:$M$5000,12,FALSE),0)</f>
        <v>0</v>
      </c>
      <c r="V103" s="282"/>
      <c r="W103" s="282"/>
      <c r="X103" s="282"/>
      <c r="Y103" s="282"/>
      <c r="Z103" s="25"/>
      <c r="AA103" s="162"/>
    </row>
    <row r="104" spans="2:27" x14ac:dyDescent="0.25">
      <c r="B104" s="222" t="str">
        <f t="shared" ca="1" si="10"/>
        <v>VMBRAND.comDRESSES18/19Apr</v>
      </c>
      <c r="C104" s="222" t="str">
        <f ca="1">TIME!$E$5</f>
        <v>2019-04</v>
      </c>
      <c r="D104" s="222" t="str">
        <f t="shared" si="8"/>
        <v>VM</v>
      </c>
      <c r="E104" s="222" t="str">
        <f>$C$1</f>
        <v>BRAND.com</v>
      </c>
      <c r="F104" s="222" t="str">
        <f t="shared" si="9"/>
        <v>DRESSES</v>
      </c>
      <c r="G104" s="222" t="str">
        <f t="shared" ca="1" si="11"/>
        <v>18/19</v>
      </c>
      <c r="H104" s="222" t="str">
        <f ca="1">TIME!$N$27</f>
        <v>Q3</v>
      </c>
      <c r="I104" s="222" t="str">
        <f ca="1">$F$41</f>
        <v>Apr</v>
      </c>
      <c r="J104" s="776">
        <f ca="1">IF(ISNA(VLOOKUP(_xlfn.CONCAT($G104,$I104),TIME!$M$40:$Q$42,1,FALSE)),IFERROR(VLOOKUP(_xlfn.CONCAT(D104,E104,F104,G104,I104),HIS_SALES!$B$2:$N$5093,MATCH(J$100,HIS_SALES!$B$1:$N$1,0),FALSE),""),$F$12)</f>
        <v>0</v>
      </c>
      <c r="K104" s="280">
        <f ca="1">IF(ISNA(VLOOKUP(_xlfn.CONCAT($G104,$I104),TIME!$M$40:$Q$42,1,FALSE)),IFERROR(VLOOKUP(_xlfn.CONCAT(D104,E104,F104,G104,I104),HIS_SALES!$B$2:$N$5093,MATCH(K$100,HIS_SALES!$B$1:$N$1,0),FALSE),""),R12)</f>
        <v>0</v>
      </c>
      <c r="L104" s="365">
        <f ca="1">IF(ISNA(VLOOKUP(_xlfn.CONCAT($G104,$I104),TIME!$M$40:$Q$42,1,FALSE)),IFERROR(VLOOKUP(_xlfn.CONCAT(D104,E104,F104,G104,I104),HIS_SALES!$B$2:$N$5093,MATCH(L$100,HIS_SALES!$B$1:$N$1,0),FALSE),""),R26)</f>
        <v>3.1199547452820502</v>
      </c>
      <c r="M104" s="299" t="str">
        <f ca="1">IF(ISNA(VLOOKUP(_xlfn.CONCAT($G104,$I104),TIME!$M$40:$Q$42,1,FALSE)),0,F13)</f>
        <v>-</v>
      </c>
      <c r="N104" s="774">
        <f ca="1">IF(ISNA(VLOOKUP(_xlfn.CONCAT($G104,$I104),TIME!$M$40:$Q$42,1,FALSE)),IFERROR(VLOOKUP(_xlfn.CONCAT(D104,E104,F104,G104,I104),HIS_SALES!$B$2:$N$5093,MATCH(N$100,HIS_SALES!$B$1:$N$1,0),FALSE),"")*0,F26)</f>
        <v>0</v>
      </c>
      <c r="O104" s="421"/>
      <c r="P104" s="19"/>
      <c r="Q104" s="287"/>
      <c r="R104" s="465" t="str">
        <f>'PIVOT TABLE'!A7</f>
        <v>KNIT</v>
      </c>
      <c r="S104" s="282">
        <f ca="1">IFERROR(VLOOKUP(_xlfn.CONCAT($D$102,$E$102,$R104,S$99,S$100),FC_DATA!$A$2:$M$5000,12,FALSE),0)</f>
        <v>0</v>
      </c>
      <c r="T104" s="282">
        <f ca="1">IFERROR(VLOOKUP(_xlfn.CONCAT($D$102,$E$102,$R104,T$99,T$100),FC_DATA!$A$2:$M$5000,12,FALSE),0)</f>
        <v>0</v>
      </c>
      <c r="U104" s="292">
        <f ca="1">IFERROR(VLOOKUP(_xlfn.CONCAT($D$102,$E$102,$R104,U$99,U$100),FC_DATA!$A$2:$M$5000,12,FALSE),0)</f>
        <v>0</v>
      </c>
      <c r="V104" s="282"/>
      <c r="W104" s="282"/>
      <c r="X104" s="282"/>
      <c r="Y104" s="282"/>
      <c r="Z104" s="25"/>
      <c r="AA104" s="162"/>
    </row>
    <row r="105" spans="2:27" x14ac:dyDescent="0.25">
      <c r="B105" s="222" t="str">
        <f t="shared" ca="1" si="10"/>
        <v>VMBS.comDRESSES18/19Jan</v>
      </c>
      <c r="C105" s="222" t="str">
        <f ca="1">TIME!$E$5</f>
        <v>2019-04</v>
      </c>
      <c r="D105" s="222" t="str">
        <f t="shared" si="8"/>
        <v>VM</v>
      </c>
      <c r="E105" s="222" t="s">
        <v>110</v>
      </c>
      <c r="F105" s="222" t="str">
        <f t="shared" si="9"/>
        <v>DRESSES</v>
      </c>
      <c r="G105" s="222" t="str">
        <f ca="1">IF($D$6="Aug",TIME!$M$34,$G$1)</f>
        <v>18/19</v>
      </c>
      <c r="H105" s="222" t="str">
        <f ca="1">TIME!$N$34</f>
        <v>Q2</v>
      </c>
      <c r="I105" s="298" t="str">
        <f ca="1">$C$41</f>
        <v>Jan</v>
      </c>
      <c r="J105" s="776" t="str">
        <f ca="1">IFERROR(VLOOKUP(_xlfn.CONCAT($D$105,$E$105,$F$105,$G$105,$I$105),HIS_SALES!$B$2:$N$5093,MATCH(J$100,HIS_SALES!$B$1:$N$1,0),FALSE),"")</f>
        <v/>
      </c>
      <c r="K105" s="280" t="str">
        <f ca="1">IFERROR(VLOOKUP(_xlfn.CONCAT($D$105,$E$105,$F$105,$G$105,$I$105),HIS_SALES!$B$2:$N$5093,MATCH(K$100,HIS_SALES!$B$1:$N$1,0),FALSE),"")</f>
        <v/>
      </c>
      <c r="L105" s="365" t="str">
        <f ca="1">IFERROR(VLOOKUP(_xlfn.CONCAT($D$105,$E$105,$F$105,$G$105,$I$105),HIS_SALES!$B$2:$N$5093,MATCH(L$100,HIS_SALES!$B$1:$N$1,0),FALSE),"")</f>
        <v/>
      </c>
      <c r="M105" s="299" t="str">
        <f ca="1">IFERROR(VLOOKUP(_xlfn.CONCAT($D$105,$E$105,$F$105,$G$105,$I$105),HIS_SALES!$B$2:$N$5093,MATCH(M$100,HIS_SALES!$B$1:$N$1,0),FALSE),"")</f>
        <v/>
      </c>
      <c r="N105" s="774" t="str">
        <f ca="1">IFERROR(VLOOKUP(_xlfn.CONCAT($D$105,$E$105,$F$105,$G$105,$I$105),HIS_SALES!$B$2:$N$5093,MATCH(N$100,HIS_SALES!$B$1:$N$1,0),FALSE),"")</f>
        <v/>
      </c>
      <c r="O105" s="421"/>
      <c r="P105" s="19"/>
      <c r="Q105" s="287"/>
      <c r="R105" s="465" t="str">
        <f>'PIVOT TABLE'!A8</f>
        <v>OUTERWEAR</v>
      </c>
      <c r="S105" s="282">
        <f ca="1">IFERROR(VLOOKUP(_xlfn.CONCAT($D$102,$E$102,$R105,S$99,S$100),FC_DATA!$A$2:$M$5000,12,FALSE),0)</f>
        <v>0</v>
      </c>
      <c r="T105" s="282">
        <f ca="1">IFERROR(VLOOKUP(_xlfn.CONCAT($D$102,$E$102,$R105,T$99,T$100),FC_DATA!$A$2:$M$5000,12,FALSE),0)</f>
        <v>0</v>
      </c>
      <c r="U105" s="292">
        <f ca="1">IFERROR(VLOOKUP(_xlfn.CONCAT($D$102,$E$102,$R105,U$99,U$100),FC_DATA!$A$2:$M$5000,12,FALSE),0)</f>
        <v>0</v>
      </c>
      <c r="V105" s="282"/>
      <c r="W105" s="282"/>
      <c r="X105" s="282"/>
      <c r="Y105" s="282"/>
      <c r="Z105" s="25"/>
      <c r="AA105" s="162"/>
    </row>
    <row r="106" spans="2:27" x14ac:dyDescent="0.25">
      <c r="B106" s="222" t="str">
        <f t="shared" ca="1" si="10"/>
        <v>VMBS.comDRESSES18/19Feb</v>
      </c>
      <c r="C106" s="222" t="str">
        <f ca="1">TIME!$E$5</f>
        <v>2019-04</v>
      </c>
      <c r="D106" s="222" t="str">
        <f t="shared" si="8"/>
        <v>VM</v>
      </c>
      <c r="E106" s="222" t="s">
        <v>110</v>
      </c>
      <c r="F106" s="222" t="str">
        <f t="shared" si="9"/>
        <v>DRESSES</v>
      </c>
      <c r="G106" s="222" t="str">
        <f t="shared" ca="1" si="11"/>
        <v>18/19</v>
      </c>
      <c r="H106" s="222" t="str">
        <f ca="1">TIME!$N$27</f>
        <v>Q3</v>
      </c>
      <c r="I106" s="222" t="str">
        <f ca="1">$D$41</f>
        <v>Feb</v>
      </c>
      <c r="J106" s="776" t="str">
        <f ca="1">IF(ISNA(VLOOKUP(_xlfn.CONCAT($G106,$I106),TIME!$M$40:$Q$42,1,FALSE)),IFERROR(VLOOKUP(_xlfn.CONCAT($D106,$E106,$F106,$G106,$I106),HIS_SALES!$B$2:$N$5093,MATCH(J$100,HIS_SALES!$B$1:$N$1,0),FALSE),""),"")</f>
        <v/>
      </c>
      <c r="K106" s="774" t="str">
        <f ca="1">IF(ISNA(VLOOKUP(_xlfn.CONCAT($G106,$I106),TIME!$M$40:$Q$42,1,FALSE)),IFERROR(VLOOKUP(_xlfn.CONCAT($D106,$E106,$F106,$G106,$I106),HIS_SALES!$B$2:$N$5093,MATCH(K$100,HIS_SALES!$B$1:$N$1,0),FALSE),""),K102-Q_BRAND_FC!$F$143)</f>
        <v/>
      </c>
      <c r="L106" s="775" t="str">
        <f ca="1">IF(ISNA(VLOOKUP(_xlfn.CONCAT($G106,$I106),TIME!$M$40:$Q$42,1,FALSE)),IFERROR(VLOOKUP(_xlfn.CONCAT($D106,$E106,$F106,$G106,$I106),HIS_SALES!$B$2:$N$5093,MATCH(L$100,HIS_SALES!$B$1:$N$1,0),FALSE),""),M_BUSAREA_FC!$D$107)</f>
        <v/>
      </c>
      <c r="M106" s="339" t="str">
        <f ca="1">IF(ISNA(VLOOKUP(_xlfn.CONCAT($G106,$I106),TIME!$M$40:$Q$42,1,FALSE)),IFERROR(VLOOKUP(_xlfn.CONCAT($D106,$E106,$F106,$G106,$I106),HIS_SALES!$B$2:$N$5093,MATCH(M$100,HIS_SALES!$B$1:$N$1,0),FALSE),""),"")</f>
        <v/>
      </c>
      <c r="N106" s="774" t="str">
        <f ca="1">IF(ISNA(VLOOKUP(_xlfn.CONCAT($G106,$I106),TIME!$M$40:$Q$42,1,FALSE)),IFERROR(VLOOKUP(_xlfn.CONCAT($D106,$E106,$F106,$G106,$I106),HIS_SALES!$B$2:$N$5093,MATCH(N$100,HIS_SALES!$B$1:$N$1,0),FALSE),""),N102)</f>
        <v/>
      </c>
      <c r="O106" s="421"/>
      <c r="P106" s="19"/>
      <c r="Q106" s="287"/>
      <c r="R106" s="465" t="str">
        <f>'PIVOT TABLE'!A9</f>
        <v>PANTS</v>
      </c>
      <c r="S106" s="282">
        <f ca="1">IFERROR(VLOOKUP(_xlfn.CONCAT($D$102,$E$102,$R106,S$99,S$100),FC_DATA!$A$2:$M$5000,12,FALSE),0)</f>
        <v>0</v>
      </c>
      <c r="T106" s="282">
        <f ca="1">IFERROR(VLOOKUP(_xlfn.CONCAT($D$102,$E$102,$R106,T$99,T$100),FC_DATA!$A$2:$M$5000,12,FALSE),0)</f>
        <v>0</v>
      </c>
      <c r="U106" s="292">
        <f ca="1">IFERROR(VLOOKUP(_xlfn.CONCAT($D$102,$E$102,$R106,U$99,U$100),FC_DATA!$A$2:$M$5000,12,FALSE),0)</f>
        <v>0</v>
      </c>
      <c r="V106" s="282"/>
      <c r="W106" s="282"/>
      <c r="X106" s="282"/>
      <c r="Y106" s="282"/>
      <c r="Z106" s="25"/>
      <c r="AA106" s="162"/>
    </row>
    <row r="107" spans="2:27" x14ac:dyDescent="0.25">
      <c r="B107" s="222" t="str">
        <f t="shared" ca="1" si="10"/>
        <v>VMBS.comDRESSES18/19Mar</v>
      </c>
      <c r="C107" s="222" t="str">
        <f ca="1">TIME!$E$5</f>
        <v>2019-04</v>
      </c>
      <c r="D107" s="222" t="str">
        <f t="shared" si="8"/>
        <v>VM</v>
      </c>
      <c r="E107" s="222" t="s">
        <v>110</v>
      </c>
      <c r="F107" s="222" t="str">
        <f t="shared" si="9"/>
        <v>DRESSES</v>
      </c>
      <c r="G107" s="222" t="str">
        <f t="shared" ca="1" si="11"/>
        <v>18/19</v>
      </c>
      <c r="H107" s="222" t="str">
        <f ca="1">TIME!$N$27</f>
        <v>Q3</v>
      </c>
      <c r="I107" s="222" t="str">
        <f ca="1">$E$41</f>
        <v>Mar</v>
      </c>
      <c r="J107" s="776" t="str">
        <f ca="1">IF(ISNA(VLOOKUP(_xlfn.CONCAT($G107,$I107),TIME!$M$40:$Q$42,1,FALSE)),IFERROR(VLOOKUP(_xlfn.CONCAT($D107,$E107,$F107,$G107,$I107),HIS_SALES!$B$2:$N$5093,MATCH(J$100,HIS_SALES!$B$1:$N$1,0),FALSE),""),"")</f>
        <v/>
      </c>
      <c r="K107" s="774" t="str">
        <f ca="1">IF(ISNA(VLOOKUP(_xlfn.CONCAT($G107,$I107),TIME!$M$40:$Q$42,1,FALSE)),IFERROR(VLOOKUP(_xlfn.CONCAT($D107,$E107,$F107,$G107,$I107),HIS_SALES!$B$2:$N$5093,MATCH(K$100,HIS_SALES!$B$1:$N$1,0),FALSE),""),K103-Q_BRAND_FC!$F$143)</f>
        <v/>
      </c>
      <c r="L107" s="775" t="str">
        <f ca="1">IF(ISNA(VLOOKUP(_xlfn.CONCAT($G107,$I107),TIME!$M$40:$Q$42,1,FALSE)),IFERROR(VLOOKUP(_xlfn.CONCAT($D107,$E107,$F107,$G107,$I107),HIS_SALES!$B$2:$N$5093,MATCH(L$100,HIS_SALES!$B$1:$N$1,0),FALSE),""),M_BUSAREA_FC!$E$107)</f>
        <v/>
      </c>
      <c r="M107" s="339" t="str">
        <f ca="1">IF(ISNA(VLOOKUP(_xlfn.CONCAT($G107,$I107),TIME!$M$40:$Q$42,1,FALSE)),IFERROR(VLOOKUP(_xlfn.CONCAT($D107,$E107,$F107,$G107,$I107),HIS_SALES!$B$2:$N$5093,MATCH(M$100,HIS_SALES!$B$1:$N$1,0),FALSE),""),"")</f>
        <v/>
      </c>
      <c r="N107" s="774" t="str">
        <f ca="1">IF(ISNA(VLOOKUP(_xlfn.CONCAT($G107,$I107),TIME!$M$40:$Q$42,1,FALSE)),IFERROR(VLOOKUP(_xlfn.CONCAT($D107,$E107,$F107,$G107,$I107),HIS_SALES!$B$2:$N$5093,MATCH(N$100,HIS_SALES!$B$1:$N$1,0),FALSE),""),N103)</f>
        <v/>
      </c>
      <c r="O107" s="421"/>
      <c r="P107" s="19"/>
      <c r="Q107" s="287"/>
      <c r="R107" s="465" t="str">
        <f>'PIVOT TABLE'!A10</f>
        <v>SHIRTS</v>
      </c>
      <c r="S107" s="282">
        <f ca="1">IFERROR(VLOOKUP(_xlfn.CONCAT($D$102,$E$102,$R107,S$99,S$100),FC_DATA!$A$2:$M$5000,12,FALSE),0)</f>
        <v>0</v>
      </c>
      <c r="T107" s="282">
        <f ca="1">IFERROR(VLOOKUP(_xlfn.CONCAT($D$102,$E$102,$R107,T$99,T$100),FC_DATA!$A$2:$M$5000,12,FALSE),0)</f>
        <v>0</v>
      </c>
      <c r="U107" s="292">
        <f ca="1">IFERROR(VLOOKUP(_xlfn.CONCAT($D$102,$E$102,$R107,U$99,U$100),FC_DATA!$A$2:$M$5000,12,FALSE),0)</f>
        <v>0</v>
      </c>
      <c r="V107" s="282"/>
      <c r="W107" s="282"/>
      <c r="X107" s="282"/>
      <c r="Y107" s="282"/>
      <c r="Z107" s="25"/>
      <c r="AA107" s="162"/>
    </row>
    <row r="108" spans="2:27" x14ac:dyDescent="0.25">
      <c r="B108" s="222" t="str">
        <f t="shared" ca="1" si="10"/>
        <v>VMBS.comDRESSES18/19Apr</v>
      </c>
      <c r="C108" s="222" t="str">
        <f ca="1">TIME!$E$5</f>
        <v>2019-04</v>
      </c>
      <c r="D108" s="222" t="str">
        <f t="shared" si="8"/>
        <v>VM</v>
      </c>
      <c r="E108" s="222" t="s">
        <v>110</v>
      </c>
      <c r="F108" s="222" t="str">
        <f t="shared" si="9"/>
        <v>DRESSES</v>
      </c>
      <c r="G108" s="222" t="str">
        <f t="shared" ca="1" si="11"/>
        <v>18/19</v>
      </c>
      <c r="H108" s="222" t="str">
        <f ca="1">TIME!$N$27</f>
        <v>Q3</v>
      </c>
      <c r="I108" s="222" t="str">
        <f ca="1">$F$41</f>
        <v>Apr</v>
      </c>
      <c r="J108" s="776" t="str">
        <f ca="1">IF(ISNA(VLOOKUP(_xlfn.CONCAT($G108,$I108),TIME!$M$40:$Q$42,1,FALSE)),IFERROR(VLOOKUP(_xlfn.CONCAT($D108,$E108,$F108,$G108,$I108),HIS_SALES!$B$2:$N$5093,MATCH(J$100,HIS_SALES!$B$1:$N$1,0),FALSE),""),"")</f>
        <v/>
      </c>
      <c r="K108" s="774">
        <f ca="1">IF(ISNA(VLOOKUP(_xlfn.CONCAT($G108,$I108),TIME!$M$40:$Q$42,1,FALSE)),IFERROR(VLOOKUP(_xlfn.CONCAT($D108,$E108,$F108,$G108,$I108),HIS_SALES!$B$2:$N$5093,MATCH(K$100,HIS_SALES!$B$1:$N$1,0),FALSE),""),K104-Q_BRAND_FC!$F$143)</f>
        <v>-5.6156549205435141E-3</v>
      </c>
      <c r="L108" s="775">
        <f ca="1">IF(ISNA(VLOOKUP(_xlfn.CONCAT($G108,$I108),TIME!$M$40:$Q$42,1,FALSE)),IFERROR(VLOOKUP(_xlfn.CONCAT($D108,$E108,$F108,$G108,$I108),HIS_SALES!$B$2:$N$5093,MATCH(L$100,HIS_SALES!$B$1:$N$1,0),FALSE),""),M_BUSAREA_FC!$F$107)</f>
        <v>3.0759603198686398</v>
      </c>
      <c r="M108" s="339" t="str">
        <f ca="1">IF(ISNA(VLOOKUP(_xlfn.CONCAT($G108,$I108),TIME!$M$40:$Q$42,1,FALSE)),IFERROR(VLOOKUP(_xlfn.CONCAT($D108,$E108,$F108,$G108,$I108),HIS_SALES!$B$2:$N$5093,MATCH(M$100,HIS_SALES!$B$1:$N$1,0),FALSE),""),"")</f>
        <v/>
      </c>
      <c r="N108" s="774">
        <f ca="1">IF(ISNA(VLOOKUP(_xlfn.CONCAT($G108,$I108),TIME!$M$40:$Q$42,1,FALSE)),IFERROR(VLOOKUP(_xlfn.CONCAT($D108,$E108,$F108,$G108,$I108),HIS_SALES!$B$2:$N$5093,MATCH(N$100,HIS_SALES!$B$1:$N$1,0),FALSE),""),N104)</f>
        <v>0</v>
      </c>
      <c r="O108" s="421"/>
      <c r="P108" s="19"/>
      <c r="Q108" s="287"/>
      <c r="R108" s="465" t="str">
        <f>'PIVOT TABLE'!A11</f>
        <v>SHOES</v>
      </c>
      <c r="S108" s="282">
        <f ca="1">IFERROR(VLOOKUP(_xlfn.CONCAT($D$102,$E$102,$R108,S$99,S$100),FC_DATA!$A$2:$M$5000,12,FALSE),0)</f>
        <v>0</v>
      </c>
      <c r="T108" s="282">
        <f ca="1">IFERROR(VLOOKUP(_xlfn.CONCAT($D$102,$E$102,$R108,T$99,T$100),FC_DATA!$A$2:$M$5000,12,FALSE),0)</f>
        <v>0</v>
      </c>
      <c r="U108" s="292">
        <f ca="1">IFERROR(VLOOKUP(_xlfn.CONCAT($D$102,$E$102,$R108,U$99,U$100),FC_DATA!$A$2:$M$5000,12,FALSE),0)</f>
        <v>0</v>
      </c>
      <c r="V108" s="282"/>
      <c r="W108" s="282"/>
      <c r="X108" s="282"/>
      <c r="Y108" s="282"/>
      <c r="Z108" s="25"/>
      <c r="AA108" s="162"/>
    </row>
    <row r="109" spans="2:27" x14ac:dyDescent="0.25">
      <c r="B109" s="222" t="str">
        <f t="shared" ca="1" si="10"/>
        <v>VMPartner.comDRESSES18/19Jan</v>
      </c>
      <c r="C109" s="222" t="str">
        <f ca="1">TIME!$E$5</f>
        <v>2019-04</v>
      </c>
      <c r="D109" s="222" t="str">
        <f t="shared" si="8"/>
        <v>VM</v>
      </c>
      <c r="E109" s="222" t="s">
        <v>142</v>
      </c>
      <c r="F109" s="222" t="str">
        <f t="shared" si="9"/>
        <v>DRESSES</v>
      </c>
      <c r="G109" s="222" t="str">
        <f ca="1">IF($D$6="Aug",TIME!$M$34,$G$1)</f>
        <v>18/19</v>
      </c>
      <c r="H109" s="222" t="str">
        <f ca="1">TIME!$N$34</f>
        <v>Q2</v>
      </c>
      <c r="I109" s="298" t="str">
        <f ca="1">$C$41</f>
        <v>Jan</v>
      </c>
      <c r="J109" s="776" t="str">
        <f ca="1">IFERROR(VLOOKUP(_xlfn.CONCAT($D$109,$E$109,$F$109,$G$109,$I$109),HIS_SALES!$B$2:$N$5093,MATCH(J$100,HIS_SALES!$B$1:$N$1,0),FALSE),"")</f>
        <v/>
      </c>
      <c r="K109" s="280">
        <v>0</v>
      </c>
      <c r="L109" s="775" t="str">
        <f ca="1">IFERROR(VLOOKUP(_xlfn.CONCAT($D$109,$E$109,$F$109,$G$109,$I$109),HIS_SALES!$B$2:$N$5093,MATCH(L$100,HIS_SALES!$B$1:$N$1,0),FALSE),"")</f>
        <v/>
      </c>
      <c r="M109" s="299" t="str">
        <f ca="1">IFERROR(VLOOKUP(_xlfn.CONCAT($D$109,$E$109,$F$109,$G$109,$I$109),HIS_SALES!$B$2:$N$5093,MATCH(M$100,HIS_SALES!$B$1:$N$1,0),FALSE),"")</f>
        <v/>
      </c>
      <c r="N109" s="774" t="str">
        <f ca="1">IFERROR(VLOOKUP(_xlfn.CONCAT($D$109,$E$109,$F$109,$G$109,$I$109),HIS_SALES!$B$2:$N$5093,MATCH(N$100,HIS_SALES!$B$1:$N$1,0),FALSE),"")</f>
        <v/>
      </c>
      <c r="O109" s="421"/>
      <c r="P109" s="19"/>
      <c r="Q109" s="287"/>
      <c r="R109" s="465" t="str">
        <f>'PIVOT TABLE'!A12</f>
        <v>SHORTS</v>
      </c>
      <c r="S109" s="282">
        <f ca="1">IFERROR(VLOOKUP(_xlfn.CONCAT($D$102,$E$102,$R109,S$99,S$100),FC_DATA!$A$2:$M$5000,12,FALSE),0)</f>
        <v>0</v>
      </c>
      <c r="T109" s="282">
        <f ca="1">IFERROR(VLOOKUP(_xlfn.CONCAT($D$102,$E$102,$R109,T$99,T$100),FC_DATA!$A$2:$M$5000,12,FALSE),0)</f>
        <v>0</v>
      </c>
      <c r="U109" s="292">
        <f ca="1">IFERROR(VLOOKUP(_xlfn.CONCAT($D$102,$E$102,$R109,U$99,U$100),FC_DATA!$A$2:$M$5000,12,FALSE),0)</f>
        <v>0</v>
      </c>
      <c r="V109" s="282"/>
      <c r="W109" s="282"/>
      <c r="X109" s="282"/>
      <c r="Y109" s="282"/>
      <c r="Z109" s="25"/>
      <c r="AA109" s="162"/>
    </row>
    <row r="110" spans="2:27" x14ac:dyDescent="0.25">
      <c r="B110" s="222" t="str">
        <f t="shared" ca="1" si="10"/>
        <v>VMPartner.comDRESSES18/19Feb</v>
      </c>
      <c r="C110" s="222" t="str">
        <f ca="1">TIME!$E$5</f>
        <v>2019-04</v>
      </c>
      <c r="D110" s="222" t="str">
        <f t="shared" si="8"/>
        <v>VM</v>
      </c>
      <c r="E110" s="222" t="s">
        <v>142</v>
      </c>
      <c r="F110" s="222" t="str">
        <f t="shared" si="9"/>
        <v>DRESSES</v>
      </c>
      <c r="G110" s="222" t="str">
        <f t="shared" ca="1" si="11"/>
        <v>18/19</v>
      </c>
      <c r="H110" s="222" t="str">
        <f ca="1">TIME!$N$27</f>
        <v>Q3</v>
      </c>
      <c r="I110" s="222" t="str">
        <f ca="1">$D$41</f>
        <v>Feb</v>
      </c>
      <c r="J110" s="776" t="str">
        <f ca="1">IF(ISNA(VLOOKUP(_xlfn.CONCAT($G110,$I110),TIME!$M$40:$Q$42,1,FALSE)),IFERROR(VLOOKUP(_xlfn.CONCAT($D110,$E110,$F110,$G110,$I110),HIS_SALES!$B$2:$N$5093,MATCH(J$100,HIS_SALES!$B$1:$N$1,0),FALSE),""),"")</f>
        <v/>
      </c>
      <c r="K110" s="339">
        <v>0</v>
      </c>
      <c r="L110" s="775" t="str">
        <f ca="1">IF(ISNA(VLOOKUP(_xlfn.CONCAT($G110,$I110),TIME!$M$40:$Q$42,1,FALSE)),IFERROR(VLOOKUP(_xlfn.CONCAT($D110,$E110,$F110,$G110,$I110),HIS_SALES!$B$2:$N$5093,MATCH(L$100,HIS_SALES!$B$1:$N$1,0),FALSE),""),M_BUSAREA_FC!$P$107)</f>
        <v/>
      </c>
      <c r="M110" s="339" t="str">
        <f ca="1">IF(ISNA(VLOOKUP(_xlfn.CONCAT($G110,$I110),TIME!$M$40:$Q$42,1,FALSE)),IFERROR(VLOOKUP(_xlfn.CONCAT($D110,$E110,$F110,$G110,$I110),HIS_SALES!$B$2:$N$5093,MATCH(M$100,HIS_SALES!$B$1:$N$1,0),FALSE),""),"")</f>
        <v/>
      </c>
      <c r="N110" s="774" t="str">
        <f ca="1">IF(ISNA(VLOOKUP(_xlfn.CONCAT($G110,$I110),TIME!$M$40:$Q$42,1,FALSE)),IFERROR(VLOOKUP(_xlfn.CONCAT($D110,$E110,$F110,$G110,$I110),HIS_SALES!$B$2:$N$5093,MATCH(N$100,HIS_SALES!$B$1:$N$1,0),FALSE),""),N102)</f>
        <v/>
      </c>
      <c r="O110" s="19"/>
      <c r="P110" s="19"/>
      <c r="Q110" s="287"/>
      <c r="R110" s="465" t="str">
        <f>'PIVOT TABLE'!A13</f>
        <v>SKIRTS</v>
      </c>
      <c r="S110" s="282">
        <f ca="1">IFERROR(VLOOKUP(_xlfn.CONCAT($D$102,$E$102,$R110,S$99,S$100),FC_DATA!$A$2:$M$5000,12,FALSE),0)</f>
        <v>0</v>
      </c>
      <c r="T110" s="282">
        <f ca="1">IFERROR(VLOOKUP(_xlfn.CONCAT($D$102,$E$102,$R110,T$99,T$100),FC_DATA!$A$2:$M$5000,12,FALSE),0)</f>
        <v>0</v>
      </c>
      <c r="U110" s="292">
        <f ca="1">IFERROR(VLOOKUP(_xlfn.CONCAT($D$102,$E$102,$R110,U$99,U$100),FC_DATA!$A$2:$M$5000,12,FALSE),0)</f>
        <v>0</v>
      </c>
      <c r="V110" s="282"/>
      <c r="W110" s="282"/>
      <c r="X110" s="282"/>
      <c r="Y110" s="282"/>
      <c r="Z110" s="25"/>
      <c r="AA110" s="162"/>
    </row>
    <row r="111" spans="2:27" x14ac:dyDescent="0.25">
      <c r="B111" s="222" t="str">
        <f t="shared" ca="1" si="10"/>
        <v>VMPartner.comDRESSES18/19Mar</v>
      </c>
      <c r="C111" s="222" t="str">
        <f ca="1">TIME!$E$5</f>
        <v>2019-04</v>
      </c>
      <c r="D111" s="222" t="str">
        <f t="shared" si="8"/>
        <v>VM</v>
      </c>
      <c r="E111" s="222" t="s">
        <v>142</v>
      </c>
      <c r="F111" s="222" t="str">
        <f t="shared" si="9"/>
        <v>DRESSES</v>
      </c>
      <c r="G111" s="222" t="str">
        <f t="shared" ca="1" si="11"/>
        <v>18/19</v>
      </c>
      <c r="H111" s="222" t="str">
        <f ca="1">TIME!$N$27</f>
        <v>Q3</v>
      </c>
      <c r="I111" s="222" t="str">
        <f ca="1">$E$41</f>
        <v>Mar</v>
      </c>
      <c r="J111" s="776" t="str">
        <f ca="1">IF(ISNA(VLOOKUP(_xlfn.CONCAT($G111,$I111),TIME!$M$40:$Q$42,1,FALSE)),IFERROR(VLOOKUP(_xlfn.CONCAT($D111,$E111,$F111,$G111,$I111),HIS_SALES!$B$2:$N$5093,MATCH(J$100,HIS_SALES!$B$1:$N$1,0),FALSE),""),"")</f>
        <v/>
      </c>
      <c r="K111" s="339">
        <v>0</v>
      </c>
      <c r="L111" s="775" t="str">
        <f ca="1">IF(ISNA(VLOOKUP(_xlfn.CONCAT($G111,$I111),TIME!$M$40:$Q$42,1,FALSE)),IFERROR(VLOOKUP(_xlfn.CONCAT($D111,$E111,$F111,$G111,$I111),HIS_SALES!$B$2:$N$5093,MATCH(L$100,HIS_SALES!$B$1:$N$1,0),FALSE),""),M_BUSAREA_FC!$Q$107)</f>
        <v/>
      </c>
      <c r="M111" s="339" t="str">
        <f ca="1">IF(ISNA(VLOOKUP(_xlfn.CONCAT($G111,$I111),TIME!$M$40:$Q$42,1,FALSE)),IFERROR(VLOOKUP(_xlfn.CONCAT($D111,$E111,$F111,$G111,$I111),HIS_SALES!$B$2:$N$5093,MATCH(M$100,HIS_SALES!$B$1:$N$1,0),FALSE),""),"")</f>
        <v/>
      </c>
      <c r="N111" s="774" t="str">
        <f ca="1">IF(ISNA(VLOOKUP(_xlfn.CONCAT($G111,$I111),TIME!$M$40:$Q$42,1,FALSE)),IFERROR(VLOOKUP(_xlfn.CONCAT($D111,$E111,$F111,$G111,$I111),HIS_SALES!$B$2:$N$5093,MATCH(N$100,HIS_SALES!$B$1:$N$1,0),FALSE),""),N103)</f>
        <v/>
      </c>
      <c r="O111" s="19"/>
      <c r="P111" s="460"/>
      <c r="Q111" s="287"/>
      <c r="R111" s="465" t="str">
        <f>'PIVOT TABLE'!A14</f>
        <v>SWEAT</v>
      </c>
      <c r="S111" s="282">
        <f ca="1">IFERROR(VLOOKUP(_xlfn.CONCAT($D$102,$E$102,$R111,S$99,S$100),FC_DATA!$A$2:$M$5000,12,FALSE),0)</f>
        <v>0</v>
      </c>
      <c r="T111" s="282">
        <f ca="1">IFERROR(VLOOKUP(_xlfn.CONCAT($D$102,$E$102,$R111,T$99,T$100),FC_DATA!$A$2:$M$5000,12,FALSE),0)</f>
        <v>0</v>
      </c>
      <c r="U111" s="292">
        <f ca="1">IFERROR(VLOOKUP(_xlfn.CONCAT($D$102,$E$102,$R111,U$99,U$100),FC_DATA!$A$2:$M$5000,12,FALSE),0)</f>
        <v>0</v>
      </c>
      <c r="V111" s="282"/>
      <c r="W111" s="282"/>
      <c r="X111" s="282"/>
      <c r="Y111" s="282"/>
      <c r="Z111" s="25"/>
      <c r="AA111" s="162"/>
    </row>
    <row r="112" spans="2:27" x14ac:dyDescent="0.25">
      <c r="B112" s="222" t="str">
        <f t="shared" ca="1" si="10"/>
        <v>VMPartner.comDRESSES18/19Apr</v>
      </c>
      <c r="C112" s="222" t="str">
        <f ca="1">TIME!$E$5</f>
        <v>2019-04</v>
      </c>
      <c r="D112" s="222" t="str">
        <f t="shared" si="8"/>
        <v>VM</v>
      </c>
      <c r="E112" s="222" t="s">
        <v>142</v>
      </c>
      <c r="F112" s="222" t="str">
        <f t="shared" si="9"/>
        <v>DRESSES</v>
      </c>
      <c r="G112" s="222" t="str">
        <f t="shared" ca="1" si="11"/>
        <v>18/19</v>
      </c>
      <c r="H112" s="222" t="str">
        <f ca="1">TIME!$N$27</f>
        <v>Q3</v>
      </c>
      <c r="I112" s="222" t="str">
        <f ca="1">$F$41</f>
        <v>Apr</v>
      </c>
      <c r="J112" s="776" t="str">
        <f ca="1">IF(ISNA(VLOOKUP(_xlfn.CONCAT($G112,$I112),TIME!$M$40:$Q$42,1,FALSE)),IFERROR(VLOOKUP(_xlfn.CONCAT($D112,$E112,$F112,$G112,$I112),HIS_SALES!$B$2:$N$5093,MATCH(J$100,HIS_SALES!$B$1:$N$1,0),FALSE),""),"")</f>
        <v/>
      </c>
      <c r="K112" s="339">
        <v>0</v>
      </c>
      <c r="L112" s="775">
        <f ca="1">IF(ISNA(VLOOKUP(_xlfn.CONCAT($G112,$I112),TIME!$M$40:$Q$42,1,FALSE)),IFERROR(VLOOKUP(_xlfn.CONCAT($D112,$E112,$F112,$G112,$I112),HIS_SALES!$B$2:$N$5093,MATCH(L$100,HIS_SALES!$B$1:$N$1,0),FALSE),""),M_BUSAREA_FC!$R$107)</f>
        <v>3.10801782024128</v>
      </c>
      <c r="M112" s="339" t="str">
        <f ca="1">IF(ISNA(VLOOKUP(_xlfn.CONCAT($G112,$I112),TIME!$M$40:$Q$42,1,FALSE)),IFERROR(VLOOKUP(_xlfn.CONCAT($D112,$E112,$F112,$G112,$I112),HIS_SALES!$B$2:$N$5093,MATCH(M$100,HIS_SALES!$B$1:$N$1,0),FALSE),""),"")</f>
        <v/>
      </c>
      <c r="N112" s="774">
        <f ca="1">IF(ISNA(VLOOKUP(_xlfn.CONCAT($G112,$I112),TIME!$M$40:$Q$42,1,FALSE)),IFERROR(VLOOKUP(_xlfn.CONCAT($D112,$E112,$F112,$G112,$I112),HIS_SALES!$B$2:$N$5093,MATCH(N$100,HIS_SALES!$B$1:$N$1,0),FALSE),""),N104)</f>
        <v>0</v>
      </c>
      <c r="O112" s="232"/>
      <c r="P112" s="460"/>
      <c r="Q112" s="287"/>
      <c r="R112" s="465" t="str">
        <f>'PIVOT TABLE'!A15</f>
        <v>TAILORING</v>
      </c>
      <c r="S112" s="282">
        <f ca="1">IFERROR(VLOOKUP(_xlfn.CONCAT($D$102,$E$102,$R112,S$99,S$100),FC_DATA!$A$2:$M$5000,12,FALSE),0)</f>
        <v>0</v>
      </c>
      <c r="T112" s="282">
        <f ca="1">IFERROR(VLOOKUP(_xlfn.CONCAT($D$102,$E$102,$R112,T$99,T$100),FC_DATA!$A$2:$M$5000,12,FALSE),0)</f>
        <v>0</v>
      </c>
      <c r="U112" s="292">
        <f ca="1">IFERROR(VLOOKUP(_xlfn.CONCAT($D$102,$E$102,$R112,U$99,U$100),FC_DATA!$A$2:$M$5000,12,FALSE),0)</f>
        <v>0</v>
      </c>
      <c r="V112" s="282"/>
      <c r="W112" s="282"/>
      <c r="X112" s="282"/>
      <c r="Y112" s="282"/>
      <c r="Z112" s="25"/>
      <c r="AA112" s="162"/>
    </row>
    <row r="113" spans="2:27" x14ac:dyDescent="0.25">
      <c r="B113" s="206"/>
      <c r="C113" s="206"/>
      <c r="D113" s="222"/>
      <c r="E113" s="222"/>
      <c r="F113" s="222"/>
      <c r="G113" s="222"/>
      <c r="H113" s="222"/>
      <c r="I113" s="232"/>
      <c r="J113" s="232"/>
      <c r="K113" s="232"/>
      <c r="L113" s="232"/>
      <c r="M113" s="232"/>
      <c r="N113" s="140"/>
      <c r="O113" s="466"/>
      <c r="P113" s="460"/>
      <c r="Q113" s="287"/>
      <c r="R113" s="465" t="str">
        <f>'PIVOT TABLE'!A16</f>
        <v>TOPS</v>
      </c>
      <c r="S113" s="282">
        <f ca="1">IFERROR(VLOOKUP(_xlfn.CONCAT($D$102,$E$102,$R113,S$99,S$100),FC_DATA!$A$2:$M$5000,12,FALSE),0)</f>
        <v>0</v>
      </c>
      <c r="T113" s="282">
        <f ca="1">IFERROR(VLOOKUP(_xlfn.CONCAT($D$102,$E$102,$R113,T$99,T$100),FC_DATA!$A$2:$M$5000,12,FALSE),0)</f>
        <v>0</v>
      </c>
      <c r="U113" s="292">
        <f ca="1">IFERROR(VLOOKUP(_xlfn.CONCAT($D$102,$E$102,$R113,U$99,U$100),FC_DATA!$A$2:$M$5000,12,FALSE),0)</f>
        <v>0</v>
      </c>
      <c r="V113" s="282"/>
      <c r="W113" s="282"/>
      <c r="X113" s="282"/>
      <c r="Y113" s="282"/>
      <c r="Z113" s="25"/>
      <c r="AA113" s="162"/>
    </row>
    <row r="114" spans="2:27" x14ac:dyDescent="0.25">
      <c r="B114" s="206"/>
      <c r="C114" s="206"/>
      <c r="D114" s="222"/>
      <c r="E114" s="222"/>
      <c r="F114" s="222"/>
      <c r="G114" s="222"/>
      <c r="H114" s="222"/>
      <c r="I114" s="232"/>
      <c r="J114" s="232"/>
      <c r="K114" s="232"/>
      <c r="L114" s="232"/>
      <c r="M114" s="232"/>
      <c r="N114" s="140"/>
      <c r="O114" s="466"/>
      <c r="P114" s="460"/>
      <c r="Q114" s="287"/>
      <c r="R114" s="465" t="str">
        <f>'PIVOT TABLE'!A17</f>
        <v>T-SHIRTS</v>
      </c>
      <c r="S114" s="282">
        <f ca="1">IFERROR(VLOOKUP(_xlfn.CONCAT($D$102,$E$102,$R114,S$99,S$100),FC_DATA!$A$2:$M$5000,12,FALSE),0)</f>
        <v>0</v>
      </c>
      <c r="T114" s="282">
        <f ca="1">IFERROR(VLOOKUP(_xlfn.CONCAT($D$102,$E$102,$R114,T$99,T$100),FC_DATA!$A$2:$M$5000,12,FALSE),0)</f>
        <v>0</v>
      </c>
      <c r="U114" s="292">
        <f ca="1">IFERROR(VLOOKUP(_xlfn.CONCAT($D$102,$E$102,$R114,U$99,U$100),FC_DATA!$A$2:$M$5000,12,FALSE),0)</f>
        <v>0</v>
      </c>
      <c r="V114" s="282"/>
      <c r="W114" s="282"/>
      <c r="X114" s="282"/>
      <c r="Y114" s="282"/>
      <c r="Z114" s="25"/>
      <c r="AA114" s="162"/>
    </row>
    <row r="115" spans="2:27" x14ac:dyDescent="0.25">
      <c r="B115" s="232"/>
      <c r="C115" s="232"/>
      <c r="D115" s="232"/>
      <c r="E115" s="232"/>
      <c r="F115" s="232"/>
      <c r="G115" s="232"/>
      <c r="H115" s="232"/>
      <c r="I115" s="232"/>
      <c r="J115" s="232"/>
      <c r="K115" s="232"/>
      <c r="L115" s="232"/>
      <c r="M115" s="232"/>
      <c r="N115" s="140"/>
      <c r="O115" s="466"/>
      <c r="P115" s="460"/>
      <c r="Q115" s="287"/>
      <c r="R115" s="465" t="str">
        <f>'PIVOT TABLE'!A18</f>
        <v>T-SHIRTS &amp; TOPS</v>
      </c>
      <c r="S115" s="206">
        <f ca="1">IFERROR(VLOOKUP(_xlfn.CONCAT($D$102,$E$102,$R115,S$99,S$100),FC_DATA!$A$2:$M$5000,12,FALSE),0)</f>
        <v>0</v>
      </c>
      <c r="T115" s="206">
        <f ca="1">IFERROR(VLOOKUP(_xlfn.CONCAT($D$102,$E$102,$R115,T$99,T$100),FC_DATA!$A$2:$M$5000,12,FALSE),0)</f>
        <v>0</v>
      </c>
      <c r="U115" s="291">
        <f ca="1">IFERROR(VLOOKUP(_xlfn.CONCAT($D$102,$E$102,$R115,U$99,U$100),FC_DATA!$A$2:$M$5000,12,FALSE),0)</f>
        <v>0</v>
      </c>
      <c r="V115" s="206"/>
      <c r="W115" s="282"/>
      <c r="X115" s="282"/>
      <c r="Y115" s="282"/>
      <c r="Z115" s="25"/>
      <c r="AA115" s="162"/>
    </row>
    <row r="116" spans="2:27" x14ac:dyDescent="0.25">
      <c r="B116" s="148"/>
      <c r="C116" s="148"/>
      <c r="D116" s="148"/>
      <c r="E116" s="148"/>
      <c r="F116" s="148"/>
      <c r="G116" s="148"/>
      <c r="H116" s="189"/>
      <c r="I116" s="189"/>
      <c r="J116" s="232"/>
      <c r="K116" s="148"/>
      <c r="L116" s="148"/>
      <c r="M116" s="148"/>
      <c r="N116" s="162"/>
      <c r="O116" s="270"/>
      <c r="P116" s="61"/>
      <c r="Q116" s="24"/>
      <c r="R116" s="201">
        <f>'PIVOT TABLE'!A19</f>
        <v>0</v>
      </c>
      <c r="S116" s="202">
        <f ca="1">IFERROR(VLOOKUP(_xlfn.CONCAT($D$102,$E$102,$R116,S$99,S$100),FC_DATA!$A$2:$M$5000,12,FALSE),0)</f>
        <v>0</v>
      </c>
      <c r="T116" s="202">
        <f ca="1">IFERROR(VLOOKUP(_xlfn.CONCAT($D$102,$E$102,$R116,T$99,T$100),FC_DATA!$A$2:$M$5000,12,FALSE),0)</f>
        <v>0</v>
      </c>
      <c r="U116" s="295">
        <f ca="1">IFERROR(VLOOKUP(_xlfn.CONCAT($D$102,$E$102,$R116,U$99,U$100),FC_DATA!$A$2:$M$5000,12,FALSE),0)</f>
        <v>0</v>
      </c>
      <c r="V116" s="25"/>
      <c r="W116" s="277"/>
      <c r="X116" s="277"/>
      <c r="Y116" s="277"/>
      <c r="Z116" s="25"/>
      <c r="AA116" s="162"/>
    </row>
    <row r="117" spans="2:27" x14ac:dyDescent="0.25">
      <c r="H117" s="189"/>
      <c r="I117" s="189"/>
      <c r="J117" s="140"/>
      <c r="N117" s="162"/>
      <c r="O117" s="270"/>
      <c r="P117" s="61"/>
      <c r="Q117" s="24"/>
      <c r="R117" s="24"/>
      <c r="S117" s="24"/>
      <c r="T117" s="24"/>
      <c r="U117" s="24"/>
      <c r="V117" s="25"/>
      <c r="W117" s="25"/>
      <c r="X117" s="25"/>
      <c r="Y117" s="25"/>
      <c r="Z117" s="25"/>
      <c r="AA117" s="162"/>
    </row>
    <row r="118" spans="2:27" x14ac:dyDescent="0.25">
      <c r="H118" s="189"/>
      <c r="I118" s="189"/>
      <c r="J118" s="140"/>
      <c r="N118" s="162"/>
      <c r="O118" s="270"/>
      <c r="P118" s="61"/>
      <c r="Q118" s="24"/>
      <c r="R118" s="24"/>
      <c r="S118" s="24"/>
      <c r="T118" s="24"/>
      <c r="U118" s="24"/>
      <c r="V118" s="25"/>
      <c r="W118" s="25"/>
      <c r="X118" s="25"/>
      <c r="Y118" s="25"/>
      <c r="Z118" s="25"/>
      <c r="AA118" s="162"/>
    </row>
    <row r="119" spans="2:27" x14ac:dyDescent="0.25">
      <c r="H119" s="189"/>
      <c r="I119" s="189"/>
      <c r="J119" s="140"/>
      <c r="N119" s="162"/>
      <c r="O119" s="270"/>
      <c r="P119" s="61"/>
      <c r="Q119" s="24"/>
      <c r="R119" s="24"/>
      <c r="S119" s="24"/>
      <c r="T119" s="24"/>
      <c r="U119" s="24"/>
      <c r="V119" s="24"/>
      <c r="W119" s="24"/>
      <c r="X119" s="24"/>
      <c r="Y119" s="24"/>
      <c r="Z119" s="24"/>
      <c r="AA119" s="162"/>
    </row>
    <row r="120" spans="2:27" x14ac:dyDescent="0.25">
      <c r="N120" s="162"/>
      <c r="O120" s="270"/>
      <c r="P120" s="61"/>
      <c r="Q120" s="24"/>
      <c r="R120" s="25"/>
      <c r="S120" s="25"/>
      <c r="T120" s="25"/>
      <c r="U120" s="25"/>
      <c r="V120" s="25"/>
      <c r="W120" s="25"/>
      <c r="X120" s="25"/>
      <c r="Y120" s="24"/>
      <c r="Z120" s="24"/>
      <c r="AA120" s="162"/>
    </row>
    <row r="121" spans="2:27" x14ac:dyDescent="0.25">
      <c r="N121" s="162"/>
      <c r="O121" s="270"/>
      <c r="P121" s="61"/>
      <c r="Q121" s="24"/>
      <c r="R121" s="25"/>
      <c r="S121" s="25"/>
      <c r="T121" s="25"/>
      <c r="U121" s="25"/>
      <c r="V121" s="25"/>
      <c r="W121" s="25"/>
      <c r="X121" s="25"/>
      <c r="Y121" s="24"/>
      <c r="Z121" s="24"/>
      <c r="AA121" s="162"/>
    </row>
    <row r="122" spans="2:27" x14ac:dyDescent="0.25">
      <c r="N122" s="162"/>
      <c r="O122" s="270"/>
      <c r="P122" s="61"/>
      <c r="Q122" s="24"/>
      <c r="R122" s="24"/>
      <c r="S122" s="24"/>
      <c r="T122" s="24"/>
      <c r="U122" s="24"/>
      <c r="V122" s="24"/>
      <c r="W122" s="24"/>
      <c r="X122" s="24"/>
      <c r="Y122" s="24"/>
      <c r="Z122" s="24"/>
      <c r="AA122" s="162"/>
    </row>
    <row r="123" spans="2:27" x14ac:dyDescent="0.25">
      <c r="N123" s="162"/>
      <c r="O123" s="270"/>
      <c r="P123" s="162"/>
      <c r="Q123" s="61"/>
      <c r="R123" s="61"/>
      <c r="S123" s="61"/>
      <c r="T123" s="61"/>
      <c r="U123" s="61"/>
      <c r="V123" s="61"/>
      <c r="W123" s="61"/>
      <c r="X123" s="61"/>
      <c r="Y123" s="61"/>
      <c r="Z123" s="162"/>
      <c r="AA123" s="162"/>
    </row>
    <row r="124" spans="2:27" x14ac:dyDescent="0.25">
      <c r="N124" s="162"/>
      <c r="O124" s="270"/>
      <c r="P124" s="162"/>
      <c r="Q124" s="61"/>
      <c r="R124" s="61"/>
      <c r="S124" s="61"/>
      <c r="T124" s="61"/>
      <c r="U124" s="61"/>
      <c r="V124" s="61"/>
      <c r="W124" s="61"/>
      <c r="X124" s="61"/>
      <c r="Y124" s="61"/>
      <c r="Z124" s="162"/>
      <c r="AA124" s="162"/>
    </row>
    <row r="125" spans="2:27" x14ac:dyDescent="0.25">
      <c r="N125" s="162"/>
      <c r="O125" s="270"/>
      <c r="P125" s="162"/>
      <c r="Q125" s="61"/>
      <c r="R125" s="61"/>
      <c r="S125" s="61"/>
      <c r="T125" s="61"/>
      <c r="U125" s="61"/>
      <c r="V125" s="61"/>
      <c r="W125" s="61"/>
      <c r="X125" s="61"/>
      <c r="Y125" s="61"/>
      <c r="Z125" s="162"/>
      <c r="AA125" s="162"/>
    </row>
    <row r="126" spans="2:27" x14ac:dyDescent="0.25">
      <c r="N126" s="162"/>
      <c r="O126" s="270"/>
      <c r="P126" s="162"/>
      <c r="Q126" s="61"/>
      <c r="R126" s="61"/>
      <c r="S126" s="61"/>
      <c r="T126" s="61"/>
      <c r="U126" s="61"/>
      <c r="V126" s="61"/>
      <c r="W126" s="61"/>
      <c r="X126" s="61"/>
      <c r="Y126" s="61"/>
      <c r="Z126" s="162"/>
      <c r="AA126" s="162"/>
    </row>
    <row r="127" spans="2:27" x14ac:dyDescent="0.25">
      <c r="N127" s="162"/>
      <c r="O127" s="270"/>
      <c r="P127" s="162"/>
      <c r="Q127" s="162"/>
      <c r="R127" s="162"/>
      <c r="S127" s="162"/>
      <c r="T127" s="162"/>
      <c r="U127" s="162"/>
      <c r="V127" s="162"/>
      <c r="W127" s="162"/>
      <c r="X127" s="162"/>
      <c r="Y127" s="162"/>
      <c r="Z127" s="162"/>
      <c r="AA127" s="162"/>
    </row>
    <row r="128" spans="2:27" x14ac:dyDescent="0.25">
      <c r="N128" s="162"/>
      <c r="O128" s="270"/>
      <c r="P128" s="162"/>
      <c r="Q128" s="162"/>
      <c r="R128" s="162"/>
      <c r="S128" s="162"/>
      <c r="T128" s="162"/>
      <c r="U128" s="162"/>
      <c r="V128" s="162"/>
      <c r="W128" s="162"/>
      <c r="X128" s="162"/>
      <c r="Y128" s="162"/>
      <c r="Z128" s="162"/>
      <c r="AA128" s="162"/>
    </row>
    <row r="132" spans="3:3" x14ac:dyDescent="0.25">
      <c r="C132" s="193"/>
    </row>
  </sheetData>
  <sheetProtection pivotTables="0"/>
  <protectedRanges>
    <protectedRange sqref="C15:F15 C29:F30 C37:F38 C50:F91" name="GS II  AND MARK UP EDIT AREA"/>
    <protectedRange sqref="O15:R15 O29:R29" name="DISCOUNT"/>
    <protectedRange sqref="C1" name="CHANNEL"/>
    <protectedRange sqref="K3" name="CATEGORY"/>
    <protectedRange sqref="T20" name="vat_1"/>
  </protectedRanges>
  <mergeCells count="18">
    <mergeCell ref="X33:Y33"/>
    <mergeCell ref="C1:E1"/>
    <mergeCell ref="K3:M3"/>
    <mergeCell ref="B40:G40"/>
    <mergeCell ref="N40:S40"/>
    <mergeCell ref="X1:Z1"/>
    <mergeCell ref="B45:G45"/>
    <mergeCell ref="N45:S45"/>
    <mergeCell ref="K1:M1"/>
    <mergeCell ref="K38:M38"/>
    <mergeCell ref="B24:G24"/>
    <mergeCell ref="B5:G5"/>
    <mergeCell ref="N5:S5"/>
    <mergeCell ref="B10:G10"/>
    <mergeCell ref="N10:S10"/>
    <mergeCell ref="B19:G19"/>
    <mergeCell ref="N19:S19"/>
    <mergeCell ref="N24:S24"/>
  </mergeCells>
  <dataValidations xWindow="108" yWindow="377" count="3">
    <dataValidation type="custom" allowBlank="1" showInputMessage="1" showErrorMessage="1" sqref="G15 G29:G41 G43:G45 G49:G91" xr:uid="{42C9BB92-3DEC-44FB-AFE1-BD932EB7895B}">
      <formula1>"-"</formula1>
    </dataValidation>
    <dataValidation type="decimal" operator="greaterThan" allowBlank="1" showInputMessage="1" showErrorMessage="1" sqref="J101:L104 N101:N104 D15:F15 P29:R29 P15:R15" xr:uid="{CD7C97EF-B4AE-4EF2-82DF-CA82EEF5136F}">
      <formula1>0</formula1>
    </dataValidation>
    <dataValidation type="decimal" operator="greaterThanOrEqual" allowBlank="1" showInputMessage="1" showErrorMessage="1" sqref="D29:F29" xr:uid="{0A52BCC8-BE05-4774-8833-F8F2626CC4B4}">
      <formula1>0</formula1>
    </dataValidation>
  </dataValidations>
  <hyperlinks>
    <hyperlink ref="X1" location="FRONT_PAGE!A1" display="BACK TO FRONT PAGE" xr:uid="{00011147-6EC8-4153-A07F-34697F1A4D3B}"/>
  </hyperlink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3" id="{59445AAE-A8FD-43B1-A265-84C9352F7640}">
            <xm:f>MATCH(CONCATENATE($B12&amp;C$6),TIME!$M$40:$M$42,0)</xm:f>
            <x14:dxf>
              <fill>
                <patternFill>
                  <bgColor theme="4" tint="0.79998168889431442"/>
                </patternFill>
              </fill>
            </x14:dxf>
          </x14:cfRule>
          <xm:sqref>C15:F15 C29:F30 C53:F64 C91:F91 C68:F81</xm:sqref>
        </x14:conditionalFormatting>
        <x14:conditionalFormatting xmlns:xm="http://schemas.microsoft.com/office/excel/2006/main">
          <x14:cfRule type="expression" priority="4" id="{1A6AE683-8AE5-4CDB-835E-7199EC3A8EDC}">
            <xm:f>MATCH(CONCATENATE($B12&amp;P$6),TIME!$M$40:$M$42,0)</xm:f>
            <x14:dxf>
              <fill>
                <patternFill>
                  <bgColor theme="4" tint="0.79998168889431442"/>
                </patternFill>
              </fill>
            </x14:dxf>
          </x14:cfRule>
          <xm:sqref>P15:R15</xm:sqref>
        </x14:conditionalFormatting>
        <x14:conditionalFormatting xmlns:xm="http://schemas.microsoft.com/office/excel/2006/main">
          <x14:cfRule type="expression" priority="3" id="{DC74CFB4-69AA-416E-BDE6-1FB25EC3443D}">
            <xm:f>MATCH(CONCATENATE($B12&amp;O$6),TIME!$M$40:$M$42,0)</xm:f>
            <x14:dxf>
              <fill>
                <patternFill>
                  <bgColor theme="4" tint="0.79998168889431442"/>
                </patternFill>
              </fill>
            </x14:dxf>
          </x14:cfRule>
          <xm:sqref>O15</xm:sqref>
        </x14:conditionalFormatting>
        <x14:conditionalFormatting xmlns:xm="http://schemas.microsoft.com/office/excel/2006/main">
          <x14:cfRule type="expression" priority="39" id="{D9FECA18-ED7D-4379-9FC7-47DEC2AFA006}">
            <xm:f>MATCH(CONCATENATE($B50&amp;C$6),TIME!$M$40:$M$42,0)</xm:f>
            <x14:dxf>
              <fill>
                <patternFill>
                  <bgColor theme="4" tint="0.79998168889431442"/>
                </patternFill>
              </fill>
            </x14:dxf>
          </x14:cfRule>
          <xm:sqref>C87:F87</xm:sqref>
        </x14:conditionalFormatting>
        <x14:conditionalFormatting xmlns:xm="http://schemas.microsoft.com/office/excel/2006/main">
          <x14:cfRule type="expression" priority="41" id="{59445AAE-A8FD-43B1-A265-84C9352F7640}">
            <xm:f>MATCH(CONCATENATE($B52&amp;C$6),TIME!$M$40:$M$42,0)</xm:f>
            <x14:dxf>
              <fill>
                <patternFill>
                  <bgColor theme="4" tint="0.79998168889431442"/>
                </patternFill>
              </fill>
            </x14:dxf>
          </x14:cfRule>
          <xm:sqref>C65:F67</xm:sqref>
        </x14:conditionalFormatting>
        <x14:conditionalFormatting xmlns:xm="http://schemas.microsoft.com/office/excel/2006/main">
          <x14:cfRule type="expression" priority="42" id="{59445AAE-A8FD-43B1-A265-84C9352F7640}">
            <xm:f>MATCH(CONCATENATE($B83&amp;C$6),TIME!$M$40:$M$42,0)</xm:f>
            <x14:dxf>
              <fill>
                <patternFill>
                  <bgColor theme="4" tint="0.79998168889431442"/>
                </patternFill>
              </fill>
            </x14:dxf>
          </x14:cfRule>
          <xm:sqref>C88:F90</xm:sqref>
        </x14:conditionalFormatting>
        <x14:conditionalFormatting xmlns:xm="http://schemas.microsoft.com/office/excel/2006/main">
          <x14:cfRule type="expression" priority="44" id="{59445AAE-A8FD-43B1-A265-84C9352F7640}">
            <xm:f>MATCH(CONCATENATE($B37&amp;C$6),TIME!$M$40:$M$42,0)</xm:f>
            <x14:dxf>
              <fill>
                <patternFill>
                  <bgColor theme="4" tint="0.79998168889431442"/>
                </patternFill>
              </fill>
            </x14:dxf>
          </x14:cfRule>
          <xm:sqref>C52:F52</xm:sqref>
        </x14:conditionalFormatting>
        <x14:conditionalFormatting xmlns:xm="http://schemas.microsoft.com/office/excel/2006/main">
          <x14:cfRule type="expression" priority="47" id="{D9FECA18-ED7D-4379-9FC7-47DEC2AFA006}">
            <xm:f>MATCH(CONCATENATE($B37&amp;C$6),TIME!$M$40:$M$42,0)</xm:f>
            <x14:dxf>
              <fill>
                <patternFill>
                  <bgColor theme="4" tint="0.79998168889431442"/>
                </patternFill>
              </fill>
            </x14:dxf>
          </x14:cfRule>
          <xm:sqref>C86:F86</xm:sqref>
        </x14:conditionalFormatting>
        <x14:conditionalFormatting xmlns:xm="http://schemas.microsoft.com/office/excel/2006/main">
          <x14:cfRule type="expression" priority="49" id="{59445AAE-A8FD-43B1-A265-84C9352F7640}">
            <xm:f>MATCH(CONCATENATE($B28&amp;C$6),TIME!$M$40:$M$42,0)</xm:f>
            <x14:dxf>
              <fill>
                <patternFill>
                  <bgColor theme="4" tint="0.79998168889431442"/>
                </patternFill>
              </fill>
            </x14:dxf>
          </x14:cfRule>
          <xm:sqref>C37:F37</xm:sqref>
        </x14:conditionalFormatting>
        <x14:conditionalFormatting xmlns:xm="http://schemas.microsoft.com/office/excel/2006/main">
          <x14:cfRule type="expression" priority="54" id="{59445AAE-A8FD-43B1-A265-84C9352F7640}">
            <xm:f>MATCH(CONCATENATE($B29&amp;C$6),TIME!$M$40:$M$42,0)</xm:f>
            <x14:dxf>
              <fill>
                <patternFill>
                  <bgColor theme="4" tint="0.79998168889431442"/>
                </patternFill>
              </fill>
            </x14:dxf>
          </x14:cfRule>
          <xm:sqref>C50:F51</xm:sqref>
        </x14:conditionalFormatting>
        <x14:conditionalFormatting xmlns:xm="http://schemas.microsoft.com/office/excel/2006/main">
          <x14:cfRule type="expression" priority="56" id="{D9FECA18-ED7D-4379-9FC7-47DEC2AFA006}">
            <xm:f>MATCH(CONCATENATE($B28&amp;C$6),TIME!$M$40:$M$42,0)</xm:f>
            <x14:dxf>
              <fill>
                <patternFill>
                  <bgColor theme="4" tint="0.79998168889431442"/>
                </patternFill>
              </fill>
            </x14:dxf>
          </x14:cfRule>
          <xm:sqref>C83:F85</xm:sqref>
        </x14:conditionalFormatting>
        <x14:conditionalFormatting xmlns:xm="http://schemas.microsoft.com/office/excel/2006/main">
          <x14:cfRule type="expression" priority="59" id="{59445AAE-A8FD-43B1-A265-84C9352F7640}">
            <xm:f>MATCH(CONCATENATE($B80&amp;C$6),TIME!$M$40:$M$42,0)</xm:f>
            <x14:dxf>
              <fill>
                <patternFill>
                  <bgColor theme="4" tint="0.79998168889431442"/>
                </patternFill>
              </fill>
            </x14:dxf>
          </x14:cfRule>
          <xm:sqref>C82:F82</xm:sqref>
        </x14:conditionalFormatting>
        <x14:conditionalFormatting xmlns:xm="http://schemas.microsoft.com/office/excel/2006/main">
          <x14:cfRule type="expression" priority="2" id="{5B1E012C-F24F-4030-AA13-3E69ABE6D6E2}">
            <xm:f>MATCH(CONCATENATE($B26&amp;P$6),TIME!$M$40:$M$42,0)</xm:f>
            <x14:dxf>
              <fill>
                <patternFill>
                  <bgColor theme="4" tint="0.79998168889431442"/>
                </patternFill>
              </fill>
            </x14:dxf>
          </x14:cfRule>
          <xm:sqref>P29:R29</xm:sqref>
        </x14:conditionalFormatting>
        <x14:conditionalFormatting xmlns:xm="http://schemas.microsoft.com/office/excel/2006/main">
          <x14:cfRule type="expression" priority="1" id="{99B5255B-8AE2-4335-B787-CE52C0E8A341}">
            <xm:f>MATCH(CONCATENATE($B26&amp;O$6),TIME!$M$40:$M$42,0)</xm:f>
            <x14:dxf>
              <fill>
                <patternFill>
                  <bgColor theme="4" tint="0.79998168889431442"/>
                </patternFill>
              </fill>
            </x14:dxf>
          </x14:cfRule>
          <xm:sqref>O29</xm:sqref>
        </x14:conditionalFormatting>
      </x14:conditionalFormattings>
    </ext>
    <ext xmlns:x14="http://schemas.microsoft.com/office/spreadsheetml/2009/9/main" uri="{CCE6A557-97BC-4b89-ADB6-D9C93CAAB3DF}">
      <x14:dataValidations xmlns:xm="http://schemas.microsoft.com/office/excel/2006/main" xWindow="108" yWindow="377" count="1">
        <x14:dataValidation type="list" allowBlank="1" showInputMessage="1" showErrorMessage="1" xr:uid="{8C6D6BC8-12F5-4C10-AD22-E8D44F431FC0}">
          <x14:formula1>
            <xm:f>'PIVOT TABLE'!$A$4:$A$18</xm:f>
          </x14:formula1>
          <xm:sqref>K3:M3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theme="3" tint="0.59999389629810485"/>
  </sheetPr>
  <dimension ref="A1:AC167"/>
  <sheetViews>
    <sheetView showGridLines="0" zoomScale="80" zoomScaleNormal="80" workbookViewId="0">
      <pane ySplit="1" topLeftCell="A2" activePane="bottomLeft" state="frozen"/>
      <selection activeCell="P64" sqref="P64"/>
      <selection pane="bottomLeft" activeCell="A2" sqref="A2"/>
    </sheetView>
  </sheetViews>
  <sheetFormatPr defaultColWidth="9.140625" defaultRowHeight="15" x14ac:dyDescent="0.25"/>
  <cols>
    <col min="1" max="1" width="2.85546875" style="132" customWidth="1"/>
    <col min="2" max="2" width="17.42578125" style="132" customWidth="1"/>
    <col min="3" max="9" width="10.7109375" style="132" customWidth="1"/>
    <col min="10" max="10" width="10" style="132" customWidth="1"/>
    <col min="11" max="12" width="10.7109375" style="132" customWidth="1"/>
    <col min="13" max="13" width="10.42578125" style="132" customWidth="1"/>
    <col min="14" max="14" width="14.5703125" style="132" customWidth="1"/>
    <col min="15" max="19" width="9.7109375" style="132" customWidth="1"/>
    <col min="20" max="23" width="9.85546875" style="132" bestFit="1" customWidth="1"/>
    <col min="24" max="25" width="9.140625" style="132"/>
    <col min="26" max="26" width="8.42578125" style="132" customWidth="1"/>
    <col min="27" max="28" width="9.140625" style="132"/>
    <col min="29" max="29" width="14.5703125" style="132" bestFit="1" customWidth="1"/>
    <col min="30" max="32" width="11.42578125" style="132" bestFit="1" customWidth="1"/>
    <col min="33" max="33" width="15.85546875" style="132" customWidth="1"/>
    <col min="34" max="16384" width="9.140625" style="132"/>
  </cols>
  <sheetData>
    <row r="1" spans="1:29" s="127" customFormat="1" ht="17.25" x14ac:dyDescent="0.3">
      <c r="A1" s="127">
        <v>1</v>
      </c>
      <c r="B1" s="121" t="str">
        <f>'PIVOT TABLE'!B1</f>
        <v>VM</v>
      </c>
      <c r="C1" s="897" t="s">
        <v>111</v>
      </c>
      <c r="D1" s="897"/>
      <c r="E1" s="897"/>
      <c r="F1" s="656" t="str">
        <f ca="1">TIME!M27</f>
        <v>18/19</v>
      </c>
      <c r="G1" s="243" t="str">
        <f ca="1">TIME!M28</f>
        <v>18/19</v>
      </c>
      <c r="H1" s="124" t="str">
        <f ca="1">TIME!N28&amp;"  -"</f>
        <v>Q4  -</v>
      </c>
      <c r="I1" s="124" t="str">
        <f ca="1">B58&amp; "   "&amp;TIME!N31</f>
        <v>19/20   Q3</v>
      </c>
      <c r="J1" s="125"/>
      <c r="K1" s="888" t="s">
        <v>108</v>
      </c>
      <c r="L1" s="888"/>
      <c r="M1" s="888"/>
      <c r="N1" s="125"/>
      <c r="O1" s="122"/>
      <c r="P1" s="122"/>
      <c r="Q1" s="122"/>
      <c r="R1" s="122"/>
      <c r="S1" s="122"/>
      <c r="T1" s="122"/>
      <c r="U1" s="122"/>
      <c r="V1" s="126"/>
      <c r="W1" s="122"/>
      <c r="X1" s="901" t="s">
        <v>202</v>
      </c>
      <c r="Y1" s="901"/>
      <c r="Z1" s="901"/>
      <c r="AC1" s="128"/>
    </row>
    <row r="2" spans="1:29" x14ac:dyDescent="0.25">
      <c r="AA2" s="148"/>
      <c r="AB2" s="148"/>
      <c r="AC2" s="23"/>
    </row>
    <row r="3" spans="1:29" s="151" customFormat="1" ht="20.100000000000001" customHeight="1" x14ac:dyDescent="0.3">
      <c r="B3" s="199"/>
      <c r="C3" s="199"/>
      <c r="D3" s="124"/>
      <c r="E3" s="124"/>
      <c r="F3" s="124"/>
      <c r="G3" s="124"/>
      <c r="H3" s="124"/>
      <c r="I3" s="124"/>
      <c r="J3" s="124"/>
      <c r="K3" s="899" t="s">
        <v>285</v>
      </c>
      <c r="L3" s="899"/>
      <c r="M3" s="899"/>
      <c r="N3" s="123"/>
      <c r="O3" s="124"/>
      <c r="P3" s="124"/>
      <c r="Q3" s="124"/>
      <c r="R3" s="124"/>
      <c r="S3" s="124"/>
      <c r="T3" s="124"/>
      <c r="U3" s="124"/>
      <c r="V3" s="124"/>
      <c r="W3" s="124"/>
      <c r="X3" s="124"/>
      <c r="Y3" s="124"/>
      <c r="Z3" s="124"/>
      <c r="AA3" s="150"/>
      <c r="AB3" s="150"/>
      <c r="AC3" s="150"/>
    </row>
    <row r="4" spans="1:29" ht="15.75" thickBot="1" x14ac:dyDescent="0.3">
      <c r="B4" s="129"/>
      <c r="C4" s="152"/>
      <c r="D4" s="129"/>
      <c r="E4" s="129"/>
      <c r="F4" s="129"/>
      <c r="G4" s="129"/>
      <c r="N4" s="129"/>
      <c r="O4" s="129"/>
      <c r="P4" s="129"/>
      <c r="Q4" s="129"/>
      <c r="R4" s="129"/>
      <c r="S4" s="129"/>
    </row>
    <row r="5" spans="1:29" x14ac:dyDescent="0.25">
      <c r="B5" s="893" t="s">
        <v>96</v>
      </c>
      <c r="C5" s="893"/>
      <c r="D5" s="893"/>
      <c r="E5" s="893"/>
      <c r="F5" s="893"/>
      <c r="G5" s="893"/>
      <c r="N5" s="893" t="s">
        <v>98</v>
      </c>
      <c r="O5" s="893"/>
      <c r="P5" s="893"/>
      <c r="Q5" s="893"/>
      <c r="R5" s="893"/>
      <c r="S5" s="893"/>
    </row>
    <row r="6" spans="1:29" x14ac:dyDescent="0.25">
      <c r="B6" s="133" t="s">
        <v>7</v>
      </c>
      <c r="C6" s="133" t="s">
        <v>56</v>
      </c>
      <c r="D6" s="133" t="s">
        <v>57</v>
      </c>
      <c r="E6" s="133" t="s">
        <v>58</v>
      </c>
      <c r="F6" s="133" t="s">
        <v>59</v>
      </c>
      <c r="G6" s="153" t="s">
        <v>80</v>
      </c>
      <c r="N6" s="133" t="s">
        <v>7</v>
      </c>
      <c r="O6" s="133" t="s">
        <v>56</v>
      </c>
      <c r="P6" s="133" t="s">
        <v>57</v>
      </c>
      <c r="Q6" s="133" t="s">
        <v>58</v>
      </c>
      <c r="R6" s="133" t="s">
        <v>59</v>
      </c>
      <c r="S6" s="133" t="s">
        <v>80</v>
      </c>
    </row>
    <row r="7" spans="1:29" x14ac:dyDescent="0.25">
      <c r="A7" s="505"/>
      <c r="B7" s="134" t="str">
        <f ca="1">$B$51</f>
        <v>16/17</v>
      </c>
      <c r="C7" s="520">
        <f ca="1">IFERROR(VLOOKUP(_xlfn.CONCAT($B$1,$C$1,$K$3,$B7,C$6),HIS_SALES!$A$2:$O$5093,15,FALSE),0)</f>
        <v>1054816.0115</v>
      </c>
      <c r="D7" s="520">
        <f ca="1">IFERROR(VLOOKUP(_xlfn.CONCAT($B$1,$C$1,$K$3,$B7,D$6),HIS_SALES!$A$2:$O$5093,15,FALSE),0)</f>
        <v>1238355.5079999999</v>
      </c>
      <c r="E7" s="520">
        <f ca="1">IFERROR(VLOOKUP(_xlfn.CONCAT($B$1,$C$1,$K$3,$B7,E$6),HIS_SALES!$A$2:$O$5093,15,FALSE),0)</f>
        <v>1541929.1632999801</v>
      </c>
      <c r="F7" s="520">
        <f ca="1">IFERROR(VLOOKUP(_xlfn.CONCAT($B$1,$C$1,$K$3,$B7,F$6),HIS_SALES!$A$2:$O$5093,15,FALSE),0)</f>
        <v>2174877.94749995</v>
      </c>
      <c r="G7" s="520">
        <f ca="1">IFERROR(SUM(C7:F7),0)</f>
        <v>6009978.6302999295</v>
      </c>
      <c r="N7" s="134" t="str">
        <f t="shared" ref="N7:N14" ca="1" si="0">B7</f>
        <v>16/17</v>
      </c>
      <c r="O7" s="135">
        <f ca="1">IFERROR(VLOOKUP(_xlfn.CONCAT($B$1&amp;$C$1&amp;$K$3&amp;$N7&amp;O$6),HIS_SALES!$A$2:$P$5093,16,FALSE),"-")</f>
        <v>0.12557227767263701</v>
      </c>
      <c r="P7" s="135">
        <f ca="1">IFERROR(VLOOKUP(_xlfn.CONCAT($B$1&amp;$C$1&amp;$K$3&amp;$N7&amp;P$6),HIS_SALES!$A$2:$P$5093,16,FALSE),"-")</f>
        <v>6.0636425950261301E-2</v>
      </c>
      <c r="Q7" s="135">
        <f ca="1">IFERROR(VLOOKUP(_xlfn.CONCAT($B$1&amp;$C$1&amp;$K$3&amp;$N7&amp;Q$6),HIS_SALES!$A$2:$P$5093,16,FALSE),"-")</f>
        <v>3.2129150071987099E-2</v>
      </c>
      <c r="R7" s="135">
        <f ca="1">IFERROR(VLOOKUP(_xlfn.CONCAT($B$1&amp;$C$1&amp;$K$3&amp;$N7&amp;R$6),HIS_SALES!$A$2:$P$5093,16,FALSE),"-")</f>
        <v>2.9175795507639001E-2</v>
      </c>
      <c r="S7" s="141">
        <f ca="1">IFERROR(SUMIFS(HIS_SALES!$J:$J,HIS_SALES!$C:$C,$B$1,HIS_SALES!$D:$D,$C$1,HIS_SALES!$F:$F,$N7,HIS_SALES!E:E,$K$3)/(SUMIFS(HIS_SALES!$I:$I,HIS_SALES!$C:$C,$B$1,HIS_SALES!$D:$D,$C$1,HIS_SALES!$F:$F,$N7,HIS_SALES!E:E,$K$3)+SUMIFS(HIS_SALES!$J:$J,HIS_SALES!$C:$C,$B$1,HIS_SALES!$D:$D,$C$1,HIS_SALES!$F:$F,$N7,HIS_SALES!E:E,$K$3)),"")</f>
        <v>5.4728375935300666E-2</v>
      </c>
    </row>
    <row r="8" spans="1:29" x14ac:dyDescent="0.25">
      <c r="A8" s="505"/>
      <c r="B8" s="134" t="str">
        <f ca="1">$B$52</f>
        <v>17/18</v>
      </c>
      <c r="C8" s="521">
        <f ca="1">IFERROR(VLOOKUP(_xlfn.CONCAT($B$1,$C$1,$K$3,$B8,C$6),HIS_SALES!$A$2:$O$5093,15,FALSE),0)</f>
        <v>1008667.65719999</v>
      </c>
      <c r="D8" s="521">
        <f ca="1">IFERROR(VLOOKUP(_xlfn.CONCAT($B$1,$C$1,$K$3,$B8,D$6),HIS_SALES!$A$2:$O$5093,15,FALSE),0)</f>
        <v>1176687.9963999901</v>
      </c>
      <c r="E8" s="521">
        <f ca="1">IFERROR(VLOOKUP(_xlfn.CONCAT($B$1,$C$1,$K$3,$B8,E$6),HIS_SALES!$A$2:$O$5093,15,FALSE),0)</f>
        <v>1499146.3699999601</v>
      </c>
      <c r="F8" s="521">
        <f ca="1">IFERROR(VLOOKUP(_xlfn.CONCAT($B$1,$C$1,$K$3,$B8,F$6),HIS_SALES!$A$2:$O$5093,15,FALSE),0)</f>
        <v>2382275.34299993</v>
      </c>
      <c r="G8" s="521">
        <f t="shared" ref="G8:G9" ca="1" si="1">IFERROR(SUM(C8:F8),0)</f>
        <v>6066777.3665998708</v>
      </c>
      <c r="N8" s="134" t="str">
        <f t="shared" ca="1" si="0"/>
        <v>17/18</v>
      </c>
      <c r="O8" s="135">
        <f ca="1">IFERROR(VLOOKUP(_xlfn.CONCAT($B$1&amp;$C$1&amp;$K$3&amp;$N8&amp;O$6),HIS_SALES!$A$2:$P$5093,16,FALSE),"-")</f>
        <v>5.2078130625489098E-2</v>
      </c>
      <c r="P8" s="135">
        <f ca="1">IFERROR(VLOOKUP(_xlfn.CONCAT($B$1&amp;$C$1&amp;$K$3&amp;$N8&amp;P$6),HIS_SALES!$A$2:$P$5093,16,FALSE),"-")</f>
        <v>7.4733007424791192E-2</v>
      </c>
      <c r="Q8" s="135">
        <f ca="1">IFERROR(VLOOKUP(_xlfn.CONCAT($B$1&amp;$C$1&amp;$K$3&amp;$N8&amp;Q$6),HIS_SALES!$A$2:$P$5093,16,FALSE),"-")</f>
        <v>4.6718667214655396E-2</v>
      </c>
      <c r="R8" s="135">
        <f ca="1">IFERROR(VLOOKUP(_xlfn.CONCAT($B$1&amp;$C$1&amp;$K$3&amp;$N8&amp;R$6),HIS_SALES!$A$2:$P$5093,16,FALSE),"-")</f>
        <v>4.2868414924505098E-2</v>
      </c>
      <c r="S8" s="141">
        <f ca="1">IFERROR(SUMIFS(HIS_SALES!$J:$J,HIS_SALES!$C:$C,$B$1,HIS_SALES!$D:$D,$C$1,HIS_SALES!$F:$F,$N8,HIS_SALES!E:E,$K$3)/(SUMIFS(HIS_SALES!$I:$I,HIS_SALES!$C:$C,$B$1,HIS_SALES!$D:$D,$C$1,HIS_SALES!$F:$F,$N8,HIS_SALES!E:E,$K$3)+SUMIFS(HIS_SALES!$J:$J,HIS_SALES!$C:$C,$B$1,HIS_SALES!$D:$D,$C$1,HIS_SALES!$F:$F,$N8,HIS_SALES!E:E,$K$3)),"")</f>
        <v>5.1681050579478346E-2</v>
      </c>
    </row>
    <row r="9" spans="1:29" ht="15.75" thickBot="1" x14ac:dyDescent="0.3">
      <c r="A9" s="505"/>
      <c r="B9" s="137" t="str">
        <f ca="1">$B$53</f>
        <v>18/19</v>
      </c>
      <c r="C9" s="522">
        <f ca="1">IF(ISNA(VLOOKUP(_xlfn.CONCAT($B9,C$6),TIME!$L$27:$N$31,3)),VLOOKUP(_xlfn.CONCAT($B$1,$C$1,$K$3,$B9,C$6),HIS_SALES!$A$2:$O$5093,15,FALSE),0)</f>
        <v>1301548.6662999701</v>
      </c>
      <c r="D9" s="522">
        <f ca="1">IF(ISNA(VLOOKUP(_xlfn.CONCAT($B9,D$6),TIME!$L$27:$N$31,3)),VLOOKUP(_xlfn.CONCAT($B$1,$C$1,$K$3,$B9,D$6),HIS_SALES!$A$2:$O$5093,15,FALSE),0)</f>
        <v>547028.13719998999</v>
      </c>
      <c r="E9" s="522">
        <f ca="1">IF(ISNA(VLOOKUP(_xlfn.CONCAT($B9,E$6),TIME!$L$27:$N$31,3)),VLOOKUP(_xlfn.CONCAT($B$1,$C$1,$K$3,$B9,E$6),HIS_SALES!$A$2:$O$5093,15,FALSE),0)</f>
        <v>0</v>
      </c>
      <c r="F9" s="522">
        <f ca="1">IF(ISNA(VLOOKUP(_xlfn.CONCAT($B9,F$6),TIME!$L$27:$N$31,3)),VLOOKUP(_xlfn.CONCAT($B$1,$C$1,$K$3,$B9,F$6),HIS_SALES!$A$2:$O$5093,15,FALSE),0)</f>
        <v>0</v>
      </c>
      <c r="G9" s="522">
        <f t="shared" ca="1" si="1"/>
        <v>1848576.8034999601</v>
      </c>
      <c r="N9" s="137" t="str">
        <f t="shared" ca="1" si="0"/>
        <v>18/19</v>
      </c>
      <c r="O9" s="138">
        <f ca="1">IF(ISNA(VLOOKUP(_xlfn.CONCAT($B9,C$6),TIME!$L$27:$N$31,3)),VLOOKUP(_xlfn.CONCAT($B$1&amp;$C$1&amp;$K$3&amp;$N9&amp;O$6),HIS_SALES!$A$2:$P$5093,16,FALSE),"-")</f>
        <v>5.0729283265678396E-2</v>
      </c>
      <c r="P9" s="138">
        <f ca="1">IF(ISNA(VLOOKUP(_xlfn.CONCAT($B9,D$6),TIME!$L$27:$N$31,3)),VLOOKUP(_xlfn.CONCAT($B$1&amp;$C$1&amp;$K$3&amp;$N9&amp;P$6),HIS_SALES!$A$2:$P$5093,16,FALSE),"-")</f>
        <v>6.9260950856088493E-2</v>
      </c>
      <c r="Q9" s="138" t="str">
        <f ca="1">IF(ISNA(VLOOKUP(_xlfn.CONCAT($B9,E$6),TIME!$L$27:$N$31,3)),VLOOKUP(_xlfn.CONCAT($B$1&amp;$C$1&amp;$K$3&amp;$N9&amp;Q$6),HIS_SALES!$A$2:$P$5093,16,FALSE),"-")</f>
        <v>-</v>
      </c>
      <c r="R9" s="138" t="str">
        <f ca="1">IF(ISNA(VLOOKUP(_xlfn.CONCAT($B9,F$6),TIME!$L$27:$N$31,3)),VLOOKUP(_xlfn.CONCAT($B$1&amp;$C$1&amp;$K$3&amp;$N9&amp;R$6),HIS_SALES!$A$2:$P$5093,16,FALSE),"-")</f>
        <v>-</v>
      </c>
      <c r="S9" s="154">
        <f ca="1">IFERROR(SUMIFS(HIS_SALES!$J:$J,HIS_SALES!$C:$C,$B$1,HIS_SALES!$D:$D,$C$1,HIS_SALES!$F:$F,$N9,HIS_SALES!E:E,$K$3)/(SUMIFS(HIS_SALES!$I:$I,HIS_SALES!$C:$C,$B$1,HIS_SALES!$D:$D,$C$1,HIS_SALES!$F:$F,$N9,HIS_SALES!E:E,$K$3)+SUMIFS(HIS_SALES!$J:$J,HIS_SALES!$C:$C,$B$1,HIS_SALES!$D:$D,$C$1,HIS_SALES!$F:$F,$N9,HIS_SALES!E:E,$K$3)),"")</f>
        <v>5.6289573815472511E-2</v>
      </c>
    </row>
    <row r="10" spans="1:29" ht="15.75" thickTop="1" x14ac:dyDescent="0.25">
      <c r="A10" s="505"/>
      <c r="B10" s="891" t="s">
        <v>97</v>
      </c>
      <c r="C10" s="891"/>
      <c r="D10" s="891"/>
      <c r="E10" s="891"/>
      <c r="F10" s="891"/>
      <c r="G10" s="891"/>
      <c r="N10" s="887" t="s">
        <v>99</v>
      </c>
      <c r="O10" s="887"/>
      <c r="P10" s="887"/>
      <c r="Q10" s="887"/>
      <c r="R10" s="887"/>
      <c r="S10" s="887"/>
    </row>
    <row r="11" spans="1:29" x14ac:dyDescent="0.25">
      <c r="A11" s="505"/>
      <c r="B11" s="134" t="str">
        <f ca="1">$B$55</f>
        <v>18/19 L.FC</v>
      </c>
      <c r="C11" s="532">
        <f ca="1">SUMIFS(LAST_FC!$I:$I,LAST_FC!$A:$A,TIME!$E$1,LAST_FC!$B:$B,$B$1,LAST_FC!$C:$C,$C$1,LAST_FC!$D:$D,$K$3,LAST_FC!$E:$E,$B13,LAST_FC!$F:$F,C$6)</f>
        <v>0</v>
      </c>
      <c r="D11" s="532">
        <f ca="1">SUMIFS(LAST_FC!$I:$I,LAST_FC!$A:$A,TIME!$E$1,LAST_FC!$B:$B,$B$1,LAST_FC!$C:$C,$C$1,LAST_FC!$D:$D,$K$3,LAST_FC!$E:$E,$B13,LAST_FC!$F:$F,D$6)</f>
        <v>0</v>
      </c>
      <c r="E11" s="532">
        <f ca="1">SUMIFS(LAST_FC!$I:$I,LAST_FC!$A:$A,TIME!$E$1,LAST_FC!$B:$B,$B$1,LAST_FC!$C:$C,$C$1,LAST_FC!$D:$D,$K$3,LAST_FC!$E:$E,$B13,LAST_FC!$F:$F,E$6)</f>
        <v>0</v>
      </c>
      <c r="F11" s="532">
        <f ca="1">SUMIFS(LAST_FC!$I:$I,LAST_FC!$A:$A,TIME!$E$1,LAST_FC!$B:$B,$B$1,LAST_FC!$C:$C,$C$1,LAST_FC!$D:$D,$K$3,LAST_FC!$E:$E,$B13,LAST_FC!$F:$F,F$6)</f>
        <v>0</v>
      </c>
      <c r="G11" s="533">
        <f t="shared" ref="G11:G12" ca="1" si="2">IFERROR(SUM(C11:F11),0)</f>
        <v>0</v>
      </c>
      <c r="N11" s="134" t="str">
        <f ca="1">B11</f>
        <v>18/19 L.FC</v>
      </c>
      <c r="O11" s="196" t="str">
        <f ca="1">IFERROR(1-SUMIFS(LAST_FC!$I:$I,LAST_FC!$A:$A,TIME!$E$1,LAST_FC!$B:$B,$B$1,LAST_FC!$C:$C,$C$1,LAST_FC!$D:$D,$K$3,LAST_FC!$E:$E,$B13,LAST_FC!$F:$F,C$6)/SUMIFS(LAST_FC!$H:$H,LAST_FC!$A:$A,TIME!$E$1,LAST_FC!$B:$B,$B$1,LAST_FC!$C:$C,$C$1,LAST_FC!$D:$D,$K$3,LAST_FC!$E:$E,$B13,LAST_FC!$F:$F,C$6),"-")</f>
        <v>-</v>
      </c>
      <c r="P11" s="196" t="str">
        <f ca="1">IFERROR(1-SUMIFS(LAST_FC!$I:$I,LAST_FC!$A:$A,TIME!$E$1,LAST_FC!$B:$B,$B$1,LAST_FC!$C:$C,$C$1,LAST_FC!$D:$D,$K$3,LAST_FC!$E:$E,$B13,LAST_FC!$F:$F,D$6)/SUMIFS(LAST_FC!$H:$H,LAST_FC!$A:$A,TIME!$E$1,LAST_FC!$B:$B,$B$1,LAST_FC!$C:$C,$C$1,LAST_FC!$D:$D,$K$3,LAST_FC!$E:$E,$B13,LAST_FC!$F:$F,D$6),"-")</f>
        <v>-</v>
      </c>
      <c r="Q11" s="196" t="str">
        <f ca="1">IFERROR(1-SUMIFS(LAST_FC!$I:$I,LAST_FC!$A:$A,TIME!$E$1,LAST_FC!$B:$B,$B$1,LAST_FC!$C:$C,$C$1,LAST_FC!$D:$D,$K$3,LAST_FC!$E:$E,$B13,LAST_FC!$F:$F,E$6)/SUMIFS(LAST_FC!$H:$H,LAST_FC!$A:$A,TIME!$E$1,LAST_FC!$B:$B,$B$1,LAST_FC!$C:$C,$C$1,LAST_FC!$D:$D,$K$3,LAST_FC!$E:$E,$B13,LAST_FC!$F:$F,E$6),"-")</f>
        <v>-</v>
      </c>
      <c r="R11" s="196" t="str">
        <f ca="1">IFERROR(1-SUMIFS(LAST_FC!$I:$I,LAST_FC!$A:$A,TIME!$E$1,LAST_FC!$B:$B,$B$1,LAST_FC!$C:$C,$C$1,LAST_FC!$D:$D,$K$3,LAST_FC!$E:$E,$B13,LAST_FC!$F:$F,F$6)/SUMIFS(LAST_FC!$H:$H,LAST_FC!$A:$A,TIME!$E$1,LAST_FC!$B:$B,$B$1,LAST_FC!$C:$C,$C$1,LAST_FC!$D:$D,$K$3,LAST_FC!$E:$E,$B13,LAST_FC!$F:$F,F$6),"-")</f>
        <v>-</v>
      </c>
      <c r="S11" s="197" t="str">
        <f ca="1">IFERROR(1-SUMIFS(LAST_FC!$I:$I,LAST_FC!$A:$A,TIME!$E$1,LAST_FC!$B:$B,$B$1,LAST_FC!$C:$C,$C$1,LAST_FC!$D:$D,$K$3,LAST_FC!$E:$E,$B13)/SUMIFS(LAST_FC!$H:$H,LAST_FC!$A:$A,TIME!$E$1,LAST_FC!$B:$B,$B$1,LAST_FC!$C:$C,$C$1,LAST_FC!$D:$D,$K$3,LAST_FC!$E:$E,$B13),"")</f>
        <v/>
      </c>
    </row>
    <row r="12" spans="1:29" x14ac:dyDescent="0.25">
      <c r="A12" s="505"/>
      <c r="B12" s="155" t="str">
        <f ca="1">$B$56</f>
        <v>19/20 L.FC</v>
      </c>
      <c r="C12" s="530">
        <f ca="1">SUMIFS(LAST_FC!$I:$I,LAST_FC!$A:$A,TIME!$E$1,LAST_FC!$B:$B,$B$1,LAST_FC!$C:$C,$C$1,LAST_FC!$D:$D,$K$3,LAST_FC!$E:$E,$B14,LAST_FC!$F:$F,C$6)</f>
        <v>0</v>
      </c>
      <c r="D12" s="530" t="e">
        <f ca="1">IF(SUMIFS(LAST_FC!$I:$I,LAST_FC!$A:$A,TIME!$E$1,LAST_FC!$B:$B,$B$1,LAST_FC!$C:$C,$C$1,LAST_FC!$D:$D,$K$3,LAST_FC!$E:$E,$B14,LAST_FC!$F:$F,D$6)&lt;&gt;0,SUMIFS(LAST_FC!$I:$I,LAST_FC!$A:$A,TIME!$E$1,LAST_FC!$B:$B,$B$1,LAST_FC!$C:$C,$C$1,LAST_FC!$D:$D,$K$3,LAST_FC!$E:$E,$B14,LAST_FC!$F:$F,D$6),NA())</f>
        <v>#N/A</v>
      </c>
      <c r="E12" s="530" t="e">
        <f ca="1">IF(SUMIFS(LAST_FC!$I:$I,LAST_FC!$A:$A,TIME!$E$1,LAST_FC!$B:$B,$B$1,LAST_FC!$C:$C,$C$1,LAST_FC!$D:$D,$K$3,LAST_FC!$E:$E,$B14,LAST_FC!$F:$F,E$6)&lt;&gt;0,SUMIFS(LAST_FC!$I:$I,LAST_FC!$A:$A,TIME!$E$1,LAST_FC!$B:$B,$B$1,LAST_FC!$C:$C,$C$1,LAST_FC!$D:$D,$K$3,LAST_FC!$E:$E,$B14,LAST_FC!$F:$F,E$6),NA())</f>
        <v>#N/A</v>
      </c>
      <c r="F12" s="530" t="e">
        <f ca="1">IF(SUMIFS(LAST_FC!$I:$I,LAST_FC!$A:$A,TIME!$E$1,LAST_FC!$B:$B,$B$1,LAST_FC!$C:$C,$C$1,LAST_FC!$D:$D,$K$3,LAST_FC!$E:$E,$B14,LAST_FC!$F:$F,F$6)&lt;&gt;0,SUMIFS(LAST_FC!$I:$I,LAST_FC!$A:$A,TIME!$E$1,LAST_FC!$B:$B,$B$1,LAST_FC!$C:$C,$C$1,LAST_FC!$D:$D,$K$3,LAST_FC!$E:$E,$B14,LAST_FC!$F:$F,F$6),NA())</f>
        <v>#N/A</v>
      </c>
      <c r="G12" s="530">
        <f t="shared" ca="1" si="2"/>
        <v>0</v>
      </c>
      <c r="N12" s="134" t="str">
        <f ca="1">B12</f>
        <v>19/20 L.FC</v>
      </c>
      <c r="O12" s="198" t="str">
        <f ca="1">IFERROR(1-SUMIFS(LAST_FC!$I:$I,LAST_FC!$A:$A,TIME!$E$1,LAST_FC!$B:$B,$B$1,LAST_FC!$C:$C,$C$1,LAST_FC!$D:$D,$K$3,LAST_FC!$E:$E,$B14,LAST_FC!$F:$F,C$6)/SUMIFS(LAST_FC!$H:$H,LAST_FC!$A:$A,TIME!$E$1,LAST_FC!$B:$B,$B$1,LAST_FC!$C:$C,$C$1,LAST_FC!$D:$D,$K$3,LAST_FC!$E:$E,$B14,LAST_FC!$F:$F,C$6),"-")</f>
        <v>-</v>
      </c>
      <c r="P12" s="198" t="e">
        <f ca="1">IFERROR(1-SUMIFS(LAST_FC!$I:$I,LAST_FC!$A:$A,TIME!$E$1,LAST_FC!$B:$B,$B$1,LAST_FC!$C:$C,$C$1,LAST_FC!$D:$D,$K$3,LAST_FC!$E:$E,$B14,LAST_FC!$F:$F,D$6)/SUMIFS(LAST_FC!$H:$H,LAST_FC!$A:$A,TIME!$E$1,LAST_FC!$B:$B,$B$1,LAST_FC!$C:$C,$C$1,LAST_FC!$D:$D,$K$3,LAST_FC!$E:$E,$B14,LAST_FC!$F:$F,D$6),NA())</f>
        <v>#N/A</v>
      </c>
      <c r="Q12" s="198" t="e">
        <f ca="1">IFERROR(1-SUMIFS(LAST_FC!$I:$I,LAST_FC!$A:$A,TIME!$E$1,LAST_FC!$B:$B,$B$1,LAST_FC!$C:$C,$C$1,LAST_FC!$D:$D,$K$3,LAST_FC!$E:$E,$B14,LAST_FC!$F:$F,E$6)/SUMIFS(LAST_FC!$H:$H,LAST_FC!$A:$A,TIME!$E$1,LAST_FC!$B:$B,$B$1,LAST_FC!$C:$C,$C$1,LAST_FC!$D:$D,$K$3,LAST_FC!$E:$E,$B14,LAST_FC!$F:$F,E$6),NA())</f>
        <v>#N/A</v>
      </c>
      <c r="R12" s="198" t="e">
        <f ca="1">IFERROR(1-SUMIFS(LAST_FC!$I:$I,LAST_FC!$A:$A,TIME!$E$1,LAST_FC!$B:$B,$B$1,LAST_FC!$C:$C,$C$1,LAST_FC!$D:$D,$K$3,LAST_FC!$E:$E,$B14,LAST_FC!$F:$F,F$6)/SUMIFS(LAST_FC!$H:$H,LAST_FC!$A:$A,TIME!$E$1,LAST_FC!$B:$B,$B$1,LAST_FC!$C:$C,$C$1,LAST_FC!$D:$D,$K$3,LAST_FC!$E:$E,$B14,LAST_FC!$F:$F,F$6),NA())</f>
        <v>#N/A</v>
      </c>
      <c r="S12" s="503" t="str">
        <f ca="1">IFERROR(1-SUMIFS(LAST_FC!$I:$I,LAST_FC!$A:$A,TIME!$E$1,LAST_FC!$B:$B,$B$1,LAST_FC!$C:$C,$C$1,LAST_FC!$D:$D,$K$3,LAST_FC!$E:$E,$B14)/SUMIFS(LAST_FC!$H:$H,LAST_FC!$A:$A,TIME!$E$1,LAST_FC!$B:$B,$B$1,LAST_FC!$C:$C,$C$1,LAST_FC!$D:$D,$K$3,LAST_FC!$E:$E,$B14),"")</f>
        <v/>
      </c>
    </row>
    <row r="13" spans="1:29" ht="15" customHeight="1" x14ac:dyDescent="0.25">
      <c r="A13" s="505"/>
      <c r="B13" s="796" t="str">
        <f ca="1">$B$57</f>
        <v>18/19</v>
      </c>
      <c r="C13" s="521">
        <f ca="1">IF(C9&lt;&gt;0,C9,IF(_xlfn.CONCAT($B13,C$6)=TIME!$L$27,SUMIFS(FC_DATA!$I2:$I5000,FC_DATA!$C2:$C5000,Q_BRAND_FC!$B$1,FC_DATA!$D2:$D5000,Q_BRAND_FC!$C$1,FC_DATA!$E2:$E5000,Q_BRAND_FC!$K$3,FC_DATA!$F2:$F5000,Q_BRAND_FC!$B13,FC_DATA!$G2:$G5000,Q_BRAND_FC!C$6),IF(C18="",IFERROR(VLOOKUP($B$1&amp;$C$1&amp;$K$3&amp;$B13&amp;C$6,FC_DATA!$A$2:$M$5000,9,FALSE),C11),C18*1000)))</f>
        <v>1301548.6662999701</v>
      </c>
      <c r="D13" s="521">
        <f ca="1">IF(D9&lt;&gt;0,D9,IF(_xlfn.CONCAT($B13,D$6)=TIME!$L$27,SUMIFS(FC_DATA!$I2:$I5000,FC_DATA!$C2:$C5000,Q_BRAND_FC!$B$1,FC_DATA!$D2:$D5000,Q_BRAND_FC!$C$1,FC_DATA!$E2:$E5000,Q_BRAND_FC!$K$3,FC_DATA!$F2:$F5000,Q_BRAND_FC!$B13,FC_DATA!$G2:$G5000,Q_BRAND_FC!D$6),IF(D18="",IFERROR(VLOOKUP($B$1&amp;$C$1&amp;$K$3&amp;$B13&amp;D$6,FC_DATA!$A$2:$M$5000,9,FALSE),D11),D18*1000)))</f>
        <v>547028.13719998999</v>
      </c>
      <c r="E13" s="521">
        <f ca="1">IF(E9&lt;&gt;0,E9,IF(_xlfn.CONCAT($B13,E$6)=TIME!$L$27,SUMIFS(FC_DATA!$I2:$I5000,FC_DATA!$C2:$C5000,Q_BRAND_FC!$B$1,FC_DATA!$D2:$D5000,Q_BRAND_FC!$C$1,FC_DATA!$E2:$E5000,Q_BRAND_FC!$K$3,FC_DATA!$F2:$F5000,Q_BRAND_FC!$B13,FC_DATA!$G2:$G5000,Q_BRAND_FC!E$6),IF(E18="",IFERROR(VLOOKUP($B$1&amp;$C$1&amp;$K$3&amp;$B13&amp;E$6,FC_DATA!$A$2:$M$5000,9,FALSE),E11),E18*1000)))</f>
        <v>0</v>
      </c>
      <c r="F13" s="521">
        <f ca="1">IF(F9&lt;&gt;0,F9,IF(_xlfn.CONCAT($B13,F$6)=TIME!$L$27,SUMIFS(FC_DATA!$I2:$I5000,FC_DATA!$C2:$C5000,Q_BRAND_FC!$B$1,FC_DATA!$D2:$D5000,Q_BRAND_FC!$C$1,FC_DATA!$E2:$E5000,Q_BRAND_FC!$K$3,FC_DATA!$F2:$F5000,Q_BRAND_FC!$B13,FC_DATA!$G2:$G5000,Q_BRAND_FC!F$6),IF(F18="",IFERROR(VLOOKUP($B$1&amp;$C$1&amp;$K$3&amp;$B13&amp;F$6,FC_DATA!$A$2:$M$5000,9,FALSE),F11),F18*1000)))</f>
        <v>0</v>
      </c>
      <c r="G13" s="521">
        <f ca="1">IFERROR(C13,0)+IFERROR(D13,0)+IFERROR(E13,0)+IFERROR(F13,0)</f>
        <v>1848576.8034999601</v>
      </c>
      <c r="N13" s="796" t="str">
        <f ca="1">B13</f>
        <v>18/19</v>
      </c>
      <c r="O13" s="135">
        <f ca="1">IF(O$9&lt;&gt;"-",O$9,IF(_xlfn.CONCAT($B13,C$6)=TIME!$L$27,SUMIFS(FC_DATA!$N2:$N5000,FC_DATA!$C2:$C5000,$B$1,FC_DATA!$D2:$D5000,$C$1,FC_DATA!$E2:$E5000,$K$3,FC_DATA!$F2:$F5000,$N13,FC_DATA!$G2:$G5000,O$6)/SUMIFS(FC_DATA!$O2:$O5000,FC_DATA!$C2:$C5000,$B$1,FC_DATA!$D2:$D5000,$C$1,FC_DATA!$E2:$E5000,$K$3,FC_DATA!$F2:$F5000,$N13,FC_DATA!$G2:$G5000,O$6),IF(O$18&lt;&gt;"",O$18,IFERROR(VLOOKUP($B$1&amp;$C$1&amp;$K$3&amp;$N13&amp;O$6,FC_DATA!$A$2:$M$5000,10,FALSE),O11))))</f>
        <v>5.0729283265678396E-2</v>
      </c>
      <c r="P13" s="135">
        <f ca="1">IF(P$9&lt;&gt;"-",P$9,IF(_xlfn.CONCAT($B13,D$6)=TIME!$L$27,SUMIFS(FC_DATA!$N2:$N5000,FC_DATA!$C2:$C5000,$B$1,FC_DATA!$D2:$D5000,$C$1,FC_DATA!$E2:$E5000,$K$3,FC_DATA!$F2:$F5000,$N13,FC_DATA!$G2:$G5000,P$6)/SUMIFS(FC_DATA!$O2:$O5000,FC_DATA!$C2:$C5000,$B$1,FC_DATA!$D2:$D5000,$C$1,FC_DATA!$E2:$E5000,$K$3,FC_DATA!$F2:$F5000,$N13,FC_DATA!$G2:$G5000,P$6),IF(P$18&lt;&gt;"",P$18,IFERROR(VLOOKUP($B$1&amp;$C$1&amp;$K$3&amp;$N13&amp;P$6,FC_DATA!$A$2:$M$5000,10,FALSE),P11))))</f>
        <v>6.9260950856088493E-2</v>
      </c>
      <c r="Q13" s="135" t="e">
        <f ca="1">IF(Q$9&lt;&gt;"-",Q$9,IF(_xlfn.CONCAT($B13,E$6)=TIME!$L$27,SUMIFS(FC_DATA!$N2:$N5000,FC_DATA!$C2:$C5000,$B$1,FC_DATA!$D2:$D5000,$C$1,FC_DATA!$E2:$E5000,$K$3,FC_DATA!$F2:$F5000,$N13,FC_DATA!$G2:$G5000,Q$6)/SUMIFS(FC_DATA!$O2:$O5000,FC_DATA!$C2:$C5000,$B$1,FC_DATA!$D2:$D5000,$C$1,FC_DATA!$E2:$E5000,$K$3,FC_DATA!$F2:$F5000,$N13,FC_DATA!$G2:$G5000,Q$6),IF(Q$18&lt;&gt;"",Q$18,IFERROR(VLOOKUP($B$1&amp;$C$1&amp;$K$3&amp;$N13&amp;Q$6,FC_DATA!$A$2:$M$5000,10,FALSE),Q11))))</f>
        <v>#DIV/0!</v>
      </c>
      <c r="R13" s="135" t="str">
        <f ca="1">IF(R$9&lt;&gt;"-",R$9,IF(_xlfn.CONCAT($B13,F$6)=TIME!$L$27,SUMIFS(FC_DATA!$N2:$N5000,FC_DATA!$C2:$C5000,$B$1,FC_DATA!$D2:$D5000,$C$1,FC_DATA!$E2:$E5000,$K$3,FC_DATA!$F2:$F5000,$N13,FC_DATA!$G2:$G5000,R$6)/SUMIFS(FC_DATA!$O2:$O5000,FC_DATA!$C2:$C5000,$B$1,FC_DATA!$D2:$D5000,$C$1,FC_DATA!$E2:$E5000,$K$3,FC_DATA!$F2:$F5000,$N13,FC_DATA!$G2:$G5000,R$6),IF(R$18&lt;&gt;"",R$18,IFERROR(VLOOKUP($B$1&amp;$C$1&amp;$K$3&amp;$N13&amp;R$6,FC_DATA!$A$2:$M$5000,10,FALSE),R11))))</f>
        <v>-</v>
      </c>
      <c r="S13" s="141" t="str">
        <f ca="1">IFERROR(SUMIFS(FC_DATA!$N:$N,FC_DATA!$C:$C,Q_BRAND_FC!$B$1,FC_DATA!$D:$D,Q_BRAND_FC!$C$1,FC_DATA!$E:$E,Q_BRAND_FC!$K$3,FC_DATA!$F:$F,Q_BRAND_FC!$N13)/SUMIFS(FC_DATA!$O:$O,FC_DATA!$C:$C,Q_BRAND_FC!$B$1,FC_DATA!$D:$D,Q_BRAND_FC!$C$1,FC_DATA!$E:$E,Q_BRAND_FC!$K$3,FC_DATA!$F:$F,Q_BRAND_FC!$N13),"")</f>
        <v/>
      </c>
    </row>
    <row r="14" spans="1:29" x14ac:dyDescent="0.25">
      <c r="A14" s="505"/>
      <c r="B14" s="142" t="str">
        <f ca="1">$B$58</f>
        <v>19/20</v>
      </c>
      <c r="C14" s="526">
        <f ca="1">IF(C19="",IFERROR(VLOOKUP($B$1&amp;$C$1&amp;$K$3&amp;$B14&amp;C$6,FC_DATA!$A$2:$M$5000,9,FALSE),C12),C19*1000)</f>
        <v>0</v>
      </c>
      <c r="D14" s="526" t="e">
        <f ca="1">IF(D19="",IFERROR(VLOOKUP($B$1&amp;$C$1&amp;$K$3&amp;$B14&amp;D$6,FC_DATA!$A$2:$M$5000,9,FALSE),D12),D19*1000)</f>
        <v>#N/A</v>
      </c>
      <c r="E14" s="526" t="e">
        <f ca="1">IF(E19="",IFERROR(VLOOKUP($B$1&amp;$C$1&amp;$K$3&amp;$B14&amp;E$6,FC_DATA!$A$2:$M$5000,9,FALSE),E12),E19*1000)</f>
        <v>#N/A</v>
      </c>
      <c r="F14" s="526" t="e">
        <f ca="1">IF(F19="",IFERROR(VLOOKUP($B$1&amp;$C$1&amp;$K$3&amp;$B14&amp;F$6,FC_DATA!$A$2:$M$5000,9,FALSE),F12),F19*1000)</f>
        <v>#N/A</v>
      </c>
      <c r="G14" s="526">
        <f ca="1">IFERROR(C14,0)+IFERROR(D14,0)+IFERROR(E14,0)+IFERROR(F14,0)</f>
        <v>0</v>
      </c>
      <c r="N14" s="303" t="str">
        <f t="shared" ca="1" si="0"/>
        <v>19/20</v>
      </c>
      <c r="O14" s="586" t="str">
        <f ca="1">IF(O$19&lt;&gt;"",O$19,IFERROR(VLOOKUP($B$1&amp;$C$1&amp;$K$3&amp;$N14&amp;O$6,FC_DATA!$A$2:$M$5000,10,FALSE),O12))</f>
        <v>-</v>
      </c>
      <c r="P14" s="586" t="e">
        <f ca="1">IF(P$19&lt;&gt;"",P$19,IFERROR(VLOOKUP($B$1&amp;$C$1&amp;$K$3&amp;$N14&amp;P$6,FC_DATA!$A$2:$M$5000,10,FALSE),P12))</f>
        <v>#N/A</v>
      </c>
      <c r="Q14" s="586" t="e">
        <f ca="1">IF(Q$19&lt;&gt;"",Q$19,IFERROR(VLOOKUP($B$1&amp;$C$1&amp;$K$3&amp;$N14&amp;Q$6,FC_DATA!$A$2:$M$5000,10,FALSE),Q12))</f>
        <v>#N/A</v>
      </c>
      <c r="R14" s="586" t="e">
        <f ca="1">IF(R$19&lt;&gt;"",R$19,IFERROR(VLOOKUP($B$1&amp;$C$1&amp;$K$3&amp;$N14&amp;R$6,FC_DATA!$A$2:$M$5000,10,FALSE),R12))</f>
        <v>#N/A</v>
      </c>
      <c r="S14" s="225" t="str">
        <f ca="1">IFERROR(SUMIFS(FC_DATA!$N:$N,FC_DATA!$C:$C,Q_BRAND_FC!$B$1,FC_DATA!$D:$D,Q_BRAND_FC!$C$1,FC_DATA!$E:$E,Q_BRAND_FC!$K$3,FC_DATA!$F:$F,Q_BRAND_FC!$N14)/SUMIFS(FC_DATA!$O:$O,FC_DATA!$C:$C,Q_BRAND_FC!$B$1,FC_DATA!$D:$D,Q_BRAND_FC!$C$1,FC_DATA!$E:$E,Q_BRAND_FC!$K$3,FC_DATA!$F:$F,Q_BRAND_FC!$N14),"")</f>
        <v/>
      </c>
    </row>
    <row r="15" spans="1:29" collapsed="1" x14ac:dyDescent="0.25">
      <c r="A15" s="505"/>
      <c r="B15" s="155" t="str">
        <f ca="1">$B$59</f>
        <v>YoY Growth 18/19</v>
      </c>
      <c r="C15" s="136">
        <f ca="1">IFERROR(IF(C13=0,"-",(C13-C8)/C8),"-")</f>
        <v>0.29036423147838691</v>
      </c>
      <c r="D15" s="136">
        <f t="shared" ref="D15:F15" ca="1" si="3">IFERROR(IF(D13=0,"-",(D13-D8)/D8),"-")</f>
        <v>-0.5351119932610926</v>
      </c>
      <c r="E15" s="136" t="str">
        <f t="shared" ca="1" si="3"/>
        <v>-</v>
      </c>
      <c r="F15" s="136" t="str">
        <f t="shared" ca="1" si="3"/>
        <v>-</v>
      </c>
      <c r="G15" s="136"/>
      <c r="N15" s="273" t="str">
        <f ca="1">B33</f>
        <v>Delta %P 18/19</v>
      </c>
      <c r="O15" s="789">
        <f ca="1">IFERROR(O13-O8,"")</f>
        <v>-1.3488473598107023E-3</v>
      </c>
      <c r="P15" s="789">
        <f t="shared" ref="P15:R15" ca="1" si="4">IFERROR(P13-P8,"")</f>
        <v>-5.472056568702699E-3</v>
      </c>
      <c r="Q15" s="789" t="str">
        <f t="shared" ca="1" si="4"/>
        <v/>
      </c>
      <c r="R15" s="789" t="str">
        <f t="shared" ca="1" si="4"/>
        <v/>
      </c>
      <c r="T15" s="140"/>
      <c r="U15" s="140"/>
    </row>
    <row r="16" spans="1:29" ht="15.75" thickBot="1" x14ac:dyDescent="0.3">
      <c r="A16" s="373"/>
      <c r="B16" s="143" t="str">
        <f ca="1">$B$60</f>
        <v>YoY Growth 19/20</v>
      </c>
      <c r="C16" s="146" t="str">
        <f ca="1">IFERROR(IF(C14=0,"-",C14/C13-1),"-")</f>
        <v>-</v>
      </c>
      <c r="D16" s="146" t="str">
        <f t="shared" ref="D16:F16" ca="1" si="5">IFERROR(IF(D14=0,"-",D14/D13-1),"-")</f>
        <v>-</v>
      </c>
      <c r="E16" s="146" t="str">
        <f t="shared" ca="1" si="5"/>
        <v>-</v>
      </c>
      <c r="F16" s="146" t="str">
        <f t="shared" ca="1" si="5"/>
        <v>-</v>
      </c>
      <c r="G16" s="146"/>
      <c r="N16" s="239" t="str">
        <f ca="1">B34</f>
        <v>Delta %P 19/20</v>
      </c>
      <c r="O16" s="795" t="str">
        <f ca="1">IFERROR(O14-O13,"")</f>
        <v/>
      </c>
      <c r="P16" s="795" t="str">
        <f t="shared" ref="P16:R16" ca="1" si="6">IFERROR(P14-P13,"")</f>
        <v/>
      </c>
      <c r="Q16" s="795" t="str">
        <f t="shared" ca="1" si="6"/>
        <v/>
      </c>
      <c r="R16" s="795" t="str">
        <f t="shared" ca="1" si="6"/>
        <v/>
      </c>
      <c r="S16" s="129"/>
      <c r="T16" s="140"/>
      <c r="U16" s="140"/>
    </row>
    <row r="17" spans="1:27" x14ac:dyDescent="0.25">
      <c r="A17" s="373"/>
      <c r="K17" s="132" t="s">
        <v>5</v>
      </c>
    </row>
    <row r="18" spans="1:27" ht="15.75" x14ac:dyDescent="0.25">
      <c r="B18" s="156" t="str">
        <f ca="1">"INPUT " &amp;$B$57</f>
        <v>INPUT 18/19</v>
      </c>
      <c r="C18" s="750"/>
      <c r="D18" s="750"/>
      <c r="E18" s="750"/>
      <c r="F18" s="751"/>
      <c r="G18" s="157"/>
      <c r="N18" s="156" t="str">
        <f ca="1">B18</f>
        <v>INPUT 18/19</v>
      </c>
      <c r="O18" s="754"/>
      <c r="P18" s="754"/>
      <c r="Q18" s="754"/>
      <c r="R18" s="754"/>
      <c r="S18" s="157"/>
    </row>
    <row r="19" spans="1:27" ht="15.75" x14ac:dyDescent="0.25">
      <c r="B19" s="158" t="str">
        <f ca="1">"INPUT " &amp;$B$58</f>
        <v>INPUT 19/20</v>
      </c>
      <c r="C19" s="752"/>
      <c r="D19" s="752"/>
      <c r="E19" s="753"/>
      <c r="F19" s="752"/>
      <c r="G19" s="159"/>
      <c r="N19" s="158" t="str">
        <f ca="1">B19</f>
        <v>INPUT 19/20</v>
      </c>
      <c r="O19" s="755"/>
      <c r="P19" s="755"/>
      <c r="Q19" s="755"/>
      <c r="R19" s="755"/>
      <c r="S19" s="159"/>
    </row>
    <row r="20" spans="1:27" x14ac:dyDescent="0.25">
      <c r="B20" s="312"/>
      <c r="C20" s="313"/>
      <c r="D20" s="312"/>
      <c r="E20" s="312"/>
      <c r="F20" s="312"/>
      <c r="G20" s="312"/>
      <c r="H20" s="312"/>
      <c r="I20" s="312"/>
      <c r="J20" s="312"/>
      <c r="K20" s="312"/>
      <c r="L20" s="312"/>
      <c r="M20" s="314"/>
      <c r="N20" s="315"/>
      <c r="O20" s="315"/>
      <c r="P20" s="315"/>
      <c r="Q20" s="315"/>
      <c r="R20" s="315"/>
      <c r="S20" s="315"/>
      <c r="T20" s="315"/>
      <c r="U20" s="315"/>
      <c r="V20" s="315"/>
      <c r="W20" s="315"/>
      <c r="X20" s="315"/>
      <c r="Y20" s="315"/>
      <c r="Z20" s="315"/>
    </row>
    <row r="21" spans="1:27" x14ac:dyDescent="0.25">
      <c r="B21" s="160"/>
      <c r="C21" s="61"/>
      <c r="D21" s="160"/>
      <c r="E21" s="160"/>
      <c r="F21" s="160"/>
      <c r="G21" s="161"/>
      <c r="H21" s="160"/>
      <c r="I21" s="160"/>
      <c r="J21" s="160"/>
      <c r="K21" s="160"/>
      <c r="L21" s="160"/>
      <c r="M21" s="162"/>
      <c r="S21" s="148"/>
    </row>
    <row r="22" spans="1:27" ht="15.75" thickBot="1" x14ac:dyDescent="0.3">
      <c r="B22" s="233" t="s">
        <v>161</v>
      </c>
      <c r="C22" s="152"/>
      <c r="D22" s="129"/>
      <c r="E22" s="129"/>
      <c r="F22" s="129"/>
      <c r="G22" s="129"/>
      <c r="N22" s="177"/>
      <c r="O22" s="177"/>
      <c r="P22" s="177"/>
      <c r="Q22" s="177"/>
      <c r="R22" s="177"/>
      <c r="S22" s="177"/>
      <c r="T22" s="177"/>
      <c r="U22" s="177"/>
      <c r="V22" s="177"/>
      <c r="W22" s="177"/>
      <c r="X22" s="177"/>
      <c r="Y22" s="177"/>
      <c r="Z22" s="177"/>
      <c r="AA22" s="177"/>
    </row>
    <row r="23" spans="1:27" x14ac:dyDescent="0.25">
      <c r="B23" s="894" t="s">
        <v>139</v>
      </c>
      <c r="C23" s="893"/>
      <c r="D23" s="893"/>
      <c r="E23" s="893"/>
      <c r="F23" s="893"/>
      <c r="G23" s="893"/>
      <c r="N23" s="900" t="s">
        <v>104</v>
      </c>
      <c r="O23" s="900"/>
      <c r="P23" s="900"/>
      <c r="Q23" s="900"/>
      <c r="R23" s="900"/>
      <c r="S23" s="900"/>
      <c r="T23" s="178" t="s">
        <v>105</v>
      </c>
      <c r="Z23" s="162"/>
      <c r="AA23" s="177"/>
    </row>
    <row r="24" spans="1:27" x14ac:dyDescent="0.25">
      <c r="B24" s="133" t="s">
        <v>7</v>
      </c>
      <c r="C24" s="133" t="s">
        <v>56</v>
      </c>
      <c r="D24" s="133" t="s">
        <v>57</v>
      </c>
      <c r="E24" s="133" t="s">
        <v>58</v>
      </c>
      <c r="F24" s="133" t="s">
        <v>59</v>
      </c>
      <c r="G24" s="153"/>
      <c r="N24" s="179" t="s">
        <v>7</v>
      </c>
      <c r="O24" s="180" t="s">
        <v>56</v>
      </c>
      <c r="P24" s="180" t="s">
        <v>57</v>
      </c>
      <c r="Q24" s="180" t="s">
        <v>58</v>
      </c>
      <c r="R24" s="180" t="s">
        <v>59</v>
      </c>
      <c r="S24" s="181"/>
      <c r="T24" s="182">
        <v>0.19</v>
      </c>
      <c r="Z24" s="162"/>
      <c r="AA24" s="177"/>
    </row>
    <row r="25" spans="1:27" x14ac:dyDescent="0.25">
      <c r="B25" s="134" t="str">
        <f ca="1">$B$51</f>
        <v>16/17</v>
      </c>
      <c r="C25" s="280">
        <f ca="1">IFERROR(VLOOKUP(_xlfn.CONCAT($B$1,$C$1,$K$3,$B25,C$6),HIS_SALES!$A$2:$S$5093,19,FALSE),"-")</f>
        <v>7.0281485673105604E-2</v>
      </c>
      <c r="D25" s="135">
        <f ca="1">IFERROR(VLOOKUP(_xlfn.CONCAT($B$1,$C$1,$K$3,$B25,D$6),HIS_SALES!$A$2:$S$5093,19,FALSE),"-")</f>
        <v>6.0668945399482102E-2</v>
      </c>
      <c r="E25" s="135">
        <f ca="1">IFERROR(VLOOKUP(_xlfn.CONCAT($B$1,$C$1,$K$3,$B25,E$6),HIS_SALES!$A$2:$S$5093,19,FALSE),"-")</f>
        <v>7.9307367815968699E-2</v>
      </c>
      <c r="F25" s="135">
        <f ca="1">IFERROR(VLOOKUP(_xlfn.CONCAT($B$1,$C$1,$K$3,$B25,F$6),HIS_SALES!$A$2:$S$5093,19,FALSE),"-")</f>
        <v>4.2226200511880502E-2</v>
      </c>
      <c r="G25" s="223"/>
      <c r="N25" s="134" t="str">
        <f ca="1">B51</f>
        <v>16/17</v>
      </c>
      <c r="O25" s="542">
        <f ca="1">IFERROR(VLOOKUP(_xlfn.CONCAT($B$1,$C$1,$K$3,$B25,C$6),HIS_SALES!$A$2:$R$5093,17,FALSE),"-")</f>
        <v>3.0169983473191002</v>
      </c>
      <c r="P25" s="542">
        <f ca="1">IFERROR(VLOOKUP(_xlfn.CONCAT($B$1,$C$1,$K$3,$B25,D$6),HIS_SALES!$A$2:$R$5093,17,FALSE),"-")</f>
        <v>3.01730443473109</v>
      </c>
      <c r="Q25" s="542">
        <f ca="1">IFERROR(VLOOKUP(_xlfn.CONCAT($B$1,$C$1,$K$3,$B25,E$6),HIS_SALES!$A$2:$R$5093,17,FALSE),"-")</f>
        <v>3.0596204304773802</v>
      </c>
      <c r="R25" s="542">
        <f ca="1">IFERROR(VLOOKUP(_xlfn.CONCAT($B$1,$C$1,$K$3,$B25,F$6),HIS_SALES!$A$2:$R$5093,17,FALSE),"-")</f>
        <v>3.02314375757273</v>
      </c>
      <c r="S25" s="183"/>
      <c r="Z25" s="162"/>
      <c r="AA25" s="177"/>
    </row>
    <row r="26" spans="1:27" x14ac:dyDescent="0.25">
      <c r="B26" s="134" t="str">
        <f ca="1">$B$52</f>
        <v>17/18</v>
      </c>
      <c r="C26" s="135">
        <f ca="1">IFERROR(VLOOKUP(_xlfn.CONCAT($B$1,$C$1,$K$3,$B26,C$6),HIS_SALES!$A$2:$S$5093,19,FALSE),"-")</f>
        <v>8.7203751872218502E-2</v>
      </c>
      <c r="D26" s="135">
        <f ca="1">IFERROR(VLOOKUP(_xlfn.CONCAT($B$1,$C$1,$K$3,$B26,D$6),HIS_SALES!$A$2:$S$5093,19,FALSE),"-")</f>
        <v>7.6724603358077598E-2</v>
      </c>
      <c r="E26" s="135">
        <f ca="1">IFERROR(VLOOKUP(_xlfn.CONCAT($B$1,$C$1,$K$3,$B26,E$6),HIS_SALES!$A$2:$S$5093,19,FALSE),"-")</f>
        <v>0.21103153043022102</v>
      </c>
      <c r="F26" s="583">
        <f ca="1">IFERROR(VLOOKUP(_xlfn.CONCAT($B$1,$C$1,$K$3,$B26,F$6),HIS_SALES!$A$2:$S$5093,19,FALSE),"-")</f>
        <v>0.26979577347706402</v>
      </c>
      <c r="G26" s="141"/>
      <c r="N26" s="184" t="str">
        <f ca="1">B52</f>
        <v>17/18</v>
      </c>
      <c r="O26" s="542">
        <f ca="1">IFERROR(VLOOKUP(_xlfn.CONCAT($B$1,$C$1,$K$3,$B26,C$6),HIS_SALES!$A$2:$R$5093,17,FALSE),"-")</f>
        <v>3.1323238814655499</v>
      </c>
      <c r="P26" s="542">
        <f ca="1">IFERROR(VLOOKUP(_xlfn.CONCAT($B$1,$C$1,$K$3,$B26,D$6),HIS_SALES!$A$2:$R$5093,17,FALSE),"-")</f>
        <v>3.1003291631653198</v>
      </c>
      <c r="Q26" s="542">
        <f ca="1">IFERROR(VLOOKUP(_xlfn.CONCAT($B$1,$C$1,$K$3,$B26,E$6),HIS_SALES!$A$2:$R$5093,17,FALSE),"-")</f>
        <v>3.1240388382618698</v>
      </c>
      <c r="R26" s="542">
        <f ca="1">IFERROR(VLOOKUP(_xlfn.CONCAT($B$1,$C$1,$K$3,$B26,F$6),HIS_SALES!$A$2:$R$5093,17,FALSE),R25)</f>
        <v>3.0581261080632598</v>
      </c>
      <c r="S26" s="185"/>
      <c r="Z26" s="162"/>
      <c r="AA26" s="177"/>
    </row>
    <row r="27" spans="1:27" ht="15.75" thickBot="1" x14ac:dyDescent="0.3">
      <c r="B27" s="137" t="str">
        <f ca="1">$B$53</f>
        <v>18/19</v>
      </c>
      <c r="C27" s="138">
        <f ca="1">IFERROR(VLOOKUP(_xlfn.CONCAT($B$1,$C$1,$K$3,$B27,C$6),HIS_SALES!$A$2:$S$5093,19,FALSE),"-")</f>
        <v>0.28525973489371903</v>
      </c>
      <c r="D27" s="138">
        <f ca="1">IFERROR(VLOOKUP(_xlfn.CONCAT($B$1,$C$1,$K$3,$B27,D$6),HIS_SALES!$A$2:$S$5093,19,FALSE),"-")</f>
        <v>0.25916894078918201</v>
      </c>
      <c r="E27" s="138" t="str">
        <f ca="1">IFERROR(VLOOKUP(_xlfn.CONCAT($B$1,$C$1,$K$3,$B27,E$6),HIS_SALES!$A$2:$S$5093,19,FALSE),"-")</f>
        <v>-</v>
      </c>
      <c r="F27" s="138" t="str">
        <f ca="1">IFERROR(VLOOKUP(_xlfn.CONCAT($B$1,$C$1,$K$3,$B27,F$6),HIS_SALES!$A$2:$S$5093,19,FALSE),"-")</f>
        <v>-</v>
      </c>
      <c r="G27" s="154"/>
      <c r="N27" s="186" t="str">
        <f ca="1">B53</f>
        <v>18/19</v>
      </c>
      <c r="O27" s="543">
        <f ca="1">IFERROR(VLOOKUP(_xlfn.CONCAT($B$1,$C$1,$K$3,$B27,C$6),HIS_SALES!$A$2:$R$5093,17,FALSE),"-")</f>
        <v>3.0764532711331398</v>
      </c>
      <c r="P27" s="543">
        <f ca="1">IFERROR(VLOOKUP(_xlfn.CONCAT($B$1,$C$1,$K$3,$B27,D$6),HIS_SALES!$A$2:$R$5093,17,FALSE),"-")</f>
        <v>3.0953748875310598</v>
      </c>
      <c r="Q27" s="543" t="str">
        <f ca="1">IFERROR(VLOOKUP(_xlfn.CONCAT($B$1,$C$1,$K$3,$B27,E$6),HIS_SALES!$A$2:$R$5093,17,FALSE),"-")</f>
        <v>-</v>
      </c>
      <c r="R27" s="543" t="str">
        <f ca="1">IFERROR(VLOOKUP(_xlfn.CONCAT($B$1,$C$1,$K$3,$B27,F$6),HIS_SALES!$A$2:$R$5093,17,FALSE),"-")</f>
        <v>-</v>
      </c>
      <c r="S27" s="187"/>
      <c r="Z27" s="162"/>
      <c r="AA27" s="177"/>
    </row>
    <row r="28" spans="1:27" ht="15.75" thickTop="1" x14ac:dyDescent="0.25">
      <c r="B28" s="886" t="s">
        <v>379</v>
      </c>
      <c r="C28" s="891"/>
      <c r="D28" s="891"/>
      <c r="E28" s="891"/>
      <c r="F28" s="891"/>
      <c r="G28" s="891"/>
      <c r="N28" s="906" t="s">
        <v>378</v>
      </c>
      <c r="O28" s="907"/>
      <c r="P28" s="907"/>
      <c r="Q28" s="907"/>
      <c r="R28" s="907"/>
      <c r="S28" s="907"/>
      <c r="Z28" s="162"/>
      <c r="AA28" s="177"/>
    </row>
    <row r="29" spans="1:27" x14ac:dyDescent="0.25">
      <c r="B29" s="134" t="str">
        <f ca="1">$B$55</f>
        <v>18/19 L.FC</v>
      </c>
      <c r="C29" s="584" t="str">
        <f ca="1">IFERROR(AVERAGEIFS(LAST_FC!$L:$L,LAST_FC!$A:$A,TIME!$E$1,LAST_FC!$B:$B,Q_BRAND_FC!$B$1,LAST_FC!$C:$C,Q_BRAND_FC!$C$1,LAST_FC!$D:$D,Q_BRAND_FC!$K$3,LAST_FC!$E:$E,Q_BRAND_FC!$B31,LAST_FC!$F:$F,Q_BRAND_FC!C$24),"-")</f>
        <v>-</v>
      </c>
      <c r="D29" s="584" t="str">
        <f ca="1">IFERROR(AVERAGEIFS(LAST_FC!$L:$L,LAST_FC!$A:$A,TIME!$E$1,LAST_FC!$B:$B,Q_BRAND_FC!$B$1,LAST_FC!$C:$C,Q_BRAND_FC!$C$1,LAST_FC!$D:$D,Q_BRAND_FC!$K$3,LAST_FC!$E:$E,Q_BRAND_FC!$B31,LAST_FC!$F:$F,Q_BRAND_FC!D$24),"-")</f>
        <v>-</v>
      </c>
      <c r="E29" s="584" t="str">
        <f ca="1">IFERROR(AVERAGEIFS(LAST_FC!$L:$L,LAST_FC!$A:$A,TIME!$E$1,LAST_FC!$B:$B,Q_BRAND_FC!$B$1,LAST_FC!$C:$C,Q_BRAND_FC!$C$1,LAST_FC!$D:$D,Q_BRAND_FC!$K$3,LAST_FC!$E:$E,Q_BRAND_FC!$B31,LAST_FC!$F:$F,Q_BRAND_FC!E$24),"-")</f>
        <v>-</v>
      </c>
      <c r="F29" s="584" t="str">
        <f ca="1">IFERROR(AVERAGEIFS(LAST_FC!$L:$L,LAST_FC!$A:$A,TIME!$E$1,LAST_FC!$B:$B,Q_BRAND_FC!$B$1,LAST_FC!$C:$C,Q_BRAND_FC!$C$1,LAST_FC!$D:$D,Q_BRAND_FC!$K$3,LAST_FC!$E:$E,Q_BRAND_FC!$B31,LAST_FC!$F:$F,Q_BRAND_FC!F$24),"-")</f>
        <v>-</v>
      </c>
      <c r="G29" s="224"/>
      <c r="N29" s="184" t="str">
        <f ca="1">$N31&amp;" L.FC"</f>
        <v>18/19 L.FC</v>
      </c>
      <c r="O29" s="587" t="str">
        <f ca="1">IFERROR(AVERAGEIFS(LAST_FC!$K:$K,LAST_FC!$A:$A,TIME!$E$1,LAST_FC!$B:$B,Q_BRAND_FC!$B$1,LAST_FC!$C:$C,Q_BRAND_FC!$C$1,LAST_FC!$D:$D,Q_BRAND_FC!$K$3,LAST_FC!$E:$E,Q_BRAND_FC!$N31,LAST_FC!$F:$F,Q_BRAND_FC!O$24),"-")</f>
        <v>-</v>
      </c>
      <c r="P29" s="587" t="str">
        <f ca="1">IFERROR(AVERAGEIFS(LAST_FC!$K:$K,LAST_FC!$A:$A,TIME!$E$1,LAST_FC!$B:$B,Q_BRAND_FC!$B$1,LAST_FC!$C:$C,Q_BRAND_FC!$C$1,LAST_FC!$D:$D,Q_BRAND_FC!$K$3,LAST_FC!$E:$E,Q_BRAND_FC!$N31,LAST_FC!$F:$F,Q_BRAND_FC!P$24),"-")</f>
        <v>-</v>
      </c>
      <c r="Q29" s="587" t="str">
        <f ca="1">IFERROR(AVERAGEIFS(LAST_FC!$K:$K,LAST_FC!$A:$A,TIME!$E$1,LAST_FC!$B:$B,Q_BRAND_FC!$B$1,LAST_FC!$C:$C,Q_BRAND_FC!$C$1,LAST_FC!$D:$D,Q_BRAND_FC!$K$3,LAST_FC!$E:$E,Q_BRAND_FC!$N31,LAST_FC!$F:$F,Q_BRAND_FC!Q$24),"-")</f>
        <v>-</v>
      </c>
      <c r="R29" s="587" t="str">
        <f ca="1">IFERROR(AVERAGEIFS(LAST_FC!$K:$K,LAST_FC!$A:$A,TIME!$E$1,LAST_FC!$B:$B,Q_BRAND_FC!$B$1,LAST_FC!$C:$C,Q_BRAND_FC!$C$1,LAST_FC!$D:$D,Q_BRAND_FC!$K$3,LAST_FC!$E:$E,Q_BRAND_FC!$N31,LAST_FC!$F:$F,Q_BRAND_FC!R$24),"-")</f>
        <v>-</v>
      </c>
      <c r="S29" s="188"/>
      <c r="Z29" s="162"/>
      <c r="AA29" s="177"/>
    </row>
    <row r="30" spans="1:27" x14ac:dyDescent="0.25">
      <c r="B30" s="155" t="str">
        <f ca="1">$B$56</f>
        <v>19/20 L.FC</v>
      </c>
      <c r="C30" s="198" t="str">
        <f ca="1">IFERROR(AVERAGEIFS(LAST_FC!$L:$L,LAST_FC!$A:$A,TIME!$E$1,LAST_FC!$B:$B,Q_BRAND_FC!$B$1,LAST_FC!$C:$C,Q_BRAND_FC!$C$1,LAST_FC!$D:$D,Q_BRAND_FC!$K$3,LAST_FC!$E:$E,Q_BRAND_FC!$B32,LAST_FC!$F:$F,Q_BRAND_FC!C$24),"-")</f>
        <v>-</v>
      </c>
      <c r="D30" s="198" t="e">
        <f ca="1">IFERROR(AVERAGEIFS(LAST_FC!$L:$L,LAST_FC!$A:$A,TIME!$E$1,LAST_FC!$B:$B,Q_BRAND_FC!$B$1,LAST_FC!$C:$C,Q_BRAND_FC!$C$1,LAST_FC!$D:$D,Q_BRAND_FC!$K$3,LAST_FC!$E:$E,Q_BRAND_FC!$B32,LAST_FC!$F:$F,Q_BRAND_FC!D$24),NA())</f>
        <v>#N/A</v>
      </c>
      <c r="E30" s="198" t="e">
        <f ca="1">IFERROR(AVERAGEIFS(LAST_FC!$L:$L,LAST_FC!$A:$A,TIME!$E$1,LAST_FC!$B:$B,Q_BRAND_FC!$B$1,LAST_FC!$C:$C,Q_BRAND_FC!$C$1,LAST_FC!$D:$D,Q_BRAND_FC!$K$3,LAST_FC!$E:$E,Q_BRAND_FC!$B32,LAST_FC!$F:$F,Q_BRAND_FC!E$24),NA())</f>
        <v>#N/A</v>
      </c>
      <c r="F30" s="198" t="e">
        <f ca="1">IFERROR(AVERAGEIFS(LAST_FC!$L:$L,LAST_FC!$A:$A,TIME!$E$1,LAST_FC!$B:$B,Q_BRAND_FC!$B$1,LAST_FC!$C:$C,Q_BRAND_FC!$C$1,LAST_FC!$D:$D,Q_BRAND_FC!$K$3,LAST_FC!$E:$E,Q_BRAND_FC!$B32,LAST_FC!$F:$F,Q_BRAND_FC!F$24),NA())</f>
        <v>#N/A</v>
      </c>
      <c r="G30" s="195"/>
      <c r="N30" s="184" t="str">
        <f ca="1">$N32&amp;" L.FC"</f>
        <v>19/20 L.FC</v>
      </c>
      <c r="O30" s="588" t="str">
        <f ca="1">IFERROR(AVERAGEIFS(LAST_FC!$K:$K,LAST_FC!$A:$A,TIME!$E$1,LAST_FC!$B:$B,Q_BRAND_FC!$B$1,LAST_FC!$C:$C,Q_BRAND_FC!$C$1,LAST_FC!$D:$D,Q_BRAND_FC!$K$3,LAST_FC!$E:$E,Q_BRAND_FC!$N32,LAST_FC!$F:$F,Q_BRAND_FC!O$24),"-")</f>
        <v>-</v>
      </c>
      <c r="P30" s="588" t="str">
        <f ca="1">IFERROR(AVERAGEIFS(LAST_FC!$K:$K,LAST_FC!$A:$A,TIME!$E$1,LAST_FC!$B:$B,Q_BRAND_FC!$B$1,LAST_FC!$C:$C,Q_BRAND_FC!$C$1,LAST_FC!$D:$D,Q_BRAND_FC!$K$3,LAST_FC!$E:$E,Q_BRAND_FC!$N32,LAST_FC!$F:$F,Q_BRAND_FC!P$24),"-")</f>
        <v>-</v>
      </c>
      <c r="Q30" s="588" t="str">
        <f ca="1">IFERROR(AVERAGEIFS(LAST_FC!$K:$K,LAST_FC!$A:$A,TIME!$E$1,LAST_FC!$B:$B,Q_BRAND_FC!$B$1,LAST_FC!$C:$C,Q_BRAND_FC!$C$1,LAST_FC!$D:$D,Q_BRAND_FC!$K$3,LAST_FC!$E:$E,Q_BRAND_FC!$N32,LAST_FC!$F:$F,Q_BRAND_FC!Q$24),"-")</f>
        <v>-</v>
      </c>
      <c r="R30" s="588" t="str">
        <f ca="1">IFERROR(AVERAGEIFS(LAST_FC!$K:$K,LAST_FC!$A:$A,TIME!$E$1,LAST_FC!$B:$B,Q_BRAND_FC!$B$1,LAST_FC!$C:$C,Q_BRAND_FC!$C$1,LAST_FC!$D:$D,Q_BRAND_FC!$K$3,LAST_FC!$E:$E,Q_BRAND_FC!$N32,LAST_FC!$F:$F,Q_BRAND_FC!R$24),"-")</f>
        <v>-</v>
      </c>
      <c r="S30" s="188"/>
      <c r="T30" s="189"/>
      <c r="U30" s="189"/>
      <c r="V30" s="140"/>
      <c r="Z30" s="162"/>
      <c r="AA30" s="177"/>
    </row>
    <row r="31" spans="1:27" x14ac:dyDescent="0.25">
      <c r="B31" s="796" t="str">
        <f ca="1">$B$57</f>
        <v>18/19</v>
      </c>
      <c r="C31" s="135">
        <f ca="1">IF(C27&lt;&gt;"-",C27,IF(C36&lt;&gt;"",C36,IFERROR(VLOOKUP($B$1&amp;$C$1&amp;$K$3&amp;$B31&amp;C$24,FC_DATA!$A$2:$M$5000,13,FALSE),C29)))</f>
        <v>0.28525973489371903</v>
      </c>
      <c r="D31" s="585">
        <f ca="1">IF(D27&lt;&gt;"-",D27,IF(D36&lt;&gt;"",D36,IFERROR(VLOOKUP($B$1&amp;$C$1&amp;$K$3&amp;$B31&amp;D$24,FC_DATA!$A$2:$M$5000,13,FALSE),D29)))</f>
        <v>0.25916894078918201</v>
      </c>
      <c r="E31" s="135" t="str">
        <f ca="1">IF(E27&lt;&gt;"-",E27,IF(E36&lt;&gt;"",E36,IFERROR(VLOOKUP($B$1&amp;$C$1&amp;$K$3&amp;$B31&amp;E$24,FC_DATA!$A$2:$M$5000,13,FALSE),E29)))</f>
        <v>-</v>
      </c>
      <c r="F31" s="135" t="str">
        <f ca="1">IF(F27&lt;&gt;"-",F27,IF(F36&lt;&gt;"",F36,IFERROR(VLOOKUP($B$1&amp;$C$1&amp;$K$3&amp;$B31&amp;F$24,FC_DATA!$A$2:$M$5000,13,FALSE),F29)))</f>
        <v>-</v>
      </c>
      <c r="G31" s="141"/>
      <c r="N31" s="797" t="str">
        <f ca="1">$F$1</f>
        <v>18/19</v>
      </c>
      <c r="O31" s="542">
        <f ca="1">IF(O$27&lt;&gt;"-",O$27,IF(O$36&lt;&gt;"",O$36,IFERROR(AVERAGEIFS(FC_DATA!$K:$K,FC_DATA!$C:$C,Q_BRAND_FC!$B$1,FC_DATA!$D:$D,Q_BRAND_FC!$C$1,FC_DATA!$E:$E,Q_BRAND_FC!$K$3,FC_DATA!$F:$F,Q_BRAND_FC!$N31,FC_DATA!$G:$G,Q_BRAND_FC!O$24),O$26)))</f>
        <v>3.0764532711331398</v>
      </c>
      <c r="P31" s="542">
        <f ca="1">IF(P$27&lt;&gt;"-",P$27,IF(P$36&lt;&gt;"",P$36,IFERROR(AVERAGEIFS(FC_DATA!$K:$K,FC_DATA!$C:$C,Q_BRAND_FC!$B$1,FC_DATA!$D:$D,Q_BRAND_FC!$C$1,FC_DATA!$E:$E,Q_BRAND_FC!$K$3,FC_DATA!$F:$F,Q_BRAND_FC!$N31,FC_DATA!$G:$G,Q_BRAND_FC!P$24),P$26)))</f>
        <v>3.0953748875310598</v>
      </c>
      <c r="Q31" s="542">
        <f ca="1">IF(Q$27&lt;&gt;"-",Q$27,IF(Q$36&lt;&gt;"",Q$36,IFERROR(AVERAGEIFS(FC_DATA!$K:$K,FC_DATA!$C:$C,Q_BRAND_FC!$B$1,FC_DATA!$D:$D,Q_BRAND_FC!$C$1,FC_DATA!$E:$E,Q_BRAND_FC!$K$3,FC_DATA!$F:$F,Q_BRAND_FC!$N31,FC_DATA!$G:$G,Q_BRAND_FC!Q$24),Q$26)))</f>
        <v>3.1240388382618698</v>
      </c>
      <c r="R31" s="542">
        <f ca="1">IF(R$27&lt;&gt;"-",R$27,IF(R$36&lt;&gt;"",R$36,IFERROR(AVERAGEIFS(FC_DATA!$K:$K,FC_DATA!$C:$C,Q_BRAND_FC!$B$1,FC_DATA!$D:$D,Q_BRAND_FC!$C$1,FC_DATA!$E:$E,Q_BRAND_FC!$K$3,FC_DATA!$F:$F,Q_BRAND_FC!$N31,FC_DATA!$G:$G,Q_BRAND_FC!R$24),R$26)))</f>
        <v>3.0581261080632598</v>
      </c>
      <c r="S31" s="582"/>
      <c r="T31" s="189"/>
      <c r="U31" s="189"/>
      <c r="V31" s="140"/>
      <c r="Z31" s="162"/>
      <c r="AA31" s="177"/>
    </row>
    <row r="32" spans="1:27" ht="15.75" thickBot="1" x14ac:dyDescent="0.3">
      <c r="B32" s="219" t="str">
        <f ca="1">$B$58</f>
        <v>19/20</v>
      </c>
      <c r="C32" s="586" t="str">
        <f ca="1">IF(C37&lt;&gt;"",C37,IFERROR(VLOOKUP($B$1&amp;$C$1&amp;$K$3&amp;$B32&amp;C$24,FC_DATA!$A$2:$M$5000,13,FALSE),C30))</f>
        <v>-</v>
      </c>
      <c r="D32" s="586" t="e">
        <f ca="1">IF(D37&lt;&gt;"",D37,IFERROR(VLOOKUP($B$1&amp;$C$1&amp;$K$3&amp;$B32&amp;D$24,FC_DATA!$A$2:$M$5000,13,FALSE),D30))</f>
        <v>#N/A</v>
      </c>
      <c r="E32" s="586" t="e">
        <f ca="1">IF(E37&lt;&gt;"",E37,IFERROR(VLOOKUP($B$1&amp;$C$1&amp;$K$3&amp;$B32&amp;E$24,FC_DATA!$A$2:$M$5000,13,FALSE),E30))</f>
        <v>#N/A</v>
      </c>
      <c r="F32" s="586" t="e">
        <f ca="1">IF(F37&lt;&gt;"",F37,IFERROR(VLOOKUP($B$1&amp;$C$1&amp;$K$3&amp;$B32&amp;F$24,FC_DATA!$A$2:$M$5000,13,FALSE),F30))</f>
        <v>#N/A</v>
      </c>
      <c r="G32" s="225"/>
      <c r="N32" s="190" t="str">
        <f ca="1">VLOOKUP($F$1,TIME!$L$12:$P$16,5)</f>
        <v>19/20</v>
      </c>
      <c r="O32" s="544">
        <f ca="1">IF(O37&lt;&gt;"",O37,IFERROR(AVERAGEIFS(FC_DATA!$K:$K,FC_DATA!$C:$C,Q_BRAND_FC!$B$1,FC_DATA!$D:$D,Q_BRAND_FC!$C$1,FC_DATA!$E:$E,Q_BRAND_FC!$K$3,FC_DATA!$F:$F,Q_BRAND_FC!$N32,FC_DATA!$G:$G,Q_BRAND_FC!O$24),O31))</f>
        <v>3.0764532711331398</v>
      </c>
      <c r="P32" s="544">
        <f ca="1">IF(P37&lt;&gt;"",P37,IFERROR(AVERAGEIFS(FC_DATA!$K:$K,FC_DATA!$C:$C,Q_BRAND_FC!$B$1,FC_DATA!$D:$D,Q_BRAND_FC!$C$1,FC_DATA!$E:$E,Q_BRAND_FC!$K$3,FC_DATA!$F:$F,Q_BRAND_FC!$N32,FC_DATA!$G:$G,Q_BRAND_FC!P$24),P31))</f>
        <v>3.0953748875310598</v>
      </c>
      <c r="Q32" s="544">
        <f ca="1">IF(Q37&lt;&gt;"",Q37,IFERROR(AVERAGEIFS(FC_DATA!$K:$K,FC_DATA!$C:$C,Q_BRAND_FC!$B$1,FC_DATA!$D:$D,Q_BRAND_FC!$C$1,FC_DATA!$E:$E,Q_BRAND_FC!$K$3,FC_DATA!$F:$F,Q_BRAND_FC!$N32,FC_DATA!$G:$G,Q_BRAND_FC!Q$24),Q31))</f>
        <v>3.1240388382618698</v>
      </c>
      <c r="R32" s="544">
        <f ca="1">IF(R37&lt;&gt;"",R37,IFERROR(AVERAGEIFS(FC_DATA!$K:$K,FC_DATA!$C:$C,Q_BRAND_FC!$B$1,FC_DATA!$D:$D,Q_BRAND_FC!$C$1,FC_DATA!$E:$E,Q_BRAND_FC!$K$3,FC_DATA!$F:$F,Q_BRAND_FC!$N32,FC_DATA!$G:$G,Q_BRAND_FC!R$24),R31))</f>
        <v>3.0581261080632598</v>
      </c>
      <c r="S32" s="191"/>
      <c r="Z32" s="162"/>
      <c r="AA32" s="177"/>
    </row>
    <row r="33" spans="2:27" x14ac:dyDescent="0.25">
      <c r="B33" s="155" t="str">
        <f ca="1">"Delta %P " &amp;B31</f>
        <v>Delta %P 18/19</v>
      </c>
      <c r="C33" s="136">
        <f ca="1">IFERROR(C31-C26,"")</f>
        <v>0.19805598302150051</v>
      </c>
      <c r="D33" s="136">
        <f t="shared" ref="D33:F33" ca="1" si="7">IFERROR(D31-D26,"")</f>
        <v>0.18244433743110441</v>
      </c>
      <c r="E33" s="136" t="str">
        <f t="shared" ca="1" si="7"/>
        <v/>
      </c>
      <c r="F33" s="136" t="str">
        <f t="shared" ca="1" si="7"/>
        <v/>
      </c>
      <c r="G33" s="136"/>
      <c r="N33" s="155"/>
      <c r="O33" s="192"/>
      <c r="P33" s="192"/>
      <c r="Q33" s="192"/>
      <c r="R33" s="192"/>
      <c r="S33" s="192"/>
      <c r="Z33" s="162"/>
      <c r="AA33" s="177"/>
    </row>
    <row r="34" spans="2:27" ht="15.75" thickBot="1" x14ac:dyDescent="0.3">
      <c r="B34" s="143" t="str">
        <f ca="1">"Delta %P " &amp;B32</f>
        <v>Delta %P 19/20</v>
      </c>
      <c r="C34" s="146" t="str">
        <f ca="1">IFERROR(C32-C31,"")</f>
        <v/>
      </c>
      <c r="D34" s="146" t="str">
        <f t="shared" ref="D34:F34" ca="1" si="8">IFERROR(D32-D31,"")</f>
        <v/>
      </c>
      <c r="E34" s="146" t="str">
        <f t="shared" ca="1" si="8"/>
        <v/>
      </c>
      <c r="F34" s="146" t="str">
        <f t="shared" ca="1" si="8"/>
        <v/>
      </c>
      <c r="G34" s="146"/>
      <c r="Z34" s="162"/>
      <c r="AA34" s="177"/>
    </row>
    <row r="35" spans="2:27" x14ac:dyDescent="0.25">
      <c r="Z35" s="162"/>
      <c r="AA35" s="177"/>
    </row>
    <row r="36" spans="2:27" ht="15.75" x14ac:dyDescent="0.25">
      <c r="B36" s="156" t="str">
        <f ca="1">"INPUT " &amp;$B$57</f>
        <v>INPUT 18/19</v>
      </c>
      <c r="C36" s="754"/>
      <c r="D36" s="754"/>
      <c r="E36" s="754"/>
      <c r="F36" s="754"/>
      <c r="G36" s="157"/>
      <c r="N36" s="156" t="str">
        <f ca="1">B18</f>
        <v>INPUT 18/19</v>
      </c>
      <c r="O36" s="756"/>
      <c r="P36" s="756"/>
      <c r="Q36" s="756"/>
      <c r="R36" s="756"/>
      <c r="S36" s="517"/>
      <c r="Z36" s="162"/>
      <c r="AA36" s="177"/>
    </row>
    <row r="37" spans="2:27" ht="15.75" x14ac:dyDescent="0.25">
      <c r="B37" s="158" t="str">
        <f ca="1">"INPUT " &amp;$B$58</f>
        <v>INPUT 19/20</v>
      </c>
      <c r="C37" s="755"/>
      <c r="D37" s="755"/>
      <c r="E37" s="755"/>
      <c r="F37" s="755"/>
      <c r="G37" s="159"/>
      <c r="N37" s="158" t="str">
        <f ca="1">B19</f>
        <v>INPUT 19/20</v>
      </c>
      <c r="O37" s="757"/>
      <c r="P37" s="757"/>
      <c r="Q37" s="757"/>
      <c r="R37" s="757"/>
      <c r="S37" s="518"/>
      <c r="Z37" s="162"/>
      <c r="AA37" s="177"/>
    </row>
    <row r="38" spans="2:27" ht="15.75" x14ac:dyDescent="0.25">
      <c r="B38" s="297"/>
      <c r="C38" s="306"/>
      <c r="D38" s="306"/>
      <c r="E38" s="306"/>
      <c r="F38" s="306"/>
      <c r="G38" s="307"/>
      <c r="Z38" s="162"/>
      <c r="AA38" s="177"/>
    </row>
    <row r="39" spans="2:27" ht="15.75" x14ac:dyDescent="0.25">
      <c r="B39" s="297"/>
      <c r="C39" s="306"/>
      <c r="D39" s="306"/>
      <c r="E39" s="306"/>
      <c r="F39" s="306"/>
      <c r="G39" s="307"/>
      <c r="Z39" s="162"/>
      <c r="AA39" s="177"/>
    </row>
    <row r="40" spans="2:27" ht="15.75" x14ac:dyDescent="0.25">
      <c r="B40" s="297"/>
      <c r="C40" s="306"/>
      <c r="D40" s="306"/>
      <c r="E40" s="306"/>
      <c r="F40" s="306"/>
      <c r="G40" s="307"/>
      <c r="Z40" s="162"/>
      <c r="AA40" s="177"/>
    </row>
    <row r="41" spans="2:27" ht="15.75" x14ac:dyDescent="0.25">
      <c r="B41" s="297"/>
      <c r="C41" s="306"/>
      <c r="D41" s="306"/>
      <c r="E41" s="306"/>
      <c r="F41" s="306"/>
      <c r="G41" s="307"/>
      <c r="Z41" s="162"/>
      <c r="AA41" s="177"/>
    </row>
    <row r="42" spans="2:27" ht="15.75" x14ac:dyDescent="0.25">
      <c r="B42" s="297"/>
      <c r="C42" s="306"/>
      <c r="D42" s="306"/>
      <c r="E42" s="306"/>
      <c r="F42" s="306"/>
      <c r="G42" s="307"/>
      <c r="Y42" s="508"/>
      <c r="Z42" s="508"/>
      <c r="AA42" s="177"/>
    </row>
    <row r="43" spans="2:27" ht="15.75" x14ac:dyDescent="0.25">
      <c r="B43" s="297"/>
      <c r="C43" s="306"/>
      <c r="D43" s="306"/>
      <c r="E43" s="306"/>
      <c r="F43" s="306"/>
      <c r="G43" s="307"/>
      <c r="Z43" s="162"/>
      <c r="AA43" s="177"/>
    </row>
    <row r="44" spans="2:27" ht="15.75" x14ac:dyDescent="0.25">
      <c r="B44" s="297"/>
      <c r="C44" s="306"/>
      <c r="D44" s="306"/>
      <c r="E44" s="306"/>
      <c r="F44" s="306"/>
      <c r="G44" s="307"/>
      <c r="Z44" s="162"/>
      <c r="AA44" s="177"/>
    </row>
    <row r="45" spans="2:27" ht="15.75" x14ac:dyDescent="0.25">
      <c r="B45" s="297"/>
      <c r="C45" s="306"/>
      <c r="D45" s="306"/>
      <c r="E45" s="306"/>
      <c r="F45" s="306"/>
      <c r="G45" s="307"/>
      <c r="Z45" s="162"/>
      <c r="AA45" s="177"/>
    </row>
    <row r="46" spans="2:27" ht="15.75" x14ac:dyDescent="0.25">
      <c r="B46" s="297"/>
      <c r="C46" s="306"/>
      <c r="D46" s="306"/>
      <c r="E46" s="306"/>
      <c r="F46" s="306"/>
      <c r="G46" s="307"/>
      <c r="Z46" s="162"/>
      <c r="AA46" s="177"/>
    </row>
    <row r="47" spans="2:27" ht="18.75" x14ac:dyDescent="0.25">
      <c r="B47" s="199"/>
      <c r="C47" s="199"/>
      <c r="D47" s="124"/>
      <c r="E47" s="124"/>
      <c r="F47" s="124"/>
      <c r="G47" s="124"/>
      <c r="H47" s="124"/>
      <c r="I47" s="124"/>
      <c r="J47" s="124"/>
      <c r="K47" s="905" t="s">
        <v>162</v>
      </c>
      <c r="L47" s="905"/>
      <c r="M47" s="905"/>
      <c r="N47" s="123"/>
      <c r="O47" s="124"/>
      <c r="P47" s="124"/>
      <c r="Q47" s="124"/>
      <c r="R47" s="124"/>
      <c r="S47" s="124"/>
      <c r="T47" s="124"/>
      <c r="U47" s="124"/>
      <c r="V47" s="124"/>
      <c r="W47" s="124"/>
      <c r="X47" s="124"/>
      <c r="Y47" s="124"/>
      <c r="Z47" s="124"/>
      <c r="AA47" s="177"/>
    </row>
    <row r="48" spans="2:27" ht="18" thickBot="1" x14ac:dyDescent="0.3">
      <c r="B48" s="308"/>
      <c r="C48" s="308"/>
      <c r="D48" s="309"/>
      <c r="E48" s="309"/>
      <c r="F48" s="309"/>
      <c r="G48" s="309"/>
      <c r="H48" s="309"/>
      <c r="I48" s="309"/>
      <c r="J48" s="309"/>
      <c r="K48" s="310"/>
      <c r="L48" s="310"/>
      <c r="M48" s="310"/>
      <c r="N48" s="311"/>
      <c r="O48" s="309"/>
      <c r="P48" s="309"/>
      <c r="Q48" s="309"/>
      <c r="R48" s="309"/>
      <c r="S48" s="309"/>
      <c r="T48" s="309"/>
      <c r="U48" s="309"/>
      <c r="V48" s="309"/>
      <c r="W48" s="309"/>
      <c r="X48" s="309"/>
      <c r="Y48" s="309"/>
      <c r="Z48" s="309"/>
      <c r="AA48" s="177"/>
    </row>
    <row r="49" spans="1:27" x14ac:dyDescent="0.25">
      <c r="B49" s="900" t="s">
        <v>101</v>
      </c>
      <c r="C49" s="900"/>
      <c r="D49" s="900"/>
      <c r="E49" s="900"/>
      <c r="F49" s="900"/>
      <c r="G49" s="900"/>
      <c r="N49" s="900" t="s">
        <v>115</v>
      </c>
      <c r="O49" s="900"/>
      <c r="P49" s="900"/>
      <c r="Q49" s="900"/>
      <c r="R49" s="900"/>
      <c r="S49" s="900"/>
      <c r="AA49" s="177"/>
    </row>
    <row r="50" spans="1:27" x14ac:dyDescent="0.25">
      <c r="B50" s="133" t="s">
        <v>7</v>
      </c>
      <c r="C50" s="133" t="s">
        <v>56</v>
      </c>
      <c r="D50" s="133" t="s">
        <v>57</v>
      </c>
      <c r="E50" s="133" t="s">
        <v>58</v>
      </c>
      <c r="F50" s="133" t="s">
        <v>59</v>
      </c>
      <c r="G50" s="133" t="s">
        <v>80</v>
      </c>
      <c r="N50" s="133" t="s">
        <v>7</v>
      </c>
      <c r="O50" s="133" t="s">
        <v>56</v>
      </c>
      <c r="P50" s="133" t="s">
        <v>57</v>
      </c>
      <c r="Q50" s="133" t="s">
        <v>58</v>
      </c>
      <c r="R50" s="133" t="s">
        <v>59</v>
      </c>
      <c r="S50" s="133" t="s">
        <v>80</v>
      </c>
      <c r="AA50" s="177"/>
    </row>
    <row r="51" spans="1:27" x14ac:dyDescent="0.25">
      <c r="A51" s="148"/>
      <c r="B51" s="134" t="str">
        <f ca="1">VLOOKUP($F$1,TIME!$L$12:$P$16,3)</f>
        <v>16/17</v>
      </c>
      <c r="C51" s="520">
        <f ca="1">SUMIFS(HIS_SALES!$I:$I,HIS_SALES!$C:$C,Q_BRAND_FC!$B$1,HIS_SALES!$D:$D,Q_BRAND_FC!$C$1,HIS_SALES!$F:$F,Q_BRAND_FC!$B51,HIS_SALES!$G:$G,Q_BRAND_FC!C$50)</f>
        <v>8475806.1245000418</v>
      </c>
      <c r="D51" s="520">
        <f ca="1">SUMIFS(HIS_SALES!$I:$I,HIS_SALES!$C:$C,Q_BRAND_FC!$B$1,HIS_SALES!$D:$D,Q_BRAND_FC!$C$1,HIS_SALES!$F:$F,Q_BRAND_FC!$B51,HIS_SALES!$G:$G,Q_BRAND_FC!D$50)</f>
        <v>9144043.7896999791</v>
      </c>
      <c r="E51" s="520">
        <f ca="1">SUMIFS(HIS_SALES!$I:$I,HIS_SALES!$C:$C,Q_BRAND_FC!$B$1,HIS_SALES!$D:$D,Q_BRAND_FC!$C$1,HIS_SALES!$F:$F,Q_BRAND_FC!$B51,HIS_SALES!$G:$G,Q_BRAND_FC!E$50)</f>
        <v>8823977.3379999232</v>
      </c>
      <c r="F51" s="520">
        <f ca="1">SUMIFS(HIS_SALES!$I:$I,HIS_SALES!$C:$C,Q_BRAND_FC!$B$1,HIS_SALES!$D:$D,Q_BRAND_FC!$C$1,HIS_SALES!$F:$F,Q_BRAND_FC!$B51,HIS_SALES!$G:$G,Q_BRAND_FC!F$50)</f>
        <v>7460087.4669999154</v>
      </c>
      <c r="G51" s="520">
        <f ca="1">IFERROR(SUM(C51:F51),0)</f>
        <v>33903914.719199866</v>
      </c>
      <c r="N51" s="134" t="str">
        <f t="shared" ref="N51:N58" ca="1" si="9">B51</f>
        <v>16/17</v>
      </c>
      <c r="O51" s="135">
        <f ca="1">SUMIFS(HIS_SALES!$J:$J,HIS_SALES!$C:$C,Q_BRAND_FC!$B$1,HIS_SALES!$D:$D,Q_BRAND_FC!$C$1,HIS_SALES!$F:$F,Q_BRAND_FC!$B51,HIS_SALES!$G:$G,Q_BRAND_FC!O$50)/(SUMIFS(HIS_SALES!$I:$I,HIS_SALES!$C:$C,Q_BRAND_FC!$B$1,HIS_SALES!$D:$D,Q_BRAND_FC!$C$1,HIS_SALES!$F:$F,Q_BRAND_FC!$B51,HIS_SALES!$G:$G,Q_BRAND_FC!O$50)+SUMIFS(HIS_SALES!$J:$J,HIS_SALES!$C:$C,Q_BRAND_FC!$B$1,HIS_SALES!$D:$D,Q_BRAND_FC!$C$1,HIS_SALES!$F:$F,Q_BRAND_FC!$B51,HIS_SALES!$G:$G,Q_BRAND_FC!O$50))</f>
        <v>6.6990032380927933E-2</v>
      </c>
      <c r="P51" s="135">
        <f ca="1">SUMIFS(HIS_SALES!$J:$J,HIS_SALES!$C:$C,Q_BRAND_FC!$B$1,HIS_SALES!$D:$D,Q_BRAND_FC!$C$1,HIS_SALES!$F:$F,Q_BRAND_FC!$B51,HIS_SALES!$G:$G,Q_BRAND_FC!P$50)/(SUMIFS(HIS_SALES!$I:$I,HIS_SALES!$C:$C,Q_BRAND_FC!$B$1,HIS_SALES!$D:$D,Q_BRAND_FC!$C$1,HIS_SALES!$F:$F,Q_BRAND_FC!$B51,HIS_SALES!$G:$G,Q_BRAND_FC!P$50)+SUMIFS(HIS_SALES!$J:$J,HIS_SALES!$C:$C,Q_BRAND_FC!$B$1,HIS_SALES!$D:$D,Q_BRAND_FC!$C$1,HIS_SALES!$F:$F,Q_BRAND_FC!$B51,HIS_SALES!$G:$G,Q_BRAND_FC!P$50))</f>
        <v>7.6051200111961967E-2</v>
      </c>
      <c r="Q51" s="135">
        <f ca="1">SUMIFS(HIS_SALES!$J:$J,HIS_SALES!$C:$C,Q_BRAND_FC!$B$1,HIS_SALES!$D:$D,Q_BRAND_FC!$C$1,HIS_SALES!$F:$F,Q_BRAND_FC!$B51,HIS_SALES!$G:$G,Q_BRAND_FC!Q$50)/(SUMIFS(HIS_SALES!$I:$I,HIS_SALES!$C:$C,Q_BRAND_FC!$B$1,HIS_SALES!$D:$D,Q_BRAND_FC!$C$1,HIS_SALES!$F:$F,Q_BRAND_FC!$B51,HIS_SALES!$G:$G,Q_BRAND_FC!Q$50)+SUMIFS(HIS_SALES!$J:$J,HIS_SALES!$C:$C,Q_BRAND_FC!$B$1,HIS_SALES!$D:$D,Q_BRAND_FC!$C$1,HIS_SALES!$F:$F,Q_BRAND_FC!$B51,HIS_SALES!$G:$G,Q_BRAND_FC!Q$50))</f>
        <v>5.1313479583926118E-2</v>
      </c>
      <c r="R51" s="135">
        <f ca="1">SUMIFS(HIS_SALES!$J:$J,HIS_SALES!$C:$C,Q_BRAND_FC!$B$1,HIS_SALES!$D:$D,Q_BRAND_FC!$C$1,HIS_SALES!$F:$F,Q_BRAND_FC!$B51,HIS_SALES!$G:$G,Q_BRAND_FC!R$50)/(SUMIFS(HIS_SALES!$I:$I,HIS_SALES!$C:$C,Q_BRAND_FC!$B$1,HIS_SALES!$D:$D,Q_BRAND_FC!$C$1,HIS_SALES!$F:$F,Q_BRAND_FC!$B51,HIS_SALES!$G:$G,Q_BRAND_FC!R$50)+SUMIFS(HIS_SALES!$J:$J,HIS_SALES!$C:$C,Q_BRAND_FC!$B$1,HIS_SALES!$D:$D,Q_BRAND_FC!$C$1,HIS_SALES!$F:$F,Q_BRAND_FC!$B51,HIS_SALES!$G:$G,Q_BRAND_FC!R$50))</f>
        <v>4.7348895913578617E-2</v>
      </c>
      <c r="S51" s="136">
        <f ca="1">SUMIFS(HIS_SALES!$J:$J,HIS_SALES!$C:$C,$B$1,HIS_SALES!$D:$D,$C$1,HIS_SALES!$F:$F,$N7)/(SUMIFS(HIS_SALES!$I:$I,HIS_SALES!$C:$C,$B$1,HIS_SALES!$D:$D,$C$1,HIS_SALES!$F:$F,$N7)+SUMIFS(HIS_SALES!$J:$J,HIS_SALES!$C:$C,$B$1,HIS_SALES!$D:$D,$C$1,HIS_SALES!$F:$F,$N7))</f>
        <v>6.1176556530955176E-2</v>
      </c>
      <c r="AA51" s="177"/>
    </row>
    <row r="52" spans="1:27" x14ac:dyDescent="0.25">
      <c r="A52" s="148"/>
      <c r="B52" s="134" t="str">
        <f ca="1">VLOOKUP($F$1,TIME!$L$12:$P$16,2)</f>
        <v>17/18</v>
      </c>
      <c r="C52" s="521">
        <f ca="1">SUMIFS(HIS_SALES!$I:$I,HIS_SALES!$C:$C,Q_BRAND_FC!$B$1,HIS_SALES!$D:$D,Q_BRAND_FC!$C$1,HIS_SALES!$F:$F,Q_BRAND_FC!$B52,HIS_SALES!$G:$G,Q_BRAND_FC!C$50)</f>
        <v>9075678.3576998971</v>
      </c>
      <c r="D52" s="521">
        <f ca="1">SUMIFS(HIS_SALES!$I:$I,HIS_SALES!$C:$C,Q_BRAND_FC!$B$1,HIS_SALES!$D:$D,Q_BRAND_FC!$C$1,HIS_SALES!$F:$F,Q_BRAND_FC!$B52,HIS_SALES!$G:$G,Q_BRAND_FC!D$50)</f>
        <v>9456700.3081999477</v>
      </c>
      <c r="E52" s="521">
        <f ca="1">SUMIFS(HIS_SALES!$I:$I,HIS_SALES!$C:$C,Q_BRAND_FC!$B$1,HIS_SALES!$D:$D,Q_BRAND_FC!$C$1,HIS_SALES!$F:$F,Q_BRAND_FC!$B52,HIS_SALES!$G:$G,Q_BRAND_FC!E$50)</f>
        <v>9798506.1393998992</v>
      </c>
      <c r="F52" s="521">
        <f ca="1">SUMIFS(HIS_SALES!$I:$I,HIS_SALES!$C:$C,Q_BRAND_FC!$B$1,HIS_SALES!$D:$D,Q_BRAND_FC!$C$1,HIS_SALES!$F:$F,Q_BRAND_FC!$B52,HIS_SALES!$G:$G,Q_BRAND_FC!F$50)</f>
        <v>8340623.7313998966</v>
      </c>
      <c r="G52" s="521">
        <f t="shared" ref="G52:G53" ca="1" si="10">IFERROR(SUM(C52:F52),0)</f>
        <v>36671508.536699638</v>
      </c>
      <c r="N52" s="134" t="str">
        <f t="shared" ca="1" si="9"/>
        <v>17/18</v>
      </c>
      <c r="O52" s="135">
        <f ca="1">SUMIFS(HIS_SALES!$J:$J,HIS_SALES!$C:$C,Q_BRAND_FC!$B$1,HIS_SALES!$D:$D,Q_BRAND_FC!$C$1,HIS_SALES!$F:$F,Q_BRAND_FC!$B52,HIS_SALES!$G:$G,Q_BRAND_FC!O$50)/(SUMIFS(HIS_SALES!$I:$I,HIS_SALES!$C:$C,Q_BRAND_FC!$B$1,HIS_SALES!$D:$D,Q_BRAND_FC!$C$1,HIS_SALES!$F:$F,Q_BRAND_FC!$B52,HIS_SALES!$G:$G,Q_BRAND_FC!O$50)+SUMIFS(HIS_SALES!$J:$J,HIS_SALES!$C:$C,Q_BRAND_FC!$B$1,HIS_SALES!$D:$D,Q_BRAND_FC!$C$1,HIS_SALES!$F:$F,Q_BRAND_FC!$B52,HIS_SALES!$G:$G,Q_BRAND_FC!O$50))</f>
        <v>4.0499699013396291E-2</v>
      </c>
      <c r="P52" s="135">
        <f ca="1">SUMIFS(HIS_SALES!$J:$J,HIS_SALES!$C:$C,Q_BRAND_FC!$B$1,HIS_SALES!$D:$D,Q_BRAND_FC!$C$1,HIS_SALES!$F:$F,Q_BRAND_FC!$B52,HIS_SALES!$G:$G,Q_BRAND_FC!P$50)/(SUMIFS(HIS_SALES!$I:$I,HIS_SALES!$C:$C,Q_BRAND_FC!$B$1,HIS_SALES!$D:$D,Q_BRAND_FC!$C$1,HIS_SALES!$F:$F,Q_BRAND_FC!$B52,HIS_SALES!$G:$G,Q_BRAND_FC!P$50)+SUMIFS(HIS_SALES!$J:$J,HIS_SALES!$C:$C,Q_BRAND_FC!$B$1,HIS_SALES!$D:$D,Q_BRAND_FC!$C$1,HIS_SALES!$F:$F,Q_BRAND_FC!$B52,HIS_SALES!$G:$G,Q_BRAND_FC!P$50))</f>
        <v>7.4902733342980574E-2</v>
      </c>
      <c r="Q52" s="135">
        <f ca="1">SUMIFS(HIS_SALES!$J:$J,HIS_SALES!$C:$C,Q_BRAND_FC!$B$1,HIS_SALES!$D:$D,Q_BRAND_FC!$C$1,HIS_SALES!$F:$F,Q_BRAND_FC!$B52,HIS_SALES!$G:$G,Q_BRAND_FC!Q$50)/(SUMIFS(HIS_SALES!$I:$I,HIS_SALES!$C:$C,Q_BRAND_FC!$B$1,HIS_SALES!$D:$D,Q_BRAND_FC!$C$1,HIS_SALES!$F:$F,Q_BRAND_FC!$B52,HIS_SALES!$G:$G,Q_BRAND_FC!Q$50)+SUMIFS(HIS_SALES!$J:$J,HIS_SALES!$C:$C,Q_BRAND_FC!$B$1,HIS_SALES!$D:$D,Q_BRAND_FC!$C$1,HIS_SALES!$F:$F,Q_BRAND_FC!$B52,HIS_SALES!$G:$G,Q_BRAND_FC!Q$50))</f>
        <v>4.9915451710273694E-2</v>
      </c>
      <c r="R52" s="135">
        <f ca="1">IFERROR(SUMIFS(HIS_SALES!$J:$J,HIS_SALES!$C:$C,Q_BRAND_FC!$B$1,HIS_SALES!$D:$D,Q_BRAND_FC!$C$1,HIS_SALES!$F:$F,Q_BRAND_FC!$B52,HIS_SALES!$G:$G,Q_BRAND_FC!R$50)/(SUMIFS(HIS_SALES!$I:$I,HIS_SALES!$C:$C,Q_BRAND_FC!$B$1,HIS_SALES!$D:$D,Q_BRAND_FC!$C$1,HIS_SALES!$F:$F,Q_BRAND_FC!$B52,HIS_SALES!$G:$G,Q_BRAND_FC!R$50)+SUMIFS(HIS_SALES!$J:$J,HIS_SALES!$C:$C,Q_BRAND_FC!$B$1,HIS_SALES!$D:$D,Q_BRAND_FC!$C$1,HIS_SALES!$F:$F,Q_BRAND_FC!$B52,HIS_SALES!$G:$G,Q_BRAND_FC!R$50)),"-")</f>
        <v>6.3543366848550262E-2</v>
      </c>
      <c r="S52" s="136">
        <f ca="1">SUMIFS(HIS_SALES!$J:$J,HIS_SALES!$C:$C,$B$1,HIS_SALES!$D:$D,$C$1,HIS_SALES!$F:$F,$N8)/(SUMIFS(HIS_SALES!$I:$I,HIS_SALES!$C:$C,$B$1,HIS_SALES!$D:$D,$C$1,HIS_SALES!$F:$F,$N8)+SUMIFS(HIS_SALES!$J:$J,HIS_SALES!$C:$C,$B$1,HIS_SALES!$D:$D,$C$1,HIS_SALES!$F:$F,$N8))</f>
        <v>5.731233795313867E-2</v>
      </c>
      <c r="AA52" s="177"/>
    </row>
    <row r="53" spans="1:27" ht="15.75" thickBot="1" x14ac:dyDescent="0.3">
      <c r="B53" s="137" t="str">
        <f ca="1">VLOOKUP($F$1,TIME!$L$12:$P$16,1)</f>
        <v>18/19</v>
      </c>
      <c r="C53" s="522">
        <f ca="1">IF(ISNA(VLOOKUP(_xlfn.CONCAT($B9,C$6),TIME!$L$27:$N$31,3)),SUMIFS(HIS_SALES!$I:$I,HIS_SALES!$C:$C,Q_BRAND_FC!$B$1,HIS_SALES!$D:$D,Q_BRAND_FC!$C$1,HIS_SALES!$F:$F,Q_BRAND_FC!$B53,HIS_SALES!$G:$G,Q_BRAND_FC!C$50),0)</f>
        <v>10806817.290099872</v>
      </c>
      <c r="D53" s="522">
        <f ca="1">IF(ISNA(VLOOKUP(_xlfn.CONCAT($B9,D$6),TIME!$L$27:$N$31,3)),SUMIFS(HIS_SALES!$I:$I,HIS_SALES!$C:$C,Q_BRAND_FC!$B$1,HIS_SALES!$D:$D,Q_BRAND_FC!$C$1,HIS_SALES!$F:$F,Q_BRAND_FC!$B53,HIS_SALES!$G:$G,Q_BRAND_FC!D$50),0)</f>
        <v>4168066.5928999409</v>
      </c>
      <c r="E53" s="522">
        <f ca="1">IF(ISNA(VLOOKUP(_xlfn.CONCAT($B9,E$6),TIME!$L$27:$N$31,3)),SUMIFS(HIS_SALES!$I:$I,HIS_SALES!$C:$C,Q_BRAND_FC!$B$1,HIS_SALES!$D:$D,Q_BRAND_FC!$C$1,HIS_SALES!$F:$F,Q_BRAND_FC!$B53,HIS_SALES!$G:$G,Q_BRAND_FC!E$50),0)</f>
        <v>0</v>
      </c>
      <c r="F53" s="522">
        <f ca="1">IF(ISNA(VLOOKUP(_xlfn.CONCAT($B9,F$6),TIME!$L$27:$N$31,3)),SUMIFS(HIS_SALES!$I:$I,HIS_SALES!$C:$C,Q_BRAND_FC!$B$1,HIS_SALES!$D:$D,Q_BRAND_FC!$C$1,HIS_SALES!$F:$F,Q_BRAND_FC!$B53,HIS_SALES!$G:$G,Q_BRAND_FC!F$50),0)</f>
        <v>0</v>
      </c>
      <c r="G53" s="522">
        <f t="shared" ca="1" si="10"/>
        <v>14974883.882999813</v>
      </c>
      <c r="N53" s="137" t="str">
        <f t="shared" ca="1" si="9"/>
        <v>18/19</v>
      </c>
      <c r="O53" s="138">
        <f ca="1">IF(ISNA(VLOOKUP(_xlfn.CONCAT($B9,C$6),TIME!$L$27:$N$31,3)),SUMIFS(HIS_SALES!$J:$J,HIS_SALES!$C:$C,Q_BRAND_FC!$B$1,HIS_SALES!$D:$D,Q_BRAND_FC!$C$1,HIS_SALES!$F:$F,Q_BRAND_FC!$B53,HIS_SALES!$G:$G,Q_BRAND_FC!O$50)/(SUMIFS(HIS_SALES!$I:$I,HIS_SALES!$C:$C,Q_BRAND_FC!$B$1,HIS_SALES!$D:$D,Q_BRAND_FC!$C$1,HIS_SALES!$F:$F,Q_BRAND_FC!$B53,HIS_SALES!$G:$G,Q_BRAND_FC!O$50)+SUMIFS(HIS_SALES!$J:$J,HIS_SALES!$C:$C,Q_BRAND_FC!$B$1,HIS_SALES!$D:$D,Q_BRAND_FC!$C$1,HIS_SALES!$F:$F,Q_BRAND_FC!$B53,HIS_SALES!$G:$G,Q_BRAND_FC!O$50)),"-")</f>
        <v>4.946982431671678E-2</v>
      </c>
      <c r="P53" s="138">
        <f ca="1">IF(ISNA(VLOOKUP(_xlfn.CONCAT($B9,D$6),TIME!$L$27:$N$31,3)),SUMIFS(HIS_SALES!$J:$J,HIS_SALES!$C:$C,Q_BRAND_FC!$B$1,HIS_SALES!$D:$D,Q_BRAND_FC!$C$1,HIS_SALES!$F:$F,Q_BRAND_FC!$B53,HIS_SALES!$G:$G,Q_BRAND_FC!P$50)/(SUMIFS(HIS_SALES!$I:$I,HIS_SALES!$C:$C,Q_BRAND_FC!$B$1,HIS_SALES!$D:$D,Q_BRAND_FC!$C$1,HIS_SALES!$F:$F,Q_BRAND_FC!$B53,HIS_SALES!$G:$G,Q_BRAND_FC!P$50)+SUMIFS(HIS_SALES!$J:$J,HIS_SALES!$C:$C,Q_BRAND_FC!$B$1,HIS_SALES!$D:$D,Q_BRAND_FC!$C$1,HIS_SALES!$F:$F,Q_BRAND_FC!$B53,HIS_SALES!$G:$G,Q_BRAND_FC!P$50)),"-")</f>
        <v>8.461808501181825E-2</v>
      </c>
      <c r="Q53" s="138" t="str">
        <f ca="1">IF(ISNA(VLOOKUP(_xlfn.CONCAT($B9,E$6),TIME!$L$27:$N$31,3)),SUMIFS(HIS_SALES!$J:$J,HIS_SALES!$C:$C,Q_BRAND_FC!$B$1,HIS_SALES!$D:$D,Q_BRAND_FC!$C$1,HIS_SALES!$F:$F,Q_BRAND_FC!$B53,HIS_SALES!$G:$G,Q_BRAND_FC!Q$50)/(SUMIFS(HIS_SALES!$I:$I,HIS_SALES!$C:$C,Q_BRAND_FC!$B$1,HIS_SALES!$D:$D,Q_BRAND_FC!$C$1,HIS_SALES!$F:$F,Q_BRAND_FC!$B53,HIS_SALES!$G:$G,Q_BRAND_FC!Q$50)+SUMIFS(HIS_SALES!$J:$J,HIS_SALES!$C:$C,Q_BRAND_FC!$B$1,HIS_SALES!$D:$D,Q_BRAND_FC!$C$1,HIS_SALES!$F:$F,Q_BRAND_FC!$B53,HIS_SALES!$G:$G,Q_BRAND_FC!Q$50)),"-")</f>
        <v>-</v>
      </c>
      <c r="R53" s="138" t="str">
        <f ca="1">IF(ISNA(VLOOKUP(_xlfn.CONCAT($B9,F$6),TIME!$L$27:$N$31,3)),SUMIFS(HIS_SALES!$J:$J,HIS_SALES!$C:$C,Q_BRAND_FC!$B$1,HIS_SALES!$D:$D,Q_BRAND_FC!$C$1,HIS_SALES!$F:$F,Q_BRAND_FC!$B53,HIS_SALES!$G:$G,Q_BRAND_FC!R$50)/(SUMIFS(HIS_SALES!$I:$I,HIS_SALES!$C:$C,Q_BRAND_FC!$B$1,HIS_SALES!$D:$D,Q_BRAND_FC!$C$1,HIS_SALES!$F:$F,Q_BRAND_FC!$B53,HIS_SALES!$G:$G,Q_BRAND_FC!R$50)+SUMIFS(HIS_SALES!$J:$J,HIS_SALES!$C:$C,Q_BRAND_FC!$B$1,HIS_SALES!$D:$D,Q_BRAND_FC!$C$1,HIS_SALES!$F:$F,Q_BRAND_FC!$B53,HIS_SALES!$G:$G,Q_BRAND_FC!R$50)),"-")</f>
        <v>-</v>
      </c>
      <c r="S53" s="139">
        <f ca="1">IFERROR(SUMIFS(HIS_SALES!$J:$J,HIS_SALES!$C:$C,$B$1,HIS_SALES!$D:$D,$C$1,HIS_SALES!$F:$F,$N9)/(SUMIFS(HIS_SALES!$I:$I,HIS_SALES!$C:$C,$B$1,HIS_SALES!$D:$D,$C$1,HIS_SALES!$F:$F,$N9)+SUMIFS(HIS_SALES!$J:$J,HIS_SALES!$C:$C,$B$1,HIS_SALES!$D:$D,$C$1,HIS_SALES!$F:$F,$N9)),"-")</f>
        <v>5.9521113009544706E-2</v>
      </c>
      <c r="AA53" s="177"/>
    </row>
    <row r="54" spans="1:27" ht="15.75" thickTop="1" x14ac:dyDescent="0.25">
      <c r="B54" s="887" t="s">
        <v>100</v>
      </c>
      <c r="C54" s="887"/>
      <c r="D54" s="887"/>
      <c r="E54" s="887"/>
      <c r="F54" s="887"/>
      <c r="G54" s="887"/>
      <c r="N54" s="887" t="s">
        <v>102</v>
      </c>
      <c r="O54" s="887"/>
      <c r="P54" s="887"/>
      <c r="Q54" s="887"/>
      <c r="R54" s="887"/>
      <c r="S54" s="887"/>
      <c r="AA54" s="177"/>
    </row>
    <row r="55" spans="1:27" x14ac:dyDescent="0.25">
      <c r="B55" s="134" t="str">
        <f ca="1">$B57&amp;" L.FC"</f>
        <v>18/19 L.FC</v>
      </c>
      <c r="C55" s="523">
        <f ca="1">SUMIFS(LAST_FC!$I:$I,LAST_FC!$A:$A,TIME!$E$1,LAST_FC!$B:$B,$B$1,LAST_FC!$C:$C,$C$1,LAST_FC!$E:$E,$B57,LAST_FC!$F:$F,C$50)</f>
        <v>0</v>
      </c>
      <c r="D55" s="523">
        <f ca="1">SUMIFS(LAST_FC!$I:$I,LAST_FC!$A:$A,TIME!$E$1,LAST_FC!$B:$B,$B$1,LAST_FC!$C:$C,$C$1,LAST_FC!$E:$E,$B57,LAST_FC!$F:$F,D$50)</f>
        <v>0</v>
      </c>
      <c r="E55" s="523">
        <f ca="1">SUMIFS(LAST_FC!$I:$I,LAST_FC!$A:$A,TIME!$E$1,LAST_FC!$B:$B,$B$1,LAST_FC!$C:$C,$C$1,LAST_FC!$E:$E,$B57,LAST_FC!$F:$F,E$50)</f>
        <v>0</v>
      </c>
      <c r="F55" s="523">
        <f ca="1">SUMIFS(LAST_FC!$I:$I,LAST_FC!$A:$A,TIME!$E$1,LAST_FC!$B:$B,$B$1,LAST_FC!$C:$C,$C$1,LAST_FC!$E:$E,$B57,LAST_FC!$F:$F,F$50)</f>
        <v>0</v>
      </c>
      <c r="G55" s="524">
        <f ca="1">IFERROR(SUM(C55:F55),0)</f>
        <v>0</v>
      </c>
      <c r="N55" s="134" t="str">
        <f ca="1">B55</f>
        <v>18/19 L.FC</v>
      </c>
      <c r="O55" s="196" t="str">
        <f ca="1">IFERROR(1-SUMIFS(LAST_FC!$I:$I,LAST_FC!$A:$A,TIME!$E$1,LAST_FC!$B:$B,$B$1,LAST_FC!$C:$C,$C$1,LAST_FC!$E:$E,$B13,LAST_FC!$F:$F,C$6)/SUMIFS(LAST_FC!$H:$H,LAST_FC!$A:$A,TIME!$E$1,LAST_FC!$B:$B,$B$1,LAST_FC!$C:$C,$C$1,LAST_FC!$E:$E,$B13,LAST_FC!$F:$F,C$6),"-")</f>
        <v>-</v>
      </c>
      <c r="P55" s="196" t="str">
        <f ca="1">IFERROR(1-SUMIFS(LAST_FC!$I:$I,LAST_FC!$A:$A,TIME!$E$1,LAST_FC!$B:$B,$B$1,LAST_FC!$C:$C,$C$1,LAST_FC!$E:$E,$B13,LAST_FC!$F:$F,D$6)/SUMIFS(LAST_FC!$H:$H,LAST_FC!$A:$A,TIME!$E$1,LAST_FC!$B:$B,$B$1,LAST_FC!$C:$C,$C$1,LAST_FC!$E:$E,$B13,LAST_FC!$F:$F,D$6),"-")</f>
        <v>-</v>
      </c>
      <c r="Q55" s="196" t="str">
        <f ca="1">IFERROR(1-SUMIFS(LAST_FC!$I:$I,LAST_FC!$A:$A,TIME!$E$1,LAST_FC!$B:$B,$B$1,LAST_FC!$C:$C,$C$1,LAST_FC!$E:$E,$B13,LAST_FC!$F:$F,E$6)/SUMIFS(LAST_FC!$H:$H,LAST_FC!$A:$A,TIME!$E$1,LAST_FC!$B:$B,$B$1,LAST_FC!$C:$C,$C$1,LAST_FC!$E:$E,$B13,LAST_FC!$F:$F,E$6),"-")</f>
        <v>-</v>
      </c>
      <c r="R55" s="196" t="str">
        <f ca="1">IFERROR(1-SUMIFS(LAST_FC!$I:$I,LAST_FC!$A:$A,TIME!$E$1,LAST_FC!$B:$B,$B$1,LAST_FC!$C:$C,$C$1,LAST_FC!$E:$E,$B13,LAST_FC!$F:$F,F$6)/SUMIFS(LAST_FC!$H:$H,LAST_FC!$A:$A,TIME!$E$1,LAST_FC!$B:$B,$B$1,LAST_FC!$C:$C,$C$1,LAST_FC!$E:$E,$B13,LAST_FC!$F:$F,F$6),"-")</f>
        <v>-</v>
      </c>
      <c r="S55" s="194" t="str">
        <f ca="1">IFERROR(SUMIFS(LAST_FC!$L:$L,LAST_FC!$C:$C,Q_BRAND_FC!$B$1,LAST_FC!$D:$D,Q_BRAND_FC!$C$1,LAST_FC!$F:$F,Q_BRAND_FC!$N57)/SUMIFS(LAST_FC!$M:$M,LAST_FC!$C:$C,Q_BRAND_FC!$B$1,LAST_FC!$D:$D,Q_BRAND_FC!$C$1,LAST_FC!$F:$F,Q_BRAND_FC!$N57),"")</f>
        <v/>
      </c>
      <c r="AA55" s="177"/>
    </row>
    <row r="56" spans="1:27" x14ac:dyDescent="0.25">
      <c r="B56" s="302" t="str">
        <f ca="1">$B58&amp;" L.FC"</f>
        <v>19/20 L.FC</v>
      </c>
      <c r="C56" s="525">
        <f ca="1">SUMIFS(LAST_FC!$I:$I,LAST_FC!$A:$A,TIME!$E$1,LAST_FC!$B:$B,$B$1,LAST_FC!$C:$C,$C$1,LAST_FC!$E:$E,$B58,LAST_FC!$F:$F,C$50)</f>
        <v>0</v>
      </c>
      <c r="D56" s="525">
        <f ca="1">SUMIFS(LAST_FC!$I:$I,LAST_FC!$A:$A,TIME!$E$1,LAST_FC!$B:$B,$B$1,LAST_FC!$C:$C,$C$1,LAST_FC!$E:$E,$B58,LAST_FC!$F:$F,D$50)</f>
        <v>0</v>
      </c>
      <c r="E56" s="525">
        <f ca="1">SUMIFS(LAST_FC!$I:$I,LAST_FC!$A:$A,TIME!$E$1,LAST_FC!$B:$B,$B$1,LAST_FC!$C:$C,$C$1,LAST_FC!$E:$E,$B58,LAST_FC!$F:$F,E$50)</f>
        <v>0</v>
      </c>
      <c r="F56" s="525">
        <f ca="1">SUMIFS(LAST_FC!$I:$I,LAST_FC!$A:$A,TIME!$E$1,LAST_FC!$B:$B,$B$1,LAST_FC!$C:$C,$C$1,LAST_FC!$E:$E,$B58,LAST_FC!$F:$F,F$50)</f>
        <v>0</v>
      </c>
      <c r="G56" s="525">
        <f ca="1">IFERROR(SUM(C56:F56),0)</f>
        <v>0</v>
      </c>
      <c r="N56" s="134" t="str">
        <f ca="1">B56</f>
        <v>19/20 L.FC</v>
      </c>
      <c r="O56" s="198" t="str">
        <f ca="1">IFERROR(1-SUMIFS(LAST_FC!$I:$I,LAST_FC!$A:$A,TIME!$E$1,LAST_FC!$B:$B,$B$1,LAST_FC!$C:$C,$C$1,LAST_FC!$E:$E,$B14,LAST_FC!$F:$F,C$6)/SUMIFS(LAST_FC!$H:$H,LAST_FC!$A:$A,TIME!$E$1,LAST_FC!$B:$B,$B$1,LAST_FC!$C:$C,$C$1,LAST_FC!$E:$E,$B14,LAST_FC!$F:$F,C$6),"-")</f>
        <v>-</v>
      </c>
      <c r="P56" s="198" t="str">
        <f ca="1">IFERROR(1-SUMIFS(LAST_FC!$I:$I,LAST_FC!$A:$A,TIME!$E$1,LAST_FC!$B:$B,$B$1,LAST_FC!$C:$C,$C$1,LAST_FC!$E:$E,$B14,LAST_FC!$F:$F,D$6)/SUMIFS(LAST_FC!$H:$H,LAST_FC!$A:$A,TIME!$E$1,LAST_FC!$B:$B,$B$1,LAST_FC!$C:$C,$C$1,LAST_FC!$E:$E,$B14,LAST_FC!$F:$F,D$6),"-")</f>
        <v>-</v>
      </c>
      <c r="Q56" s="198" t="str">
        <f ca="1">IFERROR(1-SUMIFS(LAST_FC!$I:$I,LAST_FC!$A:$A,TIME!$E$1,LAST_FC!$B:$B,$B$1,LAST_FC!$C:$C,$C$1,LAST_FC!$E:$E,$B14,LAST_FC!$F:$F,E$6)/SUMIFS(LAST_FC!$H:$H,LAST_FC!$A:$A,TIME!$E$1,LAST_FC!$B:$B,$B$1,LAST_FC!$C:$C,$C$1,LAST_FC!$E:$E,$B14,LAST_FC!$F:$F,E$6),"-")</f>
        <v>-</v>
      </c>
      <c r="R56" s="198" t="str">
        <f ca="1">IFERROR(1-SUMIFS(LAST_FC!$I:$I,LAST_FC!$A:$A,TIME!$E$1,LAST_FC!$B:$B,$B$1,LAST_FC!$C:$C,$C$1,LAST_FC!$E:$E,$B14,LAST_FC!$F:$F,F$6)/SUMIFS(LAST_FC!$H:$H,LAST_FC!$A:$A,TIME!$E$1,LAST_FC!$B:$B,$B$1,LAST_FC!$C:$C,$C$1,LAST_FC!$E:$E,$B14,LAST_FC!$F:$F,F$6),"-")</f>
        <v>-</v>
      </c>
      <c r="S56" s="195" t="str">
        <f ca="1">IFERROR(SUMIFS(LAST_FC!$L:$L,LAST_FC!$C:$C,Q_BRAND_FC!$B$1,LAST_FC!$D:$D,Q_BRAND_FC!$C$1,LAST_FC!$F:$F,Q_BRAND_FC!$N58)/SUMIFS(LAST_FC!$M:$M,LAST_FC!$C:$C,Q_BRAND_FC!$B$1,LAST_FC!$D:$D,Q_BRAND_FC!$C$1,LAST_FC!$F:$F,Q_BRAND_FC!$N58),"")</f>
        <v/>
      </c>
      <c r="AA56" s="177"/>
    </row>
    <row r="57" spans="1:27" x14ac:dyDescent="0.25">
      <c r="B57" s="134" t="str">
        <f ca="1">F1</f>
        <v>18/19</v>
      </c>
      <c r="C57" s="521">
        <f ca="1">IF(_xlfn.CONCAT($B57&amp;C$50)=TIME!$L$27,SUMIFS(FC_DATA!$I:$I,FC_DATA!$C:$C,$B$1,FC_DATA!$D:$D,$C$1,FC_DATA!$F:$F,$B57,FC_DATA!$G:$G,C$50),IF(C$53&lt;&gt;0,C$53,IFERROR(SUMIFS(FC_DATA!$I:$I,FC_DATA!$C:$C,$B$1,FC_DATA!$D:$D,$C$1,FC_DATA!$F:$F,$B57,FC_DATA!$G:$G,C$50)/3,0)))</f>
        <v>10806817.290099872</v>
      </c>
      <c r="D57" s="521">
        <f ca="1">IF(_xlfn.CONCAT($B57&amp;D$50)=TIME!$L$27,SUMIFS(FC_DATA!$I:$I,FC_DATA!$C:$C,$B$1,FC_DATA!$D:$D,$C$1,FC_DATA!$F:$F,$B57,FC_DATA!$G:$G,D$50),IF(D$53&lt;&gt;0,D$53,IFERROR(SUMIFS(FC_DATA!$I:$I,FC_DATA!$C:$C,$B$1,FC_DATA!$D:$D,$C$1,FC_DATA!$F:$F,$B57,FC_DATA!$G:$G,D$50)/3,0)))</f>
        <v>4168066.5928999409</v>
      </c>
      <c r="E57" s="521">
        <f ca="1">IF(_xlfn.CONCAT($B57&amp;E$50)=TIME!$L$27,SUMIFS(FC_DATA!$I:$I,FC_DATA!$C:$C,$B$1,FC_DATA!$D:$D,$C$1,FC_DATA!$F:$F,$B57,FC_DATA!$G:$G,E$50),IF(E$53&lt;&gt;0,E$53,IFERROR(SUMIFS(FC_DATA!$I:$I,FC_DATA!$C:$C,$B$1,FC_DATA!$D:$D,$C$1,FC_DATA!$F:$F,$B57,FC_DATA!$G:$G,E$50)/3,0)))</f>
        <v>0</v>
      </c>
      <c r="F57" s="521">
        <f ca="1">IF(_xlfn.CONCAT($B57&amp;F$50)=TIME!$L$27,SUMIFS(FC_DATA!$I:$I,FC_DATA!$C:$C,$B$1,FC_DATA!$D:$D,$C$1,FC_DATA!$F:$F,$B57,FC_DATA!$G:$G,F$50),IF(F$53&lt;&gt;0,F$53,IFERROR(SUMIFS(FC_DATA!$I:$I,FC_DATA!$C:$C,$B$1,FC_DATA!$D:$D,$C$1,FC_DATA!$F:$F,$B57,FC_DATA!$G:$G,F$50)/3,0)))</f>
        <v>0</v>
      </c>
      <c r="G57" s="521">
        <f ca="1">IFERROR(C57,0)+IFERROR(D57,0)+IFERROR(E57,0)+IFERROR(F57,0)</f>
        <v>14974883.882999813</v>
      </c>
      <c r="J57" s="140"/>
      <c r="N57" s="134" t="str">
        <f ca="1">B57</f>
        <v>18/19</v>
      </c>
      <c r="O57" s="135">
        <f ca="1">IFERROR(IF(O$53&lt;&gt;"-",O$53,SUMIFS(FC_DATA!$N:$N,FC_DATA!$C:$C,$B$1,FC_DATA!$D:$D,$C$1,FC_DATA!$F:$F,$N57,FC_DATA!$G:$G,O$50)/(SUMIFS(FC_DATA!$N:$N,FC_DATA!$C:$C,$B$1,FC_DATA!$D:$D,$C$1,FC_DATA!$F:$F,$N57,FC_DATA!$G:$G,O$50)+SUMIFS(FC_DATA!$I:$I,FC_DATA!$C:$C,$B$1,FC_DATA!$D:$D,$C$1,FC_DATA!$F:$F,$N57,FC_DATA!$G:$G,O$50))),"-")</f>
        <v>4.946982431671678E-2</v>
      </c>
      <c r="P57" s="135">
        <f ca="1">IFERROR(IF(P$53&lt;&gt;"-",P$53,SUMIFS(FC_DATA!$N:$N,FC_DATA!$C:$C,$B$1,FC_DATA!$D:$D,$C$1,FC_DATA!$F:$F,$N57,FC_DATA!$G:$G,P$50)/(SUMIFS(FC_DATA!$N:$N,FC_DATA!$C:$C,$B$1,FC_DATA!$D:$D,$C$1,FC_DATA!$F:$F,$N57,FC_DATA!$G:$G,P$50)+SUMIFS(FC_DATA!$I:$I,FC_DATA!$C:$C,$B$1,FC_DATA!$D:$D,$C$1,FC_DATA!$F:$F,$N57,FC_DATA!$G:$G,P$50))),"-")</f>
        <v>8.461808501181825E-2</v>
      </c>
      <c r="Q57" s="135" t="str">
        <f ca="1">IFERROR(IF(Q$53&lt;&gt;"-",Q$53,SUMIFS(FC_DATA!$N:$N,FC_DATA!$C:$C,$B$1,FC_DATA!$D:$D,$C$1,FC_DATA!$F:$F,$N57,FC_DATA!$G:$G,Q$50)/(SUMIFS(FC_DATA!$N:$N,FC_DATA!$C:$C,$B$1,FC_DATA!$D:$D,$C$1,FC_DATA!$F:$F,$N57,FC_DATA!$G:$G,Q$50)+SUMIFS(FC_DATA!$I:$I,FC_DATA!$C:$C,$B$1,FC_DATA!$D:$D,$C$1,FC_DATA!$F:$F,$N57,FC_DATA!$G:$G,Q$50))),"-")</f>
        <v>-</v>
      </c>
      <c r="R57" s="135" t="str">
        <f ca="1">IFERROR(IF(R$53&lt;&gt;"-",R$53,SUMIFS(FC_DATA!$N:$N,FC_DATA!$C:$C,$B$1,FC_DATA!$D:$D,$C$1,FC_DATA!$F:$F,$N57,FC_DATA!$G:$G,R$50)/(SUMIFS(FC_DATA!$N:$N,FC_DATA!$C:$C,$B$1,FC_DATA!$D:$D,$C$1,FC_DATA!$F:$F,$N57,FC_DATA!$G:$G,R$50)+SUMIFS(FC_DATA!$I:$I,FC_DATA!$C:$C,$B$1,FC_DATA!$D:$D,$C$1,FC_DATA!$F:$F,$N57,FC_DATA!$G:$G,R$50))),"-")</f>
        <v>-</v>
      </c>
      <c r="S57" s="141" t="str">
        <f ca="1">IFERROR(SUMIFS(FC_DATA!$N:$N,FC_DATA!$C:$C,Q_BRAND_FC!$B$1,FC_DATA!$D:$D,Q_BRAND_FC!$C$1,FC_DATA!$F:$F,Q_BRAND_FC!$N57)/SUMIFS(FC_DATA!$O:$O,FC_DATA!$C:$C,Q_BRAND_FC!$B$1,FC_DATA!$D:$D,Q_BRAND_FC!$C$1,FC_DATA!$F:$F,Q_BRAND_FC!$N57),"")</f>
        <v/>
      </c>
      <c r="AA57" s="177"/>
    </row>
    <row r="58" spans="1:27" ht="15.75" thickBot="1" x14ac:dyDescent="0.3">
      <c r="B58" s="303" t="str">
        <f ca="1">VLOOKUP($F$1,TIME!$L$12:$P$16,5)</f>
        <v>19/20</v>
      </c>
      <c r="C58" s="526">
        <f ca="1">IFERROR(SUMIFS(FC_DATA!$I:$I,FC_DATA!$C:$C,$B$1,FC_DATA!$D:$D,$C$1,FC_DATA!$F:$F,$B58,FC_DATA!$G:$G,C$50)/3,0)</f>
        <v>0</v>
      </c>
      <c r="D58" s="526" t="e">
        <f ca="1">IF(SUMIFS(FC_DATA!$I:$I,FC_DATA!$C:$C,$B$1,FC_DATA!$D:$D,$C$1,FC_DATA!$F:$F,$B58,FC_DATA!$G:$G,D$50)/3=0,NA(),SUMIFS(FC_DATA!$I:$I,FC_DATA!$C:$C,$B$1,FC_DATA!$D:$D,$C$1,FC_DATA!$F:$F,$B58,FC_DATA!$G:$G,D$50)/3)</f>
        <v>#N/A</v>
      </c>
      <c r="E58" s="526" t="e">
        <f ca="1">IF(SUMIFS(FC_DATA!$I:$I,FC_DATA!$C:$C,$B$1,FC_DATA!$D:$D,$C$1,FC_DATA!$F:$F,$B58,FC_DATA!$G:$G,E$50)/3= 0,NA(),SUMIFS(FC_DATA!$I:$I,FC_DATA!$C:$C,$B$1,FC_DATA!$D:$D,$C$1,FC_DATA!$F:$F,$B58,FC_DATA!$G:$G,E$50)/3)</f>
        <v>#N/A</v>
      </c>
      <c r="F58" s="526" t="e">
        <f ca="1">IF(SUMIFS(FC_DATA!$I:$I,FC_DATA!$C:$C,$B$1,FC_DATA!$D:$D,$C$1,FC_DATA!$F:$F,$B58,FC_DATA!$G:$G,F$50)/3= 0,NA(),SUMIFS(FC_DATA!$I:$I,FC_DATA!$C:$C,$B$1,FC_DATA!$D:$D,$C$1,FC_DATA!$F:$F,$B58,FC_DATA!$G:$G,F$50)/3)</f>
        <v>#N/A</v>
      </c>
      <c r="G58" s="526">
        <f ca="1">IFERROR(C58,0)+IFERROR(D58,0)+IFERROR(E58,0)+IFERROR(F58,0)</f>
        <v>0</v>
      </c>
      <c r="N58" s="143" t="str">
        <f t="shared" ca="1" si="9"/>
        <v>19/20</v>
      </c>
      <c r="O58" s="144" t="str">
        <f ca="1">IFERROR(AVERAGEIFS(FC_DATA!$N:$N,FC_DATA!$C:$C,Q_BRAND_FC!$B$1,FC_DATA!$D:$D,Q_BRAND_FC!$C$1,FC_DATA!$F:$F,Q_BRAND_FC!$N58,FC_DATA!$G:$G,Q_BRAND_FC!O$50)/AVERAGEIFS(FC_DATA!$O:$O,FC_DATA!$C:$C,Q_BRAND_FC!$B$1,FC_DATA!$D:$D,Q_BRAND_FC!$C$1,FC_DATA!$F:$F,Q_BRAND_FC!$N58,FC_DATA!$G:$G,Q_BRAND_FC!O$50),"")</f>
        <v/>
      </c>
      <c r="P58" s="144" t="e">
        <f ca="1">IFERROR(AVERAGEIFS(FC_DATA!$N:$N,FC_DATA!$C:$C,Q_BRAND_FC!$B$1,FC_DATA!$D:$D,Q_BRAND_FC!$C$1,FC_DATA!$F:$F,Q_BRAND_FC!$N58,FC_DATA!$G:$G,Q_BRAND_FC!P$50)/AVERAGEIFS(FC_DATA!$O:$O,FC_DATA!$C:$C,Q_BRAND_FC!$B$1,FC_DATA!$D:$D,Q_BRAND_FC!$C$1,FC_DATA!$F:$F,Q_BRAND_FC!$N58,FC_DATA!$G:$G,Q_BRAND_FC!P$50),NA())</f>
        <v>#N/A</v>
      </c>
      <c r="Q58" s="144" t="e">
        <f ca="1">IFERROR(AVERAGEIFS(FC_DATA!$N:$N,FC_DATA!$C:$C,Q_BRAND_FC!$B$1,FC_DATA!$D:$D,Q_BRAND_FC!$C$1,FC_DATA!$F:$F,Q_BRAND_FC!$N58,FC_DATA!$G:$G,Q_BRAND_FC!Q$50)/AVERAGEIFS(FC_DATA!$O:$O,FC_DATA!$C:$C,Q_BRAND_FC!$B$1,FC_DATA!$D:$D,Q_BRAND_FC!$C$1,FC_DATA!$F:$F,Q_BRAND_FC!$N58,FC_DATA!$G:$G,Q_BRAND_FC!Q$50),NA())</f>
        <v>#N/A</v>
      </c>
      <c r="R58" s="144" t="e">
        <f ca="1">IFERROR(AVERAGEIFS(FC_DATA!$N:$N,FC_DATA!$C:$C,Q_BRAND_FC!$B$1,FC_DATA!$D:$D,Q_BRAND_FC!$C$1,FC_DATA!$F:$F,Q_BRAND_FC!$N58,FC_DATA!$G:$G,Q_BRAND_FC!R$50)/AVERAGEIFS(FC_DATA!$O:$O,FC_DATA!$C:$C,Q_BRAND_FC!$B$1,FC_DATA!$D:$D,Q_BRAND_FC!$C$1,FC_DATA!$F:$F,Q_BRAND_FC!$N58,FC_DATA!$G:$G,Q_BRAND_FC!R$50),NA())</f>
        <v>#N/A</v>
      </c>
      <c r="S58" s="145" t="str">
        <f ca="1">IFERROR(SUMIFS(FC_DATA!$N:$N,FC_DATA!$C:$C,Q_BRAND_FC!$B$1,FC_DATA!$D:$D,Q_BRAND_FC!$C$1,FC_DATA!$F:$F,Q_BRAND_FC!$N58)/SUMIFS(FC_DATA!$O:$O,FC_DATA!$C:$C,Q_BRAND_FC!$B$1,FC_DATA!$D:$D,Q_BRAND_FC!$C$1,FC_DATA!$F:$F,Q_BRAND_FC!$N58),"")</f>
        <v/>
      </c>
      <c r="AA58" s="162"/>
    </row>
    <row r="59" spans="1:27" x14ac:dyDescent="0.25">
      <c r="B59" s="302" t="str">
        <f ca="1">"YoY Growth "&amp; B57</f>
        <v>YoY Growth 18/19</v>
      </c>
      <c r="C59" s="136">
        <f ca="1">IFERROR((C57-C52)/C52,"-")</f>
        <v>0.19074485280003994</v>
      </c>
      <c r="D59" s="136">
        <f t="shared" ref="D59:F59" ca="1" si="11">IFERROR((D57-D52)/D52,"-")</f>
        <v>-0.55924725781086759</v>
      </c>
      <c r="E59" s="136">
        <f t="shared" ca="1" si="11"/>
        <v>-1</v>
      </c>
      <c r="F59" s="136">
        <f t="shared" ca="1" si="11"/>
        <v>-1</v>
      </c>
      <c r="G59" s="136"/>
      <c r="AA59" s="162"/>
    </row>
    <row r="60" spans="1:27" ht="15.75" thickBot="1" x14ac:dyDescent="0.3">
      <c r="B60" s="143" t="str">
        <f ca="1">"YoY Growth "&amp; B58</f>
        <v>YoY Growth 19/20</v>
      </c>
      <c r="C60" s="146">
        <f ca="1">IFERROR((C58-C57)/C57,"-")</f>
        <v>-1</v>
      </c>
      <c r="D60" s="146" t="str">
        <f t="shared" ref="D60:F60" ca="1" si="12">IFERROR((D58-D57)/D57,"-")</f>
        <v>-</v>
      </c>
      <c r="E60" s="146" t="str">
        <f t="shared" ca="1" si="12"/>
        <v>-</v>
      </c>
      <c r="F60" s="146" t="str">
        <f t="shared" ca="1" si="12"/>
        <v>-</v>
      </c>
      <c r="G60" s="146"/>
      <c r="AA60" s="162"/>
    </row>
    <row r="61" spans="1:27" x14ac:dyDescent="0.25">
      <c r="D61" s="147"/>
      <c r="E61" s="147"/>
      <c r="F61" s="147"/>
      <c r="G61" s="147"/>
      <c r="AA61" s="162"/>
    </row>
    <row r="62" spans="1:27" x14ac:dyDescent="0.25">
      <c r="B62" s="148"/>
      <c r="C62" s="149"/>
      <c r="D62" s="149"/>
      <c r="E62" s="149"/>
      <c r="F62" s="149"/>
      <c r="G62" s="149"/>
      <c r="H62" s="148"/>
      <c r="I62" s="148"/>
      <c r="J62" s="148"/>
      <c r="K62" s="148"/>
      <c r="L62" s="148"/>
      <c r="M62" s="148"/>
      <c r="N62" s="148"/>
      <c r="O62" s="148"/>
      <c r="P62" s="148"/>
      <c r="Q62" s="148"/>
      <c r="R62" s="148"/>
      <c r="S62" s="148"/>
      <c r="T62" s="148"/>
      <c r="U62" s="148"/>
      <c r="V62" s="148"/>
      <c r="W62" s="148"/>
      <c r="X62" s="148"/>
      <c r="Y62" s="148"/>
      <c r="Z62" s="148"/>
      <c r="AA62" s="162"/>
    </row>
    <row r="63" spans="1:27" x14ac:dyDescent="0.25">
      <c r="Z63" s="162"/>
      <c r="AA63" s="162"/>
    </row>
    <row r="64" spans="1:27" x14ac:dyDescent="0.25">
      <c r="Z64" s="162"/>
      <c r="AA64" s="162"/>
    </row>
    <row r="65" spans="2:25" s="24" customFormat="1" x14ac:dyDescent="0.25"/>
    <row r="66" spans="2:25" s="24" customFormat="1" x14ac:dyDescent="0.25"/>
    <row r="67" spans="2:25" s="24" customFormat="1" x14ac:dyDescent="0.25"/>
    <row r="68" spans="2:25" s="24" customFormat="1" x14ac:dyDescent="0.25"/>
    <row r="69" spans="2:25" s="24" customFormat="1" x14ac:dyDescent="0.25">
      <c r="G69" s="25"/>
      <c r="T69" s="206"/>
      <c r="U69" s="206"/>
      <c r="V69" s="287"/>
    </row>
    <row r="70" spans="2:25" s="24" customFormat="1" x14ac:dyDescent="0.25">
      <c r="B70" s="222"/>
      <c r="C70" s="222"/>
      <c r="D70" s="222"/>
      <c r="E70" s="222"/>
      <c r="F70" s="222"/>
      <c r="G70" s="222"/>
      <c r="H70" s="298"/>
      <c r="I70" s="299"/>
      <c r="J70" s="300"/>
      <c r="K70" s="25"/>
      <c r="L70" s="25"/>
      <c r="M70" s="25"/>
      <c r="N70" s="25"/>
      <c r="O70" s="25"/>
      <c r="P70" s="25"/>
      <c r="Q70" s="25"/>
      <c r="R70" s="25"/>
      <c r="S70" s="25"/>
      <c r="T70" s="25"/>
      <c r="U70" s="25"/>
      <c r="V70" s="25"/>
      <c r="W70" s="25"/>
      <c r="X70" s="25"/>
      <c r="Y70" s="25"/>
    </row>
    <row r="71" spans="2:25" s="24" customFormat="1" x14ac:dyDescent="0.25">
      <c r="B71" s="222"/>
      <c r="C71" s="222"/>
      <c r="D71" s="222"/>
      <c r="E71" s="222"/>
      <c r="F71" s="222"/>
      <c r="G71" s="222"/>
      <c r="H71" s="298"/>
      <c r="I71" s="299"/>
      <c r="J71" s="300"/>
      <c r="K71" s="25"/>
      <c r="L71" s="25"/>
      <c r="M71" s="25"/>
      <c r="N71" s="25"/>
      <c r="O71" s="25"/>
      <c r="P71" s="25"/>
      <c r="Q71" s="25"/>
      <c r="R71" s="25"/>
      <c r="S71" s="25"/>
      <c r="T71" s="25"/>
      <c r="U71" s="25"/>
      <c r="V71" s="25"/>
      <c r="W71" s="25"/>
      <c r="X71" s="25"/>
      <c r="Y71" s="25"/>
    </row>
    <row r="72" spans="2:25" s="24" customFormat="1" x14ac:dyDescent="0.25">
      <c r="B72" s="222"/>
      <c r="C72" s="222"/>
      <c r="D72" s="222"/>
      <c r="E72" s="222"/>
      <c r="F72" s="222"/>
      <c r="G72" s="222"/>
      <c r="H72" s="298"/>
      <c r="I72" s="299"/>
      <c r="J72" s="300"/>
      <c r="K72" s="25"/>
      <c r="L72" s="25"/>
      <c r="M72" s="25"/>
      <c r="N72" s="25"/>
      <c r="O72" s="25"/>
      <c r="P72" s="25"/>
      <c r="Q72" s="25"/>
      <c r="R72" s="25"/>
      <c r="S72" s="25"/>
      <c r="T72" s="25"/>
      <c r="U72" s="25"/>
      <c r="V72" s="25"/>
      <c r="W72" s="25"/>
      <c r="X72" s="25"/>
      <c r="Y72" s="25"/>
    </row>
    <row r="73" spans="2:25" s="25" customFormat="1" x14ac:dyDescent="0.25">
      <c r="B73" s="222"/>
      <c r="C73" s="222"/>
      <c r="D73" s="222"/>
      <c r="E73" s="222"/>
      <c r="F73" s="222"/>
      <c r="G73" s="222"/>
      <c r="H73" s="298"/>
      <c r="I73" s="299"/>
      <c r="J73" s="300"/>
    </row>
    <row r="74" spans="2:25" s="25" customFormat="1" x14ac:dyDescent="0.25">
      <c r="B74" s="222"/>
      <c r="C74" s="222"/>
      <c r="D74" s="222"/>
      <c r="E74" s="222"/>
      <c r="F74" s="222"/>
      <c r="G74" s="222"/>
      <c r="H74" s="298"/>
      <c r="I74" s="299"/>
      <c r="J74" s="300"/>
    </row>
    <row r="75" spans="2:25" s="25" customFormat="1" x14ac:dyDescent="0.25">
      <c r="B75" s="222"/>
      <c r="C75" s="222"/>
      <c r="D75" s="222"/>
      <c r="E75" s="222"/>
      <c r="F75" s="222"/>
      <c r="G75" s="222"/>
      <c r="H75" s="298"/>
      <c r="I75" s="299"/>
      <c r="J75" s="300"/>
    </row>
    <row r="76" spans="2:25" s="25" customFormat="1" ht="13.5" customHeight="1" x14ac:dyDescent="0.25">
      <c r="D76" s="222"/>
      <c r="E76" s="222"/>
      <c r="F76" s="222"/>
      <c r="G76" s="222"/>
      <c r="H76" s="222"/>
      <c r="I76" s="222"/>
      <c r="J76" s="222"/>
      <c r="K76" s="222"/>
      <c r="L76" s="304"/>
      <c r="M76" s="304"/>
    </row>
    <row r="77" spans="2:25" s="25" customFormat="1" x14ac:dyDescent="0.25">
      <c r="D77" s="222"/>
      <c r="E77" s="222"/>
      <c r="F77" s="222"/>
      <c r="G77" s="222"/>
      <c r="H77" s="222"/>
      <c r="I77" s="298"/>
      <c r="J77" s="305"/>
      <c r="K77" s="300"/>
      <c r="L77" s="301"/>
    </row>
    <row r="78" spans="2:25" s="25" customFormat="1" x14ac:dyDescent="0.25">
      <c r="D78" s="222"/>
      <c r="E78" s="222"/>
      <c r="F78" s="222"/>
      <c r="G78" s="222"/>
      <c r="H78" s="222"/>
      <c r="I78" s="298"/>
      <c r="J78" s="305"/>
      <c r="K78" s="300"/>
      <c r="L78" s="301"/>
    </row>
    <row r="79" spans="2:25" s="25" customFormat="1" x14ac:dyDescent="0.25">
      <c r="D79" s="222"/>
      <c r="E79" s="222"/>
      <c r="F79" s="222"/>
      <c r="G79" s="222"/>
      <c r="H79" s="222"/>
      <c r="I79" s="298"/>
      <c r="J79" s="305"/>
      <c r="K79" s="300"/>
      <c r="L79" s="301"/>
    </row>
    <row r="80" spans="2:25" s="25" customFormat="1" x14ac:dyDescent="0.25">
      <c r="D80" s="222"/>
      <c r="E80" s="222"/>
      <c r="F80" s="222"/>
      <c r="G80" s="222"/>
      <c r="H80" s="222"/>
      <c r="I80" s="298"/>
      <c r="J80" s="305"/>
      <c r="K80" s="300"/>
      <c r="L80" s="301"/>
    </row>
    <row r="81" spans="4:12" s="25" customFormat="1" x14ac:dyDescent="0.25">
      <c r="D81" s="222"/>
      <c r="E81" s="222"/>
      <c r="F81" s="222"/>
      <c r="G81" s="222"/>
      <c r="H81" s="222"/>
      <c r="I81" s="298"/>
      <c r="J81" s="305"/>
      <c r="K81" s="300"/>
      <c r="L81" s="301"/>
    </row>
    <row r="82" spans="4:12" s="25" customFormat="1" x14ac:dyDescent="0.25">
      <c r="D82" s="222"/>
      <c r="E82" s="222"/>
      <c r="F82" s="222"/>
      <c r="G82" s="222"/>
      <c r="H82" s="222"/>
      <c r="K82" s="300"/>
    </row>
    <row r="83" spans="4:12" s="25" customFormat="1" x14ac:dyDescent="0.25">
      <c r="D83" s="222"/>
      <c r="E83" s="222"/>
      <c r="F83" s="222"/>
      <c r="G83" s="222"/>
      <c r="H83" s="222"/>
      <c r="K83" s="300"/>
    </row>
    <row r="84" spans="4:12" s="25" customFormat="1" x14ac:dyDescent="0.25">
      <c r="D84" s="222"/>
      <c r="E84" s="222"/>
      <c r="F84" s="222"/>
      <c r="G84" s="222"/>
      <c r="H84" s="222"/>
      <c r="K84" s="300"/>
    </row>
    <row r="85" spans="4:12" s="25" customFormat="1" x14ac:dyDescent="0.25">
      <c r="D85" s="222"/>
      <c r="E85" s="222"/>
      <c r="F85" s="222"/>
      <c r="G85" s="222"/>
      <c r="H85" s="222"/>
      <c r="K85" s="300"/>
    </row>
    <row r="86" spans="4:12" s="25" customFormat="1" x14ac:dyDescent="0.25">
      <c r="D86" s="222"/>
      <c r="E86" s="222"/>
      <c r="F86" s="222"/>
      <c r="G86" s="222"/>
      <c r="H86" s="222"/>
      <c r="K86" s="300"/>
    </row>
    <row r="87" spans="4:12" s="25" customFormat="1" x14ac:dyDescent="0.25">
      <c r="D87" s="222"/>
      <c r="E87" s="222"/>
      <c r="F87" s="222"/>
      <c r="G87" s="222"/>
      <c r="H87" s="222"/>
      <c r="K87" s="300"/>
    </row>
    <row r="88" spans="4:12" s="25" customFormat="1" x14ac:dyDescent="0.25">
      <c r="D88" s="222"/>
      <c r="E88" s="222"/>
      <c r="F88" s="222"/>
      <c r="G88" s="222"/>
      <c r="H88" s="222"/>
      <c r="K88" s="300"/>
    </row>
    <row r="89" spans="4:12" s="25" customFormat="1" x14ac:dyDescent="0.25">
      <c r="D89" s="222"/>
      <c r="E89" s="222"/>
      <c r="F89" s="222"/>
      <c r="G89" s="222"/>
      <c r="H89" s="222"/>
      <c r="K89" s="300"/>
    </row>
    <row r="90" spans="4:12" s="25" customFormat="1" x14ac:dyDescent="0.25">
      <c r="D90" s="222"/>
      <c r="E90" s="222"/>
      <c r="F90" s="222"/>
      <c r="G90" s="222"/>
      <c r="H90" s="222"/>
      <c r="K90" s="300"/>
    </row>
    <row r="91" spans="4:12" s="25" customFormat="1" x14ac:dyDescent="0.25">
      <c r="D91" s="222"/>
      <c r="E91" s="222"/>
      <c r="F91" s="222"/>
      <c r="G91" s="222"/>
      <c r="H91" s="222"/>
      <c r="K91" s="300"/>
    </row>
    <row r="92" spans="4:12" s="25" customFormat="1" x14ac:dyDescent="0.25">
      <c r="D92" s="222"/>
      <c r="E92" s="222"/>
      <c r="F92" s="222"/>
      <c r="G92" s="222"/>
      <c r="H92" s="222"/>
      <c r="K92" s="300"/>
    </row>
    <row r="93" spans="4:12" s="25" customFormat="1" x14ac:dyDescent="0.25">
      <c r="D93" s="222"/>
      <c r="E93" s="222"/>
      <c r="F93" s="222"/>
      <c r="G93" s="222"/>
      <c r="H93" s="222"/>
      <c r="K93" s="300"/>
    </row>
    <row r="94" spans="4:12" s="25" customFormat="1" x14ac:dyDescent="0.25">
      <c r="D94" s="222"/>
      <c r="E94" s="222"/>
      <c r="F94" s="222"/>
      <c r="G94" s="222"/>
      <c r="H94" s="222"/>
      <c r="K94" s="300"/>
    </row>
    <row r="95" spans="4:12" s="25" customFormat="1" x14ac:dyDescent="0.25">
      <c r="D95" s="222"/>
      <c r="E95" s="222"/>
      <c r="F95" s="222"/>
      <c r="G95" s="222"/>
      <c r="H95" s="222"/>
      <c r="K95" s="300"/>
    </row>
    <row r="96" spans="4:12" s="25" customFormat="1" x14ac:dyDescent="0.25">
      <c r="D96" s="222"/>
      <c r="E96" s="222"/>
      <c r="F96" s="222"/>
      <c r="G96" s="222"/>
      <c r="H96" s="222"/>
      <c r="K96" s="300"/>
    </row>
    <row r="97" spans="2:28" s="25" customFormat="1" x14ac:dyDescent="0.25">
      <c r="D97" s="222"/>
      <c r="E97" s="222"/>
      <c r="F97" s="222"/>
      <c r="G97" s="222"/>
      <c r="H97" s="222"/>
      <c r="K97" s="340"/>
    </row>
    <row r="98" spans="2:28" s="148" customFormat="1" x14ac:dyDescent="0.25">
      <c r="B98" s="21"/>
      <c r="C98" s="21"/>
      <c r="D98" s="296"/>
      <c r="E98" s="296"/>
      <c r="F98" s="296"/>
      <c r="G98" s="296"/>
      <c r="H98" s="296"/>
      <c r="I98" s="21"/>
      <c r="J98" s="21"/>
      <c r="K98" s="21"/>
      <c r="L98" s="21"/>
      <c r="M98" s="21"/>
      <c r="N98" s="25"/>
      <c r="O98" s="25"/>
      <c r="P98" s="161"/>
      <c r="Q98" s="161"/>
      <c r="X98" s="161"/>
      <c r="Y98" s="161"/>
      <c r="Z98" s="177"/>
      <c r="AA98" s="177"/>
    </row>
    <row r="99" spans="2:28" s="148" customFormat="1" x14ac:dyDescent="0.25">
      <c r="B99" s="21"/>
      <c r="C99" s="21"/>
      <c r="D99" s="296"/>
      <c r="E99" s="296"/>
      <c r="F99" s="296"/>
      <c r="G99" s="296"/>
      <c r="H99" s="296"/>
      <c r="I99" s="21"/>
      <c r="J99" s="21"/>
      <c r="K99" s="21"/>
      <c r="L99" s="21"/>
      <c r="M99" s="21"/>
      <c r="N99" s="25"/>
      <c r="O99" s="25"/>
      <c r="P99" s="161"/>
      <c r="Q99" s="161"/>
      <c r="X99" s="161"/>
      <c r="Y99" s="161"/>
    </row>
    <row r="100" spans="2:28" ht="15.75" thickBot="1" x14ac:dyDescent="0.3">
      <c r="B100" s="148" t="s">
        <v>81</v>
      </c>
      <c r="C100" s="148" t="s">
        <v>131</v>
      </c>
      <c r="D100" s="148" t="s">
        <v>10</v>
      </c>
      <c r="E100" s="148" t="s">
        <v>11</v>
      </c>
      <c r="F100" s="148" t="s">
        <v>12</v>
      </c>
      <c r="G100" s="22" t="s">
        <v>7</v>
      </c>
      <c r="H100" s="22" t="s">
        <v>8</v>
      </c>
      <c r="I100" s="328" t="s">
        <v>125</v>
      </c>
      <c r="J100" s="148" t="s">
        <v>15</v>
      </c>
      <c r="K100" s="148" t="s">
        <v>18</v>
      </c>
      <c r="L100" s="148" t="s">
        <v>75</v>
      </c>
      <c r="M100" s="328" t="s">
        <v>380</v>
      </c>
      <c r="N100" s="148" t="s">
        <v>138</v>
      </c>
      <c r="O100" s="202"/>
      <c r="P100" s="202"/>
      <c r="Q100" s="160"/>
      <c r="X100" s="160"/>
      <c r="Y100" s="160"/>
    </row>
    <row r="101" spans="2:28" x14ac:dyDescent="0.25">
      <c r="B101" s="329" t="str">
        <f ca="1">IF(ISTEXT(C101),CONCATENATE(D101,E101,F101,G101,H101),"-")</f>
        <v>VMBRAND.comDRESSES18/19Q4</v>
      </c>
      <c r="C101" s="330" t="str">
        <f ca="1">TIME!$E$5</f>
        <v>2019-04</v>
      </c>
      <c r="D101" s="330" t="str">
        <f t="shared" ref="D101:D136" si="13">$B$1</f>
        <v>VM</v>
      </c>
      <c r="E101" s="330" t="str">
        <f t="shared" ref="E101:E106" si="14">$C$1</f>
        <v>BRAND.com</v>
      </c>
      <c r="F101" s="330" t="str">
        <f t="shared" ref="F101:F136" si="15">$K$3</f>
        <v>DRESSES</v>
      </c>
      <c r="G101" s="330" t="str">
        <f ca="1">TIME!$M$28</f>
        <v>18/19</v>
      </c>
      <c r="H101" s="331" t="str">
        <f ca="1">TIME!$N$28</f>
        <v>Q4</v>
      </c>
      <c r="I101" s="366"/>
      <c r="J101" s="331">
        <f t="shared" ref="J101:J106" ca="1" si="16">VLOOKUP($G101,$B$13:$F$14,MATCH($H101,$B$6:$F$6,0))</f>
        <v>0</v>
      </c>
      <c r="K101" s="332" t="str">
        <f t="shared" ref="K101:K106" ca="1" si="17">VLOOKUP(G101,$N$13:$R$14,MATCH(H101,$N$6:$R$6,0),FALSE)</f>
        <v>-</v>
      </c>
      <c r="L101" s="333">
        <f t="shared" ref="L101:L109" ca="1" si="18">VLOOKUP(G101,$N$31:$R$32,MATCH(H101,$N$24:$R$24,0),FALSE)</f>
        <v>3.0581261080632598</v>
      </c>
      <c r="M101" s="334" t="str">
        <f t="shared" ref="M101:M112" ca="1" si="19">VLOOKUP($M$100&amp;" "&amp;G101,$B$15:$F$16,MATCH(H101,$B$6:$F$6,0),FALSE)</f>
        <v>-</v>
      </c>
      <c r="N101" s="358" t="str">
        <f ca="1">IFERROR(VLOOKUP($G101,$B$31:$F$32,MATCH($H101,$B$24:$F$24,0)),0)</f>
        <v>-</v>
      </c>
      <c r="O101" s="902" t="s">
        <v>163</v>
      </c>
      <c r="P101" s="349" t="s">
        <v>164</v>
      </c>
      <c r="Q101" s="160"/>
      <c r="R101" s="283"/>
      <c r="S101" s="284"/>
      <c r="T101" s="284" t="str">
        <f ca="1">LT_OVERVIEW!C5</f>
        <v>18/19</v>
      </c>
      <c r="U101" s="284" t="str">
        <f ca="1">LT_OVERVIEW!D5</f>
        <v>19/20</v>
      </c>
      <c r="V101" s="284" t="str">
        <f ca="1">LT_OVERVIEW!E5</f>
        <v>19/20</v>
      </c>
      <c r="W101" s="290" t="str">
        <f ca="1">LT_OVERVIEW!F5</f>
        <v>19/20</v>
      </c>
      <c r="X101" s="160"/>
      <c r="Y101" s="160"/>
    </row>
    <row r="102" spans="2:28" x14ac:dyDescent="0.25">
      <c r="B102" s="335" t="str">
        <f t="shared" ref="B102:B136" ca="1" si="20">IF(ISTEXT(C102),CONCATENATE(D102,E102,F102,G102,H102),"-")</f>
        <v>VMBRAND.comDRESSES18/19Q4</v>
      </c>
      <c r="C102" s="148" t="str">
        <f ca="1">TIME!$E$5</f>
        <v>2019-04</v>
      </c>
      <c r="D102" s="148" t="str">
        <f t="shared" si="13"/>
        <v>VM</v>
      </c>
      <c r="E102" s="148" t="str">
        <f t="shared" si="14"/>
        <v>BRAND.com</v>
      </c>
      <c r="F102" s="148" t="str">
        <f t="shared" si="15"/>
        <v>DRESSES</v>
      </c>
      <c r="G102" s="148" t="str">
        <f ca="1">TIME!$M$28</f>
        <v>18/19</v>
      </c>
      <c r="H102" s="189" t="str">
        <f ca="1">TIME!$N$28</f>
        <v>Q4</v>
      </c>
      <c r="I102" s="148"/>
      <c r="J102" s="189">
        <f t="shared" ca="1" si="16"/>
        <v>0</v>
      </c>
      <c r="K102" s="327" t="str">
        <f t="shared" ca="1" si="17"/>
        <v>-</v>
      </c>
      <c r="L102" s="326">
        <f t="shared" ca="1" si="18"/>
        <v>3.0581261080632598</v>
      </c>
      <c r="M102" s="149" t="str">
        <f t="shared" ca="1" si="19"/>
        <v>-</v>
      </c>
      <c r="N102" s="359" t="str">
        <f ca="1">VLOOKUP($G102,$B$31:$F$32,MATCH($H102,$B$24:$F$24,0))</f>
        <v>-</v>
      </c>
      <c r="O102" s="903"/>
      <c r="P102" s="350"/>
      <c r="Q102" s="160"/>
      <c r="R102" s="200"/>
      <c r="S102" s="25"/>
      <c r="T102" s="206" t="str">
        <f ca="1">LT_OVERVIEW!C6</f>
        <v>Q4</v>
      </c>
      <c r="U102" s="206" t="str">
        <f ca="1">LT_OVERVIEW!D6</f>
        <v>Q1</v>
      </c>
      <c r="V102" s="206" t="str">
        <f ca="1">LT_OVERVIEW!E6</f>
        <v>Q2</v>
      </c>
      <c r="W102" s="291" t="str">
        <f ca="1">LT_OVERVIEW!F6</f>
        <v>Q3</v>
      </c>
      <c r="X102" s="160"/>
      <c r="Y102" s="160"/>
    </row>
    <row r="103" spans="2:28" x14ac:dyDescent="0.25">
      <c r="B103" s="335" t="str">
        <f t="shared" ca="1" si="20"/>
        <v>VMBRAND.comDRESSES18/19Q4</v>
      </c>
      <c r="C103" s="148" t="str">
        <f ca="1">TIME!$E$5</f>
        <v>2019-04</v>
      </c>
      <c r="D103" s="148" t="str">
        <f t="shared" si="13"/>
        <v>VM</v>
      </c>
      <c r="E103" s="148" t="str">
        <f t="shared" si="14"/>
        <v>BRAND.com</v>
      </c>
      <c r="F103" s="148" t="str">
        <f t="shared" si="15"/>
        <v>DRESSES</v>
      </c>
      <c r="G103" s="148" t="str">
        <f ca="1">TIME!$M$28</f>
        <v>18/19</v>
      </c>
      <c r="H103" s="189" t="str">
        <f ca="1">TIME!$N$28</f>
        <v>Q4</v>
      </c>
      <c r="I103" s="148"/>
      <c r="J103" s="189">
        <f t="shared" ca="1" si="16"/>
        <v>0</v>
      </c>
      <c r="K103" s="327" t="str">
        <f t="shared" ca="1" si="17"/>
        <v>-</v>
      </c>
      <c r="L103" s="326">
        <f t="shared" ca="1" si="18"/>
        <v>3.0581261080632598</v>
      </c>
      <c r="M103" s="149" t="str">
        <f t="shared" ca="1" si="19"/>
        <v>-</v>
      </c>
      <c r="N103" s="359" t="str">
        <f ca="1">VLOOKUP($G103,$B$31:$F$32,MATCH($H103,$B$24:$F$24,0))</f>
        <v>-</v>
      </c>
      <c r="O103" s="903"/>
      <c r="P103" s="351"/>
      <c r="Q103" s="160"/>
      <c r="R103" s="200" t="str">
        <f>'PIVOT TABLE'!A4</f>
        <v>ACCESSORIES</v>
      </c>
      <c r="S103" s="277"/>
      <c r="T103" s="282" t="str">
        <f ca="1">IFERROR(VLOOKUP(_xlfn.CONCAT($B$1,$C$1,$R103,T$101,T$102),FC_DATA!$A$2:$M$5000,MATCH("Growth",FC_DATA!$A$1:$M$1,0),FALSE),"")</f>
        <v/>
      </c>
      <c r="U103" s="282" t="str">
        <f ca="1">IFERROR(VLOOKUP(_xlfn.CONCAT($B$1,$C$1,$R103,U$101,U$102),FC_DATA!$A$2:$M$5000,MATCH("Growth",FC_DATA!$A$1:$M$1,0),FALSE),"")</f>
        <v/>
      </c>
      <c r="V103" s="282" t="str">
        <f ca="1">IFERROR(VLOOKUP(_xlfn.CONCAT($B$1,$C$1,$R103,V$101,V$102),FC_DATA!$A$2:$M$5000,MATCH("Growth",FC_DATA!$A$1:$M$1,0),FALSE),"")</f>
        <v/>
      </c>
      <c r="W103" s="292" t="str">
        <f ca="1">IFERROR(VLOOKUP(_xlfn.CONCAT($B$1,$C$1,$R103,W$101,W$102),FC_DATA!$A$2:$M$5000,MATCH("Growth",FC_DATA!$A$1:$M$1,0),FALSE),"")</f>
        <v/>
      </c>
      <c r="X103" s="160"/>
      <c r="Y103" s="60"/>
      <c r="Z103" s="60"/>
      <c r="AA103" s="60"/>
      <c r="AB103" s="60"/>
    </row>
    <row r="104" spans="2:28" x14ac:dyDescent="0.25">
      <c r="B104" s="335" t="str">
        <f t="shared" ca="1" si="20"/>
        <v>VMBRAND.comDRESSES19/20Q1</v>
      </c>
      <c r="C104" s="148" t="str">
        <f ca="1">TIME!$E$5</f>
        <v>2019-04</v>
      </c>
      <c r="D104" s="148" t="str">
        <f t="shared" si="13"/>
        <v>VM</v>
      </c>
      <c r="E104" s="148" t="str">
        <f t="shared" si="14"/>
        <v>BRAND.com</v>
      </c>
      <c r="F104" s="148" t="str">
        <f t="shared" si="15"/>
        <v>DRESSES</v>
      </c>
      <c r="G104" s="148" t="str">
        <f ca="1">TIME!$M$29</f>
        <v>19/20</v>
      </c>
      <c r="H104" s="189" t="str">
        <f ca="1">TIME!$N$29</f>
        <v>Q1</v>
      </c>
      <c r="I104" s="148"/>
      <c r="J104" s="189">
        <f t="shared" ca="1" si="16"/>
        <v>0</v>
      </c>
      <c r="K104" s="327" t="str">
        <f t="shared" ca="1" si="17"/>
        <v>-</v>
      </c>
      <c r="L104" s="326">
        <f t="shared" ca="1" si="18"/>
        <v>3.0764532711331398</v>
      </c>
      <c r="M104" s="149" t="str">
        <f t="shared" ca="1" si="19"/>
        <v>-</v>
      </c>
      <c r="N104" s="359" t="str">
        <f ca="1">VLOOKUP($G104,$B$31:$F$32,MATCH($H104,$B$24:$F$24,0))</f>
        <v>-</v>
      </c>
      <c r="O104" s="903"/>
      <c r="P104" s="349" t="s">
        <v>165</v>
      </c>
      <c r="Q104" s="162"/>
      <c r="R104" s="200" t="str">
        <f>'PIVOT TABLE'!A5</f>
        <v>DRESSES</v>
      </c>
      <c r="S104" s="277"/>
      <c r="T104" s="282" t="str">
        <f ca="1">IFERROR(VLOOKUP(_xlfn.CONCAT($B$1,$C$1,$R104,T$101,T$102),FC_DATA!$A$2:$M$5000,MATCH("Growth",FC_DATA!$A$1:$M$1,0),FALSE),"")</f>
        <v/>
      </c>
      <c r="U104" s="282" t="str">
        <f ca="1">IFERROR(VLOOKUP(_xlfn.CONCAT($B$1,$C$1,$R104,U$101,U$102),FC_DATA!$A$2:$M$5000,MATCH("Growth",FC_DATA!$A$1:$M$1,0),FALSE),"")</f>
        <v/>
      </c>
      <c r="V104" s="282" t="str">
        <f ca="1">IFERROR(VLOOKUP(_xlfn.CONCAT($B$1,$C$1,$R104,V$101,V$102),FC_DATA!$A$2:$M$5000,MATCH("Growth",FC_DATA!$A$1:$M$1,0),FALSE),"")</f>
        <v/>
      </c>
      <c r="W104" s="292" t="str">
        <f ca="1">IFERROR(VLOOKUP(_xlfn.CONCAT($B$1,$C$1,$R104,W$101,W$102),FC_DATA!$A$2:$M$5000,MATCH("Growth",FC_DATA!$A$1:$M$1,0),FALSE),"")</f>
        <v/>
      </c>
      <c r="X104" s="162"/>
      <c r="Y104" s="60"/>
      <c r="Z104" s="60"/>
      <c r="AA104" s="60"/>
      <c r="AB104" s="60"/>
    </row>
    <row r="105" spans="2:28" x14ac:dyDescent="0.25">
      <c r="B105" s="335" t="str">
        <f t="shared" ca="1" si="20"/>
        <v>VMBRAND.comDRESSES19/20Q1</v>
      </c>
      <c r="C105" s="148" t="str">
        <f ca="1">TIME!$E$5</f>
        <v>2019-04</v>
      </c>
      <c r="D105" s="148" t="str">
        <f t="shared" si="13"/>
        <v>VM</v>
      </c>
      <c r="E105" s="148" t="str">
        <f t="shared" si="14"/>
        <v>BRAND.com</v>
      </c>
      <c r="F105" s="148" t="str">
        <f t="shared" si="15"/>
        <v>DRESSES</v>
      </c>
      <c r="G105" s="148" t="str">
        <f ca="1">TIME!$M$29</f>
        <v>19/20</v>
      </c>
      <c r="H105" s="148" t="str">
        <f ca="1">TIME!$N$29</f>
        <v>Q1</v>
      </c>
      <c r="I105" s="148"/>
      <c r="J105" s="148">
        <f t="shared" ca="1" si="16"/>
        <v>0</v>
      </c>
      <c r="K105" s="149" t="str">
        <f t="shared" ca="1" si="17"/>
        <v>-</v>
      </c>
      <c r="L105" s="326">
        <f t="shared" ca="1" si="18"/>
        <v>3.0764532711331398</v>
      </c>
      <c r="M105" s="149" t="str">
        <f t="shared" ca="1" si="19"/>
        <v>-</v>
      </c>
      <c r="N105" s="359" t="str">
        <f ca="1">VLOOKUP($G105,$B$31:$F$32,MATCH($H105,$B$24:$F$24,0))</f>
        <v>-</v>
      </c>
      <c r="O105" s="903"/>
      <c r="P105" s="350"/>
      <c r="Q105" s="162"/>
      <c r="R105" s="200" t="str">
        <f>'PIVOT TABLE'!A6</f>
        <v>JEANS</v>
      </c>
      <c r="S105" s="277"/>
      <c r="T105" s="282" t="str">
        <f ca="1">IFERROR(VLOOKUP(_xlfn.CONCAT($B$1,$C$1,$R105,T$101,T$102),FC_DATA!$A$2:$M$5000,MATCH("Growth",FC_DATA!$A$1:$M$1,0),FALSE),"")</f>
        <v/>
      </c>
      <c r="U105" s="282" t="str">
        <f ca="1">IFERROR(VLOOKUP(_xlfn.CONCAT($B$1,$C$1,$R105,U$101,U$102),FC_DATA!$A$2:$M$5000,MATCH("Growth",FC_DATA!$A$1:$M$1,0),FALSE),"")</f>
        <v/>
      </c>
      <c r="V105" s="282" t="str">
        <f ca="1">IFERROR(VLOOKUP(_xlfn.CONCAT($B$1,$C$1,$R105,V$101,V$102),FC_DATA!$A$2:$M$5000,MATCH("Growth",FC_DATA!$A$1:$M$1,0),FALSE),"")</f>
        <v/>
      </c>
      <c r="W105" s="292" t="str">
        <f ca="1">IFERROR(VLOOKUP(_xlfn.CONCAT($B$1,$C$1,$R105,W$101,W$102),FC_DATA!$A$2:$M$5000,MATCH("Growth",FC_DATA!$A$1:$M$1,0),FALSE),"")</f>
        <v/>
      </c>
      <c r="X105" s="177"/>
      <c r="Y105" s="60"/>
      <c r="Z105" s="60"/>
      <c r="AA105" s="60"/>
      <c r="AB105" s="60"/>
    </row>
    <row r="106" spans="2:28" x14ac:dyDescent="0.25">
      <c r="B106" s="335" t="str">
        <f t="shared" ca="1" si="20"/>
        <v>VMBRAND.comDRESSES19/20Q1</v>
      </c>
      <c r="C106" s="148" t="str">
        <f ca="1">TIME!$E$5</f>
        <v>2019-04</v>
      </c>
      <c r="D106" s="148" t="str">
        <f t="shared" si="13"/>
        <v>VM</v>
      </c>
      <c r="E106" s="148" t="str">
        <f t="shared" si="14"/>
        <v>BRAND.com</v>
      </c>
      <c r="F106" s="148" t="str">
        <f t="shared" si="15"/>
        <v>DRESSES</v>
      </c>
      <c r="G106" s="148" t="str">
        <f ca="1">TIME!$M$29</f>
        <v>19/20</v>
      </c>
      <c r="H106" s="148" t="str">
        <f ca="1">TIME!$N$29</f>
        <v>Q1</v>
      </c>
      <c r="I106" s="148"/>
      <c r="J106" s="148">
        <f t="shared" ca="1" si="16"/>
        <v>0</v>
      </c>
      <c r="K106" s="149" t="str">
        <f t="shared" ca="1" si="17"/>
        <v>-</v>
      </c>
      <c r="L106" s="326">
        <f t="shared" ca="1" si="18"/>
        <v>3.0764532711331398</v>
      </c>
      <c r="M106" s="149" t="str">
        <f t="shared" ca="1" si="19"/>
        <v>-</v>
      </c>
      <c r="N106" s="359" t="str">
        <f ca="1">VLOOKUP($G106,$B$31:$F$32,MATCH($H106,$B$24:$F$24,0))</f>
        <v>-</v>
      </c>
      <c r="O106" s="903"/>
      <c r="P106" s="351"/>
      <c r="Q106" s="162"/>
      <c r="R106" s="200" t="str">
        <f>'PIVOT TABLE'!A7</f>
        <v>KNIT</v>
      </c>
      <c r="S106" s="277"/>
      <c r="T106" s="282" t="str">
        <f ca="1">IFERROR(VLOOKUP(_xlfn.CONCAT($B$1,$C$1,$R106,T$101,T$102),FC_DATA!$A$2:$M$5000,MATCH("Growth",FC_DATA!$A$1:$M$1,0),FALSE),"")</f>
        <v/>
      </c>
      <c r="U106" s="282" t="str">
        <f ca="1">IFERROR(VLOOKUP(_xlfn.CONCAT($B$1,$C$1,$R106,U$101,U$102),FC_DATA!$A$2:$M$5000,MATCH("Growth",FC_DATA!$A$1:$M$1,0),FALSE),"")</f>
        <v/>
      </c>
      <c r="V106" s="282" t="str">
        <f ca="1">IFERROR(VLOOKUP(_xlfn.CONCAT($B$1,$C$1,$R106,V$101,V$102),FC_DATA!$A$2:$M$5000,MATCH("Growth",FC_DATA!$A$1:$M$1,0),FALSE),"")</f>
        <v/>
      </c>
      <c r="W106" s="292" t="str">
        <f ca="1">IFERROR(VLOOKUP(_xlfn.CONCAT($B$1,$C$1,$R106,W$101,W$102),FC_DATA!$A$2:$M$5000,MATCH("Growth",FC_DATA!$A$1:$M$1,0),FALSE),"")</f>
        <v/>
      </c>
      <c r="X106" s="177"/>
      <c r="Y106" s="60"/>
      <c r="Z106" s="60"/>
      <c r="AA106" s="60"/>
      <c r="AB106" s="60"/>
    </row>
    <row r="107" spans="2:28" x14ac:dyDescent="0.25">
      <c r="B107" s="335" t="str">
        <f t="shared" ca="1" si="20"/>
        <v>VMBRAND.comDRESSES19/20Q2</v>
      </c>
      <c r="C107" s="148" t="str">
        <f ca="1">TIME!$E$5</f>
        <v>2019-04</v>
      </c>
      <c r="D107" s="148" t="str">
        <f t="shared" si="13"/>
        <v>VM</v>
      </c>
      <c r="E107" s="148" t="str">
        <f>$C$1</f>
        <v>BRAND.com</v>
      </c>
      <c r="F107" s="148" t="str">
        <f t="shared" si="15"/>
        <v>DRESSES</v>
      </c>
      <c r="G107" s="148" t="str">
        <f ca="1">TIME!$M$30</f>
        <v>19/20</v>
      </c>
      <c r="H107" s="148" t="str">
        <f ca="1">TIME!$N$30</f>
        <v>Q2</v>
      </c>
      <c r="I107" s="148"/>
      <c r="J107" s="148">
        <f t="shared" ref="J107:J112" ca="1" si="21">_xlfn.IFNA(VLOOKUP($G107,$B$13:$F$14,MATCH($H107,$B$6:$F$6,0)),0)</f>
        <v>0</v>
      </c>
      <c r="K107" s="149">
        <f t="shared" ref="K107:K112" ca="1" si="22">_xlfn.IFNA(VLOOKUP(G107,$N$13:$R$14,MATCH(H107,$N$6:$R$6,0),FALSE),0)</f>
        <v>0</v>
      </c>
      <c r="L107" s="326">
        <f t="shared" ca="1" si="18"/>
        <v>3.0953748875310598</v>
      </c>
      <c r="M107" s="149" t="str">
        <f t="shared" ca="1" si="19"/>
        <v>-</v>
      </c>
      <c r="N107" s="359">
        <f t="shared" ref="N107:N112" ca="1" si="23">_xlfn.IFNA(VLOOKUP($G107,$B$31:$F$32,MATCH($H107,$B$24:$F$24,0)),0)</f>
        <v>0</v>
      </c>
      <c r="O107" s="903"/>
      <c r="P107" s="349" t="s">
        <v>166</v>
      </c>
      <c r="Q107" s="162"/>
      <c r="R107" s="200" t="str">
        <f>'PIVOT TABLE'!A8</f>
        <v>OUTERWEAR</v>
      </c>
      <c r="S107" s="277"/>
      <c r="T107" s="277" t="str">
        <f ca="1">IFERROR(VLOOKUP(_xlfn.CONCAT($B$1,$C$1,$R107,T$101,T$102),FC_DATA!$A$2:$M$5000,MATCH("Growth",FC_DATA!$A$1:$M$1,0),FALSE),"")</f>
        <v/>
      </c>
      <c r="U107" s="277" t="str">
        <f ca="1">IFERROR(VLOOKUP(_xlfn.CONCAT($B$1,$C$1,$R107,U$101,U$102),FC_DATA!$A$2:$M$5000,MATCH("Growth",FC_DATA!$A$1:$M$1,0),FALSE),"")</f>
        <v/>
      </c>
      <c r="V107" s="277" t="str">
        <f ca="1">IFERROR(VLOOKUP(_xlfn.CONCAT($B$1,$C$1,$R107,V$101,V$102),FC_DATA!$A$2:$M$5000,MATCH("Growth",FC_DATA!$A$1:$M$1,0),FALSE),"")</f>
        <v/>
      </c>
      <c r="W107" s="293" t="str">
        <f ca="1">IFERROR(VLOOKUP(_xlfn.CONCAT($B$1,$C$1,$R107,W$101,W$102),FC_DATA!$A$2:$M$5000,MATCH("Growth",FC_DATA!$A$1:$M$1,0),FALSE),"")</f>
        <v/>
      </c>
      <c r="X107" s="162"/>
      <c r="Y107" s="60"/>
      <c r="Z107" s="60"/>
      <c r="AA107" s="60"/>
      <c r="AB107" s="60"/>
    </row>
    <row r="108" spans="2:28" x14ac:dyDescent="0.25">
      <c r="B108" s="335" t="str">
        <f t="shared" ca="1" si="20"/>
        <v>VMBRAND.comDRESSES19/20Q2</v>
      </c>
      <c r="C108" s="148" t="str">
        <f ca="1">TIME!$E$5</f>
        <v>2019-04</v>
      </c>
      <c r="D108" s="148" t="str">
        <f t="shared" si="13"/>
        <v>VM</v>
      </c>
      <c r="E108" s="148" t="str">
        <f t="shared" ref="E108:E112" si="24">$C$1</f>
        <v>BRAND.com</v>
      </c>
      <c r="F108" s="148" t="str">
        <f t="shared" si="15"/>
        <v>DRESSES</v>
      </c>
      <c r="G108" s="148" t="str">
        <f ca="1">TIME!$M$30</f>
        <v>19/20</v>
      </c>
      <c r="H108" s="148" t="str">
        <f ca="1">TIME!$N$30</f>
        <v>Q2</v>
      </c>
      <c r="I108" s="148"/>
      <c r="J108" s="148">
        <f t="shared" ca="1" si="21"/>
        <v>0</v>
      </c>
      <c r="K108" s="149">
        <f t="shared" ca="1" si="22"/>
        <v>0</v>
      </c>
      <c r="L108" s="326">
        <f t="shared" ca="1" si="18"/>
        <v>3.0953748875310598</v>
      </c>
      <c r="M108" s="149" t="str">
        <f t="shared" ca="1" si="19"/>
        <v>-</v>
      </c>
      <c r="N108" s="359">
        <f t="shared" ca="1" si="23"/>
        <v>0</v>
      </c>
      <c r="O108" s="903"/>
      <c r="P108" s="350"/>
      <c r="Q108" s="162"/>
      <c r="R108" s="200" t="str">
        <f>'PIVOT TABLE'!A9</f>
        <v>PANTS</v>
      </c>
      <c r="S108" s="277"/>
      <c r="T108" s="277" t="str">
        <f ca="1">IFERROR(VLOOKUP(_xlfn.CONCAT($B$1,$C$1,$R108,T$101,T$102),FC_DATA!$A$2:$M$5000,MATCH("Growth",FC_DATA!$A$1:$M$1,0),FALSE),"")</f>
        <v/>
      </c>
      <c r="U108" s="277" t="str">
        <f ca="1">IFERROR(VLOOKUP(_xlfn.CONCAT($B$1,$C$1,$R108,U$101,U$102),FC_DATA!$A$2:$M$5000,MATCH("Growth",FC_DATA!$A$1:$M$1,0),FALSE),"")</f>
        <v/>
      </c>
      <c r="V108" s="277" t="str">
        <f ca="1">IFERROR(VLOOKUP(_xlfn.CONCAT($B$1,$C$1,$R108,V$101,V$102),FC_DATA!$A$2:$M$5000,MATCH("Growth",FC_DATA!$A$1:$M$1,0),FALSE),"")</f>
        <v/>
      </c>
      <c r="W108" s="293" t="str">
        <f ca="1">IFERROR(VLOOKUP(_xlfn.CONCAT($B$1,$C$1,$R108,W$101,W$102),FC_DATA!$A$2:$M$5000,MATCH("Growth",FC_DATA!$A$1:$M$1,0),FALSE),"")</f>
        <v/>
      </c>
      <c r="X108" s="162"/>
      <c r="Y108" s="60"/>
      <c r="Z108" s="60"/>
      <c r="AA108" s="60"/>
      <c r="AB108" s="60"/>
    </row>
    <row r="109" spans="2:28" x14ac:dyDescent="0.25">
      <c r="B109" s="335" t="str">
        <f t="shared" ca="1" si="20"/>
        <v>VMBRAND.comDRESSES19/20Q2</v>
      </c>
      <c r="C109" s="148" t="str">
        <f ca="1">TIME!$E$5</f>
        <v>2019-04</v>
      </c>
      <c r="D109" s="148" t="str">
        <f t="shared" si="13"/>
        <v>VM</v>
      </c>
      <c r="E109" s="148" t="str">
        <f t="shared" si="24"/>
        <v>BRAND.com</v>
      </c>
      <c r="F109" s="148" t="str">
        <f t="shared" si="15"/>
        <v>DRESSES</v>
      </c>
      <c r="G109" s="148" t="str">
        <f ca="1">TIME!$M$30</f>
        <v>19/20</v>
      </c>
      <c r="H109" s="148" t="str">
        <f ca="1">TIME!$N$30</f>
        <v>Q2</v>
      </c>
      <c r="I109" s="148"/>
      <c r="J109" s="148">
        <f t="shared" ca="1" si="21"/>
        <v>0</v>
      </c>
      <c r="K109" s="149">
        <f t="shared" ca="1" si="22"/>
        <v>0</v>
      </c>
      <c r="L109" s="326">
        <f t="shared" ca="1" si="18"/>
        <v>3.0953748875310598</v>
      </c>
      <c r="M109" s="149" t="str">
        <f t="shared" ca="1" si="19"/>
        <v>-</v>
      </c>
      <c r="N109" s="359">
        <f t="shared" ca="1" si="23"/>
        <v>0</v>
      </c>
      <c r="O109" s="903"/>
      <c r="P109" s="351"/>
      <c r="Q109" s="162"/>
      <c r="R109" s="200" t="str">
        <f>'PIVOT TABLE'!A10</f>
        <v>SHIRTS</v>
      </c>
      <c r="S109" s="277"/>
      <c r="T109" s="277" t="str">
        <f ca="1">IFERROR(VLOOKUP(_xlfn.CONCAT($B$1,$C$1,$R109,T$101,T$102),FC_DATA!$A$2:$M$5000,MATCH("Growth",FC_DATA!$A$1:$M$1,0),FALSE),"")</f>
        <v/>
      </c>
      <c r="U109" s="277" t="str">
        <f ca="1">IFERROR(VLOOKUP(_xlfn.CONCAT($B$1,$C$1,$R109,U$101,U$102),FC_DATA!$A$2:$M$5000,MATCH("Growth",FC_DATA!$A$1:$M$1,0),FALSE),"")</f>
        <v/>
      </c>
      <c r="V109" s="277" t="str">
        <f ca="1">IFERROR(VLOOKUP(_xlfn.CONCAT($B$1,$C$1,$R109,V$101,V$102),FC_DATA!$A$2:$M$5000,MATCH("Growth",FC_DATA!$A$1:$M$1,0),FALSE),"")</f>
        <v/>
      </c>
      <c r="W109" s="293" t="str">
        <f ca="1">IFERROR(VLOOKUP(_xlfn.CONCAT($B$1,$C$1,$R109,W$101,W$102),FC_DATA!$A$2:$M$5000,MATCH("Growth",FC_DATA!$A$1:$M$1,0),FALSE),"")</f>
        <v/>
      </c>
      <c r="X109" s="162"/>
      <c r="Y109" s="60"/>
      <c r="Z109" s="60"/>
      <c r="AA109" s="60"/>
      <c r="AB109" s="60"/>
    </row>
    <row r="110" spans="2:28" x14ac:dyDescent="0.25">
      <c r="B110" s="335" t="str">
        <f t="shared" ca="1" si="20"/>
        <v>VMBRAND.comDRESSES19/20Q3</v>
      </c>
      <c r="C110" s="148" t="str">
        <f ca="1">TIME!$E$5</f>
        <v>2019-04</v>
      </c>
      <c r="D110" s="148" t="str">
        <f t="shared" si="13"/>
        <v>VM</v>
      </c>
      <c r="E110" s="148" t="str">
        <f t="shared" si="24"/>
        <v>BRAND.com</v>
      </c>
      <c r="F110" s="148" t="str">
        <f t="shared" si="15"/>
        <v>DRESSES</v>
      </c>
      <c r="G110" s="148" t="str">
        <f ca="1">TIME!$M$31</f>
        <v>19/20</v>
      </c>
      <c r="H110" s="148" t="str">
        <f ca="1">TIME!$N$31</f>
        <v>Q3</v>
      </c>
      <c r="I110" s="148"/>
      <c r="J110" s="148">
        <f t="shared" ca="1" si="21"/>
        <v>0</v>
      </c>
      <c r="K110" s="149">
        <f t="shared" ca="1" si="22"/>
        <v>0</v>
      </c>
      <c r="L110" s="326">
        <f ca="1">_xlfn.IFNA(VLOOKUP(G110,$N$31:$R$32,MATCH(H110,$N$24:$R$24,0),FALSE),0)</f>
        <v>3.1240388382618698</v>
      </c>
      <c r="M110" s="149" t="str">
        <f t="shared" ca="1" si="19"/>
        <v>-</v>
      </c>
      <c r="N110" s="359">
        <f t="shared" ca="1" si="23"/>
        <v>0</v>
      </c>
      <c r="O110" s="903"/>
      <c r="P110" s="350" t="s">
        <v>167</v>
      </c>
      <c r="Q110" s="162"/>
      <c r="R110" s="200" t="str">
        <f>'PIVOT TABLE'!A11</f>
        <v>SHOES</v>
      </c>
      <c r="S110" s="277"/>
      <c r="T110" s="277" t="str">
        <f ca="1">IFERROR(VLOOKUP(_xlfn.CONCAT($B$1,$C$1,$R110,T$101,T$102),FC_DATA!$A$2:$M$5000,MATCH("Growth",FC_DATA!$A$1:$M$1,0),FALSE),"")</f>
        <v/>
      </c>
      <c r="U110" s="277" t="str">
        <f ca="1">IFERROR(VLOOKUP(_xlfn.CONCAT($B$1,$C$1,$R110,U$101,U$102),FC_DATA!$A$2:$M$5000,MATCH("Growth",FC_DATA!$A$1:$M$1,0),FALSE),"")</f>
        <v/>
      </c>
      <c r="V110" s="277" t="str">
        <f ca="1">IFERROR(VLOOKUP(_xlfn.CONCAT($B$1,$C$1,$R110,V$101,V$102),FC_DATA!$A$2:$M$5000,MATCH("Growth",FC_DATA!$A$1:$M$1,0),FALSE),"")</f>
        <v/>
      </c>
      <c r="W110" s="293" t="str">
        <f ca="1">IFERROR(VLOOKUP(_xlfn.CONCAT($B$1,$C$1,$R110,W$101,W$102),FC_DATA!$A$2:$M$5000,MATCH("Growth",FC_DATA!$A$1:$M$1,0),FALSE),"")</f>
        <v/>
      </c>
      <c r="X110" s="162"/>
      <c r="Y110" s="60"/>
      <c r="Z110" s="60"/>
      <c r="AA110" s="60"/>
      <c r="AB110" s="60"/>
    </row>
    <row r="111" spans="2:28" x14ac:dyDescent="0.25">
      <c r="B111" s="335" t="str">
        <f t="shared" ca="1" si="20"/>
        <v>VMBRAND.comDRESSES19/20Q3</v>
      </c>
      <c r="C111" s="148" t="str">
        <f ca="1">TIME!$E$5</f>
        <v>2019-04</v>
      </c>
      <c r="D111" s="148" t="str">
        <f t="shared" si="13"/>
        <v>VM</v>
      </c>
      <c r="E111" s="148" t="str">
        <f t="shared" si="24"/>
        <v>BRAND.com</v>
      </c>
      <c r="F111" s="148" t="str">
        <f t="shared" si="15"/>
        <v>DRESSES</v>
      </c>
      <c r="G111" s="148" t="str">
        <f ca="1">TIME!$M$31</f>
        <v>19/20</v>
      </c>
      <c r="H111" s="148" t="str">
        <f ca="1">TIME!$N$31</f>
        <v>Q3</v>
      </c>
      <c r="I111" s="148"/>
      <c r="J111" s="148">
        <f t="shared" ca="1" si="21"/>
        <v>0</v>
      </c>
      <c r="K111" s="149">
        <f t="shared" ca="1" si="22"/>
        <v>0</v>
      </c>
      <c r="L111" s="326">
        <f ca="1">_xlfn.IFNA(VLOOKUP(G111,$N$31:$R$32,MATCH(H111,$N$24:$R$24,0),FALSE),0)</f>
        <v>3.1240388382618698</v>
      </c>
      <c r="M111" s="149" t="str">
        <f t="shared" ca="1" si="19"/>
        <v>-</v>
      </c>
      <c r="N111" s="359">
        <f t="shared" ca="1" si="23"/>
        <v>0</v>
      </c>
      <c r="O111" s="903"/>
      <c r="P111" s="350"/>
      <c r="Q111" s="162"/>
      <c r="R111" s="200" t="str">
        <f>'PIVOT TABLE'!A12</f>
        <v>SHORTS</v>
      </c>
      <c r="S111" s="277"/>
      <c r="T111" s="277" t="str">
        <f ca="1">IFERROR(VLOOKUP(_xlfn.CONCAT($B$1,$C$1,$R111,T$101,T$102),FC_DATA!$A$2:$M$5000,MATCH("Growth",FC_DATA!$A$1:$M$1,0),FALSE),"")</f>
        <v/>
      </c>
      <c r="U111" s="277" t="str">
        <f ca="1">IFERROR(VLOOKUP(_xlfn.CONCAT($B$1,$C$1,$R111,U$101,U$102),FC_DATA!$A$2:$M$5000,MATCH("Growth",FC_DATA!$A$1:$M$1,0),FALSE),"")</f>
        <v/>
      </c>
      <c r="V111" s="277" t="str">
        <f ca="1">IFERROR(VLOOKUP(_xlfn.CONCAT($B$1,$C$1,$R111,V$101,V$102),FC_DATA!$A$2:$M$5000,MATCH("Growth",FC_DATA!$A$1:$M$1,0),FALSE),"")</f>
        <v/>
      </c>
      <c r="W111" s="293" t="str">
        <f ca="1">IFERROR(VLOOKUP(_xlfn.CONCAT($B$1,$C$1,$R111,W$101,W$102),FC_DATA!$A$2:$M$5000,MATCH("Growth",FC_DATA!$A$1:$M$1,0),FALSE),"")</f>
        <v/>
      </c>
      <c r="X111" s="162"/>
      <c r="Y111" s="60"/>
      <c r="Z111" s="60"/>
      <c r="AA111" s="60"/>
      <c r="AB111" s="60"/>
    </row>
    <row r="112" spans="2:28" x14ac:dyDescent="0.25">
      <c r="B112" s="335" t="str">
        <f t="shared" ca="1" si="20"/>
        <v>VMBRAND.comDRESSES19/20Q3</v>
      </c>
      <c r="C112" s="148" t="str">
        <f ca="1">TIME!$E$5</f>
        <v>2019-04</v>
      </c>
      <c r="D112" s="148" t="str">
        <f t="shared" si="13"/>
        <v>VM</v>
      </c>
      <c r="E112" s="148" t="str">
        <f t="shared" si="24"/>
        <v>BRAND.com</v>
      </c>
      <c r="F112" s="148" t="str">
        <f t="shared" si="15"/>
        <v>DRESSES</v>
      </c>
      <c r="G112" s="148" t="str">
        <f ca="1">TIME!$M$31</f>
        <v>19/20</v>
      </c>
      <c r="H112" s="148" t="str">
        <f ca="1">TIME!$N$31</f>
        <v>Q3</v>
      </c>
      <c r="I112" s="148"/>
      <c r="J112" s="148">
        <f t="shared" ca="1" si="21"/>
        <v>0</v>
      </c>
      <c r="K112" s="149">
        <f t="shared" ca="1" si="22"/>
        <v>0</v>
      </c>
      <c r="L112" s="326">
        <f ca="1">_xlfn.IFNA(VLOOKUP(G112,$N$31:$R$32,MATCH(H112,$N$24:$R$24,0),FALSE),0)</f>
        <v>3.1240388382618698</v>
      </c>
      <c r="M112" s="149" t="str">
        <f t="shared" ca="1" si="19"/>
        <v>-</v>
      </c>
      <c r="N112" s="359">
        <f t="shared" ca="1" si="23"/>
        <v>0</v>
      </c>
      <c r="O112" s="904"/>
      <c r="P112" s="351"/>
      <c r="Q112" s="162"/>
      <c r="R112" s="200" t="str">
        <f>'PIVOT TABLE'!A13</f>
        <v>SKIRTS</v>
      </c>
      <c r="S112" s="277"/>
      <c r="T112" s="277" t="str">
        <f ca="1">IFERROR(VLOOKUP(_xlfn.CONCAT($B$1,$C$1,$R112,T$101,T$102),FC_DATA!$A$2:$M$5000,MATCH("Growth",FC_DATA!$A$1:$M$1,0),FALSE),"")</f>
        <v/>
      </c>
      <c r="U112" s="277" t="str">
        <f ca="1">IFERROR(VLOOKUP(_xlfn.CONCAT($B$1,$C$1,$R112,U$101,U$102),FC_DATA!$A$2:$M$5000,MATCH("Growth",FC_DATA!$A$1:$M$1,0),FALSE),"")</f>
        <v/>
      </c>
      <c r="V112" s="277" t="str">
        <f ca="1">IFERROR(VLOOKUP(_xlfn.CONCAT($B$1,$C$1,$R112,V$101,V$102),FC_DATA!$A$2:$M$5000,MATCH("Growth",FC_DATA!$A$1:$M$1,0),FALSE),"")</f>
        <v/>
      </c>
      <c r="W112" s="293" t="str">
        <f ca="1">IFERROR(VLOOKUP(_xlfn.CONCAT($B$1,$C$1,$R112,W$101,W$102),FC_DATA!$A$2:$M$5000,MATCH("Growth",FC_DATA!$A$1:$M$1,0),FALSE),"")</f>
        <v/>
      </c>
      <c r="X112" s="162"/>
      <c r="Y112" s="60"/>
      <c r="Z112" s="60"/>
      <c r="AA112" s="60"/>
      <c r="AB112" s="60"/>
    </row>
    <row r="113" spans="2:28" x14ac:dyDescent="0.25">
      <c r="B113" s="335" t="str">
        <f t="shared" ca="1" si="20"/>
        <v>VMBS.comDRESSES18/19Q4</v>
      </c>
      <c r="C113" s="148" t="str">
        <f ca="1">TIME!$E$5</f>
        <v>2019-04</v>
      </c>
      <c r="D113" s="148" t="str">
        <f t="shared" si="13"/>
        <v>VM</v>
      </c>
      <c r="E113" s="148" t="s">
        <v>110</v>
      </c>
      <c r="F113" s="148" t="str">
        <f t="shared" si="15"/>
        <v>DRESSES</v>
      </c>
      <c r="G113" s="148" t="str">
        <f ca="1">TIME!$M$28</f>
        <v>18/19</v>
      </c>
      <c r="H113" s="148" t="str">
        <f ca="1">TIME!$N$28</f>
        <v>Q4</v>
      </c>
      <c r="I113" s="148"/>
      <c r="J113" s="148"/>
      <c r="K113" s="149" t="e">
        <f ca="1">K101-$F$143</f>
        <v>#VALUE!</v>
      </c>
      <c r="L113" s="326">
        <f ca="1">_xlfn.IFNA(VLOOKUP(G113,Q_BUSAREA_FC!$C$107:$G$108,MATCH(H113,Q_BUSAREA_FC!$C$100:$G$100,0),FALSE),0)</f>
        <v>3.0265471800438299</v>
      </c>
      <c r="M113" s="148"/>
      <c r="N113" s="359" t="str">
        <f ca="1">N101</f>
        <v>-</v>
      </c>
      <c r="O113" s="902" t="s">
        <v>168</v>
      </c>
      <c r="P113" s="349" t="s">
        <v>164</v>
      </c>
      <c r="Q113" s="162"/>
      <c r="R113" s="200" t="str">
        <f>'PIVOT TABLE'!A14</f>
        <v>SWEAT</v>
      </c>
      <c r="S113" s="277"/>
      <c r="T113" s="277" t="str">
        <f ca="1">IFERROR(VLOOKUP(_xlfn.CONCAT($B$1,$C$1,$R113,T$101,T$102),FC_DATA!$A$2:$M$5000,MATCH("Growth",FC_DATA!$A$1:$M$1,0),FALSE),"")</f>
        <v/>
      </c>
      <c r="U113" s="277" t="str">
        <f ca="1">IFERROR(VLOOKUP(_xlfn.CONCAT($B$1,$C$1,$R113,U$101,U$102),FC_DATA!$A$2:$M$5000,MATCH("Growth",FC_DATA!$A$1:$M$1,0),FALSE),"")</f>
        <v/>
      </c>
      <c r="V113" s="277" t="str">
        <f ca="1">IFERROR(VLOOKUP(_xlfn.CONCAT($B$1,$C$1,$R113,V$101,V$102),FC_DATA!$A$2:$M$5000,MATCH("Growth",FC_DATA!$A$1:$M$1,0),FALSE),"")</f>
        <v/>
      </c>
      <c r="W113" s="293" t="str">
        <f ca="1">IFERROR(VLOOKUP(_xlfn.CONCAT($B$1,$C$1,$R113,W$101,W$102),FC_DATA!$A$2:$M$5000,MATCH("Growth",FC_DATA!$A$1:$M$1,0),FALSE),"")</f>
        <v/>
      </c>
      <c r="X113" s="162"/>
      <c r="Y113" s="60"/>
      <c r="Z113" s="60"/>
      <c r="AA113" s="60"/>
      <c r="AB113" s="60"/>
    </row>
    <row r="114" spans="2:28" x14ac:dyDescent="0.25">
      <c r="B114" s="335" t="str">
        <f t="shared" ca="1" si="20"/>
        <v>VMBS.comDRESSES18/19Q4</v>
      </c>
      <c r="C114" s="148" t="str">
        <f ca="1">TIME!$E$5</f>
        <v>2019-04</v>
      </c>
      <c r="D114" s="148" t="str">
        <f t="shared" si="13"/>
        <v>VM</v>
      </c>
      <c r="E114" s="148" t="s">
        <v>110</v>
      </c>
      <c r="F114" s="148" t="str">
        <f t="shared" si="15"/>
        <v>DRESSES</v>
      </c>
      <c r="G114" s="148" t="str">
        <f ca="1">TIME!$M$28</f>
        <v>18/19</v>
      </c>
      <c r="H114" s="148" t="str">
        <f ca="1">TIME!$N$28</f>
        <v>Q4</v>
      </c>
      <c r="I114" s="148"/>
      <c r="J114" s="148"/>
      <c r="K114" s="149" t="e">
        <f t="shared" ref="K114:K124" ca="1" si="25">K102-$F$143</f>
        <v>#VALUE!</v>
      </c>
      <c r="L114" s="326">
        <f ca="1">_xlfn.IFNA(VLOOKUP(G114,Q_BUSAREA_FC!$C$107:$G$108,MATCH(H114,Q_BUSAREA_FC!$C$100:$G$100,0),FALSE),0)</f>
        <v>3.0265471800438299</v>
      </c>
      <c r="M114" s="148"/>
      <c r="N114" s="359" t="str">
        <f t="shared" ref="N114:N124" ca="1" si="26">N102</f>
        <v>-</v>
      </c>
      <c r="O114" s="903"/>
      <c r="P114" s="350"/>
      <c r="R114" s="200" t="str">
        <f>'PIVOT TABLE'!A15</f>
        <v>TAILORING</v>
      </c>
      <c r="S114" s="277"/>
      <c r="T114" s="277" t="str">
        <f ca="1">IFERROR(VLOOKUP(_xlfn.CONCAT($B$1,$C$1,$R114,T$101,T$102),FC_DATA!$A$2:$M$5000,MATCH("Growth",FC_DATA!$A$1:$M$1,0),FALSE),"")</f>
        <v/>
      </c>
      <c r="U114" s="277" t="str">
        <f ca="1">IFERROR(VLOOKUP(_xlfn.CONCAT($B$1,$C$1,$R114,U$101,U$102),FC_DATA!$A$2:$M$5000,MATCH("Growth",FC_DATA!$A$1:$M$1,0),FALSE),"")</f>
        <v/>
      </c>
      <c r="V114" s="277" t="str">
        <f ca="1">IFERROR(VLOOKUP(_xlfn.CONCAT($B$1,$C$1,$R114,V$101,V$102),FC_DATA!$A$2:$M$5000,MATCH("Growth",FC_DATA!$A$1:$M$1,0),FALSE),"")</f>
        <v/>
      </c>
      <c r="W114" s="293" t="str">
        <f ca="1">IFERROR(VLOOKUP(_xlfn.CONCAT($B$1,$C$1,$R114,W$101,W$102),FC_DATA!$A$2:$M$5000,MATCH("Growth",FC_DATA!$A$1:$M$1,0),FALSE),"")</f>
        <v/>
      </c>
      <c r="Y114" s="60"/>
      <c r="Z114" s="60"/>
      <c r="AA114" s="60"/>
      <c r="AB114" s="60"/>
    </row>
    <row r="115" spans="2:28" x14ac:dyDescent="0.25">
      <c r="B115" s="335" t="str">
        <f t="shared" ca="1" si="20"/>
        <v>VMBS.comDRESSES18/19Q4</v>
      </c>
      <c r="C115" s="148" t="str">
        <f ca="1">TIME!$E$5</f>
        <v>2019-04</v>
      </c>
      <c r="D115" s="148" t="str">
        <f t="shared" si="13"/>
        <v>VM</v>
      </c>
      <c r="E115" s="148" t="s">
        <v>110</v>
      </c>
      <c r="F115" s="148" t="str">
        <f t="shared" si="15"/>
        <v>DRESSES</v>
      </c>
      <c r="G115" s="148" t="str">
        <f ca="1">TIME!$M$28</f>
        <v>18/19</v>
      </c>
      <c r="H115" s="148" t="str">
        <f ca="1">TIME!$N$28</f>
        <v>Q4</v>
      </c>
      <c r="I115" s="148"/>
      <c r="J115" s="148"/>
      <c r="K115" s="149" t="e">
        <f t="shared" ca="1" si="25"/>
        <v>#VALUE!</v>
      </c>
      <c r="L115" s="326">
        <f ca="1">_xlfn.IFNA(VLOOKUP(G115,Q_BUSAREA_FC!$C$107:$G$108,MATCH(H115,Q_BUSAREA_FC!$C$100:$G$100,0),FALSE),0)</f>
        <v>3.0265471800438299</v>
      </c>
      <c r="M115" s="148"/>
      <c r="N115" s="359" t="str">
        <f t="shared" ca="1" si="26"/>
        <v>-</v>
      </c>
      <c r="O115" s="903"/>
      <c r="P115" s="351"/>
      <c r="R115" s="200" t="str">
        <f>'PIVOT TABLE'!A16</f>
        <v>TOPS</v>
      </c>
      <c r="S115" s="277"/>
      <c r="T115" s="277" t="str">
        <f ca="1">IFERROR(VLOOKUP(_xlfn.CONCAT($B$1,$C$1,$R115,T$101,T$102),FC_DATA!$A$2:$M$5000,MATCH("Growth",FC_DATA!$A$1:$M$1,0),FALSE),"")</f>
        <v/>
      </c>
      <c r="U115" s="277" t="str">
        <f ca="1">IFERROR(VLOOKUP(_xlfn.CONCAT($B$1,$C$1,$R115,U$101,U$102),FC_DATA!$A$2:$M$5000,MATCH("Growth",FC_DATA!$A$1:$M$1,0),FALSE),"")</f>
        <v/>
      </c>
      <c r="V115" s="277" t="str">
        <f ca="1">IFERROR(VLOOKUP(_xlfn.CONCAT($B$1,$C$1,$R115,V$101,V$102),FC_DATA!$A$2:$M$5000,MATCH("Growth",FC_DATA!$A$1:$M$1,0),FALSE),"")</f>
        <v/>
      </c>
      <c r="W115" s="293" t="str">
        <f ca="1">IFERROR(VLOOKUP(_xlfn.CONCAT($B$1,$C$1,$R115,W$101,W$102),FC_DATA!$A$2:$M$5000,MATCH("Growth",FC_DATA!$A$1:$M$1,0),FALSE),"")</f>
        <v/>
      </c>
      <c r="Y115" s="60"/>
      <c r="Z115" s="60"/>
      <c r="AA115" s="60"/>
      <c r="AB115" s="60"/>
    </row>
    <row r="116" spans="2:28" x14ac:dyDescent="0.25">
      <c r="B116" s="335" t="str">
        <f t="shared" ca="1" si="20"/>
        <v>VMBS.comDRESSES19/20Q1</v>
      </c>
      <c r="C116" s="148" t="str">
        <f ca="1">TIME!$E$5</f>
        <v>2019-04</v>
      </c>
      <c r="D116" s="148" t="str">
        <f t="shared" si="13"/>
        <v>VM</v>
      </c>
      <c r="E116" s="148" t="s">
        <v>110</v>
      </c>
      <c r="F116" s="148" t="str">
        <f t="shared" si="15"/>
        <v>DRESSES</v>
      </c>
      <c r="G116" s="148" t="str">
        <f ca="1">TIME!$M$29</f>
        <v>19/20</v>
      </c>
      <c r="H116" s="148" t="str">
        <f ca="1">TIME!$N$29</f>
        <v>Q1</v>
      </c>
      <c r="I116" s="148"/>
      <c r="J116" s="148"/>
      <c r="K116" s="149" t="e">
        <f t="shared" ca="1" si="25"/>
        <v>#VALUE!</v>
      </c>
      <c r="L116" s="326">
        <f ca="1">_xlfn.IFNA(VLOOKUP(G116,Q_BUSAREA_FC!$C$107:$G$108,MATCH(H116,Q_BUSAREA_FC!$C$100:$G$100,0),FALSE),0)</f>
        <v>3.0395718320205698</v>
      </c>
      <c r="M116" s="148"/>
      <c r="N116" s="359" t="str">
        <f t="shared" ca="1" si="26"/>
        <v>-</v>
      </c>
      <c r="O116" s="903"/>
      <c r="P116" s="349" t="s">
        <v>165</v>
      </c>
      <c r="R116" s="200" t="str">
        <f>'PIVOT TABLE'!A17</f>
        <v>T-SHIRTS</v>
      </c>
      <c r="S116" s="277"/>
      <c r="T116" s="277" t="str">
        <f ca="1">IFERROR(VLOOKUP(_xlfn.CONCAT($B$1,$C$1,$R116,T$101,T$102),FC_DATA!$A$2:$M$5000,MATCH("Growth",FC_DATA!$A$1:$M$1,0),FALSE),"")</f>
        <v/>
      </c>
      <c r="U116" s="277" t="str">
        <f ca="1">IFERROR(VLOOKUP(_xlfn.CONCAT($B$1,$C$1,$R116,U$101,U$102),FC_DATA!$A$2:$M$5000,MATCH("Growth",FC_DATA!$A$1:$M$1,0),FALSE),"")</f>
        <v/>
      </c>
      <c r="V116" s="277" t="str">
        <f ca="1">IFERROR(VLOOKUP(_xlfn.CONCAT($B$1,$C$1,$R116,V$101,V$102),FC_DATA!$A$2:$M$5000,MATCH("Growth",FC_DATA!$A$1:$M$1,0),FALSE),"")</f>
        <v/>
      </c>
      <c r="W116" s="293" t="str">
        <f ca="1">IFERROR(VLOOKUP(_xlfn.CONCAT($B$1,$C$1,$R116,W$101,W$102),FC_DATA!$A$2:$M$5000,MATCH("Growth",FC_DATA!$A$1:$M$1,0),FALSE),"")</f>
        <v/>
      </c>
      <c r="Y116" s="60"/>
      <c r="Z116" s="60"/>
      <c r="AA116" s="60"/>
      <c r="AB116" s="60"/>
    </row>
    <row r="117" spans="2:28" x14ac:dyDescent="0.25">
      <c r="B117" s="335" t="str">
        <f t="shared" ca="1" si="20"/>
        <v>VMBS.comDRESSES19/20Q1</v>
      </c>
      <c r="C117" s="148" t="str">
        <f ca="1">TIME!$E$5</f>
        <v>2019-04</v>
      </c>
      <c r="D117" s="148" t="str">
        <f t="shared" si="13"/>
        <v>VM</v>
      </c>
      <c r="E117" s="148" t="s">
        <v>110</v>
      </c>
      <c r="F117" s="148" t="str">
        <f t="shared" si="15"/>
        <v>DRESSES</v>
      </c>
      <c r="G117" s="148" t="str">
        <f ca="1">TIME!$M$29</f>
        <v>19/20</v>
      </c>
      <c r="H117" s="148" t="str">
        <f ca="1">TIME!$N$29</f>
        <v>Q1</v>
      </c>
      <c r="I117" s="148"/>
      <c r="J117" s="148"/>
      <c r="K117" s="149" t="e">
        <f t="shared" ca="1" si="25"/>
        <v>#VALUE!</v>
      </c>
      <c r="L117" s="326">
        <f ca="1">_xlfn.IFNA(VLOOKUP(G117,Q_BUSAREA_FC!$C$107:$G$108,MATCH(H117,Q_BUSAREA_FC!$C$100:$G$100,0),FALSE),0)</f>
        <v>3.0395718320205698</v>
      </c>
      <c r="M117" s="148"/>
      <c r="N117" s="359" t="str">
        <f t="shared" ca="1" si="26"/>
        <v>-</v>
      </c>
      <c r="O117" s="903"/>
      <c r="P117" s="350"/>
      <c r="R117" s="200" t="str">
        <f>'PIVOT TABLE'!A18</f>
        <v>T-SHIRTS &amp; TOPS</v>
      </c>
      <c r="S117" s="25"/>
      <c r="T117" s="25" t="str">
        <f ca="1">IFERROR(VLOOKUP(_xlfn.CONCAT($B$1,$C$1,$R117,T$101,T$102),FC_DATA!$A$2:$M$5000,MATCH("Growth",FC_DATA!$A$1:$M$1,0),FALSE),"")</f>
        <v/>
      </c>
      <c r="U117" s="25" t="str">
        <f ca="1">IFERROR(VLOOKUP(_xlfn.CONCAT($B$1,$C$1,$R117,U$101,U$102),FC_DATA!$A$2:$M$5000,MATCH("Growth",FC_DATA!$A$1:$M$1,0),FALSE),"")</f>
        <v/>
      </c>
      <c r="V117" s="25" t="str">
        <f ca="1">IFERROR(VLOOKUP(_xlfn.CONCAT($B$1,$C$1,$R117,V$101,V$102),FC_DATA!$A$2:$M$5000,MATCH("Growth",FC_DATA!$A$1:$M$1,0),FALSE),"")</f>
        <v/>
      </c>
      <c r="W117" s="294" t="str">
        <f ca="1">IFERROR(VLOOKUP(_xlfn.CONCAT($B$1,$C$1,$R117,W$101,W$102),FC_DATA!$A$2:$M$5000,MATCH("Growth",FC_DATA!$A$1:$M$1,0),FALSE),"")</f>
        <v/>
      </c>
      <c r="Y117" s="60"/>
      <c r="Z117" s="60"/>
      <c r="AA117" s="60"/>
      <c r="AB117" s="60"/>
    </row>
    <row r="118" spans="2:28" x14ac:dyDescent="0.25">
      <c r="B118" s="335" t="str">
        <f t="shared" ca="1" si="20"/>
        <v>VMBS.comDRESSES19/20Q1</v>
      </c>
      <c r="C118" s="148" t="str">
        <f ca="1">TIME!$E$5</f>
        <v>2019-04</v>
      </c>
      <c r="D118" s="148" t="str">
        <f t="shared" si="13"/>
        <v>VM</v>
      </c>
      <c r="E118" s="148" t="s">
        <v>110</v>
      </c>
      <c r="F118" s="148" t="str">
        <f t="shared" si="15"/>
        <v>DRESSES</v>
      </c>
      <c r="G118" s="148" t="str">
        <f ca="1">TIME!$M$29</f>
        <v>19/20</v>
      </c>
      <c r="H118" s="148" t="str">
        <f ca="1">TIME!$N$29</f>
        <v>Q1</v>
      </c>
      <c r="I118" s="148"/>
      <c r="J118" s="148"/>
      <c r="K118" s="149" t="e">
        <f t="shared" ca="1" si="25"/>
        <v>#VALUE!</v>
      </c>
      <c r="L118" s="326">
        <f ca="1">_xlfn.IFNA(VLOOKUP(G118,Q_BUSAREA_FC!$C$107:$G$108,MATCH(H118,Q_BUSAREA_FC!$C$100:$G$100,0),FALSE),0)</f>
        <v>3.0395718320205698</v>
      </c>
      <c r="M118" s="148"/>
      <c r="N118" s="359" t="str">
        <f t="shared" ca="1" si="26"/>
        <v>-</v>
      </c>
      <c r="O118" s="903"/>
      <c r="P118" s="351"/>
      <c r="R118" s="201">
        <f>'PIVOT TABLE'!A19</f>
        <v>0</v>
      </c>
      <c r="S118" s="202"/>
      <c r="T118" s="202" t="str">
        <f ca="1">IFERROR(VLOOKUP(_xlfn.CONCAT($B$1,$C$1,$R118,T$101,T$102),FC_DATA!$A$2:$M$5000,MATCH("Growth",FC_DATA!$A$1:$M$1,0),FALSE),"")</f>
        <v/>
      </c>
      <c r="U118" s="202" t="str">
        <f ca="1">IFERROR(VLOOKUP(_xlfn.CONCAT($B$1,$C$1,$R118,U$101,U$102),FC_DATA!$A$2:$M$5000,MATCH("Growth",FC_DATA!$A$1:$M$1,0),FALSE),"")</f>
        <v/>
      </c>
      <c r="V118" s="202" t="str">
        <f ca="1">IFERROR(VLOOKUP(_xlfn.CONCAT($B$1,$C$1,$R118,V$101,V$102),FC_DATA!$A$2:$M$5000,MATCH("Growth",FC_DATA!$A$1:$M$1,0),FALSE),"")</f>
        <v/>
      </c>
      <c r="W118" s="295" t="str">
        <f ca="1">IFERROR(VLOOKUP(_xlfn.CONCAT($B$1,$C$1,$R118,W$101,W$102),FC_DATA!$A$2:$M$5000,MATCH("Growth",FC_DATA!$A$1:$M$1,0),FALSE),"")</f>
        <v/>
      </c>
      <c r="Y118" s="60"/>
      <c r="Z118" s="60"/>
      <c r="AA118" s="60"/>
      <c r="AB118" s="60"/>
    </row>
    <row r="119" spans="2:28" x14ac:dyDescent="0.25">
      <c r="B119" s="335" t="str">
        <f t="shared" ca="1" si="20"/>
        <v>VMBS.comDRESSES19/20Q2</v>
      </c>
      <c r="C119" s="148" t="str">
        <f ca="1">TIME!$E$5</f>
        <v>2019-04</v>
      </c>
      <c r="D119" s="148" t="str">
        <f t="shared" si="13"/>
        <v>VM</v>
      </c>
      <c r="E119" s="148" t="s">
        <v>110</v>
      </c>
      <c r="F119" s="148" t="str">
        <f t="shared" si="15"/>
        <v>DRESSES</v>
      </c>
      <c r="G119" s="148" t="str">
        <f ca="1">TIME!$M$30</f>
        <v>19/20</v>
      </c>
      <c r="H119" s="148" t="str">
        <f ca="1">TIME!$N$30</f>
        <v>Q2</v>
      </c>
      <c r="I119" s="148"/>
      <c r="J119" s="148"/>
      <c r="K119" s="149">
        <f t="shared" ca="1" si="25"/>
        <v>-5.6156549205435141E-3</v>
      </c>
      <c r="L119" s="326">
        <f ca="1">_xlfn.IFNA(VLOOKUP(G119,Q_BUSAREA_FC!$C$107:$G$108,MATCH(H119,Q_BUSAREA_FC!$C$100:$G$100,0),FALSE),0)</f>
        <v>3.0349739136489</v>
      </c>
      <c r="M119" s="148"/>
      <c r="N119" s="359">
        <f t="shared" ca="1" si="26"/>
        <v>0</v>
      </c>
      <c r="O119" s="903"/>
      <c r="P119" s="349" t="s">
        <v>166</v>
      </c>
    </row>
    <row r="120" spans="2:28" x14ac:dyDescent="0.25">
      <c r="B120" s="335" t="str">
        <f t="shared" ca="1" si="20"/>
        <v>VMBS.comDRESSES19/20Q2</v>
      </c>
      <c r="C120" s="148" t="str">
        <f ca="1">TIME!$E$5</f>
        <v>2019-04</v>
      </c>
      <c r="D120" s="148" t="str">
        <f t="shared" si="13"/>
        <v>VM</v>
      </c>
      <c r="E120" s="148" t="s">
        <v>110</v>
      </c>
      <c r="F120" s="148" t="str">
        <f t="shared" si="15"/>
        <v>DRESSES</v>
      </c>
      <c r="G120" s="148" t="str">
        <f ca="1">TIME!$M$30</f>
        <v>19/20</v>
      </c>
      <c r="H120" s="148" t="str">
        <f ca="1">TIME!$N$30</f>
        <v>Q2</v>
      </c>
      <c r="I120" s="148"/>
      <c r="J120" s="148"/>
      <c r="K120" s="149">
        <f t="shared" ca="1" si="25"/>
        <v>-5.6156549205435141E-3</v>
      </c>
      <c r="L120" s="326">
        <f ca="1">_xlfn.IFNA(VLOOKUP(G120,Q_BUSAREA_FC!$C$107:$G$108,MATCH(H120,Q_BUSAREA_FC!$C$100:$G$100,0),FALSE),0)</f>
        <v>3.0349739136489</v>
      </c>
      <c r="M120" s="148"/>
      <c r="N120" s="359">
        <f t="shared" ca="1" si="26"/>
        <v>0</v>
      </c>
      <c r="O120" s="903"/>
      <c r="P120" s="350"/>
    </row>
    <row r="121" spans="2:28" x14ac:dyDescent="0.25">
      <c r="B121" s="335" t="str">
        <f t="shared" ca="1" si="20"/>
        <v>VMBS.comDRESSES19/20Q2</v>
      </c>
      <c r="C121" s="148" t="str">
        <f ca="1">TIME!$E$5</f>
        <v>2019-04</v>
      </c>
      <c r="D121" s="148" t="str">
        <f t="shared" si="13"/>
        <v>VM</v>
      </c>
      <c r="E121" s="148" t="s">
        <v>110</v>
      </c>
      <c r="F121" s="148" t="str">
        <f t="shared" si="15"/>
        <v>DRESSES</v>
      </c>
      <c r="G121" s="148" t="str">
        <f ca="1">TIME!$M$30</f>
        <v>19/20</v>
      </c>
      <c r="H121" s="148" t="str">
        <f ca="1">TIME!$N$30</f>
        <v>Q2</v>
      </c>
      <c r="I121" s="148"/>
      <c r="J121" s="148"/>
      <c r="K121" s="149">
        <f t="shared" ca="1" si="25"/>
        <v>-5.6156549205435141E-3</v>
      </c>
      <c r="L121" s="326">
        <f ca="1">_xlfn.IFNA(VLOOKUP(G121,Q_BUSAREA_FC!$C$107:$G$108,MATCH(H121,Q_BUSAREA_FC!$C$100:$G$100,0),FALSE),0)</f>
        <v>3.0349739136489</v>
      </c>
      <c r="M121" s="148"/>
      <c r="N121" s="359">
        <f t="shared" ca="1" si="26"/>
        <v>0</v>
      </c>
      <c r="O121" s="903"/>
      <c r="P121" s="351"/>
    </row>
    <row r="122" spans="2:28" x14ac:dyDescent="0.25">
      <c r="B122" s="335" t="str">
        <f t="shared" ca="1" si="20"/>
        <v>VMBS.comDRESSES19/20Q3</v>
      </c>
      <c r="C122" s="148" t="str">
        <f ca="1">TIME!$E$5</f>
        <v>2019-04</v>
      </c>
      <c r="D122" s="148" t="str">
        <f t="shared" si="13"/>
        <v>VM</v>
      </c>
      <c r="E122" s="148" t="s">
        <v>110</v>
      </c>
      <c r="F122" s="148" t="str">
        <f t="shared" si="15"/>
        <v>DRESSES</v>
      </c>
      <c r="G122" s="148" t="str">
        <f ca="1">TIME!$M$31</f>
        <v>19/20</v>
      </c>
      <c r="H122" s="148" t="str">
        <f ca="1">TIME!$N$31</f>
        <v>Q3</v>
      </c>
      <c r="I122" s="148"/>
      <c r="J122" s="148"/>
      <c r="K122" s="149">
        <f t="shared" ca="1" si="25"/>
        <v>-5.6156549205435141E-3</v>
      </c>
      <c r="L122" s="326">
        <f ca="1">_xlfn.IFNA(VLOOKUP(G122,Q_BUSAREA_FC!$C$107:$G$108,MATCH(H122,Q_BUSAREA_FC!$C$100:$G$100,0),FALSE),0)</f>
        <v>3.08295603265374</v>
      </c>
      <c r="M122" s="148"/>
      <c r="N122" s="359">
        <f t="shared" ca="1" si="26"/>
        <v>0</v>
      </c>
      <c r="O122" s="903"/>
      <c r="P122" s="350" t="s">
        <v>167</v>
      </c>
    </row>
    <row r="123" spans="2:28" x14ac:dyDescent="0.25">
      <c r="B123" s="335" t="str">
        <f t="shared" ca="1" si="20"/>
        <v>VMBS.comDRESSES19/20Q3</v>
      </c>
      <c r="C123" s="148" t="str">
        <f ca="1">TIME!$E$5</f>
        <v>2019-04</v>
      </c>
      <c r="D123" s="148" t="str">
        <f t="shared" si="13"/>
        <v>VM</v>
      </c>
      <c r="E123" s="148" t="s">
        <v>110</v>
      </c>
      <c r="F123" s="148" t="str">
        <f t="shared" si="15"/>
        <v>DRESSES</v>
      </c>
      <c r="G123" s="148" t="str">
        <f ca="1">TIME!$M$31</f>
        <v>19/20</v>
      </c>
      <c r="H123" s="148" t="str">
        <f ca="1">TIME!$N$31</f>
        <v>Q3</v>
      </c>
      <c r="I123" s="148"/>
      <c r="J123" s="148"/>
      <c r="K123" s="149">
        <f t="shared" ca="1" si="25"/>
        <v>-5.6156549205435141E-3</v>
      </c>
      <c r="L123" s="326">
        <f ca="1">_xlfn.IFNA(VLOOKUP(G123,Q_BUSAREA_FC!$C$107:$G$108,MATCH(H123,Q_BUSAREA_FC!$C$100:$G$100,0),FALSE),0)</f>
        <v>3.08295603265374</v>
      </c>
      <c r="M123" s="148"/>
      <c r="N123" s="359">
        <f t="shared" ca="1" si="26"/>
        <v>0</v>
      </c>
      <c r="O123" s="903"/>
      <c r="P123" s="350"/>
    </row>
    <row r="124" spans="2:28" x14ac:dyDescent="0.25">
      <c r="B124" s="335" t="str">
        <f t="shared" ca="1" si="20"/>
        <v>VMBS.comDRESSES19/20Q3</v>
      </c>
      <c r="C124" s="148" t="str">
        <f ca="1">TIME!$E$5</f>
        <v>2019-04</v>
      </c>
      <c r="D124" s="148" t="str">
        <f t="shared" si="13"/>
        <v>VM</v>
      </c>
      <c r="E124" s="148" t="s">
        <v>110</v>
      </c>
      <c r="F124" s="148" t="str">
        <f t="shared" si="15"/>
        <v>DRESSES</v>
      </c>
      <c r="G124" s="148" t="str">
        <f ca="1">TIME!$M$31</f>
        <v>19/20</v>
      </c>
      <c r="H124" s="148" t="str">
        <f ca="1">TIME!$N$31</f>
        <v>Q3</v>
      </c>
      <c r="I124" s="148"/>
      <c r="J124" s="148"/>
      <c r="K124" s="149">
        <f t="shared" ca="1" si="25"/>
        <v>-5.6156549205435141E-3</v>
      </c>
      <c r="L124" s="326">
        <f ca="1">_xlfn.IFNA(VLOOKUP(G124,Q_BUSAREA_FC!$C$107:$G$108,MATCH(H124,Q_BUSAREA_FC!$C$100:$G$100,0),FALSE),0)</f>
        <v>3.08295603265374</v>
      </c>
      <c r="M124" s="148"/>
      <c r="N124" s="359">
        <f t="shared" ca="1" si="26"/>
        <v>0</v>
      </c>
      <c r="O124" s="904"/>
      <c r="P124" s="351"/>
    </row>
    <row r="125" spans="2:28" x14ac:dyDescent="0.25">
      <c r="B125" s="335" t="str">
        <f t="shared" ca="1" si="20"/>
        <v>VMPartner.comDRESSES18/19Q4</v>
      </c>
      <c r="C125" s="148" t="str">
        <f ca="1">TIME!$E$5</f>
        <v>2019-04</v>
      </c>
      <c r="D125" s="148" t="str">
        <f t="shared" si="13"/>
        <v>VM</v>
      </c>
      <c r="E125" s="148" t="s">
        <v>142</v>
      </c>
      <c r="F125" s="148" t="str">
        <f t="shared" si="15"/>
        <v>DRESSES</v>
      </c>
      <c r="G125" s="148" t="str">
        <f ca="1">TIME!$M$28</f>
        <v>18/19</v>
      </c>
      <c r="H125" s="148" t="str">
        <f ca="1">TIME!$N$28</f>
        <v>Q4</v>
      </c>
      <c r="I125" s="148"/>
      <c r="J125" s="148"/>
      <c r="K125" s="149">
        <v>0</v>
      </c>
      <c r="L125" s="326">
        <f ca="1">_xlfn.IFNA(VLOOKUP(G125,Q_BUSAREA_FC!$L$107:$P$108,MATCH(H125,Q_BUSAREA_FC!$L$100:$P$100,0),FALSE),0)</f>
        <v>3.0805899124086502</v>
      </c>
      <c r="M125" s="148"/>
      <c r="N125" s="359" t="str">
        <f ca="1">N101</f>
        <v>-</v>
      </c>
      <c r="O125" s="902" t="s">
        <v>169</v>
      </c>
      <c r="P125" s="349" t="s">
        <v>164</v>
      </c>
    </row>
    <row r="126" spans="2:28" x14ac:dyDescent="0.25">
      <c r="B126" s="335" t="str">
        <f t="shared" ca="1" si="20"/>
        <v>VMPartner.comDRESSES18/19Q4</v>
      </c>
      <c r="C126" s="148" t="str">
        <f ca="1">TIME!$E$5</f>
        <v>2019-04</v>
      </c>
      <c r="D126" s="148" t="str">
        <f t="shared" si="13"/>
        <v>VM</v>
      </c>
      <c r="E126" s="148" t="s">
        <v>142</v>
      </c>
      <c r="F126" s="148" t="str">
        <f t="shared" si="15"/>
        <v>DRESSES</v>
      </c>
      <c r="G126" s="148" t="str">
        <f ca="1">TIME!$M$28</f>
        <v>18/19</v>
      </c>
      <c r="H126" s="148" t="str">
        <f ca="1">TIME!$N$28</f>
        <v>Q4</v>
      </c>
      <c r="I126" s="148"/>
      <c r="J126" s="148"/>
      <c r="K126" s="149">
        <v>0</v>
      </c>
      <c r="L126" s="326">
        <f ca="1">_xlfn.IFNA(VLOOKUP(G126,Q_BUSAREA_FC!$L$107:$P$108,MATCH(H126,Q_BUSAREA_FC!$L$100:$P$100,0),FALSE),0)</f>
        <v>3.0805899124086502</v>
      </c>
      <c r="M126" s="148"/>
      <c r="N126" s="359" t="str">
        <f t="shared" ref="N126:N136" ca="1" si="27">N102</f>
        <v>-</v>
      </c>
      <c r="O126" s="903"/>
      <c r="P126" s="350"/>
    </row>
    <row r="127" spans="2:28" x14ac:dyDescent="0.25">
      <c r="B127" s="335" t="str">
        <f t="shared" ca="1" si="20"/>
        <v>VMPartner.comDRESSES18/19Q4</v>
      </c>
      <c r="C127" s="148" t="str">
        <f ca="1">TIME!$E$5</f>
        <v>2019-04</v>
      </c>
      <c r="D127" s="148" t="str">
        <f t="shared" si="13"/>
        <v>VM</v>
      </c>
      <c r="E127" s="148" t="s">
        <v>142</v>
      </c>
      <c r="F127" s="148" t="str">
        <f t="shared" si="15"/>
        <v>DRESSES</v>
      </c>
      <c r="G127" s="148" t="str">
        <f ca="1">TIME!$M$28</f>
        <v>18/19</v>
      </c>
      <c r="H127" s="148" t="str">
        <f ca="1">TIME!$N$28</f>
        <v>Q4</v>
      </c>
      <c r="I127" s="148"/>
      <c r="J127" s="148"/>
      <c r="K127" s="149">
        <v>0</v>
      </c>
      <c r="L127" s="326">
        <f ca="1">_xlfn.IFNA(VLOOKUP(G127,Q_BUSAREA_FC!$L$107:$P$108,MATCH(H127,Q_BUSAREA_FC!$L$100:$P$100,0),FALSE),0)</f>
        <v>3.0805899124086502</v>
      </c>
      <c r="M127" s="148"/>
      <c r="N127" s="359" t="str">
        <f t="shared" ca="1" si="27"/>
        <v>-</v>
      </c>
      <c r="O127" s="903"/>
      <c r="P127" s="351"/>
    </row>
    <row r="128" spans="2:28" x14ac:dyDescent="0.25">
      <c r="B128" s="335" t="str">
        <f t="shared" ca="1" si="20"/>
        <v>VMPartner.comDRESSES19/20Q1</v>
      </c>
      <c r="C128" s="148" t="str">
        <f ca="1">TIME!$E$5</f>
        <v>2019-04</v>
      </c>
      <c r="D128" s="148" t="str">
        <f t="shared" si="13"/>
        <v>VM</v>
      </c>
      <c r="E128" s="148" t="s">
        <v>142</v>
      </c>
      <c r="F128" s="148" t="str">
        <f t="shared" si="15"/>
        <v>DRESSES</v>
      </c>
      <c r="G128" s="148" t="str">
        <f ca="1">TIME!$M$29</f>
        <v>19/20</v>
      </c>
      <c r="H128" s="148" t="str">
        <f ca="1">TIME!$N$29</f>
        <v>Q1</v>
      </c>
      <c r="I128" s="148"/>
      <c r="J128" s="148"/>
      <c r="K128" s="149">
        <v>0</v>
      </c>
      <c r="L128" s="326">
        <f ca="1">_xlfn.IFNA(VLOOKUP(G128,Q_BUSAREA_FC!$L$107:$P$108,MATCH(H128,Q_BUSAREA_FC!$L$100:$P$100,0),FALSE),0)</f>
        <v>3.1040209210421201</v>
      </c>
      <c r="M128" s="148"/>
      <c r="N128" s="359" t="str">
        <f t="shared" ca="1" si="27"/>
        <v>-</v>
      </c>
      <c r="O128" s="903"/>
      <c r="P128" s="349" t="s">
        <v>165</v>
      </c>
    </row>
    <row r="129" spans="2:16" x14ac:dyDescent="0.25">
      <c r="B129" s="335" t="str">
        <f t="shared" ca="1" si="20"/>
        <v>VMPartner.comDRESSES19/20Q1</v>
      </c>
      <c r="C129" s="148" t="str">
        <f ca="1">TIME!$E$5</f>
        <v>2019-04</v>
      </c>
      <c r="D129" s="148" t="str">
        <f t="shared" si="13"/>
        <v>VM</v>
      </c>
      <c r="E129" s="148" t="s">
        <v>142</v>
      </c>
      <c r="F129" s="148" t="str">
        <f t="shared" si="15"/>
        <v>DRESSES</v>
      </c>
      <c r="G129" s="148" t="str">
        <f ca="1">TIME!$M$29</f>
        <v>19/20</v>
      </c>
      <c r="H129" s="148" t="str">
        <f ca="1">TIME!$N$29</f>
        <v>Q1</v>
      </c>
      <c r="I129" s="148"/>
      <c r="J129" s="148"/>
      <c r="K129" s="149">
        <v>0</v>
      </c>
      <c r="L129" s="326">
        <f ca="1">_xlfn.IFNA(VLOOKUP(G129,Q_BUSAREA_FC!$L$107:$P$108,MATCH(H129,Q_BUSAREA_FC!$L$100:$P$100,0),FALSE),0)</f>
        <v>3.1040209210421201</v>
      </c>
      <c r="M129" s="148"/>
      <c r="N129" s="359" t="str">
        <f t="shared" ca="1" si="27"/>
        <v>-</v>
      </c>
      <c r="O129" s="903"/>
      <c r="P129" s="350"/>
    </row>
    <row r="130" spans="2:16" x14ac:dyDescent="0.25">
      <c r="B130" s="335" t="str">
        <f t="shared" ca="1" si="20"/>
        <v>VMPartner.comDRESSES19/20Q1</v>
      </c>
      <c r="C130" s="148" t="str">
        <f ca="1">TIME!$E$5</f>
        <v>2019-04</v>
      </c>
      <c r="D130" s="148" t="str">
        <f t="shared" si="13"/>
        <v>VM</v>
      </c>
      <c r="E130" s="148" t="s">
        <v>142</v>
      </c>
      <c r="F130" s="148" t="str">
        <f t="shared" si="15"/>
        <v>DRESSES</v>
      </c>
      <c r="G130" s="148" t="str">
        <f ca="1">TIME!$M$29</f>
        <v>19/20</v>
      </c>
      <c r="H130" s="148" t="str">
        <f ca="1">TIME!$N$29</f>
        <v>Q1</v>
      </c>
      <c r="I130" s="148"/>
      <c r="J130" s="148"/>
      <c r="K130" s="149">
        <v>0</v>
      </c>
      <c r="L130" s="326">
        <f ca="1">_xlfn.IFNA(VLOOKUP(G130,Q_BUSAREA_FC!$L$107:$P$108,MATCH(H130,Q_BUSAREA_FC!$L$100:$P$100,0),FALSE),0)</f>
        <v>3.1040209210421201</v>
      </c>
      <c r="M130" s="148"/>
      <c r="N130" s="359" t="str">
        <f t="shared" ca="1" si="27"/>
        <v>-</v>
      </c>
      <c r="O130" s="903"/>
      <c r="P130" s="351"/>
    </row>
    <row r="131" spans="2:16" x14ac:dyDescent="0.25">
      <c r="B131" s="335" t="str">
        <f t="shared" ca="1" si="20"/>
        <v>VMPartner.comDRESSES19/20Q2</v>
      </c>
      <c r="C131" s="148" t="str">
        <f ca="1">TIME!$E$5</f>
        <v>2019-04</v>
      </c>
      <c r="D131" s="148" t="str">
        <f t="shared" si="13"/>
        <v>VM</v>
      </c>
      <c r="E131" s="148" t="s">
        <v>142</v>
      </c>
      <c r="F131" s="148" t="str">
        <f t="shared" si="15"/>
        <v>DRESSES</v>
      </c>
      <c r="G131" s="148" t="str">
        <f ca="1">TIME!$M$30</f>
        <v>19/20</v>
      </c>
      <c r="H131" s="148" t="str">
        <f ca="1">TIME!$N$30</f>
        <v>Q2</v>
      </c>
      <c r="I131" s="148"/>
      <c r="J131" s="148"/>
      <c r="K131" s="149">
        <v>0</v>
      </c>
      <c r="L131" s="326">
        <f ca="1">_xlfn.IFNA(VLOOKUP(G131,Q_BUSAREA_FC!$L$107:$P$108,MATCH(H131,Q_BUSAREA_FC!$L$100:$P$100,0),FALSE),0)</f>
        <v>3.1272957526472598</v>
      </c>
      <c r="M131" s="148"/>
      <c r="N131" s="359">
        <f t="shared" ca="1" si="27"/>
        <v>0</v>
      </c>
      <c r="O131" s="903"/>
      <c r="P131" s="349" t="s">
        <v>166</v>
      </c>
    </row>
    <row r="132" spans="2:16" x14ac:dyDescent="0.25">
      <c r="B132" s="335" t="str">
        <f t="shared" ca="1" si="20"/>
        <v>VMPartner.comDRESSES19/20Q2</v>
      </c>
      <c r="C132" s="148" t="str">
        <f ca="1">TIME!$E$5</f>
        <v>2019-04</v>
      </c>
      <c r="D132" s="148" t="str">
        <f t="shared" si="13"/>
        <v>VM</v>
      </c>
      <c r="E132" s="148" t="s">
        <v>142</v>
      </c>
      <c r="F132" s="148" t="str">
        <f t="shared" si="15"/>
        <v>DRESSES</v>
      </c>
      <c r="G132" s="148" t="str">
        <f ca="1">TIME!$M$30</f>
        <v>19/20</v>
      </c>
      <c r="H132" s="148" t="str">
        <f ca="1">TIME!$N$30</f>
        <v>Q2</v>
      </c>
      <c r="I132" s="148"/>
      <c r="J132" s="148"/>
      <c r="K132" s="149">
        <v>0</v>
      </c>
      <c r="L132" s="326">
        <f ca="1">_xlfn.IFNA(VLOOKUP(G132,Q_BUSAREA_FC!$L$107:$P$108,MATCH(H132,Q_BUSAREA_FC!$L$100:$P$100,0),FALSE),0)</f>
        <v>3.1272957526472598</v>
      </c>
      <c r="M132" s="148"/>
      <c r="N132" s="359">
        <f t="shared" ca="1" si="27"/>
        <v>0</v>
      </c>
      <c r="O132" s="903"/>
      <c r="P132" s="350"/>
    </row>
    <row r="133" spans="2:16" x14ac:dyDescent="0.25">
      <c r="B133" s="335" t="str">
        <f t="shared" ca="1" si="20"/>
        <v>VMPartner.comDRESSES19/20Q2</v>
      </c>
      <c r="C133" s="148" t="str">
        <f ca="1">TIME!$E$5</f>
        <v>2019-04</v>
      </c>
      <c r="D133" s="148" t="str">
        <f t="shared" si="13"/>
        <v>VM</v>
      </c>
      <c r="E133" s="148" t="s">
        <v>142</v>
      </c>
      <c r="F133" s="148" t="str">
        <f t="shared" si="15"/>
        <v>DRESSES</v>
      </c>
      <c r="G133" s="148" t="str">
        <f ca="1">TIME!$M$30</f>
        <v>19/20</v>
      </c>
      <c r="H133" s="148" t="str">
        <f ca="1">TIME!$N$30</f>
        <v>Q2</v>
      </c>
      <c r="I133" s="148"/>
      <c r="J133" s="148"/>
      <c r="K133" s="149">
        <v>0</v>
      </c>
      <c r="L133" s="326">
        <f ca="1">_xlfn.IFNA(VLOOKUP(G133,Q_BUSAREA_FC!$L$107:$P$108,MATCH(H133,Q_BUSAREA_FC!$L$100:$P$100,0),FALSE),0)</f>
        <v>3.1272957526472598</v>
      </c>
      <c r="M133" s="148"/>
      <c r="N133" s="359">
        <f t="shared" ca="1" si="27"/>
        <v>0</v>
      </c>
      <c r="O133" s="903"/>
      <c r="P133" s="351"/>
    </row>
    <row r="134" spans="2:16" x14ac:dyDescent="0.25">
      <c r="B134" s="335" t="str">
        <f t="shared" ca="1" si="20"/>
        <v>VMPartner.comDRESSES19/20Q3</v>
      </c>
      <c r="C134" s="148" t="str">
        <f ca="1">TIME!$E$5</f>
        <v>2019-04</v>
      </c>
      <c r="D134" s="148" t="str">
        <f t="shared" si="13"/>
        <v>VM</v>
      </c>
      <c r="E134" s="148" t="s">
        <v>142</v>
      </c>
      <c r="F134" s="148" t="str">
        <f t="shared" si="15"/>
        <v>DRESSES</v>
      </c>
      <c r="G134" s="148" t="str">
        <f ca="1">TIME!$M$31</f>
        <v>19/20</v>
      </c>
      <c r="H134" s="148" t="str">
        <f ca="1">TIME!$N$31</f>
        <v>Q3</v>
      </c>
      <c r="I134" s="148"/>
      <c r="J134" s="148"/>
      <c r="K134" s="149">
        <v>0</v>
      </c>
      <c r="L134" s="326">
        <f ca="1">_xlfn.IFNA(VLOOKUP(G134,Q_BUSAREA_FC!$L$107:$P$108,MATCH(H134,Q_BUSAREA_FC!$L$100:$P$100,0),FALSE),0)</f>
        <v>3.1114817299446398</v>
      </c>
      <c r="M134" s="148"/>
      <c r="N134" s="359">
        <f t="shared" ca="1" si="27"/>
        <v>0</v>
      </c>
      <c r="O134" s="903"/>
      <c r="P134" s="350" t="s">
        <v>167</v>
      </c>
    </row>
    <row r="135" spans="2:16" x14ac:dyDescent="0.25">
      <c r="B135" s="335" t="str">
        <f t="shared" ca="1" si="20"/>
        <v>VMPartner.comDRESSES19/20Q3</v>
      </c>
      <c r="C135" s="148" t="str">
        <f ca="1">TIME!$E$5</f>
        <v>2019-04</v>
      </c>
      <c r="D135" s="148" t="str">
        <f t="shared" si="13"/>
        <v>VM</v>
      </c>
      <c r="E135" s="148" t="s">
        <v>142</v>
      </c>
      <c r="F135" s="148" t="str">
        <f t="shared" si="15"/>
        <v>DRESSES</v>
      </c>
      <c r="G135" s="148" t="str">
        <f ca="1">TIME!$M$31</f>
        <v>19/20</v>
      </c>
      <c r="H135" s="148" t="str">
        <f ca="1">TIME!$N$31</f>
        <v>Q3</v>
      </c>
      <c r="I135" s="148"/>
      <c r="J135" s="148"/>
      <c r="K135" s="149">
        <v>0</v>
      </c>
      <c r="L135" s="326">
        <f ca="1">_xlfn.IFNA(VLOOKUP(G135,Q_BUSAREA_FC!$L$107:$P$108,MATCH(H135,Q_BUSAREA_FC!$L$100:$P$100,0),FALSE),0)</f>
        <v>3.1114817299446398</v>
      </c>
      <c r="M135" s="148"/>
      <c r="N135" s="359">
        <f t="shared" ca="1" si="27"/>
        <v>0</v>
      </c>
      <c r="O135" s="903"/>
      <c r="P135" s="350"/>
    </row>
    <row r="136" spans="2:16" ht="15.75" thickBot="1" x14ac:dyDescent="0.3">
      <c r="B136" s="336" t="str">
        <f t="shared" ca="1" si="20"/>
        <v>VMPartner.comDRESSES19/20Q3</v>
      </c>
      <c r="C136" s="129" t="str">
        <f ca="1">TIME!$E$5</f>
        <v>2019-04</v>
      </c>
      <c r="D136" s="129" t="str">
        <f t="shared" si="13"/>
        <v>VM</v>
      </c>
      <c r="E136" s="129" t="s">
        <v>142</v>
      </c>
      <c r="F136" s="129" t="str">
        <f t="shared" si="15"/>
        <v>DRESSES</v>
      </c>
      <c r="G136" s="129" t="str">
        <f ca="1">TIME!$M$31</f>
        <v>19/20</v>
      </c>
      <c r="H136" s="129" t="str">
        <f ca="1">TIME!$N$31</f>
        <v>Q3</v>
      </c>
      <c r="I136" s="129"/>
      <c r="J136" s="129"/>
      <c r="K136" s="337">
        <v>0</v>
      </c>
      <c r="L136" s="338">
        <f ca="1">_xlfn.IFNA(VLOOKUP(G136,Q_BUSAREA_FC!$L$107:$P$108,MATCH(H136,Q_BUSAREA_FC!$L$100:$P$100,0),FALSE),0)</f>
        <v>3.1114817299446398</v>
      </c>
      <c r="M136" s="129"/>
      <c r="N136" s="360">
        <f t="shared" ca="1" si="27"/>
        <v>0</v>
      </c>
      <c r="O136" s="904"/>
      <c r="P136" s="351"/>
    </row>
    <row r="137" spans="2:16" ht="15.75" thickBot="1" x14ac:dyDescent="0.3">
      <c r="N137" s="24"/>
      <c r="O137" s="24"/>
    </row>
    <row r="138" spans="2:16" x14ac:dyDescent="0.25">
      <c r="B138" s="765"/>
      <c r="C138" s="766"/>
      <c r="D138" s="366" t="s">
        <v>111</v>
      </c>
      <c r="E138" s="366" t="s">
        <v>110</v>
      </c>
      <c r="F138" s="767" t="s">
        <v>383</v>
      </c>
      <c r="N138" s="24"/>
      <c r="O138" s="24"/>
    </row>
    <row r="139" spans="2:16" x14ac:dyDescent="0.25">
      <c r="B139" s="768" t="str">
        <f ca="1">TIME!M34</f>
        <v>18/19</v>
      </c>
      <c r="C139" s="600" t="str">
        <f ca="1">TIME!N34</f>
        <v>Q2</v>
      </c>
      <c r="D139" s="769">
        <f ca="1">SUMIFS(HIS_SALES!$J:$J,HIS_SALES!$C:$C,$B$1,HIS_SALES!$D:$D,$D$138,HIS_SALES!$F:$F,$B139,HIS_SALES!$G:$G,$C139)/(SUMIFS(HIS_SALES!$J:$J,HIS_SALES!$C:$C,$B$1,HIS_SALES!$D:$D,$D$138,HIS_SALES!$F:$F,$B139,HIS_SALES!$G:$G,$C139)+SUMIFS(HIS_SALES!$I:$I,HIS_SALES!$C:$C,$B$1,HIS_SALES!$D:$D,$D$138,HIS_SALES!$F:$F,$B139,HIS_SALES!$G:$G,$C139))</f>
        <v>8.461808501181825E-2</v>
      </c>
      <c r="E139" s="769">
        <f ca="1">SUMIFS(HIS_SALES!$J:$J,HIS_SALES!$C:$C,$B$1,HIS_SALES!$D:$D,$E$138,HIS_SALES!$F:$F,$B139,HIS_SALES!$G:$G,$C139)/(SUMIFS(HIS_SALES!$J:$J,HIS_SALES!$C:$C,$B$1,HIS_SALES!$D:$D,$E$138,HIS_SALES!$F:$F,$B139,HIS_SALES!$G:$G,$C139)+SUMIFS(HIS_SALES!$I:$I,HIS_SALES!$C:$C,$B$1,HIS_SALES!$D:$D,$E$138,HIS_SALES!$F:$F,$B139,HIS_SALES!$G:$G,$C139))</f>
        <v>7.7817129153020262E-2</v>
      </c>
      <c r="F139" s="770">
        <f ca="1">D139-E139</f>
        <v>6.8009558587979885E-3</v>
      </c>
      <c r="N139" s="24"/>
      <c r="O139" s="24"/>
    </row>
    <row r="140" spans="2:16" x14ac:dyDescent="0.25">
      <c r="B140" s="768" t="str">
        <f ca="1">TIME!M35</f>
        <v>18/19</v>
      </c>
      <c r="C140" s="600" t="str">
        <f ca="1">TIME!N35</f>
        <v>Q1</v>
      </c>
      <c r="D140" s="769">
        <f ca="1">SUMIFS(HIS_SALES!$J:$J,HIS_SALES!$C:$C,$B$1,HIS_SALES!$D:$D,$D$138,HIS_SALES!$F:$F,$B140,HIS_SALES!$G:$G,$C140)/(SUMIFS(HIS_SALES!$J:$J,HIS_SALES!$C:$C,$B$1,HIS_SALES!$D:$D,$D$138,HIS_SALES!$F:$F,$B140,HIS_SALES!$G:$G,$C140)+SUMIFS(HIS_SALES!$I:$I,HIS_SALES!$C:$C,$B$1,HIS_SALES!$D:$D,$D$138,HIS_SALES!$F:$F,$B140,HIS_SALES!$G:$G,$C140))</f>
        <v>4.946982431671678E-2</v>
      </c>
      <c r="E140" s="769">
        <f ca="1">SUMIFS(HIS_SALES!$J:$J,HIS_SALES!$C:$C,$B$1,HIS_SALES!$D:$D,$E$138,HIS_SALES!$F:$F,$B140,HIS_SALES!$G:$G,$C140)/(SUMIFS(HIS_SALES!$J:$J,HIS_SALES!$C:$C,$B$1,HIS_SALES!$D:$D,$E$138,HIS_SALES!$F:$F,$B140,HIS_SALES!$G:$G,$C140)+SUMIFS(HIS_SALES!$I:$I,HIS_SALES!$C:$C,$B$1,HIS_SALES!$D:$D,$E$138,HIS_SALES!$F:$F,$B140,HIS_SALES!$G:$G,$C140))</f>
        <v>4.237844279642964E-2</v>
      </c>
      <c r="F140" s="770">
        <f t="shared" ref="F140:F142" ca="1" si="28">D140-E140</f>
        <v>7.0913815202871405E-3</v>
      </c>
      <c r="N140" s="24"/>
      <c r="O140" s="24"/>
    </row>
    <row r="141" spans="2:16" x14ac:dyDescent="0.25">
      <c r="B141" s="768" t="str">
        <f ca="1">TIME!M36</f>
        <v>17/18</v>
      </c>
      <c r="C141" s="600" t="str">
        <f ca="1">TIME!N36</f>
        <v>Q4</v>
      </c>
      <c r="D141" s="769">
        <f ca="1">SUMIFS(HIS_SALES!$J:$J,HIS_SALES!$C:$C,$B$1,HIS_SALES!$D:$D,$D$138,HIS_SALES!$F:$F,$B141,HIS_SALES!$G:$G,$C141)/(SUMIFS(HIS_SALES!$J:$J,HIS_SALES!$C:$C,$B$1,HIS_SALES!$D:$D,$D$138,HIS_SALES!$F:$F,$B141,HIS_SALES!$G:$G,$C141)+SUMIFS(HIS_SALES!$I:$I,HIS_SALES!$C:$C,$B$1,HIS_SALES!$D:$D,$D$138,HIS_SALES!$F:$F,$B141,HIS_SALES!$G:$G,$C141))</f>
        <v>6.3543366848550262E-2</v>
      </c>
      <c r="E141" s="769">
        <f ca="1">SUMIFS(HIS_SALES!$J:$J,HIS_SALES!$C:$C,$B$1,HIS_SALES!$D:$D,$E$138,HIS_SALES!$F:$F,$B141,HIS_SALES!$G:$G,$C141)/(SUMIFS(HIS_SALES!$J:$J,HIS_SALES!$C:$C,$B$1,HIS_SALES!$D:$D,$E$138,HIS_SALES!$F:$F,$B141,HIS_SALES!$G:$G,$C141)+SUMIFS(HIS_SALES!$I:$I,HIS_SALES!$C:$C,$B$1,HIS_SALES!$D:$D,$E$138,HIS_SALES!$F:$F,$B141,HIS_SALES!$G:$G,$C141))</f>
        <v>5.6891378734665647E-2</v>
      </c>
      <c r="F141" s="770">
        <f t="shared" ca="1" si="28"/>
        <v>6.6519881138846146E-3</v>
      </c>
      <c r="N141" s="24"/>
      <c r="O141" s="24"/>
    </row>
    <row r="142" spans="2:16" x14ac:dyDescent="0.25">
      <c r="B142" s="768" t="str">
        <f ca="1">TIME!M37</f>
        <v>17/18</v>
      </c>
      <c r="C142" s="600" t="str">
        <f ca="1">TIME!N37</f>
        <v>Q3</v>
      </c>
      <c r="D142" s="769">
        <f ca="1">SUMIFS(HIS_SALES!$J:$J,HIS_SALES!$C:$C,$B$1,HIS_SALES!$D:$D,$D$138,HIS_SALES!$F:$F,$B142,HIS_SALES!$G:$G,$C142)/(SUMIFS(HIS_SALES!$J:$J,HIS_SALES!$C:$C,$B$1,HIS_SALES!$D:$D,$D$138,HIS_SALES!$F:$F,$B142,HIS_SALES!$G:$G,$C142)+SUMIFS(HIS_SALES!$I:$I,HIS_SALES!$C:$C,$B$1,HIS_SALES!$D:$D,$D$138,HIS_SALES!$F:$F,$B142,HIS_SALES!$G:$G,$C142))</f>
        <v>4.9915451710273694E-2</v>
      </c>
      <c r="E142" s="769">
        <f ca="1">SUMIFS(HIS_SALES!$J:$J,HIS_SALES!$C:$C,$B$1,HIS_SALES!$D:$D,$E$138,HIS_SALES!$F:$F,$B142,HIS_SALES!$G:$G,$C142)/(SUMIFS(HIS_SALES!$J:$J,HIS_SALES!$C:$C,$B$1,HIS_SALES!$D:$D,$E$138,HIS_SALES!$F:$F,$B142,HIS_SALES!$G:$G,$C142)+SUMIFS(HIS_SALES!$I:$I,HIS_SALES!$C:$C,$B$1,HIS_SALES!$D:$D,$E$138,HIS_SALES!$F:$F,$B142,HIS_SALES!$G:$G,$C142))</f>
        <v>4.7997157521069381E-2</v>
      </c>
      <c r="F142" s="770">
        <f t="shared" ca="1" si="28"/>
        <v>1.9182941892043129E-3</v>
      </c>
      <c r="N142" s="24"/>
      <c r="O142" s="24"/>
    </row>
    <row r="143" spans="2:16" ht="15.75" thickBot="1" x14ac:dyDescent="0.3">
      <c r="B143" s="771"/>
      <c r="C143" s="772"/>
      <c r="D143" s="772"/>
      <c r="E143" s="233" t="s">
        <v>384</v>
      </c>
      <c r="F143" s="773">
        <f ca="1">AVERAGE(F139:F142)</f>
        <v>5.6156549205435141E-3</v>
      </c>
      <c r="N143" s="24"/>
      <c r="O143" s="24"/>
    </row>
    <row r="144" spans="2:16" x14ac:dyDescent="0.25">
      <c r="N144" s="24"/>
      <c r="O144" s="24"/>
    </row>
    <row r="145" spans="14:15" x14ac:dyDescent="0.25">
      <c r="N145" s="24"/>
      <c r="O145" s="24"/>
    </row>
    <row r="146" spans="14:15" x14ac:dyDescent="0.25">
      <c r="N146" s="24"/>
      <c r="O146" s="24"/>
    </row>
    <row r="147" spans="14:15" x14ac:dyDescent="0.25">
      <c r="N147" s="24"/>
      <c r="O147" s="24"/>
    </row>
    <row r="148" spans="14:15" x14ac:dyDescent="0.25">
      <c r="N148" s="24"/>
      <c r="O148" s="24"/>
    </row>
    <row r="149" spans="14:15" x14ac:dyDescent="0.25">
      <c r="N149" s="24"/>
      <c r="O149" s="24"/>
    </row>
    <row r="150" spans="14:15" x14ac:dyDescent="0.25">
      <c r="N150" s="24"/>
      <c r="O150" s="24"/>
    </row>
    <row r="151" spans="14:15" x14ac:dyDescent="0.25">
      <c r="N151" s="24"/>
      <c r="O151" s="24"/>
    </row>
    <row r="152" spans="14:15" x14ac:dyDescent="0.25">
      <c r="N152" s="24"/>
      <c r="O152" s="24"/>
    </row>
    <row r="153" spans="14:15" x14ac:dyDescent="0.25">
      <c r="N153" s="24"/>
      <c r="O153" s="24"/>
    </row>
    <row r="154" spans="14:15" x14ac:dyDescent="0.25">
      <c r="N154" s="24"/>
      <c r="O154" s="24"/>
    </row>
    <row r="155" spans="14:15" x14ac:dyDescent="0.25">
      <c r="N155" s="24"/>
      <c r="O155" s="24"/>
    </row>
    <row r="156" spans="14:15" x14ac:dyDescent="0.25">
      <c r="N156" s="24"/>
      <c r="O156" s="24"/>
    </row>
    <row r="157" spans="14:15" x14ac:dyDescent="0.25">
      <c r="N157" s="24"/>
      <c r="O157" s="24"/>
    </row>
    <row r="158" spans="14:15" x14ac:dyDescent="0.25">
      <c r="N158" s="24"/>
      <c r="O158" s="24"/>
    </row>
    <row r="159" spans="14:15" x14ac:dyDescent="0.25">
      <c r="N159" s="24"/>
      <c r="O159" s="24"/>
    </row>
    <row r="160" spans="14:15" x14ac:dyDescent="0.25">
      <c r="N160" s="24"/>
      <c r="O160" s="24"/>
    </row>
    <row r="161" spans="14:15" x14ac:dyDescent="0.25">
      <c r="N161" s="24"/>
      <c r="O161" s="24"/>
    </row>
    <row r="162" spans="14:15" x14ac:dyDescent="0.25">
      <c r="N162" s="24"/>
      <c r="O162" s="24"/>
    </row>
    <row r="163" spans="14:15" x14ac:dyDescent="0.25">
      <c r="N163" s="24"/>
      <c r="O163" s="24"/>
    </row>
    <row r="164" spans="14:15" x14ac:dyDescent="0.25">
      <c r="N164" s="24"/>
      <c r="O164" s="24"/>
    </row>
    <row r="165" spans="14:15" x14ac:dyDescent="0.25">
      <c r="N165" s="24"/>
      <c r="O165" s="24"/>
    </row>
    <row r="166" spans="14:15" x14ac:dyDescent="0.25">
      <c r="N166" s="24"/>
      <c r="O166" s="24"/>
    </row>
    <row r="167" spans="14:15" x14ac:dyDescent="0.25">
      <c r="N167" s="24"/>
      <c r="O167" s="24"/>
    </row>
  </sheetData>
  <sheetProtection pivotTables="0"/>
  <protectedRanges>
    <protectedRange sqref="T24" name="vat"/>
    <protectedRange sqref="C18:F19 O36:R37 C36:F48" name="GS II  AND MARK UP EDIT AREA"/>
    <protectedRange sqref="O18:R19" name="DISCOUNT"/>
    <protectedRange sqref="C1" name="CHANNEL"/>
    <protectedRange sqref="K3" name="CATEGORY"/>
  </protectedRanges>
  <customSheetViews>
    <customSheetView guid="{4E4C3A2B-78A6-44EC-95FC-744D5C195817}">
      <selection activeCell="I10" sqref="I10"/>
      <pageMargins left="0.7" right="0.7" top="0.75" bottom="0.75" header="0.3" footer="0.3"/>
    </customSheetView>
    <customSheetView guid="{A2447232-033E-43AF-8E0C-9EA7004B0C7E}">
      <selection activeCell="I10" sqref="I10"/>
      <pageMargins left="0.7" right="0.7" top="0.75" bottom="0.75" header="0.3" footer="0.3"/>
    </customSheetView>
  </customSheetViews>
  <mergeCells count="20">
    <mergeCell ref="X1:Z1"/>
    <mergeCell ref="K47:M47"/>
    <mergeCell ref="C1:E1"/>
    <mergeCell ref="N5:S5"/>
    <mergeCell ref="N28:S28"/>
    <mergeCell ref="N23:S23"/>
    <mergeCell ref="K3:M3"/>
    <mergeCell ref="B5:G5"/>
    <mergeCell ref="B10:G10"/>
    <mergeCell ref="B23:G23"/>
    <mergeCell ref="B28:G28"/>
    <mergeCell ref="N10:S10"/>
    <mergeCell ref="K1:M1"/>
    <mergeCell ref="O125:O136"/>
    <mergeCell ref="O113:O124"/>
    <mergeCell ref="O101:O112"/>
    <mergeCell ref="N49:S49"/>
    <mergeCell ref="B49:G49"/>
    <mergeCell ref="N54:S54"/>
    <mergeCell ref="B54:G54"/>
  </mergeCells>
  <conditionalFormatting sqref="C13:F14">
    <cfRule type="containsErrors" dxfId="97" priority="7">
      <formula>ISERROR(C13)</formula>
    </cfRule>
  </conditionalFormatting>
  <conditionalFormatting sqref="O11:R12">
    <cfRule type="containsErrors" dxfId="96" priority="6">
      <formula>ISERROR(O11)</formula>
    </cfRule>
  </conditionalFormatting>
  <conditionalFormatting sqref="O13:R14">
    <cfRule type="containsErrors" dxfId="95" priority="5">
      <formula>ISERROR(O13)</formula>
    </cfRule>
  </conditionalFormatting>
  <conditionalFormatting sqref="D12:F12">
    <cfRule type="containsErrors" dxfId="94" priority="43">
      <formula>ISERROR(D12)</formula>
    </cfRule>
  </conditionalFormatting>
  <conditionalFormatting sqref="D30:F30 D32:F32">
    <cfRule type="containsErrors" dxfId="93" priority="3">
      <formula>ISERROR(D30)</formula>
    </cfRule>
  </conditionalFormatting>
  <conditionalFormatting sqref="D58:F58">
    <cfRule type="containsErrors" dxfId="92" priority="2">
      <formula>ISERROR(D58)</formula>
    </cfRule>
  </conditionalFormatting>
  <conditionalFormatting sqref="P58:R58">
    <cfRule type="containsErrors" dxfId="91" priority="44">
      <formula>ISERROR(P58)</formula>
    </cfRule>
  </conditionalFormatting>
  <dataValidations count="3">
    <dataValidation type="custom" allowBlank="1" showInputMessage="1" showErrorMessage="1" sqref="G18 G36" xr:uid="{00000000-0002-0000-0400-000000000000}">
      <formula1>"-"</formula1>
    </dataValidation>
    <dataValidation type="decimal" operator="greaterThan" allowBlank="1" showInputMessage="1" showErrorMessage="1" sqref="C18:F19 O18:R19 O36:R37 N101:N112 J101:L112" xr:uid="{FF1A0E13-ADCE-4108-B4ED-AE8A6ED1D98E}">
      <formula1>0</formula1>
    </dataValidation>
    <dataValidation type="decimal" operator="greaterThanOrEqual" allowBlank="1" showInputMessage="1" showErrorMessage="1" sqref="C36:F37" xr:uid="{0113A787-1F93-4BE2-8BA7-0443CE15F6CD}">
      <formula1>0</formula1>
    </dataValidation>
  </dataValidations>
  <hyperlinks>
    <hyperlink ref="X1" location="FRONT_PAGE!A1" display="BACK TO FRONT PAGE" xr:uid="{A2AC73A6-DA4B-4E27-ACE5-0F770E02BB47}"/>
  </hyperlink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4" id="{05104101-45D1-4418-8ED5-0D7A430AD340}">
            <xm:f>MATCH(CONCATENATE($B13&amp;C$6),TIME!$L$28:$L$31,0)</xm:f>
            <x14:dxf>
              <fill>
                <patternFill>
                  <bgColor theme="4" tint="0.79998168889431442"/>
                </patternFill>
              </fill>
            </x14:dxf>
          </x14:cfRule>
          <xm:sqref>C18:F19 C36:F42</xm:sqref>
        </x14:conditionalFormatting>
        <x14:conditionalFormatting xmlns:xm="http://schemas.microsoft.com/office/excel/2006/main">
          <x14:cfRule type="expression" priority="20" id="{FC2B4004-DD03-4BA7-9BCB-04D485DFDEF4}">
            <xm:f>MATCH(CONCATENATE($B13&amp;O$6),TIME!$L$28:$L$31,0)</xm:f>
            <x14:dxf>
              <fill>
                <patternFill>
                  <bgColor theme="4" tint="0.79998168889431442"/>
                </patternFill>
              </fill>
            </x14:dxf>
          </x14:cfRule>
          <xm:sqref>O18:R19</xm:sqref>
        </x14:conditionalFormatting>
        <x14:conditionalFormatting xmlns:xm="http://schemas.microsoft.com/office/excel/2006/main">
          <x14:cfRule type="expression" priority="13" id="{924AE4AC-7FB8-4329-A84F-EAB952EB5236}">
            <xm:f>MATCH(CONCATENATE($B13&amp;C$6),TIME!$L$28:$L$31,0)</xm:f>
            <x14:dxf>
              <fill>
                <patternFill>
                  <bgColor theme="4" tint="0.79998168889431442"/>
                </patternFill>
              </fill>
            </x14:dxf>
          </x14:cfRule>
          <xm:sqref>O36:R37</xm:sqref>
        </x14:conditionalFormatting>
        <x14:conditionalFormatting xmlns:xm="http://schemas.microsoft.com/office/excel/2006/main">
          <x14:cfRule type="expression" priority="40" id="{05104101-45D1-4418-8ED5-0D7A430AD340}">
            <xm:f>MATCH(CONCATENATE($B33&amp;C$6),TIME!$L$28:$L$31,0)</xm:f>
            <x14:dxf>
              <fill>
                <patternFill>
                  <bgColor theme="4" tint="0.79998168889431442"/>
                </patternFill>
              </fill>
            </x14:dxf>
          </x14:cfRule>
          <xm:sqref>C45:F46</xm:sqref>
        </x14:conditionalFormatting>
        <x14:conditionalFormatting xmlns:xm="http://schemas.microsoft.com/office/excel/2006/main">
          <x14:cfRule type="expression" priority="42" id="{05104101-45D1-4418-8ED5-0D7A430AD340}">
            <xm:f>MATCH(CONCATENATE($B35&amp;C$6),TIME!$L$28:$L$31,0)</xm:f>
            <x14:dxf>
              <fill>
                <patternFill>
                  <bgColor theme="4" tint="0.79998168889431442"/>
                </patternFill>
              </fill>
            </x14:dxf>
          </x14:cfRule>
          <xm:sqref>C43:F44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4000000}">
          <x14:formula1>
            <xm:f>'PIVOT TABLE'!$A$4:$A$23</xm:f>
          </x14:formula1>
          <xm:sqref>K3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E80D4-D9E9-4D11-921B-8683D9AF4941}">
  <sheetPr codeName="Sheet16">
    <tabColor theme="3" tint="0.59999389629810485"/>
  </sheetPr>
  <dimension ref="A1:AK108"/>
  <sheetViews>
    <sheetView showGridLines="0" zoomScale="80" zoomScaleNormal="80" workbookViewId="0">
      <pane ySplit="1" topLeftCell="A2" activePane="bottomLeft" state="frozen"/>
      <selection activeCell="P64" sqref="P64"/>
      <selection pane="bottomLeft" activeCell="A2" sqref="A2"/>
    </sheetView>
  </sheetViews>
  <sheetFormatPr defaultColWidth="9.140625" defaultRowHeight="15" x14ac:dyDescent="0.25"/>
  <cols>
    <col min="1" max="1" width="2.7109375" style="62" customWidth="1"/>
    <col min="2" max="2" width="16.28515625" style="132" customWidth="1"/>
    <col min="3" max="9" width="10.7109375" style="132" customWidth="1"/>
    <col min="10" max="10" width="10" style="132" customWidth="1"/>
    <col min="11" max="12" width="10.7109375" style="132" customWidth="1"/>
    <col min="13" max="13" width="10.42578125" style="132" customWidth="1"/>
    <col min="14" max="14" width="14.5703125" style="132" customWidth="1"/>
    <col min="15" max="15" width="9.7109375" style="264" customWidth="1"/>
    <col min="16" max="19" width="9.7109375" style="132" customWidth="1"/>
    <col min="20" max="23" width="9.85546875" style="132" bestFit="1" customWidth="1"/>
    <col min="24" max="25" width="9.140625" style="132"/>
    <col min="26" max="26" width="8.42578125" style="132" customWidth="1"/>
    <col min="27" max="31" width="9.140625" style="132"/>
    <col min="32" max="33" width="9.140625" style="132" customWidth="1"/>
    <col min="34" max="34" width="14.5703125" style="132" customWidth="1"/>
    <col min="35" max="37" width="11.42578125" style="132" customWidth="1"/>
    <col min="38" max="38" width="15.85546875" style="132" customWidth="1"/>
    <col min="39" max="16384" width="9.140625" style="132"/>
  </cols>
  <sheetData>
    <row r="1" spans="1:37" s="127" customFormat="1" ht="17.25" x14ac:dyDescent="0.3">
      <c r="A1" s="127">
        <v>1</v>
      </c>
      <c r="B1" s="121" t="str">
        <f>'PIVOT TABLE'!B1</f>
        <v>VM</v>
      </c>
      <c r="C1" s="897"/>
      <c r="D1" s="897"/>
      <c r="E1" s="897"/>
      <c r="F1" s="122"/>
      <c r="G1" s="123" t="str">
        <f ca="1">M_BRAND_FC!$G$1</f>
        <v>18/19</v>
      </c>
      <c r="H1" s="124" t="str">
        <f ca="1">TIME!N27</f>
        <v>Q3</v>
      </c>
      <c r="I1" s="124" t="str">
        <f ca="1">TIME!E9&amp; "  -"</f>
        <v>Apr  -</v>
      </c>
      <c r="J1" s="125" t="str">
        <f ca="1">VLOOKUP($H$1,TIME!$R$21:$V$24,5,FALSE)</f>
        <v>Apr</v>
      </c>
      <c r="K1" s="915" t="s">
        <v>204</v>
      </c>
      <c r="L1" s="915"/>
      <c r="M1" s="915"/>
      <c r="N1" s="125"/>
      <c r="O1" s="126"/>
      <c r="P1" s="122"/>
      <c r="Q1" s="122"/>
      <c r="R1" s="122"/>
      <c r="S1" s="122"/>
      <c r="T1" s="122"/>
      <c r="U1" s="122"/>
      <c r="V1" s="126"/>
      <c r="W1" s="122"/>
      <c r="X1" s="901" t="s">
        <v>202</v>
      </c>
      <c r="Y1" s="901"/>
      <c r="Z1" s="901"/>
      <c r="AH1" s="128"/>
    </row>
    <row r="2" spans="1:37" ht="21.95" customHeight="1" thickBot="1" x14ac:dyDescent="0.3">
      <c r="B2" s="129"/>
      <c r="C2" s="914" t="s">
        <v>110</v>
      </c>
      <c r="D2" s="914"/>
      <c r="E2" s="914"/>
      <c r="F2" s="131"/>
      <c r="G2" s="131"/>
      <c r="N2" s="129"/>
      <c r="O2" s="914" t="s">
        <v>109</v>
      </c>
      <c r="P2" s="914"/>
      <c r="Q2" s="914"/>
      <c r="R2" s="131"/>
      <c r="S2" s="131"/>
    </row>
    <row r="3" spans="1:37" ht="15.75" thickBot="1" x14ac:dyDescent="0.3">
      <c r="B3" s="893" t="s">
        <v>101</v>
      </c>
      <c r="C3" s="893"/>
      <c r="D3" s="893"/>
      <c r="E3" s="893"/>
      <c r="F3" s="893"/>
      <c r="G3" s="893"/>
      <c r="N3" s="893" t="s">
        <v>101</v>
      </c>
      <c r="O3" s="893"/>
      <c r="P3" s="893"/>
      <c r="Q3" s="893"/>
      <c r="R3" s="893"/>
      <c r="S3" s="893"/>
    </row>
    <row r="4" spans="1:37" x14ac:dyDescent="0.25">
      <c r="B4" s="271" t="s">
        <v>7</v>
      </c>
      <c r="C4" s="271" t="str">
        <f ca="1">VLOOKUP(TIME!$E$7,TIME!$R$21:$V$24,2,FALSE)</f>
        <v>Jan</v>
      </c>
      <c r="D4" s="271" t="str">
        <f ca="1">VLOOKUP(TIME!$E$7,TIME!$R$21:$V$24,3,FALSE)</f>
        <v>Feb</v>
      </c>
      <c r="E4" s="271" t="str">
        <f ca="1">VLOOKUP(TIME!$E$7,TIME!$R$21:$V$24,4,FALSE)</f>
        <v>Mar</v>
      </c>
      <c r="F4" s="271" t="str">
        <f ca="1">VLOOKUP(TIME!$E$7,TIME!$R$21:$V$24,5,FALSE)</f>
        <v>Apr</v>
      </c>
      <c r="G4" s="272" t="s">
        <v>158</v>
      </c>
      <c r="N4" s="271" t="s">
        <v>7</v>
      </c>
      <c r="O4" s="271" t="str">
        <f ca="1">C4</f>
        <v>Jan</v>
      </c>
      <c r="P4" s="271" t="str">
        <f t="shared" ref="P4:R4" ca="1" si="0">D4</f>
        <v>Feb</v>
      </c>
      <c r="Q4" s="271" t="str">
        <f t="shared" ca="1" si="0"/>
        <v>Mar</v>
      </c>
      <c r="R4" s="271" t="str">
        <f t="shared" ca="1" si="0"/>
        <v>Apr</v>
      </c>
      <c r="S4" s="272" t="s">
        <v>158</v>
      </c>
      <c r="AF4" s="847"/>
      <c r="AG4" s="848" t="s">
        <v>11</v>
      </c>
      <c r="AH4" s="848" t="s">
        <v>14</v>
      </c>
      <c r="AI4" s="848" t="s">
        <v>159</v>
      </c>
      <c r="AJ4" s="848" t="s">
        <v>15</v>
      </c>
      <c r="AK4" s="849" t="s">
        <v>143</v>
      </c>
    </row>
    <row r="5" spans="1:37" x14ac:dyDescent="0.25">
      <c r="A5" s="62" t="str">
        <f ca="1">VLOOKUP($B5,TIME!$M$12:$N$17,2,FALSE)</f>
        <v>15/16</v>
      </c>
      <c r="B5" s="273" t="str">
        <f ca="1">VLOOKUP($G$1,TIME!$L$12:$P$16,3)</f>
        <v>16/17</v>
      </c>
      <c r="C5" s="528">
        <f ca="1">IF($D$4="Aug",SUMIFS(HIS_SALES!$I:$I,HIS_SALES!$C:$C,M_BUSAREA_FC!$B$1,HIS_SALES!$D:$D,M_BUSAREA_FC!$C$2,HIS_SALES!$F:$F,M_BUSAREA_FC!$A5,HIS_SALES!$H:$H,M_BUSAREA_FC!C$4),SUMIFS(HIS_SALES!$I:$I,HIS_SALES!$C:$C,M_BUSAREA_FC!$B$1,HIS_SALES!$D:$D,M_BUSAREA_FC!$C$2,HIS_SALES!$F:$F,M_BUSAREA_FC!$B5,HIS_SALES!$H:$H,M_BUSAREA_FC!C$4))</f>
        <v>693186.88019256061</v>
      </c>
      <c r="D5" s="527">
        <f ca="1">SUMIFS(HIS_SALES!$I:$I,HIS_SALES!$C:$C,M_BUSAREA_FC!$B$1,HIS_SALES!$D:$D,M_BUSAREA_FC!$C$2,HIS_SALES!$F:$F,M_BUSAREA_FC!$B5,HIS_SALES!$H:$H,M_BUSAREA_FC!D$4)</f>
        <v>659904.40412397974</v>
      </c>
      <c r="E5" s="527">
        <f ca="1">SUMIFS(HIS_SALES!$I:$I,HIS_SALES!$C:$C,M_BUSAREA_FC!$B$1,HIS_SALES!$D:$D,M_BUSAREA_FC!$C$2,HIS_SALES!$F:$F,M_BUSAREA_FC!$B5,HIS_SALES!$H:$H,M_BUSAREA_FC!E$4)</f>
        <v>880952.378523138</v>
      </c>
      <c r="F5" s="527">
        <f ca="1">SUMIFS(HIS_SALES!$I:$I,HIS_SALES!$C:$C,M_BUSAREA_FC!$B$1,HIS_SALES!$D:$D,M_BUSAREA_FC!$C$2,HIS_SALES!$F:$F,M_BUSAREA_FC!$B5,HIS_SALES!$H:$H,M_BUSAREA_FC!F$4)</f>
        <v>978755.6298430569</v>
      </c>
      <c r="G5" s="528">
        <f ca="1">IFERROR(SUM(D5:F5),0)</f>
        <v>2519612.4124901746</v>
      </c>
      <c r="N5" s="273" t="str">
        <f ca="1">VLOOKUP($G$1,TIME!$L$12:$P$16,3)</f>
        <v>16/17</v>
      </c>
      <c r="O5" s="528">
        <f ca="1">IF($P$4="Aug",SUMIFS(HIS_SALES!$I:$I,HIS_SALES!$C:$C,M_BUSAREA_FC!$B$1,HIS_SALES!$D:$D,M_BUSAREA_FC!$O$2,HIS_SALES!$F:$F,M_BUSAREA_FC!$A5,HIS_SALES!$H:$H,M_BUSAREA_FC!O$4),SUMIFS(HIS_SALES!$I:$I,HIS_SALES!$C:$C,M_BUSAREA_FC!$B$1,HIS_SALES!$D:$D,M_BUSAREA_FC!$O$2,HIS_SALES!$F:$F,M_BUSAREA_FC!$N5,HIS_SALES!$H:$H,M_BUSAREA_FC!O$4))</f>
        <v>1421684.5774149022</v>
      </c>
      <c r="P5" s="527">
        <f ca="1">SUMIFS(HIS_SALES!$I:$I,HIS_SALES!$C:$C,M_BUSAREA_FC!$B$1,HIS_SALES!$D:$D,M_BUSAREA_FC!$O$2,HIS_SALES!$F:$F,M_BUSAREA_FC!$N5,HIS_SALES!$H:$H,M_BUSAREA_FC!P$4)</f>
        <v>1627149.8332360748</v>
      </c>
      <c r="Q5" s="527">
        <f ca="1">SUMIFS(HIS_SALES!$I:$I,HIS_SALES!$C:$C,M_BUSAREA_FC!$B$1,HIS_SALES!$D:$D,M_BUSAREA_FC!$O$2,HIS_SALES!$F:$F,M_BUSAREA_FC!$N5,HIS_SALES!$H:$H,M_BUSAREA_FC!Q$4)</f>
        <v>1651408.1921499684</v>
      </c>
      <c r="R5" s="527">
        <f ca="1">SUMIFS(HIS_SALES!$I:$I,HIS_SALES!$C:$C,M_BUSAREA_FC!$B$1,HIS_SALES!$D:$D,M_BUSAREA_FC!$O$2,HIS_SALES!$F:$F,M_BUSAREA_FC!$N5,HIS_SALES!$H:$H,M_BUSAREA_FC!R$4)</f>
        <v>1471735.2708075722</v>
      </c>
      <c r="S5" s="528">
        <f ca="1">IFERROR(SUM(P5:R5),0)</f>
        <v>4750293.2961936146</v>
      </c>
      <c r="AF5" s="850" t="str">
        <f ca="1">AG5&amp;AH5&amp;AI5</f>
        <v>BS.comQ3Feb</v>
      </c>
      <c r="AG5" s="296" t="str">
        <f>$C$2</f>
        <v>BS.com</v>
      </c>
      <c r="AH5" s="296" t="str">
        <f ca="1">$H$1</f>
        <v>Q3</v>
      </c>
      <c r="AI5" s="296" t="str">
        <f ca="1">$D$4</f>
        <v>Feb</v>
      </c>
      <c r="AJ5" s="856">
        <f ca="1">IF(ISNA(VLOOKUP(_xlfn.CONCAT($N$10&amp;AI5),TIME!$M$40:$Q$42,1,FALSE)),0,D10)</f>
        <v>0</v>
      </c>
      <c r="AK5" s="851"/>
    </row>
    <row r="6" spans="1:37" x14ac:dyDescent="0.25">
      <c r="A6" s="62" t="str">
        <f ca="1">VLOOKUP($B6,TIME!$M$12:$N$17,2,FALSE)</f>
        <v>16/17</v>
      </c>
      <c r="B6" s="273" t="str">
        <f ca="1">VLOOKUP($G$1,TIME!$L$12:$P$16,2)</f>
        <v>17/18</v>
      </c>
      <c r="C6" s="527">
        <f ca="1">IF($D$4="Aug",SUMIFS(HIS_SALES!$I:$I,HIS_SALES!$C:$C,M_BUSAREA_FC!$B$1,HIS_SALES!$D:$D,M_BUSAREA_FC!$C$2,HIS_SALES!$F:$F,M_BUSAREA_FC!$A6,HIS_SALES!$H:$H,M_BUSAREA_FC!C$4),SUMIFS(HIS_SALES!$I:$I,HIS_SALES!$C:$C,M_BUSAREA_FC!$B$1,HIS_SALES!$D:$D,M_BUSAREA_FC!$C$2,HIS_SALES!$F:$F,M_BUSAREA_FC!$B6,HIS_SALES!$H:$H,M_BUSAREA_FC!C$4))</f>
        <v>792445.81010944129</v>
      </c>
      <c r="D6" s="527">
        <f ca="1">SUMIFS(HIS_SALES!$I:$I,HIS_SALES!$C:$C,M_BUSAREA_FC!$B$1,HIS_SALES!$D:$D,M_BUSAREA_FC!$C$2,HIS_SALES!$F:$F,M_BUSAREA_FC!$B6,HIS_SALES!$H:$H,M_BUSAREA_FC!D$4)</f>
        <v>775215.0250901524</v>
      </c>
      <c r="E6" s="527">
        <f ca="1">SUMIFS(HIS_SALES!$I:$I,HIS_SALES!$C:$C,M_BUSAREA_FC!$B$1,HIS_SALES!$D:$D,M_BUSAREA_FC!$C$2,HIS_SALES!$F:$F,M_BUSAREA_FC!$B6,HIS_SALES!$H:$H,M_BUSAREA_FC!E$4)</f>
        <v>1065766.4964814119</v>
      </c>
      <c r="F6" s="527">
        <f ca="1">SUMIFS(HIS_SALES!$I:$I,HIS_SALES!$C:$C,M_BUSAREA_FC!$B$1,HIS_SALES!$D:$D,M_BUSAREA_FC!$C$2,HIS_SALES!$F:$F,M_BUSAREA_FC!$B6,HIS_SALES!$H:$H,M_BUSAREA_FC!F$4)</f>
        <v>1412097.8560341902</v>
      </c>
      <c r="G6" s="527">
        <f ca="1">IFERROR(SUM(D6:F6),0)</f>
        <v>3253079.3776057544</v>
      </c>
      <c r="N6" s="273" t="str">
        <f ca="1">VLOOKUP($G$1,TIME!$L$12:$P$16,2)</f>
        <v>17/18</v>
      </c>
      <c r="O6" s="527">
        <f ca="1">IF($P$4="Aug",SUMIFS(HIS_SALES!$I:$I,HIS_SALES!$C:$C,M_BUSAREA_FC!$B$1,HIS_SALES!$D:$D,M_BUSAREA_FC!$O$2,HIS_SALES!$F:$F,M_BUSAREA_FC!$A6,HIS_SALES!$H:$H,M_BUSAREA_FC!O$4),SUMIFS(HIS_SALES!$I:$I,HIS_SALES!$C:$C,M_BUSAREA_FC!$B$1,HIS_SALES!$D:$D,M_BUSAREA_FC!$O$2,HIS_SALES!$F:$F,M_BUSAREA_FC!$N6,HIS_SALES!$H:$H,M_BUSAREA_FC!O$4))</f>
        <v>1529563.3168817312</v>
      </c>
      <c r="P6" s="527">
        <f ca="1">SUMIFS(HIS_SALES!$I:$I,HIS_SALES!$C:$C,M_BUSAREA_FC!$B$1,HIS_SALES!$D:$D,M_BUSAREA_FC!$O$2,HIS_SALES!$F:$F,M_BUSAREA_FC!$N6,HIS_SALES!$H:$H,M_BUSAREA_FC!P$4)</f>
        <v>1319107.9112867918</v>
      </c>
      <c r="Q6" s="527">
        <f ca="1">SUMIFS(HIS_SALES!$I:$I,HIS_SALES!$C:$C,M_BUSAREA_FC!$B$1,HIS_SALES!$D:$D,M_BUSAREA_FC!$O$2,HIS_SALES!$F:$F,M_BUSAREA_FC!$N6,HIS_SALES!$H:$H,M_BUSAREA_FC!Q$4)</f>
        <v>2263961.3762500784</v>
      </c>
      <c r="R6" s="527">
        <f ca="1">SUMIFS(HIS_SALES!$I:$I,HIS_SALES!$C:$C,M_BUSAREA_FC!$B$1,HIS_SALES!$D:$D,M_BUSAREA_FC!$O$2,HIS_SALES!$F:$F,M_BUSAREA_FC!$N6,HIS_SALES!$H:$H,M_BUSAREA_FC!R$4)</f>
        <v>2374796.4405582435</v>
      </c>
      <c r="S6" s="527">
        <f t="shared" ref="S6:S7" ca="1" si="1">IFERROR(SUM(P6:R6),0)</f>
        <v>5957865.7280951142</v>
      </c>
      <c r="AF6" s="850" t="str">
        <f t="shared" ref="AF6:AF10" ca="1" si="2">AG6&amp;AH6&amp;AI6</f>
        <v>BS.comQ3Mar</v>
      </c>
      <c r="AG6" s="296" t="str">
        <f>$C$2</f>
        <v>BS.com</v>
      </c>
      <c r="AH6" s="296" t="str">
        <f t="shared" ref="AH6:AH10" ca="1" si="3">$H$1</f>
        <v>Q3</v>
      </c>
      <c r="AI6" s="296" t="str">
        <f ca="1">$E$4</f>
        <v>Mar</v>
      </c>
      <c r="AJ6" s="856">
        <f ca="1">IF(ISNA(VLOOKUP(_xlfn.CONCAT($N$10&amp;AI6),TIME!$M$40:$Q$42,1,FALSE)),0,E10)</f>
        <v>0</v>
      </c>
      <c r="AK6" s="851"/>
    </row>
    <row r="7" spans="1:37" ht="15.75" thickBot="1" x14ac:dyDescent="0.3">
      <c r="A7" s="62" t="str">
        <f ca="1">VLOOKUP($B7,TIME!$M$12:$N$17,2,FALSE)</f>
        <v>17/18</v>
      </c>
      <c r="B7" s="274" t="str">
        <f ca="1">VLOOKUP($G$1,TIME!$L$12:$P$16,1)</f>
        <v>18/19</v>
      </c>
      <c r="C7" s="529">
        <f ca="1">IF($D$4="Aug",SUMIFS(HIS_SALES!$I:$I,HIS_SALES!$C:$C,M_BUSAREA_FC!$B$1,HIS_SALES!$D:$D,M_BUSAREA_FC!$C$2,HIS_SALES!$F:$F,M_BUSAREA_FC!$A7,HIS_SALES!$H:$H,M_BUSAREA_FC!C$4),SUMIFS(HIS_SALES!$I:$I,HIS_SALES!$C:$C,M_BUSAREA_FC!$B$1,HIS_SALES!$D:$D,M_BUSAREA_FC!$C$2,HIS_SALES!$F:$F,M_BUSAREA_FC!$B7,HIS_SALES!$H:$H,M_BUSAREA_FC!C$4))</f>
        <v>0</v>
      </c>
      <c r="D7" s="529">
        <f ca="1">SUMIFS(HIS_SALES!$I:$I,HIS_SALES!$C:$C,M_BUSAREA_FC!$B$1,HIS_SALES!$D:$D,M_BUSAREA_FC!$C$2,HIS_SALES!$F:$F,M_BUSAREA_FC!$B7,HIS_SALES!$H:$H,M_BUSAREA_FC!D$4)</f>
        <v>0</v>
      </c>
      <c r="E7" s="529">
        <f ca="1">SUMIFS(HIS_SALES!$I:$I,HIS_SALES!$C:$C,M_BUSAREA_FC!$B$1,HIS_SALES!$D:$D,M_BUSAREA_FC!$C$2,HIS_SALES!$F:$F,M_BUSAREA_FC!$B7,HIS_SALES!$H:$H,M_BUSAREA_FC!E$4)</f>
        <v>0</v>
      </c>
      <c r="F7" s="529">
        <f ca="1">SUMIFS(HIS_SALES!$I:$I,HIS_SALES!$C:$C,M_BUSAREA_FC!$B$1,HIS_SALES!$D:$D,M_BUSAREA_FC!$C$2,HIS_SALES!$F:$F,M_BUSAREA_FC!$B7,HIS_SALES!$H:$H,M_BUSAREA_FC!F$4)</f>
        <v>0</v>
      </c>
      <c r="G7" s="529">
        <f ca="1">IFERROR(SUM(D7:F7),0)</f>
        <v>0</v>
      </c>
      <c r="N7" s="274" t="str">
        <f ca="1">VLOOKUP($G$1,TIME!$L$12:$P$16,1)</f>
        <v>18/19</v>
      </c>
      <c r="O7" s="529">
        <f ca="1">IF($P$4="Aug",SUMIFS(HIS_SALES!$I:$I,HIS_SALES!$C:$C,M_BUSAREA_FC!$B$1,HIS_SALES!$D:$D,M_BUSAREA_FC!$O$2,HIS_SALES!$F:$F,M_BUSAREA_FC!$A7,HIS_SALES!$H:$H,M_BUSAREA_FC!O$4),SUMIFS(HIS_SALES!$I:$I,HIS_SALES!$C:$C,M_BUSAREA_FC!$B$1,HIS_SALES!$D:$D,M_BUSAREA_FC!$O$2,HIS_SALES!$F:$F,M_BUSAREA_FC!$N7,HIS_SALES!$H:$H,M_BUSAREA_FC!O$4))</f>
        <v>0</v>
      </c>
      <c r="P7" s="529">
        <f ca="1">SUMIFS(HIS_SALES!$I:$I,HIS_SALES!$C:$C,M_BUSAREA_FC!$B$1,HIS_SALES!$D:$D,M_BUSAREA_FC!$O$2,HIS_SALES!$F:$F,M_BUSAREA_FC!$N7,HIS_SALES!$H:$H,M_BUSAREA_FC!P$4)</f>
        <v>0</v>
      </c>
      <c r="Q7" s="529">
        <f ca="1">SUMIFS(HIS_SALES!$I:$I,HIS_SALES!$C:$C,M_BUSAREA_FC!$B$1,HIS_SALES!$D:$D,M_BUSAREA_FC!$O$2,HIS_SALES!$F:$F,M_BUSAREA_FC!$N7,HIS_SALES!$H:$H,M_BUSAREA_FC!Q$4)</f>
        <v>0</v>
      </c>
      <c r="R7" s="529">
        <f ca="1">SUMIFS(HIS_SALES!$I:$I,HIS_SALES!$C:$C,M_BUSAREA_FC!$B$1,HIS_SALES!$D:$D,M_BUSAREA_FC!$O$2,HIS_SALES!$F:$F,M_BUSAREA_FC!$N7,HIS_SALES!$H:$H,M_BUSAREA_FC!R$4)</f>
        <v>0</v>
      </c>
      <c r="S7" s="529">
        <f t="shared" ca="1" si="1"/>
        <v>0</v>
      </c>
      <c r="AF7" s="850" t="str">
        <f t="shared" ca="1" si="2"/>
        <v>BS.comQ3Apr</v>
      </c>
      <c r="AG7" s="296" t="str">
        <f>$C$2</f>
        <v>BS.com</v>
      </c>
      <c r="AH7" s="367" t="str">
        <f t="shared" ca="1" si="3"/>
        <v>Q3</v>
      </c>
      <c r="AI7" s="296" t="str">
        <f ca="1">$F$4</f>
        <v>Apr</v>
      </c>
      <c r="AJ7" s="857">
        <f ca="1">IF(ISNA(VLOOKUP(_xlfn.CONCAT($N$10&amp;AI7),TIME!$M$40:$Q$42,1,FALSE)),0,F10)</f>
        <v>0</v>
      </c>
      <c r="AK7" s="858"/>
    </row>
    <row r="8" spans="1:37" ht="15.75" thickTop="1" x14ac:dyDescent="0.25">
      <c r="B8" s="886" t="s">
        <v>100</v>
      </c>
      <c r="C8" s="886"/>
      <c r="D8" s="886"/>
      <c r="E8" s="886"/>
      <c r="F8" s="886"/>
      <c r="G8" s="886"/>
      <c r="N8" s="886" t="s">
        <v>100</v>
      </c>
      <c r="O8" s="886"/>
      <c r="P8" s="886"/>
      <c r="Q8" s="886"/>
      <c r="R8" s="886"/>
      <c r="S8" s="886"/>
      <c r="AF8" s="850" t="str">
        <f t="shared" ca="1" si="2"/>
        <v>Partner.comQ3Feb</v>
      </c>
      <c r="AG8" s="296" t="s">
        <v>142</v>
      </c>
      <c r="AH8" s="296" t="str">
        <f ca="1">$H$1</f>
        <v>Q3</v>
      </c>
      <c r="AI8" s="296" t="str">
        <f ca="1">$D$4</f>
        <v>Feb</v>
      </c>
      <c r="AJ8" s="856">
        <f ca="1">IF(ISNA(VLOOKUP(_xlfn.CONCAT($N$10&amp;AI8),TIME!$M$40:$Q$42,1,FALSE)),0,P10)</f>
        <v>0</v>
      </c>
      <c r="AK8" s="851"/>
    </row>
    <row r="9" spans="1:37" x14ac:dyDescent="0.25">
      <c r="B9" s="262" t="str">
        <f ca="1">$B10&amp;" L.FC"</f>
        <v>18/19 L.FC</v>
      </c>
      <c r="C9" s="534"/>
      <c r="D9" s="530" t="str">
        <f ca="1">IF(ISNA(VLOOKUP(_xlfn.CONCAT($B$10,D$4),TIME!$M$40:$M$42,1,FALSE))=FALSE,SUMIFS(LAST_FC!$I:$I,LAST_FC!$A:$A,TIME!$E$1,LAST_FC!$B:$B,M_BUSAREA_FC!$B$1,LAST_FC!$C:$C,M_BUSAREA_FC!$C$2,LAST_FC!$E:$E,M_BUSAREA_FC!$B$10,LAST_FC!$G:$G,M_BUSAREA_FC!D$4),"")</f>
        <v/>
      </c>
      <c r="E9" s="530" t="str">
        <f ca="1">IF(ISNA(VLOOKUP(_xlfn.CONCAT($B$10,E$4),TIME!$M$40:$M$42,1,FALSE))=FALSE,SUMIFS(LAST_FC!$I:$I,LAST_FC!$A:$A,TIME!$E$1,LAST_FC!$B:$B,M_BUSAREA_FC!$B$1,LAST_FC!$C:$C,M_BUSAREA_FC!$C$2,LAST_FC!$E:$E,M_BUSAREA_FC!$B$10,LAST_FC!$G:$G,M_BUSAREA_FC!E$4),"")</f>
        <v/>
      </c>
      <c r="F9" s="530">
        <f ca="1">IF(ISNA(VLOOKUP(_xlfn.CONCAT($B$10,F$4),TIME!$M$40:$M$42,1,FALSE))=FALSE,SUMIFS(LAST_FC!$I:$I,LAST_FC!$A:$A,TIME!$E$1,LAST_FC!$B:$B,M_BUSAREA_FC!$B$1,LAST_FC!$C:$C,M_BUSAREA_FC!$C$2,LAST_FC!$E:$E,M_BUSAREA_FC!$B$10,LAST_FC!$G:$G,M_BUSAREA_FC!F$4),"")</f>
        <v>0</v>
      </c>
      <c r="G9" s="530">
        <f ca="1">IFERROR(SUM(D9:F9),0)</f>
        <v>0</v>
      </c>
      <c r="N9" s="262" t="str">
        <f ca="1">$B10&amp;" L.FC"</f>
        <v>18/19 L.FC</v>
      </c>
      <c r="O9" s="534"/>
      <c r="P9" s="530" t="str">
        <f ca="1">IF(ISNA(VLOOKUP(_xlfn.CONCAT($B$10,D$4),TIME!$M$40:$M$42,1,FALSE))=FALSE,SUMIFS(LAST_FC!$I:$I,LAST_FC!$A:$A,TIME!$E$1,LAST_FC!$B:$B,M_BUSAREA_FC!$B$1,LAST_FC!$C:$C,M_BUSAREA_FC!$O$2,LAST_FC!$E:$E,M_BUSAREA_FC!$B$10,LAST_FC!$G:$G,M_BUSAREA_FC!D$4),"")</f>
        <v/>
      </c>
      <c r="Q9" s="530" t="str">
        <f ca="1">IF(ISNA(VLOOKUP(_xlfn.CONCAT($B$10,E$4),TIME!$M$40:$M$42,1,FALSE))=FALSE,SUMIFS(LAST_FC!$I:$I,LAST_FC!$A:$A,TIME!$E$1,LAST_FC!$B:$B,M_BUSAREA_FC!$B$1,LAST_FC!$C:$C,M_BUSAREA_FC!$O$2,LAST_FC!$E:$E,M_BUSAREA_FC!$B$10,LAST_FC!$G:$G,M_BUSAREA_FC!E$4),"")</f>
        <v/>
      </c>
      <c r="R9" s="530">
        <f ca="1">IF(ISNA(VLOOKUP(_xlfn.CONCAT($B$10,F$4),TIME!$M$40:$M$42,1,FALSE))=FALSE,SUMIFS(LAST_FC!$I:$I,LAST_FC!$A:$A,TIME!$E$1,LAST_FC!$B:$B,M_BUSAREA_FC!$B$1,LAST_FC!$C:$C,M_BUSAREA_FC!$O$2,LAST_FC!$E:$E,M_BUSAREA_FC!$B$10,LAST_FC!$G:$G,M_BUSAREA_FC!F$4),"")</f>
        <v>0</v>
      </c>
      <c r="S9" s="530">
        <f ca="1">IFERROR(SUM(P9:R9),0)</f>
        <v>0</v>
      </c>
      <c r="AF9" s="850" t="str">
        <f t="shared" ca="1" si="2"/>
        <v>Partner.comQ3Mar</v>
      </c>
      <c r="AG9" s="296" t="s">
        <v>142</v>
      </c>
      <c r="AH9" s="296" t="str">
        <f t="shared" ca="1" si="3"/>
        <v>Q3</v>
      </c>
      <c r="AI9" s="296" t="str">
        <f ca="1">$E$4</f>
        <v>Mar</v>
      </c>
      <c r="AJ9" s="856">
        <f ca="1">IF(ISNA(VLOOKUP(_xlfn.CONCAT($N$10&amp;AI9),TIME!$M$40:$Q$42,1,FALSE)),0,Q10)</f>
        <v>0</v>
      </c>
      <c r="AK9" s="851"/>
    </row>
    <row r="10" spans="1:37" ht="15.75" thickBot="1" x14ac:dyDescent="0.3">
      <c r="B10" s="234" t="str">
        <f ca="1">G1</f>
        <v>18/19</v>
      </c>
      <c r="C10" s="531">
        <f ca="1">C7</f>
        <v>0</v>
      </c>
      <c r="D10" s="531" t="str">
        <f ca="1">IF(D7&lt;&gt;0,D7,IF(D13&lt;&gt;"",D13*1000,D9))</f>
        <v/>
      </c>
      <c r="E10" s="531" t="str">
        <f t="shared" ref="E10:F10" ca="1" si="4">IF(E7&lt;&gt;0,E7,IF(E13&lt;&gt;"",E13*1000,E9))</f>
        <v/>
      </c>
      <c r="F10" s="531">
        <f t="shared" ca="1" si="4"/>
        <v>0</v>
      </c>
      <c r="G10" s="531" t="e">
        <f ca="1">IFERROR(D10,0)+IFERROR(E10,0)+IFERROR(F10,0)</f>
        <v>#VALUE!</v>
      </c>
      <c r="J10" s="140"/>
      <c r="N10" s="234" t="str">
        <f ca="1">G1</f>
        <v>18/19</v>
      </c>
      <c r="O10" s="531">
        <f ca="1">O7</f>
        <v>0</v>
      </c>
      <c r="P10" s="531" t="str">
        <f ca="1">IF(P7&lt;&gt;0,P7,IF(P13&lt;&gt;"",P13*1000,P9))</f>
        <v/>
      </c>
      <c r="Q10" s="531" t="str">
        <f t="shared" ref="Q10" ca="1" si="5">IF(Q7&lt;&gt;0,Q7,IF(Q13&lt;&gt;"",Q13*1000,Q9))</f>
        <v/>
      </c>
      <c r="R10" s="531">
        <f t="shared" ref="R10" ca="1" si="6">IF(R7&lt;&gt;0,R7,IF(R13&lt;&gt;"",R13*1000,R9))</f>
        <v>0</v>
      </c>
      <c r="S10" s="531" t="e">
        <f ca="1">IFERROR(P10,0)+IFERROR(Q10,0)+IFERROR(R10,0)</f>
        <v>#VALUE!</v>
      </c>
      <c r="AF10" s="852" t="str">
        <f t="shared" ca="1" si="2"/>
        <v>Partner.comQ3Apr</v>
      </c>
      <c r="AG10" s="853" t="s">
        <v>142</v>
      </c>
      <c r="AH10" s="854" t="str">
        <f t="shared" ca="1" si="3"/>
        <v>Q3</v>
      </c>
      <c r="AI10" s="853" t="str">
        <f ca="1">$F$4</f>
        <v>Apr</v>
      </c>
      <c r="AJ10" s="859">
        <f ca="1">IF(ISNA(VLOOKUP(_xlfn.CONCAT($N$10&amp;AI10),TIME!$M$40:$Q$42,1,FALSE)),0,R10)</f>
        <v>0</v>
      </c>
      <c r="AK10" s="860"/>
    </row>
    <row r="11" spans="1:37" ht="15.75" thickBot="1" x14ac:dyDescent="0.3">
      <c r="B11" s="239" t="str">
        <f>"YoY GROWTH"</f>
        <v>YoY GROWTH</v>
      </c>
      <c r="C11" s="240">
        <f ca="1">IFERROR((C10-C6)/C6,"-")</f>
        <v>-1</v>
      </c>
      <c r="D11" s="240" t="str">
        <f ca="1">IFERROR((D10-D6)/D6,"-")</f>
        <v>-</v>
      </c>
      <c r="E11" s="240" t="str">
        <f ca="1">IFERROR((E10-E6)/E6,"-")</f>
        <v>-</v>
      </c>
      <c r="F11" s="240">
        <f ca="1">IFERROR((F10-F6)/F6,"-")</f>
        <v>-1</v>
      </c>
      <c r="G11" s="240" t="str">
        <f ca="1">IFERROR((G10-G6)/G6,"-")</f>
        <v>-</v>
      </c>
      <c r="N11" s="239" t="str">
        <f>B11</f>
        <v>YoY GROWTH</v>
      </c>
      <c r="O11" s="240">
        <f ca="1">IFERROR((O10-O6)/O6,"-")</f>
        <v>-1</v>
      </c>
      <c r="P11" s="240" t="str">
        <f ca="1">IFERROR((P10-P6)/P6,"-")</f>
        <v>-</v>
      </c>
      <c r="Q11" s="240" t="str">
        <f ca="1">IFERROR((Q10-Q6)/Q6,"-")</f>
        <v>-</v>
      </c>
      <c r="R11" s="240">
        <f ca="1">IFERROR((R10-R6)/R6,"-")</f>
        <v>-1</v>
      </c>
      <c r="S11" s="240" t="str">
        <f ca="1">IFERROR((S10-S6)/S6,"-")</f>
        <v>-</v>
      </c>
    </row>
    <row r="12" spans="1:37" x14ac:dyDescent="0.25">
      <c r="B12" s="24"/>
      <c r="C12" s="394"/>
      <c r="D12" s="276"/>
      <c r="E12" s="276"/>
      <c r="F12" s="276"/>
      <c r="G12" s="276"/>
      <c r="N12" s="24"/>
      <c r="O12" s="394"/>
      <c r="P12" s="276"/>
      <c r="Q12" s="276"/>
      <c r="R12" s="276"/>
      <c r="S12" s="276"/>
      <c r="AG12" s="148"/>
      <c r="AH12" s="23"/>
    </row>
    <row r="13" spans="1:37" ht="17.25" x14ac:dyDescent="0.3">
      <c r="B13" s="236" t="str">
        <f ca="1">"INPUT " &amp;$B$10</f>
        <v>INPUT 18/19</v>
      </c>
      <c r="C13" s="237"/>
      <c r="D13" s="747"/>
      <c r="E13" s="747"/>
      <c r="F13" s="758"/>
      <c r="G13" s="238"/>
      <c r="N13" s="236" t="str">
        <f ca="1">"INPUT " &amp;$B$10</f>
        <v>INPUT 18/19</v>
      </c>
      <c r="O13" s="237"/>
      <c r="P13" s="747"/>
      <c r="Q13" s="747"/>
      <c r="R13" s="747"/>
      <c r="S13" s="238"/>
      <c r="AG13" s="150"/>
      <c r="AH13" s="150"/>
      <c r="AI13" s="151"/>
      <c r="AJ13" s="151"/>
      <c r="AK13" s="151"/>
    </row>
    <row r="14" spans="1:37" x14ac:dyDescent="0.25">
      <c r="B14" s="25"/>
      <c r="C14" s="277"/>
      <c r="D14" s="277"/>
      <c r="E14" s="277"/>
      <c r="F14" s="277"/>
      <c r="G14" s="277"/>
      <c r="H14" s="148"/>
      <c r="I14" s="148"/>
      <c r="J14" s="148"/>
      <c r="K14" s="148"/>
      <c r="L14" s="148"/>
      <c r="M14" s="148"/>
      <c r="N14" s="148"/>
      <c r="O14" s="265"/>
      <c r="P14" s="148"/>
      <c r="Q14" s="148"/>
      <c r="R14" s="148"/>
      <c r="S14" s="148"/>
      <c r="T14" s="148"/>
      <c r="U14" s="148"/>
      <c r="V14" s="148"/>
      <c r="W14" s="148"/>
      <c r="X14" s="148"/>
      <c r="Y14" s="148"/>
      <c r="Z14" s="148"/>
      <c r="AA14" s="148"/>
      <c r="AB14" s="148"/>
      <c r="AC14" s="148"/>
      <c r="AD14" s="148"/>
      <c r="AE14" s="148"/>
      <c r="AF14" s="148"/>
    </row>
    <row r="15" spans="1:37" s="151" customFormat="1" ht="20.100000000000001" customHeight="1" x14ac:dyDescent="0.3">
      <c r="A15" s="605"/>
      <c r="B15" s="278"/>
      <c r="C15" s="278"/>
      <c r="D15" s="278"/>
      <c r="E15" s="278"/>
      <c r="F15" s="278"/>
      <c r="G15" s="278"/>
      <c r="H15" s="124"/>
      <c r="I15" s="124"/>
      <c r="J15" s="124"/>
      <c r="K15" s="898" t="s">
        <v>290</v>
      </c>
      <c r="L15" s="899"/>
      <c r="M15" s="899"/>
      <c r="N15" s="123"/>
      <c r="O15" s="266"/>
      <c r="P15" s="124"/>
      <c r="Q15" s="124"/>
      <c r="R15" s="124"/>
      <c r="S15" s="124"/>
      <c r="T15" s="124"/>
      <c r="U15" s="124"/>
      <c r="V15" s="124"/>
      <c r="W15" s="124"/>
      <c r="X15" s="124"/>
      <c r="Y15" s="124"/>
      <c r="Z15" s="124"/>
      <c r="AA15" s="150"/>
      <c r="AB15" s="150"/>
      <c r="AC15" s="150"/>
      <c r="AD15" s="150"/>
      <c r="AE15" s="150"/>
      <c r="AF15" s="150"/>
      <c r="AG15" s="132"/>
      <c r="AH15" s="132"/>
      <c r="AI15" s="132"/>
      <c r="AJ15" s="132"/>
      <c r="AK15" s="132"/>
    </row>
    <row r="16" spans="1:37" ht="15.75" thickBot="1" x14ac:dyDescent="0.3">
      <c r="B16" s="230"/>
      <c r="C16" s="279"/>
      <c r="D16" s="230"/>
      <c r="E16" s="230"/>
      <c r="F16" s="230"/>
      <c r="G16" s="230"/>
      <c r="N16" s="230"/>
      <c r="O16" s="279"/>
      <c r="P16" s="230"/>
      <c r="Q16" s="230"/>
      <c r="R16" s="230"/>
      <c r="S16" s="230"/>
    </row>
    <row r="17" spans="1:32" x14ac:dyDescent="0.25">
      <c r="B17" s="892" t="s">
        <v>96</v>
      </c>
      <c r="C17" s="892"/>
      <c r="D17" s="892"/>
      <c r="E17" s="892"/>
      <c r="F17" s="892"/>
      <c r="G17" s="892"/>
      <c r="N17" s="892" t="s">
        <v>96</v>
      </c>
      <c r="O17" s="892"/>
      <c r="P17" s="892"/>
      <c r="Q17" s="892"/>
      <c r="R17" s="892"/>
      <c r="S17" s="892"/>
    </row>
    <row r="18" spans="1:32" x14ac:dyDescent="0.25">
      <c r="B18" s="271" t="s">
        <v>7</v>
      </c>
      <c r="C18" s="271" t="str">
        <f ca="1">C4</f>
        <v>Jan</v>
      </c>
      <c r="D18" s="271" t="str">
        <f t="shared" ref="D18:F18" ca="1" si="7">D4</f>
        <v>Feb</v>
      </c>
      <c r="E18" s="271" t="str">
        <f t="shared" ca="1" si="7"/>
        <v>Mar</v>
      </c>
      <c r="F18" s="271" t="str">
        <f t="shared" ca="1" si="7"/>
        <v>Apr</v>
      </c>
      <c r="G18" s="272" t="s">
        <v>158</v>
      </c>
      <c r="N18" s="271" t="s">
        <v>7</v>
      </c>
      <c r="O18" s="271" t="str">
        <f ca="1">O4</f>
        <v>Jan</v>
      </c>
      <c r="P18" s="271" t="str">
        <f t="shared" ref="P18:R18" ca="1" si="8">P4</f>
        <v>Feb</v>
      </c>
      <c r="Q18" s="271" t="str">
        <f t="shared" ca="1" si="8"/>
        <v>Mar</v>
      </c>
      <c r="R18" s="271" t="str">
        <f t="shared" ca="1" si="8"/>
        <v>Apr</v>
      </c>
      <c r="S18" s="272" t="s">
        <v>158</v>
      </c>
    </row>
    <row r="19" spans="1:32" x14ac:dyDescent="0.25">
      <c r="B19" s="273" t="str">
        <f ca="1">$B$5</f>
        <v>16/17</v>
      </c>
      <c r="C19" s="528">
        <f ca="1">IFERROR(IF($D$18="Aug",VLOOKUP(_xlfn.CONCAT($B$1,$C$2,$K$15,$A5,C$18),HIS_SALES!$B$2:$I$5093,8,FALSE),VLOOKUP(_xlfn.CONCAT($B$1,$C$2,$K$15,$B19,C$18),HIS_SALES!$B$2:$I$5093,8,FALSE)),"")</f>
        <v>0</v>
      </c>
      <c r="D19" s="527">
        <f ca="1">IFERROR(VLOOKUP(_xlfn.CONCAT($B$1,$C$2,$K$15,$B19,D$18),HIS_SALES!$B$2:$I$5093,8,FALSE),0)</f>
        <v>2175.9865</v>
      </c>
      <c r="E19" s="527">
        <f ca="1">IFERROR(VLOOKUP(_xlfn.CONCAT($B$1,$C$2,$K$15,$B19,E$18),HIS_SALES!$B$2:$I$5093,8,FALSE),0)</f>
        <v>18921.177975540002</v>
      </c>
      <c r="F19" s="527">
        <f ca="1">IFERROR(VLOOKUP(_xlfn.CONCAT($B$1,$C$2,$K$15,$B19,F$18),HIS_SALES!$B$2:$I$5093,8,FALSE),0)</f>
        <v>35452.125190930099</v>
      </c>
      <c r="G19" s="528">
        <f ca="1">IFERROR(SUM(D19:F19),0)</f>
        <v>56549.289666470097</v>
      </c>
      <c r="N19" s="273" t="str">
        <f ca="1">$B$5</f>
        <v>16/17</v>
      </c>
      <c r="O19" s="528">
        <f ca="1">IFERROR(IF($P$18="Aug",VLOOKUP(_xlfn.CONCAT($B$1,$O$2,$K$15,$A5,O$18),HIS_SALES!$B$2:$I$5093,8,FALSE),VLOOKUP(_xlfn.CONCAT($B$1,$O$2,$K$15,$N19,O$18),HIS_SALES!$B$2:$I$5093,8,FALSE)),"")</f>
        <v>20.79</v>
      </c>
      <c r="P19" s="527">
        <f ca="1">IFERROR(VLOOKUP(_xlfn.CONCAT($B$1,$O$2,$K$15,$N19,P$18),HIS_SALES!$B$2:$I$5093,8,FALSE),0)</f>
        <v>268.22025206000001</v>
      </c>
      <c r="Q19" s="527">
        <f ca="1">IFERROR(VLOOKUP(_xlfn.CONCAT($B$1,$O$2,$K$15,$N19,Q$18),HIS_SALES!$B$2:$I$5093,8,FALSE),0)</f>
        <v>11217.49824031</v>
      </c>
      <c r="R19" s="527">
        <f ca="1">IFERROR(VLOOKUP(_xlfn.CONCAT($B$1,$O$2,$K$15,$N19,R$18),HIS_SALES!$B$2:$I$5093,8,FALSE),0)</f>
        <v>29137.81314989</v>
      </c>
      <c r="S19" s="528">
        <f ca="1">IFERROR(SUM(P19:R19),0)</f>
        <v>40623.531642260001</v>
      </c>
    </row>
    <row r="20" spans="1:32" x14ac:dyDescent="0.25">
      <c r="B20" s="273" t="str">
        <f ca="1">$B$6</f>
        <v>17/18</v>
      </c>
      <c r="C20" s="527">
        <f ca="1">IFERROR(IF($D$18="Aug",VLOOKUP(_xlfn.CONCAT($B$1,$C$2,$K$15,$A6,C$18),HIS_SALES!$B$2:$I$5093,8,FALSE),VLOOKUP(_xlfn.CONCAT($B$1,$C$2,$K$15,$B20,C$18),HIS_SALES!$B$2:$I$5093,8,FALSE)),"")</f>
        <v>858.46850000000006</v>
      </c>
      <c r="D20" s="527">
        <f ca="1">IFERROR(VLOOKUP(_xlfn.CONCAT($B$1,$C$2,$K$15,$B20,D$18),HIS_SALES!$B$2:$I$5093,8,FALSE),0)</f>
        <v>8278.4417793299999</v>
      </c>
      <c r="E20" s="527">
        <f ca="1">IFERROR(VLOOKUP(_xlfn.CONCAT($B$1,$C$2,$K$15,$B20,E$18),HIS_SALES!$B$2:$I$5093,8,FALSE),0)</f>
        <v>29450.815483599999</v>
      </c>
      <c r="F20" s="527">
        <f ca="1">IFERROR(VLOOKUP(_xlfn.CONCAT($B$1,$C$2,$K$15,$B20,F$18),HIS_SALES!$B$2:$I$5093,8,FALSE),0)</f>
        <v>58810.299621390302</v>
      </c>
      <c r="G20" s="527">
        <f t="shared" ref="G20:G21" ca="1" si="9">IFERROR(SUM(D20:F20),0)</f>
        <v>96539.556884320307</v>
      </c>
      <c r="N20" s="273" t="str">
        <f ca="1">$B$6</f>
        <v>17/18</v>
      </c>
      <c r="O20" s="527">
        <f ca="1">IFERROR(IF($P$18="Aug",VLOOKUP(_xlfn.CONCAT($B$1,$O$2,$K$15,$A6,O$18),HIS_SALES!$B$2:$I$5093,8,FALSE),VLOOKUP(_xlfn.CONCAT($B$1,$O$2,$K$15,$N20,O$18),HIS_SALES!$B$2:$I$5093,8,FALSE)),"")</f>
        <v>710.46650669999997</v>
      </c>
      <c r="P20" s="527">
        <f ca="1">IFERROR(VLOOKUP(_xlfn.CONCAT($B$1,$O$2,$K$15,$N20,P$18),HIS_SALES!$B$2:$I$5093,8,FALSE),0)</f>
        <v>3890.10512268</v>
      </c>
      <c r="Q20" s="527">
        <f ca="1">IFERROR(VLOOKUP(_xlfn.CONCAT($B$1,$O$2,$K$15,$N20,Q$18),HIS_SALES!$B$2:$I$5093,8,FALSE),0)</f>
        <v>29045.582554979999</v>
      </c>
      <c r="R20" s="527">
        <f ca="1">IFERROR(VLOOKUP(_xlfn.CONCAT($B$1,$O$2,$K$15,$N20,R$18),HIS_SALES!$B$2:$I$5093,8,FALSE),0)</f>
        <v>76309.972884719798</v>
      </c>
      <c r="S20" s="527">
        <f ca="1">IFERROR(SUM(P20:R20),0)</f>
        <v>109245.6605623798</v>
      </c>
    </row>
    <row r="21" spans="1:32" ht="15.75" thickBot="1" x14ac:dyDescent="0.3">
      <c r="B21" s="274" t="str">
        <f ca="1">$B$7</f>
        <v>18/19</v>
      </c>
      <c r="C21" s="529" t="str">
        <f ca="1">IFERROR(IF($D$18="Aug",VLOOKUP(_xlfn.CONCAT($B$1,$C$2,$K$15,$A7,C$18),HIS_SALES!$B$2:$I$5093,8,FALSE),VLOOKUP(_xlfn.CONCAT($B$1,$C$2,$K$15,$B21,C$18),HIS_SALES!$B$2:$I$5093,8,FALSE)),"")</f>
        <v/>
      </c>
      <c r="D21" s="529">
        <f ca="1">IFERROR(VLOOKUP(_xlfn.CONCAT($B$1,$C$2,$K$15,$B21,D$18),HIS_SALES!$B$2:$I$5093,8,FALSE),0)</f>
        <v>0</v>
      </c>
      <c r="E21" s="529">
        <f ca="1">IFERROR(VLOOKUP(_xlfn.CONCAT($B$1,$C$2,$K$15,$B21,E$18),HIS_SALES!$B$2:$I$5093,8,FALSE),0)</f>
        <v>0</v>
      </c>
      <c r="F21" s="529">
        <f ca="1">IFERROR(VLOOKUP(_xlfn.CONCAT($B$1,$C$2,$K$15,$B21,F$18),HIS_SALES!$B$2:$I$5093,8,FALSE),0)</f>
        <v>0</v>
      </c>
      <c r="G21" s="529">
        <f t="shared" ca="1" si="9"/>
        <v>0</v>
      </c>
      <c r="N21" s="274" t="str">
        <f ca="1">$B$7</f>
        <v>18/19</v>
      </c>
      <c r="O21" s="529" t="str">
        <f ca="1">IFERROR(IF($P$18="Aug",VLOOKUP(_xlfn.CONCAT($B$1,$O$2,$K$15,$A7,O$18),HIS_SALES!$B$2:$I$5093,8,FALSE),VLOOKUP(_xlfn.CONCAT($B$1,$O$2,$K$15,$N21,O$18),HIS_SALES!$B$2:$I$5093,8,FALSE)),"")</f>
        <v/>
      </c>
      <c r="P21" s="529">
        <f ca="1">IFERROR(VLOOKUP(_xlfn.CONCAT($B$1,$O$2,$K$15,$N21,P$18),HIS_SALES!$B$2:$I$5093,8,FALSE),0)</f>
        <v>0</v>
      </c>
      <c r="Q21" s="529">
        <f ca="1">IFERROR(VLOOKUP(_xlfn.CONCAT($B$1,$O$2,$K$15,$N21,Q$18),HIS_SALES!$B$2:$I$5093,8,FALSE),0)</f>
        <v>0</v>
      </c>
      <c r="R21" s="529">
        <f ca="1">IFERROR(VLOOKUP(_xlfn.CONCAT($B$1,$O$2,$K$15,$N21,R$18),HIS_SALES!$B$2:$I$5093,8,FALSE),0)</f>
        <v>0</v>
      </c>
      <c r="S21" s="529">
        <f ca="1">IFERROR(SUM(P21:R21),0)</f>
        <v>0</v>
      </c>
    </row>
    <row r="22" spans="1:32" ht="15.75" thickTop="1" x14ac:dyDescent="0.25">
      <c r="B22" s="886" t="s">
        <v>97</v>
      </c>
      <c r="C22" s="886"/>
      <c r="D22" s="886"/>
      <c r="E22" s="886"/>
      <c r="F22" s="886"/>
      <c r="G22" s="886"/>
      <c r="N22" s="886" t="s">
        <v>97</v>
      </c>
      <c r="O22" s="886"/>
      <c r="P22" s="886"/>
      <c r="Q22" s="886"/>
      <c r="R22" s="886"/>
      <c r="S22" s="886"/>
    </row>
    <row r="23" spans="1:32" x14ac:dyDescent="0.25">
      <c r="B23" s="262" t="str">
        <f ca="1">$B$9</f>
        <v>18/19 L.FC</v>
      </c>
      <c r="C23" s="534"/>
      <c r="D23" s="530" t="str">
        <f ca="1">IF(ISNA(VLOOKUP(_xlfn.CONCAT($B$24,D$18),TIME!$M$40:$M$42,1,FALSE))=FALSE,SUMIFS(LAST_FC!$I2:$I222,LAST_FC!$A2:$A222,TIME!$E$1,LAST_FC!$C2:$C222,$C$2,LAST_FC!$D2:$D222,$K$15,LAST_FC!$E2:$E222,$B24,LAST_FC!$G2:$G222,D$18),"")</f>
        <v/>
      </c>
      <c r="E23" s="530" t="str">
        <f ca="1">IF(ISNA(VLOOKUP(_xlfn.CONCAT($B$24,E$18),TIME!$M$40:$M$42,1,FALSE))=FALSE,SUMIFS(LAST_FC!$I2:$I222,LAST_FC!$A2:$A222,TIME!$E$1,LAST_FC!$C2:$C222,$C$2,LAST_FC!$D2:$D222,$K$15,LAST_FC!$E2:$E222,$B24,LAST_FC!$G2:$G222,E$18),"")</f>
        <v/>
      </c>
      <c r="F23" s="530">
        <f ca="1">IF(ISNA(VLOOKUP(_xlfn.CONCAT($B$24,F$18),TIME!$M$40:$M$42,1,FALSE))=FALSE,SUMIFS(LAST_FC!$I2:$I222,LAST_FC!$A2:$A222,TIME!$E$1,LAST_FC!$C2:$C222,$C$2,LAST_FC!$D2:$D222,$K$15,LAST_FC!$E2:$E222,$B24,LAST_FC!$G2:$G222,F$18),"")</f>
        <v>0</v>
      </c>
      <c r="G23" s="530">
        <f ca="1">IFERROR(SUM(D23:F23),0)</f>
        <v>0</v>
      </c>
      <c r="N23" s="262" t="str">
        <f ca="1">$B$9</f>
        <v>18/19 L.FC</v>
      </c>
      <c r="O23" s="534"/>
      <c r="P23" s="530" t="str">
        <f ca="1">IF(ISNA(VLOOKUP(_xlfn.CONCAT($B$24,P$18),TIME!$M$40:$M$42,1,FALSE))=FALSE,SUMIFS(LAST_FC!$I2:$I222,LAST_FC!$A2:$A222,TIME!$E$1,LAST_FC!$C2:$C222,$O$2,LAST_FC!$D2:$D222,$K$15,LAST_FC!$E2:$E222,$B24,LAST_FC!$G2:$G222,P$18),"")</f>
        <v/>
      </c>
      <c r="Q23" s="530" t="str">
        <f ca="1">IF(ISNA(VLOOKUP(_xlfn.CONCAT($B$24,Q$18),TIME!$M$40:$M$42,1,FALSE))=FALSE,SUMIFS(LAST_FC!$I2:$I222,LAST_FC!$A2:$A222,TIME!$E$1,LAST_FC!$C2:$C222,$O$2,LAST_FC!$D2:$D222,$K$15,LAST_FC!$E2:$E222,$B24,LAST_FC!$G2:$G222,Q$18),"")</f>
        <v/>
      </c>
      <c r="R23" s="530">
        <f ca="1">IF(ISNA(VLOOKUP(_xlfn.CONCAT($B$24,R$18),TIME!$M$40:$M$42,1,FALSE))=FALSE,SUMIFS(LAST_FC!$I2:$I222,LAST_FC!$A2:$A222,TIME!$E$1,LAST_FC!$C2:$C222,$O$2,LAST_FC!$D2:$D222,$K$15,LAST_FC!$E2:$E222,$B24,LAST_FC!$G2:$G222,R$18),"")</f>
        <v>0</v>
      </c>
      <c r="S23" s="530">
        <f ca="1">IFERROR(SUM(P23:R23),0)</f>
        <v>0</v>
      </c>
    </row>
    <row r="24" spans="1:32" ht="15" customHeight="1" x14ac:dyDescent="0.25">
      <c r="B24" s="234" t="str">
        <f ca="1">$B$10</f>
        <v>18/19</v>
      </c>
      <c r="C24" s="531" t="str">
        <f ca="1">C21</f>
        <v/>
      </c>
      <c r="D24" s="531" t="str">
        <f ca="1">IFERROR(D10*HLOOKUP(_xlfn.CONCAT($B24,D$18),ST_OVERVIEW!$G$99:$I$130,MATCH($C$2&amp;$K$15,ST_OVERVIEW!$F$99:$F$130,0),FALSE),"")</f>
        <v/>
      </c>
      <c r="E24" s="531" t="str">
        <f ca="1">IFERROR(E10*HLOOKUP(_xlfn.CONCAT($B24,E$18),ST_OVERVIEW!$G$99:$I$130,MATCH($C$2&amp;$K$15,ST_OVERVIEW!$F$99:$F$130,0),FALSE),"")</f>
        <v/>
      </c>
      <c r="F24" s="531" t="str">
        <f ca="1">IFERROR(F10*HLOOKUP(_xlfn.CONCAT($B24,F$18),ST_OVERVIEW!$G$99:$I$130,MATCH($C$2&amp;$K$15,ST_OVERVIEW!$F$99:$F$130,0),FALSE),"")</f>
        <v/>
      </c>
      <c r="G24" s="531">
        <f ca="1">SUM(D24:F24)</f>
        <v>0</v>
      </c>
      <c r="N24" s="234" t="str">
        <f ca="1">$B$10</f>
        <v>18/19</v>
      </c>
      <c r="O24" s="531" t="str">
        <f ca="1">O21</f>
        <v/>
      </c>
      <c r="P24" s="531" t="str">
        <f ca="1">IFERROR(P10*HLOOKUP(_xlfn.CONCAT($B24,P$18),ST_OVERVIEW!$G$99:$I$130,MATCH($O$2&amp;$K$15,ST_OVERVIEW!$F$99:$F$130,0),FALSE),"")</f>
        <v/>
      </c>
      <c r="Q24" s="531" t="str">
        <f ca="1">IFERROR(Q10*HLOOKUP(_xlfn.CONCAT($B24,Q$18),ST_OVERVIEW!$G$99:$I$130,MATCH($O$2&amp;$K$15,ST_OVERVIEW!$F$99:$F$130,0),FALSE),"")</f>
        <v/>
      </c>
      <c r="R24" s="531" t="str">
        <f ca="1">IFERROR(R10*HLOOKUP(_xlfn.CONCAT($B24,R$18),ST_OVERVIEW!$G$99:$I$130,MATCH($O$2&amp;$K$15,ST_OVERVIEW!$F$99:$F$130,0),FALSE),"")</f>
        <v/>
      </c>
      <c r="S24" s="531">
        <f ca="1">SUM(P24:R24)</f>
        <v>0</v>
      </c>
    </row>
    <row r="25" spans="1:32" ht="15.75" collapsed="1" thickBot="1" x14ac:dyDescent="0.3">
      <c r="B25" s="239" t="str">
        <f>$B$11</f>
        <v>YoY GROWTH</v>
      </c>
      <c r="C25" s="410" t="e">
        <f ca="1">IF(C24=0,"-",(C24-C20)/C20)</f>
        <v>#VALUE!</v>
      </c>
      <c r="D25" s="240" t="str">
        <f ca="1">IFERROR((D24-D20)/D20,"")</f>
        <v/>
      </c>
      <c r="E25" s="240" t="str">
        <f t="shared" ref="E25:F25" ca="1" si="10">IFERROR((E24-E20)/E20,"")</f>
        <v/>
      </c>
      <c r="F25" s="240" t="str">
        <f t="shared" ca="1" si="10"/>
        <v/>
      </c>
      <c r="G25" s="240">
        <f ca="1">IFERROR((G24-G20)/G20,"-")</f>
        <v>-1</v>
      </c>
      <c r="N25" s="239" t="str">
        <f>$B$11</f>
        <v>YoY GROWTH</v>
      </c>
      <c r="O25" s="410" t="e">
        <f ca="1">IF(O24=0,"-",(O24-O20)/O20)</f>
        <v>#VALUE!</v>
      </c>
      <c r="P25" s="240" t="str">
        <f ca="1">IFERROR((P24-P20)/P20,"")</f>
        <v/>
      </c>
      <c r="Q25" s="240" t="str">
        <f t="shared" ref="Q25:R25" ca="1" si="11">IFERROR((Q24-Q20)/Q20,"")</f>
        <v/>
      </c>
      <c r="R25" s="240" t="str">
        <f t="shared" ca="1" si="11"/>
        <v/>
      </c>
      <c r="S25" s="240">
        <f ca="1">IFERROR((S24-S20)/S20,"-")</f>
        <v>-1</v>
      </c>
      <c r="T25" s="140"/>
      <c r="U25" s="140"/>
    </row>
    <row r="26" spans="1:32" x14ac:dyDescent="0.25">
      <c r="C26" s="264"/>
    </row>
    <row r="27" spans="1:32" x14ac:dyDescent="0.25">
      <c r="B27" s="160"/>
      <c r="C27" s="61"/>
      <c r="D27" s="24"/>
      <c r="E27" s="160"/>
      <c r="F27" s="160"/>
      <c r="G27" s="161"/>
      <c r="H27" s="160"/>
      <c r="I27" s="160"/>
      <c r="J27" s="160"/>
      <c r="K27" s="160"/>
      <c r="L27" s="160"/>
      <c r="M27" s="162"/>
      <c r="S27" s="148"/>
    </row>
    <row r="28" spans="1:32" x14ac:dyDescent="0.25">
      <c r="N28" s="163"/>
      <c r="P28" s="163"/>
    </row>
    <row r="29" spans="1:32" x14ac:dyDescent="0.25">
      <c r="N29" s="24"/>
      <c r="O29" s="267"/>
      <c r="P29" s="24"/>
      <c r="Q29" s="24"/>
      <c r="R29" s="24"/>
      <c r="S29" s="24"/>
    </row>
    <row r="30" spans="1:32" x14ac:dyDescent="0.25">
      <c r="N30" s="24"/>
      <c r="O30" s="267"/>
      <c r="P30" s="24"/>
      <c r="Q30" s="24"/>
      <c r="R30" s="24"/>
      <c r="S30" s="24"/>
      <c r="X30" s="168"/>
      <c r="Y30" s="168"/>
      <c r="Z30" s="168"/>
    </row>
    <row r="31" spans="1:32" x14ac:dyDescent="0.25">
      <c r="A31" s="21"/>
      <c r="B31" s="148"/>
      <c r="N31" s="25"/>
      <c r="O31" s="268"/>
      <c r="P31" s="25"/>
      <c r="Q31" s="25"/>
      <c r="R31" s="25"/>
      <c r="S31" s="25"/>
      <c r="T31" s="148"/>
      <c r="U31" s="148"/>
      <c r="V31" s="148"/>
      <c r="W31" s="148"/>
      <c r="X31" s="148"/>
      <c r="Y31" s="148"/>
      <c r="Z31" s="148"/>
      <c r="AA31" s="148"/>
      <c r="AB31" s="148"/>
      <c r="AC31" s="148"/>
      <c r="AD31" s="148"/>
      <c r="AE31" s="148"/>
      <c r="AF31" s="148"/>
    </row>
    <row r="32" spans="1:32" x14ac:dyDescent="0.25">
      <c r="A32" s="21"/>
      <c r="B32" s="148"/>
      <c r="N32" s="25"/>
      <c r="O32" s="268"/>
      <c r="P32" s="25"/>
      <c r="Q32" s="25"/>
      <c r="R32" s="25"/>
      <c r="S32" s="25"/>
      <c r="T32" s="148"/>
      <c r="U32" s="148"/>
      <c r="V32" s="148"/>
      <c r="W32" s="148"/>
      <c r="X32" s="148"/>
      <c r="Y32" s="148"/>
      <c r="Z32" s="148"/>
      <c r="AA32" s="148"/>
      <c r="AB32" s="148"/>
      <c r="AC32" s="148"/>
      <c r="AD32" s="148"/>
      <c r="AE32" s="148"/>
      <c r="AF32" s="148"/>
    </row>
    <row r="33" spans="1:32" x14ac:dyDescent="0.25">
      <c r="A33" s="21"/>
      <c r="B33" s="148"/>
      <c r="N33" s="25"/>
      <c r="O33" s="268"/>
      <c r="P33" s="25"/>
      <c r="Q33" s="25"/>
      <c r="R33" s="25"/>
      <c r="S33" s="25"/>
      <c r="T33" s="148"/>
      <c r="U33" s="148"/>
      <c r="V33" s="148"/>
      <c r="W33" s="508"/>
      <c r="X33" s="508"/>
      <c r="Y33" s="148"/>
      <c r="Z33" s="148"/>
      <c r="AA33" s="148"/>
      <c r="AB33" s="148"/>
      <c r="AC33" s="148"/>
      <c r="AD33" s="148"/>
      <c r="AE33" s="148"/>
      <c r="AF33" s="148"/>
    </row>
    <row r="34" spans="1:32" x14ac:dyDescent="0.25">
      <c r="A34" s="21"/>
      <c r="B34" s="25"/>
      <c r="C34" s="25"/>
      <c r="D34" s="25"/>
      <c r="E34" s="25"/>
      <c r="F34" s="25"/>
      <c r="G34" s="25"/>
      <c r="H34" s="25"/>
      <c r="I34" s="25"/>
      <c r="J34" s="25"/>
      <c r="K34" s="25"/>
      <c r="L34" s="25"/>
      <c r="M34" s="25"/>
      <c r="N34" s="25"/>
      <c r="O34" s="268"/>
      <c r="P34" s="25"/>
      <c r="Q34" s="25"/>
      <c r="R34" s="25"/>
      <c r="S34" s="25"/>
      <c r="T34" s="148"/>
      <c r="U34" s="148"/>
      <c r="V34" s="148"/>
      <c r="W34" s="148"/>
      <c r="X34" s="148"/>
      <c r="Y34" s="148"/>
      <c r="Z34" s="148"/>
      <c r="AA34" s="148"/>
      <c r="AB34" s="148"/>
      <c r="AC34" s="148"/>
      <c r="AD34" s="148"/>
      <c r="AE34" s="148"/>
      <c r="AF34" s="148"/>
    </row>
    <row r="35" spans="1:32" x14ac:dyDescent="0.25">
      <c r="A35" s="21"/>
      <c r="B35" s="148"/>
      <c r="C35" s="148"/>
      <c r="D35" s="164"/>
      <c r="E35" s="59"/>
      <c r="F35" s="164"/>
      <c r="G35" s="164"/>
      <c r="H35" s="164"/>
      <c r="I35" s="165"/>
      <c r="J35" s="166"/>
      <c r="K35" s="167"/>
      <c r="L35" s="170"/>
      <c r="M35" s="148"/>
      <c r="N35" s="171"/>
      <c r="O35" s="268"/>
      <c r="P35" s="171"/>
      <c r="Q35" s="171"/>
      <c r="R35" s="148"/>
      <c r="S35" s="148"/>
      <c r="T35" s="148"/>
      <c r="U35" s="148"/>
      <c r="V35" s="148"/>
      <c r="W35" s="148"/>
      <c r="X35" s="148"/>
      <c r="Y35" s="148"/>
      <c r="Z35" s="148"/>
      <c r="AA35" s="148"/>
      <c r="AB35" s="148"/>
      <c r="AC35" s="148"/>
      <c r="AD35" s="148"/>
      <c r="AE35" s="148"/>
      <c r="AF35" s="148"/>
    </row>
    <row r="36" spans="1:32" x14ac:dyDescent="0.25">
      <c r="A36" s="21"/>
      <c r="B36" s="148"/>
      <c r="D36" s="164"/>
      <c r="E36" s="59"/>
      <c r="F36" s="164"/>
      <c r="G36" s="164"/>
      <c r="H36" s="164"/>
      <c r="I36" s="165"/>
      <c r="J36" s="169"/>
      <c r="K36" s="167"/>
      <c r="L36" s="170"/>
      <c r="M36" s="148"/>
      <c r="N36" s="171"/>
      <c r="O36" s="268"/>
      <c r="P36" s="171"/>
      <c r="Q36" s="171"/>
      <c r="R36" s="148"/>
      <c r="S36" s="148"/>
      <c r="T36" s="148"/>
      <c r="U36" s="148"/>
      <c r="V36" s="148"/>
      <c r="W36" s="148"/>
      <c r="X36" s="148"/>
      <c r="Y36" s="148"/>
      <c r="Z36" s="148"/>
      <c r="AA36" s="148"/>
      <c r="AB36" s="148"/>
      <c r="AC36" s="148"/>
      <c r="AD36" s="148"/>
      <c r="AE36" s="148"/>
      <c r="AF36" s="148"/>
    </row>
    <row r="37" spans="1:32" x14ac:dyDescent="0.25">
      <c r="A37" s="21"/>
      <c r="B37" s="148"/>
      <c r="D37" s="164"/>
      <c r="E37" s="59"/>
      <c r="F37" s="164"/>
      <c r="G37" s="164"/>
      <c r="H37" s="164"/>
      <c r="I37" s="165"/>
      <c r="J37" s="169"/>
      <c r="K37" s="167"/>
      <c r="L37" s="170"/>
      <c r="M37" s="148"/>
      <c r="N37" s="171"/>
      <c r="O37" s="268"/>
      <c r="P37" s="171"/>
      <c r="Q37" s="171"/>
      <c r="R37" s="148"/>
      <c r="S37" s="148"/>
      <c r="T37" s="148"/>
      <c r="U37" s="148"/>
      <c r="V37" s="148"/>
      <c r="W37" s="148"/>
      <c r="X37" s="148"/>
      <c r="Y37" s="148"/>
      <c r="Z37" s="148"/>
      <c r="AA37" s="148"/>
      <c r="AB37" s="148"/>
      <c r="AC37" s="148"/>
      <c r="AD37" s="148"/>
      <c r="AE37" s="148"/>
      <c r="AF37" s="148"/>
    </row>
    <row r="38" spans="1:32" x14ac:dyDescent="0.25">
      <c r="A38" s="21"/>
      <c r="B38" s="148"/>
      <c r="C38" s="148"/>
      <c r="D38" s="164"/>
      <c r="E38" s="59"/>
      <c r="F38" s="164"/>
      <c r="G38" s="164"/>
      <c r="H38" s="164"/>
      <c r="I38" s="165"/>
      <c r="J38" s="169"/>
      <c r="K38" s="167"/>
      <c r="L38" s="170"/>
      <c r="M38" s="148"/>
      <c r="N38" s="171"/>
      <c r="O38" s="268"/>
      <c r="P38" s="171"/>
      <c r="Q38" s="171"/>
      <c r="R38" s="148"/>
      <c r="S38" s="148"/>
      <c r="T38" s="148"/>
      <c r="U38" s="148"/>
      <c r="V38" s="148"/>
      <c r="W38" s="148"/>
      <c r="X38" s="148"/>
      <c r="Y38" s="148"/>
      <c r="Z38" s="148"/>
      <c r="AA38" s="148"/>
      <c r="AB38" s="148"/>
      <c r="AC38" s="148"/>
      <c r="AD38" s="148"/>
      <c r="AE38" s="148"/>
      <c r="AF38" s="148"/>
    </row>
    <row r="39" spans="1:32" x14ac:dyDescent="0.25">
      <c r="A39" s="21"/>
      <c r="B39" s="148"/>
      <c r="C39" s="148"/>
      <c r="D39" s="164"/>
      <c r="E39" s="59"/>
      <c r="F39" s="164"/>
      <c r="G39" s="164"/>
      <c r="H39" s="164"/>
      <c r="I39" s="165"/>
      <c r="J39" s="169"/>
      <c r="K39" s="167"/>
      <c r="L39" s="170"/>
      <c r="M39" s="148"/>
      <c r="N39" s="171"/>
      <c r="O39" s="268"/>
      <c r="P39" s="171"/>
      <c r="Q39" s="171"/>
      <c r="R39" s="148"/>
      <c r="S39" s="148"/>
      <c r="T39" s="148"/>
      <c r="U39" s="148"/>
      <c r="V39" s="148"/>
      <c r="W39" s="148"/>
      <c r="X39" s="148"/>
      <c r="Y39" s="148"/>
      <c r="Z39" s="148"/>
      <c r="AA39" s="148"/>
      <c r="AB39" s="148"/>
      <c r="AC39" s="148"/>
      <c r="AD39" s="148"/>
      <c r="AE39" s="148"/>
      <c r="AF39" s="148"/>
    </row>
    <row r="40" spans="1:32" x14ac:dyDescent="0.25">
      <c r="A40" s="21"/>
      <c r="B40" s="148"/>
      <c r="D40" s="164"/>
      <c r="E40" s="59"/>
      <c r="F40" s="164"/>
      <c r="G40" s="164"/>
      <c r="H40" s="164"/>
      <c r="I40" s="165"/>
      <c r="J40" s="169"/>
      <c r="K40" s="167"/>
      <c r="L40" s="170"/>
      <c r="M40" s="148"/>
      <c r="N40" s="171"/>
      <c r="O40" s="268"/>
      <c r="P40" s="171"/>
      <c r="Q40" s="171"/>
      <c r="R40" s="148"/>
      <c r="S40" s="148"/>
      <c r="T40" s="148"/>
      <c r="U40" s="148"/>
      <c r="V40" s="148"/>
      <c r="W40" s="148"/>
      <c r="X40" s="148"/>
      <c r="Y40" s="148"/>
      <c r="Z40" s="148"/>
      <c r="AA40" s="148"/>
      <c r="AB40" s="148"/>
      <c r="AC40" s="148"/>
      <c r="AD40" s="148"/>
      <c r="AE40" s="148"/>
      <c r="AF40" s="148"/>
    </row>
    <row r="41" spans="1:32" x14ac:dyDescent="0.25">
      <c r="A41" s="21"/>
      <c r="B41" s="148"/>
      <c r="D41" s="164"/>
      <c r="E41" s="59"/>
      <c r="F41" s="164"/>
      <c r="G41" s="164"/>
      <c r="H41" s="164"/>
      <c r="I41" s="165"/>
      <c r="J41" s="169"/>
      <c r="K41" s="167"/>
      <c r="L41" s="170"/>
      <c r="M41" s="148"/>
      <c r="N41" s="171"/>
      <c r="O41" s="268"/>
      <c r="P41" s="171"/>
      <c r="Q41" s="171"/>
      <c r="R41" s="148"/>
      <c r="S41" s="148"/>
      <c r="T41" s="148"/>
      <c r="U41" s="148"/>
      <c r="V41" s="148"/>
      <c r="W41" s="148"/>
      <c r="X41" s="148"/>
      <c r="Y41" s="148"/>
      <c r="Z41" s="148"/>
      <c r="AA41" s="148"/>
      <c r="AB41" s="148"/>
      <c r="AC41" s="148"/>
      <c r="AD41" s="148"/>
      <c r="AE41" s="148"/>
      <c r="AF41" s="148"/>
    </row>
    <row r="42" spans="1:32" x14ac:dyDescent="0.25">
      <c r="A42" s="21"/>
      <c r="B42" s="148"/>
      <c r="D42" s="164"/>
      <c r="E42" s="59"/>
      <c r="F42" s="164"/>
      <c r="G42" s="164"/>
      <c r="H42" s="164"/>
      <c r="I42" s="165"/>
      <c r="J42" s="169"/>
      <c r="K42" s="167"/>
      <c r="L42" s="170"/>
      <c r="M42" s="148"/>
      <c r="N42" s="171"/>
      <c r="O42" s="268"/>
      <c r="P42" s="171"/>
      <c r="Q42" s="171"/>
      <c r="R42" s="148"/>
      <c r="S42" s="148"/>
      <c r="T42" s="148"/>
      <c r="U42" s="148"/>
      <c r="V42" s="148"/>
      <c r="W42" s="148"/>
      <c r="X42" s="148"/>
      <c r="Y42" s="148"/>
      <c r="Z42" s="148"/>
      <c r="AA42" s="148"/>
      <c r="AB42" s="148"/>
      <c r="AC42" s="148"/>
      <c r="AD42" s="148"/>
      <c r="AE42" s="148"/>
      <c r="AF42" s="148"/>
    </row>
    <row r="43" spans="1:32" x14ac:dyDescent="0.25">
      <c r="A43" s="21"/>
      <c r="B43" s="148"/>
      <c r="D43" s="164"/>
      <c r="E43" s="59"/>
      <c r="F43" s="164"/>
      <c r="G43" s="164"/>
      <c r="H43" s="164"/>
      <c r="I43" s="165"/>
      <c r="J43" s="169"/>
      <c r="K43" s="167"/>
      <c r="L43" s="170"/>
      <c r="M43" s="148"/>
      <c r="N43" s="171"/>
      <c r="O43" s="268"/>
      <c r="P43" s="171"/>
      <c r="Q43" s="171"/>
      <c r="R43" s="148"/>
      <c r="S43" s="148"/>
      <c r="T43" s="148"/>
      <c r="U43" s="148"/>
      <c r="V43" s="148"/>
      <c r="W43" s="148"/>
      <c r="X43" s="148"/>
      <c r="Y43" s="148"/>
      <c r="Z43" s="148"/>
      <c r="AA43" s="148"/>
      <c r="AB43" s="148"/>
      <c r="AC43" s="148"/>
      <c r="AD43" s="148"/>
      <c r="AE43" s="148"/>
      <c r="AF43" s="148"/>
    </row>
    <row r="44" spans="1:32" x14ac:dyDescent="0.25">
      <c r="A44" s="21"/>
      <c r="B44" s="22"/>
      <c r="C44" s="23"/>
      <c r="D44" s="59"/>
      <c r="E44" s="59"/>
      <c r="F44" s="59"/>
      <c r="G44" s="59"/>
      <c r="H44" s="59"/>
      <c r="I44" s="498"/>
      <c r="J44" s="499"/>
      <c r="K44" s="500"/>
      <c r="L44" s="501"/>
      <c r="M44" s="22"/>
      <c r="N44" s="22"/>
      <c r="O44" s="265"/>
      <c r="P44" s="22"/>
      <c r="Q44" s="22"/>
      <c r="R44" s="22"/>
      <c r="S44" s="22"/>
      <c r="T44" s="22"/>
      <c r="U44" s="22"/>
      <c r="V44" s="22"/>
      <c r="W44" s="22"/>
      <c r="X44" s="22"/>
      <c r="Y44" s="22"/>
      <c r="Z44" s="22"/>
      <c r="AA44" s="22"/>
      <c r="AB44" s="148"/>
      <c r="AC44" s="148"/>
      <c r="AD44" s="148"/>
      <c r="AE44" s="148"/>
      <c r="AF44" s="148"/>
    </row>
    <row r="45" spans="1:32" x14ac:dyDescent="0.25">
      <c r="B45" s="23"/>
      <c r="C45" s="23"/>
      <c r="D45" s="23"/>
      <c r="E45" s="23"/>
      <c r="F45" s="23"/>
      <c r="G45" s="23"/>
      <c r="H45" s="23"/>
      <c r="I45" s="23"/>
      <c r="J45" s="23"/>
      <c r="K45" s="23"/>
      <c r="L45" s="23"/>
      <c r="M45" s="23"/>
      <c r="N45" s="23"/>
      <c r="P45" s="23"/>
      <c r="Q45" s="23"/>
      <c r="R45" s="23"/>
      <c r="S45" s="23"/>
      <c r="T45" s="23"/>
      <c r="U45" s="23"/>
      <c r="V45" s="23"/>
      <c r="W45" s="23"/>
      <c r="X45" s="23"/>
      <c r="Y45" s="23"/>
      <c r="Z45" s="23"/>
      <c r="AA45" s="23"/>
      <c r="AB45" s="162"/>
      <c r="AC45" s="162"/>
      <c r="AD45" s="162"/>
      <c r="AE45" s="162"/>
      <c r="AF45" s="162"/>
    </row>
    <row r="46" spans="1:32" x14ac:dyDescent="0.25">
      <c r="B46" s="59"/>
      <c r="C46" s="59"/>
      <c r="D46" s="59"/>
      <c r="E46" s="59"/>
      <c r="F46" s="59"/>
      <c r="G46" s="59"/>
      <c r="H46" s="59"/>
      <c r="I46" s="59"/>
      <c r="J46" s="59"/>
      <c r="K46" s="59"/>
      <c r="L46" s="59"/>
      <c r="M46" s="59"/>
      <c r="N46" s="59"/>
      <c r="O46" s="59"/>
      <c r="P46" s="23"/>
      <c r="Q46" s="23"/>
      <c r="R46" s="22"/>
      <c r="S46" s="22"/>
      <c r="T46" s="22"/>
      <c r="U46" s="22"/>
      <c r="V46" s="22"/>
      <c r="W46" s="22"/>
      <c r="X46" s="23"/>
      <c r="Y46" s="23"/>
      <c r="Z46" s="23"/>
      <c r="AA46" s="23"/>
      <c r="AB46" s="162"/>
      <c r="AC46" s="162"/>
      <c r="AD46" s="162"/>
      <c r="AE46" s="162"/>
      <c r="AF46" s="162"/>
    </row>
    <row r="47" spans="1:32" x14ac:dyDescent="0.25">
      <c r="B47" s="59"/>
      <c r="C47" s="59"/>
      <c r="D47" s="59"/>
      <c r="E47" s="59"/>
      <c r="F47" s="59"/>
      <c r="G47" s="59"/>
      <c r="H47" s="59"/>
      <c r="I47" s="59"/>
      <c r="J47" s="59"/>
      <c r="K47" s="59"/>
      <c r="L47" s="59"/>
      <c r="M47" s="59"/>
      <c r="N47" s="59"/>
      <c r="O47" s="59"/>
      <c r="P47" s="23"/>
      <c r="Q47" s="23"/>
      <c r="R47" s="22"/>
      <c r="S47" s="22"/>
      <c r="T47" s="22"/>
      <c r="U47" s="22"/>
      <c r="V47" s="328"/>
      <c r="W47" s="328"/>
      <c r="X47" s="23"/>
      <c r="Y47" s="23"/>
      <c r="Z47" s="23"/>
      <c r="AA47" s="23"/>
      <c r="AB47" s="162"/>
      <c r="AC47" s="162"/>
      <c r="AD47" s="162"/>
      <c r="AE47" s="162"/>
      <c r="AF47" s="162"/>
    </row>
    <row r="48" spans="1:32" x14ac:dyDescent="0.25">
      <c r="B48" s="296"/>
      <c r="C48" s="296"/>
      <c r="D48" s="296"/>
      <c r="E48" s="296"/>
      <c r="F48" s="296"/>
      <c r="G48" s="296"/>
      <c r="H48" s="296"/>
      <c r="I48" s="296"/>
      <c r="J48" s="296"/>
      <c r="K48" s="296"/>
      <c r="L48" s="296"/>
      <c r="M48" s="296"/>
      <c r="N48" s="296"/>
      <c r="O48" s="296"/>
      <c r="P48" s="62"/>
      <c r="Q48" s="62"/>
      <c r="R48" s="21"/>
      <c r="S48" s="561"/>
      <c r="T48" s="493"/>
      <c r="U48" s="493"/>
      <c r="V48" s="493"/>
      <c r="W48" s="493"/>
      <c r="X48" s="23"/>
      <c r="Y48" s="23"/>
      <c r="Z48" s="23"/>
      <c r="AA48" s="23"/>
      <c r="AB48" s="162"/>
      <c r="AC48" s="162"/>
      <c r="AD48" s="162"/>
      <c r="AE48" s="162"/>
      <c r="AF48" s="162"/>
    </row>
    <row r="49" spans="2:32" x14ac:dyDescent="0.25">
      <c r="B49" s="296"/>
      <c r="C49" s="296"/>
      <c r="D49" s="296"/>
      <c r="E49" s="296"/>
      <c r="F49" s="296"/>
      <c r="G49" s="296"/>
      <c r="H49" s="296"/>
      <c r="I49" s="296"/>
      <c r="J49" s="296"/>
      <c r="K49" s="296"/>
      <c r="L49" s="296"/>
      <c r="M49" s="296"/>
      <c r="N49" s="296"/>
      <c r="O49" s="296"/>
      <c r="P49" s="21"/>
      <c r="Q49" s="21"/>
      <c r="R49" s="21"/>
      <c r="S49" s="561"/>
      <c r="T49" s="493"/>
      <c r="U49" s="493"/>
      <c r="V49" s="493"/>
      <c r="W49" s="493"/>
      <c r="X49" s="23"/>
      <c r="Y49" s="23"/>
      <c r="Z49" s="23"/>
      <c r="AA49" s="23"/>
      <c r="AB49" s="162"/>
      <c r="AC49" s="162"/>
      <c r="AD49" s="162"/>
      <c r="AE49" s="162"/>
      <c r="AF49" s="162"/>
    </row>
    <row r="50" spans="2:32" x14ac:dyDescent="0.25">
      <c r="T50" s="493"/>
      <c r="U50" s="493"/>
      <c r="V50" s="493"/>
      <c r="W50" s="493"/>
      <c r="X50" s="23"/>
      <c r="Y50" s="23"/>
      <c r="Z50" s="23"/>
      <c r="AA50" s="23"/>
      <c r="AB50" s="162"/>
      <c r="AC50" s="162"/>
      <c r="AD50" s="162"/>
      <c r="AE50" s="162"/>
      <c r="AF50" s="162"/>
    </row>
    <row r="51" spans="2:32" x14ac:dyDescent="0.25">
      <c r="T51" s="493"/>
      <c r="U51" s="493"/>
      <c r="V51" s="493"/>
      <c r="W51" s="493"/>
      <c r="X51" s="23"/>
      <c r="Y51" s="23"/>
      <c r="Z51" s="23"/>
      <c r="AA51" s="23"/>
      <c r="AB51" s="162"/>
      <c r="AC51" s="162"/>
      <c r="AD51" s="162"/>
      <c r="AE51" s="162"/>
      <c r="AF51" s="162"/>
    </row>
    <row r="52" spans="2:32" x14ac:dyDescent="0.25">
      <c r="T52" s="502"/>
      <c r="U52" s="502"/>
      <c r="V52" s="502"/>
      <c r="W52" s="502"/>
      <c r="X52" s="23"/>
      <c r="Y52" s="23"/>
      <c r="Z52" s="23"/>
      <c r="AA52" s="23"/>
      <c r="AB52" s="162"/>
      <c r="AC52" s="162"/>
      <c r="AD52" s="162"/>
      <c r="AE52" s="162"/>
      <c r="AF52" s="162"/>
    </row>
    <row r="53" spans="2:32" x14ac:dyDescent="0.25">
      <c r="T53" s="502"/>
      <c r="U53" s="502"/>
      <c r="V53" s="502"/>
      <c r="W53" s="502"/>
      <c r="X53" s="23"/>
      <c r="Y53" s="23"/>
      <c r="Z53" s="23"/>
      <c r="AA53" s="23"/>
      <c r="AB53" s="162"/>
      <c r="AC53" s="162"/>
      <c r="AD53" s="162"/>
      <c r="AE53" s="162"/>
      <c r="AF53" s="162"/>
    </row>
    <row r="54" spans="2:32" x14ac:dyDescent="0.25">
      <c r="T54" s="502"/>
      <c r="U54" s="502"/>
      <c r="V54" s="502"/>
      <c r="W54" s="502"/>
      <c r="X54" s="23"/>
      <c r="Y54" s="23"/>
      <c r="Z54" s="23"/>
      <c r="AA54" s="23"/>
      <c r="AB54" s="162"/>
      <c r="AC54" s="162"/>
      <c r="AD54" s="162"/>
      <c r="AE54" s="162"/>
      <c r="AF54" s="162"/>
    </row>
    <row r="55" spans="2:32" x14ac:dyDescent="0.25">
      <c r="T55" s="502"/>
      <c r="U55" s="502"/>
      <c r="V55" s="502"/>
      <c r="W55" s="502"/>
      <c r="X55" s="23"/>
      <c r="Y55" s="23"/>
      <c r="Z55" s="23"/>
      <c r="AA55" s="23"/>
      <c r="AB55" s="162"/>
      <c r="AC55" s="162"/>
      <c r="AD55" s="162"/>
      <c r="AE55" s="162"/>
      <c r="AF55" s="162"/>
    </row>
    <row r="56" spans="2:32" x14ac:dyDescent="0.25">
      <c r="T56" s="502"/>
      <c r="U56" s="502"/>
      <c r="V56" s="502"/>
      <c r="W56" s="502"/>
      <c r="X56" s="23"/>
      <c r="Y56" s="23"/>
      <c r="Z56" s="23"/>
      <c r="AA56" s="23"/>
      <c r="AB56" s="162"/>
      <c r="AC56" s="162"/>
      <c r="AD56" s="162"/>
      <c r="AE56" s="162"/>
      <c r="AF56" s="162"/>
    </row>
    <row r="57" spans="2:32" x14ac:dyDescent="0.25">
      <c r="T57" s="502"/>
      <c r="U57" s="502"/>
      <c r="V57" s="502"/>
      <c r="W57" s="502"/>
      <c r="X57" s="23"/>
      <c r="Y57" s="23"/>
      <c r="Z57" s="23"/>
      <c r="AA57" s="23"/>
      <c r="AB57" s="162"/>
      <c r="AC57" s="162"/>
      <c r="AD57" s="162"/>
      <c r="AE57" s="162"/>
      <c r="AF57" s="162"/>
    </row>
    <row r="58" spans="2:32" x14ac:dyDescent="0.25">
      <c r="T58" s="502"/>
      <c r="U58" s="502"/>
      <c r="V58" s="502"/>
      <c r="W58" s="502"/>
      <c r="X58" s="23"/>
      <c r="Y58" s="23"/>
      <c r="Z58" s="23"/>
      <c r="AA58" s="23"/>
      <c r="AB58" s="162"/>
      <c r="AC58" s="162"/>
      <c r="AD58" s="162"/>
      <c r="AE58" s="162"/>
      <c r="AF58" s="162"/>
    </row>
    <row r="59" spans="2:32" x14ac:dyDescent="0.25">
      <c r="B59" s="21"/>
      <c r="C59" s="21"/>
      <c r="D59" s="296"/>
      <c r="E59" s="296"/>
      <c r="F59" s="296"/>
      <c r="G59" s="296"/>
      <c r="H59" s="296"/>
      <c r="I59" s="21"/>
      <c r="J59" s="21"/>
      <c r="K59" s="21"/>
      <c r="L59" s="21"/>
      <c r="M59" s="21"/>
      <c r="N59" s="21"/>
      <c r="O59" s="562"/>
      <c r="P59" s="21"/>
      <c r="Q59" s="21"/>
      <c r="R59" s="21"/>
      <c r="S59" s="561"/>
      <c r="T59" s="502"/>
      <c r="U59" s="502"/>
      <c r="V59" s="502"/>
      <c r="W59" s="502"/>
      <c r="X59" s="23"/>
      <c r="Y59" s="23"/>
      <c r="Z59" s="23"/>
      <c r="AA59" s="23"/>
      <c r="AB59" s="162"/>
      <c r="AC59" s="162"/>
      <c r="AD59" s="162"/>
      <c r="AE59" s="162"/>
      <c r="AF59" s="162"/>
    </row>
    <row r="60" spans="2:32" x14ac:dyDescent="0.25">
      <c r="B60" s="21"/>
      <c r="C60" s="21"/>
      <c r="D60" s="296"/>
      <c r="E60" s="296"/>
      <c r="F60" s="296"/>
      <c r="G60" s="296"/>
      <c r="H60" s="296"/>
      <c r="I60" s="21"/>
      <c r="J60" s="21"/>
      <c r="K60" s="21"/>
      <c r="L60" s="21"/>
      <c r="M60" s="21"/>
      <c r="N60" s="21"/>
      <c r="O60" s="562"/>
      <c r="P60" s="21"/>
      <c r="Q60" s="21"/>
      <c r="R60" s="21"/>
      <c r="S60" s="561"/>
      <c r="T60" s="502"/>
      <c r="U60" s="502"/>
      <c r="V60" s="502"/>
      <c r="W60" s="502"/>
      <c r="X60" s="23"/>
      <c r="Y60" s="23"/>
      <c r="Z60" s="23"/>
      <c r="AA60" s="23"/>
      <c r="AB60" s="162"/>
      <c r="AC60" s="162"/>
      <c r="AD60" s="162"/>
      <c r="AE60" s="162"/>
      <c r="AF60" s="162"/>
    </row>
    <row r="61" spans="2:32" x14ac:dyDescent="0.25">
      <c r="B61" s="22"/>
      <c r="C61" s="22"/>
      <c r="D61" s="22"/>
      <c r="E61" s="22"/>
      <c r="F61" s="22"/>
      <c r="G61" s="22"/>
      <c r="H61" s="22"/>
      <c r="I61" s="22"/>
      <c r="J61" s="22"/>
      <c r="K61" s="22"/>
      <c r="L61" s="22"/>
      <c r="M61" s="22"/>
      <c r="N61" s="23"/>
      <c r="P61" s="23"/>
      <c r="Q61" s="23"/>
      <c r="R61" s="22"/>
      <c r="S61" s="502"/>
      <c r="T61" s="502"/>
      <c r="U61" s="502"/>
      <c r="V61" s="502"/>
      <c r="W61" s="502"/>
      <c r="X61" s="23"/>
      <c r="Y61" s="23"/>
      <c r="Z61" s="23"/>
      <c r="AA61" s="23"/>
      <c r="AB61" s="162"/>
      <c r="AC61" s="162"/>
      <c r="AD61" s="162"/>
      <c r="AE61" s="162"/>
      <c r="AF61" s="162"/>
    </row>
    <row r="62" spans="2:32" x14ac:dyDescent="0.25">
      <c r="B62" s="22"/>
      <c r="C62" s="22"/>
      <c r="D62" s="22"/>
      <c r="E62" s="22"/>
      <c r="F62" s="22"/>
      <c r="G62" s="22"/>
      <c r="H62" s="328"/>
      <c r="I62" s="328"/>
      <c r="J62" s="328"/>
      <c r="K62" s="22"/>
      <c r="L62" s="22"/>
      <c r="M62" s="22"/>
      <c r="N62" s="23"/>
      <c r="P62" s="23"/>
      <c r="Q62" s="23"/>
      <c r="R62" s="22"/>
      <c r="S62" s="22"/>
      <c r="T62" s="22"/>
      <c r="U62" s="22"/>
      <c r="V62" s="22"/>
      <c r="W62" s="22"/>
      <c r="X62" s="23"/>
      <c r="Y62" s="23"/>
      <c r="Z62" s="23"/>
      <c r="AA62" s="23"/>
      <c r="AB62" s="162"/>
      <c r="AC62" s="162"/>
      <c r="AD62" s="162"/>
      <c r="AE62" s="162"/>
      <c r="AF62" s="162"/>
    </row>
    <row r="63" spans="2:32" x14ac:dyDescent="0.25">
      <c r="B63" s="23"/>
      <c r="C63" s="23"/>
      <c r="D63" s="23"/>
      <c r="E63" s="23"/>
      <c r="F63" s="23"/>
      <c r="G63" s="23"/>
      <c r="H63" s="328"/>
      <c r="I63" s="328"/>
      <c r="J63" s="495"/>
      <c r="K63" s="23"/>
      <c r="L63" s="23"/>
      <c r="M63" s="23"/>
      <c r="N63" s="23"/>
      <c r="P63" s="23"/>
      <c r="Q63" s="23"/>
      <c r="R63" s="22"/>
      <c r="S63" s="22"/>
      <c r="T63" s="22"/>
      <c r="U63" s="22"/>
      <c r="V63" s="22"/>
      <c r="W63" s="22"/>
      <c r="X63" s="23"/>
      <c r="Y63" s="23"/>
      <c r="Z63" s="23"/>
      <c r="AA63" s="23"/>
      <c r="AB63" s="162"/>
      <c r="AC63" s="162"/>
      <c r="AD63" s="162"/>
      <c r="AE63" s="162"/>
      <c r="AF63" s="162"/>
    </row>
    <row r="64" spans="2:32" x14ac:dyDescent="0.25">
      <c r="B64" s="23"/>
      <c r="C64" s="23"/>
      <c r="D64" s="23"/>
      <c r="E64" s="23"/>
      <c r="F64" s="23"/>
      <c r="G64" s="23"/>
      <c r="H64" s="328"/>
      <c r="I64" s="328"/>
      <c r="J64" s="495"/>
      <c r="K64" s="23"/>
      <c r="L64" s="23"/>
      <c r="M64" s="23"/>
      <c r="N64" s="23"/>
      <c r="P64" s="23"/>
      <c r="Q64" s="23"/>
      <c r="R64" s="23"/>
      <c r="S64" s="23"/>
      <c r="T64" s="23"/>
      <c r="U64" s="23"/>
      <c r="V64" s="23"/>
      <c r="W64" s="23"/>
      <c r="X64" s="23"/>
      <c r="Y64" s="23"/>
      <c r="Z64" s="23"/>
      <c r="AA64" s="23"/>
      <c r="AB64" s="162"/>
      <c r="AC64" s="162"/>
      <c r="AD64" s="162"/>
      <c r="AE64" s="162"/>
      <c r="AF64" s="162"/>
    </row>
    <row r="65" spans="2:32" x14ac:dyDescent="0.25">
      <c r="B65" s="23"/>
      <c r="C65" s="23"/>
      <c r="D65" s="23"/>
      <c r="E65" s="23"/>
      <c r="F65" s="23"/>
      <c r="G65" s="23"/>
      <c r="H65" s="328"/>
      <c r="I65" s="328"/>
      <c r="J65" s="495"/>
      <c r="K65" s="23"/>
      <c r="L65" s="23"/>
      <c r="M65" s="23"/>
      <c r="N65" s="23"/>
      <c r="P65" s="23"/>
      <c r="Q65" s="23"/>
      <c r="R65" s="23"/>
      <c r="S65" s="23"/>
      <c r="T65" s="23"/>
      <c r="U65" s="23"/>
      <c r="V65" s="23"/>
      <c r="W65" s="23"/>
      <c r="X65" s="23"/>
      <c r="Y65" s="23"/>
      <c r="Z65" s="23"/>
      <c r="AA65" s="23"/>
      <c r="AB65" s="162"/>
      <c r="AC65" s="162"/>
      <c r="AD65" s="162"/>
      <c r="AE65" s="162"/>
      <c r="AF65" s="162"/>
    </row>
    <row r="66" spans="2:32" x14ac:dyDescent="0.25">
      <c r="B66" s="23"/>
      <c r="C66" s="23"/>
      <c r="D66" s="23"/>
      <c r="E66" s="23"/>
      <c r="F66" s="23"/>
      <c r="G66" s="23"/>
      <c r="H66" s="23"/>
      <c r="I66" s="23"/>
      <c r="J66" s="23"/>
      <c r="K66" s="23"/>
      <c r="L66" s="23"/>
      <c r="M66" s="23"/>
      <c r="N66" s="23"/>
      <c r="P66" s="23"/>
      <c r="Q66" s="23"/>
      <c r="R66" s="22"/>
      <c r="S66" s="22"/>
      <c r="T66" s="22"/>
      <c r="U66" s="22"/>
      <c r="V66" s="22"/>
      <c r="W66" s="22"/>
      <c r="X66" s="22"/>
      <c r="Y66" s="23"/>
      <c r="Z66" s="23"/>
      <c r="AA66" s="23"/>
      <c r="AB66" s="162"/>
      <c r="AC66" s="162"/>
      <c r="AD66" s="162"/>
      <c r="AE66" s="162"/>
      <c r="AF66" s="162"/>
    </row>
    <row r="67" spans="2:32" x14ac:dyDescent="0.25">
      <c r="B67" s="23"/>
      <c r="C67" s="23"/>
      <c r="D67" s="23"/>
      <c r="E67" s="23"/>
      <c r="F67" s="23"/>
      <c r="G67" s="23"/>
      <c r="H67" s="23"/>
      <c r="I67" s="23"/>
      <c r="J67" s="23"/>
      <c r="K67" s="23"/>
      <c r="L67" s="23"/>
      <c r="M67" s="23"/>
      <c r="N67" s="23"/>
      <c r="P67" s="23"/>
      <c r="Q67" s="23"/>
      <c r="R67" s="22"/>
      <c r="S67" s="22"/>
      <c r="T67" s="22"/>
      <c r="U67" s="22"/>
      <c r="V67" s="22"/>
      <c r="W67" s="22"/>
      <c r="X67" s="22"/>
      <c r="Y67" s="23"/>
      <c r="Z67" s="23"/>
      <c r="AA67" s="23"/>
      <c r="AB67" s="162"/>
      <c r="AC67" s="162"/>
      <c r="AD67" s="162"/>
      <c r="AE67" s="162"/>
      <c r="AF67" s="162"/>
    </row>
    <row r="68" spans="2:32" x14ac:dyDescent="0.25">
      <c r="B68" s="23"/>
      <c r="C68" s="23"/>
      <c r="D68" s="23"/>
      <c r="E68" s="23"/>
      <c r="F68" s="23"/>
      <c r="G68" s="23"/>
      <c r="H68" s="23"/>
      <c r="I68" s="23"/>
      <c r="J68" s="23"/>
      <c r="K68" s="23"/>
      <c r="L68" s="23"/>
      <c r="M68" s="23"/>
      <c r="N68" s="23"/>
      <c r="P68" s="23"/>
      <c r="Q68" s="23"/>
      <c r="R68" s="23"/>
      <c r="S68" s="23"/>
      <c r="T68" s="23"/>
      <c r="U68" s="23"/>
      <c r="V68" s="23"/>
      <c r="W68" s="23"/>
      <c r="X68" s="23"/>
      <c r="Y68" s="23"/>
      <c r="Z68" s="23"/>
      <c r="AA68" s="23"/>
      <c r="AB68" s="162"/>
      <c r="AC68" s="162"/>
      <c r="AD68" s="162"/>
      <c r="AE68" s="162"/>
      <c r="AF68" s="162"/>
    </row>
    <row r="69" spans="2:32" x14ac:dyDescent="0.25">
      <c r="B69" s="23"/>
      <c r="C69" s="23"/>
      <c r="D69" s="23"/>
      <c r="E69" s="23"/>
      <c r="F69" s="23"/>
      <c r="G69" s="23"/>
      <c r="H69" s="23"/>
      <c r="I69" s="23"/>
      <c r="J69" s="23"/>
      <c r="K69" s="23"/>
      <c r="L69" s="23"/>
      <c r="M69" s="23"/>
      <c r="N69" s="23"/>
      <c r="P69" s="23"/>
      <c r="Q69" s="23"/>
      <c r="R69" s="23"/>
      <c r="S69" s="23"/>
      <c r="T69" s="23"/>
      <c r="U69" s="23"/>
      <c r="V69" s="23"/>
      <c r="W69" s="23"/>
      <c r="X69" s="23"/>
      <c r="Y69" s="23"/>
      <c r="Z69" s="23"/>
      <c r="AA69" s="23"/>
      <c r="AB69" s="162"/>
      <c r="AC69" s="162"/>
      <c r="AD69" s="162"/>
      <c r="AE69" s="162"/>
      <c r="AF69" s="162"/>
    </row>
    <row r="70" spans="2:32" x14ac:dyDescent="0.25">
      <c r="B70" s="23"/>
      <c r="C70" s="23"/>
      <c r="D70" s="23"/>
      <c r="E70" s="23"/>
      <c r="F70" s="23"/>
      <c r="G70" s="23"/>
      <c r="H70" s="23"/>
      <c r="I70" s="23"/>
      <c r="J70" s="23"/>
      <c r="K70" s="23"/>
      <c r="L70" s="23"/>
      <c r="M70" s="23"/>
      <c r="N70" s="23"/>
      <c r="P70" s="23"/>
      <c r="Q70" s="23"/>
      <c r="R70" s="23"/>
      <c r="S70" s="23"/>
      <c r="T70" s="23"/>
      <c r="U70" s="23"/>
      <c r="V70" s="23"/>
      <c r="W70" s="23"/>
      <c r="X70" s="23"/>
      <c r="Y70" s="23"/>
      <c r="Z70" s="23"/>
      <c r="AA70" s="23"/>
      <c r="AB70" s="162"/>
      <c r="AC70" s="162"/>
      <c r="AD70" s="162"/>
      <c r="AE70" s="162"/>
      <c r="AF70" s="162"/>
    </row>
    <row r="71" spans="2:32" x14ac:dyDescent="0.25">
      <c r="B71" s="23"/>
      <c r="C71" s="23"/>
      <c r="D71" s="23"/>
      <c r="E71" s="23"/>
      <c r="F71" s="23"/>
      <c r="G71" s="23"/>
      <c r="H71" s="23"/>
      <c r="I71" s="23"/>
      <c r="J71" s="23"/>
      <c r="K71" s="23"/>
      <c r="L71" s="23"/>
      <c r="M71" s="23"/>
      <c r="N71" s="23"/>
      <c r="P71" s="23"/>
      <c r="Q71" s="23"/>
      <c r="R71" s="23"/>
      <c r="S71" s="23"/>
      <c r="T71" s="23"/>
      <c r="U71" s="23"/>
      <c r="V71" s="23"/>
      <c r="W71" s="23"/>
      <c r="X71" s="23"/>
      <c r="Y71" s="23"/>
      <c r="Z71" s="23"/>
      <c r="AA71" s="23"/>
      <c r="AB71" s="162"/>
      <c r="AC71" s="162"/>
      <c r="AD71" s="162"/>
      <c r="AE71" s="162"/>
      <c r="AF71" s="162"/>
    </row>
    <row r="72" spans="2:32" x14ac:dyDescent="0.25">
      <c r="B72" s="23"/>
      <c r="C72" s="23"/>
      <c r="D72" s="23"/>
      <c r="E72" s="23"/>
      <c r="F72" s="23"/>
      <c r="G72" s="23"/>
      <c r="H72" s="23"/>
      <c r="I72" s="23"/>
      <c r="J72" s="23"/>
      <c r="K72" s="23"/>
      <c r="L72" s="23"/>
      <c r="M72" s="23"/>
      <c r="N72" s="23"/>
      <c r="P72" s="23"/>
      <c r="Q72" s="23"/>
      <c r="R72" s="23"/>
      <c r="S72" s="23"/>
      <c r="T72" s="23"/>
      <c r="U72" s="23"/>
      <c r="V72" s="23"/>
      <c r="W72" s="23"/>
      <c r="X72" s="23"/>
      <c r="Y72" s="23"/>
      <c r="Z72" s="23"/>
      <c r="AA72" s="23"/>
      <c r="AB72" s="162"/>
      <c r="AC72" s="162"/>
      <c r="AD72" s="162"/>
      <c r="AE72" s="162"/>
      <c r="AF72" s="162"/>
    </row>
    <row r="73" spans="2:32" x14ac:dyDescent="0.25">
      <c r="B73" s="23"/>
      <c r="C73" s="23"/>
      <c r="D73" s="23"/>
      <c r="E73" s="23"/>
      <c r="F73" s="23"/>
      <c r="G73" s="23"/>
      <c r="H73" s="23"/>
      <c r="I73" s="23"/>
      <c r="J73" s="23"/>
      <c r="K73" s="23"/>
      <c r="L73" s="23"/>
      <c r="M73" s="23"/>
      <c r="N73" s="23"/>
      <c r="P73" s="23"/>
      <c r="Q73" s="23"/>
      <c r="R73" s="23"/>
      <c r="S73" s="23"/>
      <c r="T73" s="23"/>
      <c r="U73" s="23"/>
      <c r="V73" s="23"/>
      <c r="W73" s="23"/>
      <c r="X73" s="23"/>
      <c r="Y73" s="23"/>
      <c r="Z73" s="23"/>
      <c r="AA73" s="23"/>
      <c r="AB73" s="162"/>
      <c r="AC73" s="162"/>
      <c r="AD73" s="162"/>
      <c r="AE73" s="162"/>
      <c r="AF73" s="162"/>
    </row>
    <row r="74" spans="2:32" x14ac:dyDescent="0.25">
      <c r="B74" s="23"/>
      <c r="C74" s="23"/>
      <c r="D74" s="23"/>
      <c r="E74" s="23"/>
      <c r="F74" s="23"/>
      <c r="G74" s="23"/>
      <c r="H74" s="23"/>
      <c r="I74" s="23"/>
      <c r="J74" s="23"/>
      <c r="K74" s="23"/>
      <c r="L74" s="23"/>
      <c r="M74" s="23"/>
      <c r="N74" s="23"/>
      <c r="P74" s="23"/>
      <c r="Q74" s="23"/>
      <c r="R74" s="23"/>
      <c r="S74" s="23"/>
      <c r="T74" s="23"/>
      <c r="U74" s="23"/>
      <c r="V74" s="23"/>
      <c r="W74" s="23"/>
      <c r="X74" s="23"/>
      <c r="Y74" s="23"/>
      <c r="Z74" s="23"/>
      <c r="AA74" s="23"/>
      <c r="AB74" s="162"/>
      <c r="AC74" s="162"/>
      <c r="AD74" s="162"/>
      <c r="AE74" s="162"/>
      <c r="AF74" s="162"/>
    </row>
    <row r="75" spans="2:32" x14ac:dyDescent="0.25">
      <c r="B75" s="23"/>
      <c r="C75" s="23"/>
      <c r="D75" s="23"/>
      <c r="E75" s="23"/>
      <c r="F75" s="23"/>
      <c r="G75" s="23"/>
      <c r="H75" s="23"/>
      <c r="I75" s="23"/>
      <c r="J75" s="23"/>
      <c r="K75" s="23"/>
      <c r="L75" s="23"/>
      <c r="M75" s="23"/>
      <c r="N75" s="23"/>
      <c r="P75" s="23"/>
      <c r="Q75" s="23"/>
      <c r="R75" s="23"/>
      <c r="S75" s="23"/>
      <c r="T75" s="23"/>
      <c r="U75" s="23"/>
      <c r="V75" s="23"/>
      <c r="W75" s="23"/>
      <c r="X75" s="23"/>
      <c r="Y75" s="23"/>
      <c r="Z75" s="23"/>
      <c r="AA75" s="23"/>
    </row>
    <row r="76" spans="2:32" x14ac:dyDescent="0.25">
      <c r="B76" s="23"/>
      <c r="C76" s="23"/>
      <c r="D76" s="23"/>
      <c r="E76" s="23"/>
      <c r="F76" s="23"/>
      <c r="G76" s="23"/>
      <c r="H76" s="23"/>
      <c r="I76" s="23"/>
      <c r="J76" s="23"/>
      <c r="K76" s="23"/>
      <c r="L76" s="23"/>
      <c r="M76" s="23"/>
      <c r="N76" s="23"/>
      <c r="P76" s="23"/>
      <c r="Q76" s="23"/>
      <c r="R76" s="23"/>
      <c r="S76" s="23"/>
      <c r="T76" s="23"/>
      <c r="U76" s="23"/>
      <c r="V76" s="23"/>
      <c r="W76" s="23"/>
      <c r="X76" s="23"/>
      <c r="Y76" s="23"/>
      <c r="Z76" s="23"/>
      <c r="AA76" s="23"/>
    </row>
    <row r="77" spans="2:32" x14ac:dyDescent="0.25">
      <c r="B77" s="23"/>
      <c r="C77" s="23"/>
      <c r="D77" s="23"/>
      <c r="E77" s="23"/>
      <c r="F77" s="23"/>
      <c r="G77" s="23"/>
      <c r="H77" s="23"/>
      <c r="I77" s="23"/>
      <c r="J77" s="23"/>
      <c r="K77" s="23"/>
      <c r="L77" s="23"/>
      <c r="M77" s="23"/>
      <c r="N77" s="23"/>
      <c r="P77" s="23"/>
      <c r="Q77" s="23"/>
      <c r="R77" s="23"/>
      <c r="S77" s="23"/>
      <c r="T77" s="23"/>
      <c r="U77" s="23"/>
      <c r="V77" s="23"/>
      <c r="W77" s="23"/>
      <c r="X77" s="23"/>
      <c r="Y77" s="23"/>
      <c r="Z77" s="23"/>
      <c r="AA77" s="23"/>
    </row>
    <row r="78" spans="2:32" x14ac:dyDescent="0.25">
      <c r="B78" s="23"/>
      <c r="C78" s="1"/>
      <c r="D78" s="23"/>
      <c r="E78" s="23"/>
      <c r="F78" s="23"/>
      <c r="G78" s="23"/>
      <c r="H78" s="23"/>
      <c r="I78" s="23"/>
      <c r="J78" s="23"/>
      <c r="K78" s="23"/>
      <c r="L78" s="23"/>
      <c r="M78" s="23"/>
      <c r="N78" s="23"/>
      <c r="P78" s="23"/>
      <c r="Q78" s="23"/>
      <c r="R78" s="23"/>
      <c r="S78" s="23"/>
      <c r="T78" s="23"/>
      <c r="U78" s="23"/>
      <c r="V78" s="23"/>
      <c r="W78" s="23"/>
      <c r="X78" s="23"/>
      <c r="Y78" s="23"/>
      <c r="Z78" s="23"/>
      <c r="AA78" s="23"/>
    </row>
    <row r="100" spans="2:19" x14ac:dyDescent="0.25">
      <c r="B100" s="908" t="s">
        <v>177</v>
      </c>
      <c r="C100" s="909"/>
      <c r="D100" s="909"/>
      <c r="E100" s="909"/>
      <c r="F100" s="909"/>
      <c r="G100" s="910"/>
      <c r="H100" s="222"/>
      <c r="I100" s="222"/>
      <c r="J100" s="222"/>
      <c r="K100" s="222"/>
      <c r="L100" s="222"/>
      <c r="M100" s="222"/>
      <c r="N100" s="908" t="s">
        <v>177</v>
      </c>
      <c r="O100" s="909"/>
      <c r="P100" s="909"/>
      <c r="Q100" s="909"/>
      <c r="R100" s="909"/>
      <c r="S100" s="910"/>
    </row>
    <row r="101" spans="2:19" x14ac:dyDescent="0.25">
      <c r="B101" s="861" t="s">
        <v>7</v>
      </c>
      <c r="C101" s="273" t="str">
        <f ca="1">C4</f>
        <v>Jan</v>
      </c>
      <c r="D101" s="273" t="str">
        <f ca="1">D4</f>
        <v>Feb</v>
      </c>
      <c r="E101" s="273" t="str">
        <f ca="1">E4</f>
        <v>Mar</v>
      </c>
      <c r="F101" s="273" t="str">
        <f ca="1">F4</f>
        <v>Apr</v>
      </c>
      <c r="G101" s="862" t="s">
        <v>158</v>
      </c>
      <c r="H101" s="222"/>
      <c r="I101" s="222"/>
      <c r="J101" s="222"/>
      <c r="K101" s="222"/>
      <c r="L101" s="222"/>
      <c r="M101" s="222"/>
      <c r="N101" s="861" t="s">
        <v>7</v>
      </c>
      <c r="O101" s="273" t="str">
        <f ca="1">O4</f>
        <v>Jan</v>
      </c>
      <c r="P101" s="273" t="str">
        <f ca="1">P4</f>
        <v>Feb</v>
      </c>
      <c r="Q101" s="273" t="str">
        <f ca="1">Q4</f>
        <v>Mar</v>
      </c>
      <c r="R101" s="273" t="str">
        <f ca="1">R4</f>
        <v>Apr</v>
      </c>
      <c r="S101" s="862" t="s">
        <v>158</v>
      </c>
    </row>
    <row r="102" spans="2:19" x14ac:dyDescent="0.25">
      <c r="B102" s="861" t="str">
        <f ca="1">$B$5</f>
        <v>16/17</v>
      </c>
      <c r="C102" s="863">
        <f ca="1">IFERROR(VLOOKUP(_xlfn.CONCAT($B$1,$C$2,M_BRAND_FC!$K$3,$B102,C$18),HIS_SALES!$B$2:$L$5093,11,FALSE),0)</f>
        <v>3.0125623852927901</v>
      </c>
      <c r="D102" s="863">
        <f ca="1">IFERROR(VLOOKUP(_xlfn.CONCAT($B$1,$C$2,M_BRAND_FC!$K$3,$B102,D$18),HIS_SALES!$B$2:$L$5093,11,FALSE),0)</f>
        <v>3.0243576953251599</v>
      </c>
      <c r="E102" s="863">
        <f ca="1">IFERROR(VLOOKUP(_xlfn.CONCAT($B$1,$C$2,M_BRAND_FC!$K$3,$B102,E$18),HIS_SALES!$B$2:$L$5093,11,FALSE),0)</f>
        <v>3.1184687312907098</v>
      </c>
      <c r="F102" s="863">
        <f ca="1">IFERROR(VLOOKUP(_xlfn.CONCAT($B$1,$C$2,M_BRAND_FC!$K$3,$B102,F$18),HIS_SALES!$B$2:$L$5093,11,FALSE),0)</f>
        <v>2.9987116409685202</v>
      </c>
      <c r="G102" s="864">
        <f ca="1">AVERAGE(C102:F102)</f>
        <v>3.0385251132192952</v>
      </c>
      <c r="H102" s="222"/>
      <c r="I102" s="222"/>
      <c r="J102" s="222"/>
      <c r="K102" s="222"/>
      <c r="L102" s="222"/>
      <c r="M102" s="222"/>
      <c r="N102" s="861" t="str">
        <f ca="1">$B$5</f>
        <v>16/17</v>
      </c>
      <c r="O102" s="863">
        <f ca="1">IFERROR(VLOOKUP(_xlfn.CONCAT($B$1,$O$2,M_BRAND_FC!$K$3,$B102,O$18),HIS_SALES!$B$2:$L$5093,11,FALSE),0)</f>
        <v>3.2730277591195498</v>
      </c>
      <c r="P102" s="863">
        <f ca="1">IFERROR(VLOOKUP(_xlfn.CONCAT($B$1,$O$2,M_BRAND_FC!$K$3,$B102,P$18),HIS_SALES!$B$2:$L$5093,11,FALSE),0)</f>
        <v>3.1728412673997699</v>
      </c>
      <c r="Q102" s="863">
        <f ca="1">IFERROR(VLOOKUP(_xlfn.CONCAT($B$1,$O$2,M_BRAND_FC!$K$3,$B102,Q$18),HIS_SALES!$B$2:$L$5093,11,FALSE),0)</f>
        <v>3.17848698046136</v>
      </c>
      <c r="R102" s="863">
        <f ca="1">IFERROR(VLOOKUP(_xlfn.CONCAT($B$1,$O$2,M_BRAND_FC!$K$3,$B102,R$18),HIS_SALES!$B$2:$L$5093,11,FALSE),0)</f>
        <v>3.17070682206956</v>
      </c>
      <c r="S102" s="864">
        <f ca="1">AVERAGE(O102:R102)</f>
        <v>3.1987657072625599</v>
      </c>
    </row>
    <row r="103" spans="2:19" x14ac:dyDescent="0.25">
      <c r="B103" s="861" t="str">
        <f ca="1">$B$6</f>
        <v>17/18</v>
      </c>
      <c r="C103" s="863">
        <f ca="1">IFERROR(VLOOKUP(_xlfn.CONCAT($B$1,$C$2,M_BRAND_FC!$K$3,$B103,C$18),HIS_SALES!$B$2:$L$5093,11,FALSE),0)</f>
        <v>2.9603239754051698</v>
      </c>
      <c r="D103" s="863">
        <f ca="1">IFERROR(VLOOKUP(_xlfn.CONCAT($B$1,$C$2,M_BRAND_FC!$K$3,$B103,D$18),HIS_SALES!$B$2:$L$5093,11,FALSE),0)</f>
        <v>3.0873270837561999</v>
      </c>
      <c r="E103" s="863">
        <f ca="1">IFERROR(VLOOKUP(_xlfn.CONCAT($B$1,$C$2,M_BRAND_FC!$K$3,$B103,E$18),HIS_SALES!$B$2:$L$5093,11,FALSE),0)</f>
        <v>3.09628674352563</v>
      </c>
      <c r="F103" s="863">
        <f ca="1">IFERROR(VLOOKUP(_xlfn.CONCAT($B$1,$C$2,M_BRAND_FC!$K$3,$B103,F$18),HIS_SALES!$B$2:$L$5093,11,FALSE),0)</f>
        <v>3.0759603198686398</v>
      </c>
      <c r="G103" s="864">
        <f t="shared" ref="G103:G104" ca="1" si="12">AVERAGE(C103:F103)</f>
        <v>3.0549745306389098</v>
      </c>
      <c r="H103" s="222"/>
      <c r="I103" s="25"/>
      <c r="J103" s="25"/>
      <c r="K103" s="25"/>
      <c r="L103" s="25"/>
      <c r="M103" s="25"/>
      <c r="N103" s="861" t="str">
        <f ca="1">$B$6</f>
        <v>17/18</v>
      </c>
      <c r="O103" s="863">
        <f ca="1">IFERROR(VLOOKUP(_xlfn.CONCAT($B$1,$O$2,M_BRAND_FC!$K$3,$B103,O$18),HIS_SALES!$B$2:$L$5093,11,FALSE),0)</f>
        <v>2.7161009095005899</v>
      </c>
      <c r="P103" s="863">
        <f ca="1">IFERROR(VLOOKUP(_xlfn.CONCAT($B$1,$O$2,M_BRAND_FC!$K$3,$B103,P$18),HIS_SALES!$B$2:$L$5093,11,FALSE),0)</f>
        <v>3.1729053513084402</v>
      </c>
      <c r="Q103" s="863">
        <f ca="1">IFERROR(VLOOKUP(_xlfn.CONCAT($B$1,$O$2,M_BRAND_FC!$K$3,$B103,Q$18),HIS_SALES!$B$2:$L$5093,11,FALSE),0)</f>
        <v>3.10306831073013</v>
      </c>
      <c r="R103" s="863">
        <f ca="1">IFERROR(VLOOKUP(_xlfn.CONCAT($B$1,$O$2,M_BRAND_FC!$K$3,$B103,R$18),HIS_SALES!$B$2:$L$5093,11,FALSE),0)</f>
        <v>3.10801782024128</v>
      </c>
      <c r="S103" s="864">
        <f t="shared" ref="S103:S104" ca="1" si="13">AVERAGE(O103:R103)</f>
        <v>3.0250230979451098</v>
      </c>
    </row>
    <row r="104" spans="2:19" x14ac:dyDescent="0.25">
      <c r="B104" s="861" t="str">
        <f ca="1">$B$7</f>
        <v>18/19</v>
      </c>
      <c r="C104" s="863">
        <f ca="1">IFERROR(VLOOKUP(_xlfn.CONCAT($B$1,$C$2,M_BRAND_FC!$K$3,$B104,C$18),HIS_SALES!$B$2:$L$5093,11,FALSE),0)</f>
        <v>0</v>
      </c>
      <c r="D104" s="863">
        <f ca="1">IFERROR(VLOOKUP(_xlfn.CONCAT($B$1,$C$2,M_BRAND_FC!$K$3,$B104,D$18),HIS_SALES!$B$2:$L$5093,11,FALSE),0)</f>
        <v>0</v>
      </c>
      <c r="E104" s="863">
        <f ca="1">IFERROR(VLOOKUP(_xlfn.CONCAT($B$1,$C$2,M_BRAND_FC!$K$3,$B104,E$18),HIS_SALES!$B$2:$L$5093,11,FALSE),0)</f>
        <v>0</v>
      </c>
      <c r="F104" s="863">
        <f ca="1">IFERROR(VLOOKUP(_xlfn.CONCAT($B$1,$C$2,M_BRAND_FC!$K$3,$B104,F$18),HIS_SALES!$B$2:$L$5093,11,FALSE),0)</f>
        <v>0</v>
      </c>
      <c r="G104" s="864">
        <f t="shared" ca="1" si="12"/>
        <v>0</v>
      </c>
      <c r="H104" s="222"/>
      <c r="I104" s="25"/>
      <c r="J104" s="25"/>
      <c r="K104" s="25"/>
      <c r="L104" s="25"/>
      <c r="M104" s="25"/>
      <c r="N104" s="861" t="str">
        <f ca="1">$B$7</f>
        <v>18/19</v>
      </c>
      <c r="O104" s="863">
        <f ca="1">IFERROR(VLOOKUP(_xlfn.CONCAT($B$1,$O$2,M_BRAND_FC!$K$3,$B104,O$18),HIS_SALES!$B$2:$L$5093,11,FALSE),0)</f>
        <v>0</v>
      </c>
      <c r="P104" s="863">
        <f ca="1">IFERROR(VLOOKUP(_xlfn.CONCAT($B$1,$O$2,M_BRAND_FC!$K$3,$B104,P$18),HIS_SALES!$B$2:$L$5093,11,FALSE),0)</f>
        <v>0</v>
      </c>
      <c r="Q104" s="863">
        <f ca="1">IFERROR(VLOOKUP(_xlfn.CONCAT($B$1,$O$2,M_BRAND_FC!$K$3,$B104,Q$18),HIS_SALES!$B$2:$L$5093,11,FALSE),0)</f>
        <v>0</v>
      </c>
      <c r="R104" s="863">
        <f ca="1">IFERROR(VLOOKUP(_xlfn.CONCAT($B$1,$O$2,M_BRAND_FC!$K$3,$B104,R$18),HIS_SALES!$B$2:$L$5093,11,FALSE),0)</f>
        <v>0</v>
      </c>
      <c r="S104" s="864">
        <f t="shared" ca="1" si="13"/>
        <v>0</v>
      </c>
    </row>
    <row r="105" spans="2:19" x14ac:dyDescent="0.25">
      <c r="B105" s="911" t="s">
        <v>97</v>
      </c>
      <c r="C105" s="912"/>
      <c r="D105" s="912"/>
      <c r="E105" s="912"/>
      <c r="F105" s="912"/>
      <c r="G105" s="913"/>
      <c r="H105" s="222"/>
      <c r="I105" s="25"/>
      <c r="J105" s="25"/>
      <c r="K105" s="25"/>
      <c r="L105" s="25"/>
      <c r="M105" s="25"/>
      <c r="N105" s="911" t="s">
        <v>97</v>
      </c>
      <c r="O105" s="912"/>
      <c r="P105" s="912"/>
      <c r="Q105" s="912"/>
      <c r="R105" s="912"/>
      <c r="S105" s="913"/>
    </row>
    <row r="106" spans="2:19" x14ac:dyDescent="0.25">
      <c r="B106" s="865" t="str">
        <f ca="1">$B$9</f>
        <v>18/19 L.FC</v>
      </c>
      <c r="C106" s="866"/>
      <c r="D106" s="866"/>
      <c r="E106" s="866"/>
      <c r="F106" s="866"/>
      <c r="G106" s="867">
        <f>IFERROR(SUM(C106:F106),0)</f>
        <v>0</v>
      </c>
      <c r="H106" s="222"/>
      <c r="I106" s="25"/>
      <c r="J106" s="25"/>
      <c r="K106" s="25"/>
      <c r="L106" s="25"/>
      <c r="M106" s="25"/>
      <c r="N106" s="865" t="str">
        <f ca="1">$B$9</f>
        <v>18/19 L.FC</v>
      </c>
      <c r="O106" s="866"/>
      <c r="P106" s="866"/>
      <c r="Q106" s="866"/>
      <c r="R106" s="866"/>
      <c r="S106" s="867">
        <f>IFERROR(SUM(O106:R106),0)</f>
        <v>0</v>
      </c>
    </row>
    <row r="107" spans="2:19" x14ac:dyDescent="0.25">
      <c r="B107" s="861" t="str">
        <f ca="1">$B$10</f>
        <v>18/19</v>
      </c>
      <c r="C107" s="863"/>
      <c r="D107" s="863">
        <f ca="1">IF(D104&lt;&gt;0,D104,D103)</f>
        <v>3.0873270837561999</v>
      </c>
      <c r="E107" s="863">
        <f t="shared" ref="E107:F107" ca="1" si="14">IF(E104&lt;&gt;0,E104,E103)</f>
        <v>3.09628674352563</v>
      </c>
      <c r="F107" s="863">
        <f t="shared" ca="1" si="14"/>
        <v>3.0759603198686398</v>
      </c>
      <c r="G107" s="868">
        <f ca="1">IFERROR(C107,0)+IFERROR(D107,0)+IFERROR(E107,0)+IFERROR(F107,0)</f>
        <v>9.2595741471504702</v>
      </c>
      <c r="H107" s="222"/>
      <c r="I107" s="25"/>
      <c r="J107" s="25"/>
      <c r="K107" s="25"/>
      <c r="L107" s="25"/>
      <c r="M107" s="25"/>
      <c r="N107" s="861" t="str">
        <f ca="1">$B$10</f>
        <v>18/19</v>
      </c>
      <c r="O107" s="869"/>
      <c r="P107" s="863">
        <f ca="1">IF(P104&lt;&gt;0,P104,P103)</f>
        <v>3.1729053513084402</v>
      </c>
      <c r="Q107" s="863">
        <f t="shared" ref="Q107:R107" ca="1" si="15">IF(Q104&lt;&gt;0,Q104,Q103)</f>
        <v>3.10306831073013</v>
      </c>
      <c r="R107" s="863">
        <f t="shared" ca="1" si="15"/>
        <v>3.10801782024128</v>
      </c>
      <c r="S107" s="864">
        <f t="shared" ref="S107" ca="1" si="16">AVERAGE(O107:R107)</f>
        <v>3.1279971607599499</v>
      </c>
    </row>
    <row r="108" spans="2:19" x14ac:dyDescent="0.25">
      <c r="B108" s="870" t="str">
        <f>$B$11</f>
        <v>YoY GROWTH</v>
      </c>
      <c r="C108" s="871" t="str">
        <f>IF(C107=0,"-",(C107-C103)/C103)</f>
        <v>-</v>
      </c>
      <c r="D108" s="871">
        <f ca="1">IF(D107=0,"-",(D107-D103)/D103)</f>
        <v>0</v>
      </c>
      <c r="E108" s="871">
        <f ca="1">IF(E107=0,"-",(E107-E103)/E103)</f>
        <v>0</v>
      </c>
      <c r="F108" s="871">
        <f ca="1">IF(F107=0,"-",(F107-F103)/F103)</f>
        <v>0</v>
      </c>
      <c r="G108" s="872">
        <f ca="1">IFERROR((G107-G103)/G103,"-")</f>
        <v>2.0309824367713945</v>
      </c>
      <c r="H108" s="222"/>
      <c r="I108" s="25"/>
      <c r="J108" s="25"/>
      <c r="K108" s="25"/>
      <c r="L108" s="25"/>
      <c r="M108" s="25"/>
      <c r="N108" s="870" t="str">
        <f>$B$11</f>
        <v>YoY GROWTH</v>
      </c>
      <c r="O108" s="871" t="str">
        <f>IF(O107=0,"-",(O107-O103)/O103)</f>
        <v>-</v>
      </c>
      <c r="P108" s="871">
        <f ca="1">IF(P107=0,"-",(P107-P103)/P103)</f>
        <v>0</v>
      </c>
      <c r="Q108" s="871">
        <f ca="1">IF(Q107=0,"-",(Q107-Q103)/Q103)</f>
        <v>0</v>
      </c>
      <c r="R108" s="871">
        <f ca="1">IF(R107=0,"-",(R107-R103)/R103)</f>
        <v>0</v>
      </c>
      <c r="S108" s="872">
        <f ca="1">IFERROR((S107-S103)/S103,"-")</f>
        <v>3.4040752576332434E-2</v>
      </c>
    </row>
  </sheetData>
  <sheetProtection pivotTables="0"/>
  <protectedRanges>
    <protectedRange sqref="K15:M15" name="change cat"/>
    <protectedRange sqref="D13:F13 P13:R13" name="input"/>
  </protectedRanges>
  <mergeCells count="18">
    <mergeCell ref="X1:Z1"/>
    <mergeCell ref="K15:M15"/>
    <mergeCell ref="C2:E2"/>
    <mergeCell ref="O2:Q2"/>
    <mergeCell ref="C1:E1"/>
    <mergeCell ref="B3:G3"/>
    <mergeCell ref="N3:S3"/>
    <mergeCell ref="B8:G8"/>
    <mergeCell ref="N8:S8"/>
    <mergeCell ref="K1:M1"/>
    <mergeCell ref="B100:G100"/>
    <mergeCell ref="B105:G105"/>
    <mergeCell ref="N100:S100"/>
    <mergeCell ref="N105:S105"/>
    <mergeCell ref="B17:G17"/>
    <mergeCell ref="N17:S17"/>
    <mergeCell ref="B22:G22"/>
    <mergeCell ref="N22:S22"/>
  </mergeCells>
  <dataValidations count="2">
    <dataValidation type="custom" allowBlank="1" showInputMessage="1" showErrorMessage="1" sqref="G13 S13" xr:uid="{2863FA00-E30A-4A56-BE80-FB4AC5642F61}">
      <formula1>"-"</formula1>
    </dataValidation>
    <dataValidation type="decimal" operator="greaterThan" allowBlank="1" showInputMessage="1" showErrorMessage="1" sqref="AJ5:AJ10 D13:F13 P13:R13" xr:uid="{93029DE3-44EC-4793-8FA2-600533162AC5}">
      <formula1>0</formula1>
    </dataValidation>
  </dataValidations>
  <hyperlinks>
    <hyperlink ref="X1" location="FRONT_PAGE!A1" display="BACK TO FRONT PAGE" xr:uid="{D0ED14ED-BAD5-4C9F-BF8D-39CA502C7DB7}"/>
  </hyperlink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5" id="{A282A286-DD26-4819-9CD5-9BC09A35FC6C}">
            <xm:f>MATCH(CONCATENATE($B24&amp;C$18),TIME!$M$40:$M$42,0)</xm:f>
            <x14:dxf>
              <fill>
                <patternFill>
                  <bgColor theme="4" tint="0.79998168889431442"/>
                </patternFill>
              </fill>
            </x14:dxf>
          </x14:cfRule>
          <xm:sqref>C13:F13</xm:sqref>
        </x14:conditionalFormatting>
        <x14:conditionalFormatting xmlns:xm="http://schemas.microsoft.com/office/excel/2006/main">
          <x14:cfRule type="expression" priority="1" id="{BCBA1901-C0EE-4383-802C-64D9C2404FE6}">
            <xm:f>MATCH(CONCATENATE($B24&amp;O$18),TIME!$M$40:$M$42,0)</xm:f>
            <x14:dxf>
              <fill>
                <patternFill>
                  <bgColor theme="4" tint="0.79998168889431442"/>
                </patternFill>
              </fill>
            </x14:dxf>
          </x14:cfRule>
          <xm:sqref>O13:R13</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B3F7B8E3-2724-4033-B404-9C05AB620764}">
          <x14:formula1>
            <xm:f>'PIVOT TABLE'!$A$4:$A$23</xm:f>
          </x14:formula1>
          <xm:sqref>K15</xm:sqref>
        </x14:dataValidation>
        <x14:dataValidation type="list" allowBlank="1" showInputMessage="1" showErrorMessage="1" xr:uid="{85B25D11-65EC-420F-A45A-FF00F34FC7FB}">
          <x14:formula1>
            <xm:f>'PIVOT TABLE'!$E$4:$E$7</xm:f>
          </x14:formula1>
          <xm:sqref>C1:E1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45E56-9CD1-4833-80AA-120B600122E9}">
  <sheetPr codeName="Sheet14">
    <tabColor theme="3" tint="0.59999389629810485"/>
  </sheetPr>
  <dimension ref="A1:AJ296"/>
  <sheetViews>
    <sheetView showGridLines="0" zoomScale="80" zoomScaleNormal="80" workbookViewId="0">
      <pane ySplit="1" topLeftCell="A2" activePane="bottomLeft" state="frozen"/>
      <selection activeCell="P64" sqref="P64"/>
      <selection pane="bottomLeft" activeCell="A2" sqref="A2"/>
    </sheetView>
  </sheetViews>
  <sheetFormatPr defaultColWidth="9.140625" defaultRowHeight="15" x14ac:dyDescent="0.25"/>
  <cols>
    <col min="1" max="1" width="2.7109375" style="132" customWidth="1"/>
    <col min="2" max="2" width="17.5703125" style="132" customWidth="1"/>
    <col min="3" max="9" width="10.7109375" style="132" customWidth="1"/>
    <col min="10" max="10" width="10" style="132" customWidth="1"/>
    <col min="11" max="12" width="10.7109375" style="132" customWidth="1"/>
    <col min="13" max="13" width="10.42578125" style="132" customWidth="1"/>
    <col min="14" max="14" width="17.5703125" style="132" customWidth="1"/>
    <col min="15" max="19" width="10.42578125" style="132" customWidth="1"/>
    <col min="20" max="23" width="9.85546875" style="132" bestFit="1" customWidth="1"/>
    <col min="24" max="25" width="9.140625" style="132"/>
    <col min="26" max="26" width="8.42578125" style="132" customWidth="1"/>
    <col min="27" max="30" width="9.140625" style="132"/>
    <col min="31" max="31" width="9.140625" style="132" customWidth="1"/>
    <col min="32" max="32" width="20.42578125" style="132" customWidth="1"/>
    <col min="33" max="36" width="18.140625" style="132" customWidth="1"/>
    <col min="37" max="16384" width="9.140625" style="132"/>
  </cols>
  <sheetData>
    <row r="1" spans="2:36" s="127" customFormat="1" ht="17.25" x14ac:dyDescent="0.3">
      <c r="B1" s="121" t="str">
        <f>'PIVOT TABLE'!B1</f>
        <v>VM</v>
      </c>
      <c r="C1" s="122"/>
      <c r="D1" s="122"/>
      <c r="E1" s="122"/>
      <c r="F1" s="122"/>
      <c r="G1" s="123" t="str">
        <f ca="1">Q_BRAND_FC!G1</f>
        <v>18/19</v>
      </c>
      <c r="H1" s="124" t="str">
        <f ca="1">TIME!N28&amp;"  -"</f>
        <v>Q4  -</v>
      </c>
      <c r="I1" s="124" t="str">
        <f ca="1">B12&amp; "   "&amp;TIME!N31</f>
        <v>19/20   Q3</v>
      </c>
      <c r="J1" s="125"/>
      <c r="K1" s="915" t="s">
        <v>203</v>
      </c>
      <c r="L1" s="915"/>
      <c r="M1" s="915"/>
      <c r="N1" s="915"/>
      <c r="O1" s="122"/>
      <c r="P1" s="122"/>
      <c r="Q1" s="122"/>
      <c r="R1" s="122"/>
      <c r="S1" s="122"/>
      <c r="T1" s="122"/>
      <c r="U1" s="122"/>
      <c r="V1" s="126"/>
      <c r="W1" s="122"/>
      <c r="X1" s="901" t="s">
        <v>202</v>
      </c>
      <c r="Y1" s="901"/>
      <c r="Z1" s="901"/>
      <c r="AG1" s="210"/>
      <c r="AH1" s="210"/>
      <c r="AI1" s="210"/>
      <c r="AJ1" s="210"/>
    </row>
    <row r="2" spans="2:36" ht="21.95" customHeight="1" thickBot="1" x14ac:dyDescent="0.3">
      <c r="B2" s="129"/>
      <c r="C2" s="914" t="s">
        <v>110</v>
      </c>
      <c r="D2" s="914"/>
      <c r="E2" s="914"/>
      <c r="F2" s="131"/>
      <c r="G2" s="131"/>
      <c r="N2" s="129"/>
      <c r="O2" s="914" t="s">
        <v>109</v>
      </c>
      <c r="P2" s="914"/>
      <c r="Q2" s="914"/>
      <c r="R2" s="129"/>
      <c r="S2" s="129"/>
    </row>
    <row r="3" spans="2:36" ht="15.75" thickBot="1" x14ac:dyDescent="0.3">
      <c r="B3" s="893" t="s">
        <v>101</v>
      </c>
      <c r="C3" s="893"/>
      <c r="D3" s="893"/>
      <c r="E3" s="893"/>
      <c r="F3" s="893"/>
      <c r="G3" s="893"/>
      <c r="N3" s="893" t="s">
        <v>101</v>
      </c>
      <c r="O3" s="893"/>
      <c r="P3" s="893"/>
      <c r="Q3" s="893"/>
      <c r="R3" s="893"/>
      <c r="S3" s="893"/>
      <c r="AJ3" s="148"/>
    </row>
    <row r="4" spans="2:36" x14ac:dyDescent="0.25">
      <c r="B4" s="133" t="s">
        <v>7</v>
      </c>
      <c r="C4" s="133" t="s">
        <v>56</v>
      </c>
      <c r="D4" s="133" t="s">
        <v>57</v>
      </c>
      <c r="E4" s="133" t="s">
        <v>58</v>
      </c>
      <c r="F4" s="133" t="s">
        <v>59</v>
      </c>
      <c r="G4" s="133" t="s">
        <v>80</v>
      </c>
      <c r="N4" s="133" t="s">
        <v>7</v>
      </c>
      <c r="O4" s="133" t="s">
        <v>56</v>
      </c>
      <c r="P4" s="133" t="s">
        <v>57</v>
      </c>
      <c r="Q4" s="133" t="s">
        <v>58</v>
      </c>
      <c r="R4" s="133" t="s">
        <v>59</v>
      </c>
      <c r="S4" s="133" t="s">
        <v>80</v>
      </c>
      <c r="AE4" s="847"/>
      <c r="AF4" s="848" t="s">
        <v>11</v>
      </c>
      <c r="AG4" s="848" t="s">
        <v>13</v>
      </c>
      <c r="AH4" s="848" t="s">
        <v>14</v>
      </c>
      <c r="AI4" s="848" t="s">
        <v>15</v>
      </c>
      <c r="AJ4" s="849" t="s">
        <v>143</v>
      </c>
    </row>
    <row r="5" spans="2:36" x14ac:dyDescent="0.25">
      <c r="B5" s="134" t="str">
        <f ca="1">VLOOKUP($G$1,TIME!$L$12:$P$16,3)</f>
        <v>16/17</v>
      </c>
      <c r="C5" s="521">
        <f ca="1">SUMIFS(HIS_SALES!$I:$I,HIS_SALES!$C:$C,Q_BUSAREA_FC!$B$1,HIS_SALES!$D:$D,Q_BUSAREA_FC!$C$2,HIS_SALES!$F:$F,Q_BUSAREA_FC!$B5,HIS_SALES!$G:$G,Q_BUSAREA_FC!C$4)</f>
        <v>2028702.9303980363</v>
      </c>
      <c r="D5" s="521">
        <f ca="1">SUMIFS(HIS_SALES!$I:$I,HIS_SALES!$C:$C,Q_BUSAREA_FC!$B$1,HIS_SALES!$D:$D,Q_BUSAREA_FC!$C$2,HIS_SALES!$F:$F,Q_BUSAREA_FC!$B5,HIS_SALES!$G:$G,Q_BUSAREA_FC!D$4)</f>
        <v>2378129.1224750383</v>
      </c>
      <c r="E5" s="521">
        <f ca="1">SUMIFS(HIS_SALES!$I:$I,HIS_SALES!$C:$C,Q_BUSAREA_FC!$B$1,HIS_SALES!$D:$D,Q_BUSAREA_FC!$C$2,HIS_SALES!$F:$F,Q_BUSAREA_FC!$B5,HIS_SALES!$G:$G,Q_BUSAREA_FC!E$4)</f>
        <v>2519612.4124901742</v>
      </c>
      <c r="F5" s="521">
        <f ca="1">SUMIFS(HIS_SALES!$I:$I,HIS_SALES!$C:$C,Q_BUSAREA_FC!$B$1,HIS_SALES!$D:$D,Q_BUSAREA_FC!$C$2,HIS_SALES!$F:$F,Q_BUSAREA_FC!$B5,HIS_SALES!$G:$G,Q_BUSAREA_FC!F$4)</f>
        <v>2586819.9378390084</v>
      </c>
      <c r="G5" s="521">
        <f ca="1">IFERROR(SUM(C5:F5),0)</f>
        <v>9513264.4032022581</v>
      </c>
      <c r="N5" s="134" t="str">
        <f ca="1">VLOOKUP($G$1,TIME!$L$12:$P$16,3)</f>
        <v>16/17</v>
      </c>
      <c r="O5" s="521">
        <f ca="1">SUMIFS(HIS_SALES!$I:$I,HIS_SALES!$C:$C,Q_BUSAREA_FC!$B$1,HIS_SALES!$D:$D,Q_BUSAREA_FC!$O$2,HIS_SALES!$F:$F,Q_BUSAREA_FC!$N5,HIS_SALES!$G:$G,Q_BUSAREA_FC!O$4)</f>
        <v>4999440.7882520398</v>
      </c>
      <c r="P5" s="521">
        <f ca="1">SUMIFS(HIS_SALES!$I:$I,HIS_SALES!$C:$C,Q_BUSAREA_FC!$B$1,HIS_SALES!$D:$D,Q_BUSAREA_FC!$O$2,HIS_SALES!$F:$F,Q_BUSAREA_FC!$N5,HIS_SALES!$G:$G,Q_BUSAREA_FC!P$4)</f>
        <v>4681834.5623525744</v>
      </c>
      <c r="Q5" s="521">
        <f ca="1">SUMIFS(HIS_SALES!$I:$I,HIS_SALES!$C:$C,Q_BUSAREA_FC!$B$1,HIS_SALES!$D:$D,Q_BUSAREA_FC!$O$2,HIS_SALES!$F:$F,Q_BUSAREA_FC!$N5,HIS_SALES!$G:$G,Q_BUSAREA_FC!Q$4)</f>
        <v>4750293.2961936137</v>
      </c>
      <c r="R5" s="521">
        <f ca="1">SUMIFS(HIS_SALES!$I:$I,HIS_SALES!$C:$C,Q_BUSAREA_FC!$B$1,HIS_SALES!$D:$D,Q_BUSAREA_FC!$O$2,HIS_SALES!$F:$F,Q_BUSAREA_FC!$N5,HIS_SALES!$G:$G,Q_BUSAREA_FC!R$4)</f>
        <v>2407097.8985286779</v>
      </c>
      <c r="S5" s="521">
        <f ca="1">IFERROR(SUM(O5:R5),0)</f>
        <v>16838666.545326903</v>
      </c>
      <c r="AE5" s="850" t="str">
        <f t="shared" ref="AE5:AE12" ca="1" si="0">_xlfn.CONCAT(AF5,AG5,AH5)</f>
        <v>BS.com18/19Q4</v>
      </c>
      <c r="AF5" s="296" t="str">
        <f>$C$2</f>
        <v>BS.com</v>
      </c>
      <c r="AG5" s="296" t="str">
        <f ca="1">TIME!$M$28</f>
        <v>18/19</v>
      </c>
      <c r="AH5" s="296" t="str">
        <f ca="1">TIME!$N$28</f>
        <v>Q4</v>
      </c>
      <c r="AI5" s="367">
        <f ca="1">IFERROR(VLOOKUP(AG5,$B$11:$F$12,MATCH(AH5,$B$4:$F$4,0)),0)</f>
        <v>0</v>
      </c>
      <c r="AJ5" s="851"/>
    </row>
    <row r="6" spans="2:36" x14ac:dyDescent="0.25">
      <c r="B6" s="134" t="str">
        <f ca="1">VLOOKUP($G$1,TIME!$L$12:$P$16,2)</f>
        <v>17/18</v>
      </c>
      <c r="C6" s="521">
        <f ca="1">SUMIFS(HIS_SALES!$I:$I,HIS_SALES!$C:$C,Q_BUSAREA_FC!$B$1,HIS_SALES!$D:$D,Q_BUSAREA_FC!$C$2,HIS_SALES!$F:$F,Q_BUSAREA_FC!$B6,HIS_SALES!$G:$G,Q_BUSAREA_FC!C$4)</f>
        <v>2783001.3259205595</v>
      </c>
      <c r="D6" s="521">
        <f ca="1">SUMIFS(HIS_SALES!$I:$I,HIS_SALES!$C:$C,Q_BUSAREA_FC!$B$1,HIS_SALES!$D:$D,Q_BUSAREA_FC!$C$2,HIS_SALES!$F:$F,Q_BUSAREA_FC!$B6,HIS_SALES!$G:$G,Q_BUSAREA_FC!D$4)</f>
        <v>2673098.3004301665</v>
      </c>
      <c r="E6" s="521">
        <f ca="1">SUMIFS(HIS_SALES!$I:$I,HIS_SALES!$C:$C,Q_BUSAREA_FC!$B$1,HIS_SALES!$D:$D,Q_BUSAREA_FC!$C$2,HIS_SALES!$F:$F,Q_BUSAREA_FC!$B6,HIS_SALES!$G:$G,Q_BUSAREA_FC!E$4)</f>
        <v>3253079.3776057544</v>
      </c>
      <c r="F6" s="521">
        <f ca="1">SUMIFS(HIS_SALES!$I:$I,HIS_SALES!$C:$C,Q_BUSAREA_FC!$B$1,HIS_SALES!$D:$D,Q_BUSAREA_FC!$C$2,HIS_SALES!$F:$F,Q_BUSAREA_FC!$B6,HIS_SALES!$G:$G,Q_BUSAREA_FC!F$4)</f>
        <v>3178088.0167517904</v>
      </c>
      <c r="G6" s="521">
        <f t="shared" ref="G6:G7" ca="1" si="1">IFERROR(SUM(C6:F6),0)</f>
        <v>11887267.02070827</v>
      </c>
      <c r="N6" s="134" t="str">
        <f ca="1">VLOOKUP($G$1,TIME!$L$12:$P$16,2)</f>
        <v>17/18</v>
      </c>
      <c r="O6" s="521">
        <f ca="1">SUMIFS(HIS_SALES!$I:$I,HIS_SALES!$C:$C,Q_BUSAREA_FC!$B$1,HIS_SALES!$D:$D,Q_BUSAREA_FC!$O$2,HIS_SALES!$F:$F,Q_BUSAREA_FC!$N6,HIS_SALES!$G:$G,Q_BUSAREA_FC!O$4)</f>
        <v>4270084.2139585065</v>
      </c>
      <c r="P6" s="521">
        <f ca="1">SUMIFS(HIS_SALES!$I:$I,HIS_SALES!$C:$C,Q_BUSAREA_FC!$B$1,HIS_SALES!$D:$D,Q_BUSAREA_FC!$O$2,HIS_SALES!$F:$F,Q_BUSAREA_FC!$N6,HIS_SALES!$G:$G,Q_BUSAREA_FC!P$4)</f>
        <v>5686580.7246097727</v>
      </c>
      <c r="Q6" s="521">
        <f ca="1">SUMIFS(HIS_SALES!$I:$I,HIS_SALES!$C:$C,Q_BUSAREA_FC!$B$1,HIS_SALES!$D:$D,Q_BUSAREA_FC!$O$2,HIS_SALES!$F:$F,Q_BUSAREA_FC!$N6,HIS_SALES!$G:$G,Q_BUSAREA_FC!Q$4)</f>
        <v>5957865.7280951124</v>
      </c>
      <c r="R6" s="521">
        <f ca="1">SUMIFS(HIS_SALES!$I:$I,HIS_SALES!$C:$C,Q_BUSAREA_FC!$B$1,HIS_SALES!$D:$D,Q_BUSAREA_FC!$O$2,HIS_SALES!$F:$F,Q_BUSAREA_FC!$N6,HIS_SALES!$G:$G,Q_BUSAREA_FC!R$4)</f>
        <v>4827767.6737599047</v>
      </c>
      <c r="S6" s="521">
        <f t="shared" ref="S6:S7" ca="1" si="2">IFERROR(SUM(O6:R6),0)</f>
        <v>20742298.340423297</v>
      </c>
      <c r="AE6" s="850" t="str">
        <f t="shared" ca="1" si="0"/>
        <v>BS.com19/20Q1</v>
      </c>
      <c r="AF6" s="296" t="str">
        <f>$C$2</f>
        <v>BS.com</v>
      </c>
      <c r="AG6" s="296" t="str">
        <f ca="1">TIME!$M$29</f>
        <v>19/20</v>
      </c>
      <c r="AH6" s="296" t="str">
        <f ca="1">TIME!$N$29</f>
        <v>Q1</v>
      </c>
      <c r="AI6" s="367">
        <f t="shared" ref="AI6:AI8" ca="1" si="3">IFERROR(VLOOKUP(AG6,$B$11:$F$12,MATCH(AH6,$B$4:$F$4,0)),0)</f>
        <v>0</v>
      </c>
      <c r="AJ6" s="851"/>
    </row>
    <row r="7" spans="2:36" ht="15.75" thickBot="1" x14ac:dyDescent="0.3">
      <c r="B7" s="137" t="str">
        <f ca="1">VLOOKUP($G$1,TIME!$L$12:$P$16,1)</f>
        <v>18/19</v>
      </c>
      <c r="C7" s="522">
        <f ca="1">IF(ISNA(VLOOKUP(_xlfn.CONCAT($B11,C$4),TIME!$L$27:$N$31,3,FALSE)),SUMIFS(HIS_SALES!$I:$I,HIS_SALES!$C:$C,Q_BUSAREA_FC!$B$1,HIS_SALES!$D:$D,Q_BUSAREA_FC!$C$2,HIS_SALES!$F:$F,Q_BUSAREA_FC!$B7,HIS_SALES!$G:$G,Q_BUSAREA_FC!C$4),0)</f>
        <v>3657637.8002055045</v>
      </c>
      <c r="D7" s="522">
        <f ca="1">IF(ISNA(VLOOKUP(_xlfn.CONCAT($B11,D$4),TIME!$L$27:$N$31,3,FALSE)),SUMIFS(HIS_SALES!$I:$I,HIS_SALES!$C:$C,Q_BUSAREA_FC!$B$1,HIS_SALES!$D:$D,Q_BUSAREA_FC!$C$2,HIS_SALES!$F:$F,Q_BUSAREA_FC!$B7,HIS_SALES!$G:$G,Q_BUSAREA_FC!D$4),0)</f>
        <v>1233910.5125693262</v>
      </c>
      <c r="E7" s="522">
        <f ca="1">IF(ISNA(VLOOKUP(_xlfn.CONCAT($B11,E$4),TIME!$L$27:$N$31,3,FALSE)),SUMIFS(HIS_SALES!$I:$I,HIS_SALES!$C:$C,Q_BUSAREA_FC!$B$1,HIS_SALES!$D:$D,Q_BUSAREA_FC!$C$2,HIS_SALES!$F:$F,Q_BUSAREA_FC!$B7,HIS_SALES!$G:$G,Q_BUSAREA_FC!E$4),0)</f>
        <v>0</v>
      </c>
      <c r="F7" s="522">
        <f ca="1">IF(ISNA(VLOOKUP(_xlfn.CONCAT($B11,F$4),TIME!$L$27:$N$31,3,FALSE)),SUMIFS(HIS_SALES!$I:$I,HIS_SALES!$C:$C,Q_BUSAREA_FC!$B$1,HIS_SALES!$D:$D,Q_BUSAREA_FC!$C$2,HIS_SALES!$F:$F,Q_BUSAREA_FC!$B7,HIS_SALES!$G:$G,Q_BUSAREA_FC!F$4),0)</f>
        <v>0</v>
      </c>
      <c r="G7" s="522">
        <f t="shared" ca="1" si="1"/>
        <v>4891548.3127748305</v>
      </c>
      <c r="N7" s="137" t="str">
        <f ca="1">VLOOKUP($G$1,TIME!$L$12:$P$16,1)</f>
        <v>18/19</v>
      </c>
      <c r="O7" s="522">
        <f ca="1">IF(ISNA(VLOOKUP(_xlfn.CONCAT($B11,C$4),TIME!$L$27:$N$31,3,FALSE)),SUMIFS(HIS_SALES!$I:$I,HIS_SALES!$C:$C,Q_BUSAREA_FC!$B$1,HIS_SALES!$D:$D,Q_BUSAREA_FC!$O$2,HIS_SALES!$F:$F,Q_BUSAREA_FC!$N7,HIS_SALES!$G:$G,Q_BUSAREA_FC!O$4),0)</f>
        <v>8081447.1014983132</v>
      </c>
      <c r="P7" s="522">
        <f ca="1">IF(ISNA(VLOOKUP(_xlfn.CONCAT($B11,D$4),TIME!$L$27:$N$31,3,FALSE)),SUMIFS(HIS_SALES!$I:$I,HIS_SALES!$C:$C,Q_BUSAREA_FC!$B$1,HIS_SALES!$D:$D,Q_BUSAREA_FC!$O$2,HIS_SALES!$F:$F,Q_BUSAREA_FC!$N7,HIS_SALES!$G:$G,Q_BUSAREA_FC!P$4),0)</f>
        <v>3081069.9331429885</v>
      </c>
      <c r="Q7" s="522">
        <f ca="1">IF(ISNA(VLOOKUP(_xlfn.CONCAT($B11,E$4),TIME!$L$27:$N$31,3,FALSE)),SUMIFS(HIS_SALES!$I:$I,HIS_SALES!$C:$C,Q_BUSAREA_FC!$B$1,HIS_SALES!$D:$D,Q_BUSAREA_FC!$O$2,HIS_SALES!$F:$F,Q_BUSAREA_FC!$N7,HIS_SALES!$G:$G,Q_BUSAREA_FC!Q$4),0)</f>
        <v>0</v>
      </c>
      <c r="R7" s="522">
        <f ca="1">IF(ISNA(VLOOKUP(_xlfn.CONCAT($B11,F$4),TIME!$L$27:$N$31,3,FALSE)),SUMIFS(HIS_SALES!$I:$I,HIS_SALES!$C:$C,Q_BUSAREA_FC!$B$1,HIS_SALES!$D:$D,Q_BUSAREA_FC!$O$2,HIS_SALES!$F:$F,Q_BUSAREA_FC!$N7,HIS_SALES!$G:$G,Q_BUSAREA_FC!R$4),0)</f>
        <v>0</v>
      </c>
      <c r="S7" s="522">
        <f t="shared" ca="1" si="2"/>
        <v>11162517.034641301</v>
      </c>
      <c r="AB7" s="764"/>
      <c r="AE7" s="850" t="str">
        <f t="shared" ca="1" si="0"/>
        <v>BS.com19/20Q2</v>
      </c>
      <c r="AF7" s="296" t="str">
        <f>$C$2</f>
        <v>BS.com</v>
      </c>
      <c r="AG7" s="296" t="str">
        <f ca="1">TIME!$M$30</f>
        <v>19/20</v>
      </c>
      <c r="AH7" s="296" t="str">
        <f ca="1">TIME!$N$30</f>
        <v>Q2</v>
      </c>
      <c r="AI7" s="367">
        <f t="shared" ca="1" si="3"/>
        <v>0</v>
      </c>
      <c r="AJ7" s="851"/>
    </row>
    <row r="8" spans="2:36" ht="15.75" thickTop="1" x14ac:dyDescent="0.25">
      <c r="B8" s="887" t="s">
        <v>100</v>
      </c>
      <c r="C8" s="887"/>
      <c r="D8" s="887"/>
      <c r="E8" s="887"/>
      <c r="F8" s="887"/>
      <c r="G8" s="887"/>
      <c r="N8" s="887" t="s">
        <v>100</v>
      </c>
      <c r="O8" s="887"/>
      <c r="P8" s="887"/>
      <c r="Q8" s="887"/>
      <c r="R8" s="887"/>
      <c r="S8" s="887"/>
      <c r="AE8" s="850" t="str">
        <f t="shared" ca="1" si="0"/>
        <v>BS.com19/20Q3</v>
      </c>
      <c r="AF8" s="296" t="str">
        <f>$C$2</f>
        <v>BS.com</v>
      </c>
      <c r="AG8" s="296" t="str">
        <f ca="1">TIME!$M$31</f>
        <v>19/20</v>
      </c>
      <c r="AH8" s="296" t="str">
        <f ca="1">TIME!$N$31</f>
        <v>Q3</v>
      </c>
      <c r="AI8" s="367">
        <f t="shared" ca="1" si="3"/>
        <v>0</v>
      </c>
      <c r="AJ8" s="851"/>
    </row>
    <row r="9" spans="2:36" x14ac:dyDescent="0.25">
      <c r="B9" s="134" t="str">
        <f ca="1">$B11&amp;" L.FC"</f>
        <v>18/19 L.FC</v>
      </c>
      <c r="C9" s="523">
        <f ca="1">SUMIFS(LAST_FC!$I:$I,LAST_FC!$A:$A,TIME!$E$1,LAST_FC!$B:$B,Q_BUSAREA_FC!$B$1,LAST_FC!$C:$C,Q_BUSAREA_FC!$C$2,LAST_FC!$E:$E,Q_BUSAREA_FC!$B11,LAST_FC!$F:$F,Q_BUSAREA_FC!C$4)</f>
        <v>0</v>
      </c>
      <c r="D9" s="523">
        <f ca="1">SUMIFS(LAST_FC!$I:$I,LAST_FC!$A:$A,TIME!$E$1,LAST_FC!$B:$B,Q_BUSAREA_FC!$B$1,LAST_FC!$C:$C,Q_BUSAREA_FC!$C$2,LAST_FC!$E:$E,Q_BUSAREA_FC!$B11,LAST_FC!$F:$F,Q_BUSAREA_FC!D$4)</f>
        <v>0</v>
      </c>
      <c r="E9" s="523">
        <f ca="1">SUMIFS(LAST_FC!$I:$I,LAST_FC!$A:$A,TIME!$E$1,LAST_FC!$B:$B,Q_BUSAREA_FC!$B$1,LAST_FC!$C:$C,Q_BUSAREA_FC!$C$2,LAST_FC!$E:$E,Q_BUSAREA_FC!$B11,LAST_FC!$F:$F,Q_BUSAREA_FC!E$4)</f>
        <v>0</v>
      </c>
      <c r="F9" s="523">
        <f ca="1">SUMIFS(LAST_FC!$I:$I,LAST_FC!$A:$A,TIME!$E$1,LAST_FC!$B:$B,Q_BUSAREA_FC!$B$1,LAST_FC!$C:$C,Q_BUSAREA_FC!$C$2,LAST_FC!$E:$E,Q_BUSAREA_FC!$B11,LAST_FC!$F:$F,Q_BUSAREA_FC!F$4)</f>
        <v>0</v>
      </c>
      <c r="G9" s="524"/>
      <c r="N9" s="134" t="str">
        <f ca="1">$B11&amp;" L.FC"</f>
        <v>18/19 L.FC</v>
      </c>
      <c r="O9" s="523">
        <f ca="1">SUMIFS(LAST_FC!$I:$I,LAST_FC!$A:$A,TIME!$E$1,LAST_FC!$B:$B,Q_BUSAREA_FC!$B$1,LAST_FC!$C:$C,Q_BUSAREA_FC!$O$2,LAST_FC!$E:$E,Q_BUSAREA_FC!$B11,LAST_FC!$F:$F,Q_BUSAREA_FC!C$4)</f>
        <v>0</v>
      </c>
      <c r="P9" s="523">
        <f ca="1">SUMIFS(LAST_FC!$I:$I,LAST_FC!$A:$A,TIME!$E$1,LAST_FC!$B:$B,Q_BUSAREA_FC!$B$1,LAST_FC!$C:$C,Q_BUSAREA_FC!$O$2,LAST_FC!$E:$E,Q_BUSAREA_FC!$B11,LAST_FC!$F:$F,Q_BUSAREA_FC!D$4)</f>
        <v>0</v>
      </c>
      <c r="Q9" s="523">
        <f ca="1">SUMIFS(LAST_FC!$I:$I,LAST_FC!$A:$A,TIME!$E$1,LAST_FC!$B:$B,Q_BUSAREA_FC!$B$1,LAST_FC!$C:$C,Q_BUSAREA_FC!$O$2,LAST_FC!$E:$E,Q_BUSAREA_FC!$B11,LAST_FC!$F:$F,Q_BUSAREA_FC!E$4)</f>
        <v>0</v>
      </c>
      <c r="R9" s="523">
        <f ca="1">SUMIFS(LAST_FC!$I:$I,LAST_FC!$A:$A,TIME!$E$1,LAST_FC!$B:$B,Q_BUSAREA_FC!$B$1,LAST_FC!$C:$C,Q_BUSAREA_FC!$O$2,LAST_FC!$E:$E,Q_BUSAREA_FC!$B11,LAST_FC!$F:$F,Q_BUSAREA_FC!F$4)</f>
        <v>0</v>
      </c>
      <c r="S9" s="524"/>
      <c r="AE9" s="850" t="str">
        <f t="shared" ca="1" si="0"/>
        <v>Partner.com18/19Q4</v>
      </c>
      <c r="AF9" s="296" t="s">
        <v>142</v>
      </c>
      <c r="AG9" s="296" t="str">
        <f ca="1">TIME!$M$28</f>
        <v>18/19</v>
      </c>
      <c r="AH9" s="296" t="str">
        <f ca="1">TIME!$N$28</f>
        <v>Q4</v>
      </c>
      <c r="AI9" s="367">
        <f ca="1">IFERROR(VLOOKUP(AG9,$N$11:$R$12,MATCH(AH9,$N$4:$R$4,0)),0)</f>
        <v>0</v>
      </c>
      <c r="AJ9" s="851"/>
    </row>
    <row r="10" spans="2:36" x14ac:dyDescent="0.25">
      <c r="B10" s="214" t="str">
        <f ca="1">$B12&amp;" L.FC"</f>
        <v>19/20 L.FC</v>
      </c>
      <c r="C10" s="525">
        <f ca="1">SUMIFS(LAST_FC!$I:$I,LAST_FC!$A:$A,TIME!$E$1,LAST_FC!$B:$B,Q_BUSAREA_FC!$B$1,LAST_FC!$C:$C,Q_BUSAREA_FC!$C$2,LAST_FC!$E:$E,Q_BUSAREA_FC!$B12,LAST_FC!$F:$F,Q_BUSAREA_FC!C$4)</f>
        <v>0</v>
      </c>
      <c r="D10" s="525" t="e">
        <f ca="1">IF(SUMIFS(LAST_FC!$I:$I,LAST_FC!$A:$A,TIME!$E$1,LAST_FC!$B:$B,Q_BUSAREA_FC!$B$1,LAST_FC!$C:$C,Q_BUSAREA_FC!$C$2,LAST_FC!$E:$E,Q_BUSAREA_FC!$B12,LAST_FC!$F:$F,Q_BUSAREA_FC!D$4)=0,NA(),SUMIFS(LAST_FC!$I:$I,LAST_FC!$A:$A,TIME!$E$1,LAST_FC!$B:$B,Q_BUSAREA_FC!$B$1,LAST_FC!$C:$C,Q_BUSAREA_FC!$C$2,LAST_FC!$E:$E,Q_BUSAREA_FC!$B12,LAST_FC!$F:$F,Q_BUSAREA_FC!D$4))</f>
        <v>#N/A</v>
      </c>
      <c r="E10" s="525" t="e">
        <f ca="1">IF(SUMIFS(LAST_FC!$I:$I,LAST_FC!$A:$A,TIME!$E$1,LAST_FC!$B:$B,Q_BUSAREA_FC!$B$1,LAST_FC!$C:$C,Q_BUSAREA_FC!$C$2,LAST_FC!$E:$E,Q_BUSAREA_FC!$B12,LAST_FC!$F:$F,Q_BUSAREA_FC!E$4)=0,NA(),SUMIFS(LAST_FC!$I:$I,LAST_FC!$A:$A,TIME!$E$1,LAST_FC!$B:$B,Q_BUSAREA_FC!$B$1,LAST_FC!$C:$C,Q_BUSAREA_FC!$C$2,LAST_FC!$E:$E,Q_BUSAREA_FC!$B12,LAST_FC!$F:$F,Q_BUSAREA_FC!E$4))</f>
        <v>#N/A</v>
      </c>
      <c r="F10" s="525" t="e">
        <f ca="1">IF(SUMIFS(LAST_FC!$I:$I,LAST_FC!$A:$A,TIME!$E$1,LAST_FC!$B:$B,Q_BUSAREA_FC!$B$1,LAST_FC!$C:$C,Q_BUSAREA_FC!$C$2,LAST_FC!$E:$E,Q_BUSAREA_FC!$B12,LAST_FC!$F:$F,Q_BUSAREA_FC!F$4)=0,NA(),SUMIFS(LAST_FC!$I:$I,LAST_FC!$A:$A,TIME!$E$1,LAST_FC!$B:$B,Q_BUSAREA_FC!$B$1,LAST_FC!$C:$C,Q_BUSAREA_FC!$C$2,LAST_FC!$E:$E,Q_BUSAREA_FC!$B12,LAST_FC!$F:$F,Q_BUSAREA_FC!F$4))</f>
        <v>#N/A</v>
      </c>
      <c r="G10" s="525"/>
      <c r="N10" s="220" t="str">
        <f ca="1">$B12&amp;" L.FC"</f>
        <v>19/20 L.FC</v>
      </c>
      <c r="O10" s="525">
        <f ca="1">SUMIFS(LAST_FC!$I:$I,LAST_FC!$A:$A,TIME!$E$1,LAST_FC!$B:$B,Q_BUSAREA_FC!$B$1,LAST_FC!$C:$C,Q_BUSAREA_FC!$O$2,LAST_FC!$E:$E,Q_BUSAREA_FC!$B12,LAST_FC!$F:$F,Q_BUSAREA_FC!C$4)</f>
        <v>0</v>
      </c>
      <c r="P10" s="525" t="e">
        <f ca="1">IF(SUMIFS(LAST_FC!$I:$I,LAST_FC!$A:$A,TIME!$E$1,LAST_FC!$B:$B,Q_BUSAREA_FC!$B$1,LAST_FC!$C:$C,Q_BUSAREA_FC!$O$2,LAST_FC!$E:$E,Q_BUSAREA_FC!$B12,LAST_FC!$F:$F,Q_BUSAREA_FC!P$4)=0,NA(),SUMIFS(LAST_FC!$I:$I,LAST_FC!$A:$A,TIME!$E$1,LAST_FC!$B:$B,Q_BUSAREA_FC!$B$1,LAST_FC!$C:$C,Q_BUSAREA_FC!$O$2,LAST_FC!$E:$E,Q_BUSAREA_FC!$B12,LAST_FC!$F:$F,Q_BUSAREA_FC!P$4))</f>
        <v>#N/A</v>
      </c>
      <c r="Q10" s="525" t="e">
        <f ca="1">IF(SUMIFS(LAST_FC!$I:$I,LAST_FC!$A:$A,TIME!$E$1,LAST_FC!$B:$B,Q_BUSAREA_FC!$B$1,LAST_FC!$C:$C,Q_BUSAREA_FC!$O$2,LAST_FC!$E:$E,Q_BUSAREA_FC!$B12,LAST_FC!$F:$F,Q_BUSAREA_FC!Q$4)=0,NA(),SUMIFS(LAST_FC!$I:$I,LAST_FC!$A:$A,TIME!$E$1,LAST_FC!$B:$B,Q_BUSAREA_FC!$B$1,LAST_FC!$C:$C,Q_BUSAREA_FC!$O$2,LAST_FC!$E:$E,Q_BUSAREA_FC!$B12,LAST_FC!$F:$F,Q_BUSAREA_FC!Q$4))</f>
        <v>#N/A</v>
      </c>
      <c r="R10" s="525" t="e">
        <f ca="1">IF(SUMIFS(LAST_FC!$I:$I,LAST_FC!$A:$A,TIME!$E$1,LAST_FC!$B:$B,Q_BUSAREA_FC!$B$1,LAST_FC!$C:$C,Q_BUSAREA_FC!$O$2,LAST_FC!$E:$E,Q_BUSAREA_FC!$B12,LAST_FC!$F:$F,Q_BUSAREA_FC!R$4)=0,NA(),SUMIFS(LAST_FC!$I:$I,LAST_FC!$A:$A,TIME!$E$1,LAST_FC!$B:$B,Q_BUSAREA_FC!$B$1,LAST_FC!$C:$C,Q_BUSAREA_FC!$O$2,LAST_FC!$E:$E,Q_BUSAREA_FC!$B12,LAST_FC!$F:$F,Q_BUSAREA_FC!R$4))</f>
        <v>#N/A</v>
      </c>
      <c r="S10" s="525"/>
      <c r="AE10" s="850" t="str">
        <f t="shared" ca="1" si="0"/>
        <v>Partner.com19/20Q1</v>
      </c>
      <c r="AF10" s="296" t="s">
        <v>142</v>
      </c>
      <c r="AG10" s="296" t="str">
        <f ca="1">TIME!$M$29</f>
        <v>19/20</v>
      </c>
      <c r="AH10" s="296" t="str">
        <f ca="1">TIME!$N$29</f>
        <v>Q1</v>
      </c>
      <c r="AI10" s="367">
        <f t="shared" ref="AI10:AI12" ca="1" si="4">IFERROR(VLOOKUP(AG10,$N$11:$R$12,MATCH(AH10,$N$4:$R$4,0)),0)</f>
        <v>0</v>
      </c>
      <c r="AJ10" s="851"/>
    </row>
    <row r="11" spans="2:36" x14ac:dyDescent="0.25">
      <c r="B11" s="134" t="str">
        <f ca="1">$G$1</f>
        <v>18/19</v>
      </c>
      <c r="C11" s="521">
        <f ca="1">IF(C7&lt;&gt;0,C7,IF(_xlfn.CONCAT($B11,C$4)=TIME!$L$27,SUM(M_BUSAREA_FC!$D$10:$F$10),IF(ISNA(VLOOKUP(_xlfn.CONCAT($B11,C$4),TIME!$L$28:$N$31,3,FALSE)),C9,IF(C16&lt;&gt;"",C16*1000,IF(SUMIFS(FC_DATA!$I:$I,FC_DATA!$C:$C,Q_BUSAREA_FC!$B$1,FC_DATA!$D:$D,Q_BUSAREA_FC!$C$2,FC_DATA!$F:$F,Q_BUSAREA_FC!$B11,FC_DATA!$G:$G,Q_BUSAREA_FC!C$4)&lt;&gt;0,SUMIFS(FC_DATA!$I:$I,FC_DATA!$C:$C,Q_BUSAREA_FC!$B$1,FC_DATA!$D:$D,Q_BUSAREA_FC!$C$2,FC_DATA!$F:$F,Q_BUSAREA_FC!$B11,FC_DATA!$G:$G,Q_BUSAREA_FC!C$4),C9)))))</f>
        <v>3657637.8002055045</v>
      </c>
      <c r="D11" s="521">
        <f ca="1">IF(D7&lt;&gt;0,D7,IF(_xlfn.CONCAT($B11,D$4)=TIME!$L$27,SUM(M_BUSAREA_FC!$D$10:$F$10),IF(ISNA(VLOOKUP(_xlfn.CONCAT($B11,D$4),TIME!$L$28:$N$31,3,FALSE)),D9,IF(D16&lt;&gt;"",D16*1000,IF(SUMIFS(FC_DATA!$I:$I,FC_DATA!$C:$C,Q_BUSAREA_FC!$B$1,FC_DATA!$D:$D,Q_BUSAREA_FC!$C$2,FC_DATA!$F:$F,Q_BUSAREA_FC!$B11,FC_DATA!$G:$G,Q_BUSAREA_FC!D$4)&lt;&gt;0,SUMIFS(FC_DATA!$I:$I,FC_DATA!$C:$C,Q_BUSAREA_FC!$B$1,FC_DATA!$D:$D,Q_BUSAREA_FC!$C$2,FC_DATA!$F:$F,Q_BUSAREA_FC!$B11,FC_DATA!$G:$G,Q_BUSAREA_FC!D$4),D9)))))</f>
        <v>1233910.5125693262</v>
      </c>
      <c r="E11" s="521">
        <f ca="1">IF(E7&lt;&gt;0,E7,IF(_xlfn.CONCAT($B11,E$4)=TIME!$L$27,SUM(M_BUSAREA_FC!$D$10:$F$10),IF(ISNA(VLOOKUP(_xlfn.CONCAT($B11,E$4),TIME!$L$28:$N$31,3,FALSE)),E9,IF(E16&lt;&gt;"",E16*1000,IF(SUMIFS(FC_DATA!$I:$I,FC_DATA!$C:$C,Q_BUSAREA_FC!$B$1,FC_DATA!$D:$D,Q_BUSAREA_FC!$C$2,FC_DATA!$F:$F,Q_BUSAREA_FC!$B11,FC_DATA!$G:$G,Q_BUSAREA_FC!E$4)&lt;&gt;0,SUMIFS(FC_DATA!$I:$I,FC_DATA!$C:$C,Q_BUSAREA_FC!$B$1,FC_DATA!$D:$D,Q_BUSAREA_FC!$C$2,FC_DATA!$F:$F,Q_BUSAREA_FC!$B11,FC_DATA!$G:$G,Q_BUSAREA_FC!E$4),E9)))))</f>
        <v>0</v>
      </c>
      <c r="F11" s="521">
        <f ca="1">IF(F7&lt;&gt;0,F7,IF(_xlfn.CONCAT($B11,F$4)=TIME!$L$27,SUM(M_BUSAREA_FC!$D$10:$F$10),IF(ISNA(VLOOKUP(_xlfn.CONCAT($B11,F$4),TIME!$L$28:$N$31,3,FALSE)),F9,IF(F16&lt;&gt;"",F16*1000,IF(SUMIFS(FC_DATA!$I:$I,FC_DATA!$C:$C,Q_BUSAREA_FC!$B$1,FC_DATA!$D:$D,Q_BUSAREA_FC!$C$2,FC_DATA!$F:$F,Q_BUSAREA_FC!$B11,FC_DATA!$G:$G,Q_BUSAREA_FC!F$4)&lt;&gt;0,SUMIFS(FC_DATA!$I:$I,FC_DATA!$C:$C,Q_BUSAREA_FC!$B$1,FC_DATA!$D:$D,Q_BUSAREA_FC!$C$2,FC_DATA!$F:$F,Q_BUSAREA_FC!$B11,FC_DATA!$G:$G,Q_BUSAREA_FC!F$4),F9)))))</f>
        <v>0</v>
      </c>
      <c r="G11" s="521"/>
      <c r="J11" s="140"/>
      <c r="N11" s="134" t="str">
        <f ca="1">$G$1</f>
        <v>18/19</v>
      </c>
      <c r="O11" s="521">
        <f ca="1">IF(O7&lt;&gt;0,O7,IF(_xlfn.CONCAT($N11,O$4)=TIME!$L$27,SUM(M_BUSAREA_FC!$P$10:$R$10),IF(ISNA(VLOOKUP(_xlfn.CONCAT($N11,O$4),TIME!$L$28:$N$31,3,FALSE)),O9,IF(O16&lt;&gt;"",O16*1000,IF(SUMIFS(FC_DATA!$I:$I,FC_DATA!$C:$C,Q_BUSAREA_FC!$B$1,FC_DATA!$D:$D,Q_BUSAREA_FC!$O$2,FC_DATA!$F:$F,Q_BUSAREA_FC!$N11,FC_DATA!$G:$G,Q_BUSAREA_FC!O$4)&lt;&gt;0,SUMIFS(FC_DATA!$I:$I,FC_DATA!$C:$C,Q_BUSAREA_FC!$B$1,FC_DATA!$D:$D,Q_BUSAREA_FC!$O$2,FC_DATA!$F:$F,Q_BUSAREA_FC!$N11,FC_DATA!$G:$G,Q_BUSAREA_FC!O$4),O9)))))</f>
        <v>8081447.1014983132</v>
      </c>
      <c r="P11" s="521">
        <f ca="1">IF(P7&lt;&gt;0,P7,IF(_xlfn.CONCAT($N11,P$4)=TIME!$L$27,SUM(M_BUSAREA_FC!$P$10:$R$10),IF(ISNA(VLOOKUP(_xlfn.CONCAT($N11,P$4),TIME!$L$28:$N$31,3,FALSE)),P9,IF(P16&lt;&gt;"",P16*1000,IF(SUMIFS(FC_DATA!$I:$I,FC_DATA!$C:$C,Q_BUSAREA_FC!$B$1,FC_DATA!$D:$D,Q_BUSAREA_FC!$O$2,FC_DATA!$F:$F,Q_BUSAREA_FC!$N11,FC_DATA!$G:$G,Q_BUSAREA_FC!P$4)&lt;&gt;0,SUMIFS(FC_DATA!$I:$I,FC_DATA!$C:$C,Q_BUSAREA_FC!$B$1,FC_DATA!$D:$D,Q_BUSAREA_FC!$O$2,FC_DATA!$F:$F,Q_BUSAREA_FC!$N11,FC_DATA!$G:$G,Q_BUSAREA_FC!P$4),P9)))))</f>
        <v>3081069.9331429885</v>
      </c>
      <c r="Q11" s="521">
        <f ca="1">IF(Q7&lt;&gt;0,Q7,IF(_xlfn.CONCAT($N11,Q$4)=TIME!$L$27,SUM(M_BUSAREA_FC!$P$10:$R$10),IF(ISNA(VLOOKUP(_xlfn.CONCAT($N11,Q$4),TIME!$L$28:$N$31,3,FALSE)),Q9,IF(Q16&lt;&gt;"",Q16*1000,IF(SUMIFS(FC_DATA!$I:$I,FC_DATA!$C:$C,Q_BUSAREA_FC!$B$1,FC_DATA!$D:$D,Q_BUSAREA_FC!$O$2,FC_DATA!$F:$F,Q_BUSAREA_FC!$N11,FC_DATA!$G:$G,Q_BUSAREA_FC!Q$4)&lt;&gt;0,SUMIFS(FC_DATA!$I:$I,FC_DATA!$C:$C,Q_BUSAREA_FC!$B$1,FC_DATA!$D:$D,Q_BUSAREA_FC!$O$2,FC_DATA!$F:$F,Q_BUSAREA_FC!$N11,FC_DATA!$G:$G,Q_BUSAREA_FC!Q$4),Q9)))))</f>
        <v>0</v>
      </c>
      <c r="R11" s="521">
        <f ca="1">IF(R7&lt;&gt;0,R7,IF(_xlfn.CONCAT($N11,R$4)=TIME!$L$27,SUM(M_BUSAREA_FC!$P$10:$R$10),IF(ISNA(VLOOKUP(_xlfn.CONCAT($N11,R$4),TIME!$L$28:$N$31,3,FALSE)),R9,IF(R16&lt;&gt;"",R16*1000,IF(SUMIFS(FC_DATA!$I:$I,FC_DATA!$C:$C,Q_BUSAREA_FC!$B$1,FC_DATA!$D:$D,Q_BUSAREA_FC!$O$2,FC_DATA!$F:$F,Q_BUSAREA_FC!$N11,FC_DATA!$G:$G,Q_BUSAREA_FC!R$4)&lt;&gt;0,SUMIFS(FC_DATA!$I:$I,FC_DATA!$C:$C,Q_BUSAREA_FC!$B$1,FC_DATA!$D:$D,Q_BUSAREA_FC!$O$2,FC_DATA!$F:$F,Q_BUSAREA_FC!$N11,FC_DATA!$G:$G,Q_BUSAREA_FC!R$4),R9)))))</f>
        <v>0</v>
      </c>
      <c r="S11" s="521"/>
      <c r="V11" s="140"/>
      <c r="AE11" s="850" t="str">
        <f t="shared" ca="1" si="0"/>
        <v>Partner.com19/20Q2</v>
      </c>
      <c r="AF11" s="296" t="s">
        <v>142</v>
      </c>
      <c r="AG11" s="296" t="str">
        <f ca="1">TIME!$M$30</f>
        <v>19/20</v>
      </c>
      <c r="AH11" s="296" t="str">
        <f ca="1">TIME!$N$30</f>
        <v>Q2</v>
      </c>
      <c r="AI11" s="367">
        <f t="shared" ca="1" si="4"/>
        <v>0</v>
      </c>
      <c r="AJ11" s="851"/>
    </row>
    <row r="12" spans="2:36" ht="15.75" thickBot="1" x14ac:dyDescent="0.3">
      <c r="B12" s="213" t="str">
        <f ca="1">VLOOKUP($G$1,TIME!$L$12:$P$16,5)</f>
        <v>19/20</v>
      </c>
      <c r="C12" s="526">
        <f ca="1">IF(C17&lt;&gt;"",C17*1000,IF(SUMIFS(FC_DATA!$I:$I,FC_DATA!$C:$C,Q_BUSAREA_FC!$B$1,FC_DATA!$D:$D,Q_BUSAREA_FC!$C$2,FC_DATA!$F:$F,Q_BUSAREA_FC!$B12,FC_DATA!$G:$G,Q_BUSAREA_FC!C$4)&lt;&gt;0,SUMIFS(FC_DATA!$I:$I,FC_DATA!$C:$C,Q_BUSAREA_FC!$B$1,FC_DATA!$D:$D,Q_BUSAREA_FC!$C$2,FC_DATA!$F:$F,Q_BUSAREA_FC!$B12,FC_DATA!$G:$G,Q_BUSAREA_FC!C$4),C10))</f>
        <v>0</v>
      </c>
      <c r="D12" s="526" t="e">
        <f ca="1">IF(D17&lt;&gt;"",D17*1000,IF(SUMIFS(FC_DATA!$I:$I,FC_DATA!$C:$C,Q_BUSAREA_FC!$B$1,FC_DATA!$D:$D,Q_BUSAREA_FC!$C$2,FC_DATA!$F:$F,Q_BUSAREA_FC!$B12,FC_DATA!$G:$G,Q_BUSAREA_FC!D$4)&lt;&gt;0,SUMIFS(FC_DATA!$I:$I,FC_DATA!$C:$C,Q_BUSAREA_FC!$B$1,FC_DATA!$D:$D,Q_BUSAREA_FC!$C$2,FC_DATA!$F:$F,Q_BUSAREA_FC!$B12,FC_DATA!$G:$G,Q_BUSAREA_FC!D$4),D10))</f>
        <v>#N/A</v>
      </c>
      <c r="E12" s="526" t="e">
        <f ca="1">IF(E17&lt;&gt;"",E17*1000,IF(SUMIFS(FC_DATA!$I:$I,FC_DATA!$C:$C,Q_BUSAREA_FC!$B$1,FC_DATA!$D:$D,Q_BUSAREA_FC!$C$2,FC_DATA!$F:$F,Q_BUSAREA_FC!$B12,FC_DATA!$G:$G,Q_BUSAREA_FC!E$4)&lt;&gt;0,SUMIFS(FC_DATA!$I:$I,FC_DATA!$C:$C,Q_BUSAREA_FC!$B$1,FC_DATA!$D:$D,Q_BUSAREA_FC!$C$2,FC_DATA!$F:$F,Q_BUSAREA_FC!$B12,FC_DATA!$G:$G,Q_BUSAREA_FC!E$4),E10))</f>
        <v>#N/A</v>
      </c>
      <c r="F12" s="526" t="e">
        <f ca="1">IF(F17&lt;&gt;"",F17*1000,IF(SUMIFS(FC_DATA!$I:$I,FC_DATA!$C:$C,Q_BUSAREA_FC!$B$1,FC_DATA!$D:$D,Q_BUSAREA_FC!$C$2,FC_DATA!$F:$F,Q_BUSAREA_FC!$B12,FC_DATA!$G:$G,Q_BUSAREA_FC!F$4)&lt;&gt;0,SUMIFS(FC_DATA!$I:$I,FC_DATA!$C:$C,Q_BUSAREA_FC!$B$1,FC_DATA!$D:$D,Q_BUSAREA_FC!$C$2,FC_DATA!$F:$F,Q_BUSAREA_FC!$B12,FC_DATA!$G:$G,Q_BUSAREA_FC!F$4),F10))</f>
        <v>#N/A</v>
      </c>
      <c r="G12" s="526"/>
      <c r="N12" s="221" t="str">
        <f ca="1">VLOOKUP($G$1,TIME!$L$12:$P$16,5)</f>
        <v>19/20</v>
      </c>
      <c r="O12" s="526">
        <f ca="1">IF(O17&lt;&gt;"",O17*1000,IF(SUMIFS(FC_DATA!$I:$I,FC_DATA!$C:$C,Q_BUSAREA_FC!$B$1,FC_DATA!$D:$D,Q_BUSAREA_FC!$O$2,FC_DATA!$F:$F,Q_BUSAREA_FC!$B12,FC_DATA!$G:$G,Q_BUSAREA_FC!O$4)&lt;&gt;0,SUMIFS(FC_DATA!$I:$I,FC_DATA!$C:$C,Q_BUSAREA_FC!$B$1,FC_DATA!$D:$D,Q_BUSAREA_FC!$O$2,FC_DATA!$F:$F,Q_BUSAREA_FC!$B12,FC_DATA!$G:$G,Q_BUSAREA_FC!O$4),O10))</f>
        <v>0</v>
      </c>
      <c r="P12" s="526" t="e">
        <f ca="1">IF(P17&lt;&gt;"",P17*1000,IF(SUMIFS(FC_DATA!$I:$I,FC_DATA!$C:$C,Q_BUSAREA_FC!$B$1,FC_DATA!$D:$D,Q_BUSAREA_FC!$O$2,FC_DATA!$F:$F,Q_BUSAREA_FC!$B12,FC_DATA!$G:$G,Q_BUSAREA_FC!P$4)&lt;&gt;0,SUMIFS(FC_DATA!$I:$I,FC_DATA!$C:$C,Q_BUSAREA_FC!$B$1,FC_DATA!$D:$D,Q_BUSAREA_FC!$O$2,FC_DATA!$F:$F,Q_BUSAREA_FC!$B12,FC_DATA!$G:$G,Q_BUSAREA_FC!P$4),P10))</f>
        <v>#N/A</v>
      </c>
      <c r="Q12" s="526" t="e">
        <f ca="1">IF(Q17&lt;&gt;"",Q17*1000,IF(SUMIFS(FC_DATA!$I:$I,FC_DATA!$C:$C,Q_BUSAREA_FC!$B$1,FC_DATA!$D:$D,Q_BUSAREA_FC!$O$2,FC_DATA!$F:$F,Q_BUSAREA_FC!$B12,FC_DATA!$G:$G,Q_BUSAREA_FC!Q$4)&lt;&gt;0,SUMIFS(FC_DATA!$I:$I,FC_DATA!$C:$C,Q_BUSAREA_FC!$B$1,FC_DATA!$D:$D,Q_BUSAREA_FC!$O$2,FC_DATA!$F:$F,Q_BUSAREA_FC!$B12,FC_DATA!$G:$G,Q_BUSAREA_FC!Q$4),Q10))</f>
        <v>#N/A</v>
      </c>
      <c r="R12" s="526" t="e">
        <f ca="1">IF(R17&lt;&gt;"",R17*1000,IF(SUMIFS(FC_DATA!$I:$I,FC_DATA!$C:$C,Q_BUSAREA_FC!$B$1,FC_DATA!$D:$D,Q_BUSAREA_FC!$O$2,FC_DATA!$F:$F,Q_BUSAREA_FC!$B12,FC_DATA!$G:$G,Q_BUSAREA_FC!R$4)&lt;&gt;0,SUMIFS(FC_DATA!$I:$I,FC_DATA!$C:$C,Q_BUSAREA_FC!$B$1,FC_DATA!$D:$D,Q_BUSAREA_FC!$O$2,FC_DATA!$F:$F,Q_BUSAREA_FC!$B12,FC_DATA!$G:$G,Q_BUSAREA_FC!R$4),R10))</f>
        <v>#N/A</v>
      </c>
      <c r="S12" s="526"/>
      <c r="AA12" s="764"/>
      <c r="AB12" s="764"/>
      <c r="AE12" s="852" t="str">
        <f t="shared" ca="1" si="0"/>
        <v>Partner.com19/20Q3</v>
      </c>
      <c r="AF12" s="853" t="s">
        <v>142</v>
      </c>
      <c r="AG12" s="853" t="str">
        <f ca="1">TIME!$M$31</f>
        <v>19/20</v>
      </c>
      <c r="AH12" s="853" t="str">
        <f ca="1">TIME!$N$31</f>
        <v>Q3</v>
      </c>
      <c r="AI12" s="854">
        <f t="shared" ca="1" si="4"/>
        <v>0</v>
      </c>
      <c r="AJ12" s="855"/>
    </row>
    <row r="13" spans="2:36" x14ac:dyDescent="0.25">
      <c r="B13" s="214" t="str">
        <f ca="1">"YoY Growth "&amp; B11</f>
        <v>YoY Growth 18/19</v>
      </c>
      <c r="C13" s="136">
        <f ca="1">IFERROR((C11-C6)/C6,"-")</f>
        <v>0.31427813782863839</v>
      </c>
      <c r="D13" s="136">
        <f t="shared" ref="D13:F13" ca="1" si="5">IFERROR((D11-D6)/D6,"-")</f>
        <v>-0.53839688111329087</v>
      </c>
      <c r="E13" s="136">
        <f t="shared" ca="1" si="5"/>
        <v>-1</v>
      </c>
      <c r="F13" s="136">
        <f t="shared" ca="1" si="5"/>
        <v>-1</v>
      </c>
      <c r="G13" s="136"/>
      <c r="N13" s="220" t="str">
        <f ca="1">B13</f>
        <v>YoY Growth 18/19</v>
      </c>
      <c r="O13" s="136">
        <f ca="1">IFERROR((O11-O6)/O6,"-")</f>
        <v>0.89257323663098198</v>
      </c>
      <c r="P13" s="136">
        <f t="shared" ref="P13:Q13" ca="1" si="6">IFERROR((P11-P6)/P6,"-")</f>
        <v>-0.45818584447257288</v>
      </c>
      <c r="Q13" s="136">
        <f t="shared" ca="1" si="6"/>
        <v>-1</v>
      </c>
      <c r="R13" s="136">
        <f ca="1">IFERROR(IF(R6&lt;&gt;0,(R11-R6)/R6,R11/R5-1),"-")</f>
        <v>-1</v>
      </c>
      <c r="S13" s="136"/>
      <c r="AJ13" s="148"/>
    </row>
    <row r="14" spans="2:36" ht="15.75" thickBot="1" x14ac:dyDescent="0.3">
      <c r="B14" s="143" t="str">
        <f ca="1">"YoY Growth "&amp; B12</f>
        <v>YoY Growth 19/20</v>
      </c>
      <c r="C14" s="146">
        <f ca="1">IFERROR((C12-C11)/C11,"-")</f>
        <v>-1</v>
      </c>
      <c r="D14" s="146" t="str">
        <f t="shared" ref="D14:F14" ca="1" si="7">IFERROR((D12-D11)/D11,"-")</f>
        <v>-</v>
      </c>
      <c r="E14" s="146" t="str">
        <f t="shared" ca="1" si="7"/>
        <v>-</v>
      </c>
      <c r="F14" s="146" t="str">
        <f t="shared" ca="1" si="7"/>
        <v>-</v>
      </c>
      <c r="G14" s="146"/>
      <c r="N14" s="143" t="str">
        <f ca="1">B14</f>
        <v>YoY Growth 19/20</v>
      </c>
      <c r="O14" s="146">
        <f ca="1">IFERROR((O12-O11)/O11,"-")</f>
        <v>-1</v>
      </c>
      <c r="P14" s="146" t="str">
        <f t="shared" ref="P14:R14" ca="1" si="8">IFERROR((P12-P11)/P11,"-")</f>
        <v>-</v>
      </c>
      <c r="Q14" s="146" t="str">
        <f t="shared" ca="1" si="8"/>
        <v>-</v>
      </c>
      <c r="R14" s="146" t="str">
        <f t="shared" ca="1" si="8"/>
        <v>-</v>
      </c>
      <c r="S14" s="146"/>
      <c r="AJ14" s="148"/>
    </row>
    <row r="15" spans="2:36" x14ac:dyDescent="0.25">
      <c r="D15" s="147"/>
      <c r="E15" s="147"/>
      <c r="F15" s="147"/>
      <c r="G15" s="147"/>
      <c r="P15" s="147"/>
      <c r="Q15" s="147"/>
      <c r="R15" s="147"/>
      <c r="S15" s="147"/>
      <c r="AG15" s="148"/>
      <c r="AH15" s="148"/>
      <c r="AI15" s="148"/>
      <c r="AJ15" s="148"/>
    </row>
    <row r="16" spans="2:36" ht="15.75" x14ac:dyDescent="0.25">
      <c r="B16" s="156" t="str">
        <f ca="1">"INPUT " &amp;B11</f>
        <v>INPUT 18/19</v>
      </c>
      <c r="C16" s="750"/>
      <c r="D16" s="750"/>
      <c r="E16" s="750"/>
      <c r="F16" s="750"/>
      <c r="G16" s="157"/>
      <c r="H16" s="148"/>
      <c r="I16" s="148"/>
      <c r="J16" s="148"/>
      <c r="K16" s="148"/>
      <c r="L16" s="148"/>
      <c r="M16" s="148"/>
      <c r="N16" s="156" t="str">
        <f ca="1">"INPUT " &amp;N11</f>
        <v>INPUT 18/19</v>
      </c>
      <c r="O16" s="750"/>
      <c r="P16" s="750"/>
      <c r="Q16" s="750"/>
      <c r="R16" s="750"/>
      <c r="S16" s="157"/>
      <c r="T16" s="148"/>
      <c r="U16" s="148"/>
      <c r="V16" s="148"/>
      <c r="W16" s="148"/>
      <c r="X16" s="148"/>
      <c r="Y16" s="148"/>
      <c r="Z16" s="148"/>
      <c r="AA16" s="148"/>
      <c r="AB16" s="148"/>
      <c r="AC16" s="148"/>
      <c r="AD16" s="148"/>
      <c r="AE16" s="148"/>
      <c r="AF16" s="148"/>
      <c r="AG16" s="148"/>
      <c r="AH16" s="148"/>
      <c r="AI16" s="148"/>
      <c r="AJ16" s="148"/>
    </row>
    <row r="17" spans="2:35" ht="15.75" x14ac:dyDescent="0.25">
      <c r="B17" s="158" t="str">
        <f ca="1">"INPUT " &amp;B12</f>
        <v>INPUT 19/20</v>
      </c>
      <c r="C17" s="752"/>
      <c r="D17" s="752"/>
      <c r="E17" s="752"/>
      <c r="F17" s="752"/>
      <c r="G17" s="159"/>
      <c r="H17" s="148"/>
      <c r="I17" s="148"/>
      <c r="J17" s="148"/>
      <c r="K17" s="148"/>
      <c r="L17" s="148"/>
      <c r="M17" s="148"/>
      <c r="N17" s="158" t="str">
        <f ca="1">"INPUT " &amp;N12</f>
        <v>INPUT 19/20</v>
      </c>
      <c r="O17" s="752"/>
      <c r="P17" s="752"/>
      <c r="Q17" s="752"/>
      <c r="R17" s="752"/>
      <c r="S17" s="159"/>
      <c r="T17" s="148"/>
      <c r="U17" s="148"/>
      <c r="V17" s="148"/>
      <c r="W17" s="148"/>
      <c r="X17" s="148"/>
      <c r="Y17" s="148"/>
      <c r="Z17" s="148"/>
      <c r="AA17" s="148"/>
      <c r="AB17" s="148"/>
      <c r="AC17" s="148"/>
      <c r="AD17" s="148"/>
      <c r="AE17" s="148"/>
      <c r="AF17" s="148"/>
      <c r="AG17" s="148"/>
      <c r="AH17" s="148"/>
      <c r="AI17" s="148"/>
    </row>
    <row r="18" spans="2:35" x14ac:dyDescent="0.25">
      <c r="B18" s="148"/>
      <c r="C18" s="149"/>
      <c r="D18" s="149"/>
      <c r="E18" s="149"/>
      <c r="F18" s="149"/>
      <c r="G18" s="149"/>
      <c r="H18" s="148"/>
      <c r="I18" s="148"/>
      <c r="J18" s="148"/>
      <c r="K18" s="148"/>
      <c r="L18" s="148"/>
      <c r="M18" s="148"/>
      <c r="N18" s="148"/>
      <c r="O18" s="148"/>
      <c r="P18" s="148"/>
      <c r="Q18" s="148"/>
      <c r="R18" s="148"/>
      <c r="S18" s="148"/>
      <c r="T18" s="148"/>
      <c r="U18" s="148"/>
      <c r="V18" s="148"/>
      <c r="W18" s="148"/>
      <c r="X18" s="148"/>
      <c r="Y18" s="148"/>
      <c r="Z18" s="148"/>
      <c r="AA18" s="148"/>
      <c r="AB18" s="148"/>
      <c r="AC18" s="148"/>
      <c r="AD18" s="148"/>
      <c r="AE18" s="148"/>
      <c r="AF18" s="148"/>
      <c r="AG18" s="148"/>
      <c r="AH18" s="148"/>
      <c r="AI18" s="148"/>
    </row>
    <row r="19" spans="2:35" s="151" customFormat="1" ht="20.100000000000001" customHeight="1" x14ac:dyDescent="0.3">
      <c r="B19" s="199"/>
      <c r="C19" s="199"/>
      <c r="D19" s="124"/>
      <c r="E19" s="124"/>
      <c r="F19" s="124"/>
      <c r="G19" s="124"/>
      <c r="H19" s="124"/>
      <c r="I19" s="124"/>
      <c r="J19" s="124"/>
      <c r="K19" s="899" t="s">
        <v>290</v>
      </c>
      <c r="L19" s="899"/>
      <c r="M19" s="899"/>
      <c r="N19" s="123"/>
      <c r="O19" s="124"/>
      <c r="P19" s="124"/>
      <c r="Q19" s="124"/>
      <c r="R19" s="124"/>
      <c r="S19" s="124"/>
      <c r="T19" s="124"/>
      <c r="U19" s="124"/>
      <c r="V19" s="124"/>
      <c r="W19" s="124"/>
      <c r="X19" s="124"/>
      <c r="Y19" s="124"/>
      <c r="Z19" s="124"/>
      <c r="AA19" s="150"/>
      <c r="AB19" s="150"/>
      <c r="AC19" s="150"/>
      <c r="AD19" s="150"/>
      <c r="AE19" s="150"/>
      <c r="AF19" s="150"/>
      <c r="AG19" s="150"/>
      <c r="AH19" s="150"/>
      <c r="AI19" s="150"/>
    </row>
    <row r="20" spans="2:35" ht="15.75" thickBot="1" x14ac:dyDescent="0.3">
      <c r="B20" s="129"/>
      <c r="C20" s="152"/>
      <c r="D20" s="129"/>
      <c r="E20" s="129"/>
      <c r="F20" s="129"/>
      <c r="G20" s="129"/>
      <c r="N20" s="129"/>
      <c r="O20" s="152"/>
      <c r="P20" s="129"/>
      <c r="Q20" s="129"/>
      <c r="R20" s="129"/>
      <c r="S20" s="129"/>
      <c r="AG20" s="148"/>
      <c r="AH20" s="148"/>
      <c r="AI20" s="148"/>
    </row>
    <row r="21" spans="2:35" x14ac:dyDescent="0.25">
      <c r="B21" s="893" t="s">
        <v>96</v>
      </c>
      <c r="C21" s="893"/>
      <c r="D21" s="893"/>
      <c r="E21" s="893"/>
      <c r="F21" s="893"/>
      <c r="G21" s="893"/>
      <c r="N21" s="893" t="s">
        <v>96</v>
      </c>
      <c r="O21" s="893"/>
      <c r="P21" s="893"/>
      <c r="Q21" s="893"/>
      <c r="R21" s="893"/>
      <c r="S21" s="893"/>
      <c r="T21" s="24"/>
      <c r="U21" s="24"/>
      <c r="V21" s="24"/>
      <c r="W21" s="24"/>
      <c r="X21" s="24"/>
      <c r="Y21" s="24"/>
      <c r="Z21" s="24"/>
    </row>
    <row r="22" spans="2:35" x14ac:dyDescent="0.25">
      <c r="B22" s="133" t="s">
        <v>7</v>
      </c>
      <c r="C22" s="133" t="s">
        <v>56</v>
      </c>
      <c r="D22" s="133" t="s">
        <v>57</v>
      </c>
      <c r="E22" s="133" t="s">
        <v>58</v>
      </c>
      <c r="F22" s="133" t="s">
        <v>59</v>
      </c>
      <c r="G22" s="153" t="s">
        <v>80</v>
      </c>
      <c r="N22" s="133" t="s">
        <v>7</v>
      </c>
      <c r="O22" s="133" t="s">
        <v>56</v>
      </c>
      <c r="P22" s="133" t="s">
        <v>57</v>
      </c>
      <c r="Q22" s="133" t="s">
        <v>58</v>
      </c>
      <c r="R22" s="133" t="s">
        <v>59</v>
      </c>
      <c r="S22" s="153" t="s">
        <v>80</v>
      </c>
      <c r="T22" s="24"/>
      <c r="U22" s="24"/>
      <c r="V22" s="24"/>
      <c r="W22" s="24"/>
      <c r="X22" s="24"/>
      <c r="Y22" s="24"/>
      <c r="Z22" s="24"/>
    </row>
    <row r="23" spans="2:35" x14ac:dyDescent="0.25">
      <c r="B23" s="134" t="str">
        <f ca="1">B5</f>
        <v>16/17</v>
      </c>
      <c r="C23" s="521">
        <f ca="1">VLOOKUP(_xlfn.CONCAT($B$1,$C$2,$K$19,$B23,C$22),HIS_SALES!$A$2:$O$5093,15,FALSE)</f>
        <v>9293.2555166500006</v>
      </c>
      <c r="D23" s="521">
        <f ca="1">VLOOKUP(_xlfn.CONCAT($B$1,$C$2,$K$19,$B23,D$22),HIS_SALES!$A$2:$O$5093,15,FALSE)</f>
        <v>74.580500000000001</v>
      </c>
      <c r="E23" s="521">
        <f ca="1">VLOOKUP(_xlfn.CONCAT($B$1,$C$2,$K$19,$B23,E$22),HIS_SALES!$A$2:$O$5093,15,FALSE)</f>
        <v>56549.289666470104</v>
      </c>
      <c r="F23" s="521">
        <f ca="1">VLOOKUP(_xlfn.CONCAT($B$1,$C$2,$K$19,$B23,F$22),HIS_SALES!$A$2:$O$5093,15,FALSE)</f>
        <v>132210.83895852999</v>
      </c>
      <c r="G23" s="520">
        <f ca="1">IFERROR(SUM(C23:F23),0)</f>
        <v>198127.96464165009</v>
      </c>
      <c r="N23" s="134" t="str">
        <f ca="1">N5</f>
        <v>16/17</v>
      </c>
      <c r="O23" s="521">
        <f ca="1">VLOOKUP(_xlfn.CONCAT($B$1,$O$2,$K$19,$N23,O$22),HIS_SALES!$A$2:$O$5093,15,FALSE)</f>
        <v>17148.136472310001</v>
      </c>
      <c r="P23" s="521">
        <f ca="1">VLOOKUP(_xlfn.CONCAT($B$1,$O$2,$K$19,$N23,P$22),HIS_SALES!$A$2:$O$5093,15,FALSE)</f>
        <v>107.04260000000001</v>
      </c>
      <c r="Q23" s="521">
        <f ca="1">VLOOKUP(_xlfn.CONCAT($B$1,$O$2,$K$19,$N23,Q$22),HIS_SALES!$A$2:$O$5093,15,FALSE)</f>
        <v>40623.531642259899</v>
      </c>
      <c r="R23" s="521">
        <f ca="1">VLOOKUP(_xlfn.CONCAT($B$1,$O$2,$K$19,$N23,R$22),HIS_SALES!$A$2:$O$5093,15,FALSE)</f>
        <v>109470.97630317</v>
      </c>
      <c r="S23" s="520">
        <f ca="1">IFERROR(SUM(O23:R23),0)</f>
        <v>167349.6870177399</v>
      </c>
      <c r="T23" s="24"/>
      <c r="U23" s="24"/>
      <c r="V23" s="24"/>
      <c r="W23" s="24"/>
      <c r="X23" s="24"/>
      <c r="Y23" s="24"/>
      <c r="Z23" s="24"/>
    </row>
    <row r="24" spans="2:35" x14ac:dyDescent="0.25">
      <c r="B24" s="134" t="str">
        <f ca="1">B6</f>
        <v>17/18</v>
      </c>
      <c r="C24" s="521">
        <f ca="1">VLOOKUP(_xlfn.CONCAT($B$1,$C$2,$K$19,$B24,C$22),HIS_SALES!$A$2:$O$5093,15,FALSE)</f>
        <v>14076.654560000001</v>
      </c>
      <c r="D24" s="521">
        <f ca="1">VLOOKUP(_xlfn.CONCAT($B$1,$C$2,$K$19,$B24,D$22),HIS_SALES!$A$2:$O$5093,15,FALSE)</f>
        <v>1515.7683400000001</v>
      </c>
      <c r="E24" s="521">
        <f ca="1">VLOOKUP(_xlfn.CONCAT($B$1,$C$2,$K$19,$B24,E$22),HIS_SALES!$A$2:$O$5093,15,FALSE)</f>
        <v>96539.556884320205</v>
      </c>
      <c r="F24" s="521">
        <f ca="1">IFERROR(VLOOKUP(_xlfn.CONCAT($B$1,$C$2,$K$19,$B24,F$22),HIS_SALES!$A$2:$O$5093,15,FALSE),0)</f>
        <v>183992.68403648102</v>
      </c>
      <c r="G24" s="521">
        <f t="shared" ref="G24:G25" ca="1" si="9">IFERROR(SUM(C24:F24),0)</f>
        <v>296124.66382080124</v>
      </c>
      <c r="N24" s="134" t="str">
        <f ca="1">N6</f>
        <v>17/18</v>
      </c>
      <c r="O24" s="521">
        <f ca="1">VLOOKUP(_xlfn.CONCAT($B$1,$O$2,$K$19,$N24,O$22),HIS_SALES!$A$2:$O$5093,15,FALSE)</f>
        <v>8491.7610344999994</v>
      </c>
      <c r="P24" s="521">
        <f ca="1">VLOOKUP(_xlfn.CONCAT($B$1,$O$2,$K$19,$N24,P$22),HIS_SALES!$A$2:$O$5093,15,FALSE)</f>
        <v>2776.1765655300001</v>
      </c>
      <c r="Q24" s="521">
        <f ca="1">VLOOKUP(_xlfn.CONCAT($B$1,$O$2,$K$19,$N24,Q$22),HIS_SALES!$A$2:$O$5093,15,FALSE)</f>
        <v>109245.66056238</v>
      </c>
      <c r="R24" s="521">
        <f ca="1">IFERROR(VLOOKUP(_xlfn.CONCAT($B$1,$O$2,$K$19,$N24,R$22),HIS_SALES!$A$2:$O$5093,15,FALSE),0)</f>
        <v>146988.14421533002</v>
      </c>
      <c r="S24" s="521">
        <f t="shared" ref="S24:S25" ca="1" si="10">IFERROR(SUM(O24:R24),0)</f>
        <v>267501.74237773998</v>
      </c>
      <c r="T24" s="24"/>
      <c r="U24" s="24"/>
      <c r="V24" s="24"/>
      <c r="W24" s="24"/>
      <c r="X24" s="24"/>
      <c r="Y24" s="24"/>
      <c r="Z24" s="24"/>
    </row>
    <row r="25" spans="2:35" ht="15.75" thickBot="1" x14ac:dyDescent="0.3">
      <c r="B25" s="137" t="str">
        <f ca="1">B7</f>
        <v>18/19</v>
      </c>
      <c r="C25" s="522">
        <f ca="1">IF(ISNA(VLOOKUP(_xlfn.CONCAT($B11,C$4),TIME!$L$27:$N$31,3,FALSE)),VLOOKUP(_xlfn.CONCAT($B$1,$C$2,$K$19,$B25,C$22),HIS_SALES!$A$2:$O$5093,15,FALSE),0)</f>
        <v>17286.518480000002</v>
      </c>
      <c r="D25" s="522">
        <f ca="1">IF(ISNA(VLOOKUP(_xlfn.CONCAT($B11,D$4),TIME!$L$27:$N$31,3,FALSE)),VLOOKUP(_xlfn.CONCAT($B$1,$C$2,$K$19,$B25,D$22),HIS_SALES!$A$2:$O$5093,15,FALSE),0)</f>
        <v>951.42882000000009</v>
      </c>
      <c r="E25" s="522">
        <f ca="1">IF(ISNA(VLOOKUP(_xlfn.CONCAT($B11,E$4),TIME!$L$27:$N$31,3,FALSE)),VLOOKUP(_xlfn.CONCAT($B$1,$C$2,$K$19,$B25,E$22),HIS_SALES!$A$2:$O$5093,15,FALSE),0)</f>
        <v>0</v>
      </c>
      <c r="F25" s="522">
        <f ca="1">IF(ISNA(VLOOKUP(_xlfn.CONCAT($B11,F$4),TIME!$L$27:$N$31,3,FALSE)),VLOOKUP(_xlfn.CONCAT($B$1,$C$2,$K$19,$B25,F$22),HIS_SALES!$A$2:$O$5093,15,FALSE),0)</f>
        <v>0</v>
      </c>
      <c r="G25" s="522">
        <f t="shared" ca="1" si="9"/>
        <v>18237.947300000003</v>
      </c>
      <c r="N25" s="137" t="str">
        <f ca="1">N7</f>
        <v>18/19</v>
      </c>
      <c r="O25" s="522">
        <f ca="1">IF(ISNA(VLOOKUP(_xlfn.CONCAT($N25,O$22),TIME!$L$27:$N$31,3,FALSE)),VLOOKUP(_xlfn.CONCAT($B$1,$O$2,$K$19,$N25,O$22),HIS_SALES!$A$2:$O$5093,15,FALSE),0)</f>
        <v>24672.93642093</v>
      </c>
      <c r="P25" s="522">
        <f ca="1">IF(ISNA(VLOOKUP(_xlfn.CONCAT($N25,P$22),TIME!$L$27:$N$31,3,FALSE)),VLOOKUP(_xlfn.CONCAT($B$1,$O$2,$K$19,$N25,P$22),HIS_SALES!$A$2:$O$5093,15,FALSE),0)</f>
        <v>1978.2968949600001</v>
      </c>
      <c r="Q25" s="522">
        <f ca="1">IF(ISNA(VLOOKUP(_xlfn.CONCAT($N25,Q$22),TIME!$L$27:$N$31,3,FALSE)),VLOOKUP(_xlfn.CONCAT($B$1,$O$2,$K$19,$N25,Q$22),HIS_SALES!$A$2:$O$5093,15,FALSE),0)</f>
        <v>0</v>
      </c>
      <c r="R25" s="522">
        <f ca="1">IF(ISNA(VLOOKUP(_xlfn.CONCAT($N25,R$22),TIME!$L$27:$N$31,3,FALSE)),VLOOKUP(_xlfn.CONCAT($B$1,$O$2,$K$19,$N25,R$22),HIS_SALES!$A$2:$O$5093,15,FALSE),0)</f>
        <v>0</v>
      </c>
      <c r="S25" s="522">
        <f t="shared" ca="1" si="10"/>
        <v>26651.23331589</v>
      </c>
      <c r="T25" s="24"/>
      <c r="U25" s="24"/>
      <c r="V25" s="24"/>
      <c r="W25" s="24"/>
      <c r="X25" s="24"/>
      <c r="Y25" s="24"/>
      <c r="Z25" s="24"/>
    </row>
    <row r="26" spans="2:35" ht="15.75" thickTop="1" x14ac:dyDescent="0.25">
      <c r="B26" s="891" t="s">
        <v>97</v>
      </c>
      <c r="C26" s="891"/>
      <c r="D26" s="891"/>
      <c r="E26" s="891"/>
      <c r="F26" s="891"/>
      <c r="G26" s="891"/>
      <c r="N26" s="891" t="s">
        <v>97</v>
      </c>
      <c r="O26" s="891"/>
      <c r="P26" s="891"/>
      <c r="Q26" s="891"/>
      <c r="R26" s="891"/>
      <c r="S26" s="891"/>
      <c r="T26" s="24"/>
      <c r="U26" s="24"/>
      <c r="V26" s="24"/>
      <c r="W26" s="24"/>
      <c r="X26" s="24"/>
      <c r="Y26" s="24"/>
      <c r="Z26" s="24"/>
    </row>
    <row r="27" spans="2:35" x14ac:dyDescent="0.25">
      <c r="B27" s="134" t="str">
        <f t="shared" ref="B27:B32" ca="1" si="11">B9</f>
        <v>18/19 L.FC</v>
      </c>
      <c r="C27" s="532">
        <f ca="1">SUMIFS(LAST_FC!$I:$I,LAST_FC!$A:$A,TIME!$E$1,LAST_FC!$B:$B,Q_BUSAREA_FC!$B$1,LAST_FC!$C:$C,Q_BUSAREA_FC!$C$2,LAST_FC!$E:$E,Q_BUSAREA_FC!$B11,LAST_FC!$F:$F,Q_BUSAREA_FC!C$4,LAST_FC!$D:$D,Q_BUSAREA_FC!$K$19)</f>
        <v>0</v>
      </c>
      <c r="D27" s="532">
        <f ca="1">SUMIFS(LAST_FC!$I:$I,LAST_FC!$A:$A,TIME!$E$1,LAST_FC!$B:$B,Q_BUSAREA_FC!$B$1,LAST_FC!$C:$C,Q_BUSAREA_FC!$C$2,LAST_FC!$E:$E,Q_BUSAREA_FC!$B11,LAST_FC!$F:$F,Q_BUSAREA_FC!D$4,LAST_FC!$D:$D,Q_BUSAREA_FC!$K$19)</f>
        <v>0</v>
      </c>
      <c r="E27" s="532">
        <f ca="1">SUMIFS(LAST_FC!$I:$I,LAST_FC!$A:$A,TIME!$E$1,LAST_FC!$B:$B,Q_BUSAREA_FC!$B$1,LAST_FC!$C:$C,Q_BUSAREA_FC!$C$2,LAST_FC!$E:$E,Q_BUSAREA_FC!$B11,LAST_FC!$F:$F,Q_BUSAREA_FC!E$4,LAST_FC!$D:$D,Q_BUSAREA_FC!$K$19)</f>
        <v>0</v>
      </c>
      <c r="F27" s="532">
        <f ca="1">SUMIFS(LAST_FC!$I:$I,LAST_FC!$A:$A,TIME!$E$1,LAST_FC!$B:$B,Q_BUSAREA_FC!$B$1,LAST_FC!$C:$C,Q_BUSAREA_FC!$C$2,LAST_FC!$E:$E,Q_BUSAREA_FC!$B11,LAST_FC!$F:$F,Q_BUSAREA_FC!F$4,LAST_FC!$D:$D,Q_BUSAREA_FC!$K$19)</f>
        <v>0</v>
      </c>
      <c r="G27" s="533">
        <f t="shared" ref="G27:G28" ca="1" si="12">IFERROR(SUM(C27:F27),0)</f>
        <v>0</v>
      </c>
      <c r="N27" s="134" t="str">
        <f t="shared" ref="N27:N32" ca="1" si="13">N9</f>
        <v>18/19 L.FC</v>
      </c>
      <c r="O27" s="532">
        <f ca="1">SUMIFS(LAST_FC!$I:$I,LAST_FC!$A:$A,TIME!$E$1,LAST_FC!$B:$B,Q_BUSAREA_FC!$B$1,LAST_FC!$C:$C,Q_BUSAREA_FC!$O$2,LAST_FC!$E:$E,Q_BUSAREA_FC!$B11,LAST_FC!$F:$F,Q_BUSAREA_FC!C$4,LAST_FC!$D:$D,Q_BUSAREA_FC!$K$19)</f>
        <v>0</v>
      </c>
      <c r="P27" s="532">
        <f ca="1">SUMIFS(LAST_FC!$I:$I,LAST_FC!$A:$A,TIME!$E$1,LAST_FC!$B:$B,Q_BUSAREA_FC!$B$1,LAST_FC!$C:$C,Q_BUSAREA_FC!$O$2,LAST_FC!$E:$E,Q_BUSAREA_FC!$B11,LAST_FC!$F:$F,Q_BUSAREA_FC!D$4,LAST_FC!$D:$D,Q_BUSAREA_FC!$K$19)</f>
        <v>0</v>
      </c>
      <c r="Q27" s="532">
        <f ca="1">SUMIFS(LAST_FC!$I:$I,LAST_FC!$A:$A,TIME!$E$1,LAST_FC!$B:$B,Q_BUSAREA_FC!$B$1,LAST_FC!$C:$C,Q_BUSAREA_FC!$O$2,LAST_FC!$E:$E,Q_BUSAREA_FC!$B11,LAST_FC!$F:$F,Q_BUSAREA_FC!E$4,LAST_FC!$D:$D,Q_BUSAREA_FC!$K$19)</f>
        <v>0</v>
      </c>
      <c r="R27" s="532">
        <f ca="1">SUMIFS(LAST_FC!$I:$I,LAST_FC!$A:$A,TIME!$E$1,LAST_FC!$B:$B,Q_BUSAREA_FC!$B$1,LAST_FC!$C:$C,Q_BUSAREA_FC!$O$2,LAST_FC!$E:$E,Q_BUSAREA_FC!$B11,LAST_FC!$F:$F,Q_BUSAREA_FC!F$4,LAST_FC!$D:$D,Q_BUSAREA_FC!$K$19)</f>
        <v>0</v>
      </c>
      <c r="S27" s="533">
        <f t="shared" ref="S27:S28" ca="1" si="14">IFERROR(SUM(O27:R27),0)</f>
        <v>0</v>
      </c>
      <c r="T27" s="24"/>
      <c r="U27" s="24"/>
      <c r="V27" s="24"/>
      <c r="W27" s="24"/>
      <c r="X27" s="24"/>
      <c r="Y27" s="24"/>
      <c r="Z27" s="24"/>
    </row>
    <row r="28" spans="2:35" x14ac:dyDescent="0.25">
      <c r="B28" s="155" t="str">
        <f t="shared" ca="1" si="11"/>
        <v>19/20 L.FC</v>
      </c>
      <c r="C28" s="530">
        <f ca="1">SUMIFS(LAST_FC!$I:$I,LAST_FC!$A:$A,TIME!$E$1,LAST_FC!$B:$B,Q_BUSAREA_FC!$B$1,LAST_FC!$C:$C,Q_BUSAREA_FC!$C$2,LAST_FC!$E:$E,Q_BUSAREA_FC!$B12,LAST_FC!$F:$F,Q_BUSAREA_FC!C$4,LAST_FC!$D:$D,Q_BUSAREA_FC!$K$19)</f>
        <v>0</v>
      </c>
      <c r="D28" s="530">
        <f ca="1">SUMIFS(LAST_FC!$I:$I,LAST_FC!$A:$A,TIME!$E$1,LAST_FC!$B:$B,Q_BUSAREA_FC!$B$1,LAST_FC!$C:$C,Q_BUSAREA_FC!$C$2,LAST_FC!$E:$E,Q_BUSAREA_FC!$B12,LAST_FC!$F:$F,Q_BUSAREA_FC!D$4,LAST_FC!$D:$D,Q_BUSAREA_FC!$K$19)</f>
        <v>0</v>
      </c>
      <c r="E28" s="530">
        <f ca="1">SUMIFS(LAST_FC!$I:$I,LAST_FC!$A:$A,TIME!$E$1,LAST_FC!$B:$B,Q_BUSAREA_FC!$B$1,LAST_FC!$C:$C,Q_BUSAREA_FC!$C$2,LAST_FC!$E:$E,Q_BUSAREA_FC!$B12,LAST_FC!$F:$F,Q_BUSAREA_FC!E$4,LAST_FC!$D:$D,Q_BUSAREA_FC!$K$19)</f>
        <v>0</v>
      </c>
      <c r="F28" s="530">
        <f ca="1">SUMIFS(LAST_FC!$I:$I,LAST_FC!$A:$A,TIME!$E$1,LAST_FC!$B:$B,Q_BUSAREA_FC!$B$1,LAST_FC!$C:$C,Q_BUSAREA_FC!$C$2,LAST_FC!$E:$E,Q_BUSAREA_FC!$B12,LAST_FC!$F:$F,Q_BUSAREA_FC!F$4,LAST_FC!$D:$D,Q_BUSAREA_FC!$K$19)</f>
        <v>0</v>
      </c>
      <c r="G28" s="530">
        <f t="shared" ca="1" si="12"/>
        <v>0</v>
      </c>
      <c r="N28" s="155" t="str">
        <f t="shared" ca="1" si="13"/>
        <v>19/20 L.FC</v>
      </c>
      <c r="O28" s="530">
        <f ca="1">SUMIFS(LAST_FC!$I:$I,LAST_FC!$A:$A,TIME!$E$1,LAST_FC!$B:$B,Q_BUSAREA_FC!$B$1,LAST_FC!$C:$C,Q_BUSAREA_FC!$O$2,LAST_FC!$E:$E,Q_BUSAREA_FC!$B12,LAST_FC!$F:$F,Q_BUSAREA_FC!C$4,LAST_FC!$D:$D,Q_BUSAREA_FC!$K$19)</f>
        <v>0</v>
      </c>
      <c r="P28" s="530">
        <f ca="1">SUMIFS(LAST_FC!$I:$I,LAST_FC!$A:$A,TIME!$E$1,LAST_FC!$B:$B,Q_BUSAREA_FC!$B$1,LAST_FC!$C:$C,Q_BUSAREA_FC!$O$2,LAST_FC!$E:$E,Q_BUSAREA_FC!$B12,LAST_FC!$F:$F,Q_BUSAREA_FC!D$4,LAST_FC!$D:$D,Q_BUSAREA_FC!$K$19)</f>
        <v>0</v>
      </c>
      <c r="Q28" s="530">
        <f ca="1">SUMIFS(LAST_FC!$I:$I,LAST_FC!$A:$A,TIME!$E$1,LAST_FC!$B:$B,Q_BUSAREA_FC!$B$1,LAST_FC!$C:$C,Q_BUSAREA_FC!$O$2,LAST_FC!$E:$E,Q_BUSAREA_FC!$B12,LAST_FC!$F:$F,Q_BUSAREA_FC!E$4,LAST_FC!$D:$D,Q_BUSAREA_FC!$K$19)</f>
        <v>0</v>
      </c>
      <c r="R28" s="530">
        <f ca="1">SUMIFS(LAST_FC!$I:$I,LAST_FC!$A:$A,TIME!$E$1,LAST_FC!$B:$B,Q_BUSAREA_FC!$B$1,LAST_FC!$C:$C,Q_BUSAREA_FC!$O$2,LAST_FC!$E:$E,Q_BUSAREA_FC!$B12,LAST_FC!$F:$F,Q_BUSAREA_FC!F$4,LAST_FC!$D:$D,Q_BUSAREA_FC!$K$19)</f>
        <v>0</v>
      </c>
      <c r="S28" s="530">
        <f t="shared" ca="1" si="14"/>
        <v>0</v>
      </c>
      <c r="T28" s="24"/>
      <c r="U28" s="24"/>
      <c r="V28" s="24"/>
      <c r="W28" s="24"/>
      <c r="X28" s="24"/>
      <c r="Y28" s="24"/>
      <c r="Z28" s="24"/>
    </row>
    <row r="29" spans="2:35" ht="15" customHeight="1" x14ac:dyDescent="0.25">
      <c r="B29" s="134" t="str">
        <f t="shared" ca="1" si="11"/>
        <v>18/19</v>
      </c>
      <c r="C29" s="527">
        <f ca="1">IF(C25&lt;&gt;0,C25,IF(_xlfn.CONCAT($B29,C$22)=TIME!$L$27,SUMIFS(FC_DATA!$AC:$AC,FC_DATA!$C:$C,$B$1,FC_DATA!$D:$D,$C$2,FC_DATA!$E:$E,$K$19,FC_DATA!$F:$F,$B1,FC_DATA!$G:$G,C$22),IF(ISNA(VLOOKUP(_xlfn.CONCAT($N11,C$4),TIME!$L$28:$N$31,3,FALSE)),C27,C11*HLOOKUP(_xlfn.CONCAT($B29,C$22),LT_OVERVIEW!$I$99:$K$130,MATCH($C$2&amp;Q_BUSAREA_FC!$K$19,LT_OVERVIEW!$H$99:$H$130,0),FALSE))))</f>
        <v>17286.518480000002</v>
      </c>
      <c r="D29" s="527">
        <f ca="1">IF(D25&lt;&gt;0,D25,IF(_xlfn.CONCAT($B29,D$22)=TIME!$L$27,SUMIFS(FC_DATA!$AC:$AC,FC_DATA!$C:$C,$B$1,FC_DATA!$D:$D,$C$2,FC_DATA!$E:$E,$K$19,FC_DATA!$F:$F,$B1,FC_DATA!$G:$G,D$22),IF(ISNA(VLOOKUP(_xlfn.CONCAT($N11,D$4),TIME!$L$28:$N$31,3,FALSE)),D27,D11*HLOOKUP(_xlfn.CONCAT($B29,D$22),LT_OVERVIEW!$I$99:$K$130,MATCH($C$2&amp;Q_BUSAREA_FC!$K$19,LT_OVERVIEW!$H$99:$H$130,0),FALSE))))</f>
        <v>951.42882000000009</v>
      </c>
      <c r="E29" s="527">
        <f ca="1">IF(E25&lt;&gt;0,E25,IF(_xlfn.CONCAT($B29,E$22)=TIME!$L$27,SUMIFS(FC_DATA!$AC:$AC,FC_DATA!$C:$C,$B$1,FC_DATA!$D:$D,$C$2,FC_DATA!$E:$E,$K$19,FC_DATA!$F:$F,$B1,FC_DATA!$G:$G,E$22),IF(ISNA(VLOOKUP(_xlfn.CONCAT($N11,E$4),TIME!$L$28:$N$31,3,FALSE)),E27,E11*HLOOKUP(_xlfn.CONCAT($B29,E$22),LT_OVERVIEW!$I$99:$K$130,MATCH($C$2&amp;Q_BUSAREA_FC!$K$19,LT_OVERVIEW!$H$99:$H$130,0),FALSE))))</f>
        <v>0</v>
      </c>
      <c r="F29" s="527" t="e">
        <f ca="1">IF(F25&lt;&gt;0,F25,IF(_xlfn.CONCAT($B29,F$22)=TIME!$L$27,SUMIFS(FC_DATA!$AC:$AC,FC_DATA!$C:$C,$B$1,FC_DATA!$D:$D,$C$2,FC_DATA!$E:$E,$K$19,FC_DATA!$F:$F,$B1,FC_DATA!$G:$G,F$22),IF(ISNA(VLOOKUP(_xlfn.CONCAT($N11,F$4),TIME!$L$28:$N$31,3,FALSE)),F27,F11*HLOOKUP(_xlfn.CONCAT($B29,F$22),LT_OVERVIEW!$I$99:$K$130,MATCH($C$2&amp;Q_BUSAREA_FC!$K$19,LT_OVERVIEW!$H$99:$H$130,0),FALSE))))</f>
        <v>#VALUE!</v>
      </c>
      <c r="G29" s="521"/>
      <c r="N29" s="134" t="str">
        <f t="shared" ca="1" si="13"/>
        <v>18/19</v>
      </c>
      <c r="O29" s="521">
        <f ca="1">IF(O25&lt;&gt;0,O25,IF(_xlfn.CONCAT($N29,O$22)=TIME!$L$27,SUMIFS(FC_DATA!$AC:$AC,FC_DATA!$C:$C,$B$1,FC_DATA!$D:$D,$O$2,FC_DATA!$E:$E,$K$19,FC_DATA!$F:$F,$N29,FC_DATA!$G:$G,O$22),IF(ISNA(VLOOKUP(_xlfn.CONCAT($N11,O$4),TIME!$L$28:$N$31,3,FALSE)),O27,O11*HLOOKUP(_xlfn.CONCAT($N29,O$22),LT_OVERVIEW!$I$99:$K$130,MATCH($O$2&amp;Q_BUSAREA_FC!$K$19,LT_OVERVIEW!$H$99:$H$130,0),FALSE))))</f>
        <v>24672.93642093</v>
      </c>
      <c r="P29" s="521">
        <f ca="1">IF(P25&lt;&gt;0,P25,IF(_xlfn.CONCAT($N29,P$22)=TIME!$L$27,SUMIFS(FC_DATA!$AC:$AC,FC_DATA!$C:$C,$B$1,FC_DATA!$D:$D,$O$2,FC_DATA!$E:$E,$K$19,FC_DATA!$F:$F,$N29,FC_DATA!$G:$G,P$22),IF(ISNA(VLOOKUP(_xlfn.CONCAT($N11,P$4),TIME!$L$28:$N$31,3,FALSE)),P27,P11*HLOOKUP(_xlfn.CONCAT($N29,P$22),LT_OVERVIEW!$I$99:$K$130,MATCH($O$2&amp;Q_BUSAREA_FC!$K$19,LT_OVERVIEW!$H$99:$H$130,0),FALSE))))</f>
        <v>1978.2968949600001</v>
      </c>
      <c r="Q29" s="521">
        <f ca="1">IF(Q25&lt;&gt;0,Q25,IF(_xlfn.CONCAT($N29,Q$22)=TIME!$L$27,SUMIFS(FC_DATA!$AC:$AC,FC_DATA!$C:$C,$B$1,FC_DATA!$D:$D,$O$2,FC_DATA!$E:$E,$K$19,FC_DATA!$F:$F,$N29,FC_DATA!$G:$G,Q$22),IF(ISNA(VLOOKUP(_xlfn.CONCAT($N11,Q$4),TIME!$L$28:$N$31,3,FALSE)),Q27,Q11*HLOOKUP(_xlfn.CONCAT($N29,Q$22),LT_OVERVIEW!$I$99:$K$130,MATCH($O$2&amp;Q_BUSAREA_FC!$K$19,LT_OVERVIEW!$H$99:$H$130,0),FALSE))))</f>
        <v>0</v>
      </c>
      <c r="R29" s="521" t="e">
        <f ca="1">IF(R25&lt;&gt;0,R25,IF(_xlfn.CONCAT($N29,R$22)=TIME!$L$27,SUMIFS(FC_DATA!$AC:$AC,FC_DATA!$C:$C,$B$1,FC_DATA!$D:$D,$O$2,FC_DATA!$E:$E,$K$19,FC_DATA!$F:$F,$N29,FC_DATA!$G:$G,R$22),IF(ISNA(VLOOKUP(_xlfn.CONCAT($N11,R$4),TIME!$L$28:$N$31,3,FALSE)),R27,R11*HLOOKUP(_xlfn.CONCAT($N29,R$22),LT_OVERVIEW!$I$99:$K$130,MATCH($O$2&amp;Q_BUSAREA_FC!$K$19,LT_OVERVIEW!$H$99:$H$130,0),FALSE))))</f>
        <v>#VALUE!</v>
      </c>
      <c r="S29" s="521"/>
      <c r="T29" s="24"/>
      <c r="U29" s="24"/>
      <c r="V29" s="24"/>
      <c r="W29" s="24"/>
      <c r="X29" s="24"/>
      <c r="Y29" s="24"/>
      <c r="Z29" s="24"/>
    </row>
    <row r="30" spans="2:35" x14ac:dyDescent="0.25">
      <c r="B30" s="213" t="str">
        <f t="shared" ca="1" si="11"/>
        <v>19/20</v>
      </c>
      <c r="C30" s="526" t="e">
        <f ca="1">IF(ISNA(C12),NA(),IF(ISNA(VLOOKUP(_xlfn.CONCAT($B12,C$4),TIME!$L$28:$N$31,3,FALSE)),C28,IF(C12=0,NA(),C12*HLOOKUP(_xlfn.CONCAT($B30,C$22),LT_OVERVIEW!$I$99:$M$130,MATCH($C$2&amp;Q_BUSAREA_FC!$K$19,LT_OVERVIEW!$H$99:$H$130,0),FALSE))))</f>
        <v>#N/A</v>
      </c>
      <c r="D30" s="526" t="e">
        <f ca="1">IF(ISNA(D12),NA(),IF(ISNA(VLOOKUP(_xlfn.CONCAT($B12,D$4),TIME!$L$28:$N$31,3,FALSE)),D28,IF(D12=0,NA(),D12*HLOOKUP(_xlfn.CONCAT($B30,D$22),LT_OVERVIEW!$I$99:$M$130,MATCH($C$2&amp;Q_BUSAREA_FC!$K$19,LT_OVERVIEW!$H$99:$H$130,0),FALSE))))</f>
        <v>#N/A</v>
      </c>
      <c r="E30" s="526" t="e">
        <f ca="1">IF(ISNA(E12),NA(),IF(ISNA(VLOOKUP(_xlfn.CONCAT($B12,E$4),TIME!$L$28:$N$31,3,FALSE)),E28,IF(E12=0,NA(),E12*HLOOKUP(_xlfn.CONCAT($B30,E$22),LT_OVERVIEW!$I$99:$M$130,MATCH($C$2&amp;Q_BUSAREA_FC!$K$19,LT_OVERVIEW!$H$99:$H$130,0),FALSE))))</f>
        <v>#N/A</v>
      </c>
      <c r="F30" s="526" t="e">
        <f ca="1">IF(ISNA(F12),NA(),IF(ISNA(VLOOKUP(_xlfn.CONCAT($B12,F$4),TIME!$L$28:$N$31,3,FALSE)),F28,IF(F12=0,NA(),F12*HLOOKUP(_xlfn.CONCAT($B30,F$22),LT_OVERVIEW!$I$99:$M$130,MATCH($C$2&amp;Q_BUSAREA_FC!$K$19,LT_OVERVIEW!$H$99:$H$130,0),FALSE))))</f>
        <v>#N/A</v>
      </c>
      <c r="G30" s="526"/>
      <c r="N30" s="286" t="str">
        <f t="shared" ca="1" si="13"/>
        <v>19/20</v>
      </c>
      <c r="O30" s="526" t="e">
        <f ca="1">IF(ISNA(O12),NA(),IF(ISNA(VLOOKUP(_xlfn.CONCAT($N12,O$4),TIME!$L$28:$N$31,3,FALSE)),O28,IF(O12=0,NA(),O12*HLOOKUP(_xlfn.CONCAT($N30,O$22),LT_OVERVIEW!$I$99:$M$130,MATCH($O$2&amp;Q_BUSAREA_FC!$K$19,LT_OVERVIEW!$H$99:$H$130,0),FALSE))))</f>
        <v>#N/A</v>
      </c>
      <c r="P30" s="526" t="e">
        <f ca="1">IF(ISNA(P12),NA(),IF(ISNA(VLOOKUP(_xlfn.CONCAT($N12,P$4),TIME!$L$28:$N$31,3,FALSE)),P28,P12*HLOOKUP(_xlfn.CONCAT($N30,P$22),LT_OVERVIEW!$I$99:$M$130,MATCH($O$2&amp;Q_BUSAREA_FC!$K$19,LT_OVERVIEW!$H$99:$H$130,0),FALSE)))</f>
        <v>#N/A</v>
      </c>
      <c r="Q30" s="526" t="e">
        <f ca="1">IF(ISNA(Q12),NA(),IF(ISNA(VLOOKUP(_xlfn.CONCAT($N12,Q$4),TIME!$L$28:$N$31,3,FALSE)),Q28,Q12*HLOOKUP(_xlfn.CONCAT($N30,Q$22),LT_OVERVIEW!$I$99:$M$130,MATCH($O$2&amp;Q_BUSAREA_FC!$K$19,LT_OVERVIEW!$H$99:$H$130,0),FALSE)))</f>
        <v>#N/A</v>
      </c>
      <c r="R30" s="526" t="e">
        <f ca="1">IF(ISNA(R12),NA(),IF(ISNA(VLOOKUP(_xlfn.CONCAT($N12,R$4),TIME!$L$28:$N$31,3,FALSE)),R28,R12*HLOOKUP(_xlfn.CONCAT($N30,R$22),LT_OVERVIEW!$I$99:$M$130,MATCH($O$2&amp;Q_BUSAREA_FC!$K$19,LT_OVERVIEW!$H$99:$H$130,0),FALSE)))</f>
        <v>#N/A</v>
      </c>
      <c r="S30" s="526"/>
      <c r="T30" s="24"/>
      <c r="U30" s="24"/>
      <c r="V30" s="24"/>
      <c r="W30" s="24"/>
      <c r="X30" s="24"/>
      <c r="Y30" s="24"/>
      <c r="Z30" s="24"/>
    </row>
    <row r="31" spans="2:35" collapsed="1" x14ac:dyDescent="0.25">
      <c r="B31" s="155" t="str">
        <f t="shared" ca="1" si="11"/>
        <v>YoY Growth 18/19</v>
      </c>
      <c r="C31" s="136">
        <f ca="1">IFERROR(IF(C29=0,"-",(C29-C24)/C24),"-")</f>
        <v>0.2280274696177528</v>
      </c>
      <c r="D31" s="136">
        <f t="shared" ref="D31:F31" ca="1" si="15">IFERROR(IF(D29=0,"-",(D29-D24)/D24),"-")</f>
        <v>-0.37231251313772656</v>
      </c>
      <c r="E31" s="136" t="str">
        <f t="shared" ca="1" si="15"/>
        <v>-</v>
      </c>
      <c r="F31" s="136" t="str">
        <f t="shared" ca="1" si="15"/>
        <v>-</v>
      </c>
      <c r="G31" s="136"/>
      <c r="N31" s="155" t="str">
        <f t="shared" ca="1" si="13"/>
        <v>YoY Growth 18/19</v>
      </c>
      <c r="O31" s="136">
        <f ca="1">IFERROR(IF(O29=0,"-",(O29-O24)/O24),"-")</f>
        <v>1.9055146889661339</v>
      </c>
      <c r="P31" s="136">
        <f t="shared" ref="P31:R31" ca="1" si="16">IFERROR(IF(P29=0,"-",(P29-P24)/P24),"-")</f>
        <v>-0.28740235058416636</v>
      </c>
      <c r="Q31" s="136" t="str">
        <f t="shared" ca="1" si="16"/>
        <v>-</v>
      </c>
      <c r="R31" s="136" t="str">
        <f t="shared" ca="1" si="16"/>
        <v>-</v>
      </c>
      <c r="S31" s="136"/>
      <c r="T31" s="287"/>
      <c r="U31" s="287"/>
      <c r="V31" s="24"/>
      <c r="W31" s="24"/>
      <c r="X31" s="24"/>
      <c r="Y31" s="24"/>
      <c r="Z31" s="24"/>
    </row>
    <row r="32" spans="2:35" ht="15.75" thickBot="1" x14ac:dyDescent="0.3">
      <c r="B32" s="143" t="str">
        <f t="shared" ca="1" si="11"/>
        <v>YoY Growth 19/20</v>
      </c>
      <c r="C32" s="146" t="str">
        <f ca="1">IFERROR((C30-C29)/C29,"-")</f>
        <v>-</v>
      </c>
      <c r="D32" s="146" t="str">
        <f ca="1">IFERROR((D30-D29)/D29,"-")</f>
        <v>-</v>
      </c>
      <c r="E32" s="146" t="str">
        <f t="shared" ref="E32:F32" ca="1" si="17">IFERROR((E30-E29)/E29,"-")</f>
        <v>-</v>
      </c>
      <c r="F32" s="146" t="str">
        <f t="shared" ca="1" si="17"/>
        <v>-</v>
      </c>
      <c r="G32" s="146"/>
      <c r="N32" s="143" t="str">
        <f t="shared" ca="1" si="13"/>
        <v>YoY Growth 19/20</v>
      </c>
      <c r="O32" s="146" t="str">
        <f ca="1">IFERROR((O30-O29)/O29,"-")</f>
        <v>-</v>
      </c>
      <c r="P32" s="146" t="str">
        <f ca="1">IFERROR((P30-P29)/P29,"-")</f>
        <v>-</v>
      </c>
      <c r="Q32" s="146" t="str">
        <f t="shared" ref="Q32:R32" ca="1" si="18">IFERROR((Q30-Q29)/Q29,"-")</f>
        <v>-</v>
      </c>
      <c r="R32" s="146" t="str">
        <f t="shared" ca="1" si="18"/>
        <v>-</v>
      </c>
      <c r="S32" s="146"/>
      <c r="T32" s="287"/>
      <c r="U32" s="287"/>
      <c r="V32" s="24"/>
      <c r="W32" s="24"/>
      <c r="X32" s="24"/>
      <c r="Y32" s="24"/>
      <c r="Z32" s="24"/>
    </row>
    <row r="33" spans="1:31" x14ac:dyDescent="0.25">
      <c r="N33" s="24"/>
      <c r="O33" s="24"/>
      <c r="P33" s="24"/>
      <c r="Q33" s="24"/>
      <c r="R33" s="24"/>
      <c r="S33" s="24"/>
      <c r="T33" s="24"/>
      <c r="U33" s="24"/>
      <c r="V33" s="24"/>
      <c r="W33" s="24"/>
      <c r="X33" s="24"/>
      <c r="Y33" s="24"/>
      <c r="Z33" s="24"/>
    </row>
    <row r="34" spans="1:31" x14ac:dyDescent="0.25">
      <c r="C34" s="160"/>
      <c r="D34" s="160"/>
      <c r="E34" s="160"/>
      <c r="F34" s="160"/>
      <c r="G34" s="161"/>
      <c r="H34" s="160"/>
      <c r="I34" s="160"/>
      <c r="J34" s="160"/>
      <c r="K34" s="160"/>
      <c r="L34" s="160"/>
      <c r="M34" s="162"/>
      <c r="N34" s="24"/>
      <c r="O34" s="24"/>
      <c r="P34" s="24"/>
      <c r="Q34" s="24"/>
      <c r="R34" s="24"/>
      <c r="S34" s="25"/>
      <c r="T34" s="24"/>
      <c r="U34" s="24"/>
      <c r="V34" s="24"/>
      <c r="W34" s="24"/>
      <c r="X34" s="24"/>
      <c r="Y34" s="24"/>
      <c r="Z34" s="24"/>
    </row>
    <row r="35" spans="1:31" x14ac:dyDescent="0.25">
      <c r="B35" s="475" t="s">
        <v>137</v>
      </c>
      <c r="C35" s="62"/>
      <c r="D35" s="62"/>
      <c r="E35" s="62"/>
      <c r="F35" s="62"/>
      <c r="G35" s="62"/>
      <c r="H35" s="62"/>
      <c r="I35" s="62"/>
      <c r="J35" s="61"/>
      <c r="K35" s="61"/>
      <c r="L35" s="61"/>
      <c r="M35" s="61"/>
      <c r="N35" s="61"/>
      <c r="P35" s="163"/>
    </row>
    <row r="36" spans="1:31" x14ac:dyDescent="0.25">
      <c r="B36" s="21" t="s">
        <v>81</v>
      </c>
      <c r="C36" s="62" t="s">
        <v>131</v>
      </c>
      <c r="D36" s="296" t="s">
        <v>10</v>
      </c>
      <c r="E36" s="296" t="s">
        <v>11</v>
      </c>
      <c r="F36" s="296" t="s">
        <v>12</v>
      </c>
      <c r="G36" s="296" t="s">
        <v>13</v>
      </c>
      <c r="H36" s="296"/>
      <c r="I36" s="296"/>
      <c r="J36" s="777"/>
      <c r="K36" s="777"/>
      <c r="L36" s="778"/>
      <c r="M36" s="61"/>
      <c r="N36" s="61"/>
      <c r="O36" s="163"/>
      <c r="P36" s="163"/>
      <c r="Q36" s="163"/>
    </row>
    <row r="37" spans="1:31" x14ac:dyDescent="0.25">
      <c r="B37" s="21" t="str">
        <f ca="1">IF(ISTEXT(C37),CONCATENATE(C37,D37,E37,F37,G37,H37),"-")</f>
        <v>2019-04VMBS.comSHORTS18/19</v>
      </c>
      <c r="C37" s="62" t="str">
        <f ca="1">TIME!$E$5</f>
        <v>2019-04</v>
      </c>
      <c r="D37" s="296" t="str">
        <f t="shared" ref="D37:D41" si="19">$B$1</f>
        <v>VM</v>
      </c>
      <c r="E37" s="296" t="str">
        <f>$C$2</f>
        <v>BS.com</v>
      </c>
      <c r="F37" s="296" t="str">
        <f>$K$19</f>
        <v>SHORTS</v>
      </c>
      <c r="G37" s="296" t="str">
        <f ca="1">TIME!$M$27</f>
        <v>18/19</v>
      </c>
      <c r="H37" s="296"/>
      <c r="I37" s="367"/>
      <c r="J37" s="780"/>
      <c r="K37" s="781"/>
      <c r="L37" s="782"/>
      <c r="M37" s="61"/>
      <c r="N37" s="61"/>
      <c r="O37" s="163"/>
      <c r="P37" s="163"/>
      <c r="Q37" s="163"/>
      <c r="X37" s="168"/>
      <c r="Y37" s="168"/>
      <c r="Z37" s="168"/>
    </row>
    <row r="38" spans="1:31" x14ac:dyDescent="0.25">
      <c r="A38" s="148"/>
      <c r="B38" s="21" t="str">
        <f t="shared" ref="B38:B41" ca="1" si="20">IF(ISTEXT(C38),CONCATENATE(C38,D38,E38,F38,G38,H38),"-")</f>
        <v>2019-04VMBS.comSHORTS18/19</v>
      </c>
      <c r="C38" s="62" t="str">
        <f ca="1">TIME!$E$5</f>
        <v>2019-04</v>
      </c>
      <c r="D38" s="296" t="str">
        <f t="shared" si="19"/>
        <v>VM</v>
      </c>
      <c r="E38" s="296" t="str">
        <f>$C$2</f>
        <v>BS.com</v>
      </c>
      <c r="F38" s="296" t="str">
        <f>$K$19</f>
        <v>SHORTS</v>
      </c>
      <c r="G38" s="296" t="str">
        <f ca="1">TIME!$M$28</f>
        <v>18/19</v>
      </c>
      <c r="H38" s="296"/>
      <c r="I38" s="367"/>
      <c r="J38" s="783"/>
      <c r="K38" s="781"/>
      <c r="L38" s="784"/>
      <c r="M38" s="638"/>
      <c r="N38" s="638"/>
      <c r="O38" s="148"/>
      <c r="P38" s="171"/>
      <c r="Q38" s="171"/>
      <c r="R38" s="148"/>
      <c r="S38" s="148"/>
      <c r="T38" s="148"/>
      <c r="U38" s="148"/>
      <c r="V38" s="896"/>
      <c r="W38" s="896"/>
      <c r="X38" s="148"/>
      <c r="Y38" s="148"/>
      <c r="Z38" s="148"/>
      <c r="AA38" s="148"/>
      <c r="AB38" s="148"/>
      <c r="AC38" s="148"/>
      <c r="AD38" s="148"/>
      <c r="AE38" s="148"/>
    </row>
    <row r="39" spans="1:31" x14ac:dyDescent="0.25">
      <c r="A39" s="148"/>
      <c r="B39" s="21" t="str">
        <f t="shared" ca="1" si="20"/>
        <v>2019-04VMBS.comSHORTS19/20</v>
      </c>
      <c r="C39" s="62" t="str">
        <f ca="1">TIME!$E$5</f>
        <v>2019-04</v>
      </c>
      <c r="D39" s="296" t="str">
        <f t="shared" si="19"/>
        <v>VM</v>
      </c>
      <c r="E39" s="296" t="str">
        <f>$C$2</f>
        <v>BS.com</v>
      </c>
      <c r="F39" s="296" t="str">
        <f>$K$19</f>
        <v>SHORTS</v>
      </c>
      <c r="G39" s="296" t="str">
        <f ca="1">TIME!$M$29</f>
        <v>19/20</v>
      </c>
      <c r="H39" s="296"/>
      <c r="I39" s="367"/>
      <c r="J39" s="783"/>
      <c r="K39" s="781"/>
      <c r="L39" s="784"/>
      <c r="M39" s="638"/>
      <c r="N39" s="638"/>
      <c r="O39" s="171"/>
      <c r="P39" s="171"/>
      <c r="Q39" s="171"/>
      <c r="R39" s="148"/>
      <c r="S39" s="148"/>
      <c r="T39" s="148"/>
      <c r="U39" s="148"/>
      <c r="V39" s="148"/>
      <c r="W39" s="148"/>
      <c r="X39" s="148"/>
      <c r="Y39" s="148"/>
      <c r="Z39" s="148"/>
      <c r="AA39" s="148"/>
      <c r="AB39" s="148"/>
      <c r="AC39" s="148"/>
      <c r="AD39" s="148"/>
      <c r="AE39" s="148"/>
    </row>
    <row r="40" spans="1:31" x14ac:dyDescent="0.25">
      <c r="A40" s="148"/>
      <c r="B40" s="21" t="str">
        <f t="shared" ca="1" si="20"/>
        <v>2019-04VMBS.comSHORTS19/20</v>
      </c>
      <c r="C40" s="62" t="str">
        <f ca="1">TIME!$E$5</f>
        <v>2019-04</v>
      </c>
      <c r="D40" s="296" t="str">
        <f t="shared" si="19"/>
        <v>VM</v>
      </c>
      <c r="E40" s="296" t="str">
        <f>$C$2</f>
        <v>BS.com</v>
      </c>
      <c r="F40" s="296" t="str">
        <f>$K$19</f>
        <v>SHORTS</v>
      </c>
      <c r="G40" s="296" t="str">
        <f ca="1">TIME!$M$30</f>
        <v>19/20</v>
      </c>
      <c r="H40" s="296"/>
      <c r="I40" s="367"/>
      <c r="J40" s="783"/>
      <c r="K40" s="781"/>
      <c r="L40" s="784"/>
      <c r="M40" s="638"/>
      <c r="N40" s="638"/>
      <c r="O40" s="171"/>
      <c r="P40" s="171"/>
      <c r="Q40" s="171"/>
      <c r="R40" s="148"/>
      <c r="S40" s="148"/>
      <c r="T40" s="148"/>
      <c r="U40" s="148"/>
      <c r="V40" s="148"/>
      <c r="W40" s="148"/>
      <c r="X40" s="148"/>
      <c r="Y40" s="148"/>
      <c r="Z40" s="148"/>
      <c r="AA40" s="148"/>
      <c r="AB40" s="148"/>
      <c r="AC40" s="148"/>
      <c r="AD40" s="148"/>
      <c r="AE40" s="148"/>
    </row>
    <row r="41" spans="1:31" x14ac:dyDescent="0.25">
      <c r="A41" s="148"/>
      <c r="B41" s="21" t="str">
        <f t="shared" ca="1" si="20"/>
        <v>2019-04VMBS.comSHORTS19/20</v>
      </c>
      <c r="C41" s="21" t="str">
        <f ca="1">TIME!$E$5</f>
        <v>2019-04</v>
      </c>
      <c r="D41" s="296" t="str">
        <f t="shared" si="19"/>
        <v>VM</v>
      </c>
      <c r="E41" s="296" t="str">
        <f>$C$2</f>
        <v>BS.com</v>
      </c>
      <c r="F41" s="296" t="str">
        <f>$K$19</f>
        <v>SHORTS</v>
      </c>
      <c r="G41" s="296" t="str">
        <f ca="1">TIME!$M$31</f>
        <v>19/20</v>
      </c>
      <c r="H41" s="296"/>
      <c r="I41" s="367"/>
      <c r="J41" s="783"/>
      <c r="K41" s="781"/>
      <c r="L41" s="784"/>
      <c r="M41" s="638"/>
      <c r="N41" s="638"/>
      <c r="O41" s="171"/>
      <c r="P41" s="171"/>
      <c r="Q41" s="171"/>
      <c r="R41" s="148"/>
      <c r="S41" s="148"/>
      <c r="T41" s="148"/>
      <c r="U41" s="148"/>
      <c r="V41" s="148"/>
      <c r="W41" s="148"/>
      <c r="X41" s="148"/>
      <c r="Y41" s="148"/>
      <c r="Z41" s="148"/>
      <c r="AA41" s="148"/>
      <c r="AB41" s="148"/>
      <c r="AC41" s="148"/>
      <c r="AD41" s="148"/>
      <c r="AE41" s="148"/>
    </row>
    <row r="42" spans="1:31" x14ac:dyDescent="0.25">
      <c r="A42" s="148"/>
      <c r="B42" s="638"/>
      <c r="C42" s="61"/>
      <c r="D42" s="777"/>
      <c r="E42" s="777"/>
      <c r="F42" s="777"/>
      <c r="G42" s="777"/>
      <c r="H42" s="777"/>
      <c r="I42" s="779"/>
      <c r="J42" s="783"/>
      <c r="K42" s="781"/>
      <c r="L42" s="784"/>
      <c r="M42" s="638"/>
      <c r="N42" s="638"/>
      <c r="O42" s="171"/>
      <c r="P42" s="171"/>
      <c r="Q42" s="171"/>
      <c r="R42" s="148"/>
      <c r="S42" s="148"/>
      <c r="T42" s="148"/>
      <c r="U42" s="148"/>
      <c r="V42" s="148"/>
      <c r="W42" s="148"/>
      <c r="X42" s="148"/>
      <c r="Y42" s="148"/>
      <c r="Z42" s="148"/>
      <c r="AA42" s="148"/>
      <c r="AB42" s="148"/>
      <c r="AC42" s="148"/>
      <c r="AD42" s="148"/>
      <c r="AE42" s="148"/>
    </row>
    <row r="43" spans="1:31" x14ac:dyDescent="0.25">
      <c r="A43" s="148"/>
      <c r="B43" s="638"/>
      <c r="C43" s="61"/>
      <c r="D43" s="777"/>
      <c r="E43" s="777"/>
      <c r="F43" s="777"/>
      <c r="G43" s="777"/>
      <c r="H43" s="777"/>
      <c r="I43" s="779"/>
      <c r="J43" s="783"/>
      <c r="K43" s="781"/>
      <c r="L43" s="784"/>
      <c r="M43" s="638"/>
      <c r="N43" s="638"/>
      <c r="O43" s="171"/>
      <c r="P43" s="171"/>
      <c r="Q43" s="171"/>
      <c r="R43" s="148"/>
      <c r="S43" s="148"/>
      <c r="T43" s="148"/>
      <c r="U43" s="148"/>
      <c r="V43" s="148"/>
      <c r="W43" s="148"/>
      <c r="X43" s="148"/>
      <c r="Y43" s="148"/>
      <c r="Z43" s="148"/>
      <c r="AA43" s="148"/>
      <c r="AB43" s="148"/>
      <c r="AC43" s="148"/>
      <c r="AD43" s="148"/>
      <c r="AE43" s="148"/>
    </row>
    <row r="44" spans="1:31" x14ac:dyDescent="0.25">
      <c r="A44" s="148"/>
      <c r="B44" s="777"/>
      <c r="C44" s="777"/>
      <c r="D44" s="777"/>
      <c r="E44" s="777"/>
      <c r="F44" s="777"/>
      <c r="G44" s="777"/>
      <c r="H44" s="779"/>
      <c r="I44" s="785"/>
      <c r="J44" s="781"/>
      <c r="K44" s="638"/>
      <c r="L44" s="638"/>
      <c r="M44" s="638"/>
      <c r="N44" s="638"/>
      <c r="O44" s="171"/>
      <c r="P44" s="171"/>
      <c r="Q44" s="171"/>
      <c r="R44" s="171"/>
      <c r="S44" s="171"/>
      <c r="T44" s="171"/>
      <c r="U44" s="171"/>
      <c r="V44" s="171"/>
      <c r="W44" s="171"/>
      <c r="X44" s="171"/>
      <c r="Y44" s="171"/>
      <c r="Z44" s="148"/>
      <c r="AA44" s="148"/>
      <c r="AB44" s="148"/>
      <c r="AC44" s="148"/>
      <c r="AD44" s="148"/>
      <c r="AE44" s="148"/>
    </row>
    <row r="45" spans="1:31" x14ac:dyDescent="0.25">
      <c r="B45" s="173"/>
      <c r="C45" s="173"/>
      <c r="D45" s="173"/>
      <c r="E45" s="173"/>
      <c r="F45" s="173"/>
      <c r="G45" s="173"/>
      <c r="H45" s="174"/>
      <c r="I45" s="175"/>
      <c r="J45" s="176"/>
      <c r="K45" s="161"/>
      <c r="L45" s="161"/>
      <c r="M45" s="177"/>
      <c r="N45" s="177"/>
      <c r="O45" s="177"/>
      <c r="P45" s="177"/>
      <c r="Q45" s="177"/>
      <c r="R45" s="177"/>
      <c r="S45" s="177"/>
      <c r="T45" s="177"/>
      <c r="U45" s="177"/>
      <c r="V45" s="177"/>
      <c r="W45" s="177"/>
      <c r="X45" s="177"/>
      <c r="Y45" s="177"/>
      <c r="Z45" s="177"/>
      <c r="AA45" s="177"/>
      <c r="AB45" s="177"/>
      <c r="AC45" s="177"/>
      <c r="AD45" s="177"/>
      <c r="AE45" s="177"/>
    </row>
    <row r="46" spans="1:31" x14ac:dyDescent="0.25">
      <c r="B46" s="173"/>
      <c r="C46" s="173"/>
      <c r="D46" s="173"/>
      <c r="E46" s="173"/>
      <c r="F46" s="173"/>
      <c r="G46" s="173"/>
      <c r="H46" s="174"/>
      <c r="I46" s="175"/>
      <c r="J46" s="176"/>
      <c r="K46" s="161"/>
      <c r="L46" s="161"/>
      <c r="M46" s="177"/>
      <c r="N46" s="177"/>
      <c r="O46" s="177"/>
      <c r="P46" s="177"/>
      <c r="Q46" s="177"/>
      <c r="R46" s="177"/>
      <c r="S46" s="177"/>
      <c r="T46" s="177"/>
      <c r="U46" s="177"/>
      <c r="V46" s="177"/>
      <c r="W46" s="177"/>
      <c r="X46" s="177"/>
      <c r="Y46" s="177"/>
      <c r="Z46" s="177"/>
      <c r="AA46" s="177"/>
      <c r="AB46" s="177"/>
      <c r="AC46" s="177"/>
      <c r="AD46" s="177"/>
      <c r="AE46" s="177"/>
    </row>
    <row r="47" spans="1:31" x14ac:dyDescent="0.25">
      <c r="B47" s="173"/>
      <c r="C47" s="173"/>
      <c r="D47" s="173"/>
      <c r="E47" s="173"/>
      <c r="F47" s="173"/>
      <c r="G47" s="173"/>
      <c r="H47" s="174"/>
      <c r="I47" s="175"/>
      <c r="J47" s="176"/>
      <c r="K47" s="161"/>
      <c r="L47" s="161"/>
      <c r="M47" s="177"/>
      <c r="N47" s="177"/>
      <c r="O47" s="177"/>
      <c r="P47" s="25"/>
      <c r="Q47" s="177"/>
      <c r="R47" s="177"/>
      <c r="S47" s="177"/>
      <c r="T47" s="177"/>
      <c r="U47" s="177"/>
      <c r="V47" s="177"/>
      <c r="W47" s="177"/>
      <c r="X47" s="177"/>
      <c r="Y47" s="177"/>
      <c r="Z47" s="177"/>
      <c r="AA47" s="177"/>
      <c r="AB47" s="177"/>
      <c r="AC47" s="177"/>
      <c r="AD47" s="177"/>
      <c r="AE47" s="177"/>
    </row>
    <row r="48" spans="1:31" x14ac:dyDescent="0.25">
      <c r="B48" s="296"/>
      <c r="C48" s="296"/>
      <c r="D48" s="296"/>
      <c r="E48" s="296"/>
      <c r="F48" s="296"/>
      <c r="G48" s="296"/>
      <c r="H48" s="367"/>
      <c r="I48" s="368"/>
      <c r="J48" s="369"/>
      <c r="K48" s="21"/>
      <c r="L48" s="21"/>
      <c r="M48" s="21"/>
      <c r="N48" s="21"/>
      <c r="O48" s="21"/>
      <c r="P48" s="21"/>
      <c r="Q48" s="21"/>
      <c r="R48" s="21"/>
      <c r="S48" s="21"/>
      <c r="T48" s="21"/>
      <c r="U48" s="21"/>
      <c r="V48" s="21"/>
      <c r="W48" s="161"/>
      <c r="X48" s="161"/>
      <c r="Y48" s="161"/>
      <c r="Z48" s="177"/>
      <c r="AA48" s="177"/>
      <c r="AB48" s="177"/>
      <c r="AC48" s="177"/>
      <c r="AD48" s="177"/>
      <c r="AE48" s="177"/>
    </row>
    <row r="49" spans="2:36" x14ac:dyDescent="0.25">
      <c r="B49" s="371"/>
      <c r="C49" s="21"/>
      <c r="D49" s="21"/>
      <c r="E49" s="21"/>
      <c r="F49" s="21"/>
      <c r="G49" s="21"/>
      <c r="H49" s="21"/>
      <c r="I49" s="21"/>
      <c r="J49" s="21"/>
      <c r="K49" s="21"/>
      <c r="L49" s="21"/>
      <c r="M49" s="21"/>
      <c r="N49" s="21"/>
      <c r="O49" s="21"/>
      <c r="P49" s="21"/>
      <c r="Q49" s="21"/>
      <c r="R49" s="21"/>
      <c r="S49" s="21"/>
      <c r="T49" s="21"/>
      <c r="U49" s="21"/>
      <c r="V49" s="21"/>
      <c r="X49" s="160"/>
      <c r="Y49" s="160"/>
      <c r="Z49" s="162"/>
      <c r="AA49" s="162"/>
      <c r="AB49" s="162"/>
      <c r="AC49" s="162"/>
      <c r="AD49" s="162"/>
      <c r="AE49" s="162"/>
    </row>
    <row r="50" spans="2:36" x14ac:dyDescent="0.25">
      <c r="B50" s="918" t="s">
        <v>104</v>
      </c>
      <c r="C50" s="918"/>
      <c r="D50" s="918"/>
      <c r="E50" s="918"/>
      <c r="F50" s="918"/>
      <c r="G50" s="918"/>
      <c r="H50" s="370" t="s">
        <v>105</v>
      </c>
      <c r="I50" s="21"/>
      <c r="J50" s="21"/>
      <c r="K50" s="21"/>
      <c r="L50" s="21"/>
      <c r="M50" s="21"/>
      <c r="N50" s="21"/>
      <c r="O50" s="21"/>
      <c r="P50" s="918" t="s">
        <v>104</v>
      </c>
      <c r="Q50" s="918"/>
      <c r="R50" s="918"/>
      <c r="S50" s="918"/>
      <c r="T50" s="918"/>
      <c r="U50" s="918"/>
      <c r="V50" s="370" t="s">
        <v>105</v>
      </c>
      <c r="AF50" s="162"/>
    </row>
    <row r="51" spans="2:36" x14ac:dyDescent="0.25">
      <c r="I51" s="25"/>
      <c r="J51" s="25"/>
      <c r="K51" s="25"/>
      <c r="L51" s="25"/>
      <c r="M51" s="25"/>
      <c r="N51" s="25"/>
      <c r="O51" s="25"/>
      <c r="W51" s="24"/>
      <c r="X51" s="24"/>
      <c r="Y51" s="24"/>
      <c r="Z51" s="24"/>
      <c r="AA51" s="24"/>
      <c r="AB51" s="24"/>
      <c r="AC51" s="24"/>
      <c r="AD51" s="24"/>
      <c r="AE51" s="24"/>
      <c r="AF51" s="24"/>
      <c r="AG51" s="24"/>
      <c r="AH51" s="24"/>
      <c r="AI51" s="24"/>
      <c r="AJ51" s="24"/>
    </row>
    <row r="52" spans="2:36" x14ac:dyDescent="0.25">
      <c r="B52" s="61"/>
      <c r="C52" s="61"/>
      <c r="D52" s="61"/>
      <c r="E52" s="61"/>
      <c r="F52" s="61"/>
      <c r="G52" s="61"/>
      <c r="H52" s="61"/>
      <c r="I52" s="638"/>
      <c r="J52" s="638"/>
      <c r="K52" s="638"/>
      <c r="L52" s="638"/>
      <c r="M52" s="638"/>
      <c r="N52" s="638"/>
      <c r="O52" s="638"/>
      <c r="P52" s="61"/>
      <c r="Q52" s="61"/>
      <c r="R52" s="61"/>
      <c r="S52" s="61"/>
      <c r="T52" s="61"/>
      <c r="U52" s="61"/>
      <c r="W52" s="24"/>
      <c r="X52" s="24"/>
      <c r="Y52" s="24"/>
      <c r="Z52" s="24"/>
      <c r="AA52" s="24"/>
      <c r="AB52" s="24"/>
      <c r="AC52" s="24"/>
      <c r="AD52" s="24"/>
      <c r="AE52" s="24"/>
      <c r="AF52" s="24"/>
      <c r="AG52" s="24"/>
      <c r="AH52" s="24"/>
      <c r="AI52" s="24"/>
      <c r="AJ52" s="24"/>
    </row>
    <row r="53" spans="2:36" x14ac:dyDescent="0.25">
      <c r="B53" s="61"/>
      <c r="C53" s="61"/>
      <c r="D53" s="61"/>
      <c r="E53" s="61"/>
      <c r="F53" s="61"/>
      <c r="G53" s="61"/>
      <c r="H53" s="61"/>
      <c r="I53" s="638"/>
      <c r="J53" s="638"/>
      <c r="K53" s="638"/>
      <c r="L53" s="638"/>
      <c r="M53" s="638"/>
      <c r="N53" s="638"/>
      <c r="O53" s="638"/>
      <c r="P53" s="61"/>
      <c r="Q53" s="61"/>
      <c r="R53" s="61"/>
      <c r="S53" s="61"/>
      <c r="T53" s="61"/>
      <c r="U53" s="61"/>
      <c r="W53" s="24"/>
      <c r="X53" s="24"/>
      <c r="Y53" s="24"/>
      <c r="Z53" s="24"/>
      <c r="AA53" s="24"/>
      <c r="AB53" s="24"/>
      <c r="AC53" s="24"/>
      <c r="AD53" s="24"/>
      <c r="AE53" s="24"/>
      <c r="AF53" s="24"/>
      <c r="AG53" s="24"/>
      <c r="AH53" s="24"/>
      <c r="AI53" s="24"/>
      <c r="AJ53" s="24"/>
    </row>
    <row r="54" spans="2:36" x14ac:dyDescent="0.25">
      <c r="B54" s="61"/>
      <c r="C54" s="61"/>
      <c r="D54" s="61"/>
      <c r="E54" s="61"/>
      <c r="F54" s="61"/>
      <c r="G54" s="61"/>
      <c r="H54" s="61"/>
      <c r="I54" s="638"/>
      <c r="J54" s="638"/>
      <c r="K54" s="638"/>
      <c r="L54" s="638"/>
      <c r="M54" s="638"/>
      <c r="N54" s="638"/>
      <c r="O54" s="638"/>
      <c r="P54" s="61"/>
      <c r="Q54" s="61"/>
      <c r="R54" s="61"/>
      <c r="S54" s="61"/>
      <c r="T54" s="61"/>
      <c r="U54" s="61"/>
      <c r="W54" s="24"/>
      <c r="X54" s="24"/>
      <c r="Y54" s="24"/>
      <c r="Z54" s="24"/>
      <c r="AA54" s="24"/>
      <c r="AB54" s="24"/>
      <c r="AC54" s="24"/>
      <c r="AD54" s="24"/>
      <c r="AE54" s="24"/>
      <c r="AF54" s="24"/>
      <c r="AG54" s="24"/>
      <c r="AH54" s="24"/>
      <c r="AI54" s="24"/>
      <c r="AJ54" s="24"/>
    </row>
    <row r="55" spans="2:36" x14ac:dyDescent="0.25">
      <c r="B55" s="61"/>
      <c r="C55" s="61"/>
      <c r="D55" s="61"/>
      <c r="E55" s="61"/>
      <c r="F55" s="61"/>
      <c r="G55" s="61"/>
      <c r="H55" s="61"/>
      <c r="I55" s="638"/>
      <c r="J55" s="638"/>
      <c r="K55" s="638"/>
      <c r="L55" s="638"/>
      <c r="M55" s="638"/>
      <c r="N55" s="638"/>
      <c r="O55" s="638"/>
      <c r="P55" s="61"/>
      <c r="Q55" s="61"/>
      <c r="R55" s="61"/>
      <c r="S55" s="61"/>
      <c r="T55" s="61"/>
      <c r="U55" s="61"/>
      <c r="W55" s="24"/>
      <c r="X55" s="24"/>
      <c r="Y55" s="24"/>
      <c r="Z55" s="24"/>
      <c r="AA55" s="24"/>
      <c r="AB55" s="24"/>
      <c r="AC55" s="24"/>
      <c r="AD55" s="24"/>
      <c r="AE55" s="24"/>
      <c r="AF55" s="24"/>
      <c r="AG55" s="24"/>
      <c r="AH55" s="24"/>
      <c r="AI55" s="24"/>
      <c r="AJ55" s="24"/>
    </row>
    <row r="56" spans="2:36" x14ac:dyDescent="0.25">
      <c r="B56" s="61"/>
      <c r="C56" s="61"/>
      <c r="D56" s="61"/>
      <c r="E56" s="61"/>
      <c r="F56" s="61"/>
      <c r="G56" s="61"/>
      <c r="H56" s="61"/>
      <c r="I56" s="638"/>
      <c r="J56" s="638"/>
      <c r="K56" s="638"/>
      <c r="L56" s="638"/>
      <c r="M56" s="638"/>
      <c r="N56" s="638"/>
      <c r="O56" s="638"/>
      <c r="P56" s="61"/>
      <c r="Q56" s="61"/>
      <c r="R56" s="61"/>
      <c r="S56" s="61"/>
      <c r="T56" s="61"/>
      <c r="U56" s="61"/>
      <c r="W56" s="24"/>
      <c r="X56" s="24"/>
      <c r="Y56" s="24"/>
      <c r="Z56" s="24"/>
      <c r="AA56" s="24"/>
      <c r="AB56" s="24"/>
      <c r="AC56" s="24"/>
      <c r="AD56" s="24"/>
      <c r="AE56" s="24"/>
      <c r="AF56" s="24"/>
      <c r="AG56" s="24"/>
      <c r="AH56" s="24"/>
      <c r="AI56" s="24"/>
      <c r="AJ56" s="24"/>
    </row>
    <row r="57" spans="2:36" x14ac:dyDescent="0.25">
      <c r="B57" s="61"/>
      <c r="C57" s="61"/>
      <c r="D57" s="61"/>
      <c r="E57" s="61"/>
      <c r="F57" s="61"/>
      <c r="G57" s="61"/>
      <c r="H57" s="61"/>
      <c r="I57" s="19"/>
      <c r="J57" s="19"/>
      <c r="K57" s="638"/>
      <c r="L57" s="638"/>
      <c r="M57" s="638"/>
      <c r="N57" s="638"/>
      <c r="O57" s="638"/>
      <c r="P57" s="61"/>
      <c r="Q57" s="61"/>
      <c r="R57" s="61"/>
      <c r="S57" s="61"/>
      <c r="T57" s="61"/>
      <c r="U57" s="61"/>
      <c r="W57" s="206"/>
      <c r="X57" s="287"/>
      <c r="Y57" s="24"/>
      <c r="Z57" s="24"/>
      <c r="AA57" s="24"/>
      <c r="AB57" s="24"/>
      <c r="AC57" s="24"/>
      <c r="AD57" s="24"/>
      <c r="AE57" s="24"/>
      <c r="AF57" s="24"/>
      <c r="AG57" s="24"/>
      <c r="AH57" s="24"/>
      <c r="AI57" s="24"/>
      <c r="AJ57" s="24"/>
    </row>
    <row r="58" spans="2:36" x14ac:dyDescent="0.25">
      <c r="B58" s="61"/>
      <c r="C58" s="61"/>
      <c r="D58" s="61"/>
      <c r="E58" s="61"/>
      <c r="F58" s="61"/>
      <c r="G58" s="61"/>
      <c r="H58" s="61"/>
      <c r="I58" s="19"/>
      <c r="J58" s="19"/>
      <c r="K58" s="638"/>
      <c r="L58" s="638"/>
      <c r="M58" s="638"/>
      <c r="N58" s="638"/>
      <c r="O58" s="638"/>
      <c r="P58" s="61"/>
      <c r="Q58" s="61"/>
      <c r="R58" s="61"/>
      <c r="S58" s="61"/>
      <c r="T58" s="61"/>
      <c r="U58" s="61"/>
      <c r="W58" s="206"/>
      <c r="X58" s="287"/>
      <c r="Y58" s="24"/>
      <c r="Z58" s="24"/>
      <c r="AA58" s="24"/>
      <c r="AB58" s="24"/>
      <c r="AC58" s="24"/>
      <c r="AD58" s="24"/>
      <c r="AE58" s="24"/>
      <c r="AF58" s="24"/>
      <c r="AG58" s="24"/>
      <c r="AH58" s="24"/>
      <c r="AI58" s="24"/>
      <c r="AJ58" s="24"/>
    </row>
    <row r="59" spans="2:36" x14ac:dyDescent="0.25">
      <c r="B59" s="61"/>
      <c r="C59" s="61"/>
      <c r="D59" s="61"/>
      <c r="E59" s="61"/>
      <c r="F59" s="61"/>
      <c r="G59" s="61"/>
      <c r="H59" s="61"/>
      <c r="I59" s="638"/>
      <c r="J59" s="638"/>
      <c r="K59" s="638"/>
      <c r="L59" s="638"/>
      <c r="M59" s="638"/>
      <c r="N59" s="638"/>
      <c r="O59" s="638"/>
      <c r="P59" s="61"/>
      <c r="Q59" s="61"/>
      <c r="R59" s="61"/>
      <c r="S59" s="61"/>
      <c r="T59" s="61"/>
      <c r="U59" s="61"/>
      <c r="W59" s="24"/>
      <c r="X59" s="24"/>
      <c r="Y59" s="24"/>
      <c r="Z59" s="24"/>
      <c r="AA59" s="24"/>
      <c r="AB59" s="24"/>
      <c r="AC59" s="24"/>
      <c r="AD59" s="24"/>
      <c r="AE59" s="24"/>
      <c r="AF59" s="24"/>
      <c r="AG59" s="24"/>
      <c r="AH59" s="24"/>
      <c r="AI59" s="24"/>
      <c r="AJ59" s="24"/>
    </row>
    <row r="60" spans="2:36" x14ac:dyDescent="0.25">
      <c r="B60" s="873"/>
      <c r="C60" s="874"/>
      <c r="D60" s="874"/>
      <c r="E60" s="874"/>
      <c r="F60" s="874"/>
      <c r="G60" s="874"/>
      <c r="H60" s="638"/>
      <c r="I60" s="638"/>
      <c r="J60" s="638"/>
      <c r="K60" s="638"/>
      <c r="L60" s="638"/>
      <c r="M60" s="638"/>
      <c r="N60" s="638"/>
      <c r="O60" s="638"/>
      <c r="P60" s="873"/>
      <c r="Q60" s="874"/>
      <c r="R60" s="874"/>
      <c r="S60" s="874"/>
      <c r="T60" s="874"/>
      <c r="U60" s="874"/>
      <c r="V60" s="25"/>
      <c r="W60" s="24"/>
      <c r="X60" s="24"/>
      <c r="Y60" s="24"/>
      <c r="Z60" s="24"/>
      <c r="AA60" s="24"/>
      <c r="AB60" s="24"/>
      <c r="AC60" s="24"/>
      <c r="AD60" s="24"/>
      <c r="AE60" s="24"/>
      <c r="AF60" s="24"/>
      <c r="AG60" s="24"/>
      <c r="AH60" s="24"/>
      <c r="AI60" s="24"/>
      <c r="AJ60" s="24"/>
    </row>
    <row r="61" spans="2:36" ht="15.75" x14ac:dyDescent="0.25">
      <c r="B61" s="875"/>
      <c r="C61" s="876"/>
      <c r="D61" s="876"/>
      <c r="E61" s="876"/>
      <c r="F61" s="876"/>
      <c r="G61" s="877"/>
      <c r="H61" s="638"/>
      <c r="I61" s="638"/>
      <c r="J61" s="638"/>
      <c r="K61" s="638"/>
      <c r="L61" s="638"/>
      <c r="M61" s="638"/>
      <c r="N61" s="638"/>
      <c r="O61" s="638"/>
      <c r="P61" s="875"/>
      <c r="Q61" s="876"/>
      <c r="R61" s="876"/>
      <c r="S61" s="876"/>
      <c r="T61" s="876"/>
      <c r="U61" s="877"/>
      <c r="V61" s="25"/>
      <c r="W61" s="24"/>
      <c r="X61" s="24"/>
      <c r="Y61" s="24"/>
      <c r="Z61" s="24"/>
      <c r="AA61" s="24"/>
      <c r="AB61" s="24"/>
      <c r="AC61" s="24"/>
      <c r="AD61" s="24"/>
      <c r="AE61" s="24"/>
      <c r="AF61" s="24"/>
      <c r="AG61" s="24"/>
      <c r="AH61" s="24"/>
      <c r="AI61" s="24"/>
      <c r="AJ61" s="24"/>
    </row>
    <row r="62" spans="2:36" ht="15.75" x14ac:dyDescent="0.25">
      <c r="B62" s="875"/>
      <c r="C62" s="876"/>
      <c r="D62" s="876"/>
      <c r="E62" s="876"/>
      <c r="F62" s="876"/>
      <c r="G62" s="877"/>
      <c r="H62" s="638"/>
      <c r="I62" s="638"/>
      <c r="J62" s="638"/>
      <c r="K62" s="638"/>
      <c r="L62" s="638"/>
      <c r="M62" s="638"/>
      <c r="N62" s="638"/>
      <c r="O62" s="638"/>
      <c r="P62" s="875"/>
      <c r="Q62" s="876"/>
      <c r="R62" s="876"/>
      <c r="S62" s="876"/>
      <c r="T62" s="876"/>
      <c r="U62" s="877"/>
      <c r="V62" s="25"/>
      <c r="W62" s="24"/>
      <c r="X62" s="24"/>
      <c r="Y62" s="24"/>
      <c r="Z62" s="24"/>
      <c r="AA62" s="24"/>
      <c r="AB62" s="24"/>
      <c r="AC62" s="24"/>
      <c r="AD62" s="24"/>
      <c r="AE62" s="24"/>
      <c r="AF62" s="24"/>
      <c r="AG62" s="24"/>
      <c r="AH62" s="24"/>
      <c r="AI62" s="24"/>
      <c r="AJ62" s="24"/>
    </row>
    <row r="63" spans="2:36" x14ac:dyDescent="0.25">
      <c r="B63" s="61"/>
      <c r="C63" s="61"/>
      <c r="D63" s="61"/>
      <c r="E63" s="61"/>
      <c r="F63" s="61"/>
      <c r="G63" s="61"/>
      <c r="H63" s="61"/>
      <c r="I63" s="61"/>
      <c r="J63" s="61"/>
      <c r="K63" s="61"/>
      <c r="L63" s="61"/>
      <c r="M63" s="61"/>
      <c r="N63" s="61"/>
      <c r="O63" s="61"/>
      <c r="P63" s="61"/>
      <c r="Q63" s="61"/>
      <c r="R63" s="61"/>
      <c r="S63" s="61"/>
      <c r="T63" s="61"/>
      <c r="U63" s="61"/>
      <c r="V63" s="24"/>
      <c r="W63" s="24"/>
      <c r="X63" s="24"/>
      <c r="Y63" s="24"/>
      <c r="Z63" s="24"/>
      <c r="AA63" s="24"/>
      <c r="AB63" s="24"/>
      <c r="AC63" s="24"/>
      <c r="AD63" s="24"/>
      <c r="AE63" s="24"/>
      <c r="AF63" s="24"/>
      <c r="AG63" s="24"/>
      <c r="AH63" s="24"/>
      <c r="AI63" s="24"/>
      <c r="AJ63" s="24"/>
    </row>
    <row r="64" spans="2:36" x14ac:dyDescent="0.25">
      <c r="B64" s="61"/>
      <c r="C64" s="61"/>
      <c r="D64" s="61"/>
      <c r="E64" s="61"/>
      <c r="F64" s="61"/>
      <c r="G64" s="61"/>
      <c r="H64" s="61"/>
      <c r="I64" s="61"/>
      <c r="J64" s="61"/>
      <c r="K64" s="61"/>
      <c r="L64" s="61"/>
      <c r="M64" s="61"/>
      <c r="N64" s="61"/>
      <c r="O64" s="61"/>
      <c r="P64" s="61"/>
      <c r="Q64" s="61"/>
      <c r="R64" s="61"/>
      <c r="S64" s="61"/>
      <c r="T64" s="61"/>
      <c r="U64" s="61"/>
      <c r="V64" s="24"/>
      <c r="W64" s="24"/>
      <c r="X64" s="24"/>
      <c r="Y64" s="24"/>
      <c r="Z64" s="24"/>
      <c r="AA64" s="24"/>
      <c r="AB64" s="24"/>
      <c r="AC64" s="24"/>
      <c r="AD64" s="24"/>
      <c r="AE64" s="24"/>
      <c r="AF64" s="24"/>
      <c r="AG64" s="24"/>
      <c r="AH64" s="24"/>
      <c r="AI64" s="24"/>
      <c r="AJ64" s="24"/>
    </row>
    <row r="65" spans="2:36" x14ac:dyDescent="0.25">
      <c r="B65" s="61"/>
      <c r="C65" s="61"/>
      <c r="D65" s="61"/>
      <c r="E65" s="61"/>
      <c r="F65" s="61"/>
      <c r="G65" s="61"/>
      <c r="H65" s="19"/>
      <c r="I65" s="19"/>
      <c r="J65" s="460"/>
      <c r="K65" s="61"/>
      <c r="L65" s="61"/>
      <c r="M65" s="61"/>
      <c r="N65" s="61"/>
      <c r="O65" s="61"/>
      <c r="P65" s="61"/>
      <c r="Q65" s="61"/>
      <c r="R65" s="61"/>
      <c r="S65" s="61"/>
      <c r="T65" s="61"/>
      <c r="U65" s="61"/>
      <c r="V65" s="206"/>
      <c r="W65" s="206"/>
      <c r="X65" s="287"/>
      <c r="Y65" s="24"/>
      <c r="Z65" s="24"/>
      <c r="AA65" s="24"/>
      <c r="AB65" s="24"/>
      <c r="AC65" s="24"/>
      <c r="AD65" s="24"/>
      <c r="AE65" s="24"/>
      <c r="AF65" s="24"/>
      <c r="AG65" s="24"/>
      <c r="AH65" s="24"/>
      <c r="AI65" s="24"/>
      <c r="AJ65" s="24"/>
    </row>
    <row r="66" spans="2:36" x14ac:dyDescent="0.25">
      <c r="B66" s="61"/>
      <c r="C66" s="61"/>
      <c r="D66" s="61"/>
      <c r="E66" s="61"/>
      <c r="F66" s="61"/>
      <c r="G66" s="61"/>
      <c r="H66" s="19"/>
      <c r="I66" s="19"/>
      <c r="J66" s="460"/>
      <c r="K66" s="61"/>
      <c r="L66" s="61"/>
      <c r="M66" s="61"/>
      <c r="N66" s="61"/>
      <c r="O66" s="61"/>
      <c r="P66" s="61"/>
      <c r="Q66" s="61"/>
      <c r="R66" s="61"/>
      <c r="S66" s="61"/>
      <c r="T66" s="61"/>
      <c r="U66" s="61"/>
      <c r="V66" s="24"/>
      <c r="W66" s="24"/>
      <c r="X66" s="24"/>
      <c r="Y66" s="24"/>
      <c r="Z66" s="24"/>
      <c r="AA66" s="24"/>
      <c r="AB66" s="24"/>
      <c r="AC66" s="24"/>
      <c r="AD66" s="24"/>
      <c r="AE66" s="24"/>
      <c r="AF66" s="24"/>
      <c r="AG66" s="24"/>
      <c r="AH66" s="24"/>
      <c r="AI66" s="24"/>
      <c r="AJ66" s="24"/>
    </row>
    <row r="67" spans="2:36" x14ac:dyDescent="0.25">
      <c r="B67" s="61"/>
      <c r="C67" s="61"/>
      <c r="D67" s="61"/>
      <c r="E67" s="61"/>
      <c r="F67" s="61"/>
      <c r="G67" s="61"/>
      <c r="H67" s="19"/>
      <c r="I67" s="19"/>
      <c r="J67" s="460"/>
      <c r="K67" s="61"/>
      <c r="L67" s="61"/>
      <c r="M67" s="61"/>
      <c r="N67" s="61"/>
      <c r="O67" s="61"/>
      <c r="P67" s="61"/>
      <c r="Q67" s="61"/>
      <c r="R67" s="61"/>
      <c r="S67" s="61"/>
      <c r="T67" s="61"/>
      <c r="U67" s="61"/>
      <c r="V67" s="24"/>
      <c r="W67" s="24"/>
      <c r="X67" s="24"/>
      <c r="Y67" s="24"/>
      <c r="Z67" s="24"/>
      <c r="AA67" s="24"/>
      <c r="AB67" s="24"/>
      <c r="AC67" s="24"/>
      <c r="AD67" s="24"/>
      <c r="AE67" s="24"/>
      <c r="AF67" s="24"/>
      <c r="AG67" s="24"/>
      <c r="AH67" s="24"/>
      <c r="AI67" s="24"/>
      <c r="AJ67" s="24"/>
    </row>
    <row r="68" spans="2:36" x14ac:dyDescent="0.25">
      <c r="B68" s="61"/>
      <c r="C68" s="638"/>
      <c r="D68" s="638"/>
      <c r="E68" s="638"/>
      <c r="F68" s="638"/>
      <c r="G68" s="638"/>
      <c r="H68" s="19"/>
      <c r="I68" s="19"/>
      <c r="J68" s="19"/>
      <c r="K68" s="638"/>
      <c r="L68" s="638"/>
      <c r="M68" s="638"/>
      <c r="N68" s="638"/>
      <c r="O68" s="638"/>
      <c r="P68" s="638"/>
      <c r="Q68" s="61"/>
      <c r="R68" s="61"/>
      <c r="S68" s="61"/>
      <c r="T68" s="61"/>
      <c r="U68" s="61"/>
      <c r="V68" s="24"/>
      <c r="W68" s="24"/>
      <c r="X68" s="24"/>
      <c r="Y68" s="24"/>
      <c r="Z68" s="24"/>
      <c r="AA68" s="24"/>
      <c r="AB68" s="24"/>
      <c r="AC68" s="24"/>
      <c r="AD68" s="24"/>
      <c r="AE68" s="24"/>
      <c r="AF68" s="24"/>
      <c r="AG68" s="24"/>
      <c r="AH68" s="24"/>
      <c r="AI68" s="24"/>
      <c r="AJ68" s="24"/>
    </row>
    <row r="69" spans="2:36" x14ac:dyDescent="0.25">
      <c r="B69" s="61"/>
      <c r="C69" s="638"/>
      <c r="D69" s="638"/>
      <c r="E69" s="638"/>
      <c r="F69" s="638"/>
      <c r="G69" s="638"/>
      <c r="H69" s="638"/>
      <c r="I69" s="19"/>
      <c r="J69" s="638"/>
      <c r="K69" s="638"/>
      <c r="L69" s="638"/>
      <c r="M69" s="638"/>
      <c r="N69" s="638"/>
      <c r="O69" s="638"/>
      <c r="P69" s="638"/>
      <c r="Q69" s="61"/>
      <c r="R69" s="61"/>
      <c r="S69" s="61"/>
      <c r="T69" s="61"/>
      <c r="U69" s="61"/>
      <c r="X69" s="24"/>
      <c r="Y69" s="24"/>
      <c r="Z69" s="24"/>
      <c r="AA69" s="24"/>
      <c r="AB69" s="24"/>
      <c r="AC69" s="24"/>
      <c r="AD69" s="24"/>
      <c r="AE69" s="24"/>
      <c r="AF69" s="24"/>
      <c r="AG69" s="24"/>
      <c r="AH69" s="24"/>
      <c r="AI69" s="24"/>
      <c r="AJ69" s="24"/>
    </row>
    <row r="70" spans="2:36" x14ac:dyDescent="0.25">
      <c r="B70" s="61"/>
      <c r="C70" s="638"/>
      <c r="D70" s="638"/>
      <c r="E70" s="19"/>
      <c r="F70" s="19"/>
      <c r="G70" s="19"/>
      <c r="H70" s="19"/>
      <c r="I70" s="638"/>
      <c r="J70" s="638"/>
      <c r="K70" s="638"/>
      <c r="L70" s="638"/>
      <c r="M70" s="638"/>
      <c r="N70" s="638"/>
      <c r="O70" s="19"/>
      <c r="P70" s="638"/>
      <c r="Q70" s="61"/>
      <c r="R70" s="61"/>
      <c r="S70" s="61"/>
      <c r="T70" s="61"/>
      <c r="U70" s="61"/>
      <c r="X70" s="25"/>
      <c r="Y70" s="24"/>
      <c r="Z70" s="24"/>
      <c r="AA70" s="24"/>
      <c r="AB70" s="24"/>
      <c r="AC70" s="24"/>
      <c r="AD70" s="24"/>
      <c r="AE70" s="24"/>
      <c r="AF70" s="24"/>
      <c r="AG70" s="24"/>
      <c r="AH70" s="24"/>
      <c r="AI70" s="24"/>
      <c r="AJ70" s="24"/>
    </row>
    <row r="71" spans="2:36" x14ac:dyDescent="0.25">
      <c r="B71" s="61"/>
      <c r="C71" s="638"/>
      <c r="D71" s="638"/>
      <c r="E71" s="878"/>
      <c r="F71" s="878"/>
      <c r="G71" s="878"/>
      <c r="H71" s="878"/>
      <c r="I71" s="638"/>
      <c r="J71" s="638"/>
      <c r="K71" s="878"/>
      <c r="L71" s="878"/>
      <c r="M71" s="878"/>
      <c r="N71" s="878"/>
      <c r="O71" s="638"/>
      <c r="P71" s="638"/>
      <c r="Q71" s="61"/>
      <c r="R71" s="61"/>
      <c r="S71" s="61"/>
      <c r="T71" s="61"/>
      <c r="U71" s="61"/>
      <c r="X71" s="25"/>
      <c r="Y71" s="24"/>
      <c r="Z71" s="24"/>
      <c r="AA71" s="24"/>
      <c r="AB71" s="24"/>
      <c r="AC71" s="24"/>
      <c r="AD71" s="24"/>
      <c r="AE71" s="24"/>
      <c r="AF71" s="24"/>
      <c r="AG71" s="24"/>
      <c r="AH71" s="24"/>
      <c r="AI71" s="24"/>
      <c r="AJ71" s="24"/>
    </row>
    <row r="72" spans="2:36" x14ac:dyDescent="0.25">
      <c r="B72" s="61"/>
      <c r="C72" s="638"/>
      <c r="D72" s="638"/>
      <c r="E72" s="878"/>
      <c r="F72" s="878"/>
      <c r="G72" s="878"/>
      <c r="H72" s="878"/>
      <c r="I72" s="638"/>
      <c r="J72" s="638"/>
      <c r="K72" s="878"/>
      <c r="L72" s="878"/>
      <c r="M72" s="878"/>
      <c r="N72" s="878"/>
      <c r="O72" s="638"/>
      <c r="P72" s="638"/>
      <c r="Q72" s="61"/>
      <c r="R72" s="61"/>
      <c r="S72" s="61"/>
      <c r="T72" s="61"/>
      <c r="U72" s="61"/>
      <c r="X72" s="24"/>
      <c r="Y72" s="24"/>
      <c r="Z72" s="24"/>
      <c r="AA72" s="24"/>
      <c r="AB72" s="24"/>
      <c r="AC72" s="24"/>
      <c r="AD72" s="24"/>
      <c r="AE72" s="24"/>
      <c r="AF72" s="24"/>
      <c r="AG72" s="24"/>
      <c r="AH72" s="24"/>
      <c r="AI72" s="24"/>
      <c r="AJ72" s="24"/>
    </row>
    <row r="73" spans="2:36" x14ac:dyDescent="0.25">
      <c r="B73" s="61"/>
      <c r="C73" s="638"/>
      <c r="D73" s="638"/>
      <c r="E73" s="878"/>
      <c r="F73" s="878"/>
      <c r="G73" s="878"/>
      <c r="H73" s="878"/>
      <c r="I73" s="638"/>
      <c r="J73" s="638"/>
      <c r="K73" s="878"/>
      <c r="L73" s="878"/>
      <c r="M73" s="878"/>
      <c r="N73" s="878"/>
      <c r="O73" s="638"/>
      <c r="P73" s="638"/>
      <c r="Q73" s="61"/>
      <c r="R73" s="61"/>
      <c r="S73" s="61"/>
      <c r="T73" s="61"/>
      <c r="U73" s="61"/>
      <c r="X73" s="24"/>
      <c r="Y73" s="24"/>
      <c r="Z73" s="24"/>
      <c r="AA73" s="24"/>
      <c r="AB73" s="24"/>
      <c r="AC73" s="24"/>
      <c r="AD73" s="24"/>
      <c r="AE73" s="24"/>
      <c r="AF73" s="24"/>
      <c r="AG73" s="24"/>
      <c r="AH73" s="24"/>
      <c r="AI73" s="24"/>
      <c r="AJ73" s="24"/>
    </row>
    <row r="74" spans="2:36" x14ac:dyDescent="0.25">
      <c r="B74" s="61"/>
      <c r="C74" s="638"/>
      <c r="D74" s="638"/>
      <c r="E74" s="878"/>
      <c r="F74" s="878"/>
      <c r="G74" s="878"/>
      <c r="H74" s="878"/>
      <c r="I74" s="638"/>
      <c r="J74" s="638"/>
      <c r="K74" s="878"/>
      <c r="L74" s="878"/>
      <c r="M74" s="878"/>
      <c r="N74" s="878"/>
      <c r="O74" s="638"/>
      <c r="P74" s="638"/>
      <c r="Q74" s="61"/>
      <c r="R74" s="61"/>
      <c r="S74" s="61"/>
      <c r="T74" s="61"/>
      <c r="U74" s="61"/>
      <c r="X74" s="24"/>
      <c r="Y74" s="24"/>
      <c r="Z74" s="24"/>
      <c r="AA74" s="24"/>
      <c r="AB74" s="24"/>
      <c r="AC74" s="24"/>
      <c r="AD74" s="24"/>
      <c r="AE74" s="24"/>
      <c r="AF74" s="24"/>
      <c r="AG74" s="24"/>
      <c r="AH74" s="24"/>
      <c r="AI74" s="24"/>
      <c r="AJ74" s="24"/>
    </row>
    <row r="75" spans="2:36" x14ac:dyDescent="0.25">
      <c r="B75" s="61"/>
      <c r="C75" s="638"/>
      <c r="D75" s="638"/>
      <c r="E75" s="878"/>
      <c r="F75" s="878"/>
      <c r="G75" s="878"/>
      <c r="H75" s="878"/>
      <c r="I75" s="638"/>
      <c r="J75" s="638"/>
      <c r="K75" s="878"/>
      <c r="L75" s="878"/>
      <c r="M75" s="878"/>
      <c r="N75" s="878"/>
      <c r="O75" s="638"/>
      <c r="P75" s="638"/>
      <c r="Q75" s="61"/>
      <c r="R75" s="61"/>
      <c r="S75" s="61"/>
      <c r="T75" s="61"/>
      <c r="U75" s="61"/>
      <c r="X75" s="24"/>
      <c r="Y75" s="24"/>
      <c r="Z75" s="24"/>
      <c r="AA75" s="24"/>
      <c r="AB75" s="24"/>
      <c r="AC75" s="24"/>
      <c r="AD75" s="24"/>
      <c r="AE75" s="24"/>
      <c r="AF75" s="24"/>
      <c r="AG75" s="24"/>
      <c r="AH75" s="24"/>
      <c r="AI75" s="24"/>
      <c r="AJ75" s="24"/>
    </row>
    <row r="76" spans="2:36" x14ac:dyDescent="0.25">
      <c r="B76" s="61"/>
      <c r="C76" s="638"/>
      <c r="D76" s="638"/>
      <c r="E76" s="878"/>
      <c r="F76" s="878"/>
      <c r="G76" s="878"/>
      <c r="H76" s="878"/>
      <c r="I76" s="638"/>
      <c r="J76" s="638"/>
      <c r="K76" s="878"/>
      <c r="L76" s="878"/>
      <c r="M76" s="878"/>
      <c r="N76" s="878"/>
      <c r="O76" s="638"/>
      <c r="P76" s="638"/>
      <c r="Q76" s="61"/>
      <c r="R76" s="61"/>
      <c r="S76" s="61"/>
      <c r="T76" s="61"/>
      <c r="U76" s="61"/>
      <c r="X76" s="24"/>
      <c r="Y76" s="24"/>
      <c r="Z76" s="24"/>
      <c r="AA76" s="24"/>
      <c r="AB76" s="24"/>
      <c r="AC76" s="24"/>
      <c r="AD76" s="24"/>
      <c r="AE76" s="24"/>
      <c r="AF76" s="24"/>
      <c r="AG76" s="24"/>
      <c r="AH76" s="24"/>
      <c r="AI76" s="24"/>
      <c r="AJ76" s="24"/>
    </row>
    <row r="77" spans="2:36" x14ac:dyDescent="0.25">
      <c r="B77" s="61"/>
      <c r="C77" s="638"/>
      <c r="D77" s="638"/>
      <c r="E77" s="878"/>
      <c r="F77" s="878"/>
      <c r="G77" s="878"/>
      <c r="H77" s="878"/>
      <c r="I77" s="638"/>
      <c r="J77" s="638"/>
      <c r="K77" s="878"/>
      <c r="L77" s="878"/>
      <c r="M77" s="878"/>
      <c r="N77" s="878"/>
      <c r="O77" s="638"/>
      <c r="P77" s="638"/>
      <c r="Q77" s="61"/>
      <c r="R77" s="61"/>
      <c r="S77" s="61"/>
      <c r="T77" s="61"/>
      <c r="U77" s="61"/>
      <c r="X77" s="24"/>
      <c r="Y77" s="24"/>
      <c r="Z77" s="24"/>
      <c r="AA77" s="24"/>
      <c r="AB77" s="24"/>
      <c r="AC77" s="24"/>
      <c r="AD77" s="24"/>
      <c r="AE77" s="24"/>
      <c r="AF77" s="24"/>
      <c r="AG77" s="24"/>
      <c r="AH77" s="24"/>
      <c r="AI77" s="24"/>
      <c r="AJ77" s="24"/>
    </row>
    <row r="78" spans="2:36" x14ac:dyDescent="0.25">
      <c r="B78" s="61"/>
      <c r="C78" s="638"/>
      <c r="D78" s="638"/>
      <c r="E78" s="878"/>
      <c r="F78" s="878"/>
      <c r="G78" s="878"/>
      <c r="H78" s="878"/>
      <c r="I78" s="638"/>
      <c r="J78" s="638"/>
      <c r="K78" s="878"/>
      <c r="L78" s="878"/>
      <c r="M78" s="878"/>
      <c r="N78" s="878"/>
      <c r="O78" s="638"/>
      <c r="P78" s="638"/>
      <c r="Q78" s="61"/>
      <c r="R78" s="61"/>
      <c r="S78" s="61"/>
      <c r="T78" s="61"/>
      <c r="U78" s="61"/>
      <c r="X78" s="24"/>
      <c r="Y78" s="24"/>
      <c r="Z78" s="24"/>
      <c r="AA78" s="24"/>
      <c r="AB78" s="24"/>
      <c r="AC78" s="24"/>
      <c r="AD78" s="24"/>
      <c r="AE78" s="24"/>
      <c r="AF78" s="24"/>
      <c r="AG78" s="24"/>
      <c r="AH78" s="24"/>
      <c r="AI78" s="24"/>
      <c r="AJ78" s="24"/>
    </row>
    <row r="79" spans="2:36" x14ac:dyDescent="0.25">
      <c r="B79" s="61"/>
      <c r="C79" s="638"/>
      <c r="D79" s="638"/>
      <c r="E79" s="878"/>
      <c r="F79" s="878"/>
      <c r="G79" s="878"/>
      <c r="H79" s="878"/>
      <c r="I79" s="638"/>
      <c r="J79" s="638"/>
      <c r="K79" s="878"/>
      <c r="L79" s="878"/>
      <c r="M79" s="878"/>
      <c r="N79" s="878"/>
      <c r="O79" s="638"/>
      <c r="P79" s="638"/>
      <c r="Q79" s="61"/>
      <c r="R79" s="61"/>
      <c r="S79" s="61"/>
      <c r="T79" s="61"/>
      <c r="U79" s="61"/>
      <c r="X79" s="24"/>
      <c r="Y79" s="24"/>
      <c r="Z79" s="24"/>
      <c r="AA79" s="24"/>
      <c r="AB79" s="24"/>
      <c r="AC79" s="24"/>
      <c r="AD79" s="24"/>
      <c r="AE79" s="24"/>
      <c r="AF79" s="24"/>
      <c r="AG79" s="24"/>
      <c r="AH79" s="24"/>
      <c r="AI79" s="24"/>
      <c r="AJ79" s="24"/>
    </row>
    <row r="80" spans="2:36" x14ac:dyDescent="0.25">
      <c r="B80" s="61"/>
      <c r="C80" s="638"/>
      <c r="D80" s="638"/>
      <c r="E80" s="878"/>
      <c r="F80" s="878"/>
      <c r="G80" s="878"/>
      <c r="H80" s="878"/>
      <c r="I80" s="638"/>
      <c r="J80" s="638"/>
      <c r="K80" s="878"/>
      <c r="L80" s="878"/>
      <c r="M80" s="878"/>
      <c r="N80" s="878"/>
      <c r="O80" s="638"/>
      <c r="P80" s="638"/>
      <c r="Q80" s="61"/>
      <c r="R80" s="61"/>
      <c r="S80" s="61"/>
      <c r="T80" s="61"/>
      <c r="U80" s="61"/>
      <c r="X80" s="24"/>
      <c r="Y80" s="24"/>
      <c r="Z80" s="24"/>
      <c r="AA80" s="24"/>
      <c r="AB80" s="24"/>
      <c r="AC80" s="24"/>
      <c r="AD80" s="24"/>
      <c r="AE80" s="24"/>
      <c r="AF80" s="24"/>
      <c r="AG80" s="24"/>
      <c r="AH80" s="24"/>
      <c r="AI80" s="24"/>
      <c r="AJ80" s="24"/>
    </row>
    <row r="81" spans="2:36" x14ac:dyDescent="0.25">
      <c r="B81" s="61"/>
      <c r="C81" s="638"/>
      <c r="D81" s="638"/>
      <c r="E81" s="878"/>
      <c r="F81" s="878"/>
      <c r="G81" s="878"/>
      <c r="H81" s="878"/>
      <c r="I81" s="638"/>
      <c r="J81" s="638"/>
      <c r="K81" s="878"/>
      <c r="L81" s="878"/>
      <c r="M81" s="878"/>
      <c r="N81" s="878"/>
      <c r="O81" s="638"/>
      <c r="P81" s="638"/>
      <c r="Q81" s="61"/>
      <c r="R81" s="61"/>
      <c r="S81" s="61"/>
      <c r="T81" s="61"/>
      <c r="U81" s="61"/>
      <c r="X81" s="24"/>
      <c r="Y81" s="24"/>
      <c r="Z81" s="24"/>
      <c r="AA81" s="24"/>
      <c r="AB81" s="24"/>
      <c r="AC81" s="24"/>
      <c r="AD81" s="24"/>
      <c r="AE81" s="24"/>
      <c r="AF81" s="24"/>
      <c r="AG81" s="24"/>
      <c r="AH81" s="24"/>
      <c r="AI81" s="24"/>
      <c r="AJ81" s="24"/>
    </row>
    <row r="82" spans="2:36" x14ac:dyDescent="0.25">
      <c r="B82" s="24"/>
      <c r="C82" s="148"/>
      <c r="D82" s="25"/>
      <c r="E82" s="282"/>
      <c r="F82" s="282"/>
      <c r="G82" s="282"/>
      <c r="H82" s="282"/>
      <c r="I82" s="25"/>
      <c r="J82" s="25"/>
      <c r="K82" s="282"/>
      <c r="L82" s="282"/>
      <c r="M82" s="282"/>
      <c r="N82" s="282"/>
      <c r="O82" s="148"/>
      <c r="P82" s="25"/>
      <c r="Q82" s="24"/>
      <c r="X82" s="24"/>
      <c r="Y82" s="24"/>
      <c r="Z82" s="24"/>
      <c r="AA82" s="24"/>
      <c r="AB82" s="24"/>
      <c r="AC82" s="24"/>
      <c r="AD82" s="24"/>
      <c r="AE82" s="24"/>
      <c r="AF82" s="24"/>
      <c r="AG82" s="24"/>
      <c r="AH82" s="24"/>
      <c r="AI82" s="24"/>
      <c r="AJ82" s="24"/>
    </row>
    <row r="83" spans="2:36" x14ac:dyDescent="0.25">
      <c r="B83" s="24"/>
      <c r="C83" s="148"/>
      <c r="D83" s="25"/>
      <c r="E83" s="282"/>
      <c r="F83" s="282"/>
      <c r="G83" s="282"/>
      <c r="H83" s="282"/>
      <c r="I83" s="25"/>
      <c r="J83" s="25"/>
      <c r="K83" s="282"/>
      <c r="L83" s="282"/>
      <c r="M83" s="282"/>
      <c r="N83" s="282"/>
      <c r="O83" s="148"/>
      <c r="P83" s="25"/>
      <c r="Q83" s="24"/>
      <c r="X83" s="24"/>
      <c r="Y83" s="24"/>
      <c r="Z83" s="24"/>
      <c r="AA83" s="24"/>
      <c r="AB83" s="24"/>
      <c r="AC83" s="24"/>
      <c r="AD83" s="24"/>
      <c r="AE83" s="24"/>
      <c r="AF83" s="24"/>
      <c r="AG83" s="24"/>
      <c r="AH83" s="24"/>
      <c r="AI83" s="24"/>
      <c r="AJ83" s="24"/>
    </row>
    <row r="84" spans="2:36" x14ac:dyDescent="0.25">
      <c r="B84" s="24"/>
      <c r="C84" s="148"/>
      <c r="D84" s="25"/>
      <c r="E84" s="282"/>
      <c r="F84" s="282"/>
      <c r="G84" s="282"/>
      <c r="H84" s="282"/>
      <c r="I84" s="25"/>
      <c r="J84" s="25"/>
      <c r="K84" s="282"/>
      <c r="L84" s="282"/>
      <c r="M84" s="282"/>
      <c r="N84" s="282"/>
      <c r="O84" s="148"/>
      <c r="P84" s="25"/>
      <c r="Q84" s="24"/>
      <c r="X84" s="24"/>
      <c r="Y84" s="24"/>
      <c r="Z84" s="24"/>
      <c r="AA84" s="24"/>
      <c r="AB84" s="24"/>
      <c r="AC84" s="24"/>
      <c r="AD84" s="24"/>
      <c r="AE84" s="24"/>
      <c r="AF84" s="24"/>
      <c r="AG84" s="24"/>
      <c r="AH84" s="24"/>
      <c r="AI84" s="24"/>
      <c r="AJ84" s="24"/>
    </row>
    <row r="85" spans="2:36" x14ac:dyDescent="0.25">
      <c r="B85" s="24"/>
      <c r="C85" s="148"/>
      <c r="D85" s="25"/>
      <c r="E85" s="282"/>
      <c r="F85" s="282"/>
      <c r="G85" s="282"/>
      <c r="H85" s="282"/>
      <c r="I85" s="25"/>
      <c r="J85" s="25"/>
      <c r="K85" s="282"/>
      <c r="L85" s="282"/>
      <c r="M85" s="282"/>
      <c r="N85" s="282"/>
      <c r="O85" s="148"/>
      <c r="P85" s="25"/>
      <c r="Q85" s="24"/>
      <c r="X85" s="24"/>
      <c r="Y85" s="24"/>
      <c r="Z85" s="24"/>
      <c r="AA85" s="24"/>
      <c r="AB85" s="24"/>
      <c r="AC85" s="24"/>
      <c r="AD85" s="24"/>
      <c r="AE85" s="24"/>
      <c r="AF85" s="24"/>
      <c r="AG85" s="24"/>
      <c r="AH85" s="24"/>
      <c r="AI85" s="24"/>
      <c r="AJ85" s="24"/>
    </row>
    <row r="86" spans="2:36" x14ac:dyDescent="0.25">
      <c r="B86" s="24"/>
      <c r="C86" s="148"/>
      <c r="D86" s="25"/>
      <c r="E86" s="282"/>
      <c r="F86" s="282"/>
      <c r="G86" s="282"/>
      <c r="H86" s="282"/>
      <c r="I86" s="25"/>
      <c r="J86" s="25"/>
      <c r="K86" s="282"/>
      <c r="L86" s="282"/>
      <c r="M86" s="282"/>
      <c r="N86" s="282"/>
      <c r="O86" s="148"/>
      <c r="P86" s="25"/>
      <c r="Q86" s="24"/>
      <c r="X86" s="24"/>
      <c r="Y86" s="24"/>
      <c r="Z86" s="24"/>
      <c r="AA86" s="24"/>
      <c r="AB86" s="24"/>
      <c r="AC86" s="24"/>
      <c r="AD86" s="24"/>
      <c r="AE86" s="24"/>
      <c r="AF86" s="24"/>
      <c r="AG86" s="24"/>
      <c r="AH86" s="24"/>
      <c r="AI86" s="24"/>
      <c r="AJ86" s="24"/>
    </row>
    <row r="87" spans="2:36" x14ac:dyDescent="0.25">
      <c r="B87" s="24"/>
      <c r="C87" s="24"/>
      <c r="D87" s="24"/>
      <c r="E87" s="24"/>
      <c r="F87" s="24"/>
      <c r="G87" s="24"/>
      <c r="H87" s="24"/>
      <c r="I87" s="24"/>
      <c r="J87" s="24"/>
      <c r="K87" s="24"/>
      <c r="L87" s="24"/>
      <c r="M87" s="24"/>
      <c r="N87" s="24"/>
      <c r="O87" s="24"/>
      <c r="P87" s="24"/>
      <c r="Q87" s="24"/>
      <c r="R87" s="24"/>
      <c r="S87" s="24"/>
      <c r="T87" s="24"/>
      <c r="U87" s="24"/>
      <c r="V87" s="24"/>
      <c r="W87" s="24"/>
      <c r="X87" s="24"/>
      <c r="Y87" s="24"/>
      <c r="Z87" s="24"/>
      <c r="AA87" s="24"/>
      <c r="AB87" s="24"/>
      <c r="AC87" s="24"/>
      <c r="AD87" s="24"/>
      <c r="AE87" s="24"/>
      <c r="AF87" s="24"/>
      <c r="AG87" s="24"/>
      <c r="AH87" s="24"/>
      <c r="AI87" s="24"/>
      <c r="AJ87" s="24"/>
    </row>
    <row r="88" spans="2:36" x14ac:dyDescent="0.25">
      <c r="B88" s="24"/>
      <c r="C88" s="24"/>
      <c r="D88" s="24"/>
      <c r="E88" s="24"/>
      <c r="F88" s="24"/>
      <c r="G88" s="24"/>
      <c r="H88" s="24"/>
      <c r="I88" s="24"/>
      <c r="J88" s="24"/>
      <c r="K88" s="24"/>
      <c r="L88" s="24"/>
      <c r="M88" s="24"/>
      <c r="N88" s="24"/>
      <c r="O88" s="24"/>
      <c r="P88" s="24"/>
      <c r="Q88" s="24"/>
      <c r="R88" s="24"/>
      <c r="S88" s="24"/>
      <c r="T88" s="24"/>
      <c r="U88" s="24"/>
      <c r="V88" s="24"/>
      <c r="W88" s="24"/>
      <c r="X88" s="24"/>
      <c r="Y88" s="24"/>
      <c r="Z88" s="24"/>
      <c r="AA88" s="24"/>
      <c r="AB88" s="24"/>
      <c r="AC88" s="24"/>
      <c r="AD88" s="24"/>
      <c r="AE88" s="24"/>
      <c r="AF88" s="24"/>
      <c r="AG88" s="24"/>
      <c r="AH88" s="24"/>
      <c r="AI88" s="24"/>
      <c r="AJ88" s="24"/>
    </row>
    <row r="89" spans="2:36" x14ac:dyDescent="0.25">
      <c r="B89" s="24"/>
      <c r="C89" s="24"/>
      <c r="D89" s="24"/>
      <c r="E89" s="24"/>
      <c r="F89" s="24"/>
      <c r="G89" s="24"/>
      <c r="H89" s="24"/>
      <c r="I89" s="24"/>
      <c r="J89" s="24"/>
      <c r="K89" s="24"/>
      <c r="L89" s="24"/>
      <c r="M89" s="24"/>
      <c r="N89" s="24"/>
      <c r="O89" s="24"/>
      <c r="P89" s="24"/>
      <c r="Q89" s="24"/>
      <c r="R89" s="24"/>
      <c r="S89" s="24"/>
      <c r="T89" s="24"/>
      <c r="U89" s="24"/>
      <c r="V89" s="24"/>
      <c r="W89" s="24"/>
      <c r="X89" s="24"/>
      <c r="Y89" s="24"/>
      <c r="Z89" s="24"/>
      <c r="AA89" s="24"/>
      <c r="AB89" s="24"/>
      <c r="AC89" s="24"/>
      <c r="AD89" s="24"/>
      <c r="AE89" s="24"/>
      <c r="AF89" s="24"/>
      <c r="AG89" s="24"/>
      <c r="AH89" s="24"/>
      <c r="AI89" s="24"/>
      <c r="AJ89" s="24"/>
    </row>
    <row r="90" spans="2:36" x14ac:dyDescent="0.25">
      <c r="B90" s="24"/>
      <c r="C90" s="24"/>
      <c r="D90" s="24"/>
      <c r="E90" s="24"/>
      <c r="F90" s="24"/>
      <c r="G90" s="24"/>
      <c r="H90" s="24"/>
      <c r="I90" s="24"/>
      <c r="J90" s="24"/>
      <c r="K90" s="24"/>
      <c r="L90" s="24"/>
      <c r="M90" s="24"/>
      <c r="N90" s="24"/>
      <c r="O90" s="24"/>
      <c r="P90" s="24"/>
      <c r="Q90" s="24"/>
      <c r="R90" s="24"/>
      <c r="S90" s="24"/>
      <c r="T90" s="24"/>
      <c r="U90" s="24"/>
      <c r="V90" s="24"/>
      <c r="W90" s="24"/>
      <c r="X90" s="24"/>
      <c r="Y90" s="24"/>
      <c r="Z90" s="24"/>
      <c r="AA90" s="24"/>
      <c r="AB90" s="24"/>
      <c r="AC90" s="24"/>
      <c r="AD90" s="24"/>
      <c r="AE90" s="24"/>
      <c r="AF90" s="24"/>
      <c r="AG90" s="24"/>
      <c r="AH90" s="24"/>
      <c r="AI90" s="24"/>
      <c r="AJ90" s="24"/>
    </row>
    <row r="91" spans="2:36" x14ac:dyDescent="0.25">
      <c r="B91" s="24"/>
      <c r="C91" s="24"/>
      <c r="D91" s="24"/>
      <c r="E91" s="24"/>
      <c r="F91" s="24"/>
      <c r="G91" s="24"/>
      <c r="H91" s="24"/>
      <c r="I91" s="24"/>
      <c r="J91" s="24"/>
      <c r="K91" s="24"/>
      <c r="L91" s="24"/>
      <c r="M91" s="24"/>
      <c r="N91" s="24"/>
      <c r="O91" s="24"/>
      <c r="P91" s="24"/>
      <c r="Q91" s="24"/>
      <c r="R91" s="24"/>
      <c r="S91" s="24"/>
      <c r="T91" s="24"/>
      <c r="U91" s="24"/>
      <c r="V91" s="24"/>
      <c r="W91" s="24"/>
      <c r="X91" s="24"/>
      <c r="Y91" s="24"/>
      <c r="Z91" s="24"/>
      <c r="AA91" s="24"/>
      <c r="AB91" s="24"/>
      <c r="AC91" s="24"/>
      <c r="AD91" s="24"/>
      <c r="AE91" s="24"/>
      <c r="AF91" s="24"/>
      <c r="AG91" s="24"/>
      <c r="AH91" s="24"/>
      <c r="AI91" s="24"/>
      <c r="AJ91" s="24"/>
    </row>
    <row r="92" spans="2:36" x14ac:dyDescent="0.25">
      <c r="B92" s="24"/>
      <c r="C92" s="24"/>
      <c r="D92" s="24"/>
      <c r="E92" s="24"/>
      <c r="F92" s="24"/>
      <c r="G92" s="24"/>
      <c r="H92" s="24"/>
      <c r="I92" s="24"/>
      <c r="J92" s="24"/>
      <c r="K92" s="24"/>
      <c r="L92" s="24"/>
      <c r="M92" s="24"/>
      <c r="N92" s="24"/>
      <c r="O92" s="24"/>
      <c r="P92" s="24"/>
      <c r="Q92" s="24"/>
      <c r="R92" s="24"/>
      <c r="S92" s="24"/>
      <c r="T92" s="24"/>
      <c r="U92" s="24"/>
      <c r="V92" s="24"/>
      <c r="W92" s="24"/>
      <c r="X92" s="24"/>
      <c r="Y92" s="24"/>
      <c r="Z92" s="24"/>
      <c r="AA92" s="24"/>
      <c r="AB92" s="24"/>
      <c r="AC92" s="24"/>
      <c r="AD92" s="24"/>
      <c r="AE92" s="24"/>
      <c r="AF92" s="24"/>
      <c r="AG92" s="24"/>
      <c r="AH92" s="24"/>
      <c r="AI92" s="24"/>
      <c r="AJ92" s="24"/>
    </row>
    <row r="93" spans="2:36" x14ac:dyDescent="0.25">
      <c r="B93" s="24"/>
      <c r="C93" s="24"/>
      <c r="D93" s="24"/>
      <c r="E93" s="24"/>
      <c r="F93" s="24"/>
      <c r="G93" s="24"/>
      <c r="H93" s="24"/>
      <c r="I93" s="24"/>
      <c r="J93" s="24"/>
      <c r="K93" s="24"/>
      <c r="L93" s="24"/>
      <c r="M93" s="24"/>
      <c r="N93" s="24"/>
      <c r="O93" s="24"/>
      <c r="P93" s="24"/>
      <c r="Q93" s="24"/>
      <c r="R93" s="24"/>
      <c r="S93" s="24"/>
      <c r="T93" s="24"/>
      <c r="U93" s="24"/>
      <c r="V93" s="24"/>
      <c r="W93" s="24"/>
      <c r="X93" s="24"/>
      <c r="Y93" s="24"/>
      <c r="Z93" s="24"/>
      <c r="AA93" s="24"/>
      <c r="AB93" s="24"/>
      <c r="AC93" s="24"/>
      <c r="AD93" s="24"/>
      <c r="AE93" s="24"/>
      <c r="AF93" s="24"/>
      <c r="AG93" s="24"/>
      <c r="AH93" s="24"/>
      <c r="AI93" s="24"/>
      <c r="AJ93" s="24"/>
    </row>
    <row r="94" spans="2:36" x14ac:dyDescent="0.25">
      <c r="B94" s="24"/>
      <c r="C94" s="24"/>
      <c r="D94" s="24"/>
      <c r="E94" s="24"/>
      <c r="F94" s="24"/>
      <c r="G94" s="24"/>
      <c r="H94" s="24"/>
      <c r="I94" s="24"/>
      <c r="J94" s="24"/>
      <c r="K94" s="24"/>
      <c r="L94" s="24"/>
      <c r="M94" s="24"/>
      <c r="N94" s="24"/>
      <c r="O94" s="24"/>
      <c r="P94" s="24"/>
      <c r="Q94" s="24"/>
      <c r="R94" s="24"/>
      <c r="S94" s="24"/>
      <c r="T94" s="24"/>
      <c r="U94" s="24"/>
      <c r="V94" s="24"/>
      <c r="W94" s="24"/>
      <c r="X94" s="24"/>
      <c r="Y94" s="24"/>
      <c r="Z94" s="24"/>
      <c r="AA94" s="24"/>
      <c r="AB94" s="24"/>
      <c r="AC94" s="24"/>
      <c r="AD94" s="24"/>
      <c r="AE94" s="24"/>
      <c r="AF94" s="24"/>
      <c r="AG94" s="24"/>
      <c r="AH94" s="24"/>
      <c r="AI94" s="24"/>
      <c r="AJ94" s="24"/>
    </row>
    <row r="95" spans="2:36" x14ac:dyDescent="0.25">
      <c r="B95" s="24"/>
      <c r="C95" s="24"/>
      <c r="D95" s="24"/>
      <c r="E95" s="24"/>
      <c r="F95" s="24"/>
      <c r="G95" s="24"/>
      <c r="H95" s="24"/>
      <c r="I95" s="24"/>
      <c r="J95" s="24"/>
      <c r="K95" s="24"/>
      <c r="L95" s="24"/>
      <c r="M95" s="24"/>
      <c r="N95" s="24"/>
      <c r="O95" s="24"/>
      <c r="P95" s="24"/>
      <c r="Q95" s="24"/>
      <c r="R95" s="24"/>
      <c r="S95" s="24"/>
      <c r="T95" s="24"/>
      <c r="U95" s="24"/>
      <c r="V95" s="24"/>
      <c r="W95" s="24"/>
      <c r="X95" s="24"/>
      <c r="Y95" s="24"/>
      <c r="Z95" s="24"/>
      <c r="AA95" s="24"/>
      <c r="AB95" s="24"/>
      <c r="AC95" s="24"/>
      <c r="AD95" s="24"/>
      <c r="AE95" s="24"/>
      <c r="AF95" s="24"/>
      <c r="AG95" s="24"/>
      <c r="AH95" s="24"/>
      <c r="AI95" s="24"/>
      <c r="AJ95" s="24"/>
    </row>
    <row r="96" spans="2:36" x14ac:dyDescent="0.25">
      <c r="B96" s="24"/>
      <c r="C96" s="24"/>
      <c r="D96" s="24"/>
      <c r="E96" s="24"/>
      <c r="F96" s="24"/>
      <c r="G96" s="24"/>
      <c r="H96" s="24"/>
      <c r="I96" s="24"/>
      <c r="J96" s="24"/>
      <c r="K96" s="24"/>
      <c r="L96" s="24"/>
      <c r="M96" s="24"/>
      <c r="N96" s="24"/>
      <c r="O96" s="24"/>
      <c r="P96" s="24"/>
      <c r="Q96" s="24"/>
      <c r="R96" s="24"/>
      <c r="S96" s="24"/>
      <c r="T96" s="24"/>
      <c r="U96" s="24"/>
      <c r="V96" s="24"/>
      <c r="W96" s="24"/>
      <c r="X96" s="24"/>
      <c r="Y96" s="24"/>
      <c r="Z96" s="24"/>
      <c r="AA96" s="24"/>
      <c r="AB96" s="24"/>
      <c r="AC96" s="24"/>
      <c r="AD96" s="24"/>
      <c r="AE96" s="24"/>
      <c r="AF96" s="24"/>
      <c r="AG96" s="24"/>
      <c r="AH96" s="24"/>
      <c r="AI96" s="24"/>
      <c r="AJ96" s="24"/>
    </row>
    <row r="97" spans="2:36" x14ac:dyDescent="0.25">
      <c r="B97" s="24"/>
      <c r="C97" s="24"/>
      <c r="D97" s="24"/>
      <c r="E97" s="24"/>
      <c r="F97" s="24"/>
      <c r="G97" s="24"/>
      <c r="H97" s="24"/>
      <c r="I97" s="24"/>
      <c r="J97" s="24"/>
      <c r="K97" s="24"/>
      <c r="L97" s="24"/>
      <c r="M97" s="24"/>
      <c r="N97" s="24"/>
      <c r="O97" s="24"/>
      <c r="P97" s="24"/>
      <c r="Q97" s="24"/>
      <c r="R97" s="24"/>
      <c r="S97" s="24"/>
      <c r="T97" s="24"/>
      <c r="U97" s="24"/>
      <c r="V97" s="24"/>
      <c r="W97" s="24"/>
      <c r="X97" s="24"/>
      <c r="Y97" s="24"/>
      <c r="Z97" s="24"/>
      <c r="AA97" s="24"/>
      <c r="AB97" s="24"/>
      <c r="AC97" s="24"/>
      <c r="AD97" s="24"/>
      <c r="AE97" s="24"/>
      <c r="AF97" s="24"/>
      <c r="AG97" s="24"/>
      <c r="AH97" s="24"/>
      <c r="AI97" s="24"/>
      <c r="AJ97" s="24"/>
    </row>
    <row r="98" spans="2:36" x14ac:dyDescent="0.25">
      <c r="B98" s="24"/>
      <c r="C98" s="24"/>
      <c r="D98" s="24"/>
      <c r="E98" s="24"/>
      <c r="F98" s="24"/>
      <c r="G98" s="24"/>
      <c r="H98" s="24"/>
      <c r="I98" s="24"/>
      <c r="J98" s="24"/>
      <c r="K98" s="24"/>
      <c r="L98" s="24"/>
      <c r="M98" s="24"/>
      <c r="N98" s="24"/>
      <c r="O98" s="24"/>
      <c r="P98" s="24"/>
      <c r="Q98" s="24"/>
      <c r="R98" s="24"/>
      <c r="S98" s="24"/>
      <c r="T98" s="24"/>
      <c r="U98" s="24"/>
      <c r="V98" s="24"/>
      <c r="W98" s="24"/>
      <c r="X98" s="24"/>
      <c r="Y98" s="24"/>
      <c r="Z98" s="24"/>
      <c r="AA98" s="24"/>
      <c r="AB98" s="24"/>
      <c r="AC98" s="24"/>
      <c r="AD98" s="24"/>
      <c r="AE98" s="24"/>
      <c r="AF98" s="24"/>
      <c r="AG98" s="24"/>
      <c r="AH98" s="24"/>
      <c r="AI98" s="24"/>
      <c r="AJ98" s="24"/>
    </row>
    <row r="99" spans="2:36" ht="15.75" thickBot="1" x14ac:dyDescent="0.3">
      <c r="B99" s="24"/>
      <c r="C99" s="24"/>
      <c r="D99" s="24"/>
      <c r="E99" s="24"/>
      <c r="F99" s="24"/>
      <c r="G99" s="24"/>
      <c r="H99" s="24"/>
      <c r="I99" s="24"/>
      <c r="J99" s="24"/>
      <c r="K99" s="24"/>
      <c r="L99" s="24"/>
      <c r="M99" s="24"/>
      <c r="N99" s="24"/>
      <c r="O99" s="24"/>
      <c r="P99" s="24"/>
      <c r="Q99" s="24"/>
      <c r="R99" s="24"/>
      <c r="S99" s="24"/>
      <c r="T99" s="24"/>
      <c r="U99" s="24"/>
      <c r="V99" s="24"/>
      <c r="W99" s="24"/>
      <c r="X99" s="24"/>
      <c r="Y99" s="24"/>
      <c r="Z99" s="24"/>
      <c r="AA99" s="24"/>
      <c r="AB99" s="24"/>
      <c r="AC99" s="24"/>
      <c r="AD99" s="24"/>
      <c r="AE99" s="24"/>
      <c r="AF99" s="24"/>
      <c r="AG99" s="24"/>
      <c r="AH99" s="24"/>
      <c r="AI99" s="24"/>
      <c r="AJ99" s="24"/>
    </row>
    <row r="100" spans="2:36" x14ac:dyDescent="0.25">
      <c r="B100" s="24"/>
      <c r="C100" s="476" t="s">
        <v>7</v>
      </c>
      <c r="D100" s="477" t="s">
        <v>56</v>
      </c>
      <c r="E100" s="477" t="s">
        <v>57</v>
      </c>
      <c r="F100" s="477" t="s">
        <v>58</v>
      </c>
      <c r="G100" s="477" t="s">
        <v>59</v>
      </c>
      <c r="H100" s="477" t="s">
        <v>80</v>
      </c>
      <c r="I100" s="478">
        <v>0.19</v>
      </c>
      <c r="J100" s="24"/>
      <c r="K100" s="24"/>
      <c r="L100" s="487" t="s">
        <v>7</v>
      </c>
      <c r="M100" s="488" t="s">
        <v>56</v>
      </c>
      <c r="N100" s="488" t="s">
        <v>57</v>
      </c>
      <c r="O100" s="488" t="s">
        <v>58</v>
      </c>
      <c r="P100" s="488" t="s">
        <v>59</v>
      </c>
      <c r="Q100" s="488" t="s">
        <v>80</v>
      </c>
      <c r="R100" s="489">
        <v>0.19</v>
      </c>
      <c r="S100" s="24"/>
      <c r="T100" s="24"/>
      <c r="U100" s="24"/>
      <c r="V100" s="24"/>
      <c r="W100" s="24"/>
      <c r="X100" s="24"/>
      <c r="Y100" s="24"/>
      <c r="Z100" s="24"/>
      <c r="AA100" s="24"/>
      <c r="AB100" s="24"/>
      <c r="AC100" s="24"/>
      <c r="AD100" s="24"/>
      <c r="AE100" s="24"/>
      <c r="AF100" s="24"/>
      <c r="AG100" s="24"/>
      <c r="AH100" s="24"/>
      <c r="AI100" s="24"/>
      <c r="AJ100" s="24"/>
    </row>
    <row r="101" spans="2:36" x14ac:dyDescent="0.25">
      <c r="B101" s="24"/>
      <c r="C101" s="479" t="str">
        <f ca="1">B5</f>
        <v>16/17</v>
      </c>
      <c r="D101" s="472">
        <f ca="1">IFERROR(VLOOKUP(_xlfn.CONCAT($B$1,$C$2,Q_BRAND_FC!$K$3,Q_BUSAREA_FC!$C101,Q_BUSAREA_FC!D$100),HIS_SALES!$A$2:$Q$5093,17,FALSE),"-")</f>
        <v>2.98140019123709</v>
      </c>
      <c r="E101" s="472">
        <f ca="1">IFERROR(VLOOKUP(_xlfn.CONCAT($B$1,$C$2,Q_BRAND_FC!$K$3,Q_BUSAREA_FC!$C101,Q_BUSAREA_FC!E$100),HIS_SALES!$A$2:$Q$5093,17,FALSE),"-")</f>
        <v>3.0084729934767802</v>
      </c>
      <c r="F101" s="472">
        <f ca="1">IFERROR(VLOOKUP(_xlfn.CONCAT($B$1,$C$2,Q_BRAND_FC!$K$3,Q_BUSAREA_FC!$C101,Q_BUSAREA_FC!F$100),HIS_SALES!$A$2:$Q$5093,17,FALSE),"-")</f>
        <v>3.05338036762164</v>
      </c>
      <c r="G101" s="472">
        <f ca="1">IFERROR(VLOOKUP(_xlfn.CONCAT($B$1,$C$2,Q_BRAND_FC!$K$3,Q_BUSAREA_FC!$C101,Q_BUSAREA_FC!G$100),HIS_SALES!$A$2:$Q$5093,17,FALSE),"-")</f>
        <v>3.0003354907825202</v>
      </c>
      <c r="H101" s="448" t="str">
        <f ca="1">IFERROR(SUMIFS(#REF!,#REF!,Q_BUSAREA_FC!$C101,#REF!,Q_BUSAREA_FC!$K$19,#REF!,Q_BUSAREA_FC!$C$2,#REF!,Q_BUSAREA_FC!$B$1)/SUMIFS(#REF!,#REF!,Q_BUSAREA_FC!$C101,#REF!,Q_BUSAREA_FC!$K$19,#REF!,Q_BUSAREA_FC!$C$2,#REF!,Q_BUSAREA_FC!$B$1)*(1+$I$100),"-")</f>
        <v>-</v>
      </c>
      <c r="I101" s="480"/>
      <c r="J101" s="24"/>
      <c r="K101" s="24"/>
      <c r="L101" s="479" t="str">
        <f ca="1">C101</f>
        <v>16/17</v>
      </c>
      <c r="M101" s="472">
        <f ca="1">IFERROR(VLOOKUP(_xlfn.CONCAT($B$1,$O$2,Q_BRAND_FC!$K$3,Q_BUSAREA_FC!$C101,Q_BUSAREA_FC!M$100),HIS_SALES!$A$2:$Q$5093,17,FALSE),"-")</f>
        <v>2.9418536788282101</v>
      </c>
      <c r="N101" s="472">
        <f ca="1">IFERROR(VLOOKUP(_xlfn.CONCAT($B$1,$O$2,Q_BRAND_FC!$K$3,Q_BUSAREA_FC!$C101,Q_BUSAREA_FC!N$100),HIS_SALES!$A$2:$Q$5093,17,FALSE),"-")</f>
        <v>3.13924883208476</v>
      </c>
      <c r="O101" s="472">
        <f ca="1">IFERROR(VLOOKUP(_xlfn.CONCAT($B$1,$O$2,Q_BRAND_FC!$K$3,Q_BUSAREA_FC!$C101,Q_BUSAREA_FC!O$100),HIS_SALES!$A$2:$Q$5093,17,FALSE),"-")</f>
        <v>3.1745621672092401</v>
      </c>
      <c r="P101" s="472">
        <f ca="1">IFERROR(VLOOKUP(_xlfn.CONCAT($B$1,$O$2,Q_BRAND_FC!$K$3,Q_BUSAREA_FC!$C101,Q_BUSAREA_FC!P$100),HIS_SALES!$A$2:$Q$5093,17,FALSE),"-")</f>
        <v>3.05037840562365</v>
      </c>
      <c r="Q101" s="448" t="str">
        <f ca="1">IFERROR(SUMIFS(#REF!,#REF!,Q_BUSAREA_FC!$C101,#REF!,Q_BUSAREA_FC!$K$19,#REF!,Q_BUSAREA_FC!$C$2,#REF!,Q_BUSAREA_FC!$B$1)/SUMIFS(#REF!,#REF!,Q_BUSAREA_FC!$C101,#REF!,Q_BUSAREA_FC!$K$19,#REF!,Q_BUSAREA_FC!$C$2,#REF!,Q_BUSAREA_FC!$B$1)*(1+$I$100),"-")</f>
        <v>-</v>
      </c>
      <c r="R101" s="474"/>
      <c r="S101" s="24"/>
      <c r="T101" s="24"/>
      <c r="U101" s="24"/>
      <c r="V101" s="24"/>
      <c r="W101" s="24"/>
      <c r="X101" s="24"/>
      <c r="Y101" s="24"/>
      <c r="Z101" s="24"/>
      <c r="AA101" s="24"/>
      <c r="AB101" s="24"/>
      <c r="AC101" s="24"/>
      <c r="AD101" s="24"/>
      <c r="AE101" s="24"/>
      <c r="AF101" s="24"/>
      <c r="AG101" s="24"/>
      <c r="AH101" s="24"/>
      <c r="AI101" s="24"/>
      <c r="AJ101" s="24"/>
    </row>
    <row r="102" spans="2:36" x14ac:dyDescent="0.25">
      <c r="B102" s="24"/>
      <c r="C102" s="481" t="str">
        <f ca="1">B6</f>
        <v>17/18</v>
      </c>
      <c r="D102" s="472">
        <f ca="1">IFERROR(VLOOKUP(_xlfn.CONCAT($B$1,$C$2,Q_BRAND_FC!$K$3,Q_BUSAREA_FC!$C102,Q_BUSAREA_FC!D$100),HIS_SALES!$A$2:$Q$5093,17,FALSE),"-")</f>
        <v>3.1085568488952302</v>
      </c>
      <c r="E102" s="472">
        <f ca="1">IFERROR(VLOOKUP(_xlfn.CONCAT($B$1,$C$2,Q_BRAND_FC!$K$3,Q_BUSAREA_FC!$C102,Q_BUSAREA_FC!E$100),HIS_SALES!$A$2:$Q$5093,17,FALSE),"-")</f>
        <v>3.03544588823573</v>
      </c>
      <c r="F102" s="472">
        <f ca="1">IFERROR(VLOOKUP(_xlfn.CONCAT($B$1,$C$2,Q_BRAND_FC!$K$3,Q_BUSAREA_FC!$C102,Q_BUSAREA_FC!F$100),HIS_SALES!$A$2:$Q$5093,17,FALSE),"-")</f>
        <v>3.08295603265374</v>
      </c>
      <c r="G102" s="472">
        <f ca="1">IFERROR(VLOOKUP(_xlfn.CONCAT($B$1,$C$2,Q_BRAND_FC!$K$3,Q_BUSAREA_FC!$C102,Q_BUSAREA_FC!G$100),HIS_SALES!$A$2:$Q$5093,17,FALSE),G101)</f>
        <v>3.0265471800438299</v>
      </c>
      <c r="H102" s="448" t="str">
        <f ca="1">IFERROR(SUMIFS(#REF!,#REF!,Q_BUSAREA_FC!$C102,#REF!,Q_BUSAREA_FC!$K$19,#REF!,Q_BUSAREA_FC!$C$2,#REF!,Q_BUSAREA_FC!$B$1)/SUMIFS(#REF!,#REF!,Q_BUSAREA_FC!$C102,#REF!,Q_BUSAREA_FC!$K$19,#REF!,Q_BUSAREA_FC!$C$2,#REF!,Q_BUSAREA_FC!$B$1)*(1+$I$100),"-")</f>
        <v>-</v>
      </c>
      <c r="I102" s="480"/>
      <c r="J102" s="24"/>
      <c r="K102" s="24"/>
      <c r="L102" s="481" t="str">
        <f ca="1">C102</f>
        <v>17/18</v>
      </c>
      <c r="M102" s="472">
        <f ca="1">IFERROR(VLOOKUP(_xlfn.CONCAT($B$1,$O$2,Q_BRAND_FC!$K$3,Q_BUSAREA_FC!$C102,Q_BUSAREA_FC!M$100),HIS_SALES!$A$2:$Q$5093,17,FALSE),"-")</f>
        <v>3.12401284977736</v>
      </c>
      <c r="N102" s="472">
        <f ca="1">IFERROR(VLOOKUP(_xlfn.CONCAT($B$1,$O$2,Q_BRAND_FC!$K$3,Q_BUSAREA_FC!$C102,Q_BUSAREA_FC!N$100),HIS_SALES!$A$2:$Q$5093,17,FALSE),"-")</f>
        <v>3.0700520396412698</v>
      </c>
      <c r="O102" s="472">
        <f ca="1">IFERROR(VLOOKUP(_xlfn.CONCAT($B$1,$O$2,Q_BRAND_FC!$K$3,Q_BUSAREA_FC!$C102,Q_BUSAREA_FC!O$100),HIS_SALES!$A$2:$Q$5093,17,FALSE),"-")</f>
        <v>3.1114817299446398</v>
      </c>
      <c r="P102" s="472">
        <f ca="1">IFERROR(VLOOKUP(_xlfn.CONCAT($B$1,$O$2,Q_BRAND_FC!$K$3,Q_BUSAREA_FC!$C102,Q_BUSAREA_FC!P$100),HIS_SALES!$A$2:$Q$5093,17,FALSE),P101)</f>
        <v>3.0805899124086502</v>
      </c>
      <c r="Q102" s="448" t="str">
        <f ca="1">IFERROR(SUMIFS(#REF!,#REF!,Q_BUSAREA_FC!$C102,#REF!,Q_BUSAREA_FC!$K$19,#REF!,Q_BUSAREA_FC!$C$2,#REF!,Q_BUSAREA_FC!$B$1)/SUMIFS(#REF!,#REF!,Q_BUSAREA_FC!$C102,#REF!,Q_BUSAREA_FC!$K$19,#REF!,Q_BUSAREA_FC!$C$2,#REF!,Q_BUSAREA_FC!$B$1)*(1+$I$100),"-")</f>
        <v>-</v>
      </c>
      <c r="R102" s="474"/>
      <c r="S102" s="24"/>
      <c r="T102" s="24"/>
      <c r="U102" s="24"/>
      <c r="V102" s="24"/>
      <c r="W102" s="24"/>
      <c r="X102" s="24"/>
      <c r="Y102" s="24"/>
      <c r="Z102" s="24"/>
      <c r="AA102" s="24"/>
      <c r="AB102" s="24"/>
      <c r="AC102" s="24"/>
      <c r="AD102" s="24"/>
      <c r="AE102" s="24"/>
      <c r="AF102" s="24"/>
      <c r="AG102" s="24"/>
      <c r="AH102" s="24"/>
      <c r="AI102" s="24"/>
      <c r="AJ102" s="24"/>
    </row>
    <row r="103" spans="2:36" x14ac:dyDescent="0.25">
      <c r="B103" s="24"/>
      <c r="C103" s="481" t="str">
        <f ca="1">B7</f>
        <v>18/19</v>
      </c>
      <c r="D103" s="472">
        <f ca="1">IF(ISNA(VLOOKUP(_xlfn.CONCAT($B11,C$4),TIME!$L$27:$N$31,3,FALSE)),VLOOKUP(_xlfn.CONCAT($B$1,$C$2,Q_BRAND_FC!$K$3,Q_BUSAREA_FC!$C103,Q_BUSAREA_FC!D$100),HIS_SALES!$A$2:$Q$5093,17,FALSE),"-")</f>
        <v>3.0395718320205698</v>
      </c>
      <c r="E103" s="472">
        <f ca="1">IF(ISNA(VLOOKUP(_xlfn.CONCAT($B11,D$4),TIME!$L$27:$N$31,3,FALSE)),VLOOKUP(_xlfn.CONCAT($B$1,$C$2,Q_BRAND_FC!$K$3,Q_BUSAREA_FC!$C103,Q_BUSAREA_FC!E$100),HIS_SALES!$A$2:$Q$5093,17,FALSE),"-")</f>
        <v>3.0349739136489</v>
      </c>
      <c r="F103" s="472" t="str">
        <f ca="1">IF(ISNA(VLOOKUP(_xlfn.CONCAT($B11,E$4),TIME!$L$27:$N$31,3,FALSE)),VLOOKUP(_xlfn.CONCAT($B$1,$C$2,Q_BRAND_FC!$K$3,Q_BUSAREA_FC!$C103,Q_BUSAREA_FC!F$100),HIS_SALES!$A$2:$Q$5093,17,FALSE),"-")</f>
        <v>-</v>
      </c>
      <c r="G103" s="472" t="str">
        <f ca="1">IF(ISNA(VLOOKUP(_xlfn.CONCAT($B11,F$4),TIME!$L$27:$N$31,3,FALSE)),VLOOKUP(_xlfn.CONCAT($B$1,$C$2,Q_BRAND_FC!$K$3,Q_BUSAREA_FC!$C103,Q_BUSAREA_FC!G$100),HIS_SALES!$A$2:$Q$5093,17,FALSE),"-")</f>
        <v>-</v>
      </c>
      <c r="H103" s="472" t="str">
        <f ca="1">IFERROR(SUMIFS(#REF!,#REF!,Q_BUSAREA_FC!$C103,#REF!,Q_BUSAREA_FC!$K$19,#REF!,Q_BUSAREA_FC!$C$2,#REF!,Q_BUSAREA_FC!$B$1)/SUMIFS(#REF!,#REF!,Q_BUSAREA_FC!$C103,#REF!,Q_BUSAREA_FC!$K$19,#REF!,Q_BUSAREA_FC!$C$2,#REF!,Q_BUSAREA_FC!$B$1)*(1+$I$100),"-")</f>
        <v>-</v>
      </c>
      <c r="I103" s="480"/>
      <c r="J103" s="24"/>
      <c r="K103" s="24"/>
      <c r="L103" s="481" t="str">
        <f ca="1">C103</f>
        <v>18/19</v>
      </c>
      <c r="M103" s="472">
        <f ca="1">IF(ISNA(VLOOKUP(_xlfn.CONCAT($B11,C$4),TIME!$L$27:$N$31,3,FALSE)),VLOOKUP(_xlfn.CONCAT($B$1,$O$2,Q_BRAND_FC!$K$3,Q_BUSAREA_FC!$C103,Q_BUSAREA_FC!M$100),HIS_SALES!$A$2:$Q$5093,17,FALSE),"-")</f>
        <v>3.1040209210421201</v>
      </c>
      <c r="N103" s="472">
        <f ca="1">IF(ISNA(VLOOKUP(_xlfn.CONCAT($B11,D$4),TIME!$L$27:$N$31,3,FALSE)),VLOOKUP(_xlfn.CONCAT($B$1,$O$2,Q_BRAND_FC!$K$3,Q_BUSAREA_FC!$C103,Q_BUSAREA_FC!N$100),HIS_SALES!$A$2:$Q$5093,17,FALSE),"-")</f>
        <v>3.1272957526472598</v>
      </c>
      <c r="O103" s="472" t="str">
        <f ca="1">IF(ISNA(VLOOKUP(_xlfn.CONCAT($B11,E$4),TIME!$L$27:$N$31,3,FALSE)),VLOOKUP(_xlfn.CONCAT($B$1,$O$2,Q_BRAND_FC!$K$3,Q_BUSAREA_FC!$C103,Q_BUSAREA_FC!O$100),HIS_SALES!$A$2:$Q$5093,17,FALSE),"-")</f>
        <v>-</v>
      </c>
      <c r="P103" s="472" t="str">
        <f ca="1">IF(ISNA(VLOOKUP(_xlfn.CONCAT($B11,F$4),TIME!$L$27:$N$31,3,FALSE)),VLOOKUP(_xlfn.CONCAT($B$1,$O$2,Q_BRAND_FC!$K$3,Q_BUSAREA_FC!$C103,Q_BUSAREA_FC!P$100),HIS_SALES!$A$2:$Q$5093,17,FALSE),"-")</f>
        <v>-</v>
      </c>
      <c r="Q103" s="472" t="str">
        <f ca="1">IFERROR(SUMIFS(#REF!,#REF!,Q_BUSAREA_FC!$C103,#REF!,Q_BUSAREA_FC!$K$19,#REF!,Q_BUSAREA_FC!$C$2,#REF!,Q_BUSAREA_FC!$B$1)/SUMIFS(#REF!,#REF!,Q_BUSAREA_FC!$C103,#REF!,Q_BUSAREA_FC!$K$19,#REF!,Q_BUSAREA_FC!$C$2,#REF!,Q_BUSAREA_FC!$B$1)*(1+$I$100),"-")</f>
        <v>-</v>
      </c>
      <c r="R103" s="474"/>
      <c r="S103" s="24"/>
      <c r="T103" s="24"/>
      <c r="U103" s="24"/>
      <c r="V103" s="24"/>
      <c r="W103" s="24"/>
      <c r="X103" s="24"/>
      <c r="Y103" s="24"/>
      <c r="Z103" s="24"/>
      <c r="AA103" s="24"/>
      <c r="AB103" s="24"/>
      <c r="AC103" s="24"/>
      <c r="AD103" s="24"/>
      <c r="AE103" s="24"/>
      <c r="AF103" s="24"/>
      <c r="AG103" s="24"/>
      <c r="AH103" s="24"/>
      <c r="AI103" s="24"/>
      <c r="AJ103" s="24"/>
    </row>
    <row r="104" spans="2:36" x14ac:dyDescent="0.25">
      <c r="B104" s="24"/>
      <c r="C104" s="916" t="s">
        <v>103</v>
      </c>
      <c r="D104" s="917"/>
      <c r="E104" s="917"/>
      <c r="F104" s="917"/>
      <c r="G104" s="917"/>
      <c r="H104" s="917"/>
      <c r="I104" s="480"/>
      <c r="J104" s="24"/>
      <c r="K104" s="24"/>
      <c r="L104" s="916" t="s">
        <v>103</v>
      </c>
      <c r="M104" s="917"/>
      <c r="N104" s="917"/>
      <c r="O104" s="917"/>
      <c r="P104" s="917"/>
      <c r="Q104" s="917"/>
      <c r="R104" s="474"/>
      <c r="S104" s="24"/>
      <c r="T104" s="24"/>
      <c r="U104" s="24"/>
      <c r="V104" s="24"/>
      <c r="W104" s="24"/>
      <c r="X104" s="24"/>
      <c r="Y104" s="24"/>
      <c r="Z104" s="24"/>
      <c r="AA104" s="24"/>
      <c r="AB104" s="24"/>
      <c r="AC104" s="24"/>
      <c r="AD104" s="24"/>
      <c r="AE104" s="24"/>
      <c r="AF104" s="24"/>
      <c r="AG104" s="24"/>
      <c r="AH104" s="24"/>
      <c r="AI104" s="24"/>
      <c r="AJ104" s="24"/>
    </row>
    <row r="105" spans="2:36" x14ac:dyDescent="0.25">
      <c r="B105" s="24"/>
      <c r="C105" s="481" t="str">
        <f ca="1">$C107&amp;" L.QTR"</f>
        <v>18/19 L.QTR</v>
      </c>
      <c r="D105" s="473"/>
      <c r="E105" s="473"/>
      <c r="F105" s="473"/>
      <c r="G105" s="473"/>
      <c r="H105" s="473" t="str">
        <f t="shared" ref="H105:H108" si="21">IFERROR(AVERAGE(D105:G105),"")</f>
        <v/>
      </c>
      <c r="I105" s="480"/>
      <c r="J105" s="24"/>
      <c r="K105" s="24"/>
      <c r="L105" s="481" t="str">
        <f ca="1">C105</f>
        <v>18/19 L.QTR</v>
      </c>
      <c r="M105" s="486"/>
      <c r="N105" s="486"/>
      <c r="O105" s="486"/>
      <c r="P105" s="486"/>
      <c r="Q105" s="486" t="str">
        <f t="shared" ref="Q105" si="22">IFERROR(AVERAGE(M105:P105),"")</f>
        <v/>
      </c>
      <c r="R105" s="474"/>
      <c r="S105" s="24"/>
      <c r="T105" s="24"/>
      <c r="U105" s="24"/>
      <c r="V105" s="24"/>
      <c r="W105" s="24"/>
      <c r="X105" s="24"/>
      <c r="Y105" s="24"/>
      <c r="Z105" s="24"/>
      <c r="AA105" s="24"/>
      <c r="AB105" s="24"/>
      <c r="AC105" s="24"/>
      <c r="AD105" s="24"/>
      <c r="AE105" s="24"/>
      <c r="AF105" s="24"/>
      <c r="AG105" s="24"/>
      <c r="AH105" s="24"/>
      <c r="AI105" s="24"/>
      <c r="AJ105" s="24"/>
    </row>
    <row r="106" spans="2:36" x14ac:dyDescent="0.25">
      <c r="B106" s="24"/>
      <c r="C106" s="481" t="str">
        <f ca="1">$C108&amp;" L.QTR"</f>
        <v>19/20 L.QTR</v>
      </c>
      <c r="D106" s="473"/>
      <c r="E106" s="473"/>
      <c r="F106" s="473"/>
      <c r="G106" s="473"/>
      <c r="H106" s="473"/>
      <c r="I106" s="474"/>
      <c r="J106" s="24"/>
      <c r="K106" s="24"/>
      <c r="L106" s="481" t="str">
        <f ca="1">C106</f>
        <v>19/20 L.QTR</v>
      </c>
      <c r="M106" s="486"/>
      <c r="N106" s="486"/>
      <c r="O106" s="486"/>
      <c r="P106" s="486"/>
      <c r="Q106" s="486"/>
      <c r="R106" s="474"/>
      <c r="S106" s="24"/>
      <c r="T106" s="24"/>
      <c r="U106" s="24"/>
      <c r="V106" s="24"/>
      <c r="W106" s="24"/>
      <c r="X106" s="24"/>
      <c r="Y106" s="24"/>
      <c r="Z106" s="24"/>
      <c r="AA106" s="24"/>
      <c r="AB106" s="24"/>
      <c r="AC106" s="24"/>
      <c r="AD106" s="24"/>
      <c r="AE106" s="24"/>
      <c r="AF106" s="24"/>
      <c r="AG106" s="24"/>
      <c r="AH106" s="24"/>
      <c r="AI106" s="24"/>
      <c r="AJ106" s="24"/>
    </row>
    <row r="107" spans="2:36" x14ac:dyDescent="0.25">
      <c r="B107" s="24"/>
      <c r="C107" s="481" t="str">
        <f ca="1">$G$1</f>
        <v>18/19</v>
      </c>
      <c r="D107" s="448">
        <f ca="1">IF(D$103&lt;&gt;"-",D$103,IF(C$61&lt;&gt;"",C$61,IFERROR(AVERAGEIFS(FC_DATA!$K:$K,FC_DATA!$C:$C,Q_BUSAREA_FC!$B$1,FC_DATA!$D:$D,Q_BUSAREA_FC!$C$2,FC_DATA!$E:$E,Q_BRAND_FC!$K$3,FC_DATA!$F:$F,Q_BUSAREA_FC!$C107,FC_DATA!$G:$G,Q_BUSAREA_FC!D$100),D$102)))</f>
        <v>3.0395718320205698</v>
      </c>
      <c r="E107" s="448">
        <f ca="1">IF(E$103&lt;&gt;"-",E$103,E$102)</f>
        <v>3.0349739136489</v>
      </c>
      <c r="F107" s="448">
        <f t="shared" ref="F107:G107" ca="1" si="23">IF(F$103&lt;&gt;"-",F$103,F$102)</f>
        <v>3.08295603265374</v>
      </c>
      <c r="G107" s="448">
        <f t="shared" ca="1" si="23"/>
        <v>3.0265471800438299</v>
      </c>
      <c r="H107" s="448">
        <f ca="1">IFERROR(AVERAGE(D107:G107),"")</f>
        <v>3.0460122395917599</v>
      </c>
      <c r="I107" s="474"/>
      <c r="J107" s="24"/>
      <c r="K107" s="24"/>
      <c r="L107" s="481" t="str">
        <f ca="1">C107</f>
        <v>18/19</v>
      </c>
      <c r="M107" s="448">
        <f ca="1">IF(M$103&lt;&gt;"-",M$103,IF(Q$61&lt;&gt;"",Q$61,IFERROR(AVERAGEIFS(FC_DATA!$K:$K,FC_DATA!$C:$C,Q_BUSAREA_FC!$B$1,FC_DATA!$D:$D,Q_BUSAREA_FC!$O$2,FC_DATA!$E:$E,Q_BRAND_FC!$K$3,FC_DATA!$F:$F,Q_BUSAREA_FC!$C107,FC_DATA!$G:$G,Q_BUSAREA_FC!M$100),M$102)))</f>
        <v>3.1040209210421201</v>
      </c>
      <c r="N107" s="448">
        <f ca="1">IF(N$103&lt;&gt;"-",N$103,N$102)</f>
        <v>3.1272957526472598</v>
      </c>
      <c r="O107" s="448">
        <f t="shared" ref="O107:P107" ca="1" si="24">IF(O$103&lt;&gt;"-",O$103,O$102)</f>
        <v>3.1114817299446398</v>
      </c>
      <c r="P107" s="448">
        <f t="shared" ca="1" si="24"/>
        <v>3.0805899124086502</v>
      </c>
      <c r="Q107" s="448">
        <f ca="1">IFERROR(AVERAGE(M107:P107),"")</f>
        <v>3.1058470790106671</v>
      </c>
      <c r="R107" s="474"/>
      <c r="S107" s="24"/>
      <c r="T107" s="24"/>
      <c r="U107" s="24"/>
      <c r="V107" s="24"/>
      <c r="W107" s="24"/>
      <c r="X107" s="24"/>
      <c r="Y107" s="24"/>
      <c r="Z107" s="24"/>
      <c r="AA107" s="24"/>
      <c r="AB107" s="24"/>
      <c r="AC107" s="24"/>
      <c r="AD107" s="24"/>
      <c r="AE107" s="24"/>
      <c r="AF107" s="24"/>
      <c r="AG107" s="24"/>
      <c r="AH107" s="24"/>
      <c r="AI107" s="24"/>
      <c r="AJ107" s="24"/>
    </row>
    <row r="108" spans="2:36" ht="15.75" thickBot="1" x14ac:dyDescent="0.3">
      <c r="B108" s="24"/>
      <c r="C108" s="482" t="str">
        <f ca="1">VLOOKUP($G$1,TIME!$L$12:$P$16,5)</f>
        <v>19/20</v>
      </c>
      <c r="D108" s="483">
        <f ca="1">IF(C$62&lt;&gt;"",C$61,IFERROR(AVERAGEIFS(FC_DATA!$K:$K,FC_DATA!$C:$C,Q_BUSAREA_FC!$B$1,FC_DATA!$D:$D,Q_BUSAREA_FC!$C$2,FC_DATA!$E:$E,Q_BRAND_FC!$K$3,FC_DATA!$F:$F,Q_BUSAREA_FC!$C108,FC_DATA!$G:$G,Q_BUSAREA_FC!D$100),D$107))</f>
        <v>3.0395718320205698</v>
      </c>
      <c r="E108" s="484">
        <f ca="1">IF(D$62&lt;&gt;"",D$61,E$107)</f>
        <v>3.0349739136489</v>
      </c>
      <c r="F108" s="484">
        <f t="shared" ref="F108:G108" ca="1" si="25">IF(E$62&lt;&gt;"",E$61,F$107)</f>
        <v>3.08295603265374</v>
      </c>
      <c r="G108" s="484">
        <f t="shared" ca="1" si="25"/>
        <v>3.0265471800438299</v>
      </c>
      <c r="H108" s="483">
        <f t="shared" ca="1" si="21"/>
        <v>3.0460122395917599</v>
      </c>
      <c r="I108" s="485"/>
      <c r="J108" s="24"/>
      <c r="K108" s="24"/>
      <c r="L108" s="482" t="str">
        <f ca="1">C108</f>
        <v>19/20</v>
      </c>
      <c r="M108" s="483">
        <f ca="1">IF(Q$62&lt;&gt;"",Q$62,IFERROR(AVERAGEIFS(FC_DATA!$K:$K,FC_DATA!$C:$C,Q_BUSAREA_FC!$B$1,FC_DATA!$D:$D,Q_BUSAREA_FC!$O$2,FC_DATA!$E:$E,Q_BRAND_FC!$K$3,FC_DATA!$F:$F,Q_BUSAREA_FC!$C108,FC_DATA!$G:$G,Q_BUSAREA_FC!M$100),M$107))</f>
        <v>3.1040209210421201</v>
      </c>
      <c r="N108" s="484">
        <f ca="1">IF(R$62&lt;&gt;"",R$62,N$107)</f>
        <v>3.1272957526472598</v>
      </c>
      <c r="O108" s="484">
        <f t="shared" ref="O108:P108" ca="1" si="26">IF(S$62&lt;&gt;"",S$62,O$107)</f>
        <v>3.1114817299446398</v>
      </c>
      <c r="P108" s="484">
        <f t="shared" ca="1" si="26"/>
        <v>3.0805899124086502</v>
      </c>
      <c r="Q108" s="483">
        <f t="shared" ref="Q108" ca="1" si="27">IFERROR(AVERAGE(M108:P108),"")</f>
        <v>3.1058470790106671</v>
      </c>
      <c r="R108" s="490"/>
      <c r="S108" s="24"/>
      <c r="T108" s="24"/>
      <c r="U108" s="24"/>
      <c r="V108" s="24"/>
      <c r="W108" s="24"/>
      <c r="X108" s="24"/>
      <c r="Y108" s="24"/>
      <c r="Z108" s="24"/>
      <c r="AA108" s="24"/>
      <c r="AB108" s="24"/>
      <c r="AC108" s="24"/>
      <c r="AD108" s="24"/>
      <c r="AE108" s="24"/>
      <c r="AF108" s="24"/>
      <c r="AG108" s="24"/>
      <c r="AH108" s="24"/>
      <c r="AI108" s="24"/>
      <c r="AJ108" s="24"/>
    </row>
    <row r="109" spans="2:36" x14ac:dyDescent="0.25">
      <c r="B109" s="24"/>
      <c r="C109" s="24"/>
      <c r="D109" s="24"/>
      <c r="E109" s="24"/>
      <c r="F109" s="24"/>
      <c r="G109" s="24"/>
      <c r="H109" s="24"/>
      <c r="I109" s="24"/>
      <c r="J109" s="24"/>
      <c r="K109" s="24"/>
      <c r="L109" s="24"/>
      <c r="M109" s="24"/>
      <c r="N109" s="24"/>
      <c r="O109" s="24"/>
      <c r="P109" s="24"/>
      <c r="Q109" s="24"/>
      <c r="R109" s="24"/>
      <c r="S109" s="24"/>
      <c r="T109" s="24"/>
      <c r="U109" s="24"/>
      <c r="V109" s="24"/>
      <c r="W109" s="24"/>
      <c r="X109" s="24"/>
      <c r="Y109" s="24"/>
      <c r="Z109" s="24"/>
      <c r="AA109" s="24"/>
      <c r="AB109" s="24"/>
      <c r="AC109" s="24"/>
      <c r="AD109" s="24"/>
      <c r="AE109" s="24"/>
      <c r="AF109" s="24"/>
      <c r="AG109" s="24"/>
      <c r="AH109" s="24"/>
      <c r="AI109" s="24"/>
      <c r="AJ109" s="24"/>
    </row>
    <row r="110" spans="2:36" x14ac:dyDescent="0.25">
      <c r="B110" s="24"/>
      <c r="C110" s="24"/>
      <c r="D110" s="24"/>
      <c r="E110" s="24"/>
      <c r="F110" s="24"/>
      <c r="G110" s="24"/>
      <c r="H110" s="24"/>
      <c r="I110" s="24"/>
      <c r="J110" s="24"/>
      <c r="K110" s="24"/>
      <c r="L110" s="24"/>
      <c r="M110" s="24"/>
      <c r="N110" s="24"/>
      <c r="O110" s="24"/>
      <c r="P110" s="24"/>
      <c r="Q110" s="24"/>
      <c r="R110" s="24"/>
      <c r="S110" s="24"/>
      <c r="T110" s="24"/>
      <c r="U110" s="24"/>
      <c r="V110" s="24"/>
      <c r="W110" s="24"/>
      <c r="X110" s="24"/>
      <c r="Y110" s="24"/>
      <c r="Z110" s="24"/>
      <c r="AA110" s="24"/>
      <c r="AB110" s="24"/>
      <c r="AC110" s="24"/>
      <c r="AD110" s="24"/>
      <c r="AE110" s="24"/>
      <c r="AF110" s="24"/>
      <c r="AG110" s="24"/>
      <c r="AH110" s="24"/>
      <c r="AI110" s="24"/>
      <c r="AJ110" s="24"/>
    </row>
    <row r="111" spans="2:36" x14ac:dyDescent="0.25">
      <c r="B111" s="24"/>
      <c r="C111" s="24"/>
      <c r="D111" s="24"/>
      <c r="E111" s="24"/>
      <c r="F111" s="24"/>
      <c r="G111" s="24"/>
      <c r="H111" s="24"/>
      <c r="I111" s="24"/>
      <c r="J111" s="24"/>
      <c r="K111" s="24"/>
      <c r="L111" s="24"/>
      <c r="M111" s="24"/>
      <c r="N111" s="24"/>
      <c r="O111" s="24"/>
      <c r="P111" s="24"/>
      <c r="Q111" s="24"/>
      <c r="R111" s="24"/>
      <c r="S111" s="24"/>
      <c r="T111" s="24"/>
      <c r="U111" s="24"/>
      <c r="V111" s="24"/>
      <c r="W111" s="24"/>
      <c r="X111" s="24"/>
      <c r="Y111" s="24"/>
      <c r="Z111" s="24"/>
      <c r="AA111" s="24"/>
      <c r="AB111" s="24"/>
      <c r="AC111" s="24"/>
      <c r="AD111" s="24"/>
      <c r="AE111" s="24"/>
      <c r="AF111" s="24"/>
      <c r="AG111" s="24"/>
      <c r="AH111" s="24"/>
      <c r="AI111" s="24"/>
      <c r="AJ111" s="24"/>
    </row>
    <row r="112" spans="2:36" x14ac:dyDescent="0.25">
      <c r="B112" s="24"/>
      <c r="C112" s="24"/>
      <c r="D112" s="24"/>
      <c r="E112" s="24"/>
      <c r="F112" s="24"/>
      <c r="G112" s="24"/>
      <c r="H112" s="24"/>
      <c r="I112" s="24"/>
      <c r="J112" s="24"/>
      <c r="K112" s="24"/>
      <c r="L112" s="24"/>
      <c r="M112" s="24"/>
      <c r="N112" s="24"/>
      <c r="O112" s="24"/>
      <c r="P112" s="24"/>
      <c r="Q112" s="24"/>
      <c r="R112" s="24"/>
      <c r="S112" s="24"/>
      <c r="T112" s="24"/>
      <c r="U112" s="24"/>
      <c r="V112" s="24"/>
      <c r="W112" s="24"/>
      <c r="X112" s="24"/>
      <c r="Y112" s="24"/>
      <c r="Z112" s="24"/>
      <c r="AA112" s="24"/>
      <c r="AB112" s="24"/>
      <c r="AC112" s="24"/>
      <c r="AD112" s="24"/>
      <c r="AE112" s="24"/>
      <c r="AF112" s="24"/>
      <c r="AG112" s="24"/>
      <c r="AH112" s="24"/>
      <c r="AI112" s="24"/>
      <c r="AJ112" s="24"/>
    </row>
    <row r="113" spans="2:36" x14ac:dyDescent="0.25">
      <c r="B113" s="24"/>
      <c r="C113" s="24"/>
      <c r="D113" s="24"/>
      <c r="E113" s="24"/>
      <c r="F113" s="24"/>
      <c r="G113" s="24"/>
      <c r="H113" s="24"/>
      <c r="I113" s="24"/>
      <c r="J113" s="24"/>
      <c r="K113" s="24"/>
      <c r="L113" s="24"/>
      <c r="M113" s="24"/>
      <c r="N113" s="24"/>
      <c r="O113" s="24"/>
      <c r="P113" s="24"/>
      <c r="Q113" s="24"/>
      <c r="R113" s="24"/>
      <c r="S113" s="24"/>
      <c r="T113" s="24"/>
      <c r="U113" s="24"/>
      <c r="V113" s="24"/>
      <c r="W113" s="24"/>
      <c r="X113" s="24"/>
      <c r="Y113" s="24"/>
      <c r="Z113" s="24"/>
      <c r="AA113" s="24"/>
      <c r="AB113" s="24"/>
      <c r="AC113" s="24"/>
      <c r="AD113" s="24"/>
      <c r="AE113" s="24"/>
      <c r="AF113" s="24"/>
      <c r="AG113" s="24"/>
      <c r="AH113" s="24"/>
      <c r="AI113" s="24"/>
      <c r="AJ113" s="24"/>
    </row>
    <row r="114" spans="2:36" x14ac:dyDescent="0.25">
      <c r="B114" s="24"/>
      <c r="C114" s="24"/>
      <c r="D114" s="24"/>
      <c r="E114" s="24"/>
      <c r="F114" s="24"/>
      <c r="G114" s="24"/>
      <c r="H114" s="24"/>
      <c r="I114" s="24"/>
      <c r="J114" s="24"/>
      <c r="K114" s="24"/>
      <c r="L114" s="24"/>
      <c r="M114" s="24"/>
      <c r="N114" s="24"/>
      <c r="O114" s="24"/>
      <c r="P114" s="24"/>
      <c r="Q114" s="24"/>
      <c r="R114" s="24"/>
      <c r="S114" s="24"/>
      <c r="T114" s="24"/>
      <c r="U114" s="24"/>
      <c r="V114" s="24"/>
      <c r="W114" s="24"/>
      <c r="X114" s="24"/>
      <c r="Y114" s="24"/>
      <c r="Z114" s="24"/>
      <c r="AA114" s="24"/>
      <c r="AB114" s="24"/>
      <c r="AC114" s="24"/>
      <c r="AD114" s="24"/>
      <c r="AE114" s="24"/>
      <c r="AF114" s="24"/>
      <c r="AG114" s="24"/>
      <c r="AH114" s="24"/>
      <c r="AI114" s="24"/>
      <c r="AJ114" s="24"/>
    </row>
    <row r="115" spans="2:36" x14ac:dyDescent="0.25">
      <c r="B115" s="24"/>
      <c r="C115" s="24"/>
      <c r="D115" s="24"/>
      <c r="E115" s="24"/>
      <c r="F115" s="24"/>
      <c r="G115" s="24"/>
      <c r="H115" s="24"/>
      <c r="I115" s="24"/>
      <c r="J115" s="24"/>
      <c r="K115" s="24"/>
      <c r="L115" s="24"/>
      <c r="M115" s="24"/>
      <c r="N115" s="24"/>
      <c r="O115" s="24"/>
      <c r="P115" s="24"/>
      <c r="Q115" s="24"/>
      <c r="R115" s="24"/>
      <c r="S115" s="24"/>
      <c r="T115" s="24"/>
      <c r="U115" s="24"/>
      <c r="V115" s="24"/>
      <c r="W115" s="24"/>
      <c r="X115" s="24"/>
      <c r="Y115" s="24"/>
      <c r="Z115" s="24"/>
      <c r="AA115" s="24"/>
      <c r="AB115" s="24"/>
      <c r="AC115" s="24"/>
      <c r="AD115" s="24"/>
      <c r="AE115" s="24"/>
      <c r="AF115" s="24"/>
      <c r="AG115" s="24"/>
      <c r="AH115" s="24"/>
      <c r="AI115" s="24"/>
      <c r="AJ115" s="24"/>
    </row>
    <row r="116" spans="2:36" x14ac:dyDescent="0.25">
      <c r="B116" s="24"/>
      <c r="C116" s="24"/>
      <c r="D116" s="24"/>
      <c r="E116" s="24"/>
      <c r="F116" s="24"/>
      <c r="G116" s="24"/>
      <c r="H116" s="24"/>
      <c r="I116" s="24"/>
      <c r="J116" s="24"/>
      <c r="K116" s="24"/>
      <c r="L116" s="24"/>
      <c r="M116" s="24"/>
      <c r="N116" s="24"/>
      <c r="O116" s="24"/>
      <c r="P116" s="24"/>
      <c r="Q116" s="24"/>
      <c r="R116" s="24"/>
      <c r="S116" s="24"/>
      <c r="T116" s="24"/>
      <c r="U116" s="24"/>
      <c r="V116" s="24"/>
      <c r="W116" s="24"/>
      <c r="X116" s="24"/>
      <c r="Y116" s="24"/>
      <c r="Z116" s="24"/>
      <c r="AA116" s="24"/>
      <c r="AB116" s="24"/>
      <c r="AC116" s="24"/>
      <c r="AD116" s="24"/>
      <c r="AE116" s="24"/>
      <c r="AF116" s="24"/>
      <c r="AG116" s="24"/>
      <c r="AH116" s="24"/>
      <c r="AI116" s="24"/>
      <c r="AJ116" s="24"/>
    </row>
    <row r="117" spans="2:36" x14ac:dyDescent="0.25">
      <c r="B117" s="24"/>
      <c r="C117" s="24"/>
      <c r="D117" s="24"/>
      <c r="E117" s="24"/>
      <c r="F117" s="24"/>
      <c r="G117" s="24"/>
      <c r="H117" s="24"/>
      <c r="I117" s="24"/>
      <c r="J117" s="24"/>
      <c r="K117" s="24"/>
      <c r="L117" s="24"/>
      <c r="M117" s="24"/>
      <c r="N117" s="24"/>
      <c r="O117" s="24"/>
      <c r="P117" s="24"/>
      <c r="Q117" s="24"/>
      <c r="R117" s="24"/>
      <c r="S117" s="24"/>
      <c r="T117" s="24"/>
      <c r="U117" s="24"/>
      <c r="V117" s="24"/>
      <c r="W117" s="24"/>
      <c r="X117" s="24"/>
      <c r="Y117" s="24"/>
      <c r="Z117" s="24"/>
      <c r="AA117" s="24"/>
      <c r="AB117" s="24"/>
      <c r="AC117" s="24"/>
      <c r="AD117" s="24"/>
      <c r="AE117" s="24"/>
      <c r="AF117" s="24"/>
      <c r="AG117" s="24"/>
      <c r="AH117" s="24"/>
      <c r="AI117" s="24"/>
      <c r="AJ117" s="24"/>
    </row>
    <row r="118" spans="2:36" x14ac:dyDescent="0.25">
      <c r="B118" s="24"/>
      <c r="C118" s="24"/>
      <c r="D118" s="24"/>
      <c r="E118" s="24"/>
      <c r="F118" s="24"/>
      <c r="G118" s="24"/>
      <c r="H118" s="24"/>
      <c r="I118" s="24"/>
      <c r="J118" s="24"/>
      <c r="K118" s="24"/>
      <c r="L118" s="24"/>
      <c r="M118" s="24"/>
      <c r="N118" s="24"/>
      <c r="O118" s="24"/>
      <c r="P118" s="24"/>
      <c r="Q118" s="24"/>
      <c r="R118" s="24"/>
      <c r="S118" s="24"/>
      <c r="T118" s="24"/>
      <c r="U118" s="24"/>
      <c r="V118" s="24"/>
      <c r="W118" s="24"/>
      <c r="X118" s="24"/>
      <c r="Y118" s="24"/>
      <c r="Z118" s="24"/>
      <c r="AA118" s="24"/>
      <c r="AB118" s="24"/>
      <c r="AC118" s="24"/>
      <c r="AD118" s="24"/>
      <c r="AE118" s="24"/>
      <c r="AF118" s="24"/>
      <c r="AG118" s="24"/>
      <c r="AH118" s="24"/>
      <c r="AI118" s="24"/>
      <c r="AJ118" s="24"/>
    </row>
    <row r="119" spans="2:36" x14ac:dyDescent="0.25">
      <c r="B119" s="24"/>
      <c r="C119" s="24"/>
      <c r="D119" s="24"/>
      <c r="E119" s="24"/>
      <c r="F119" s="24"/>
      <c r="G119" s="24"/>
      <c r="H119" s="24"/>
      <c r="I119" s="24"/>
      <c r="J119" s="24"/>
      <c r="K119" s="24"/>
      <c r="L119" s="24"/>
      <c r="M119" s="24"/>
      <c r="N119" s="24"/>
      <c r="O119" s="24"/>
      <c r="P119" s="24"/>
      <c r="Q119" s="24"/>
      <c r="R119" s="24"/>
      <c r="S119" s="24"/>
      <c r="T119" s="24"/>
      <c r="U119" s="24"/>
      <c r="V119" s="24"/>
      <c r="W119" s="24"/>
      <c r="X119" s="24"/>
      <c r="Y119" s="24"/>
      <c r="Z119" s="24"/>
      <c r="AA119" s="24"/>
      <c r="AB119" s="24"/>
      <c r="AC119" s="24"/>
      <c r="AD119" s="24"/>
      <c r="AE119" s="24"/>
      <c r="AF119" s="24"/>
      <c r="AG119" s="24"/>
      <c r="AH119" s="24"/>
      <c r="AI119" s="24"/>
      <c r="AJ119" s="24"/>
    </row>
    <row r="120" spans="2:36" x14ac:dyDescent="0.25">
      <c r="B120" s="24"/>
      <c r="C120" s="24"/>
      <c r="D120" s="24"/>
      <c r="E120" s="24"/>
      <c r="F120" s="24"/>
      <c r="G120" s="24"/>
      <c r="H120" s="24"/>
      <c r="I120" s="24"/>
      <c r="J120" s="24"/>
      <c r="K120" s="24"/>
      <c r="L120" s="24"/>
      <c r="M120" s="24"/>
      <c r="N120" s="24"/>
      <c r="O120" s="24"/>
      <c r="P120" s="24"/>
      <c r="Q120" s="24"/>
      <c r="R120" s="24"/>
      <c r="S120" s="24"/>
      <c r="T120" s="24"/>
      <c r="U120" s="24"/>
      <c r="V120" s="24"/>
      <c r="W120" s="24"/>
      <c r="X120" s="24"/>
      <c r="Y120" s="24"/>
      <c r="Z120" s="24"/>
      <c r="AA120" s="24"/>
      <c r="AB120" s="24"/>
      <c r="AC120" s="24"/>
      <c r="AD120" s="24"/>
      <c r="AE120" s="24"/>
      <c r="AF120" s="24"/>
      <c r="AG120" s="24"/>
      <c r="AH120" s="24"/>
      <c r="AI120" s="24"/>
      <c r="AJ120" s="24"/>
    </row>
    <row r="121" spans="2:36" x14ac:dyDescent="0.25">
      <c r="B121" s="24"/>
      <c r="C121" s="24"/>
      <c r="D121" s="24"/>
      <c r="E121" s="24"/>
      <c r="F121" s="24"/>
      <c r="G121" s="24"/>
      <c r="H121" s="24"/>
      <c r="I121" s="24"/>
      <c r="J121" s="24"/>
      <c r="K121" s="24"/>
      <c r="L121" s="24"/>
      <c r="M121" s="24"/>
      <c r="N121" s="24"/>
      <c r="O121" s="24"/>
      <c r="P121" s="24"/>
      <c r="Q121" s="24"/>
      <c r="R121" s="24"/>
      <c r="S121" s="24"/>
      <c r="T121" s="24"/>
      <c r="U121" s="24"/>
      <c r="V121" s="24"/>
      <c r="W121" s="24"/>
      <c r="X121" s="24"/>
      <c r="Y121" s="24"/>
      <c r="Z121" s="24"/>
      <c r="AA121" s="24"/>
      <c r="AB121" s="24"/>
      <c r="AC121" s="24"/>
      <c r="AD121" s="24"/>
      <c r="AE121" s="24"/>
      <c r="AF121" s="24"/>
      <c r="AG121" s="24"/>
      <c r="AH121" s="24"/>
      <c r="AI121" s="24"/>
      <c r="AJ121" s="24"/>
    </row>
    <row r="122" spans="2:36" x14ac:dyDescent="0.25">
      <c r="B122" s="24"/>
      <c r="C122" s="24"/>
      <c r="D122" s="24"/>
      <c r="E122" s="24"/>
      <c r="F122" s="24"/>
      <c r="G122" s="24"/>
      <c r="H122" s="24"/>
      <c r="I122" s="24"/>
      <c r="J122" s="24"/>
      <c r="K122" s="24"/>
      <c r="L122" s="24"/>
      <c r="M122" s="24"/>
      <c r="N122" s="24"/>
      <c r="O122" s="24"/>
      <c r="P122" s="24"/>
      <c r="Q122" s="24"/>
      <c r="R122" s="24"/>
      <c r="S122" s="24"/>
      <c r="T122" s="24"/>
      <c r="U122" s="24"/>
      <c r="V122" s="24"/>
      <c r="W122" s="24"/>
      <c r="X122" s="24"/>
      <c r="Y122" s="24"/>
      <c r="Z122" s="24"/>
      <c r="AA122" s="24"/>
      <c r="AB122" s="24"/>
      <c r="AC122" s="24"/>
      <c r="AD122" s="24"/>
      <c r="AE122" s="24"/>
      <c r="AF122" s="24"/>
      <c r="AG122" s="24"/>
      <c r="AH122" s="24"/>
      <c r="AI122" s="24"/>
      <c r="AJ122" s="24"/>
    </row>
    <row r="123" spans="2:36" x14ac:dyDescent="0.25">
      <c r="B123" s="24"/>
      <c r="C123" s="24"/>
      <c r="D123" s="24"/>
      <c r="E123" s="24"/>
      <c r="F123" s="24"/>
      <c r="G123" s="24"/>
      <c r="H123" s="24"/>
      <c r="I123" s="24"/>
      <c r="J123" s="24"/>
      <c r="K123" s="24"/>
      <c r="L123" s="24"/>
      <c r="M123" s="24"/>
      <c r="N123" s="24"/>
      <c r="O123" s="24"/>
      <c r="P123" s="24"/>
      <c r="Q123" s="24"/>
      <c r="R123" s="24"/>
      <c r="S123" s="24"/>
      <c r="T123" s="24"/>
      <c r="U123" s="24"/>
      <c r="V123" s="24"/>
      <c r="W123" s="24"/>
      <c r="X123" s="24"/>
      <c r="Y123" s="24"/>
      <c r="Z123" s="24"/>
      <c r="AA123" s="24"/>
      <c r="AB123" s="24"/>
      <c r="AC123" s="24"/>
      <c r="AD123" s="24"/>
      <c r="AE123" s="24"/>
      <c r="AF123" s="24"/>
      <c r="AG123" s="24"/>
      <c r="AH123" s="24"/>
      <c r="AI123" s="24"/>
      <c r="AJ123" s="24"/>
    </row>
    <row r="124" spans="2:36" x14ac:dyDescent="0.25">
      <c r="B124" s="24"/>
      <c r="C124" s="24"/>
      <c r="D124" s="24"/>
      <c r="E124" s="24"/>
      <c r="F124" s="24"/>
      <c r="G124" s="24"/>
      <c r="H124" s="24"/>
      <c r="I124" s="24"/>
      <c r="J124" s="24"/>
      <c r="K124" s="24"/>
      <c r="L124" s="24"/>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4"/>
      <c r="AJ124" s="24"/>
    </row>
    <row r="125" spans="2:36" x14ac:dyDescent="0.25">
      <c r="B125" s="24"/>
      <c r="C125" s="24"/>
      <c r="D125" s="24"/>
      <c r="E125" s="24"/>
      <c r="F125" s="24"/>
      <c r="G125" s="24"/>
      <c r="H125" s="24"/>
      <c r="I125" s="24"/>
      <c r="J125" s="24"/>
      <c r="K125" s="24"/>
      <c r="L125" s="24"/>
      <c r="M125" s="24"/>
      <c r="N125" s="24"/>
      <c r="O125" s="24"/>
      <c r="P125" s="24"/>
      <c r="Q125" s="24"/>
      <c r="R125" s="24"/>
      <c r="S125" s="24"/>
      <c r="T125" s="24"/>
      <c r="U125" s="24"/>
      <c r="V125" s="24"/>
      <c r="W125" s="24"/>
      <c r="X125" s="24"/>
      <c r="Y125" s="24"/>
      <c r="Z125" s="24"/>
      <c r="AA125" s="24"/>
      <c r="AB125" s="24"/>
      <c r="AC125" s="24"/>
      <c r="AD125" s="24"/>
      <c r="AE125" s="24"/>
      <c r="AF125" s="24"/>
      <c r="AG125" s="24"/>
      <c r="AH125" s="24"/>
      <c r="AI125" s="24"/>
      <c r="AJ125" s="24"/>
    </row>
    <row r="126" spans="2:36" x14ac:dyDescent="0.25">
      <c r="B126" s="24"/>
      <c r="C126" s="24"/>
      <c r="D126" s="24"/>
      <c r="E126" s="24"/>
      <c r="F126" s="24"/>
      <c r="G126" s="24"/>
      <c r="H126" s="24"/>
      <c r="I126" s="24"/>
      <c r="J126" s="24"/>
      <c r="K126" s="24"/>
      <c r="L126" s="24"/>
      <c r="M126" s="24"/>
      <c r="N126" s="24"/>
      <c r="O126" s="24"/>
      <c r="P126" s="24"/>
      <c r="Q126" s="24"/>
      <c r="R126" s="24"/>
      <c r="S126" s="24"/>
      <c r="T126" s="24"/>
      <c r="U126" s="24"/>
      <c r="V126" s="24"/>
      <c r="W126" s="24"/>
      <c r="X126" s="24"/>
      <c r="Y126" s="24"/>
      <c r="Z126" s="24"/>
      <c r="AA126" s="24"/>
      <c r="AB126" s="24"/>
      <c r="AC126" s="24"/>
      <c r="AD126" s="24"/>
      <c r="AE126" s="24"/>
      <c r="AF126" s="24"/>
      <c r="AG126" s="24"/>
      <c r="AH126" s="24"/>
      <c r="AI126" s="24"/>
      <c r="AJ126" s="24"/>
    </row>
    <row r="127" spans="2:36" x14ac:dyDescent="0.25">
      <c r="B127" s="24"/>
      <c r="C127" s="24"/>
      <c r="D127" s="24"/>
      <c r="E127" s="24"/>
      <c r="F127" s="24"/>
      <c r="G127" s="24"/>
      <c r="H127" s="24"/>
      <c r="I127" s="24"/>
      <c r="J127" s="24"/>
      <c r="K127" s="24"/>
      <c r="L127" s="24"/>
      <c r="M127" s="24"/>
      <c r="N127" s="24"/>
      <c r="O127" s="24"/>
      <c r="P127" s="24"/>
      <c r="Q127" s="24"/>
      <c r="R127" s="24"/>
      <c r="S127" s="24"/>
      <c r="T127" s="24"/>
      <c r="U127" s="24"/>
      <c r="V127" s="24"/>
      <c r="W127" s="24"/>
      <c r="X127" s="24"/>
      <c r="Y127" s="24"/>
      <c r="Z127" s="24"/>
      <c r="AA127" s="24"/>
      <c r="AB127" s="24"/>
      <c r="AC127" s="24"/>
      <c r="AD127" s="24"/>
      <c r="AE127" s="24"/>
      <c r="AF127" s="24"/>
      <c r="AG127" s="24"/>
      <c r="AH127" s="24"/>
      <c r="AI127" s="24"/>
      <c r="AJ127" s="24"/>
    </row>
    <row r="128" spans="2:36" x14ac:dyDescent="0.25">
      <c r="B128" s="24"/>
      <c r="C128" s="24"/>
      <c r="D128" s="24"/>
      <c r="E128" s="24"/>
      <c r="F128" s="24"/>
      <c r="G128" s="24"/>
      <c r="H128" s="24"/>
      <c r="I128" s="24"/>
      <c r="J128" s="24"/>
      <c r="K128" s="24"/>
      <c r="L128" s="24"/>
      <c r="M128" s="24"/>
      <c r="N128" s="24"/>
      <c r="O128" s="24"/>
      <c r="P128" s="24"/>
      <c r="Q128" s="24"/>
      <c r="R128" s="24"/>
      <c r="S128" s="24"/>
      <c r="T128" s="24"/>
      <c r="U128" s="24"/>
      <c r="V128" s="24"/>
      <c r="W128" s="24"/>
      <c r="X128" s="24"/>
      <c r="Y128" s="24"/>
      <c r="Z128" s="24"/>
      <c r="AA128" s="24"/>
      <c r="AB128" s="24"/>
      <c r="AC128" s="24"/>
      <c r="AD128" s="24"/>
      <c r="AE128" s="24"/>
      <c r="AF128" s="24"/>
      <c r="AG128" s="24"/>
      <c r="AH128" s="24"/>
      <c r="AI128" s="24"/>
      <c r="AJ128" s="24"/>
    </row>
    <row r="129" spans="2:36" x14ac:dyDescent="0.25">
      <c r="B129" s="24"/>
      <c r="C129" s="24"/>
      <c r="D129" s="24"/>
      <c r="E129" s="24"/>
      <c r="F129" s="24"/>
      <c r="G129" s="24"/>
      <c r="H129" s="24"/>
      <c r="I129" s="24"/>
      <c r="J129" s="24"/>
      <c r="K129" s="24"/>
      <c r="L129" s="24"/>
      <c r="M129" s="24"/>
      <c r="N129" s="24"/>
      <c r="O129" s="24"/>
      <c r="P129" s="24"/>
      <c r="Q129" s="24"/>
      <c r="R129" s="24"/>
      <c r="S129" s="24"/>
      <c r="T129" s="24"/>
      <c r="U129" s="24"/>
      <c r="V129" s="24"/>
      <c r="W129" s="24"/>
      <c r="X129" s="24"/>
      <c r="Y129" s="24"/>
      <c r="Z129" s="24"/>
      <c r="AA129" s="24"/>
      <c r="AB129" s="24"/>
      <c r="AC129" s="24"/>
      <c r="AD129" s="24"/>
      <c r="AE129" s="24"/>
      <c r="AF129" s="24"/>
      <c r="AG129" s="24"/>
      <c r="AH129" s="24"/>
      <c r="AI129" s="24"/>
      <c r="AJ129" s="24"/>
    </row>
    <row r="130" spans="2:36" x14ac:dyDescent="0.25">
      <c r="B130" s="24"/>
      <c r="C130" s="24"/>
      <c r="D130" s="24"/>
      <c r="E130" s="24"/>
      <c r="F130" s="24"/>
      <c r="G130" s="24"/>
      <c r="H130" s="24"/>
      <c r="I130" s="24"/>
      <c r="J130" s="24"/>
      <c r="K130" s="24"/>
      <c r="L130" s="24"/>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row>
    <row r="131" spans="2:36" x14ac:dyDescent="0.25">
      <c r="B131" s="24"/>
      <c r="C131" s="24"/>
      <c r="D131" s="24"/>
      <c r="E131" s="24"/>
      <c r="F131" s="24"/>
      <c r="G131" s="24"/>
      <c r="H131" s="24"/>
      <c r="I131" s="24"/>
      <c r="J131" s="24"/>
      <c r="K131" s="24"/>
      <c r="L131" s="24"/>
      <c r="M131" s="24"/>
      <c r="N131" s="24"/>
      <c r="O131" s="24"/>
      <c r="P131" s="24"/>
      <c r="Q131" s="24"/>
      <c r="R131" s="24"/>
      <c r="S131" s="24"/>
      <c r="T131" s="24"/>
      <c r="U131" s="24"/>
      <c r="V131" s="24"/>
      <c r="W131" s="24"/>
      <c r="X131" s="24"/>
      <c r="Y131" s="24"/>
      <c r="Z131" s="24"/>
      <c r="AA131" s="24"/>
      <c r="AB131" s="24"/>
      <c r="AC131" s="24"/>
      <c r="AD131" s="24"/>
      <c r="AE131" s="24"/>
      <c r="AF131" s="24"/>
      <c r="AG131" s="24"/>
      <c r="AH131" s="24"/>
      <c r="AI131" s="24"/>
      <c r="AJ131" s="24"/>
    </row>
    <row r="132" spans="2:36" x14ac:dyDescent="0.25">
      <c r="B132" s="24"/>
      <c r="C132" s="24"/>
      <c r="D132" s="24"/>
      <c r="E132" s="24"/>
      <c r="F132" s="24"/>
      <c r="G132" s="24"/>
      <c r="H132" s="24"/>
      <c r="I132" s="24"/>
      <c r="J132" s="24"/>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row>
    <row r="133" spans="2:36" x14ac:dyDescent="0.25">
      <c r="B133" s="24"/>
      <c r="C133" s="24"/>
      <c r="D133" s="24"/>
      <c r="E133" s="24"/>
      <c r="F133" s="24"/>
      <c r="G133" s="24"/>
      <c r="H133" s="24"/>
      <c r="I133" s="24"/>
      <c r="J133" s="24"/>
      <c r="K133" s="24"/>
      <c r="L133" s="24"/>
      <c r="M133" s="24"/>
      <c r="N133" s="24"/>
      <c r="O133" s="24"/>
      <c r="P133" s="24"/>
      <c r="Q133" s="24"/>
      <c r="R133" s="24"/>
      <c r="S133" s="24"/>
      <c r="T133" s="24"/>
      <c r="U133" s="24"/>
      <c r="V133" s="24"/>
      <c r="W133" s="24"/>
      <c r="X133" s="24"/>
      <c r="Y133" s="24"/>
      <c r="Z133" s="24"/>
      <c r="AA133" s="24"/>
      <c r="AB133" s="24"/>
      <c r="AC133" s="24"/>
      <c r="AD133" s="24"/>
      <c r="AE133" s="24"/>
      <c r="AF133" s="24"/>
      <c r="AG133" s="24"/>
      <c r="AH133" s="24"/>
      <c r="AI133" s="24"/>
      <c r="AJ133" s="24"/>
    </row>
    <row r="134" spans="2:36" x14ac:dyDescent="0.25">
      <c r="B134" s="24"/>
      <c r="C134" s="24"/>
      <c r="D134" s="24"/>
      <c r="E134" s="24"/>
      <c r="F134" s="24"/>
      <c r="G134" s="24"/>
      <c r="H134" s="24"/>
      <c r="I134" s="24"/>
      <c r="J134" s="24"/>
      <c r="K134" s="24"/>
      <c r="L134" s="24"/>
      <c r="M134" s="24"/>
      <c r="N134" s="24"/>
      <c r="O134" s="24"/>
      <c r="P134" s="24"/>
      <c r="Q134" s="24"/>
      <c r="R134" s="24"/>
      <c r="S134" s="24"/>
      <c r="T134" s="24"/>
      <c r="U134" s="24"/>
      <c r="V134" s="24"/>
      <c r="W134" s="24"/>
      <c r="X134" s="24"/>
      <c r="Y134" s="24"/>
      <c r="Z134" s="24"/>
      <c r="AA134" s="24"/>
      <c r="AB134" s="24"/>
      <c r="AC134" s="24"/>
      <c r="AD134" s="24"/>
      <c r="AE134" s="24"/>
      <c r="AF134" s="24"/>
      <c r="AG134" s="24"/>
      <c r="AH134" s="24"/>
      <c r="AI134" s="24"/>
      <c r="AJ134" s="24"/>
    </row>
    <row r="135" spans="2:36" x14ac:dyDescent="0.25">
      <c r="B135" s="24"/>
      <c r="C135" s="24"/>
      <c r="D135" s="24"/>
      <c r="E135" s="24"/>
      <c r="F135" s="24"/>
      <c r="G135" s="24"/>
      <c r="H135" s="24"/>
      <c r="I135" s="24"/>
      <c r="J135" s="24"/>
      <c r="K135" s="24"/>
      <c r="L135" s="24"/>
      <c r="M135" s="24"/>
      <c r="N135" s="24"/>
      <c r="O135" s="24"/>
      <c r="P135" s="24"/>
      <c r="Q135" s="24"/>
      <c r="R135" s="24"/>
      <c r="S135" s="24"/>
      <c r="T135" s="24"/>
      <c r="U135" s="24"/>
      <c r="V135" s="24"/>
      <c r="W135" s="24"/>
      <c r="X135" s="24"/>
      <c r="Y135" s="24"/>
      <c r="Z135" s="24"/>
      <c r="AA135" s="24"/>
      <c r="AB135" s="24"/>
      <c r="AC135" s="24"/>
      <c r="AD135" s="24"/>
      <c r="AE135" s="24"/>
      <c r="AF135" s="24"/>
      <c r="AG135" s="24"/>
      <c r="AH135" s="24"/>
      <c r="AI135" s="24"/>
      <c r="AJ135" s="24"/>
    </row>
    <row r="136" spans="2:36" x14ac:dyDescent="0.25">
      <c r="B136" s="24"/>
      <c r="C136" s="24"/>
      <c r="D136" s="24"/>
      <c r="E136" s="24"/>
      <c r="F136" s="24"/>
      <c r="G136" s="24"/>
      <c r="H136" s="24"/>
      <c r="I136" s="24"/>
      <c r="J136" s="24"/>
      <c r="K136" s="24"/>
      <c r="L136" s="24"/>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4"/>
    </row>
    <row r="137" spans="2:36" x14ac:dyDescent="0.25">
      <c r="B137" s="24"/>
      <c r="C137" s="24"/>
      <c r="D137" s="24"/>
      <c r="E137" s="24"/>
      <c r="F137" s="24"/>
      <c r="G137" s="24"/>
      <c r="H137" s="24"/>
      <c r="I137" s="24"/>
      <c r="J137" s="24"/>
      <c r="K137" s="24"/>
      <c r="L137" s="24"/>
      <c r="M137" s="24"/>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row>
    <row r="138" spans="2:36" x14ac:dyDescent="0.25">
      <c r="B138" s="24"/>
      <c r="C138" s="24"/>
      <c r="D138" s="24"/>
      <c r="E138" s="24"/>
      <c r="F138" s="24"/>
      <c r="G138" s="24"/>
      <c r="H138" s="24"/>
      <c r="I138" s="24"/>
      <c r="J138" s="24"/>
      <c r="K138" s="24"/>
      <c r="L138" s="24"/>
      <c r="M138" s="24"/>
      <c r="N138" s="24"/>
      <c r="O138" s="24"/>
      <c r="P138" s="24"/>
      <c r="Q138" s="24"/>
      <c r="R138" s="24"/>
      <c r="S138" s="24"/>
      <c r="T138" s="24"/>
      <c r="U138" s="24"/>
      <c r="V138" s="24"/>
      <c r="W138" s="24"/>
      <c r="X138" s="24"/>
      <c r="Y138" s="24"/>
      <c r="Z138" s="24"/>
      <c r="AA138" s="24"/>
      <c r="AB138" s="24"/>
      <c r="AC138" s="24"/>
      <c r="AD138" s="24"/>
      <c r="AE138" s="24"/>
      <c r="AF138" s="24"/>
      <c r="AG138" s="24"/>
      <c r="AH138" s="24"/>
      <c r="AI138" s="24"/>
      <c r="AJ138" s="24"/>
    </row>
    <row r="139" spans="2:36" x14ac:dyDescent="0.25">
      <c r="B139" s="24"/>
      <c r="C139" s="24"/>
      <c r="D139" s="24"/>
      <c r="E139" s="24"/>
      <c r="F139" s="24"/>
      <c r="G139" s="24"/>
      <c r="H139" s="24"/>
      <c r="I139" s="24"/>
      <c r="J139" s="24"/>
      <c r="K139" s="24"/>
      <c r="L139" s="24"/>
      <c r="M139" s="24"/>
      <c r="N139" s="24"/>
      <c r="O139" s="24"/>
      <c r="P139" s="24"/>
      <c r="Q139" s="24"/>
      <c r="R139" s="24"/>
      <c r="S139" s="24"/>
      <c r="T139" s="24"/>
      <c r="U139" s="24"/>
      <c r="V139" s="24"/>
      <c r="W139" s="24"/>
      <c r="X139" s="24"/>
      <c r="Y139" s="24"/>
      <c r="Z139" s="24"/>
      <c r="AA139" s="24"/>
      <c r="AB139" s="24"/>
      <c r="AC139" s="24"/>
      <c r="AD139" s="24"/>
      <c r="AE139" s="24"/>
      <c r="AF139" s="24"/>
      <c r="AG139" s="24"/>
      <c r="AH139" s="24"/>
      <c r="AI139" s="24"/>
      <c r="AJ139" s="24"/>
    </row>
    <row r="140" spans="2:36" x14ac:dyDescent="0.25">
      <c r="B140" s="24"/>
      <c r="C140" s="24"/>
      <c r="D140" s="24"/>
      <c r="E140" s="24"/>
      <c r="F140" s="24"/>
      <c r="G140" s="24"/>
      <c r="H140" s="24"/>
      <c r="I140" s="24"/>
      <c r="J140" s="24"/>
      <c r="K140" s="24"/>
      <c r="L140" s="24"/>
      <c r="M140" s="24"/>
      <c r="N140" s="24"/>
      <c r="O140" s="24"/>
      <c r="P140" s="24"/>
      <c r="Q140" s="24"/>
      <c r="R140" s="24"/>
      <c r="S140" s="24"/>
      <c r="T140" s="24"/>
      <c r="U140" s="24"/>
      <c r="V140" s="24"/>
      <c r="W140" s="24"/>
      <c r="X140" s="24"/>
      <c r="Y140" s="24"/>
      <c r="Z140" s="24"/>
      <c r="AA140" s="24"/>
      <c r="AB140" s="24"/>
      <c r="AC140" s="24"/>
      <c r="AD140" s="24"/>
      <c r="AE140" s="24"/>
      <c r="AF140" s="24"/>
      <c r="AG140" s="24"/>
      <c r="AH140" s="24"/>
      <c r="AI140" s="24"/>
      <c r="AJ140" s="24"/>
    </row>
    <row r="141" spans="2:36" x14ac:dyDescent="0.25">
      <c r="B141" s="24"/>
      <c r="C141" s="24"/>
      <c r="D141" s="24"/>
      <c r="E141" s="24"/>
      <c r="F141" s="24"/>
      <c r="G141" s="24"/>
      <c r="H141" s="24"/>
      <c r="I141" s="24"/>
      <c r="J141" s="24"/>
      <c r="K141" s="24"/>
      <c r="L141" s="24"/>
      <c r="M141" s="24"/>
      <c r="N141" s="24"/>
      <c r="O141" s="24"/>
      <c r="P141" s="24"/>
      <c r="Q141" s="24"/>
      <c r="R141" s="24"/>
      <c r="S141" s="24"/>
      <c r="T141" s="24"/>
      <c r="U141" s="24"/>
      <c r="V141" s="24"/>
      <c r="W141" s="24"/>
      <c r="X141" s="24"/>
      <c r="Y141" s="24"/>
      <c r="Z141" s="24"/>
      <c r="AA141" s="24"/>
      <c r="AB141" s="24"/>
      <c r="AC141" s="24"/>
      <c r="AD141" s="24"/>
      <c r="AE141" s="24"/>
      <c r="AF141" s="24"/>
      <c r="AG141" s="24"/>
      <c r="AH141" s="24"/>
      <c r="AI141" s="24"/>
      <c r="AJ141" s="24"/>
    </row>
    <row r="142" spans="2:36" x14ac:dyDescent="0.25">
      <c r="B142" s="24"/>
      <c r="C142" s="24"/>
      <c r="D142" s="24"/>
      <c r="E142" s="24"/>
      <c r="F142" s="24"/>
      <c r="G142" s="24"/>
      <c r="H142" s="24"/>
      <c r="I142" s="24"/>
      <c r="J142" s="24"/>
      <c r="K142" s="24"/>
      <c r="L142" s="24"/>
      <c r="M142" s="24"/>
      <c r="N142" s="24"/>
      <c r="O142" s="24"/>
      <c r="P142" s="24"/>
      <c r="Q142" s="24"/>
      <c r="R142" s="24"/>
      <c r="S142" s="24"/>
      <c r="T142" s="24"/>
      <c r="U142" s="24"/>
      <c r="V142" s="24"/>
      <c r="W142" s="24"/>
      <c r="X142" s="24"/>
      <c r="Y142" s="24"/>
      <c r="Z142" s="24"/>
      <c r="AA142" s="24"/>
      <c r="AB142" s="24"/>
      <c r="AC142" s="24"/>
      <c r="AD142" s="24"/>
      <c r="AE142" s="24"/>
      <c r="AF142" s="24"/>
      <c r="AG142" s="24"/>
      <c r="AH142" s="24"/>
      <c r="AI142" s="24"/>
      <c r="AJ142" s="24"/>
    </row>
    <row r="143" spans="2:36" x14ac:dyDescent="0.25">
      <c r="B143" s="24"/>
      <c r="C143" s="24"/>
      <c r="D143" s="24"/>
      <c r="E143" s="24"/>
      <c r="F143" s="24"/>
      <c r="G143" s="24"/>
      <c r="H143" s="24"/>
      <c r="I143" s="24"/>
      <c r="J143" s="24"/>
      <c r="K143" s="24"/>
      <c r="L143" s="24"/>
      <c r="M143" s="24"/>
      <c r="N143" s="24"/>
      <c r="O143" s="24"/>
      <c r="P143" s="24"/>
      <c r="Q143" s="24"/>
      <c r="R143" s="24"/>
      <c r="S143" s="24"/>
      <c r="T143" s="24"/>
      <c r="U143" s="24"/>
      <c r="V143" s="24"/>
      <c r="W143" s="24"/>
      <c r="X143" s="24"/>
      <c r="Y143" s="24"/>
      <c r="Z143" s="24"/>
      <c r="AA143" s="24"/>
      <c r="AB143" s="24"/>
      <c r="AC143" s="24"/>
      <c r="AD143" s="24"/>
      <c r="AE143" s="24"/>
      <c r="AF143" s="24"/>
      <c r="AG143" s="24"/>
      <c r="AH143" s="24"/>
      <c r="AI143" s="24"/>
      <c r="AJ143" s="24"/>
    </row>
    <row r="144" spans="2:36" x14ac:dyDescent="0.25">
      <c r="B144" s="24"/>
      <c r="C144" s="24"/>
      <c r="D144" s="24"/>
      <c r="E144" s="24"/>
      <c r="F144" s="24"/>
      <c r="G144" s="24"/>
      <c r="H144" s="24"/>
      <c r="I144" s="24"/>
      <c r="J144" s="24"/>
      <c r="K144" s="24"/>
      <c r="L144" s="24"/>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4"/>
    </row>
    <row r="145" spans="2:36" x14ac:dyDescent="0.25">
      <c r="B145" s="24"/>
      <c r="C145" s="24"/>
      <c r="D145" s="24"/>
      <c r="E145" s="24"/>
      <c r="F145" s="24"/>
      <c r="G145" s="24"/>
      <c r="H145" s="24"/>
      <c r="I145" s="24"/>
      <c r="J145" s="24"/>
      <c r="K145" s="24"/>
      <c r="L145" s="24"/>
      <c r="M145" s="24"/>
      <c r="N145" s="24"/>
      <c r="O145" s="24"/>
      <c r="P145" s="24"/>
      <c r="Q145" s="24"/>
      <c r="R145" s="24"/>
      <c r="S145" s="24"/>
      <c r="T145" s="24"/>
      <c r="U145" s="24"/>
      <c r="V145" s="24"/>
      <c r="W145" s="24"/>
      <c r="X145" s="24"/>
      <c r="Y145" s="24"/>
      <c r="Z145" s="24"/>
      <c r="AA145" s="24"/>
      <c r="AB145" s="24"/>
      <c r="AC145" s="24"/>
      <c r="AD145" s="24"/>
      <c r="AE145" s="24"/>
      <c r="AF145" s="24"/>
      <c r="AG145" s="24"/>
      <c r="AH145" s="24"/>
      <c r="AI145" s="24"/>
      <c r="AJ145" s="24"/>
    </row>
    <row r="146" spans="2:36" x14ac:dyDescent="0.25">
      <c r="B146" s="24"/>
      <c r="C146" s="24"/>
      <c r="D146" s="24"/>
      <c r="E146" s="24"/>
      <c r="F146" s="24"/>
      <c r="G146" s="24"/>
      <c r="H146" s="24"/>
      <c r="I146" s="24"/>
      <c r="J146" s="24"/>
      <c r="K146" s="24"/>
      <c r="L146" s="24"/>
      <c r="M146" s="24"/>
      <c r="N146" s="24"/>
      <c r="O146" s="24"/>
      <c r="P146" s="24"/>
      <c r="Q146" s="24"/>
      <c r="R146" s="24"/>
      <c r="S146" s="24"/>
      <c r="T146" s="24"/>
      <c r="U146" s="24"/>
      <c r="V146" s="24"/>
      <c r="W146" s="24"/>
      <c r="X146" s="24"/>
      <c r="Y146" s="24"/>
      <c r="Z146" s="24"/>
      <c r="AA146" s="24"/>
      <c r="AB146" s="24"/>
      <c r="AC146" s="24"/>
      <c r="AD146" s="24"/>
      <c r="AE146" s="24"/>
      <c r="AF146" s="24"/>
      <c r="AG146" s="24"/>
      <c r="AH146" s="24"/>
      <c r="AI146" s="24"/>
      <c r="AJ146" s="24"/>
    </row>
    <row r="147" spans="2:36" x14ac:dyDescent="0.25">
      <c r="B147" s="24"/>
      <c r="C147" s="24"/>
      <c r="D147" s="24"/>
      <c r="E147" s="24"/>
      <c r="F147" s="24"/>
      <c r="G147" s="24"/>
      <c r="H147" s="24"/>
      <c r="I147" s="24"/>
      <c r="J147" s="24"/>
      <c r="K147" s="24"/>
      <c r="L147" s="24"/>
      <c r="M147" s="24"/>
      <c r="N147" s="24"/>
      <c r="O147" s="24"/>
      <c r="P147" s="24"/>
      <c r="Q147" s="24"/>
      <c r="R147" s="24"/>
      <c r="S147" s="24"/>
      <c r="T147" s="24"/>
      <c r="U147" s="24"/>
      <c r="V147" s="24"/>
      <c r="W147" s="24"/>
      <c r="X147" s="24"/>
      <c r="Y147" s="24"/>
      <c r="Z147" s="24"/>
      <c r="AA147" s="24"/>
      <c r="AB147" s="24"/>
      <c r="AC147" s="24"/>
      <c r="AD147" s="24"/>
      <c r="AE147" s="24"/>
      <c r="AF147" s="24"/>
      <c r="AG147" s="24"/>
      <c r="AH147" s="24"/>
      <c r="AI147" s="24"/>
      <c r="AJ147" s="24"/>
    </row>
    <row r="148" spans="2:36" x14ac:dyDescent="0.25">
      <c r="B148" s="24"/>
      <c r="C148" s="24"/>
      <c r="D148" s="24"/>
      <c r="E148" s="24"/>
      <c r="F148" s="24"/>
      <c r="G148" s="24"/>
      <c r="H148" s="24"/>
      <c r="I148" s="24"/>
      <c r="J148" s="24"/>
      <c r="K148" s="24"/>
      <c r="L148" s="24"/>
      <c r="M148" s="24"/>
      <c r="N148" s="24"/>
      <c r="O148" s="24"/>
      <c r="P148" s="24"/>
      <c r="Q148" s="24"/>
      <c r="R148" s="24"/>
      <c r="S148" s="24"/>
      <c r="T148" s="24"/>
      <c r="U148" s="24"/>
      <c r="V148" s="24"/>
      <c r="W148" s="24"/>
      <c r="X148" s="24"/>
      <c r="Y148" s="24"/>
      <c r="Z148" s="24"/>
      <c r="AA148" s="24"/>
      <c r="AB148" s="24"/>
      <c r="AC148" s="24"/>
      <c r="AD148" s="24"/>
      <c r="AE148" s="24"/>
      <c r="AF148" s="24"/>
      <c r="AG148" s="24"/>
      <c r="AH148" s="24"/>
      <c r="AI148" s="24"/>
      <c r="AJ148" s="24"/>
    </row>
    <row r="149" spans="2:36" x14ac:dyDescent="0.25">
      <c r="B149" s="24"/>
      <c r="C149" s="24"/>
      <c r="D149" s="24"/>
      <c r="E149" s="24"/>
      <c r="F149" s="24"/>
      <c r="G149" s="24"/>
      <c r="H149" s="24"/>
      <c r="I149" s="24"/>
      <c r="J149" s="24"/>
      <c r="K149" s="24"/>
      <c r="L149" s="24"/>
      <c r="M149" s="24"/>
      <c r="N149" s="24"/>
      <c r="O149" s="24"/>
      <c r="P149" s="24"/>
      <c r="Q149" s="24"/>
      <c r="R149" s="24"/>
      <c r="S149" s="24"/>
      <c r="T149" s="24"/>
      <c r="U149" s="24"/>
      <c r="V149" s="24"/>
      <c r="W149" s="24"/>
      <c r="X149" s="24"/>
      <c r="Y149" s="24"/>
      <c r="Z149" s="24"/>
      <c r="AA149" s="24"/>
      <c r="AB149" s="24"/>
      <c r="AC149" s="24"/>
      <c r="AD149" s="24"/>
      <c r="AE149" s="24"/>
      <c r="AF149" s="24"/>
      <c r="AG149" s="24"/>
      <c r="AH149" s="24"/>
      <c r="AI149" s="24"/>
      <c r="AJ149" s="24"/>
    </row>
    <row r="150" spans="2:36" x14ac:dyDescent="0.25">
      <c r="B150" s="24"/>
      <c r="C150" s="24"/>
      <c r="D150" s="24"/>
      <c r="E150" s="24"/>
      <c r="F150" s="24"/>
      <c r="G150" s="24"/>
      <c r="H150" s="24"/>
      <c r="I150" s="24"/>
      <c r="J150" s="24"/>
      <c r="K150" s="24"/>
      <c r="L150" s="24"/>
      <c r="M150" s="24"/>
      <c r="N150" s="24"/>
      <c r="O150" s="24"/>
      <c r="P150" s="24"/>
      <c r="Q150" s="24"/>
      <c r="R150" s="24"/>
      <c r="S150" s="24"/>
      <c r="T150" s="24"/>
      <c r="U150" s="24"/>
      <c r="V150" s="24"/>
      <c r="W150" s="24"/>
      <c r="X150" s="24"/>
      <c r="Y150" s="24"/>
      <c r="Z150" s="24"/>
      <c r="AA150" s="24"/>
      <c r="AB150" s="24"/>
      <c r="AC150" s="24"/>
      <c r="AD150" s="24"/>
      <c r="AE150" s="24"/>
      <c r="AF150" s="24"/>
      <c r="AG150" s="24"/>
      <c r="AH150" s="24"/>
      <c r="AI150" s="24"/>
      <c r="AJ150" s="24"/>
    </row>
    <row r="151" spans="2:36" x14ac:dyDescent="0.25">
      <c r="B151" s="24"/>
      <c r="C151" s="24"/>
      <c r="D151" s="24"/>
      <c r="E151" s="24"/>
      <c r="F151" s="24"/>
      <c r="G151" s="24"/>
      <c r="H151" s="24"/>
      <c r="I151" s="24"/>
      <c r="J151" s="24"/>
      <c r="K151" s="24"/>
      <c r="L151" s="24"/>
      <c r="M151" s="24"/>
      <c r="N151" s="24"/>
      <c r="O151" s="24"/>
      <c r="P151" s="24"/>
      <c r="Q151" s="24"/>
      <c r="R151" s="24"/>
      <c r="S151" s="24"/>
      <c r="T151" s="24"/>
      <c r="U151" s="24"/>
      <c r="V151" s="24"/>
      <c r="W151" s="24"/>
      <c r="X151" s="24"/>
      <c r="Y151" s="24"/>
      <c r="Z151" s="24"/>
      <c r="AA151" s="24"/>
      <c r="AB151" s="24"/>
      <c r="AC151" s="24"/>
      <c r="AD151" s="24"/>
      <c r="AE151" s="24"/>
      <c r="AF151" s="24"/>
      <c r="AG151" s="24"/>
      <c r="AH151" s="24"/>
      <c r="AI151" s="24"/>
      <c r="AJ151" s="24"/>
    </row>
    <row r="152" spans="2:36" x14ac:dyDescent="0.25">
      <c r="B152" s="24"/>
      <c r="C152" s="24"/>
      <c r="D152" s="24"/>
      <c r="E152" s="24"/>
      <c r="F152" s="24"/>
      <c r="G152" s="24"/>
      <c r="H152" s="24"/>
      <c r="I152" s="24"/>
      <c r="J152" s="24"/>
      <c r="K152" s="24"/>
      <c r="L152" s="24"/>
      <c r="M152" s="24"/>
      <c r="N152" s="24"/>
      <c r="O152" s="24"/>
      <c r="P152" s="24"/>
      <c r="Q152" s="24"/>
      <c r="R152" s="24"/>
      <c r="S152" s="24"/>
      <c r="T152" s="24"/>
      <c r="U152" s="24"/>
      <c r="V152" s="24"/>
      <c r="W152" s="24"/>
      <c r="X152" s="24"/>
      <c r="Y152" s="24"/>
      <c r="Z152" s="24"/>
      <c r="AA152" s="24"/>
      <c r="AB152" s="24"/>
      <c r="AC152" s="24"/>
      <c r="AD152" s="24"/>
      <c r="AE152" s="24"/>
      <c r="AF152" s="24"/>
      <c r="AG152" s="24"/>
      <c r="AH152" s="24"/>
      <c r="AI152" s="24"/>
      <c r="AJ152" s="24"/>
    </row>
    <row r="153" spans="2:36" x14ac:dyDescent="0.25">
      <c r="B153" s="24"/>
      <c r="C153" s="24"/>
      <c r="D153" s="24"/>
      <c r="E153" s="24"/>
      <c r="F153" s="24"/>
      <c r="G153" s="24"/>
      <c r="H153" s="24"/>
      <c r="I153" s="24"/>
      <c r="J153" s="24"/>
      <c r="K153" s="24"/>
      <c r="L153" s="24"/>
      <c r="M153" s="24"/>
      <c r="N153" s="24"/>
      <c r="O153" s="24"/>
      <c r="P153" s="24"/>
      <c r="Q153" s="24"/>
      <c r="R153" s="24"/>
      <c r="S153" s="24"/>
      <c r="T153" s="24"/>
      <c r="U153" s="24"/>
      <c r="V153" s="24"/>
      <c r="W153" s="24"/>
      <c r="X153" s="24"/>
      <c r="Y153" s="24"/>
      <c r="Z153" s="24"/>
      <c r="AA153" s="24"/>
      <c r="AB153" s="24"/>
      <c r="AC153" s="24"/>
      <c r="AD153" s="24"/>
      <c r="AE153" s="24"/>
      <c r="AF153" s="24"/>
      <c r="AG153" s="24"/>
      <c r="AH153" s="24"/>
      <c r="AI153" s="24"/>
      <c r="AJ153" s="24"/>
    </row>
    <row r="154" spans="2:36" x14ac:dyDescent="0.25">
      <c r="B154" s="24"/>
      <c r="C154" s="24"/>
      <c r="D154" s="24"/>
      <c r="E154" s="24"/>
      <c r="F154" s="24"/>
      <c r="G154" s="24"/>
      <c r="H154" s="24"/>
      <c r="I154" s="24"/>
      <c r="J154" s="24"/>
      <c r="K154" s="24"/>
      <c r="L154" s="24"/>
      <c r="M154" s="24"/>
      <c r="N154" s="24"/>
      <c r="O154" s="24"/>
      <c r="P154" s="24"/>
      <c r="Q154" s="24"/>
      <c r="R154" s="24"/>
      <c r="S154" s="24"/>
      <c r="T154" s="24"/>
      <c r="U154" s="24"/>
      <c r="V154" s="24"/>
      <c r="W154" s="24"/>
      <c r="X154" s="24"/>
      <c r="Y154" s="24"/>
      <c r="Z154" s="24"/>
      <c r="AA154" s="24"/>
      <c r="AB154" s="24"/>
      <c r="AC154" s="24"/>
      <c r="AD154" s="24"/>
      <c r="AE154" s="24"/>
      <c r="AF154" s="24"/>
      <c r="AG154" s="24"/>
      <c r="AH154" s="24"/>
      <c r="AI154" s="24"/>
      <c r="AJ154" s="24"/>
    </row>
    <row r="155" spans="2:36" x14ac:dyDescent="0.25">
      <c r="B155" s="24"/>
      <c r="C155" s="24"/>
      <c r="D155" s="24"/>
      <c r="E155" s="24"/>
      <c r="F155" s="24"/>
      <c r="G155" s="24"/>
      <c r="H155" s="24"/>
      <c r="I155" s="24"/>
      <c r="J155" s="24"/>
      <c r="K155" s="24"/>
      <c r="L155" s="24"/>
      <c r="M155" s="24"/>
      <c r="N155" s="24"/>
      <c r="O155" s="24"/>
      <c r="P155" s="24"/>
      <c r="Q155" s="24"/>
      <c r="R155" s="24"/>
      <c r="S155" s="24"/>
      <c r="T155" s="24"/>
      <c r="U155" s="24"/>
      <c r="V155" s="24"/>
      <c r="W155" s="24"/>
      <c r="X155" s="24"/>
      <c r="Y155" s="24"/>
      <c r="Z155" s="24"/>
      <c r="AA155" s="24"/>
      <c r="AB155" s="24"/>
      <c r="AC155" s="24"/>
      <c r="AD155" s="24"/>
      <c r="AE155" s="24"/>
      <c r="AF155" s="24"/>
      <c r="AG155" s="24"/>
      <c r="AH155" s="24"/>
      <c r="AI155" s="24"/>
      <c r="AJ155" s="24"/>
    </row>
    <row r="156" spans="2:36" x14ac:dyDescent="0.25">
      <c r="B156" s="24"/>
      <c r="C156" s="24"/>
      <c r="D156" s="24"/>
      <c r="E156" s="24"/>
      <c r="F156" s="24"/>
      <c r="G156" s="24"/>
      <c r="H156" s="24"/>
      <c r="I156" s="24"/>
      <c r="J156" s="24"/>
      <c r="K156" s="24"/>
      <c r="L156" s="24"/>
      <c r="M156" s="24"/>
      <c r="N156" s="24"/>
      <c r="O156" s="24"/>
      <c r="P156" s="24"/>
      <c r="Q156" s="24"/>
      <c r="R156" s="24"/>
      <c r="S156" s="24"/>
      <c r="T156" s="24"/>
      <c r="U156" s="24"/>
      <c r="V156" s="24"/>
      <c r="W156" s="24"/>
      <c r="X156" s="24"/>
      <c r="Y156" s="24"/>
      <c r="Z156" s="24"/>
      <c r="AA156" s="24"/>
      <c r="AB156" s="24"/>
      <c r="AC156" s="24"/>
      <c r="AD156" s="24"/>
      <c r="AE156" s="24"/>
      <c r="AF156" s="24"/>
      <c r="AG156" s="24"/>
      <c r="AH156" s="24"/>
      <c r="AI156" s="24"/>
      <c r="AJ156" s="24"/>
    </row>
    <row r="157" spans="2:36" x14ac:dyDescent="0.25">
      <c r="B157" s="24"/>
      <c r="C157" s="24"/>
      <c r="D157" s="24"/>
      <c r="E157" s="24"/>
      <c r="F157" s="24"/>
      <c r="G157" s="24"/>
      <c r="H157" s="24"/>
      <c r="I157" s="24"/>
      <c r="J157" s="24"/>
      <c r="K157" s="24"/>
      <c r="L157" s="24"/>
      <c r="M157" s="24"/>
      <c r="N157" s="24"/>
      <c r="O157" s="24"/>
      <c r="P157" s="24"/>
      <c r="Q157" s="24"/>
      <c r="R157" s="24"/>
      <c r="S157" s="24"/>
      <c r="T157" s="24"/>
      <c r="U157" s="24"/>
      <c r="V157" s="24"/>
      <c r="W157" s="24"/>
      <c r="X157" s="24"/>
      <c r="Y157" s="24"/>
      <c r="Z157" s="24"/>
      <c r="AA157" s="24"/>
      <c r="AB157" s="24"/>
      <c r="AC157" s="24"/>
      <c r="AD157" s="24"/>
      <c r="AE157" s="24"/>
      <c r="AF157" s="24"/>
      <c r="AG157" s="24"/>
      <c r="AH157" s="24"/>
      <c r="AI157" s="24"/>
      <c r="AJ157" s="24"/>
    </row>
    <row r="158" spans="2:36" x14ac:dyDescent="0.25">
      <c r="B158" s="24"/>
      <c r="C158" s="24"/>
      <c r="D158" s="24"/>
      <c r="E158" s="24"/>
      <c r="F158" s="24"/>
      <c r="G158" s="24"/>
      <c r="H158" s="24"/>
      <c r="I158" s="24"/>
      <c r="J158" s="24"/>
      <c r="K158" s="24"/>
      <c r="L158" s="24"/>
      <c r="M158" s="24"/>
      <c r="N158" s="24"/>
      <c r="O158" s="24"/>
      <c r="P158" s="24"/>
      <c r="Q158" s="24"/>
      <c r="R158" s="24"/>
      <c r="S158" s="24"/>
      <c r="T158" s="24"/>
      <c r="U158" s="24"/>
      <c r="V158" s="24"/>
      <c r="W158" s="24"/>
      <c r="X158" s="24"/>
      <c r="Y158" s="24"/>
      <c r="Z158" s="24"/>
      <c r="AA158" s="24"/>
      <c r="AB158" s="24"/>
      <c r="AC158" s="24"/>
      <c r="AD158" s="24"/>
      <c r="AE158" s="24"/>
      <c r="AF158" s="24"/>
      <c r="AG158" s="24"/>
      <c r="AH158" s="24"/>
      <c r="AI158" s="24"/>
      <c r="AJ158" s="24"/>
    </row>
    <row r="159" spans="2:36" x14ac:dyDescent="0.25">
      <c r="B159" s="24"/>
      <c r="C159" s="24"/>
      <c r="D159" s="24"/>
      <c r="E159" s="24"/>
      <c r="F159" s="24"/>
      <c r="G159" s="24"/>
      <c r="H159" s="24"/>
      <c r="I159" s="24"/>
      <c r="J159" s="24"/>
      <c r="K159" s="24"/>
      <c r="L159" s="24"/>
      <c r="M159" s="24"/>
      <c r="N159" s="24"/>
      <c r="O159" s="24"/>
      <c r="P159" s="24"/>
      <c r="Q159" s="24"/>
      <c r="R159" s="24"/>
      <c r="S159" s="24"/>
      <c r="T159" s="24"/>
      <c r="U159" s="24"/>
      <c r="V159" s="24"/>
      <c r="W159" s="24"/>
      <c r="X159" s="24"/>
      <c r="Y159" s="24"/>
      <c r="Z159" s="24"/>
      <c r="AA159" s="24"/>
      <c r="AB159" s="24"/>
      <c r="AC159" s="24"/>
      <c r="AD159" s="24"/>
      <c r="AE159" s="24"/>
      <c r="AF159" s="24"/>
      <c r="AG159" s="24"/>
      <c r="AH159" s="24"/>
      <c r="AI159" s="24"/>
      <c r="AJ159" s="24"/>
    </row>
    <row r="160" spans="2:36" x14ac:dyDescent="0.25">
      <c r="B160" s="24"/>
      <c r="C160" s="24"/>
      <c r="D160" s="24"/>
      <c r="E160" s="24"/>
      <c r="F160" s="24"/>
      <c r="G160" s="24"/>
      <c r="H160" s="24"/>
      <c r="I160" s="24"/>
      <c r="J160" s="24"/>
      <c r="K160" s="24"/>
      <c r="L160" s="24"/>
      <c r="M160" s="24"/>
      <c r="N160" s="24"/>
      <c r="O160" s="24"/>
      <c r="P160" s="24"/>
      <c r="Q160" s="24"/>
      <c r="R160" s="24"/>
      <c r="S160" s="24"/>
      <c r="T160" s="24"/>
      <c r="U160" s="24"/>
      <c r="V160" s="24"/>
      <c r="W160" s="24"/>
      <c r="X160" s="24"/>
      <c r="Y160" s="24"/>
      <c r="Z160" s="24"/>
      <c r="AA160" s="24"/>
      <c r="AB160" s="24"/>
      <c r="AC160" s="24"/>
      <c r="AD160" s="24"/>
      <c r="AE160" s="24"/>
      <c r="AF160" s="24"/>
      <c r="AG160" s="24"/>
      <c r="AH160" s="24"/>
      <c r="AI160" s="24"/>
      <c r="AJ160" s="24"/>
    </row>
    <row r="161" spans="2:36" x14ac:dyDescent="0.25">
      <c r="B161" s="24"/>
      <c r="C161" s="24"/>
      <c r="D161" s="24"/>
      <c r="E161" s="24"/>
      <c r="F161" s="24"/>
      <c r="G161" s="24"/>
      <c r="H161" s="24"/>
      <c r="I161" s="24"/>
      <c r="J161" s="24"/>
      <c r="K161" s="24"/>
      <c r="L161" s="24"/>
      <c r="M161" s="24"/>
      <c r="N161" s="24"/>
      <c r="O161" s="24"/>
      <c r="P161" s="24"/>
      <c r="Q161" s="24"/>
      <c r="R161" s="24"/>
      <c r="S161" s="24"/>
      <c r="T161" s="24"/>
      <c r="U161" s="24"/>
      <c r="V161" s="24"/>
      <c r="W161" s="24"/>
      <c r="X161" s="24"/>
      <c r="Y161" s="24"/>
      <c r="Z161" s="24"/>
      <c r="AA161" s="24"/>
      <c r="AB161" s="24"/>
      <c r="AC161" s="24"/>
      <c r="AD161" s="24"/>
      <c r="AE161" s="24"/>
      <c r="AF161" s="24"/>
      <c r="AG161" s="24"/>
      <c r="AH161" s="24"/>
      <c r="AI161" s="24"/>
      <c r="AJ161" s="24"/>
    </row>
    <row r="162" spans="2:36" x14ac:dyDescent="0.25">
      <c r="B162" s="24"/>
      <c r="C162" s="24"/>
      <c r="D162" s="24"/>
      <c r="E162" s="24"/>
      <c r="F162" s="24"/>
      <c r="G162" s="24"/>
      <c r="H162" s="24"/>
      <c r="I162" s="24"/>
      <c r="J162" s="24"/>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row>
    <row r="163" spans="2:36" x14ac:dyDescent="0.25">
      <c r="B163" s="24"/>
      <c r="C163" s="24"/>
      <c r="D163" s="24"/>
      <c r="E163" s="24"/>
      <c r="F163" s="24"/>
      <c r="G163" s="24"/>
      <c r="H163" s="24"/>
      <c r="I163" s="24"/>
      <c r="J163" s="24"/>
      <c r="K163" s="24"/>
      <c r="L163" s="24"/>
      <c r="M163" s="24"/>
      <c r="N163" s="24"/>
      <c r="O163" s="24"/>
      <c r="P163" s="24"/>
      <c r="Q163" s="24"/>
      <c r="R163" s="24"/>
      <c r="S163" s="24"/>
      <c r="T163" s="24"/>
      <c r="U163" s="24"/>
      <c r="V163" s="24"/>
      <c r="W163" s="24"/>
      <c r="X163" s="24"/>
      <c r="Y163" s="24"/>
      <c r="Z163" s="24"/>
      <c r="AA163" s="24"/>
      <c r="AB163" s="24"/>
      <c r="AC163" s="24"/>
      <c r="AD163" s="24"/>
      <c r="AE163" s="24"/>
      <c r="AF163" s="24"/>
      <c r="AG163" s="24"/>
      <c r="AH163" s="24"/>
      <c r="AI163" s="24"/>
      <c r="AJ163" s="24"/>
    </row>
    <row r="164" spans="2:36" x14ac:dyDescent="0.25">
      <c r="B164" s="24"/>
      <c r="C164" s="24"/>
      <c r="D164" s="24"/>
      <c r="E164" s="24"/>
      <c r="F164" s="24"/>
      <c r="G164" s="24"/>
      <c r="H164" s="24"/>
      <c r="I164" s="24"/>
      <c r="J164" s="24"/>
      <c r="K164" s="24"/>
      <c r="L164" s="24"/>
      <c r="M164" s="24"/>
      <c r="N164" s="24"/>
      <c r="O164" s="24"/>
      <c r="P164" s="24"/>
      <c r="Q164" s="24"/>
      <c r="R164" s="24"/>
      <c r="S164" s="24"/>
      <c r="T164" s="24"/>
      <c r="U164" s="24"/>
      <c r="V164" s="24"/>
      <c r="W164" s="24"/>
      <c r="X164" s="24"/>
      <c r="Y164" s="24"/>
      <c r="Z164" s="24"/>
      <c r="AA164" s="24"/>
      <c r="AB164" s="24"/>
      <c r="AC164" s="24"/>
      <c r="AD164" s="24"/>
      <c r="AE164" s="24"/>
      <c r="AF164" s="24"/>
      <c r="AG164" s="24"/>
      <c r="AH164" s="24"/>
      <c r="AI164" s="24"/>
      <c r="AJ164" s="24"/>
    </row>
    <row r="165" spans="2:36" x14ac:dyDescent="0.25">
      <c r="B165" s="24"/>
      <c r="C165" s="24"/>
      <c r="D165" s="24"/>
      <c r="E165" s="24"/>
      <c r="F165" s="24"/>
      <c r="G165" s="24"/>
      <c r="H165" s="24"/>
      <c r="I165" s="24"/>
      <c r="J165" s="24"/>
      <c r="K165" s="24"/>
      <c r="L165" s="24"/>
      <c r="M165" s="24"/>
      <c r="N165" s="24"/>
      <c r="O165" s="24"/>
      <c r="P165" s="24"/>
      <c r="Q165" s="24"/>
      <c r="R165" s="24"/>
      <c r="S165" s="24"/>
      <c r="T165" s="24"/>
      <c r="U165" s="24"/>
      <c r="V165" s="24"/>
      <c r="W165" s="24"/>
      <c r="X165" s="24"/>
      <c r="Y165" s="24"/>
      <c r="Z165" s="24"/>
      <c r="AA165" s="24"/>
      <c r="AB165" s="24"/>
      <c r="AC165" s="24"/>
      <c r="AD165" s="24"/>
      <c r="AE165" s="24"/>
      <c r="AF165" s="24"/>
      <c r="AG165" s="24"/>
      <c r="AH165" s="24"/>
      <c r="AI165" s="24"/>
      <c r="AJ165" s="24"/>
    </row>
    <row r="166" spans="2:36" x14ac:dyDescent="0.25">
      <c r="B166" s="24"/>
      <c r="C166" s="24"/>
      <c r="D166" s="24"/>
      <c r="E166" s="24"/>
      <c r="F166" s="24"/>
      <c r="G166" s="24"/>
      <c r="H166" s="24"/>
      <c r="I166" s="24"/>
      <c r="J166" s="24"/>
      <c r="K166" s="24"/>
      <c r="L166" s="24"/>
      <c r="M166" s="24"/>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4"/>
    </row>
    <row r="167" spans="2:36" x14ac:dyDescent="0.25">
      <c r="B167" s="24"/>
      <c r="C167" s="24"/>
      <c r="D167" s="24"/>
      <c r="E167" s="24"/>
      <c r="F167" s="24"/>
      <c r="G167" s="24"/>
      <c r="H167" s="24"/>
      <c r="I167" s="24"/>
      <c r="J167" s="24"/>
      <c r="K167" s="24"/>
      <c r="L167" s="24"/>
      <c r="M167" s="24"/>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row>
    <row r="168" spans="2:36" x14ac:dyDescent="0.25">
      <c r="B168" s="24"/>
      <c r="C168" s="24"/>
      <c r="D168" s="24"/>
      <c r="E168" s="24"/>
      <c r="F168" s="24"/>
      <c r="G168" s="24"/>
      <c r="H168" s="24"/>
      <c r="I168" s="24"/>
      <c r="J168" s="24"/>
      <c r="K168" s="24"/>
      <c r="L168" s="24"/>
      <c r="M168" s="24"/>
      <c r="N168" s="24"/>
      <c r="O168" s="24"/>
      <c r="P168" s="24"/>
      <c r="Q168" s="24"/>
      <c r="R168" s="24"/>
      <c r="S168" s="24"/>
      <c r="T168" s="24"/>
      <c r="U168" s="24"/>
      <c r="V168" s="24"/>
      <c r="W168" s="24"/>
      <c r="X168" s="24"/>
      <c r="Y168" s="24"/>
      <c r="Z168" s="24"/>
      <c r="AA168" s="24"/>
      <c r="AB168" s="24"/>
      <c r="AC168" s="24"/>
      <c r="AD168" s="24"/>
      <c r="AE168" s="24"/>
      <c r="AF168" s="24"/>
      <c r="AG168" s="24"/>
      <c r="AH168" s="24"/>
      <c r="AI168" s="24"/>
      <c r="AJ168" s="24"/>
    </row>
    <row r="169" spans="2:36" x14ac:dyDescent="0.25">
      <c r="B169" s="24"/>
      <c r="C169" s="24"/>
      <c r="D169" s="24"/>
      <c r="E169" s="24"/>
      <c r="F169" s="24"/>
      <c r="G169" s="24"/>
      <c r="H169" s="24"/>
      <c r="I169" s="24"/>
      <c r="J169" s="24"/>
      <c r="K169" s="24"/>
      <c r="L169" s="24"/>
      <c r="M169" s="24"/>
      <c r="N169" s="24"/>
      <c r="O169" s="24"/>
      <c r="P169" s="24"/>
      <c r="Q169" s="24"/>
      <c r="R169" s="24"/>
      <c r="S169" s="24"/>
      <c r="T169" s="24"/>
      <c r="U169" s="24"/>
      <c r="V169" s="24"/>
      <c r="W169" s="24"/>
      <c r="X169" s="24"/>
      <c r="Y169" s="24"/>
      <c r="Z169" s="24"/>
      <c r="AA169" s="24"/>
      <c r="AB169" s="24"/>
      <c r="AC169" s="24"/>
      <c r="AD169" s="24"/>
      <c r="AE169" s="24"/>
      <c r="AF169" s="24"/>
      <c r="AG169" s="24"/>
      <c r="AH169" s="24"/>
      <c r="AI169" s="24"/>
      <c r="AJ169" s="24"/>
    </row>
    <row r="170" spans="2:36" x14ac:dyDescent="0.25">
      <c r="B170" s="24"/>
      <c r="C170" s="24"/>
      <c r="D170" s="24"/>
      <c r="E170" s="24"/>
      <c r="F170" s="24"/>
      <c r="G170" s="24"/>
      <c r="H170" s="24"/>
      <c r="I170" s="24"/>
      <c r="J170" s="24"/>
      <c r="K170" s="24"/>
      <c r="L170" s="24"/>
      <c r="M170" s="24"/>
      <c r="N170" s="24"/>
      <c r="O170" s="24"/>
      <c r="P170" s="24"/>
      <c r="Q170" s="24"/>
      <c r="R170" s="24"/>
      <c r="S170" s="24"/>
      <c r="T170" s="24"/>
      <c r="U170" s="24"/>
      <c r="V170" s="24"/>
      <c r="W170" s="24"/>
      <c r="X170" s="24"/>
      <c r="Y170" s="24"/>
      <c r="Z170" s="24"/>
      <c r="AA170" s="24"/>
      <c r="AB170" s="24"/>
      <c r="AC170" s="24"/>
      <c r="AD170" s="24"/>
      <c r="AE170" s="24"/>
      <c r="AF170" s="24"/>
      <c r="AG170" s="24"/>
      <c r="AH170" s="24"/>
      <c r="AI170" s="24"/>
      <c r="AJ170" s="24"/>
    </row>
    <row r="171" spans="2:36" x14ac:dyDescent="0.25">
      <c r="B171" s="24"/>
      <c r="C171" s="24"/>
      <c r="D171" s="24"/>
      <c r="E171" s="24"/>
      <c r="F171" s="24"/>
      <c r="G171" s="24"/>
      <c r="H171" s="24"/>
      <c r="I171" s="24"/>
      <c r="J171" s="24"/>
      <c r="K171" s="24"/>
      <c r="L171" s="24"/>
      <c r="M171" s="24"/>
      <c r="N171" s="24"/>
      <c r="O171" s="24"/>
      <c r="P171" s="24"/>
      <c r="Q171" s="24"/>
      <c r="R171" s="24"/>
      <c r="S171" s="24"/>
      <c r="T171" s="24"/>
      <c r="U171" s="24"/>
      <c r="V171" s="24"/>
      <c r="W171" s="24"/>
      <c r="X171" s="24"/>
      <c r="Y171" s="24"/>
      <c r="Z171" s="24"/>
      <c r="AA171" s="24"/>
      <c r="AB171" s="24"/>
      <c r="AC171" s="24"/>
      <c r="AD171" s="24"/>
      <c r="AE171" s="24"/>
      <c r="AF171" s="24"/>
      <c r="AG171" s="24"/>
      <c r="AH171" s="24"/>
      <c r="AI171" s="24"/>
      <c r="AJ171" s="24"/>
    </row>
    <row r="172" spans="2:36" x14ac:dyDescent="0.25">
      <c r="B172" s="24"/>
      <c r="C172" s="24"/>
      <c r="D172" s="24"/>
      <c r="E172" s="24"/>
      <c r="F172" s="24"/>
      <c r="G172" s="24"/>
      <c r="H172" s="24"/>
      <c r="I172" s="24"/>
      <c r="J172" s="24"/>
      <c r="K172" s="24"/>
      <c r="L172" s="24"/>
      <c r="M172" s="24"/>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4"/>
    </row>
    <row r="173" spans="2:36" x14ac:dyDescent="0.25">
      <c r="B173" s="24"/>
      <c r="C173" s="24"/>
      <c r="D173" s="24"/>
      <c r="E173" s="24"/>
      <c r="F173" s="24"/>
      <c r="G173" s="24"/>
      <c r="H173" s="24"/>
      <c r="I173" s="24"/>
      <c r="J173" s="24"/>
      <c r="K173" s="24"/>
      <c r="L173" s="24"/>
      <c r="M173" s="24"/>
      <c r="N173" s="24"/>
      <c r="O173" s="24"/>
      <c r="P173" s="24"/>
      <c r="Q173" s="24"/>
      <c r="R173" s="24"/>
      <c r="S173" s="24"/>
      <c r="T173" s="24"/>
      <c r="U173" s="24"/>
      <c r="V173" s="24"/>
      <c r="W173" s="24"/>
      <c r="X173" s="24"/>
      <c r="Y173" s="24"/>
      <c r="Z173" s="24"/>
      <c r="AA173" s="24"/>
      <c r="AB173" s="24"/>
      <c r="AC173" s="24"/>
      <c r="AD173" s="24"/>
      <c r="AE173" s="24"/>
      <c r="AF173" s="24"/>
      <c r="AG173" s="24"/>
      <c r="AH173" s="24"/>
      <c r="AI173" s="24"/>
      <c r="AJ173" s="24"/>
    </row>
    <row r="174" spans="2:36" x14ac:dyDescent="0.25">
      <c r="B174" s="24"/>
      <c r="C174" s="24"/>
      <c r="D174" s="24"/>
      <c r="E174" s="24"/>
      <c r="F174" s="24"/>
      <c r="G174" s="24"/>
      <c r="H174" s="24"/>
      <c r="I174" s="24"/>
      <c r="J174" s="24"/>
      <c r="K174" s="24"/>
      <c r="L174" s="24"/>
      <c r="M174" s="24"/>
      <c r="N174" s="24"/>
      <c r="O174" s="24"/>
      <c r="P174" s="24"/>
      <c r="Q174" s="24"/>
      <c r="R174" s="24"/>
      <c r="S174" s="24"/>
      <c r="T174" s="24"/>
      <c r="U174" s="24"/>
      <c r="V174" s="24"/>
      <c r="W174" s="24"/>
      <c r="X174" s="24"/>
      <c r="Y174" s="24"/>
      <c r="Z174" s="24"/>
      <c r="AA174" s="24"/>
      <c r="AB174" s="24"/>
      <c r="AC174" s="24"/>
      <c r="AD174" s="24"/>
      <c r="AE174" s="24"/>
      <c r="AF174" s="24"/>
      <c r="AG174" s="24"/>
      <c r="AH174" s="24"/>
      <c r="AI174" s="24"/>
      <c r="AJ174" s="24"/>
    </row>
    <row r="175" spans="2:36" x14ac:dyDescent="0.25">
      <c r="B175" s="24"/>
      <c r="C175" s="24"/>
      <c r="D175" s="24"/>
      <c r="E175" s="24"/>
      <c r="F175" s="24"/>
      <c r="G175" s="24"/>
      <c r="H175" s="24"/>
      <c r="I175" s="24"/>
      <c r="J175" s="24"/>
      <c r="K175" s="24"/>
      <c r="L175" s="24"/>
      <c r="M175" s="24"/>
      <c r="N175" s="24"/>
      <c r="O175" s="24"/>
      <c r="P175" s="24"/>
      <c r="Q175" s="24"/>
      <c r="R175" s="24"/>
      <c r="S175" s="24"/>
      <c r="T175" s="24"/>
      <c r="U175" s="24"/>
      <c r="V175" s="24"/>
      <c r="W175" s="24"/>
      <c r="X175" s="24"/>
      <c r="Y175" s="24"/>
      <c r="Z175" s="24"/>
      <c r="AA175" s="24"/>
      <c r="AB175" s="24"/>
      <c r="AC175" s="24"/>
      <c r="AD175" s="24"/>
      <c r="AE175" s="24"/>
      <c r="AF175" s="24"/>
      <c r="AG175" s="24"/>
      <c r="AH175" s="24"/>
      <c r="AI175" s="24"/>
      <c r="AJ175" s="24"/>
    </row>
    <row r="176" spans="2:36" x14ac:dyDescent="0.25">
      <c r="B176" s="24"/>
      <c r="C176" s="24"/>
      <c r="D176" s="24"/>
      <c r="E176" s="24"/>
      <c r="F176" s="24"/>
      <c r="G176" s="24"/>
      <c r="H176" s="24"/>
      <c r="I176" s="24"/>
      <c r="J176" s="24"/>
      <c r="K176" s="24"/>
      <c r="L176" s="24"/>
      <c r="M176" s="24"/>
      <c r="N176" s="24"/>
      <c r="O176" s="24"/>
      <c r="P176" s="24"/>
      <c r="Q176" s="24"/>
      <c r="R176" s="24"/>
      <c r="S176" s="24"/>
      <c r="T176" s="24"/>
      <c r="U176" s="24"/>
      <c r="V176" s="24"/>
      <c r="W176" s="24"/>
      <c r="X176" s="24"/>
      <c r="Y176" s="24"/>
      <c r="Z176" s="24"/>
      <c r="AA176" s="24"/>
      <c r="AB176" s="24"/>
      <c r="AC176" s="24"/>
      <c r="AD176" s="24"/>
      <c r="AE176" s="24"/>
      <c r="AF176" s="24"/>
      <c r="AG176" s="24"/>
      <c r="AH176" s="24"/>
      <c r="AI176" s="24"/>
      <c r="AJ176" s="24"/>
    </row>
    <row r="177" spans="2:36" x14ac:dyDescent="0.25">
      <c r="B177" s="24"/>
      <c r="C177" s="24"/>
      <c r="D177" s="24"/>
      <c r="E177" s="24"/>
      <c r="F177" s="24"/>
      <c r="G177" s="24"/>
      <c r="H177" s="24"/>
      <c r="I177" s="24"/>
      <c r="J177" s="24"/>
      <c r="K177" s="24"/>
      <c r="L177" s="24"/>
      <c r="M177" s="24"/>
      <c r="N177" s="24"/>
      <c r="O177" s="24"/>
      <c r="P177" s="24"/>
      <c r="Q177" s="24"/>
      <c r="R177" s="24"/>
      <c r="S177" s="24"/>
      <c r="T177" s="24"/>
      <c r="U177" s="24"/>
      <c r="V177" s="24"/>
      <c r="W177" s="24"/>
      <c r="X177" s="24"/>
      <c r="Y177" s="24"/>
      <c r="Z177" s="24"/>
      <c r="AA177" s="24"/>
      <c r="AB177" s="24"/>
      <c r="AC177" s="24"/>
      <c r="AD177" s="24"/>
      <c r="AE177" s="24"/>
      <c r="AF177" s="24"/>
      <c r="AG177" s="24"/>
      <c r="AH177" s="24"/>
      <c r="AI177" s="24"/>
      <c r="AJ177" s="24"/>
    </row>
    <row r="178" spans="2:36" x14ac:dyDescent="0.25">
      <c r="B178" s="24"/>
      <c r="C178" s="24"/>
      <c r="D178" s="24"/>
      <c r="E178" s="24"/>
      <c r="F178" s="24"/>
      <c r="G178" s="24"/>
      <c r="H178" s="24"/>
      <c r="I178" s="24"/>
      <c r="J178" s="24"/>
      <c r="K178" s="24"/>
      <c r="L178" s="24"/>
      <c r="M178" s="24"/>
      <c r="N178" s="24"/>
      <c r="O178" s="24"/>
      <c r="P178" s="24"/>
      <c r="Q178" s="24"/>
      <c r="R178" s="24"/>
      <c r="S178" s="24"/>
      <c r="T178" s="24"/>
      <c r="U178" s="24"/>
      <c r="V178" s="24"/>
      <c r="W178" s="24"/>
      <c r="X178" s="24"/>
      <c r="Y178" s="24"/>
      <c r="Z178" s="24"/>
      <c r="AA178" s="24"/>
      <c r="AB178" s="24"/>
      <c r="AC178" s="24"/>
      <c r="AD178" s="24"/>
      <c r="AE178" s="24"/>
      <c r="AF178" s="24"/>
      <c r="AG178" s="24"/>
      <c r="AH178" s="24"/>
      <c r="AI178" s="24"/>
      <c r="AJ178" s="24"/>
    </row>
    <row r="179" spans="2:36" x14ac:dyDescent="0.25">
      <c r="B179" s="24"/>
      <c r="C179" s="24"/>
      <c r="D179" s="24"/>
      <c r="E179" s="24"/>
      <c r="F179" s="24"/>
      <c r="G179" s="24"/>
      <c r="H179" s="24"/>
      <c r="I179" s="24"/>
      <c r="J179" s="24"/>
      <c r="K179" s="24"/>
      <c r="L179" s="24"/>
      <c r="M179" s="24"/>
      <c r="N179" s="24"/>
      <c r="O179" s="24"/>
      <c r="P179" s="24"/>
      <c r="Q179" s="24"/>
      <c r="R179" s="24"/>
      <c r="S179" s="24"/>
      <c r="T179" s="24"/>
      <c r="U179" s="24"/>
      <c r="V179" s="24"/>
      <c r="W179" s="24"/>
      <c r="X179" s="24"/>
      <c r="Y179" s="24"/>
      <c r="Z179" s="24"/>
      <c r="AA179" s="24"/>
      <c r="AB179" s="24"/>
      <c r="AC179" s="24"/>
      <c r="AD179" s="24"/>
      <c r="AE179" s="24"/>
      <c r="AF179" s="24"/>
      <c r="AG179" s="24"/>
      <c r="AH179" s="24"/>
      <c r="AI179" s="24"/>
      <c r="AJ179" s="24"/>
    </row>
    <row r="180" spans="2:36" x14ac:dyDescent="0.25">
      <c r="B180" s="24"/>
      <c r="C180" s="24"/>
      <c r="D180" s="24"/>
      <c r="E180" s="24"/>
      <c r="F180" s="24"/>
      <c r="G180" s="24"/>
      <c r="H180" s="24"/>
      <c r="I180" s="24"/>
      <c r="J180" s="24"/>
      <c r="K180" s="24"/>
      <c r="L180" s="24"/>
      <c r="M180" s="24"/>
      <c r="N180" s="24"/>
      <c r="O180" s="24"/>
      <c r="P180" s="24"/>
      <c r="Q180" s="24"/>
      <c r="R180" s="24"/>
      <c r="S180" s="24"/>
      <c r="T180" s="24"/>
      <c r="U180" s="24"/>
      <c r="V180" s="24"/>
      <c r="W180" s="24"/>
      <c r="X180" s="24"/>
      <c r="Y180" s="24"/>
      <c r="Z180" s="24"/>
      <c r="AA180" s="24"/>
      <c r="AB180" s="24"/>
      <c r="AC180" s="24"/>
      <c r="AD180" s="24"/>
      <c r="AE180" s="24"/>
      <c r="AF180" s="24"/>
      <c r="AG180" s="24"/>
      <c r="AH180" s="24"/>
      <c r="AI180" s="24"/>
      <c r="AJ180" s="24"/>
    </row>
    <row r="181" spans="2:36" x14ac:dyDescent="0.25">
      <c r="B181" s="24"/>
      <c r="C181" s="24"/>
      <c r="D181" s="24"/>
      <c r="E181" s="24"/>
      <c r="F181" s="24"/>
      <c r="G181" s="24"/>
      <c r="H181" s="24"/>
      <c r="I181" s="24"/>
      <c r="J181" s="24"/>
      <c r="K181" s="24"/>
      <c r="L181" s="24"/>
      <c r="M181" s="24"/>
      <c r="N181" s="24"/>
      <c r="O181" s="24"/>
      <c r="P181" s="24"/>
      <c r="Q181" s="24"/>
      <c r="R181" s="24"/>
      <c r="S181" s="24"/>
      <c r="T181" s="24"/>
      <c r="U181" s="24"/>
      <c r="V181" s="24"/>
      <c r="W181" s="24"/>
      <c r="X181" s="24"/>
      <c r="Y181" s="24"/>
      <c r="Z181" s="24"/>
      <c r="AA181" s="24"/>
      <c r="AB181" s="24"/>
      <c r="AC181" s="24"/>
      <c r="AD181" s="24"/>
      <c r="AE181" s="24"/>
      <c r="AF181" s="24"/>
      <c r="AG181" s="24"/>
      <c r="AH181" s="24"/>
      <c r="AI181" s="24"/>
      <c r="AJ181" s="24"/>
    </row>
    <row r="182" spans="2:36" x14ac:dyDescent="0.25">
      <c r="B182" s="24"/>
      <c r="C182" s="24"/>
      <c r="D182" s="24"/>
      <c r="E182" s="24"/>
      <c r="F182" s="24"/>
      <c r="G182" s="24"/>
      <c r="H182" s="24"/>
      <c r="I182" s="24"/>
      <c r="J182" s="24"/>
      <c r="K182" s="24"/>
      <c r="L182" s="24"/>
      <c r="M182" s="24"/>
      <c r="N182" s="24"/>
      <c r="O182" s="24"/>
      <c r="P182" s="24"/>
      <c r="Q182" s="24"/>
      <c r="R182" s="24"/>
      <c r="S182" s="24"/>
      <c r="T182" s="24"/>
      <c r="U182" s="24"/>
      <c r="V182" s="24"/>
      <c r="W182" s="24"/>
      <c r="X182" s="24"/>
      <c r="Y182" s="24"/>
      <c r="Z182" s="24"/>
      <c r="AA182" s="24"/>
      <c r="AB182" s="24"/>
      <c r="AC182" s="24"/>
      <c r="AD182" s="24"/>
      <c r="AE182" s="24"/>
      <c r="AF182" s="24"/>
      <c r="AG182" s="24"/>
      <c r="AH182" s="24"/>
      <c r="AI182" s="24"/>
      <c r="AJ182" s="24"/>
    </row>
    <row r="183" spans="2:36" x14ac:dyDescent="0.25">
      <c r="B183" s="24"/>
      <c r="C183" s="24"/>
      <c r="D183" s="24"/>
      <c r="E183" s="24"/>
      <c r="F183" s="24"/>
      <c r="G183" s="24"/>
      <c r="H183" s="24"/>
      <c r="I183" s="24"/>
      <c r="J183" s="24"/>
      <c r="K183" s="24"/>
      <c r="L183" s="24"/>
      <c r="M183" s="24"/>
      <c r="N183" s="24"/>
      <c r="O183" s="24"/>
      <c r="P183" s="24"/>
      <c r="Q183" s="24"/>
      <c r="R183" s="24"/>
      <c r="S183" s="24"/>
      <c r="T183" s="24"/>
      <c r="U183" s="24"/>
      <c r="V183" s="24"/>
      <c r="W183" s="24"/>
      <c r="X183" s="24"/>
      <c r="Y183" s="24"/>
      <c r="Z183" s="24"/>
      <c r="AA183" s="24"/>
      <c r="AB183" s="24"/>
      <c r="AC183" s="24"/>
      <c r="AD183" s="24"/>
      <c r="AE183" s="24"/>
      <c r="AF183" s="24"/>
      <c r="AG183" s="24"/>
      <c r="AH183" s="24"/>
      <c r="AI183" s="24"/>
      <c r="AJ183" s="24"/>
    </row>
    <row r="184" spans="2:36" x14ac:dyDescent="0.25">
      <c r="B184" s="24"/>
      <c r="C184" s="24"/>
      <c r="D184" s="24"/>
      <c r="E184" s="24"/>
      <c r="F184" s="24"/>
      <c r="G184" s="24"/>
      <c r="H184" s="24"/>
      <c r="I184" s="24"/>
      <c r="J184" s="24"/>
      <c r="K184" s="24"/>
      <c r="L184" s="24"/>
      <c r="M184" s="24"/>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4"/>
    </row>
    <row r="185" spans="2:36" x14ac:dyDescent="0.25">
      <c r="B185" s="24"/>
      <c r="C185" s="24"/>
      <c r="D185" s="24"/>
      <c r="E185" s="24"/>
      <c r="F185" s="24"/>
      <c r="G185" s="24"/>
      <c r="H185" s="24"/>
      <c r="I185" s="24"/>
      <c r="J185" s="24"/>
      <c r="K185" s="24"/>
      <c r="L185" s="24"/>
      <c r="M185" s="24"/>
      <c r="N185" s="24"/>
      <c r="O185" s="24"/>
      <c r="P185" s="24"/>
      <c r="Q185" s="24"/>
      <c r="R185" s="24"/>
      <c r="S185" s="24"/>
      <c r="T185" s="24"/>
      <c r="U185" s="24"/>
      <c r="V185" s="24"/>
      <c r="W185" s="24"/>
      <c r="X185" s="24"/>
      <c r="Y185" s="24"/>
      <c r="Z185" s="24"/>
      <c r="AA185" s="24"/>
      <c r="AB185" s="24"/>
      <c r="AC185" s="24"/>
      <c r="AD185" s="24"/>
      <c r="AE185" s="24"/>
      <c r="AF185" s="24"/>
      <c r="AG185" s="24"/>
      <c r="AH185" s="24"/>
      <c r="AI185" s="24"/>
      <c r="AJ185" s="24"/>
    </row>
    <row r="186" spans="2:36" x14ac:dyDescent="0.25">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4"/>
      <c r="AJ186" s="24"/>
    </row>
    <row r="187" spans="2:36" x14ac:dyDescent="0.25">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4"/>
      <c r="AJ187" s="24"/>
    </row>
    <row r="188" spans="2:36" x14ac:dyDescent="0.25">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4"/>
      <c r="AJ188" s="24"/>
    </row>
    <row r="189" spans="2:36" x14ac:dyDescent="0.25">
      <c r="B189" s="24"/>
      <c r="C189" s="24"/>
      <c r="D189" s="24"/>
      <c r="E189" s="24"/>
      <c r="F189" s="24"/>
      <c r="G189" s="24"/>
      <c r="H189" s="24"/>
      <c r="I189" s="24"/>
      <c r="J189" s="24"/>
      <c r="K189" s="24"/>
      <c r="L189" s="24"/>
      <c r="M189" s="24"/>
      <c r="N189" s="24"/>
      <c r="O189" s="24"/>
      <c r="P189" s="24"/>
      <c r="Q189" s="24"/>
      <c r="R189" s="24"/>
      <c r="S189" s="24"/>
      <c r="T189" s="24"/>
      <c r="U189" s="24"/>
      <c r="V189" s="24"/>
      <c r="W189" s="24"/>
      <c r="X189" s="24"/>
      <c r="Y189" s="24"/>
      <c r="Z189" s="24"/>
      <c r="AA189" s="24"/>
      <c r="AB189" s="24"/>
      <c r="AC189" s="24"/>
      <c r="AD189" s="24"/>
      <c r="AE189" s="24"/>
      <c r="AF189" s="24"/>
      <c r="AG189" s="24"/>
      <c r="AH189" s="24"/>
      <c r="AI189" s="24"/>
      <c r="AJ189" s="24"/>
    </row>
    <row r="190" spans="2:36" x14ac:dyDescent="0.25">
      <c r="B190" s="24"/>
      <c r="C190" s="24"/>
      <c r="D190" s="24"/>
      <c r="E190" s="24"/>
      <c r="F190" s="24"/>
      <c r="G190" s="24"/>
      <c r="H190" s="24"/>
      <c r="I190" s="24"/>
      <c r="J190" s="24"/>
      <c r="K190" s="24"/>
      <c r="L190" s="24"/>
      <c r="M190" s="24"/>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4"/>
    </row>
    <row r="191" spans="2:36" x14ac:dyDescent="0.25">
      <c r="B191" s="24"/>
      <c r="C191" s="24"/>
      <c r="D191" s="24"/>
      <c r="E191" s="24"/>
      <c r="F191" s="24"/>
      <c r="G191" s="24"/>
      <c r="H191" s="24"/>
      <c r="I191" s="24"/>
      <c r="J191" s="24"/>
      <c r="K191" s="24"/>
      <c r="L191" s="24"/>
      <c r="M191" s="24"/>
      <c r="N191" s="24"/>
      <c r="O191" s="24"/>
      <c r="P191" s="24"/>
      <c r="Q191" s="24"/>
      <c r="R191" s="24"/>
      <c r="S191" s="24"/>
      <c r="T191" s="24"/>
      <c r="U191" s="24"/>
      <c r="V191" s="24"/>
      <c r="W191" s="24"/>
      <c r="X191" s="24"/>
      <c r="Y191" s="24"/>
      <c r="Z191" s="24"/>
      <c r="AA191" s="24"/>
      <c r="AB191" s="24"/>
      <c r="AC191" s="24"/>
      <c r="AD191" s="24"/>
      <c r="AE191" s="24"/>
      <c r="AF191" s="24"/>
      <c r="AG191" s="24"/>
      <c r="AH191" s="24"/>
      <c r="AI191" s="24"/>
      <c r="AJ191" s="24"/>
    </row>
    <row r="192" spans="2:36" x14ac:dyDescent="0.25">
      <c r="B192" s="24"/>
      <c r="C192" s="24"/>
      <c r="D192" s="24"/>
      <c r="E192" s="24"/>
      <c r="F192" s="24"/>
      <c r="G192" s="24"/>
      <c r="H192" s="24"/>
      <c r="I192" s="24"/>
      <c r="J192" s="24"/>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row>
    <row r="193" spans="2:36" x14ac:dyDescent="0.25">
      <c r="B193" s="24"/>
      <c r="C193" s="24"/>
      <c r="D193" s="24"/>
      <c r="E193" s="24"/>
      <c r="F193" s="24"/>
      <c r="G193" s="24"/>
      <c r="H193" s="24"/>
      <c r="I193" s="24"/>
      <c r="J193" s="24"/>
      <c r="K193" s="24"/>
      <c r="L193" s="24"/>
      <c r="M193" s="24"/>
      <c r="N193" s="24"/>
      <c r="O193" s="24"/>
      <c r="P193" s="24"/>
      <c r="Q193" s="24"/>
      <c r="R193" s="24"/>
      <c r="S193" s="24"/>
      <c r="T193" s="24"/>
      <c r="U193" s="24"/>
      <c r="V193" s="24"/>
      <c r="W193" s="24"/>
      <c r="X193" s="24"/>
      <c r="Y193" s="24"/>
      <c r="Z193" s="24"/>
      <c r="AA193" s="24"/>
      <c r="AB193" s="24"/>
      <c r="AC193" s="24"/>
      <c r="AD193" s="24"/>
      <c r="AE193" s="24"/>
      <c r="AF193" s="24"/>
      <c r="AG193" s="24"/>
      <c r="AH193" s="24"/>
      <c r="AI193" s="24"/>
      <c r="AJ193" s="24"/>
    </row>
    <row r="194" spans="2:36" x14ac:dyDescent="0.25">
      <c r="B194" s="24"/>
      <c r="C194" s="24"/>
      <c r="D194" s="24"/>
      <c r="E194" s="24"/>
      <c r="F194" s="24"/>
      <c r="G194" s="24"/>
      <c r="H194" s="24"/>
      <c r="I194" s="24"/>
      <c r="J194" s="24"/>
      <c r="K194" s="24"/>
      <c r="L194" s="24"/>
      <c r="M194" s="24"/>
      <c r="N194" s="24"/>
      <c r="O194" s="24"/>
      <c r="P194" s="24"/>
      <c r="Q194" s="24"/>
      <c r="R194" s="24"/>
      <c r="S194" s="24"/>
      <c r="T194" s="24"/>
      <c r="U194" s="24"/>
      <c r="V194" s="24"/>
      <c r="W194" s="24"/>
      <c r="X194" s="24"/>
      <c r="Y194" s="24"/>
      <c r="Z194" s="24"/>
      <c r="AA194" s="24"/>
      <c r="AB194" s="24"/>
      <c r="AC194" s="24"/>
      <c r="AD194" s="24"/>
      <c r="AE194" s="24"/>
      <c r="AF194" s="24"/>
      <c r="AG194" s="24"/>
      <c r="AH194" s="24"/>
      <c r="AI194" s="24"/>
      <c r="AJ194" s="24"/>
    </row>
    <row r="195" spans="2:36" x14ac:dyDescent="0.25">
      <c r="B195" s="24"/>
      <c r="C195" s="24"/>
      <c r="D195" s="24"/>
      <c r="E195" s="24"/>
      <c r="F195" s="24"/>
      <c r="G195" s="24"/>
      <c r="H195" s="24"/>
      <c r="I195" s="24"/>
      <c r="J195" s="24"/>
      <c r="K195" s="24"/>
      <c r="L195" s="24"/>
      <c r="M195" s="24"/>
      <c r="N195" s="24"/>
      <c r="O195" s="24"/>
      <c r="P195" s="24"/>
      <c r="Q195" s="24"/>
      <c r="R195" s="24"/>
      <c r="S195" s="24"/>
      <c r="T195" s="24"/>
      <c r="U195" s="24"/>
      <c r="V195" s="24"/>
      <c r="W195" s="24"/>
      <c r="X195" s="24"/>
      <c r="Y195" s="24"/>
      <c r="Z195" s="24"/>
      <c r="AA195" s="24"/>
      <c r="AB195" s="24"/>
      <c r="AC195" s="24"/>
      <c r="AD195" s="24"/>
      <c r="AE195" s="24"/>
      <c r="AF195" s="24"/>
      <c r="AG195" s="24"/>
      <c r="AH195" s="24"/>
      <c r="AI195" s="24"/>
      <c r="AJ195" s="24"/>
    </row>
    <row r="196" spans="2:36" x14ac:dyDescent="0.25">
      <c r="B196" s="24"/>
      <c r="C196" s="24"/>
      <c r="D196" s="24"/>
      <c r="E196" s="24"/>
      <c r="F196" s="24"/>
      <c r="G196" s="24"/>
      <c r="H196" s="24"/>
      <c r="I196" s="24"/>
      <c r="J196" s="24"/>
      <c r="K196" s="24"/>
      <c r="L196" s="24"/>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4"/>
    </row>
    <row r="197" spans="2:36" x14ac:dyDescent="0.25">
      <c r="B197" s="24"/>
      <c r="C197" s="24"/>
      <c r="D197" s="24"/>
      <c r="E197" s="24"/>
      <c r="F197" s="24"/>
      <c r="G197" s="24"/>
      <c r="H197" s="24"/>
      <c r="I197" s="24"/>
      <c r="J197" s="24"/>
      <c r="K197" s="24"/>
      <c r="L197" s="24"/>
      <c r="M197" s="24"/>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row>
    <row r="198" spans="2:36" x14ac:dyDescent="0.25">
      <c r="B198" s="24"/>
      <c r="C198" s="24"/>
      <c r="D198" s="24"/>
      <c r="E198" s="24"/>
      <c r="F198" s="24"/>
      <c r="G198" s="24"/>
      <c r="H198" s="24"/>
      <c r="I198" s="24"/>
      <c r="J198" s="24"/>
      <c r="K198" s="24"/>
      <c r="L198" s="24"/>
      <c r="M198" s="24"/>
      <c r="N198" s="24"/>
      <c r="O198" s="24"/>
      <c r="P198" s="24"/>
      <c r="Q198" s="24"/>
      <c r="R198" s="24"/>
      <c r="S198" s="24"/>
      <c r="T198" s="24"/>
      <c r="U198" s="24"/>
      <c r="V198" s="24"/>
      <c r="W198" s="24"/>
      <c r="X198" s="24"/>
      <c r="Y198" s="24"/>
      <c r="Z198" s="24"/>
      <c r="AA198" s="24"/>
      <c r="AB198" s="24"/>
      <c r="AC198" s="24"/>
      <c r="AD198" s="24"/>
      <c r="AE198" s="24"/>
      <c r="AF198" s="24"/>
      <c r="AG198" s="24"/>
      <c r="AH198" s="24"/>
      <c r="AI198" s="24"/>
      <c r="AJ198" s="24"/>
    </row>
    <row r="199" spans="2:36" x14ac:dyDescent="0.25">
      <c r="B199" s="24"/>
      <c r="C199" s="24"/>
      <c r="D199" s="24"/>
      <c r="E199" s="24"/>
      <c r="F199" s="24"/>
      <c r="G199" s="24"/>
      <c r="H199" s="24"/>
      <c r="I199" s="24"/>
      <c r="J199" s="24"/>
      <c r="K199" s="24"/>
      <c r="L199" s="24"/>
      <c r="M199" s="24"/>
      <c r="N199" s="24"/>
      <c r="O199" s="24"/>
      <c r="P199" s="24"/>
      <c r="Q199" s="24"/>
      <c r="R199" s="24"/>
      <c r="S199" s="24"/>
      <c r="T199" s="24"/>
      <c r="U199" s="24"/>
      <c r="V199" s="24"/>
      <c r="W199" s="24"/>
      <c r="X199" s="24"/>
      <c r="Y199" s="24"/>
      <c r="Z199" s="24"/>
      <c r="AA199" s="24"/>
      <c r="AB199" s="24"/>
      <c r="AC199" s="24"/>
      <c r="AD199" s="24"/>
      <c r="AE199" s="24"/>
      <c r="AF199" s="24"/>
      <c r="AG199" s="24"/>
      <c r="AH199" s="24"/>
      <c r="AI199" s="24"/>
      <c r="AJ199" s="24"/>
    </row>
    <row r="200" spans="2:36" x14ac:dyDescent="0.25">
      <c r="B200" s="24"/>
      <c r="C200" s="24"/>
      <c r="D200" s="24"/>
      <c r="E200" s="24"/>
      <c r="F200" s="24"/>
      <c r="G200" s="24"/>
      <c r="H200" s="24"/>
      <c r="I200" s="24"/>
      <c r="J200" s="24"/>
      <c r="K200" s="24"/>
      <c r="L200" s="24"/>
      <c r="M200" s="24"/>
      <c r="N200" s="24"/>
      <c r="O200" s="24"/>
      <c r="P200" s="24"/>
      <c r="Q200" s="24"/>
      <c r="R200" s="24"/>
      <c r="S200" s="24"/>
      <c r="T200" s="24"/>
      <c r="U200" s="24"/>
      <c r="V200" s="24"/>
      <c r="W200" s="24"/>
      <c r="X200" s="24"/>
      <c r="Y200" s="24"/>
      <c r="Z200" s="24"/>
      <c r="AA200" s="24"/>
      <c r="AB200" s="24"/>
      <c r="AC200" s="24"/>
      <c r="AD200" s="24"/>
      <c r="AE200" s="24"/>
      <c r="AF200" s="24"/>
      <c r="AG200" s="24"/>
      <c r="AH200" s="24"/>
      <c r="AI200" s="24"/>
      <c r="AJ200" s="24"/>
    </row>
    <row r="201" spans="2:36" x14ac:dyDescent="0.25">
      <c r="B201" s="24"/>
      <c r="C201" s="24"/>
      <c r="D201" s="24"/>
      <c r="E201" s="24"/>
      <c r="F201" s="24"/>
      <c r="G201" s="24"/>
      <c r="H201" s="24"/>
      <c r="I201" s="24"/>
      <c r="J201" s="24"/>
      <c r="K201" s="24"/>
      <c r="L201" s="24"/>
      <c r="M201" s="24"/>
      <c r="N201" s="24"/>
      <c r="O201" s="24"/>
      <c r="P201" s="24"/>
      <c r="Q201" s="24"/>
      <c r="R201" s="24"/>
      <c r="S201" s="24"/>
      <c r="T201" s="24"/>
      <c r="U201" s="24"/>
      <c r="V201" s="24"/>
      <c r="W201" s="24"/>
      <c r="X201" s="24"/>
      <c r="Y201" s="24"/>
      <c r="Z201" s="24"/>
      <c r="AA201" s="24"/>
      <c r="AB201" s="24"/>
      <c r="AC201" s="24"/>
      <c r="AD201" s="24"/>
      <c r="AE201" s="24"/>
      <c r="AF201" s="24"/>
      <c r="AG201" s="24"/>
      <c r="AH201" s="24"/>
      <c r="AI201" s="24"/>
      <c r="AJ201" s="24"/>
    </row>
    <row r="202" spans="2:36" x14ac:dyDescent="0.25">
      <c r="B202" s="24"/>
      <c r="C202" s="24"/>
      <c r="D202" s="24"/>
      <c r="E202" s="24"/>
      <c r="F202" s="24"/>
      <c r="G202" s="24"/>
      <c r="H202" s="24"/>
      <c r="I202" s="24"/>
      <c r="J202" s="24"/>
      <c r="K202" s="24"/>
      <c r="L202" s="24"/>
      <c r="M202" s="24"/>
      <c r="N202" s="24"/>
      <c r="O202" s="24"/>
      <c r="P202" s="24"/>
      <c r="Q202" s="24"/>
      <c r="R202" s="24"/>
      <c r="S202" s="24"/>
      <c r="T202" s="24"/>
      <c r="U202" s="24"/>
      <c r="V202" s="24"/>
      <c r="W202" s="24"/>
      <c r="X202" s="24"/>
      <c r="Y202" s="24"/>
      <c r="Z202" s="24"/>
      <c r="AA202" s="24"/>
      <c r="AB202" s="24"/>
      <c r="AC202" s="24"/>
      <c r="AD202" s="24"/>
      <c r="AE202" s="24"/>
      <c r="AF202" s="24"/>
      <c r="AG202" s="24"/>
      <c r="AH202" s="24"/>
      <c r="AI202" s="24"/>
      <c r="AJ202" s="24"/>
    </row>
    <row r="203" spans="2:36" x14ac:dyDescent="0.25">
      <c r="B203" s="24"/>
      <c r="C203" s="24"/>
      <c r="D203" s="24"/>
      <c r="E203" s="24"/>
      <c r="F203" s="24"/>
      <c r="G203" s="24"/>
      <c r="H203" s="24"/>
      <c r="I203" s="24"/>
      <c r="J203" s="24"/>
      <c r="K203" s="24"/>
      <c r="L203" s="24"/>
      <c r="M203" s="24"/>
      <c r="N203" s="24"/>
      <c r="O203" s="24"/>
      <c r="P203" s="24"/>
      <c r="Q203" s="24"/>
      <c r="R203" s="24"/>
      <c r="S203" s="24"/>
      <c r="T203" s="24"/>
      <c r="U203" s="24"/>
      <c r="V203" s="24"/>
      <c r="W203" s="24"/>
      <c r="X203" s="24"/>
      <c r="Y203" s="24"/>
      <c r="Z203" s="24"/>
      <c r="AA203" s="24"/>
      <c r="AB203" s="24"/>
      <c r="AC203" s="24"/>
      <c r="AD203" s="24"/>
      <c r="AE203" s="24"/>
      <c r="AF203" s="24"/>
      <c r="AG203" s="24"/>
      <c r="AH203" s="24"/>
      <c r="AI203" s="24"/>
      <c r="AJ203" s="24"/>
    </row>
    <row r="204" spans="2:36" x14ac:dyDescent="0.25">
      <c r="B204" s="24"/>
      <c r="C204" s="24"/>
      <c r="D204" s="24"/>
      <c r="E204" s="24"/>
      <c r="F204" s="24"/>
      <c r="G204" s="24"/>
      <c r="H204" s="24"/>
      <c r="I204" s="24"/>
      <c r="J204" s="24"/>
      <c r="K204" s="24"/>
      <c r="L204" s="24"/>
      <c r="M204" s="24"/>
      <c r="N204" s="24"/>
      <c r="O204" s="24"/>
      <c r="P204" s="24"/>
      <c r="Q204" s="24"/>
      <c r="R204" s="24"/>
      <c r="S204" s="24"/>
      <c r="T204" s="24"/>
      <c r="U204" s="24"/>
      <c r="V204" s="24"/>
      <c r="W204" s="24"/>
      <c r="X204" s="24"/>
      <c r="Y204" s="24"/>
      <c r="Z204" s="24"/>
      <c r="AA204" s="24"/>
      <c r="AB204" s="24"/>
      <c r="AC204" s="24"/>
      <c r="AD204" s="24"/>
      <c r="AE204" s="24"/>
      <c r="AF204" s="24"/>
      <c r="AG204" s="24"/>
      <c r="AH204" s="24"/>
      <c r="AI204" s="24"/>
      <c r="AJ204" s="24"/>
    </row>
    <row r="205" spans="2:36" x14ac:dyDescent="0.25">
      <c r="B205" s="24"/>
      <c r="C205" s="24"/>
      <c r="D205" s="24"/>
      <c r="E205" s="24"/>
      <c r="F205" s="24"/>
      <c r="G205" s="24"/>
      <c r="H205" s="24"/>
      <c r="I205" s="24"/>
      <c r="J205" s="24"/>
      <c r="K205" s="24"/>
      <c r="L205" s="24"/>
      <c r="M205" s="24"/>
      <c r="N205" s="24"/>
      <c r="O205" s="24"/>
      <c r="P205" s="24"/>
      <c r="Q205" s="24"/>
      <c r="R205" s="24"/>
      <c r="S205" s="24"/>
      <c r="T205" s="24"/>
      <c r="U205" s="24"/>
      <c r="V205" s="24"/>
      <c r="W205" s="24"/>
      <c r="X205" s="24"/>
      <c r="Y205" s="24"/>
      <c r="Z205" s="24"/>
      <c r="AA205" s="24"/>
      <c r="AB205" s="24"/>
      <c r="AC205" s="24"/>
      <c r="AD205" s="24"/>
      <c r="AE205" s="24"/>
      <c r="AF205" s="24"/>
      <c r="AG205" s="24"/>
      <c r="AH205" s="24"/>
      <c r="AI205" s="24"/>
      <c r="AJ205" s="24"/>
    </row>
    <row r="206" spans="2:36" x14ac:dyDescent="0.25">
      <c r="B206" s="24"/>
      <c r="C206" s="24"/>
      <c r="D206" s="24"/>
      <c r="E206" s="24"/>
      <c r="F206" s="24"/>
      <c r="G206" s="24"/>
      <c r="H206" s="24"/>
      <c r="I206" s="24"/>
      <c r="J206" s="24"/>
      <c r="K206" s="24"/>
      <c r="L206" s="24"/>
      <c r="M206" s="24"/>
      <c r="N206" s="24"/>
      <c r="O206" s="24"/>
      <c r="P206" s="24"/>
      <c r="Q206" s="24"/>
      <c r="R206" s="24"/>
      <c r="S206" s="24"/>
      <c r="T206" s="24"/>
      <c r="U206" s="24"/>
      <c r="V206" s="24"/>
      <c r="W206" s="24"/>
      <c r="X206" s="24"/>
      <c r="Y206" s="24"/>
      <c r="Z206" s="24"/>
      <c r="AA206" s="24"/>
      <c r="AB206" s="24"/>
      <c r="AC206" s="24"/>
      <c r="AD206" s="24"/>
      <c r="AE206" s="24"/>
      <c r="AF206" s="24"/>
      <c r="AG206" s="24"/>
      <c r="AH206" s="24"/>
      <c r="AI206" s="24"/>
      <c r="AJ206" s="24"/>
    </row>
    <row r="207" spans="2:36" x14ac:dyDescent="0.25">
      <c r="B207" s="24"/>
      <c r="C207" s="24"/>
      <c r="D207" s="24"/>
      <c r="E207" s="24"/>
      <c r="F207" s="24"/>
      <c r="G207" s="24"/>
      <c r="H207" s="24"/>
      <c r="I207" s="24"/>
      <c r="J207" s="24"/>
      <c r="K207" s="24"/>
      <c r="L207" s="24"/>
      <c r="M207" s="24"/>
      <c r="N207" s="24"/>
      <c r="O207" s="24"/>
      <c r="P207" s="24"/>
      <c r="Q207" s="24"/>
      <c r="R207" s="24"/>
      <c r="S207" s="24"/>
      <c r="T207" s="24"/>
      <c r="U207" s="24"/>
      <c r="V207" s="24"/>
      <c r="W207" s="24"/>
      <c r="X207" s="24"/>
      <c r="Y207" s="24"/>
      <c r="Z207" s="24"/>
      <c r="AA207" s="24"/>
      <c r="AB207" s="24"/>
      <c r="AC207" s="24"/>
      <c r="AD207" s="24"/>
      <c r="AE207" s="24"/>
      <c r="AF207" s="24"/>
      <c r="AG207" s="24"/>
      <c r="AH207" s="24"/>
      <c r="AI207" s="24"/>
      <c r="AJ207" s="24"/>
    </row>
    <row r="208" spans="2:36" x14ac:dyDescent="0.25">
      <c r="B208" s="24"/>
      <c r="C208" s="24"/>
      <c r="D208" s="24"/>
      <c r="E208" s="24"/>
      <c r="F208" s="24"/>
      <c r="G208" s="24"/>
      <c r="H208" s="24"/>
      <c r="I208" s="24"/>
      <c r="J208" s="24"/>
      <c r="K208" s="24"/>
      <c r="L208" s="24"/>
      <c r="M208" s="24"/>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4"/>
    </row>
    <row r="209" spans="2:36" x14ac:dyDescent="0.25">
      <c r="B209" s="24"/>
      <c r="C209" s="24"/>
      <c r="D209" s="24"/>
      <c r="E209" s="24"/>
      <c r="F209" s="24"/>
      <c r="G209" s="24"/>
      <c r="H209" s="24"/>
      <c r="I209" s="24"/>
      <c r="J209" s="24"/>
      <c r="K209" s="24"/>
      <c r="L209" s="24"/>
      <c r="M209" s="24"/>
      <c r="N209" s="24"/>
      <c r="O209" s="24"/>
      <c r="P209" s="24"/>
      <c r="Q209" s="24"/>
      <c r="R209" s="24"/>
      <c r="S209" s="24"/>
      <c r="T209" s="24"/>
      <c r="U209" s="24"/>
      <c r="V209" s="24"/>
      <c r="W209" s="24"/>
      <c r="X209" s="24"/>
      <c r="Y209" s="24"/>
      <c r="Z209" s="24"/>
      <c r="AA209" s="24"/>
      <c r="AB209" s="24"/>
      <c r="AC209" s="24"/>
      <c r="AD209" s="24"/>
      <c r="AE209" s="24"/>
      <c r="AF209" s="24"/>
      <c r="AG209" s="24"/>
      <c r="AH209" s="24"/>
      <c r="AI209" s="24"/>
      <c r="AJ209" s="24"/>
    </row>
    <row r="210" spans="2:36" x14ac:dyDescent="0.25">
      <c r="B210" s="24"/>
      <c r="C210" s="24"/>
      <c r="D210" s="24"/>
      <c r="E210" s="24"/>
      <c r="F210" s="24"/>
      <c r="G210" s="24"/>
      <c r="H210" s="24"/>
      <c r="I210" s="24"/>
      <c r="J210" s="24"/>
      <c r="K210" s="24"/>
      <c r="L210" s="24"/>
      <c r="M210" s="24"/>
      <c r="N210" s="24"/>
      <c r="O210" s="24"/>
      <c r="P210" s="24"/>
      <c r="Q210" s="24"/>
      <c r="R210" s="24"/>
      <c r="S210" s="24"/>
      <c r="T210" s="24"/>
      <c r="U210" s="24"/>
      <c r="V210" s="24"/>
      <c r="W210" s="24"/>
      <c r="X210" s="24"/>
      <c r="Y210" s="24"/>
      <c r="Z210" s="24"/>
      <c r="AA210" s="24"/>
      <c r="AB210" s="24"/>
      <c r="AC210" s="24"/>
      <c r="AD210" s="24"/>
      <c r="AE210" s="24"/>
      <c r="AF210" s="24"/>
      <c r="AG210" s="24"/>
      <c r="AH210" s="24"/>
      <c r="AI210" s="24"/>
      <c r="AJ210" s="24"/>
    </row>
    <row r="211" spans="2:36" x14ac:dyDescent="0.25">
      <c r="B211" s="24"/>
      <c r="C211" s="24"/>
      <c r="D211" s="24"/>
      <c r="E211" s="24"/>
      <c r="F211" s="24"/>
      <c r="G211" s="24"/>
      <c r="H211" s="24"/>
      <c r="I211" s="24"/>
      <c r="J211" s="24"/>
      <c r="K211" s="24"/>
      <c r="L211" s="24"/>
      <c r="M211" s="24"/>
      <c r="N211" s="24"/>
      <c r="O211" s="24"/>
      <c r="P211" s="24"/>
      <c r="Q211" s="24"/>
      <c r="R211" s="24"/>
      <c r="S211" s="24"/>
      <c r="T211" s="24"/>
      <c r="U211" s="24"/>
      <c r="V211" s="24"/>
      <c r="W211" s="24"/>
      <c r="X211" s="24"/>
      <c r="Y211" s="24"/>
      <c r="Z211" s="24"/>
      <c r="AA211" s="24"/>
      <c r="AB211" s="24"/>
      <c r="AC211" s="24"/>
      <c r="AD211" s="24"/>
      <c r="AE211" s="24"/>
      <c r="AF211" s="24"/>
      <c r="AG211" s="24"/>
      <c r="AH211" s="24"/>
      <c r="AI211" s="24"/>
      <c r="AJ211" s="24"/>
    </row>
    <row r="212" spans="2:36" x14ac:dyDescent="0.25">
      <c r="B212" s="24"/>
      <c r="C212" s="24"/>
      <c r="D212" s="24"/>
      <c r="E212" s="24"/>
      <c r="F212" s="24"/>
      <c r="G212" s="24"/>
      <c r="H212" s="24"/>
      <c r="I212" s="24"/>
      <c r="J212" s="24"/>
      <c r="K212" s="24"/>
      <c r="L212" s="24"/>
      <c r="M212" s="24"/>
      <c r="N212" s="24"/>
      <c r="O212" s="24"/>
      <c r="P212" s="24"/>
      <c r="Q212" s="24"/>
      <c r="R212" s="24"/>
      <c r="S212" s="24"/>
      <c r="T212" s="24"/>
      <c r="U212" s="24"/>
      <c r="V212" s="24"/>
      <c r="W212" s="24"/>
      <c r="X212" s="24"/>
      <c r="Y212" s="24"/>
      <c r="Z212" s="24"/>
      <c r="AA212" s="24"/>
      <c r="AB212" s="24"/>
      <c r="AC212" s="24"/>
      <c r="AD212" s="24"/>
      <c r="AE212" s="24"/>
      <c r="AF212" s="24"/>
      <c r="AG212" s="24"/>
      <c r="AH212" s="24"/>
      <c r="AI212" s="24"/>
      <c r="AJ212" s="24"/>
    </row>
    <row r="213" spans="2:36" x14ac:dyDescent="0.25">
      <c r="B213" s="24"/>
      <c r="C213" s="24"/>
      <c r="D213" s="24"/>
      <c r="E213" s="24"/>
      <c r="F213" s="24"/>
      <c r="G213" s="24"/>
      <c r="H213" s="24"/>
      <c r="I213" s="24"/>
      <c r="J213" s="24"/>
      <c r="K213" s="24"/>
      <c r="L213" s="24"/>
      <c r="M213" s="24"/>
      <c r="N213" s="24"/>
      <c r="O213" s="24"/>
      <c r="P213" s="24"/>
      <c r="Q213" s="24"/>
      <c r="R213" s="24"/>
      <c r="S213" s="24"/>
      <c r="T213" s="24"/>
      <c r="U213" s="24"/>
      <c r="V213" s="24"/>
      <c r="W213" s="24"/>
      <c r="X213" s="24"/>
      <c r="Y213" s="24"/>
      <c r="Z213" s="24"/>
      <c r="AA213" s="24"/>
      <c r="AB213" s="24"/>
      <c r="AC213" s="24"/>
      <c r="AD213" s="24"/>
      <c r="AE213" s="24"/>
      <c r="AF213" s="24"/>
      <c r="AG213" s="24"/>
      <c r="AH213" s="24"/>
      <c r="AI213" s="24"/>
      <c r="AJ213" s="24"/>
    </row>
    <row r="214" spans="2:36" x14ac:dyDescent="0.25">
      <c r="B214" s="24"/>
      <c r="C214" s="24"/>
      <c r="D214" s="24"/>
      <c r="E214" s="24"/>
      <c r="F214" s="24"/>
      <c r="G214" s="24"/>
      <c r="H214" s="24"/>
      <c r="I214" s="24"/>
      <c r="J214" s="24"/>
      <c r="K214" s="24"/>
      <c r="L214" s="24"/>
      <c r="M214" s="24"/>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4"/>
    </row>
    <row r="215" spans="2:36" x14ac:dyDescent="0.25">
      <c r="B215" s="24"/>
      <c r="C215" s="24"/>
      <c r="D215" s="24"/>
      <c r="E215" s="24"/>
      <c r="F215" s="24"/>
      <c r="G215" s="24"/>
      <c r="H215" s="24"/>
      <c r="I215" s="24"/>
      <c r="J215" s="24"/>
      <c r="K215" s="24"/>
      <c r="L215" s="24"/>
      <c r="M215" s="24"/>
      <c r="N215" s="24"/>
      <c r="O215" s="24"/>
      <c r="P215" s="24"/>
      <c r="Q215" s="24"/>
      <c r="R215" s="24"/>
      <c r="S215" s="24"/>
      <c r="T215" s="24"/>
      <c r="U215" s="24"/>
      <c r="V215" s="24"/>
      <c r="W215" s="24"/>
      <c r="X215" s="24"/>
      <c r="Y215" s="24"/>
      <c r="Z215" s="24"/>
      <c r="AA215" s="24"/>
      <c r="AB215" s="24"/>
      <c r="AC215" s="24"/>
      <c r="AD215" s="24"/>
      <c r="AE215" s="24"/>
      <c r="AF215" s="24"/>
      <c r="AG215" s="24"/>
      <c r="AH215" s="24"/>
      <c r="AI215" s="24"/>
      <c r="AJ215" s="24"/>
    </row>
    <row r="216" spans="2:36" x14ac:dyDescent="0.25">
      <c r="B216" s="24"/>
      <c r="C216" s="24"/>
      <c r="D216" s="24"/>
      <c r="E216" s="24"/>
      <c r="F216" s="24"/>
      <c r="G216" s="24"/>
      <c r="H216" s="24"/>
      <c r="I216" s="24"/>
      <c r="J216" s="24"/>
      <c r="K216" s="24"/>
      <c r="L216" s="24"/>
      <c r="M216" s="24"/>
      <c r="N216" s="24"/>
      <c r="O216" s="24"/>
      <c r="P216" s="24"/>
      <c r="Q216" s="24"/>
      <c r="R216" s="24"/>
      <c r="S216" s="24"/>
      <c r="T216" s="24"/>
      <c r="U216" s="24"/>
      <c r="V216" s="24"/>
      <c r="W216" s="24"/>
      <c r="X216" s="24"/>
      <c r="Y216" s="24"/>
      <c r="Z216" s="24"/>
      <c r="AA216" s="24"/>
      <c r="AB216" s="24"/>
      <c r="AC216" s="24"/>
      <c r="AD216" s="24"/>
      <c r="AE216" s="24"/>
      <c r="AF216" s="24"/>
      <c r="AG216" s="24"/>
      <c r="AH216" s="24"/>
      <c r="AI216" s="24"/>
      <c r="AJ216" s="24"/>
    </row>
    <row r="217" spans="2:36" x14ac:dyDescent="0.25">
      <c r="B217" s="24"/>
      <c r="C217" s="24"/>
      <c r="D217" s="24"/>
      <c r="E217" s="24"/>
      <c r="F217" s="24"/>
      <c r="G217" s="24"/>
      <c r="H217" s="24"/>
      <c r="I217" s="24"/>
      <c r="J217" s="24"/>
      <c r="K217" s="24"/>
      <c r="L217" s="24"/>
      <c r="M217" s="24"/>
      <c r="N217" s="24"/>
      <c r="O217" s="24"/>
      <c r="P217" s="24"/>
      <c r="Q217" s="24"/>
      <c r="R217" s="24"/>
      <c r="S217" s="24"/>
      <c r="T217" s="24"/>
      <c r="U217" s="24"/>
      <c r="V217" s="24"/>
      <c r="W217" s="24"/>
      <c r="X217" s="24"/>
      <c r="Y217" s="24"/>
      <c r="Z217" s="24"/>
      <c r="AA217" s="24"/>
      <c r="AB217" s="24"/>
      <c r="AC217" s="24"/>
      <c r="AD217" s="24"/>
      <c r="AE217" s="24"/>
      <c r="AF217" s="24"/>
      <c r="AG217" s="24"/>
      <c r="AH217" s="24"/>
      <c r="AI217" s="24"/>
      <c r="AJ217" s="24"/>
    </row>
    <row r="218" spans="2:36" x14ac:dyDescent="0.25">
      <c r="B218" s="24"/>
      <c r="C218" s="24"/>
      <c r="D218" s="24"/>
      <c r="E218" s="24"/>
      <c r="F218" s="24"/>
      <c r="G218" s="24"/>
      <c r="H218" s="24"/>
      <c r="I218" s="24"/>
      <c r="J218" s="24"/>
      <c r="K218" s="24"/>
      <c r="L218" s="24"/>
      <c r="M218" s="24"/>
      <c r="N218" s="24"/>
      <c r="O218" s="24"/>
      <c r="P218" s="24"/>
      <c r="Q218" s="24"/>
      <c r="R218" s="24"/>
      <c r="S218" s="24"/>
      <c r="T218" s="24"/>
      <c r="U218" s="24"/>
      <c r="V218" s="24"/>
      <c r="W218" s="24"/>
      <c r="X218" s="24"/>
      <c r="Y218" s="24"/>
      <c r="Z218" s="24"/>
      <c r="AA218" s="24"/>
      <c r="AB218" s="24"/>
      <c r="AC218" s="24"/>
      <c r="AD218" s="24"/>
      <c r="AE218" s="24"/>
      <c r="AF218" s="24"/>
      <c r="AG218" s="24"/>
      <c r="AH218" s="24"/>
      <c r="AI218" s="24"/>
      <c r="AJ218" s="24"/>
    </row>
    <row r="219" spans="2:36" x14ac:dyDescent="0.25">
      <c r="B219" s="24"/>
      <c r="C219" s="24"/>
      <c r="D219" s="24"/>
      <c r="E219" s="24"/>
      <c r="F219" s="24"/>
      <c r="G219" s="24"/>
      <c r="H219" s="24"/>
      <c r="I219" s="24"/>
      <c r="J219" s="24"/>
      <c r="K219" s="24"/>
      <c r="L219" s="24"/>
      <c r="M219" s="24"/>
      <c r="N219" s="24"/>
      <c r="O219" s="24"/>
      <c r="P219" s="24"/>
      <c r="Q219" s="24"/>
      <c r="R219" s="24"/>
      <c r="S219" s="24"/>
      <c r="T219" s="24"/>
      <c r="U219" s="24"/>
      <c r="V219" s="24"/>
      <c r="W219" s="24"/>
      <c r="X219" s="24"/>
      <c r="Y219" s="24"/>
      <c r="Z219" s="24"/>
      <c r="AA219" s="24"/>
      <c r="AB219" s="24"/>
      <c r="AC219" s="24"/>
      <c r="AD219" s="24"/>
      <c r="AE219" s="24"/>
      <c r="AF219" s="24"/>
      <c r="AG219" s="24"/>
      <c r="AH219" s="24"/>
      <c r="AI219" s="24"/>
      <c r="AJ219" s="24"/>
    </row>
    <row r="220" spans="2:36" x14ac:dyDescent="0.25">
      <c r="B220" s="24"/>
      <c r="C220" s="24"/>
      <c r="D220" s="24"/>
      <c r="E220" s="24"/>
      <c r="F220" s="24"/>
      <c r="G220" s="24"/>
      <c r="H220" s="24"/>
      <c r="I220" s="24"/>
      <c r="J220" s="24"/>
      <c r="K220" s="24"/>
      <c r="L220" s="24"/>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4"/>
    </row>
    <row r="221" spans="2:36" x14ac:dyDescent="0.25">
      <c r="B221" s="24"/>
      <c r="C221" s="24"/>
      <c r="D221" s="24"/>
      <c r="E221" s="24"/>
      <c r="F221" s="24"/>
      <c r="G221" s="24"/>
      <c r="H221" s="24"/>
      <c r="I221" s="24"/>
      <c r="J221" s="24"/>
      <c r="K221" s="24"/>
      <c r="L221" s="24"/>
      <c r="M221" s="24"/>
      <c r="N221" s="24"/>
      <c r="O221" s="24"/>
      <c r="P221" s="24"/>
      <c r="Q221" s="24"/>
      <c r="R221" s="24"/>
      <c r="S221" s="24"/>
      <c r="T221" s="24"/>
      <c r="U221" s="24"/>
      <c r="V221" s="24"/>
      <c r="W221" s="24"/>
      <c r="X221" s="24"/>
      <c r="Y221" s="24"/>
      <c r="Z221" s="24"/>
      <c r="AA221" s="24"/>
      <c r="AB221" s="24"/>
      <c r="AC221" s="24"/>
      <c r="AD221" s="24"/>
      <c r="AE221" s="24"/>
      <c r="AF221" s="24"/>
      <c r="AG221" s="24"/>
      <c r="AH221" s="24"/>
      <c r="AI221" s="24"/>
      <c r="AJ221" s="24"/>
    </row>
    <row r="222" spans="2:36" x14ac:dyDescent="0.25">
      <c r="B222" s="24"/>
      <c r="C222" s="24"/>
      <c r="D222" s="24"/>
      <c r="E222" s="24"/>
      <c r="F222" s="24"/>
      <c r="G222" s="24"/>
      <c r="H222" s="24"/>
      <c r="I222" s="24"/>
      <c r="J222" s="24"/>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row>
    <row r="223" spans="2:36" x14ac:dyDescent="0.25">
      <c r="B223" s="24"/>
      <c r="C223" s="24"/>
      <c r="D223" s="24"/>
      <c r="E223" s="24"/>
      <c r="F223" s="24"/>
      <c r="G223" s="24"/>
      <c r="H223" s="24"/>
      <c r="I223" s="24"/>
      <c r="J223" s="24"/>
      <c r="K223" s="24"/>
      <c r="L223" s="24"/>
      <c r="M223" s="24"/>
      <c r="N223" s="24"/>
      <c r="O223" s="24"/>
      <c r="P223" s="24"/>
      <c r="Q223" s="24"/>
      <c r="R223" s="24"/>
      <c r="S223" s="24"/>
      <c r="T223" s="24"/>
      <c r="U223" s="24"/>
      <c r="V223" s="24"/>
      <c r="W223" s="24"/>
      <c r="X223" s="24"/>
      <c r="Y223" s="24"/>
      <c r="Z223" s="24"/>
      <c r="AA223" s="24"/>
      <c r="AB223" s="24"/>
      <c r="AC223" s="24"/>
      <c r="AD223" s="24"/>
      <c r="AE223" s="24"/>
      <c r="AF223" s="24"/>
      <c r="AG223" s="24"/>
      <c r="AH223" s="24"/>
      <c r="AI223" s="24"/>
      <c r="AJ223" s="24"/>
    </row>
    <row r="224" spans="2:36" x14ac:dyDescent="0.25">
      <c r="B224" s="24"/>
      <c r="C224" s="24"/>
      <c r="D224" s="24"/>
      <c r="E224" s="24"/>
      <c r="F224" s="24"/>
      <c r="G224" s="24"/>
      <c r="H224" s="24"/>
      <c r="I224" s="24"/>
      <c r="J224" s="24"/>
      <c r="K224" s="24"/>
      <c r="L224" s="24"/>
      <c r="M224" s="24"/>
      <c r="N224" s="24"/>
      <c r="O224" s="24"/>
      <c r="P224" s="24"/>
      <c r="Q224" s="24"/>
      <c r="R224" s="24"/>
      <c r="S224" s="24"/>
      <c r="T224" s="24"/>
      <c r="U224" s="24"/>
      <c r="V224" s="24"/>
      <c r="W224" s="24"/>
      <c r="X224" s="24"/>
      <c r="Y224" s="24"/>
      <c r="Z224" s="24"/>
      <c r="AA224" s="24"/>
      <c r="AB224" s="24"/>
      <c r="AC224" s="24"/>
      <c r="AD224" s="24"/>
      <c r="AE224" s="24"/>
      <c r="AF224" s="24"/>
      <c r="AG224" s="24"/>
      <c r="AH224" s="24"/>
      <c r="AI224" s="24"/>
      <c r="AJ224" s="24"/>
    </row>
    <row r="225" spans="2:36" x14ac:dyDescent="0.25">
      <c r="B225" s="24"/>
      <c r="C225" s="24"/>
      <c r="D225" s="24"/>
      <c r="E225" s="24"/>
      <c r="F225" s="24"/>
      <c r="G225" s="24"/>
      <c r="H225" s="24"/>
      <c r="I225" s="24"/>
      <c r="J225" s="24"/>
      <c r="K225" s="24"/>
      <c r="L225" s="24"/>
      <c r="M225" s="24"/>
      <c r="N225" s="24"/>
      <c r="O225" s="24"/>
      <c r="P225" s="24"/>
      <c r="Q225" s="24"/>
      <c r="R225" s="24"/>
      <c r="S225" s="24"/>
      <c r="T225" s="24"/>
      <c r="U225" s="24"/>
      <c r="V225" s="24"/>
      <c r="W225" s="24"/>
      <c r="X225" s="24"/>
      <c r="Y225" s="24"/>
      <c r="Z225" s="24"/>
      <c r="AA225" s="24"/>
      <c r="AB225" s="24"/>
      <c r="AC225" s="24"/>
      <c r="AD225" s="24"/>
      <c r="AE225" s="24"/>
      <c r="AF225" s="24"/>
      <c r="AG225" s="24"/>
      <c r="AH225" s="24"/>
      <c r="AI225" s="24"/>
      <c r="AJ225" s="24"/>
    </row>
    <row r="226" spans="2:36" x14ac:dyDescent="0.25">
      <c r="B226" s="24"/>
      <c r="C226" s="24"/>
      <c r="D226" s="24"/>
      <c r="E226" s="24"/>
      <c r="F226" s="24"/>
      <c r="G226" s="24"/>
      <c r="H226" s="24"/>
      <c r="I226" s="24"/>
      <c r="J226" s="24"/>
      <c r="K226" s="24"/>
      <c r="L226" s="24"/>
      <c r="M226" s="24"/>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4"/>
    </row>
    <row r="227" spans="2:36" x14ac:dyDescent="0.25">
      <c r="B227" s="24"/>
      <c r="C227" s="24"/>
      <c r="D227" s="24"/>
      <c r="E227" s="24"/>
      <c r="F227" s="24"/>
      <c r="G227" s="24"/>
      <c r="H227" s="24"/>
      <c r="I227" s="24"/>
      <c r="J227" s="24"/>
      <c r="K227" s="24"/>
      <c r="L227" s="24"/>
      <c r="M227" s="24"/>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row>
    <row r="228" spans="2:36" x14ac:dyDescent="0.25">
      <c r="B228" s="24"/>
      <c r="C228" s="24"/>
      <c r="D228" s="24"/>
      <c r="E228" s="24"/>
      <c r="F228" s="24"/>
      <c r="G228" s="24"/>
      <c r="H228" s="24"/>
      <c r="I228" s="24"/>
      <c r="J228" s="24"/>
      <c r="K228" s="24"/>
      <c r="L228" s="24"/>
      <c r="M228" s="24"/>
      <c r="N228" s="24"/>
      <c r="O228" s="24"/>
      <c r="P228" s="24"/>
      <c r="Q228" s="24"/>
      <c r="R228" s="24"/>
      <c r="S228" s="24"/>
      <c r="T228" s="24"/>
      <c r="U228" s="24"/>
      <c r="V228" s="24"/>
      <c r="W228" s="24"/>
      <c r="X228" s="24"/>
      <c r="Y228" s="24"/>
      <c r="Z228" s="24"/>
      <c r="AA228" s="24"/>
      <c r="AB228" s="24"/>
      <c r="AC228" s="24"/>
      <c r="AD228" s="24"/>
      <c r="AE228" s="24"/>
      <c r="AF228" s="24"/>
      <c r="AG228" s="24"/>
      <c r="AH228" s="24"/>
      <c r="AI228" s="24"/>
      <c r="AJ228" s="24"/>
    </row>
    <row r="229" spans="2:36" x14ac:dyDescent="0.25">
      <c r="B229" s="24"/>
      <c r="C229" s="24"/>
      <c r="D229" s="24"/>
      <c r="E229" s="24"/>
      <c r="F229" s="24"/>
      <c r="G229" s="24"/>
      <c r="H229" s="24"/>
      <c r="I229" s="24"/>
      <c r="J229" s="24"/>
      <c r="K229" s="24"/>
      <c r="L229" s="24"/>
      <c r="M229" s="24"/>
      <c r="N229" s="24"/>
      <c r="O229" s="24"/>
      <c r="P229" s="24"/>
      <c r="Q229" s="24"/>
      <c r="R229" s="24"/>
      <c r="S229" s="24"/>
      <c r="T229" s="24"/>
      <c r="U229" s="24"/>
      <c r="V229" s="24"/>
      <c r="W229" s="24"/>
      <c r="X229" s="24"/>
      <c r="Y229" s="24"/>
      <c r="Z229" s="24"/>
      <c r="AA229" s="24"/>
      <c r="AB229" s="24"/>
      <c r="AC229" s="24"/>
      <c r="AD229" s="24"/>
      <c r="AE229" s="24"/>
      <c r="AF229" s="24"/>
      <c r="AG229" s="24"/>
      <c r="AH229" s="24"/>
      <c r="AI229" s="24"/>
      <c r="AJ229" s="24"/>
    </row>
    <row r="230" spans="2:36" x14ac:dyDescent="0.25">
      <c r="B230" s="24"/>
      <c r="C230" s="24"/>
      <c r="D230" s="24"/>
      <c r="E230" s="24"/>
      <c r="F230" s="24"/>
      <c r="G230" s="24"/>
      <c r="H230" s="24"/>
      <c r="I230" s="24"/>
      <c r="J230" s="24"/>
      <c r="K230" s="24"/>
      <c r="L230" s="24"/>
      <c r="M230" s="24"/>
      <c r="N230" s="24"/>
      <c r="O230" s="24"/>
      <c r="P230" s="24"/>
      <c r="Q230" s="24"/>
      <c r="R230" s="24"/>
      <c r="S230" s="24"/>
      <c r="T230" s="24"/>
      <c r="U230" s="24"/>
      <c r="V230" s="24"/>
      <c r="W230" s="24"/>
      <c r="X230" s="24"/>
      <c r="Y230" s="24"/>
      <c r="Z230" s="24"/>
      <c r="AA230" s="24"/>
      <c r="AB230" s="24"/>
      <c r="AC230" s="24"/>
      <c r="AD230" s="24"/>
      <c r="AE230" s="24"/>
      <c r="AF230" s="24"/>
      <c r="AG230" s="24"/>
      <c r="AH230" s="24"/>
      <c r="AI230" s="24"/>
      <c r="AJ230" s="24"/>
    </row>
    <row r="231" spans="2:36" x14ac:dyDescent="0.25">
      <c r="B231" s="24"/>
      <c r="C231" s="24"/>
      <c r="D231" s="24"/>
      <c r="E231" s="24"/>
      <c r="F231" s="24"/>
      <c r="G231" s="24"/>
      <c r="H231" s="24"/>
      <c r="I231" s="24"/>
      <c r="J231" s="24"/>
      <c r="K231" s="24"/>
      <c r="L231" s="24"/>
      <c r="M231" s="24"/>
      <c r="N231" s="24"/>
      <c r="O231" s="24"/>
      <c r="P231" s="24"/>
      <c r="Q231" s="24"/>
      <c r="R231" s="24"/>
      <c r="S231" s="24"/>
      <c r="T231" s="24"/>
      <c r="U231" s="24"/>
      <c r="V231" s="24"/>
      <c r="W231" s="24"/>
      <c r="X231" s="24"/>
      <c r="Y231" s="24"/>
      <c r="Z231" s="24"/>
      <c r="AA231" s="24"/>
      <c r="AB231" s="24"/>
      <c r="AC231" s="24"/>
      <c r="AD231" s="24"/>
      <c r="AE231" s="24"/>
      <c r="AF231" s="24"/>
      <c r="AG231" s="24"/>
      <c r="AH231" s="24"/>
      <c r="AI231" s="24"/>
      <c r="AJ231" s="24"/>
    </row>
    <row r="232" spans="2:36" x14ac:dyDescent="0.25">
      <c r="B232" s="24"/>
      <c r="C232" s="24"/>
      <c r="D232" s="24"/>
      <c r="E232" s="24"/>
      <c r="F232" s="24"/>
      <c r="G232" s="24"/>
      <c r="H232" s="24"/>
      <c r="I232" s="24"/>
      <c r="J232" s="24"/>
      <c r="K232" s="24"/>
      <c r="L232" s="24"/>
      <c r="M232" s="24"/>
      <c r="N232" s="24"/>
      <c r="O232" s="24"/>
      <c r="P232" s="24"/>
      <c r="Q232" s="24"/>
      <c r="R232" s="24"/>
      <c r="S232" s="24"/>
      <c r="T232" s="24"/>
      <c r="U232" s="24"/>
      <c r="V232" s="24"/>
      <c r="W232" s="24"/>
      <c r="X232" s="24"/>
      <c r="Y232" s="24"/>
      <c r="Z232" s="24"/>
      <c r="AA232" s="24"/>
      <c r="AB232" s="24"/>
      <c r="AC232" s="24"/>
      <c r="AD232" s="24"/>
      <c r="AE232" s="24"/>
      <c r="AF232" s="24"/>
      <c r="AG232" s="24"/>
      <c r="AH232" s="24"/>
      <c r="AI232" s="24"/>
      <c r="AJ232" s="24"/>
    </row>
    <row r="233" spans="2:36" x14ac:dyDescent="0.25">
      <c r="B233" s="24"/>
      <c r="C233" s="24"/>
      <c r="D233" s="24"/>
      <c r="E233" s="24"/>
      <c r="F233" s="24"/>
      <c r="G233" s="24"/>
      <c r="H233" s="24"/>
      <c r="I233" s="24"/>
      <c r="J233" s="24"/>
      <c r="K233" s="24"/>
      <c r="L233" s="24"/>
      <c r="M233" s="24"/>
      <c r="N233" s="24"/>
      <c r="O233" s="24"/>
      <c r="P233" s="24"/>
      <c r="Q233" s="24"/>
      <c r="R233" s="24"/>
      <c r="S233" s="24"/>
      <c r="T233" s="24"/>
      <c r="U233" s="24"/>
      <c r="V233" s="24"/>
      <c r="W233" s="24"/>
      <c r="X233" s="24"/>
      <c r="Y233" s="24"/>
      <c r="Z233" s="24"/>
      <c r="AA233" s="24"/>
      <c r="AB233" s="24"/>
      <c r="AC233" s="24"/>
      <c r="AD233" s="24"/>
      <c r="AE233" s="24"/>
      <c r="AF233" s="24"/>
      <c r="AG233" s="24"/>
      <c r="AH233" s="24"/>
      <c r="AI233" s="24"/>
      <c r="AJ233" s="24"/>
    </row>
    <row r="234" spans="2:36" x14ac:dyDescent="0.25">
      <c r="B234" s="24"/>
      <c r="C234" s="24"/>
      <c r="D234" s="24"/>
      <c r="E234" s="24"/>
      <c r="F234" s="24"/>
      <c r="G234" s="24"/>
      <c r="H234" s="24"/>
      <c r="I234" s="24"/>
      <c r="J234" s="24"/>
      <c r="K234" s="24"/>
      <c r="L234" s="24"/>
      <c r="M234" s="24"/>
      <c r="N234" s="24"/>
      <c r="O234" s="24"/>
      <c r="P234" s="24"/>
      <c r="Q234" s="24"/>
      <c r="R234" s="24"/>
      <c r="S234" s="24"/>
      <c r="T234" s="24"/>
      <c r="U234" s="24"/>
      <c r="V234" s="24"/>
      <c r="W234" s="24"/>
      <c r="X234" s="24"/>
      <c r="Y234" s="24"/>
      <c r="Z234" s="24"/>
      <c r="AA234" s="24"/>
      <c r="AB234" s="24"/>
      <c r="AC234" s="24"/>
      <c r="AD234" s="24"/>
      <c r="AE234" s="24"/>
      <c r="AF234" s="24"/>
      <c r="AG234" s="24"/>
      <c r="AH234" s="24"/>
      <c r="AI234" s="24"/>
      <c r="AJ234" s="24"/>
    </row>
    <row r="235" spans="2:36" x14ac:dyDescent="0.25">
      <c r="B235" s="24"/>
      <c r="C235" s="24"/>
      <c r="D235" s="24"/>
      <c r="E235" s="24"/>
      <c r="F235" s="24"/>
      <c r="G235" s="24"/>
      <c r="H235" s="24"/>
      <c r="I235" s="24"/>
      <c r="J235" s="24"/>
      <c r="K235" s="24"/>
      <c r="L235" s="24"/>
      <c r="M235" s="24"/>
      <c r="N235" s="24"/>
      <c r="O235" s="24"/>
      <c r="P235" s="24"/>
      <c r="Q235" s="24"/>
      <c r="R235" s="24"/>
      <c r="S235" s="24"/>
      <c r="T235" s="24"/>
      <c r="U235" s="24"/>
      <c r="V235" s="24"/>
      <c r="W235" s="24"/>
      <c r="X235" s="24"/>
      <c r="Y235" s="24"/>
      <c r="Z235" s="24"/>
      <c r="AA235" s="24"/>
      <c r="AB235" s="24"/>
      <c r="AC235" s="24"/>
      <c r="AD235" s="24"/>
      <c r="AE235" s="24"/>
      <c r="AF235" s="24"/>
      <c r="AG235" s="24"/>
      <c r="AH235" s="24"/>
      <c r="AI235" s="24"/>
      <c r="AJ235" s="24"/>
    </row>
    <row r="236" spans="2:36" x14ac:dyDescent="0.25">
      <c r="B236" s="24"/>
      <c r="C236" s="24"/>
      <c r="D236" s="24"/>
      <c r="E236" s="24"/>
      <c r="F236" s="24"/>
      <c r="G236" s="24"/>
      <c r="H236" s="24"/>
      <c r="I236" s="24"/>
      <c r="J236" s="24"/>
      <c r="K236" s="24"/>
      <c r="L236" s="24"/>
      <c r="M236" s="24"/>
      <c r="N236" s="24"/>
      <c r="O236" s="24"/>
      <c r="P236" s="24"/>
      <c r="Q236" s="24"/>
      <c r="R236" s="24"/>
      <c r="S236" s="24"/>
      <c r="T236" s="24"/>
      <c r="U236" s="24"/>
      <c r="V236" s="24"/>
      <c r="W236" s="24"/>
      <c r="X236" s="24"/>
      <c r="Y236" s="24"/>
      <c r="Z236" s="24"/>
      <c r="AA236" s="24"/>
      <c r="AB236" s="24"/>
      <c r="AC236" s="24"/>
      <c r="AD236" s="24"/>
      <c r="AE236" s="24"/>
      <c r="AF236" s="24"/>
      <c r="AG236" s="24"/>
      <c r="AH236" s="24"/>
      <c r="AI236" s="24"/>
      <c r="AJ236" s="24"/>
    </row>
    <row r="237" spans="2:36" x14ac:dyDescent="0.25">
      <c r="B237" s="24"/>
      <c r="C237" s="24"/>
      <c r="D237" s="24"/>
      <c r="E237" s="24"/>
      <c r="F237" s="24"/>
      <c r="G237" s="24"/>
      <c r="H237" s="24"/>
      <c r="I237" s="24"/>
      <c r="J237" s="24"/>
      <c r="K237" s="24"/>
      <c r="L237" s="24"/>
      <c r="M237" s="24"/>
      <c r="N237" s="24"/>
      <c r="O237" s="24"/>
      <c r="P237" s="24"/>
      <c r="Q237" s="24"/>
      <c r="R237" s="24"/>
      <c r="S237" s="24"/>
      <c r="T237" s="24"/>
      <c r="U237" s="24"/>
      <c r="V237" s="24"/>
      <c r="W237" s="24"/>
      <c r="X237" s="24"/>
      <c r="Y237" s="24"/>
      <c r="Z237" s="24"/>
      <c r="AA237" s="24"/>
      <c r="AB237" s="24"/>
      <c r="AC237" s="24"/>
      <c r="AD237" s="24"/>
      <c r="AE237" s="24"/>
      <c r="AF237" s="24"/>
      <c r="AG237" s="24"/>
      <c r="AH237" s="24"/>
      <c r="AI237" s="24"/>
      <c r="AJ237" s="24"/>
    </row>
    <row r="238" spans="2:36" x14ac:dyDescent="0.25">
      <c r="B238" s="24"/>
      <c r="C238" s="24"/>
      <c r="D238" s="24"/>
      <c r="E238" s="24"/>
      <c r="F238" s="24"/>
      <c r="G238" s="24"/>
      <c r="H238" s="24"/>
      <c r="I238" s="24"/>
      <c r="J238" s="24"/>
      <c r="K238" s="24"/>
      <c r="L238" s="24"/>
      <c r="M238" s="24"/>
      <c r="N238" s="24"/>
      <c r="O238" s="24"/>
      <c r="P238" s="24"/>
      <c r="Q238" s="24"/>
      <c r="R238" s="24"/>
      <c r="S238" s="24"/>
      <c r="T238" s="24"/>
      <c r="U238" s="24"/>
      <c r="V238" s="24"/>
      <c r="W238" s="24"/>
      <c r="X238" s="24"/>
      <c r="Y238" s="24"/>
      <c r="Z238" s="24"/>
      <c r="AA238" s="24"/>
      <c r="AB238" s="24"/>
      <c r="AC238" s="24"/>
      <c r="AD238" s="24"/>
      <c r="AE238" s="24"/>
      <c r="AF238" s="24"/>
      <c r="AG238" s="24"/>
      <c r="AH238" s="24"/>
      <c r="AI238" s="24"/>
      <c r="AJ238" s="24"/>
    </row>
    <row r="239" spans="2:36" x14ac:dyDescent="0.25">
      <c r="B239" s="24"/>
      <c r="C239" s="24"/>
      <c r="D239" s="24"/>
      <c r="E239" s="24"/>
      <c r="F239" s="24"/>
      <c r="G239" s="24"/>
      <c r="H239" s="24"/>
      <c r="I239" s="24"/>
      <c r="J239" s="24"/>
      <c r="K239" s="24"/>
      <c r="L239" s="24"/>
      <c r="M239" s="24"/>
      <c r="N239" s="24"/>
      <c r="O239" s="24"/>
      <c r="P239" s="24"/>
      <c r="Q239" s="24"/>
      <c r="R239" s="24"/>
      <c r="S239" s="24"/>
      <c r="T239" s="24"/>
      <c r="U239" s="24"/>
      <c r="V239" s="24"/>
      <c r="W239" s="24"/>
      <c r="X239" s="24"/>
      <c r="Y239" s="24"/>
      <c r="Z239" s="24"/>
      <c r="AA239" s="24"/>
      <c r="AB239" s="24"/>
      <c r="AC239" s="24"/>
      <c r="AD239" s="24"/>
      <c r="AE239" s="24"/>
      <c r="AF239" s="24"/>
      <c r="AG239" s="24"/>
      <c r="AH239" s="24"/>
      <c r="AI239" s="24"/>
      <c r="AJ239" s="24"/>
    </row>
    <row r="240" spans="2:36" x14ac:dyDescent="0.25">
      <c r="B240" s="24"/>
      <c r="C240" s="24"/>
      <c r="D240" s="24"/>
      <c r="E240" s="24"/>
      <c r="F240" s="24"/>
      <c r="G240" s="24"/>
      <c r="H240" s="24"/>
      <c r="I240" s="24"/>
      <c r="J240" s="24"/>
      <c r="K240" s="24"/>
      <c r="L240" s="24"/>
      <c r="M240" s="24"/>
      <c r="N240" s="24"/>
      <c r="O240" s="24"/>
      <c r="P240" s="24"/>
      <c r="Q240" s="24"/>
      <c r="R240" s="24"/>
      <c r="S240" s="24"/>
      <c r="T240" s="24"/>
      <c r="U240" s="24"/>
      <c r="V240" s="24"/>
      <c r="W240" s="24"/>
      <c r="X240" s="24"/>
      <c r="Y240" s="24"/>
      <c r="Z240" s="24"/>
      <c r="AA240" s="24"/>
      <c r="AB240" s="24"/>
      <c r="AC240" s="24"/>
      <c r="AD240" s="24"/>
      <c r="AE240" s="24"/>
      <c r="AF240" s="24"/>
      <c r="AG240" s="24"/>
      <c r="AH240" s="24"/>
      <c r="AI240" s="24"/>
      <c r="AJ240" s="24"/>
    </row>
    <row r="241" spans="2:36" x14ac:dyDescent="0.25">
      <c r="B241" s="24"/>
      <c r="C241" s="24"/>
      <c r="D241" s="24"/>
      <c r="E241" s="24"/>
      <c r="F241" s="24"/>
      <c r="G241" s="24"/>
      <c r="H241" s="24"/>
      <c r="I241" s="24"/>
      <c r="J241" s="24"/>
      <c r="K241" s="24"/>
      <c r="L241" s="24"/>
      <c r="M241" s="24"/>
      <c r="N241" s="24"/>
      <c r="O241" s="24"/>
      <c r="P241" s="24"/>
      <c r="Q241" s="24"/>
      <c r="R241" s="24"/>
      <c r="S241" s="24"/>
      <c r="T241" s="24"/>
      <c r="U241" s="24"/>
      <c r="V241" s="24"/>
      <c r="W241" s="24"/>
      <c r="X241" s="24"/>
      <c r="Y241" s="24"/>
      <c r="Z241" s="24"/>
      <c r="AA241" s="24"/>
      <c r="AB241" s="24"/>
      <c r="AC241" s="24"/>
      <c r="AD241" s="24"/>
      <c r="AE241" s="24"/>
      <c r="AF241" s="24"/>
      <c r="AG241" s="24"/>
      <c r="AH241" s="24"/>
      <c r="AI241" s="24"/>
      <c r="AJ241" s="24"/>
    </row>
    <row r="242" spans="2:36" x14ac:dyDescent="0.25">
      <c r="B242" s="24"/>
      <c r="C242" s="24"/>
      <c r="D242" s="24"/>
      <c r="E242" s="24"/>
      <c r="F242" s="24"/>
      <c r="G242" s="24"/>
      <c r="H242" s="24"/>
      <c r="I242" s="24"/>
      <c r="J242" s="24"/>
      <c r="K242" s="24"/>
      <c r="L242" s="24"/>
      <c r="M242" s="24"/>
      <c r="N242" s="24"/>
      <c r="O242" s="24"/>
      <c r="P242" s="24"/>
      <c r="Q242" s="24"/>
      <c r="R242" s="24"/>
      <c r="S242" s="24"/>
      <c r="T242" s="24"/>
      <c r="U242" s="24"/>
      <c r="V242" s="24"/>
      <c r="W242" s="24"/>
      <c r="X242" s="24"/>
      <c r="Y242" s="24"/>
      <c r="Z242" s="24"/>
      <c r="AA242" s="24"/>
      <c r="AB242" s="24"/>
      <c r="AC242" s="24"/>
      <c r="AD242" s="24"/>
      <c r="AE242" s="24"/>
      <c r="AF242" s="24"/>
      <c r="AG242" s="24"/>
      <c r="AH242" s="24"/>
      <c r="AI242" s="24"/>
      <c r="AJ242" s="24"/>
    </row>
    <row r="243" spans="2:36" x14ac:dyDescent="0.25">
      <c r="B243" s="24"/>
      <c r="C243" s="24"/>
      <c r="D243" s="24"/>
      <c r="E243" s="24"/>
      <c r="F243" s="24"/>
      <c r="G243" s="24"/>
      <c r="H243" s="24"/>
      <c r="I243" s="24"/>
      <c r="J243" s="24"/>
      <c r="K243" s="24"/>
      <c r="L243" s="24"/>
      <c r="M243" s="24"/>
      <c r="N243" s="24"/>
      <c r="O243" s="24"/>
      <c r="P243" s="24"/>
      <c r="Q243" s="24"/>
      <c r="R243" s="24"/>
      <c r="S243" s="24"/>
      <c r="T243" s="24"/>
      <c r="U243" s="24"/>
      <c r="V243" s="24"/>
      <c r="W243" s="24"/>
      <c r="X243" s="24"/>
      <c r="Y243" s="24"/>
      <c r="Z243" s="24"/>
      <c r="AA243" s="24"/>
      <c r="AB243" s="24"/>
      <c r="AC243" s="24"/>
      <c r="AD243" s="24"/>
      <c r="AE243" s="24"/>
      <c r="AF243" s="24"/>
      <c r="AG243" s="24"/>
      <c r="AH243" s="24"/>
      <c r="AI243" s="24"/>
      <c r="AJ243" s="24"/>
    </row>
    <row r="244" spans="2:36" x14ac:dyDescent="0.25">
      <c r="B244" s="24"/>
      <c r="C244" s="24"/>
      <c r="D244" s="24"/>
      <c r="E244" s="24"/>
      <c r="F244" s="24"/>
      <c r="G244" s="24"/>
      <c r="H244" s="24"/>
      <c r="I244" s="24"/>
      <c r="J244" s="24"/>
      <c r="K244" s="24"/>
      <c r="L244" s="24"/>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4"/>
    </row>
    <row r="245" spans="2:36" x14ac:dyDescent="0.25">
      <c r="B245" s="24"/>
      <c r="C245" s="24"/>
      <c r="D245" s="24"/>
      <c r="E245" s="24"/>
      <c r="F245" s="24"/>
      <c r="G245" s="24"/>
      <c r="H245" s="24"/>
      <c r="I245" s="24"/>
      <c r="J245" s="24"/>
      <c r="K245" s="24"/>
      <c r="L245" s="24"/>
      <c r="M245" s="24"/>
      <c r="N245" s="24"/>
      <c r="O245" s="24"/>
      <c r="P245" s="24"/>
      <c r="Q245" s="24"/>
      <c r="R245" s="24"/>
      <c r="S245" s="24"/>
      <c r="T245" s="24"/>
      <c r="U245" s="24"/>
      <c r="V245" s="24"/>
      <c r="W245" s="24"/>
      <c r="X245" s="24"/>
      <c r="Y245" s="24"/>
      <c r="Z245" s="24"/>
      <c r="AA245" s="24"/>
      <c r="AB245" s="24"/>
      <c r="AC245" s="24"/>
      <c r="AD245" s="24"/>
      <c r="AE245" s="24"/>
      <c r="AF245" s="24"/>
      <c r="AG245" s="24"/>
      <c r="AH245" s="24"/>
      <c r="AI245" s="24"/>
      <c r="AJ245" s="24"/>
    </row>
    <row r="246" spans="2:36" x14ac:dyDescent="0.25">
      <c r="B246" s="24"/>
      <c r="C246" s="24"/>
      <c r="D246" s="24"/>
      <c r="E246" s="24"/>
      <c r="F246" s="24"/>
      <c r="G246" s="24"/>
      <c r="H246" s="24"/>
      <c r="I246" s="24"/>
      <c r="J246" s="24"/>
      <c r="K246" s="24"/>
      <c r="L246" s="24"/>
      <c r="M246" s="24"/>
      <c r="N246" s="24"/>
      <c r="O246" s="24"/>
      <c r="P246" s="24"/>
      <c r="Q246" s="24"/>
      <c r="R246" s="24"/>
      <c r="S246" s="24"/>
      <c r="T246" s="24"/>
      <c r="U246" s="24"/>
      <c r="V246" s="24"/>
      <c r="W246" s="24"/>
      <c r="X246" s="24"/>
      <c r="Y246" s="24"/>
      <c r="Z246" s="24"/>
      <c r="AA246" s="24"/>
      <c r="AB246" s="24"/>
      <c r="AC246" s="24"/>
      <c r="AD246" s="24"/>
      <c r="AE246" s="24"/>
      <c r="AF246" s="24"/>
      <c r="AG246" s="24"/>
      <c r="AH246" s="24"/>
      <c r="AI246" s="24"/>
      <c r="AJ246" s="24"/>
    </row>
    <row r="247" spans="2:36" x14ac:dyDescent="0.25">
      <c r="B247" s="24"/>
      <c r="C247" s="24"/>
      <c r="D247" s="24"/>
      <c r="E247" s="24"/>
      <c r="F247" s="24"/>
      <c r="G247" s="24"/>
      <c r="H247" s="24"/>
      <c r="I247" s="24"/>
      <c r="J247" s="24"/>
      <c r="K247" s="24"/>
      <c r="L247" s="24"/>
      <c r="M247" s="24"/>
      <c r="N247" s="24"/>
      <c r="O247" s="24"/>
      <c r="P247" s="24"/>
      <c r="Q247" s="24"/>
      <c r="R247" s="24"/>
      <c r="S247" s="24"/>
      <c r="T247" s="24"/>
      <c r="U247" s="24"/>
      <c r="V247" s="24"/>
      <c r="W247" s="24"/>
      <c r="X247" s="24"/>
      <c r="Y247" s="24"/>
      <c r="Z247" s="24"/>
      <c r="AA247" s="24"/>
      <c r="AB247" s="24"/>
      <c r="AC247" s="24"/>
      <c r="AD247" s="24"/>
      <c r="AE247" s="24"/>
      <c r="AF247" s="24"/>
      <c r="AG247" s="24"/>
      <c r="AH247" s="24"/>
      <c r="AI247" s="24"/>
      <c r="AJ247" s="24"/>
    </row>
    <row r="248" spans="2:36" x14ac:dyDescent="0.25">
      <c r="B248" s="24"/>
      <c r="C248" s="24"/>
      <c r="D248" s="24"/>
      <c r="E248" s="24"/>
      <c r="F248" s="24"/>
      <c r="G248" s="24"/>
      <c r="H248" s="24"/>
      <c r="I248" s="24"/>
      <c r="J248" s="24"/>
      <c r="K248" s="24"/>
      <c r="L248" s="24"/>
      <c r="M248" s="24"/>
      <c r="N248" s="24"/>
      <c r="O248" s="24"/>
      <c r="P248" s="24"/>
      <c r="Q248" s="24"/>
      <c r="R248" s="24"/>
      <c r="S248" s="24"/>
      <c r="T248" s="24"/>
      <c r="U248" s="24"/>
      <c r="V248" s="24"/>
      <c r="W248" s="24"/>
      <c r="X248" s="24"/>
      <c r="Y248" s="24"/>
      <c r="Z248" s="24"/>
      <c r="AA248" s="24"/>
      <c r="AB248" s="24"/>
      <c r="AC248" s="24"/>
      <c r="AD248" s="24"/>
      <c r="AE248" s="24"/>
      <c r="AF248" s="24"/>
      <c r="AG248" s="24"/>
      <c r="AH248" s="24"/>
      <c r="AI248" s="24"/>
      <c r="AJ248" s="24"/>
    </row>
    <row r="249" spans="2:36" x14ac:dyDescent="0.25">
      <c r="B249" s="24"/>
      <c r="C249" s="24"/>
      <c r="D249" s="24"/>
      <c r="E249" s="24"/>
      <c r="F249" s="24"/>
      <c r="G249" s="24"/>
      <c r="H249" s="24"/>
      <c r="I249" s="24"/>
      <c r="J249" s="24"/>
      <c r="K249" s="24"/>
      <c r="L249" s="24"/>
      <c r="M249" s="24"/>
      <c r="N249" s="24"/>
      <c r="O249" s="24"/>
      <c r="P249" s="24"/>
      <c r="Q249" s="24"/>
      <c r="R249" s="24"/>
      <c r="S249" s="24"/>
      <c r="T249" s="24"/>
      <c r="U249" s="24"/>
      <c r="V249" s="24"/>
      <c r="W249" s="24"/>
      <c r="X249" s="24"/>
      <c r="Y249" s="24"/>
      <c r="Z249" s="24"/>
      <c r="AA249" s="24"/>
      <c r="AB249" s="24"/>
      <c r="AC249" s="24"/>
      <c r="AD249" s="24"/>
      <c r="AE249" s="24"/>
      <c r="AF249" s="24"/>
      <c r="AG249" s="24"/>
      <c r="AH249" s="24"/>
      <c r="AI249" s="24"/>
      <c r="AJ249" s="24"/>
    </row>
    <row r="250" spans="2:36" x14ac:dyDescent="0.25">
      <c r="B250" s="24"/>
      <c r="C250" s="24"/>
      <c r="D250" s="24"/>
      <c r="E250" s="24"/>
      <c r="F250" s="24"/>
      <c r="G250" s="24"/>
      <c r="H250" s="24"/>
      <c r="I250" s="24"/>
      <c r="J250" s="24"/>
      <c r="K250" s="24"/>
      <c r="L250" s="24"/>
      <c r="M250" s="24"/>
      <c r="N250" s="24"/>
      <c r="O250" s="24"/>
      <c r="P250" s="24"/>
      <c r="Q250" s="24"/>
      <c r="R250" s="24"/>
      <c r="S250" s="24"/>
      <c r="T250" s="24"/>
      <c r="U250" s="24"/>
      <c r="V250" s="24"/>
      <c r="W250" s="24"/>
      <c r="X250" s="24"/>
      <c r="Y250" s="24"/>
      <c r="Z250" s="24"/>
      <c r="AA250" s="24"/>
      <c r="AB250" s="24"/>
      <c r="AC250" s="24"/>
      <c r="AD250" s="24"/>
      <c r="AE250" s="24"/>
      <c r="AF250" s="24"/>
      <c r="AG250" s="24"/>
      <c r="AH250" s="24"/>
      <c r="AI250" s="24"/>
      <c r="AJ250" s="24"/>
    </row>
    <row r="251" spans="2:36" x14ac:dyDescent="0.25">
      <c r="B251" s="24"/>
      <c r="C251" s="24"/>
      <c r="D251" s="24"/>
      <c r="E251" s="24"/>
      <c r="F251" s="24"/>
      <c r="G251" s="24"/>
      <c r="H251" s="24"/>
      <c r="I251" s="24"/>
      <c r="J251" s="24"/>
      <c r="K251" s="24"/>
      <c r="L251" s="24"/>
      <c r="M251" s="24"/>
      <c r="N251" s="24"/>
      <c r="O251" s="24"/>
      <c r="P251" s="24"/>
      <c r="Q251" s="24"/>
      <c r="R251" s="24"/>
      <c r="S251" s="24"/>
      <c r="T251" s="24"/>
      <c r="U251" s="24"/>
      <c r="V251" s="24"/>
      <c r="W251" s="24"/>
      <c r="X251" s="24"/>
      <c r="Y251" s="24"/>
      <c r="Z251" s="24"/>
      <c r="AA251" s="24"/>
      <c r="AB251" s="24"/>
      <c r="AC251" s="24"/>
      <c r="AD251" s="24"/>
      <c r="AE251" s="24"/>
      <c r="AF251" s="24"/>
      <c r="AG251" s="24"/>
      <c r="AH251" s="24"/>
      <c r="AI251" s="24"/>
      <c r="AJ251" s="24"/>
    </row>
    <row r="252" spans="2:36" x14ac:dyDescent="0.25">
      <c r="B252" s="24"/>
      <c r="C252" s="24"/>
      <c r="D252" s="24"/>
      <c r="E252" s="24"/>
      <c r="F252" s="24"/>
      <c r="G252" s="24"/>
      <c r="H252" s="24"/>
      <c r="I252" s="24"/>
      <c r="J252" s="24"/>
      <c r="K252" s="24"/>
      <c r="L252" s="24"/>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row>
    <row r="253" spans="2:36" x14ac:dyDescent="0.25">
      <c r="B253" s="24"/>
      <c r="C253" s="24"/>
      <c r="D253" s="24"/>
      <c r="E253" s="24"/>
      <c r="F253" s="24"/>
      <c r="G253" s="24"/>
      <c r="H253" s="24"/>
      <c r="I253" s="24"/>
      <c r="J253" s="24"/>
      <c r="K253" s="24"/>
      <c r="L253" s="24"/>
      <c r="M253" s="24"/>
      <c r="N253" s="24"/>
      <c r="O253" s="24"/>
      <c r="P253" s="24"/>
      <c r="Q253" s="24"/>
      <c r="R253" s="24"/>
      <c r="S253" s="24"/>
      <c r="T253" s="24"/>
      <c r="U253" s="24"/>
      <c r="V253" s="24"/>
      <c r="W253" s="24"/>
      <c r="X253" s="24"/>
      <c r="Y253" s="24"/>
      <c r="Z253" s="24"/>
      <c r="AA253" s="24"/>
      <c r="AB253" s="24"/>
      <c r="AC253" s="24"/>
      <c r="AD253" s="24"/>
      <c r="AE253" s="24"/>
      <c r="AF253" s="24"/>
      <c r="AG253" s="24"/>
      <c r="AH253" s="24"/>
      <c r="AI253" s="24"/>
      <c r="AJ253" s="24"/>
    </row>
    <row r="254" spans="2:36" x14ac:dyDescent="0.25">
      <c r="B254" s="24"/>
      <c r="C254" s="24"/>
      <c r="D254" s="24"/>
      <c r="E254" s="24"/>
      <c r="F254" s="24"/>
      <c r="G254" s="24"/>
      <c r="H254" s="24"/>
      <c r="I254" s="24"/>
      <c r="J254" s="24"/>
      <c r="K254" s="24"/>
      <c r="L254" s="24"/>
      <c r="M254" s="24"/>
      <c r="N254" s="24"/>
      <c r="O254" s="24"/>
      <c r="P254" s="24"/>
      <c r="Q254" s="24"/>
      <c r="R254" s="24"/>
      <c r="S254" s="24"/>
      <c r="T254" s="24"/>
      <c r="U254" s="24"/>
      <c r="V254" s="24"/>
      <c r="W254" s="24"/>
      <c r="X254" s="24"/>
      <c r="Y254" s="24"/>
      <c r="Z254" s="24"/>
      <c r="AA254" s="24"/>
      <c r="AB254" s="24"/>
      <c r="AC254" s="24"/>
      <c r="AD254" s="24"/>
      <c r="AE254" s="24"/>
      <c r="AF254" s="24"/>
      <c r="AG254" s="24"/>
      <c r="AH254" s="24"/>
      <c r="AI254" s="24"/>
      <c r="AJ254" s="24"/>
    </row>
    <row r="255" spans="2:36" x14ac:dyDescent="0.25">
      <c r="B255" s="24"/>
      <c r="C255" s="24"/>
      <c r="D255" s="24"/>
      <c r="E255" s="24"/>
      <c r="F255" s="24"/>
      <c r="G255" s="24"/>
      <c r="H255" s="24"/>
      <c r="I255" s="24"/>
      <c r="J255" s="24"/>
      <c r="K255" s="24"/>
      <c r="L255" s="24"/>
      <c r="M255" s="24"/>
      <c r="N255" s="24"/>
      <c r="O255" s="24"/>
      <c r="P255" s="24"/>
      <c r="Q255" s="24"/>
      <c r="R255" s="24"/>
      <c r="S255" s="24"/>
      <c r="T255" s="24"/>
      <c r="U255" s="24"/>
      <c r="V255" s="24"/>
      <c r="W255" s="24"/>
      <c r="X255" s="24"/>
      <c r="Y255" s="24"/>
      <c r="Z255" s="24"/>
      <c r="AA255" s="24"/>
      <c r="AB255" s="24"/>
      <c r="AC255" s="24"/>
      <c r="AD255" s="24"/>
      <c r="AE255" s="24"/>
      <c r="AF255" s="24"/>
      <c r="AG255" s="24"/>
      <c r="AH255" s="24"/>
      <c r="AI255" s="24"/>
      <c r="AJ255" s="24"/>
    </row>
    <row r="256" spans="2:36" x14ac:dyDescent="0.25">
      <c r="B256" s="24"/>
      <c r="C256" s="24"/>
      <c r="D256" s="24"/>
      <c r="E256" s="24"/>
      <c r="F256" s="24"/>
      <c r="G256" s="24"/>
      <c r="H256" s="24"/>
      <c r="I256" s="24"/>
      <c r="J256" s="24"/>
      <c r="K256" s="24"/>
      <c r="L256" s="24"/>
      <c r="M256" s="24"/>
      <c r="N256" s="24"/>
      <c r="O256" s="24"/>
      <c r="P256" s="24"/>
      <c r="Q256" s="24"/>
      <c r="R256" s="24"/>
      <c r="S256" s="24"/>
      <c r="T256" s="24"/>
      <c r="U256" s="24"/>
      <c r="V256" s="24"/>
      <c r="W256" s="24"/>
      <c r="X256" s="24"/>
      <c r="Y256" s="24"/>
      <c r="Z256" s="24"/>
      <c r="AA256" s="24"/>
      <c r="AB256" s="24"/>
      <c r="AC256" s="24"/>
      <c r="AD256" s="24"/>
      <c r="AE256" s="24"/>
      <c r="AF256" s="24"/>
      <c r="AG256" s="24"/>
      <c r="AH256" s="24"/>
      <c r="AI256" s="24"/>
      <c r="AJ256" s="24"/>
    </row>
    <row r="257" spans="2:36" x14ac:dyDescent="0.25">
      <c r="B257" s="24"/>
      <c r="C257" s="24"/>
      <c r="D257" s="24"/>
      <c r="E257" s="24"/>
      <c r="F257" s="24"/>
      <c r="G257" s="24"/>
      <c r="H257" s="24"/>
      <c r="I257" s="24"/>
      <c r="J257" s="24"/>
      <c r="K257" s="24"/>
      <c r="L257" s="24"/>
      <c r="M257" s="24"/>
      <c r="N257" s="24"/>
      <c r="O257" s="24"/>
      <c r="P257" s="24"/>
      <c r="Q257" s="24"/>
      <c r="R257" s="24"/>
      <c r="S257" s="24"/>
      <c r="T257" s="24"/>
      <c r="U257" s="24"/>
      <c r="V257" s="24"/>
      <c r="W257" s="24"/>
      <c r="X257" s="24"/>
      <c r="Y257" s="24"/>
      <c r="Z257" s="24"/>
      <c r="AA257" s="24"/>
      <c r="AB257" s="24"/>
      <c r="AC257" s="24"/>
      <c r="AD257" s="24"/>
      <c r="AE257" s="24"/>
      <c r="AF257" s="24"/>
      <c r="AG257" s="24"/>
      <c r="AH257" s="24"/>
      <c r="AI257" s="24"/>
      <c r="AJ257" s="24"/>
    </row>
    <row r="258" spans="2:36" x14ac:dyDescent="0.25">
      <c r="B258" s="24"/>
      <c r="C258" s="24"/>
      <c r="D258" s="24"/>
      <c r="E258" s="24"/>
      <c r="F258" s="24"/>
      <c r="G258" s="24"/>
      <c r="H258" s="24"/>
      <c r="I258" s="24"/>
      <c r="J258" s="24"/>
      <c r="K258" s="24"/>
      <c r="L258" s="24"/>
      <c r="M258" s="24"/>
      <c r="N258" s="24"/>
      <c r="O258" s="24"/>
      <c r="P258" s="24"/>
      <c r="Q258" s="24"/>
      <c r="R258" s="24"/>
      <c r="S258" s="24"/>
      <c r="T258" s="24"/>
      <c r="U258" s="24"/>
      <c r="V258" s="24"/>
      <c r="W258" s="24"/>
      <c r="X258" s="24"/>
      <c r="Y258" s="24"/>
      <c r="Z258" s="24"/>
      <c r="AA258" s="24"/>
      <c r="AB258" s="24"/>
      <c r="AC258" s="24"/>
      <c r="AD258" s="24"/>
      <c r="AE258" s="24"/>
      <c r="AF258" s="24"/>
      <c r="AG258" s="24"/>
      <c r="AH258" s="24"/>
      <c r="AI258" s="24"/>
      <c r="AJ258" s="24"/>
    </row>
    <row r="259" spans="2:36" x14ac:dyDescent="0.25">
      <c r="B259" s="24"/>
      <c r="C259" s="24"/>
      <c r="D259" s="24"/>
      <c r="E259" s="24"/>
      <c r="F259" s="24"/>
      <c r="G259" s="24"/>
      <c r="H259" s="24"/>
      <c r="I259" s="24"/>
      <c r="J259" s="24"/>
      <c r="K259" s="24"/>
      <c r="L259" s="24"/>
      <c r="M259" s="24"/>
      <c r="N259" s="24"/>
      <c r="O259" s="24"/>
      <c r="P259" s="24"/>
      <c r="Q259" s="24"/>
      <c r="R259" s="24"/>
      <c r="S259" s="24"/>
      <c r="T259" s="24"/>
      <c r="U259" s="24"/>
      <c r="V259" s="24"/>
      <c r="W259" s="24"/>
      <c r="X259" s="24"/>
      <c r="Y259" s="24"/>
      <c r="Z259" s="24"/>
      <c r="AA259" s="24"/>
      <c r="AB259" s="24"/>
      <c r="AC259" s="24"/>
      <c r="AD259" s="24"/>
      <c r="AE259" s="24"/>
      <c r="AF259" s="24"/>
      <c r="AG259" s="24"/>
      <c r="AH259" s="24"/>
      <c r="AI259" s="24"/>
      <c r="AJ259" s="24"/>
    </row>
    <row r="260" spans="2:36" x14ac:dyDescent="0.25">
      <c r="B260" s="24"/>
      <c r="C260" s="24"/>
      <c r="D260" s="24"/>
      <c r="E260" s="24"/>
      <c r="F260" s="24"/>
      <c r="G260" s="24"/>
      <c r="H260" s="24"/>
      <c r="I260" s="24"/>
      <c r="J260" s="24"/>
      <c r="K260" s="24"/>
      <c r="L260" s="24"/>
      <c r="M260" s="24"/>
      <c r="N260" s="24"/>
      <c r="O260" s="24"/>
      <c r="P260" s="24"/>
      <c r="Q260" s="24"/>
      <c r="R260" s="24"/>
      <c r="S260" s="24"/>
      <c r="T260" s="24"/>
      <c r="U260" s="24"/>
      <c r="V260" s="24"/>
      <c r="W260" s="24"/>
      <c r="X260" s="24"/>
      <c r="Y260" s="24"/>
      <c r="Z260" s="24"/>
      <c r="AA260" s="24"/>
      <c r="AB260" s="24"/>
      <c r="AC260" s="24"/>
      <c r="AD260" s="24"/>
      <c r="AE260" s="24"/>
      <c r="AF260" s="24"/>
      <c r="AG260" s="24"/>
      <c r="AH260" s="24"/>
      <c r="AI260" s="24"/>
      <c r="AJ260" s="24"/>
    </row>
    <row r="261" spans="2:36" x14ac:dyDescent="0.25">
      <c r="B261" s="24"/>
      <c r="C261" s="24"/>
      <c r="D261" s="24"/>
      <c r="E261" s="24"/>
      <c r="F261" s="24"/>
      <c r="G261" s="24"/>
      <c r="H261" s="24"/>
      <c r="I261" s="24"/>
      <c r="J261" s="24"/>
      <c r="K261" s="24"/>
      <c r="L261" s="24"/>
      <c r="M261" s="24"/>
      <c r="N261" s="24"/>
      <c r="O261" s="24"/>
      <c r="P261" s="24"/>
      <c r="Q261" s="24"/>
      <c r="R261" s="24"/>
      <c r="S261" s="24"/>
      <c r="T261" s="24"/>
      <c r="U261" s="24"/>
      <c r="V261" s="24"/>
      <c r="W261" s="24"/>
      <c r="X261" s="24"/>
      <c r="Y261" s="24"/>
      <c r="Z261" s="24"/>
      <c r="AA261" s="24"/>
      <c r="AB261" s="24"/>
      <c r="AC261" s="24"/>
      <c r="AD261" s="24"/>
      <c r="AE261" s="24"/>
      <c r="AF261" s="24"/>
      <c r="AG261" s="24"/>
      <c r="AH261" s="24"/>
      <c r="AI261" s="24"/>
      <c r="AJ261" s="24"/>
    </row>
    <row r="262" spans="2:36" x14ac:dyDescent="0.25">
      <c r="B262" s="24"/>
      <c r="C262" s="24"/>
      <c r="D262" s="24"/>
      <c r="E262" s="24"/>
      <c r="F262" s="24"/>
      <c r="G262" s="24"/>
      <c r="H262" s="24"/>
      <c r="I262" s="24"/>
      <c r="J262" s="24"/>
      <c r="K262" s="24"/>
      <c r="L262" s="24"/>
      <c r="M262" s="24"/>
      <c r="N262" s="24"/>
      <c r="O262" s="24"/>
      <c r="P262" s="24"/>
      <c r="Q262" s="24"/>
      <c r="R262" s="24"/>
      <c r="S262" s="24"/>
      <c r="T262" s="24"/>
      <c r="U262" s="24"/>
      <c r="V262" s="24"/>
      <c r="W262" s="24"/>
      <c r="X262" s="24"/>
      <c r="Y262" s="24"/>
      <c r="Z262" s="24"/>
      <c r="AA262" s="24"/>
      <c r="AB262" s="24"/>
      <c r="AC262" s="24"/>
      <c r="AD262" s="24"/>
      <c r="AE262" s="24"/>
      <c r="AF262" s="24"/>
      <c r="AG262" s="24"/>
      <c r="AH262" s="24"/>
      <c r="AI262" s="24"/>
      <c r="AJ262" s="24"/>
    </row>
    <row r="263" spans="2:36" x14ac:dyDescent="0.25">
      <c r="B263" s="24"/>
      <c r="C263" s="24"/>
      <c r="D263" s="24"/>
      <c r="E263" s="24"/>
      <c r="F263" s="24"/>
      <c r="G263" s="24"/>
      <c r="H263" s="24"/>
      <c r="I263" s="24"/>
      <c r="J263" s="24"/>
      <c r="K263" s="24"/>
      <c r="L263" s="24"/>
      <c r="M263" s="24"/>
      <c r="N263" s="24"/>
      <c r="O263" s="24"/>
      <c r="P263" s="24"/>
      <c r="Q263" s="24"/>
      <c r="R263" s="24"/>
      <c r="S263" s="24"/>
      <c r="T263" s="24"/>
      <c r="U263" s="24"/>
      <c r="V263" s="24"/>
      <c r="W263" s="24"/>
      <c r="X263" s="24"/>
      <c r="Y263" s="24"/>
      <c r="Z263" s="24"/>
      <c r="AA263" s="24"/>
      <c r="AB263" s="24"/>
      <c r="AC263" s="24"/>
      <c r="AD263" s="24"/>
      <c r="AE263" s="24"/>
      <c r="AF263" s="24"/>
      <c r="AG263" s="24"/>
      <c r="AH263" s="24"/>
      <c r="AI263" s="24"/>
      <c r="AJ263" s="24"/>
    </row>
    <row r="264" spans="2:36" x14ac:dyDescent="0.25">
      <c r="B264" s="24"/>
      <c r="C264" s="24"/>
      <c r="D264" s="24"/>
      <c r="E264" s="24"/>
      <c r="F264" s="24"/>
      <c r="G264" s="24"/>
      <c r="H264" s="24"/>
      <c r="I264" s="24"/>
      <c r="J264" s="24"/>
      <c r="K264" s="24"/>
      <c r="L264" s="24"/>
      <c r="M264" s="24"/>
      <c r="N264" s="24"/>
      <c r="O264" s="24"/>
      <c r="P264" s="24"/>
      <c r="Q264" s="24"/>
      <c r="R264" s="24"/>
      <c r="S264" s="24"/>
      <c r="T264" s="24"/>
      <c r="U264" s="24"/>
      <c r="V264" s="24"/>
      <c r="W264" s="24"/>
      <c r="X264" s="24"/>
      <c r="Y264" s="24"/>
      <c r="Z264" s="24"/>
      <c r="AA264" s="24"/>
      <c r="AB264" s="24"/>
      <c r="AC264" s="24"/>
      <c r="AD264" s="24"/>
      <c r="AE264" s="24"/>
      <c r="AF264" s="24"/>
      <c r="AG264" s="24"/>
      <c r="AH264" s="24"/>
      <c r="AI264" s="24"/>
      <c r="AJ264" s="24"/>
    </row>
    <row r="265" spans="2:36" x14ac:dyDescent="0.25">
      <c r="B265" s="24"/>
      <c r="C265" s="24"/>
      <c r="D265" s="24"/>
      <c r="E265" s="24"/>
      <c r="F265" s="24"/>
      <c r="G265" s="24"/>
      <c r="H265" s="24"/>
      <c r="I265" s="24"/>
      <c r="J265" s="24"/>
      <c r="K265" s="24"/>
      <c r="L265" s="24"/>
      <c r="M265" s="24"/>
      <c r="N265" s="24"/>
      <c r="O265" s="24"/>
      <c r="P265" s="24"/>
      <c r="Q265" s="24"/>
      <c r="R265" s="24"/>
      <c r="S265" s="24"/>
      <c r="T265" s="24"/>
      <c r="U265" s="24"/>
      <c r="V265" s="24"/>
      <c r="W265" s="24"/>
      <c r="X265" s="24"/>
      <c r="Y265" s="24"/>
      <c r="Z265" s="24"/>
      <c r="AA265" s="24"/>
      <c r="AB265" s="24"/>
      <c r="AC265" s="24"/>
      <c r="AD265" s="24"/>
      <c r="AE265" s="24"/>
      <c r="AF265" s="24"/>
      <c r="AG265" s="24"/>
      <c r="AH265" s="24"/>
      <c r="AI265" s="24"/>
      <c r="AJ265" s="24"/>
    </row>
    <row r="266" spans="2:36" x14ac:dyDescent="0.25">
      <c r="B266" s="24"/>
      <c r="C266" s="24"/>
      <c r="D266" s="24"/>
      <c r="E266" s="24"/>
      <c r="F266" s="24"/>
      <c r="G266" s="24"/>
      <c r="H266" s="24"/>
      <c r="I266" s="24"/>
      <c r="J266" s="24"/>
      <c r="K266" s="24"/>
      <c r="L266" s="24"/>
      <c r="M266" s="24"/>
      <c r="N266" s="24"/>
      <c r="O266" s="24"/>
      <c r="P266" s="24"/>
      <c r="Q266" s="24"/>
      <c r="R266" s="24"/>
      <c r="S266" s="24"/>
      <c r="T266" s="24"/>
      <c r="U266" s="24"/>
      <c r="V266" s="24"/>
      <c r="W266" s="24"/>
      <c r="X266" s="24"/>
      <c r="Y266" s="24"/>
      <c r="Z266" s="24"/>
      <c r="AA266" s="24"/>
      <c r="AB266" s="24"/>
      <c r="AC266" s="24"/>
      <c r="AD266" s="24"/>
      <c r="AE266" s="24"/>
      <c r="AF266" s="24"/>
      <c r="AG266" s="24"/>
      <c r="AH266" s="24"/>
      <c r="AI266" s="24"/>
      <c r="AJ266" s="24"/>
    </row>
    <row r="267" spans="2:36" x14ac:dyDescent="0.25">
      <c r="B267" s="24"/>
      <c r="C267" s="24"/>
      <c r="D267" s="24"/>
      <c r="E267" s="24"/>
      <c r="F267" s="24"/>
      <c r="G267" s="24"/>
      <c r="H267" s="24"/>
      <c r="I267" s="24"/>
      <c r="J267" s="24"/>
      <c r="K267" s="24"/>
      <c r="L267" s="24"/>
      <c r="M267" s="24"/>
      <c r="N267" s="24"/>
      <c r="O267" s="24"/>
      <c r="P267" s="24"/>
      <c r="Q267" s="24"/>
      <c r="R267" s="24"/>
      <c r="S267" s="24"/>
      <c r="T267" s="24"/>
      <c r="U267" s="24"/>
      <c r="V267" s="24"/>
      <c r="W267" s="24"/>
      <c r="X267" s="24"/>
      <c r="Y267" s="24"/>
      <c r="Z267" s="24"/>
      <c r="AA267" s="24"/>
      <c r="AB267" s="24"/>
      <c r="AC267" s="24"/>
      <c r="AD267" s="24"/>
      <c r="AE267" s="24"/>
      <c r="AF267" s="24"/>
      <c r="AG267" s="24"/>
      <c r="AH267" s="24"/>
      <c r="AI267" s="24"/>
      <c r="AJ267" s="24"/>
    </row>
    <row r="268" spans="2:36" x14ac:dyDescent="0.25">
      <c r="B268" s="24"/>
      <c r="C268" s="24"/>
      <c r="D268" s="24"/>
      <c r="E268" s="24"/>
      <c r="F268" s="24"/>
      <c r="G268" s="24"/>
      <c r="H268" s="24"/>
      <c r="I268" s="24"/>
      <c r="J268" s="24"/>
      <c r="K268" s="24"/>
      <c r="L268" s="24"/>
      <c r="M268" s="24"/>
      <c r="N268" s="24"/>
      <c r="O268" s="24"/>
      <c r="P268" s="24"/>
      <c r="Q268" s="24"/>
      <c r="R268" s="24"/>
      <c r="S268" s="24"/>
      <c r="T268" s="24"/>
      <c r="U268" s="24"/>
      <c r="V268" s="24"/>
      <c r="W268" s="24"/>
      <c r="X268" s="24"/>
      <c r="Y268" s="24"/>
      <c r="Z268" s="24"/>
      <c r="AA268" s="24"/>
      <c r="AB268" s="24"/>
      <c r="AC268" s="24"/>
      <c r="AD268" s="24"/>
      <c r="AE268" s="24"/>
      <c r="AF268" s="24"/>
      <c r="AG268" s="24"/>
      <c r="AH268" s="24"/>
      <c r="AI268" s="24"/>
      <c r="AJ268" s="24"/>
    </row>
    <row r="269" spans="2:36" x14ac:dyDescent="0.25">
      <c r="B269" s="24"/>
      <c r="C269" s="24"/>
      <c r="D269" s="24"/>
      <c r="E269" s="24"/>
      <c r="F269" s="24"/>
      <c r="G269" s="24"/>
      <c r="H269" s="24"/>
      <c r="I269" s="24"/>
      <c r="J269" s="24"/>
      <c r="K269" s="24"/>
      <c r="L269" s="24"/>
      <c r="M269" s="24"/>
      <c r="N269" s="24"/>
      <c r="O269" s="24"/>
      <c r="P269" s="24"/>
      <c r="Q269" s="24"/>
      <c r="R269" s="24"/>
      <c r="S269" s="24"/>
      <c r="T269" s="24"/>
      <c r="U269" s="24"/>
      <c r="V269" s="24"/>
      <c r="W269" s="24"/>
      <c r="X269" s="24"/>
      <c r="Y269" s="24"/>
      <c r="Z269" s="24"/>
      <c r="AA269" s="24"/>
      <c r="AB269" s="24"/>
      <c r="AC269" s="24"/>
      <c r="AD269" s="24"/>
      <c r="AE269" s="24"/>
      <c r="AF269" s="24"/>
      <c r="AG269" s="24"/>
      <c r="AH269" s="24"/>
      <c r="AI269" s="24"/>
      <c r="AJ269" s="24"/>
    </row>
    <row r="270" spans="2:36" x14ac:dyDescent="0.25">
      <c r="B270" s="24"/>
      <c r="C270" s="24"/>
      <c r="D270" s="24"/>
      <c r="E270" s="24"/>
      <c r="F270" s="24"/>
      <c r="G270" s="24"/>
      <c r="H270" s="24"/>
      <c r="I270" s="24"/>
      <c r="J270" s="24"/>
      <c r="K270" s="24"/>
      <c r="L270" s="24"/>
      <c r="M270" s="24"/>
      <c r="N270" s="24"/>
      <c r="O270" s="24"/>
      <c r="P270" s="24"/>
      <c r="Q270" s="24"/>
      <c r="R270" s="24"/>
      <c r="S270" s="24"/>
      <c r="T270" s="24"/>
      <c r="U270" s="24"/>
      <c r="V270" s="24"/>
      <c r="W270" s="24"/>
      <c r="X270" s="24"/>
      <c r="Y270" s="24"/>
      <c r="Z270" s="24"/>
      <c r="AA270" s="24"/>
      <c r="AB270" s="24"/>
      <c r="AC270" s="24"/>
      <c r="AD270" s="24"/>
      <c r="AE270" s="24"/>
      <c r="AF270" s="24"/>
      <c r="AG270" s="24"/>
      <c r="AH270" s="24"/>
      <c r="AI270" s="24"/>
      <c r="AJ270" s="24"/>
    </row>
    <row r="271" spans="2:36" x14ac:dyDescent="0.25">
      <c r="B271" s="24"/>
      <c r="C271" s="24"/>
      <c r="D271" s="24"/>
      <c r="E271" s="24"/>
      <c r="F271" s="24"/>
      <c r="G271" s="24"/>
      <c r="H271" s="24"/>
      <c r="I271" s="24"/>
      <c r="J271" s="24"/>
      <c r="K271" s="24"/>
      <c r="L271" s="24"/>
      <c r="M271" s="24"/>
      <c r="N271" s="24"/>
      <c r="O271" s="24"/>
      <c r="P271" s="24"/>
      <c r="Q271" s="24"/>
      <c r="R271" s="24"/>
      <c r="S271" s="24"/>
      <c r="T271" s="24"/>
      <c r="U271" s="24"/>
      <c r="V271" s="24"/>
      <c r="W271" s="24"/>
      <c r="X271" s="24"/>
      <c r="Y271" s="24"/>
      <c r="Z271" s="24"/>
      <c r="AA271" s="24"/>
      <c r="AB271" s="24"/>
      <c r="AC271" s="24"/>
      <c r="AD271" s="24"/>
      <c r="AE271" s="24"/>
      <c r="AF271" s="24"/>
      <c r="AG271" s="24"/>
      <c r="AH271" s="24"/>
      <c r="AI271" s="24"/>
      <c r="AJ271" s="24"/>
    </row>
    <row r="272" spans="2:36" x14ac:dyDescent="0.25">
      <c r="B272" s="24"/>
      <c r="C272" s="24"/>
      <c r="D272" s="24"/>
      <c r="E272" s="24"/>
      <c r="F272" s="24"/>
      <c r="G272" s="24"/>
      <c r="H272" s="24"/>
      <c r="I272" s="24"/>
      <c r="J272" s="24"/>
      <c r="K272" s="24"/>
      <c r="L272" s="24"/>
      <c r="M272" s="24"/>
      <c r="N272" s="24"/>
      <c r="O272" s="24"/>
      <c r="P272" s="24"/>
      <c r="Q272" s="24"/>
      <c r="R272" s="24"/>
      <c r="S272" s="24"/>
      <c r="T272" s="24"/>
      <c r="U272" s="24"/>
      <c r="V272" s="24"/>
      <c r="W272" s="24"/>
      <c r="X272" s="24"/>
      <c r="Y272" s="24"/>
      <c r="Z272" s="24"/>
      <c r="AA272" s="24"/>
      <c r="AB272" s="24"/>
      <c r="AC272" s="24"/>
      <c r="AD272" s="24"/>
      <c r="AE272" s="24"/>
      <c r="AF272" s="24"/>
      <c r="AG272" s="24"/>
      <c r="AH272" s="24"/>
      <c r="AI272" s="24"/>
      <c r="AJ272" s="24"/>
    </row>
    <row r="273" spans="2:36" x14ac:dyDescent="0.25">
      <c r="B273" s="24"/>
      <c r="C273" s="24"/>
      <c r="D273" s="24"/>
      <c r="E273" s="24"/>
      <c r="F273" s="24"/>
      <c r="G273" s="24"/>
      <c r="H273" s="24"/>
      <c r="I273" s="24"/>
      <c r="J273" s="24"/>
      <c r="K273" s="24"/>
      <c r="L273" s="24"/>
      <c r="M273" s="24"/>
      <c r="N273" s="24"/>
      <c r="O273" s="24"/>
      <c r="P273" s="24"/>
      <c r="Q273" s="24"/>
      <c r="R273" s="24"/>
      <c r="S273" s="24"/>
      <c r="T273" s="24"/>
      <c r="U273" s="24"/>
      <c r="V273" s="24"/>
      <c r="W273" s="24"/>
      <c r="X273" s="24"/>
      <c r="Y273" s="24"/>
      <c r="Z273" s="24"/>
      <c r="AA273" s="24"/>
      <c r="AB273" s="24"/>
      <c r="AC273" s="24"/>
      <c r="AD273" s="24"/>
      <c r="AE273" s="24"/>
      <c r="AF273" s="24"/>
      <c r="AG273" s="24"/>
      <c r="AH273" s="24"/>
      <c r="AI273" s="24"/>
      <c r="AJ273" s="24"/>
    </row>
    <row r="274" spans="2:36" x14ac:dyDescent="0.25">
      <c r="B274" s="24"/>
      <c r="C274" s="24"/>
      <c r="D274" s="24"/>
      <c r="E274" s="24"/>
      <c r="F274" s="24"/>
      <c r="G274" s="24"/>
      <c r="H274" s="24"/>
      <c r="I274" s="24"/>
      <c r="J274" s="24"/>
      <c r="K274" s="24"/>
      <c r="L274" s="24"/>
      <c r="M274" s="24"/>
      <c r="N274" s="24"/>
      <c r="O274" s="24"/>
      <c r="P274" s="24"/>
      <c r="Q274" s="24"/>
      <c r="R274" s="24"/>
      <c r="S274" s="24"/>
      <c r="T274" s="24"/>
      <c r="U274" s="24"/>
      <c r="V274" s="24"/>
      <c r="W274" s="24"/>
      <c r="X274" s="24"/>
      <c r="Y274" s="24"/>
      <c r="Z274" s="24"/>
      <c r="AA274" s="24"/>
      <c r="AB274" s="24"/>
      <c r="AC274" s="24"/>
      <c r="AD274" s="24"/>
      <c r="AE274" s="24"/>
      <c r="AF274" s="24"/>
      <c r="AG274" s="24"/>
      <c r="AH274" s="24"/>
      <c r="AI274" s="24"/>
      <c r="AJ274" s="24"/>
    </row>
    <row r="275" spans="2:36" x14ac:dyDescent="0.25">
      <c r="B275" s="24"/>
      <c r="C275" s="24"/>
      <c r="D275" s="24"/>
      <c r="E275" s="24"/>
      <c r="F275" s="24"/>
      <c r="G275" s="24"/>
      <c r="H275" s="24"/>
      <c r="I275" s="24"/>
      <c r="J275" s="24"/>
      <c r="K275" s="24"/>
      <c r="L275" s="24"/>
      <c r="M275" s="24"/>
      <c r="N275" s="24"/>
      <c r="O275" s="24"/>
      <c r="P275" s="24"/>
      <c r="Q275" s="24"/>
      <c r="R275" s="24"/>
      <c r="S275" s="24"/>
      <c r="T275" s="24"/>
      <c r="U275" s="24"/>
      <c r="V275" s="24"/>
      <c r="W275" s="24"/>
      <c r="X275" s="24"/>
      <c r="Y275" s="24"/>
      <c r="Z275" s="24"/>
      <c r="AA275" s="24"/>
      <c r="AB275" s="24"/>
      <c r="AC275" s="24"/>
      <c r="AD275" s="24"/>
      <c r="AE275" s="24"/>
      <c r="AF275" s="24"/>
      <c r="AG275" s="24"/>
      <c r="AH275" s="24"/>
      <c r="AI275" s="24"/>
      <c r="AJ275" s="24"/>
    </row>
    <row r="276" spans="2:36" x14ac:dyDescent="0.25">
      <c r="B276" s="24"/>
      <c r="C276" s="24"/>
      <c r="D276" s="24"/>
      <c r="E276" s="24"/>
      <c r="F276" s="24"/>
      <c r="G276" s="24"/>
      <c r="H276" s="24"/>
      <c r="I276" s="24"/>
      <c r="J276" s="24"/>
      <c r="K276" s="24"/>
      <c r="L276" s="24"/>
      <c r="M276" s="24"/>
      <c r="N276" s="24"/>
      <c r="O276" s="24"/>
      <c r="P276" s="24"/>
      <c r="Q276" s="24"/>
      <c r="R276" s="24"/>
      <c r="S276" s="24"/>
      <c r="T276" s="24"/>
      <c r="U276" s="24"/>
      <c r="V276" s="24"/>
      <c r="W276" s="24"/>
      <c r="X276" s="24"/>
      <c r="Y276" s="24"/>
      <c r="Z276" s="24"/>
      <c r="AA276" s="24"/>
      <c r="AB276" s="24"/>
      <c r="AC276" s="24"/>
      <c r="AD276" s="24"/>
      <c r="AE276" s="24"/>
      <c r="AF276" s="24"/>
      <c r="AG276" s="24"/>
      <c r="AH276" s="24"/>
      <c r="AI276" s="24"/>
      <c r="AJ276" s="24"/>
    </row>
    <row r="277" spans="2:36" x14ac:dyDescent="0.25">
      <c r="B277" s="24"/>
      <c r="C277" s="24"/>
      <c r="D277" s="24"/>
      <c r="E277" s="24"/>
      <c r="F277" s="24"/>
      <c r="G277" s="24"/>
      <c r="H277" s="24"/>
      <c r="I277" s="24"/>
      <c r="J277" s="24"/>
      <c r="K277" s="24"/>
      <c r="L277" s="24"/>
      <c r="M277" s="24"/>
      <c r="N277" s="24"/>
      <c r="O277" s="24"/>
      <c r="P277" s="24"/>
      <c r="Q277" s="24"/>
      <c r="R277" s="24"/>
      <c r="S277" s="24"/>
      <c r="T277" s="24"/>
      <c r="U277" s="24"/>
      <c r="V277" s="24"/>
      <c r="W277" s="24"/>
      <c r="X277" s="24"/>
      <c r="Y277" s="24"/>
      <c r="Z277" s="24"/>
      <c r="AA277" s="24"/>
      <c r="AB277" s="24"/>
      <c r="AC277" s="24"/>
      <c r="AD277" s="24"/>
      <c r="AE277" s="24"/>
      <c r="AF277" s="24"/>
      <c r="AG277" s="24"/>
      <c r="AH277" s="24"/>
      <c r="AI277" s="24"/>
      <c r="AJ277" s="24"/>
    </row>
    <row r="278" spans="2:36" x14ac:dyDescent="0.25">
      <c r="B278" s="24"/>
      <c r="C278" s="24"/>
      <c r="D278" s="24"/>
      <c r="E278" s="24"/>
      <c r="F278" s="24"/>
      <c r="G278" s="24"/>
      <c r="H278" s="24"/>
      <c r="I278" s="24"/>
      <c r="J278" s="24"/>
      <c r="K278" s="24"/>
      <c r="L278" s="24"/>
      <c r="M278" s="24"/>
      <c r="N278" s="24"/>
      <c r="O278" s="24"/>
      <c r="P278" s="24"/>
      <c r="Q278" s="24"/>
      <c r="R278" s="24"/>
      <c r="S278" s="24"/>
      <c r="T278" s="24"/>
      <c r="U278" s="24"/>
      <c r="V278" s="24"/>
      <c r="W278" s="24"/>
      <c r="X278" s="24"/>
      <c r="Y278" s="24"/>
      <c r="Z278" s="24"/>
      <c r="AA278" s="24"/>
      <c r="AB278" s="24"/>
      <c r="AC278" s="24"/>
      <c r="AD278" s="24"/>
      <c r="AE278" s="24"/>
      <c r="AF278" s="24"/>
      <c r="AG278" s="24"/>
      <c r="AH278" s="24"/>
      <c r="AI278" s="24"/>
      <c r="AJ278" s="24"/>
    </row>
    <row r="279" spans="2:36" x14ac:dyDescent="0.25">
      <c r="B279" s="24"/>
      <c r="C279" s="24"/>
      <c r="D279" s="24"/>
      <c r="E279" s="24"/>
      <c r="F279" s="24"/>
      <c r="G279" s="24"/>
      <c r="H279" s="24"/>
      <c r="I279" s="24"/>
      <c r="J279" s="24"/>
      <c r="K279" s="24"/>
      <c r="L279" s="24"/>
      <c r="M279" s="24"/>
      <c r="N279" s="24"/>
      <c r="O279" s="24"/>
      <c r="P279" s="24"/>
      <c r="Q279" s="24"/>
      <c r="R279" s="24"/>
      <c r="S279" s="24"/>
      <c r="T279" s="24"/>
      <c r="U279" s="24"/>
      <c r="V279" s="24"/>
      <c r="W279" s="24"/>
      <c r="X279" s="24"/>
      <c r="Y279" s="24"/>
      <c r="Z279" s="24"/>
      <c r="AA279" s="24"/>
      <c r="AB279" s="24"/>
      <c r="AC279" s="24"/>
      <c r="AD279" s="24"/>
      <c r="AE279" s="24"/>
      <c r="AF279" s="24"/>
      <c r="AG279" s="24"/>
      <c r="AH279" s="24"/>
      <c r="AI279" s="24"/>
      <c r="AJ279" s="24"/>
    </row>
    <row r="280" spans="2:36" x14ac:dyDescent="0.25">
      <c r="B280" s="24"/>
      <c r="C280" s="24"/>
      <c r="D280" s="24"/>
      <c r="E280" s="24"/>
      <c r="F280" s="24"/>
      <c r="G280" s="24"/>
      <c r="H280" s="24"/>
      <c r="I280" s="24"/>
      <c r="J280" s="24"/>
      <c r="K280" s="24"/>
      <c r="L280" s="24"/>
      <c r="M280" s="24"/>
      <c r="N280" s="24"/>
      <c r="O280" s="24"/>
      <c r="P280" s="24"/>
      <c r="Q280" s="24"/>
      <c r="R280" s="24"/>
      <c r="S280" s="24"/>
      <c r="T280" s="24"/>
      <c r="U280" s="24"/>
      <c r="V280" s="24"/>
      <c r="W280" s="24"/>
      <c r="X280" s="24"/>
      <c r="Y280" s="24"/>
      <c r="Z280" s="24"/>
      <c r="AA280" s="24"/>
      <c r="AB280" s="24"/>
      <c r="AC280" s="24"/>
      <c r="AD280" s="24"/>
      <c r="AE280" s="24"/>
      <c r="AF280" s="24"/>
      <c r="AG280" s="24"/>
      <c r="AH280" s="24"/>
      <c r="AI280" s="24"/>
      <c r="AJ280" s="24"/>
    </row>
    <row r="281" spans="2:36" x14ac:dyDescent="0.25">
      <c r="B281" s="24"/>
      <c r="C281" s="24"/>
      <c r="D281" s="24"/>
      <c r="E281" s="24"/>
      <c r="F281" s="24"/>
      <c r="G281" s="24"/>
      <c r="H281" s="24"/>
      <c r="I281" s="24"/>
      <c r="J281" s="24"/>
      <c r="K281" s="24"/>
      <c r="L281" s="24"/>
      <c r="M281" s="24"/>
      <c r="N281" s="24"/>
      <c r="O281" s="24"/>
      <c r="P281" s="24"/>
      <c r="Q281" s="24"/>
      <c r="R281" s="24"/>
      <c r="S281" s="24"/>
      <c r="T281" s="24"/>
      <c r="U281" s="24"/>
      <c r="V281" s="24"/>
      <c r="W281" s="24"/>
      <c r="X281" s="24"/>
      <c r="Y281" s="24"/>
      <c r="Z281" s="24"/>
      <c r="AA281" s="24"/>
      <c r="AB281" s="24"/>
      <c r="AC281" s="24"/>
      <c r="AD281" s="24"/>
      <c r="AE281" s="24"/>
      <c r="AF281" s="24"/>
      <c r="AG281" s="24"/>
      <c r="AH281" s="24"/>
      <c r="AI281" s="24"/>
      <c r="AJ281" s="24"/>
    </row>
    <row r="282" spans="2:36" x14ac:dyDescent="0.25">
      <c r="B282" s="24"/>
      <c r="C282" s="24"/>
      <c r="D282" s="24"/>
      <c r="E282" s="24"/>
      <c r="F282" s="24"/>
      <c r="G282" s="24"/>
      <c r="H282" s="24"/>
      <c r="I282" s="24"/>
      <c r="J282" s="24"/>
      <c r="K282" s="24"/>
      <c r="L282" s="24"/>
      <c r="M282" s="24"/>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row>
    <row r="283" spans="2:36" x14ac:dyDescent="0.25">
      <c r="B283" s="24"/>
      <c r="C283" s="24"/>
      <c r="D283" s="24"/>
      <c r="E283" s="24"/>
      <c r="F283" s="24"/>
      <c r="G283" s="24"/>
      <c r="H283" s="24"/>
      <c r="I283" s="24"/>
      <c r="J283" s="24"/>
      <c r="K283" s="24"/>
      <c r="L283" s="24"/>
      <c r="M283" s="24"/>
      <c r="N283" s="24"/>
      <c r="O283" s="24"/>
      <c r="P283" s="24"/>
      <c r="Q283" s="24"/>
      <c r="R283" s="24"/>
      <c r="S283" s="24"/>
      <c r="T283" s="24"/>
      <c r="U283" s="24"/>
      <c r="V283" s="24"/>
      <c r="W283" s="24"/>
      <c r="X283" s="24"/>
      <c r="Y283" s="24"/>
      <c r="Z283" s="24"/>
      <c r="AA283" s="24"/>
      <c r="AB283" s="24"/>
      <c r="AC283" s="24"/>
      <c r="AD283" s="24"/>
      <c r="AE283" s="24"/>
      <c r="AF283" s="24"/>
      <c r="AG283" s="24"/>
      <c r="AH283" s="24"/>
      <c r="AI283" s="24"/>
      <c r="AJ283" s="24"/>
    </row>
    <row r="284" spans="2:36" x14ac:dyDescent="0.25">
      <c r="B284" s="24"/>
      <c r="C284" s="24"/>
      <c r="D284" s="24"/>
      <c r="E284" s="24"/>
      <c r="F284" s="24"/>
      <c r="G284" s="24"/>
      <c r="H284" s="24"/>
      <c r="I284" s="24"/>
      <c r="J284" s="24"/>
      <c r="K284" s="24"/>
      <c r="L284" s="24"/>
      <c r="M284" s="24"/>
      <c r="N284" s="24"/>
      <c r="O284" s="24"/>
      <c r="P284" s="24"/>
      <c r="Q284" s="24"/>
      <c r="R284" s="24"/>
      <c r="S284" s="24"/>
      <c r="T284" s="24"/>
      <c r="U284" s="24"/>
      <c r="V284" s="24"/>
      <c r="W284" s="24"/>
      <c r="X284" s="24"/>
      <c r="Y284" s="24"/>
      <c r="Z284" s="24"/>
      <c r="AA284" s="24"/>
      <c r="AB284" s="24"/>
      <c r="AC284" s="24"/>
      <c r="AD284" s="24"/>
      <c r="AE284" s="24"/>
      <c r="AF284" s="24"/>
      <c r="AG284" s="24"/>
      <c r="AH284" s="24"/>
      <c r="AI284" s="24"/>
      <c r="AJ284" s="24"/>
    </row>
    <row r="285" spans="2:36" x14ac:dyDescent="0.25">
      <c r="B285" s="24"/>
      <c r="C285" s="24"/>
      <c r="D285" s="24"/>
      <c r="E285" s="24"/>
      <c r="F285" s="24"/>
      <c r="G285" s="24"/>
      <c r="H285" s="24"/>
      <c r="I285" s="24"/>
      <c r="J285" s="24"/>
      <c r="K285" s="24"/>
      <c r="L285" s="24"/>
      <c r="M285" s="24"/>
      <c r="N285" s="24"/>
      <c r="O285" s="24"/>
      <c r="P285" s="24"/>
      <c r="Q285" s="24"/>
      <c r="R285" s="24"/>
      <c r="S285" s="24"/>
      <c r="T285" s="24"/>
      <c r="U285" s="24"/>
      <c r="V285" s="24"/>
      <c r="W285" s="24"/>
      <c r="X285" s="24"/>
      <c r="Y285" s="24"/>
      <c r="Z285" s="24"/>
      <c r="AA285" s="24"/>
      <c r="AB285" s="24"/>
      <c r="AC285" s="24"/>
      <c r="AD285" s="24"/>
      <c r="AE285" s="24"/>
      <c r="AF285" s="24"/>
      <c r="AG285" s="24"/>
      <c r="AH285" s="24"/>
      <c r="AI285" s="24"/>
      <c r="AJ285" s="24"/>
    </row>
    <row r="286" spans="2:36" x14ac:dyDescent="0.25">
      <c r="B286" s="24"/>
      <c r="C286" s="24"/>
      <c r="D286" s="24"/>
      <c r="E286" s="24"/>
      <c r="F286" s="24"/>
      <c r="G286" s="24"/>
      <c r="H286" s="24"/>
      <c r="I286" s="24"/>
      <c r="J286" s="24"/>
      <c r="K286" s="24"/>
      <c r="L286" s="24"/>
      <c r="M286" s="24"/>
      <c r="N286" s="24"/>
      <c r="O286" s="24"/>
      <c r="P286" s="24"/>
      <c r="Q286" s="24"/>
      <c r="R286" s="24"/>
      <c r="S286" s="24"/>
      <c r="T286" s="24"/>
      <c r="U286" s="24"/>
      <c r="V286" s="24"/>
      <c r="W286" s="24"/>
      <c r="X286" s="24"/>
      <c r="Y286" s="24"/>
      <c r="Z286" s="24"/>
      <c r="AA286" s="24"/>
      <c r="AB286" s="24"/>
      <c r="AC286" s="24"/>
      <c r="AD286" s="24"/>
      <c r="AE286" s="24"/>
      <c r="AF286" s="24"/>
      <c r="AG286" s="24"/>
      <c r="AH286" s="24"/>
      <c r="AI286" s="24"/>
      <c r="AJ286" s="24"/>
    </row>
    <row r="287" spans="2:36" x14ac:dyDescent="0.25">
      <c r="B287" s="24"/>
      <c r="C287" s="24"/>
      <c r="D287" s="24"/>
      <c r="E287" s="24"/>
      <c r="F287" s="24"/>
      <c r="G287" s="24"/>
      <c r="H287" s="24"/>
      <c r="I287" s="24"/>
      <c r="J287" s="24"/>
      <c r="K287" s="24"/>
      <c r="L287" s="24"/>
      <c r="M287" s="24"/>
      <c r="N287" s="24"/>
      <c r="O287" s="24"/>
      <c r="P287" s="24"/>
      <c r="Q287" s="24"/>
      <c r="R287" s="24"/>
      <c r="S287" s="24"/>
      <c r="T287" s="24"/>
      <c r="U287" s="24"/>
      <c r="V287" s="24"/>
      <c r="W287" s="24"/>
      <c r="X287" s="24"/>
      <c r="Y287" s="24"/>
      <c r="Z287" s="24"/>
      <c r="AA287" s="24"/>
      <c r="AB287" s="24"/>
      <c r="AC287" s="24"/>
      <c r="AD287" s="24"/>
      <c r="AE287" s="24"/>
      <c r="AF287" s="24"/>
      <c r="AG287" s="24"/>
      <c r="AH287" s="24"/>
      <c r="AI287" s="24"/>
      <c r="AJ287" s="24"/>
    </row>
    <row r="288" spans="2:36" x14ac:dyDescent="0.25">
      <c r="B288" s="24"/>
      <c r="C288" s="24"/>
      <c r="D288" s="24"/>
      <c r="E288" s="24"/>
      <c r="F288" s="24"/>
      <c r="G288" s="24"/>
      <c r="H288" s="24"/>
      <c r="I288" s="24"/>
      <c r="J288" s="24"/>
      <c r="K288" s="24"/>
      <c r="L288" s="24"/>
      <c r="M288" s="24"/>
      <c r="N288" s="24"/>
      <c r="O288" s="24"/>
      <c r="P288" s="24"/>
      <c r="Q288" s="24"/>
      <c r="R288" s="24"/>
      <c r="S288" s="24"/>
      <c r="T288" s="24"/>
      <c r="U288" s="24"/>
      <c r="V288" s="24"/>
      <c r="W288" s="24"/>
      <c r="X288" s="24"/>
      <c r="Y288" s="24"/>
      <c r="Z288" s="24"/>
      <c r="AA288" s="24"/>
      <c r="AB288" s="24"/>
      <c r="AC288" s="24"/>
      <c r="AD288" s="24"/>
      <c r="AE288" s="24"/>
      <c r="AF288" s="24"/>
      <c r="AG288" s="24"/>
      <c r="AH288" s="24"/>
      <c r="AI288" s="24"/>
      <c r="AJ288" s="24"/>
    </row>
    <row r="289" spans="2:36" x14ac:dyDescent="0.25">
      <c r="B289" s="24"/>
      <c r="C289" s="24"/>
      <c r="D289" s="24"/>
      <c r="E289" s="24"/>
      <c r="F289" s="24"/>
      <c r="G289" s="24"/>
      <c r="H289" s="24"/>
      <c r="I289" s="24"/>
      <c r="J289" s="24"/>
      <c r="K289" s="24"/>
      <c r="L289" s="24"/>
      <c r="M289" s="24"/>
      <c r="N289" s="24"/>
      <c r="O289" s="24"/>
      <c r="P289" s="24"/>
      <c r="Q289" s="24"/>
      <c r="R289" s="24"/>
      <c r="S289" s="24"/>
      <c r="T289" s="24"/>
      <c r="U289" s="24"/>
      <c r="V289" s="24"/>
      <c r="W289" s="24"/>
      <c r="X289" s="24"/>
      <c r="Y289" s="24"/>
      <c r="Z289" s="24"/>
      <c r="AA289" s="24"/>
      <c r="AB289" s="24"/>
      <c r="AC289" s="24"/>
      <c r="AD289" s="24"/>
      <c r="AE289" s="24"/>
      <c r="AF289" s="24"/>
      <c r="AG289" s="24"/>
      <c r="AH289" s="24"/>
      <c r="AI289" s="24"/>
      <c r="AJ289" s="24"/>
    </row>
    <row r="290" spans="2:36" x14ac:dyDescent="0.25">
      <c r="B290" s="24"/>
      <c r="C290" s="24"/>
      <c r="D290" s="24"/>
      <c r="E290" s="24"/>
      <c r="F290" s="24"/>
      <c r="G290" s="24"/>
      <c r="H290" s="24"/>
      <c r="I290" s="24"/>
      <c r="J290" s="24"/>
      <c r="K290" s="24"/>
      <c r="L290" s="24"/>
      <c r="M290" s="24"/>
      <c r="N290" s="24"/>
      <c r="O290" s="24"/>
      <c r="P290" s="24"/>
      <c r="Q290" s="24"/>
      <c r="R290" s="24"/>
      <c r="S290" s="24"/>
      <c r="T290" s="24"/>
      <c r="U290" s="24"/>
      <c r="V290" s="24"/>
      <c r="W290" s="24"/>
      <c r="X290" s="24"/>
      <c r="Y290" s="24"/>
      <c r="Z290" s="24"/>
      <c r="AA290" s="24"/>
      <c r="AB290" s="24"/>
      <c r="AC290" s="24"/>
      <c r="AD290" s="24"/>
      <c r="AE290" s="24"/>
      <c r="AF290" s="24"/>
      <c r="AG290" s="24"/>
      <c r="AH290" s="24"/>
      <c r="AI290" s="24"/>
      <c r="AJ290" s="24"/>
    </row>
    <row r="291" spans="2:36" x14ac:dyDescent="0.25">
      <c r="B291" s="24"/>
      <c r="C291" s="24"/>
      <c r="D291" s="24"/>
      <c r="E291" s="24"/>
      <c r="F291" s="24"/>
      <c r="G291" s="24"/>
      <c r="H291" s="24"/>
      <c r="I291" s="24"/>
      <c r="J291" s="24"/>
      <c r="K291" s="24"/>
      <c r="L291" s="24"/>
      <c r="M291" s="24"/>
      <c r="N291" s="24"/>
      <c r="O291" s="24"/>
      <c r="P291" s="24"/>
      <c r="Q291" s="24"/>
      <c r="R291" s="24"/>
      <c r="S291" s="24"/>
      <c r="T291" s="24"/>
      <c r="U291" s="24"/>
      <c r="V291" s="24"/>
      <c r="W291" s="24"/>
      <c r="X291" s="24"/>
      <c r="Y291" s="24"/>
      <c r="Z291" s="24"/>
      <c r="AA291" s="24"/>
      <c r="AB291" s="24"/>
      <c r="AC291" s="24"/>
      <c r="AD291" s="24"/>
      <c r="AE291" s="24"/>
      <c r="AF291" s="24"/>
      <c r="AG291" s="24"/>
      <c r="AH291" s="24"/>
      <c r="AI291" s="24"/>
      <c r="AJ291" s="24"/>
    </row>
    <row r="292" spans="2:36" x14ac:dyDescent="0.25">
      <c r="B292" s="24"/>
      <c r="C292" s="24"/>
      <c r="D292" s="24"/>
      <c r="E292" s="24"/>
      <c r="F292" s="24"/>
      <c r="G292" s="24"/>
      <c r="H292" s="24"/>
      <c r="I292" s="24"/>
      <c r="J292" s="24"/>
      <c r="K292" s="24"/>
      <c r="L292" s="24"/>
      <c r="M292" s="24"/>
      <c r="N292" s="24"/>
      <c r="O292" s="24"/>
      <c r="P292" s="24"/>
      <c r="Q292" s="24"/>
      <c r="R292" s="24"/>
      <c r="S292" s="24"/>
      <c r="T292" s="24"/>
      <c r="U292" s="24"/>
      <c r="V292" s="24"/>
      <c r="W292" s="24"/>
      <c r="X292" s="24"/>
      <c r="Y292" s="24"/>
      <c r="Z292" s="24"/>
      <c r="AA292" s="24"/>
      <c r="AB292" s="24"/>
      <c r="AC292" s="24"/>
      <c r="AD292" s="24"/>
      <c r="AE292" s="24"/>
      <c r="AF292" s="24"/>
      <c r="AG292" s="24"/>
      <c r="AH292" s="24"/>
      <c r="AI292" s="24"/>
      <c r="AJ292" s="24"/>
    </row>
    <row r="293" spans="2:36" x14ac:dyDescent="0.25">
      <c r="B293" s="24"/>
      <c r="C293" s="24"/>
      <c r="D293" s="24"/>
      <c r="E293" s="24"/>
      <c r="F293" s="24"/>
      <c r="G293" s="24"/>
      <c r="H293" s="24"/>
      <c r="I293" s="24"/>
      <c r="J293" s="24"/>
      <c r="K293" s="24"/>
      <c r="L293" s="24"/>
      <c r="M293" s="24"/>
      <c r="N293" s="24"/>
      <c r="O293" s="24"/>
      <c r="P293" s="24"/>
      <c r="Q293" s="24"/>
      <c r="R293" s="24"/>
      <c r="S293" s="24"/>
      <c r="T293" s="24"/>
      <c r="U293" s="24"/>
      <c r="V293" s="24"/>
      <c r="W293" s="24"/>
      <c r="X293" s="24"/>
      <c r="Y293" s="24"/>
      <c r="Z293" s="24"/>
      <c r="AA293" s="24"/>
      <c r="AB293" s="24"/>
      <c r="AC293" s="24"/>
      <c r="AD293" s="24"/>
      <c r="AE293" s="24"/>
      <c r="AF293" s="24"/>
      <c r="AG293" s="24"/>
      <c r="AH293" s="24"/>
      <c r="AI293" s="24"/>
      <c r="AJ293" s="24"/>
    </row>
    <row r="294" spans="2:36" x14ac:dyDescent="0.25">
      <c r="B294" s="24"/>
      <c r="C294" s="24"/>
      <c r="D294" s="24"/>
      <c r="E294" s="24"/>
      <c r="F294" s="24"/>
      <c r="G294" s="24"/>
      <c r="H294" s="24"/>
      <c r="I294" s="24"/>
      <c r="J294" s="24"/>
      <c r="K294" s="24"/>
      <c r="L294" s="24"/>
      <c r="M294" s="24"/>
      <c r="N294" s="24"/>
      <c r="O294" s="24"/>
      <c r="P294" s="24"/>
      <c r="Q294" s="24"/>
      <c r="R294" s="24"/>
      <c r="S294" s="24"/>
      <c r="T294" s="24"/>
      <c r="U294" s="24"/>
      <c r="V294" s="24"/>
      <c r="W294" s="24"/>
      <c r="X294" s="24"/>
      <c r="Y294" s="24"/>
      <c r="Z294" s="24"/>
      <c r="AA294" s="24"/>
      <c r="AB294" s="24"/>
      <c r="AC294" s="24"/>
      <c r="AD294" s="24"/>
      <c r="AE294" s="24"/>
      <c r="AF294" s="24"/>
      <c r="AG294" s="24"/>
      <c r="AH294" s="24"/>
      <c r="AI294" s="24"/>
      <c r="AJ294" s="24"/>
    </row>
    <row r="295" spans="2:36" x14ac:dyDescent="0.25">
      <c r="B295" s="24"/>
      <c r="C295" s="24"/>
      <c r="D295" s="24"/>
      <c r="E295" s="24"/>
      <c r="F295" s="24"/>
      <c r="G295" s="24"/>
      <c r="H295" s="24"/>
      <c r="I295" s="24"/>
      <c r="J295" s="24"/>
      <c r="K295" s="24"/>
      <c r="L295" s="24"/>
      <c r="M295" s="24"/>
      <c r="N295" s="24"/>
      <c r="O295" s="24"/>
      <c r="P295" s="24"/>
      <c r="Q295" s="24"/>
      <c r="R295" s="24"/>
      <c r="S295" s="24"/>
      <c r="T295" s="24"/>
      <c r="U295" s="24"/>
      <c r="V295" s="24"/>
      <c r="W295" s="24"/>
      <c r="X295" s="24"/>
      <c r="Y295" s="24"/>
      <c r="Z295" s="24"/>
      <c r="AA295" s="24"/>
      <c r="AB295" s="24"/>
      <c r="AC295" s="24"/>
      <c r="AD295" s="24"/>
      <c r="AE295" s="24"/>
      <c r="AF295" s="24"/>
      <c r="AG295" s="24"/>
      <c r="AH295" s="24"/>
      <c r="AI295" s="24"/>
      <c r="AJ295" s="24"/>
    </row>
    <row r="296" spans="2:36" x14ac:dyDescent="0.25">
      <c r="B296" s="24"/>
      <c r="C296" s="24"/>
      <c r="D296" s="24"/>
      <c r="E296" s="24"/>
      <c r="F296" s="24"/>
      <c r="G296" s="24"/>
      <c r="H296" s="24"/>
      <c r="I296" s="24"/>
      <c r="J296" s="24"/>
      <c r="K296" s="24"/>
      <c r="L296" s="24"/>
      <c r="M296" s="24"/>
      <c r="N296" s="24"/>
      <c r="O296" s="24"/>
      <c r="P296" s="24"/>
      <c r="Q296" s="24"/>
      <c r="R296" s="24"/>
      <c r="S296" s="24"/>
      <c r="T296" s="24"/>
      <c r="U296" s="24"/>
      <c r="V296" s="24"/>
      <c r="W296" s="24"/>
      <c r="X296" s="24"/>
      <c r="Y296" s="24"/>
      <c r="Z296" s="24"/>
      <c r="AA296" s="24"/>
      <c r="AB296" s="24"/>
      <c r="AC296" s="24"/>
      <c r="AD296" s="24"/>
      <c r="AE296" s="24"/>
      <c r="AF296" s="24"/>
      <c r="AG296" s="24"/>
      <c r="AH296" s="24"/>
      <c r="AI296" s="24"/>
      <c r="AJ296" s="24"/>
    </row>
  </sheetData>
  <sheetProtection pivotTables="0"/>
  <protectedRanges>
    <protectedRange sqref="I100 R100" name="vat"/>
    <protectedRange sqref="C16:F17 C61:F62 O16:R17 Q61:T62" name="GS II  AND MARK UP EDIT AREA"/>
    <protectedRange sqref="C2" name="CHANNEL"/>
    <protectedRange sqref="K19" name="CATEGORY"/>
  </protectedRanges>
  <mergeCells count="18">
    <mergeCell ref="O2:Q2"/>
    <mergeCell ref="P50:U50"/>
    <mergeCell ref="X1:Z1"/>
    <mergeCell ref="L104:Q104"/>
    <mergeCell ref="K1:N1"/>
    <mergeCell ref="V38:W38"/>
    <mergeCell ref="C104:H104"/>
    <mergeCell ref="C2:E2"/>
    <mergeCell ref="B3:G3"/>
    <mergeCell ref="N3:S3"/>
    <mergeCell ref="B8:G8"/>
    <mergeCell ref="N8:S8"/>
    <mergeCell ref="K19:M19"/>
    <mergeCell ref="B21:G21"/>
    <mergeCell ref="N21:S21"/>
    <mergeCell ref="B26:G26"/>
    <mergeCell ref="N26:S26"/>
    <mergeCell ref="B50:G50"/>
  </mergeCells>
  <conditionalFormatting sqref="C11:F12 C29:F30 O11:R12 O29:R30">
    <cfRule type="containsErrors" dxfId="83" priority="2">
      <formula>ISERROR(C11)</formula>
    </cfRule>
  </conditionalFormatting>
  <conditionalFormatting sqref="P10:R10 D10:F10">
    <cfRule type="containsErrors" dxfId="82" priority="1">
      <formula>ISERROR(D10)</formula>
    </cfRule>
  </conditionalFormatting>
  <dataValidations count="3">
    <dataValidation allowBlank="1" showInputMessage="1" showErrorMessage="1" prompt="If data in input box, take data_x000a_If no input, take last time forecast_x000a_If no data and no last time forecast, show N/A" sqref="P30" xr:uid="{04DB3D4D-C5BC-4145-A75E-88F3741A4636}"/>
    <dataValidation type="custom" allowBlank="1" showInputMessage="1" showErrorMessage="1" sqref="G16 S16" xr:uid="{DFC5FD9F-E0F7-49E1-BECD-BAFF37263C1A}">
      <formula1>"-"</formula1>
    </dataValidation>
    <dataValidation type="decimal" operator="greaterThan" allowBlank="1" showInputMessage="1" showErrorMessage="1" sqref="AI5:AI12 C16:F17 O16:R17" xr:uid="{0F45F00E-DA5B-4A5F-BDB5-22926A0DD187}">
      <formula1>0</formula1>
    </dataValidation>
  </dataValidations>
  <hyperlinks>
    <hyperlink ref="X1" location="FRONT_PAGE!A1" display="BACK TO FRONT PAGE" xr:uid="{C25C9CD6-2788-4260-A4CD-EE387550E9AA}"/>
  </hyperlink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3" id="{498A4DD8-6901-4052-9C02-F5E5E20B9F2D}">
            <xm:f>MATCH(CONCATENATE($B11&amp;C$22),TIME!$L$28:$L$31,0)</xm:f>
            <x14:dxf>
              <fill>
                <patternFill>
                  <bgColor theme="4" tint="0.79998168889431442"/>
                </patternFill>
              </fill>
            </x14:dxf>
          </x14:cfRule>
          <xm:sqref>C16:F17 O16:Q16</xm:sqref>
        </x14:conditionalFormatting>
        <x14:conditionalFormatting xmlns:xm="http://schemas.microsoft.com/office/excel/2006/main">
          <x14:cfRule type="expression" priority="12" id="{C911F14A-BA98-4728-A656-F9146D66C415}">
            <xm:f>MATCH(CONCATENATE($B12&amp;O$22),TIME!$L$28:$L$31,0)</xm:f>
            <x14:dxf>
              <fill>
                <patternFill>
                  <bgColor theme="4" tint="0.79998168889431442"/>
                </patternFill>
              </fill>
            </x14:dxf>
          </x14:cfRule>
          <xm:sqref>O17:R17</xm:sqref>
        </x14:conditionalFormatting>
        <x14:conditionalFormatting xmlns:xm="http://schemas.microsoft.com/office/excel/2006/main">
          <x14:cfRule type="expression" priority="3" id="{7811B70D-811A-47AD-98F9-5AF19DEAC3B3}">
            <xm:f>MATCH(CONCATENATE($B11&amp;R$22),TIME!$L$28:$L$31,0)</xm:f>
            <x14:dxf>
              <fill>
                <patternFill>
                  <bgColor theme="4" tint="0.79998168889431442"/>
                </patternFill>
              </fill>
            </x14:dxf>
          </x14:cfRule>
          <xm:sqref>R16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59766F0C-D468-4E42-8555-25C040D9A18A}">
          <x14:formula1>
            <xm:f>TIME!$L$12:$L$16</xm:f>
          </x14:formula1>
          <xm:sqref>G1</xm:sqref>
        </x14:dataValidation>
        <x14:dataValidation type="list" allowBlank="1" showInputMessage="1" showErrorMessage="1" xr:uid="{E82A1034-7DA6-425E-9B7C-CDE288DD33E0}">
          <x14:formula1>
            <xm:f>'PIVOT TABLE'!$A$4:$A$23</xm:f>
          </x14:formula1>
          <xm:sqref>K19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B3D4B-9213-48FF-B51A-F73B7B545F6D}">
  <sheetPr codeName="Sheet18">
    <tabColor theme="3" tint="-0.249977111117893"/>
  </sheetPr>
  <dimension ref="A1:BF131"/>
  <sheetViews>
    <sheetView showGridLines="0" workbookViewId="0">
      <pane ySplit="1" topLeftCell="A2" activePane="bottomLeft" state="frozen"/>
      <selection activeCell="P64" sqref="P64"/>
      <selection pane="bottomLeft" activeCell="A2" sqref="A2"/>
    </sheetView>
  </sheetViews>
  <sheetFormatPr defaultColWidth="9.140625" defaultRowHeight="15" x14ac:dyDescent="0.25"/>
  <cols>
    <col min="1" max="1" width="2.7109375" style="26" customWidth="1"/>
    <col min="2" max="2" width="16.7109375" style="49" customWidth="1"/>
    <col min="3" max="5" width="10.7109375" style="26" customWidth="1"/>
    <col min="6" max="6" width="2.7109375" style="26" customWidth="1"/>
    <col min="7" max="8" width="10.7109375" style="26" customWidth="1"/>
    <col min="9" max="9" width="10.7109375" style="27" customWidth="1"/>
    <col min="10" max="10" width="2.7109375" style="26" customWidth="1"/>
    <col min="11" max="11" width="10.7109375" style="26" customWidth="1"/>
    <col min="12" max="12" width="10.7109375" style="27" customWidth="1"/>
    <col min="13" max="13" width="10.7109375" style="26" customWidth="1"/>
    <col min="14" max="14" width="3.42578125" style="26" customWidth="1"/>
    <col min="15" max="15" width="10.7109375" style="27" customWidth="1"/>
    <col min="16" max="17" width="10.7109375" style="26" customWidth="1"/>
    <col min="18" max="18" width="3" style="26" customWidth="1"/>
    <col min="19" max="21" width="10.7109375" style="26" customWidth="1"/>
    <col min="22" max="22" width="2.28515625" style="26" customWidth="1"/>
    <col min="23" max="25" width="11" style="26" customWidth="1"/>
    <col min="26" max="26" width="10.28515625" style="26" customWidth="1"/>
    <col min="27" max="28" width="12.7109375" style="26" hidden="1" customWidth="1"/>
    <col min="29" max="29" width="11" style="26" hidden="1" customWidth="1"/>
    <col min="30" max="30" width="2" style="26" customWidth="1"/>
    <col min="31" max="33" width="12.7109375" style="27" customWidth="1"/>
    <col min="34" max="35" width="9.140625" style="26" customWidth="1"/>
    <col min="36" max="36" width="13" style="26" customWidth="1"/>
    <col min="37" max="37" width="8.5703125" style="26" customWidth="1"/>
    <col min="38" max="39" width="8.85546875" style="26" customWidth="1"/>
    <col min="40" max="16384" width="9.140625" style="26"/>
  </cols>
  <sheetData>
    <row r="1" spans="2:58" s="63" customFormat="1" ht="17.25" x14ac:dyDescent="0.3">
      <c r="B1" s="64" t="str">
        <f>Q_BRAND_FC!B1:B1</f>
        <v>VM</v>
      </c>
      <c r="C1" s="65"/>
      <c r="D1" s="65"/>
      <c r="E1" s="65"/>
      <c r="F1" s="65"/>
      <c r="G1" s="65"/>
      <c r="H1" s="65"/>
      <c r="I1" s="65" t="s">
        <v>190</v>
      </c>
      <c r="J1" s="65"/>
      <c r="K1" s="65"/>
      <c r="L1" s="65"/>
      <c r="M1" s="65"/>
      <c r="N1" s="65"/>
      <c r="O1" s="901" t="s">
        <v>202</v>
      </c>
      <c r="P1" s="901"/>
      <c r="Q1" s="901"/>
      <c r="R1" s="787"/>
      <c r="S1" s="787"/>
      <c r="T1" s="787"/>
      <c r="U1" s="787"/>
      <c r="V1" s="787"/>
      <c r="W1" s="787"/>
      <c r="X1" s="787"/>
      <c r="Y1" s="787"/>
      <c r="Z1" s="67"/>
      <c r="AA1" s="68"/>
      <c r="AB1" s="68"/>
      <c r="AC1" s="68"/>
      <c r="AD1" s="68"/>
      <c r="AE1" s="66"/>
      <c r="AF1" s="66"/>
      <c r="AG1" s="66"/>
      <c r="AH1" s="26"/>
      <c r="AI1" s="26"/>
      <c r="AJ1" s="26"/>
      <c r="AK1" s="26"/>
      <c r="AL1" s="26"/>
      <c r="AM1" s="26"/>
      <c r="AN1" s="26"/>
    </row>
    <row r="2" spans="2:58" ht="20.25" customHeight="1" x14ac:dyDescent="0.25">
      <c r="B2" s="505"/>
      <c r="C2" s="27"/>
      <c r="D2" s="27"/>
      <c r="E2" s="27"/>
      <c r="F2" s="27"/>
      <c r="G2" s="27"/>
      <c r="J2" s="27"/>
      <c r="K2" s="27"/>
      <c r="M2" s="28" t="s">
        <v>71</v>
      </c>
      <c r="N2" s="215"/>
      <c r="O2" s="215"/>
      <c r="P2" s="215"/>
      <c r="Q2" s="215"/>
      <c r="R2" s="215"/>
      <c r="S2" s="215"/>
      <c r="T2" s="215"/>
      <c r="U2" s="215"/>
      <c r="V2" s="215"/>
      <c r="W2" s="215"/>
      <c r="X2" s="215"/>
      <c r="Y2" s="215"/>
      <c r="Z2" s="27"/>
    </row>
    <row r="3" spans="2:58" s="63" customFormat="1" ht="17.25" x14ac:dyDescent="0.3">
      <c r="B3" s="69"/>
      <c r="C3" s="69"/>
      <c r="D3" s="69"/>
      <c r="E3" s="69"/>
      <c r="F3" s="69"/>
      <c r="G3" s="69"/>
      <c r="H3" s="928" t="s">
        <v>111</v>
      </c>
      <c r="I3" s="928"/>
      <c r="J3" s="928"/>
      <c r="K3" s="928"/>
      <c r="L3" s="69"/>
      <c r="M3" s="69"/>
      <c r="N3" s="69"/>
      <c r="O3" s="69"/>
      <c r="P3" s="69"/>
      <c r="Q3" s="69"/>
      <c r="R3" s="69"/>
      <c r="S3" s="69"/>
      <c r="T3" s="69"/>
      <c r="U3" s="69"/>
      <c r="V3" s="69"/>
      <c r="W3" s="69"/>
      <c r="X3" s="69"/>
      <c r="Y3" s="69"/>
      <c r="Z3" s="70"/>
      <c r="AE3" s="66"/>
      <c r="AF3" s="66"/>
      <c r="AG3" s="66"/>
      <c r="AH3" s="26"/>
      <c r="AI3" s="26"/>
      <c r="AJ3" s="26"/>
      <c r="AK3" s="26"/>
      <c r="AL3" s="26"/>
      <c r="AM3" s="26"/>
      <c r="AN3" s="26"/>
      <c r="AZ3" s="66"/>
      <c r="BA3" s="71"/>
      <c r="BB3" s="71"/>
      <c r="BC3" s="71"/>
      <c r="BD3" s="71"/>
      <c r="BE3" s="71"/>
      <c r="BF3" s="71"/>
    </row>
    <row r="4" spans="2:58" x14ac:dyDescent="0.25">
      <c r="B4" s="30"/>
      <c r="C4" s="920" t="s">
        <v>78</v>
      </c>
      <c r="D4" s="920"/>
      <c r="E4" s="920"/>
      <c r="F4" s="102"/>
      <c r="G4" s="919" t="s">
        <v>380</v>
      </c>
      <c r="H4" s="920"/>
      <c r="I4" s="920"/>
      <c r="J4" s="102"/>
      <c r="K4" s="919" t="s">
        <v>188</v>
      </c>
      <c r="L4" s="920"/>
      <c r="M4" s="920"/>
      <c r="N4" s="102"/>
      <c r="O4" s="919" t="s">
        <v>381</v>
      </c>
      <c r="P4" s="920"/>
      <c r="Q4" s="920"/>
      <c r="R4" s="788"/>
      <c r="S4" s="919" t="s">
        <v>398</v>
      </c>
      <c r="T4" s="920"/>
      <c r="U4" s="920"/>
      <c r="V4" s="788"/>
      <c r="W4" s="919" t="s">
        <v>397</v>
      </c>
      <c r="X4" s="920"/>
      <c r="Y4" s="920"/>
      <c r="Z4" s="31"/>
      <c r="AZ4" s="32"/>
      <c r="BA4" s="32"/>
      <c r="BB4" s="32"/>
      <c r="BC4" s="31"/>
      <c r="BD4" s="32"/>
      <c r="BE4" s="29"/>
      <c r="BF4" s="29"/>
    </row>
    <row r="5" spans="2:58" x14ac:dyDescent="0.25">
      <c r="B5" s="26"/>
      <c r="C5" s="550" t="str">
        <f ca="1">VLOOKUP((C6&amp;C7),TIME!$A$12:$J$47,10,FALSE)</f>
        <v>ACT</v>
      </c>
      <c r="D5" s="550" t="str">
        <f ca="1">VLOOKUP((D6&amp;D7),TIME!$A$12:$J$47,10,FALSE)</f>
        <v>ACT</v>
      </c>
      <c r="E5" s="550" t="str">
        <f ca="1">VLOOKUP((E6&amp;E7),TIME!$A$12:$J$47,10,FALSE)</f>
        <v>FC</v>
      </c>
      <c r="F5" s="32"/>
      <c r="G5" s="550" t="str">
        <f ca="1">VLOOKUP((G6&amp;G7),TIME!$A$12:$J$47,10,FALSE)</f>
        <v>ACT</v>
      </c>
      <c r="H5" s="550" t="str">
        <f ca="1">VLOOKUP((H6&amp;H7),TIME!$A$12:$J$47,10,FALSE)</f>
        <v>ACT</v>
      </c>
      <c r="I5" s="550" t="str">
        <f ca="1">VLOOKUP((I6&amp;I7),TIME!$A$12:$J$47,10,FALSE)</f>
        <v>FC</v>
      </c>
      <c r="J5" s="32"/>
      <c r="K5" s="550" t="str">
        <f ca="1">VLOOKUP((K6&amp;K7),TIME!$A$12:$J$47,10,FALSE)</f>
        <v>ACT</v>
      </c>
      <c r="L5" s="550" t="str">
        <f ca="1">VLOOKUP((L6&amp;L7),TIME!$A$12:$J$47,10,FALSE)</f>
        <v>ACT</v>
      </c>
      <c r="M5" s="550" t="str">
        <f ca="1">VLOOKUP((M6&amp;M7),TIME!$A$12:$J$47,10,FALSE)</f>
        <v>FC</v>
      </c>
      <c r="N5" s="32"/>
      <c r="O5" s="550" t="str">
        <f ca="1">VLOOKUP((O6&amp;O7),TIME!$A$12:$J$47,10,FALSE)</f>
        <v>ACT</v>
      </c>
      <c r="P5" s="550" t="str">
        <f ca="1">VLOOKUP((P6&amp;P7),TIME!$A$12:$J$47,10,FALSE)</f>
        <v>ACT</v>
      </c>
      <c r="Q5" s="550" t="str">
        <f ca="1">VLOOKUP((Q6&amp;Q7),TIME!$A$12:$J$47,10,FALSE)</f>
        <v>FC</v>
      </c>
      <c r="R5" s="32"/>
      <c r="S5" s="550" t="str">
        <f ca="1">C5</f>
        <v>ACT</v>
      </c>
      <c r="T5" s="550" t="str">
        <f t="shared" ref="T5:T7" ca="1" si="0">D5</f>
        <v>ACT</v>
      </c>
      <c r="U5" s="550" t="str">
        <f t="shared" ref="U5:U7" ca="1" si="1">E5</f>
        <v>FC</v>
      </c>
      <c r="V5" s="32"/>
      <c r="W5" s="550" t="str">
        <f ca="1">S5</f>
        <v>ACT</v>
      </c>
      <c r="X5" s="550" t="str">
        <f t="shared" ref="X5:X7" ca="1" si="2">T5</f>
        <v>ACT</v>
      </c>
      <c r="Y5" s="550" t="str">
        <f t="shared" ref="Y5:Y7" ca="1" si="3">U5</f>
        <v>FC</v>
      </c>
      <c r="Z5" s="35"/>
      <c r="AA5" s="921" t="s">
        <v>134</v>
      </c>
      <c r="AB5" s="921"/>
      <c r="AC5" s="921"/>
      <c r="AD5" s="378"/>
      <c r="AE5" s="892"/>
      <c r="AF5" s="892"/>
      <c r="AG5" s="892"/>
      <c r="AZ5" s="35"/>
      <c r="BA5" s="35"/>
      <c r="BB5" s="35"/>
      <c r="BC5" s="35"/>
      <c r="BD5" s="32"/>
      <c r="BE5" s="29"/>
      <c r="BF5" s="29"/>
    </row>
    <row r="6" spans="2:58" x14ac:dyDescent="0.25">
      <c r="B6" s="41" t="s">
        <v>77</v>
      </c>
      <c r="C6" s="34" t="str">
        <f ca="1">M_BRAND_FC!B12</f>
        <v>18/19</v>
      </c>
      <c r="D6" s="34" t="str">
        <f ca="1">C6</f>
        <v>18/19</v>
      </c>
      <c r="E6" s="34" t="str">
        <f ca="1">C6</f>
        <v>18/19</v>
      </c>
      <c r="F6" s="34"/>
      <c r="G6" s="34" t="str">
        <f ca="1">$C$6</f>
        <v>18/19</v>
      </c>
      <c r="H6" s="34" t="str">
        <f ca="1">$D$6</f>
        <v>18/19</v>
      </c>
      <c r="I6" s="34" t="str">
        <f ca="1">$E$6</f>
        <v>18/19</v>
      </c>
      <c r="J6" s="34"/>
      <c r="K6" s="34" t="str">
        <f ca="1">$C$6</f>
        <v>18/19</v>
      </c>
      <c r="L6" s="34" t="str">
        <f ca="1">$D$6</f>
        <v>18/19</v>
      </c>
      <c r="M6" s="34" t="str">
        <f ca="1">$E$6</f>
        <v>18/19</v>
      </c>
      <c r="N6" s="34"/>
      <c r="O6" s="34" t="str">
        <f ca="1">$C$6</f>
        <v>18/19</v>
      </c>
      <c r="P6" s="34" t="str">
        <f ca="1">$D$6</f>
        <v>18/19</v>
      </c>
      <c r="Q6" s="34" t="str">
        <f ca="1">$E$6</f>
        <v>18/19</v>
      </c>
      <c r="R6" s="34"/>
      <c r="S6" s="34" t="str">
        <f t="shared" ref="S6:S7" ca="1" si="4">C6</f>
        <v>18/19</v>
      </c>
      <c r="T6" s="34" t="str">
        <f t="shared" ca="1" si="0"/>
        <v>18/19</v>
      </c>
      <c r="U6" s="34" t="str">
        <f t="shared" ca="1" si="1"/>
        <v>18/19</v>
      </c>
      <c r="V6" s="34"/>
      <c r="W6" s="34" t="str">
        <f t="shared" ref="W6:W7" ca="1" si="5">S6</f>
        <v>18/19</v>
      </c>
      <c r="X6" s="34" t="str">
        <f t="shared" ca="1" si="2"/>
        <v>18/19</v>
      </c>
      <c r="Y6" s="34" t="str">
        <f t="shared" ca="1" si="3"/>
        <v>18/19</v>
      </c>
      <c r="Z6" s="38"/>
      <c r="AA6" s="398" t="str">
        <f ca="1">C7</f>
        <v>Feb</v>
      </c>
      <c r="AB6" s="398" t="str">
        <f ca="1">D7</f>
        <v>Mar</v>
      </c>
      <c r="AC6" s="398" t="str">
        <f ca="1">E7</f>
        <v>Apr</v>
      </c>
      <c r="AD6" s="27"/>
      <c r="AE6" s="548"/>
      <c r="AF6" s="548"/>
      <c r="AG6" s="548"/>
      <c r="AZ6" s="40"/>
      <c r="BA6" s="40"/>
      <c r="BB6" s="38"/>
      <c r="BC6" s="38"/>
      <c r="BD6" s="39"/>
      <c r="BE6" s="29"/>
      <c r="BF6" s="29"/>
    </row>
    <row r="7" spans="2:58" x14ac:dyDescent="0.25">
      <c r="B7" s="36"/>
      <c r="C7" s="37" t="str">
        <f ca="1">M_BRAND_FC!D6</f>
        <v>Feb</v>
      </c>
      <c r="D7" s="37" t="str">
        <f ca="1">M_BRAND_FC!E6</f>
        <v>Mar</v>
      </c>
      <c r="E7" s="37" t="str">
        <f ca="1">M_BRAND_FC!F6</f>
        <v>Apr</v>
      </c>
      <c r="F7" s="32"/>
      <c r="G7" s="37" t="str">
        <f ca="1">$C$7</f>
        <v>Feb</v>
      </c>
      <c r="H7" s="37" t="str">
        <f ca="1">$D$7</f>
        <v>Mar</v>
      </c>
      <c r="I7" s="37" t="str">
        <f ca="1">$E$7</f>
        <v>Apr</v>
      </c>
      <c r="J7" s="32"/>
      <c r="K7" s="37" t="str">
        <f ca="1">$C$7</f>
        <v>Feb</v>
      </c>
      <c r="L7" s="37" t="str">
        <f ca="1">$D$7</f>
        <v>Mar</v>
      </c>
      <c r="M7" s="37" t="str">
        <f ca="1">$E$7</f>
        <v>Apr</v>
      </c>
      <c r="N7" s="32"/>
      <c r="O7" s="37" t="str">
        <f ca="1">$C$7</f>
        <v>Feb</v>
      </c>
      <c r="P7" s="37" t="str">
        <f ca="1">$D$7</f>
        <v>Mar</v>
      </c>
      <c r="Q7" s="37" t="str">
        <f ca="1">$E$7</f>
        <v>Apr</v>
      </c>
      <c r="R7" s="32"/>
      <c r="S7" s="37" t="str">
        <f t="shared" ca="1" si="4"/>
        <v>Feb</v>
      </c>
      <c r="T7" s="37" t="str">
        <f t="shared" ca="1" si="0"/>
        <v>Mar</v>
      </c>
      <c r="U7" s="37" t="str">
        <f t="shared" ca="1" si="1"/>
        <v>Apr</v>
      </c>
      <c r="V7" s="32"/>
      <c r="W7" s="37" t="str">
        <f t="shared" ca="1" si="5"/>
        <v>Feb</v>
      </c>
      <c r="X7" s="37" t="str">
        <f t="shared" ca="1" si="2"/>
        <v>Mar</v>
      </c>
      <c r="Y7" s="37" t="str">
        <f t="shared" ca="1" si="3"/>
        <v>Apr</v>
      </c>
      <c r="Z7" s="38"/>
      <c r="AA7" s="548"/>
      <c r="AB7" s="548"/>
      <c r="AC7" s="548"/>
      <c r="AD7" s="27"/>
      <c r="AE7" s="548"/>
      <c r="AF7" s="548"/>
      <c r="AG7" s="548"/>
      <c r="AZ7" s="40"/>
      <c r="BA7" s="40"/>
      <c r="BB7" s="38"/>
      <c r="BC7" s="38"/>
      <c r="BD7" s="39"/>
      <c r="BE7" s="29"/>
      <c r="BF7" s="29"/>
    </row>
    <row r="8" spans="2:58" x14ac:dyDescent="0.25">
      <c r="B8" s="41" t="str">
        <f>'PIVOT TABLE'!A4</f>
        <v>ACCESSORIES</v>
      </c>
      <c r="C8" s="535">
        <f ca="1">SUMIFS(FC_DATA!$AC$2:$AC$5000,FC_DATA!$Z$2:$Z$5000,ST_OVERVIEW!C$7,FC_DATA!$X$2:$X$5000,ST_OVERVIEW!C$6,FC_DATA!$W$2:$W$5000,ST_OVERVIEW!$B8,FC_DATA!$V$2:$V$5000,ST_OVERVIEW!$H$3,FC_DATA!$U$2:$U$5000,ST_OVERVIEW!$B$1)</f>
        <v>0</v>
      </c>
      <c r="D8" s="535">
        <f ca="1">SUMIFS(FC_DATA!$AC$2:$AC$5000,FC_DATA!$Z$2:$Z$5000,ST_OVERVIEW!D$7,FC_DATA!$X$2:$X$5000,ST_OVERVIEW!D$6,FC_DATA!$W$2:$W$5000,ST_OVERVIEW!$B8,FC_DATA!$V$2:$V$5000,ST_OVERVIEW!$H$3,FC_DATA!$U$2:$U$5000,ST_OVERVIEW!$B$1)</f>
        <v>0</v>
      </c>
      <c r="E8" s="535">
        <f ca="1">SUMIFS(FC_DATA!$AC$2:$AC$5000,FC_DATA!$Z$2:$Z$5000,ST_OVERVIEW!E$7,FC_DATA!$X$2:$X$5000,ST_OVERVIEW!E$6,FC_DATA!$W$2:$W$5000,ST_OVERVIEW!$B8,FC_DATA!$V$2:$V$5000,ST_OVERVIEW!$H$3,FC_DATA!$U$2:$U$5000,ST_OVERVIEW!$B$1)</f>
        <v>0</v>
      </c>
      <c r="F8" s="40"/>
      <c r="G8" s="39" t="str">
        <f t="shared" ref="G8" ca="1" si="6">IF(C8=0,"-",C8/AA8-1)</f>
        <v>-</v>
      </c>
      <c r="H8" s="39" t="str">
        <f t="shared" ref="H8" ca="1" si="7">IF(D8=0,"-",D8/AB8-1)</f>
        <v>-</v>
      </c>
      <c r="I8" s="39" t="str">
        <f t="shared" ref="I8" ca="1" si="8">IF(E8=0,"-",E8/AC8-1)</f>
        <v>-</v>
      </c>
      <c r="J8" s="40"/>
      <c r="K8" s="39" t="str">
        <f t="shared" ref="K8" ca="1" si="9">IF(C8=0,"-",(C8-AA8)/AA$24)</f>
        <v>-</v>
      </c>
      <c r="L8" s="39" t="str">
        <f t="shared" ref="L8" ca="1" si="10">IF(D8=0,"-",(D8-AB8)/AB$24)</f>
        <v>-</v>
      </c>
      <c r="M8" s="39" t="str">
        <f t="shared" ref="M8" ca="1" si="11">IF(E8=0,"-",(E8-AC8)/AC$24)</f>
        <v>-</v>
      </c>
      <c r="N8" s="38"/>
      <c r="O8" s="42" t="str">
        <f t="shared" ref="O8" ca="1" si="12">IF(C8=0,"-",C8/C$24)</f>
        <v>-</v>
      </c>
      <c r="P8" s="42" t="str">
        <f t="shared" ref="P8" ca="1" si="13">IF(D8=0,"-",D8/D$24)</f>
        <v>-</v>
      </c>
      <c r="Q8" s="42" t="str">
        <f t="shared" ref="Q8" ca="1" si="14">IF(E8=0,"-",E8/E$24)</f>
        <v>-</v>
      </c>
      <c r="R8" s="42"/>
      <c r="S8" s="42" t="str">
        <f ca="1">IFERROR(VLOOKUP($B$1&amp;$H$3&amp;$B8&amp;S$6&amp;S$7,FC_DATA!$A:$M,10,FALSE),"-")</f>
        <v>-</v>
      </c>
      <c r="T8" s="42" t="str">
        <f ca="1">IFERROR(VLOOKUP($B$1&amp;$H$3&amp;$B8&amp;T$6&amp;T$7,FC_DATA!$A:$M,10,FALSE),"-")</f>
        <v>-</v>
      </c>
      <c r="U8" s="42" t="str">
        <f ca="1">IFERROR(VLOOKUP($B$1&amp;$H$3&amp;$B8&amp;U$6&amp;U$7,FC_DATA!$A:$M,10,FALSE),"-")</f>
        <v>-</v>
      </c>
      <c r="V8" s="42"/>
      <c r="W8" s="42" t="str">
        <f ca="1">IFERROR(VLOOKUP($B$1&amp;$H$3&amp;$B8&amp;W$6&amp;W$7,FC_DATA!$A:$M,13,FALSE),"-")</f>
        <v>-</v>
      </c>
      <c r="X8" s="42" t="str">
        <f ca="1">IFERROR(VLOOKUP($B$1&amp;$H$3&amp;$B8&amp;X$6&amp;X$7,FC_DATA!$A:$M,13,FALSE),"-")</f>
        <v>-</v>
      </c>
      <c r="Y8" s="42" t="str">
        <f ca="1">IFERROR(VLOOKUP($B$1&amp;$H$3&amp;$B8&amp;Y$6&amp;Y$7,FC_DATA!$A:$M,13,FALSE),"-")</f>
        <v>-</v>
      </c>
      <c r="Z8" s="38"/>
      <c r="AA8" s="95">
        <f ca="1">SUMIFS(HIS_SALES!$I$2:$I$5129,HIS_SALES!$H$2:$H$5129,ST_OVERVIEW!AA$6,HIS_SALES!$F$2:$F$5129,VLOOKUP(ST_OVERVIEW!G$6,TIME!$L$12:$M$17,2,FALSE),HIS_SALES!$E$2:$E$5129,ST_OVERVIEW!$B8,HIS_SALES!$D$2:$D$5129,ST_OVERVIEW!$H$3,HIS_SALES!$C$2:$C$5129,ST_OVERVIEW!$B$1)</f>
        <v>9538.9171000000006</v>
      </c>
      <c r="AB8" s="95">
        <f ca="1">SUMIFS(HIS_SALES!$I$2:$I$5129,HIS_SALES!$H$2:$H$5129,ST_OVERVIEW!AB$6,HIS_SALES!$F$2:$F$5129,VLOOKUP(ST_OVERVIEW!H$6,TIME!$L$12:$M$17,2,FALSE),HIS_SALES!$E$2:$E$5129,ST_OVERVIEW!$B8,HIS_SALES!$D$2:$D$5129,ST_OVERVIEW!$H$3,HIS_SALES!$C$2:$C$5129,ST_OVERVIEW!$B$1)</f>
        <v>12984.1487</v>
      </c>
      <c r="AC8" s="95">
        <f ca="1">SUMIFS(HIS_SALES!$I$2:$I$5129,HIS_SALES!$H$2:$H$5129,ST_OVERVIEW!AC$6,HIS_SALES!$F$2:$F$5129,VLOOKUP(ST_OVERVIEW!I$6,TIME!$L$12:$M$17,2,FALSE),HIS_SALES!$E$2:$E$5129,ST_OVERVIEW!$B8,HIS_SALES!$D$2:$D$5129,ST_OVERVIEW!$H$3,HIS_SALES!$C$2:$C$5129,ST_OVERVIEW!$B$1)</f>
        <v>10502.1723</v>
      </c>
      <c r="AD8" s="402"/>
      <c r="AE8" s="205"/>
      <c r="AF8" s="205"/>
      <c r="AG8" s="205"/>
      <c r="AZ8" s="40"/>
      <c r="BA8" s="40"/>
      <c r="BB8" s="38"/>
      <c r="BC8" s="38"/>
      <c r="BD8" s="39"/>
      <c r="BE8" s="29"/>
      <c r="BF8" s="29"/>
    </row>
    <row r="9" spans="2:58" x14ac:dyDescent="0.25">
      <c r="B9" s="41" t="str">
        <f>'PIVOT TABLE'!A5</f>
        <v>DRESSES</v>
      </c>
      <c r="C9" s="535">
        <f ca="1">SUMIFS(FC_DATA!$AC$2:$AC$5000,FC_DATA!$Z$2:$Z$5000,ST_OVERVIEW!C$7,FC_DATA!$X$2:$X$5000,ST_OVERVIEW!C$6,FC_DATA!$W$2:$W$5000,ST_OVERVIEW!$B9,FC_DATA!$V$2:$V$5000,ST_OVERVIEW!$H$3,FC_DATA!$U$2:$U$5000,ST_OVERVIEW!$B$1)</f>
        <v>0</v>
      </c>
      <c r="D9" s="535">
        <f ca="1">SUMIFS(FC_DATA!$AC$2:$AC$5000,FC_DATA!$Z$2:$Z$5000,ST_OVERVIEW!D$7,FC_DATA!$X$2:$X$5000,ST_OVERVIEW!D$6,FC_DATA!$W$2:$W$5000,ST_OVERVIEW!$B9,FC_DATA!$V$2:$V$5000,ST_OVERVIEW!$H$3,FC_DATA!$U$2:$U$5000,ST_OVERVIEW!$B$1)</f>
        <v>0</v>
      </c>
      <c r="E9" s="535">
        <f ca="1">SUMIFS(FC_DATA!$AC$2:$AC$5000,FC_DATA!$Z$2:$Z$5000,ST_OVERVIEW!E$7,FC_DATA!$X$2:$X$5000,ST_OVERVIEW!E$6,FC_DATA!$W$2:$W$5000,ST_OVERVIEW!$B9,FC_DATA!$V$2:$V$5000,ST_OVERVIEW!$H$3,FC_DATA!$U$2:$U$5000,ST_OVERVIEW!$B$1)</f>
        <v>0</v>
      </c>
      <c r="F9" s="40"/>
      <c r="G9" s="39" t="str">
        <f t="shared" ref="G9:G23" ca="1" si="15">IF(C9=0,"-",C9/AA9-1)</f>
        <v>-</v>
      </c>
      <c r="H9" s="39" t="str">
        <f t="shared" ref="H9:H23" ca="1" si="16">IF(D9=0,"-",D9/AB9-1)</f>
        <v>-</v>
      </c>
      <c r="I9" s="39" t="str">
        <f t="shared" ref="I9:I23" ca="1" si="17">IF(E9=0,"-",E9/AC9-1)</f>
        <v>-</v>
      </c>
      <c r="J9" s="40"/>
      <c r="K9" s="39" t="str">
        <f t="shared" ref="K9:K23" ca="1" si="18">IF(C9=0,"-",(C9-AA9)/AA$24)</f>
        <v>-</v>
      </c>
      <c r="L9" s="39" t="str">
        <f t="shared" ref="L9:L23" ca="1" si="19">IF(D9=0,"-",(D9-AB9)/AB$24)</f>
        <v>-</v>
      </c>
      <c r="M9" s="39" t="str">
        <f t="shared" ref="M9:M23" ca="1" si="20">IF(E9=0,"-",(E9-AC9)/AC$24)</f>
        <v>-</v>
      </c>
      <c r="N9" s="38"/>
      <c r="O9" s="42" t="str">
        <f t="shared" ref="O9:O23" ca="1" si="21">IF(C9=0,"-",C9/C$24)</f>
        <v>-</v>
      </c>
      <c r="P9" s="42" t="str">
        <f t="shared" ref="P9:P23" ca="1" si="22">IF(D9=0,"-",D9/D$24)</f>
        <v>-</v>
      </c>
      <c r="Q9" s="42" t="str">
        <f t="shared" ref="Q9:Q23" ca="1" si="23">IF(E9=0,"-",E9/E$24)</f>
        <v>-</v>
      </c>
      <c r="R9" s="42"/>
      <c r="S9" s="42" t="str">
        <f ca="1">IFERROR(VLOOKUP($B$1&amp;$H$3&amp;$B9&amp;S$6&amp;S$7,FC_DATA!$A:$M,10,FALSE),"-")</f>
        <v>-</v>
      </c>
      <c r="T9" s="42" t="str">
        <f ca="1">IFERROR(VLOOKUP($B$1&amp;$H$3&amp;$B9&amp;T$6&amp;T$7,FC_DATA!$A:$M,10,FALSE),"-")</f>
        <v>-</v>
      </c>
      <c r="U9" s="42" t="str">
        <f ca="1">IFERROR(VLOOKUP($B$1&amp;$H$3&amp;$B9&amp;U$6&amp;U$7,FC_DATA!$A:$M,10,FALSE),"-")</f>
        <v>-</v>
      </c>
      <c r="V9" s="42"/>
      <c r="W9" s="42" t="str">
        <f ca="1">IFERROR(VLOOKUP($B$1&amp;$H$3&amp;$B9&amp;W$6&amp;W$7,FC_DATA!$A:$M,13,FALSE),"-")</f>
        <v>-</v>
      </c>
      <c r="X9" s="42" t="str">
        <f ca="1">IFERROR(VLOOKUP($B$1&amp;$H$3&amp;$B9&amp;X$6&amp;X$7,FC_DATA!$A:$M,13,FALSE),"-")</f>
        <v>-</v>
      </c>
      <c r="Y9" s="42" t="str">
        <f ca="1">IFERROR(VLOOKUP($B$1&amp;$H$3&amp;$B9&amp;Y$6&amp;Y$7,FC_DATA!$A:$M,13,FALSE),"-")</f>
        <v>-</v>
      </c>
      <c r="Z9" s="38"/>
      <c r="AA9" s="95">
        <f ca="1">SUMIFS(HIS_SALES!$I$2:$I$5129,HIS_SALES!$H$2:$H$5129,ST_OVERVIEW!AA$6,HIS_SALES!$F$2:$F$5129,VLOOKUP(ST_OVERVIEW!G$6,TIME!$L$12:$M$17,2,FALSE),HIS_SALES!$E$2:$E$5129,ST_OVERVIEW!$B9,HIS_SALES!$D$2:$D$5129,ST_OVERVIEW!$H$3,HIS_SALES!$C$2:$C$5129,ST_OVERVIEW!$B$1)</f>
        <v>285746.639099997</v>
      </c>
      <c r="AB9" s="95">
        <f ca="1">SUMIFS(HIS_SALES!$I$2:$I$5129,HIS_SALES!$H$2:$H$5129,ST_OVERVIEW!AB$6,HIS_SALES!$F$2:$F$5129,VLOOKUP(ST_OVERVIEW!H$6,TIME!$L$12:$M$17,2,FALSE),HIS_SALES!$E$2:$E$5129,ST_OVERVIEW!$B9,HIS_SALES!$D$2:$D$5129,ST_OVERVIEW!$H$3,HIS_SALES!$C$2:$C$5129,ST_OVERVIEW!$B$1)</f>
        <v>474460.69739998801</v>
      </c>
      <c r="AC9" s="95">
        <f ca="1">SUMIFS(HIS_SALES!$I$2:$I$5129,HIS_SALES!$H$2:$H$5129,ST_OVERVIEW!AC$6,HIS_SALES!$F$2:$F$5129,VLOOKUP(ST_OVERVIEW!I$6,TIME!$L$12:$M$17,2,FALSE),HIS_SALES!$E$2:$E$5129,ST_OVERVIEW!$B9,HIS_SALES!$D$2:$D$5129,ST_OVERVIEW!$H$3,HIS_SALES!$C$2:$C$5129,ST_OVERVIEW!$B$1)</f>
        <v>738939.03349997406</v>
      </c>
      <c r="AD9" s="402"/>
      <c r="AE9" s="205"/>
      <c r="AF9" s="205"/>
      <c r="AG9" s="205"/>
      <c r="AZ9" s="40"/>
      <c r="BA9" s="40"/>
      <c r="BB9" s="38"/>
      <c r="BC9" s="38"/>
      <c r="BD9" s="39"/>
      <c r="BE9" s="29"/>
      <c r="BF9" s="29"/>
    </row>
    <row r="10" spans="2:58" x14ac:dyDescent="0.25">
      <c r="B10" s="41" t="str">
        <f>'PIVOT TABLE'!A6</f>
        <v>JEANS</v>
      </c>
      <c r="C10" s="535">
        <f ca="1">SUMIFS(FC_DATA!$AC$2:$AC$5000,FC_DATA!$Z$2:$Z$5000,ST_OVERVIEW!C$7,FC_DATA!$X$2:$X$5000,ST_OVERVIEW!C$6,FC_DATA!$W$2:$W$5000,ST_OVERVIEW!$B10,FC_DATA!$V$2:$V$5000,ST_OVERVIEW!$H$3,FC_DATA!$U$2:$U$5000,ST_OVERVIEW!$B$1)</f>
        <v>0</v>
      </c>
      <c r="D10" s="535">
        <f ca="1">SUMIFS(FC_DATA!$AC$2:$AC$5000,FC_DATA!$Z$2:$Z$5000,ST_OVERVIEW!D$7,FC_DATA!$X$2:$X$5000,ST_OVERVIEW!D$6,FC_DATA!$W$2:$W$5000,ST_OVERVIEW!$B10,FC_DATA!$V$2:$V$5000,ST_OVERVIEW!$H$3,FC_DATA!$U$2:$U$5000,ST_OVERVIEW!$B$1)</f>
        <v>0</v>
      </c>
      <c r="E10" s="535">
        <f ca="1">SUMIFS(FC_DATA!$AC$2:$AC$5000,FC_DATA!$Z$2:$Z$5000,ST_OVERVIEW!E$7,FC_DATA!$X$2:$X$5000,ST_OVERVIEW!E$6,FC_DATA!$W$2:$W$5000,ST_OVERVIEW!$B10,FC_DATA!$V$2:$V$5000,ST_OVERVIEW!$H$3,FC_DATA!$U$2:$U$5000,ST_OVERVIEW!$B$1)</f>
        <v>0</v>
      </c>
      <c r="F10" s="40"/>
      <c r="G10" s="39" t="str">
        <f t="shared" ca="1" si="15"/>
        <v>-</v>
      </c>
      <c r="H10" s="39" t="str">
        <f t="shared" ca="1" si="16"/>
        <v>-</v>
      </c>
      <c r="I10" s="39" t="str">
        <f t="shared" ca="1" si="17"/>
        <v>-</v>
      </c>
      <c r="J10" s="40"/>
      <c r="K10" s="39" t="str">
        <f t="shared" ca="1" si="18"/>
        <v>-</v>
      </c>
      <c r="L10" s="39" t="str">
        <f t="shared" ca="1" si="19"/>
        <v>-</v>
      </c>
      <c r="M10" s="39" t="str">
        <f t="shared" ca="1" si="20"/>
        <v>-</v>
      </c>
      <c r="N10" s="38"/>
      <c r="O10" s="42" t="str">
        <f t="shared" ca="1" si="21"/>
        <v>-</v>
      </c>
      <c r="P10" s="42" t="str">
        <f t="shared" ca="1" si="22"/>
        <v>-</v>
      </c>
      <c r="Q10" s="42" t="str">
        <f t="shared" ca="1" si="23"/>
        <v>-</v>
      </c>
      <c r="R10" s="42"/>
      <c r="S10" s="42" t="str">
        <f ca="1">IFERROR(VLOOKUP($B$1&amp;$H$3&amp;$B10&amp;S$6&amp;S$7,FC_DATA!$A:$M,10,FALSE),"-")</f>
        <v>-</v>
      </c>
      <c r="T10" s="42" t="str">
        <f ca="1">IFERROR(VLOOKUP($B$1&amp;$H$3&amp;$B10&amp;T$6&amp;T$7,FC_DATA!$A:$M,10,FALSE),"-")</f>
        <v>-</v>
      </c>
      <c r="U10" s="42" t="str">
        <f ca="1">IFERROR(VLOOKUP($B$1&amp;$H$3&amp;$B10&amp;U$6&amp;U$7,FC_DATA!$A:$M,10,FALSE),"-")</f>
        <v>-</v>
      </c>
      <c r="V10" s="42"/>
      <c r="W10" s="42" t="str">
        <f ca="1">IFERROR(VLOOKUP($B$1&amp;$H$3&amp;$B10&amp;W$6&amp;W$7,FC_DATA!$A:$M,13,FALSE),"-")</f>
        <v>-</v>
      </c>
      <c r="X10" s="42" t="str">
        <f ca="1">IFERROR(VLOOKUP($B$1&amp;$H$3&amp;$B10&amp;X$6&amp;X$7,FC_DATA!$A:$M,13,FALSE),"-")</f>
        <v>-</v>
      </c>
      <c r="Y10" s="42" t="str">
        <f ca="1">IFERROR(VLOOKUP($B$1&amp;$H$3&amp;$B10&amp;Y$6&amp;Y$7,FC_DATA!$A:$M,13,FALSE),"-")</f>
        <v>-</v>
      </c>
      <c r="Z10" s="38"/>
      <c r="AA10" s="95">
        <f ca="1">SUMIFS(HIS_SALES!$I$2:$I$5129,HIS_SALES!$H$2:$H$5129,ST_OVERVIEW!AA$6,HIS_SALES!$F$2:$F$5129,VLOOKUP(ST_OVERVIEW!G$6,TIME!$L$12:$M$17,2,FALSE),HIS_SALES!$E$2:$E$5129,ST_OVERVIEW!$B10,HIS_SALES!$D$2:$D$5129,ST_OVERVIEW!$H$3,HIS_SALES!$C$2:$C$5129,ST_OVERVIEW!$B$1)</f>
        <v>462530.64499999001</v>
      </c>
      <c r="AB10" s="95">
        <f ca="1">SUMIFS(HIS_SALES!$I$2:$I$5129,HIS_SALES!$H$2:$H$5129,ST_OVERVIEW!AB$6,HIS_SALES!$F$2:$F$5129,VLOOKUP(ST_OVERVIEW!H$6,TIME!$L$12:$M$17,2,FALSE),HIS_SALES!$E$2:$E$5129,ST_OVERVIEW!$B10,HIS_SALES!$D$2:$D$5129,ST_OVERVIEW!$H$3,HIS_SALES!$C$2:$C$5129,ST_OVERVIEW!$B$1)</f>
        <v>540052.99529998901</v>
      </c>
      <c r="AC10" s="95">
        <f ca="1">SUMIFS(HIS_SALES!$I$2:$I$5129,HIS_SALES!$H$2:$H$5129,ST_OVERVIEW!AC$6,HIS_SALES!$F$2:$F$5129,VLOOKUP(ST_OVERVIEW!I$6,TIME!$L$12:$M$17,2,FALSE),HIS_SALES!$E$2:$E$5129,ST_OVERVIEW!$B10,HIS_SALES!$D$2:$D$5129,ST_OVERVIEW!$H$3,HIS_SALES!$C$2:$C$5129,ST_OVERVIEW!$B$1)</f>
        <v>512048.71929998999</v>
      </c>
      <c r="AD10" s="402"/>
      <c r="AE10" s="205"/>
      <c r="AF10" s="205"/>
      <c r="AG10" s="205"/>
      <c r="AZ10" s="40"/>
      <c r="BA10" s="40"/>
      <c r="BB10" s="38"/>
      <c r="BC10" s="38"/>
      <c r="BD10" s="39"/>
      <c r="BE10" s="29"/>
      <c r="BF10" s="29"/>
    </row>
    <row r="11" spans="2:58" x14ac:dyDescent="0.25">
      <c r="B11" s="41" t="str">
        <f>'PIVOT TABLE'!A7</f>
        <v>KNIT</v>
      </c>
      <c r="C11" s="535">
        <f ca="1">SUMIFS(FC_DATA!$AC$2:$AC$5000,FC_DATA!$Z$2:$Z$5000,ST_OVERVIEW!C$7,FC_DATA!$X$2:$X$5000,ST_OVERVIEW!C$6,FC_DATA!$W$2:$W$5000,ST_OVERVIEW!$B11,FC_DATA!$V$2:$V$5000,ST_OVERVIEW!$H$3,FC_DATA!$U$2:$U$5000,ST_OVERVIEW!$B$1)</f>
        <v>0</v>
      </c>
      <c r="D11" s="535">
        <f ca="1">SUMIFS(FC_DATA!$AC$2:$AC$5000,FC_DATA!$Z$2:$Z$5000,ST_OVERVIEW!D$7,FC_DATA!$X$2:$X$5000,ST_OVERVIEW!D$6,FC_DATA!$W$2:$W$5000,ST_OVERVIEW!$B11,FC_DATA!$V$2:$V$5000,ST_OVERVIEW!$H$3,FC_DATA!$U$2:$U$5000,ST_OVERVIEW!$B$1)</f>
        <v>0</v>
      </c>
      <c r="E11" s="535">
        <f ca="1">SUMIFS(FC_DATA!$AC$2:$AC$5000,FC_DATA!$Z$2:$Z$5000,ST_OVERVIEW!E$7,FC_DATA!$X$2:$X$5000,ST_OVERVIEW!E$6,FC_DATA!$W$2:$W$5000,ST_OVERVIEW!$B11,FC_DATA!$V$2:$V$5000,ST_OVERVIEW!$H$3,FC_DATA!$U$2:$U$5000,ST_OVERVIEW!$B$1)</f>
        <v>0</v>
      </c>
      <c r="F11" s="40"/>
      <c r="G11" s="39" t="str">
        <f t="shared" ca="1" si="15"/>
        <v>-</v>
      </c>
      <c r="H11" s="39" t="str">
        <f t="shared" ca="1" si="16"/>
        <v>-</v>
      </c>
      <c r="I11" s="39" t="str">
        <f t="shared" ca="1" si="17"/>
        <v>-</v>
      </c>
      <c r="J11" s="40"/>
      <c r="K11" s="39" t="str">
        <f t="shared" ca="1" si="18"/>
        <v>-</v>
      </c>
      <c r="L11" s="39" t="str">
        <f t="shared" ca="1" si="19"/>
        <v>-</v>
      </c>
      <c r="M11" s="39" t="str">
        <f t="shared" ca="1" si="20"/>
        <v>-</v>
      </c>
      <c r="N11" s="38"/>
      <c r="O11" s="42" t="str">
        <f t="shared" ca="1" si="21"/>
        <v>-</v>
      </c>
      <c r="P11" s="42" t="str">
        <f t="shared" ca="1" si="22"/>
        <v>-</v>
      </c>
      <c r="Q11" s="42" t="str">
        <f t="shared" ca="1" si="23"/>
        <v>-</v>
      </c>
      <c r="R11" s="42"/>
      <c r="S11" s="42" t="str">
        <f ca="1">IFERROR(VLOOKUP($B$1&amp;$H$3&amp;$B11&amp;S$6&amp;S$7,FC_DATA!$A:$M,10,FALSE),"-")</f>
        <v>-</v>
      </c>
      <c r="T11" s="42" t="str">
        <f ca="1">IFERROR(VLOOKUP($B$1&amp;$H$3&amp;$B11&amp;T$6&amp;T$7,FC_DATA!$A:$M,10,FALSE),"-")</f>
        <v>-</v>
      </c>
      <c r="U11" s="42" t="str">
        <f ca="1">IFERROR(VLOOKUP($B$1&amp;$H$3&amp;$B11&amp;U$6&amp;U$7,FC_DATA!$A:$M,10,FALSE),"-")</f>
        <v>-</v>
      </c>
      <c r="V11" s="42"/>
      <c r="W11" s="42" t="str">
        <f ca="1">IFERROR(VLOOKUP($B$1&amp;$H$3&amp;$B11&amp;W$6&amp;W$7,FC_DATA!$A:$M,13,FALSE),"-")</f>
        <v>-</v>
      </c>
      <c r="X11" s="42" t="str">
        <f ca="1">IFERROR(VLOOKUP($B$1&amp;$H$3&amp;$B11&amp;X$6&amp;X$7,FC_DATA!$A:$M,13,FALSE),"-")</f>
        <v>-</v>
      </c>
      <c r="Y11" s="42" t="str">
        <f ca="1">IFERROR(VLOOKUP($B$1&amp;$H$3&amp;$B11&amp;Y$6&amp;Y$7,FC_DATA!$A:$M,13,FALSE),"-")</f>
        <v>-</v>
      </c>
      <c r="Z11" s="38"/>
      <c r="AA11" s="95">
        <f ca="1">SUMIFS(HIS_SALES!$I$2:$I$5129,HIS_SALES!$H$2:$H$5129,ST_OVERVIEW!AA$6,HIS_SALES!$F$2:$F$5129,VLOOKUP(ST_OVERVIEW!G$6,TIME!$L$12:$M$17,2,FALSE),HIS_SALES!$E$2:$E$5129,ST_OVERVIEW!$B11,HIS_SALES!$D$2:$D$5129,ST_OVERVIEW!$H$3,HIS_SALES!$C$2:$C$5129,ST_OVERVIEW!$B$1)</f>
        <v>229096.07189999701</v>
      </c>
      <c r="AB11" s="95">
        <f ca="1">SUMIFS(HIS_SALES!$I$2:$I$5129,HIS_SALES!$H$2:$H$5129,ST_OVERVIEW!AB$6,HIS_SALES!$F$2:$F$5129,VLOOKUP(ST_OVERVIEW!H$6,TIME!$L$12:$M$17,2,FALSE),HIS_SALES!$E$2:$E$5129,ST_OVERVIEW!$B11,HIS_SALES!$D$2:$D$5129,ST_OVERVIEW!$H$3,HIS_SALES!$C$2:$C$5129,ST_OVERVIEW!$B$1)</f>
        <v>196012.68299999801</v>
      </c>
      <c r="AC11" s="95">
        <f ca="1">SUMIFS(HIS_SALES!$I$2:$I$5129,HIS_SALES!$H$2:$H$5129,ST_OVERVIEW!AC$6,HIS_SALES!$F$2:$F$5129,VLOOKUP(ST_OVERVIEW!I$6,TIME!$L$12:$M$17,2,FALSE),HIS_SALES!$E$2:$E$5129,ST_OVERVIEW!$B11,HIS_SALES!$D$2:$D$5129,ST_OVERVIEW!$H$3,HIS_SALES!$C$2:$C$5129,ST_OVERVIEW!$B$1)</f>
        <v>141981.76810000002</v>
      </c>
      <c r="AD11" s="402"/>
      <c r="AE11" s="205"/>
      <c r="AF11" s="205"/>
      <c r="AG11" s="205"/>
      <c r="AJ11" s="442"/>
      <c r="AZ11" s="40"/>
      <c r="BA11" s="40"/>
      <c r="BB11" s="38"/>
      <c r="BC11" s="38"/>
      <c r="BD11" s="39"/>
      <c r="BE11" s="29"/>
      <c r="BF11" s="29"/>
    </row>
    <row r="12" spans="2:58" x14ac:dyDescent="0.25">
      <c r="B12" s="41" t="str">
        <f>'PIVOT TABLE'!A8</f>
        <v>OUTERWEAR</v>
      </c>
      <c r="C12" s="535">
        <f ca="1">SUMIFS(FC_DATA!$AC$2:$AC$5000,FC_DATA!$Z$2:$Z$5000,ST_OVERVIEW!C$7,FC_DATA!$X$2:$X$5000,ST_OVERVIEW!C$6,FC_DATA!$W$2:$W$5000,ST_OVERVIEW!$B12,FC_DATA!$V$2:$V$5000,ST_OVERVIEW!$H$3,FC_DATA!$U$2:$U$5000,ST_OVERVIEW!$B$1)</f>
        <v>0</v>
      </c>
      <c r="D12" s="535">
        <f ca="1">SUMIFS(FC_DATA!$AC$2:$AC$5000,FC_DATA!$Z$2:$Z$5000,ST_OVERVIEW!D$7,FC_DATA!$X$2:$X$5000,ST_OVERVIEW!D$6,FC_DATA!$W$2:$W$5000,ST_OVERVIEW!$B12,FC_DATA!$V$2:$V$5000,ST_OVERVIEW!$H$3,FC_DATA!$U$2:$U$5000,ST_OVERVIEW!$B$1)</f>
        <v>0</v>
      </c>
      <c r="E12" s="535">
        <f ca="1">SUMIFS(FC_DATA!$AC$2:$AC$5000,FC_DATA!$Z$2:$Z$5000,ST_OVERVIEW!E$7,FC_DATA!$X$2:$X$5000,ST_OVERVIEW!E$6,FC_DATA!$W$2:$W$5000,ST_OVERVIEW!$B12,FC_DATA!$V$2:$V$5000,ST_OVERVIEW!$H$3,FC_DATA!$U$2:$U$5000,ST_OVERVIEW!$B$1)</f>
        <v>0</v>
      </c>
      <c r="F12" s="40"/>
      <c r="G12" s="39" t="str">
        <f t="shared" ca="1" si="15"/>
        <v>-</v>
      </c>
      <c r="H12" s="39" t="str">
        <f t="shared" ca="1" si="16"/>
        <v>-</v>
      </c>
      <c r="I12" s="39" t="str">
        <f t="shared" ca="1" si="17"/>
        <v>-</v>
      </c>
      <c r="J12" s="40"/>
      <c r="K12" s="39" t="str">
        <f t="shared" ca="1" si="18"/>
        <v>-</v>
      </c>
      <c r="L12" s="39" t="str">
        <f t="shared" ca="1" si="19"/>
        <v>-</v>
      </c>
      <c r="M12" s="39" t="str">
        <f t="shared" ca="1" si="20"/>
        <v>-</v>
      </c>
      <c r="N12" s="38"/>
      <c r="O12" s="42" t="str">
        <f t="shared" ca="1" si="21"/>
        <v>-</v>
      </c>
      <c r="P12" s="42" t="str">
        <f t="shared" ca="1" si="22"/>
        <v>-</v>
      </c>
      <c r="Q12" s="42" t="str">
        <f t="shared" ca="1" si="23"/>
        <v>-</v>
      </c>
      <c r="R12" s="42"/>
      <c r="S12" s="42" t="str">
        <f ca="1">IFERROR(VLOOKUP($B$1&amp;$H$3&amp;$B12&amp;S$6&amp;S$7,FC_DATA!$A:$M,10,FALSE),"-")</f>
        <v>-</v>
      </c>
      <c r="T12" s="42" t="str">
        <f ca="1">IFERROR(VLOOKUP($B$1&amp;$H$3&amp;$B12&amp;T$6&amp;T$7,FC_DATA!$A:$M,10,FALSE),"-")</f>
        <v>-</v>
      </c>
      <c r="U12" s="42" t="str">
        <f ca="1">IFERROR(VLOOKUP($B$1&amp;$H$3&amp;$B12&amp;U$6&amp;U$7,FC_DATA!$A:$M,10,FALSE),"-")</f>
        <v>-</v>
      </c>
      <c r="V12" s="42"/>
      <c r="W12" s="42" t="str">
        <f ca="1">IFERROR(VLOOKUP($B$1&amp;$H$3&amp;$B12&amp;W$6&amp;W$7,FC_DATA!$A:$M,13,FALSE),"-")</f>
        <v>-</v>
      </c>
      <c r="X12" s="42" t="str">
        <f ca="1">IFERROR(VLOOKUP($B$1&amp;$H$3&amp;$B12&amp;X$6&amp;X$7,FC_DATA!$A:$M,13,FALSE),"-")</f>
        <v>-</v>
      </c>
      <c r="Y12" s="42" t="str">
        <f ca="1">IFERROR(VLOOKUP($B$1&amp;$H$3&amp;$B12&amp;Y$6&amp;Y$7,FC_DATA!$A:$M,13,FALSE),"-")</f>
        <v>-</v>
      </c>
      <c r="Z12" s="38"/>
      <c r="AA12" s="95">
        <f ca="1">SUMIFS(HIS_SALES!$I$2:$I$5129,HIS_SALES!$H$2:$H$5129,ST_OVERVIEW!AA$6,HIS_SALES!$F$2:$F$5129,VLOOKUP(ST_OVERVIEW!G$6,TIME!$L$12:$M$17,2,FALSE),HIS_SALES!$E$2:$E$5129,ST_OVERVIEW!$B12,HIS_SALES!$D$2:$D$5129,ST_OVERVIEW!$H$3,HIS_SALES!$C$2:$C$5129,ST_OVERVIEW!$B$1)</f>
        <v>463645.54770000401</v>
      </c>
      <c r="AB12" s="95">
        <f ca="1">SUMIFS(HIS_SALES!$I$2:$I$5129,HIS_SALES!$H$2:$H$5129,ST_OVERVIEW!AB$6,HIS_SALES!$F$2:$F$5129,VLOOKUP(ST_OVERVIEW!H$6,TIME!$L$12:$M$17,2,FALSE),HIS_SALES!$E$2:$E$5129,ST_OVERVIEW!$B12,HIS_SALES!$D$2:$D$5129,ST_OVERVIEW!$H$3,HIS_SALES!$C$2:$C$5129,ST_OVERVIEW!$B$1)</f>
        <v>619106.07630000298</v>
      </c>
      <c r="AC12" s="95">
        <f ca="1">SUMIFS(HIS_SALES!$I$2:$I$5129,HIS_SALES!$H$2:$H$5129,ST_OVERVIEW!AC$6,HIS_SALES!$F$2:$F$5129,VLOOKUP(ST_OVERVIEW!I$6,TIME!$L$12:$M$17,2,FALSE),HIS_SALES!$E$2:$E$5129,ST_OVERVIEW!$B12,HIS_SALES!$D$2:$D$5129,ST_OVERVIEW!$H$3,HIS_SALES!$C$2:$C$5129,ST_OVERVIEW!$B$1)</f>
        <v>732136.50239998999</v>
      </c>
      <c r="AD12" s="402"/>
      <c r="AE12" s="205"/>
      <c r="AF12" s="205"/>
      <c r="AG12" s="205"/>
      <c r="AZ12" s="40"/>
      <c r="BA12" s="40"/>
      <c r="BB12" s="38"/>
      <c r="BC12" s="38"/>
      <c r="BD12" s="39"/>
      <c r="BE12" s="29"/>
      <c r="BF12" s="29"/>
    </row>
    <row r="13" spans="2:58" x14ac:dyDescent="0.25">
      <c r="B13" s="41" t="str">
        <f>'PIVOT TABLE'!A9</f>
        <v>PANTS</v>
      </c>
      <c r="C13" s="535">
        <f ca="1">SUMIFS(FC_DATA!$AC$2:$AC$5000,FC_DATA!$Z$2:$Z$5000,ST_OVERVIEW!C$7,FC_DATA!$X$2:$X$5000,ST_OVERVIEW!C$6,FC_DATA!$W$2:$W$5000,ST_OVERVIEW!$B13,FC_DATA!$V$2:$V$5000,ST_OVERVIEW!$H$3,FC_DATA!$U$2:$U$5000,ST_OVERVIEW!$B$1)</f>
        <v>0</v>
      </c>
      <c r="D13" s="535">
        <f ca="1">SUMIFS(FC_DATA!$AC$2:$AC$5000,FC_DATA!$Z$2:$Z$5000,ST_OVERVIEW!D$7,FC_DATA!$X$2:$X$5000,ST_OVERVIEW!D$6,FC_DATA!$W$2:$W$5000,ST_OVERVIEW!$B13,FC_DATA!$V$2:$V$5000,ST_OVERVIEW!$H$3,FC_DATA!$U$2:$U$5000,ST_OVERVIEW!$B$1)</f>
        <v>0</v>
      </c>
      <c r="E13" s="535">
        <f ca="1">SUMIFS(FC_DATA!$AC$2:$AC$5000,FC_DATA!$Z$2:$Z$5000,ST_OVERVIEW!E$7,FC_DATA!$X$2:$X$5000,ST_OVERVIEW!E$6,FC_DATA!$W$2:$W$5000,ST_OVERVIEW!$B13,FC_DATA!$V$2:$V$5000,ST_OVERVIEW!$H$3,FC_DATA!$U$2:$U$5000,ST_OVERVIEW!$B$1)</f>
        <v>0</v>
      </c>
      <c r="F13" s="40"/>
      <c r="G13" s="39" t="str">
        <f t="shared" ca="1" si="15"/>
        <v>-</v>
      </c>
      <c r="H13" s="39" t="str">
        <f t="shared" ca="1" si="16"/>
        <v>-</v>
      </c>
      <c r="I13" s="39" t="str">
        <f t="shared" ca="1" si="17"/>
        <v>-</v>
      </c>
      <c r="J13" s="40"/>
      <c r="K13" s="39" t="str">
        <f t="shared" ca="1" si="18"/>
        <v>-</v>
      </c>
      <c r="L13" s="39" t="str">
        <f t="shared" ca="1" si="19"/>
        <v>-</v>
      </c>
      <c r="M13" s="39" t="str">
        <f t="shared" ca="1" si="20"/>
        <v>-</v>
      </c>
      <c r="N13" s="38"/>
      <c r="O13" s="42" t="str">
        <f t="shared" ca="1" si="21"/>
        <v>-</v>
      </c>
      <c r="P13" s="42" t="str">
        <f t="shared" ca="1" si="22"/>
        <v>-</v>
      </c>
      <c r="Q13" s="42" t="str">
        <f t="shared" ca="1" si="23"/>
        <v>-</v>
      </c>
      <c r="R13" s="42"/>
      <c r="S13" s="42" t="str">
        <f ca="1">IFERROR(VLOOKUP($B$1&amp;$H$3&amp;$B13&amp;S$6&amp;S$7,FC_DATA!$A:$M,10,FALSE),"-")</f>
        <v>-</v>
      </c>
      <c r="T13" s="42" t="str">
        <f ca="1">IFERROR(VLOOKUP($B$1&amp;$H$3&amp;$B13&amp;T$6&amp;T$7,FC_DATA!$A:$M,10,FALSE),"-")</f>
        <v>-</v>
      </c>
      <c r="U13" s="42" t="str">
        <f ca="1">IFERROR(VLOOKUP($B$1&amp;$H$3&amp;$B13&amp;U$6&amp;U$7,FC_DATA!$A:$M,10,FALSE),"-")</f>
        <v>-</v>
      </c>
      <c r="V13" s="42"/>
      <c r="W13" s="42" t="str">
        <f ca="1">IFERROR(VLOOKUP($B$1&amp;$H$3&amp;$B13&amp;W$6&amp;W$7,FC_DATA!$A:$M,13,FALSE),"-")</f>
        <v>-</v>
      </c>
      <c r="X13" s="42" t="str">
        <f ca="1">IFERROR(VLOOKUP($B$1&amp;$H$3&amp;$B13&amp;X$6&amp;X$7,FC_DATA!$A:$M,13,FALSE),"-")</f>
        <v>-</v>
      </c>
      <c r="Y13" s="42" t="str">
        <f ca="1">IFERROR(VLOOKUP($B$1&amp;$H$3&amp;$B13&amp;Y$6&amp;Y$7,FC_DATA!$A:$M,13,FALSE),"-")</f>
        <v>-</v>
      </c>
      <c r="Z13" s="38"/>
      <c r="AA13" s="95">
        <f ca="1">SUMIFS(HIS_SALES!$I$2:$I$5129,HIS_SALES!$H$2:$H$5129,ST_OVERVIEW!AA$6,HIS_SALES!$F$2:$F$5129,VLOOKUP(ST_OVERVIEW!G$6,TIME!$L$12:$M$17,2,FALSE),HIS_SALES!$E$2:$E$5129,ST_OVERVIEW!$B13,HIS_SALES!$D$2:$D$5129,ST_OVERVIEW!$H$3,HIS_SALES!$C$2:$C$5129,ST_OVERVIEW!$B$1)</f>
        <v>249309.16190000103</v>
      </c>
      <c r="AB13" s="95">
        <f ca="1">SUMIFS(HIS_SALES!$I$2:$I$5129,HIS_SALES!$H$2:$H$5129,ST_OVERVIEW!AB$6,HIS_SALES!$F$2:$F$5129,VLOOKUP(ST_OVERVIEW!H$6,TIME!$L$12:$M$17,2,FALSE),HIS_SALES!$E$2:$E$5129,ST_OVERVIEW!$B13,HIS_SALES!$D$2:$D$5129,ST_OVERVIEW!$H$3,HIS_SALES!$C$2:$C$5129,ST_OVERVIEW!$B$1)</f>
        <v>359059.81869999302</v>
      </c>
      <c r="AC13" s="95">
        <f ca="1">SUMIFS(HIS_SALES!$I$2:$I$5129,HIS_SALES!$H$2:$H$5129,ST_OVERVIEW!AC$6,HIS_SALES!$F$2:$F$5129,VLOOKUP(ST_OVERVIEW!I$6,TIME!$L$12:$M$17,2,FALSE),HIS_SALES!$E$2:$E$5129,ST_OVERVIEW!$B13,HIS_SALES!$D$2:$D$5129,ST_OVERVIEW!$H$3,HIS_SALES!$C$2:$C$5129,ST_OVERVIEW!$B$1)</f>
        <v>437665.20219998504</v>
      </c>
      <c r="AD13" s="402"/>
      <c r="AE13" s="205"/>
      <c r="AF13" s="205"/>
      <c r="AG13" s="205"/>
      <c r="AZ13" s="40"/>
      <c r="BA13" s="40"/>
      <c r="BB13" s="38"/>
      <c r="BC13" s="38"/>
      <c r="BD13" s="39"/>
      <c r="BE13" s="29"/>
      <c r="BF13" s="29"/>
    </row>
    <row r="14" spans="2:58" x14ac:dyDescent="0.25">
      <c r="B14" s="41" t="str">
        <f>'PIVOT TABLE'!A10</f>
        <v>SHIRTS</v>
      </c>
      <c r="C14" s="535">
        <f ca="1">SUMIFS(FC_DATA!$AC$2:$AC$5000,FC_DATA!$Z$2:$Z$5000,ST_OVERVIEW!C$7,FC_DATA!$X$2:$X$5000,ST_OVERVIEW!C$6,FC_DATA!$W$2:$W$5000,ST_OVERVIEW!$B14,FC_DATA!$V$2:$V$5000,ST_OVERVIEW!$H$3,FC_DATA!$U$2:$U$5000,ST_OVERVIEW!$B$1)</f>
        <v>0</v>
      </c>
      <c r="D14" s="535">
        <f ca="1">SUMIFS(FC_DATA!$AC$2:$AC$5000,FC_DATA!$Z$2:$Z$5000,ST_OVERVIEW!D$7,FC_DATA!$X$2:$X$5000,ST_OVERVIEW!D$6,FC_DATA!$W$2:$W$5000,ST_OVERVIEW!$B14,FC_DATA!$V$2:$V$5000,ST_OVERVIEW!$H$3,FC_DATA!$U$2:$U$5000,ST_OVERVIEW!$B$1)</f>
        <v>0</v>
      </c>
      <c r="E14" s="535">
        <f ca="1">SUMIFS(FC_DATA!$AC$2:$AC$5000,FC_DATA!$Z$2:$Z$5000,ST_OVERVIEW!E$7,FC_DATA!$X$2:$X$5000,ST_OVERVIEW!E$6,FC_DATA!$W$2:$W$5000,ST_OVERVIEW!$B14,FC_DATA!$V$2:$V$5000,ST_OVERVIEW!$H$3,FC_DATA!$U$2:$U$5000,ST_OVERVIEW!$B$1)</f>
        <v>0</v>
      </c>
      <c r="F14" s="40"/>
      <c r="G14" s="39" t="str">
        <f t="shared" ca="1" si="15"/>
        <v>-</v>
      </c>
      <c r="H14" s="39" t="str">
        <f t="shared" ca="1" si="16"/>
        <v>-</v>
      </c>
      <c r="I14" s="39" t="str">
        <f t="shared" ca="1" si="17"/>
        <v>-</v>
      </c>
      <c r="J14" s="40"/>
      <c r="K14" s="39" t="str">
        <f t="shared" ca="1" si="18"/>
        <v>-</v>
      </c>
      <c r="L14" s="39" t="str">
        <f t="shared" ca="1" si="19"/>
        <v>-</v>
      </c>
      <c r="M14" s="39" t="str">
        <f t="shared" ca="1" si="20"/>
        <v>-</v>
      </c>
      <c r="N14" s="38"/>
      <c r="O14" s="42" t="str">
        <f t="shared" ca="1" si="21"/>
        <v>-</v>
      </c>
      <c r="P14" s="42" t="str">
        <f t="shared" ca="1" si="22"/>
        <v>-</v>
      </c>
      <c r="Q14" s="42" t="str">
        <f t="shared" ca="1" si="23"/>
        <v>-</v>
      </c>
      <c r="R14" s="42"/>
      <c r="S14" s="42" t="str">
        <f ca="1">IFERROR(VLOOKUP($B$1&amp;$H$3&amp;$B14&amp;S$6&amp;S$7,FC_DATA!$A:$M,10,FALSE),"-")</f>
        <v>-</v>
      </c>
      <c r="T14" s="42" t="str">
        <f ca="1">IFERROR(VLOOKUP($B$1&amp;$H$3&amp;$B14&amp;T$6&amp;T$7,FC_DATA!$A:$M,10,FALSE),"-")</f>
        <v>-</v>
      </c>
      <c r="U14" s="42" t="str">
        <f ca="1">IFERROR(VLOOKUP($B$1&amp;$H$3&amp;$B14&amp;U$6&amp;U$7,FC_DATA!$A:$M,10,FALSE),"-")</f>
        <v>-</v>
      </c>
      <c r="V14" s="42"/>
      <c r="W14" s="42" t="str">
        <f ca="1">IFERROR(VLOOKUP($B$1&amp;$H$3&amp;$B14&amp;W$6&amp;W$7,FC_DATA!$A:$M,13,FALSE),"-")</f>
        <v>-</v>
      </c>
      <c r="X14" s="42" t="str">
        <f ca="1">IFERROR(VLOOKUP($B$1&amp;$H$3&amp;$B14&amp;X$6&amp;X$7,FC_DATA!$A:$M,13,FALSE),"-")</f>
        <v>-</v>
      </c>
      <c r="Y14" s="42" t="str">
        <f ca="1">IFERROR(VLOOKUP($B$1&amp;$H$3&amp;$B14&amp;Y$6&amp;Y$7,FC_DATA!$A:$M,13,FALSE),"-")</f>
        <v>-</v>
      </c>
      <c r="Z14" s="38"/>
      <c r="AA14" s="95">
        <f ca="1">SUMIFS(HIS_SALES!$I$2:$I$5129,HIS_SALES!$H$2:$H$5129,ST_OVERVIEW!AA$6,HIS_SALES!$F$2:$F$5129,VLOOKUP(ST_OVERVIEW!G$6,TIME!$L$12:$M$17,2,FALSE),HIS_SALES!$E$2:$E$5129,ST_OVERVIEW!$B14,HIS_SALES!$D$2:$D$5129,ST_OVERVIEW!$H$3,HIS_SALES!$C$2:$C$5129,ST_OVERVIEW!$B$1)</f>
        <v>77377.51050000031</v>
      </c>
      <c r="AB14" s="95">
        <f ca="1">SUMIFS(HIS_SALES!$I$2:$I$5129,HIS_SALES!$H$2:$H$5129,ST_OVERVIEW!AB$6,HIS_SALES!$F$2:$F$5129,VLOOKUP(ST_OVERVIEW!H$6,TIME!$L$12:$M$17,2,FALSE),HIS_SALES!$E$2:$E$5129,ST_OVERVIEW!$B14,HIS_SALES!$D$2:$D$5129,ST_OVERVIEW!$H$3,HIS_SALES!$C$2:$C$5129,ST_OVERVIEW!$B$1)</f>
        <v>112917.8147</v>
      </c>
      <c r="AC14" s="95">
        <f ca="1">SUMIFS(HIS_SALES!$I$2:$I$5129,HIS_SALES!$H$2:$H$5129,ST_OVERVIEW!AC$6,HIS_SALES!$F$2:$F$5129,VLOOKUP(ST_OVERVIEW!I$6,TIME!$L$12:$M$17,2,FALSE),HIS_SALES!$E$2:$E$5129,ST_OVERVIEW!$B14,HIS_SALES!$D$2:$D$5129,ST_OVERVIEW!$H$3,HIS_SALES!$C$2:$C$5129,ST_OVERVIEW!$B$1)</f>
        <v>98558.68450000041</v>
      </c>
      <c r="AD14" s="402"/>
      <c r="AE14" s="205"/>
      <c r="AF14" s="205"/>
      <c r="AG14" s="205"/>
      <c r="AZ14" s="40"/>
      <c r="BA14" s="40"/>
      <c r="BB14" s="38"/>
      <c r="BC14" s="38"/>
      <c r="BD14" s="39"/>
      <c r="BE14" s="29"/>
      <c r="BF14" s="29"/>
    </row>
    <row r="15" spans="2:58" x14ac:dyDescent="0.25">
      <c r="B15" s="41" t="str">
        <f>'PIVOT TABLE'!A11</f>
        <v>SHOES</v>
      </c>
      <c r="C15" s="535">
        <f ca="1">SUMIFS(FC_DATA!$AC$2:$AC$5000,FC_DATA!$Z$2:$Z$5000,ST_OVERVIEW!C$7,FC_DATA!$X$2:$X$5000,ST_OVERVIEW!C$6,FC_DATA!$W$2:$W$5000,ST_OVERVIEW!$B15,FC_DATA!$V$2:$V$5000,ST_OVERVIEW!$H$3,FC_DATA!$U$2:$U$5000,ST_OVERVIEW!$B$1)</f>
        <v>0</v>
      </c>
      <c r="D15" s="535">
        <f ca="1">SUMIFS(FC_DATA!$AC$2:$AC$5000,FC_DATA!$Z$2:$Z$5000,ST_OVERVIEW!D$7,FC_DATA!$X$2:$X$5000,ST_OVERVIEW!D$6,FC_DATA!$W$2:$W$5000,ST_OVERVIEW!$B15,FC_DATA!$V$2:$V$5000,ST_OVERVIEW!$H$3,FC_DATA!$U$2:$U$5000,ST_OVERVIEW!$B$1)</f>
        <v>0</v>
      </c>
      <c r="E15" s="535">
        <f ca="1">SUMIFS(FC_DATA!$AC$2:$AC$5000,FC_DATA!$Z$2:$Z$5000,ST_OVERVIEW!E$7,FC_DATA!$X$2:$X$5000,ST_OVERVIEW!E$6,FC_DATA!$W$2:$W$5000,ST_OVERVIEW!$B15,FC_DATA!$V$2:$V$5000,ST_OVERVIEW!$H$3,FC_DATA!$U$2:$U$5000,ST_OVERVIEW!$B$1)</f>
        <v>0</v>
      </c>
      <c r="F15" s="40"/>
      <c r="G15" s="39" t="str">
        <f t="shared" ca="1" si="15"/>
        <v>-</v>
      </c>
      <c r="H15" s="39" t="str">
        <f t="shared" ca="1" si="16"/>
        <v>-</v>
      </c>
      <c r="I15" s="39" t="str">
        <f t="shared" ca="1" si="17"/>
        <v>-</v>
      </c>
      <c r="J15" s="40"/>
      <c r="K15" s="39" t="str">
        <f t="shared" ca="1" si="18"/>
        <v>-</v>
      </c>
      <c r="L15" s="39" t="str">
        <f t="shared" ca="1" si="19"/>
        <v>-</v>
      </c>
      <c r="M15" s="39" t="str">
        <f t="shared" ca="1" si="20"/>
        <v>-</v>
      </c>
      <c r="N15" s="38"/>
      <c r="O15" s="42" t="str">
        <f t="shared" ca="1" si="21"/>
        <v>-</v>
      </c>
      <c r="P15" s="42" t="str">
        <f t="shared" ca="1" si="22"/>
        <v>-</v>
      </c>
      <c r="Q15" s="42" t="str">
        <f t="shared" ca="1" si="23"/>
        <v>-</v>
      </c>
      <c r="R15" s="42"/>
      <c r="S15" s="42" t="str">
        <f ca="1">IFERROR(VLOOKUP($B$1&amp;$H$3&amp;$B15&amp;S$6&amp;S$7,FC_DATA!$A:$M,10,FALSE),"-")</f>
        <v>-</v>
      </c>
      <c r="T15" s="42" t="str">
        <f ca="1">IFERROR(VLOOKUP($B$1&amp;$H$3&amp;$B15&amp;T$6&amp;T$7,FC_DATA!$A:$M,10,FALSE),"-")</f>
        <v>-</v>
      </c>
      <c r="U15" s="42" t="str">
        <f ca="1">IFERROR(VLOOKUP($B$1&amp;$H$3&amp;$B15&amp;U$6&amp;U$7,FC_DATA!$A:$M,10,FALSE),"-")</f>
        <v>-</v>
      </c>
      <c r="V15" s="42"/>
      <c r="W15" s="42" t="str">
        <f ca="1">IFERROR(VLOOKUP($B$1&amp;$H$3&amp;$B15&amp;W$6&amp;W$7,FC_DATA!$A:$M,13,FALSE),"-")</f>
        <v>-</v>
      </c>
      <c r="X15" s="42" t="str">
        <f ca="1">IFERROR(VLOOKUP($B$1&amp;$H$3&amp;$B15&amp;X$6&amp;X$7,FC_DATA!$A:$M,13,FALSE),"-")</f>
        <v>-</v>
      </c>
      <c r="Y15" s="42" t="str">
        <f ca="1">IFERROR(VLOOKUP($B$1&amp;$H$3&amp;$B15&amp;Y$6&amp;Y$7,FC_DATA!$A:$M,13,FALSE),"-")</f>
        <v>-</v>
      </c>
      <c r="Z15" s="38"/>
      <c r="AA15" s="95">
        <f ca="1">SUMIFS(HIS_SALES!$I$2:$I$5129,HIS_SALES!$H$2:$H$5129,ST_OVERVIEW!AA$6,HIS_SALES!$F$2:$F$5129,VLOOKUP(ST_OVERVIEW!G$6,TIME!$L$12:$M$17,2,FALSE),HIS_SALES!$E$2:$E$5129,ST_OVERVIEW!$B15,HIS_SALES!$D$2:$D$5129,ST_OVERVIEW!$H$3,HIS_SALES!$C$2:$C$5129,ST_OVERVIEW!$B$1)</f>
        <v>1858.1016000000002</v>
      </c>
      <c r="AB15" s="95">
        <f ca="1">SUMIFS(HIS_SALES!$I$2:$I$5129,HIS_SALES!$H$2:$H$5129,ST_OVERVIEW!AB$6,HIS_SALES!$F$2:$F$5129,VLOOKUP(ST_OVERVIEW!H$6,TIME!$L$12:$M$17,2,FALSE),HIS_SALES!$E$2:$E$5129,ST_OVERVIEW!$B15,HIS_SALES!$D$2:$D$5129,ST_OVERVIEW!$H$3,HIS_SALES!$C$2:$C$5129,ST_OVERVIEW!$B$1)</f>
        <v>13643.1913</v>
      </c>
      <c r="AC15" s="95">
        <f ca="1">SUMIFS(HIS_SALES!$I$2:$I$5129,HIS_SALES!$H$2:$H$5129,ST_OVERVIEW!AC$6,HIS_SALES!$F$2:$F$5129,VLOOKUP(ST_OVERVIEW!I$6,TIME!$L$12:$M$17,2,FALSE),HIS_SALES!$E$2:$E$5129,ST_OVERVIEW!$B15,HIS_SALES!$D$2:$D$5129,ST_OVERVIEW!$H$3,HIS_SALES!$C$2:$C$5129,ST_OVERVIEW!$B$1)</f>
        <v>13808.149300000001</v>
      </c>
      <c r="AD15" s="402"/>
      <c r="AE15" s="205"/>
      <c r="AF15" s="205"/>
      <c r="AG15" s="205"/>
      <c r="AZ15" s="40"/>
      <c r="BA15" s="40"/>
      <c r="BB15" s="38"/>
      <c r="BC15" s="38"/>
      <c r="BD15" s="39"/>
      <c r="BE15" s="29"/>
      <c r="BF15" s="29"/>
    </row>
    <row r="16" spans="2:58" x14ac:dyDescent="0.25">
      <c r="B16" s="41" t="str">
        <f>'PIVOT TABLE'!A12</f>
        <v>SHORTS</v>
      </c>
      <c r="C16" s="535">
        <f ca="1">SUMIFS(FC_DATA!$AC$2:$AC$5000,FC_DATA!$Z$2:$Z$5000,ST_OVERVIEW!C$7,FC_DATA!$X$2:$X$5000,ST_OVERVIEW!C$6,FC_DATA!$W$2:$W$5000,ST_OVERVIEW!$B16,FC_DATA!$V$2:$V$5000,ST_OVERVIEW!$H$3,FC_DATA!$U$2:$U$5000,ST_OVERVIEW!$B$1)</f>
        <v>0</v>
      </c>
      <c r="D16" s="535">
        <f ca="1">SUMIFS(FC_DATA!$AC$2:$AC$5000,FC_DATA!$Z$2:$Z$5000,ST_OVERVIEW!D$7,FC_DATA!$X$2:$X$5000,ST_OVERVIEW!D$6,FC_DATA!$W$2:$W$5000,ST_OVERVIEW!$B16,FC_DATA!$V$2:$V$5000,ST_OVERVIEW!$H$3,FC_DATA!$U$2:$U$5000,ST_OVERVIEW!$B$1)</f>
        <v>0</v>
      </c>
      <c r="E16" s="535">
        <f ca="1">SUMIFS(FC_DATA!$AC$2:$AC$5000,FC_DATA!$Z$2:$Z$5000,ST_OVERVIEW!E$7,FC_DATA!$X$2:$X$5000,ST_OVERVIEW!E$6,FC_DATA!$W$2:$W$5000,ST_OVERVIEW!$B16,FC_DATA!$V$2:$V$5000,ST_OVERVIEW!$H$3,FC_DATA!$U$2:$U$5000,ST_OVERVIEW!$B$1)</f>
        <v>0</v>
      </c>
      <c r="F16" s="40"/>
      <c r="G16" s="39" t="str">
        <f t="shared" ca="1" si="15"/>
        <v>-</v>
      </c>
      <c r="H16" s="39" t="str">
        <f t="shared" ca="1" si="16"/>
        <v>-</v>
      </c>
      <c r="I16" s="39" t="str">
        <f t="shared" ca="1" si="17"/>
        <v>-</v>
      </c>
      <c r="J16" s="40"/>
      <c r="K16" s="39" t="str">
        <f t="shared" ca="1" si="18"/>
        <v>-</v>
      </c>
      <c r="L16" s="39" t="str">
        <f t="shared" ca="1" si="19"/>
        <v>-</v>
      </c>
      <c r="M16" s="39" t="str">
        <f t="shared" ca="1" si="20"/>
        <v>-</v>
      </c>
      <c r="N16" s="38"/>
      <c r="O16" s="42" t="str">
        <f t="shared" ca="1" si="21"/>
        <v>-</v>
      </c>
      <c r="P16" s="42" t="str">
        <f t="shared" ca="1" si="22"/>
        <v>-</v>
      </c>
      <c r="Q16" s="42" t="str">
        <f t="shared" ca="1" si="23"/>
        <v>-</v>
      </c>
      <c r="R16" s="42"/>
      <c r="S16" s="42" t="str">
        <f ca="1">IFERROR(VLOOKUP($B$1&amp;$H$3&amp;$B16&amp;S$6&amp;S$7,FC_DATA!$A:$M,10,FALSE),"-")</f>
        <v>-</v>
      </c>
      <c r="T16" s="42" t="str">
        <f ca="1">IFERROR(VLOOKUP($B$1&amp;$H$3&amp;$B16&amp;T$6&amp;T$7,FC_DATA!$A:$M,10,FALSE),"-")</f>
        <v>-</v>
      </c>
      <c r="U16" s="42" t="str">
        <f ca="1">IFERROR(VLOOKUP($B$1&amp;$H$3&amp;$B16&amp;U$6&amp;U$7,FC_DATA!$A:$M,10,FALSE),"-")</f>
        <v>-</v>
      </c>
      <c r="V16" s="42"/>
      <c r="W16" s="42" t="str">
        <f ca="1">IFERROR(VLOOKUP($B$1&amp;$H$3&amp;$B16&amp;W$6&amp;W$7,FC_DATA!$A:$M,13,FALSE),"-")</f>
        <v>-</v>
      </c>
      <c r="X16" s="42" t="str">
        <f ca="1">IFERROR(VLOOKUP($B$1&amp;$H$3&amp;$B16&amp;X$6&amp;X$7,FC_DATA!$A:$M,13,FALSE),"-")</f>
        <v>-</v>
      </c>
      <c r="Y16" s="42" t="str">
        <f ca="1">IFERROR(VLOOKUP($B$1&amp;$H$3&amp;$B16&amp;Y$6&amp;Y$7,FC_DATA!$A:$M,13,FALSE),"-")</f>
        <v>-</v>
      </c>
      <c r="Z16" s="38"/>
      <c r="AA16" s="95">
        <f ca="1">SUMIFS(HIS_SALES!$I$2:$I$5129,HIS_SALES!$H$2:$H$5129,ST_OVERVIEW!AA$6,HIS_SALES!$F$2:$F$5129,VLOOKUP(ST_OVERVIEW!G$6,TIME!$L$12:$M$17,2,FALSE),HIS_SALES!$E$2:$E$5129,ST_OVERVIEW!$B16,HIS_SALES!$D$2:$D$5129,ST_OVERVIEW!$H$3,HIS_SALES!$C$2:$C$5129,ST_OVERVIEW!$B$1)</f>
        <v>13104.227700000001</v>
      </c>
      <c r="AB16" s="95">
        <f ca="1">SUMIFS(HIS_SALES!$I$2:$I$5129,HIS_SALES!$H$2:$H$5129,ST_OVERVIEW!AB$6,HIS_SALES!$F$2:$F$5129,VLOOKUP(ST_OVERVIEW!H$6,TIME!$L$12:$M$17,2,FALSE),HIS_SALES!$E$2:$E$5129,ST_OVERVIEW!$B16,HIS_SALES!$D$2:$D$5129,ST_OVERVIEW!$H$3,HIS_SALES!$C$2:$C$5129,ST_OVERVIEW!$B$1)</f>
        <v>62715.347700000202</v>
      </c>
      <c r="AC16" s="95">
        <f ca="1">SUMIFS(HIS_SALES!$I$2:$I$5129,HIS_SALES!$H$2:$H$5129,ST_OVERVIEW!AC$6,HIS_SALES!$F$2:$F$5129,VLOOKUP(ST_OVERVIEW!I$6,TIME!$L$12:$M$17,2,FALSE),HIS_SALES!$E$2:$E$5129,ST_OVERVIEW!$B16,HIS_SALES!$D$2:$D$5129,ST_OVERVIEW!$H$3,HIS_SALES!$C$2:$C$5129,ST_OVERVIEW!$B$1)</f>
        <v>116566.6048</v>
      </c>
      <c r="AD16" s="402"/>
      <c r="AE16" s="205"/>
      <c r="AF16" s="205"/>
      <c r="AG16" s="205"/>
      <c r="AZ16" s="40"/>
      <c r="BA16" s="40"/>
      <c r="BB16" s="38"/>
      <c r="BC16" s="38"/>
      <c r="BD16" s="39"/>
      <c r="BE16" s="29"/>
      <c r="BF16" s="29"/>
    </row>
    <row r="17" spans="2:58" x14ac:dyDescent="0.25">
      <c r="B17" s="41" t="str">
        <f>'PIVOT TABLE'!A13</f>
        <v>SKIRTS</v>
      </c>
      <c r="C17" s="535">
        <f ca="1">SUMIFS(FC_DATA!$AC$2:$AC$5000,FC_DATA!$Z$2:$Z$5000,ST_OVERVIEW!C$7,FC_DATA!$X$2:$X$5000,ST_OVERVIEW!C$6,FC_DATA!$W$2:$W$5000,ST_OVERVIEW!$B17,FC_DATA!$V$2:$V$5000,ST_OVERVIEW!$H$3,FC_DATA!$U$2:$U$5000,ST_OVERVIEW!$B$1)</f>
        <v>0</v>
      </c>
      <c r="D17" s="535">
        <f ca="1">SUMIFS(FC_DATA!$AC$2:$AC$5000,FC_DATA!$Z$2:$Z$5000,ST_OVERVIEW!D$7,FC_DATA!$X$2:$X$5000,ST_OVERVIEW!D$6,FC_DATA!$W$2:$W$5000,ST_OVERVIEW!$B17,FC_DATA!$V$2:$V$5000,ST_OVERVIEW!$H$3,FC_DATA!$U$2:$U$5000,ST_OVERVIEW!$B$1)</f>
        <v>0</v>
      </c>
      <c r="E17" s="535">
        <f ca="1">SUMIFS(FC_DATA!$AC$2:$AC$5000,FC_DATA!$Z$2:$Z$5000,ST_OVERVIEW!E$7,FC_DATA!$X$2:$X$5000,ST_OVERVIEW!E$6,FC_DATA!$W$2:$W$5000,ST_OVERVIEW!$B17,FC_DATA!$V$2:$V$5000,ST_OVERVIEW!$H$3,FC_DATA!$U$2:$U$5000,ST_OVERVIEW!$B$1)</f>
        <v>0</v>
      </c>
      <c r="F17" s="40"/>
      <c r="G17" s="39" t="str">
        <f t="shared" ca="1" si="15"/>
        <v>-</v>
      </c>
      <c r="H17" s="39" t="str">
        <f t="shared" ca="1" si="16"/>
        <v>-</v>
      </c>
      <c r="I17" s="39" t="str">
        <f t="shared" ca="1" si="17"/>
        <v>-</v>
      </c>
      <c r="J17" s="40"/>
      <c r="K17" s="39" t="str">
        <f t="shared" ca="1" si="18"/>
        <v>-</v>
      </c>
      <c r="L17" s="39" t="str">
        <f t="shared" ca="1" si="19"/>
        <v>-</v>
      </c>
      <c r="M17" s="39" t="str">
        <f t="shared" ca="1" si="20"/>
        <v>-</v>
      </c>
      <c r="N17" s="38"/>
      <c r="O17" s="42" t="str">
        <f t="shared" ca="1" si="21"/>
        <v>-</v>
      </c>
      <c r="P17" s="42" t="str">
        <f t="shared" ca="1" si="22"/>
        <v>-</v>
      </c>
      <c r="Q17" s="42" t="str">
        <f t="shared" ca="1" si="23"/>
        <v>-</v>
      </c>
      <c r="R17" s="42"/>
      <c r="S17" s="42" t="str">
        <f ca="1">IFERROR(VLOOKUP($B$1&amp;$H$3&amp;$B17&amp;S$6&amp;S$7,FC_DATA!$A:$M,10,FALSE),"-")</f>
        <v>-</v>
      </c>
      <c r="T17" s="42" t="str">
        <f ca="1">IFERROR(VLOOKUP($B$1&amp;$H$3&amp;$B17&amp;T$6&amp;T$7,FC_DATA!$A:$M,10,FALSE),"-")</f>
        <v>-</v>
      </c>
      <c r="U17" s="42" t="str">
        <f ca="1">IFERROR(VLOOKUP($B$1&amp;$H$3&amp;$B17&amp;U$6&amp;U$7,FC_DATA!$A:$M,10,FALSE),"-")</f>
        <v>-</v>
      </c>
      <c r="V17" s="42"/>
      <c r="W17" s="42" t="str">
        <f ca="1">IFERROR(VLOOKUP($B$1&amp;$H$3&amp;$B17&amp;W$6&amp;W$7,FC_DATA!$A:$M,13,FALSE),"-")</f>
        <v>-</v>
      </c>
      <c r="X17" s="42" t="str">
        <f ca="1">IFERROR(VLOOKUP($B$1&amp;$H$3&amp;$B17&amp;X$6&amp;X$7,FC_DATA!$A:$M,13,FALSE),"-")</f>
        <v>-</v>
      </c>
      <c r="Y17" s="42" t="str">
        <f ca="1">IFERROR(VLOOKUP($B$1&amp;$H$3&amp;$B17&amp;Y$6&amp;Y$7,FC_DATA!$A:$M,13,FALSE),"-")</f>
        <v>-</v>
      </c>
      <c r="Z17" s="38"/>
      <c r="AA17" s="95">
        <f ca="1">SUMIFS(HIS_SALES!$I$2:$I$5129,HIS_SALES!$H$2:$H$5129,ST_OVERVIEW!AA$6,HIS_SALES!$F$2:$F$5129,VLOOKUP(ST_OVERVIEW!G$6,TIME!$L$12:$M$17,2,FALSE),HIS_SALES!$E$2:$E$5129,ST_OVERVIEW!$B17,HIS_SALES!$D$2:$D$5129,ST_OVERVIEW!$H$3,HIS_SALES!$C$2:$C$5129,ST_OVERVIEW!$B$1)</f>
        <v>59932.8565000003</v>
      </c>
      <c r="AB17" s="95">
        <f ca="1">SUMIFS(HIS_SALES!$I$2:$I$5129,HIS_SALES!$H$2:$H$5129,ST_OVERVIEW!AB$6,HIS_SALES!$F$2:$F$5129,VLOOKUP(ST_OVERVIEW!H$6,TIME!$L$12:$M$17,2,FALSE),HIS_SALES!$E$2:$E$5129,ST_OVERVIEW!$B17,HIS_SALES!$D$2:$D$5129,ST_OVERVIEW!$H$3,HIS_SALES!$C$2:$C$5129,ST_OVERVIEW!$B$1)</f>
        <v>82933.7425000004</v>
      </c>
      <c r="AC17" s="95">
        <f ca="1">SUMIFS(HIS_SALES!$I$2:$I$5129,HIS_SALES!$H$2:$H$5129,ST_OVERVIEW!AC$6,HIS_SALES!$F$2:$F$5129,VLOOKUP(ST_OVERVIEW!I$6,TIME!$L$12:$M$17,2,FALSE),HIS_SALES!$E$2:$E$5129,ST_OVERVIEW!$B17,HIS_SALES!$D$2:$D$5129,ST_OVERVIEW!$H$3,HIS_SALES!$C$2:$C$5129,ST_OVERVIEW!$B$1)</f>
        <v>101445.3729</v>
      </c>
      <c r="AD17" s="402"/>
      <c r="AE17" s="205"/>
      <c r="AF17" s="205"/>
      <c r="AG17" s="205"/>
      <c r="AZ17" s="40"/>
      <c r="BA17" s="40"/>
      <c r="BB17" s="38"/>
      <c r="BC17" s="38"/>
      <c r="BD17" s="39"/>
      <c r="BE17" s="29"/>
      <c r="BF17" s="29"/>
    </row>
    <row r="18" spans="2:58" x14ac:dyDescent="0.25">
      <c r="B18" s="41" t="str">
        <f>'PIVOT TABLE'!A14</f>
        <v>SWEAT</v>
      </c>
      <c r="C18" s="535">
        <f ca="1">SUMIFS(FC_DATA!$AC$2:$AC$5000,FC_DATA!$Z$2:$Z$5000,ST_OVERVIEW!C$7,FC_DATA!$X$2:$X$5000,ST_OVERVIEW!C$6,FC_DATA!$W$2:$W$5000,ST_OVERVIEW!$B18,FC_DATA!$V$2:$V$5000,ST_OVERVIEW!$H$3,FC_DATA!$U$2:$U$5000,ST_OVERVIEW!$B$1)</f>
        <v>0</v>
      </c>
      <c r="D18" s="535">
        <f ca="1">SUMIFS(FC_DATA!$AC$2:$AC$5000,FC_DATA!$Z$2:$Z$5000,ST_OVERVIEW!D$7,FC_DATA!$X$2:$X$5000,ST_OVERVIEW!D$6,FC_DATA!$W$2:$W$5000,ST_OVERVIEW!$B18,FC_DATA!$V$2:$V$5000,ST_OVERVIEW!$H$3,FC_DATA!$U$2:$U$5000,ST_OVERVIEW!$B$1)</f>
        <v>0</v>
      </c>
      <c r="E18" s="535">
        <f ca="1">SUMIFS(FC_DATA!$AC$2:$AC$5000,FC_DATA!$Z$2:$Z$5000,ST_OVERVIEW!E$7,FC_DATA!$X$2:$X$5000,ST_OVERVIEW!E$6,FC_DATA!$W$2:$W$5000,ST_OVERVIEW!$B18,FC_DATA!$V$2:$V$5000,ST_OVERVIEW!$H$3,FC_DATA!$U$2:$U$5000,ST_OVERVIEW!$B$1)</f>
        <v>0</v>
      </c>
      <c r="F18" s="40"/>
      <c r="G18" s="39" t="str">
        <f t="shared" ca="1" si="15"/>
        <v>-</v>
      </c>
      <c r="H18" s="39" t="str">
        <f t="shared" ca="1" si="16"/>
        <v>-</v>
      </c>
      <c r="I18" s="39" t="str">
        <f t="shared" ca="1" si="17"/>
        <v>-</v>
      </c>
      <c r="J18" s="40"/>
      <c r="K18" s="39" t="str">
        <f t="shared" ca="1" si="18"/>
        <v>-</v>
      </c>
      <c r="L18" s="39" t="str">
        <f t="shared" ca="1" si="19"/>
        <v>-</v>
      </c>
      <c r="M18" s="39" t="str">
        <f t="shared" ca="1" si="20"/>
        <v>-</v>
      </c>
      <c r="N18" s="38"/>
      <c r="O18" s="42" t="str">
        <f t="shared" ca="1" si="21"/>
        <v>-</v>
      </c>
      <c r="P18" s="42" t="str">
        <f t="shared" ca="1" si="22"/>
        <v>-</v>
      </c>
      <c r="Q18" s="42" t="str">
        <f t="shared" ca="1" si="23"/>
        <v>-</v>
      </c>
      <c r="R18" s="42"/>
      <c r="S18" s="42" t="str">
        <f ca="1">IFERROR(VLOOKUP($B$1&amp;$H$3&amp;$B18&amp;S$6&amp;S$7,FC_DATA!$A:$M,10,FALSE),"-")</f>
        <v>-</v>
      </c>
      <c r="T18" s="42" t="str">
        <f ca="1">IFERROR(VLOOKUP($B$1&amp;$H$3&amp;$B18&amp;T$6&amp;T$7,FC_DATA!$A:$M,10,FALSE),"-")</f>
        <v>-</v>
      </c>
      <c r="U18" s="42" t="str">
        <f ca="1">IFERROR(VLOOKUP($B$1&amp;$H$3&amp;$B18&amp;U$6&amp;U$7,FC_DATA!$A:$M,10,FALSE),"-")</f>
        <v>-</v>
      </c>
      <c r="V18" s="42"/>
      <c r="W18" s="42" t="str">
        <f ca="1">IFERROR(VLOOKUP($B$1&amp;$H$3&amp;$B18&amp;W$6&amp;W$7,FC_DATA!$A:$M,13,FALSE),"-")</f>
        <v>-</v>
      </c>
      <c r="X18" s="42" t="str">
        <f ca="1">IFERROR(VLOOKUP($B$1&amp;$H$3&amp;$B18&amp;X$6&amp;X$7,FC_DATA!$A:$M,13,FALSE),"-")</f>
        <v>-</v>
      </c>
      <c r="Y18" s="42" t="str">
        <f ca="1">IFERROR(VLOOKUP($B$1&amp;$H$3&amp;$B18&amp;Y$6&amp;Y$7,FC_DATA!$A:$M,13,FALSE),"-")</f>
        <v>-</v>
      </c>
      <c r="Z18" s="38"/>
      <c r="AA18" s="95">
        <f ca="1">SUMIFS(HIS_SALES!$I$2:$I$5129,HIS_SALES!$H$2:$H$5129,ST_OVERVIEW!AA$6,HIS_SALES!$F$2:$F$5129,VLOOKUP(ST_OVERVIEW!G$6,TIME!$L$12:$M$17,2,FALSE),HIS_SALES!$E$2:$E$5129,ST_OVERVIEW!$B18,HIS_SALES!$D$2:$D$5129,ST_OVERVIEW!$H$3,HIS_SALES!$C$2:$C$5129,ST_OVERVIEW!$B$1)</f>
        <v>14868.8449</v>
      </c>
      <c r="AB18" s="95">
        <f ca="1">SUMIFS(HIS_SALES!$I$2:$I$5129,HIS_SALES!$H$2:$H$5129,ST_OVERVIEW!AB$6,HIS_SALES!$F$2:$F$5129,VLOOKUP(ST_OVERVIEW!H$6,TIME!$L$12:$M$17,2,FALSE),HIS_SALES!$E$2:$E$5129,ST_OVERVIEW!$B18,HIS_SALES!$D$2:$D$5129,ST_OVERVIEW!$H$3,HIS_SALES!$C$2:$C$5129,ST_OVERVIEW!$B$1)</f>
        <v>18529.623299999999</v>
      </c>
      <c r="AC18" s="95">
        <f ca="1">SUMIFS(HIS_SALES!$I$2:$I$5129,HIS_SALES!$H$2:$H$5129,ST_OVERVIEW!AC$6,HIS_SALES!$F$2:$F$5129,VLOOKUP(ST_OVERVIEW!I$6,TIME!$L$12:$M$17,2,FALSE),HIS_SALES!$E$2:$E$5129,ST_OVERVIEW!$B18,HIS_SALES!$D$2:$D$5129,ST_OVERVIEW!$H$3,HIS_SALES!$C$2:$C$5129,ST_OVERVIEW!$B$1)</f>
        <v>14018.9771</v>
      </c>
      <c r="AD18" s="402"/>
      <c r="AE18" s="205"/>
      <c r="AF18" s="205"/>
      <c r="AG18" s="205"/>
      <c r="AZ18" s="40"/>
      <c r="BA18" s="40"/>
      <c r="BB18" s="38"/>
      <c r="BC18" s="38"/>
      <c r="BD18" s="39"/>
      <c r="BE18" s="29"/>
      <c r="BF18" s="29"/>
    </row>
    <row r="19" spans="2:58" x14ac:dyDescent="0.25">
      <c r="B19" s="41" t="str">
        <f>'PIVOT TABLE'!A15</f>
        <v>TAILORING</v>
      </c>
      <c r="C19" s="535">
        <f ca="1">SUMIFS(FC_DATA!$AC$2:$AC$5000,FC_DATA!$Z$2:$Z$5000,ST_OVERVIEW!C$7,FC_DATA!$X$2:$X$5000,ST_OVERVIEW!C$6,FC_DATA!$W$2:$W$5000,ST_OVERVIEW!$B19,FC_DATA!$V$2:$V$5000,ST_OVERVIEW!$H$3,FC_DATA!$U$2:$U$5000,ST_OVERVIEW!$B$1)</f>
        <v>0</v>
      </c>
      <c r="D19" s="535">
        <f ca="1">SUMIFS(FC_DATA!$AC$2:$AC$5000,FC_DATA!$Z$2:$Z$5000,ST_OVERVIEW!D$7,FC_DATA!$X$2:$X$5000,ST_OVERVIEW!D$6,FC_DATA!$W$2:$W$5000,ST_OVERVIEW!$B19,FC_DATA!$V$2:$V$5000,ST_OVERVIEW!$H$3,FC_DATA!$U$2:$U$5000,ST_OVERVIEW!$B$1)</f>
        <v>0</v>
      </c>
      <c r="E19" s="535">
        <f ca="1">SUMIFS(FC_DATA!$AC$2:$AC$5000,FC_DATA!$Z$2:$Z$5000,ST_OVERVIEW!E$7,FC_DATA!$X$2:$X$5000,ST_OVERVIEW!E$6,FC_DATA!$W$2:$W$5000,ST_OVERVIEW!$B19,FC_DATA!$V$2:$V$5000,ST_OVERVIEW!$H$3,FC_DATA!$U$2:$U$5000,ST_OVERVIEW!$B$1)</f>
        <v>0</v>
      </c>
      <c r="F19" s="40"/>
      <c r="G19" s="39" t="str">
        <f t="shared" ca="1" si="15"/>
        <v>-</v>
      </c>
      <c r="H19" s="39" t="str">
        <f t="shared" ca="1" si="16"/>
        <v>-</v>
      </c>
      <c r="I19" s="39" t="str">
        <f t="shared" ca="1" si="17"/>
        <v>-</v>
      </c>
      <c r="J19" s="40"/>
      <c r="K19" s="39" t="str">
        <f t="shared" ca="1" si="18"/>
        <v>-</v>
      </c>
      <c r="L19" s="39" t="str">
        <f t="shared" ca="1" si="19"/>
        <v>-</v>
      </c>
      <c r="M19" s="39" t="str">
        <f t="shared" ca="1" si="20"/>
        <v>-</v>
      </c>
      <c r="N19" s="38"/>
      <c r="O19" s="42" t="str">
        <f t="shared" ca="1" si="21"/>
        <v>-</v>
      </c>
      <c r="P19" s="42" t="str">
        <f t="shared" ca="1" si="22"/>
        <v>-</v>
      </c>
      <c r="Q19" s="42" t="str">
        <f t="shared" ca="1" si="23"/>
        <v>-</v>
      </c>
      <c r="R19" s="42"/>
      <c r="S19" s="42" t="str">
        <f ca="1">IFERROR(VLOOKUP($B$1&amp;$H$3&amp;$B19&amp;S$6&amp;S$7,FC_DATA!$A:$M,10,FALSE),"-")</f>
        <v>-</v>
      </c>
      <c r="T19" s="42" t="str">
        <f ca="1">IFERROR(VLOOKUP($B$1&amp;$H$3&amp;$B19&amp;T$6&amp;T$7,FC_DATA!$A:$M,10,FALSE),"-")</f>
        <v>-</v>
      </c>
      <c r="U19" s="42" t="str">
        <f ca="1">IFERROR(VLOOKUP($B$1&amp;$H$3&amp;$B19&amp;U$6&amp;U$7,FC_DATA!$A:$M,10,FALSE),"-")</f>
        <v>-</v>
      </c>
      <c r="V19" s="42"/>
      <c r="W19" s="42" t="str">
        <f ca="1">IFERROR(VLOOKUP($B$1&amp;$H$3&amp;$B19&amp;W$6&amp;W$7,FC_DATA!$A:$M,13,FALSE),"-")</f>
        <v>-</v>
      </c>
      <c r="X19" s="42" t="str">
        <f ca="1">IFERROR(VLOOKUP($B$1&amp;$H$3&amp;$B19&amp;X$6&amp;X$7,FC_DATA!$A:$M,13,FALSE),"-")</f>
        <v>-</v>
      </c>
      <c r="Y19" s="42" t="str">
        <f ca="1">IFERROR(VLOOKUP($B$1&amp;$H$3&amp;$B19&amp;Y$6&amp;Y$7,FC_DATA!$A:$M,13,FALSE),"-")</f>
        <v>-</v>
      </c>
      <c r="Z19" s="38"/>
      <c r="AA19" s="95">
        <f ca="1">SUMIFS(HIS_SALES!$I$2:$I$5129,HIS_SALES!$H$2:$H$5129,ST_OVERVIEW!AA$6,HIS_SALES!$F$2:$F$5129,VLOOKUP(ST_OVERVIEW!G$6,TIME!$L$12:$M$17,2,FALSE),HIS_SALES!$E$2:$E$5129,ST_OVERVIEW!$B19,HIS_SALES!$D$2:$D$5129,ST_OVERVIEW!$H$3,HIS_SALES!$C$2:$C$5129,ST_OVERVIEW!$B$1)</f>
        <v>125756.321</v>
      </c>
      <c r="AB19" s="95">
        <f ca="1">SUMIFS(HIS_SALES!$I$2:$I$5129,HIS_SALES!$H$2:$H$5129,ST_OVERVIEW!AB$6,HIS_SALES!$F$2:$F$5129,VLOOKUP(ST_OVERVIEW!H$6,TIME!$L$12:$M$17,2,FALSE),HIS_SALES!$E$2:$E$5129,ST_OVERVIEW!$B19,HIS_SALES!$D$2:$D$5129,ST_OVERVIEW!$H$3,HIS_SALES!$C$2:$C$5129,ST_OVERVIEW!$B$1)</f>
        <v>199431.47880000001</v>
      </c>
      <c r="AC19" s="95">
        <f ca="1">SUMIFS(HIS_SALES!$I$2:$I$5129,HIS_SALES!$H$2:$H$5129,ST_OVERVIEW!AC$6,HIS_SALES!$F$2:$F$5129,VLOOKUP(ST_OVERVIEW!I$6,TIME!$L$12:$M$17,2,FALSE),HIS_SALES!$E$2:$E$5129,ST_OVERVIEW!$B19,HIS_SALES!$D$2:$D$5129,ST_OVERVIEW!$H$3,HIS_SALES!$C$2:$C$5129,ST_OVERVIEW!$B$1)</f>
        <v>211928.7378</v>
      </c>
      <c r="AD19" s="402"/>
      <c r="AE19" s="205"/>
      <c r="AF19" s="205"/>
      <c r="AG19" s="205"/>
      <c r="AZ19" s="40"/>
      <c r="BA19" s="40"/>
      <c r="BB19" s="38"/>
      <c r="BC19" s="38"/>
      <c r="BD19" s="39"/>
      <c r="BE19" s="29"/>
      <c r="BF19" s="29"/>
    </row>
    <row r="20" spans="2:58" x14ac:dyDescent="0.25">
      <c r="B20" s="41" t="str">
        <f>'PIVOT TABLE'!A16</f>
        <v>TOPS</v>
      </c>
      <c r="C20" s="535">
        <f ca="1">SUMIFS(FC_DATA!$AC$2:$AC$5000,FC_DATA!$Z$2:$Z$5000,ST_OVERVIEW!C$7,FC_DATA!$X$2:$X$5000,ST_OVERVIEW!C$6,FC_DATA!$W$2:$W$5000,ST_OVERVIEW!$B20,FC_DATA!$V$2:$V$5000,ST_OVERVIEW!$H$3,FC_DATA!$U$2:$U$5000,ST_OVERVIEW!$B$1)</f>
        <v>0</v>
      </c>
      <c r="D20" s="535">
        <f ca="1">SUMIFS(FC_DATA!$AC$2:$AC$5000,FC_DATA!$Z$2:$Z$5000,ST_OVERVIEW!D$7,FC_DATA!$X$2:$X$5000,ST_OVERVIEW!D$6,FC_DATA!$W$2:$W$5000,ST_OVERVIEW!$B20,FC_DATA!$V$2:$V$5000,ST_OVERVIEW!$H$3,FC_DATA!$U$2:$U$5000,ST_OVERVIEW!$B$1)</f>
        <v>0</v>
      </c>
      <c r="E20" s="535">
        <f ca="1">SUMIFS(FC_DATA!$AC$2:$AC$5000,FC_DATA!$Z$2:$Z$5000,ST_OVERVIEW!E$7,FC_DATA!$X$2:$X$5000,ST_OVERVIEW!E$6,FC_DATA!$W$2:$W$5000,ST_OVERVIEW!$B20,FC_DATA!$V$2:$V$5000,ST_OVERVIEW!$H$3,FC_DATA!$U$2:$U$5000,ST_OVERVIEW!$B$1)</f>
        <v>0</v>
      </c>
      <c r="F20" s="40"/>
      <c r="G20" s="39" t="str">
        <f t="shared" ca="1" si="15"/>
        <v>-</v>
      </c>
      <c r="H20" s="39" t="str">
        <f t="shared" ca="1" si="16"/>
        <v>-</v>
      </c>
      <c r="I20" s="39" t="str">
        <f t="shared" ca="1" si="17"/>
        <v>-</v>
      </c>
      <c r="J20" s="40"/>
      <c r="K20" s="39" t="str">
        <f t="shared" ca="1" si="18"/>
        <v>-</v>
      </c>
      <c r="L20" s="39" t="str">
        <f t="shared" ca="1" si="19"/>
        <v>-</v>
      </c>
      <c r="M20" s="39" t="str">
        <f t="shared" ca="1" si="20"/>
        <v>-</v>
      </c>
      <c r="N20" s="38"/>
      <c r="O20" s="42" t="str">
        <f t="shared" ca="1" si="21"/>
        <v>-</v>
      </c>
      <c r="P20" s="42" t="str">
        <f t="shared" ca="1" si="22"/>
        <v>-</v>
      </c>
      <c r="Q20" s="42" t="str">
        <f t="shared" ca="1" si="23"/>
        <v>-</v>
      </c>
      <c r="R20" s="42"/>
      <c r="S20" s="42" t="str">
        <f ca="1">IFERROR(VLOOKUP($B$1&amp;$H$3&amp;$B20&amp;S$6&amp;S$7,FC_DATA!$A:$M,10,FALSE),"-")</f>
        <v>-</v>
      </c>
      <c r="T20" s="42" t="str">
        <f ca="1">IFERROR(VLOOKUP($B$1&amp;$H$3&amp;$B20&amp;T$6&amp;T$7,FC_DATA!$A:$M,10,FALSE),"-")</f>
        <v>-</v>
      </c>
      <c r="U20" s="42" t="str">
        <f ca="1">IFERROR(VLOOKUP($B$1&amp;$H$3&amp;$B20&amp;U$6&amp;U$7,FC_DATA!$A:$M,10,FALSE),"-")</f>
        <v>-</v>
      </c>
      <c r="V20" s="42"/>
      <c r="W20" s="42" t="str">
        <f ca="1">IFERROR(VLOOKUP($B$1&amp;$H$3&amp;$B20&amp;W$6&amp;W$7,FC_DATA!$A:$M,13,FALSE),"-")</f>
        <v>-</v>
      </c>
      <c r="X20" s="42" t="str">
        <f ca="1">IFERROR(VLOOKUP($B$1&amp;$H$3&amp;$B20&amp;X$6&amp;X$7,FC_DATA!$A:$M,13,FALSE),"-")</f>
        <v>-</v>
      </c>
      <c r="Y20" s="42" t="str">
        <f ca="1">IFERROR(VLOOKUP($B$1&amp;$H$3&amp;$B20&amp;Y$6&amp;Y$7,FC_DATA!$A:$M,13,FALSE),"-")</f>
        <v>-</v>
      </c>
      <c r="Z20" s="38"/>
      <c r="AA20" s="95">
        <f ca="1">SUMIFS(HIS_SALES!$I$2:$I$5129,HIS_SALES!$H$2:$H$5129,ST_OVERVIEW!AA$6,HIS_SALES!$F$2:$F$5129,VLOOKUP(ST_OVERVIEW!G$6,TIME!$L$12:$M$17,2,FALSE),HIS_SALES!$E$2:$E$5129,ST_OVERVIEW!$B20,HIS_SALES!$D$2:$D$5129,ST_OVERVIEW!$H$3,HIS_SALES!$C$2:$C$5129,ST_OVERVIEW!$B$1)</f>
        <v>21880.116300000002</v>
      </c>
      <c r="AB20" s="95">
        <f ca="1">SUMIFS(HIS_SALES!$I$2:$I$5129,HIS_SALES!$H$2:$H$5129,ST_OVERVIEW!AB$6,HIS_SALES!$F$2:$F$5129,VLOOKUP(ST_OVERVIEW!H$6,TIME!$L$12:$M$17,2,FALSE),HIS_SALES!$E$2:$E$5129,ST_OVERVIEW!$B20,HIS_SALES!$D$2:$D$5129,ST_OVERVIEW!$H$3,HIS_SALES!$C$2:$C$5129,ST_OVERVIEW!$B$1)</f>
        <v>32036.102699999901</v>
      </c>
      <c r="AC20" s="95">
        <f ca="1">SUMIFS(HIS_SALES!$I$2:$I$5129,HIS_SALES!$H$2:$H$5129,ST_OVERVIEW!AC$6,HIS_SALES!$F$2:$F$5129,VLOOKUP(ST_OVERVIEW!I$6,TIME!$L$12:$M$17,2,FALSE),HIS_SALES!$E$2:$E$5129,ST_OVERVIEW!$B20,HIS_SALES!$D$2:$D$5129,ST_OVERVIEW!$H$3,HIS_SALES!$C$2:$C$5129,ST_OVERVIEW!$B$1)</f>
        <v>37284.516599999901</v>
      </c>
      <c r="AD20" s="402"/>
      <c r="AE20" s="205"/>
      <c r="AF20" s="205"/>
      <c r="AG20" s="205"/>
      <c r="AZ20" s="40"/>
      <c r="BA20" s="40"/>
      <c r="BB20" s="38"/>
      <c r="BC20" s="38"/>
      <c r="BD20" s="39"/>
      <c r="BE20" s="29"/>
      <c r="BF20" s="29"/>
    </row>
    <row r="21" spans="2:58" x14ac:dyDescent="0.25">
      <c r="B21" s="41" t="str">
        <f>'PIVOT TABLE'!A17</f>
        <v>T-SHIRTS</v>
      </c>
      <c r="C21" s="535">
        <f ca="1">SUMIFS(FC_DATA!$AC$2:$AC$5000,FC_DATA!$Z$2:$Z$5000,ST_OVERVIEW!C$7,FC_DATA!$X$2:$X$5000,ST_OVERVIEW!C$6,FC_DATA!$W$2:$W$5000,ST_OVERVIEW!$B21,FC_DATA!$V$2:$V$5000,ST_OVERVIEW!$H$3,FC_DATA!$U$2:$U$5000,ST_OVERVIEW!$B$1)</f>
        <v>0</v>
      </c>
      <c r="D21" s="535">
        <f ca="1">SUMIFS(FC_DATA!$AC$2:$AC$5000,FC_DATA!$Z$2:$Z$5000,ST_OVERVIEW!D$7,FC_DATA!$X$2:$X$5000,ST_OVERVIEW!D$6,FC_DATA!$W$2:$W$5000,ST_OVERVIEW!$B21,FC_DATA!$V$2:$V$5000,ST_OVERVIEW!$H$3,FC_DATA!$U$2:$U$5000,ST_OVERVIEW!$B$1)</f>
        <v>0</v>
      </c>
      <c r="E21" s="535">
        <f ca="1">SUMIFS(FC_DATA!$AC$2:$AC$5000,FC_DATA!$Z$2:$Z$5000,ST_OVERVIEW!E$7,FC_DATA!$X$2:$X$5000,ST_OVERVIEW!E$6,FC_DATA!$W$2:$W$5000,ST_OVERVIEW!$B21,FC_DATA!$V$2:$V$5000,ST_OVERVIEW!$H$3,FC_DATA!$U$2:$U$5000,ST_OVERVIEW!$B$1)</f>
        <v>0</v>
      </c>
      <c r="F21" s="40"/>
      <c r="G21" s="39" t="str">
        <f t="shared" ca="1" si="15"/>
        <v>-</v>
      </c>
      <c r="H21" s="39" t="str">
        <f t="shared" ca="1" si="16"/>
        <v>-</v>
      </c>
      <c r="I21" s="39" t="str">
        <f t="shared" ca="1" si="17"/>
        <v>-</v>
      </c>
      <c r="J21" s="40"/>
      <c r="K21" s="39" t="str">
        <f t="shared" ca="1" si="18"/>
        <v>-</v>
      </c>
      <c r="L21" s="39" t="str">
        <f t="shared" ca="1" si="19"/>
        <v>-</v>
      </c>
      <c r="M21" s="39" t="str">
        <f t="shared" ca="1" si="20"/>
        <v>-</v>
      </c>
      <c r="N21" s="38"/>
      <c r="O21" s="42" t="str">
        <f t="shared" ca="1" si="21"/>
        <v>-</v>
      </c>
      <c r="P21" s="42" t="str">
        <f t="shared" ca="1" si="22"/>
        <v>-</v>
      </c>
      <c r="Q21" s="42" t="str">
        <f t="shared" ca="1" si="23"/>
        <v>-</v>
      </c>
      <c r="R21" s="42"/>
      <c r="S21" s="42" t="str">
        <f ca="1">IFERROR(VLOOKUP($B$1&amp;$H$3&amp;$B21&amp;S$6&amp;S$7,FC_DATA!$A:$M,10,FALSE),"-")</f>
        <v>-</v>
      </c>
      <c r="T21" s="42" t="str">
        <f ca="1">IFERROR(VLOOKUP($B$1&amp;$H$3&amp;$B21&amp;T$6&amp;T$7,FC_DATA!$A:$M,10,FALSE),"-")</f>
        <v>-</v>
      </c>
      <c r="U21" s="42" t="str">
        <f ca="1">IFERROR(VLOOKUP($B$1&amp;$H$3&amp;$B21&amp;U$6&amp;U$7,FC_DATA!$A:$M,10,FALSE),"-")</f>
        <v>-</v>
      </c>
      <c r="V21" s="42"/>
      <c r="W21" s="42" t="str">
        <f ca="1">IFERROR(VLOOKUP($B$1&amp;$H$3&amp;$B21&amp;W$6&amp;W$7,FC_DATA!$A:$M,13,FALSE),"-")</f>
        <v>-</v>
      </c>
      <c r="X21" s="42" t="str">
        <f ca="1">IFERROR(VLOOKUP($B$1&amp;$H$3&amp;$B21&amp;X$6&amp;X$7,FC_DATA!$A:$M,13,FALSE),"-")</f>
        <v>-</v>
      </c>
      <c r="Y21" s="42" t="str">
        <f ca="1">IFERROR(VLOOKUP($B$1&amp;$H$3&amp;$B21&amp;Y$6&amp;Y$7,FC_DATA!$A:$M,13,FALSE),"-")</f>
        <v>-</v>
      </c>
      <c r="Z21" s="38"/>
      <c r="AA21" s="95">
        <f ca="1">SUMIFS(HIS_SALES!$I$2:$I$5129,HIS_SALES!$H$2:$H$5129,ST_OVERVIEW!AA$6,HIS_SALES!$F$2:$F$5129,VLOOKUP(ST_OVERVIEW!G$6,TIME!$L$12:$M$17,2,FALSE),HIS_SALES!$E$2:$E$5129,ST_OVERVIEW!$B21,HIS_SALES!$D$2:$D$5129,ST_OVERVIEW!$H$3,HIS_SALES!$C$2:$C$5129,ST_OVERVIEW!$B$1)</f>
        <v>82577.943699999596</v>
      </c>
      <c r="AB21" s="95">
        <f ca="1">SUMIFS(HIS_SALES!$I$2:$I$5129,HIS_SALES!$H$2:$H$5129,ST_OVERVIEW!AB$6,HIS_SALES!$F$2:$F$5129,VLOOKUP(ST_OVERVIEW!H$6,TIME!$L$12:$M$17,2,FALSE),HIS_SALES!$E$2:$E$5129,ST_OVERVIEW!$B21,HIS_SALES!$D$2:$D$5129,ST_OVERVIEW!$H$3,HIS_SALES!$C$2:$C$5129,ST_OVERVIEW!$B$1)</f>
        <v>96362.139099999709</v>
      </c>
      <c r="AC21" s="95">
        <f ca="1">SUMIFS(HIS_SALES!$I$2:$I$5129,HIS_SALES!$H$2:$H$5129,ST_OVERVIEW!AC$6,HIS_SALES!$F$2:$F$5129,VLOOKUP(ST_OVERVIEW!I$6,TIME!$L$12:$M$17,2,FALSE),HIS_SALES!$E$2:$E$5129,ST_OVERVIEW!$B21,HIS_SALES!$D$2:$D$5129,ST_OVERVIEW!$H$3,HIS_SALES!$C$2:$C$5129,ST_OVERVIEW!$B$1)</f>
        <v>97689.121299999606</v>
      </c>
      <c r="AD21" s="402"/>
      <c r="AE21" s="205"/>
      <c r="AF21" s="205"/>
      <c r="AG21" s="205"/>
      <c r="AZ21" s="40"/>
      <c r="BA21" s="40"/>
      <c r="BB21" s="38"/>
      <c r="BC21" s="38"/>
      <c r="BD21" s="39"/>
      <c r="BE21" s="29"/>
      <c r="BF21" s="29"/>
    </row>
    <row r="22" spans="2:58" x14ac:dyDescent="0.25">
      <c r="B22" s="41" t="str">
        <f>'PIVOT TABLE'!A18</f>
        <v>T-SHIRTS &amp; TOPS</v>
      </c>
      <c r="C22" s="535">
        <f ca="1">SUMIFS(FC_DATA!$AC$2:$AC$5000,FC_DATA!$Z$2:$Z$5000,ST_OVERVIEW!C$7,FC_DATA!$X$2:$X$5000,ST_OVERVIEW!C$6,FC_DATA!$W$2:$W$5000,ST_OVERVIEW!$B22,FC_DATA!$V$2:$V$5000,ST_OVERVIEW!$H$3,FC_DATA!$U$2:$U$5000,ST_OVERVIEW!$B$1)</f>
        <v>0</v>
      </c>
      <c r="D22" s="535">
        <f ca="1">SUMIFS(FC_DATA!$AC$2:$AC$5000,FC_DATA!$Z$2:$Z$5000,ST_OVERVIEW!D$7,FC_DATA!$X$2:$X$5000,ST_OVERVIEW!D$6,FC_DATA!$W$2:$W$5000,ST_OVERVIEW!$B22,FC_DATA!$V$2:$V$5000,ST_OVERVIEW!$H$3,FC_DATA!$U$2:$U$5000,ST_OVERVIEW!$B$1)</f>
        <v>0</v>
      </c>
      <c r="E22" s="535">
        <f ca="1">SUMIFS(FC_DATA!$AC$2:$AC$5000,FC_DATA!$Z$2:$Z$5000,ST_OVERVIEW!E$7,FC_DATA!$X$2:$X$5000,ST_OVERVIEW!E$6,FC_DATA!$W$2:$W$5000,ST_OVERVIEW!$B22,FC_DATA!$V$2:$V$5000,ST_OVERVIEW!$H$3,FC_DATA!$U$2:$U$5000,ST_OVERVIEW!$B$1)</f>
        <v>0</v>
      </c>
      <c r="F22" s="40"/>
      <c r="G22" s="39" t="str">
        <f t="shared" ca="1" si="15"/>
        <v>-</v>
      </c>
      <c r="H22" s="39" t="str">
        <f t="shared" ca="1" si="16"/>
        <v>-</v>
      </c>
      <c r="I22" s="39" t="str">
        <f t="shared" ca="1" si="17"/>
        <v>-</v>
      </c>
      <c r="J22" s="40"/>
      <c r="K22" s="39" t="str">
        <f t="shared" ca="1" si="18"/>
        <v>-</v>
      </c>
      <c r="L22" s="39" t="str">
        <f t="shared" ca="1" si="19"/>
        <v>-</v>
      </c>
      <c r="M22" s="39" t="str">
        <f t="shared" ca="1" si="20"/>
        <v>-</v>
      </c>
      <c r="N22" s="38"/>
      <c r="O22" s="42" t="str">
        <f t="shared" ca="1" si="21"/>
        <v>-</v>
      </c>
      <c r="P22" s="42" t="str">
        <f t="shared" ca="1" si="22"/>
        <v>-</v>
      </c>
      <c r="Q22" s="42" t="str">
        <f t="shared" ca="1" si="23"/>
        <v>-</v>
      </c>
      <c r="R22" s="42"/>
      <c r="S22" s="42" t="str">
        <f ca="1">IFERROR(VLOOKUP($B$1&amp;$H$3&amp;$B22&amp;S$6&amp;S$7,FC_DATA!$A:$M,10,FALSE),"-")</f>
        <v>-</v>
      </c>
      <c r="T22" s="42" t="str">
        <f ca="1">IFERROR(VLOOKUP($B$1&amp;$H$3&amp;$B22&amp;T$6&amp;T$7,FC_DATA!$A:$M,10,FALSE),"-")</f>
        <v>-</v>
      </c>
      <c r="U22" s="42" t="str">
        <f ca="1">IFERROR(VLOOKUP($B$1&amp;$H$3&amp;$B22&amp;U$6&amp;U$7,FC_DATA!$A:$M,10,FALSE),"-")</f>
        <v>-</v>
      </c>
      <c r="V22" s="42"/>
      <c r="W22" s="42" t="str">
        <f ca="1">IFERROR(VLOOKUP($B$1&amp;$H$3&amp;$B22&amp;W$6&amp;W$7,FC_DATA!$A:$M,13,FALSE),"-")</f>
        <v>-</v>
      </c>
      <c r="X22" s="42" t="str">
        <f ca="1">IFERROR(VLOOKUP($B$1&amp;$H$3&amp;$B22&amp;X$6&amp;X$7,FC_DATA!$A:$M,13,FALSE),"-")</f>
        <v>-</v>
      </c>
      <c r="Y22" s="42" t="str">
        <f ca="1">IFERROR(VLOOKUP($B$1&amp;$H$3&amp;$B22&amp;Y$6&amp;Y$7,FC_DATA!$A:$M,13,FALSE),"-")</f>
        <v>-</v>
      </c>
      <c r="Z22" s="43"/>
      <c r="AA22" s="95">
        <f ca="1">SUMIFS(HIS_SALES!$I$2:$I$5129,HIS_SALES!$H$2:$H$5129,ST_OVERVIEW!AA$6,HIS_SALES!$F$2:$F$5129,VLOOKUP(ST_OVERVIEW!G$6,TIME!$L$12:$M$17,2,FALSE),HIS_SALES!$E$2:$E$5129,ST_OVERVIEW!$B22,HIS_SALES!$D$2:$D$5129,ST_OVERVIEW!$H$3,HIS_SALES!$C$2:$C$5129,ST_OVERVIEW!$B$1)</f>
        <v>363369.38099999999</v>
      </c>
      <c r="AB22" s="95">
        <f ca="1">SUMIFS(HIS_SALES!$I$2:$I$5129,HIS_SALES!$H$2:$H$5129,ST_OVERVIEW!AB$6,HIS_SALES!$F$2:$F$5129,VLOOKUP(ST_OVERVIEW!H$6,TIME!$L$12:$M$17,2,FALSE),HIS_SALES!$E$2:$E$5129,ST_OVERVIEW!$B22,HIS_SALES!$D$2:$D$5129,ST_OVERVIEW!$H$3,HIS_SALES!$C$2:$C$5129,ST_OVERVIEW!$B$1)</f>
        <v>549143.31940000202</v>
      </c>
      <c r="AC22" s="95">
        <f ca="1">SUMIFS(HIS_SALES!$I$2:$I$5129,HIS_SALES!$H$2:$H$5129,ST_OVERVIEW!AC$6,HIS_SALES!$F$2:$F$5129,VLOOKUP(ST_OVERVIEW!I$6,TIME!$L$12:$M$17,2,FALSE),HIS_SALES!$E$2:$E$5129,ST_OVERVIEW!$B22,HIS_SALES!$D$2:$D$5129,ST_OVERVIEW!$H$3,HIS_SALES!$C$2:$C$5129,ST_OVERVIEW!$B$1)</f>
        <v>703951.11249999807</v>
      </c>
      <c r="AD22" s="402"/>
      <c r="AE22" s="205"/>
      <c r="AF22" s="205"/>
      <c r="AG22" s="205"/>
      <c r="AZ22" s="43"/>
      <c r="BA22" s="43"/>
      <c r="BB22" s="43"/>
      <c r="BC22" s="43"/>
      <c r="BD22" s="39"/>
      <c r="BE22" s="29"/>
      <c r="BF22" s="29"/>
    </row>
    <row r="23" spans="2:58" x14ac:dyDescent="0.25">
      <c r="B23" s="41">
        <f>'PIVOT TABLE'!A19</f>
        <v>0</v>
      </c>
      <c r="C23" s="535">
        <f ca="1">SUMIFS(FC_DATA!$AC$2:$AC$5000,FC_DATA!$Z$2:$Z$5000,ST_OVERVIEW!C$7,FC_DATA!$X$2:$X$5000,ST_OVERVIEW!C$6,FC_DATA!$W$2:$W$5000,ST_OVERVIEW!$B23,FC_DATA!$V$2:$V$5000,ST_OVERVIEW!$H$3,FC_DATA!$U$2:$U$5000,ST_OVERVIEW!$B$1)</f>
        <v>0</v>
      </c>
      <c r="D23" s="535">
        <f ca="1">SUMIFS(FC_DATA!$AC$2:$AC$5000,FC_DATA!$Z$2:$Z$5000,ST_OVERVIEW!D$7,FC_DATA!$X$2:$X$5000,ST_OVERVIEW!D$6,FC_DATA!$W$2:$W$5000,ST_OVERVIEW!$B23,FC_DATA!$V$2:$V$5000,ST_OVERVIEW!$H$3,FC_DATA!$U$2:$U$5000,ST_OVERVIEW!$B$1)</f>
        <v>0</v>
      </c>
      <c r="E23" s="535">
        <f ca="1">SUMIFS(FC_DATA!$AC$2:$AC$5000,FC_DATA!$Z$2:$Z$5000,ST_OVERVIEW!E$7,FC_DATA!$X$2:$X$5000,ST_OVERVIEW!E$6,FC_DATA!$W$2:$W$5000,ST_OVERVIEW!$B23,FC_DATA!$V$2:$V$5000,ST_OVERVIEW!$H$3,FC_DATA!$U$2:$U$5000,ST_OVERVIEW!$B$1)</f>
        <v>0</v>
      </c>
      <c r="F23" s="40"/>
      <c r="G23" s="44" t="str">
        <f t="shared" ca="1" si="15"/>
        <v>-</v>
      </c>
      <c r="H23" s="44" t="str">
        <f t="shared" ca="1" si="16"/>
        <v>-</v>
      </c>
      <c r="I23" s="44" t="str">
        <f t="shared" ca="1" si="17"/>
        <v>-</v>
      </c>
      <c r="J23" s="40"/>
      <c r="K23" s="44" t="str">
        <f t="shared" ca="1" si="18"/>
        <v>-</v>
      </c>
      <c r="L23" s="44" t="str">
        <f t="shared" ca="1" si="19"/>
        <v>-</v>
      </c>
      <c r="M23" s="44" t="str">
        <f t="shared" ca="1" si="20"/>
        <v>-</v>
      </c>
      <c r="N23" s="38"/>
      <c r="O23" s="45" t="str">
        <f t="shared" ca="1" si="21"/>
        <v>-</v>
      </c>
      <c r="P23" s="45" t="str">
        <f t="shared" ca="1" si="22"/>
        <v>-</v>
      </c>
      <c r="Q23" s="45" t="str">
        <f t="shared" ca="1" si="23"/>
        <v>-</v>
      </c>
      <c r="R23" s="42"/>
      <c r="S23" s="45" t="str">
        <f ca="1">IFERROR(VLOOKUP($B$1&amp;$H$3&amp;$B23&amp;S$6&amp;S$7,FC_DATA!$A:$M,10,FALSE),"-")</f>
        <v>-</v>
      </c>
      <c r="T23" s="45" t="str">
        <f ca="1">IFERROR(VLOOKUP($B$1&amp;$H$3&amp;$B23&amp;T$6&amp;T$7,FC_DATA!$A:$M,10,FALSE),"-")</f>
        <v>-</v>
      </c>
      <c r="U23" s="45" t="str">
        <f ca="1">IFERROR(VLOOKUP($B$1&amp;$H$3&amp;$B23&amp;U$6&amp;U$7,FC_DATA!$A:$M,10,FALSE),"-")</f>
        <v>-</v>
      </c>
      <c r="V23" s="42"/>
      <c r="W23" s="45" t="str">
        <f ca="1">IFERROR(VLOOKUP($B$1&amp;$H$3&amp;$B23&amp;W$6&amp;W$7,FC_DATA!$A:$M,13,FALSE),"-")</f>
        <v>-</v>
      </c>
      <c r="X23" s="45" t="str">
        <f ca="1">IFERROR(VLOOKUP($B$1&amp;$H$3&amp;$B23&amp;X$6&amp;X$7,FC_DATA!$A:$M,13,FALSE),"-")</f>
        <v>-</v>
      </c>
      <c r="Y23" s="45" t="str">
        <f ca="1">IFERROR(VLOOKUP($B$1&amp;$H$3&amp;$B23&amp;Y$6&amp;Y$7,FC_DATA!$A:$M,13,FALSE),"-")</f>
        <v>-</v>
      </c>
      <c r="Z23" s="32"/>
      <c r="AA23" s="95">
        <f ca="1">SUMIFS(HIS_SALES!$I$2:$I$5129,HIS_SALES!$H$2:$H$5129,ST_OVERVIEW!AA$6,HIS_SALES!$F$2:$F$5129,VLOOKUP(ST_OVERVIEW!G$6,TIME!$L$12:$M$17,2,FALSE),HIS_SALES!$E$2:$E$5129,ST_OVERVIEW!$B23,HIS_SALES!$D$2:$D$5129,ST_OVERVIEW!$H$3,HIS_SALES!$C$2:$C$5129,ST_OVERVIEW!$B$1)</f>
        <v>0</v>
      </c>
      <c r="AB23" s="95">
        <f ca="1">SUMIFS(HIS_SALES!$I$2:$I$5129,HIS_SALES!$H$2:$H$5129,ST_OVERVIEW!AB$6,HIS_SALES!$F$2:$F$5129,VLOOKUP(ST_OVERVIEW!H$6,TIME!$L$12:$M$17,2,FALSE),HIS_SALES!$E$2:$E$5129,ST_OVERVIEW!$B23,HIS_SALES!$D$2:$D$5129,ST_OVERVIEW!$H$3,HIS_SALES!$C$2:$C$5129,ST_OVERVIEW!$B$1)</f>
        <v>0</v>
      </c>
      <c r="AC23" s="95">
        <f ca="1">SUMIFS(HIS_SALES!$I$2:$I$5129,HIS_SALES!$H$2:$H$5129,ST_OVERVIEW!AC$6,HIS_SALES!$F$2:$F$5129,VLOOKUP(ST_OVERVIEW!I$6,TIME!$L$12:$M$17,2,FALSE),HIS_SALES!$E$2:$E$5129,ST_OVERVIEW!$B23,HIS_SALES!$D$2:$D$5129,ST_OVERVIEW!$H$3,HIS_SALES!$C$2:$C$5129,ST_OVERVIEW!$B$1)</f>
        <v>0</v>
      </c>
      <c r="AD23" s="402"/>
      <c r="AE23" s="205"/>
      <c r="AF23" s="205"/>
      <c r="AG23" s="205"/>
      <c r="AZ23" s="27"/>
      <c r="BA23" s="29"/>
      <c r="BB23" s="29"/>
      <c r="BC23" s="29"/>
      <c r="BD23" s="29"/>
      <c r="BE23" s="29"/>
      <c r="BF23" s="29"/>
    </row>
    <row r="24" spans="2:58" ht="15.75" thickBot="1" x14ac:dyDescent="0.3">
      <c r="B24" s="46" t="s">
        <v>80</v>
      </c>
      <c r="C24" s="539">
        <f t="shared" ref="C24:E24" ca="1" si="24">SUM(C8:C23)</f>
        <v>0</v>
      </c>
      <c r="D24" s="539">
        <f t="shared" ca="1" si="24"/>
        <v>0</v>
      </c>
      <c r="E24" s="539">
        <f t="shared" ca="1" si="24"/>
        <v>0</v>
      </c>
      <c r="F24" s="43"/>
      <c r="G24" s="118">
        <f ca="1">(C$24/AA24)-1</f>
        <v>-1</v>
      </c>
      <c r="H24" s="118">
        <f ca="1">(D$24/AB24)-1</f>
        <v>-1</v>
      </c>
      <c r="I24" s="118">
        <f ca="1">(E$24/AC24)-1</f>
        <v>-1</v>
      </c>
      <c r="J24" s="43"/>
      <c r="K24" s="47">
        <f ca="1">SUM(K8:K23)</f>
        <v>0</v>
      </c>
      <c r="L24" s="47">
        <f t="shared" ref="L24:M24" ca="1" si="25">SUM(L8:L23)</f>
        <v>0</v>
      </c>
      <c r="M24" s="47">
        <f t="shared" ca="1" si="25"/>
        <v>0</v>
      </c>
      <c r="N24" s="43"/>
      <c r="O24" s="118">
        <f ca="1">SUM(O8:O23)</f>
        <v>0</v>
      </c>
      <c r="P24" s="118">
        <f ca="1">SUM(P8:P23)</f>
        <v>0</v>
      </c>
      <c r="Q24" s="118">
        <f ca="1">SUM(Q8:Q23)</f>
        <v>0</v>
      </c>
      <c r="R24" s="114"/>
      <c r="S24" s="118" t="str">
        <f ca="1">M_BRAND_FC!P47</f>
        <v>-</v>
      </c>
      <c r="T24" s="118" t="str">
        <f ca="1">M_BRAND_FC!Q47</f>
        <v>-</v>
      </c>
      <c r="U24" s="118" t="str">
        <f ca="1">M_BRAND_FC!R47</f>
        <v>-</v>
      </c>
      <c r="V24" s="114"/>
      <c r="W24" s="118"/>
      <c r="X24" s="118"/>
      <c r="Y24" s="118"/>
      <c r="Z24" s="48"/>
      <c r="AA24" s="401">
        <f ca="1">SUM(AA8:AA23)</f>
        <v>2460592.2858999893</v>
      </c>
      <c r="AB24" s="401">
        <f t="shared" ref="AB24:AC24" ca="1" si="26">SUM(AB8:AB23)</f>
        <v>3369389.1788999736</v>
      </c>
      <c r="AC24" s="401">
        <f t="shared" ca="1" si="26"/>
        <v>3968524.6745999362</v>
      </c>
      <c r="AD24" s="402"/>
      <c r="AE24" s="404"/>
      <c r="AF24" s="404"/>
      <c r="AG24" s="404"/>
      <c r="AZ24" s="27"/>
      <c r="BA24" s="29"/>
      <c r="BB24" s="29"/>
      <c r="BC24" s="29"/>
      <c r="BD24" s="29"/>
      <c r="BE24" s="29"/>
      <c r="BF24" s="29"/>
    </row>
    <row r="25" spans="2:58" s="98" customFormat="1" x14ac:dyDescent="0.25">
      <c r="K25" s="120"/>
      <c r="L25" s="120"/>
      <c r="M25" s="120"/>
      <c r="AA25" s="99"/>
      <c r="AB25" s="99"/>
      <c r="AC25" s="99"/>
      <c r="AD25" s="99"/>
      <c r="AE25" s="565"/>
      <c r="AF25" s="565"/>
      <c r="AG25" s="565"/>
      <c r="AH25" s="99"/>
      <c r="AI25" s="99"/>
      <c r="AJ25" s="99"/>
      <c r="AK25" s="99"/>
    </row>
    <row r="26" spans="2:58" s="97" customFormat="1" ht="17.25" x14ac:dyDescent="0.3">
      <c r="B26" s="100" t="s">
        <v>107</v>
      </c>
      <c r="C26" s="100"/>
      <c r="D26" s="100"/>
      <c r="E26" s="100"/>
      <c r="F26" s="100"/>
      <c r="G26" s="100"/>
      <c r="H26" s="923" t="s">
        <v>2</v>
      </c>
      <c r="I26" s="924"/>
      <c r="J26" s="924"/>
      <c r="K26" s="924"/>
      <c r="L26" s="100"/>
      <c r="M26" s="100"/>
      <c r="N26" s="100"/>
      <c r="O26" s="100"/>
      <c r="P26" s="100"/>
      <c r="Q26" s="100"/>
      <c r="R26" s="100"/>
      <c r="S26" s="100"/>
      <c r="T26" s="100"/>
      <c r="U26" s="100"/>
      <c r="V26" s="100"/>
      <c r="W26" s="100"/>
      <c r="X26" s="100"/>
      <c r="Y26" s="100"/>
      <c r="AA26" s="96"/>
      <c r="AB26" s="96"/>
      <c r="AC26" s="96"/>
      <c r="AD26" s="96"/>
      <c r="AE26" s="567"/>
      <c r="AF26" s="567"/>
      <c r="AG26" s="567"/>
      <c r="AH26" s="96"/>
      <c r="AI26" s="96"/>
      <c r="AJ26" s="96"/>
      <c r="AK26" s="96"/>
    </row>
    <row r="27" spans="2:58" s="103" customFormat="1" x14ac:dyDescent="0.25">
      <c r="B27" s="101"/>
      <c r="C27" s="925" t="str">
        <f>C4</f>
        <v xml:space="preserve">GS II </v>
      </c>
      <c r="D27" s="925"/>
      <c r="E27" s="925"/>
      <c r="F27" s="102"/>
      <c r="G27" s="925" t="str">
        <f>G4</f>
        <v>YoY Growth</v>
      </c>
      <c r="H27" s="925"/>
      <c r="I27" s="925"/>
      <c r="J27" s="102"/>
      <c r="K27" s="925" t="str">
        <f>K4</f>
        <v>CTG</v>
      </c>
      <c r="L27" s="925"/>
      <c r="M27" s="925"/>
      <c r="N27" s="102"/>
      <c r="O27" s="925" t="str">
        <f>O4</f>
        <v>GSII SHARE</v>
      </c>
      <c r="P27" s="925"/>
      <c r="Q27" s="925"/>
      <c r="R27" s="788"/>
      <c r="S27" s="788"/>
      <c r="T27" s="788"/>
      <c r="U27" s="788"/>
      <c r="V27" s="788"/>
      <c r="W27" s="788"/>
      <c r="X27" s="788"/>
      <c r="Y27" s="788"/>
      <c r="AA27" s="104"/>
      <c r="AB27" s="104"/>
      <c r="AC27" s="104"/>
      <c r="AD27" s="104"/>
      <c r="AE27" s="569"/>
      <c r="AF27" s="569"/>
      <c r="AG27" s="569"/>
      <c r="AH27" s="104"/>
      <c r="AI27" s="104"/>
      <c r="AJ27" s="104"/>
      <c r="AK27" s="104"/>
    </row>
    <row r="28" spans="2:58" s="103" customFormat="1" x14ac:dyDescent="0.25">
      <c r="B28" s="551"/>
      <c r="C28" s="552" t="str">
        <f ca="1">VLOOKUP((C29&amp;C30),TIME!$A$12:$J$47,10,FALSE)</f>
        <v>ACT</v>
      </c>
      <c r="D28" s="552" t="str">
        <f ca="1">VLOOKUP((D29&amp;D30),TIME!$A$12:$J$47,10,FALSE)</f>
        <v>ACT</v>
      </c>
      <c r="E28" s="552" t="str">
        <f ca="1">VLOOKUP((E29&amp;E30),TIME!$A$12:$J$47,10,FALSE)</f>
        <v>FC</v>
      </c>
      <c r="F28" s="553"/>
      <c r="G28" s="552" t="str">
        <f ca="1">VLOOKUP((G29&amp;G30),TIME!$A$12:$J$47,10,FALSE)</f>
        <v>ACT</v>
      </c>
      <c r="H28" s="552" t="str">
        <f ca="1">VLOOKUP((H29&amp;H30),TIME!$A$12:$J$47,10,FALSE)</f>
        <v>ACT</v>
      </c>
      <c r="I28" s="552" t="str">
        <f ca="1">VLOOKUP((I29&amp;I30),TIME!$A$12:$J$47,10,FALSE)</f>
        <v>FC</v>
      </c>
      <c r="J28" s="553"/>
      <c r="K28" s="552" t="str">
        <f ca="1">VLOOKUP((K29&amp;K30),TIME!$A$12:$J$47,10,FALSE)</f>
        <v>ACT</v>
      </c>
      <c r="L28" s="552" t="str">
        <f ca="1">VLOOKUP((L29&amp;L30),TIME!$A$12:$J$47,10,FALSE)</f>
        <v>ACT</v>
      </c>
      <c r="M28" s="552" t="str">
        <f ca="1">VLOOKUP((M29&amp;M30),TIME!$A$12:$J$47,10,FALSE)</f>
        <v>FC</v>
      </c>
      <c r="N28" s="553"/>
      <c r="O28" s="552" t="str">
        <f ca="1">VLOOKUP((O29&amp;O30),TIME!$A$12:$J$47,10,FALSE)</f>
        <v>ACT</v>
      </c>
      <c r="P28" s="552" t="str">
        <f ca="1">VLOOKUP((P29&amp;P30),TIME!$A$12:$J$47,10,FALSE)</f>
        <v>ACT</v>
      </c>
      <c r="Q28" s="552" t="str">
        <f ca="1">VLOOKUP((Q29&amp;Q30),TIME!$A$12:$J$47,10,FALSE)</f>
        <v>FC</v>
      </c>
      <c r="R28" s="552"/>
      <c r="S28" s="552"/>
      <c r="T28" s="552"/>
      <c r="U28" s="552"/>
      <c r="V28" s="552"/>
      <c r="W28" s="552"/>
      <c r="X28" s="552"/>
      <c r="Y28" s="552"/>
      <c r="AA28" s="104"/>
      <c r="AB28" s="104"/>
      <c r="AC28" s="104"/>
      <c r="AD28" s="104"/>
      <c r="AE28" s="569"/>
      <c r="AF28" s="569"/>
      <c r="AG28" s="569"/>
      <c r="AH28" s="104"/>
      <c r="AI28" s="104"/>
      <c r="AJ28" s="104"/>
      <c r="AK28" s="104"/>
    </row>
    <row r="29" spans="2:58" s="98" customFormat="1" x14ac:dyDescent="0.25">
      <c r="B29" s="110" t="s">
        <v>76</v>
      </c>
      <c r="C29" s="105" t="str">
        <f t="shared" ref="C29:E30" ca="1" si="27">C6</f>
        <v>18/19</v>
      </c>
      <c r="D29" s="105" t="str">
        <f t="shared" ca="1" si="27"/>
        <v>18/19</v>
      </c>
      <c r="E29" s="105" t="str">
        <f t="shared" ca="1" si="27"/>
        <v>18/19</v>
      </c>
      <c r="F29" s="106"/>
      <c r="G29" s="105" t="str">
        <f t="shared" ref="G29:I30" ca="1" si="28">G6</f>
        <v>18/19</v>
      </c>
      <c r="H29" s="105" t="str">
        <f t="shared" ca="1" si="28"/>
        <v>18/19</v>
      </c>
      <c r="I29" s="105" t="str">
        <f t="shared" ca="1" si="28"/>
        <v>18/19</v>
      </c>
      <c r="J29" s="106"/>
      <c r="K29" s="105" t="str">
        <f t="shared" ref="K29:M30" ca="1" si="29">K6</f>
        <v>18/19</v>
      </c>
      <c r="L29" s="105" t="str">
        <f t="shared" ca="1" si="29"/>
        <v>18/19</v>
      </c>
      <c r="M29" s="105" t="str">
        <f t="shared" ca="1" si="29"/>
        <v>18/19</v>
      </c>
      <c r="N29" s="106"/>
      <c r="O29" s="105" t="str">
        <f t="shared" ref="O29:Q30" ca="1" si="30">O6</f>
        <v>18/19</v>
      </c>
      <c r="P29" s="105" t="str">
        <f t="shared" ca="1" si="30"/>
        <v>18/19</v>
      </c>
      <c r="Q29" s="105" t="str">
        <f t="shared" ca="1" si="30"/>
        <v>18/19</v>
      </c>
      <c r="R29" s="105"/>
      <c r="S29" s="105"/>
      <c r="T29" s="105"/>
      <c r="U29" s="105"/>
      <c r="V29" s="105"/>
      <c r="W29" s="105"/>
      <c r="X29" s="105"/>
      <c r="Y29" s="105"/>
      <c r="AA29" s="921" t="s">
        <v>134</v>
      </c>
      <c r="AB29" s="921"/>
      <c r="AC29" s="921"/>
      <c r="AD29" s="289"/>
      <c r="AE29" s="922"/>
      <c r="AF29" s="922"/>
      <c r="AG29" s="922"/>
      <c r="AH29" s="99"/>
      <c r="AI29" s="99"/>
      <c r="AJ29" s="99"/>
      <c r="AK29" s="99"/>
    </row>
    <row r="30" spans="2:58" s="98" customFormat="1" x14ac:dyDescent="0.25">
      <c r="B30" s="107"/>
      <c r="C30" s="108" t="str">
        <f t="shared" ca="1" si="27"/>
        <v>Feb</v>
      </c>
      <c r="D30" s="108" t="str">
        <f t="shared" ca="1" si="27"/>
        <v>Mar</v>
      </c>
      <c r="E30" s="108" t="str">
        <f t="shared" ca="1" si="27"/>
        <v>Apr</v>
      </c>
      <c r="F30" s="109"/>
      <c r="G30" s="108" t="str">
        <f t="shared" ca="1" si="28"/>
        <v>Feb</v>
      </c>
      <c r="H30" s="108" t="str">
        <f t="shared" ca="1" si="28"/>
        <v>Mar</v>
      </c>
      <c r="I30" s="108" t="str">
        <f t="shared" ca="1" si="28"/>
        <v>Apr</v>
      </c>
      <c r="J30" s="109"/>
      <c r="K30" s="108" t="str">
        <f t="shared" ca="1" si="29"/>
        <v>Feb</v>
      </c>
      <c r="L30" s="108" t="str">
        <f t="shared" ca="1" si="29"/>
        <v>Mar</v>
      </c>
      <c r="M30" s="108" t="str">
        <f t="shared" ca="1" si="29"/>
        <v>Apr</v>
      </c>
      <c r="N30" s="109"/>
      <c r="O30" s="108" t="str">
        <f t="shared" ca="1" si="30"/>
        <v>Feb</v>
      </c>
      <c r="P30" s="108" t="str">
        <f t="shared" ca="1" si="30"/>
        <v>Mar</v>
      </c>
      <c r="Q30" s="108" t="str">
        <f t="shared" ca="1" si="30"/>
        <v>Apr</v>
      </c>
      <c r="R30" s="109"/>
      <c r="S30" s="109"/>
      <c r="T30" s="109"/>
      <c r="U30" s="109"/>
      <c r="V30" s="109"/>
      <c r="W30" s="109"/>
      <c r="X30" s="109"/>
      <c r="Y30" s="109"/>
      <c r="AA30" s="398" t="str">
        <f ca="1">G30</f>
        <v>Feb</v>
      </c>
      <c r="AB30" s="398" t="str">
        <f ca="1">H30</f>
        <v>Mar</v>
      </c>
      <c r="AC30" s="398" t="str">
        <f ca="1">I30</f>
        <v>Apr</v>
      </c>
      <c r="AD30" s="27"/>
      <c r="AE30" s="406"/>
      <c r="AF30" s="406"/>
      <c r="AG30" s="406"/>
      <c r="AH30" s="99"/>
      <c r="AI30" s="99"/>
      <c r="AJ30" s="99"/>
      <c r="AK30" s="99"/>
    </row>
    <row r="31" spans="2:58" s="98" customFormat="1" x14ac:dyDescent="0.25">
      <c r="B31" s="110" t="str">
        <f>'PIVOT TABLE'!E4</f>
        <v>BRAND.com</v>
      </c>
      <c r="C31" s="538">
        <f ca="1">SUMIFS(FC_DATA!$AC$2:$AC$5000,FC_DATA!$Z$2:$Z$5000,ST_OVERVIEW!C$7,FC_DATA!$X$2:$X$5000,ST_OVERVIEW!C$6,FC_DATA!$V$2:$V$5000,ST_OVERVIEW!$B31,FC_DATA!$U$2:$U$5000,ST_OVERVIEW!$B$1,FC_DATA!$W$2:$W$5000,ST_OVERVIEW!$H$26)</f>
        <v>0</v>
      </c>
      <c r="D31" s="538">
        <f ca="1">SUMIFS(FC_DATA!$AC$2:$AC$5000,FC_DATA!$Z$2:$Z$5000,ST_OVERVIEW!D$7,FC_DATA!$X$2:$X$5000,ST_OVERVIEW!D$6,FC_DATA!$V$2:$V$5000,ST_OVERVIEW!$B31,FC_DATA!$U$2:$U$5000,ST_OVERVIEW!$B$1,FC_DATA!$W$2:$W$5000,ST_OVERVIEW!$H$26)</f>
        <v>0</v>
      </c>
      <c r="E31" s="538">
        <f ca="1">SUMIFS(FC_DATA!$AC$2:$AC$5000,FC_DATA!$Z$2:$Z$5000,ST_OVERVIEW!E$7,FC_DATA!$X$2:$X$5000,ST_OVERVIEW!E$6,FC_DATA!$V$2:$V$5000,ST_OVERVIEW!$B31,FC_DATA!$U$2:$U$5000,ST_OVERVIEW!$B$1,FC_DATA!$W$2:$W$5000,ST_OVERVIEW!$H$26)</f>
        <v>0</v>
      </c>
      <c r="F31" s="111"/>
      <c r="G31" s="112" t="str">
        <f t="shared" ref="G31:I31" ca="1" si="31">IF(C31=0,"-",C31/AA31-1)</f>
        <v>-</v>
      </c>
      <c r="H31" s="112" t="str">
        <f t="shared" ca="1" si="31"/>
        <v>-</v>
      </c>
      <c r="I31" s="112" t="str">
        <f t="shared" ca="1" si="31"/>
        <v>-</v>
      </c>
      <c r="J31" s="111"/>
      <c r="K31" s="39" t="str">
        <f t="shared" ref="K31:M31" ca="1" si="32">IF(C31=0,"-",(C31-AA31)/AA$41)</f>
        <v>-</v>
      </c>
      <c r="L31" s="39" t="str">
        <f t="shared" ca="1" si="32"/>
        <v>-</v>
      </c>
      <c r="M31" s="39" t="str">
        <f t="shared" ca="1" si="32"/>
        <v>-</v>
      </c>
      <c r="N31" s="114"/>
      <c r="O31" s="39" t="str">
        <f t="shared" ref="O31" ca="1" si="33">IF(C31=0,"-",C31/C$41)</f>
        <v>-</v>
      </c>
      <c r="P31" s="39" t="str">
        <f t="shared" ref="P31" ca="1" si="34">IF(D31=0,"-",D31/D$41)</f>
        <v>-</v>
      </c>
      <c r="Q31" s="39" t="str">
        <f t="shared" ref="Q31" ca="1" si="35">IF(E31=0,"-",E31/E$41)</f>
        <v>-</v>
      </c>
      <c r="R31" s="39"/>
      <c r="S31" s="39"/>
      <c r="T31" s="39"/>
      <c r="U31" s="39"/>
      <c r="V31" s="39"/>
      <c r="W31" s="39"/>
      <c r="X31" s="39"/>
      <c r="Y31" s="39"/>
      <c r="AA31" s="400">
        <f ca="1">SUMIFS(HIS_SALES!$I$2:$I$5129,HIS_SALES!$H$2:$H$5129,ST_OVERVIEW!AA$6,HIS_SALES!$F$2:$F$5129,VLOOKUP(ST_OVERVIEW!G$6,TIME!$L$12:$M$17,2,FALSE),HIS_SALES!$D$2:$D$5129,ST_OVERVIEW!$B31,HIS_SALES!$C$2:$C$5129,ST_OVERVIEW!$B$1,HIS_SALES!$E$2:$E$5129,ST_OVERVIEW!$H$26)</f>
        <v>9538.9171000000006</v>
      </c>
      <c r="AB31" s="400">
        <f ca="1">SUMIFS(HIS_SALES!$I$2:$I$5129,HIS_SALES!$H$2:$H$5129,ST_OVERVIEW!AB$6,HIS_SALES!$F$2:$F$5129,VLOOKUP(ST_OVERVIEW!H$6,TIME!$L$12:$M$17,2,FALSE),HIS_SALES!$D$2:$D$5129,ST_OVERVIEW!$B31,HIS_SALES!$C$2:$C$5129,ST_OVERVIEW!$B$1,HIS_SALES!$E$2:$E$5129,ST_OVERVIEW!$H$26)</f>
        <v>12984.1487</v>
      </c>
      <c r="AC31" s="400">
        <f ca="1">SUMIFS(HIS_SALES!$I$2:$I$5129,HIS_SALES!$H$2:$H$5129,ST_OVERVIEW!AC$6,HIS_SALES!$F$2:$F$5129,VLOOKUP(ST_OVERVIEW!I$6,TIME!$L$12:$M$17,2,FALSE),HIS_SALES!$D$2:$D$5129,ST_OVERVIEW!$B31,HIS_SALES!$C$2:$C$5129,ST_OVERVIEW!$B$1,HIS_SALES!$E$2:$E$5129,ST_OVERVIEW!$H$26)</f>
        <v>10502.1723</v>
      </c>
      <c r="AD31" s="400"/>
      <c r="AE31" s="571"/>
      <c r="AF31" s="571"/>
      <c r="AG31" s="571"/>
      <c r="AH31" s="99"/>
      <c r="AI31" s="99"/>
      <c r="AJ31" s="99"/>
      <c r="AK31" s="99"/>
    </row>
    <row r="32" spans="2:58" s="98" customFormat="1" x14ac:dyDescent="0.25">
      <c r="B32" s="110" t="str">
        <f>'PIVOT TABLE'!E5</f>
        <v>BS.com</v>
      </c>
      <c r="C32" s="538">
        <f ca="1">SUMIFS(FC_DATA!$AC$2:$AC$5000,FC_DATA!$Z$2:$Z$5000,ST_OVERVIEW!C$7,FC_DATA!$X$2:$X$5000,ST_OVERVIEW!C$6,FC_DATA!$V$2:$V$5000,ST_OVERVIEW!$B32,FC_DATA!$U$2:$U$5000,ST_OVERVIEW!$B$1,FC_DATA!$W$2:$W$5000,ST_OVERVIEW!$H$26)</f>
        <v>0</v>
      </c>
      <c r="D32" s="538">
        <f ca="1">SUMIFS(FC_DATA!$AC$2:$AC$5000,FC_DATA!$Z$2:$Z$5000,ST_OVERVIEW!D$7,FC_DATA!$X$2:$X$5000,ST_OVERVIEW!D$6,FC_DATA!$V$2:$V$5000,ST_OVERVIEW!$B32,FC_DATA!$U$2:$U$5000,ST_OVERVIEW!$B$1,FC_DATA!$W$2:$W$5000,ST_OVERVIEW!$H$26)</f>
        <v>0</v>
      </c>
      <c r="E32" s="538">
        <f ca="1">SUMIFS(FC_DATA!$AC$2:$AC$5000,FC_DATA!$Z$2:$Z$5000,ST_OVERVIEW!E$7,FC_DATA!$X$2:$X$5000,ST_OVERVIEW!E$6,FC_DATA!$V$2:$V$5000,ST_OVERVIEW!$B32,FC_DATA!$U$2:$U$5000,ST_OVERVIEW!$B$1,FC_DATA!$W$2:$W$5000,ST_OVERVIEW!$H$26)</f>
        <v>0</v>
      </c>
      <c r="F32" s="111"/>
      <c r="G32" s="112" t="str">
        <f t="shared" ref="G32:G40" ca="1" si="36">IF(C32=0,"-",C32/AA32-1)</f>
        <v>-</v>
      </c>
      <c r="H32" s="112" t="str">
        <f t="shared" ref="H32:H40" ca="1" si="37">IF(D32=0,"-",D32/AB32-1)</f>
        <v>-</v>
      </c>
      <c r="I32" s="112" t="str">
        <f t="shared" ref="I32:I40" ca="1" si="38">IF(E32=0,"-",E32/AC32-1)</f>
        <v>-</v>
      </c>
      <c r="J32" s="111"/>
      <c r="K32" s="39" t="str">
        <f t="shared" ref="K32:K40" ca="1" si="39">IF(C32=0,"-",(C32-AA32)/AA$41)</f>
        <v>-</v>
      </c>
      <c r="L32" s="39" t="str">
        <f t="shared" ref="L32:L40" ca="1" si="40">IF(D32=0,"-",(D32-AB32)/AB$41)</f>
        <v>-</v>
      </c>
      <c r="M32" s="39" t="str">
        <f t="shared" ref="M32:M40" ca="1" si="41">IF(E32=0,"-",(E32-AC32)/AC$41)</f>
        <v>-</v>
      </c>
      <c r="N32" s="114"/>
      <c r="O32" s="39" t="str">
        <f t="shared" ref="O32:O40" ca="1" si="42">IF(C32=0,"-",C32/C$41)</f>
        <v>-</v>
      </c>
      <c r="P32" s="39" t="str">
        <f t="shared" ref="P32:P40" ca="1" si="43">IF(D32=0,"-",D32/D$41)</f>
        <v>-</v>
      </c>
      <c r="Q32" s="39" t="str">
        <f t="shared" ref="Q32:Q40" ca="1" si="44">IF(E32=0,"-",E32/E$41)</f>
        <v>-</v>
      </c>
      <c r="R32" s="39"/>
      <c r="S32" s="39"/>
      <c r="T32" s="39"/>
      <c r="U32" s="39"/>
      <c r="V32" s="39"/>
      <c r="W32" s="39"/>
      <c r="X32" s="39"/>
      <c r="Y32" s="39"/>
      <c r="AA32" s="400">
        <f ca="1">SUMIFS(HIS_SALES!$I$2:$I$5129,HIS_SALES!$H$2:$H$5129,ST_OVERVIEW!AA$6,HIS_SALES!$F$2:$F$5129,VLOOKUP(ST_OVERVIEW!G$6,TIME!$L$12:$M$17,2,FALSE),HIS_SALES!$D$2:$D$5129,ST_OVERVIEW!$B32,HIS_SALES!$C$2:$C$5129,ST_OVERVIEW!$B$1,HIS_SALES!$E$2:$E$5129,ST_OVERVIEW!$H$26)</f>
        <v>3389.7938446399999</v>
      </c>
      <c r="AB32" s="400">
        <f ca="1">SUMIFS(HIS_SALES!$I$2:$I$5129,HIS_SALES!$H$2:$H$5129,ST_OVERVIEW!AB$6,HIS_SALES!$F$2:$F$5129,VLOOKUP(ST_OVERVIEW!H$6,TIME!$L$12:$M$17,2,FALSE),HIS_SALES!$D$2:$D$5129,ST_OVERVIEW!$B32,HIS_SALES!$C$2:$C$5129,ST_OVERVIEW!$B$1,HIS_SALES!$E$2:$E$5129,ST_OVERVIEW!$H$26)</f>
        <v>5285.2891353699997</v>
      </c>
      <c r="AC32" s="400">
        <f ca="1">SUMIFS(HIS_SALES!$I$2:$I$5129,HIS_SALES!$H$2:$H$5129,ST_OVERVIEW!AC$6,HIS_SALES!$F$2:$F$5129,VLOOKUP(ST_OVERVIEW!I$6,TIME!$L$12:$M$17,2,FALSE),HIS_SALES!$D$2:$D$5129,ST_OVERVIEW!$B32,HIS_SALES!$C$2:$C$5129,ST_OVERVIEW!$B$1,HIS_SALES!$E$2:$E$5129,ST_OVERVIEW!$H$26)</f>
        <v>6134.1924811300005</v>
      </c>
      <c r="AD32" s="400"/>
      <c r="AE32" s="571"/>
      <c r="AF32" s="571"/>
      <c r="AG32" s="571"/>
      <c r="AH32" s="99"/>
      <c r="AI32" s="99"/>
      <c r="AJ32" s="99"/>
      <c r="AK32" s="99"/>
    </row>
    <row r="33" spans="2:39" s="98" customFormat="1" x14ac:dyDescent="0.25">
      <c r="B33" s="110" t="str">
        <f>'PIVOT TABLE'!E6</f>
        <v>PARTNER.com</v>
      </c>
      <c r="C33" s="538">
        <f ca="1">SUMIFS(FC_DATA!$AC$2:$AC$5000,FC_DATA!$Z$2:$Z$5000,ST_OVERVIEW!C$7,FC_DATA!$X$2:$X$5000,ST_OVERVIEW!C$6,FC_DATA!$V$2:$V$5000,ST_OVERVIEW!$B33,FC_DATA!$U$2:$U$5000,ST_OVERVIEW!$B$1,FC_DATA!$W$2:$W$5000,ST_OVERVIEW!$H$26)</f>
        <v>0</v>
      </c>
      <c r="D33" s="538">
        <f ca="1">SUMIFS(FC_DATA!$AC$2:$AC$5000,FC_DATA!$Z$2:$Z$5000,ST_OVERVIEW!D$7,FC_DATA!$X$2:$X$5000,ST_OVERVIEW!D$6,FC_DATA!$V$2:$V$5000,ST_OVERVIEW!$B33,FC_DATA!$U$2:$U$5000,ST_OVERVIEW!$B$1,FC_DATA!$W$2:$W$5000,ST_OVERVIEW!$H$26)</f>
        <v>0</v>
      </c>
      <c r="E33" s="538">
        <f ca="1">SUMIFS(FC_DATA!$AC$2:$AC$5000,FC_DATA!$Z$2:$Z$5000,ST_OVERVIEW!E$7,FC_DATA!$X$2:$X$5000,ST_OVERVIEW!E$6,FC_DATA!$V$2:$V$5000,ST_OVERVIEW!$B33,FC_DATA!$U$2:$U$5000,ST_OVERVIEW!$B$1,FC_DATA!$W$2:$W$5000,ST_OVERVIEW!$H$26)</f>
        <v>0</v>
      </c>
      <c r="F33" s="111"/>
      <c r="G33" s="112" t="str">
        <f t="shared" ca="1" si="36"/>
        <v>-</v>
      </c>
      <c r="H33" s="112" t="str">
        <f t="shared" ca="1" si="37"/>
        <v>-</v>
      </c>
      <c r="I33" s="112" t="str">
        <f t="shared" ca="1" si="38"/>
        <v>-</v>
      </c>
      <c r="J33" s="111"/>
      <c r="K33" s="39" t="str">
        <f t="shared" ca="1" si="39"/>
        <v>-</v>
      </c>
      <c r="L33" s="39" t="str">
        <f t="shared" ca="1" si="40"/>
        <v>-</v>
      </c>
      <c r="M33" s="39" t="str">
        <f t="shared" ca="1" si="41"/>
        <v>-</v>
      </c>
      <c r="N33" s="114"/>
      <c r="O33" s="39" t="str">
        <f t="shared" ca="1" si="42"/>
        <v>-</v>
      </c>
      <c r="P33" s="39" t="str">
        <f t="shared" ca="1" si="43"/>
        <v>-</v>
      </c>
      <c r="Q33" s="39" t="str">
        <f t="shared" ca="1" si="44"/>
        <v>-</v>
      </c>
      <c r="R33" s="39"/>
      <c r="S33" s="39"/>
      <c r="T33" s="39"/>
      <c r="U33" s="39"/>
      <c r="V33" s="39"/>
      <c r="W33" s="39"/>
      <c r="X33" s="39"/>
      <c r="Y33" s="39"/>
      <c r="AA33" s="400">
        <f ca="1">SUMIFS(HIS_SALES!$I$2:$I$5129,HIS_SALES!$H$2:$H$5129,ST_OVERVIEW!AA$6,HIS_SALES!$F$2:$F$5129,VLOOKUP(ST_OVERVIEW!G$6,TIME!$L$12:$M$17,2,FALSE),HIS_SALES!$D$2:$D$5129,ST_OVERVIEW!$B33,HIS_SALES!$C$2:$C$5129,ST_OVERVIEW!$B$1,HIS_SALES!$E$2:$E$5129,ST_OVERVIEW!$H$26)</f>
        <v>7464.3750956400099</v>
      </c>
      <c r="AB33" s="400">
        <f ca="1">SUMIFS(HIS_SALES!$I$2:$I$5129,HIS_SALES!$H$2:$H$5129,ST_OVERVIEW!AB$6,HIS_SALES!$F$2:$F$5129,VLOOKUP(ST_OVERVIEW!H$6,TIME!$L$12:$M$17,2,FALSE),HIS_SALES!$D$2:$D$5129,ST_OVERVIEW!$B33,HIS_SALES!$C$2:$C$5129,ST_OVERVIEW!$B$1,HIS_SALES!$E$2:$E$5129,ST_OVERVIEW!$H$26)</f>
        <v>8475.3168740700094</v>
      </c>
      <c r="AC33" s="400">
        <f ca="1">SUMIFS(HIS_SALES!$I$2:$I$5129,HIS_SALES!$H$2:$H$5129,ST_OVERVIEW!AC$6,HIS_SALES!$F$2:$F$5129,VLOOKUP(ST_OVERVIEW!I$6,TIME!$L$12:$M$17,2,FALSE),HIS_SALES!$D$2:$D$5129,ST_OVERVIEW!$B33,HIS_SALES!$C$2:$C$5129,ST_OVERVIEW!$B$1,HIS_SALES!$E$2:$E$5129,ST_OVERVIEW!$H$26)</f>
        <v>6634.3681262400096</v>
      </c>
      <c r="AD33" s="400"/>
      <c r="AE33" s="571"/>
      <c r="AF33" s="571"/>
      <c r="AG33" s="571"/>
      <c r="AH33" s="99"/>
      <c r="AI33" s="99"/>
      <c r="AJ33" s="99"/>
      <c r="AK33" s="99"/>
    </row>
    <row r="34" spans="2:39" s="98" customFormat="1" hidden="1" x14ac:dyDescent="0.25">
      <c r="B34" s="110">
        <f>'PIVOT TABLE'!E7</f>
        <v>0</v>
      </c>
      <c r="C34" s="538">
        <f ca="1">SUMIFS(FC_DATA!$AC$2:$AC$5000,FC_DATA!$Z$2:$Z$5000,ST_OVERVIEW!C$7,FC_DATA!$X$2:$X$5000,ST_OVERVIEW!C$6,FC_DATA!$V$2:$V$5000,ST_OVERVIEW!$B34,FC_DATA!$U$2:$U$5000,ST_OVERVIEW!$B$1,FC_DATA!$W$2:$W$5000,ST_OVERVIEW!$H$26)</f>
        <v>0</v>
      </c>
      <c r="D34" s="538">
        <f ca="1">SUMIFS(FC_DATA!$AC$2:$AC$5000,FC_DATA!$Z$2:$Z$5000,ST_OVERVIEW!D$7,FC_DATA!$X$2:$X$5000,ST_OVERVIEW!D$6,FC_DATA!$V$2:$V$5000,ST_OVERVIEW!$B34,FC_DATA!$U$2:$U$5000,ST_OVERVIEW!$B$1,FC_DATA!$W$2:$W$5000,ST_OVERVIEW!$H$26)</f>
        <v>0</v>
      </c>
      <c r="E34" s="538">
        <f ca="1">SUMIFS(FC_DATA!$AC$2:$AC$5000,FC_DATA!$Z$2:$Z$5000,ST_OVERVIEW!E$7,FC_DATA!$X$2:$X$5000,ST_OVERVIEW!E$6,FC_DATA!$V$2:$V$5000,ST_OVERVIEW!$B34,FC_DATA!$U$2:$U$5000,ST_OVERVIEW!$B$1,FC_DATA!$W$2:$W$5000,ST_OVERVIEW!$H$26)</f>
        <v>0</v>
      </c>
      <c r="F34" s="111"/>
      <c r="G34" s="112" t="str">
        <f t="shared" ca="1" si="36"/>
        <v>-</v>
      </c>
      <c r="H34" s="112" t="str">
        <f t="shared" ca="1" si="37"/>
        <v>-</v>
      </c>
      <c r="I34" s="112" t="str">
        <f t="shared" ca="1" si="38"/>
        <v>-</v>
      </c>
      <c r="J34" s="111"/>
      <c r="K34" s="39" t="str">
        <f t="shared" ca="1" si="39"/>
        <v>-</v>
      </c>
      <c r="L34" s="39" t="str">
        <f t="shared" ca="1" si="40"/>
        <v>-</v>
      </c>
      <c r="M34" s="39" t="str">
        <f t="shared" ca="1" si="41"/>
        <v>-</v>
      </c>
      <c r="N34" s="114"/>
      <c r="O34" s="112" t="str">
        <f t="shared" ca="1" si="42"/>
        <v>-</v>
      </c>
      <c r="P34" s="112" t="str">
        <f t="shared" ca="1" si="43"/>
        <v>-</v>
      </c>
      <c r="Q34" s="112" t="str">
        <f t="shared" ca="1" si="44"/>
        <v>-</v>
      </c>
      <c r="R34" s="112"/>
      <c r="S34" s="112"/>
      <c r="T34" s="112"/>
      <c r="U34" s="112"/>
      <c r="V34" s="112"/>
      <c r="W34" s="112"/>
      <c r="X34" s="112"/>
      <c r="Y34" s="112"/>
      <c r="AA34" s="400">
        <f ca="1">SUMIFS(HIS_SALES!$I$2:$I$5129,HIS_SALES!$H$2:$H$5129,ST_OVERVIEW!AA$6,HIS_SALES!$F$2:$F$5129,VLOOKUP(ST_OVERVIEW!G$6,TIME!$L$12:$M$17,2,FALSE),HIS_SALES!$D$2:$D$5129,ST_OVERVIEW!$B34,HIS_SALES!$C$2:$C$5129,ST_OVERVIEW!$B$1,HIS_SALES!$E$2:$E$5129,ST_OVERVIEW!$H$26)</f>
        <v>0</v>
      </c>
      <c r="AB34" s="400">
        <f ca="1">SUMIFS(HIS_SALES!$I$2:$I$5129,HIS_SALES!$H$2:$H$5129,ST_OVERVIEW!AB$6,HIS_SALES!$F$2:$F$5129,VLOOKUP(ST_OVERVIEW!H$6,TIME!$L$12:$M$17,2,FALSE),HIS_SALES!$D$2:$D$5129,ST_OVERVIEW!$B34,HIS_SALES!$C$2:$C$5129,ST_OVERVIEW!$B$1,HIS_SALES!$E$2:$E$5129,ST_OVERVIEW!$H$26)</f>
        <v>0</v>
      </c>
      <c r="AC34" s="400">
        <f ca="1">SUMIFS(HIS_SALES!$I$2:$I$5129,HIS_SALES!$H$2:$H$5129,ST_OVERVIEW!AC$6,HIS_SALES!$F$2:$F$5129,VLOOKUP(ST_OVERVIEW!I$6,TIME!$L$12:$M$17,2,FALSE),HIS_SALES!$D$2:$D$5129,ST_OVERVIEW!$B34,HIS_SALES!$C$2:$C$5129,ST_OVERVIEW!$B$1,HIS_SALES!$E$2:$E$5129,ST_OVERVIEW!$H$26)</f>
        <v>0</v>
      </c>
      <c r="AD34" s="400"/>
      <c r="AE34" s="571"/>
      <c r="AF34" s="571"/>
      <c r="AG34" s="571"/>
      <c r="AH34" s="99"/>
      <c r="AI34" s="99"/>
      <c r="AJ34" s="99"/>
      <c r="AK34" s="99"/>
    </row>
    <row r="35" spans="2:39" s="98" customFormat="1" hidden="1" x14ac:dyDescent="0.25">
      <c r="B35" s="110">
        <f>'PIVOT TABLE'!E8</f>
        <v>0</v>
      </c>
      <c r="C35" s="538">
        <f ca="1">SUMIFS(FC_DATA!$AC$2:$AC$5000,FC_DATA!$Z$2:$Z$5000,ST_OVERVIEW!C$7,FC_DATA!$X$2:$X$5000,ST_OVERVIEW!C$6,FC_DATA!$V$2:$V$5000,ST_OVERVIEW!$B35,FC_DATA!$U$2:$U$5000,ST_OVERVIEW!$B$1,FC_DATA!$W$2:$W$5000,ST_OVERVIEW!$H$26)</f>
        <v>0</v>
      </c>
      <c r="D35" s="538">
        <f ca="1">SUMIFS(FC_DATA!$AC$2:$AC$5000,FC_DATA!$Z$2:$Z$5000,ST_OVERVIEW!D$7,FC_DATA!$X$2:$X$5000,ST_OVERVIEW!D$6,FC_DATA!$V$2:$V$5000,ST_OVERVIEW!$B35,FC_DATA!$U$2:$U$5000,ST_OVERVIEW!$B$1,FC_DATA!$W$2:$W$5000,ST_OVERVIEW!$H$26)</f>
        <v>0</v>
      </c>
      <c r="E35" s="538">
        <f ca="1">SUMIFS(FC_DATA!$AC$2:$AC$5000,FC_DATA!$Z$2:$Z$5000,ST_OVERVIEW!E$7,FC_DATA!$X$2:$X$5000,ST_OVERVIEW!E$6,FC_DATA!$V$2:$V$5000,ST_OVERVIEW!$B35,FC_DATA!$U$2:$U$5000,ST_OVERVIEW!$B$1,FC_DATA!$W$2:$W$5000,ST_OVERVIEW!$H$26)</f>
        <v>0</v>
      </c>
      <c r="F35" s="111"/>
      <c r="G35" s="112" t="str">
        <f t="shared" ca="1" si="36"/>
        <v>-</v>
      </c>
      <c r="H35" s="112" t="str">
        <f t="shared" ca="1" si="37"/>
        <v>-</v>
      </c>
      <c r="I35" s="112" t="str">
        <f t="shared" ca="1" si="38"/>
        <v>-</v>
      </c>
      <c r="J35" s="111"/>
      <c r="K35" s="39" t="str">
        <f t="shared" ca="1" si="39"/>
        <v>-</v>
      </c>
      <c r="L35" s="39" t="str">
        <f t="shared" ca="1" si="40"/>
        <v>-</v>
      </c>
      <c r="M35" s="39" t="str">
        <f t="shared" ca="1" si="41"/>
        <v>-</v>
      </c>
      <c r="N35" s="114"/>
      <c r="O35" s="112" t="str">
        <f t="shared" ca="1" si="42"/>
        <v>-</v>
      </c>
      <c r="P35" s="112" t="str">
        <f t="shared" ca="1" si="43"/>
        <v>-</v>
      </c>
      <c r="Q35" s="112" t="str">
        <f t="shared" ca="1" si="44"/>
        <v>-</v>
      </c>
      <c r="R35" s="112"/>
      <c r="S35" s="112"/>
      <c r="T35" s="112"/>
      <c r="U35" s="112"/>
      <c r="V35" s="112"/>
      <c r="W35" s="112"/>
      <c r="X35" s="112"/>
      <c r="Y35" s="112"/>
      <c r="AA35" s="400">
        <f ca="1">SUMIFS(HIS_SALES!$I$2:$I$5129,HIS_SALES!$H$2:$H$5129,ST_OVERVIEW!AA$6,HIS_SALES!$F$2:$F$5129,VLOOKUP(ST_OVERVIEW!G$6,TIME!$L$12:$M$17,2,FALSE),HIS_SALES!$D$2:$D$5129,ST_OVERVIEW!$B35,HIS_SALES!$C$2:$C$5129,ST_OVERVIEW!$B$1,HIS_SALES!$E$2:$E$5129,ST_OVERVIEW!$H$26)</f>
        <v>0</v>
      </c>
      <c r="AB35" s="400">
        <f ca="1">SUMIFS(HIS_SALES!$I$2:$I$5129,HIS_SALES!$H$2:$H$5129,ST_OVERVIEW!AB$6,HIS_SALES!$F$2:$F$5129,VLOOKUP(ST_OVERVIEW!H$6,TIME!$L$12:$M$17,2,FALSE),HIS_SALES!$D$2:$D$5129,ST_OVERVIEW!$B35,HIS_SALES!$C$2:$C$5129,ST_OVERVIEW!$B$1,HIS_SALES!$E$2:$E$5129,ST_OVERVIEW!$H$26)</f>
        <v>0</v>
      </c>
      <c r="AC35" s="400">
        <f ca="1">SUMIFS(HIS_SALES!$I$2:$I$5129,HIS_SALES!$H$2:$H$5129,ST_OVERVIEW!AC$6,HIS_SALES!$F$2:$F$5129,VLOOKUP(ST_OVERVIEW!I$6,TIME!$L$12:$M$17,2,FALSE),HIS_SALES!$D$2:$D$5129,ST_OVERVIEW!$B35,HIS_SALES!$C$2:$C$5129,ST_OVERVIEW!$B$1,HIS_SALES!$E$2:$E$5129,ST_OVERVIEW!$H$26)</f>
        <v>0</v>
      </c>
      <c r="AD35" s="400"/>
      <c r="AE35" s="571"/>
      <c r="AF35" s="571"/>
      <c r="AG35" s="571"/>
      <c r="AH35" s="99"/>
      <c r="AI35" s="99"/>
      <c r="AJ35" s="99"/>
      <c r="AK35" s="99"/>
      <c r="AL35" s="99"/>
      <c r="AM35" s="99"/>
    </row>
    <row r="36" spans="2:39" s="98" customFormat="1" hidden="1" x14ac:dyDescent="0.25">
      <c r="B36" s="110">
        <f>'PIVOT TABLE'!E9</f>
        <v>0</v>
      </c>
      <c r="C36" s="538">
        <f ca="1">SUMIFS(FC_DATA!$AC$2:$AC$5000,FC_DATA!$Z$2:$Z$5000,ST_OVERVIEW!C$7,FC_DATA!$X$2:$X$5000,ST_OVERVIEW!C$6,FC_DATA!$V$2:$V$5000,ST_OVERVIEW!$B36,FC_DATA!$U$2:$U$5000,ST_OVERVIEW!$B$1,FC_DATA!$W$2:$W$5000,ST_OVERVIEW!$H$26)</f>
        <v>0</v>
      </c>
      <c r="D36" s="538">
        <f ca="1">SUMIFS(FC_DATA!$AC$2:$AC$5000,FC_DATA!$Z$2:$Z$5000,ST_OVERVIEW!D$7,FC_DATA!$X$2:$X$5000,ST_OVERVIEW!D$6,FC_DATA!$V$2:$V$5000,ST_OVERVIEW!$B36,FC_DATA!$U$2:$U$5000,ST_OVERVIEW!$B$1,FC_DATA!$W$2:$W$5000,ST_OVERVIEW!$H$26)</f>
        <v>0</v>
      </c>
      <c r="E36" s="538">
        <f ca="1">SUMIFS(FC_DATA!$AC$2:$AC$5000,FC_DATA!$Z$2:$Z$5000,ST_OVERVIEW!E$7,FC_DATA!$X$2:$X$5000,ST_OVERVIEW!E$6,FC_DATA!$V$2:$V$5000,ST_OVERVIEW!$B36,FC_DATA!$U$2:$U$5000,ST_OVERVIEW!$B$1,FC_DATA!$W$2:$W$5000,ST_OVERVIEW!$H$26)</f>
        <v>0</v>
      </c>
      <c r="F36" s="111"/>
      <c r="G36" s="112" t="str">
        <f t="shared" ca="1" si="36"/>
        <v>-</v>
      </c>
      <c r="H36" s="112" t="str">
        <f t="shared" ca="1" si="37"/>
        <v>-</v>
      </c>
      <c r="I36" s="112" t="str">
        <f t="shared" ca="1" si="38"/>
        <v>-</v>
      </c>
      <c r="J36" s="111"/>
      <c r="K36" s="39" t="str">
        <f t="shared" ca="1" si="39"/>
        <v>-</v>
      </c>
      <c r="L36" s="39" t="str">
        <f t="shared" ca="1" si="40"/>
        <v>-</v>
      </c>
      <c r="M36" s="39" t="str">
        <f t="shared" ca="1" si="41"/>
        <v>-</v>
      </c>
      <c r="N36" s="114"/>
      <c r="O36" s="112" t="str">
        <f t="shared" ca="1" si="42"/>
        <v>-</v>
      </c>
      <c r="P36" s="112" t="str">
        <f t="shared" ca="1" si="43"/>
        <v>-</v>
      </c>
      <c r="Q36" s="112" t="str">
        <f t="shared" ca="1" si="44"/>
        <v>-</v>
      </c>
      <c r="R36" s="112"/>
      <c r="S36" s="112"/>
      <c r="T36" s="112"/>
      <c r="U36" s="112"/>
      <c r="V36" s="112"/>
      <c r="W36" s="112"/>
      <c r="X36" s="112"/>
      <c r="Y36" s="112"/>
      <c r="AA36" s="400">
        <f ca="1">SUMIFS(HIS_SALES!$I$2:$I$5129,HIS_SALES!$H$2:$H$5129,ST_OVERVIEW!AA$6,HIS_SALES!$F$2:$F$5129,VLOOKUP(ST_OVERVIEW!G$6,TIME!$L$12:$M$17,2,FALSE),HIS_SALES!$D$2:$D$5129,ST_OVERVIEW!$B36,HIS_SALES!$C$2:$C$5129,ST_OVERVIEW!$B$1,HIS_SALES!$E$2:$E$5129,ST_OVERVIEW!$H$26)</f>
        <v>0</v>
      </c>
      <c r="AB36" s="400">
        <f ca="1">SUMIFS(HIS_SALES!$I$2:$I$5129,HIS_SALES!$H$2:$H$5129,ST_OVERVIEW!AB$6,HIS_SALES!$F$2:$F$5129,VLOOKUP(ST_OVERVIEW!H$6,TIME!$L$12:$M$17,2,FALSE),HIS_SALES!$D$2:$D$5129,ST_OVERVIEW!$B36,HIS_SALES!$C$2:$C$5129,ST_OVERVIEW!$B$1,HIS_SALES!$E$2:$E$5129,ST_OVERVIEW!$H$26)</f>
        <v>0</v>
      </c>
      <c r="AC36" s="400">
        <f ca="1">SUMIFS(HIS_SALES!$I$2:$I$5129,HIS_SALES!$H$2:$H$5129,ST_OVERVIEW!AC$6,HIS_SALES!$F$2:$F$5129,VLOOKUP(ST_OVERVIEW!I$6,TIME!$L$12:$M$17,2,FALSE),HIS_SALES!$D$2:$D$5129,ST_OVERVIEW!$B36,HIS_SALES!$C$2:$C$5129,ST_OVERVIEW!$B$1,HIS_SALES!$E$2:$E$5129,ST_OVERVIEW!$H$26)</f>
        <v>0</v>
      </c>
      <c r="AD36" s="400"/>
      <c r="AE36" s="571"/>
      <c r="AF36" s="571"/>
      <c r="AG36" s="571"/>
      <c r="AH36" s="99"/>
      <c r="AI36" s="99"/>
      <c r="AJ36" s="99"/>
      <c r="AK36" s="99"/>
      <c r="AL36" s="99"/>
      <c r="AM36" s="99"/>
    </row>
    <row r="37" spans="2:39" s="98" customFormat="1" hidden="1" x14ac:dyDescent="0.25">
      <c r="B37" s="110">
        <f>'PIVOT TABLE'!E10</f>
        <v>0</v>
      </c>
      <c r="C37" s="538">
        <f ca="1">SUMIFS(FC_DATA!$AC$2:$AC$5000,FC_DATA!$Z$2:$Z$5000,ST_OVERVIEW!C$7,FC_DATA!$X$2:$X$5000,ST_OVERVIEW!C$6,FC_DATA!$V$2:$V$5000,ST_OVERVIEW!$B37,FC_DATA!$U$2:$U$5000,ST_OVERVIEW!$B$1,FC_DATA!$W$2:$W$5000,ST_OVERVIEW!$H$26)</f>
        <v>0</v>
      </c>
      <c r="D37" s="538">
        <f ca="1">SUMIFS(FC_DATA!$AC$2:$AC$5000,FC_DATA!$Z$2:$Z$5000,ST_OVERVIEW!D$7,FC_DATA!$X$2:$X$5000,ST_OVERVIEW!D$6,FC_DATA!$V$2:$V$5000,ST_OVERVIEW!$B37,FC_DATA!$U$2:$U$5000,ST_OVERVIEW!$B$1,FC_DATA!$W$2:$W$5000,ST_OVERVIEW!$H$26)</f>
        <v>0</v>
      </c>
      <c r="E37" s="538">
        <f ca="1">SUMIFS(FC_DATA!$AC$2:$AC$5000,FC_DATA!$Z$2:$Z$5000,ST_OVERVIEW!E$7,FC_DATA!$X$2:$X$5000,ST_OVERVIEW!E$6,FC_DATA!$V$2:$V$5000,ST_OVERVIEW!$B37,FC_DATA!$U$2:$U$5000,ST_OVERVIEW!$B$1,FC_DATA!$W$2:$W$5000,ST_OVERVIEW!$H$26)</f>
        <v>0</v>
      </c>
      <c r="F37" s="111"/>
      <c r="G37" s="112" t="str">
        <f t="shared" ca="1" si="36"/>
        <v>-</v>
      </c>
      <c r="H37" s="112" t="str">
        <f t="shared" ca="1" si="37"/>
        <v>-</v>
      </c>
      <c r="I37" s="112" t="str">
        <f t="shared" ca="1" si="38"/>
        <v>-</v>
      </c>
      <c r="J37" s="111"/>
      <c r="K37" s="39" t="str">
        <f t="shared" ca="1" si="39"/>
        <v>-</v>
      </c>
      <c r="L37" s="39" t="str">
        <f t="shared" ca="1" si="40"/>
        <v>-</v>
      </c>
      <c r="M37" s="39" t="str">
        <f t="shared" ca="1" si="41"/>
        <v>-</v>
      </c>
      <c r="N37" s="114"/>
      <c r="O37" s="112" t="str">
        <f t="shared" ca="1" si="42"/>
        <v>-</v>
      </c>
      <c r="P37" s="112" t="str">
        <f t="shared" ca="1" si="43"/>
        <v>-</v>
      </c>
      <c r="Q37" s="112" t="str">
        <f t="shared" ca="1" si="44"/>
        <v>-</v>
      </c>
      <c r="R37" s="112"/>
      <c r="S37" s="112"/>
      <c r="T37" s="112"/>
      <c r="U37" s="112"/>
      <c r="V37" s="112"/>
      <c r="W37" s="112"/>
      <c r="X37" s="112"/>
      <c r="Y37" s="112"/>
      <c r="AA37" s="400">
        <f ca="1">SUMIFS(HIS_SALES!$I$2:$I$5129,HIS_SALES!$H$2:$H$5129,ST_OVERVIEW!AA$6,HIS_SALES!$F$2:$F$5129,VLOOKUP(ST_OVERVIEW!G$6,TIME!$L$12:$M$17,2,FALSE),HIS_SALES!$D$2:$D$5129,ST_OVERVIEW!$B37,HIS_SALES!$C$2:$C$5129,ST_OVERVIEW!$B$1,HIS_SALES!$E$2:$E$5129,ST_OVERVIEW!$H$26)</f>
        <v>0</v>
      </c>
      <c r="AB37" s="400">
        <f ca="1">SUMIFS(HIS_SALES!$I$2:$I$5129,HIS_SALES!$H$2:$H$5129,ST_OVERVIEW!AB$6,HIS_SALES!$F$2:$F$5129,VLOOKUP(ST_OVERVIEW!H$6,TIME!$L$12:$M$17,2,FALSE),HIS_SALES!$D$2:$D$5129,ST_OVERVIEW!$B37,HIS_SALES!$C$2:$C$5129,ST_OVERVIEW!$B$1,HIS_SALES!$E$2:$E$5129,ST_OVERVIEW!$H$26)</f>
        <v>0</v>
      </c>
      <c r="AC37" s="400">
        <f ca="1">SUMIFS(HIS_SALES!$I$2:$I$5129,HIS_SALES!$H$2:$H$5129,ST_OVERVIEW!AC$6,HIS_SALES!$F$2:$F$5129,VLOOKUP(ST_OVERVIEW!I$6,TIME!$L$12:$M$17,2,FALSE),HIS_SALES!$D$2:$D$5129,ST_OVERVIEW!$B37,HIS_SALES!$C$2:$C$5129,ST_OVERVIEW!$B$1,HIS_SALES!$E$2:$E$5129,ST_OVERVIEW!$H$26)</f>
        <v>0</v>
      </c>
      <c r="AD37" s="400"/>
      <c r="AE37" s="571"/>
      <c r="AF37" s="571"/>
      <c r="AG37" s="571"/>
      <c r="AH37" s="99"/>
      <c r="AI37" s="99"/>
      <c r="AJ37" s="99"/>
      <c r="AK37" s="99"/>
      <c r="AL37" s="99"/>
      <c r="AM37" s="99"/>
    </row>
    <row r="38" spans="2:39" s="98" customFormat="1" hidden="1" x14ac:dyDescent="0.25">
      <c r="B38" s="110">
        <f>'PIVOT TABLE'!E11</f>
        <v>0</v>
      </c>
      <c r="C38" s="538">
        <f ca="1">SUMIFS(FC_DATA!$AC$2:$AC$5000,FC_DATA!$Z$2:$Z$5000,ST_OVERVIEW!C$7,FC_DATA!$X$2:$X$5000,ST_OVERVIEW!C$6,FC_DATA!$V$2:$V$5000,ST_OVERVIEW!$B38,FC_DATA!$U$2:$U$5000,ST_OVERVIEW!$B$1,FC_DATA!$W$2:$W$5000,ST_OVERVIEW!$H$26)</f>
        <v>0</v>
      </c>
      <c r="D38" s="538">
        <f ca="1">SUMIFS(FC_DATA!$AC$2:$AC$5000,FC_DATA!$Z$2:$Z$5000,ST_OVERVIEW!D$7,FC_DATA!$X$2:$X$5000,ST_OVERVIEW!D$6,FC_DATA!$V$2:$V$5000,ST_OVERVIEW!$B38,FC_DATA!$U$2:$U$5000,ST_OVERVIEW!$B$1,FC_DATA!$W$2:$W$5000,ST_OVERVIEW!$H$26)</f>
        <v>0</v>
      </c>
      <c r="E38" s="538">
        <f ca="1">SUMIFS(FC_DATA!$AC$2:$AC$5000,FC_DATA!$Z$2:$Z$5000,ST_OVERVIEW!E$7,FC_DATA!$X$2:$X$5000,ST_OVERVIEW!E$6,FC_DATA!$V$2:$V$5000,ST_OVERVIEW!$B38,FC_DATA!$U$2:$U$5000,ST_OVERVIEW!$B$1,FC_DATA!$W$2:$W$5000,ST_OVERVIEW!$H$26)</f>
        <v>0</v>
      </c>
      <c r="F38" s="111"/>
      <c r="G38" s="112" t="str">
        <f t="shared" ca="1" si="36"/>
        <v>-</v>
      </c>
      <c r="H38" s="112" t="str">
        <f t="shared" ca="1" si="37"/>
        <v>-</v>
      </c>
      <c r="I38" s="112" t="str">
        <f t="shared" ca="1" si="38"/>
        <v>-</v>
      </c>
      <c r="J38" s="111"/>
      <c r="K38" s="39" t="str">
        <f t="shared" ca="1" si="39"/>
        <v>-</v>
      </c>
      <c r="L38" s="39" t="str">
        <f t="shared" ca="1" si="40"/>
        <v>-</v>
      </c>
      <c r="M38" s="39" t="str">
        <f t="shared" ca="1" si="41"/>
        <v>-</v>
      </c>
      <c r="N38" s="114"/>
      <c r="O38" s="112" t="str">
        <f t="shared" ca="1" si="42"/>
        <v>-</v>
      </c>
      <c r="P38" s="112" t="str">
        <f t="shared" ca="1" si="43"/>
        <v>-</v>
      </c>
      <c r="Q38" s="112" t="str">
        <f t="shared" ca="1" si="44"/>
        <v>-</v>
      </c>
      <c r="R38" s="112"/>
      <c r="S38" s="112"/>
      <c r="T38" s="112"/>
      <c r="U38" s="112"/>
      <c r="V38" s="112"/>
      <c r="W38" s="112"/>
      <c r="X38" s="112"/>
      <c r="Y38" s="112"/>
      <c r="AA38" s="400">
        <f ca="1">SUMIFS(HIS_SALES!$I$2:$I$5129,HIS_SALES!$H$2:$H$5129,ST_OVERVIEW!AA$6,HIS_SALES!$F$2:$F$5129,VLOOKUP(ST_OVERVIEW!G$6,TIME!$L$12:$M$17,2,FALSE),HIS_SALES!$D$2:$D$5129,ST_OVERVIEW!$B38,HIS_SALES!$C$2:$C$5129,ST_OVERVIEW!$B$1,HIS_SALES!$E$2:$E$5129,ST_OVERVIEW!$H$26)</f>
        <v>0</v>
      </c>
      <c r="AB38" s="400">
        <f ca="1">SUMIFS(HIS_SALES!$I$2:$I$5129,HIS_SALES!$H$2:$H$5129,ST_OVERVIEW!AB$6,HIS_SALES!$F$2:$F$5129,VLOOKUP(ST_OVERVIEW!H$6,TIME!$L$12:$M$17,2,FALSE),HIS_SALES!$D$2:$D$5129,ST_OVERVIEW!$B38,HIS_SALES!$C$2:$C$5129,ST_OVERVIEW!$B$1,HIS_SALES!$E$2:$E$5129,ST_OVERVIEW!$H$26)</f>
        <v>0</v>
      </c>
      <c r="AC38" s="400">
        <f ca="1">SUMIFS(HIS_SALES!$I$2:$I$5129,HIS_SALES!$H$2:$H$5129,ST_OVERVIEW!AC$6,HIS_SALES!$F$2:$F$5129,VLOOKUP(ST_OVERVIEW!I$6,TIME!$L$12:$M$17,2,FALSE),HIS_SALES!$D$2:$D$5129,ST_OVERVIEW!$B38,HIS_SALES!$C$2:$C$5129,ST_OVERVIEW!$B$1,HIS_SALES!$E$2:$E$5129,ST_OVERVIEW!$H$26)</f>
        <v>0</v>
      </c>
      <c r="AD38" s="400"/>
      <c r="AE38" s="571"/>
      <c r="AF38" s="571"/>
      <c r="AG38" s="571"/>
      <c r="AH38" s="99"/>
      <c r="AI38" s="99"/>
      <c r="AJ38" s="99"/>
      <c r="AK38" s="99"/>
      <c r="AL38" s="99"/>
      <c r="AM38" s="99"/>
    </row>
    <row r="39" spans="2:39" s="98" customFormat="1" hidden="1" x14ac:dyDescent="0.25">
      <c r="B39" s="110">
        <f>'PIVOT TABLE'!E12</f>
        <v>0</v>
      </c>
      <c r="C39" s="538">
        <f ca="1">SUMIFS(FC_DATA!$AC$2:$AC$5000,FC_DATA!$Z$2:$Z$5000,ST_OVERVIEW!C$7,FC_DATA!$X$2:$X$5000,ST_OVERVIEW!C$6,FC_DATA!$V$2:$V$5000,ST_OVERVIEW!$B39,FC_DATA!$U$2:$U$5000,ST_OVERVIEW!$B$1,FC_DATA!$W$2:$W$5000,ST_OVERVIEW!$H$26)</f>
        <v>0</v>
      </c>
      <c r="D39" s="538">
        <f ca="1">SUMIFS(FC_DATA!$AC$2:$AC$5000,FC_DATA!$Z$2:$Z$5000,ST_OVERVIEW!D$7,FC_DATA!$X$2:$X$5000,ST_OVERVIEW!D$6,FC_DATA!$V$2:$V$5000,ST_OVERVIEW!$B39,FC_DATA!$U$2:$U$5000,ST_OVERVIEW!$B$1,FC_DATA!$W$2:$W$5000,ST_OVERVIEW!$H$26)</f>
        <v>0</v>
      </c>
      <c r="E39" s="538">
        <f ca="1">SUMIFS(FC_DATA!$AC$2:$AC$5000,FC_DATA!$Z$2:$Z$5000,ST_OVERVIEW!E$7,FC_DATA!$X$2:$X$5000,ST_OVERVIEW!E$6,FC_DATA!$V$2:$V$5000,ST_OVERVIEW!$B39,FC_DATA!$U$2:$U$5000,ST_OVERVIEW!$B$1,FC_DATA!$W$2:$W$5000,ST_OVERVIEW!$H$26)</f>
        <v>0</v>
      </c>
      <c r="F39" s="111"/>
      <c r="G39" s="112" t="str">
        <f t="shared" ca="1" si="36"/>
        <v>-</v>
      </c>
      <c r="H39" s="112" t="str">
        <f t="shared" ca="1" si="37"/>
        <v>-</v>
      </c>
      <c r="I39" s="112" t="str">
        <f t="shared" ca="1" si="38"/>
        <v>-</v>
      </c>
      <c r="J39" s="111"/>
      <c r="K39" s="39" t="str">
        <f t="shared" ca="1" si="39"/>
        <v>-</v>
      </c>
      <c r="L39" s="39" t="str">
        <f t="shared" ca="1" si="40"/>
        <v>-</v>
      </c>
      <c r="M39" s="39" t="str">
        <f t="shared" ca="1" si="41"/>
        <v>-</v>
      </c>
      <c r="N39" s="114"/>
      <c r="O39" s="112" t="str">
        <f t="shared" ca="1" si="42"/>
        <v>-</v>
      </c>
      <c r="P39" s="112" t="str">
        <f t="shared" ca="1" si="43"/>
        <v>-</v>
      </c>
      <c r="Q39" s="112" t="str">
        <f t="shared" ca="1" si="44"/>
        <v>-</v>
      </c>
      <c r="R39" s="112"/>
      <c r="S39" s="112"/>
      <c r="T39" s="112"/>
      <c r="U39" s="112"/>
      <c r="V39" s="112"/>
      <c r="W39" s="112"/>
      <c r="X39" s="112"/>
      <c r="Y39" s="112"/>
      <c r="AA39" s="400">
        <f ca="1">SUMIFS(HIS_SALES!$I$2:$I$5129,HIS_SALES!$H$2:$H$5129,ST_OVERVIEW!AA$6,HIS_SALES!$F$2:$F$5129,VLOOKUP(ST_OVERVIEW!G$6,TIME!$L$12:$M$17,2,FALSE),HIS_SALES!$D$2:$D$5129,ST_OVERVIEW!$B39,HIS_SALES!$C$2:$C$5129,ST_OVERVIEW!$B$1,HIS_SALES!$E$2:$E$5129,ST_OVERVIEW!$H$26)</f>
        <v>0</v>
      </c>
      <c r="AB39" s="400">
        <f ca="1">SUMIFS(HIS_SALES!$I$2:$I$5129,HIS_SALES!$H$2:$H$5129,ST_OVERVIEW!AB$6,HIS_SALES!$F$2:$F$5129,VLOOKUP(ST_OVERVIEW!H$6,TIME!$L$12:$M$17,2,FALSE),HIS_SALES!$D$2:$D$5129,ST_OVERVIEW!$B39,HIS_SALES!$C$2:$C$5129,ST_OVERVIEW!$B$1,HIS_SALES!$E$2:$E$5129,ST_OVERVIEW!$H$26)</f>
        <v>0</v>
      </c>
      <c r="AC39" s="400">
        <f ca="1">SUMIFS(HIS_SALES!$I$2:$I$5129,HIS_SALES!$H$2:$H$5129,ST_OVERVIEW!AC$6,HIS_SALES!$F$2:$F$5129,VLOOKUP(ST_OVERVIEW!I$6,TIME!$L$12:$M$17,2,FALSE),HIS_SALES!$D$2:$D$5129,ST_OVERVIEW!$B39,HIS_SALES!$C$2:$C$5129,ST_OVERVIEW!$B$1,HIS_SALES!$E$2:$E$5129,ST_OVERVIEW!$H$26)</f>
        <v>0</v>
      </c>
      <c r="AD39" s="400"/>
      <c r="AE39" s="571"/>
      <c r="AF39" s="571"/>
      <c r="AG39" s="571"/>
      <c r="AH39" s="99"/>
      <c r="AI39" s="99"/>
      <c r="AJ39" s="99"/>
      <c r="AK39" s="99"/>
      <c r="AL39" s="99"/>
      <c r="AM39" s="99"/>
    </row>
    <row r="40" spans="2:39" s="98" customFormat="1" hidden="1" x14ac:dyDescent="0.25">
      <c r="B40" s="110">
        <f>'PIVOT TABLE'!E13</f>
        <v>0</v>
      </c>
      <c r="C40" s="538">
        <f ca="1">SUMIFS(FC_DATA!$AC$2:$AC$5000,FC_DATA!$Z$2:$Z$5000,ST_OVERVIEW!C$7,FC_DATA!$X$2:$X$5000,ST_OVERVIEW!C$6,FC_DATA!$V$2:$V$5000,ST_OVERVIEW!$B40,FC_DATA!$U$2:$U$5000,ST_OVERVIEW!$B$1,FC_DATA!$W$2:$W$5000,ST_OVERVIEW!$H$26)</f>
        <v>0</v>
      </c>
      <c r="D40" s="538">
        <f ca="1">SUMIFS(FC_DATA!$AC$2:$AC$5000,FC_DATA!$Z$2:$Z$5000,ST_OVERVIEW!D$7,FC_DATA!$X$2:$X$5000,ST_OVERVIEW!D$6,FC_DATA!$V$2:$V$5000,ST_OVERVIEW!$B40,FC_DATA!$U$2:$U$5000,ST_OVERVIEW!$B$1,FC_DATA!$W$2:$W$5000,ST_OVERVIEW!$H$26)</f>
        <v>0</v>
      </c>
      <c r="E40" s="538">
        <f ca="1">SUMIFS(FC_DATA!$AC$2:$AC$5000,FC_DATA!$Z$2:$Z$5000,ST_OVERVIEW!E$7,FC_DATA!$X$2:$X$5000,ST_OVERVIEW!E$6,FC_DATA!$V$2:$V$5000,ST_OVERVIEW!$B40,FC_DATA!$U$2:$U$5000,ST_OVERVIEW!$B$1,FC_DATA!$W$2:$W$5000,ST_OVERVIEW!$H$26)</f>
        <v>0</v>
      </c>
      <c r="F40" s="111"/>
      <c r="G40" s="112" t="str">
        <f t="shared" ca="1" si="36"/>
        <v>-</v>
      </c>
      <c r="H40" s="112" t="str">
        <f t="shared" ca="1" si="37"/>
        <v>-</v>
      </c>
      <c r="I40" s="112" t="str">
        <f t="shared" ca="1" si="38"/>
        <v>-</v>
      </c>
      <c r="J40" s="111"/>
      <c r="K40" s="39" t="str">
        <f t="shared" ca="1" si="39"/>
        <v>-</v>
      </c>
      <c r="L40" s="39" t="str">
        <f t="shared" ca="1" si="40"/>
        <v>-</v>
      </c>
      <c r="M40" s="39" t="str">
        <f t="shared" ca="1" si="41"/>
        <v>-</v>
      </c>
      <c r="N40" s="114"/>
      <c r="O40" s="115" t="str">
        <f t="shared" ca="1" si="42"/>
        <v>-</v>
      </c>
      <c r="P40" s="115" t="str">
        <f t="shared" ca="1" si="43"/>
        <v>-</v>
      </c>
      <c r="Q40" s="115" t="str">
        <f t="shared" ca="1" si="44"/>
        <v>-</v>
      </c>
      <c r="R40" s="112"/>
      <c r="S40" s="112"/>
      <c r="T40" s="112"/>
      <c r="U40" s="112"/>
      <c r="V40" s="112"/>
      <c r="W40" s="112"/>
      <c r="X40" s="112"/>
      <c r="Y40" s="112"/>
      <c r="AA40" s="400">
        <f ca="1">SUMIFS(HIS_SALES!$I$2:$I$5129,HIS_SALES!$H$2:$H$5129,ST_OVERVIEW!AA$6,HIS_SALES!$F$2:$F$5129,VLOOKUP(ST_OVERVIEW!G$6,TIME!$L$12:$M$17,2,FALSE),HIS_SALES!$D$2:$D$5129,ST_OVERVIEW!$B40,HIS_SALES!$C$2:$C$5129,ST_OVERVIEW!$B$1,HIS_SALES!$E$2:$E$5129,ST_OVERVIEW!$H$26)</f>
        <v>0</v>
      </c>
      <c r="AB40" s="400">
        <f ca="1">SUMIFS(HIS_SALES!$I$2:$I$5129,HIS_SALES!$H$2:$H$5129,ST_OVERVIEW!AB$6,HIS_SALES!$F$2:$F$5129,VLOOKUP(ST_OVERVIEW!H$6,TIME!$L$12:$M$17,2,FALSE),HIS_SALES!$D$2:$D$5129,ST_OVERVIEW!$B40,HIS_SALES!$C$2:$C$5129,ST_OVERVIEW!$B$1,HIS_SALES!$E$2:$E$5129,ST_OVERVIEW!$H$26)</f>
        <v>0</v>
      </c>
      <c r="AC40" s="400">
        <f ca="1">SUMIFS(HIS_SALES!$I$2:$I$5129,HIS_SALES!$H$2:$H$5129,ST_OVERVIEW!AC$6,HIS_SALES!$F$2:$F$5129,VLOOKUP(ST_OVERVIEW!I$6,TIME!$L$12:$M$17,2,FALSE),HIS_SALES!$D$2:$D$5129,ST_OVERVIEW!$B40,HIS_SALES!$C$2:$C$5129,ST_OVERVIEW!$B$1,HIS_SALES!$E$2:$E$5129,ST_OVERVIEW!$H$26)</f>
        <v>0</v>
      </c>
      <c r="AD40" s="400"/>
      <c r="AE40" s="571"/>
      <c r="AF40" s="571"/>
      <c r="AG40" s="571"/>
      <c r="AH40" s="99"/>
      <c r="AI40" s="99"/>
      <c r="AJ40" s="99"/>
      <c r="AK40" s="99"/>
      <c r="AL40" s="99"/>
      <c r="AM40" s="99"/>
    </row>
    <row r="41" spans="2:39" s="98" customFormat="1" ht="15.75" thickBot="1" x14ac:dyDescent="0.3">
      <c r="B41" s="116" t="s">
        <v>80</v>
      </c>
      <c r="C41" s="537">
        <f ca="1">SUM(C31:C40)</f>
        <v>0</v>
      </c>
      <c r="D41" s="537">
        <f ca="1">SUM(D31:D40)</f>
        <v>0</v>
      </c>
      <c r="E41" s="537">
        <f ca="1">SUM(E31:E40)</f>
        <v>0</v>
      </c>
      <c r="F41" s="117"/>
      <c r="G41" s="118">
        <f ca="1">C41/AA41-1</f>
        <v>-1</v>
      </c>
      <c r="H41" s="118">
        <f ca="1">D41/AB41-1</f>
        <v>-1</v>
      </c>
      <c r="I41" s="118">
        <f ca="1">E41/AC41-1</f>
        <v>-1</v>
      </c>
      <c r="J41" s="117"/>
      <c r="K41" s="119">
        <f ca="1">SUM(K31:K33)</f>
        <v>0</v>
      </c>
      <c r="L41" s="119">
        <f t="shared" ref="L41:M41" ca="1" si="45">SUM(L31:L33)</f>
        <v>0</v>
      </c>
      <c r="M41" s="119">
        <f t="shared" ca="1" si="45"/>
        <v>0</v>
      </c>
      <c r="N41" s="117"/>
      <c r="O41" s="118">
        <f ca="1">SUM(O31:O40)</f>
        <v>0</v>
      </c>
      <c r="P41" s="118">
        <f ca="1">SUM(P31:P40)</f>
        <v>0</v>
      </c>
      <c r="Q41" s="118">
        <f ca="1">SUM(Q31:Q40)</f>
        <v>0</v>
      </c>
      <c r="R41" s="114"/>
      <c r="S41" s="114"/>
      <c r="T41" s="114"/>
      <c r="U41" s="114"/>
      <c r="V41" s="114"/>
      <c r="W41" s="114"/>
      <c r="X41" s="114"/>
      <c r="Y41" s="114"/>
      <c r="AA41" s="401">
        <f ca="1">SUM(AA31:AA40)</f>
        <v>20393.08604028001</v>
      </c>
      <c r="AB41" s="401">
        <f t="shared" ref="AB41:AC41" ca="1" si="46">SUM(AB31:AB40)</f>
        <v>26744.754709440011</v>
      </c>
      <c r="AC41" s="401">
        <f t="shared" ca="1" si="46"/>
        <v>23270.732907370009</v>
      </c>
      <c r="AD41" s="400"/>
      <c r="AE41" s="404"/>
      <c r="AF41" s="404"/>
      <c r="AG41" s="404"/>
      <c r="AH41" s="217"/>
      <c r="AI41" s="217"/>
      <c r="AJ41" s="217"/>
      <c r="AK41" s="99"/>
      <c r="AL41" s="99"/>
      <c r="AM41" s="99"/>
    </row>
    <row r="42" spans="2:39" s="98" customFormat="1" x14ac:dyDescent="0.25">
      <c r="K42" s="120"/>
      <c r="L42" s="120"/>
      <c r="M42" s="120"/>
      <c r="AA42" s="99"/>
      <c r="AB42" s="99"/>
      <c r="AC42" s="99"/>
      <c r="AD42" s="99"/>
      <c r="AE42" s="565"/>
      <c r="AF42" s="565"/>
      <c r="AG42" s="565"/>
      <c r="AH42" s="99"/>
      <c r="AI42" s="99"/>
      <c r="AJ42" s="99"/>
      <c r="AK42" s="99"/>
      <c r="AL42" s="99"/>
      <c r="AM42" s="99"/>
    </row>
    <row r="97" spans="1:11" x14ac:dyDescent="0.25">
      <c r="C97" s="26" t="str">
        <f ca="1">TIME!$M$27</f>
        <v>18/19</v>
      </c>
      <c r="D97" s="26" t="str">
        <f ca="1">TIME!$M$27</f>
        <v>18/19</v>
      </c>
      <c r="E97" s="26" t="str">
        <f ca="1">TIME!$M$27</f>
        <v>18/19</v>
      </c>
    </row>
    <row r="98" spans="1:11" x14ac:dyDescent="0.25">
      <c r="C98" s="26" t="str">
        <f ca="1">TIME!$O$27</f>
        <v>17/18</v>
      </c>
      <c r="D98" s="26" t="str">
        <f ca="1">TIME!$O$27</f>
        <v>17/18</v>
      </c>
      <c r="E98" s="26" t="str">
        <f ca="1">TIME!$O$27</f>
        <v>17/18</v>
      </c>
    </row>
    <row r="99" spans="1:11" x14ac:dyDescent="0.25">
      <c r="C99" s="26" t="str">
        <f ca="1">C7</f>
        <v>Feb</v>
      </c>
      <c r="D99" s="26" t="str">
        <f t="shared" ref="D99:E99" ca="1" si="47">D7</f>
        <v>Mar</v>
      </c>
      <c r="E99" s="26" t="str">
        <f t="shared" ca="1" si="47"/>
        <v>Apr</v>
      </c>
      <c r="G99" s="26" t="str">
        <f ca="1">C97&amp;C99</f>
        <v>18/19Feb</v>
      </c>
      <c r="H99" s="26" t="str">
        <f t="shared" ref="H99:I99" ca="1" si="48">D97&amp;D99</f>
        <v>18/19Mar</v>
      </c>
      <c r="I99" s="26" t="str">
        <f t="shared" ca="1" si="48"/>
        <v>18/19Apr</v>
      </c>
    </row>
    <row r="100" spans="1:11" x14ac:dyDescent="0.25">
      <c r="A100" s="26" t="str">
        <f>"BS.com"&amp;B100</f>
        <v>BS.comACCESSORIES</v>
      </c>
      <c r="B100" s="49" t="str">
        <f>B8</f>
        <v>ACCESSORIES</v>
      </c>
      <c r="C100" s="402" t="str">
        <f ca="1">IFERROR(IF(ISNA(VLOOKUP(_xlfn.CONCAT(C$97,C$99),TIME!$M$40:$M$42,1,FALSE)),VLOOKUP(_xlfn.CONCAT(ST_OVERVIEW!$B$1,ST_OVERVIEW!$A100,ST_OVERVIEW!C$97,ST_OVERVIEW!C$99),HIS_SALES!$B$2:$I$5093,MATCH("GSII_M",HIS_SALES!$B$1:$I$1,0),FALSE),VLOOKUP(_xlfn.CONCAT(ST_OVERVIEW!$B$1,ST_OVERVIEW!$A100,ST_OVERVIEW!C$98,ST_OVERVIEW!C$99),HIS_SALES!$B$2:$I$5093,MATCH("GSII_M",HIS_SALES!$B$1:$I$1,0),FALSE)*(1+VLOOKUP(_xlfn.CONCAT(ST_OVERVIEW!$B$1,"BRAND.com",ST_OVERVIEW!$B100,ST_OVERVIEW!C$97,ST_OVERVIEW!C$99),FC_DATA!$A$2:$L$5000,MATCH("Growth",FC_DATA!$A$1:$L$1,0),FALSE))),"")</f>
        <v/>
      </c>
      <c r="D100" s="402" t="str">
        <f ca="1">IFERROR(IF(ISNA(VLOOKUP(_xlfn.CONCAT(D$97,D$99),TIME!$M$40:$M$42,1,FALSE)),VLOOKUP(_xlfn.CONCAT(ST_OVERVIEW!$B$1,ST_OVERVIEW!$A100,ST_OVERVIEW!D$97,ST_OVERVIEW!D$99),HIS_SALES!$B$2:$I$5093,MATCH("GSII_M",HIS_SALES!$B$1:$I$1,0),FALSE),VLOOKUP(_xlfn.CONCAT(ST_OVERVIEW!$B$1,ST_OVERVIEW!$A100,ST_OVERVIEW!D$98,ST_OVERVIEW!D$99),HIS_SALES!$B$2:$I$5093,MATCH("GSII_M",HIS_SALES!$B$1:$I$1,0),FALSE)*(1+VLOOKUP(_xlfn.CONCAT(ST_OVERVIEW!$B$1,"BRAND.com",ST_OVERVIEW!$B100,ST_OVERVIEW!D$97,ST_OVERVIEW!D$99),FC_DATA!$A$2:$L$5000,MATCH("Growth",FC_DATA!$A$1:$L$1,0),FALSE))),"")</f>
        <v/>
      </c>
      <c r="E100" s="402" t="str">
        <f ca="1">IFERROR(IF(ISNA(VLOOKUP(_xlfn.CONCAT(E$97,E$99),TIME!$M$40:$M$42,1,FALSE)),VLOOKUP(_xlfn.CONCAT(ST_OVERVIEW!$B$1,ST_OVERVIEW!$A100,ST_OVERVIEW!E$97,ST_OVERVIEW!E$99),HIS_SALES!$B$2:$I$5093,MATCH("GSII_M",HIS_SALES!$B$1:$I$1,0),FALSE),VLOOKUP(_xlfn.CONCAT(ST_OVERVIEW!$B$1,ST_OVERVIEW!$A100,ST_OVERVIEW!E$98,ST_OVERVIEW!E$99),HIS_SALES!$B$2:$I$5093,MATCH("GSII_M",HIS_SALES!$B$1:$I$1,0),FALSE)*(1+VLOOKUP(_xlfn.CONCAT(ST_OVERVIEW!$B$1,"BRAND.com",ST_OVERVIEW!$B100,ST_OVERVIEW!E$97,ST_OVERVIEW!E$99),FC_DATA!$A$2:$L$5000,MATCH("Growth",FC_DATA!$A$1:$L$1,0),FALSE))),"")</f>
        <v/>
      </c>
      <c r="F100" s="26" t="str">
        <f>A100</f>
        <v>BS.comACCESSORIES</v>
      </c>
      <c r="G100" s="557" t="str">
        <f ca="1">IFERROR(C100/C$115,"")</f>
        <v/>
      </c>
      <c r="H100" s="557" t="str">
        <f t="shared" ref="H100:I114" ca="1" si="49">IFERROR(D100/D$115,"")</f>
        <v/>
      </c>
      <c r="I100" s="558" t="str">
        <f t="shared" ca="1" si="49"/>
        <v/>
      </c>
      <c r="K100" s="926" t="s">
        <v>232</v>
      </c>
    </row>
    <row r="101" spans="1:11" x14ac:dyDescent="0.25">
      <c r="A101" s="26" t="str">
        <f t="shared" ref="A101:A115" si="50">"BS.com"&amp;B101</f>
        <v>BS.comDRESSES</v>
      </c>
      <c r="B101" s="49" t="str">
        <f t="shared" ref="B101:B114" si="51">B9</f>
        <v>DRESSES</v>
      </c>
      <c r="C101" s="402" t="str">
        <f ca="1">IFERROR(IF(ISNA(VLOOKUP(_xlfn.CONCAT(C$97,C$99),TIME!$M$40:$M$42,1,FALSE)),VLOOKUP(_xlfn.CONCAT(ST_OVERVIEW!$B$1,ST_OVERVIEW!$A101,ST_OVERVIEW!C$97,ST_OVERVIEW!C$99),HIS_SALES!$B$2:$I$5093,MATCH("GSII_M",HIS_SALES!$B$1:$I$1,0),FALSE),VLOOKUP(_xlfn.CONCAT(ST_OVERVIEW!$B$1,ST_OVERVIEW!$A101,ST_OVERVIEW!C$98,ST_OVERVIEW!C$99),HIS_SALES!$B$2:$I$5093,MATCH("GSII_M",HIS_SALES!$B$1:$I$1,0),FALSE)*(1+VLOOKUP(_xlfn.CONCAT(ST_OVERVIEW!$B$1,"BRAND.com",ST_OVERVIEW!$B101,ST_OVERVIEW!C$97,ST_OVERVIEW!C$99),FC_DATA!$A$2:$L$5000,MATCH("Growth",FC_DATA!$A$1:$L$1,0),FALSE))),"")</f>
        <v/>
      </c>
      <c r="D101" s="402" t="str">
        <f ca="1">IFERROR(IF(ISNA(VLOOKUP(_xlfn.CONCAT(D$97,D$99),TIME!$M$40:$M$42,1,FALSE)),VLOOKUP(_xlfn.CONCAT(ST_OVERVIEW!$B$1,ST_OVERVIEW!$A101,ST_OVERVIEW!D$97,ST_OVERVIEW!D$99),HIS_SALES!$B$2:$I$5093,MATCH("GSII_M",HIS_SALES!$B$1:$I$1,0),FALSE),VLOOKUP(_xlfn.CONCAT(ST_OVERVIEW!$B$1,ST_OVERVIEW!$A101,ST_OVERVIEW!D$98,ST_OVERVIEW!D$99),HIS_SALES!$B$2:$I$5093,MATCH("GSII_M",HIS_SALES!$B$1:$I$1,0),FALSE)*(1+VLOOKUP(_xlfn.CONCAT(ST_OVERVIEW!$B$1,"BRAND.com",ST_OVERVIEW!$B101,ST_OVERVIEW!D$97,ST_OVERVIEW!D$99),FC_DATA!$A$2:$L$5000,MATCH("Growth",FC_DATA!$A$1:$L$1,0),FALSE))),"")</f>
        <v/>
      </c>
      <c r="E101" s="402" t="str">
        <f ca="1">IFERROR(IF(ISNA(VLOOKUP(_xlfn.CONCAT(E$97,E$99),TIME!$M$40:$M$42,1,FALSE)),VLOOKUP(_xlfn.CONCAT(ST_OVERVIEW!$B$1,ST_OVERVIEW!$A101,ST_OVERVIEW!E$97,ST_OVERVIEW!E$99),HIS_SALES!$B$2:$I$5093,MATCH("GSII_M",HIS_SALES!$B$1:$I$1,0),FALSE),VLOOKUP(_xlfn.CONCAT(ST_OVERVIEW!$B$1,ST_OVERVIEW!$A101,ST_OVERVIEW!E$98,ST_OVERVIEW!E$99),HIS_SALES!$B$2:$I$5093,MATCH("GSII_M",HIS_SALES!$B$1:$I$1,0),FALSE)*(1+VLOOKUP(_xlfn.CONCAT(ST_OVERVIEW!$B$1,"BRAND.com",ST_OVERVIEW!$B101,ST_OVERVIEW!E$97,ST_OVERVIEW!E$99),FC_DATA!$A$2:$L$5000,MATCH("Growth",FC_DATA!$A$1:$L$1,0),FALSE))),"")</f>
        <v/>
      </c>
      <c r="F101" s="26" t="str">
        <f t="shared" ref="F101:F130" si="52">A101</f>
        <v>BS.comDRESSES</v>
      </c>
      <c r="G101" s="557" t="str">
        <f t="shared" ref="G101:G111" ca="1" si="53">IFERROR(C101/C$115,"")</f>
        <v/>
      </c>
      <c r="H101" s="557" t="str">
        <f t="shared" ca="1" si="49"/>
        <v/>
      </c>
      <c r="I101" s="558" t="str">
        <f t="shared" ca="1" si="49"/>
        <v/>
      </c>
      <c r="K101" s="927"/>
    </row>
    <row r="102" spans="1:11" x14ac:dyDescent="0.25">
      <c r="A102" s="26" t="str">
        <f t="shared" si="50"/>
        <v>BS.comJEANS</v>
      </c>
      <c r="B102" s="49" t="str">
        <f t="shared" si="51"/>
        <v>JEANS</v>
      </c>
      <c r="C102" s="402" t="str">
        <f ca="1">IFERROR(IF(ISNA(VLOOKUP(_xlfn.CONCAT(C$97,C$99),TIME!$M$40:$M$42,1,FALSE)),VLOOKUP(_xlfn.CONCAT(ST_OVERVIEW!$B$1,ST_OVERVIEW!$A102,ST_OVERVIEW!C$97,ST_OVERVIEW!C$99),HIS_SALES!$B$2:$I$5093,MATCH("GSII_M",HIS_SALES!$B$1:$I$1,0),FALSE),VLOOKUP(_xlfn.CONCAT(ST_OVERVIEW!$B$1,ST_OVERVIEW!$A102,ST_OVERVIEW!C$98,ST_OVERVIEW!C$99),HIS_SALES!$B$2:$I$5093,MATCH("GSII_M",HIS_SALES!$B$1:$I$1,0),FALSE)*(1+VLOOKUP(_xlfn.CONCAT(ST_OVERVIEW!$B$1,"BRAND.com",ST_OVERVIEW!$B102,ST_OVERVIEW!C$97,ST_OVERVIEW!C$99),FC_DATA!$A$2:$L$5000,MATCH("Growth",FC_DATA!$A$1:$L$1,0),FALSE))),"")</f>
        <v/>
      </c>
      <c r="D102" s="402" t="str">
        <f ca="1">IFERROR(IF(ISNA(VLOOKUP(_xlfn.CONCAT(D$97,D$99),TIME!$M$40:$M$42,1,FALSE)),VLOOKUP(_xlfn.CONCAT(ST_OVERVIEW!$B$1,ST_OVERVIEW!$A102,ST_OVERVIEW!D$97,ST_OVERVIEW!D$99),HIS_SALES!$B$2:$I$5093,MATCH("GSII_M",HIS_SALES!$B$1:$I$1,0),FALSE),VLOOKUP(_xlfn.CONCAT(ST_OVERVIEW!$B$1,ST_OVERVIEW!$A102,ST_OVERVIEW!D$98,ST_OVERVIEW!D$99),HIS_SALES!$B$2:$I$5093,MATCH("GSII_M",HIS_SALES!$B$1:$I$1,0),FALSE)*(1+VLOOKUP(_xlfn.CONCAT(ST_OVERVIEW!$B$1,"BRAND.com",ST_OVERVIEW!$B102,ST_OVERVIEW!D$97,ST_OVERVIEW!D$99),FC_DATA!$A$2:$L$5000,MATCH("Growth",FC_DATA!$A$1:$L$1,0),FALSE))),"")</f>
        <v/>
      </c>
      <c r="E102" s="402" t="str">
        <f ca="1">IFERROR(IF(ISNA(VLOOKUP(_xlfn.CONCAT(E$97,E$99),TIME!$M$40:$M$42,1,FALSE)),VLOOKUP(_xlfn.CONCAT(ST_OVERVIEW!$B$1,ST_OVERVIEW!$A102,ST_OVERVIEW!E$97,ST_OVERVIEW!E$99),HIS_SALES!$B$2:$I$5093,MATCH("GSII_M",HIS_SALES!$B$1:$I$1,0),FALSE),VLOOKUP(_xlfn.CONCAT(ST_OVERVIEW!$B$1,ST_OVERVIEW!$A102,ST_OVERVIEW!E$98,ST_OVERVIEW!E$99),HIS_SALES!$B$2:$I$5093,MATCH("GSII_M",HIS_SALES!$B$1:$I$1,0),FALSE)*(1+VLOOKUP(_xlfn.CONCAT(ST_OVERVIEW!$B$1,"BRAND.com",ST_OVERVIEW!$B102,ST_OVERVIEW!E$97,ST_OVERVIEW!E$99),FC_DATA!$A$2:$L$5000,MATCH("Growth",FC_DATA!$A$1:$L$1,0),FALSE))),"")</f>
        <v/>
      </c>
      <c r="F102" s="26" t="str">
        <f t="shared" si="52"/>
        <v>BS.comJEANS</v>
      </c>
      <c r="G102" s="557" t="str">
        <f t="shared" ca="1" si="53"/>
        <v/>
      </c>
      <c r="H102" s="557" t="str">
        <f t="shared" ca="1" si="49"/>
        <v/>
      </c>
      <c r="I102" s="558" t="str">
        <f t="shared" ca="1" si="49"/>
        <v/>
      </c>
      <c r="K102" s="927"/>
    </row>
    <row r="103" spans="1:11" x14ac:dyDescent="0.25">
      <c r="A103" s="26" t="str">
        <f t="shared" si="50"/>
        <v>BS.comKNIT</v>
      </c>
      <c r="B103" s="49" t="str">
        <f t="shared" si="51"/>
        <v>KNIT</v>
      </c>
      <c r="C103" s="402" t="str">
        <f ca="1">IFERROR(IF(ISNA(VLOOKUP(_xlfn.CONCAT(C$97,C$99),TIME!$M$40:$M$42,1,FALSE)),VLOOKUP(_xlfn.CONCAT(ST_OVERVIEW!$B$1,ST_OVERVIEW!$A103,ST_OVERVIEW!C$97,ST_OVERVIEW!C$99),HIS_SALES!$B$2:$I$5093,MATCH("GSII_M",HIS_SALES!$B$1:$I$1,0),FALSE),VLOOKUP(_xlfn.CONCAT(ST_OVERVIEW!$B$1,ST_OVERVIEW!$A103,ST_OVERVIEW!C$98,ST_OVERVIEW!C$99),HIS_SALES!$B$2:$I$5093,MATCH("GSII_M",HIS_SALES!$B$1:$I$1,0),FALSE)*(1+VLOOKUP(_xlfn.CONCAT(ST_OVERVIEW!$B$1,"BRAND.com",ST_OVERVIEW!$B103,ST_OVERVIEW!C$97,ST_OVERVIEW!C$99),FC_DATA!$A$2:$L$5000,MATCH("Growth",FC_DATA!$A$1:$L$1,0),FALSE))),"")</f>
        <v/>
      </c>
      <c r="D103" s="402" t="str">
        <f ca="1">IFERROR(IF(ISNA(VLOOKUP(_xlfn.CONCAT(D$97,D$99),TIME!$M$40:$M$42,1,FALSE)),VLOOKUP(_xlfn.CONCAT(ST_OVERVIEW!$B$1,ST_OVERVIEW!$A103,ST_OVERVIEW!D$97,ST_OVERVIEW!D$99),HIS_SALES!$B$2:$I$5093,MATCH("GSII_M",HIS_SALES!$B$1:$I$1,0),FALSE),VLOOKUP(_xlfn.CONCAT(ST_OVERVIEW!$B$1,ST_OVERVIEW!$A103,ST_OVERVIEW!D$98,ST_OVERVIEW!D$99),HIS_SALES!$B$2:$I$5093,MATCH("GSII_M",HIS_SALES!$B$1:$I$1,0),FALSE)*(1+VLOOKUP(_xlfn.CONCAT(ST_OVERVIEW!$B$1,"BRAND.com",ST_OVERVIEW!$B103,ST_OVERVIEW!D$97,ST_OVERVIEW!D$99),FC_DATA!$A$2:$L$5000,MATCH("Growth",FC_DATA!$A$1:$L$1,0),FALSE))),"")</f>
        <v/>
      </c>
      <c r="E103" s="402" t="str">
        <f ca="1">IFERROR(IF(ISNA(VLOOKUP(_xlfn.CONCAT(E$97,E$99),TIME!$M$40:$M$42,1,FALSE)),VLOOKUP(_xlfn.CONCAT(ST_OVERVIEW!$B$1,ST_OVERVIEW!$A103,ST_OVERVIEW!E$97,ST_OVERVIEW!E$99),HIS_SALES!$B$2:$I$5093,MATCH("GSII_M",HIS_SALES!$B$1:$I$1,0),FALSE),VLOOKUP(_xlfn.CONCAT(ST_OVERVIEW!$B$1,ST_OVERVIEW!$A103,ST_OVERVIEW!E$98,ST_OVERVIEW!E$99),HIS_SALES!$B$2:$I$5093,MATCH("GSII_M",HIS_SALES!$B$1:$I$1,0),FALSE)*(1+VLOOKUP(_xlfn.CONCAT(ST_OVERVIEW!$B$1,"BRAND.com",ST_OVERVIEW!$B103,ST_OVERVIEW!E$97,ST_OVERVIEW!E$99),FC_DATA!$A$2:$L$5000,MATCH("Growth",FC_DATA!$A$1:$L$1,0),FALSE))),"")</f>
        <v/>
      </c>
      <c r="F103" s="26" t="str">
        <f t="shared" si="52"/>
        <v>BS.comKNIT</v>
      </c>
      <c r="G103" s="557" t="str">
        <f t="shared" ca="1" si="53"/>
        <v/>
      </c>
      <c r="H103" s="557" t="str">
        <f t="shared" ca="1" si="49"/>
        <v/>
      </c>
      <c r="I103" s="558" t="str">
        <f t="shared" ca="1" si="49"/>
        <v/>
      </c>
      <c r="K103" s="927"/>
    </row>
    <row r="104" spans="1:11" x14ac:dyDescent="0.25">
      <c r="A104" s="26" t="str">
        <f t="shared" si="50"/>
        <v>BS.comOUTERWEAR</v>
      </c>
      <c r="B104" s="49" t="str">
        <f t="shared" si="51"/>
        <v>OUTERWEAR</v>
      </c>
      <c r="C104" s="402" t="str">
        <f ca="1">IFERROR(IF(ISNA(VLOOKUP(_xlfn.CONCAT(C$97,C$99),TIME!$M$40:$M$42,1,FALSE)),VLOOKUP(_xlfn.CONCAT(ST_OVERVIEW!$B$1,ST_OVERVIEW!$A104,ST_OVERVIEW!C$97,ST_OVERVIEW!C$99),HIS_SALES!$B$2:$I$5093,MATCH("GSII_M",HIS_SALES!$B$1:$I$1,0),FALSE),VLOOKUP(_xlfn.CONCAT(ST_OVERVIEW!$B$1,ST_OVERVIEW!$A104,ST_OVERVIEW!C$98,ST_OVERVIEW!C$99),HIS_SALES!$B$2:$I$5093,MATCH("GSII_M",HIS_SALES!$B$1:$I$1,0),FALSE)*(1+VLOOKUP(_xlfn.CONCAT(ST_OVERVIEW!$B$1,"BRAND.com",ST_OVERVIEW!$B104,ST_OVERVIEW!C$97,ST_OVERVIEW!C$99),FC_DATA!$A$2:$L$5000,MATCH("Growth",FC_DATA!$A$1:$L$1,0),FALSE))),"")</f>
        <v/>
      </c>
      <c r="D104" s="402" t="str">
        <f ca="1">IFERROR(IF(ISNA(VLOOKUP(_xlfn.CONCAT(D$97,D$99),TIME!$M$40:$M$42,1,FALSE)),VLOOKUP(_xlfn.CONCAT(ST_OVERVIEW!$B$1,ST_OVERVIEW!$A104,ST_OVERVIEW!D$97,ST_OVERVIEW!D$99),HIS_SALES!$B$2:$I$5093,MATCH("GSII_M",HIS_SALES!$B$1:$I$1,0),FALSE),VLOOKUP(_xlfn.CONCAT(ST_OVERVIEW!$B$1,ST_OVERVIEW!$A104,ST_OVERVIEW!D$98,ST_OVERVIEW!D$99),HIS_SALES!$B$2:$I$5093,MATCH("GSII_M",HIS_SALES!$B$1:$I$1,0),FALSE)*(1+VLOOKUP(_xlfn.CONCAT(ST_OVERVIEW!$B$1,"BRAND.com",ST_OVERVIEW!$B104,ST_OVERVIEW!D$97,ST_OVERVIEW!D$99),FC_DATA!$A$2:$L$5000,MATCH("Growth",FC_DATA!$A$1:$L$1,0),FALSE))),"")</f>
        <v/>
      </c>
      <c r="E104" s="402" t="str">
        <f ca="1">IFERROR(IF(ISNA(VLOOKUP(_xlfn.CONCAT(E$97,E$99),TIME!$M$40:$M$42,1,FALSE)),VLOOKUP(_xlfn.CONCAT(ST_OVERVIEW!$B$1,ST_OVERVIEW!$A104,ST_OVERVIEW!E$97,ST_OVERVIEW!E$99),HIS_SALES!$B$2:$I$5093,MATCH("GSII_M",HIS_SALES!$B$1:$I$1,0),FALSE),VLOOKUP(_xlfn.CONCAT(ST_OVERVIEW!$B$1,ST_OVERVIEW!$A104,ST_OVERVIEW!E$98,ST_OVERVIEW!E$99),HIS_SALES!$B$2:$I$5093,MATCH("GSII_M",HIS_SALES!$B$1:$I$1,0),FALSE)*(1+VLOOKUP(_xlfn.CONCAT(ST_OVERVIEW!$B$1,"BRAND.com",ST_OVERVIEW!$B104,ST_OVERVIEW!E$97,ST_OVERVIEW!E$99),FC_DATA!$A$2:$L$5000,MATCH("Growth",FC_DATA!$A$1:$L$1,0),FALSE))),"")</f>
        <v/>
      </c>
      <c r="F104" s="26" t="str">
        <f t="shared" si="52"/>
        <v>BS.comOUTERWEAR</v>
      </c>
      <c r="G104" s="557" t="str">
        <f t="shared" ca="1" si="53"/>
        <v/>
      </c>
      <c r="H104" s="557" t="str">
        <f t="shared" ca="1" si="49"/>
        <v/>
      </c>
      <c r="I104" s="558" t="str">
        <f t="shared" ca="1" si="49"/>
        <v/>
      </c>
      <c r="K104" s="927"/>
    </row>
    <row r="105" spans="1:11" x14ac:dyDescent="0.25">
      <c r="A105" s="26" t="str">
        <f t="shared" si="50"/>
        <v>BS.comPANTS</v>
      </c>
      <c r="B105" s="49" t="str">
        <f t="shared" si="51"/>
        <v>PANTS</v>
      </c>
      <c r="C105" s="402" t="str">
        <f ca="1">IFERROR(IF(ISNA(VLOOKUP(_xlfn.CONCAT(C$97,C$99),TIME!$M$40:$M$42,1,FALSE)),VLOOKUP(_xlfn.CONCAT(ST_OVERVIEW!$B$1,ST_OVERVIEW!$A105,ST_OVERVIEW!C$97,ST_OVERVIEW!C$99),HIS_SALES!$B$2:$I$5093,MATCH("GSII_M",HIS_SALES!$B$1:$I$1,0),FALSE),VLOOKUP(_xlfn.CONCAT(ST_OVERVIEW!$B$1,ST_OVERVIEW!$A105,ST_OVERVIEW!C$98,ST_OVERVIEW!C$99),HIS_SALES!$B$2:$I$5093,MATCH("GSII_M",HIS_SALES!$B$1:$I$1,0),FALSE)*(1+VLOOKUP(_xlfn.CONCAT(ST_OVERVIEW!$B$1,"BRAND.com",ST_OVERVIEW!$B105,ST_OVERVIEW!C$97,ST_OVERVIEW!C$99),FC_DATA!$A$2:$L$5000,MATCH("Growth",FC_DATA!$A$1:$L$1,0),FALSE))),"")</f>
        <v/>
      </c>
      <c r="D105" s="402" t="str">
        <f ca="1">IFERROR(IF(ISNA(VLOOKUP(_xlfn.CONCAT(D$97,D$99),TIME!$M$40:$M$42,1,FALSE)),VLOOKUP(_xlfn.CONCAT(ST_OVERVIEW!$B$1,ST_OVERVIEW!$A105,ST_OVERVIEW!D$97,ST_OVERVIEW!D$99),HIS_SALES!$B$2:$I$5093,MATCH("GSII_M",HIS_SALES!$B$1:$I$1,0),FALSE),VLOOKUP(_xlfn.CONCAT(ST_OVERVIEW!$B$1,ST_OVERVIEW!$A105,ST_OVERVIEW!D$98,ST_OVERVIEW!D$99),HIS_SALES!$B$2:$I$5093,MATCH("GSII_M",HIS_SALES!$B$1:$I$1,0),FALSE)*(1+VLOOKUP(_xlfn.CONCAT(ST_OVERVIEW!$B$1,"BRAND.com",ST_OVERVIEW!$B105,ST_OVERVIEW!D$97,ST_OVERVIEW!D$99),FC_DATA!$A$2:$L$5000,MATCH("Growth",FC_DATA!$A$1:$L$1,0),FALSE))),"")</f>
        <v/>
      </c>
      <c r="E105" s="402" t="str">
        <f ca="1">IFERROR(IF(ISNA(VLOOKUP(_xlfn.CONCAT(E$97,E$99),TIME!$M$40:$M$42,1,FALSE)),VLOOKUP(_xlfn.CONCAT(ST_OVERVIEW!$B$1,ST_OVERVIEW!$A105,ST_OVERVIEW!E$97,ST_OVERVIEW!E$99),HIS_SALES!$B$2:$I$5093,MATCH("GSII_M",HIS_SALES!$B$1:$I$1,0),FALSE),VLOOKUP(_xlfn.CONCAT(ST_OVERVIEW!$B$1,ST_OVERVIEW!$A105,ST_OVERVIEW!E$98,ST_OVERVIEW!E$99),HIS_SALES!$B$2:$I$5093,MATCH("GSII_M",HIS_SALES!$B$1:$I$1,0),FALSE)*(1+VLOOKUP(_xlfn.CONCAT(ST_OVERVIEW!$B$1,"BRAND.com",ST_OVERVIEW!$B105,ST_OVERVIEW!E$97,ST_OVERVIEW!E$99),FC_DATA!$A$2:$L$5000,MATCH("Growth",FC_DATA!$A$1:$L$1,0),FALSE))),"")</f>
        <v/>
      </c>
      <c r="F105" s="26" t="str">
        <f t="shared" si="52"/>
        <v>BS.comPANTS</v>
      </c>
      <c r="G105" s="557" t="str">
        <f t="shared" ca="1" si="53"/>
        <v/>
      </c>
      <c r="H105" s="557" t="str">
        <f t="shared" ca="1" si="49"/>
        <v/>
      </c>
      <c r="I105" s="558" t="str">
        <f t="shared" ca="1" si="49"/>
        <v/>
      </c>
      <c r="K105" s="927"/>
    </row>
    <row r="106" spans="1:11" x14ac:dyDescent="0.25">
      <c r="A106" s="26" t="str">
        <f t="shared" si="50"/>
        <v>BS.comSHIRTS</v>
      </c>
      <c r="B106" s="49" t="str">
        <f t="shared" si="51"/>
        <v>SHIRTS</v>
      </c>
      <c r="C106" s="402" t="str">
        <f ca="1">IFERROR(IF(ISNA(VLOOKUP(_xlfn.CONCAT(C$97,C$99),TIME!$M$40:$M$42,1,FALSE)),VLOOKUP(_xlfn.CONCAT(ST_OVERVIEW!$B$1,ST_OVERVIEW!$A106,ST_OVERVIEW!C$97,ST_OVERVIEW!C$99),HIS_SALES!$B$2:$I$5093,MATCH("GSII_M",HIS_SALES!$B$1:$I$1,0),FALSE),VLOOKUP(_xlfn.CONCAT(ST_OVERVIEW!$B$1,ST_OVERVIEW!$A106,ST_OVERVIEW!C$98,ST_OVERVIEW!C$99),HIS_SALES!$B$2:$I$5093,MATCH("GSII_M",HIS_SALES!$B$1:$I$1,0),FALSE)*(1+VLOOKUP(_xlfn.CONCAT(ST_OVERVIEW!$B$1,"BRAND.com",ST_OVERVIEW!$B106,ST_OVERVIEW!C$97,ST_OVERVIEW!C$99),FC_DATA!$A$2:$L$5000,MATCH("Growth",FC_DATA!$A$1:$L$1,0),FALSE))),"")</f>
        <v/>
      </c>
      <c r="D106" s="402" t="str">
        <f ca="1">IFERROR(IF(ISNA(VLOOKUP(_xlfn.CONCAT(D$97,D$99),TIME!$M$40:$M$42,1,FALSE)),VLOOKUP(_xlfn.CONCAT(ST_OVERVIEW!$B$1,ST_OVERVIEW!$A106,ST_OVERVIEW!D$97,ST_OVERVIEW!D$99),HIS_SALES!$B$2:$I$5093,MATCH("GSII_M",HIS_SALES!$B$1:$I$1,0),FALSE),VLOOKUP(_xlfn.CONCAT(ST_OVERVIEW!$B$1,ST_OVERVIEW!$A106,ST_OVERVIEW!D$98,ST_OVERVIEW!D$99),HIS_SALES!$B$2:$I$5093,MATCH("GSII_M",HIS_SALES!$B$1:$I$1,0),FALSE)*(1+VLOOKUP(_xlfn.CONCAT(ST_OVERVIEW!$B$1,"BRAND.com",ST_OVERVIEW!$B106,ST_OVERVIEW!D$97,ST_OVERVIEW!D$99),FC_DATA!$A$2:$L$5000,MATCH("Growth",FC_DATA!$A$1:$L$1,0),FALSE))),"")</f>
        <v/>
      </c>
      <c r="E106" s="402" t="str">
        <f ca="1">IFERROR(IF(ISNA(VLOOKUP(_xlfn.CONCAT(E$97,E$99),TIME!$M$40:$M$42,1,FALSE)),VLOOKUP(_xlfn.CONCAT(ST_OVERVIEW!$B$1,ST_OVERVIEW!$A106,ST_OVERVIEW!E$97,ST_OVERVIEW!E$99),HIS_SALES!$B$2:$I$5093,MATCH("GSII_M",HIS_SALES!$B$1:$I$1,0),FALSE),VLOOKUP(_xlfn.CONCAT(ST_OVERVIEW!$B$1,ST_OVERVIEW!$A106,ST_OVERVIEW!E$98,ST_OVERVIEW!E$99),HIS_SALES!$B$2:$I$5093,MATCH("GSII_M",HIS_SALES!$B$1:$I$1,0),FALSE)*(1+VLOOKUP(_xlfn.CONCAT(ST_OVERVIEW!$B$1,"BRAND.com",ST_OVERVIEW!$B106,ST_OVERVIEW!E$97,ST_OVERVIEW!E$99),FC_DATA!$A$2:$L$5000,MATCH("Growth",FC_DATA!$A$1:$L$1,0),FALSE))),"")</f>
        <v/>
      </c>
      <c r="F106" s="26" t="str">
        <f t="shared" si="52"/>
        <v>BS.comSHIRTS</v>
      </c>
      <c r="G106" s="557" t="str">
        <f t="shared" ca="1" si="53"/>
        <v/>
      </c>
      <c r="H106" s="557" t="str">
        <f t="shared" ca="1" si="49"/>
        <v/>
      </c>
      <c r="I106" s="558" t="str">
        <f t="shared" ca="1" si="49"/>
        <v/>
      </c>
      <c r="K106" s="927"/>
    </row>
    <row r="107" spans="1:11" x14ac:dyDescent="0.25">
      <c r="A107" s="26" t="str">
        <f t="shared" si="50"/>
        <v>BS.comSHOES</v>
      </c>
      <c r="B107" s="49" t="str">
        <f t="shared" si="51"/>
        <v>SHOES</v>
      </c>
      <c r="C107" s="402" t="str">
        <f ca="1">IFERROR(IF(ISNA(VLOOKUP(_xlfn.CONCAT(C$97,C$99),TIME!$M$40:$M$42,1,FALSE)),VLOOKUP(_xlfn.CONCAT(ST_OVERVIEW!$B$1,ST_OVERVIEW!$A107,ST_OVERVIEW!C$97,ST_OVERVIEW!C$99),HIS_SALES!$B$2:$I$5093,MATCH("GSII_M",HIS_SALES!$B$1:$I$1,0),FALSE),VLOOKUP(_xlfn.CONCAT(ST_OVERVIEW!$B$1,ST_OVERVIEW!$A107,ST_OVERVIEW!C$98,ST_OVERVIEW!C$99),HIS_SALES!$B$2:$I$5093,MATCH("GSII_M",HIS_SALES!$B$1:$I$1,0),FALSE)*(1+VLOOKUP(_xlfn.CONCAT(ST_OVERVIEW!$B$1,"BRAND.com",ST_OVERVIEW!$B107,ST_OVERVIEW!C$97,ST_OVERVIEW!C$99),FC_DATA!$A$2:$L$5000,MATCH("Growth",FC_DATA!$A$1:$L$1,0),FALSE))),"")</f>
        <v/>
      </c>
      <c r="D107" s="402" t="str">
        <f ca="1">IFERROR(IF(ISNA(VLOOKUP(_xlfn.CONCAT(D$97,D$99),TIME!$M$40:$M$42,1,FALSE)),VLOOKUP(_xlfn.CONCAT(ST_OVERVIEW!$B$1,ST_OVERVIEW!$A107,ST_OVERVIEW!D$97,ST_OVERVIEW!D$99),HIS_SALES!$B$2:$I$5093,MATCH("GSII_M",HIS_SALES!$B$1:$I$1,0),FALSE),VLOOKUP(_xlfn.CONCAT(ST_OVERVIEW!$B$1,ST_OVERVIEW!$A107,ST_OVERVIEW!D$98,ST_OVERVIEW!D$99),HIS_SALES!$B$2:$I$5093,MATCH("GSII_M",HIS_SALES!$B$1:$I$1,0),FALSE)*(1+VLOOKUP(_xlfn.CONCAT(ST_OVERVIEW!$B$1,"BRAND.com",ST_OVERVIEW!$B107,ST_OVERVIEW!D$97,ST_OVERVIEW!D$99),FC_DATA!$A$2:$L$5000,MATCH("Growth",FC_DATA!$A$1:$L$1,0),FALSE))),"")</f>
        <v/>
      </c>
      <c r="E107" s="402" t="str">
        <f ca="1">IFERROR(IF(ISNA(VLOOKUP(_xlfn.CONCAT(E$97,E$99),TIME!$M$40:$M$42,1,FALSE)),VLOOKUP(_xlfn.CONCAT(ST_OVERVIEW!$B$1,ST_OVERVIEW!$A107,ST_OVERVIEW!E$97,ST_OVERVIEW!E$99),HIS_SALES!$B$2:$I$5093,MATCH("GSII_M",HIS_SALES!$B$1:$I$1,0),FALSE),VLOOKUP(_xlfn.CONCAT(ST_OVERVIEW!$B$1,ST_OVERVIEW!$A107,ST_OVERVIEW!E$98,ST_OVERVIEW!E$99),HIS_SALES!$B$2:$I$5093,MATCH("GSII_M",HIS_SALES!$B$1:$I$1,0),FALSE)*(1+VLOOKUP(_xlfn.CONCAT(ST_OVERVIEW!$B$1,"BRAND.com",ST_OVERVIEW!$B107,ST_OVERVIEW!E$97,ST_OVERVIEW!E$99),FC_DATA!$A$2:$L$5000,MATCH("Growth",FC_DATA!$A$1:$L$1,0),FALSE))),"")</f>
        <v/>
      </c>
      <c r="F107" s="26" t="str">
        <f t="shared" si="52"/>
        <v>BS.comSHOES</v>
      </c>
      <c r="G107" s="557" t="str">
        <f t="shared" ca="1" si="53"/>
        <v/>
      </c>
      <c r="H107" s="557" t="str">
        <f t="shared" ca="1" si="49"/>
        <v/>
      </c>
      <c r="I107" s="558" t="str">
        <f t="shared" ca="1" si="49"/>
        <v/>
      </c>
      <c r="K107" s="927"/>
    </row>
    <row r="108" spans="1:11" x14ac:dyDescent="0.25">
      <c r="A108" s="26" t="str">
        <f t="shared" si="50"/>
        <v>BS.comSHORTS</v>
      </c>
      <c r="B108" s="49" t="str">
        <f t="shared" si="51"/>
        <v>SHORTS</v>
      </c>
      <c r="C108" s="402" t="str">
        <f ca="1">IFERROR(IF(ISNA(VLOOKUP(_xlfn.CONCAT(C$97,C$99),TIME!$M$40:$M$42,1,FALSE)),VLOOKUP(_xlfn.CONCAT(ST_OVERVIEW!$B$1,ST_OVERVIEW!$A108,ST_OVERVIEW!C$97,ST_OVERVIEW!C$99),HIS_SALES!$B$2:$I$5093,MATCH("GSII_M",HIS_SALES!$B$1:$I$1,0),FALSE),VLOOKUP(_xlfn.CONCAT(ST_OVERVIEW!$B$1,ST_OVERVIEW!$A108,ST_OVERVIEW!C$98,ST_OVERVIEW!C$99),HIS_SALES!$B$2:$I$5093,MATCH("GSII_M",HIS_SALES!$B$1:$I$1,0),FALSE)*(1+VLOOKUP(_xlfn.CONCAT(ST_OVERVIEW!$B$1,"BRAND.com",ST_OVERVIEW!$B108,ST_OVERVIEW!C$97,ST_OVERVIEW!C$99),FC_DATA!$A$2:$L$5000,MATCH("Growth",FC_DATA!$A$1:$L$1,0),FALSE))),"")</f>
        <v/>
      </c>
      <c r="D108" s="402" t="str">
        <f ca="1">IFERROR(IF(ISNA(VLOOKUP(_xlfn.CONCAT(D$97,D$99),TIME!$M$40:$M$42,1,FALSE)),VLOOKUP(_xlfn.CONCAT(ST_OVERVIEW!$B$1,ST_OVERVIEW!$A108,ST_OVERVIEW!D$97,ST_OVERVIEW!D$99),HIS_SALES!$B$2:$I$5093,MATCH("GSII_M",HIS_SALES!$B$1:$I$1,0),FALSE),VLOOKUP(_xlfn.CONCAT(ST_OVERVIEW!$B$1,ST_OVERVIEW!$A108,ST_OVERVIEW!D$98,ST_OVERVIEW!D$99),HIS_SALES!$B$2:$I$5093,MATCH("GSII_M",HIS_SALES!$B$1:$I$1,0),FALSE)*(1+VLOOKUP(_xlfn.CONCAT(ST_OVERVIEW!$B$1,"BRAND.com",ST_OVERVIEW!$B108,ST_OVERVIEW!D$97,ST_OVERVIEW!D$99),FC_DATA!$A$2:$L$5000,MATCH("Growth",FC_DATA!$A$1:$L$1,0),FALSE))),"")</f>
        <v/>
      </c>
      <c r="E108" s="402" t="str">
        <f ca="1">IFERROR(IF(ISNA(VLOOKUP(_xlfn.CONCAT(E$97,E$99),TIME!$M$40:$M$42,1,FALSE)),VLOOKUP(_xlfn.CONCAT(ST_OVERVIEW!$B$1,ST_OVERVIEW!$A108,ST_OVERVIEW!E$97,ST_OVERVIEW!E$99),HIS_SALES!$B$2:$I$5093,MATCH("GSII_M",HIS_SALES!$B$1:$I$1,0),FALSE),VLOOKUP(_xlfn.CONCAT(ST_OVERVIEW!$B$1,ST_OVERVIEW!$A108,ST_OVERVIEW!E$98,ST_OVERVIEW!E$99),HIS_SALES!$B$2:$I$5093,MATCH("GSII_M",HIS_SALES!$B$1:$I$1,0),FALSE)*(1+VLOOKUP(_xlfn.CONCAT(ST_OVERVIEW!$B$1,"BRAND.com",ST_OVERVIEW!$B108,ST_OVERVIEW!E$97,ST_OVERVIEW!E$99),FC_DATA!$A$2:$L$5000,MATCH("Growth",FC_DATA!$A$1:$L$1,0),FALSE))),"")</f>
        <v/>
      </c>
      <c r="F108" s="26" t="str">
        <f t="shared" si="52"/>
        <v>BS.comSHORTS</v>
      </c>
      <c r="G108" s="557" t="str">
        <f t="shared" ca="1" si="53"/>
        <v/>
      </c>
      <c r="H108" s="557" t="str">
        <f t="shared" ca="1" si="49"/>
        <v/>
      </c>
      <c r="I108" s="558" t="str">
        <f t="shared" ca="1" si="49"/>
        <v/>
      </c>
      <c r="K108" s="927"/>
    </row>
    <row r="109" spans="1:11" x14ac:dyDescent="0.25">
      <c r="A109" s="26" t="str">
        <f t="shared" si="50"/>
        <v>BS.comSKIRTS</v>
      </c>
      <c r="B109" s="49" t="str">
        <f t="shared" si="51"/>
        <v>SKIRTS</v>
      </c>
      <c r="C109" s="402" t="str">
        <f ca="1">IFERROR(IF(ISNA(VLOOKUP(_xlfn.CONCAT(C$97,C$99),TIME!$M$40:$M$42,1,FALSE)),VLOOKUP(_xlfn.CONCAT(ST_OVERVIEW!$B$1,ST_OVERVIEW!$A109,ST_OVERVIEW!C$97,ST_OVERVIEW!C$99),HIS_SALES!$B$2:$I$5093,MATCH("GSII_M",HIS_SALES!$B$1:$I$1,0),FALSE),VLOOKUP(_xlfn.CONCAT(ST_OVERVIEW!$B$1,ST_OVERVIEW!$A109,ST_OVERVIEW!C$98,ST_OVERVIEW!C$99),HIS_SALES!$B$2:$I$5093,MATCH("GSII_M",HIS_SALES!$B$1:$I$1,0),FALSE)*(1+VLOOKUP(_xlfn.CONCAT(ST_OVERVIEW!$B$1,"BRAND.com",ST_OVERVIEW!$B109,ST_OVERVIEW!C$97,ST_OVERVIEW!C$99),FC_DATA!$A$2:$L$5000,MATCH("Growth",FC_DATA!$A$1:$L$1,0),FALSE))),"")</f>
        <v/>
      </c>
      <c r="D109" s="402" t="str">
        <f ca="1">IFERROR(IF(ISNA(VLOOKUP(_xlfn.CONCAT(D$97,D$99),TIME!$M$40:$M$42,1,FALSE)),VLOOKUP(_xlfn.CONCAT(ST_OVERVIEW!$B$1,ST_OVERVIEW!$A109,ST_OVERVIEW!D$97,ST_OVERVIEW!D$99),HIS_SALES!$B$2:$I$5093,MATCH("GSII_M",HIS_SALES!$B$1:$I$1,0),FALSE),VLOOKUP(_xlfn.CONCAT(ST_OVERVIEW!$B$1,ST_OVERVIEW!$A109,ST_OVERVIEW!D$98,ST_OVERVIEW!D$99),HIS_SALES!$B$2:$I$5093,MATCH("GSII_M",HIS_SALES!$B$1:$I$1,0),FALSE)*(1+VLOOKUP(_xlfn.CONCAT(ST_OVERVIEW!$B$1,"BRAND.com",ST_OVERVIEW!$B109,ST_OVERVIEW!D$97,ST_OVERVIEW!D$99),FC_DATA!$A$2:$L$5000,MATCH("Growth",FC_DATA!$A$1:$L$1,0),FALSE))),"")</f>
        <v/>
      </c>
      <c r="E109" s="402" t="str">
        <f ca="1">IFERROR(IF(ISNA(VLOOKUP(_xlfn.CONCAT(E$97,E$99),TIME!$M$40:$M$42,1,FALSE)),VLOOKUP(_xlfn.CONCAT(ST_OVERVIEW!$B$1,ST_OVERVIEW!$A109,ST_OVERVIEW!E$97,ST_OVERVIEW!E$99),HIS_SALES!$B$2:$I$5093,MATCH("GSII_M",HIS_SALES!$B$1:$I$1,0),FALSE),VLOOKUP(_xlfn.CONCAT(ST_OVERVIEW!$B$1,ST_OVERVIEW!$A109,ST_OVERVIEW!E$98,ST_OVERVIEW!E$99),HIS_SALES!$B$2:$I$5093,MATCH("GSII_M",HIS_SALES!$B$1:$I$1,0),FALSE)*(1+VLOOKUP(_xlfn.CONCAT(ST_OVERVIEW!$B$1,"BRAND.com",ST_OVERVIEW!$B109,ST_OVERVIEW!E$97,ST_OVERVIEW!E$99),FC_DATA!$A$2:$L$5000,MATCH("Growth",FC_DATA!$A$1:$L$1,0),FALSE))),"")</f>
        <v/>
      </c>
      <c r="F109" s="26" t="str">
        <f t="shared" si="52"/>
        <v>BS.comSKIRTS</v>
      </c>
      <c r="G109" s="557" t="str">
        <f t="shared" ca="1" si="53"/>
        <v/>
      </c>
      <c r="H109" s="557" t="str">
        <f t="shared" ca="1" si="49"/>
        <v/>
      </c>
      <c r="I109" s="558" t="str">
        <f t="shared" ca="1" si="49"/>
        <v/>
      </c>
      <c r="K109" s="927"/>
    </row>
    <row r="110" spans="1:11" x14ac:dyDescent="0.25">
      <c r="A110" s="26" t="str">
        <f t="shared" si="50"/>
        <v>BS.comSWEAT</v>
      </c>
      <c r="B110" s="49" t="str">
        <f t="shared" si="51"/>
        <v>SWEAT</v>
      </c>
      <c r="C110" s="402" t="str">
        <f ca="1">IFERROR(IF(ISNA(VLOOKUP(_xlfn.CONCAT(C$97,C$99),TIME!$M$40:$M$42,1,FALSE)),VLOOKUP(_xlfn.CONCAT(ST_OVERVIEW!$B$1,ST_OVERVIEW!$A110,ST_OVERVIEW!C$97,ST_OVERVIEW!C$99),HIS_SALES!$B$2:$I$5093,MATCH("GSII_M",HIS_SALES!$B$1:$I$1,0),FALSE),VLOOKUP(_xlfn.CONCAT(ST_OVERVIEW!$B$1,ST_OVERVIEW!$A110,ST_OVERVIEW!C$98,ST_OVERVIEW!C$99),HIS_SALES!$B$2:$I$5093,MATCH("GSII_M",HIS_SALES!$B$1:$I$1,0),FALSE)*(1+VLOOKUP(_xlfn.CONCAT(ST_OVERVIEW!$B$1,"BRAND.com",ST_OVERVIEW!$B110,ST_OVERVIEW!C$97,ST_OVERVIEW!C$99),FC_DATA!$A$2:$L$5000,MATCH("Growth",FC_DATA!$A$1:$L$1,0),FALSE))),"")</f>
        <v/>
      </c>
      <c r="D110" s="402" t="str">
        <f ca="1">IFERROR(IF(ISNA(VLOOKUP(_xlfn.CONCAT(D$97,D$99),TIME!$M$40:$M$42,1,FALSE)),VLOOKUP(_xlfn.CONCAT(ST_OVERVIEW!$B$1,ST_OVERVIEW!$A110,ST_OVERVIEW!D$97,ST_OVERVIEW!D$99),HIS_SALES!$B$2:$I$5093,MATCH("GSII_M",HIS_SALES!$B$1:$I$1,0),FALSE),VLOOKUP(_xlfn.CONCAT(ST_OVERVIEW!$B$1,ST_OVERVIEW!$A110,ST_OVERVIEW!D$98,ST_OVERVIEW!D$99),HIS_SALES!$B$2:$I$5093,MATCH("GSII_M",HIS_SALES!$B$1:$I$1,0),FALSE)*(1+VLOOKUP(_xlfn.CONCAT(ST_OVERVIEW!$B$1,"BRAND.com",ST_OVERVIEW!$B110,ST_OVERVIEW!D$97,ST_OVERVIEW!D$99),FC_DATA!$A$2:$L$5000,MATCH("Growth",FC_DATA!$A$1:$L$1,0),FALSE))),"")</f>
        <v/>
      </c>
      <c r="E110" s="402" t="str">
        <f ca="1">IFERROR(IF(ISNA(VLOOKUP(_xlfn.CONCAT(E$97,E$99),TIME!$M$40:$M$42,1,FALSE)),VLOOKUP(_xlfn.CONCAT(ST_OVERVIEW!$B$1,ST_OVERVIEW!$A110,ST_OVERVIEW!E$97,ST_OVERVIEW!E$99),HIS_SALES!$B$2:$I$5093,MATCH("GSII_M",HIS_SALES!$B$1:$I$1,0),FALSE),VLOOKUP(_xlfn.CONCAT(ST_OVERVIEW!$B$1,ST_OVERVIEW!$A110,ST_OVERVIEW!E$98,ST_OVERVIEW!E$99),HIS_SALES!$B$2:$I$5093,MATCH("GSII_M",HIS_SALES!$B$1:$I$1,0),FALSE)*(1+VLOOKUP(_xlfn.CONCAT(ST_OVERVIEW!$B$1,"BRAND.com",ST_OVERVIEW!$B110,ST_OVERVIEW!E$97,ST_OVERVIEW!E$99),FC_DATA!$A$2:$L$5000,MATCH("Growth",FC_DATA!$A$1:$L$1,0),FALSE))),"")</f>
        <v/>
      </c>
      <c r="F110" s="26" t="str">
        <f t="shared" si="52"/>
        <v>BS.comSWEAT</v>
      </c>
      <c r="G110" s="557" t="str">
        <f t="shared" ca="1" si="53"/>
        <v/>
      </c>
      <c r="H110" s="557" t="str">
        <f t="shared" ca="1" si="49"/>
        <v/>
      </c>
      <c r="I110" s="558" t="str">
        <f t="shared" ca="1" si="49"/>
        <v/>
      </c>
      <c r="K110" s="927"/>
    </row>
    <row r="111" spans="1:11" x14ac:dyDescent="0.25">
      <c r="A111" s="26" t="str">
        <f t="shared" si="50"/>
        <v>BS.comTAILORING</v>
      </c>
      <c r="B111" s="49" t="str">
        <f t="shared" si="51"/>
        <v>TAILORING</v>
      </c>
      <c r="C111" s="402" t="str">
        <f ca="1">IFERROR(IF(ISNA(VLOOKUP(_xlfn.CONCAT(C$97,C$99),TIME!$M$40:$M$42,1,FALSE)),VLOOKUP(_xlfn.CONCAT(ST_OVERVIEW!$B$1,ST_OVERVIEW!$A111,ST_OVERVIEW!C$97,ST_OVERVIEW!C$99),HIS_SALES!$B$2:$I$5093,MATCH("GSII_M",HIS_SALES!$B$1:$I$1,0),FALSE),VLOOKUP(_xlfn.CONCAT(ST_OVERVIEW!$B$1,ST_OVERVIEW!$A111,ST_OVERVIEW!C$98,ST_OVERVIEW!C$99),HIS_SALES!$B$2:$I$5093,MATCH("GSII_M",HIS_SALES!$B$1:$I$1,0),FALSE)*(1+VLOOKUP(_xlfn.CONCAT(ST_OVERVIEW!$B$1,"BRAND.com",ST_OVERVIEW!$B111,ST_OVERVIEW!C$97,ST_OVERVIEW!C$99),FC_DATA!$A$2:$L$5000,MATCH("Growth",FC_DATA!$A$1:$L$1,0),FALSE))),"")</f>
        <v/>
      </c>
      <c r="D111" s="402" t="str">
        <f ca="1">IFERROR(IF(ISNA(VLOOKUP(_xlfn.CONCAT(D$97,D$99),TIME!$M$40:$M$42,1,FALSE)),VLOOKUP(_xlfn.CONCAT(ST_OVERVIEW!$B$1,ST_OVERVIEW!$A111,ST_OVERVIEW!D$97,ST_OVERVIEW!D$99),HIS_SALES!$B$2:$I$5093,MATCH("GSII_M",HIS_SALES!$B$1:$I$1,0),FALSE),VLOOKUP(_xlfn.CONCAT(ST_OVERVIEW!$B$1,ST_OVERVIEW!$A111,ST_OVERVIEW!D$98,ST_OVERVIEW!D$99),HIS_SALES!$B$2:$I$5093,MATCH("GSII_M",HIS_SALES!$B$1:$I$1,0),FALSE)*(1+VLOOKUP(_xlfn.CONCAT(ST_OVERVIEW!$B$1,"BRAND.com",ST_OVERVIEW!$B111,ST_OVERVIEW!D$97,ST_OVERVIEW!D$99),FC_DATA!$A$2:$L$5000,MATCH("Growth",FC_DATA!$A$1:$L$1,0),FALSE))),"")</f>
        <v/>
      </c>
      <c r="E111" s="402" t="str">
        <f ca="1">IFERROR(IF(ISNA(VLOOKUP(_xlfn.CONCAT(E$97,E$99),TIME!$M$40:$M$42,1,FALSE)),VLOOKUP(_xlfn.CONCAT(ST_OVERVIEW!$B$1,ST_OVERVIEW!$A111,ST_OVERVIEW!E$97,ST_OVERVIEW!E$99),HIS_SALES!$B$2:$I$5093,MATCH("GSII_M",HIS_SALES!$B$1:$I$1,0),FALSE),VLOOKUP(_xlfn.CONCAT(ST_OVERVIEW!$B$1,ST_OVERVIEW!$A111,ST_OVERVIEW!E$98,ST_OVERVIEW!E$99),HIS_SALES!$B$2:$I$5093,MATCH("GSII_M",HIS_SALES!$B$1:$I$1,0),FALSE)*(1+VLOOKUP(_xlfn.CONCAT(ST_OVERVIEW!$B$1,"BRAND.com",ST_OVERVIEW!$B111,ST_OVERVIEW!E$97,ST_OVERVIEW!E$99),FC_DATA!$A$2:$L$5000,MATCH("Growth",FC_DATA!$A$1:$L$1,0),FALSE))),"")</f>
        <v/>
      </c>
      <c r="F111" s="26" t="str">
        <f t="shared" si="52"/>
        <v>BS.comTAILORING</v>
      </c>
      <c r="G111" s="557" t="str">
        <f t="shared" ca="1" si="53"/>
        <v/>
      </c>
      <c r="H111" s="557" t="str">
        <f t="shared" ca="1" si="49"/>
        <v/>
      </c>
      <c r="I111" s="558" t="str">
        <f t="shared" ca="1" si="49"/>
        <v/>
      </c>
      <c r="K111" s="927"/>
    </row>
    <row r="112" spans="1:11" x14ac:dyDescent="0.25">
      <c r="A112" s="26" t="str">
        <f t="shared" si="50"/>
        <v>BS.comTOPS</v>
      </c>
      <c r="B112" s="49" t="str">
        <f t="shared" si="51"/>
        <v>TOPS</v>
      </c>
      <c r="C112" s="402" t="str">
        <f ca="1">IFERROR(IF(ISNA(VLOOKUP(_xlfn.CONCAT(C$97,C$99),TIME!$M$40:$M$42,1,FALSE)),VLOOKUP(_xlfn.CONCAT(ST_OVERVIEW!$B$1,ST_OVERVIEW!$A112,ST_OVERVIEW!C$97,ST_OVERVIEW!C$99),HIS_SALES!$B$2:$I$5093,MATCH("GSII_M",HIS_SALES!$B$1:$I$1,0),FALSE),VLOOKUP(_xlfn.CONCAT(ST_OVERVIEW!$B$1,ST_OVERVIEW!$A112,ST_OVERVIEW!C$98,ST_OVERVIEW!C$99),HIS_SALES!$B$2:$I$5093,MATCH("GSII_M",HIS_SALES!$B$1:$I$1,0),FALSE)*(1+VLOOKUP(_xlfn.CONCAT(ST_OVERVIEW!$B$1,"BRAND.com",ST_OVERVIEW!$B112,ST_OVERVIEW!C$97,ST_OVERVIEW!C$99),FC_DATA!$A$2:$L$5000,MATCH("Growth",FC_DATA!$A$1:$L$1,0),FALSE))),"")</f>
        <v/>
      </c>
      <c r="D112" s="402" t="str">
        <f ca="1">IFERROR(IF(ISNA(VLOOKUP(_xlfn.CONCAT(D$97,D$99),TIME!$M$40:$M$42,1,FALSE)),VLOOKUP(_xlfn.CONCAT(ST_OVERVIEW!$B$1,ST_OVERVIEW!$A112,ST_OVERVIEW!D$97,ST_OVERVIEW!D$99),HIS_SALES!$B$2:$I$5093,MATCH("GSII_M",HIS_SALES!$B$1:$I$1,0),FALSE),VLOOKUP(_xlfn.CONCAT(ST_OVERVIEW!$B$1,ST_OVERVIEW!$A112,ST_OVERVIEW!D$98,ST_OVERVIEW!D$99),HIS_SALES!$B$2:$I$5093,MATCH("GSII_M",HIS_SALES!$B$1:$I$1,0),FALSE)*(1+VLOOKUP(_xlfn.CONCAT(ST_OVERVIEW!$B$1,"BRAND.com",ST_OVERVIEW!$B112,ST_OVERVIEW!D$97,ST_OVERVIEW!D$99),FC_DATA!$A$2:$L$5000,MATCH("Growth",FC_DATA!$A$1:$L$1,0),FALSE))),"")</f>
        <v/>
      </c>
      <c r="E112" s="402" t="str">
        <f ca="1">IFERROR(IF(ISNA(VLOOKUP(_xlfn.CONCAT(E$97,E$99),TIME!$M$40:$M$42,1,FALSE)),VLOOKUP(_xlfn.CONCAT(ST_OVERVIEW!$B$1,ST_OVERVIEW!$A112,ST_OVERVIEW!E$97,ST_OVERVIEW!E$99),HIS_SALES!$B$2:$I$5093,MATCH("GSII_M",HIS_SALES!$B$1:$I$1,0),FALSE),VLOOKUP(_xlfn.CONCAT(ST_OVERVIEW!$B$1,ST_OVERVIEW!$A112,ST_OVERVIEW!E$98,ST_OVERVIEW!E$99),HIS_SALES!$B$2:$I$5093,MATCH("GSII_M",HIS_SALES!$B$1:$I$1,0),FALSE)*(1+VLOOKUP(_xlfn.CONCAT(ST_OVERVIEW!$B$1,"BRAND.com",ST_OVERVIEW!$B112,ST_OVERVIEW!E$97,ST_OVERVIEW!E$99),FC_DATA!$A$2:$L$5000,MATCH("Growth",FC_DATA!$A$1:$L$1,0),FALSE))),"")</f>
        <v/>
      </c>
      <c r="F112" s="26" t="str">
        <f t="shared" si="52"/>
        <v>BS.comTOPS</v>
      </c>
      <c r="G112" s="557" t="str">
        <f t="shared" ref="G112:G114" ca="1" si="54">IFERROR(C112/C$115,"")</f>
        <v/>
      </c>
      <c r="H112" s="557" t="str">
        <f t="shared" ca="1" si="49"/>
        <v/>
      </c>
      <c r="I112" s="558" t="str">
        <f t="shared" ca="1" si="49"/>
        <v/>
      </c>
    </row>
    <row r="113" spans="1:11" x14ac:dyDescent="0.25">
      <c r="A113" s="26" t="str">
        <f t="shared" si="50"/>
        <v>BS.comT-SHIRTS</v>
      </c>
      <c r="B113" s="49" t="str">
        <f t="shared" si="51"/>
        <v>T-SHIRTS</v>
      </c>
      <c r="C113" s="402" t="str">
        <f ca="1">IFERROR(IF(ISNA(VLOOKUP(_xlfn.CONCAT(C$97,C$99),TIME!$M$40:$M$42,1,FALSE)),VLOOKUP(_xlfn.CONCAT(ST_OVERVIEW!$B$1,ST_OVERVIEW!$A113,ST_OVERVIEW!C$97,ST_OVERVIEW!C$99),HIS_SALES!$B$2:$I$5093,MATCH("GSII_M",HIS_SALES!$B$1:$I$1,0),FALSE),VLOOKUP(_xlfn.CONCAT(ST_OVERVIEW!$B$1,ST_OVERVIEW!$A113,ST_OVERVIEW!C$98,ST_OVERVIEW!C$99),HIS_SALES!$B$2:$I$5093,MATCH("GSII_M",HIS_SALES!$B$1:$I$1,0),FALSE)*(1+VLOOKUP(_xlfn.CONCAT(ST_OVERVIEW!$B$1,"BRAND.com",ST_OVERVIEW!$B113,ST_OVERVIEW!C$97,ST_OVERVIEW!C$99),FC_DATA!$A$2:$L$5000,MATCH("Growth",FC_DATA!$A$1:$L$1,0),FALSE))),"")</f>
        <v/>
      </c>
      <c r="D113" s="402" t="str">
        <f ca="1">IFERROR(IF(ISNA(VLOOKUP(_xlfn.CONCAT(D$97,D$99),TIME!$M$40:$M$42,1,FALSE)),VLOOKUP(_xlfn.CONCAT(ST_OVERVIEW!$B$1,ST_OVERVIEW!$A113,ST_OVERVIEW!D$97,ST_OVERVIEW!D$99),HIS_SALES!$B$2:$I$5093,MATCH("GSII_M",HIS_SALES!$B$1:$I$1,0),FALSE),VLOOKUP(_xlfn.CONCAT(ST_OVERVIEW!$B$1,ST_OVERVIEW!$A113,ST_OVERVIEW!D$98,ST_OVERVIEW!D$99),HIS_SALES!$B$2:$I$5093,MATCH("GSII_M",HIS_SALES!$B$1:$I$1,0),FALSE)*(1+VLOOKUP(_xlfn.CONCAT(ST_OVERVIEW!$B$1,"BRAND.com",ST_OVERVIEW!$B113,ST_OVERVIEW!D$97,ST_OVERVIEW!D$99),FC_DATA!$A$2:$L$5000,MATCH("Growth",FC_DATA!$A$1:$L$1,0),FALSE))),"")</f>
        <v/>
      </c>
      <c r="E113" s="402" t="str">
        <f ca="1">IFERROR(IF(ISNA(VLOOKUP(_xlfn.CONCAT(E$97,E$99),TIME!$M$40:$M$42,1,FALSE)),VLOOKUP(_xlfn.CONCAT(ST_OVERVIEW!$B$1,ST_OVERVIEW!$A113,ST_OVERVIEW!E$97,ST_OVERVIEW!E$99),HIS_SALES!$B$2:$I$5093,MATCH("GSII_M",HIS_SALES!$B$1:$I$1,0),FALSE),VLOOKUP(_xlfn.CONCAT(ST_OVERVIEW!$B$1,ST_OVERVIEW!$A113,ST_OVERVIEW!E$98,ST_OVERVIEW!E$99),HIS_SALES!$B$2:$I$5093,MATCH("GSII_M",HIS_SALES!$B$1:$I$1,0),FALSE)*(1+VLOOKUP(_xlfn.CONCAT(ST_OVERVIEW!$B$1,"BRAND.com",ST_OVERVIEW!$B113,ST_OVERVIEW!E$97,ST_OVERVIEW!E$99),FC_DATA!$A$2:$L$5000,MATCH("Growth",FC_DATA!$A$1:$L$1,0),FALSE))),"")</f>
        <v/>
      </c>
      <c r="F113" s="26" t="str">
        <f t="shared" si="52"/>
        <v>BS.comT-SHIRTS</v>
      </c>
      <c r="G113" s="557" t="str">
        <f t="shared" ca="1" si="54"/>
        <v/>
      </c>
      <c r="H113" s="557" t="str">
        <f t="shared" ca="1" si="49"/>
        <v/>
      </c>
      <c r="I113" s="558" t="str">
        <f t="shared" ca="1" si="49"/>
        <v/>
      </c>
    </row>
    <row r="114" spans="1:11" x14ac:dyDescent="0.25">
      <c r="A114" s="26" t="str">
        <f t="shared" si="50"/>
        <v>BS.comT-SHIRTS &amp; TOPS</v>
      </c>
      <c r="B114" s="49" t="str">
        <f t="shared" si="51"/>
        <v>T-SHIRTS &amp; TOPS</v>
      </c>
      <c r="C114" s="402" t="str">
        <f ca="1">IFERROR(IF(ISNA(VLOOKUP(_xlfn.CONCAT(C$97,C$99),TIME!$M$40:$M$42,1,FALSE)),VLOOKUP(_xlfn.CONCAT(ST_OVERVIEW!$B$1,ST_OVERVIEW!$A114,ST_OVERVIEW!C$97,ST_OVERVIEW!C$99),HIS_SALES!$B$2:$I$5093,MATCH("GSII_M",HIS_SALES!$B$1:$I$1,0),FALSE),VLOOKUP(_xlfn.CONCAT(ST_OVERVIEW!$B$1,ST_OVERVIEW!$A114,ST_OVERVIEW!C$98,ST_OVERVIEW!C$99),HIS_SALES!$B$2:$I$5093,MATCH("GSII_M",HIS_SALES!$B$1:$I$1,0),FALSE)*(1+VLOOKUP(_xlfn.CONCAT(ST_OVERVIEW!$B$1,"BRAND.com",ST_OVERVIEW!$B114,ST_OVERVIEW!C$97,ST_OVERVIEW!C$99),FC_DATA!$A$2:$L$5000,MATCH("Growth",FC_DATA!$A$1:$L$1,0),FALSE))),"")</f>
        <v/>
      </c>
      <c r="D114" s="402" t="str">
        <f ca="1">IFERROR(IF(ISNA(VLOOKUP(_xlfn.CONCAT(D$97,D$99),TIME!$M$40:$M$42,1,FALSE)),VLOOKUP(_xlfn.CONCAT(ST_OVERVIEW!$B$1,ST_OVERVIEW!$A114,ST_OVERVIEW!D$97,ST_OVERVIEW!D$99),HIS_SALES!$B$2:$I$5093,MATCH("GSII_M",HIS_SALES!$B$1:$I$1,0),FALSE),VLOOKUP(_xlfn.CONCAT(ST_OVERVIEW!$B$1,ST_OVERVIEW!$A114,ST_OVERVIEW!D$98,ST_OVERVIEW!D$99),HIS_SALES!$B$2:$I$5093,MATCH("GSII_M",HIS_SALES!$B$1:$I$1,0),FALSE)*(1+VLOOKUP(_xlfn.CONCAT(ST_OVERVIEW!$B$1,"BRAND.com",ST_OVERVIEW!$B114,ST_OVERVIEW!D$97,ST_OVERVIEW!D$99),FC_DATA!$A$2:$L$5000,MATCH("Growth",FC_DATA!$A$1:$L$1,0),FALSE))),"")</f>
        <v/>
      </c>
      <c r="E114" s="402" t="str">
        <f ca="1">IFERROR(IF(ISNA(VLOOKUP(_xlfn.CONCAT(E$97,E$99),TIME!$M$40:$M$42,1,FALSE)),VLOOKUP(_xlfn.CONCAT(ST_OVERVIEW!$B$1,ST_OVERVIEW!$A114,ST_OVERVIEW!E$97,ST_OVERVIEW!E$99),HIS_SALES!$B$2:$I$5093,MATCH("GSII_M",HIS_SALES!$B$1:$I$1,0),FALSE),VLOOKUP(_xlfn.CONCAT(ST_OVERVIEW!$B$1,ST_OVERVIEW!$A114,ST_OVERVIEW!E$98,ST_OVERVIEW!E$99),HIS_SALES!$B$2:$I$5093,MATCH("GSII_M",HIS_SALES!$B$1:$I$1,0),FALSE)*(1+VLOOKUP(_xlfn.CONCAT(ST_OVERVIEW!$B$1,"BRAND.com",ST_OVERVIEW!$B114,ST_OVERVIEW!E$97,ST_OVERVIEW!E$99),FC_DATA!$A$2:$L$5000,MATCH("Growth",FC_DATA!$A$1:$L$1,0),FALSE))),"")</f>
        <v/>
      </c>
      <c r="F114" s="26" t="str">
        <f t="shared" si="52"/>
        <v>BS.comT-SHIRTS &amp; TOPS</v>
      </c>
      <c r="G114" s="557" t="str">
        <f t="shared" ca="1" si="54"/>
        <v/>
      </c>
      <c r="H114" s="557" t="str">
        <f t="shared" ca="1" si="49"/>
        <v/>
      </c>
      <c r="I114" s="558" t="str">
        <f t="shared" ca="1" si="49"/>
        <v/>
      </c>
    </row>
    <row r="115" spans="1:11" x14ac:dyDescent="0.25">
      <c r="A115" s="26" t="str">
        <f t="shared" si="50"/>
        <v>BS.com</v>
      </c>
      <c r="C115" s="402">
        <f ca="1">SUM(C100:C114)</f>
        <v>0</v>
      </c>
      <c r="D115" s="402">
        <f t="shared" ref="D115:E115" ca="1" si="55">SUM(D100:D114)</f>
        <v>0</v>
      </c>
      <c r="E115" s="402">
        <f t="shared" ca="1" si="55"/>
        <v>0</v>
      </c>
      <c r="F115" s="26" t="str">
        <f t="shared" si="52"/>
        <v>BS.com</v>
      </c>
      <c r="G115" s="557">
        <f t="shared" ref="G115:I115" ca="1" si="56">SUM(G100:G114)</f>
        <v>0</v>
      </c>
      <c r="H115" s="557">
        <f t="shared" ca="1" si="56"/>
        <v>0</v>
      </c>
      <c r="I115" s="558">
        <f t="shared" ca="1" si="56"/>
        <v>0</v>
      </c>
      <c r="K115" s="926" t="s">
        <v>233</v>
      </c>
    </row>
    <row r="116" spans="1:11" x14ac:dyDescent="0.25">
      <c r="A116" s="26" t="str">
        <f>"PARTNER.com"&amp;B116</f>
        <v>PARTNER.comACCESSORIES</v>
      </c>
      <c r="B116" s="49" t="str">
        <f>B8</f>
        <v>ACCESSORIES</v>
      </c>
      <c r="C116" s="402" t="str">
        <f ca="1">IFERROR(IF(ISNA(VLOOKUP(_xlfn.CONCAT(C$97,C$99),TIME!$M$40:$M$42,1,FALSE)),VLOOKUP(_xlfn.CONCAT(ST_OVERVIEW!$B$1,ST_OVERVIEW!$A116,ST_OVERVIEW!C$97,ST_OVERVIEW!C$99),HIS_SALES!$B$2:$I$5093,MATCH("GSII_M",HIS_SALES!$B$1:$I$1,0),FALSE),VLOOKUP(_xlfn.CONCAT(ST_OVERVIEW!$B$1,ST_OVERVIEW!$A116,ST_OVERVIEW!C$98,ST_OVERVIEW!C$99),HIS_SALES!$B$2:$I$5093,MATCH("GSII_M",HIS_SALES!$B$1:$I$1,0),FALSE)*(1+VLOOKUP(_xlfn.CONCAT(ST_OVERVIEW!$B$1,"BRAND.com",ST_OVERVIEW!$B116,ST_OVERVIEW!C$97,ST_OVERVIEW!C$99),FC_DATA!$A$2:$L$5000,MATCH("Growth",FC_DATA!$A$1:$L$1,0),FALSE))),"")</f>
        <v/>
      </c>
      <c r="D116" s="402" t="str">
        <f ca="1">IFERROR(IF(ISNA(VLOOKUP(_xlfn.CONCAT(D$97,D$99),TIME!$M$40:$M$42,1,FALSE)),VLOOKUP(_xlfn.CONCAT(ST_OVERVIEW!$B$1,ST_OVERVIEW!$A116,ST_OVERVIEW!D$97,ST_OVERVIEW!D$99),HIS_SALES!$B$2:$I$5093,MATCH("GSII_M",HIS_SALES!$B$1:$I$1,0),FALSE),VLOOKUP(_xlfn.CONCAT(ST_OVERVIEW!$B$1,ST_OVERVIEW!$A116,ST_OVERVIEW!D$98,ST_OVERVIEW!D$99),HIS_SALES!$B$2:$I$5093,MATCH("GSII_M",HIS_SALES!$B$1:$I$1,0),FALSE)*(1+VLOOKUP(_xlfn.CONCAT(ST_OVERVIEW!$B$1,"BRAND.com",ST_OVERVIEW!$B116,ST_OVERVIEW!D$97,ST_OVERVIEW!D$99),FC_DATA!$A$2:$L$5000,MATCH("Growth",FC_DATA!$A$1:$L$1,0),FALSE))),"")</f>
        <v/>
      </c>
      <c r="E116" s="402" t="str">
        <f ca="1">IFERROR(IF(ISNA(VLOOKUP(_xlfn.CONCAT(E$97,E$99),TIME!$M$40:$M$42,1,FALSE)),VLOOKUP(_xlfn.CONCAT(ST_OVERVIEW!$B$1,ST_OVERVIEW!$A116,ST_OVERVIEW!E$97,ST_OVERVIEW!E$99),HIS_SALES!$B$2:$I$5093,MATCH("GSII_M",HIS_SALES!$B$1:$I$1,0),FALSE),VLOOKUP(_xlfn.CONCAT(ST_OVERVIEW!$B$1,ST_OVERVIEW!$A116,ST_OVERVIEW!E$98,ST_OVERVIEW!E$99),HIS_SALES!$B$2:$I$5093,MATCH("GSII_M",HIS_SALES!$B$1:$I$1,0),FALSE)*(1+VLOOKUP(_xlfn.CONCAT(ST_OVERVIEW!$B$1,"BRAND.com",ST_OVERVIEW!$B116,ST_OVERVIEW!E$97,ST_OVERVIEW!E$99),FC_DATA!$A$2:$L$5000,MATCH("Growth",FC_DATA!$A$1:$L$1,0),FALSE))),"")</f>
        <v/>
      </c>
      <c r="F116" s="26" t="str">
        <f t="shared" si="52"/>
        <v>PARTNER.comACCESSORIES</v>
      </c>
      <c r="G116" s="557" t="str">
        <f ca="1">IFERROR(C116/C$131,"")</f>
        <v/>
      </c>
      <c r="H116" s="557" t="str">
        <f t="shared" ref="H116:I130" ca="1" si="57">IFERROR(D116/D$131,"")</f>
        <v/>
      </c>
      <c r="I116" s="558" t="str">
        <f t="shared" ca="1" si="57"/>
        <v/>
      </c>
      <c r="K116" s="927"/>
    </row>
    <row r="117" spans="1:11" x14ac:dyDescent="0.25">
      <c r="A117" s="26" t="str">
        <f t="shared" ref="A117:A130" si="58">"PARTNER.com"&amp;B117</f>
        <v>PARTNER.comDRESSES</v>
      </c>
      <c r="B117" s="49" t="str">
        <f t="shared" ref="B117:B130" si="59">B9</f>
        <v>DRESSES</v>
      </c>
      <c r="C117" s="402" t="str">
        <f ca="1">IFERROR(IF(ISNA(VLOOKUP(_xlfn.CONCAT(C$97,C$99),TIME!$M$40:$M$42,1,FALSE)),VLOOKUP(_xlfn.CONCAT(ST_OVERVIEW!$B$1,ST_OVERVIEW!$A117,ST_OVERVIEW!C$97,ST_OVERVIEW!C$99),HIS_SALES!$B$2:$I$5093,MATCH("GSII_M",HIS_SALES!$B$1:$I$1,0),FALSE),VLOOKUP(_xlfn.CONCAT(ST_OVERVIEW!$B$1,ST_OVERVIEW!$A117,ST_OVERVIEW!C$98,ST_OVERVIEW!C$99),HIS_SALES!$B$2:$I$5093,MATCH("GSII_M",HIS_SALES!$B$1:$I$1,0),FALSE)*(1+VLOOKUP(_xlfn.CONCAT(ST_OVERVIEW!$B$1,"BRAND.com",ST_OVERVIEW!$B117,ST_OVERVIEW!C$97,ST_OVERVIEW!C$99),FC_DATA!$A$2:$L$5000,MATCH("Growth",FC_DATA!$A$1:$L$1,0),FALSE))),"")</f>
        <v/>
      </c>
      <c r="D117" s="402" t="str">
        <f ca="1">IFERROR(IF(ISNA(VLOOKUP(_xlfn.CONCAT(D$97,D$99),TIME!$M$40:$M$42,1,FALSE)),VLOOKUP(_xlfn.CONCAT(ST_OVERVIEW!$B$1,ST_OVERVIEW!$A117,ST_OVERVIEW!D$97,ST_OVERVIEW!D$99),HIS_SALES!$B$2:$I$5093,MATCH("GSII_M",HIS_SALES!$B$1:$I$1,0),FALSE),VLOOKUP(_xlfn.CONCAT(ST_OVERVIEW!$B$1,ST_OVERVIEW!$A117,ST_OVERVIEW!D$98,ST_OVERVIEW!D$99),HIS_SALES!$B$2:$I$5093,MATCH("GSII_M",HIS_SALES!$B$1:$I$1,0),FALSE)*(1+VLOOKUP(_xlfn.CONCAT(ST_OVERVIEW!$B$1,"BRAND.com",ST_OVERVIEW!$B117,ST_OVERVIEW!D$97,ST_OVERVIEW!D$99),FC_DATA!$A$2:$L$5000,MATCH("Growth",FC_DATA!$A$1:$L$1,0),FALSE))),"")</f>
        <v/>
      </c>
      <c r="E117" s="402" t="str">
        <f ca="1">IFERROR(IF(ISNA(VLOOKUP(_xlfn.CONCAT(E$97,E$99),TIME!$M$40:$M$42,1,FALSE)),VLOOKUP(_xlfn.CONCAT(ST_OVERVIEW!$B$1,ST_OVERVIEW!$A117,ST_OVERVIEW!E$97,ST_OVERVIEW!E$99),HIS_SALES!$B$2:$I$5093,MATCH("GSII_M",HIS_SALES!$B$1:$I$1,0),FALSE),VLOOKUP(_xlfn.CONCAT(ST_OVERVIEW!$B$1,ST_OVERVIEW!$A117,ST_OVERVIEW!E$98,ST_OVERVIEW!E$99),HIS_SALES!$B$2:$I$5093,MATCH("GSII_M",HIS_SALES!$B$1:$I$1,0),FALSE)*(1+VLOOKUP(_xlfn.CONCAT(ST_OVERVIEW!$B$1,"BRAND.com",ST_OVERVIEW!$B117,ST_OVERVIEW!E$97,ST_OVERVIEW!E$99),FC_DATA!$A$2:$L$5000,MATCH("Growth",FC_DATA!$A$1:$L$1,0),FALSE))),"")</f>
        <v/>
      </c>
      <c r="F117" s="26" t="str">
        <f t="shared" si="52"/>
        <v>PARTNER.comDRESSES</v>
      </c>
      <c r="G117" s="557" t="str">
        <f t="shared" ref="G117:G130" ca="1" si="60">IFERROR(C117/C$131,"")</f>
        <v/>
      </c>
      <c r="H117" s="557" t="str">
        <f t="shared" ca="1" si="57"/>
        <v/>
      </c>
      <c r="I117" s="558" t="str">
        <f t="shared" ca="1" si="57"/>
        <v/>
      </c>
      <c r="K117" s="927"/>
    </row>
    <row r="118" spans="1:11" x14ac:dyDescent="0.25">
      <c r="A118" s="26" t="str">
        <f t="shared" si="58"/>
        <v>PARTNER.comJEANS</v>
      </c>
      <c r="B118" s="49" t="str">
        <f t="shared" si="59"/>
        <v>JEANS</v>
      </c>
      <c r="C118" s="402" t="str">
        <f ca="1">IFERROR(IF(ISNA(VLOOKUP(_xlfn.CONCAT(C$97,C$99),TIME!$M$40:$M$42,1,FALSE)),VLOOKUP(_xlfn.CONCAT(ST_OVERVIEW!$B$1,ST_OVERVIEW!$A118,ST_OVERVIEW!C$97,ST_OVERVIEW!C$99),HIS_SALES!$B$2:$I$5093,MATCH("GSII_M",HIS_SALES!$B$1:$I$1,0),FALSE),VLOOKUP(_xlfn.CONCAT(ST_OVERVIEW!$B$1,ST_OVERVIEW!$A118,ST_OVERVIEW!C$98,ST_OVERVIEW!C$99),HIS_SALES!$B$2:$I$5093,MATCH("GSII_M",HIS_SALES!$B$1:$I$1,0),FALSE)*(1+VLOOKUP(_xlfn.CONCAT(ST_OVERVIEW!$B$1,"BRAND.com",ST_OVERVIEW!$B118,ST_OVERVIEW!C$97,ST_OVERVIEW!C$99),FC_DATA!$A$2:$L$5000,MATCH("Growth",FC_DATA!$A$1:$L$1,0),FALSE))),"")</f>
        <v/>
      </c>
      <c r="D118" s="402" t="str">
        <f ca="1">IFERROR(IF(ISNA(VLOOKUP(_xlfn.CONCAT(D$97,D$99),TIME!$M$40:$M$42,1,FALSE)),VLOOKUP(_xlfn.CONCAT(ST_OVERVIEW!$B$1,ST_OVERVIEW!$A118,ST_OVERVIEW!D$97,ST_OVERVIEW!D$99),HIS_SALES!$B$2:$I$5093,MATCH("GSII_M",HIS_SALES!$B$1:$I$1,0),FALSE),VLOOKUP(_xlfn.CONCAT(ST_OVERVIEW!$B$1,ST_OVERVIEW!$A118,ST_OVERVIEW!D$98,ST_OVERVIEW!D$99),HIS_SALES!$B$2:$I$5093,MATCH("GSII_M",HIS_SALES!$B$1:$I$1,0),FALSE)*(1+VLOOKUP(_xlfn.CONCAT(ST_OVERVIEW!$B$1,"BRAND.com",ST_OVERVIEW!$B118,ST_OVERVIEW!D$97,ST_OVERVIEW!D$99),FC_DATA!$A$2:$L$5000,MATCH("Growth",FC_DATA!$A$1:$L$1,0),FALSE))),"")</f>
        <v/>
      </c>
      <c r="E118" s="402" t="str">
        <f ca="1">IFERROR(IF(ISNA(VLOOKUP(_xlfn.CONCAT(E$97,E$99),TIME!$M$40:$M$42,1,FALSE)),VLOOKUP(_xlfn.CONCAT(ST_OVERVIEW!$B$1,ST_OVERVIEW!$A118,ST_OVERVIEW!E$97,ST_OVERVIEW!E$99),HIS_SALES!$B$2:$I$5093,MATCH("GSII_M",HIS_SALES!$B$1:$I$1,0),FALSE),VLOOKUP(_xlfn.CONCAT(ST_OVERVIEW!$B$1,ST_OVERVIEW!$A118,ST_OVERVIEW!E$98,ST_OVERVIEW!E$99),HIS_SALES!$B$2:$I$5093,MATCH("GSII_M",HIS_SALES!$B$1:$I$1,0),FALSE)*(1+VLOOKUP(_xlfn.CONCAT(ST_OVERVIEW!$B$1,"BRAND.com",ST_OVERVIEW!$B118,ST_OVERVIEW!E$97,ST_OVERVIEW!E$99),FC_DATA!$A$2:$L$5000,MATCH("Growth",FC_DATA!$A$1:$L$1,0),FALSE))),"")</f>
        <v/>
      </c>
      <c r="F118" s="26" t="str">
        <f t="shared" si="52"/>
        <v>PARTNER.comJEANS</v>
      </c>
      <c r="G118" s="557" t="str">
        <f t="shared" ca="1" si="60"/>
        <v/>
      </c>
      <c r="H118" s="557" t="str">
        <f t="shared" ca="1" si="57"/>
        <v/>
      </c>
      <c r="I118" s="558" t="str">
        <f t="shared" ca="1" si="57"/>
        <v/>
      </c>
      <c r="K118" s="927"/>
    </row>
    <row r="119" spans="1:11" x14ac:dyDescent="0.25">
      <c r="A119" s="26" t="str">
        <f t="shared" si="58"/>
        <v>PARTNER.comKNIT</v>
      </c>
      <c r="B119" s="49" t="str">
        <f t="shared" si="59"/>
        <v>KNIT</v>
      </c>
      <c r="C119" s="402" t="str">
        <f ca="1">IFERROR(IF(ISNA(VLOOKUP(_xlfn.CONCAT(C$97,C$99),TIME!$M$40:$M$42,1,FALSE)),VLOOKUP(_xlfn.CONCAT(ST_OVERVIEW!$B$1,ST_OVERVIEW!$A119,ST_OVERVIEW!C$97,ST_OVERVIEW!C$99),HIS_SALES!$B$2:$I$5093,MATCH("GSII_M",HIS_SALES!$B$1:$I$1,0),FALSE),VLOOKUP(_xlfn.CONCAT(ST_OVERVIEW!$B$1,ST_OVERVIEW!$A119,ST_OVERVIEW!C$98,ST_OVERVIEW!C$99),HIS_SALES!$B$2:$I$5093,MATCH("GSII_M",HIS_SALES!$B$1:$I$1,0),FALSE)*(1+VLOOKUP(_xlfn.CONCAT(ST_OVERVIEW!$B$1,"BRAND.com",ST_OVERVIEW!$B119,ST_OVERVIEW!C$97,ST_OVERVIEW!C$99),FC_DATA!$A$2:$L$5000,MATCH("Growth",FC_DATA!$A$1:$L$1,0),FALSE))),"")</f>
        <v/>
      </c>
      <c r="D119" s="402" t="str">
        <f ca="1">IFERROR(IF(ISNA(VLOOKUP(_xlfn.CONCAT(D$97,D$99),TIME!$M$40:$M$42,1,FALSE)),VLOOKUP(_xlfn.CONCAT(ST_OVERVIEW!$B$1,ST_OVERVIEW!$A119,ST_OVERVIEW!D$97,ST_OVERVIEW!D$99),HIS_SALES!$B$2:$I$5093,MATCH("GSII_M",HIS_SALES!$B$1:$I$1,0),FALSE),VLOOKUP(_xlfn.CONCAT(ST_OVERVIEW!$B$1,ST_OVERVIEW!$A119,ST_OVERVIEW!D$98,ST_OVERVIEW!D$99),HIS_SALES!$B$2:$I$5093,MATCH("GSII_M",HIS_SALES!$B$1:$I$1,0),FALSE)*(1+VLOOKUP(_xlfn.CONCAT(ST_OVERVIEW!$B$1,"BRAND.com",ST_OVERVIEW!$B119,ST_OVERVIEW!D$97,ST_OVERVIEW!D$99),FC_DATA!$A$2:$L$5000,MATCH("Growth",FC_DATA!$A$1:$L$1,0),FALSE))),"")</f>
        <v/>
      </c>
      <c r="E119" s="402" t="str">
        <f ca="1">IFERROR(IF(ISNA(VLOOKUP(_xlfn.CONCAT(E$97,E$99),TIME!$M$40:$M$42,1,FALSE)),VLOOKUP(_xlfn.CONCAT(ST_OVERVIEW!$B$1,ST_OVERVIEW!$A119,ST_OVERVIEW!E$97,ST_OVERVIEW!E$99),HIS_SALES!$B$2:$I$5093,MATCH("GSII_M",HIS_SALES!$B$1:$I$1,0),FALSE),VLOOKUP(_xlfn.CONCAT(ST_OVERVIEW!$B$1,ST_OVERVIEW!$A119,ST_OVERVIEW!E$98,ST_OVERVIEW!E$99),HIS_SALES!$B$2:$I$5093,MATCH("GSII_M",HIS_SALES!$B$1:$I$1,0),FALSE)*(1+VLOOKUP(_xlfn.CONCAT(ST_OVERVIEW!$B$1,"BRAND.com",ST_OVERVIEW!$B119,ST_OVERVIEW!E$97,ST_OVERVIEW!E$99),FC_DATA!$A$2:$L$5000,MATCH("Growth",FC_DATA!$A$1:$L$1,0),FALSE))),"")</f>
        <v/>
      </c>
      <c r="F119" s="26" t="str">
        <f t="shared" si="52"/>
        <v>PARTNER.comKNIT</v>
      </c>
      <c r="G119" s="557" t="str">
        <f t="shared" ca="1" si="60"/>
        <v/>
      </c>
      <c r="H119" s="557" t="str">
        <f t="shared" ca="1" si="57"/>
        <v/>
      </c>
      <c r="I119" s="558" t="str">
        <f t="shared" ca="1" si="57"/>
        <v/>
      </c>
      <c r="K119" s="927"/>
    </row>
    <row r="120" spans="1:11" x14ac:dyDescent="0.25">
      <c r="A120" s="26" t="str">
        <f t="shared" si="58"/>
        <v>PARTNER.comOUTERWEAR</v>
      </c>
      <c r="B120" s="49" t="str">
        <f t="shared" si="59"/>
        <v>OUTERWEAR</v>
      </c>
      <c r="C120" s="402" t="str">
        <f ca="1">IFERROR(IF(ISNA(VLOOKUP(_xlfn.CONCAT(C$97,C$99),TIME!$M$40:$M$42,1,FALSE)),VLOOKUP(_xlfn.CONCAT(ST_OVERVIEW!$B$1,ST_OVERVIEW!$A120,ST_OVERVIEW!C$97,ST_OVERVIEW!C$99),HIS_SALES!$B$2:$I$5093,MATCH("GSII_M",HIS_SALES!$B$1:$I$1,0),FALSE),VLOOKUP(_xlfn.CONCAT(ST_OVERVIEW!$B$1,ST_OVERVIEW!$A120,ST_OVERVIEW!C$98,ST_OVERVIEW!C$99),HIS_SALES!$B$2:$I$5093,MATCH("GSII_M",HIS_SALES!$B$1:$I$1,0),FALSE)*(1+VLOOKUP(_xlfn.CONCAT(ST_OVERVIEW!$B$1,"BRAND.com",ST_OVERVIEW!$B120,ST_OVERVIEW!C$97,ST_OVERVIEW!C$99),FC_DATA!$A$2:$L$5000,MATCH("Growth",FC_DATA!$A$1:$L$1,0),FALSE))),"")</f>
        <v/>
      </c>
      <c r="D120" s="402" t="str">
        <f ca="1">IFERROR(IF(ISNA(VLOOKUP(_xlfn.CONCAT(D$97,D$99),TIME!$M$40:$M$42,1,FALSE)),VLOOKUP(_xlfn.CONCAT(ST_OVERVIEW!$B$1,ST_OVERVIEW!$A120,ST_OVERVIEW!D$97,ST_OVERVIEW!D$99),HIS_SALES!$B$2:$I$5093,MATCH("GSII_M",HIS_SALES!$B$1:$I$1,0),FALSE),VLOOKUP(_xlfn.CONCAT(ST_OVERVIEW!$B$1,ST_OVERVIEW!$A120,ST_OVERVIEW!D$98,ST_OVERVIEW!D$99),HIS_SALES!$B$2:$I$5093,MATCH("GSII_M",HIS_SALES!$B$1:$I$1,0),FALSE)*(1+VLOOKUP(_xlfn.CONCAT(ST_OVERVIEW!$B$1,"BRAND.com",ST_OVERVIEW!$B120,ST_OVERVIEW!D$97,ST_OVERVIEW!D$99),FC_DATA!$A$2:$L$5000,MATCH("Growth",FC_DATA!$A$1:$L$1,0),FALSE))),"")</f>
        <v/>
      </c>
      <c r="E120" s="402" t="str">
        <f ca="1">IFERROR(IF(ISNA(VLOOKUP(_xlfn.CONCAT(E$97,E$99),TIME!$M$40:$M$42,1,FALSE)),VLOOKUP(_xlfn.CONCAT(ST_OVERVIEW!$B$1,ST_OVERVIEW!$A120,ST_OVERVIEW!E$97,ST_OVERVIEW!E$99),HIS_SALES!$B$2:$I$5093,MATCH("GSII_M",HIS_SALES!$B$1:$I$1,0),FALSE),VLOOKUP(_xlfn.CONCAT(ST_OVERVIEW!$B$1,ST_OVERVIEW!$A120,ST_OVERVIEW!E$98,ST_OVERVIEW!E$99),HIS_SALES!$B$2:$I$5093,MATCH("GSII_M",HIS_SALES!$B$1:$I$1,0),FALSE)*(1+VLOOKUP(_xlfn.CONCAT(ST_OVERVIEW!$B$1,"BRAND.com",ST_OVERVIEW!$B120,ST_OVERVIEW!E$97,ST_OVERVIEW!E$99),FC_DATA!$A$2:$L$5000,MATCH("Growth",FC_DATA!$A$1:$L$1,0),FALSE))),"")</f>
        <v/>
      </c>
      <c r="F120" s="26" t="str">
        <f t="shared" si="52"/>
        <v>PARTNER.comOUTERWEAR</v>
      </c>
      <c r="G120" s="557" t="str">
        <f t="shared" ca="1" si="60"/>
        <v/>
      </c>
      <c r="H120" s="557" t="str">
        <f t="shared" ca="1" si="57"/>
        <v/>
      </c>
      <c r="I120" s="558" t="str">
        <f t="shared" ca="1" si="57"/>
        <v/>
      </c>
      <c r="K120" s="927"/>
    </row>
    <row r="121" spans="1:11" x14ac:dyDescent="0.25">
      <c r="A121" s="26" t="str">
        <f t="shared" si="58"/>
        <v>PARTNER.comPANTS</v>
      </c>
      <c r="B121" s="49" t="str">
        <f t="shared" si="59"/>
        <v>PANTS</v>
      </c>
      <c r="C121" s="402" t="str">
        <f ca="1">IFERROR(IF(ISNA(VLOOKUP(_xlfn.CONCAT(C$97,C$99),TIME!$M$40:$M$42,1,FALSE)),VLOOKUP(_xlfn.CONCAT(ST_OVERVIEW!$B$1,ST_OVERVIEW!$A121,ST_OVERVIEW!C$97,ST_OVERVIEW!C$99),HIS_SALES!$B$2:$I$5093,MATCH("GSII_M",HIS_SALES!$B$1:$I$1,0),FALSE),VLOOKUP(_xlfn.CONCAT(ST_OVERVIEW!$B$1,ST_OVERVIEW!$A121,ST_OVERVIEW!C$98,ST_OVERVIEW!C$99),HIS_SALES!$B$2:$I$5093,MATCH("GSII_M",HIS_SALES!$B$1:$I$1,0),FALSE)*(1+VLOOKUP(_xlfn.CONCAT(ST_OVERVIEW!$B$1,"BRAND.com",ST_OVERVIEW!$B121,ST_OVERVIEW!C$97,ST_OVERVIEW!C$99),FC_DATA!$A$2:$L$5000,MATCH("Growth",FC_DATA!$A$1:$L$1,0),FALSE))),"")</f>
        <v/>
      </c>
      <c r="D121" s="402" t="str">
        <f ca="1">IFERROR(IF(ISNA(VLOOKUP(_xlfn.CONCAT(D$97,D$99),TIME!$M$40:$M$42,1,FALSE)),VLOOKUP(_xlfn.CONCAT(ST_OVERVIEW!$B$1,ST_OVERVIEW!$A121,ST_OVERVIEW!D$97,ST_OVERVIEW!D$99),HIS_SALES!$B$2:$I$5093,MATCH("GSII_M",HIS_SALES!$B$1:$I$1,0),FALSE),VLOOKUP(_xlfn.CONCAT(ST_OVERVIEW!$B$1,ST_OVERVIEW!$A121,ST_OVERVIEW!D$98,ST_OVERVIEW!D$99),HIS_SALES!$B$2:$I$5093,MATCH("GSII_M",HIS_SALES!$B$1:$I$1,0),FALSE)*(1+VLOOKUP(_xlfn.CONCAT(ST_OVERVIEW!$B$1,"BRAND.com",ST_OVERVIEW!$B121,ST_OVERVIEW!D$97,ST_OVERVIEW!D$99),FC_DATA!$A$2:$L$5000,MATCH("Growth",FC_DATA!$A$1:$L$1,0),FALSE))),"")</f>
        <v/>
      </c>
      <c r="E121" s="402" t="str">
        <f ca="1">IFERROR(IF(ISNA(VLOOKUP(_xlfn.CONCAT(E$97,E$99),TIME!$M$40:$M$42,1,FALSE)),VLOOKUP(_xlfn.CONCAT(ST_OVERVIEW!$B$1,ST_OVERVIEW!$A121,ST_OVERVIEW!E$97,ST_OVERVIEW!E$99),HIS_SALES!$B$2:$I$5093,MATCH("GSII_M",HIS_SALES!$B$1:$I$1,0),FALSE),VLOOKUP(_xlfn.CONCAT(ST_OVERVIEW!$B$1,ST_OVERVIEW!$A121,ST_OVERVIEW!E$98,ST_OVERVIEW!E$99),HIS_SALES!$B$2:$I$5093,MATCH("GSII_M",HIS_SALES!$B$1:$I$1,0),FALSE)*(1+VLOOKUP(_xlfn.CONCAT(ST_OVERVIEW!$B$1,"BRAND.com",ST_OVERVIEW!$B121,ST_OVERVIEW!E$97,ST_OVERVIEW!E$99),FC_DATA!$A$2:$L$5000,MATCH("Growth",FC_DATA!$A$1:$L$1,0),FALSE))),"")</f>
        <v/>
      </c>
      <c r="F121" s="26" t="str">
        <f t="shared" si="52"/>
        <v>PARTNER.comPANTS</v>
      </c>
      <c r="G121" s="557" t="str">
        <f t="shared" ca="1" si="60"/>
        <v/>
      </c>
      <c r="H121" s="557" t="str">
        <f t="shared" ca="1" si="57"/>
        <v/>
      </c>
      <c r="I121" s="558" t="str">
        <f t="shared" ca="1" si="57"/>
        <v/>
      </c>
      <c r="K121" s="927"/>
    </row>
    <row r="122" spans="1:11" x14ac:dyDescent="0.25">
      <c r="A122" s="26" t="str">
        <f t="shared" si="58"/>
        <v>PARTNER.comSHIRTS</v>
      </c>
      <c r="B122" s="49" t="str">
        <f t="shared" si="59"/>
        <v>SHIRTS</v>
      </c>
      <c r="C122" s="402" t="str">
        <f ca="1">IFERROR(IF(ISNA(VLOOKUP(_xlfn.CONCAT(C$97,C$99),TIME!$M$40:$M$42,1,FALSE)),VLOOKUP(_xlfn.CONCAT(ST_OVERVIEW!$B$1,ST_OVERVIEW!$A122,ST_OVERVIEW!C$97,ST_OVERVIEW!C$99),HIS_SALES!$B$2:$I$5093,MATCH("GSII_M",HIS_SALES!$B$1:$I$1,0),FALSE),VLOOKUP(_xlfn.CONCAT(ST_OVERVIEW!$B$1,ST_OVERVIEW!$A122,ST_OVERVIEW!C$98,ST_OVERVIEW!C$99),HIS_SALES!$B$2:$I$5093,MATCH("GSII_M",HIS_SALES!$B$1:$I$1,0),FALSE)*(1+VLOOKUP(_xlfn.CONCAT(ST_OVERVIEW!$B$1,"BRAND.com",ST_OVERVIEW!$B122,ST_OVERVIEW!C$97,ST_OVERVIEW!C$99),FC_DATA!$A$2:$L$5000,MATCH("Growth",FC_DATA!$A$1:$L$1,0),FALSE))),"")</f>
        <v/>
      </c>
      <c r="D122" s="402" t="str">
        <f ca="1">IFERROR(IF(ISNA(VLOOKUP(_xlfn.CONCAT(D$97,D$99),TIME!$M$40:$M$42,1,FALSE)),VLOOKUP(_xlfn.CONCAT(ST_OVERVIEW!$B$1,ST_OVERVIEW!$A122,ST_OVERVIEW!D$97,ST_OVERVIEW!D$99),HIS_SALES!$B$2:$I$5093,MATCH("GSII_M",HIS_SALES!$B$1:$I$1,0),FALSE),VLOOKUP(_xlfn.CONCAT(ST_OVERVIEW!$B$1,ST_OVERVIEW!$A122,ST_OVERVIEW!D$98,ST_OVERVIEW!D$99),HIS_SALES!$B$2:$I$5093,MATCH("GSII_M",HIS_SALES!$B$1:$I$1,0),FALSE)*(1+VLOOKUP(_xlfn.CONCAT(ST_OVERVIEW!$B$1,"BRAND.com",ST_OVERVIEW!$B122,ST_OVERVIEW!D$97,ST_OVERVIEW!D$99),FC_DATA!$A$2:$L$5000,MATCH("Growth",FC_DATA!$A$1:$L$1,0),FALSE))),"")</f>
        <v/>
      </c>
      <c r="E122" s="402" t="str">
        <f ca="1">IFERROR(IF(ISNA(VLOOKUP(_xlfn.CONCAT(E$97,E$99),TIME!$M$40:$M$42,1,FALSE)),VLOOKUP(_xlfn.CONCAT(ST_OVERVIEW!$B$1,ST_OVERVIEW!$A122,ST_OVERVIEW!E$97,ST_OVERVIEW!E$99),HIS_SALES!$B$2:$I$5093,MATCH("GSII_M",HIS_SALES!$B$1:$I$1,0),FALSE),VLOOKUP(_xlfn.CONCAT(ST_OVERVIEW!$B$1,ST_OVERVIEW!$A122,ST_OVERVIEW!E$98,ST_OVERVIEW!E$99),HIS_SALES!$B$2:$I$5093,MATCH("GSII_M",HIS_SALES!$B$1:$I$1,0),FALSE)*(1+VLOOKUP(_xlfn.CONCAT(ST_OVERVIEW!$B$1,"BRAND.com",ST_OVERVIEW!$B122,ST_OVERVIEW!E$97,ST_OVERVIEW!E$99),FC_DATA!$A$2:$L$5000,MATCH("Growth",FC_DATA!$A$1:$L$1,0),FALSE))),"")</f>
        <v/>
      </c>
      <c r="F122" s="26" t="str">
        <f t="shared" si="52"/>
        <v>PARTNER.comSHIRTS</v>
      </c>
      <c r="G122" s="557" t="str">
        <f t="shared" ca="1" si="60"/>
        <v/>
      </c>
      <c r="H122" s="557" t="str">
        <f t="shared" ca="1" si="57"/>
        <v/>
      </c>
      <c r="I122" s="558" t="str">
        <f t="shared" ca="1" si="57"/>
        <v/>
      </c>
      <c r="K122" s="927"/>
    </row>
    <row r="123" spans="1:11" x14ac:dyDescent="0.25">
      <c r="A123" s="26" t="str">
        <f t="shared" si="58"/>
        <v>PARTNER.comSHOES</v>
      </c>
      <c r="B123" s="49" t="str">
        <f t="shared" si="59"/>
        <v>SHOES</v>
      </c>
      <c r="C123" s="402" t="str">
        <f ca="1">IFERROR(IF(ISNA(VLOOKUP(_xlfn.CONCAT(C$97,C$99),TIME!$M$40:$M$42,1,FALSE)),VLOOKUP(_xlfn.CONCAT(ST_OVERVIEW!$B$1,ST_OVERVIEW!$A123,ST_OVERVIEW!C$97,ST_OVERVIEW!C$99),HIS_SALES!$B$2:$I$5093,MATCH("GSII_M",HIS_SALES!$B$1:$I$1,0),FALSE),VLOOKUP(_xlfn.CONCAT(ST_OVERVIEW!$B$1,ST_OVERVIEW!$A123,ST_OVERVIEW!C$98,ST_OVERVIEW!C$99),HIS_SALES!$B$2:$I$5093,MATCH("GSII_M",HIS_SALES!$B$1:$I$1,0),FALSE)*(1+VLOOKUP(_xlfn.CONCAT(ST_OVERVIEW!$B$1,"BRAND.com",ST_OVERVIEW!$B123,ST_OVERVIEW!C$97,ST_OVERVIEW!C$99),FC_DATA!$A$2:$L$5000,MATCH("Growth",FC_DATA!$A$1:$L$1,0),FALSE))),"")</f>
        <v/>
      </c>
      <c r="D123" s="402" t="str">
        <f ca="1">IFERROR(IF(ISNA(VLOOKUP(_xlfn.CONCAT(D$97,D$99),TIME!$M$40:$M$42,1,FALSE)),VLOOKUP(_xlfn.CONCAT(ST_OVERVIEW!$B$1,ST_OVERVIEW!$A123,ST_OVERVIEW!D$97,ST_OVERVIEW!D$99),HIS_SALES!$B$2:$I$5093,MATCH("GSII_M",HIS_SALES!$B$1:$I$1,0),FALSE),VLOOKUP(_xlfn.CONCAT(ST_OVERVIEW!$B$1,ST_OVERVIEW!$A123,ST_OVERVIEW!D$98,ST_OVERVIEW!D$99),HIS_SALES!$B$2:$I$5093,MATCH("GSII_M",HIS_SALES!$B$1:$I$1,0),FALSE)*(1+VLOOKUP(_xlfn.CONCAT(ST_OVERVIEW!$B$1,"BRAND.com",ST_OVERVIEW!$B123,ST_OVERVIEW!D$97,ST_OVERVIEW!D$99),FC_DATA!$A$2:$L$5000,MATCH("Growth",FC_DATA!$A$1:$L$1,0),FALSE))),"")</f>
        <v/>
      </c>
      <c r="E123" s="402" t="str">
        <f ca="1">IFERROR(IF(ISNA(VLOOKUP(_xlfn.CONCAT(E$97,E$99),TIME!$M$40:$M$42,1,FALSE)),VLOOKUP(_xlfn.CONCAT(ST_OVERVIEW!$B$1,ST_OVERVIEW!$A123,ST_OVERVIEW!E$97,ST_OVERVIEW!E$99),HIS_SALES!$B$2:$I$5093,MATCH("GSII_M",HIS_SALES!$B$1:$I$1,0),FALSE),VLOOKUP(_xlfn.CONCAT(ST_OVERVIEW!$B$1,ST_OVERVIEW!$A123,ST_OVERVIEW!E$98,ST_OVERVIEW!E$99),HIS_SALES!$B$2:$I$5093,MATCH("GSII_M",HIS_SALES!$B$1:$I$1,0),FALSE)*(1+VLOOKUP(_xlfn.CONCAT(ST_OVERVIEW!$B$1,"BRAND.com",ST_OVERVIEW!$B123,ST_OVERVIEW!E$97,ST_OVERVIEW!E$99),FC_DATA!$A$2:$L$5000,MATCH("Growth",FC_DATA!$A$1:$L$1,0),FALSE))),"")</f>
        <v/>
      </c>
      <c r="F123" s="26" t="str">
        <f t="shared" si="52"/>
        <v>PARTNER.comSHOES</v>
      </c>
      <c r="G123" s="557" t="str">
        <f t="shared" ca="1" si="60"/>
        <v/>
      </c>
      <c r="H123" s="557" t="str">
        <f t="shared" ca="1" si="57"/>
        <v/>
      </c>
      <c r="I123" s="558" t="str">
        <f t="shared" ca="1" si="57"/>
        <v/>
      </c>
      <c r="K123" s="927"/>
    </row>
    <row r="124" spans="1:11" x14ac:dyDescent="0.25">
      <c r="A124" s="26" t="str">
        <f t="shared" si="58"/>
        <v>PARTNER.comSHORTS</v>
      </c>
      <c r="B124" s="49" t="str">
        <f t="shared" si="59"/>
        <v>SHORTS</v>
      </c>
      <c r="C124" s="402" t="str">
        <f ca="1">IFERROR(IF(ISNA(VLOOKUP(_xlfn.CONCAT(C$97,C$99),TIME!$M$40:$M$42,1,FALSE)),VLOOKUP(_xlfn.CONCAT(ST_OVERVIEW!$B$1,ST_OVERVIEW!$A124,ST_OVERVIEW!C$97,ST_OVERVIEW!C$99),HIS_SALES!$B$2:$I$5093,MATCH("GSII_M",HIS_SALES!$B$1:$I$1,0),FALSE),VLOOKUP(_xlfn.CONCAT(ST_OVERVIEW!$B$1,ST_OVERVIEW!$A124,ST_OVERVIEW!C$98,ST_OVERVIEW!C$99),HIS_SALES!$B$2:$I$5093,MATCH("GSII_M",HIS_SALES!$B$1:$I$1,0),FALSE)*(1+VLOOKUP(_xlfn.CONCAT(ST_OVERVIEW!$B$1,"BRAND.com",ST_OVERVIEW!$B124,ST_OVERVIEW!C$97,ST_OVERVIEW!C$99),FC_DATA!$A$2:$L$5000,MATCH("Growth",FC_DATA!$A$1:$L$1,0),FALSE))),"")</f>
        <v/>
      </c>
      <c r="D124" s="402" t="str">
        <f ca="1">IFERROR(IF(ISNA(VLOOKUP(_xlfn.CONCAT(D$97,D$99),TIME!$M$40:$M$42,1,FALSE)),VLOOKUP(_xlfn.CONCAT(ST_OVERVIEW!$B$1,ST_OVERVIEW!$A124,ST_OVERVIEW!D$97,ST_OVERVIEW!D$99),HIS_SALES!$B$2:$I$5093,MATCH("GSII_M",HIS_SALES!$B$1:$I$1,0),FALSE),VLOOKUP(_xlfn.CONCAT(ST_OVERVIEW!$B$1,ST_OVERVIEW!$A124,ST_OVERVIEW!D$98,ST_OVERVIEW!D$99),HIS_SALES!$B$2:$I$5093,MATCH("GSII_M",HIS_SALES!$B$1:$I$1,0),FALSE)*(1+VLOOKUP(_xlfn.CONCAT(ST_OVERVIEW!$B$1,"BRAND.com",ST_OVERVIEW!$B124,ST_OVERVIEW!D$97,ST_OVERVIEW!D$99),FC_DATA!$A$2:$L$5000,MATCH("Growth",FC_DATA!$A$1:$L$1,0),FALSE))),"")</f>
        <v/>
      </c>
      <c r="E124" s="402" t="str">
        <f ca="1">IFERROR(IF(ISNA(VLOOKUP(_xlfn.CONCAT(E$97,E$99),TIME!$M$40:$M$42,1,FALSE)),VLOOKUP(_xlfn.CONCAT(ST_OVERVIEW!$B$1,ST_OVERVIEW!$A124,ST_OVERVIEW!E$97,ST_OVERVIEW!E$99),HIS_SALES!$B$2:$I$5093,MATCH("GSII_M",HIS_SALES!$B$1:$I$1,0),FALSE),VLOOKUP(_xlfn.CONCAT(ST_OVERVIEW!$B$1,ST_OVERVIEW!$A124,ST_OVERVIEW!E$98,ST_OVERVIEW!E$99),HIS_SALES!$B$2:$I$5093,MATCH("GSII_M",HIS_SALES!$B$1:$I$1,0),FALSE)*(1+VLOOKUP(_xlfn.CONCAT(ST_OVERVIEW!$B$1,"BRAND.com",ST_OVERVIEW!$B124,ST_OVERVIEW!E$97,ST_OVERVIEW!E$99),FC_DATA!$A$2:$L$5000,MATCH("Growth",FC_DATA!$A$1:$L$1,0),FALSE))),"")</f>
        <v/>
      </c>
      <c r="F124" s="26" t="str">
        <f t="shared" si="52"/>
        <v>PARTNER.comSHORTS</v>
      </c>
      <c r="G124" s="557" t="str">
        <f t="shared" ca="1" si="60"/>
        <v/>
      </c>
      <c r="H124" s="557" t="str">
        <f t="shared" ca="1" si="57"/>
        <v/>
      </c>
      <c r="I124" s="558" t="str">
        <f t="shared" ca="1" si="57"/>
        <v/>
      </c>
      <c r="K124" s="927"/>
    </row>
    <row r="125" spans="1:11" x14ac:dyDescent="0.25">
      <c r="A125" s="26" t="str">
        <f t="shared" si="58"/>
        <v>PARTNER.comSKIRTS</v>
      </c>
      <c r="B125" s="49" t="str">
        <f t="shared" si="59"/>
        <v>SKIRTS</v>
      </c>
      <c r="C125" s="402" t="str">
        <f ca="1">IFERROR(IF(ISNA(VLOOKUP(_xlfn.CONCAT(C$97,C$99),TIME!$M$40:$M$42,1,FALSE)),VLOOKUP(_xlfn.CONCAT(ST_OVERVIEW!$B$1,ST_OVERVIEW!$A125,ST_OVERVIEW!C$97,ST_OVERVIEW!C$99),HIS_SALES!$B$2:$I$5093,MATCH("GSII_M",HIS_SALES!$B$1:$I$1,0),FALSE),VLOOKUP(_xlfn.CONCAT(ST_OVERVIEW!$B$1,ST_OVERVIEW!$A125,ST_OVERVIEW!C$98,ST_OVERVIEW!C$99),HIS_SALES!$B$2:$I$5093,MATCH("GSII_M",HIS_SALES!$B$1:$I$1,0),FALSE)*(1+VLOOKUP(_xlfn.CONCAT(ST_OVERVIEW!$B$1,"BRAND.com",ST_OVERVIEW!$B125,ST_OVERVIEW!C$97,ST_OVERVIEW!C$99),FC_DATA!$A$2:$L$5000,MATCH("Growth",FC_DATA!$A$1:$L$1,0),FALSE))),"")</f>
        <v/>
      </c>
      <c r="D125" s="402" t="str">
        <f ca="1">IFERROR(IF(ISNA(VLOOKUP(_xlfn.CONCAT(D$97,D$99),TIME!$M$40:$M$42,1,FALSE)),VLOOKUP(_xlfn.CONCAT(ST_OVERVIEW!$B$1,ST_OVERVIEW!$A125,ST_OVERVIEW!D$97,ST_OVERVIEW!D$99),HIS_SALES!$B$2:$I$5093,MATCH("GSII_M",HIS_SALES!$B$1:$I$1,0),FALSE),VLOOKUP(_xlfn.CONCAT(ST_OVERVIEW!$B$1,ST_OVERVIEW!$A125,ST_OVERVIEW!D$98,ST_OVERVIEW!D$99),HIS_SALES!$B$2:$I$5093,MATCH("GSII_M",HIS_SALES!$B$1:$I$1,0),FALSE)*(1+VLOOKUP(_xlfn.CONCAT(ST_OVERVIEW!$B$1,"BRAND.com",ST_OVERVIEW!$B125,ST_OVERVIEW!D$97,ST_OVERVIEW!D$99),FC_DATA!$A$2:$L$5000,MATCH("Growth",FC_DATA!$A$1:$L$1,0),FALSE))),"")</f>
        <v/>
      </c>
      <c r="E125" s="402" t="str">
        <f ca="1">IFERROR(IF(ISNA(VLOOKUP(_xlfn.CONCAT(E$97,E$99),TIME!$M$40:$M$42,1,FALSE)),VLOOKUP(_xlfn.CONCAT(ST_OVERVIEW!$B$1,ST_OVERVIEW!$A125,ST_OVERVIEW!E$97,ST_OVERVIEW!E$99),HIS_SALES!$B$2:$I$5093,MATCH("GSII_M",HIS_SALES!$B$1:$I$1,0),FALSE),VLOOKUP(_xlfn.CONCAT(ST_OVERVIEW!$B$1,ST_OVERVIEW!$A125,ST_OVERVIEW!E$98,ST_OVERVIEW!E$99),HIS_SALES!$B$2:$I$5093,MATCH("GSII_M",HIS_SALES!$B$1:$I$1,0),FALSE)*(1+VLOOKUP(_xlfn.CONCAT(ST_OVERVIEW!$B$1,"BRAND.com",ST_OVERVIEW!$B125,ST_OVERVIEW!E$97,ST_OVERVIEW!E$99),FC_DATA!$A$2:$L$5000,MATCH("Growth",FC_DATA!$A$1:$L$1,0),FALSE))),"")</f>
        <v/>
      </c>
      <c r="F125" s="26" t="str">
        <f t="shared" si="52"/>
        <v>PARTNER.comSKIRTS</v>
      </c>
      <c r="G125" s="557" t="str">
        <f t="shared" ca="1" si="60"/>
        <v/>
      </c>
      <c r="H125" s="557" t="str">
        <f t="shared" ca="1" si="57"/>
        <v/>
      </c>
      <c r="I125" s="558" t="str">
        <f t="shared" ca="1" si="57"/>
        <v/>
      </c>
      <c r="K125" s="927"/>
    </row>
    <row r="126" spans="1:11" x14ac:dyDescent="0.25">
      <c r="A126" s="26" t="str">
        <f t="shared" si="58"/>
        <v>PARTNER.comSWEAT</v>
      </c>
      <c r="B126" s="49" t="str">
        <f t="shared" si="59"/>
        <v>SWEAT</v>
      </c>
      <c r="C126" s="402" t="str">
        <f ca="1">IFERROR(IF(ISNA(VLOOKUP(_xlfn.CONCAT(C$97,C$99),TIME!$M$40:$M$42,1,FALSE)),VLOOKUP(_xlfn.CONCAT(ST_OVERVIEW!$B$1,ST_OVERVIEW!$A126,ST_OVERVIEW!C$97,ST_OVERVIEW!C$99),HIS_SALES!$B$2:$I$5093,MATCH("GSII_M",HIS_SALES!$B$1:$I$1,0),FALSE),VLOOKUP(_xlfn.CONCAT(ST_OVERVIEW!$B$1,ST_OVERVIEW!$A126,ST_OVERVIEW!C$98,ST_OVERVIEW!C$99),HIS_SALES!$B$2:$I$5093,MATCH("GSII_M",HIS_SALES!$B$1:$I$1,0),FALSE)*(1+VLOOKUP(_xlfn.CONCAT(ST_OVERVIEW!$B$1,"BRAND.com",ST_OVERVIEW!$B126,ST_OVERVIEW!C$97,ST_OVERVIEW!C$99),FC_DATA!$A$2:$L$5000,MATCH("Growth",FC_DATA!$A$1:$L$1,0),FALSE))),"")</f>
        <v/>
      </c>
      <c r="D126" s="402" t="str">
        <f ca="1">IFERROR(IF(ISNA(VLOOKUP(_xlfn.CONCAT(D$97,D$99),TIME!$M$40:$M$42,1,FALSE)),VLOOKUP(_xlfn.CONCAT(ST_OVERVIEW!$B$1,ST_OVERVIEW!$A126,ST_OVERVIEW!D$97,ST_OVERVIEW!D$99),HIS_SALES!$B$2:$I$5093,MATCH("GSII_M",HIS_SALES!$B$1:$I$1,0),FALSE),VLOOKUP(_xlfn.CONCAT(ST_OVERVIEW!$B$1,ST_OVERVIEW!$A126,ST_OVERVIEW!D$98,ST_OVERVIEW!D$99),HIS_SALES!$B$2:$I$5093,MATCH("GSII_M",HIS_SALES!$B$1:$I$1,0),FALSE)*(1+VLOOKUP(_xlfn.CONCAT(ST_OVERVIEW!$B$1,"BRAND.com",ST_OVERVIEW!$B126,ST_OVERVIEW!D$97,ST_OVERVIEW!D$99),FC_DATA!$A$2:$L$5000,MATCH("Growth",FC_DATA!$A$1:$L$1,0),FALSE))),"")</f>
        <v/>
      </c>
      <c r="E126" s="402" t="str">
        <f ca="1">IFERROR(IF(ISNA(VLOOKUP(_xlfn.CONCAT(E$97,E$99),TIME!$M$40:$M$42,1,FALSE)),VLOOKUP(_xlfn.CONCAT(ST_OVERVIEW!$B$1,ST_OVERVIEW!$A126,ST_OVERVIEW!E$97,ST_OVERVIEW!E$99),HIS_SALES!$B$2:$I$5093,MATCH("GSII_M",HIS_SALES!$B$1:$I$1,0),FALSE),VLOOKUP(_xlfn.CONCAT(ST_OVERVIEW!$B$1,ST_OVERVIEW!$A126,ST_OVERVIEW!E$98,ST_OVERVIEW!E$99),HIS_SALES!$B$2:$I$5093,MATCH("GSII_M",HIS_SALES!$B$1:$I$1,0),FALSE)*(1+VLOOKUP(_xlfn.CONCAT(ST_OVERVIEW!$B$1,"BRAND.com",ST_OVERVIEW!$B126,ST_OVERVIEW!E$97,ST_OVERVIEW!E$99),FC_DATA!$A$2:$L$5000,MATCH("Growth",FC_DATA!$A$1:$L$1,0),FALSE))),"")</f>
        <v/>
      </c>
      <c r="F126" s="26" t="str">
        <f t="shared" si="52"/>
        <v>PARTNER.comSWEAT</v>
      </c>
      <c r="G126" s="557" t="str">
        <f t="shared" ca="1" si="60"/>
        <v/>
      </c>
      <c r="H126" s="557" t="str">
        <f t="shared" ca="1" si="57"/>
        <v/>
      </c>
      <c r="I126" s="558" t="str">
        <f t="shared" ca="1" si="57"/>
        <v/>
      </c>
      <c r="K126" s="927"/>
    </row>
    <row r="127" spans="1:11" x14ac:dyDescent="0.25">
      <c r="A127" s="26" t="str">
        <f t="shared" si="58"/>
        <v>PARTNER.comTAILORING</v>
      </c>
      <c r="B127" s="49" t="str">
        <f t="shared" si="59"/>
        <v>TAILORING</v>
      </c>
      <c r="C127" s="402" t="str">
        <f ca="1">IFERROR(IF(ISNA(VLOOKUP(_xlfn.CONCAT(C$97,C$99),TIME!$M$40:$M$42,1,FALSE)),VLOOKUP(_xlfn.CONCAT(ST_OVERVIEW!$B$1,ST_OVERVIEW!$A127,ST_OVERVIEW!C$97,ST_OVERVIEW!C$99),HIS_SALES!$B$2:$I$5093,MATCH("GSII_M",HIS_SALES!$B$1:$I$1,0),FALSE),VLOOKUP(_xlfn.CONCAT(ST_OVERVIEW!$B$1,ST_OVERVIEW!$A127,ST_OVERVIEW!C$98,ST_OVERVIEW!C$99),HIS_SALES!$B$2:$I$5093,MATCH("GSII_M",HIS_SALES!$B$1:$I$1,0),FALSE)*(1+VLOOKUP(_xlfn.CONCAT(ST_OVERVIEW!$B$1,"BRAND.com",ST_OVERVIEW!$B127,ST_OVERVIEW!C$97,ST_OVERVIEW!C$99),FC_DATA!$A$2:$L$5000,MATCH("Growth",FC_DATA!$A$1:$L$1,0),FALSE))),"")</f>
        <v/>
      </c>
      <c r="D127" s="402" t="str">
        <f ca="1">IFERROR(IF(ISNA(VLOOKUP(_xlfn.CONCAT(D$97,D$99),TIME!$M$40:$M$42,1,FALSE)),VLOOKUP(_xlfn.CONCAT(ST_OVERVIEW!$B$1,ST_OVERVIEW!$A127,ST_OVERVIEW!D$97,ST_OVERVIEW!D$99),HIS_SALES!$B$2:$I$5093,MATCH("GSII_M",HIS_SALES!$B$1:$I$1,0),FALSE),VLOOKUP(_xlfn.CONCAT(ST_OVERVIEW!$B$1,ST_OVERVIEW!$A127,ST_OVERVIEW!D$98,ST_OVERVIEW!D$99),HIS_SALES!$B$2:$I$5093,MATCH("GSII_M",HIS_SALES!$B$1:$I$1,0),FALSE)*(1+VLOOKUP(_xlfn.CONCAT(ST_OVERVIEW!$B$1,"BRAND.com",ST_OVERVIEW!$B127,ST_OVERVIEW!D$97,ST_OVERVIEW!D$99),FC_DATA!$A$2:$L$5000,MATCH("Growth",FC_DATA!$A$1:$L$1,0),FALSE))),"")</f>
        <v/>
      </c>
      <c r="E127" s="402" t="str">
        <f ca="1">IFERROR(IF(ISNA(VLOOKUP(_xlfn.CONCAT(E$97,E$99),TIME!$M$40:$M$42,1,FALSE)),VLOOKUP(_xlfn.CONCAT(ST_OVERVIEW!$B$1,ST_OVERVIEW!$A127,ST_OVERVIEW!E$97,ST_OVERVIEW!E$99),HIS_SALES!$B$2:$I$5093,MATCH("GSII_M",HIS_SALES!$B$1:$I$1,0),FALSE),VLOOKUP(_xlfn.CONCAT(ST_OVERVIEW!$B$1,ST_OVERVIEW!$A127,ST_OVERVIEW!E$98,ST_OVERVIEW!E$99),HIS_SALES!$B$2:$I$5093,MATCH("GSII_M",HIS_SALES!$B$1:$I$1,0),FALSE)*(1+VLOOKUP(_xlfn.CONCAT(ST_OVERVIEW!$B$1,"BRAND.com",ST_OVERVIEW!$B127,ST_OVERVIEW!E$97,ST_OVERVIEW!E$99),FC_DATA!$A$2:$L$5000,MATCH("Growth",FC_DATA!$A$1:$L$1,0),FALSE))),"")</f>
        <v/>
      </c>
      <c r="F127" s="26" t="str">
        <f t="shared" si="52"/>
        <v>PARTNER.comTAILORING</v>
      </c>
      <c r="G127" s="557" t="str">
        <f t="shared" ca="1" si="60"/>
        <v/>
      </c>
      <c r="H127" s="557" t="str">
        <f t="shared" ca="1" si="57"/>
        <v/>
      </c>
      <c r="I127" s="558" t="str">
        <f t="shared" ca="1" si="57"/>
        <v/>
      </c>
    </row>
    <row r="128" spans="1:11" x14ac:dyDescent="0.25">
      <c r="A128" s="26" t="str">
        <f t="shared" si="58"/>
        <v>PARTNER.comTOPS</v>
      </c>
      <c r="B128" s="49" t="str">
        <f t="shared" si="59"/>
        <v>TOPS</v>
      </c>
      <c r="C128" s="402" t="str">
        <f ca="1">IFERROR(IF(ISNA(VLOOKUP(_xlfn.CONCAT(C$97,C$99),TIME!$M$40:$M$42,1,FALSE)),VLOOKUP(_xlfn.CONCAT(ST_OVERVIEW!$B$1,ST_OVERVIEW!$A128,ST_OVERVIEW!C$97,ST_OVERVIEW!C$99),HIS_SALES!$B$2:$I$5093,MATCH("GSII_M",HIS_SALES!$B$1:$I$1,0),FALSE),VLOOKUP(_xlfn.CONCAT(ST_OVERVIEW!$B$1,ST_OVERVIEW!$A128,ST_OVERVIEW!C$98,ST_OVERVIEW!C$99),HIS_SALES!$B$2:$I$5093,MATCH("GSII_M",HIS_SALES!$B$1:$I$1,0),FALSE)*(1+VLOOKUP(_xlfn.CONCAT(ST_OVERVIEW!$B$1,"BRAND.com",ST_OVERVIEW!$B128,ST_OVERVIEW!C$97,ST_OVERVIEW!C$99),FC_DATA!$A$2:$L$5000,MATCH("Growth",FC_DATA!$A$1:$L$1,0),FALSE))),"")</f>
        <v/>
      </c>
      <c r="D128" s="402" t="str">
        <f ca="1">IFERROR(IF(ISNA(VLOOKUP(_xlfn.CONCAT(D$97,D$99),TIME!$M$40:$M$42,1,FALSE)),VLOOKUP(_xlfn.CONCAT(ST_OVERVIEW!$B$1,ST_OVERVIEW!$A128,ST_OVERVIEW!D$97,ST_OVERVIEW!D$99),HIS_SALES!$B$2:$I$5093,MATCH("GSII_M",HIS_SALES!$B$1:$I$1,0),FALSE),VLOOKUP(_xlfn.CONCAT(ST_OVERVIEW!$B$1,ST_OVERVIEW!$A128,ST_OVERVIEW!D$98,ST_OVERVIEW!D$99),HIS_SALES!$B$2:$I$5093,MATCH("GSII_M",HIS_SALES!$B$1:$I$1,0),FALSE)*(1+VLOOKUP(_xlfn.CONCAT(ST_OVERVIEW!$B$1,"BRAND.com",ST_OVERVIEW!$B128,ST_OVERVIEW!D$97,ST_OVERVIEW!D$99),FC_DATA!$A$2:$L$5000,MATCH("Growth",FC_DATA!$A$1:$L$1,0),FALSE))),"")</f>
        <v/>
      </c>
      <c r="E128" s="402" t="str">
        <f ca="1">IFERROR(IF(ISNA(VLOOKUP(_xlfn.CONCAT(E$97,E$99),TIME!$M$40:$M$42,1,FALSE)),VLOOKUP(_xlfn.CONCAT(ST_OVERVIEW!$B$1,ST_OVERVIEW!$A128,ST_OVERVIEW!E$97,ST_OVERVIEW!E$99),HIS_SALES!$B$2:$I$5093,MATCH("GSII_M",HIS_SALES!$B$1:$I$1,0),FALSE),VLOOKUP(_xlfn.CONCAT(ST_OVERVIEW!$B$1,ST_OVERVIEW!$A128,ST_OVERVIEW!E$98,ST_OVERVIEW!E$99),HIS_SALES!$B$2:$I$5093,MATCH("GSII_M",HIS_SALES!$B$1:$I$1,0),FALSE)*(1+VLOOKUP(_xlfn.CONCAT(ST_OVERVIEW!$B$1,"BRAND.com",ST_OVERVIEW!$B128,ST_OVERVIEW!E$97,ST_OVERVIEW!E$99),FC_DATA!$A$2:$L$5000,MATCH("Growth",FC_DATA!$A$1:$L$1,0),FALSE))),"")</f>
        <v/>
      </c>
      <c r="F128" s="26" t="str">
        <f t="shared" si="52"/>
        <v>PARTNER.comTOPS</v>
      </c>
      <c r="G128" s="557" t="str">
        <f t="shared" ca="1" si="60"/>
        <v/>
      </c>
      <c r="H128" s="557" t="str">
        <f t="shared" ca="1" si="57"/>
        <v/>
      </c>
      <c r="I128" s="558" t="str">
        <f t="shared" ca="1" si="57"/>
        <v/>
      </c>
    </row>
    <row r="129" spans="1:9" x14ac:dyDescent="0.25">
      <c r="A129" s="26" t="str">
        <f t="shared" si="58"/>
        <v>PARTNER.comT-SHIRTS</v>
      </c>
      <c r="B129" s="49" t="str">
        <f t="shared" si="59"/>
        <v>T-SHIRTS</v>
      </c>
      <c r="C129" s="402" t="str">
        <f ca="1">IFERROR(IF(ISNA(VLOOKUP(_xlfn.CONCAT(C$97,C$99),TIME!$M$40:$M$42,1,FALSE)),VLOOKUP(_xlfn.CONCAT(ST_OVERVIEW!$B$1,ST_OVERVIEW!$A129,ST_OVERVIEW!C$97,ST_OVERVIEW!C$99),HIS_SALES!$B$2:$I$5093,MATCH("GSII_M",HIS_SALES!$B$1:$I$1,0),FALSE),VLOOKUP(_xlfn.CONCAT(ST_OVERVIEW!$B$1,ST_OVERVIEW!$A129,ST_OVERVIEW!C$98,ST_OVERVIEW!C$99),HIS_SALES!$B$2:$I$5093,MATCH("GSII_M",HIS_SALES!$B$1:$I$1,0),FALSE)*(1+VLOOKUP(_xlfn.CONCAT(ST_OVERVIEW!$B$1,"BRAND.com",ST_OVERVIEW!$B129,ST_OVERVIEW!C$97,ST_OVERVIEW!C$99),FC_DATA!$A$2:$L$5000,MATCH("Growth",FC_DATA!$A$1:$L$1,0),FALSE))),"")</f>
        <v/>
      </c>
      <c r="D129" s="402" t="str">
        <f ca="1">IFERROR(IF(ISNA(VLOOKUP(_xlfn.CONCAT(D$97,D$99),TIME!$M$40:$M$42,1,FALSE)),VLOOKUP(_xlfn.CONCAT(ST_OVERVIEW!$B$1,ST_OVERVIEW!$A129,ST_OVERVIEW!D$97,ST_OVERVIEW!D$99),HIS_SALES!$B$2:$I$5093,MATCH("GSII_M",HIS_SALES!$B$1:$I$1,0),FALSE),VLOOKUP(_xlfn.CONCAT(ST_OVERVIEW!$B$1,ST_OVERVIEW!$A129,ST_OVERVIEW!D$98,ST_OVERVIEW!D$99),HIS_SALES!$B$2:$I$5093,MATCH("GSII_M",HIS_SALES!$B$1:$I$1,0),FALSE)*(1+VLOOKUP(_xlfn.CONCAT(ST_OVERVIEW!$B$1,"BRAND.com",ST_OVERVIEW!$B129,ST_OVERVIEW!D$97,ST_OVERVIEW!D$99),FC_DATA!$A$2:$L$5000,MATCH("Growth",FC_DATA!$A$1:$L$1,0),FALSE))),"")</f>
        <v/>
      </c>
      <c r="E129" s="402" t="str">
        <f ca="1">IFERROR(IF(ISNA(VLOOKUP(_xlfn.CONCAT(E$97,E$99),TIME!$M$40:$M$42,1,FALSE)),VLOOKUP(_xlfn.CONCAT(ST_OVERVIEW!$B$1,ST_OVERVIEW!$A129,ST_OVERVIEW!E$97,ST_OVERVIEW!E$99),HIS_SALES!$B$2:$I$5093,MATCH("GSII_M",HIS_SALES!$B$1:$I$1,0),FALSE),VLOOKUP(_xlfn.CONCAT(ST_OVERVIEW!$B$1,ST_OVERVIEW!$A129,ST_OVERVIEW!E$98,ST_OVERVIEW!E$99),HIS_SALES!$B$2:$I$5093,MATCH("GSII_M",HIS_SALES!$B$1:$I$1,0),FALSE)*(1+VLOOKUP(_xlfn.CONCAT(ST_OVERVIEW!$B$1,"BRAND.com",ST_OVERVIEW!$B129,ST_OVERVIEW!E$97,ST_OVERVIEW!E$99),FC_DATA!$A$2:$L$5000,MATCH("Growth",FC_DATA!$A$1:$L$1,0),FALSE))),"")</f>
        <v/>
      </c>
      <c r="F129" s="26" t="str">
        <f t="shared" si="52"/>
        <v>PARTNER.comT-SHIRTS</v>
      </c>
      <c r="G129" s="557" t="str">
        <f t="shared" ca="1" si="60"/>
        <v/>
      </c>
      <c r="H129" s="557" t="str">
        <f t="shared" ca="1" si="57"/>
        <v/>
      </c>
      <c r="I129" s="558" t="str">
        <f t="shared" ca="1" si="57"/>
        <v/>
      </c>
    </row>
    <row r="130" spans="1:9" x14ac:dyDescent="0.25">
      <c r="A130" s="26" t="str">
        <f t="shared" si="58"/>
        <v>PARTNER.comT-SHIRTS &amp; TOPS</v>
      </c>
      <c r="B130" s="49" t="str">
        <f t="shared" si="59"/>
        <v>T-SHIRTS &amp; TOPS</v>
      </c>
      <c r="C130" s="402" t="str">
        <f ca="1">IFERROR(IF(ISNA(VLOOKUP(_xlfn.CONCAT(C$97,C$99),TIME!$M$40:$M$42,1,FALSE)),VLOOKUP(_xlfn.CONCAT(ST_OVERVIEW!$B$1,ST_OVERVIEW!$A130,ST_OVERVIEW!C$97,ST_OVERVIEW!C$99),HIS_SALES!$B$2:$I$5093,MATCH("GSII_M",HIS_SALES!$B$1:$I$1,0),FALSE),VLOOKUP(_xlfn.CONCAT(ST_OVERVIEW!$B$1,ST_OVERVIEW!$A130,ST_OVERVIEW!C$98,ST_OVERVIEW!C$99),HIS_SALES!$B$2:$I$5093,MATCH("GSII_M",HIS_SALES!$B$1:$I$1,0),FALSE)*(1+VLOOKUP(_xlfn.CONCAT(ST_OVERVIEW!$B$1,"BRAND.com",ST_OVERVIEW!$B130,ST_OVERVIEW!C$97,ST_OVERVIEW!C$99),FC_DATA!$A$2:$L$5000,MATCH("Growth",FC_DATA!$A$1:$L$1,0),FALSE))),"")</f>
        <v/>
      </c>
      <c r="D130" s="402" t="str">
        <f ca="1">IFERROR(IF(ISNA(VLOOKUP(_xlfn.CONCAT(D$97,D$99),TIME!$M$40:$M$42,1,FALSE)),VLOOKUP(_xlfn.CONCAT(ST_OVERVIEW!$B$1,ST_OVERVIEW!$A130,ST_OVERVIEW!D$97,ST_OVERVIEW!D$99),HIS_SALES!$B$2:$I$5093,MATCH("GSII_M",HIS_SALES!$B$1:$I$1,0),FALSE),VLOOKUP(_xlfn.CONCAT(ST_OVERVIEW!$B$1,ST_OVERVIEW!$A130,ST_OVERVIEW!D$98,ST_OVERVIEW!D$99),HIS_SALES!$B$2:$I$5093,MATCH("GSII_M",HIS_SALES!$B$1:$I$1,0),FALSE)*(1+VLOOKUP(_xlfn.CONCAT(ST_OVERVIEW!$B$1,"BRAND.com",ST_OVERVIEW!$B130,ST_OVERVIEW!D$97,ST_OVERVIEW!D$99),FC_DATA!$A$2:$L$5000,MATCH("Growth",FC_DATA!$A$1:$L$1,0),FALSE))),"")</f>
        <v/>
      </c>
      <c r="E130" s="402" t="str">
        <f ca="1">IFERROR(IF(ISNA(VLOOKUP(_xlfn.CONCAT(E$97,E$99),TIME!$M$40:$M$42,1,FALSE)),VLOOKUP(_xlfn.CONCAT(ST_OVERVIEW!$B$1,ST_OVERVIEW!$A130,ST_OVERVIEW!E$97,ST_OVERVIEW!E$99),HIS_SALES!$B$2:$I$5093,MATCH("GSII_M",HIS_SALES!$B$1:$I$1,0),FALSE),VLOOKUP(_xlfn.CONCAT(ST_OVERVIEW!$B$1,ST_OVERVIEW!$A130,ST_OVERVIEW!E$98,ST_OVERVIEW!E$99),HIS_SALES!$B$2:$I$5093,MATCH("GSII_M",HIS_SALES!$B$1:$I$1,0),FALSE)*(1+VLOOKUP(_xlfn.CONCAT(ST_OVERVIEW!$B$1,"BRAND.com",ST_OVERVIEW!$B130,ST_OVERVIEW!E$97,ST_OVERVIEW!E$99),FC_DATA!$A$2:$L$5000,MATCH("Growth",FC_DATA!$A$1:$L$1,0),FALSE))),"")</f>
        <v/>
      </c>
      <c r="F130" s="26" t="str">
        <f t="shared" si="52"/>
        <v>PARTNER.comT-SHIRTS &amp; TOPS</v>
      </c>
      <c r="G130" s="557" t="str">
        <f t="shared" ca="1" si="60"/>
        <v/>
      </c>
      <c r="H130" s="557" t="str">
        <f t="shared" ca="1" si="57"/>
        <v/>
      </c>
      <c r="I130" s="558" t="str">
        <f t="shared" ca="1" si="57"/>
        <v/>
      </c>
    </row>
    <row r="131" spans="1:9" x14ac:dyDescent="0.25">
      <c r="C131" s="402">
        <f ca="1">SUM(C116:C130)</f>
        <v>0</v>
      </c>
      <c r="D131" s="402">
        <f t="shared" ref="D131:E131" ca="1" si="61">SUM(D116:D130)</f>
        <v>0</v>
      </c>
      <c r="E131" s="402">
        <f t="shared" ca="1" si="61"/>
        <v>0</v>
      </c>
      <c r="G131" s="557">
        <f ca="1">SUM(G116:G130)</f>
        <v>0</v>
      </c>
      <c r="H131" s="557">
        <f t="shared" ref="H131:I131" ca="1" si="62">SUM(H116:H130)</f>
        <v>0</v>
      </c>
      <c r="I131" s="558">
        <f t="shared" ca="1" si="62"/>
        <v>0</v>
      </c>
    </row>
  </sheetData>
  <sheetProtection pivotTables="0"/>
  <protectedRanges>
    <protectedRange sqref="H3" name="channel1"/>
    <protectedRange sqref="H26:K26" name="Range1"/>
  </protectedRanges>
  <mergeCells count="19">
    <mergeCell ref="O1:Q1"/>
    <mergeCell ref="K100:K111"/>
    <mergeCell ref="K115:K126"/>
    <mergeCell ref="H3:K3"/>
    <mergeCell ref="C4:E4"/>
    <mergeCell ref="G4:I4"/>
    <mergeCell ref="K4:M4"/>
    <mergeCell ref="C27:E27"/>
    <mergeCell ref="O4:Q4"/>
    <mergeCell ref="S4:U4"/>
    <mergeCell ref="W4:Y4"/>
    <mergeCell ref="AA29:AC29"/>
    <mergeCell ref="AE29:AG29"/>
    <mergeCell ref="H26:K26"/>
    <mergeCell ref="AE5:AG5"/>
    <mergeCell ref="G27:I27"/>
    <mergeCell ref="K27:M27"/>
    <mergeCell ref="O27:Q27"/>
    <mergeCell ref="AA5:AC5"/>
  </mergeCells>
  <conditionalFormatting sqref="K8:M21">
    <cfRule type="dataBar" priority="36">
      <dataBar>
        <cfvo type="min"/>
        <cfvo type="max"/>
        <color rgb="FF638EC6"/>
      </dataBar>
      <extLst>
        <ext xmlns:x14="http://schemas.microsoft.com/office/spreadsheetml/2009/9/main" uri="{B025F937-C7B1-47D3-B67F-A62EFF666E3E}">
          <x14:id>{1B8BB7BA-654C-44E0-8C53-0D62456F9D91}</x14:id>
        </ext>
      </extLst>
    </cfRule>
  </conditionalFormatting>
  <conditionalFormatting sqref="L8:L21">
    <cfRule type="dataBar" priority="35">
      <dataBar>
        <cfvo type="min"/>
        <cfvo type="max"/>
        <color rgb="FF638EC6"/>
      </dataBar>
      <extLst>
        <ext xmlns:x14="http://schemas.microsoft.com/office/spreadsheetml/2009/9/main" uri="{B025F937-C7B1-47D3-B67F-A62EFF666E3E}">
          <x14:id>{A2AECE41-1F00-4344-AAB0-4D6854F1C643}</x14:id>
        </ext>
      </extLst>
    </cfRule>
  </conditionalFormatting>
  <conditionalFormatting sqref="M8:M21">
    <cfRule type="dataBar" priority="34">
      <dataBar>
        <cfvo type="min"/>
        <cfvo type="max"/>
        <color rgb="FF638EC6"/>
      </dataBar>
      <extLst>
        <ext xmlns:x14="http://schemas.microsoft.com/office/spreadsheetml/2009/9/main" uri="{B025F937-C7B1-47D3-B67F-A62EFF666E3E}">
          <x14:id>{F80328D0-C8C0-42AB-96CF-809F4B632601}</x14:id>
        </ext>
      </extLst>
    </cfRule>
  </conditionalFormatting>
  <conditionalFormatting sqref="O8:O21">
    <cfRule type="dataBar" priority="33">
      <dataBar>
        <cfvo type="min"/>
        <cfvo type="max"/>
        <color rgb="FF638EC6"/>
      </dataBar>
      <extLst>
        <ext xmlns:x14="http://schemas.microsoft.com/office/spreadsheetml/2009/9/main" uri="{B025F937-C7B1-47D3-B67F-A62EFF666E3E}">
          <x14:id>{90CA8F70-492E-40FA-B8B2-640D3702E673}</x14:id>
        </ext>
      </extLst>
    </cfRule>
  </conditionalFormatting>
  <conditionalFormatting sqref="P8:P21">
    <cfRule type="dataBar" priority="32">
      <dataBar>
        <cfvo type="min"/>
        <cfvo type="max"/>
        <color rgb="FF638EC6"/>
      </dataBar>
      <extLst>
        <ext xmlns:x14="http://schemas.microsoft.com/office/spreadsheetml/2009/9/main" uri="{B025F937-C7B1-47D3-B67F-A62EFF666E3E}">
          <x14:id>{3A7D3E01-19FB-44E0-A793-126B3F99062E}</x14:id>
        </ext>
      </extLst>
    </cfRule>
  </conditionalFormatting>
  <conditionalFormatting sqref="P31">
    <cfRule type="dataBar" priority="16">
      <dataBar>
        <cfvo type="min"/>
        <cfvo type="max"/>
        <color rgb="FF638EC6"/>
      </dataBar>
      <extLst>
        <ext xmlns:x14="http://schemas.microsoft.com/office/spreadsheetml/2009/9/main" uri="{B025F937-C7B1-47D3-B67F-A62EFF666E3E}">
          <x14:id>{70BC05F0-2454-48F6-99F9-6D3196BD4B8B}</x14:id>
        </ext>
      </extLst>
    </cfRule>
  </conditionalFormatting>
  <conditionalFormatting sqref="P31:P33">
    <cfRule type="dataBar" priority="15">
      <dataBar>
        <cfvo type="min"/>
        <cfvo type="max"/>
        <color rgb="FF638EC6"/>
      </dataBar>
      <extLst>
        <ext xmlns:x14="http://schemas.microsoft.com/office/spreadsheetml/2009/9/main" uri="{B025F937-C7B1-47D3-B67F-A62EFF666E3E}">
          <x14:id>{EC224312-6E44-4F8B-B9EB-7E493D96F697}</x14:id>
        </ext>
      </extLst>
    </cfRule>
  </conditionalFormatting>
  <conditionalFormatting sqref="O31">
    <cfRule type="dataBar" priority="14">
      <dataBar>
        <cfvo type="min"/>
        <cfvo type="max"/>
        <color rgb="FF638EC6"/>
      </dataBar>
      <extLst>
        <ext xmlns:x14="http://schemas.microsoft.com/office/spreadsheetml/2009/9/main" uri="{B025F937-C7B1-47D3-B67F-A62EFF666E3E}">
          <x14:id>{7982CFEF-9BDD-45FC-849F-DCD41A89C641}</x14:id>
        </ext>
      </extLst>
    </cfRule>
  </conditionalFormatting>
  <conditionalFormatting sqref="O31:O33">
    <cfRule type="dataBar" priority="13">
      <dataBar>
        <cfvo type="min"/>
        <cfvo type="max"/>
        <color rgb="FF638EC6"/>
      </dataBar>
      <extLst>
        <ext xmlns:x14="http://schemas.microsoft.com/office/spreadsheetml/2009/9/main" uri="{B025F937-C7B1-47D3-B67F-A62EFF666E3E}">
          <x14:id>{6784784F-5A93-4100-B987-3FCFDF8DA5FF}</x14:id>
        </ext>
      </extLst>
    </cfRule>
  </conditionalFormatting>
  <conditionalFormatting sqref="M31">
    <cfRule type="dataBar" priority="12">
      <dataBar>
        <cfvo type="min"/>
        <cfvo type="max"/>
        <color rgb="FF638EC6"/>
      </dataBar>
      <extLst>
        <ext xmlns:x14="http://schemas.microsoft.com/office/spreadsheetml/2009/9/main" uri="{B025F937-C7B1-47D3-B67F-A62EFF666E3E}">
          <x14:id>{99FA39F2-B97E-401B-9F56-57D2926EA9A3}</x14:id>
        </ext>
      </extLst>
    </cfRule>
  </conditionalFormatting>
  <conditionalFormatting sqref="M31:M33">
    <cfRule type="dataBar" priority="11">
      <dataBar>
        <cfvo type="min"/>
        <cfvo type="max"/>
        <color rgb="FF638EC6"/>
      </dataBar>
      <extLst>
        <ext xmlns:x14="http://schemas.microsoft.com/office/spreadsheetml/2009/9/main" uri="{B025F937-C7B1-47D3-B67F-A62EFF666E3E}">
          <x14:id>{B364A982-1405-4A90-9EA6-A8036215D979}</x14:id>
        </ext>
      </extLst>
    </cfRule>
  </conditionalFormatting>
  <conditionalFormatting sqref="L31">
    <cfRule type="dataBar" priority="10">
      <dataBar>
        <cfvo type="min"/>
        <cfvo type="max"/>
        <color rgb="FF638EC6"/>
      </dataBar>
      <extLst>
        <ext xmlns:x14="http://schemas.microsoft.com/office/spreadsheetml/2009/9/main" uri="{B025F937-C7B1-47D3-B67F-A62EFF666E3E}">
          <x14:id>{9D8E3C47-0D22-4D36-8D5F-0D3C2653AAA0}</x14:id>
        </ext>
      </extLst>
    </cfRule>
  </conditionalFormatting>
  <conditionalFormatting sqref="L31:L33">
    <cfRule type="dataBar" priority="9">
      <dataBar>
        <cfvo type="min"/>
        <cfvo type="max"/>
        <color rgb="FF638EC6"/>
      </dataBar>
      <extLst>
        <ext xmlns:x14="http://schemas.microsoft.com/office/spreadsheetml/2009/9/main" uri="{B025F937-C7B1-47D3-B67F-A62EFF666E3E}">
          <x14:id>{65F02A3D-174C-4435-B9DF-479F76B71153}</x14:id>
        </ext>
      </extLst>
    </cfRule>
  </conditionalFormatting>
  <conditionalFormatting sqref="K31">
    <cfRule type="dataBar" priority="8">
      <dataBar>
        <cfvo type="min"/>
        <cfvo type="max"/>
        <color rgb="FF638EC6"/>
      </dataBar>
      <extLst>
        <ext xmlns:x14="http://schemas.microsoft.com/office/spreadsheetml/2009/9/main" uri="{B025F937-C7B1-47D3-B67F-A62EFF666E3E}">
          <x14:id>{143EB672-8F0E-4F6B-B3B4-A37CD61280B9}</x14:id>
        </ext>
      </extLst>
    </cfRule>
  </conditionalFormatting>
  <conditionalFormatting sqref="K31:K33">
    <cfRule type="dataBar" priority="7">
      <dataBar>
        <cfvo type="min"/>
        <cfvo type="max"/>
        <color rgb="FF638EC6"/>
      </dataBar>
      <extLst>
        <ext xmlns:x14="http://schemas.microsoft.com/office/spreadsheetml/2009/9/main" uri="{B025F937-C7B1-47D3-B67F-A62EFF666E3E}">
          <x14:id>{29BED98B-38EE-4204-8634-8D9FFF4FE8F8}</x14:id>
        </ext>
      </extLst>
    </cfRule>
  </conditionalFormatting>
  <conditionalFormatting sqref="Q8:R21">
    <cfRule type="dataBar" priority="82">
      <dataBar>
        <cfvo type="min"/>
        <cfvo type="max"/>
        <color rgb="FF638EC6"/>
      </dataBar>
      <extLst>
        <ext xmlns:x14="http://schemas.microsoft.com/office/spreadsheetml/2009/9/main" uri="{B025F937-C7B1-47D3-B67F-A62EFF666E3E}">
          <x14:id>{9F04DE66-7701-4BF6-9D9B-47A7D4F21826}</x14:id>
        </ext>
      </extLst>
    </cfRule>
  </conditionalFormatting>
  <conditionalFormatting sqref="Q31:Y31">
    <cfRule type="dataBar" priority="83">
      <dataBar>
        <cfvo type="min"/>
        <cfvo type="max"/>
        <color rgb="FF638EC6"/>
      </dataBar>
      <extLst>
        <ext xmlns:x14="http://schemas.microsoft.com/office/spreadsheetml/2009/9/main" uri="{B025F937-C7B1-47D3-B67F-A62EFF666E3E}">
          <x14:id>{EC147DE7-8C13-4C2D-8FFB-9116311BDD7F}</x14:id>
        </ext>
      </extLst>
    </cfRule>
  </conditionalFormatting>
  <conditionalFormatting sqref="Q31:Y33">
    <cfRule type="dataBar" priority="84">
      <dataBar>
        <cfvo type="min"/>
        <cfvo type="max"/>
        <color rgb="FF638EC6"/>
      </dataBar>
      <extLst>
        <ext xmlns:x14="http://schemas.microsoft.com/office/spreadsheetml/2009/9/main" uri="{B025F937-C7B1-47D3-B67F-A62EFF666E3E}">
          <x14:id>{F794B463-44CC-4B7A-86D7-42EA24A48541}</x14:id>
        </ext>
      </extLst>
    </cfRule>
  </conditionalFormatting>
  <hyperlinks>
    <hyperlink ref="O1" location="FRONT_PAGE!A1" display="BACK TO FRONT PAGE" xr:uid="{566BFEBD-2C3E-4AF7-BB68-7290213000B9}"/>
  </hyperlink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1B8BB7BA-654C-44E0-8C53-0D62456F9D91}">
            <x14:dataBar minLength="0" maxLength="100" gradient="0">
              <x14:cfvo type="autoMin"/>
              <x14:cfvo type="autoMax"/>
              <x14:negativeFillColor rgb="FFFF0000"/>
              <x14:axisColor rgb="FF000000"/>
            </x14:dataBar>
          </x14:cfRule>
          <xm:sqref>K8:M21</xm:sqref>
        </x14:conditionalFormatting>
        <x14:conditionalFormatting xmlns:xm="http://schemas.microsoft.com/office/excel/2006/main">
          <x14:cfRule type="dataBar" id="{A2AECE41-1F00-4344-AAB0-4D6854F1C643}">
            <x14:dataBar minLength="0" maxLength="100" gradient="0">
              <x14:cfvo type="autoMin"/>
              <x14:cfvo type="autoMax"/>
              <x14:negativeFillColor rgb="FFFF0000"/>
              <x14:axisColor rgb="FF000000"/>
            </x14:dataBar>
          </x14:cfRule>
          <xm:sqref>L8:L21</xm:sqref>
        </x14:conditionalFormatting>
        <x14:conditionalFormatting xmlns:xm="http://schemas.microsoft.com/office/excel/2006/main">
          <x14:cfRule type="dataBar" id="{F80328D0-C8C0-42AB-96CF-809F4B632601}">
            <x14:dataBar minLength="0" maxLength="100" gradient="0">
              <x14:cfvo type="autoMin"/>
              <x14:cfvo type="autoMax"/>
              <x14:negativeFillColor rgb="FFFF0000"/>
              <x14:axisColor rgb="FF000000"/>
            </x14:dataBar>
          </x14:cfRule>
          <xm:sqref>M8:M21</xm:sqref>
        </x14:conditionalFormatting>
        <x14:conditionalFormatting xmlns:xm="http://schemas.microsoft.com/office/excel/2006/main">
          <x14:cfRule type="dataBar" id="{90CA8F70-492E-40FA-B8B2-640D3702E673}">
            <x14:dataBar minLength="0" maxLength="100" gradient="0">
              <x14:cfvo type="autoMin"/>
              <x14:cfvo type="autoMax"/>
              <x14:negativeFillColor rgb="FFFF0000"/>
              <x14:axisColor rgb="FF000000"/>
            </x14:dataBar>
          </x14:cfRule>
          <xm:sqref>O8:O21</xm:sqref>
        </x14:conditionalFormatting>
        <x14:conditionalFormatting xmlns:xm="http://schemas.microsoft.com/office/excel/2006/main">
          <x14:cfRule type="dataBar" id="{3A7D3E01-19FB-44E0-A793-126B3F99062E}">
            <x14:dataBar minLength="0" maxLength="100" gradient="0">
              <x14:cfvo type="autoMin"/>
              <x14:cfvo type="autoMax"/>
              <x14:negativeFillColor rgb="FFFF0000"/>
              <x14:axisColor rgb="FF000000"/>
            </x14:dataBar>
          </x14:cfRule>
          <xm:sqref>P8:P21</xm:sqref>
        </x14:conditionalFormatting>
        <x14:conditionalFormatting xmlns:xm="http://schemas.microsoft.com/office/excel/2006/main">
          <x14:cfRule type="dataBar" id="{70BC05F0-2454-48F6-99F9-6D3196BD4B8B}">
            <x14:dataBar minLength="0" maxLength="100" gradient="0">
              <x14:cfvo type="autoMin"/>
              <x14:cfvo type="autoMax"/>
              <x14:negativeFillColor rgb="FFFF0000"/>
              <x14:axisColor rgb="FF000000"/>
            </x14:dataBar>
          </x14:cfRule>
          <xm:sqref>P31</xm:sqref>
        </x14:conditionalFormatting>
        <x14:conditionalFormatting xmlns:xm="http://schemas.microsoft.com/office/excel/2006/main">
          <x14:cfRule type="dataBar" id="{EC224312-6E44-4F8B-B9EB-7E493D96F697}">
            <x14:dataBar minLength="0" maxLength="100" gradient="0">
              <x14:cfvo type="autoMin"/>
              <x14:cfvo type="autoMax"/>
              <x14:negativeFillColor rgb="FFFF0000"/>
              <x14:axisColor rgb="FF000000"/>
            </x14:dataBar>
          </x14:cfRule>
          <xm:sqref>P31:P33</xm:sqref>
        </x14:conditionalFormatting>
        <x14:conditionalFormatting xmlns:xm="http://schemas.microsoft.com/office/excel/2006/main">
          <x14:cfRule type="dataBar" id="{7982CFEF-9BDD-45FC-849F-DCD41A89C641}">
            <x14:dataBar minLength="0" maxLength="100" gradient="0">
              <x14:cfvo type="autoMin"/>
              <x14:cfvo type="autoMax"/>
              <x14:negativeFillColor rgb="FFFF0000"/>
              <x14:axisColor rgb="FF000000"/>
            </x14:dataBar>
          </x14:cfRule>
          <xm:sqref>O31</xm:sqref>
        </x14:conditionalFormatting>
        <x14:conditionalFormatting xmlns:xm="http://schemas.microsoft.com/office/excel/2006/main">
          <x14:cfRule type="dataBar" id="{6784784F-5A93-4100-B987-3FCFDF8DA5FF}">
            <x14:dataBar minLength="0" maxLength="100" gradient="0">
              <x14:cfvo type="autoMin"/>
              <x14:cfvo type="autoMax"/>
              <x14:negativeFillColor rgb="FFFF0000"/>
              <x14:axisColor rgb="FF000000"/>
            </x14:dataBar>
          </x14:cfRule>
          <xm:sqref>O31:O33</xm:sqref>
        </x14:conditionalFormatting>
        <x14:conditionalFormatting xmlns:xm="http://schemas.microsoft.com/office/excel/2006/main">
          <x14:cfRule type="dataBar" id="{99FA39F2-B97E-401B-9F56-57D2926EA9A3}">
            <x14:dataBar minLength="0" maxLength="100" gradient="0">
              <x14:cfvo type="autoMin"/>
              <x14:cfvo type="autoMax"/>
              <x14:negativeFillColor rgb="FFFF0000"/>
              <x14:axisColor rgb="FF000000"/>
            </x14:dataBar>
          </x14:cfRule>
          <xm:sqref>M31</xm:sqref>
        </x14:conditionalFormatting>
        <x14:conditionalFormatting xmlns:xm="http://schemas.microsoft.com/office/excel/2006/main">
          <x14:cfRule type="dataBar" id="{B364A982-1405-4A90-9EA6-A8036215D979}">
            <x14:dataBar minLength="0" maxLength="100" gradient="0">
              <x14:cfvo type="autoMin"/>
              <x14:cfvo type="autoMax"/>
              <x14:negativeFillColor rgb="FFFF0000"/>
              <x14:axisColor rgb="FF000000"/>
            </x14:dataBar>
          </x14:cfRule>
          <xm:sqref>M31:M33</xm:sqref>
        </x14:conditionalFormatting>
        <x14:conditionalFormatting xmlns:xm="http://schemas.microsoft.com/office/excel/2006/main">
          <x14:cfRule type="dataBar" id="{9D8E3C47-0D22-4D36-8D5F-0D3C2653AAA0}">
            <x14:dataBar minLength="0" maxLength="100" gradient="0">
              <x14:cfvo type="autoMin"/>
              <x14:cfvo type="autoMax"/>
              <x14:negativeFillColor rgb="FFFF0000"/>
              <x14:axisColor rgb="FF000000"/>
            </x14:dataBar>
          </x14:cfRule>
          <xm:sqref>L31</xm:sqref>
        </x14:conditionalFormatting>
        <x14:conditionalFormatting xmlns:xm="http://schemas.microsoft.com/office/excel/2006/main">
          <x14:cfRule type="dataBar" id="{65F02A3D-174C-4435-B9DF-479F76B71153}">
            <x14:dataBar minLength="0" maxLength="100" gradient="0">
              <x14:cfvo type="autoMin"/>
              <x14:cfvo type="autoMax"/>
              <x14:negativeFillColor rgb="FFFF0000"/>
              <x14:axisColor rgb="FF000000"/>
            </x14:dataBar>
          </x14:cfRule>
          <xm:sqref>L31:L33</xm:sqref>
        </x14:conditionalFormatting>
        <x14:conditionalFormatting xmlns:xm="http://schemas.microsoft.com/office/excel/2006/main">
          <x14:cfRule type="dataBar" id="{143EB672-8F0E-4F6B-B3B4-A37CD61280B9}">
            <x14:dataBar minLength="0" maxLength="100" gradient="0">
              <x14:cfvo type="autoMin"/>
              <x14:cfvo type="autoMax"/>
              <x14:negativeFillColor rgb="FFFF0000"/>
              <x14:axisColor rgb="FF000000"/>
            </x14:dataBar>
          </x14:cfRule>
          <xm:sqref>K31</xm:sqref>
        </x14:conditionalFormatting>
        <x14:conditionalFormatting xmlns:xm="http://schemas.microsoft.com/office/excel/2006/main">
          <x14:cfRule type="dataBar" id="{29BED98B-38EE-4204-8634-8D9FFF4FE8F8}">
            <x14:dataBar minLength="0" maxLength="100" gradient="0">
              <x14:cfvo type="autoMin"/>
              <x14:cfvo type="autoMax"/>
              <x14:negativeFillColor rgb="FFFF0000"/>
              <x14:axisColor rgb="FF000000"/>
            </x14:dataBar>
          </x14:cfRule>
          <xm:sqref>K31:K33</xm:sqref>
        </x14:conditionalFormatting>
        <x14:conditionalFormatting xmlns:xm="http://schemas.microsoft.com/office/excel/2006/main">
          <x14:cfRule type="dataBar" id="{9F04DE66-7701-4BF6-9D9B-47A7D4F21826}">
            <x14:dataBar minLength="0" maxLength="100" gradient="0">
              <x14:cfvo type="autoMin"/>
              <x14:cfvo type="autoMax"/>
              <x14:negativeFillColor rgb="FFFF0000"/>
              <x14:axisColor rgb="FF000000"/>
            </x14:dataBar>
          </x14:cfRule>
          <xm:sqref>Q8:R21</xm:sqref>
        </x14:conditionalFormatting>
        <x14:conditionalFormatting xmlns:xm="http://schemas.microsoft.com/office/excel/2006/main">
          <x14:cfRule type="dataBar" id="{EC147DE7-8C13-4C2D-8FFB-9116311BDD7F}">
            <x14:dataBar minLength="0" maxLength="100" gradient="0">
              <x14:cfvo type="autoMin"/>
              <x14:cfvo type="autoMax"/>
              <x14:negativeFillColor rgb="FFFF0000"/>
              <x14:axisColor rgb="FF000000"/>
            </x14:dataBar>
          </x14:cfRule>
          <xm:sqref>Q31:Y31</xm:sqref>
        </x14:conditionalFormatting>
        <x14:conditionalFormatting xmlns:xm="http://schemas.microsoft.com/office/excel/2006/main">
          <x14:cfRule type="dataBar" id="{F794B463-44CC-4B7A-86D7-42EA24A48541}">
            <x14:dataBar minLength="0" maxLength="100" gradient="0">
              <x14:cfvo type="autoMin"/>
              <x14:cfvo type="autoMax"/>
              <x14:negativeFillColor rgb="FFFF0000"/>
              <x14:axisColor rgb="FF000000"/>
            </x14:dataBar>
          </x14:cfRule>
          <xm:sqref>Q31:Y33</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C9AE8693-B942-4A30-83EA-54757FF6520C}">
          <x14:formula1>
            <xm:f>'PIVOT TABLE'!$D$4:$D$20</xm:f>
          </x14:formula1>
          <xm:sqref>H26:K26</xm:sqref>
        </x14:dataValidation>
        <x14:dataValidation type="list" allowBlank="1" showInputMessage="1" showErrorMessage="1" xr:uid="{A09C15A4-9044-4C29-BC49-1684937F18A0}">
          <x14:formula1>
            <xm:f>'PIVOT TABLE'!$F$4:$F$7</xm:f>
          </x14:formula1>
          <xm:sqref>H3:K3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theme="3" tint="-0.249977111117893"/>
  </sheetPr>
  <dimension ref="A1:BN131"/>
  <sheetViews>
    <sheetView showGridLines="0" zoomScale="70" zoomScaleNormal="70" workbookViewId="0">
      <pane ySplit="1" topLeftCell="A2" activePane="bottomLeft" state="frozen"/>
      <selection activeCell="P64" sqref="P64"/>
      <selection pane="bottomLeft" activeCell="A2" sqref="A2"/>
    </sheetView>
  </sheetViews>
  <sheetFormatPr defaultColWidth="9.140625" defaultRowHeight="15" x14ac:dyDescent="0.25"/>
  <cols>
    <col min="1" max="1" width="2.7109375" style="26" customWidth="1"/>
    <col min="2" max="2" width="16.7109375" style="49" customWidth="1"/>
    <col min="3" max="5" width="10.7109375" style="26" customWidth="1"/>
    <col min="6" max="6" width="10.7109375" style="27" customWidth="1"/>
    <col min="7" max="7" width="2.7109375" style="26" customWidth="1"/>
    <col min="8" max="9" width="10.7109375" style="26" customWidth="1"/>
    <col min="10" max="10" width="10.7109375" style="27" customWidth="1"/>
    <col min="11" max="11" width="10.7109375" style="26" customWidth="1"/>
    <col min="12" max="12" width="2.7109375" style="26" customWidth="1"/>
    <col min="13" max="13" width="10.7109375" style="26" customWidth="1"/>
    <col min="14" max="14" width="10.7109375" style="27" customWidth="1"/>
    <col min="15" max="16" width="10.7109375" style="26" customWidth="1"/>
    <col min="17" max="17" width="2.7109375" style="26" customWidth="1"/>
    <col min="18" max="18" width="10.7109375" style="27" customWidth="1"/>
    <col min="19" max="21" width="10.7109375" style="26" customWidth="1"/>
    <col min="22" max="22" width="2.42578125" style="26" customWidth="1"/>
    <col min="23" max="26" width="10.7109375" style="26" customWidth="1"/>
    <col min="27" max="27" width="2.28515625" style="26" customWidth="1"/>
    <col min="28" max="31" width="10.7109375" style="26" customWidth="1"/>
    <col min="32" max="32" width="10" style="26" customWidth="1"/>
    <col min="33" max="34" width="12.7109375" style="26" hidden="1" customWidth="1"/>
    <col min="35" max="35" width="11" style="26" hidden="1" customWidth="1"/>
    <col min="36" max="36" width="11.85546875" style="26" hidden="1" customWidth="1"/>
    <col min="37" max="37" width="5" style="26" customWidth="1"/>
    <col min="38" max="40" width="12.7109375" style="26" customWidth="1"/>
    <col min="41" max="42" width="12.7109375" style="27" customWidth="1"/>
    <col min="43" max="43" width="9.140625" style="26" customWidth="1"/>
    <col min="44" max="44" width="13" style="26" customWidth="1"/>
    <col min="45" max="45" width="8.5703125" style="26" customWidth="1"/>
    <col min="46" max="47" width="8.85546875" style="26" customWidth="1"/>
    <col min="48" max="48" width="9.140625" style="26" customWidth="1"/>
    <col min="49" max="16384" width="9.140625" style="26"/>
  </cols>
  <sheetData>
    <row r="1" spans="2:66" s="63" customFormat="1" ht="17.25" x14ac:dyDescent="0.3">
      <c r="B1" s="64" t="str">
        <f>Q_BRAND_FC!B1:B1</f>
        <v>VM</v>
      </c>
      <c r="C1" s="65"/>
      <c r="D1" s="65"/>
      <c r="E1" s="65"/>
      <c r="F1" s="65"/>
      <c r="G1" s="65"/>
      <c r="H1" s="65"/>
      <c r="I1" s="65"/>
      <c r="J1" s="65" t="s">
        <v>189</v>
      </c>
      <c r="K1" s="65"/>
      <c r="L1" s="65"/>
      <c r="M1" s="65"/>
      <c r="N1" s="65"/>
      <c r="O1" s="65"/>
      <c r="P1" s="65"/>
      <c r="Q1" s="65"/>
      <c r="R1" s="65"/>
      <c r="S1" s="901" t="s">
        <v>202</v>
      </c>
      <c r="T1" s="901"/>
      <c r="U1" s="901"/>
      <c r="V1" s="787"/>
      <c r="W1" s="787"/>
      <c r="X1" s="787"/>
      <c r="Y1" s="787"/>
      <c r="Z1" s="787"/>
      <c r="AA1" s="787"/>
      <c r="AB1" s="787"/>
      <c r="AC1" s="787"/>
      <c r="AD1" s="787"/>
      <c r="AE1" s="787"/>
      <c r="AF1" s="67"/>
      <c r="AG1" s="68"/>
      <c r="AH1" s="68"/>
      <c r="AI1" s="68"/>
      <c r="AJ1" s="68"/>
      <c r="AK1" s="68"/>
      <c r="AL1" s="66"/>
      <c r="AM1" s="66"/>
      <c r="AN1" s="66"/>
      <c r="AO1" s="66"/>
      <c r="AP1" s="66"/>
      <c r="AQ1" s="66"/>
      <c r="AR1" s="66"/>
      <c r="AS1" s="66"/>
      <c r="AT1" s="66"/>
      <c r="AU1" s="66"/>
    </row>
    <row r="2" spans="2:66" ht="20.25" customHeight="1" x14ac:dyDescent="0.25">
      <c r="B2" s="505"/>
      <c r="C2" s="27"/>
      <c r="D2" s="27"/>
      <c r="E2" s="27"/>
      <c r="G2" s="27"/>
      <c r="H2" s="27"/>
      <c r="K2" s="27"/>
      <c r="L2" s="27"/>
      <c r="M2" s="27"/>
      <c r="O2" s="28" t="s">
        <v>71</v>
      </c>
      <c r="P2" s="27"/>
      <c r="Q2" s="215"/>
      <c r="R2" s="215"/>
      <c r="S2" s="215"/>
      <c r="T2" s="215"/>
      <c r="U2" s="216"/>
      <c r="V2" s="216"/>
      <c r="W2" s="216"/>
      <c r="X2" s="216"/>
      <c r="Y2" s="216"/>
      <c r="Z2" s="216"/>
      <c r="AA2" s="216"/>
      <c r="AB2" s="216"/>
      <c r="AC2" s="216"/>
      <c r="AD2" s="216"/>
      <c r="AE2" s="216"/>
      <c r="AF2" s="27"/>
      <c r="AL2" s="27"/>
      <c r="AM2" s="27"/>
      <c r="AN2" s="27"/>
      <c r="AQ2" s="320"/>
      <c r="AR2" s="320"/>
      <c r="AS2" s="320"/>
      <c r="AT2" s="320"/>
      <c r="AU2" s="320"/>
    </row>
    <row r="3" spans="2:66" s="63" customFormat="1" ht="17.25" x14ac:dyDescent="0.3">
      <c r="B3" s="69"/>
      <c r="C3" s="69"/>
      <c r="D3" s="69"/>
      <c r="E3" s="69"/>
      <c r="F3" s="69"/>
      <c r="G3" s="69"/>
      <c r="H3" s="69"/>
      <c r="I3" s="928" t="s">
        <v>111</v>
      </c>
      <c r="J3" s="928"/>
      <c r="K3" s="928"/>
      <c r="L3" s="928"/>
      <c r="M3" s="928"/>
      <c r="N3" s="69"/>
      <c r="O3" s="69"/>
      <c r="P3" s="69"/>
      <c r="Q3" s="69"/>
      <c r="R3" s="69"/>
      <c r="S3" s="69"/>
      <c r="T3" s="69"/>
      <c r="U3" s="69"/>
      <c r="V3" s="69"/>
      <c r="W3" s="69"/>
      <c r="X3" s="69"/>
      <c r="Y3" s="69"/>
      <c r="Z3" s="69"/>
      <c r="AA3" s="69"/>
      <c r="AB3" s="69"/>
      <c r="AC3" s="69"/>
      <c r="AD3" s="69"/>
      <c r="AE3" s="69"/>
      <c r="AF3" s="70"/>
      <c r="AL3" s="66"/>
      <c r="AM3" s="66"/>
      <c r="AN3" s="66"/>
      <c r="AO3" s="66"/>
      <c r="AP3" s="66"/>
      <c r="AQ3" s="563"/>
      <c r="AR3" s="407"/>
      <c r="AS3" s="407"/>
      <c r="AT3" s="407"/>
      <c r="AU3" s="407"/>
      <c r="BH3" s="66"/>
      <c r="BI3" s="71"/>
      <c r="BJ3" s="71"/>
      <c r="BK3" s="71"/>
      <c r="BL3" s="71"/>
      <c r="BM3" s="71"/>
      <c r="BN3" s="71"/>
    </row>
    <row r="4" spans="2:66" x14ac:dyDescent="0.25">
      <c r="B4" s="30"/>
      <c r="C4" s="925" t="s">
        <v>78</v>
      </c>
      <c r="D4" s="925"/>
      <c r="E4" s="925"/>
      <c r="F4" s="925"/>
      <c r="G4" s="102"/>
      <c r="H4" s="929" t="s">
        <v>380</v>
      </c>
      <c r="I4" s="925"/>
      <c r="J4" s="925"/>
      <c r="K4" s="925"/>
      <c r="L4" s="102"/>
      <c r="M4" s="929" t="s">
        <v>188</v>
      </c>
      <c r="N4" s="925"/>
      <c r="O4" s="925"/>
      <c r="P4" s="925"/>
      <c r="Q4" s="102"/>
      <c r="R4" s="929" t="s">
        <v>381</v>
      </c>
      <c r="S4" s="925"/>
      <c r="T4" s="925"/>
      <c r="U4" s="925"/>
      <c r="V4" s="788"/>
      <c r="W4" s="929" t="s">
        <v>398</v>
      </c>
      <c r="X4" s="925"/>
      <c r="Y4" s="925"/>
      <c r="Z4" s="925"/>
      <c r="AA4" s="788"/>
      <c r="AB4" s="929" t="s">
        <v>397</v>
      </c>
      <c r="AC4" s="925"/>
      <c r="AD4" s="925"/>
      <c r="AE4" s="925"/>
      <c r="AF4" s="31"/>
      <c r="AG4" s="921" t="s">
        <v>134</v>
      </c>
      <c r="AH4" s="921"/>
      <c r="AI4" s="921"/>
      <c r="AJ4" s="921"/>
      <c r="AL4" s="27"/>
      <c r="AM4" s="27"/>
      <c r="AN4" s="27"/>
      <c r="AQ4" s="320"/>
      <c r="AR4" s="930"/>
      <c r="AS4" s="930"/>
      <c r="AT4" s="930"/>
      <c r="AU4" s="930"/>
      <c r="BH4" s="32"/>
      <c r="BI4" s="32"/>
      <c r="BJ4" s="32"/>
      <c r="BK4" s="31"/>
      <c r="BL4" s="32"/>
      <c r="BM4" s="29"/>
      <c r="BN4" s="29"/>
    </row>
    <row r="5" spans="2:66" x14ac:dyDescent="0.25">
      <c r="B5" s="26"/>
      <c r="C5" s="33" t="str">
        <f ca="1">Q_BRAND_FC!$G$101</f>
        <v>18/19</v>
      </c>
      <c r="D5" s="33" t="str">
        <f ca="1">Q_BRAND_FC!$G$104</f>
        <v>19/20</v>
      </c>
      <c r="E5" s="33" t="str">
        <f ca="1">Q_BRAND_FC!$G$107</f>
        <v>19/20</v>
      </c>
      <c r="F5" s="33" t="str">
        <f ca="1">Q_BRAND_FC!$G$110</f>
        <v>19/20</v>
      </c>
      <c r="G5" s="34"/>
      <c r="H5" s="33" t="str">
        <f ca="1">$C$5</f>
        <v>18/19</v>
      </c>
      <c r="I5" s="33" t="str">
        <f ca="1">$D$5</f>
        <v>19/20</v>
      </c>
      <c r="J5" s="33" t="str">
        <f ca="1">$E$5</f>
        <v>19/20</v>
      </c>
      <c r="K5" s="33" t="str">
        <f ca="1">$F$5</f>
        <v>19/20</v>
      </c>
      <c r="L5" s="34"/>
      <c r="M5" s="33" t="str">
        <f ca="1">$C$5</f>
        <v>18/19</v>
      </c>
      <c r="N5" s="33" t="str">
        <f ca="1">$D$5</f>
        <v>19/20</v>
      </c>
      <c r="O5" s="33" t="str">
        <f ca="1">$E$5</f>
        <v>19/20</v>
      </c>
      <c r="P5" s="33" t="str">
        <f ca="1">$F$5</f>
        <v>19/20</v>
      </c>
      <c r="Q5" s="34"/>
      <c r="R5" s="33" t="str">
        <f ca="1">$C$5</f>
        <v>18/19</v>
      </c>
      <c r="S5" s="33" t="str">
        <f ca="1">$D$5</f>
        <v>19/20</v>
      </c>
      <c r="T5" s="33" t="str">
        <f ca="1">$E$5</f>
        <v>19/20</v>
      </c>
      <c r="U5" s="33" t="str">
        <f ca="1">$F$5</f>
        <v>19/20</v>
      </c>
      <c r="V5" s="33"/>
      <c r="W5" s="33" t="str">
        <f ca="1">C5</f>
        <v>18/19</v>
      </c>
      <c r="X5" s="33" t="str">
        <f t="shared" ref="X5:X6" ca="1" si="0">D5</f>
        <v>19/20</v>
      </c>
      <c r="Y5" s="33" t="str">
        <f t="shared" ref="Y5:Y6" ca="1" si="1">E5</f>
        <v>19/20</v>
      </c>
      <c r="Z5" s="33" t="str">
        <f t="shared" ref="Z5:Z6" ca="1" si="2">F5</f>
        <v>19/20</v>
      </c>
      <c r="AA5" s="33"/>
      <c r="AB5" s="33" t="str">
        <f ca="1">H5</f>
        <v>18/19</v>
      </c>
      <c r="AC5" s="33" t="str">
        <f t="shared" ref="AC5:AC6" ca="1" si="3">I5</f>
        <v>19/20</v>
      </c>
      <c r="AD5" s="33" t="str">
        <f t="shared" ref="AD5:AD6" ca="1" si="4">J5</f>
        <v>19/20</v>
      </c>
      <c r="AE5" s="33" t="str">
        <f t="shared" ref="AE5:AE6" ca="1" si="5">K5</f>
        <v>19/20</v>
      </c>
      <c r="AF5" s="35"/>
      <c r="AG5" s="26" t="str">
        <f ca="1">VLOOKUP(LT_OVERVIEW!H$5,TIME!$L$12:$M$17,2,FALSE)</f>
        <v>17/18</v>
      </c>
      <c r="AH5" s="26" t="str">
        <f ca="1">VLOOKUP(LT_OVERVIEW!I$5,TIME!$L$12:$M$17,2,FALSE)</f>
        <v>18/19</v>
      </c>
      <c r="AI5" s="26" t="str">
        <f ca="1">VLOOKUP(LT_OVERVIEW!J$5,TIME!$L$12:$M$17,2,FALSE)</f>
        <v>18/19</v>
      </c>
      <c r="AJ5" s="26" t="str">
        <f ca="1">VLOOKUP(LT_OVERVIEW!K$5,TIME!$L$12:$M$17,2,FALSE)</f>
        <v>18/19</v>
      </c>
      <c r="AK5" s="378"/>
      <c r="AL5" s="892"/>
      <c r="AM5" s="892"/>
      <c r="AN5" s="892"/>
      <c r="AO5" s="892"/>
      <c r="AP5" s="559"/>
      <c r="AQ5" s="320"/>
      <c r="AR5" s="409"/>
      <c r="AS5" s="409"/>
      <c r="AT5" s="409"/>
      <c r="AU5" s="409"/>
      <c r="BH5" s="35"/>
      <c r="BI5" s="35"/>
      <c r="BJ5" s="35"/>
      <c r="BK5" s="35"/>
      <c r="BL5" s="32"/>
      <c r="BM5" s="29"/>
      <c r="BN5" s="29"/>
    </row>
    <row r="6" spans="2:66" x14ac:dyDescent="0.25">
      <c r="B6" s="36" t="s">
        <v>77</v>
      </c>
      <c r="C6" s="37" t="str">
        <f ca="1">Q_BRAND_FC!$H$101</f>
        <v>Q4</v>
      </c>
      <c r="D6" s="37" t="str">
        <f ca="1">Q_BRAND_FC!$H$104</f>
        <v>Q1</v>
      </c>
      <c r="E6" s="37" t="str">
        <f ca="1">Q_BRAND_FC!$H$107</f>
        <v>Q2</v>
      </c>
      <c r="F6" s="37" t="str">
        <f ca="1">Q_BRAND_FC!$H$110</f>
        <v>Q3</v>
      </c>
      <c r="G6" s="32"/>
      <c r="H6" s="37" t="str">
        <f ca="1">$C$6</f>
        <v>Q4</v>
      </c>
      <c r="I6" s="37" t="str">
        <f ca="1">$D$6</f>
        <v>Q1</v>
      </c>
      <c r="J6" s="37" t="str">
        <f ca="1">$E$6</f>
        <v>Q2</v>
      </c>
      <c r="K6" s="37" t="str">
        <f ca="1">$F$6</f>
        <v>Q3</v>
      </c>
      <c r="L6" s="32"/>
      <c r="M6" s="37" t="str">
        <f ca="1">$C$6</f>
        <v>Q4</v>
      </c>
      <c r="N6" s="37" t="str">
        <f ca="1">$D$6</f>
        <v>Q1</v>
      </c>
      <c r="O6" s="37" t="str">
        <f ca="1">$E$6</f>
        <v>Q2</v>
      </c>
      <c r="P6" s="37" t="str">
        <f ca="1">$F$6</f>
        <v>Q3</v>
      </c>
      <c r="Q6" s="32"/>
      <c r="R6" s="37" t="str">
        <f ca="1">$C$6</f>
        <v>Q4</v>
      </c>
      <c r="S6" s="37" t="str">
        <f ca="1">$D$6</f>
        <v>Q1</v>
      </c>
      <c r="T6" s="37" t="str">
        <f ca="1">$E$6</f>
        <v>Q2</v>
      </c>
      <c r="U6" s="37" t="str">
        <f ca="1">$F$6</f>
        <v>Q3</v>
      </c>
      <c r="V6" s="32"/>
      <c r="W6" s="37" t="str">
        <f t="shared" ref="W6" ca="1" si="6">C6</f>
        <v>Q4</v>
      </c>
      <c r="X6" s="37" t="str">
        <f t="shared" ca="1" si="0"/>
        <v>Q1</v>
      </c>
      <c r="Y6" s="37" t="str">
        <f t="shared" ca="1" si="1"/>
        <v>Q2</v>
      </c>
      <c r="Z6" s="37" t="str">
        <f t="shared" ca="1" si="2"/>
        <v>Q3</v>
      </c>
      <c r="AA6" s="32"/>
      <c r="AB6" s="37" t="str">
        <f t="shared" ref="AB6" ca="1" si="7">H6</f>
        <v>Q4</v>
      </c>
      <c r="AC6" s="37" t="str">
        <f t="shared" ca="1" si="3"/>
        <v>Q1</v>
      </c>
      <c r="AD6" s="37" t="str">
        <f t="shared" ca="1" si="4"/>
        <v>Q2</v>
      </c>
      <c r="AE6" s="37" t="str">
        <f t="shared" ca="1" si="5"/>
        <v>Q3</v>
      </c>
      <c r="AF6" s="38"/>
      <c r="AG6" s="398" t="str">
        <f ca="1">C6</f>
        <v>Q4</v>
      </c>
      <c r="AH6" s="398" t="str">
        <f ca="1">D6</f>
        <v>Q1</v>
      </c>
      <c r="AI6" s="398" t="str">
        <f ca="1">E6</f>
        <v>Q2</v>
      </c>
      <c r="AJ6" s="398" t="str">
        <f ca="1">F6</f>
        <v>Q3</v>
      </c>
      <c r="AK6" s="27"/>
      <c r="AL6" s="548"/>
      <c r="AM6" s="548"/>
      <c r="AN6" s="548"/>
      <c r="AO6" s="403"/>
      <c r="AP6" s="403"/>
      <c r="AQ6" s="320"/>
      <c r="AR6" s="409"/>
      <c r="AS6" s="409"/>
      <c r="AT6" s="409"/>
      <c r="AU6" s="409"/>
      <c r="BH6" s="40"/>
      <c r="BI6" s="40"/>
      <c r="BJ6" s="38"/>
      <c r="BK6" s="38"/>
      <c r="BL6" s="39"/>
      <c r="BM6" s="29"/>
      <c r="BN6" s="29"/>
    </row>
    <row r="7" spans="2:66" x14ac:dyDescent="0.25">
      <c r="B7" s="41" t="str">
        <f>'PIVOT TABLE'!A4</f>
        <v>ACCESSORIES</v>
      </c>
      <c r="C7" s="535">
        <f ca="1">SUMIFS(FC_DATA!$AC$2:$AC$5000,FC_DATA!$Y$2:$Y$5000,LT_OVERVIEW!C$6,FC_DATA!$X$2:$X$5000,LT_OVERVIEW!C$5,FC_DATA!$W$2:$W$5000,LT_OVERVIEW!$B7,FC_DATA!$V$2:$V$5000,LT_OVERVIEW!$I$3,FC_DATA!$U$2:$U$5000,LT_OVERVIEW!$B$1)</f>
        <v>0</v>
      </c>
      <c r="D7" s="535">
        <f ca="1">SUMIFS(FC_DATA!$AC$2:$AC$5000,FC_DATA!$Y$2:$Y$5000,LT_OVERVIEW!D$6,FC_DATA!$X$2:$X$5000,LT_OVERVIEW!D$5,FC_DATA!$W$2:$W$5000,LT_OVERVIEW!$B7,FC_DATA!$V$2:$V$5000,LT_OVERVIEW!$I$3,FC_DATA!$U$2:$U$5000,LT_OVERVIEW!$B$1)</f>
        <v>0</v>
      </c>
      <c r="E7" s="535">
        <f ca="1">SUMIFS(FC_DATA!$AC$2:$AC$5000,FC_DATA!$Y$2:$Y$5000,LT_OVERVIEW!E$6,FC_DATA!$X$2:$X$5000,LT_OVERVIEW!E$5,FC_DATA!$W$2:$W$5000,LT_OVERVIEW!$B7,FC_DATA!$V$2:$V$5000,LT_OVERVIEW!$I$3,FC_DATA!$U$2:$U$5000,LT_OVERVIEW!$B$1)</f>
        <v>0</v>
      </c>
      <c r="F7" s="535">
        <f ca="1">SUMIFS(FC_DATA!$AC$2:$AC$5000,FC_DATA!$Y$2:$Y$5000,LT_OVERVIEW!F$6,FC_DATA!$X$2:$X$5000,LT_OVERVIEW!F$5,FC_DATA!$W$2:$W$5000,LT_OVERVIEW!$B7,FC_DATA!$V$2:$V$5000,LT_OVERVIEW!$I$3,FC_DATA!$U$2:$U$5000,LT_OVERVIEW!$B$1)</f>
        <v>0</v>
      </c>
      <c r="G7" s="40"/>
      <c r="H7" s="39" t="str">
        <f t="shared" ref="H7" ca="1" si="8">IF(C7=0,"-",C7/AG7-1)</f>
        <v>-</v>
      </c>
      <c r="I7" s="39" t="str">
        <f t="shared" ref="I7" ca="1" si="9">IF(D7=0,"-",D7/AH7-1)</f>
        <v>-</v>
      </c>
      <c r="J7" s="39" t="str">
        <f t="shared" ref="J7" ca="1" si="10">IF(E7=0,"-",E7/AI7-1)</f>
        <v>-</v>
      </c>
      <c r="K7" s="39" t="str">
        <f t="shared" ref="K7" ca="1" si="11">IFERROR(IF(F7=0,"-",F7/AJ7-1),"")</f>
        <v>-</v>
      </c>
      <c r="L7" s="40"/>
      <c r="M7" s="39" t="str">
        <f t="shared" ref="M7" ca="1" si="12">IF(C7=0,"-",(C7-AG7)/AG$23)</f>
        <v>-</v>
      </c>
      <c r="N7" s="39" t="str">
        <f t="shared" ref="N7" ca="1" si="13">IF(D7=0,"-",(D7-AH7)/AH$23)</f>
        <v>-</v>
      </c>
      <c r="O7" s="39" t="str">
        <f t="shared" ref="O7" ca="1" si="14">IF(E7=0,"-",(E7-AI7)/AI$23)</f>
        <v>-</v>
      </c>
      <c r="P7" s="39" t="str">
        <f t="shared" ref="P7" ca="1" si="15">IF(F7=0,"-",(F7-AJ7)/AJ$23)</f>
        <v>-</v>
      </c>
      <c r="Q7" s="38"/>
      <c r="R7" s="39" t="str">
        <f t="shared" ref="R7" ca="1" si="16">IF(C7=0,"-",C7/C$23)</f>
        <v>-</v>
      </c>
      <c r="S7" s="39" t="str">
        <f t="shared" ref="S7" ca="1" si="17">IF(D7=0,"-",D7/D$23)</f>
        <v>-</v>
      </c>
      <c r="T7" s="39" t="str">
        <f t="shared" ref="T7" ca="1" si="18">IF(E7=0,"-",E7/E$23)</f>
        <v>-</v>
      </c>
      <c r="U7" s="39" t="str">
        <f t="shared" ref="U7" ca="1" si="19">IF(F7=0,"-",F7/F$23)</f>
        <v>-</v>
      </c>
      <c r="V7" s="39"/>
      <c r="W7" s="39" t="str">
        <f ca="1">IFERROR(VLOOKUP($B$1&amp;$I$3&amp;$B7&amp;W$5&amp;W$6,FC_DATA!$A:$M,10,FALSE),"-")</f>
        <v>-</v>
      </c>
      <c r="X7" s="39" t="str">
        <f ca="1">IFERROR(VLOOKUP($B$1&amp;$I$3&amp;$B7&amp;X$5&amp;X$6,FC_DATA!$A:$M,10,FALSE),"-")</f>
        <v>-</v>
      </c>
      <c r="Y7" s="39" t="str">
        <f ca="1">IFERROR(VLOOKUP($B$1&amp;$I$3&amp;$B7&amp;Y$5&amp;Y$6,FC_DATA!$A:$M,10,FALSE),"-")</f>
        <v>-</v>
      </c>
      <c r="Z7" s="39" t="str">
        <f ca="1">IFERROR(VLOOKUP($B$1&amp;$I$3&amp;$B7&amp;Z$5&amp;Z$6,FC_DATA!$A:$M,10,FALSE),"-")</f>
        <v>-</v>
      </c>
      <c r="AA7" s="39"/>
      <c r="AB7" s="39" t="str">
        <f ca="1">IFERROR(VLOOKUP($B$1&amp;$I$3&amp;$B7&amp;AB$5&amp;AB$6,FC_DATA!$A:$M,13,FALSE),"-")</f>
        <v>-</v>
      </c>
      <c r="AC7" s="39" t="str">
        <f ca="1">IFERROR(VLOOKUP($B$1&amp;$I$3&amp;$B7&amp;AC$5&amp;AC$6,FC_DATA!$A:$M,13,FALSE),"-")</f>
        <v>-</v>
      </c>
      <c r="AD7" s="39" t="str">
        <f ca="1">IFERROR(VLOOKUP($B$1&amp;$I$3&amp;$B7&amp;AD$5&amp;AD$6,FC_DATA!$A:$M,13,FALSE),"-")</f>
        <v>-</v>
      </c>
      <c r="AE7" s="39" t="str">
        <f ca="1">IFERROR(VLOOKUP($B$1&amp;$I$3&amp;$B7&amp;AE$5&amp;AE$6,FC_DATA!$A:$M,13,FALSE),"-")</f>
        <v>-</v>
      </c>
      <c r="AF7" s="38"/>
      <c r="AG7" s="95">
        <f ca="1">SUMIFS(HIS_SALES!$I$2:$I$5129,HIS_SALES!$G$2:$G$5129,LT_OVERVIEW!AG$6,HIS_SALES!$F$2:$F$5129,AG$5,HIS_SALES!$E$2:$E$5129,LT_OVERVIEW!$B7,HIS_SALES!$D$2:$D$5129,LT_OVERVIEW!$I$3,HIS_SALES!$C$2:$C$5129,LT_OVERVIEW!$B$1)</f>
        <v>17340.611700000001</v>
      </c>
      <c r="AH7" s="95">
        <f ca="1">SUMIFS(HIS_SALES!$I$2:$I$5129,HIS_SALES!$G$2:$G$5129,LT_OVERVIEW!AH$6,HIS_SALES!$F$2:$F$5129,AH$5,HIS_SALES!$E$2:$E$5129,LT_OVERVIEW!$B7,HIS_SALES!$D$2:$D$5129,LT_OVERVIEW!$I$3,HIS_SALES!$C$2:$C$5129,LT_OVERVIEW!$B$1)</f>
        <v>51252.678700000004</v>
      </c>
      <c r="AI7" s="95">
        <f ca="1">SUMIFS(HIS_SALES!$I$2:$I$5129,HIS_SALES!$G$2:$G$5129,LT_OVERVIEW!AI$6,HIS_SALES!$F$2:$F$5129,AI$5,HIS_SALES!$E$2:$E$5129,LT_OVERVIEW!$B7,HIS_SALES!$D$2:$D$5129,LT_OVERVIEW!$I$3,HIS_SALES!$C$2:$C$5129,LT_OVERVIEW!$B$1)</f>
        <v>24538.9277</v>
      </c>
      <c r="AJ7" s="95">
        <f ca="1">SUMIFS(FC_DATA!$AC$2:$AC$5000,FC_DATA!$V$2:$V$5000,$I$3,FC_DATA!$W$2:$W$5000,B7,FC_DATA!$X$2:$X$5000,AJ$5,FC_DATA!$Y$2:$Y$5000,AJ$6)</f>
        <v>0</v>
      </c>
      <c r="AK7" s="402"/>
      <c r="AL7" s="205"/>
      <c r="AM7" s="205"/>
      <c r="AN7" s="205"/>
      <c r="AO7" s="205"/>
      <c r="AP7" s="205"/>
      <c r="AQ7" s="564"/>
      <c r="AR7" s="408"/>
      <c r="AS7" s="408"/>
      <c r="AT7" s="408"/>
      <c r="AU7" s="408"/>
      <c r="BH7" s="40"/>
      <c r="BI7" s="40"/>
      <c r="BJ7" s="38"/>
      <c r="BK7" s="38"/>
      <c r="BL7" s="39"/>
      <c r="BM7" s="29"/>
      <c r="BN7" s="29"/>
    </row>
    <row r="8" spans="2:66" x14ac:dyDescent="0.25">
      <c r="B8" s="41" t="str">
        <f>'PIVOT TABLE'!A5</f>
        <v>DRESSES</v>
      </c>
      <c r="C8" s="535">
        <f ca="1">SUMIFS(FC_DATA!$AC$2:$AC$5000,FC_DATA!$Y$2:$Y$5000,LT_OVERVIEW!C$6,FC_DATA!$X$2:$X$5000,LT_OVERVIEW!C$5,FC_DATA!$W$2:$W$5000,LT_OVERVIEW!$B8,FC_DATA!$V$2:$V$5000,LT_OVERVIEW!$I$3,FC_DATA!$U$2:$U$5000,LT_OVERVIEW!$B$1)</f>
        <v>0</v>
      </c>
      <c r="D8" s="535">
        <f ca="1">SUMIFS(FC_DATA!$AC$2:$AC$5000,FC_DATA!$Y$2:$Y$5000,LT_OVERVIEW!D$6,FC_DATA!$X$2:$X$5000,LT_OVERVIEW!D$5,FC_DATA!$W$2:$W$5000,LT_OVERVIEW!$B8,FC_DATA!$V$2:$V$5000,LT_OVERVIEW!$I$3,FC_DATA!$U$2:$U$5000,LT_OVERVIEW!$B$1)</f>
        <v>0</v>
      </c>
      <c r="E8" s="535">
        <f ca="1">SUMIFS(FC_DATA!$AC$2:$AC$5000,FC_DATA!$Y$2:$Y$5000,LT_OVERVIEW!E$6,FC_DATA!$X$2:$X$5000,LT_OVERVIEW!E$5,FC_DATA!$W$2:$W$5000,LT_OVERVIEW!$B8,FC_DATA!$V$2:$V$5000,LT_OVERVIEW!$I$3,FC_DATA!$U$2:$U$5000,LT_OVERVIEW!$B$1)</f>
        <v>0</v>
      </c>
      <c r="F8" s="535">
        <f ca="1">SUMIFS(FC_DATA!$AC$2:$AC$5000,FC_DATA!$Y$2:$Y$5000,LT_OVERVIEW!F$6,FC_DATA!$X$2:$X$5000,LT_OVERVIEW!F$5,FC_DATA!$W$2:$W$5000,LT_OVERVIEW!$B8,FC_DATA!$V$2:$V$5000,LT_OVERVIEW!$I$3,FC_DATA!$U$2:$U$5000,LT_OVERVIEW!$B$1)</f>
        <v>0</v>
      </c>
      <c r="G8" s="40"/>
      <c r="H8" s="39" t="str">
        <f t="shared" ref="H8:H22" ca="1" si="20">IF(C8=0,"-",C8/AG8-1)</f>
        <v>-</v>
      </c>
      <c r="I8" s="39" t="str">
        <f t="shared" ref="I8:I22" ca="1" si="21">IF(D8=0,"-",D8/AH8-1)</f>
        <v>-</v>
      </c>
      <c r="J8" s="39" t="str">
        <f t="shared" ref="J8:J22" ca="1" si="22">IF(E8=0,"-",E8/AI8-1)</f>
        <v>-</v>
      </c>
      <c r="K8" s="39" t="str">
        <f t="shared" ref="K8:K22" ca="1" si="23">IFERROR(IF(F8=0,"-",F8/AJ8-1),"")</f>
        <v>-</v>
      </c>
      <c r="L8" s="40"/>
      <c r="M8" s="39" t="str">
        <f t="shared" ref="M8:M22" ca="1" si="24">IF(C8=0,"-",(C8-AG8)/AG$23)</f>
        <v>-</v>
      </c>
      <c r="N8" s="39" t="str">
        <f t="shared" ref="N8:N22" ca="1" si="25">IF(D8=0,"-",(D8-AH8)/AH$23)</f>
        <v>-</v>
      </c>
      <c r="O8" s="39" t="str">
        <f t="shared" ref="O8:O22" ca="1" si="26">IF(E8=0,"-",(E8-AI8)/AI$23)</f>
        <v>-</v>
      </c>
      <c r="P8" s="39" t="str">
        <f t="shared" ref="P8:P22" ca="1" si="27">IF(F8=0,"-",(F8-AJ8)/AJ$23)</f>
        <v>-</v>
      </c>
      <c r="Q8" s="38"/>
      <c r="R8" s="39" t="str">
        <f t="shared" ref="R8:R22" ca="1" si="28">IF(C8=0,"-",C8/C$23)</f>
        <v>-</v>
      </c>
      <c r="S8" s="39" t="str">
        <f t="shared" ref="S8:S22" ca="1" si="29">IF(D8=0,"-",D8/D$23)</f>
        <v>-</v>
      </c>
      <c r="T8" s="39" t="str">
        <f t="shared" ref="T8:T22" ca="1" si="30">IF(E8=0,"-",E8/E$23)</f>
        <v>-</v>
      </c>
      <c r="U8" s="39" t="str">
        <f t="shared" ref="U8:U22" ca="1" si="31">IF(F8=0,"-",F8/F$23)</f>
        <v>-</v>
      </c>
      <c r="V8" s="39"/>
      <c r="W8" s="39" t="str">
        <f ca="1">IFERROR(VLOOKUP($B$1&amp;$I$3&amp;$B8&amp;W$5&amp;W$6,FC_DATA!$A:$M,10,FALSE),"-")</f>
        <v>-</v>
      </c>
      <c r="X8" s="39" t="str">
        <f ca="1">IFERROR(VLOOKUP($B$1&amp;$I$3&amp;$B8&amp;X$5&amp;X$6,FC_DATA!$A:$M,10,FALSE),"-")</f>
        <v>-</v>
      </c>
      <c r="Y8" s="39" t="str">
        <f ca="1">IFERROR(VLOOKUP($B$1&amp;$I$3&amp;$B8&amp;Y$5&amp;Y$6,FC_DATA!$A:$M,10,FALSE),"-")</f>
        <v>-</v>
      </c>
      <c r="Z8" s="39" t="str">
        <f ca="1">IFERROR(VLOOKUP($B$1&amp;$I$3&amp;$B8&amp;Z$5&amp;Z$6,FC_DATA!$A:$M,10,FALSE),"-")</f>
        <v>-</v>
      </c>
      <c r="AA8" s="39"/>
      <c r="AB8" s="39" t="str">
        <f ca="1">IFERROR(VLOOKUP($B$1&amp;$I$3&amp;$B8&amp;AB$5&amp;AB$6,FC_DATA!$A:$M,13,FALSE),"-")</f>
        <v>-</v>
      </c>
      <c r="AC8" s="39" t="str">
        <f ca="1">IFERROR(VLOOKUP($B$1&amp;$I$3&amp;$B8&amp;AC$5&amp;AC$6,FC_DATA!$A:$M,13,FALSE),"-")</f>
        <v>-</v>
      </c>
      <c r="AD8" s="39" t="str">
        <f ca="1">IFERROR(VLOOKUP($B$1&amp;$I$3&amp;$B8&amp;AD$5&amp;AD$6,FC_DATA!$A:$M,13,FALSE),"-")</f>
        <v>-</v>
      </c>
      <c r="AE8" s="39" t="str">
        <f ca="1">IFERROR(VLOOKUP($B$1&amp;$I$3&amp;$B8&amp;AE$5&amp;AE$6,FC_DATA!$A:$M,13,FALSE),"-")</f>
        <v>-</v>
      </c>
      <c r="AF8" s="38"/>
      <c r="AG8" s="95">
        <f ca="1">SUMIFS(HIS_SALES!$I$2:$I$5129,HIS_SALES!$G$2:$G$5129,LT_OVERVIEW!AG$6,HIS_SALES!$F$2:$F$5129,AG$5,HIS_SALES!$E$2:$E$5129,LT_OVERVIEW!$B8,HIS_SALES!$D$2:$D$5129,LT_OVERVIEW!$I$3,HIS_SALES!$C$2:$C$5129,LT_OVERVIEW!$B$1)</f>
        <v>2382275.3429999272</v>
      </c>
      <c r="AH8" s="95">
        <f ca="1">SUMIFS(HIS_SALES!$I$2:$I$5129,HIS_SALES!$G$2:$G$5129,LT_OVERVIEW!AH$6,HIS_SALES!$F$2:$F$5129,AH$5,HIS_SALES!$E$2:$E$5129,LT_OVERVIEW!$B8,HIS_SALES!$D$2:$D$5129,LT_OVERVIEW!$I$3,HIS_SALES!$C$2:$C$5129,LT_OVERVIEW!$B$1)</f>
        <v>1301548.6662999713</v>
      </c>
      <c r="AI8" s="95">
        <f ca="1">SUMIFS(HIS_SALES!$I$2:$I$5129,HIS_SALES!$G$2:$G$5129,LT_OVERVIEW!AI$6,HIS_SALES!$F$2:$F$5129,AI$5,HIS_SALES!$E$2:$E$5129,LT_OVERVIEW!$B8,HIS_SALES!$D$2:$D$5129,LT_OVERVIEW!$I$3,HIS_SALES!$C$2:$C$5129,LT_OVERVIEW!$B$1)</f>
        <v>547028.13719998999</v>
      </c>
      <c r="AJ8" s="95">
        <f ca="1">SUMIFS(FC_DATA!$AC$2:$AC$5000,FC_DATA!$V$2:$V$5000,$I$3,FC_DATA!$W$2:$W$5000,B8,FC_DATA!$X$2:$X$5000,AJ$5,FC_DATA!$Y$2:$Y$5000,AJ$6)</f>
        <v>0</v>
      </c>
      <c r="AK8" s="402"/>
      <c r="AL8" s="205"/>
      <c r="AM8" s="205"/>
      <c r="AN8" s="205"/>
      <c r="AO8" s="205"/>
      <c r="AP8" s="205"/>
      <c r="AQ8" s="564"/>
      <c r="AR8" s="408"/>
      <c r="AS8" s="408"/>
      <c r="AT8" s="408"/>
      <c r="AU8" s="408"/>
      <c r="BH8" s="40"/>
      <c r="BI8" s="40"/>
      <c r="BJ8" s="38"/>
      <c r="BK8" s="38"/>
      <c r="BL8" s="39"/>
      <c r="BM8" s="29"/>
      <c r="BN8" s="29"/>
    </row>
    <row r="9" spans="2:66" x14ac:dyDescent="0.25">
      <c r="B9" s="41" t="str">
        <f>'PIVOT TABLE'!A6</f>
        <v>JEANS</v>
      </c>
      <c r="C9" s="535">
        <f ca="1">SUMIFS(FC_DATA!$AC$2:$AC$5000,FC_DATA!$Y$2:$Y$5000,LT_OVERVIEW!C$6,FC_DATA!$X$2:$X$5000,LT_OVERVIEW!C$5,FC_DATA!$W$2:$W$5000,LT_OVERVIEW!$B9,FC_DATA!$V$2:$V$5000,LT_OVERVIEW!$I$3,FC_DATA!$U$2:$U$5000,LT_OVERVIEW!$B$1)</f>
        <v>0</v>
      </c>
      <c r="D9" s="535">
        <f ca="1">SUMIFS(FC_DATA!$AC$2:$AC$5000,FC_DATA!$Y$2:$Y$5000,LT_OVERVIEW!D$6,FC_DATA!$X$2:$X$5000,LT_OVERVIEW!D$5,FC_DATA!$W$2:$W$5000,LT_OVERVIEW!$B9,FC_DATA!$V$2:$V$5000,LT_OVERVIEW!$I$3,FC_DATA!$U$2:$U$5000,LT_OVERVIEW!$B$1)</f>
        <v>0</v>
      </c>
      <c r="E9" s="535">
        <f ca="1">SUMIFS(FC_DATA!$AC$2:$AC$5000,FC_DATA!$Y$2:$Y$5000,LT_OVERVIEW!E$6,FC_DATA!$X$2:$X$5000,LT_OVERVIEW!E$5,FC_DATA!$W$2:$W$5000,LT_OVERVIEW!$B9,FC_DATA!$V$2:$V$5000,LT_OVERVIEW!$I$3,FC_DATA!$U$2:$U$5000,LT_OVERVIEW!$B$1)</f>
        <v>0</v>
      </c>
      <c r="F9" s="535">
        <f ca="1">SUMIFS(FC_DATA!$AC$2:$AC$5000,FC_DATA!$Y$2:$Y$5000,LT_OVERVIEW!F$6,FC_DATA!$X$2:$X$5000,LT_OVERVIEW!F$5,FC_DATA!$W$2:$W$5000,LT_OVERVIEW!$B9,FC_DATA!$V$2:$V$5000,LT_OVERVIEW!$I$3,FC_DATA!$U$2:$U$5000,LT_OVERVIEW!$B$1)</f>
        <v>0</v>
      </c>
      <c r="G9" s="40"/>
      <c r="H9" s="39" t="str">
        <f t="shared" ca="1" si="20"/>
        <v>-</v>
      </c>
      <c r="I9" s="39" t="str">
        <f t="shared" ca="1" si="21"/>
        <v>-</v>
      </c>
      <c r="J9" s="39" t="str">
        <f t="shared" ca="1" si="22"/>
        <v>-</v>
      </c>
      <c r="K9" s="39" t="str">
        <f t="shared" ca="1" si="23"/>
        <v>-</v>
      </c>
      <c r="L9" s="40"/>
      <c r="M9" s="39" t="str">
        <f t="shared" ca="1" si="24"/>
        <v>-</v>
      </c>
      <c r="N9" s="39" t="str">
        <f t="shared" ca="1" si="25"/>
        <v>-</v>
      </c>
      <c r="O9" s="39" t="str">
        <f t="shared" ca="1" si="26"/>
        <v>-</v>
      </c>
      <c r="P9" s="39" t="str">
        <f t="shared" ca="1" si="27"/>
        <v>-</v>
      </c>
      <c r="Q9" s="38"/>
      <c r="R9" s="39" t="str">
        <f t="shared" ca="1" si="28"/>
        <v>-</v>
      </c>
      <c r="S9" s="39" t="str">
        <f t="shared" ca="1" si="29"/>
        <v>-</v>
      </c>
      <c r="T9" s="39" t="str">
        <f t="shared" ca="1" si="30"/>
        <v>-</v>
      </c>
      <c r="U9" s="39" t="str">
        <f t="shared" ca="1" si="31"/>
        <v>-</v>
      </c>
      <c r="V9" s="39"/>
      <c r="W9" s="39" t="str">
        <f ca="1">IFERROR(VLOOKUP($B$1&amp;$I$3&amp;$B9&amp;W$5&amp;W$6,FC_DATA!$A:$M,10,FALSE),"-")</f>
        <v>-</v>
      </c>
      <c r="X9" s="39" t="str">
        <f ca="1">IFERROR(VLOOKUP($B$1&amp;$I$3&amp;$B9&amp;X$5&amp;X$6,FC_DATA!$A:$M,10,FALSE),"-")</f>
        <v>-</v>
      </c>
      <c r="Y9" s="39" t="str">
        <f ca="1">IFERROR(VLOOKUP($B$1&amp;$I$3&amp;$B9&amp;Y$5&amp;Y$6,FC_DATA!$A:$M,10,FALSE),"-")</f>
        <v>-</v>
      </c>
      <c r="Z9" s="39" t="str">
        <f ca="1">IFERROR(VLOOKUP($B$1&amp;$I$3&amp;$B9&amp;Z$5&amp;Z$6,FC_DATA!$A:$M,10,FALSE),"-")</f>
        <v>-</v>
      </c>
      <c r="AA9" s="39"/>
      <c r="AB9" s="39" t="str">
        <f ca="1">IFERROR(VLOOKUP($B$1&amp;$I$3&amp;$B9&amp;AB$5&amp;AB$6,FC_DATA!$A:$M,13,FALSE),"-")</f>
        <v>-</v>
      </c>
      <c r="AC9" s="39" t="str">
        <f ca="1">IFERROR(VLOOKUP($B$1&amp;$I$3&amp;$B9&amp;AC$5&amp;AC$6,FC_DATA!$A:$M,13,FALSE),"-")</f>
        <v>-</v>
      </c>
      <c r="AD9" s="39" t="str">
        <f ca="1">IFERROR(VLOOKUP($B$1&amp;$I$3&amp;$B9&amp;AD$5&amp;AD$6,FC_DATA!$A:$M,13,FALSE),"-")</f>
        <v>-</v>
      </c>
      <c r="AE9" s="39" t="str">
        <f ca="1">IFERROR(VLOOKUP($B$1&amp;$I$3&amp;$B9&amp;AE$5&amp;AE$6,FC_DATA!$A:$M,13,FALSE),"-")</f>
        <v>-</v>
      </c>
      <c r="AF9" s="38"/>
      <c r="AG9" s="95">
        <f ca="1">SUMIFS(HIS_SALES!$I$2:$I$5129,HIS_SALES!$G$2:$G$5129,LT_OVERVIEW!AG$6,HIS_SALES!$F$2:$F$5129,AG$5,HIS_SALES!$E$2:$E$5129,LT_OVERVIEW!$B9,HIS_SALES!$D$2:$D$5129,LT_OVERVIEW!$I$3,HIS_SALES!$C$2:$C$5129,LT_OVERVIEW!$B$1)</f>
        <v>905681.125499991</v>
      </c>
      <c r="AH9" s="95">
        <f ca="1">SUMIFS(HIS_SALES!$I$2:$I$5129,HIS_SALES!$G$2:$G$5129,LT_OVERVIEW!AH$6,HIS_SALES!$F$2:$F$5129,AH$5,HIS_SALES!$E$2:$E$5129,LT_OVERVIEW!$B9,HIS_SALES!$D$2:$D$5129,LT_OVERVIEW!$I$3,HIS_SALES!$C$2:$C$5129,LT_OVERVIEW!$B$1)</f>
        <v>1401790.3599999782</v>
      </c>
      <c r="AI9" s="95">
        <f ca="1">SUMIFS(HIS_SALES!$I$2:$I$5129,HIS_SALES!$G$2:$G$5129,LT_OVERVIEW!AI$6,HIS_SALES!$F$2:$F$5129,AI$5,HIS_SALES!$E$2:$E$5129,LT_OVERVIEW!$B9,HIS_SALES!$D$2:$D$5129,LT_OVERVIEW!$I$3,HIS_SALES!$C$2:$C$5129,LT_OVERVIEW!$B$1)</f>
        <v>553490.92529999302</v>
      </c>
      <c r="AJ9" s="95">
        <f ca="1">SUMIFS(FC_DATA!$AC$2:$AC$5000,FC_DATA!$V$2:$V$5000,$I$3,FC_DATA!$W$2:$W$5000,B9,FC_DATA!$X$2:$X$5000,AJ$5,FC_DATA!$Y$2:$Y$5000,AJ$6)</f>
        <v>0</v>
      </c>
      <c r="AK9" s="402"/>
      <c r="AL9" s="205"/>
      <c r="AM9" s="205"/>
      <c r="AN9" s="205"/>
      <c r="AO9" s="205"/>
      <c r="AP9" s="205"/>
      <c r="AQ9" s="564"/>
      <c r="AR9" s="408"/>
      <c r="AS9" s="408"/>
      <c r="AT9" s="408"/>
      <c r="AU9" s="408"/>
      <c r="BH9" s="40"/>
      <c r="BI9" s="40"/>
      <c r="BJ9" s="38"/>
      <c r="BK9" s="38"/>
      <c r="BL9" s="39"/>
      <c r="BM9" s="29"/>
      <c r="BN9" s="29"/>
    </row>
    <row r="10" spans="2:66" x14ac:dyDescent="0.25">
      <c r="B10" s="41" t="str">
        <f>'PIVOT TABLE'!A7</f>
        <v>KNIT</v>
      </c>
      <c r="C10" s="535">
        <f ca="1">SUMIFS(FC_DATA!$AC$2:$AC$5000,FC_DATA!$Y$2:$Y$5000,LT_OVERVIEW!C$6,FC_DATA!$X$2:$X$5000,LT_OVERVIEW!C$5,FC_DATA!$W$2:$W$5000,LT_OVERVIEW!$B10,FC_DATA!$V$2:$V$5000,LT_OVERVIEW!$I$3,FC_DATA!$U$2:$U$5000,LT_OVERVIEW!$B$1)</f>
        <v>0</v>
      </c>
      <c r="D10" s="535">
        <f ca="1">SUMIFS(FC_DATA!$AC$2:$AC$5000,FC_DATA!$Y$2:$Y$5000,LT_OVERVIEW!D$6,FC_DATA!$X$2:$X$5000,LT_OVERVIEW!D$5,FC_DATA!$W$2:$W$5000,LT_OVERVIEW!$B10,FC_DATA!$V$2:$V$5000,LT_OVERVIEW!$I$3,FC_DATA!$U$2:$U$5000,LT_OVERVIEW!$B$1)</f>
        <v>0</v>
      </c>
      <c r="E10" s="535">
        <f ca="1">SUMIFS(FC_DATA!$AC$2:$AC$5000,FC_DATA!$Y$2:$Y$5000,LT_OVERVIEW!E$6,FC_DATA!$X$2:$X$5000,LT_OVERVIEW!E$5,FC_DATA!$W$2:$W$5000,LT_OVERVIEW!$B10,FC_DATA!$V$2:$V$5000,LT_OVERVIEW!$I$3,FC_DATA!$U$2:$U$5000,LT_OVERVIEW!$B$1)</f>
        <v>0</v>
      </c>
      <c r="F10" s="535">
        <f ca="1">SUMIFS(FC_DATA!$AC$2:$AC$5000,FC_DATA!$Y$2:$Y$5000,LT_OVERVIEW!F$6,FC_DATA!$X$2:$X$5000,LT_OVERVIEW!F$5,FC_DATA!$W$2:$W$5000,LT_OVERVIEW!$B10,FC_DATA!$V$2:$V$5000,LT_OVERVIEW!$I$3,FC_DATA!$U$2:$U$5000,LT_OVERVIEW!$B$1)</f>
        <v>0</v>
      </c>
      <c r="G10" s="40"/>
      <c r="H10" s="39" t="str">
        <f t="shared" ca="1" si="20"/>
        <v>-</v>
      </c>
      <c r="I10" s="39" t="str">
        <f t="shared" ca="1" si="21"/>
        <v>-</v>
      </c>
      <c r="J10" s="39" t="str">
        <f t="shared" ca="1" si="22"/>
        <v>-</v>
      </c>
      <c r="K10" s="39" t="str">
        <f t="shared" ca="1" si="23"/>
        <v>-</v>
      </c>
      <c r="L10" s="40"/>
      <c r="M10" s="39" t="str">
        <f t="shared" ca="1" si="24"/>
        <v>-</v>
      </c>
      <c r="N10" s="39" t="str">
        <f t="shared" ca="1" si="25"/>
        <v>-</v>
      </c>
      <c r="O10" s="39" t="str">
        <f t="shared" ca="1" si="26"/>
        <v>-</v>
      </c>
      <c r="P10" s="39" t="str">
        <f t="shared" ca="1" si="27"/>
        <v>-</v>
      </c>
      <c r="Q10" s="38"/>
      <c r="R10" s="39" t="str">
        <f t="shared" ca="1" si="28"/>
        <v>-</v>
      </c>
      <c r="S10" s="39" t="str">
        <f t="shared" ca="1" si="29"/>
        <v>-</v>
      </c>
      <c r="T10" s="39" t="str">
        <f t="shared" ca="1" si="30"/>
        <v>-</v>
      </c>
      <c r="U10" s="39" t="str">
        <f t="shared" ca="1" si="31"/>
        <v>-</v>
      </c>
      <c r="V10" s="39"/>
      <c r="W10" s="39" t="str">
        <f ca="1">IFERROR(VLOOKUP($B$1&amp;$I$3&amp;$B10&amp;W$5&amp;W$6,FC_DATA!$A:$M,10,FALSE),"-")</f>
        <v>-</v>
      </c>
      <c r="X10" s="39" t="str">
        <f ca="1">IFERROR(VLOOKUP($B$1&amp;$I$3&amp;$B10&amp;X$5&amp;X$6,FC_DATA!$A:$M,10,FALSE),"-")</f>
        <v>-</v>
      </c>
      <c r="Y10" s="39" t="str">
        <f ca="1">IFERROR(VLOOKUP($B$1&amp;$I$3&amp;$B10&amp;Y$5&amp;Y$6,FC_DATA!$A:$M,10,FALSE),"-")</f>
        <v>-</v>
      </c>
      <c r="Z10" s="39" t="str">
        <f ca="1">IFERROR(VLOOKUP($B$1&amp;$I$3&amp;$B10&amp;Z$5&amp;Z$6,FC_DATA!$A:$M,10,FALSE),"-")</f>
        <v>-</v>
      </c>
      <c r="AA10" s="39"/>
      <c r="AB10" s="39" t="str">
        <f ca="1">IFERROR(VLOOKUP($B$1&amp;$I$3&amp;$B10&amp;AB$5&amp;AB$6,FC_DATA!$A:$M,13,FALSE),"-")</f>
        <v>-</v>
      </c>
      <c r="AC10" s="39" t="str">
        <f ca="1">IFERROR(VLOOKUP($B$1&amp;$I$3&amp;$B10&amp;AC$5&amp;AC$6,FC_DATA!$A:$M,13,FALSE),"-")</f>
        <v>-</v>
      </c>
      <c r="AD10" s="39" t="str">
        <f ca="1">IFERROR(VLOOKUP($B$1&amp;$I$3&amp;$B10&amp;AD$5&amp;AD$6,FC_DATA!$A:$M,13,FALSE),"-")</f>
        <v>-</v>
      </c>
      <c r="AE10" s="39" t="str">
        <f ca="1">IFERROR(VLOOKUP($B$1&amp;$I$3&amp;$B10&amp;AE$5&amp;AE$6,FC_DATA!$A:$M,13,FALSE),"-")</f>
        <v>-</v>
      </c>
      <c r="AF10" s="38"/>
      <c r="AG10" s="95">
        <f ca="1">SUMIFS(HIS_SALES!$I$2:$I$5129,HIS_SALES!$G$2:$G$5129,LT_OVERVIEW!AG$6,HIS_SALES!$F$2:$F$5129,AG$5,HIS_SALES!$E$2:$E$5129,LT_OVERVIEW!$B10,HIS_SALES!$D$2:$D$5129,LT_OVERVIEW!$I$3,HIS_SALES!$C$2:$C$5129,LT_OVERVIEW!$B$1)</f>
        <v>220306.28390000114</v>
      </c>
      <c r="AH10" s="95">
        <f ca="1">SUMIFS(HIS_SALES!$I$2:$I$5129,HIS_SALES!$G$2:$G$5129,LT_OVERVIEW!AH$6,HIS_SALES!$F$2:$F$5129,AH$5,HIS_SALES!$E$2:$E$5129,LT_OVERVIEW!$B10,HIS_SALES!$D$2:$D$5129,LT_OVERVIEW!$I$3,HIS_SALES!$C$2:$C$5129,LT_OVERVIEW!$B$1)</f>
        <v>1482934.942899971</v>
      </c>
      <c r="AI10" s="95">
        <f ca="1">SUMIFS(HIS_SALES!$I$2:$I$5129,HIS_SALES!$G$2:$G$5129,LT_OVERVIEW!AI$6,HIS_SALES!$F$2:$F$5129,AI$5,HIS_SALES!$E$2:$E$5129,LT_OVERVIEW!$B10,HIS_SALES!$D$2:$D$5129,LT_OVERVIEW!$I$3,HIS_SALES!$C$2:$C$5129,LT_OVERVIEW!$B$1)</f>
        <v>664421.01099998807</v>
      </c>
      <c r="AJ10" s="95">
        <f ca="1">SUMIFS(FC_DATA!$AC$2:$AC$5000,FC_DATA!$V$2:$V$5000,$I$3,FC_DATA!$W$2:$W$5000,B10,FC_DATA!$X$2:$X$5000,AJ$5,FC_DATA!$Y$2:$Y$5000,AJ$6)</f>
        <v>0</v>
      </c>
      <c r="AK10" s="402"/>
      <c r="AL10" s="205"/>
      <c r="AM10" s="205"/>
      <c r="AN10" s="205"/>
      <c r="AO10" s="205"/>
      <c r="AP10" s="205"/>
      <c r="AQ10" s="564"/>
      <c r="AR10" s="408"/>
      <c r="AS10" s="408"/>
      <c r="AT10" s="408"/>
      <c r="AU10" s="408"/>
      <c r="BH10" s="40"/>
      <c r="BI10" s="40"/>
      <c r="BJ10" s="38"/>
      <c r="BK10" s="38"/>
      <c r="BL10" s="39"/>
      <c r="BM10" s="29"/>
      <c r="BN10" s="29"/>
    </row>
    <row r="11" spans="2:66" x14ac:dyDescent="0.25">
      <c r="B11" s="41" t="str">
        <f>'PIVOT TABLE'!A8</f>
        <v>OUTERWEAR</v>
      </c>
      <c r="C11" s="535">
        <f ca="1">SUMIFS(FC_DATA!$AC$2:$AC$5000,FC_DATA!$Y$2:$Y$5000,LT_OVERVIEW!C$6,FC_DATA!$X$2:$X$5000,LT_OVERVIEW!C$5,FC_DATA!$W$2:$W$5000,LT_OVERVIEW!$B11,FC_DATA!$V$2:$V$5000,LT_OVERVIEW!$I$3,FC_DATA!$U$2:$U$5000,LT_OVERVIEW!$B$1)</f>
        <v>0</v>
      </c>
      <c r="D11" s="535">
        <f ca="1">SUMIFS(FC_DATA!$AC$2:$AC$5000,FC_DATA!$Y$2:$Y$5000,LT_OVERVIEW!D$6,FC_DATA!$X$2:$X$5000,LT_OVERVIEW!D$5,FC_DATA!$W$2:$W$5000,LT_OVERVIEW!$B11,FC_DATA!$V$2:$V$5000,LT_OVERVIEW!$I$3,FC_DATA!$U$2:$U$5000,LT_OVERVIEW!$B$1)</f>
        <v>0</v>
      </c>
      <c r="E11" s="535">
        <f ca="1">SUMIFS(FC_DATA!$AC$2:$AC$5000,FC_DATA!$Y$2:$Y$5000,LT_OVERVIEW!E$6,FC_DATA!$X$2:$X$5000,LT_OVERVIEW!E$5,FC_DATA!$W$2:$W$5000,LT_OVERVIEW!$B11,FC_DATA!$V$2:$V$5000,LT_OVERVIEW!$I$3,FC_DATA!$U$2:$U$5000,LT_OVERVIEW!$B$1)</f>
        <v>0</v>
      </c>
      <c r="F11" s="535">
        <f ca="1">SUMIFS(FC_DATA!$AC$2:$AC$5000,FC_DATA!$Y$2:$Y$5000,LT_OVERVIEW!F$6,FC_DATA!$X$2:$X$5000,LT_OVERVIEW!F$5,FC_DATA!$W$2:$W$5000,LT_OVERVIEW!$B11,FC_DATA!$V$2:$V$5000,LT_OVERVIEW!$I$3,FC_DATA!$U$2:$U$5000,LT_OVERVIEW!$B$1)</f>
        <v>0</v>
      </c>
      <c r="G11" s="40"/>
      <c r="H11" s="39" t="str">
        <f t="shared" ca="1" si="20"/>
        <v>-</v>
      </c>
      <c r="I11" s="39" t="str">
        <f t="shared" ca="1" si="21"/>
        <v>-</v>
      </c>
      <c r="J11" s="39" t="str">
        <f t="shared" ca="1" si="22"/>
        <v>-</v>
      </c>
      <c r="K11" s="39" t="str">
        <f t="shared" ca="1" si="23"/>
        <v>-</v>
      </c>
      <c r="L11" s="40"/>
      <c r="M11" s="39" t="str">
        <f t="shared" ca="1" si="24"/>
        <v>-</v>
      </c>
      <c r="N11" s="39" t="str">
        <f t="shared" ca="1" si="25"/>
        <v>-</v>
      </c>
      <c r="O11" s="39" t="str">
        <f t="shared" ca="1" si="26"/>
        <v>-</v>
      </c>
      <c r="P11" s="39" t="str">
        <f t="shared" ca="1" si="27"/>
        <v>-</v>
      </c>
      <c r="Q11" s="38"/>
      <c r="R11" s="39" t="str">
        <f t="shared" ca="1" si="28"/>
        <v>-</v>
      </c>
      <c r="S11" s="39" t="str">
        <f t="shared" ca="1" si="29"/>
        <v>-</v>
      </c>
      <c r="T11" s="39" t="str">
        <f t="shared" ca="1" si="30"/>
        <v>-</v>
      </c>
      <c r="U11" s="39" t="str">
        <f t="shared" ca="1" si="31"/>
        <v>-</v>
      </c>
      <c r="V11" s="39"/>
      <c r="W11" s="39" t="str">
        <f ca="1">IFERROR(VLOOKUP($B$1&amp;$I$3&amp;$B11&amp;W$5&amp;W$6,FC_DATA!$A:$M,10,FALSE),"-")</f>
        <v>-</v>
      </c>
      <c r="X11" s="39" t="str">
        <f ca="1">IFERROR(VLOOKUP($B$1&amp;$I$3&amp;$B11&amp;X$5&amp;X$6,FC_DATA!$A:$M,10,FALSE),"-")</f>
        <v>-</v>
      </c>
      <c r="Y11" s="39" t="str">
        <f ca="1">IFERROR(VLOOKUP($B$1&amp;$I$3&amp;$B11&amp;Y$5&amp;Y$6,FC_DATA!$A:$M,10,FALSE),"-")</f>
        <v>-</v>
      </c>
      <c r="Z11" s="39" t="str">
        <f ca="1">IFERROR(VLOOKUP($B$1&amp;$I$3&amp;$B11&amp;Z$5&amp;Z$6,FC_DATA!$A:$M,10,FALSE),"-")</f>
        <v>-</v>
      </c>
      <c r="AA11" s="39"/>
      <c r="AB11" s="39" t="str">
        <f ca="1">IFERROR(VLOOKUP($B$1&amp;$I$3&amp;$B11&amp;AB$5&amp;AB$6,FC_DATA!$A:$M,13,FALSE),"-")</f>
        <v>-</v>
      </c>
      <c r="AC11" s="39" t="str">
        <f ca="1">IFERROR(VLOOKUP($B$1&amp;$I$3&amp;$B11&amp;AC$5&amp;AC$6,FC_DATA!$A:$M,13,FALSE),"-")</f>
        <v>-</v>
      </c>
      <c r="AD11" s="39" t="str">
        <f ca="1">IFERROR(VLOOKUP($B$1&amp;$I$3&amp;$B11&amp;AD$5&amp;AD$6,FC_DATA!$A:$M,13,FALSE),"-")</f>
        <v>-</v>
      </c>
      <c r="AE11" s="39" t="str">
        <f ca="1">IFERROR(VLOOKUP($B$1&amp;$I$3&amp;$B11&amp;AE$5&amp;AE$6,FC_DATA!$A:$M,13,FALSE),"-")</f>
        <v>-</v>
      </c>
      <c r="AF11" s="38"/>
      <c r="AG11" s="95">
        <f ca="1">SUMIFS(HIS_SALES!$I$2:$I$5129,HIS_SALES!$G$2:$G$5129,LT_OVERVIEW!AG$6,HIS_SALES!$F$2:$F$5129,AG$5,HIS_SALES!$E$2:$E$5129,LT_OVERVIEW!$B11,HIS_SALES!$D$2:$D$5129,LT_OVERVIEW!$I$3,HIS_SALES!$C$2:$C$5129,LT_OVERVIEW!$B$1)</f>
        <v>594274.74109999801</v>
      </c>
      <c r="AH11" s="95">
        <f ca="1">SUMIFS(HIS_SALES!$I$2:$I$5129,HIS_SALES!$G$2:$G$5129,LT_OVERVIEW!AH$6,HIS_SALES!$F$2:$F$5129,AH$5,HIS_SALES!$E$2:$E$5129,LT_OVERVIEW!$B11,HIS_SALES!$D$2:$D$5129,LT_OVERVIEW!$I$3,HIS_SALES!$C$2:$C$5129,LT_OVERVIEW!$B$1)</f>
        <v>2664270.1513999794</v>
      </c>
      <c r="AI11" s="95">
        <f ca="1">SUMIFS(HIS_SALES!$I$2:$I$5129,HIS_SALES!$G$2:$G$5129,LT_OVERVIEW!AI$6,HIS_SALES!$F$2:$F$5129,AI$5,HIS_SALES!$E$2:$E$5129,LT_OVERVIEW!$B11,HIS_SALES!$D$2:$D$5129,LT_OVERVIEW!$I$3,HIS_SALES!$C$2:$C$5129,LT_OVERVIEW!$B$1)</f>
        <v>1090145.06729998</v>
      </c>
      <c r="AJ11" s="95">
        <f ca="1">SUMIFS(FC_DATA!$AC$2:$AC$5000,FC_DATA!$V$2:$V$5000,$I$3,FC_DATA!$W$2:$W$5000,B11,FC_DATA!$X$2:$X$5000,AJ$5,FC_DATA!$Y$2:$Y$5000,AJ$6)</f>
        <v>0</v>
      </c>
      <c r="AK11" s="402"/>
      <c r="AL11" s="205"/>
      <c r="AM11" s="205"/>
      <c r="AN11" s="205"/>
      <c r="AO11" s="205"/>
      <c r="AP11" s="205"/>
      <c r="AQ11" s="564"/>
      <c r="AR11" s="408"/>
      <c r="AS11" s="408"/>
      <c r="AT11" s="408"/>
      <c r="AU11" s="408"/>
      <c r="BH11" s="40"/>
      <c r="BI11" s="40"/>
      <c r="BJ11" s="38"/>
      <c r="BK11" s="38"/>
      <c r="BL11" s="39"/>
      <c r="BM11" s="29"/>
      <c r="BN11" s="29"/>
    </row>
    <row r="12" spans="2:66" x14ac:dyDescent="0.25">
      <c r="B12" s="41" t="str">
        <f>'PIVOT TABLE'!A9</f>
        <v>PANTS</v>
      </c>
      <c r="C12" s="535">
        <f ca="1">SUMIFS(FC_DATA!$AC$2:$AC$5000,FC_DATA!$Y$2:$Y$5000,LT_OVERVIEW!C$6,FC_DATA!$X$2:$X$5000,LT_OVERVIEW!C$5,FC_DATA!$W$2:$W$5000,LT_OVERVIEW!$B12,FC_DATA!$V$2:$V$5000,LT_OVERVIEW!$I$3,FC_DATA!$U$2:$U$5000,LT_OVERVIEW!$B$1)</f>
        <v>0</v>
      </c>
      <c r="D12" s="535">
        <f ca="1">SUMIFS(FC_DATA!$AC$2:$AC$5000,FC_DATA!$Y$2:$Y$5000,LT_OVERVIEW!D$6,FC_DATA!$X$2:$X$5000,LT_OVERVIEW!D$5,FC_DATA!$W$2:$W$5000,LT_OVERVIEW!$B12,FC_DATA!$V$2:$V$5000,LT_OVERVIEW!$I$3,FC_DATA!$U$2:$U$5000,LT_OVERVIEW!$B$1)</f>
        <v>0</v>
      </c>
      <c r="E12" s="535">
        <f ca="1">SUMIFS(FC_DATA!$AC$2:$AC$5000,FC_DATA!$Y$2:$Y$5000,LT_OVERVIEW!E$6,FC_DATA!$X$2:$X$5000,LT_OVERVIEW!E$5,FC_DATA!$W$2:$W$5000,LT_OVERVIEW!$B12,FC_DATA!$V$2:$V$5000,LT_OVERVIEW!$I$3,FC_DATA!$U$2:$U$5000,LT_OVERVIEW!$B$1)</f>
        <v>0</v>
      </c>
      <c r="F12" s="535">
        <f ca="1">SUMIFS(FC_DATA!$AC$2:$AC$5000,FC_DATA!$Y$2:$Y$5000,LT_OVERVIEW!F$6,FC_DATA!$X$2:$X$5000,LT_OVERVIEW!F$5,FC_DATA!$W$2:$W$5000,LT_OVERVIEW!$B12,FC_DATA!$V$2:$V$5000,LT_OVERVIEW!$I$3,FC_DATA!$U$2:$U$5000,LT_OVERVIEW!$B$1)</f>
        <v>0</v>
      </c>
      <c r="G12" s="40"/>
      <c r="H12" s="39" t="str">
        <f t="shared" ca="1" si="20"/>
        <v>-</v>
      </c>
      <c r="I12" s="39" t="str">
        <f t="shared" ca="1" si="21"/>
        <v>-</v>
      </c>
      <c r="J12" s="39" t="str">
        <f t="shared" ca="1" si="22"/>
        <v>-</v>
      </c>
      <c r="K12" s="39" t="str">
        <f t="shared" ca="1" si="23"/>
        <v>-</v>
      </c>
      <c r="L12" s="40"/>
      <c r="M12" s="39" t="str">
        <f t="shared" ca="1" si="24"/>
        <v>-</v>
      </c>
      <c r="N12" s="39" t="str">
        <f t="shared" ca="1" si="25"/>
        <v>-</v>
      </c>
      <c r="O12" s="39" t="str">
        <f t="shared" ca="1" si="26"/>
        <v>-</v>
      </c>
      <c r="P12" s="39" t="str">
        <f t="shared" ca="1" si="27"/>
        <v>-</v>
      </c>
      <c r="Q12" s="38"/>
      <c r="R12" s="39" t="str">
        <f t="shared" ca="1" si="28"/>
        <v>-</v>
      </c>
      <c r="S12" s="39" t="str">
        <f t="shared" ca="1" si="29"/>
        <v>-</v>
      </c>
      <c r="T12" s="39" t="str">
        <f t="shared" ca="1" si="30"/>
        <v>-</v>
      </c>
      <c r="U12" s="39" t="str">
        <f t="shared" ca="1" si="31"/>
        <v>-</v>
      </c>
      <c r="V12" s="39"/>
      <c r="W12" s="39" t="str">
        <f ca="1">IFERROR(VLOOKUP($B$1&amp;$I$3&amp;$B12&amp;W$5&amp;W$6,FC_DATA!$A:$M,10,FALSE),"-")</f>
        <v>-</v>
      </c>
      <c r="X12" s="39" t="str">
        <f ca="1">IFERROR(VLOOKUP($B$1&amp;$I$3&amp;$B12&amp;X$5&amp;X$6,FC_DATA!$A:$M,10,FALSE),"-")</f>
        <v>-</v>
      </c>
      <c r="Y12" s="39" t="str">
        <f ca="1">IFERROR(VLOOKUP($B$1&amp;$I$3&amp;$B12&amp;Y$5&amp;Y$6,FC_DATA!$A:$M,10,FALSE),"-")</f>
        <v>-</v>
      </c>
      <c r="Z12" s="39" t="str">
        <f ca="1">IFERROR(VLOOKUP($B$1&amp;$I$3&amp;$B12&amp;Z$5&amp;Z$6,FC_DATA!$A:$M,10,FALSE),"-")</f>
        <v>-</v>
      </c>
      <c r="AA12" s="39"/>
      <c r="AB12" s="39" t="str">
        <f ca="1">IFERROR(VLOOKUP($B$1&amp;$I$3&amp;$B12&amp;AB$5&amp;AB$6,FC_DATA!$A:$M,13,FALSE),"-")</f>
        <v>-</v>
      </c>
      <c r="AC12" s="39" t="str">
        <f ca="1">IFERROR(VLOOKUP($B$1&amp;$I$3&amp;$B12&amp;AC$5&amp;AC$6,FC_DATA!$A:$M,13,FALSE),"-")</f>
        <v>-</v>
      </c>
      <c r="AD12" s="39" t="str">
        <f ca="1">IFERROR(VLOOKUP($B$1&amp;$I$3&amp;$B12&amp;AD$5&amp;AD$6,FC_DATA!$A:$M,13,FALSE),"-")</f>
        <v>-</v>
      </c>
      <c r="AE12" s="39" t="str">
        <f ca="1">IFERROR(VLOOKUP($B$1&amp;$I$3&amp;$B12&amp;AE$5&amp;AE$6,FC_DATA!$A:$M,13,FALSE),"-")</f>
        <v>-</v>
      </c>
      <c r="AF12" s="38"/>
      <c r="AG12" s="95">
        <f ca="1">SUMIFS(HIS_SALES!$I$2:$I$5129,HIS_SALES!$G$2:$G$5129,LT_OVERVIEW!AG$6,HIS_SALES!$F$2:$F$5129,AG$5,HIS_SALES!$E$2:$E$5129,LT_OVERVIEW!$B12,HIS_SALES!$D$2:$D$5129,LT_OVERVIEW!$I$3,HIS_SALES!$C$2:$C$5129,LT_OVERVIEW!$B$1)</f>
        <v>1046292.867799985</v>
      </c>
      <c r="AH12" s="95">
        <f ca="1">SUMIFS(HIS_SALES!$I$2:$I$5129,HIS_SALES!$G$2:$G$5129,LT_OVERVIEW!AH$6,HIS_SALES!$F$2:$F$5129,AH$5,HIS_SALES!$E$2:$E$5129,LT_OVERVIEW!$B12,HIS_SALES!$D$2:$D$5129,LT_OVERVIEW!$I$3,HIS_SALES!$C$2:$C$5129,LT_OVERVIEW!$B$1)</f>
        <v>1187030.687199977</v>
      </c>
      <c r="AI12" s="95">
        <f ca="1">SUMIFS(HIS_SALES!$I$2:$I$5129,HIS_SALES!$G$2:$G$5129,LT_OVERVIEW!AI$6,HIS_SALES!$F$2:$F$5129,AI$5,HIS_SALES!$E$2:$E$5129,LT_OVERVIEW!$B12,HIS_SALES!$D$2:$D$5129,LT_OVERVIEW!$I$3,HIS_SALES!$C$2:$C$5129,LT_OVERVIEW!$B$1)</f>
        <v>381504.41679999605</v>
      </c>
      <c r="AJ12" s="95">
        <f ca="1">SUMIFS(FC_DATA!$AC$2:$AC$5000,FC_DATA!$V$2:$V$5000,$I$3,FC_DATA!$W$2:$W$5000,B12,FC_DATA!$X$2:$X$5000,AJ$5,FC_DATA!$Y$2:$Y$5000,AJ$6)</f>
        <v>0</v>
      </c>
      <c r="AK12" s="402"/>
      <c r="AL12" s="205"/>
      <c r="AM12" s="205"/>
      <c r="AN12" s="205"/>
      <c r="AO12" s="205"/>
      <c r="AP12" s="205"/>
      <c r="AQ12" s="564"/>
      <c r="AR12" s="408"/>
      <c r="AS12" s="408"/>
      <c r="AT12" s="408"/>
      <c r="AU12" s="408"/>
      <c r="BH12" s="40"/>
      <c r="BI12" s="40"/>
      <c r="BJ12" s="38"/>
      <c r="BK12" s="38"/>
      <c r="BL12" s="39"/>
      <c r="BM12" s="29"/>
      <c r="BN12" s="29"/>
    </row>
    <row r="13" spans="2:66" x14ac:dyDescent="0.25">
      <c r="B13" s="41" t="str">
        <f>'PIVOT TABLE'!A10</f>
        <v>SHIRTS</v>
      </c>
      <c r="C13" s="535">
        <f ca="1">SUMIFS(FC_DATA!$AC$2:$AC$5000,FC_DATA!$Y$2:$Y$5000,LT_OVERVIEW!C$6,FC_DATA!$X$2:$X$5000,LT_OVERVIEW!C$5,FC_DATA!$W$2:$W$5000,LT_OVERVIEW!$B13,FC_DATA!$V$2:$V$5000,LT_OVERVIEW!$I$3,FC_DATA!$U$2:$U$5000,LT_OVERVIEW!$B$1)</f>
        <v>0</v>
      </c>
      <c r="D13" s="535">
        <f ca="1">SUMIFS(FC_DATA!$AC$2:$AC$5000,FC_DATA!$Y$2:$Y$5000,LT_OVERVIEW!D$6,FC_DATA!$X$2:$X$5000,LT_OVERVIEW!D$5,FC_DATA!$W$2:$W$5000,LT_OVERVIEW!$B13,FC_DATA!$V$2:$V$5000,LT_OVERVIEW!$I$3,FC_DATA!$U$2:$U$5000,LT_OVERVIEW!$B$1)</f>
        <v>0</v>
      </c>
      <c r="E13" s="535">
        <f ca="1">SUMIFS(FC_DATA!$AC$2:$AC$5000,FC_DATA!$Y$2:$Y$5000,LT_OVERVIEW!E$6,FC_DATA!$X$2:$X$5000,LT_OVERVIEW!E$5,FC_DATA!$W$2:$W$5000,LT_OVERVIEW!$B13,FC_DATA!$V$2:$V$5000,LT_OVERVIEW!$I$3,FC_DATA!$U$2:$U$5000,LT_OVERVIEW!$B$1)</f>
        <v>0</v>
      </c>
      <c r="F13" s="535">
        <f ca="1">SUMIFS(FC_DATA!$AC$2:$AC$5000,FC_DATA!$Y$2:$Y$5000,LT_OVERVIEW!F$6,FC_DATA!$X$2:$X$5000,LT_OVERVIEW!F$5,FC_DATA!$W$2:$W$5000,LT_OVERVIEW!$B13,FC_DATA!$V$2:$V$5000,LT_OVERVIEW!$I$3,FC_DATA!$U$2:$U$5000,LT_OVERVIEW!$B$1)</f>
        <v>0</v>
      </c>
      <c r="G13" s="40"/>
      <c r="H13" s="39" t="str">
        <f t="shared" ca="1" si="20"/>
        <v>-</v>
      </c>
      <c r="I13" s="39" t="str">
        <f t="shared" ca="1" si="21"/>
        <v>-</v>
      </c>
      <c r="J13" s="39" t="str">
        <f t="shared" ca="1" si="22"/>
        <v>-</v>
      </c>
      <c r="K13" s="39" t="str">
        <f t="shared" ca="1" si="23"/>
        <v>-</v>
      </c>
      <c r="L13" s="40"/>
      <c r="M13" s="39" t="str">
        <f t="shared" ca="1" si="24"/>
        <v>-</v>
      </c>
      <c r="N13" s="39" t="str">
        <f t="shared" ca="1" si="25"/>
        <v>-</v>
      </c>
      <c r="O13" s="39" t="str">
        <f t="shared" ca="1" si="26"/>
        <v>-</v>
      </c>
      <c r="P13" s="39" t="str">
        <f t="shared" ca="1" si="27"/>
        <v>-</v>
      </c>
      <c r="Q13" s="38"/>
      <c r="R13" s="39" t="str">
        <f t="shared" ca="1" si="28"/>
        <v>-</v>
      </c>
      <c r="S13" s="39" t="str">
        <f t="shared" ca="1" si="29"/>
        <v>-</v>
      </c>
      <c r="T13" s="39" t="str">
        <f t="shared" ca="1" si="30"/>
        <v>-</v>
      </c>
      <c r="U13" s="39" t="str">
        <f t="shared" ca="1" si="31"/>
        <v>-</v>
      </c>
      <c r="V13" s="39"/>
      <c r="W13" s="39" t="str">
        <f ca="1">IFERROR(VLOOKUP($B$1&amp;$I$3&amp;$B13&amp;W$5&amp;W$6,FC_DATA!$A:$M,10,FALSE),"-")</f>
        <v>-</v>
      </c>
      <c r="X13" s="39" t="str">
        <f ca="1">IFERROR(VLOOKUP($B$1&amp;$I$3&amp;$B13&amp;X$5&amp;X$6,FC_DATA!$A:$M,10,FALSE),"-")</f>
        <v>-</v>
      </c>
      <c r="Y13" s="39" t="str">
        <f ca="1">IFERROR(VLOOKUP($B$1&amp;$I$3&amp;$B13&amp;Y$5&amp;Y$6,FC_DATA!$A:$M,10,FALSE),"-")</f>
        <v>-</v>
      </c>
      <c r="Z13" s="39" t="str">
        <f ca="1">IFERROR(VLOOKUP($B$1&amp;$I$3&amp;$B13&amp;Z$5&amp;Z$6,FC_DATA!$A:$M,10,FALSE),"-")</f>
        <v>-</v>
      </c>
      <c r="AA13" s="39"/>
      <c r="AB13" s="39" t="str">
        <f ca="1">IFERROR(VLOOKUP($B$1&amp;$I$3&amp;$B13&amp;AB$5&amp;AB$6,FC_DATA!$A:$M,13,FALSE),"-")</f>
        <v>-</v>
      </c>
      <c r="AC13" s="39" t="str">
        <f ca="1">IFERROR(VLOOKUP($B$1&amp;$I$3&amp;$B13&amp;AC$5&amp;AC$6,FC_DATA!$A:$M,13,FALSE),"-")</f>
        <v>-</v>
      </c>
      <c r="AD13" s="39" t="str">
        <f ca="1">IFERROR(VLOOKUP($B$1&amp;$I$3&amp;$B13&amp;AD$5&amp;AD$6,FC_DATA!$A:$M,13,FALSE),"-")</f>
        <v>-</v>
      </c>
      <c r="AE13" s="39" t="str">
        <f ca="1">IFERROR(VLOOKUP($B$1&amp;$I$3&amp;$B13&amp;AE$5&amp;AE$6,FC_DATA!$A:$M,13,FALSE),"-")</f>
        <v>-</v>
      </c>
      <c r="AF13" s="38"/>
      <c r="AG13" s="95">
        <f ca="1">SUMIFS(HIS_SALES!$I$2:$I$5129,HIS_SALES!$G$2:$G$5129,LT_OVERVIEW!AG$6,HIS_SALES!$F$2:$F$5129,AG$5,HIS_SALES!$E$2:$E$5129,LT_OVERVIEW!$B13,HIS_SALES!$D$2:$D$5129,LT_OVERVIEW!$I$3,HIS_SALES!$C$2:$C$5129,LT_OVERVIEW!$B$1)</f>
        <v>211541.50700000112</v>
      </c>
      <c r="AH13" s="95">
        <f ca="1">SUMIFS(HIS_SALES!$I$2:$I$5129,HIS_SALES!$G$2:$G$5129,LT_OVERVIEW!AH$6,HIS_SALES!$F$2:$F$5129,AH$5,HIS_SALES!$E$2:$E$5129,LT_OVERVIEW!$B13,HIS_SALES!$D$2:$D$5129,LT_OVERVIEW!$I$3,HIS_SALES!$C$2:$C$5129,LT_OVERVIEW!$B$1)</f>
        <v>302227.08390000206</v>
      </c>
      <c r="AI13" s="95">
        <f ca="1">SUMIFS(HIS_SALES!$I$2:$I$5129,HIS_SALES!$G$2:$G$5129,LT_OVERVIEW!AI$6,HIS_SALES!$F$2:$F$5129,AI$5,HIS_SALES!$E$2:$E$5129,LT_OVERVIEW!$B13,HIS_SALES!$D$2:$D$5129,LT_OVERVIEW!$I$3,HIS_SALES!$C$2:$C$5129,LT_OVERVIEW!$B$1)</f>
        <v>73395.949400000201</v>
      </c>
      <c r="AJ13" s="95">
        <f ca="1">SUMIFS(FC_DATA!$AC$2:$AC$5000,FC_DATA!$V$2:$V$5000,$I$3,FC_DATA!$W$2:$W$5000,B13,FC_DATA!$X$2:$X$5000,AJ$5,FC_DATA!$Y$2:$Y$5000,AJ$6)</f>
        <v>0</v>
      </c>
      <c r="AK13" s="402"/>
      <c r="AL13" s="205"/>
      <c r="AM13" s="205"/>
      <c r="AN13" s="205"/>
      <c r="AO13" s="205"/>
      <c r="AP13" s="205"/>
      <c r="AQ13" s="564"/>
      <c r="AR13" s="408"/>
      <c r="AS13" s="408"/>
      <c r="AT13" s="408"/>
      <c r="AU13" s="408"/>
      <c r="BH13" s="40"/>
      <c r="BI13" s="40"/>
      <c r="BJ13" s="38"/>
      <c r="BK13" s="38"/>
      <c r="BL13" s="39"/>
      <c r="BM13" s="29"/>
      <c r="BN13" s="29"/>
    </row>
    <row r="14" spans="2:66" x14ac:dyDescent="0.25">
      <c r="B14" s="41" t="str">
        <f>'PIVOT TABLE'!A11</f>
        <v>SHOES</v>
      </c>
      <c r="C14" s="535">
        <f ca="1">SUMIFS(FC_DATA!$AC$2:$AC$5000,FC_DATA!$Y$2:$Y$5000,LT_OVERVIEW!C$6,FC_DATA!$X$2:$X$5000,LT_OVERVIEW!C$5,FC_DATA!$W$2:$W$5000,LT_OVERVIEW!$B14,FC_DATA!$V$2:$V$5000,LT_OVERVIEW!$I$3,FC_DATA!$U$2:$U$5000,LT_OVERVIEW!$B$1)</f>
        <v>0</v>
      </c>
      <c r="D14" s="535">
        <f ca="1">SUMIFS(FC_DATA!$AC$2:$AC$5000,FC_DATA!$Y$2:$Y$5000,LT_OVERVIEW!D$6,FC_DATA!$X$2:$X$5000,LT_OVERVIEW!D$5,FC_DATA!$W$2:$W$5000,LT_OVERVIEW!$B14,FC_DATA!$V$2:$V$5000,LT_OVERVIEW!$I$3,FC_DATA!$U$2:$U$5000,LT_OVERVIEW!$B$1)</f>
        <v>0</v>
      </c>
      <c r="E14" s="535">
        <f ca="1">SUMIFS(FC_DATA!$AC$2:$AC$5000,FC_DATA!$Y$2:$Y$5000,LT_OVERVIEW!E$6,FC_DATA!$X$2:$X$5000,LT_OVERVIEW!E$5,FC_DATA!$W$2:$W$5000,LT_OVERVIEW!$B14,FC_DATA!$V$2:$V$5000,LT_OVERVIEW!$I$3,FC_DATA!$U$2:$U$5000,LT_OVERVIEW!$B$1)</f>
        <v>0</v>
      </c>
      <c r="F14" s="535">
        <f ca="1">SUMIFS(FC_DATA!$AC$2:$AC$5000,FC_DATA!$Y$2:$Y$5000,LT_OVERVIEW!F$6,FC_DATA!$X$2:$X$5000,LT_OVERVIEW!F$5,FC_DATA!$W$2:$W$5000,LT_OVERVIEW!$B14,FC_DATA!$V$2:$V$5000,LT_OVERVIEW!$I$3,FC_DATA!$U$2:$U$5000,LT_OVERVIEW!$B$1)</f>
        <v>0</v>
      </c>
      <c r="G14" s="40"/>
      <c r="H14" s="39" t="str">
        <f t="shared" ca="1" si="20"/>
        <v>-</v>
      </c>
      <c r="I14" s="39" t="str">
        <f t="shared" ca="1" si="21"/>
        <v>-</v>
      </c>
      <c r="J14" s="39" t="str">
        <f t="shared" ca="1" si="22"/>
        <v>-</v>
      </c>
      <c r="K14" s="39" t="str">
        <f t="shared" ca="1" si="23"/>
        <v>-</v>
      </c>
      <c r="L14" s="40"/>
      <c r="M14" s="39" t="str">
        <f t="shared" ca="1" si="24"/>
        <v>-</v>
      </c>
      <c r="N14" s="39" t="str">
        <f t="shared" ca="1" si="25"/>
        <v>-</v>
      </c>
      <c r="O14" s="39" t="str">
        <f t="shared" ca="1" si="26"/>
        <v>-</v>
      </c>
      <c r="P14" s="39" t="str">
        <f t="shared" ca="1" si="27"/>
        <v>-</v>
      </c>
      <c r="Q14" s="38"/>
      <c r="R14" s="39" t="str">
        <f t="shared" ca="1" si="28"/>
        <v>-</v>
      </c>
      <c r="S14" s="39" t="str">
        <f t="shared" ca="1" si="29"/>
        <v>-</v>
      </c>
      <c r="T14" s="39" t="str">
        <f t="shared" ca="1" si="30"/>
        <v>-</v>
      </c>
      <c r="U14" s="39" t="str">
        <f t="shared" ca="1" si="31"/>
        <v>-</v>
      </c>
      <c r="V14" s="39"/>
      <c r="W14" s="39" t="str">
        <f ca="1">IFERROR(VLOOKUP($B$1&amp;$I$3&amp;$B14&amp;W$5&amp;W$6,FC_DATA!$A:$M,10,FALSE),"-")</f>
        <v>-</v>
      </c>
      <c r="X14" s="39" t="str">
        <f ca="1">IFERROR(VLOOKUP($B$1&amp;$I$3&amp;$B14&amp;X$5&amp;X$6,FC_DATA!$A:$M,10,FALSE),"-")</f>
        <v>-</v>
      </c>
      <c r="Y14" s="39" t="str">
        <f ca="1">IFERROR(VLOOKUP($B$1&amp;$I$3&amp;$B14&amp;Y$5&amp;Y$6,FC_DATA!$A:$M,10,FALSE),"-")</f>
        <v>-</v>
      </c>
      <c r="Z14" s="39" t="str">
        <f ca="1">IFERROR(VLOOKUP($B$1&amp;$I$3&amp;$B14&amp;Z$5&amp;Z$6,FC_DATA!$A:$M,10,FALSE),"-")</f>
        <v>-</v>
      </c>
      <c r="AA14" s="39"/>
      <c r="AB14" s="39" t="str">
        <f ca="1">IFERROR(VLOOKUP($B$1&amp;$I$3&amp;$B14&amp;AB$5&amp;AB$6,FC_DATA!$A:$M,13,FALSE),"-")</f>
        <v>-</v>
      </c>
      <c r="AC14" s="39" t="str">
        <f ca="1">IFERROR(VLOOKUP($B$1&amp;$I$3&amp;$B14&amp;AC$5&amp;AC$6,FC_DATA!$A:$M,13,FALSE),"-")</f>
        <v>-</v>
      </c>
      <c r="AD14" s="39" t="str">
        <f ca="1">IFERROR(VLOOKUP($B$1&amp;$I$3&amp;$B14&amp;AD$5&amp;AD$6,FC_DATA!$A:$M,13,FALSE),"-")</f>
        <v>-</v>
      </c>
      <c r="AE14" s="39" t="str">
        <f ca="1">IFERROR(VLOOKUP($B$1&amp;$I$3&amp;$B14&amp;AE$5&amp;AE$6,FC_DATA!$A:$M,13,FALSE),"-")</f>
        <v>-</v>
      </c>
      <c r="AF14" s="38"/>
      <c r="AG14" s="95">
        <f ca="1">SUMIFS(HIS_SALES!$I$2:$I$5129,HIS_SALES!$G$2:$G$5129,LT_OVERVIEW!AG$6,HIS_SALES!$F$2:$F$5129,AG$5,HIS_SALES!$E$2:$E$5129,LT_OVERVIEW!$B14,HIS_SALES!$D$2:$D$5129,LT_OVERVIEW!$I$3,HIS_SALES!$C$2:$C$5129,LT_OVERVIEW!$B$1)</f>
        <v>33577.231200000002</v>
      </c>
      <c r="AH14" s="95">
        <f ca="1">SUMIFS(HIS_SALES!$I$2:$I$5129,HIS_SALES!$G$2:$G$5129,LT_OVERVIEW!AH$6,HIS_SALES!$F$2:$F$5129,AH$5,HIS_SALES!$E$2:$E$5129,LT_OVERVIEW!$B14,HIS_SALES!$D$2:$D$5129,LT_OVERVIEW!$I$3,HIS_SALES!$C$2:$C$5129,LT_OVERVIEW!$B$1)</f>
        <v>55318.762600000002</v>
      </c>
      <c r="AI14" s="95">
        <f ca="1">SUMIFS(HIS_SALES!$I$2:$I$5129,HIS_SALES!$G$2:$G$5129,LT_OVERVIEW!AI$6,HIS_SALES!$F$2:$F$5129,AI$5,HIS_SALES!$E$2:$E$5129,LT_OVERVIEW!$B14,HIS_SALES!$D$2:$D$5129,LT_OVERVIEW!$I$3,HIS_SALES!$C$2:$C$5129,LT_OVERVIEW!$B$1)</f>
        <v>17984.781800000001</v>
      </c>
      <c r="AJ14" s="95">
        <f ca="1">SUMIFS(FC_DATA!$AC$2:$AC$5000,FC_DATA!$V$2:$V$5000,$I$3,FC_DATA!$W$2:$W$5000,B14,FC_DATA!$X$2:$X$5000,AJ$5,FC_DATA!$Y$2:$Y$5000,AJ$6)</f>
        <v>0</v>
      </c>
      <c r="AK14" s="402"/>
      <c r="AL14" s="205"/>
      <c r="AM14" s="205"/>
      <c r="AN14" s="205"/>
      <c r="AO14" s="205"/>
      <c r="AP14" s="205"/>
      <c r="AQ14" s="564"/>
      <c r="AR14" s="408"/>
      <c r="AS14" s="408"/>
      <c r="AT14" s="408"/>
      <c r="AU14" s="408"/>
      <c r="BH14" s="40"/>
      <c r="BI14" s="40"/>
      <c r="BJ14" s="38"/>
      <c r="BK14" s="38"/>
      <c r="BL14" s="39"/>
      <c r="BM14" s="29"/>
      <c r="BN14" s="29"/>
    </row>
    <row r="15" spans="2:66" x14ac:dyDescent="0.25">
      <c r="B15" s="41" t="str">
        <f>'PIVOT TABLE'!A12</f>
        <v>SHORTS</v>
      </c>
      <c r="C15" s="535">
        <f ca="1">SUMIFS(FC_DATA!$AC$2:$AC$5000,FC_DATA!$Y$2:$Y$5000,LT_OVERVIEW!C$6,FC_DATA!$X$2:$X$5000,LT_OVERVIEW!C$5,FC_DATA!$W$2:$W$5000,LT_OVERVIEW!$B15,FC_DATA!$V$2:$V$5000,LT_OVERVIEW!$I$3,FC_DATA!$U$2:$U$5000,LT_OVERVIEW!$B$1)</f>
        <v>0</v>
      </c>
      <c r="D15" s="535">
        <f ca="1">SUMIFS(FC_DATA!$AC$2:$AC$5000,FC_DATA!$Y$2:$Y$5000,LT_OVERVIEW!D$6,FC_DATA!$X$2:$X$5000,LT_OVERVIEW!D$5,FC_DATA!$W$2:$W$5000,LT_OVERVIEW!$B15,FC_DATA!$V$2:$V$5000,LT_OVERVIEW!$I$3,FC_DATA!$U$2:$U$5000,LT_OVERVIEW!$B$1)</f>
        <v>0</v>
      </c>
      <c r="E15" s="535">
        <f ca="1">SUMIFS(FC_DATA!$AC$2:$AC$5000,FC_DATA!$Y$2:$Y$5000,LT_OVERVIEW!E$6,FC_DATA!$X$2:$X$5000,LT_OVERVIEW!E$5,FC_DATA!$W$2:$W$5000,LT_OVERVIEW!$B15,FC_DATA!$V$2:$V$5000,LT_OVERVIEW!$I$3,FC_DATA!$U$2:$U$5000,LT_OVERVIEW!$B$1)</f>
        <v>0</v>
      </c>
      <c r="F15" s="535">
        <f ca="1">SUMIFS(FC_DATA!$AC$2:$AC$5000,FC_DATA!$Y$2:$Y$5000,LT_OVERVIEW!F$6,FC_DATA!$X$2:$X$5000,LT_OVERVIEW!F$5,FC_DATA!$W$2:$W$5000,LT_OVERVIEW!$B15,FC_DATA!$V$2:$V$5000,LT_OVERVIEW!$I$3,FC_DATA!$U$2:$U$5000,LT_OVERVIEW!$B$1)</f>
        <v>0</v>
      </c>
      <c r="G15" s="40"/>
      <c r="H15" s="39" t="str">
        <f t="shared" ca="1" si="20"/>
        <v>-</v>
      </c>
      <c r="I15" s="39" t="str">
        <f t="shared" ca="1" si="21"/>
        <v>-</v>
      </c>
      <c r="J15" s="39" t="str">
        <f t="shared" ca="1" si="22"/>
        <v>-</v>
      </c>
      <c r="K15" s="39" t="str">
        <f t="shared" ca="1" si="23"/>
        <v>-</v>
      </c>
      <c r="L15" s="40"/>
      <c r="M15" s="39" t="str">
        <f t="shared" ca="1" si="24"/>
        <v>-</v>
      </c>
      <c r="N15" s="39" t="str">
        <f t="shared" ca="1" si="25"/>
        <v>-</v>
      </c>
      <c r="O15" s="39" t="str">
        <f t="shared" ca="1" si="26"/>
        <v>-</v>
      </c>
      <c r="P15" s="39" t="str">
        <f t="shared" ca="1" si="27"/>
        <v>-</v>
      </c>
      <c r="Q15" s="38"/>
      <c r="R15" s="39" t="str">
        <f t="shared" ca="1" si="28"/>
        <v>-</v>
      </c>
      <c r="S15" s="39" t="str">
        <f t="shared" ca="1" si="29"/>
        <v>-</v>
      </c>
      <c r="T15" s="39" t="str">
        <f t="shared" ca="1" si="30"/>
        <v>-</v>
      </c>
      <c r="U15" s="39" t="str">
        <f t="shared" ca="1" si="31"/>
        <v>-</v>
      </c>
      <c r="V15" s="39"/>
      <c r="W15" s="39" t="str">
        <f ca="1">IFERROR(VLOOKUP($B$1&amp;$I$3&amp;$B15&amp;W$5&amp;W$6,FC_DATA!$A:$M,10,FALSE),"-")</f>
        <v>-</v>
      </c>
      <c r="X15" s="39" t="str">
        <f ca="1">IFERROR(VLOOKUP($B$1&amp;$I$3&amp;$B15&amp;X$5&amp;X$6,FC_DATA!$A:$M,10,FALSE),"-")</f>
        <v>-</v>
      </c>
      <c r="Y15" s="39" t="str">
        <f ca="1">IFERROR(VLOOKUP($B$1&amp;$I$3&amp;$B15&amp;Y$5&amp;Y$6,FC_DATA!$A:$M,10,FALSE),"-")</f>
        <v>-</v>
      </c>
      <c r="Z15" s="39" t="str">
        <f ca="1">IFERROR(VLOOKUP($B$1&amp;$I$3&amp;$B15&amp;Z$5&amp;Z$6,FC_DATA!$A:$M,10,FALSE),"-")</f>
        <v>-</v>
      </c>
      <c r="AA15" s="39"/>
      <c r="AB15" s="39" t="str">
        <f ca="1">IFERROR(VLOOKUP($B$1&amp;$I$3&amp;$B15&amp;AB$5&amp;AB$6,FC_DATA!$A:$M,13,FALSE),"-")</f>
        <v>-</v>
      </c>
      <c r="AC15" s="39" t="str">
        <f ca="1">IFERROR(VLOOKUP($B$1&amp;$I$3&amp;$B15&amp;AC$5&amp;AC$6,FC_DATA!$A:$M,13,FALSE),"-")</f>
        <v>-</v>
      </c>
      <c r="AD15" s="39" t="str">
        <f ca="1">IFERROR(VLOOKUP($B$1&amp;$I$3&amp;$B15&amp;AD$5&amp;AD$6,FC_DATA!$A:$M,13,FALSE),"-")</f>
        <v>-</v>
      </c>
      <c r="AE15" s="39" t="str">
        <f ca="1">IFERROR(VLOOKUP($B$1&amp;$I$3&amp;$B15&amp;AE$5&amp;AE$6,FC_DATA!$A:$M,13,FALSE),"-")</f>
        <v>-</v>
      </c>
      <c r="AF15" s="38"/>
      <c r="AG15" s="95">
        <f ca="1">SUMIFS(HIS_SALES!$I$2:$I$5129,HIS_SALES!$G$2:$G$5129,LT_OVERVIEW!AG$6,HIS_SALES!$F$2:$F$5129,AG$5,HIS_SALES!$E$2:$E$5129,LT_OVERVIEW!$B15,HIS_SALES!$D$2:$D$5129,LT_OVERVIEW!$I$3,HIS_SALES!$C$2:$C$5129,LT_OVERVIEW!$B$1)</f>
        <v>332859.78189999936</v>
      </c>
      <c r="AH15" s="95">
        <f ca="1">SUMIFS(HIS_SALES!$I$2:$I$5129,HIS_SALES!$G$2:$G$5129,LT_OVERVIEW!AH$6,HIS_SALES!$F$2:$F$5129,AH$5,HIS_SALES!$E$2:$E$5129,LT_OVERVIEW!$B15,HIS_SALES!$D$2:$D$5129,LT_OVERVIEW!$I$3,HIS_SALES!$C$2:$C$5129,LT_OVERVIEW!$B$1)</f>
        <v>35256.524400000002</v>
      </c>
      <c r="AI15" s="95">
        <f ca="1">SUMIFS(HIS_SALES!$I$2:$I$5129,HIS_SALES!$G$2:$G$5129,LT_OVERVIEW!AI$6,HIS_SALES!$F$2:$F$5129,AI$5,HIS_SALES!$E$2:$E$5129,LT_OVERVIEW!$B15,HIS_SALES!$D$2:$D$5129,LT_OVERVIEW!$I$3,HIS_SALES!$C$2:$C$5129,LT_OVERVIEW!$B$1)</f>
        <v>1138.1600000000001</v>
      </c>
      <c r="AJ15" s="95">
        <f ca="1">SUMIFS(FC_DATA!$AC$2:$AC$5000,FC_DATA!$V$2:$V$5000,$I$3,FC_DATA!$W$2:$W$5000,B15,FC_DATA!$X$2:$X$5000,AJ$5,FC_DATA!$Y$2:$Y$5000,AJ$6)</f>
        <v>0</v>
      </c>
      <c r="AK15" s="402"/>
      <c r="AL15" s="205"/>
      <c r="AM15" s="205"/>
      <c r="AN15" s="205"/>
      <c r="AO15" s="205"/>
      <c r="AP15" s="205"/>
      <c r="AQ15" s="564"/>
      <c r="AR15" s="408"/>
      <c r="AS15" s="408"/>
      <c r="AT15" s="408"/>
      <c r="AU15" s="408"/>
      <c r="BH15" s="40"/>
      <c r="BI15" s="40"/>
      <c r="BJ15" s="38"/>
      <c r="BK15" s="38"/>
      <c r="BL15" s="39"/>
      <c r="BM15" s="29"/>
      <c r="BN15" s="29"/>
    </row>
    <row r="16" spans="2:66" x14ac:dyDescent="0.25">
      <c r="B16" s="41" t="str">
        <f>'PIVOT TABLE'!A13</f>
        <v>SKIRTS</v>
      </c>
      <c r="C16" s="535">
        <f ca="1">SUMIFS(FC_DATA!$AC$2:$AC$5000,FC_DATA!$Y$2:$Y$5000,LT_OVERVIEW!C$6,FC_DATA!$X$2:$X$5000,LT_OVERVIEW!C$5,FC_DATA!$W$2:$W$5000,LT_OVERVIEW!$B16,FC_DATA!$V$2:$V$5000,LT_OVERVIEW!$I$3,FC_DATA!$U$2:$U$5000,LT_OVERVIEW!$B$1)</f>
        <v>0</v>
      </c>
      <c r="D16" s="535">
        <f ca="1">SUMIFS(FC_DATA!$AC$2:$AC$5000,FC_DATA!$Y$2:$Y$5000,LT_OVERVIEW!D$6,FC_DATA!$X$2:$X$5000,LT_OVERVIEW!D$5,FC_DATA!$W$2:$W$5000,LT_OVERVIEW!$B16,FC_DATA!$V$2:$V$5000,LT_OVERVIEW!$I$3,FC_DATA!$U$2:$U$5000,LT_OVERVIEW!$B$1)</f>
        <v>0</v>
      </c>
      <c r="E16" s="535">
        <f ca="1">SUMIFS(FC_DATA!$AC$2:$AC$5000,FC_DATA!$Y$2:$Y$5000,LT_OVERVIEW!E$6,FC_DATA!$X$2:$X$5000,LT_OVERVIEW!E$5,FC_DATA!$W$2:$W$5000,LT_OVERVIEW!$B16,FC_DATA!$V$2:$V$5000,LT_OVERVIEW!$I$3,FC_DATA!$U$2:$U$5000,LT_OVERVIEW!$B$1)</f>
        <v>0</v>
      </c>
      <c r="F16" s="535">
        <f ca="1">SUMIFS(FC_DATA!$AC$2:$AC$5000,FC_DATA!$Y$2:$Y$5000,LT_OVERVIEW!F$6,FC_DATA!$X$2:$X$5000,LT_OVERVIEW!F$5,FC_DATA!$W$2:$W$5000,LT_OVERVIEW!$B16,FC_DATA!$V$2:$V$5000,LT_OVERVIEW!$I$3,FC_DATA!$U$2:$U$5000,LT_OVERVIEW!$B$1)</f>
        <v>0</v>
      </c>
      <c r="G16" s="40"/>
      <c r="H16" s="39" t="str">
        <f t="shared" ca="1" si="20"/>
        <v>-</v>
      </c>
      <c r="I16" s="39" t="str">
        <f t="shared" ca="1" si="21"/>
        <v>-</v>
      </c>
      <c r="J16" s="39" t="str">
        <f t="shared" ca="1" si="22"/>
        <v>-</v>
      </c>
      <c r="K16" s="39" t="str">
        <f t="shared" ca="1" si="23"/>
        <v>-</v>
      </c>
      <c r="L16" s="40"/>
      <c r="M16" s="39" t="str">
        <f t="shared" ca="1" si="24"/>
        <v>-</v>
      </c>
      <c r="N16" s="39" t="str">
        <f t="shared" ca="1" si="25"/>
        <v>-</v>
      </c>
      <c r="O16" s="39" t="str">
        <f t="shared" ca="1" si="26"/>
        <v>-</v>
      </c>
      <c r="P16" s="39" t="str">
        <f t="shared" ca="1" si="27"/>
        <v>-</v>
      </c>
      <c r="Q16" s="38"/>
      <c r="R16" s="39" t="str">
        <f t="shared" ca="1" si="28"/>
        <v>-</v>
      </c>
      <c r="S16" s="39" t="str">
        <f t="shared" ca="1" si="29"/>
        <v>-</v>
      </c>
      <c r="T16" s="39" t="str">
        <f t="shared" ca="1" si="30"/>
        <v>-</v>
      </c>
      <c r="U16" s="39" t="str">
        <f t="shared" ca="1" si="31"/>
        <v>-</v>
      </c>
      <c r="V16" s="39"/>
      <c r="W16" s="39" t="str">
        <f ca="1">IFERROR(VLOOKUP($B$1&amp;$I$3&amp;$B16&amp;W$5&amp;W$6,FC_DATA!$A:$M,10,FALSE),"-")</f>
        <v>-</v>
      </c>
      <c r="X16" s="39" t="str">
        <f ca="1">IFERROR(VLOOKUP($B$1&amp;$I$3&amp;$B16&amp;X$5&amp;X$6,FC_DATA!$A:$M,10,FALSE),"-")</f>
        <v>-</v>
      </c>
      <c r="Y16" s="39" t="str">
        <f ca="1">IFERROR(VLOOKUP($B$1&amp;$I$3&amp;$B16&amp;Y$5&amp;Y$6,FC_DATA!$A:$M,10,FALSE),"-")</f>
        <v>-</v>
      </c>
      <c r="Z16" s="39" t="str">
        <f ca="1">IFERROR(VLOOKUP($B$1&amp;$I$3&amp;$B16&amp;Z$5&amp;Z$6,FC_DATA!$A:$M,10,FALSE),"-")</f>
        <v>-</v>
      </c>
      <c r="AA16" s="39"/>
      <c r="AB16" s="39" t="str">
        <f ca="1">IFERROR(VLOOKUP($B$1&amp;$I$3&amp;$B16&amp;AB$5&amp;AB$6,FC_DATA!$A:$M,13,FALSE),"-")</f>
        <v>-</v>
      </c>
      <c r="AC16" s="39" t="str">
        <f ca="1">IFERROR(VLOOKUP($B$1&amp;$I$3&amp;$B16&amp;AC$5&amp;AC$6,FC_DATA!$A:$M,13,FALSE),"-")</f>
        <v>-</v>
      </c>
      <c r="AD16" s="39" t="str">
        <f ca="1">IFERROR(VLOOKUP($B$1&amp;$I$3&amp;$B16&amp;AD$5&amp;AD$6,FC_DATA!$A:$M,13,FALSE),"-")</f>
        <v>-</v>
      </c>
      <c r="AE16" s="39" t="str">
        <f ca="1">IFERROR(VLOOKUP($B$1&amp;$I$3&amp;$B16&amp;AE$5&amp;AE$6,FC_DATA!$A:$M,13,FALSE),"-")</f>
        <v>-</v>
      </c>
      <c r="AF16" s="38"/>
      <c r="AG16" s="95">
        <f ca="1">SUMIFS(HIS_SALES!$I$2:$I$5129,HIS_SALES!$G$2:$G$5129,LT_OVERVIEW!AG$6,HIS_SALES!$F$2:$F$5129,AG$5,HIS_SALES!$E$2:$E$5129,LT_OVERVIEW!$B16,HIS_SALES!$D$2:$D$5129,LT_OVERVIEW!$I$3,HIS_SALES!$C$2:$C$5129,LT_OVERVIEW!$B$1)</f>
        <v>309698.02780000039</v>
      </c>
      <c r="AH16" s="95">
        <f ca="1">SUMIFS(HIS_SALES!$I$2:$I$5129,HIS_SALES!$G$2:$G$5129,LT_OVERVIEW!AH$6,HIS_SALES!$F$2:$F$5129,AH$5,HIS_SALES!$E$2:$E$5129,LT_OVERVIEW!$B16,HIS_SALES!$D$2:$D$5129,LT_OVERVIEW!$I$3,HIS_SALES!$C$2:$C$5129,LT_OVERVIEW!$B$1)</f>
        <v>303307.87190000241</v>
      </c>
      <c r="AI16" s="95">
        <f ca="1">SUMIFS(HIS_SALES!$I$2:$I$5129,HIS_SALES!$G$2:$G$5129,LT_OVERVIEW!AI$6,HIS_SALES!$F$2:$F$5129,AI$5,HIS_SALES!$E$2:$E$5129,LT_OVERVIEW!$B16,HIS_SALES!$D$2:$D$5129,LT_OVERVIEW!$I$3,HIS_SALES!$C$2:$C$5129,LT_OVERVIEW!$B$1)</f>
        <v>144902.03720000002</v>
      </c>
      <c r="AJ16" s="95">
        <f ca="1">SUMIFS(FC_DATA!$AC$2:$AC$5000,FC_DATA!$V$2:$V$5000,$I$3,FC_DATA!$W$2:$W$5000,B16,FC_DATA!$X$2:$X$5000,AJ$5,FC_DATA!$Y$2:$Y$5000,AJ$6)</f>
        <v>0</v>
      </c>
      <c r="AK16" s="402"/>
      <c r="AL16" s="205"/>
      <c r="AM16" s="205"/>
      <c r="AN16" s="205"/>
      <c r="AO16" s="205"/>
      <c r="AP16" s="205"/>
      <c r="AQ16" s="564"/>
      <c r="AR16" s="408"/>
      <c r="AS16" s="408"/>
      <c r="AT16" s="408"/>
      <c r="AU16" s="408"/>
      <c r="BH16" s="40"/>
      <c r="BI16" s="40"/>
      <c r="BJ16" s="38"/>
      <c r="BK16" s="38"/>
      <c r="BL16" s="39"/>
      <c r="BM16" s="29"/>
      <c r="BN16" s="29"/>
    </row>
    <row r="17" spans="2:66" x14ac:dyDescent="0.25">
      <c r="B17" s="41" t="str">
        <f>'PIVOT TABLE'!A14</f>
        <v>SWEAT</v>
      </c>
      <c r="C17" s="535">
        <f ca="1">SUMIFS(FC_DATA!$AC$2:$AC$5000,FC_DATA!$Y$2:$Y$5000,LT_OVERVIEW!C$6,FC_DATA!$X$2:$X$5000,LT_OVERVIEW!C$5,FC_DATA!$W$2:$W$5000,LT_OVERVIEW!$B17,FC_DATA!$V$2:$V$5000,LT_OVERVIEW!$I$3,FC_DATA!$U$2:$U$5000,LT_OVERVIEW!$B$1)</f>
        <v>0</v>
      </c>
      <c r="D17" s="535">
        <f ca="1">SUMIFS(FC_DATA!$AC$2:$AC$5000,FC_DATA!$Y$2:$Y$5000,LT_OVERVIEW!D$6,FC_DATA!$X$2:$X$5000,LT_OVERVIEW!D$5,FC_DATA!$W$2:$W$5000,LT_OVERVIEW!$B17,FC_DATA!$V$2:$V$5000,LT_OVERVIEW!$I$3,FC_DATA!$U$2:$U$5000,LT_OVERVIEW!$B$1)</f>
        <v>0</v>
      </c>
      <c r="E17" s="535">
        <f ca="1">SUMIFS(FC_DATA!$AC$2:$AC$5000,FC_DATA!$Y$2:$Y$5000,LT_OVERVIEW!E$6,FC_DATA!$X$2:$X$5000,LT_OVERVIEW!E$5,FC_DATA!$W$2:$W$5000,LT_OVERVIEW!$B17,FC_DATA!$V$2:$V$5000,LT_OVERVIEW!$I$3,FC_DATA!$U$2:$U$5000,LT_OVERVIEW!$B$1)</f>
        <v>0</v>
      </c>
      <c r="F17" s="535">
        <f ca="1">SUMIFS(FC_DATA!$AC$2:$AC$5000,FC_DATA!$Y$2:$Y$5000,LT_OVERVIEW!F$6,FC_DATA!$X$2:$X$5000,LT_OVERVIEW!F$5,FC_DATA!$W$2:$W$5000,LT_OVERVIEW!$B17,FC_DATA!$V$2:$V$5000,LT_OVERVIEW!$I$3,FC_DATA!$U$2:$U$5000,LT_OVERVIEW!$B$1)</f>
        <v>0</v>
      </c>
      <c r="G17" s="40"/>
      <c r="H17" s="39" t="str">
        <f t="shared" ca="1" si="20"/>
        <v>-</v>
      </c>
      <c r="I17" s="39" t="str">
        <f t="shared" ca="1" si="21"/>
        <v>-</v>
      </c>
      <c r="J17" s="39" t="str">
        <f t="shared" ca="1" si="22"/>
        <v>-</v>
      </c>
      <c r="K17" s="39" t="str">
        <f t="shared" ca="1" si="23"/>
        <v>-</v>
      </c>
      <c r="L17" s="40"/>
      <c r="M17" s="39" t="str">
        <f t="shared" ca="1" si="24"/>
        <v>-</v>
      </c>
      <c r="N17" s="39" t="str">
        <f t="shared" ca="1" si="25"/>
        <v>-</v>
      </c>
      <c r="O17" s="39" t="str">
        <f t="shared" ca="1" si="26"/>
        <v>-</v>
      </c>
      <c r="P17" s="39" t="str">
        <f t="shared" ca="1" si="27"/>
        <v>-</v>
      </c>
      <c r="Q17" s="38"/>
      <c r="R17" s="39" t="str">
        <f t="shared" ca="1" si="28"/>
        <v>-</v>
      </c>
      <c r="S17" s="39" t="str">
        <f t="shared" ca="1" si="29"/>
        <v>-</v>
      </c>
      <c r="T17" s="39" t="str">
        <f t="shared" ca="1" si="30"/>
        <v>-</v>
      </c>
      <c r="U17" s="39" t="str">
        <f t="shared" ca="1" si="31"/>
        <v>-</v>
      </c>
      <c r="V17" s="39"/>
      <c r="W17" s="39" t="str">
        <f ca="1">IFERROR(VLOOKUP($B$1&amp;$I$3&amp;$B17&amp;W$5&amp;W$6,FC_DATA!$A:$M,10,FALSE),"-")</f>
        <v>-</v>
      </c>
      <c r="X17" s="39" t="str">
        <f ca="1">IFERROR(VLOOKUP($B$1&amp;$I$3&amp;$B17&amp;X$5&amp;X$6,FC_DATA!$A:$M,10,FALSE),"-")</f>
        <v>-</v>
      </c>
      <c r="Y17" s="39" t="str">
        <f ca="1">IFERROR(VLOOKUP($B$1&amp;$I$3&amp;$B17&amp;Y$5&amp;Y$6,FC_DATA!$A:$M,10,FALSE),"-")</f>
        <v>-</v>
      </c>
      <c r="Z17" s="39" t="str">
        <f ca="1">IFERROR(VLOOKUP($B$1&amp;$I$3&amp;$B17&amp;Z$5&amp;Z$6,FC_DATA!$A:$M,10,FALSE),"-")</f>
        <v>-</v>
      </c>
      <c r="AA17" s="39"/>
      <c r="AB17" s="39" t="str">
        <f ca="1">IFERROR(VLOOKUP($B$1&amp;$I$3&amp;$B17&amp;AB$5&amp;AB$6,FC_DATA!$A:$M,13,FALSE),"-")</f>
        <v>-</v>
      </c>
      <c r="AC17" s="39" t="str">
        <f ca="1">IFERROR(VLOOKUP($B$1&amp;$I$3&amp;$B17&amp;AC$5&amp;AC$6,FC_DATA!$A:$M,13,FALSE),"-")</f>
        <v>-</v>
      </c>
      <c r="AD17" s="39" t="str">
        <f ca="1">IFERROR(VLOOKUP($B$1&amp;$I$3&amp;$B17&amp;AD$5&amp;AD$6,FC_DATA!$A:$M,13,FALSE),"-")</f>
        <v>-</v>
      </c>
      <c r="AE17" s="39" t="str">
        <f ca="1">IFERROR(VLOOKUP($B$1&amp;$I$3&amp;$B17&amp;AE$5&amp;AE$6,FC_DATA!$A:$M,13,FALSE),"-")</f>
        <v>-</v>
      </c>
      <c r="AF17" s="38"/>
      <c r="AG17" s="95">
        <f ca="1">SUMIFS(HIS_SALES!$I$2:$I$5129,HIS_SALES!$G$2:$G$5129,LT_OVERVIEW!AG$6,HIS_SALES!$F$2:$F$5129,AG$5,HIS_SALES!$E$2:$E$5129,LT_OVERVIEW!$B17,HIS_SALES!$D$2:$D$5129,LT_OVERVIEW!$I$3,HIS_SALES!$C$2:$C$5129,LT_OVERVIEW!$B$1)</f>
        <v>41233.453399999999</v>
      </c>
      <c r="AH17" s="95">
        <f ca="1">SUMIFS(HIS_SALES!$I$2:$I$5129,HIS_SALES!$G$2:$G$5129,LT_OVERVIEW!AH$6,HIS_SALES!$F$2:$F$5129,AH$5,HIS_SALES!$E$2:$E$5129,LT_OVERVIEW!$B17,HIS_SALES!$D$2:$D$5129,LT_OVERVIEW!$I$3,HIS_SALES!$C$2:$C$5129,LT_OVERVIEW!$B$1)</f>
        <v>52911.989000000001</v>
      </c>
      <c r="AI17" s="95">
        <f ca="1">SUMIFS(HIS_SALES!$I$2:$I$5129,HIS_SALES!$G$2:$G$5129,LT_OVERVIEW!AI$6,HIS_SALES!$F$2:$F$5129,AI$5,HIS_SALES!$E$2:$E$5129,LT_OVERVIEW!$B17,HIS_SALES!$D$2:$D$5129,LT_OVERVIEW!$I$3,HIS_SALES!$C$2:$C$5129,LT_OVERVIEW!$B$1)</f>
        <v>17376.406200000001</v>
      </c>
      <c r="AJ17" s="95">
        <f ca="1">SUMIFS(FC_DATA!$AC$2:$AC$5000,FC_DATA!$V$2:$V$5000,$I$3,FC_DATA!$W$2:$W$5000,B17,FC_DATA!$X$2:$X$5000,AJ$5,FC_DATA!$Y$2:$Y$5000,AJ$6)</f>
        <v>0</v>
      </c>
      <c r="AK17" s="402"/>
      <c r="AL17" s="205"/>
      <c r="AM17" s="205"/>
      <c r="AN17" s="205"/>
      <c r="AO17" s="205"/>
      <c r="AP17" s="205"/>
      <c r="AQ17" s="564"/>
      <c r="AR17" s="408"/>
      <c r="AS17" s="408"/>
      <c r="AT17" s="408"/>
      <c r="AU17" s="408"/>
      <c r="BH17" s="40"/>
      <c r="BI17" s="40"/>
      <c r="BJ17" s="38"/>
      <c r="BK17" s="38"/>
      <c r="BL17" s="39"/>
      <c r="BM17" s="29"/>
      <c r="BN17" s="29"/>
    </row>
    <row r="18" spans="2:66" x14ac:dyDescent="0.25">
      <c r="B18" s="41" t="str">
        <f>'PIVOT TABLE'!A15</f>
        <v>TAILORING</v>
      </c>
      <c r="C18" s="535">
        <f ca="1">SUMIFS(FC_DATA!$AC$2:$AC$5000,FC_DATA!$Y$2:$Y$5000,LT_OVERVIEW!C$6,FC_DATA!$X$2:$X$5000,LT_OVERVIEW!C$5,FC_DATA!$W$2:$W$5000,LT_OVERVIEW!$B18,FC_DATA!$V$2:$V$5000,LT_OVERVIEW!$I$3,FC_DATA!$U$2:$U$5000,LT_OVERVIEW!$B$1)</f>
        <v>0</v>
      </c>
      <c r="D18" s="535">
        <f ca="1">SUMIFS(FC_DATA!$AC$2:$AC$5000,FC_DATA!$Y$2:$Y$5000,LT_OVERVIEW!D$6,FC_DATA!$X$2:$X$5000,LT_OVERVIEW!D$5,FC_DATA!$W$2:$W$5000,LT_OVERVIEW!$B18,FC_DATA!$V$2:$V$5000,LT_OVERVIEW!$I$3,FC_DATA!$U$2:$U$5000,LT_OVERVIEW!$B$1)</f>
        <v>0</v>
      </c>
      <c r="E18" s="535">
        <f ca="1">SUMIFS(FC_DATA!$AC$2:$AC$5000,FC_DATA!$Y$2:$Y$5000,LT_OVERVIEW!E$6,FC_DATA!$X$2:$X$5000,LT_OVERVIEW!E$5,FC_DATA!$W$2:$W$5000,LT_OVERVIEW!$B18,FC_DATA!$V$2:$V$5000,LT_OVERVIEW!$I$3,FC_DATA!$U$2:$U$5000,LT_OVERVIEW!$B$1)</f>
        <v>0</v>
      </c>
      <c r="F18" s="535">
        <f ca="1">SUMIFS(FC_DATA!$AC$2:$AC$5000,FC_DATA!$Y$2:$Y$5000,LT_OVERVIEW!F$6,FC_DATA!$X$2:$X$5000,LT_OVERVIEW!F$5,FC_DATA!$W$2:$W$5000,LT_OVERVIEW!$B18,FC_DATA!$V$2:$V$5000,LT_OVERVIEW!$I$3,FC_DATA!$U$2:$U$5000,LT_OVERVIEW!$B$1)</f>
        <v>0</v>
      </c>
      <c r="G18" s="40"/>
      <c r="H18" s="39" t="str">
        <f t="shared" ca="1" si="20"/>
        <v>-</v>
      </c>
      <c r="I18" s="39" t="str">
        <f t="shared" ca="1" si="21"/>
        <v>-</v>
      </c>
      <c r="J18" s="39" t="str">
        <f t="shared" ca="1" si="22"/>
        <v>-</v>
      </c>
      <c r="K18" s="39" t="str">
        <f t="shared" ca="1" si="23"/>
        <v>-</v>
      </c>
      <c r="L18" s="40"/>
      <c r="M18" s="39" t="str">
        <f t="shared" ca="1" si="24"/>
        <v>-</v>
      </c>
      <c r="N18" s="39" t="str">
        <f t="shared" ca="1" si="25"/>
        <v>-</v>
      </c>
      <c r="O18" s="39" t="str">
        <f t="shared" ca="1" si="26"/>
        <v>-</v>
      </c>
      <c r="P18" s="39" t="str">
        <f t="shared" ca="1" si="27"/>
        <v>-</v>
      </c>
      <c r="Q18" s="38"/>
      <c r="R18" s="39" t="str">
        <f t="shared" ca="1" si="28"/>
        <v>-</v>
      </c>
      <c r="S18" s="39" t="str">
        <f t="shared" ca="1" si="29"/>
        <v>-</v>
      </c>
      <c r="T18" s="39" t="str">
        <f t="shared" ca="1" si="30"/>
        <v>-</v>
      </c>
      <c r="U18" s="39" t="str">
        <f t="shared" ca="1" si="31"/>
        <v>-</v>
      </c>
      <c r="V18" s="39"/>
      <c r="W18" s="39" t="str">
        <f ca="1">IFERROR(VLOOKUP($B$1&amp;$I$3&amp;$B18&amp;W$5&amp;W$6,FC_DATA!$A:$M,10,FALSE),"-")</f>
        <v>-</v>
      </c>
      <c r="X18" s="39" t="str">
        <f ca="1">IFERROR(VLOOKUP($B$1&amp;$I$3&amp;$B18&amp;X$5&amp;X$6,FC_DATA!$A:$M,10,FALSE),"-")</f>
        <v>-</v>
      </c>
      <c r="Y18" s="39" t="str">
        <f ca="1">IFERROR(VLOOKUP($B$1&amp;$I$3&amp;$B18&amp;Y$5&amp;Y$6,FC_DATA!$A:$M,10,FALSE),"-")</f>
        <v>-</v>
      </c>
      <c r="Z18" s="39" t="str">
        <f ca="1">IFERROR(VLOOKUP($B$1&amp;$I$3&amp;$B18&amp;Z$5&amp;Z$6,FC_DATA!$A:$M,10,FALSE),"-")</f>
        <v>-</v>
      </c>
      <c r="AA18" s="39"/>
      <c r="AB18" s="39" t="str">
        <f ca="1">IFERROR(VLOOKUP($B$1&amp;$I$3&amp;$B18&amp;AB$5&amp;AB$6,FC_DATA!$A:$M,13,FALSE),"-")</f>
        <v>-</v>
      </c>
      <c r="AC18" s="39" t="str">
        <f ca="1">IFERROR(VLOOKUP($B$1&amp;$I$3&amp;$B18&amp;AC$5&amp;AC$6,FC_DATA!$A:$M,13,FALSE),"-")</f>
        <v>-</v>
      </c>
      <c r="AD18" s="39" t="str">
        <f ca="1">IFERROR(VLOOKUP($B$1&amp;$I$3&amp;$B18&amp;AD$5&amp;AD$6,FC_DATA!$A:$M,13,FALSE),"-")</f>
        <v>-</v>
      </c>
      <c r="AE18" s="39" t="str">
        <f ca="1">IFERROR(VLOOKUP($B$1&amp;$I$3&amp;$B18&amp;AE$5&amp;AE$6,FC_DATA!$A:$M,13,FALSE),"-")</f>
        <v>-</v>
      </c>
      <c r="AF18" s="38"/>
      <c r="AG18" s="95">
        <f ca="1">SUMIFS(HIS_SALES!$I$2:$I$5129,HIS_SALES!$G$2:$G$5129,LT_OVERVIEW!AG$6,HIS_SALES!$F$2:$F$5129,AG$5,HIS_SALES!$E$2:$E$5129,LT_OVERVIEW!$B18,HIS_SALES!$D$2:$D$5129,LT_OVERVIEW!$I$3,HIS_SALES!$C$2:$C$5129,LT_OVERVIEW!$B$1)</f>
        <v>314571.13300000032</v>
      </c>
      <c r="AH18" s="95">
        <f ca="1">SUMIFS(HIS_SALES!$I$2:$I$5129,HIS_SALES!$G$2:$G$5129,LT_OVERVIEW!AH$6,HIS_SALES!$F$2:$F$5129,AH$5,HIS_SALES!$E$2:$E$5129,LT_OVERVIEW!$B18,HIS_SALES!$D$2:$D$5129,LT_OVERVIEW!$I$3,HIS_SALES!$C$2:$C$5129,LT_OVERVIEW!$B$1)</f>
        <v>343688.70460000122</v>
      </c>
      <c r="AI18" s="95">
        <f ca="1">SUMIFS(HIS_SALES!$I$2:$I$5129,HIS_SALES!$G$2:$G$5129,LT_OVERVIEW!AI$6,HIS_SALES!$F$2:$F$5129,AI$5,HIS_SALES!$E$2:$E$5129,LT_OVERVIEW!$B18,HIS_SALES!$D$2:$D$5129,LT_OVERVIEW!$I$3,HIS_SALES!$C$2:$C$5129,LT_OVERVIEW!$B$1)</f>
        <v>115946.31300000101</v>
      </c>
      <c r="AJ18" s="95">
        <f ca="1">SUMIFS(FC_DATA!$AC$2:$AC$5000,FC_DATA!$V$2:$V$5000,$I$3,FC_DATA!$W$2:$W$5000,B18,FC_DATA!$X$2:$X$5000,AJ$5,FC_DATA!$Y$2:$Y$5000,AJ$6)</f>
        <v>0</v>
      </c>
      <c r="AK18" s="402"/>
      <c r="AL18" s="205"/>
      <c r="AM18" s="205"/>
      <c r="AN18" s="205"/>
      <c r="AO18" s="205"/>
      <c r="AP18" s="205"/>
      <c r="AQ18" s="564"/>
      <c r="AR18" s="408"/>
      <c r="AS18" s="408"/>
      <c r="AT18" s="408"/>
      <c r="AU18" s="408"/>
      <c r="BH18" s="40"/>
      <c r="BI18" s="40"/>
      <c r="BJ18" s="38"/>
      <c r="BK18" s="38"/>
      <c r="BL18" s="39"/>
      <c r="BM18" s="29"/>
      <c r="BN18" s="29"/>
    </row>
    <row r="19" spans="2:66" x14ac:dyDescent="0.25">
      <c r="B19" s="41" t="str">
        <f>'PIVOT TABLE'!A16</f>
        <v>TOPS</v>
      </c>
      <c r="C19" s="535">
        <f ca="1">SUMIFS(FC_DATA!$AC$2:$AC$5000,FC_DATA!$Y$2:$Y$5000,LT_OVERVIEW!C$6,FC_DATA!$X$2:$X$5000,LT_OVERVIEW!C$5,FC_DATA!$W$2:$W$5000,LT_OVERVIEW!$B19,FC_DATA!$V$2:$V$5000,LT_OVERVIEW!$I$3,FC_DATA!$U$2:$U$5000,LT_OVERVIEW!$B$1)</f>
        <v>0</v>
      </c>
      <c r="D19" s="535">
        <f ca="1">SUMIFS(FC_DATA!$AC$2:$AC$5000,FC_DATA!$Y$2:$Y$5000,LT_OVERVIEW!D$6,FC_DATA!$X$2:$X$5000,LT_OVERVIEW!D$5,FC_DATA!$W$2:$W$5000,LT_OVERVIEW!$B19,FC_DATA!$V$2:$V$5000,LT_OVERVIEW!$I$3,FC_DATA!$U$2:$U$5000,LT_OVERVIEW!$B$1)</f>
        <v>0</v>
      </c>
      <c r="E19" s="535">
        <f ca="1">SUMIFS(FC_DATA!$AC$2:$AC$5000,FC_DATA!$Y$2:$Y$5000,LT_OVERVIEW!E$6,FC_DATA!$X$2:$X$5000,LT_OVERVIEW!E$5,FC_DATA!$W$2:$W$5000,LT_OVERVIEW!$B19,FC_DATA!$V$2:$V$5000,LT_OVERVIEW!$I$3,FC_DATA!$U$2:$U$5000,LT_OVERVIEW!$B$1)</f>
        <v>0</v>
      </c>
      <c r="F19" s="535">
        <f ca="1">SUMIFS(FC_DATA!$AC$2:$AC$5000,FC_DATA!$Y$2:$Y$5000,LT_OVERVIEW!F$6,FC_DATA!$X$2:$X$5000,LT_OVERVIEW!F$5,FC_DATA!$W$2:$W$5000,LT_OVERVIEW!$B19,FC_DATA!$V$2:$V$5000,LT_OVERVIEW!$I$3,FC_DATA!$U$2:$U$5000,LT_OVERVIEW!$B$1)</f>
        <v>0</v>
      </c>
      <c r="G19" s="40"/>
      <c r="H19" s="39" t="str">
        <f t="shared" ca="1" si="20"/>
        <v>-</v>
      </c>
      <c r="I19" s="39" t="str">
        <f t="shared" ca="1" si="21"/>
        <v>-</v>
      </c>
      <c r="J19" s="39" t="str">
        <f t="shared" ca="1" si="22"/>
        <v>-</v>
      </c>
      <c r="K19" s="39" t="str">
        <f t="shared" ca="1" si="23"/>
        <v>-</v>
      </c>
      <c r="L19" s="40"/>
      <c r="M19" s="39" t="str">
        <f t="shared" ca="1" si="24"/>
        <v>-</v>
      </c>
      <c r="N19" s="39" t="str">
        <f t="shared" ca="1" si="25"/>
        <v>-</v>
      </c>
      <c r="O19" s="39" t="str">
        <f t="shared" ca="1" si="26"/>
        <v>-</v>
      </c>
      <c r="P19" s="39" t="str">
        <f t="shared" ca="1" si="27"/>
        <v>-</v>
      </c>
      <c r="Q19" s="38"/>
      <c r="R19" s="39" t="str">
        <f t="shared" ca="1" si="28"/>
        <v>-</v>
      </c>
      <c r="S19" s="39" t="str">
        <f t="shared" ca="1" si="29"/>
        <v>-</v>
      </c>
      <c r="T19" s="39" t="str">
        <f t="shared" ca="1" si="30"/>
        <v>-</v>
      </c>
      <c r="U19" s="39" t="str">
        <f t="shared" ca="1" si="31"/>
        <v>-</v>
      </c>
      <c r="V19" s="39"/>
      <c r="W19" s="39" t="str">
        <f ca="1">IFERROR(VLOOKUP($B$1&amp;$I$3&amp;$B19&amp;W$5&amp;W$6,FC_DATA!$A:$M,10,FALSE),"-")</f>
        <v>-</v>
      </c>
      <c r="X19" s="39" t="str">
        <f ca="1">IFERROR(VLOOKUP($B$1&amp;$I$3&amp;$B19&amp;X$5&amp;X$6,FC_DATA!$A:$M,10,FALSE),"-")</f>
        <v>-</v>
      </c>
      <c r="Y19" s="39" t="str">
        <f ca="1">IFERROR(VLOOKUP($B$1&amp;$I$3&amp;$B19&amp;Y$5&amp;Y$6,FC_DATA!$A:$M,10,FALSE),"-")</f>
        <v>-</v>
      </c>
      <c r="Z19" s="39" t="str">
        <f ca="1">IFERROR(VLOOKUP($B$1&amp;$I$3&amp;$B19&amp;Z$5&amp;Z$6,FC_DATA!$A:$M,10,FALSE),"-")</f>
        <v>-</v>
      </c>
      <c r="AA19" s="39"/>
      <c r="AB19" s="39" t="str">
        <f ca="1">IFERROR(VLOOKUP($B$1&amp;$I$3&amp;$B19&amp;AB$5&amp;AB$6,FC_DATA!$A:$M,13,FALSE),"-")</f>
        <v>-</v>
      </c>
      <c r="AC19" s="39" t="str">
        <f ca="1">IFERROR(VLOOKUP($B$1&amp;$I$3&amp;$B19&amp;AC$5&amp;AC$6,FC_DATA!$A:$M,13,FALSE),"-")</f>
        <v>-</v>
      </c>
      <c r="AD19" s="39" t="str">
        <f ca="1">IFERROR(VLOOKUP($B$1&amp;$I$3&amp;$B19&amp;AD$5&amp;AD$6,FC_DATA!$A:$M,13,FALSE),"-")</f>
        <v>-</v>
      </c>
      <c r="AE19" s="39" t="str">
        <f ca="1">IFERROR(VLOOKUP($B$1&amp;$I$3&amp;$B19&amp;AE$5&amp;AE$6,FC_DATA!$A:$M,13,FALSE),"-")</f>
        <v>-</v>
      </c>
      <c r="AF19" s="38"/>
      <c r="AG19" s="95">
        <f ca="1">SUMIFS(HIS_SALES!$I$2:$I$5129,HIS_SALES!$G$2:$G$5129,LT_OVERVIEW!AG$6,HIS_SALES!$F$2:$F$5129,AG$5,HIS_SALES!$E$2:$E$5129,LT_OVERVIEW!$B19,HIS_SALES!$D$2:$D$5129,LT_OVERVIEW!$I$3,HIS_SALES!$C$2:$C$5129,LT_OVERVIEW!$B$1)</f>
        <v>132242.2044000004</v>
      </c>
      <c r="AH19" s="95">
        <f ca="1">SUMIFS(HIS_SALES!$I$2:$I$5129,HIS_SALES!$G$2:$G$5129,LT_OVERVIEW!AH$6,HIS_SALES!$F$2:$F$5129,AH$5,HIS_SALES!$E$2:$E$5129,LT_OVERVIEW!$B19,HIS_SALES!$D$2:$D$5129,LT_OVERVIEW!$I$3,HIS_SALES!$C$2:$C$5129,LT_OVERVIEW!$B$1)</f>
        <v>86995.632800000109</v>
      </c>
      <c r="AI19" s="95">
        <f ca="1">SUMIFS(HIS_SALES!$I$2:$I$5129,HIS_SALES!$G$2:$G$5129,LT_OVERVIEW!AI$6,HIS_SALES!$F$2:$F$5129,AI$5,HIS_SALES!$E$2:$E$5129,LT_OVERVIEW!$B19,HIS_SALES!$D$2:$D$5129,LT_OVERVIEW!$I$3,HIS_SALES!$C$2:$C$5129,LT_OVERVIEW!$B$1)</f>
        <v>42181.077299999903</v>
      </c>
      <c r="AJ19" s="95">
        <f ca="1">SUMIFS(FC_DATA!$AC$2:$AC$5000,FC_DATA!$V$2:$V$5000,$I$3,FC_DATA!$W$2:$W$5000,B19,FC_DATA!$X$2:$X$5000,AJ$5,FC_DATA!$Y$2:$Y$5000,AJ$6)</f>
        <v>0</v>
      </c>
      <c r="AK19" s="402"/>
      <c r="AL19" s="205"/>
      <c r="AM19" s="205"/>
      <c r="AN19" s="205"/>
      <c r="AO19" s="205"/>
      <c r="AP19" s="205"/>
      <c r="AQ19" s="564"/>
      <c r="AR19" s="408"/>
      <c r="AS19" s="408"/>
      <c r="AT19" s="408"/>
      <c r="AU19" s="408"/>
      <c r="BH19" s="40"/>
      <c r="BI19" s="40"/>
      <c r="BJ19" s="38"/>
      <c r="BK19" s="38"/>
      <c r="BL19" s="39"/>
      <c r="BM19" s="29"/>
      <c r="BN19" s="29"/>
    </row>
    <row r="20" spans="2:66" x14ac:dyDescent="0.25">
      <c r="B20" s="41" t="str">
        <f>'PIVOT TABLE'!A17</f>
        <v>T-SHIRTS</v>
      </c>
      <c r="C20" s="535">
        <f ca="1">SUMIFS(FC_DATA!$AC$2:$AC$5000,FC_DATA!$Y$2:$Y$5000,LT_OVERVIEW!C$6,FC_DATA!$X$2:$X$5000,LT_OVERVIEW!C$5,FC_DATA!$W$2:$W$5000,LT_OVERVIEW!$B20,FC_DATA!$V$2:$V$5000,LT_OVERVIEW!$I$3,FC_DATA!$U$2:$U$5000,LT_OVERVIEW!$B$1)</f>
        <v>0</v>
      </c>
      <c r="D20" s="535">
        <f ca="1">SUMIFS(FC_DATA!$AC$2:$AC$5000,FC_DATA!$Y$2:$Y$5000,LT_OVERVIEW!D$6,FC_DATA!$X$2:$X$5000,LT_OVERVIEW!D$5,FC_DATA!$W$2:$W$5000,LT_OVERVIEW!$B20,FC_DATA!$V$2:$V$5000,LT_OVERVIEW!$I$3,FC_DATA!$U$2:$U$5000,LT_OVERVIEW!$B$1)</f>
        <v>0</v>
      </c>
      <c r="E20" s="535">
        <f ca="1">SUMIFS(FC_DATA!$AC$2:$AC$5000,FC_DATA!$Y$2:$Y$5000,LT_OVERVIEW!E$6,FC_DATA!$X$2:$X$5000,LT_OVERVIEW!E$5,FC_DATA!$W$2:$W$5000,LT_OVERVIEW!$B20,FC_DATA!$V$2:$V$5000,LT_OVERVIEW!$I$3,FC_DATA!$U$2:$U$5000,LT_OVERVIEW!$B$1)</f>
        <v>0</v>
      </c>
      <c r="F20" s="535">
        <f ca="1">SUMIFS(FC_DATA!$AC$2:$AC$5000,FC_DATA!$Y$2:$Y$5000,LT_OVERVIEW!F$6,FC_DATA!$X$2:$X$5000,LT_OVERVIEW!F$5,FC_DATA!$W$2:$W$5000,LT_OVERVIEW!$B20,FC_DATA!$V$2:$V$5000,LT_OVERVIEW!$I$3,FC_DATA!$U$2:$U$5000,LT_OVERVIEW!$B$1)</f>
        <v>0</v>
      </c>
      <c r="G20" s="40"/>
      <c r="H20" s="39" t="str">
        <f t="shared" ca="1" si="20"/>
        <v>-</v>
      </c>
      <c r="I20" s="39" t="str">
        <f t="shared" ca="1" si="21"/>
        <v>-</v>
      </c>
      <c r="J20" s="39" t="str">
        <f t="shared" ca="1" si="22"/>
        <v>-</v>
      </c>
      <c r="K20" s="39" t="str">
        <f t="shared" ca="1" si="23"/>
        <v>-</v>
      </c>
      <c r="L20" s="40"/>
      <c r="M20" s="39" t="str">
        <f t="shared" ca="1" si="24"/>
        <v>-</v>
      </c>
      <c r="N20" s="39" t="str">
        <f t="shared" ca="1" si="25"/>
        <v>-</v>
      </c>
      <c r="O20" s="39" t="str">
        <f t="shared" ca="1" si="26"/>
        <v>-</v>
      </c>
      <c r="P20" s="39" t="str">
        <f t="shared" ca="1" si="27"/>
        <v>-</v>
      </c>
      <c r="Q20" s="38"/>
      <c r="R20" s="39" t="str">
        <f t="shared" ca="1" si="28"/>
        <v>-</v>
      </c>
      <c r="S20" s="39" t="str">
        <f t="shared" ca="1" si="29"/>
        <v>-</v>
      </c>
      <c r="T20" s="39" t="str">
        <f t="shared" ca="1" si="30"/>
        <v>-</v>
      </c>
      <c r="U20" s="39" t="str">
        <f t="shared" ca="1" si="31"/>
        <v>-</v>
      </c>
      <c r="V20" s="39"/>
      <c r="W20" s="39" t="str">
        <f ca="1">IFERROR(VLOOKUP($B$1&amp;$I$3&amp;$B20&amp;W$5&amp;W$6,FC_DATA!$A:$M,10,FALSE),"-")</f>
        <v>-</v>
      </c>
      <c r="X20" s="39" t="str">
        <f ca="1">IFERROR(VLOOKUP($B$1&amp;$I$3&amp;$B20&amp;X$5&amp;X$6,FC_DATA!$A:$M,10,FALSE),"-")</f>
        <v>-</v>
      </c>
      <c r="Y20" s="39" t="str">
        <f ca="1">IFERROR(VLOOKUP($B$1&amp;$I$3&amp;$B20&amp;Y$5&amp;Y$6,FC_DATA!$A:$M,10,FALSE),"-")</f>
        <v>-</v>
      </c>
      <c r="Z20" s="39" t="str">
        <f ca="1">IFERROR(VLOOKUP($B$1&amp;$I$3&amp;$B20&amp;Z$5&amp;Z$6,FC_DATA!$A:$M,10,FALSE),"-")</f>
        <v>-</v>
      </c>
      <c r="AA20" s="39"/>
      <c r="AB20" s="39" t="str">
        <f ca="1">IFERROR(VLOOKUP($B$1&amp;$I$3&amp;$B20&amp;AB$5&amp;AB$6,FC_DATA!$A:$M,13,FALSE),"-")</f>
        <v>-</v>
      </c>
      <c r="AC20" s="39" t="str">
        <f ca="1">IFERROR(VLOOKUP($B$1&amp;$I$3&amp;$B20&amp;AC$5&amp;AC$6,FC_DATA!$A:$M,13,FALSE),"-")</f>
        <v>-</v>
      </c>
      <c r="AD20" s="39" t="str">
        <f ca="1">IFERROR(VLOOKUP($B$1&amp;$I$3&amp;$B20&amp;AD$5&amp;AD$6,FC_DATA!$A:$M,13,FALSE),"-")</f>
        <v>-</v>
      </c>
      <c r="AE20" s="39" t="str">
        <f ca="1">IFERROR(VLOOKUP($B$1&amp;$I$3&amp;$B20&amp;AE$5&amp;AE$6,FC_DATA!$A:$M,13,FALSE),"-")</f>
        <v>-</v>
      </c>
      <c r="AF20" s="38"/>
      <c r="AG20" s="95">
        <f ca="1">SUMIFS(HIS_SALES!$I$2:$I$5129,HIS_SALES!$G$2:$G$5129,LT_OVERVIEW!AG$6,HIS_SALES!$F$2:$F$5129,AG$5,HIS_SALES!$E$2:$E$5129,LT_OVERVIEW!$B20,HIS_SALES!$D$2:$D$5129,LT_OVERVIEW!$I$3,HIS_SALES!$C$2:$C$5129,LT_OVERVIEW!$B$1)</f>
        <v>190002.00259999963</v>
      </c>
      <c r="AH20" s="95">
        <f ca="1">SUMIFS(HIS_SALES!$I$2:$I$5129,HIS_SALES!$G$2:$G$5129,LT_OVERVIEW!AH$6,HIS_SALES!$F$2:$F$5129,AH$5,HIS_SALES!$E$2:$E$5129,LT_OVERVIEW!$B20,HIS_SALES!$D$2:$D$5129,LT_OVERVIEW!$I$3,HIS_SALES!$C$2:$C$5129,LT_OVERVIEW!$B$1)</f>
        <v>271653.9852999993</v>
      </c>
      <c r="AI20" s="95">
        <f ca="1">SUMIFS(HIS_SALES!$I$2:$I$5129,HIS_SALES!$G$2:$G$5129,LT_OVERVIEW!AI$6,HIS_SALES!$F$2:$F$5129,AI$5,HIS_SALES!$E$2:$E$5129,LT_OVERVIEW!$B20,HIS_SALES!$D$2:$D$5129,LT_OVERVIEW!$I$3,HIS_SALES!$C$2:$C$5129,LT_OVERVIEW!$B$1)</f>
        <v>92791.018799999903</v>
      </c>
      <c r="AJ20" s="95">
        <f ca="1">SUMIFS(FC_DATA!$AC$2:$AC$5000,FC_DATA!$V$2:$V$5000,$I$3,FC_DATA!$W$2:$W$5000,B20,FC_DATA!$X$2:$X$5000,AJ$5,FC_DATA!$Y$2:$Y$5000,AJ$6)</f>
        <v>0</v>
      </c>
      <c r="AK20" s="402"/>
      <c r="AL20" s="205"/>
      <c r="AM20" s="205"/>
      <c r="AN20" s="205"/>
      <c r="AO20" s="205"/>
      <c r="AP20" s="205"/>
      <c r="AQ20" s="564"/>
      <c r="AR20" s="408"/>
      <c r="AS20" s="408"/>
      <c r="AT20" s="408"/>
      <c r="AU20" s="408"/>
      <c r="BH20" s="40"/>
      <c r="BI20" s="40"/>
      <c r="BJ20" s="38"/>
      <c r="BK20" s="38"/>
      <c r="BL20" s="39"/>
      <c r="BM20" s="29"/>
      <c r="BN20" s="29"/>
    </row>
    <row r="21" spans="2:66" x14ac:dyDescent="0.25">
      <c r="B21" s="41" t="str">
        <f>'PIVOT TABLE'!A18</f>
        <v>T-SHIRTS &amp; TOPS</v>
      </c>
      <c r="C21" s="535">
        <f ca="1">SUMIFS(FC_DATA!$AC$2:$AC$5000,FC_DATA!$Y$2:$Y$5000,LT_OVERVIEW!C$6,FC_DATA!$X$2:$X$5000,LT_OVERVIEW!C$5,FC_DATA!$W$2:$W$5000,LT_OVERVIEW!$B21,FC_DATA!$V$2:$V$5000,LT_OVERVIEW!$I$3,FC_DATA!$U$2:$U$5000,LT_OVERVIEW!$B$1)</f>
        <v>0</v>
      </c>
      <c r="D21" s="535">
        <f ca="1">SUMIFS(FC_DATA!$AC$2:$AC$5000,FC_DATA!$Y$2:$Y$5000,LT_OVERVIEW!D$6,FC_DATA!$X$2:$X$5000,LT_OVERVIEW!D$5,FC_DATA!$W$2:$W$5000,LT_OVERVIEW!$B21,FC_DATA!$V$2:$V$5000,LT_OVERVIEW!$I$3,FC_DATA!$U$2:$U$5000,LT_OVERVIEW!$B$1)</f>
        <v>0</v>
      </c>
      <c r="E21" s="535">
        <f ca="1">SUMIFS(FC_DATA!$AC$2:$AC$5000,FC_DATA!$Y$2:$Y$5000,LT_OVERVIEW!E$6,FC_DATA!$X$2:$X$5000,LT_OVERVIEW!E$5,FC_DATA!$W$2:$W$5000,LT_OVERVIEW!$B21,FC_DATA!$V$2:$V$5000,LT_OVERVIEW!$I$3,FC_DATA!$U$2:$U$5000,LT_OVERVIEW!$B$1)</f>
        <v>0</v>
      </c>
      <c r="F21" s="535">
        <f ca="1">SUMIFS(FC_DATA!$AC$2:$AC$5000,FC_DATA!$Y$2:$Y$5000,LT_OVERVIEW!F$6,FC_DATA!$X$2:$X$5000,LT_OVERVIEW!F$5,FC_DATA!$W$2:$W$5000,LT_OVERVIEW!$B21,FC_DATA!$V$2:$V$5000,LT_OVERVIEW!$I$3,FC_DATA!$U$2:$U$5000,LT_OVERVIEW!$B$1)</f>
        <v>0</v>
      </c>
      <c r="G21" s="40"/>
      <c r="H21" s="39" t="str">
        <f t="shared" ca="1" si="20"/>
        <v>-</v>
      </c>
      <c r="I21" s="39" t="str">
        <f t="shared" ca="1" si="21"/>
        <v>-</v>
      </c>
      <c r="J21" s="39" t="str">
        <f t="shared" ca="1" si="22"/>
        <v>-</v>
      </c>
      <c r="K21" s="39" t="str">
        <f t="shared" ca="1" si="23"/>
        <v>-</v>
      </c>
      <c r="L21" s="40"/>
      <c r="M21" s="39" t="str">
        <f t="shared" ca="1" si="24"/>
        <v>-</v>
      </c>
      <c r="N21" s="39" t="str">
        <f t="shared" ca="1" si="25"/>
        <v>-</v>
      </c>
      <c r="O21" s="39" t="str">
        <f t="shared" ca="1" si="26"/>
        <v>-</v>
      </c>
      <c r="P21" s="39" t="str">
        <f t="shared" ca="1" si="27"/>
        <v>-</v>
      </c>
      <c r="Q21" s="38"/>
      <c r="R21" s="42" t="str">
        <f t="shared" ca="1" si="28"/>
        <v>-</v>
      </c>
      <c r="S21" s="42" t="str">
        <f t="shared" ca="1" si="29"/>
        <v>-</v>
      </c>
      <c r="T21" s="42" t="str">
        <f t="shared" ca="1" si="30"/>
        <v>-</v>
      </c>
      <c r="U21" s="42" t="str">
        <f t="shared" ca="1" si="31"/>
        <v>-</v>
      </c>
      <c r="V21" s="42"/>
      <c r="W21" s="42" t="str">
        <f ca="1">IFERROR(VLOOKUP($B$1&amp;$I$3&amp;$B21&amp;W$5&amp;W$6,FC_DATA!$A:$M,10,FALSE),"-")</f>
        <v>-</v>
      </c>
      <c r="X21" s="42" t="str">
        <f ca="1">IFERROR(VLOOKUP($B$1&amp;$I$3&amp;$B21&amp;X$5&amp;X$6,FC_DATA!$A:$M,10,FALSE),"-")</f>
        <v>-</v>
      </c>
      <c r="Y21" s="42" t="str">
        <f ca="1">IFERROR(VLOOKUP($B$1&amp;$I$3&amp;$B21&amp;Y$5&amp;Y$6,FC_DATA!$A:$M,10,FALSE),"-")</f>
        <v>-</v>
      </c>
      <c r="Z21" s="42" t="str">
        <f ca="1">IFERROR(VLOOKUP($B$1&amp;$I$3&amp;$B21&amp;Z$5&amp;Z$6,FC_DATA!$A:$M,10,FALSE),"-")</f>
        <v>-</v>
      </c>
      <c r="AA21" s="42"/>
      <c r="AB21" s="42" t="str">
        <f ca="1">IFERROR(VLOOKUP($B$1&amp;$I$3&amp;$B21&amp;AB$5&amp;AB$6,FC_DATA!$A:$M,13,FALSE),"-")</f>
        <v>-</v>
      </c>
      <c r="AC21" s="42" t="str">
        <f ca="1">IFERROR(VLOOKUP($B$1&amp;$I$3&amp;$B21&amp;AC$5&amp;AC$6,FC_DATA!$A:$M,13,FALSE),"-")</f>
        <v>-</v>
      </c>
      <c r="AD21" s="42" t="str">
        <f ca="1">IFERROR(VLOOKUP($B$1&amp;$I$3&amp;$B21&amp;AD$5&amp;AD$6,FC_DATA!$A:$M,13,FALSE),"-")</f>
        <v>-</v>
      </c>
      <c r="AE21" s="42" t="str">
        <f ca="1">IFERROR(VLOOKUP($B$1&amp;$I$3&amp;$B21&amp;AE$5&amp;AE$6,FC_DATA!$A:$M,13,FALSE),"-")</f>
        <v>-</v>
      </c>
      <c r="AF21" s="43"/>
      <c r="AG21" s="95">
        <f ca="1">SUMIFS(HIS_SALES!$I$2:$I$5129,HIS_SALES!$G$2:$G$5129,LT_OVERVIEW!AG$6,HIS_SALES!$F$2:$F$5129,AG$5,HIS_SALES!$E$2:$E$5129,LT_OVERVIEW!$B21,HIS_SALES!$D$2:$D$5129,LT_OVERVIEW!$I$3,HIS_SALES!$C$2:$C$5129,LT_OVERVIEW!$B$1)</f>
        <v>1608727.4170999932</v>
      </c>
      <c r="AH21" s="95">
        <f ca="1">SUMIFS(HIS_SALES!$I$2:$I$5129,HIS_SALES!$G$2:$G$5129,LT_OVERVIEW!AH$6,HIS_SALES!$F$2:$F$5129,AH$5,HIS_SALES!$E$2:$E$5129,LT_OVERVIEW!$B21,HIS_SALES!$D$2:$D$5129,LT_OVERVIEW!$I$3,HIS_SALES!$C$2:$C$5129,LT_OVERVIEW!$B$1)</f>
        <v>1266629.2490999871</v>
      </c>
      <c r="AI21" s="95">
        <f ca="1">SUMIFS(HIS_SALES!$I$2:$I$5129,HIS_SALES!$G$2:$G$5129,LT_OVERVIEW!AI$6,HIS_SALES!$F$2:$F$5129,AI$5,HIS_SALES!$E$2:$E$5129,LT_OVERVIEW!$B21,HIS_SALES!$D$2:$D$5129,LT_OVERVIEW!$I$3,HIS_SALES!$C$2:$C$5129,LT_OVERVIEW!$B$1)</f>
        <v>401222.36389999301</v>
      </c>
      <c r="AJ21" s="95">
        <f ca="1">SUMIFS(FC_DATA!$AC$2:$AC$5000,FC_DATA!$V$2:$V$5000,$I$3,FC_DATA!$W$2:$W$5000,B21,FC_DATA!$X$2:$X$5000,AJ$5,FC_DATA!$Y$2:$Y$5000,AJ$6)</f>
        <v>0</v>
      </c>
      <c r="AK21" s="402"/>
      <c r="AL21" s="205"/>
      <c r="AM21" s="205"/>
      <c r="AN21" s="205"/>
      <c r="AO21" s="205"/>
      <c r="AP21" s="205"/>
      <c r="AQ21" s="564"/>
      <c r="AR21" s="408"/>
      <c r="AS21" s="408"/>
      <c r="AT21" s="408"/>
      <c r="AU21" s="408"/>
      <c r="BH21" s="43"/>
      <c r="BI21" s="43"/>
      <c r="BJ21" s="43"/>
      <c r="BK21" s="43"/>
      <c r="BL21" s="39"/>
      <c r="BM21" s="29"/>
      <c r="BN21" s="29"/>
    </row>
    <row r="22" spans="2:66" x14ac:dyDescent="0.25">
      <c r="B22" s="41">
        <f>'PIVOT TABLE'!A19</f>
        <v>0</v>
      </c>
      <c r="C22" s="535">
        <f ca="1">SUMIFS(FC_DATA!$AC$2:$AC$5000,FC_DATA!$Y$2:$Y$5000,LT_OVERVIEW!C$6,FC_DATA!$X$2:$X$5000,LT_OVERVIEW!C$5,FC_DATA!$W$2:$W$5000,LT_OVERVIEW!$B22,FC_DATA!$V$2:$V$5000,LT_OVERVIEW!$I$3,FC_DATA!$U$2:$U$5000,LT_OVERVIEW!$B$1)</f>
        <v>0</v>
      </c>
      <c r="D22" s="535">
        <f ca="1">SUMIFS(FC_DATA!$AC$2:$AC$5000,FC_DATA!$Y$2:$Y$5000,LT_OVERVIEW!D$6,FC_DATA!$X$2:$X$5000,LT_OVERVIEW!D$5,FC_DATA!$W$2:$W$5000,LT_OVERVIEW!$B22,FC_DATA!$V$2:$V$5000,LT_OVERVIEW!$I$3,FC_DATA!$U$2:$U$5000,LT_OVERVIEW!$B$1)</f>
        <v>0</v>
      </c>
      <c r="E22" s="535">
        <f ca="1">SUMIFS(FC_DATA!$AC$2:$AC$5000,FC_DATA!$Y$2:$Y$5000,LT_OVERVIEW!E$6,FC_DATA!$X$2:$X$5000,LT_OVERVIEW!E$5,FC_DATA!$W$2:$W$5000,LT_OVERVIEW!$B22,FC_DATA!$V$2:$V$5000,LT_OVERVIEW!$I$3,FC_DATA!$U$2:$U$5000,LT_OVERVIEW!$B$1)</f>
        <v>0</v>
      </c>
      <c r="F22" s="536">
        <f ca="1">SUMIFS(FC_DATA!$AC$2:$AC$5000,FC_DATA!$Y$2:$Y$5000,LT_OVERVIEW!F$6,FC_DATA!$X$2:$X$5000,LT_OVERVIEW!F$5,FC_DATA!$W$2:$W$5000,LT_OVERVIEW!$B22,FC_DATA!$V$2:$V$5000,LT_OVERVIEW!$I$3,FC_DATA!$U$2:$U$5000,LT_OVERVIEW!$B$1)</f>
        <v>0</v>
      </c>
      <c r="G22" s="40"/>
      <c r="H22" s="44" t="str">
        <f t="shared" ca="1" si="20"/>
        <v>-</v>
      </c>
      <c r="I22" s="44" t="str">
        <f t="shared" ca="1" si="21"/>
        <v>-</v>
      </c>
      <c r="J22" s="44" t="str">
        <f t="shared" ca="1" si="22"/>
        <v>-</v>
      </c>
      <c r="K22" s="44" t="str">
        <f t="shared" ca="1" si="23"/>
        <v>-</v>
      </c>
      <c r="L22" s="40"/>
      <c r="M22" s="44" t="str">
        <f t="shared" ca="1" si="24"/>
        <v>-</v>
      </c>
      <c r="N22" s="44" t="str">
        <f t="shared" ca="1" si="25"/>
        <v>-</v>
      </c>
      <c r="O22" s="44" t="str">
        <f t="shared" ca="1" si="26"/>
        <v>-</v>
      </c>
      <c r="P22" s="44" t="str">
        <f t="shared" ca="1" si="27"/>
        <v>-</v>
      </c>
      <c r="Q22" s="38"/>
      <c r="R22" s="45" t="str">
        <f t="shared" ca="1" si="28"/>
        <v>-</v>
      </c>
      <c r="S22" s="45" t="str">
        <f t="shared" ca="1" si="29"/>
        <v>-</v>
      </c>
      <c r="T22" s="45" t="str">
        <f t="shared" ca="1" si="30"/>
        <v>-</v>
      </c>
      <c r="U22" s="45" t="str">
        <f t="shared" ca="1" si="31"/>
        <v>-</v>
      </c>
      <c r="V22" s="42"/>
      <c r="W22" s="45" t="str">
        <f ca="1">IFERROR(VLOOKUP($B$1&amp;$I$3&amp;$B22&amp;W$5&amp;W$6,FC_DATA!$A:$M,10,FALSE),"-")</f>
        <v>-</v>
      </c>
      <c r="X22" s="45" t="str">
        <f ca="1">IFERROR(VLOOKUP($B$1&amp;$I$3&amp;$B22&amp;X$5&amp;X$6,FC_DATA!$A:$M,10,FALSE),"-")</f>
        <v>-</v>
      </c>
      <c r="Y22" s="45" t="str">
        <f ca="1">IFERROR(VLOOKUP($B$1&amp;$I$3&amp;$B22&amp;Y$5&amp;Y$6,FC_DATA!$A:$M,10,FALSE),"-")</f>
        <v>-</v>
      </c>
      <c r="Z22" s="45" t="str">
        <f ca="1">IFERROR(VLOOKUP($B$1&amp;$I$3&amp;$B22&amp;Z$5&amp;Z$6,FC_DATA!$A:$M,10,FALSE),"-")</f>
        <v>-</v>
      </c>
      <c r="AA22" s="42"/>
      <c r="AB22" s="45" t="str">
        <f ca="1">IFERROR(VLOOKUP($B$1&amp;$I$3&amp;$B22&amp;AB$5&amp;AB$6,FC_DATA!$A:$M,13,FALSE),"-")</f>
        <v>-</v>
      </c>
      <c r="AC22" s="45" t="str">
        <f ca="1">IFERROR(VLOOKUP($B$1&amp;$I$3&amp;$B22&amp;AC$5&amp;AC$6,FC_DATA!$A:$M,13,FALSE),"-")</f>
        <v>-</v>
      </c>
      <c r="AD22" s="45" t="str">
        <f ca="1">IFERROR(VLOOKUP($B$1&amp;$I$3&amp;$B22&amp;AD$5&amp;AD$6,FC_DATA!$A:$M,13,FALSE),"-")</f>
        <v>-</v>
      </c>
      <c r="AE22" s="45" t="str">
        <f ca="1">IFERROR(VLOOKUP($B$1&amp;$I$3&amp;$B22&amp;AE$5&amp;AE$6,FC_DATA!$A:$M,13,FALSE),"-")</f>
        <v>-</v>
      </c>
      <c r="AF22" s="32"/>
      <c r="AG22" s="95">
        <f ca="1">SUMIFS(HIS_SALES!$I$2:$I$5129,HIS_SALES!$G$2:$G$5129,LT_OVERVIEW!AG$6,HIS_SALES!$F$2:$F$5129,AG$5,HIS_SALES!$E$2:$E$5129,LT_OVERVIEW!$B22,HIS_SALES!$D$2:$D$5129,LT_OVERVIEW!$I$3,HIS_SALES!$C$2:$C$5129,LT_OVERVIEW!$B$1)</f>
        <v>0</v>
      </c>
      <c r="AH22" s="95">
        <f ca="1">SUMIFS(HIS_SALES!$I$2:$I$5129,HIS_SALES!$G$2:$G$5129,LT_OVERVIEW!AH$6,HIS_SALES!$F$2:$F$5129,AH$5,HIS_SALES!$E$2:$E$5129,LT_OVERVIEW!$B22,HIS_SALES!$D$2:$D$5129,LT_OVERVIEW!$I$3,HIS_SALES!$C$2:$C$5129,LT_OVERVIEW!$B$1)</f>
        <v>0</v>
      </c>
      <c r="AI22" s="95">
        <f ca="1">SUMIFS(HIS_SALES!$I$2:$I$5129,HIS_SALES!$G$2:$G$5129,LT_OVERVIEW!AI$6,HIS_SALES!$F$2:$F$5129,AI$5,HIS_SALES!$E$2:$E$5129,LT_OVERVIEW!$B22,HIS_SALES!$D$2:$D$5129,LT_OVERVIEW!$I$3,HIS_SALES!$C$2:$C$5129,LT_OVERVIEW!$B$1)</f>
        <v>0</v>
      </c>
      <c r="AJ22" s="95">
        <f ca="1">SUMIFS(FC_DATA!$AC$2:$AC$5000,FC_DATA!$V$2:$V$5000,$I$3,FC_DATA!$W$2:$W$5000,B22,FC_DATA!$X$2:$X$5000,AJ$5,FC_DATA!$Y$2:$Y$5000,AJ$6)</f>
        <v>0</v>
      </c>
      <c r="AK22" s="402"/>
      <c r="AL22" s="205"/>
      <c r="AM22" s="205"/>
      <c r="AN22" s="205"/>
      <c r="AO22" s="205"/>
      <c r="AP22" s="205"/>
      <c r="AQ22" s="564"/>
      <c r="AR22" s="408"/>
      <c r="AS22" s="408"/>
      <c r="AT22" s="408"/>
      <c r="AU22" s="408"/>
      <c r="BH22" s="27"/>
      <c r="BI22" s="29"/>
      <c r="BJ22" s="29"/>
      <c r="BK22" s="29"/>
      <c r="BL22" s="29"/>
      <c r="BM22" s="29"/>
      <c r="BN22" s="29"/>
    </row>
    <row r="23" spans="2:66" ht="15.75" thickBot="1" x14ac:dyDescent="0.3">
      <c r="B23" s="116" t="s">
        <v>80</v>
      </c>
      <c r="C23" s="537">
        <f t="shared" ref="C23:F23" ca="1" si="32">SUM(C7:C22)</f>
        <v>0</v>
      </c>
      <c r="D23" s="537">
        <f t="shared" ca="1" si="32"/>
        <v>0</v>
      </c>
      <c r="E23" s="537">
        <f t="shared" ca="1" si="32"/>
        <v>0</v>
      </c>
      <c r="F23" s="537">
        <f t="shared" ca="1" si="32"/>
        <v>0</v>
      </c>
      <c r="G23" s="117"/>
      <c r="H23" s="118">
        <f ca="1">(C$23/AG23)-1</f>
        <v>-1</v>
      </c>
      <c r="I23" s="118">
        <f ca="1">(D$23/AH23)-1</f>
        <v>-1</v>
      </c>
      <c r="J23" s="118">
        <f ca="1">(E$23/AI23)-1</f>
        <v>-1</v>
      </c>
      <c r="K23" s="118" t="str">
        <f ca="1">IFERROR((F$23/AJ23)-1,"")</f>
        <v/>
      </c>
      <c r="L23" s="117"/>
      <c r="M23" s="119">
        <f ca="1">SUM(M7:M22)</f>
        <v>0</v>
      </c>
      <c r="N23" s="119">
        <f t="shared" ref="N23:P23" ca="1" si="33">SUM(N7:N22)</f>
        <v>0</v>
      </c>
      <c r="O23" s="119">
        <f t="shared" ca="1" si="33"/>
        <v>0</v>
      </c>
      <c r="P23" s="119">
        <f t="shared" ca="1" si="33"/>
        <v>0</v>
      </c>
      <c r="Q23" s="117"/>
      <c r="R23" s="118">
        <f ca="1">SUM(R7:R22)</f>
        <v>0</v>
      </c>
      <c r="S23" s="118">
        <f ca="1">SUM(S7:S22)</f>
        <v>0</v>
      </c>
      <c r="T23" s="118">
        <f ca="1">SUM(T7:T22)</f>
        <v>0</v>
      </c>
      <c r="U23" s="118">
        <f ca="1">SUM(U7:U22)</f>
        <v>0</v>
      </c>
      <c r="V23" s="114"/>
      <c r="W23" s="118" t="str">
        <f ca="1">VLOOKUP(W$5,Q_BRAND_FC!$N$57:$R$58,MATCH(W$6,Q_BRAND_FC!$N$50:$R$50,0),FALSE)</f>
        <v>-</v>
      </c>
      <c r="X23" s="118" t="str">
        <f ca="1">VLOOKUP(X$5,Q_BRAND_FC!$N$57:$R$58,MATCH(X$6,Q_BRAND_FC!$N$50:$R$50,0),FALSE)</f>
        <v/>
      </c>
      <c r="Y23" s="118" t="e">
        <f ca="1">VLOOKUP(Y$5,Q_BRAND_FC!$N$57:$R$58,MATCH(Y$6,Q_BRAND_FC!$N$50:$R$50,0),FALSE)</f>
        <v>#N/A</v>
      </c>
      <c r="Z23" s="118" t="e">
        <f ca="1">VLOOKUP(Z$5,Q_BRAND_FC!$N$57:$R$58,MATCH(Z$6,Q_BRAND_FC!$N$50:$R$50,0),FALSE)</f>
        <v>#N/A</v>
      </c>
      <c r="AA23" s="114"/>
      <c r="AB23" s="118"/>
      <c r="AC23" s="118"/>
      <c r="AD23" s="118"/>
      <c r="AE23" s="118"/>
      <c r="AF23" s="48"/>
      <c r="AG23" s="401">
        <f ca="1">SUM(AG7:AG22)</f>
        <v>8340623.7313998956</v>
      </c>
      <c r="AH23" s="401">
        <f t="shared" ref="AH23:AJ23" ca="1" si="34">SUM(AH7:AH22)</f>
        <v>10806817.290099867</v>
      </c>
      <c r="AI23" s="401">
        <f t="shared" ca="1" si="34"/>
        <v>4168066.5928999418</v>
      </c>
      <c r="AJ23" s="401">
        <f t="shared" ca="1" si="34"/>
        <v>0</v>
      </c>
      <c r="AK23" s="402"/>
      <c r="AL23" s="404"/>
      <c r="AM23" s="404"/>
      <c r="AN23" s="404"/>
      <c r="AO23" s="404"/>
      <c r="AP23" s="404"/>
      <c r="AQ23" s="27"/>
      <c r="AR23" s="27"/>
      <c r="AS23" s="27"/>
      <c r="AT23" s="27"/>
      <c r="AU23" s="27"/>
      <c r="BH23" s="27"/>
      <c r="BI23" s="29"/>
      <c r="BJ23" s="29"/>
      <c r="BK23" s="29"/>
      <c r="BL23" s="29"/>
      <c r="BM23" s="29"/>
      <c r="BN23" s="29"/>
    </row>
    <row r="24" spans="2:66" s="98" customFormat="1" x14ac:dyDescent="0.25">
      <c r="M24" s="120"/>
      <c r="N24" s="120"/>
      <c r="O24" s="120"/>
      <c r="P24" s="120"/>
      <c r="AG24" s="99"/>
      <c r="AH24" s="99"/>
      <c r="AI24" s="99"/>
      <c r="AJ24" s="99"/>
      <c r="AK24" s="99"/>
      <c r="AL24" s="565"/>
      <c r="AM24" s="565"/>
      <c r="AN24" s="565"/>
      <c r="AO24" s="565"/>
      <c r="AP24" s="565"/>
      <c r="AQ24" s="565"/>
      <c r="AR24" s="565"/>
      <c r="AS24" s="565"/>
      <c r="AT24" s="566"/>
      <c r="AU24" s="566"/>
    </row>
    <row r="25" spans="2:66" s="97" customFormat="1" ht="17.25" x14ac:dyDescent="0.3">
      <c r="B25" s="100" t="s">
        <v>107</v>
      </c>
      <c r="C25" s="100"/>
      <c r="D25" s="100"/>
      <c r="E25" s="100"/>
      <c r="F25" s="100"/>
      <c r="G25" s="100"/>
      <c r="H25" s="100"/>
      <c r="I25" s="923" t="s">
        <v>287</v>
      </c>
      <c r="J25" s="924"/>
      <c r="K25" s="924"/>
      <c r="L25" s="924"/>
      <c r="M25" s="924"/>
      <c r="N25" s="100"/>
      <c r="O25" s="100"/>
      <c r="P25" s="100"/>
      <c r="Q25" s="100"/>
      <c r="R25" s="100"/>
      <c r="S25" s="100"/>
      <c r="T25" s="100"/>
      <c r="U25" s="100"/>
      <c r="V25" s="100"/>
      <c r="W25" s="100"/>
      <c r="X25" s="100"/>
      <c r="Y25" s="100"/>
      <c r="Z25" s="100"/>
      <c r="AA25" s="100"/>
      <c r="AB25" s="100"/>
      <c r="AC25" s="100"/>
      <c r="AD25" s="100"/>
      <c r="AE25" s="100"/>
      <c r="AG25" s="96"/>
      <c r="AH25" s="96"/>
      <c r="AI25" s="96"/>
      <c r="AJ25" s="96"/>
      <c r="AK25" s="96"/>
      <c r="AL25" s="567"/>
      <c r="AM25" s="567"/>
      <c r="AN25" s="567"/>
      <c r="AO25" s="567"/>
      <c r="AP25" s="567"/>
      <c r="AQ25" s="567"/>
      <c r="AR25" s="567"/>
      <c r="AS25" s="567"/>
      <c r="AT25" s="568"/>
      <c r="AU25" s="568"/>
    </row>
    <row r="26" spans="2:66" s="103" customFormat="1" x14ac:dyDescent="0.25">
      <c r="B26" s="101"/>
      <c r="C26" s="925" t="str">
        <f>C4</f>
        <v xml:space="preserve">GS II </v>
      </c>
      <c r="D26" s="925"/>
      <c r="E26" s="925"/>
      <c r="F26" s="925"/>
      <c r="G26" s="102"/>
      <c r="H26" s="925" t="str">
        <f>H4</f>
        <v>YoY Growth</v>
      </c>
      <c r="I26" s="925"/>
      <c r="J26" s="925"/>
      <c r="K26" s="925"/>
      <c r="L26" s="102"/>
      <c r="M26" s="929" t="str">
        <f>M4</f>
        <v>CTG</v>
      </c>
      <c r="N26" s="925"/>
      <c r="O26" s="925"/>
      <c r="P26" s="925"/>
      <c r="Q26" s="102"/>
      <c r="R26" s="925" t="str">
        <f>R4</f>
        <v>GSII SHARE</v>
      </c>
      <c r="S26" s="925"/>
      <c r="T26" s="925"/>
      <c r="U26" s="925"/>
      <c r="V26" s="788"/>
      <c r="W26" s="788"/>
      <c r="X26" s="788"/>
      <c r="Y26" s="788"/>
      <c r="Z26" s="788"/>
      <c r="AA26" s="788"/>
      <c r="AB26" s="788"/>
      <c r="AC26" s="788"/>
      <c r="AD26" s="788"/>
      <c r="AE26" s="788"/>
      <c r="AG26" s="104"/>
      <c r="AH26" s="104"/>
      <c r="AI26" s="104"/>
      <c r="AJ26" s="104"/>
      <c r="AK26" s="104"/>
      <c r="AL26" s="569"/>
      <c r="AM26" s="569"/>
      <c r="AN26" s="569"/>
      <c r="AO26" s="569"/>
      <c r="AP26" s="569"/>
      <c r="AQ26" s="569"/>
      <c r="AR26" s="569"/>
      <c r="AS26" s="569"/>
      <c r="AT26" s="570"/>
      <c r="AU26" s="570"/>
    </row>
    <row r="27" spans="2:66" s="98" customFormat="1" x14ac:dyDescent="0.25">
      <c r="C27" s="105" t="str">
        <f ca="1">C5</f>
        <v>18/19</v>
      </c>
      <c r="D27" s="105" t="str">
        <f t="shared" ref="D27:F27" ca="1" si="35">D5</f>
        <v>19/20</v>
      </c>
      <c r="E27" s="105" t="str">
        <f t="shared" ca="1" si="35"/>
        <v>19/20</v>
      </c>
      <c r="F27" s="105" t="str">
        <f t="shared" ca="1" si="35"/>
        <v>19/20</v>
      </c>
      <c r="G27" s="106"/>
      <c r="H27" s="105" t="str">
        <f t="shared" ref="H27:K27" ca="1" si="36">H5</f>
        <v>18/19</v>
      </c>
      <c r="I27" s="105" t="str">
        <f t="shared" ca="1" si="36"/>
        <v>19/20</v>
      </c>
      <c r="J27" s="105" t="str">
        <f t="shared" ca="1" si="36"/>
        <v>19/20</v>
      </c>
      <c r="K27" s="105" t="str">
        <f t="shared" ca="1" si="36"/>
        <v>19/20</v>
      </c>
      <c r="L27" s="106"/>
      <c r="M27" s="105" t="str">
        <f t="shared" ref="M27:P27" ca="1" si="37">M5</f>
        <v>18/19</v>
      </c>
      <c r="N27" s="105" t="str">
        <f t="shared" ca="1" si="37"/>
        <v>19/20</v>
      </c>
      <c r="O27" s="105" t="str">
        <f t="shared" ca="1" si="37"/>
        <v>19/20</v>
      </c>
      <c r="P27" s="105" t="str">
        <f t="shared" ca="1" si="37"/>
        <v>19/20</v>
      </c>
      <c r="Q27" s="106"/>
      <c r="R27" s="105" t="str">
        <f t="shared" ref="R27:U27" ca="1" si="38">R5</f>
        <v>18/19</v>
      </c>
      <c r="S27" s="105" t="str">
        <f t="shared" ca="1" si="38"/>
        <v>19/20</v>
      </c>
      <c r="T27" s="105" t="str">
        <f t="shared" ca="1" si="38"/>
        <v>19/20</v>
      </c>
      <c r="U27" s="105" t="str">
        <f t="shared" ca="1" si="38"/>
        <v>19/20</v>
      </c>
      <c r="V27" s="105"/>
      <c r="W27" s="105"/>
      <c r="X27" s="105"/>
      <c r="Y27" s="105"/>
      <c r="Z27" s="105"/>
      <c r="AA27" s="105"/>
      <c r="AB27" s="105"/>
      <c r="AC27" s="105"/>
      <c r="AD27" s="105"/>
      <c r="AE27" s="105"/>
      <c r="AG27" s="921" t="s">
        <v>134</v>
      </c>
      <c r="AH27" s="921"/>
      <c r="AI27" s="921"/>
      <c r="AJ27" s="921"/>
      <c r="AK27" s="289"/>
      <c r="AL27" s="922"/>
      <c r="AM27" s="922"/>
      <c r="AN27" s="922"/>
      <c r="AO27" s="922"/>
      <c r="AP27" s="405"/>
      <c r="AQ27" s="565"/>
      <c r="AR27" s="565"/>
      <c r="AS27" s="565"/>
      <c r="AT27" s="566"/>
      <c r="AU27" s="566"/>
    </row>
    <row r="28" spans="2:66" s="98" customFormat="1" x14ac:dyDescent="0.25">
      <c r="B28" s="107" t="s">
        <v>76</v>
      </c>
      <c r="C28" s="108" t="str">
        <f t="shared" ref="C28:F28" ca="1" si="39">C6</f>
        <v>Q4</v>
      </c>
      <c r="D28" s="108" t="str">
        <f t="shared" ca="1" si="39"/>
        <v>Q1</v>
      </c>
      <c r="E28" s="108" t="str">
        <f t="shared" ca="1" si="39"/>
        <v>Q2</v>
      </c>
      <c r="F28" s="108" t="str">
        <f t="shared" ca="1" si="39"/>
        <v>Q3</v>
      </c>
      <c r="G28" s="109"/>
      <c r="H28" s="108" t="str">
        <f t="shared" ref="H28:K28" ca="1" si="40">H6</f>
        <v>Q4</v>
      </c>
      <c r="I28" s="108" t="str">
        <f t="shared" ca="1" si="40"/>
        <v>Q1</v>
      </c>
      <c r="J28" s="108" t="str">
        <f t="shared" ca="1" si="40"/>
        <v>Q2</v>
      </c>
      <c r="K28" s="108" t="str">
        <f t="shared" ca="1" si="40"/>
        <v>Q3</v>
      </c>
      <c r="L28" s="109"/>
      <c r="M28" s="108" t="str">
        <f t="shared" ref="M28:P28" ca="1" si="41">M6</f>
        <v>Q4</v>
      </c>
      <c r="N28" s="108" t="str">
        <f t="shared" ca="1" si="41"/>
        <v>Q1</v>
      </c>
      <c r="O28" s="108" t="str">
        <f t="shared" ca="1" si="41"/>
        <v>Q2</v>
      </c>
      <c r="P28" s="108" t="str">
        <f t="shared" ca="1" si="41"/>
        <v>Q3</v>
      </c>
      <c r="Q28" s="109"/>
      <c r="R28" s="108" t="str">
        <f t="shared" ref="R28:U28" ca="1" si="42">R6</f>
        <v>Q4</v>
      </c>
      <c r="S28" s="108" t="str">
        <f t="shared" ca="1" si="42"/>
        <v>Q1</v>
      </c>
      <c r="T28" s="108" t="str">
        <f t="shared" ca="1" si="42"/>
        <v>Q2</v>
      </c>
      <c r="U28" s="108" t="str">
        <f t="shared" ca="1" si="42"/>
        <v>Q3</v>
      </c>
      <c r="V28" s="109"/>
      <c r="W28" s="109"/>
      <c r="X28" s="109"/>
      <c r="Y28" s="109"/>
      <c r="Z28" s="109"/>
      <c r="AA28" s="109"/>
      <c r="AB28" s="109"/>
      <c r="AC28" s="109"/>
      <c r="AD28" s="109"/>
      <c r="AE28" s="109"/>
      <c r="AG28" s="398" t="str">
        <f ca="1">H28</f>
        <v>Q4</v>
      </c>
      <c r="AH28" s="398" t="str">
        <f ca="1">I28</f>
        <v>Q1</v>
      </c>
      <c r="AI28" s="398" t="str">
        <f ca="1">J28</f>
        <v>Q2</v>
      </c>
      <c r="AJ28" s="399" t="str">
        <f ca="1">K28</f>
        <v>Q3</v>
      </c>
      <c r="AK28" s="27"/>
      <c r="AL28" s="406"/>
      <c r="AM28" s="406"/>
      <c r="AN28" s="406"/>
      <c r="AO28" s="406"/>
      <c r="AP28" s="406"/>
      <c r="AQ28" s="565"/>
      <c r="AR28" s="565"/>
      <c r="AS28" s="565"/>
      <c r="AT28" s="566"/>
      <c r="AU28" s="566"/>
    </row>
    <row r="29" spans="2:66" s="98" customFormat="1" x14ac:dyDescent="0.25">
      <c r="B29" s="110" t="str">
        <f>'PIVOT TABLE'!E4</f>
        <v>BRAND.com</v>
      </c>
      <c r="C29" s="538">
        <f ca="1">SUMIFS(FC_DATA!$AC$2:$AC$5000,FC_DATA!$Y$2:$Y$5000,LT_OVERVIEW!C$6,FC_DATA!$X$2:$X$5000,LT_OVERVIEW!C$5,FC_DATA!$V$2:$V$5000,LT_OVERVIEW!$B29,FC_DATA!$U$2:$U$5000,LT_OVERVIEW!$B$1,FC_DATA!$W$2:$W$5000,LT_OVERVIEW!$I$25)</f>
        <v>0</v>
      </c>
      <c r="D29" s="538">
        <f ca="1">SUMIFS(FC_DATA!$AC$2:$AC$5000,FC_DATA!$Y$2:$Y$5000,LT_OVERVIEW!D$6,FC_DATA!$X$2:$X$5000,LT_OVERVIEW!D$5,FC_DATA!$V$2:$V$5000,LT_OVERVIEW!$B29,FC_DATA!$U$2:$U$5000,LT_OVERVIEW!$B$1,FC_DATA!$W$2:$W$5000,LT_OVERVIEW!$I$25)</f>
        <v>0</v>
      </c>
      <c r="E29" s="538">
        <f ca="1">SUMIFS(FC_DATA!$AC$2:$AC$5000,FC_DATA!$Y$2:$Y$5000,LT_OVERVIEW!E$6,FC_DATA!$X$2:$X$5000,LT_OVERVIEW!E$5,FC_DATA!$V$2:$V$5000,LT_OVERVIEW!$B29,FC_DATA!$U$2:$U$5000,LT_OVERVIEW!$B$1,FC_DATA!$W$2:$W$5000,LT_OVERVIEW!$I$25)</f>
        <v>0</v>
      </c>
      <c r="F29" s="538">
        <f ca="1">SUMIFS(FC_DATA!$AC$2:$AC$5000,FC_DATA!$Y$2:$Y$5000,LT_OVERVIEW!F$6,FC_DATA!$X$2:$X$5000,LT_OVERVIEW!F$5,FC_DATA!$V$2:$V$5000,LT_OVERVIEW!$B29,FC_DATA!$U$2:$U$5000,LT_OVERVIEW!$B$1,FC_DATA!$W$2:$W$5000,LT_OVERVIEW!$I$25)</f>
        <v>0</v>
      </c>
      <c r="G29" s="111"/>
      <c r="H29" s="112" t="str">
        <f t="shared" ref="H29:K29" ca="1" si="43">IF(C29=0,"-",C29/AG29-1)</f>
        <v>-</v>
      </c>
      <c r="I29" s="112" t="str">
        <f t="shared" ca="1" si="43"/>
        <v>-</v>
      </c>
      <c r="J29" s="112" t="str">
        <f t="shared" ca="1" si="43"/>
        <v>-</v>
      </c>
      <c r="K29" s="112" t="str">
        <f t="shared" ca="1" si="43"/>
        <v>-</v>
      </c>
      <c r="L29" s="111"/>
      <c r="M29" s="39" t="str">
        <f t="shared" ref="M29:P29" ca="1" si="44">IF(C29=0,"-",(C29-AG29)/AG$39)</f>
        <v>-</v>
      </c>
      <c r="N29" s="39" t="str">
        <f t="shared" ca="1" si="44"/>
        <v>-</v>
      </c>
      <c r="O29" s="39" t="str">
        <f t="shared" ca="1" si="44"/>
        <v>-</v>
      </c>
      <c r="P29" s="39" t="str">
        <f t="shared" ca="1" si="44"/>
        <v>-</v>
      </c>
      <c r="Q29" s="114"/>
      <c r="R29" s="112" t="str">
        <f t="shared" ref="R29" ca="1" si="45">IF(C29=0,"-",C29/C$39)</f>
        <v>-</v>
      </c>
      <c r="S29" s="112" t="str">
        <f t="shared" ref="S29" ca="1" si="46">IF(D29=0,"-",D29/D$39)</f>
        <v>-</v>
      </c>
      <c r="T29" s="112" t="str">
        <f t="shared" ref="T29" ca="1" si="47">IF(E29=0,"-",E29/E$39)</f>
        <v>-</v>
      </c>
      <c r="U29" s="112" t="str">
        <f t="shared" ref="U29" ca="1" si="48">IF(F29=0,"-",F29/F$39)</f>
        <v>-</v>
      </c>
      <c r="V29" s="112"/>
      <c r="W29" s="112"/>
      <c r="X29" s="112"/>
      <c r="Y29" s="112"/>
      <c r="Z29" s="112"/>
      <c r="AA29" s="112"/>
      <c r="AB29" s="112"/>
      <c r="AC29" s="112"/>
      <c r="AD29" s="112"/>
      <c r="AE29" s="112"/>
      <c r="AG29" s="400">
        <f ca="1">SUMIFS(HIS_SALES!$I$2:$I$5129,HIS_SALES!$G$2:$G$5129,LT_OVERVIEW!AG$6,HIS_SALES!$F$2:$F$5129,AG$5,HIS_SALES!$D$2:$D$5129,LT_OVERVIEW!$B29,HIS_SALES!$C$2:$C$5129,LT_OVERVIEW!$B$1,HIS_SALES!$E$2:$E$5129,LT_OVERVIEW!$I$25)</f>
        <v>211541.50700000112</v>
      </c>
      <c r="AH29" s="400">
        <f ca="1">SUMIFS(HIS_SALES!$I$2:$I$5129,HIS_SALES!$G$2:$G$5129,LT_OVERVIEW!AH$6,HIS_SALES!$F$2:$F$5129,AH$5,HIS_SALES!$D$2:$D$5129,LT_OVERVIEW!$B29,HIS_SALES!$C$2:$C$5129,LT_OVERVIEW!$B$1,HIS_SALES!$E$2:$E$5129,LT_OVERVIEW!$I$25)</f>
        <v>302227.08390000206</v>
      </c>
      <c r="AI29" s="400">
        <f ca="1">SUMIFS(HIS_SALES!$I$2:$I$5129,HIS_SALES!$G$2:$G$5129,LT_OVERVIEW!AI$6,HIS_SALES!$F$2:$F$5129,AI$5,HIS_SALES!$D$2:$D$5129,LT_OVERVIEW!$B29,HIS_SALES!$C$2:$C$5129,LT_OVERVIEW!$B$1,HIS_SALES!$E$2:$E$5129,LT_OVERVIEW!$I$25)</f>
        <v>73395.949400000201</v>
      </c>
      <c r="AJ29" s="400">
        <f ca="1">SUMIFS(FC_DATA!$AC$2:$AC$5000,FC_DATA!$V$2:$V$5000,$B29,FC_DATA!$W$2:$W$5000,$I$25,FC_DATA!$X$2:$X$5000,AJ$5,FC_DATA!$Y$2:$Y$5000,AJ$28)</f>
        <v>0</v>
      </c>
      <c r="AK29" s="400"/>
      <c r="AL29" s="571"/>
      <c r="AM29" s="571"/>
      <c r="AN29" s="571"/>
      <c r="AO29" s="571"/>
      <c r="AP29" s="571"/>
      <c r="AQ29" s="565"/>
      <c r="AR29" s="565"/>
      <c r="AS29" s="565"/>
      <c r="AT29" s="566"/>
      <c r="AU29" s="566"/>
    </row>
    <row r="30" spans="2:66" s="98" customFormat="1" x14ac:dyDescent="0.25">
      <c r="B30" s="110" t="str">
        <f>'PIVOT TABLE'!E5</f>
        <v>BS.com</v>
      </c>
      <c r="C30" s="538">
        <f ca="1">SUMIFS(FC_DATA!$AC$2:$AC$5000,FC_DATA!$Y$2:$Y$5000,LT_OVERVIEW!C$6,FC_DATA!$X$2:$X$5000,LT_OVERVIEW!C$5,FC_DATA!$V$2:$V$5000,LT_OVERVIEW!$B30,FC_DATA!$U$2:$U$5000,LT_OVERVIEW!$B$1,FC_DATA!$W$2:$W$5000,LT_OVERVIEW!$I$25)</f>
        <v>0</v>
      </c>
      <c r="D30" s="538">
        <f ca="1">SUMIFS(FC_DATA!$AC$2:$AC$5000,FC_DATA!$Y$2:$Y$5000,LT_OVERVIEW!D$6,FC_DATA!$X$2:$X$5000,LT_OVERVIEW!D$5,FC_DATA!$V$2:$V$5000,LT_OVERVIEW!$B30,FC_DATA!$U$2:$U$5000,LT_OVERVIEW!$B$1,FC_DATA!$W$2:$W$5000,LT_OVERVIEW!$I$25)</f>
        <v>0</v>
      </c>
      <c r="E30" s="538">
        <f ca="1">SUMIFS(FC_DATA!$AC$2:$AC$5000,FC_DATA!$Y$2:$Y$5000,LT_OVERVIEW!E$6,FC_DATA!$X$2:$X$5000,LT_OVERVIEW!E$5,FC_DATA!$V$2:$V$5000,LT_OVERVIEW!$B30,FC_DATA!$U$2:$U$5000,LT_OVERVIEW!$B$1,FC_DATA!$W$2:$W$5000,LT_OVERVIEW!$I$25)</f>
        <v>0</v>
      </c>
      <c r="F30" s="538">
        <f ca="1">SUMIFS(FC_DATA!$AC$2:$AC$5000,FC_DATA!$Y$2:$Y$5000,LT_OVERVIEW!F$6,FC_DATA!$X$2:$X$5000,LT_OVERVIEW!F$5,FC_DATA!$V$2:$V$5000,LT_OVERVIEW!$B30,FC_DATA!$U$2:$U$5000,LT_OVERVIEW!$B$1,FC_DATA!$W$2:$W$5000,LT_OVERVIEW!$I$25)</f>
        <v>0</v>
      </c>
      <c r="G30" s="111"/>
      <c r="H30" s="112" t="str">
        <f t="shared" ref="H30:H38" ca="1" si="49">IF(C30=0,"-",C30/AG30-1)</f>
        <v>-</v>
      </c>
      <c r="I30" s="112" t="str">
        <f t="shared" ref="I30:I38" ca="1" si="50">IF(D30=0,"-",D30/AH30-1)</f>
        <v>-</v>
      </c>
      <c r="J30" s="112" t="str">
        <f t="shared" ref="J30:J38" ca="1" si="51">IF(E30=0,"-",E30/AI30-1)</f>
        <v>-</v>
      </c>
      <c r="K30" s="112" t="str">
        <f t="shared" ref="K30:K38" ca="1" si="52">IF(F30=0,"-",F30/AJ30-1)</f>
        <v>-</v>
      </c>
      <c r="L30" s="111"/>
      <c r="M30" s="39" t="str">
        <f t="shared" ref="M30:M38" ca="1" si="53">IF(C30=0,"-",(C30-AG30)/AG$39)</f>
        <v>-</v>
      </c>
      <c r="N30" s="39" t="str">
        <f t="shared" ref="N30:N38" ca="1" si="54">IF(D30=0,"-",(D30-AH30)/AH$39)</f>
        <v>-</v>
      </c>
      <c r="O30" s="39" t="str">
        <f t="shared" ref="O30:O38" ca="1" si="55">IF(E30=0,"-",(E30-AI30)/AI$39)</f>
        <v>-</v>
      </c>
      <c r="P30" s="39" t="str">
        <f t="shared" ref="P30:P38" ca="1" si="56">IF(F30=0,"-",(F30-AJ30)/AJ$39)</f>
        <v>-</v>
      </c>
      <c r="Q30" s="114"/>
      <c r="R30" s="112" t="str">
        <f t="shared" ref="R30:R38" ca="1" si="57">IF(C30=0,"-",C30/C$39)</f>
        <v>-</v>
      </c>
      <c r="S30" s="112" t="str">
        <f t="shared" ref="S30:S38" ca="1" si="58">IF(D30=0,"-",D30/D$39)</f>
        <v>-</v>
      </c>
      <c r="T30" s="112" t="str">
        <f t="shared" ref="T30:T38" ca="1" si="59">IF(E30=0,"-",E30/E$39)</f>
        <v>-</v>
      </c>
      <c r="U30" s="112" t="str">
        <f t="shared" ref="U30:U38" ca="1" si="60">IF(F30=0,"-",F30/F$39)</f>
        <v>-</v>
      </c>
      <c r="V30" s="112"/>
      <c r="W30" s="112"/>
      <c r="X30" s="112"/>
      <c r="Y30" s="112"/>
      <c r="Z30" s="112"/>
      <c r="AA30" s="112"/>
      <c r="AB30" s="112"/>
      <c r="AC30" s="112"/>
      <c r="AD30" s="112"/>
      <c r="AE30" s="112"/>
      <c r="AG30" s="400">
        <f ca="1">SUMIFS(HIS_SALES!$I$2:$I$5129,HIS_SALES!$G$2:$G$5129,LT_OVERVIEW!AG$6,HIS_SALES!$F$2:$F$5129,AG$5,HIS_SALES!$D$2:$D$5129,LT_OVERVIEW!$B30,HIS_SALES!$C$2:$C$5129,LT_OVERVIEW!$B$1,HIS_SALES!$E$2:$E$5129,LT_OVERVIEW!$I$25)</f>
        <v>94085.250801170099</v>
      </c>
      <c r="AH30" s="400">
        <f ca="1">SUMIFS(HIS_SALES!$I$2:$I$5129,HIS_SALES!$G$2:$G$5129,LT_OVERVIEW!AH$6,HIS_SALES!$F$2:$F$5129,AH$5,HIS_SALES!$D$2:$D$5129,LT_OVERVIEW!$B30,HIS_SALES!$C$2:$C$5129,LT_OVERVIEW!$B$1,HIS_SALES!$E$2:$E$5129,LT_OVERVIEW!$I$25)</f>
        <v>147691.1400988106</v>
      </c>
      <c r="AI30" s="400">
        <f ca="1">SUMIFS(HIS_SALES!$I$2:$I$5129,HIS_SALES!$G$2:$G$5129,LT_OVERVIEW!AI$6,HIS_SALES!$F$2:$F$5129,AI$5,HIS_SALES!$D$2:$D$5129,LT_OVERVIEW!$B30,HIS_SALES!$C$2:$C$5129,LT_OVERVIEW!$B$1,HIS_SALES!$E$2:$E$5129,LT_OVERVIEW!$I$25)</f>
        <v>32258.850523599998</v>
      </c>
      <c r="AJ30" s="400">
        <f ca="1">SUMIFS(FC_DATA!$AC$2:$AC$5000,FC_DATA!$V$2:$V$5000,$B30,FC_DATA!$W$2:$W$5000,$I$25,FC_DATA!$X$2:$X$5000,AJ$5,FC_DATA!$Y$2:$Y$5000,AJ$28)</f>
        <v>0</v>
      </c>
      <c r="AK30" s="400"/>
      <c r="AL30" s="571"/>
      <c r="AM30" s="571"/>
      <c r="AN30" s="571"/>
      <c r="AO30" s="571"/>
      <c r="AP30" s="571"/>
      <c r="AQ30" s="565"/>
      <c r="AR30" s="565"/>
      <c r="AS30" s="565"/>
      <c r="AT30" s="566"/>
      <c r="AU30" s="566"/>
    </row>
    <row r="31" spans="2:66" s="98" customFormat="1" x14ac:dyDescent="0.25">
      <c r="B31" s="110" t="str">
        <f>'PIVOT TABLE'!E6</f>
        <v>PARTNER.com</v>
      </c>
      <c r="C31" s="538">
        <f ca="1">SUMIFS(FC_DATA!$AC$2:$AC$5000,FC_DATA!$Y$2:$Y$5000,LT_OVERVIEW!C$6,FC_DATA!$X$2:$X$5000,LT_OVERVIEW!C$5,FC_DATA!$V$2:$V$5000,LT_OVERVIEW!$B31,FC_DATA!$U$2:$U$5000,LT_OVERVIEW!$B$1,FC_DATA!$W$2:$W$5000,LT_OVERVIEW!$I$25)</f>
        <v>0</v>
      </c>
      <c r="D31" s="538">
        <f ca="1">SUMIFS(FC_DATA!$AC$2:$AC$5000,FC_DATA!$Y$2:$Y$5000,LT_OVERVIEW!D$6,FC_DATA!$X$2:$X$5000,LT_OVERVIEW!D$5,FC_DATA!$V$2:$V$5000,LT_OVERVIEW!$B31,FC_DATA!$U$2:$U$5000,LT_OVERVIEW!$B$1,FC_DATA!$W$2:$W$5000,LT_OVERVIEW!$I$25)</f>
        <v>0</v>
      </c>
      <c r="E31" s="538">
        <f ca="1">SUMIFS(FC_DATA!$AC$2:$AC$5000,FC_DATA!$Y$2:$Y$5000,LT_OVERVIEW!E$6,FC_DATA!$X$2:$X$5000,LT_OVERVIEW!E$5,FC_DATA!$V$2:$V$5000,LT_OVERVIEW!$B31,FC_DATA!$U$2:$U$5000,LT_OVERVIEW!$B$1,FC_DATA!$W$2:$W$5000,LT_OVERVIEW!$I$25)</f>
        <v>0</v>
      </c>
      <c r="F31" s="538">
        <f ca="1">SUMIFS(FC_DATA!$AC$2:$AC$5000,FC_DATA!$Y$2:$Y$5000,LT_OVERVIEW!F$6,FC_DATA!$X$2:$X$5000,LT_OVERVIEW!F$5,FC_DATA!$V$2:$V$5000,LT_OVERVIEW!$B31,FC_DATA!$U$2:$U$5000,LT_OVERVIEW!$B$1,FC_DATA!$W$2:$W$5000,LT_OVERVIEW!$I$25)</f>
        <v>0</v>
      </c>
      <c r="G31" s="111"/>
      <c r="H31" s="112" t="str">
        <f t="shared" ca="1" si="49"/>
        <v>-</v>
      </c>
      <c r="I31" s="112" t="str">
        <f t="shared" ca="1" si="50"/>
        <v>-</v>
      </c>
      <c r="J31" s="112" t="str">
        <f t="shared" ca="1" si="51"/>
        <v>-</v>
      </c>
      <c r="K31" s="112" t="str">
        <f t="shared" ca="1" si="52"/>
        <v>-</v>
      </c>
      <c r="L31" s="111"/>
      <c r="M31" s="39" t="str">
        <f t="shared" ca="1" si="53"/>
        <v>-</v>
      </c>
      <c r="N31" s="39" t="str">
        <f t="shared" ca="1" si="54"/>
        <v>-</v>
      </c>
      <c r="O31" s="39" t="str">
        <f t="shared" ca="1" si="55"/>
        <v>-</v>
      </c>
      <c r="P31" s="39" t="str">
        <f t="shared" ca="1" si="56"/>
        <v>-</v>
      </c>
      <c r="Q31" s="114"/>
      <c r="R31" s="112" t="str">
        <f t="shared" ca="1" si="57"/>
        <v>-</v>
      </c>
      <c r="S31" s="112" t="str">
        <f t="shared" ca="1" si="58"/>
        <v>-</v>
      </c>
      <c r="T31" s="112" t="str">
        <f t="shared" ca="1" si="59"/>
        <v>-</v>
      </c>
      <c r="U31" s="112" t="str">
        <f t="shared" ca="1" si="60"/>
        <v>-</v>
      </c>
      <c r="V31" s="112"/>
      <c r="W31" s="112"/>
      <c r="X31" s="112"/>
      <c r="Y31" s="112"/>
      <c r="Z31" s="112"/>
      <c r="AA31" s="112"/>
      <c r="AB31" s="112"/>
      <c r="AC31" s="112"/>
      <c r="AD31" s="112"/>
      <c r="AE31" s="112"/>
      <c r="AG31" s="400">
        <f ca="1">SUMIFS(HIS_SALES!$I$2:$I$5129,HIS_SALES!$G$2:$G$5129,LT_OVERVIEW!AG$6,HIS_SALES!$F$2:$F$5129,AG$5,HIS_SALES!$D$2:$D$5129,LT_OVERVIEW!$B31,HIS_SALES!$C$2:$C$5129,LT_OVERVIEW!$B$1,HIS_SALES!$E$2:$E$5129,LT_OVERVIEW!$I$25)</f>
        <v>105617.0272428001</v>
      </c>
      <c r="AH31" s="400">
        <f ca="1">SUMIFS(HIS_SALES!$I$2:$I$5129,HIS_SALES!$G$2:$G$5129,LT_OVERVIEW!AH$6,HIS_SALES!$F$2:$F$5129,AH$5,HIS_SALES!$D$2:$D$5129,LT_OVERVIEW!$B31,HIS_SALES!$C$2:$C$5129,LT_OVERVIEW!$B$1,HIS_SALES!$E$2:$E$5129,LT_OVERVIEW!$I$25)</f>
        <v>181248.32522979061</v>
      </c>
      <c r="AI31" s="400">
        <f ca="1">SUMIFS(HIS_SALES!$I$2:$I$5129,HIS_SALES!$G$2:$G$5129,LT_OVERVIEW!AI$6,HIS_SALES!$F$2:$F$5129,AI$5,HIS_SALES!$D$2:$D$5129,LT_OVERVIEW!$B31,HIS_SALES!$C$2:$C$5129,LT_OVERVIEW!$B$1,HIS_SALES!$E$2:$E$5129,LT_OVERVIEW!$I$25)</f>
        <v>72769.463348350197</v>
      </c>
      <c r="AJ31" s="400">
        <f ca="1">SUMIFS(FC_DATA!$AC$2:$AC$5000,FC_DATA!$V$2:$V$5000,$B31,FC_DATA!$W$2:$W$5000,$I$25,FC_DATA!$X$2:$X$5000,AJ$5,FC_DATA!$Y$2:$Y$5000,AJ$28)</f>
        <v>0</v>
      </c>
      <c r="AK31" s="400"/>
      <c r="AL31" s="571"/>
      <c r="AM31" s="571"/>
      <c r="AN31" s="571"/>
      <c r="AO31" s="571"/>
      <c r="AP31" s="571"/>
      <c r="AQ31" s="565"/>
      <c r="AR31" s="565"/>
      <c r="AS31" s="565"/>
      <c r="AT31" s="566"/>
      <c r="AU31" s="566"/>
    </row>
    <row r="32" spans="2:66" s="98" customFormat="1" hidden="1" x14ac:dyDescent="0.25">
      <c r="B32" s="110">
        <f>'PIVOT TABLE'!E7</f>
        <v>0</v>
      </c>
      <c r="C32" s="538">
        <f ca="1">SUMIFS(FC_DATA!$AC$2:$AC$5000,FC_DATA!$Y$2:$Y$5000,LT_OVERVIEW!C$6,FC_DATA!$X$2:$X$5000,LT_OVERVIEW!C$5,FC_DATA!$V$2:$V$5000,LT_OVERVIEW!$B32,FC_DATA!$U$2:$U$5000,LT_OVERVIEW!$B$1,FC_DATA!$W$2:$W$5000,LT_OVERVIEW!$I$25)</f>
        <v>0</v>
      </c>
      <c r="D32" s="538">
        <f ca="1">SUMIFS(FC_DATA!$AC$2:$AC$5000,FC_DATA!$Y$2:$Y$5000,LT_OVERVIEW!D$6,FC_DATA!$X$2:$X$5000,LT_OVERVIEW!D$5,FC_DATA!$V$2:$V$5000,LT_OVERVIEW!$B32,FC_DATA!$U$2:$U$5000,LT_OVERVIEW!$B$1,FC_DATA!$W$2:$W$5000,LT_OVERVIEW!$I$25)</f>
        <v>0</v>
      </c>
      <c r="E32" s="538">
        <f ca="1">SUMIFS(FC_DATA!$AC$2:$AC$5000,FC_DATA!$Y$2:$Y$5000,LT_OVERVIEW!E$6,FC_DATA!$X$2:$X$5000,LT_OVERVIEW!E$5,FC_DATA!$V$2:$V$5000,LT_OVERVIEW!$B32,FC_DATA!$U$2:$U$5000,LT_OVERVIEW!$B$1,FC_DATA!$W$2:$W$5000,LT_OVERVIEW!$I$25)</f>
        <v>0</v>
      </c>
      <c r="F32" s="538">
        <f ca="1">SUMIFS(FC_DATA!$AC$2:$AC$5000,FC_DATA!$Y$2:$Y$5000,LT_OVERVIEW!F$6,FC_DATA!$X$2:$X$5000,LT_OVERVIEW!F$5,FC_DATA!$V$2:$V$5000,LT_OVERVIEW!$B32,FC_DATA!$U$2:$U$5000,LT_OVERVIEW!$B$1,FC_DATA!$W$2:$W$5000,LT_OVERVIEW!$I$25)</f>
        <v>0</v>
      </c>
      <c r="G32" s="111"/>
      <c r="H32" s="112" t="str">
        <f t="shared" ca="1" si="49"/>
        <v>-</v>
      </c>
      <c r="I32" s="112" t="str">
        <f t="shared" ca="1" si="50"/>
        <v>-</v>
      </c>
      <c r="J32" s="112" t="str">
        <f t="shared" ca="1" si="51"/>
        <v>-</v>
      </c>
      <c r="K32" s="112" t="str">
        <f t="shared" ca="1" si="52"/>
        <v>-</v>
      </c>
      <c r="L32" s="111"/>
      <c r="M32" s="39" t="str">
        <f t="shared" ca="1" si="53"/>
        <v>-</v>
      </c>
      <c r="N32" s="39" t="str">
        <f t="shared" ca="1" si="54"/>
        <v>-</v>
      </c>
      <c r="O32" s="39" t="str">
        <f t="shared" ca="1" si="55"/>
        <v>-</v>
      </c>
      <c r="P32" s="39" t="str">
        <f t="shared" ca="1" si="56"/>
        <v>-</v>
      </c>
      <c r="Q32" s="114"/>
      <c r="R32" s="112" t="str">
        <f t="shared" ca="1" si="57"/>
        <v>-</v>
      </c>
      <c r="S32" s="112" t="str">
        <f t="shared" ca="1" si="58"/>
        <v>-</v>
      </c>
      <c r="T32" s="112" t="str">
        <f t="shared" ca="1" si="59"/>
        <v>-</v>
      </c>
      <c r="U32" s="112" t="str">
        <f t="shared" ca="1" si="60"/>
        <v>-</v>
      </c>
      <c r="V32" s="112"/>
      <c r="W32" s="112"/>
      <c r="X32" s="112"/>
      <c r="Y32" s="112"/>
      <c r="Z32" s="112"/>
      <c r="AA32" s="112"/>
      <c r="AB32" s="112"/>
      <c r="AC32" s="112"/>
      <c r="AD32" s="112"/>
      <c r="AE32" s="112"/>
      <c r="AG32" s="400">
        <f ca="1">SUMIFS(HIS_SALES!$I$2:$I$5129,HIS_SALES!$G$2:$G$5129,LT_OVERVIEW!AG$6,HIS_SALES!$F$2:$F$5129,AG$5,HIS_SALES!$D$2:$D$5129,LT_OVERVIEW!$B32,HIS_SALES!$C$2:$C$5129,LT_OVERVIEW!$B$1,HIS_SALES!$E$2:$E$5129,LT_OVERVIEW!$I$25)</f>
        <v>0</v>
      </c>
      <c r="AH32" s="400">
        <f ca="1">SUMIFS(HIS_SALES!$I$2:$I$5129,HIS_SALES!$G$2:$G$5129,LT_OVERVIEW!AH$6,HIS_SALES!$F$2:$F$5129,AH$5,HIS_SALES!$D$2:$D$5129,LT_OVERVIEW!$B32,HIS_SALES!$C$2:$C$5129,LT_OVERVIEW!$B$1,HIS_SALES!$E$2:$E$5129,LT_OVERVIEW!$I$25)</f>
        <v>0</v>
      </c>
      <c r="AI32" s="400">
        <f ca="1">SUMIFS(HIS_SALES!$I$2:$I$5129,HIS_SALES!$G$2:$G$5129,LT_OVERVIEW!AI$6,HIS_SALES!$F$2:$F$5129,AI$5,HIS_SALES!$D$2:$D$5129,LT_OVERVIEW!$B32,HIS_SALES!$C$2:$C$5129,LT_OVERVIEW!$B$1,HIS_SALES!$E$2:$E$5129,LT_OVERVIEW!$I$25)</f>
        <v>0</v>
      </c>
      <c r="AJ32" s="400">
        <f ca="1">SUMIFS(FC_DATA!$AC$2:$AC$5000,FC_DATA!$V$2:$V$5000,$B32,FC_DATA!$W$2:$W$5000,$I$25,FC_DATA!$X$2:$X$5000,AJ$5,FC_DATA!$Y$2:$Y$5000,AJ$28)</f>
        <v>0</v>
      </c>
      <c r="AK32" s="400"/>
      <c r="AL32" s="571"/>
      <c r="AM32" s="571"/>
      <c r="AN32" s="571"/>
      <c r="AO32" s="571"/>
      <c r="AP32" s="571"/>
      <c r="AQ32" s="565"/>
      <c r="AR32" s="565"/>
      <c r="AS32" s="565"/>
      <c r="AT32" s="566"/>
      <c r="AU32" s="566"/>
    </row>
    <row r="33" spans="2:47" s="98" customFormat="1" hidden="1" x14ac:dyDescent="0.25">
      <c r="B33" s="110">
        <f>'PIVOT TABLE'!E8</f>
        <v>0</v>
      </c>
      <c r="C33" s="538">
        <f ca="1">SUMIFS(FC_DATA!$AC$2:$AC$5000,FC_DATA!$Y$2:$Y$5000,LT_OVERVIEW!C$6,FC_DATA!$X$2:$X$5000,LT_OVERVIEW!C$5,FC_DATA!$V$2:$V$5000,LT_OVERVIEW!$B33,FC_DATA!$U$2:$U$5000,LT_OVERVIEW!$B$1,FC_DATA!$W$2:$W$5000,LT_OVERVIEW!$I$25)</f>
        <v>0</v>
      </c>
      <c r="D33" s="538">
        <f ca="1">SUMIFS(FC_DATA!$AC$2:$AC$5000,FC_DATA!$Y$2:$Y$5000,LT_OVERVIEW!D$6,FC_DATA!$X$2:$X$5000,LT_OVERVIEW!D$5,FC_DATA!$V$2:$V$5000,LT_OVERVIEW!$B33,FC_DATA!$U$2:$U$5000,LT_OVERVIEW!$B$1,FC_DATA!$W$2:$W$5000,LT_OVERVIEW!$I$25)</f>
        <v>0</v>
      </c>
      <c r="E33" s="538">
        <f ca="1">SUMIFS(FC_DATA!$AC$2:$AC$5000,FC_DATA!$Y$2:$Y$5000,LT_OVERVIEW!E$6,FC_DATA!$X$2:$X$5000,LT_OVERVIEW!E$5,FC_DATA!$V$2:$V$5000,LT_OVERVIEW!$B33,FC_DATA!$U$2:$U$5000,LT_OVERVIEW!$B$1,FC_DATA!$W$2:$W$5000,LT_OVERVIEW!$I$25)</f>
        <v>0</v>
      </c>
      <c r="F33" s="538">
        <f ca="1">SUMIFS(FC_DATA!$AC$2:$AC$5000,FC_DATA!$Y$2:$Y$5000,LT_OVERVIEW!F$6,FC_DATA!$X$2:$X$5000,LT_OVERVIEW!F$5,FC_DATA!$V$2:$V$5000,LT_OVERVIEW!$B33,FC_DATA!$U$2:$U$5000,LT_OVERVIEW!$B$1,FC_DATA!$W$2:$W$5000,LT_OVERVIEW!$I$25)</f>
        <v>0</v>
      </c>
      <c r="G33" s="111"/>
      <c r="H33" s="112" t="str">
        <f t="shared" ca="1" si="49"/>
        <v>-</v>
      </c>
      <c r="I33" s="112" t="str">
        <f t="shared" ca="1" si="50"/>
        <v>-</v>
      </c>
      <c r="J33" s="112" t="str">
        <f t="shared" ca="1" si="51"/>
        <v>-</v>
      </c>
      <c r="K33" s="112" t="str">
        <f t="shared" ca="1" si="52"/>
        <v>-</v>
      </c>
      <c r="L33" s="111"/>
      <c r="M33" s="39" t="str">
        <f t="shared" ca="1" si="53"/>
        <v>-</v>
      </c>
      <c r="N33" s="39" t="str">
        <f t="shared" ca="1" si="54"/>
        <v>-</v>
      </c>
      <c r="O33" s="39" t="str">
        <f t="shared" ca="1" si="55"/>
        <v>-</v>
      </c>
      <c r="P33" s="39" t="str">
        <f t="shared" ca="1" si="56"/>
        <v>-</v>
      </c>
      <c r="Q33" s="114"/>
      <c r="R33" s="112" t="str">
        <f t="shared" ca="1" si="57"/>
        <v>-</v>
      </c>
      <c r="S33" s="112" t="str">
        <f t="shared" ca="1" si="58"/>
        <v>-</v>
      </c>
      <c r="T33" s="112" t="str">
        <f t="shared" ca="1" si="59"/>
        <v>-</v>
      </c>
      <c r="U33" s="112" t="str">
        <f t="shared" ca="1" si="60"/>
        <v>-</v>
      </c>
      <c r="V33" s="112"/>
      <c r="W33" s="112"/>
      <c r="X33" s="112"/>
      <c r="Y33" s="112"/>
      <c r="Z33" s="112"/>
      <c r="AA33" s="112"/>
      <c r="AB33" s="112"/>
      <c r="AC33" s="112"/>
      <c r="AD33" s="112"/>
      <c r="AE33" s="112"/>
      <c r="AG33" s="400">
        <f ca="1">SUMIFS(HIS_SALES!$I$2:$I$5129,HIS_SALES!$G$2:$G$5129,LT_OVERVIEW!AG$6,HIS_SALES!$F$2:$F$5129,AG$5,HIS_SALES!$D$2:$D$5129,LT_OVERVIEW!$B33,HIS_SALES!$C$2:$C$5129,LT_OVERVIEW!$B$1,HIS_SALES!$E$2:$E$5129,LT_OVERVIEW!$I$25)</f>
        <v>0</v>
      </c>
      <c r="AH33" s="400">
        <f ca="1">SUMIFS(HIS_SALES!$I$2:$I$5129,HIS_SALES!$G$2:$G$5129,LT_OVERVIEW!AH$6,HIS_SALES!$F$2:$F$5129,AH$5,HIS_SALES!$D$2:$D$5129,LT_OVERVIEW!$B33,HIS_SALES!$C$2:$C$5129,LT_OVERVIEW!$B$1,HIS_SALES!$E$2:$E$5129,LT_OVERVIEW!$I$25)</f>
        <v>0</v>
      </c>
      <c r="AI33" s="400">
        <f ca="1">SUMIFS(HIS_SALES!$I$2:$I$5129,HIS_SALES!$G$2:$G$5129,LT_OVERVIEW!AI$6,HIS_SALES!$F$2:$F$5129,AI$5,HIS_SALES!$D$2:$D$5129,LT_OVERVIEW!$B33,HIS_SALES!$C$2:$C$5129,LT_OVERVIEW!$B$1,HIS_SALES!$E$2:$E$5129,LT_OVERVIEW!$I$25)</f>
        <v>0</v>
      </c>
      <c r="AJ33" s="400">
        <f ca="1">SUMIFS(FC_DATA!$AC$2:$AC$5000,FC_DATA!$V$2:$V$5000,$B33,FC_DATA!$W$2:$W$5000,$I$25,FC_DATA!$X$2:$X$5000,AJ$5,FC_DATA!$Y$2:$Y$5000,AJ$28)</f>
        <v>0</v>
      </c>
      <c r="AK33" s="400"/>
      <c r="AL33" s="571"/>
      <c r="AM33" s="571"/>
      <c r="AN33" s="571"/>
      <c r="AO33" s="571"/>
      <c r="AP33" s="571"/>
      <c r="AQ33" s="565"/>
      <c r="AR33" s="565"/>
      <c r="AS33" s="565"/>
      <c r="AT33" s="565"/>
      <c r="AU33" s="565"/>
    </row>
    <row r="34" spans="2:47" s="98" customFormat="1" hidden="1" x14ac:dyDescent="0.25">
      <c r="B34" s="110">
        <f>'PIVOT TABLE'!E9</f>
        <v>0</v>
      </c>
      <c r="C34" s="538">
        <f ca="1">SUMIFS(FC_DATA!$AC$2:$AC$5000,FC_DATA!$Y$2:$Y$5000,LT_OVERVIEW!C$6,FC_DATA!$X$2:$X$5000,LT_OVERVIEW!C$5,FC_DATA!$V$2:$V$5000,LT_OVERVIEW!$B34,FC_DATA!$U$2:$U$5000,LT_OVERVIEW!$B$1,FC_DATA!$W$2:$W$5000,LT_OVERVIEW!$I$25)</f>
        <v>0</v>
      </c>
      <c r="D34" s="538">
        <f ca="1">SUMIFS(FC_DATA!$AC$2:$AC$5000,FC_DATA!$Y$2:$Y$5000,LT_OVERVIEW!D$6,FC_DATA!$X$2:$X$5000,LT_OVERVIEW!D$5,FC_DATA!$V$2:$V$5000,LT_OVERVIEW!$B34,FC_DATA!$U$2:$U$5000,LT_OVERVIEW!$B$1,FC_DATA!$W$2:$W$5000,LT_OVERVIEW!$I$25)</f>
        <v>0</v>
      </c>
      <c r="E34" s="538">
        <f ca="1">SUMIFS(FC_DATA!$AC$2:$AC$5000,FC_DATA!$Y$2:$Y$5000,LT_OVERVIEW!E$6,FC_DATA!$X$2:$X$5000,LT_OVERVIEW!E$5,FC_DATA!$V$2:$V$5000,LT_OVERVIEW!$B34,FC_DATA!$U$2:$U$5000,LT_OVERVIEW!$B$1,FC_DATA!$W$2:$W$5000,LT_OVERVIEW!$I$25)</f>
        <v>0</v>
      </c>
      <c r="F34" s="538">
        <f ca="1">SUMIFS(FC_DATA!$AC$2:$AC$5000,FC_DATA!$Y$2:$Y$5000,LT_OVERVIEW!F$6,FC_DATA!$X$2:$X$5000,LT_OVERVIEW!F$5,FC_DATA!$V$2:$V$5000,LT_OVERVIEW!$B34,FC_DATA!$U$2:$U$5000,LT_OVERVIEW!$B$1,FC_DATA!$W$2:$W$5000,LT_OVERVIEW!$I$25)</f>
        <v>0</v>
      </c>
      <c r="G34" s="111"/>
      <c r="H34" s="112" t="str">
        <f t="shared" ca="1" si="49"/>
        <v>-</v>
      </c>
      <c r="I34" s="112" t="str">
        <f t="shared" ca="1" si="50"/>
        <v>-</v>
      </c>
      <c r="J34" s="112" t="str">
        <f t="shared" ca="1" si="51"/>
        <v>-</v>
      </c>
      <c r="K34" s="112" t="str">
        <f t="shared" ca="1" si="52"/>
        <v>-</v>
      </c>
      <c r="L34" s="111"/>
      <c r="M34" s="39" t="str">
        <f t="shared" ca="1" si="53"/>
        <v>-</v>
      </c>
      <c r="N34" s="39" t="str">
        <f t="shared" ca="1" si="54"/>
        <v>-</v>
      </c>
      <c r="O34" s="39" t="str">
        <f t="shared" ca="1" si="55"/>
        <v>-</v>
      </c>
      <c r="P34" s="39" t="str">
        <f t="shared" ca="1" si="56"/>
        <v>-</v>
      </c>
      <c r="Q34" s="114"/>
      <c r="R34" s="112" t="str">
        <f t="shared" ca="1" si="57"/>
        <v>-</v>
      </c>
      <c r="S34" s="112" t="str">
        <f t="shared" ca="1" si="58"/>
        <v>-</v>
      </c>
      <c r="T34" s="112" t="str">
        <f t="shared" ca="1" si="59"/>
        <v>-</v>
      </c>
      <c r="U34" s="112" t="str">
        <f t="shared" ca="1" si="60"/>
        <v>-</v>
      </c>
      <c r="V34" s="112"/>
      <c r="W34" s="112"/>
      <c r="X34" s="112"/>
      <c r="Y34" s="112"/>
      <c r="Z34" s="112"/>
      <c r="AA34" s="112"/>
      <c r="AB34" s="112"/>
      <c r="AC34" s="112"/>
      <c r="AD34" s="112"/>
      <c r="AE34" s="112"/>
      <c r="AG34" s="400">
        <f ca="1">SUMIFS(HIS_SALES!$I$2:$I$5129,HIS_SALES!$G$2:$G$5129,LT_OVERVIEW!AG$6,HIS_SALES!$F$2:$F$5129,AG$5,HIS_SALES!$D$2:$D$5129,LT_OVERVIEW!$B34,HIS_SALES!$C$2:$C$5129,LT_OVERVIEW!$B$1,HIS_SALES!$E$2:$E$5129,LT_OVERVIEW!$I$25)</f>
        <v>0</v>
      </c>
      <c r="AH34" s="400">
        <f ca="1">SUMIFS(HIS_SALES!$I$2:$I$5129,HIS_SALES!$G$2:$G$5129,LT_OVERVIEW!AH$6,HIS_SALES!$F$2:$F$5129,AH$5,HIS_SALES!$D$2:$D$5129,LT_OVERVIEW!$B34,HIS_SALES!$C$2:$C$5129,LT_OVERVIEW!$B$1,HIS_SALES!$E$2:$E$5129,LT_OVERVIEW!$I$25)</f>
        <v>0</v>
      </c>
      <c r="AI34" s="400">
        <f ca="1">SUMIFS(HIS_SALES!$I$2:$I$5129,HIS_SALES!$G$2:$G$5129,LT_OVERVIEW!AI$6,HIS_SALES!$F$2:$F$5129,AI$5,HIS_SALES!$D$2:$D$5129,LT_OVERVIEW!$B34,HIS_SALES!$C$2:$C$5129,LT_OVERVIEW!$B$1,HIS_SALES!$E$2:$E$5129,LT_OVERVIEW!$I$25)</f>
        <v>0</v>
      </c>
      <c r="AJ34" s="400">
        <f ca="1">SUMIFS(FC_DATA!$AC$2:$AC$5000,FC_DATA!$V$2:$V$5000,$B34,FC_DATA!$W$2:$W$5000,$I$25,FC_DATA!$X$2:$X$5000,AJ$5,FC_DATA!$Y$2:$Y$5000,AJ$28)</f>
        <v>0</v>
      </c>
      <c r="AK34" s="400"/>
      <c r="AL34" s="571"/>
      <c r="AM34" s="571"/>
      <c r="AN34" s="571"/>
      <c r="AO34" s="571"/>
      <c r="AP34" s="571"/>
      <c r="AQ34" s="565"/>
      <c r="AR34" s="565"/>
      <c r="AS34" s="565"/>
      <c r="AT34" s="565"/>
      <c r="AU34" s="565"/>
    </row>
    <row r="35" spans="2:47" s="98" customFormat="1" hidden="1" x14ac:dyDescent="0.25">
      <c r="B35" s="110">
        <f>'PIVOT TABLE'!E10</f>
        <v>0</v>
      </c>
      <c r="C35" s="538">
        <f ca="1">SUMIFS(FC_DATA!$AC$2:$AC$5000,FC_DATA!$Y$2:$Y$5000,LT_OVERVIEW!C$6,FC_DATA!$X$2:$X$5000,LT_OVERVIEW!C$5,FC_DATA!$V$2:$V$5000,LT_OVERVIEW!$B35,FC_DATA!$U$2:$U$5000,LT_OVERVIEW!$B$1,FC_DATA!$W$2:$W$5000,LT_OVERVIEW!$I$25)</f>
        <v>0</v>
      </c>
      <c r="D35" s="538">
        <f ca="1">SUMIFS(FC_DATA!$AC$2:$AC$5000,FC_DATA!$Y$2:$Y$5000,LT_OVERVIEW!D$6,FC_DATA!$X$2:$X$5000,LT_OVERVIEW!D$5,FC_DATA!$V$2:$V$5000,LT_OVERVIEW!$B35,FC_DATA!$U$2:$U$5000,LT_OVERVIEW!$B$1,FC_DATA!$W$2:$W$5000,LT_OVERVIEW!$I$25)</f>
        <v>0</v>
      </c>
      <c r="E35" s="538">
        <f ca="1">SUMIFS(FC_DATA!$AC$2:$AC$5000,FC_DATA!$Y$2:$Y$5000,LT_OVERVIEW!E$6,FC_DATA!$X$2:$X$5000,LT_OVERVIEW!E$5,FC_DATA!$V$2:$V$5000,LT_OVERVIEW!$B35,FC_DATA!$U$2:$U$5000,LT_OVERVIEW!$B$1,FC_DATA!$W$2:$W$5000,LT_OVERVIEW!$I$25)</f>
        <v>0</v>
      </c>
      <c r="F35" s="538">
        <f ca="1">SUMIFS(FC_DATA!$AC$2:$AC$5000,FC_DATA!$Y$2:$Y$5000,LT_OVERVIEW!F$6,FC_DATA!$X$2:$X$5000,LT_OVERVIEW!F$5,FC_DATA!$V$2:$V$5000,LT_OVERVIEW!$B35,FC_DATA!$U$2:$U$5000,LT_OVERVIEW!$B$1,FC_DATA!$W$2:$W$5000,LT_OVERVIEW!$I$25)</f>
        <v>0</v>
      </c>
      <c r="G35" s="111"/>
      <c r="H35" s="112" t="str">
        <f t="shared" ca="1" si="49"/>
        <v>-</v>
      </c>
      <c r="I35" s="112" t="str">
        <f t="shared" ca="1" si="50"/>
        <v>-</v>
      </c>
      <c r="J35" s="112" t="str">
        <f t="shared" ca="1" si="51"/>
        <v>-</v>
      </c>
      <c r="K35" s="112" t="str">
        <f t="shared" ca="1" si="52"/>
        <v>-</v>
      </c>
      <c r="L35" s="111"/>
      <c r="M35" s="113" t="str">
        <f t="shared" ca="1" si="53"/>
        <v>-</v>
      </c>
      <c r="N35" s="113" t="str">
        <f t="shared" ca="1" si="54"/>
        <v>-</v>
      </c>
      <c r="O35" s="113" t="str">
        <f t="shared" ca="1" si="55"/>
        <v>-</v>
      </c>
      <c r="P35" s="113" t="str">
        <f t="shared" ca="1" si="56"/>
        <v>-</v>
      </c>
      <c r="Q35" s="114"/>
      <c r="R35" s="112" t="str">
        <f t="shared" ca="1" si="57"/>
        <v>-</v>
      </c>
      <c r="S35" s="112" t="str">
        <f t="shared" ca="1" si="58"/>
        <v>-</v>
      </c>
      <c r="T35" s="112" t="str">
        <f t="shared" ca="1" si="59"/>
        <v>-</v>
      </c>
      <c r="U35" s="112" t="str">
        <f t="shared" ca="1" si="60"/>
        <v>-</v>
      </c>
      <c r="V35" s="112"/>
      <c r="W35" s="112"/>
      <c r="X35" s="112"/>
      <c r="Y35" s="112"/>
      <c r="Z35" s="112"/>
      <c r="AA35" s="112"/>
      <c r="AB35" s="112"/>
      <c r="AC35" s="112"/>
      <c r="AD35" s="112"/>
      <c r="AE35" s="112"/>
      <c r="AG35" s="400">
        <f ca="1">SUMIFS(HIS_SALES!$I$2:$I$5129,HIS_SALES!$G$2:$G$5129,LT_OVERVIEW!AG$6,HIS_SALES!$F$2:$F$5129,AG$5,HIS_SALES!$D$2:$D$5129,LT_OVERVIEW!$B35,HIS_SALES!$C$2:$C$5129,LT_OVERVIEW!$B$1,HIS_SALES!$E$2:$E$5129,LT_OVERVIEW!$I$25)</f>
        <v>0</v>
      </c>
      <c r="AH35" s="400">
        <f ca="1">SUMIFS(HIS_SALES!$I$2:$I$5129,HIS_SALES!$G$2:$G$5129,LT_OVERVIEW!AH$6,HIS_SALES!$F$2:$F$5129,AH$5,HIS_SALES!$D$2:$D$5129,LT_OVERVIEW!$B35,HIS_SALES!$C$2:$C$5129,LT_OVERVIEW!$B$1,HIS_SALES!$E$2:$E$5129,LT_OVERVIEW!$I$25)</f>
        <v>0</v>
      </c>
      <c r="AI35" s="400">
        <f ca="1">SUMIFS(HIS_SALES!$I$2:$I$5129,HIS_SALES!$G$2:$G$5129,LT_OVERVIEW!AI$6,HIS_SALES!$F$2:$F$5129,AI$5,HIS_SALES!$D$2:$D$5129,LT_OVERVIEW!$B35,HIS_SALES!$C$2:$C$5129,LT_OVERVIEW!$B$1,HIS_SALES!$E$2:$E$5129,LT_OVERVIEW!$I$25)</f>
        <v>0</v>
      </c>
      <c r="AJ35" s="400">
        <f ca="1">SUMIFS(FC_DATA!$AC$2:$AC$5000,FC_DATA!$V$2:$V$5000,$B35,FC_DATA!$W$2:$W$5000,$I$25,FC_DATA!$X$2:$X$5000,AJ$5,FC_DATA!$Y$2:$Y$5000,AJ$28)</f>
        <v>0</v>
      </c>
      <c r="AK35" s="400"/>
      <c r="AL35" s="571"/>
      <c r="AM35" s="571"/>
      <c r="AN35" s="571"/>
      <c r="AO35" s="571"/>
      <c r="AP35" s="571"/>
      <c r="AQ35" s="565"/>
      <c r="AR35" s="565"/>
      <c r="AS35" s="565"/>
      <c r="AT35" s="565"/>
      <c r="AU35" s="565"/>
    </row>
    <row r="36" spans="2:47" s="98" customFormat="1" hidden="1" x14ac:dyDescent="0.25">
      <c r="B36" s="110">
        <f>'PIVOT TABLE'!E11</f>
        <v>0</v>
      </c>
      <c r="C36" s="538">
        <f ca="1">SUMIFS(FC_DATA!$AC$2:$AC$5000,FC_DATA!$Y$2:$Y$5000,LT_OVERVIEW!C$6,FC_DATA!$X$2:$X$5000,LT_OVERVIEW!C$5,FC_DATA!$V$2:$V$5000,LT_OVERVIEW!$B36,FC_DATA!$U$2:$U$5000,LT_OVERVIEW!$B$1,FC_DATA!$W$2:$W$5000,LT_OVERVIEW!$I$25)</f>
        <v>0</v>
      </c>
      <c r="D36" s="538">
        <f ca="1">SUMIFS(FC_DATA!$AC$2:$AC$5000,FC_DATA!$Y$2:$Y$5000,LT_OVERVIEW!D$6,FC_DATA!$X$2:$X$5000,LT_OVERVIEW!D$5,FC_DATA!$V$2:$V$5000,LT_OVERVIEW!$B36,FC_DATA!$U$2:$U$5000,LT_OVERVIEW!$B$1,FC_DATA!$W$2:$W$5000,LT_OVERVIEW!$I$25)</f>
        <v>0</v>
      </c>
      <c r="E36" s="538">
        <f ca="1">SUMIFS(FC_DATA!$AC$2:$AC$5000,FC_DATA!$Y$2:$Y$5000,LT_OVERVIEW!E$6,FC_DATA!$X$2:$X$5000,LT_OVERVIEW!E$5,FC_DATA!$V$2:$V$5000,LT_OVERVIEW!$B36,FC_DATA!$U$2:$U$5000,LT_OVERVIEW!$B$1,FC_DATA!$W$2:$W$5000,LT_OVERVIEW!$I$25)</f>
        <v>0</v>
      </c>
      <c r="F36" s="538">
        <f ca="1">SUMIFS(FC_DATA!$AC$2:$AC$5000,FC_DATA!$Y$2:$Y$5000,LT_OVERVIEW!F$6,FC_DATA!$X$2:$X$5000,LT_OVERVIEW!F$5,FC_DATA!$V$2:$V$5000,LT_OVERVIEW!$B36,FC_DATA!$U$2:$U$5000,LT_OVERVIEW!$B$1,FC_DATA!$W$2:$W$5000,LT_OVERVIEW!$I$25)</f>
        <v>0</v>
      </c>
      <c r="G36" s="111"/>
      <c r="H36" s="112" t="str">
        <f t="shared" ca="1" si="49"/>
        <v>-</v>
      </c>
      <c r="I36" s="112" t="str">
        <f t="shared" ca="1" si="50"/>
        <v>-</v>
      </c>
      <c r="J36" s="112" t="str">
        <f t="shared" ca="1" si="51"/>
        <v>-</v>
      </c>
      <c r="K36" s="112" t="str">
        <f t="shared" ca="1" si="52"/>
        <v>-</v>
      </c>
      <c r="L36" s="111"/>
      <c r="M36" s="113" t="str">
        <f t="shared" ca="1" si="53"/>
        <v>-</v>
      </c>
      <c r="N36" s="113" t="str">
        <f t="shared" ca="1" si="54"/>
        <v>-</v>
      </c>
      <c r="O36" s="113" t="str">
        <f t="shared" ca="1" si="55"/>
        <v>-</v>
      </c>
      <c r="P36" s="113" t="str">
        <f t="shared" ca="1" si="56"/>
        <v>-</v>
      </c>
      <c r="Q36" s="114"/>
      <c r="R36" s="112" t="str">
        <f t="shared" ca="1" si="57"/>
        <v>-</v>
      </c>
      <c r="S36" s="112" t="str">
        <f t="shared" ca="1" si="58"/>
        <v>-</v>
      </c>
      <c r="T36" s="112" t="str">
        <f t="shared" ca="1" si="59"/>
        <v>-</v>
      </c>
      <c r="U36" s="112" t="str">
        <f t="shared" ca="1" si="60"/>
        <v>-</v>
      </c>
      <c r="V36" s="112"/>
      <c r="W36" s="112"/>
      <c r="X36" s="112"/>
      <c r="Y36" s="112"/>
      <c r="Z36" s="112"/>
      <c r="AA36" s="112"/>
      <c r="AB36" s="112"/>
      <c r="AC36" s="112"/>
      <c r="AD36" s="112"/>
      <c r="AE36" s="112"/>
      <c r="AG36" s="400">
        <f ca="1">SUMIFS(HIS_SALES!$I$2:$I$5129,HIS_SALES!$G$2:$G$5129,LT_OVERVIEW!AG$6,HIS_SALES!$F$2:$F$5129,AG$5,HIS_SALES!$D$2:$D$5129,LT_OVERVIEW!$B36,HIS_SALES!$C$2:$C$5129,LT_OVERVIEW!$B$1,HIS_SALES!$E$2:$E$5129,LT_OVERVIEW!$I$25)</f>
        <v>0</v>
      </c>
      <c r="AH36" s="400">
        <f ca="1">SUMIFS(HIS_SALES!$I$2:$I$5129,HIS_SALES!$G$2:$G$5129,LT_OVERVIEW!AH$6,HIS_SALES!$F$2:$F$5129,AH$5,HIS_SALES!$D$2:$D$5129,LT_OVERVIEW!$B36,HIS_SALES!$C$2:$C$5129,LT_OVERVIEW!$B$1,HIS_SALES!$E$2:$E$5129,LT_OVERVIEW!$I$25)</f>
        <v>0</v>
      </c>
      <c r="AI36" s="400">
        <f ca="1">SUMIFS(HIS_SALES!$I$2:$I$5129,HIS_SALES!$G$2:$G$5129,LT_OVERVIEW!AI$6,HIS_SALES!$F$2:$F$5129,AI$5,HIS_SALES!$D$2:$D$5129,LT_OVERVIEW!$B36,HIS_SALES!$C$2:$C$5129,LT_OVERVIEW!$B$1,HIS_SALES!$E$2:$E$5129,LT_OVERVIEW!$I$25)</f>
        <v>0</v>
      </c>
      <c r="AJ36" s="400">
        <f ca="1">SUMIFS(FC_DATA!$AC$2:$AC$5000,FC_DATA!$V$2:$V$5000,$B36,FC_DATA!$W$2:$W$5000,$I$25,FC_DATA!$X$2:$X$5000,AJ$5,FC_DATA!$Y$2:$Y$5000,AJ$28)</f>
        <v>0</v>
      </c>
      <c r="AK36" s="400"/>
      <c r="AL36" s="571"/>
      <c r="AM36" s="571"/>
      <c r="AN36" s="571"/>
      <c r="AO36" s="571"/>
      <c r="AP36" s="571"/>
      <c r="AQ36" s="565"/>
      <c r="AR36" s="565"/>
      <c r="AS36" s="565"/>
      <c r="AT36" s="565"/>
      <c r="AU36" s="565"/>
    </row>
    <row r="37" spans="2:47" s="98" customFormat="1" hidden="1" x14ac:dyDescent="0.25">
      <c r="B37" s="110">
        <f>'PIVOT TABLE'!E12</f>
        <v>0</v>
      </c>
      <c r="C37" s="538">
        <f ca="1">SUMIFS(FC_DATA!$AC$2:$AC$5000,FC_DATA!$Y$2:$Y$5000,LT_OVERVIEW!C$6,FC_DATA!$X$2:$X$5000,LT_OVERVIEW!C$5,FC_DATA!$V$2:$V$5000,LT_OVERVIEW!$B37,FC_DATA!$U$2:$U$5000,LT_OVERVIEW!$B$1,FC_DATA!$W$2:$W$5000,LT_OVERVIEW!$I$25)</f>
        <v>0</v>
      </c>
      <c r="D37" s="538">
        <f ca="1">SUMIFS(FC_DATA!$AC$2:$AC$5000,FC_DATA!$Y$2:$Y$5000,LT_OVERVIEW!D$6,FC_DATA!$X$2:$X$5000,LT_OVERVIEW!D$5,FC_DATA!$V$2:$V$5000,LT_OVERVIEW!$B37,FC_DATA!$U$2:$U$5000,LT_OVERVIEW!$B$1,FC_DATA!$W$2:$W$5000,LT_OVERVIEW!$I$25)</f>
        <v>0</v>
      </c>
      <c r="E37" s="538">
        <f ca="1">SUMIFS(FC_DATA!$AC$2:$AC$5000,FC_DATA!$Y$2:$Y$5000,LT_OVERVIEW!E$6,FC_DATA!$X$2:$X$5000,LT_OVERVIEW!E$5,FC_DATA!$V$2:$V$5000,LT_OVERVIEW!$B37,FC_DATA!$U$2:$U$5000,LT_OVERVIEW!$B$1,FC_DATA!$W$2:$W$5000,LT_OVERVIEW!$I$25)</f>
        <v>0</v>
      </c>
      <c r="F37" s="538">
        <f ca="1">SUMIFS(FC_DATA!$AC$2:$AC$5000,FC_DATA!$Y$2:$Y$5000,LT_OVERVIEW!F$6,FC_DATA!$X$2:$X$5000,LT_OVERVIEW!F$5,FC_DATA!$V$2:$V$5000,LT_OVERVIEW!$B37,FC_DATA!$U$2:$U$5000,LT_OVERVIEW!$B$1,FC_DATA!$W$2:$W$5000,LT_OVERVIEW!$I$25)</f>
        <v>0</v>
      </c>
      <c r="G37" s="111"/>
      <c r="H37" s="112" t="str">
        <f t="shared" ca="1" si="49"/>
        <v>-</v>
      </c>
      <c r="I37" s="112" t="str">
        <f t="shared" ca="1" si="50"/>
        <v>-</v>
      </c>
      <c r="J37" s="112" t="str">
        <f t="shared" ca="1" si="51"/>
        <v>-</v>
      </c>
      <c r="K37" s="112" t="str">
        <f t="shared" ca="1" si="52"/>
        <v>-</v>
      </c>
      <c r="L37" s="111"/>
      <c r="M37" s="113" t="str">
        <f t="shared" ca="1" si="53"/>
        <v>-</v>
      </c>
      <c r="N37" s="113" t="str">
        <f t="shared" ca="1" si="54"/>
        <v>-</v>
      </c>
      <c r="O37" s="113" t="str">
        <f t="shared" ca="1" si="55"/>
        <v>-</v>
      </c>
      <c r="P37" s="113" t="str">
        <f t="shared" ca="1" si="56"/>
        <v>-</v>
      </c>
      <c r="Q37" s="114"/>
      <c r="R37" s="112" t="str">
        <f t="shared" ca="1" si="57"/>
        <v>-</v>
      </c>
      <c r="S37" s="112" t="str">
        <f t="shared" ca="1" si="58"/>
        <v>-</v>
      </c>
      <c r="T37" s="112" t="str">
        <f t="shared" ca="1" si="59"/>
        <v>-</v>
      </c>
      <c r="U37" s="112" t="str">
        <f t="shared" ca="1" si="60"/>
        <v>-</v>
      </c>
      <c r="V37" s="112"/>
      <c r="W37" s="112"/>
      <c r="X37" s="112"/>
      <c r="Y37" s="112"/>
      <c r="Z37" s="112"/>
      <c r="AA37" s="112"/>
      <c r="AB37" s="112"/>
      <c r="AC37" s="112"/>
      <c r="AD37" s="112"/>
      <c r="AE37" s="112"/>
      <c r="AG37" s="400">
        <f ca="1">SUMIFS(HIS_SALES!$I$2:$I$5129,HIS_SALES!$G$2:$G$5129,LT_OVERVIEW!AG$6,HIS_SALES!$F$2:$F$5129,AG$5,HIS_SALES!$D$2:$D$5129,LT_OVERVIEW!$B37,HIS_SALES!$C$2:$C$5129,LT_OVERVIEW!$B$1,HIS_SALES!$E$2:$E$5129,LT_OVERVIEW!$I$25)</f>
        <v>0</v>
      </c>
      <c r="AH37" s="400">
        <f ca="1">SUMIFS(HIS_SALES!$I$2:$I$5129,HIS_SALES!$G$2:$G$5129,LT_OVERVIEW!AH$6,HIS_SALES!$F$2:$F$5129,AH$5,HIS_SALES!$D$2:$D$5129,LT_OVERVIEW!$B37,HIS_SALES!$C$2:$C$5129,LT_OVERVIEW!$B$1,HIS_SALES!$E$2:$E$5129,LT_OVERVIEW!$I$25)</f>
        <v>0</v>
      </c>
      <c r="AI37" s="400">
        <f ca="1">SUMIFS(HIS_SALES!$I$2:$I$5129,HIS_SALES!$G$2:$G$5129,LT_OVERVIEW!AI$6,HIS_SALES!$F$2:$F$5129,AI$5,HIS_SALES!$D$2:$D$5129,LT_OVERVIEW!$B37,HIS_SALES!$C$2:$C$5129,LT_OVERVIEW!$B$1,HIS_SALES!$E$2:$E$5129,LT_OVERVIEW!$I$25)</f>
        <v>0</v>
      </c>
      <c r="AJ37" s="400">
        <f ca="1">SUMIFS(FC_DATA!$AC$2:$AC$5000,FC_DATA!$V$2:$V$5000,$B37,FC_DATA!$W$2:$W$5000,$I$25,FC_DATA!$X$2:$X$5000,AJ$5,FC_DATA!$Y$2:$Y$5000,AJ$28)</f>
        <v>0</v>
      </c>
      <c r="AK37" s="400"/>
      <c r="AL37" s="571"/>
      <c r="AM37" s="571"/>
      <c r="AN37" s="571"/>
      <c r="AO37" s="571"/>
      <c r="AP37" s="571"/>
      <c r="AQ37" s="565"/>
      <c r="AR37" s="565"/>
      <c r="AS37" s="565"/>
      <c r="AT37" s="565"/>
      <c r="AU37" s="565"/>
    </row>
    <row r="38" spans="2:47" s="98" customFormat="1" hidden="1" x14ac:dyDescent="0.25">
      <c r="B38" s="110">
        <f>'PIVOT TABLE'!E13</f>
        <v>0</v>
      </c>
      <c r="C38" s="538">
        <f ca="1">SUMIFS(FC_DATA!$AC$2:$AC$5000,FC_DATA!$Y$2:$Y$5000,LT_OVERVIEW!C$6,FC_DATA!$X$2:$X$5000,LT_OVERVIEW!C$5,FC_DATA!$V$2:$V$5000,LT_OVERVIEW!$B38,FC_DATA!$U$2:$U$5000,LT_OVERVIEW!$B$1,FC_DATA!$W$2:$W$5000,LT_OVERVIEW!$I$25)</f>
        <v>0</v>
      </c>
      <c r="D38" s="538">
        <f ca="1">SUMIFS(FC_DATA!$AC$2:$AC$5000,FC_DATA!$Y$2:$Y$5000,LT_OVERVIEW!D$6,FC_DATA!$X$2:$X$5000,LT_OVERVIEW!D$5,FC_DATA!$V$2:$V$5000,LT_OVERVIEW!$B38,FC_DATA!$U$2:$U$5000,LT_OVERVIEW!$B$1,FC_DATA!$W$2:$W$5000,LT_OVERVIEW!$I$25)</f>
        <v>0</v>
      </c>
      <c r="E38" s="538">
        <f ca="1">SUMIFS(FC_DATA!$AC$2:$AC$5000,FC_DATA!$Y$2:$Y$5000,LT_OVERVIEW!E$6,FC_DATA!$X$2:$X$5000,LT_OVERVIEW!E$5,FC_DATA!$V$2:$V$5000,LT_OVERVIEW!$B38,FC_DATA!$U$2:$U$5000,LT_OVERVIEW!$B$1,FC_DATA!$W$2:$W$5000,LT_OVERVIEW!$I$25)</f>
        <v>0</v>
      </c>
      <c r="F38" s="538">
        <f ca="1">SUMIFS(FC_DATA!$AC$2:$AC$5000,FC_DATA!$Y$2:$Y$5000,LT_OVERVIEW!F$6,FC_DATA!$X$2:$X$5000,LT_OVERVIEW!F$5,FC_DATA!$V$2:$V$5000,LT_OVERVIEW!$B38,FC_DATA!$U$2:$U$5000,LT_OVERVIEW!$B$1,FC_DATA!$W$2:$W$5000,LT_OVERVIEW!$I$25)</f>
        <v>0</v>
      </c>
      <c r="G38" s="111"/>
      <c r="H38" s="112" t="str">
        <f t="shared" ca="1" si="49"/>
        <v>-</v>
      </c>
      <c r="I38" s="112" t="str">
        <f t="shared" ca="1" si="50"/>
        <v>-</v>
      </c>
      <c r="J38" s="112" t="str">
        <f t="shared" ca="1" si="51"/>
        <v>-</v>
      </c>
      <c r="K38" s="112" t="str">
        <f t="shared" ca="1" si="52"/>
        <v>-</v>
      </c>
      <c r="L38" s="111"/>
      <c r="M38" s="113" t="str">
        <f t="shared" ca="1" si="53"/>
        <v>-</v>
      </c>
      <c r="N38" s="113" t="str">
        <f t="shared" ca="1" si="54"/>
        <v>-</v>
      </c>
      <c r="O38" s="113" t="str">
        <f t="shared" ca="1" si="55"/>
        <v>-</v>
      </c>
      <c r="P38" s="113" t="str">
        <f t="shared" ca="1" si="56"/>
        <v>-</v>
      </c>
      <c r="Q38" s="114"/>
      <c r="R38" s="115" t="str">
        <f t="shared" ca="1" si="57"/>
        <v>-</v>
      </c>
      <c r="S38" s="115" t="str">
        <f t="shared" ca="1" si="58"/>
        <v>-</v>
      </c>
      <c r="T38" s="115" t="str">
        <f t="shared" ca="1" si="59"/>
        <v>-</v>
      </c>
      <c r="U38" s="115" t="str">
        <f t="shared" ca="1" si="60"/>
        <v>-</v>
      </c>
      <c r="V38" s="112"/>
      <c r="W38" s="112"/>
      <c r="X38" s="112"/>
      <c r="Y38" s="112"/>
      <c r="Z38" s="112"/>
      <c r="AA38" s="112"/>
      <c r="AB38" s="112"/>
      <c r="AC38" s="112"/>
      <c r="AD38" s="112"/>
      <c r="AE38" s="112"/>
      <c r="AG38" s="400">
        <f ca="1">SUMIFS(HIS_SALES!$I$2:$I$5129,HIS_SALES!$G$2:$G$5129,LT_OVERVIEW!AG$6,HIS_SALES!$F$2:$F$5129,AG$5,HIS_SALES!$D$2:$D$5129,LT_OVERVIEW!$B38,HIS_SALES!$C$2:$C$5129,LT_OVERVIEW!$B$1,HIS_SALES!$E$2:$E$5129,LT_OVERVIEW!$I$25)</f>
        <v>0</v>
      </c>
      <c r="AH38" s="400">
        <f ca="1">SUMIFS(HIS_SALES!$I$2:$I$5129,HIS_SALES!$G$2:$G$5129,LT_OVERVIEW!AH$6,HIS_SALES!$F$2:$F$5129,AH$5,HIS_SALES!$D$2:$D$5129,LT_OVERVIEW!$B38,HIS_SALES!$C$2:$C$5129,LT_OVERVIEW!$B$1,HIS_SALES!$E$2:$E$5129,LT_OVERVIEW!$I$25)</f>
        <v>0</v>
      </c>
      <c r="AI38" s="400">
        <f ca="1">SUMIFS(HIS_SALES!$I$2:$I$5129,HIS_SALES!$G$2:$G$5129,LT_OVERVIEW!AI$6,HIS_SALES!$F$2:$F$5129,AI$5,HIS_SALES!$D$2:$D$5129,LT_OVERVIEW!$B38,HIS_SALES!$C$2:$C$5129,LT_OVERVIEW!$B$1,HIS_SALES!$E$2:$E$5129,LT_OVERVIEW!$I$25)</f>
        <v>0</v>
      </c>
      <c r="AJ38" s="400">
        <f ca="1">SUMIFS(FC_DATA!$AC$2:$AC$5000,FC_DATA!$V$2:$V$5000,$B38,FC_DATA!$W$2:$W$5000,$I$25,FC_DATA!$X$2:$X$5000,AJ$5,FC_DATA!$Y$2:$Y$5000,AJ$28)</f>
        <v>0</v>
      </c>
      <c r="AK38" s="400"/>
      <c r="AL38" s="571"/>
      <c r="AM38" s="571"/>
      <c r="AN38" s="571"/>
      <c r="AO38" s="571"/>
      <c r="AP38" s="571"/>
      <c r="AQ38" s="565"/>
      <c r="AR38" s="565"/>
      <c r="AS38" s="565"/>
      <c r="AT38" s="565"/>
      <c r="AU38" s="565"/>
    </row>
    <row r="39" spans="2:47" s="98" customFormat="1" ht="15.75" thickBot="1" x14ac:dyDescent="0.3">
      <c r="B39" s="116" t="s">
        <v>80</v>
      </c>
      <c r="C39" s="537">
        <f ca="1">SUM(C29:C38)</f>
        <v>0</v>
      </c>
      <c r="D39" s="537">
        <f ca="1">SUM(D29:D38)</f>
        <v>0</v>
      </c>
      <c r="E39" s="537">
        <f ca="1">SUM(E29:E38)</f>
        <v>0</v>
      </c>
      <c r="F39" s="537">
        <f ca="1">SUM(F29:F38)</f>
        <v>0</v>
      </c>
      <c r="G39" s="117"/>
      <c r="H39" s="118">
        <f ca="1">IFERROR(C39/AG39-1,"-")</f>
        <v>-1</v>
      </c>
      <c r="I39" s="118">
        <f ca="1">IFERROR(D39/AH39-1,"-")</f>
        <v>-1</v>
      </c>
      <c r="J39" s="118">
        <f ca="1">IFERROR(E39/AI39-1,"-")</f>
        <v>-1</v>
      </c>
      <c r="K39" s="662" t="str">
        <f ca="1">IFERROR(F39/AJ39-1,"-")</f>
        <v>-</v>
      </c>
      <c r="L39" s="117"/>
      <c r="M39" s="119">
        <f ca="1">SUM(M29:M31)</f>
        <v>0</v>
      </c>
      <c r="N39" s="119">
        <f t="shared" ref="N39:P39" ca="1" si="61">SUM(N29:N31)</f>
        <v>0</v>
      </c>
      <c r="O39" s="119">
        <f t="shared" ca="1" si="61"/>
        <v>0</v>
      </c>
      <c r="P39" s="119">
        <f t="shared" ca="1" si="61"/>
        <v>0</v>
      </c>
      <c r="Q39" s="117"/>
      <c r="R39" s="118">
        <f ca="1">SUM(R29:R38)</f>
        <v>0</v>
      </c>
      <c r="S39" s="118">
        <f ca="1">SUM(S29:S38)</f>
        <v>0</v>
      </c>
      <c r="T39" s="118">
        <f ca="1">SUM(T29:T38)</f>
        <v>0</v>
      </c>
      <c r="U39" s="118">
        <f ca="1">SUM(U29:U38)</f>
        <v>0</v>
      </c>
      <c r="V39" s="114"/>
      <c r="W39" s="114"/>
      <c r="X39" s="114"/>
      <c r="Y39" s="114"/>
      <c r="Z39" s="114"/>
      <c r="AA39" s="114"/>
      <c r="AB39" s="114"/>
      <c r="AC39" s="114"/>
      <c r="AD39" s="114"/>
      <c r="AE39" s="114"/>
      <c r="AG39" s="401">
        <f ca="1">SUM(AG29:AG38)</f>
        <v>411243.78504397132</v>
      </c>
      <c r="AH39" s="401">
        <f t="shared" ref="AH39:AJ39" ca="1" si="62">SUM(AH29:AH38)</f>
        <v>631166.54922860325</v>
      </c>
      <c r="AI39" s="401">
        <f t="shared" ca="1" si="62"/>
        <v>178424.26327195039</v>
      </c>
      <c r="AJ39" s="401">
        <f t="shared" ca="1" si="62"/>
        <v>0</v>
      </c>
      <c r="AK39" s="400"/>
      <c r="AL39" s="404"/>
      <c r="AM39" s="404"/>
      <c r="AN39" s="404"/>
      <c r="AO39" s="404"/>
      <c r="AP39" s="404"/>
      <c r="AQ39" s="217"/>
      <c r="AR39" s="217"/>
      <c r="AS39" s="565"/>
      <c r="AT39" s="565"/>
      <c r="AU39" s="565"/>
    </row>
    <row r="40" spans="2:47" s="98" customFormat="1" x14ac:dyDescent="0.25">
      <c r="M40" s="120"/>
      <c r="N40" s="120"/>
      <c r="O40" s="120"/>
      <c r="P40" s="120"/>
      <c r="AG40" s="99"/>
      <c r="AH40" s="99"/>
      <c r="AI40" s="99"/>
      <c r="AJ40" s="99"/>
      <c r="AK40" s="99"/>
      <c r="AL40" s="565"/>
      <c r="AM40" s="565"/>
      <c r="AN40" s="565"/>
      <c r="AO40" s="565"/>
      <c r="AP40" s="565"/>
      <c r="AQ40" s="565"/>
      <c r="AR40" s="565"/>
      <c r="AS40" s="565"/>
      <c r="AT40" s="565"/>
      <c r="AU40" s="565"/>
    </row>
    <row r="41" spans="2:47" x14ac:dyDescent="0.25">
      <c r="AL41" s="27"/>
      <c r="AM41" s="27"/>
      <c r="AN41" s="27"/>
      <c r="AQ41" s="27"/>
      <c r="AR41" s="27"/>
      <c r="AS41" s="27"/>
      <c r="AT41" s="27"/>
      <c r="AU41" s="27"/>
    </row>
    <row r="42" spans="2:47" x14ac:dyDescent="0.25">
      <c r="AL42" s="27"/>
      <c r="AM42" s="27"/>
      <c r="AN42" s="27"/>
      <c r="AQ42" s="27"/>
      <c r="AR42" s="27"/>
      <c r="AS42" s="27"/>
      <c r="AT42" s="27"/>
      <c r="AU42" s="27"/>
    </row>
    <row r="43" spans="2:47" x14ac:dyDescent="0.25">
      <c r="AL43" s="27"/>
      <c r="AM43" s="27"/>
      <c r="AN43" s="27"/>
      <c r="AQ43" s="27"/>
      <c r="AR43" s="27"/>
      <c r="AS43" s="27"/>
      <c r="AT43" s="27"/>
      <c r="AU43" s="27"/>
    </row>
    <row r="44" spans="2:47" x14ac:dyDescent="0.25">
      <c r="AL44" s="27"/>
      <c r="AM44" s="27"/>
      <c r="AN44" s="27"/>
      <c r="AQ44" s="27"/>
      <c r="AR44" s="27"/>
      <c r="AS44" s="27"/>
      <c r="AT44" s="27"/>
      <c r="AU44" s="27"/>
    </row>
    <row r="45" spans="2:47" x14ac:dyDescent="0.25">
      <c r="AL45" s="27"/>
      <c r="AM45" s="27"/>
      <c r="AN45" s="27"/>
      <c r="AQ45" s="27"/>
      <c r="AR45" s="27"/>
      <c r="AS45" s="27"/>
      <c r="AT45" s="27"/>
      <c r="AU45" s="27"/>
    </row>
    <row r="46" spans="2:47" x14ac:dyDescent="0.25">
      <c r="AL46" s="27"/>
      <c r="AM46" s="27"/>
      <c r="AN46" s="27"/>
      <c r="AQ46" s="27"/>
      <c r="AR46" s="27"/>
      <c r="AS46" s="27"/>
      <c r="AT46" s="27"/>
      <c r="AU46" s="27"/>
    </row>
    <row r="47" spans="2:47" x14ac:dyDescent="0.25">
      <c r="AL47" s="27"/>
      <c r="AM47" s="27"/>
      <c r="AN47" s="27"/>
      <c r="AQ47" s="27"/>
      <c r="AR47" s="27"/>
      <c r="AS47" s="27"/>
      <c r="AT47" s="27"/>
      <c r="AU47" s="27"/>
    </row>
    <row r="48" spans="2:47" x14ac:dyDescent="0.25">
      <c r="AL48" s="27"/>
      <c r="AM48" s="27"/>
      <c r="AN48" s="27"/>
      <c r="AQ48" s="27"/>
      <c r="AR48" s="27"/>
      <c r="AS48" s="27"/>
      <c r="AT48" s="27"/>
      <c r="AU48" s="27"/>
    </row>
    <row r="49" spans="38:47" x14ac:dyDescent="0.25">
      <c r="AL49" s="27"/>
      <c r="AM49" s="27"/>
      <c r="AN49" s="27"/>
      <c r="AQ49" s="27"/>
      <c r="AR49" s="27"/>
      <c r="AS49" s="27"/>
      <c r="AT49" s="27"/>
      <c r="AU49" s="27"/>
    </row>
    <row r="50" spans="38:47" x14ac:dyDescent="0.25">
      <c r="AL50" s="27"/>
      <c r="AM50" s="27"/>
      <c r="AN50" s="27"/>
      <c r="AQ50" s="27"/>
      <c r="AR50" s="27"/>
      <c r="AS50" s="27"/>
      <c r="AT50" s="27"/>
      <c r="AU50" s="27"/>
    </row>
    <row r="51" spans="38:47" x14ac:dyDescent="0.25">
      <c r="AL51" s="27"/>
      <c r="AM51" s="27"/>
      <c r="AN51" s="27"/>
      <c r="AQ51" s="27"/>
      <c r="AR51" s="27"/>
      <c r="AS51" s="27"/>
      <c r="AT51" s="27"/>
      <c r="AU51" s="27"/>
    </row>
    <row r="52" spans="38:47" x14ac:dyDescent="0.25">
      <c r="AL52" s="27"/>
      <c r="AM52" s="27"/>
      <c r="AN52" s="27"/>
      <c r="AQ52" s="27"/>
      <c r="AR52" s="27"/>
      <c r="AS52" s="27"/>
      <c r="AT52" s="27"/>
      <c r="AU52" s="27"/>
    </row>
    <row r="53" spans="38:47" x14ac:dyDescent="0.25">
      <c r="AL53" s="27"/>
      <c r="AM53" s="27"/>
      <c r="AN53" s="27"/>
      <c r="AQ53" s="27"/>
      <c r="AR53" s="27"/>
      <c r="AS53" s="27"/>
      <c r="AT53" s="27"/>
      <c r="AU53" s="27"/>
    </row>
    <row r="54" spans="38:47" x14ac:dyDescent="0.25">
      <c r="AL54" s="27"/>
      <c r="AM54" s="27"/>
      <c r="AN54" s="27"/>
      <c r="AQ54" s="27"/>
      <c r="AR54" s="27"/>
      <c r="AS54" s="27"/>
      <c r="AT54" s="27"/>
      <c r="AU54" s="27"/>
    </row>
    <row r="55" spans="38:47" x14ac:dyDescent="0.25">
      <c r="AL55" s="27"/>
      <c r="AM55" s="27"/>
      <c r="AN55" s="27"/>
      <c r="AQ55" s="27"/>
      <c r="AR55" s="27"/>
      <c r="AS55" s="27"/>
      <c r="AT55" s="27"/>
      <c r="AU55" s="27"/>
    </row>
    <row r="56" spans="38:47" x14ac:dyDescent="0.25">
      <c r="AL56" s="27"/>
      <c r="AM56" s="27"/>
      <c r="AN56" s="27"/>
      <c r="AQ56" s="27"/>
      <c r="AR56" s="27"/>
      <c r="AS56" s="27"/>
      <c r="AT56" s="27"/>
      <c r="AU56" s="27"/>
    </row>
    <row r="57" spans="38:47" x14ac:dyDescent="0.25">
      <c r="AL57" s="27"/>
      <c r="AM57" s="27"/>
      <c r="AN57" s="27"/>
      <c r="AQ57" s="27"/>
      <c r="AR57" s="27"/>
      <c r="AS57" s="27"/>
      <c r="AT57" s="27"/>
      <c r="AU57" s="27"/>
    </row>
    <row r="58" spans="38:47" x14ac:dyDescent="0.25">
      <c r="AL58" s="27"/>
      <c r="AM58" s="27"/>
      <c r="AN58" s="27"/>
      <c r="AQ58" s="27"/>
      <c r="AR58" s="27"/>
      <c r="AS58" s="27"/>
      <c r="AT58" s="27"/>
      <c r="AU58" s="27"/>
    </row>
    <row r="59" spans="38:47" x14ac:dyDescent="0.25">
      <c r="AL59" s="27"/>
      <c r="AM59" s="27"/>
      <c r="AN59" s="27"/>
      <c r="AQ59" s="27"/>
      <c r="AR59" s="27"/>
      <c r="AS59" s="27"/>
      <c r="AT59" s="27"/>
      <c r="AU59" s="27"/>
    </row>
    <row r="60" spans="38:47" x14ac:dyDescent="0.25">
      <c r="AL60" s="27"/>
      <c r="AM60" s="27"/>
      <c r="AN60" s="27"/>
      <c r="AQ60" s="27"/>
      <c r="AR60" s="27"/>
      <c r="AS60" s="27"/>
      <c r="AT60" s="27"/>
      <c r="AU60" s="27"/>
    </row>
    <row r="61" spans="38:47" x14ac:dyDescent="0.25">
      <c r="AL61" s="27"/>
      <c r="AM61" s="27"/>
      <c r="AN61" s="27"/>
      <c r="AQ61" s="27"/>
      <c r="AR61" s="27"/>
      <c r="AS61" s="27"/>
      <c r="AT61" s="27"/>
      <c r="AU61" s="27"/>
    </row>
    <row r="62" spans="38:47" x14ac:dyDescent="0.25">
      <c r="AL62" s="27"/>
      <c r="AM62" s="27"/>
      <c r="AN62" s="27"/>
      <c r="AQ62" s="27"/>
      <c r="AR62" s="27"/>
      <c r="AS62" s="27"/>
      <c r="AT62" s="27"/>
      <c r="AU62" s="27"/>
    </row>
    <row r="63" spans="38:47" x14ac:dyDescent="0.25">
      <c r="AL63" s="27"/>
      <c r="AM63" s="27"/>
      <c r="AN63" s="27"/>
      <c r="AQ63" s="27"/>
      <c r="AR63" s="27"/>
      <c r="AS63" s="27"/>
      <c r="AT63" s="27"/>
      <c r="AU63" s="27"/>
    </row>
    <row r="64" spans="38:47" x14ac:dyDescent="0.25">
      <c r="AL64" s="27"/>
      <c r="AM64" s="27"/>
      <c r="AN64" s="27"/>
      <c r="AQ64" s="27"/>
      <c r="AR64" s="27"/>
      <c r="AS64" s="27"/>
      <c r="AT64" s="27"/>
      <c r="AU64" s="27"/>
    </row>
    <row r="65" spans="38:47" x14ac:dyDescent="0.25">
      <c r="AL65" s="27"/>
      <c r="AM65" s="27"/>
      <c r="AN65" s="27"/>
      <c r="AQ65" s="27"/>
      <c r="AR65" s="27"/>
      <c r="AS65" s="27"/>
      <c r="AT65" s="27"/>
      <c r="AU65" s="27"/>
    </row>
    <row r="66" spans="38:47" x14ac:dyDescent="0.25">
      <c r="AL66" s="27"/>
      <c r="AM66" s="27"/>
      <c r="AN66" s="27"/>
      <c r="AQ66" s="27"/>
      <c r="AR66" s="27"/>
      <c r="AS66" s="27"/>
      <c r="AT66" s="27"/>
      <c r="AU66" s="27"/>
    </row>
    <row r="67" spans="38:47" x14ac:dyDescent="0.25">
      <c r="AL67" s="27"/>
      <c r="AM67" s="27"/>
      <c r="AN67" s="27"/>
      <c r="AQ67" s="27"/>
      <c r="AR67" s="27"/>
      <c r="AS67" s="27"/>
      <c r="AT67" s="27"/>
      <c r="AU67" s="27"/>
    </row>
    <row r="68" spans="38:47" x14ac:dyDescent="0.25">
      <c r="AL68" s="27"/>
      <c r="AM68" s="27"/>
      <c r="AN68" s="27"/>
      <c r="AQ68" s="27"/>
      <c r="AR68" s="27"/>
      <c r="AS68" s="27"/>
      <c r="AT68" s="27"/>
      <c r="AU68" s="27"/>
    </row>
    <row r="69" spans="38:47" x14ac:dyDescent="0.25">
      <c r="AL69" s="27"/>
      <c r="AM69" s="27"/>
      <c r="AN69" s="27"/>
      <c r="AQ69" s="27"/>
      <c r="AR69" s="27"/>
      <c r="AS69" s="27"/>
      <c r="AT69" s="27"/>
      <c r="AU69" s="27"/>
    </row>
    <row r="70" spans="38:47" x14ac:dyDescent="0.25">
      <c r="AL70" s="27"/>
      <c r="AM70" s="27"/>
      <c r="AN70" s="27"/>
      <c r="AQ70" s="27"/>
      <c r="AR70" s="27"/>
      <c r="AS70" s="27"/>
      <c r="AT70" s="27"/>
      <c r="AU70" s="27"/>
    </row>
    <row r="71" spans="38:47" x14ac:dyDescent="0.25">
      <c r="AL71" s="27"/>
      <c r="AM71" s="27"/>
      <c r="AN71" s="27"/>
      <c r="AQ71" s="27"/>
      <c r="AR71" s="27"/>
      <c r="AS71" s="27"/>
      <c r="AT71" s="27"/>
      <c r="AU71" s="27"/>
    </row>
    <row r="72" spans="38:47" x14ac:dyDescent="0.25">
      <c r="AL72" s="27"/>
      <c r="AM72" s="27"/>
      <c r="AN72" s="27"/>
      <c r="AQ72" s="27"/>
      <c r="AR72" s="27"/>
      <c r="AS72" s="27"/>
      <c r="AT72" s="27"/>
      <c r="AU72" s="27"/>
    </row>
    <row r="73" spans="38:47" x14ac:dyDescent="0.25">
      <c r="AL73" s="27"/>
      <c r="AM73" s="27"/>
      <c r="AN73" s="27"/>
      <c r="AQ73" s="27"/>
      <c r="AR73" s="27"/>
      <c r="AS73" s="27"/>
      <c r="AT73" s="27"/>
      <c r="AU73" s="27"/>
    </row>
    <row r="74" spans="38:47" x14ac:dyDescent="0.25">
      <c r="AL74" s="27"/>
      <c r="AM74" s="27"/>
      <c r="AN74" s="27"/>
      <c r="AQ74" s="27"/>
      <c r="AR74" s="27"/>
      <c r="AS74" s="27"/>
      <c r="AT74" s="27"/>
      <c r="AU74" s="27"/>
    </row>
    <row r="75" spans="38:47" x14ac:dyDescent="0.25">
      <c r="AL75" s="27"/>
      <c r="AM75" s="27"/>
      <c r="AN75" s="27"/>
      <c r="AQ75" s="27"/>
      <c r="AR75" s="27"/>
      <c r="AS75" s="27"/>
      <c r="AT75" s="27"/>
      <c r="AU75" s="27"/>
    </row>
    <row r="76" spans="38:47" x14ac:dyDescent="0.25">
      <c r="AL76" s="27"/>
      <c r="AM76" s="27"/>
      <c r="AN76" s="27"/>
      <c r="AQ76" s="27"/>
      <c r="AR76" s="27"/>
      <c r="AS76" s="27"/>
      <c r="AT76" s="27"/>
      <c r="AU76" s="27"/>
    </row>
    <row r="77" spans="38:47" x14ac:dyDescent="0.25">
      <c r="AL77" s="27"/>
      <c r="AM77" s="27"/>
      <c r="AN77" s="27"/>
      <c r="AQ77" s="27"/>
      <c r="AR77" s="27"/>
      <c r="AS77" s="27"/>
      <c r="AT77" s="27"/>
      <c r="AU77" s="27"/>
    </row>
    <row r="78" spans="38:47" x14ac:dyDescent="0.25">
      <c r="AL78" s="27"/>
      <c r="AM78" s="27"/>
      <c r="AN78" s="27"/>
      <c r="AQ78" s="27"/>
      <c r="AR78" s="27"/>
      <c r="AS78" s="27"/>
      <c r="AT78" s="27"/>
      <c r="AU78" s="27"/>
    </row>
    <row r="79" spans="38:47" x14ac:dyDescent="0.25">
      <c r="AL79" s="27"/>
      <c r="AM79" s="27"/>
      <c r="AN79" s="27"/>
      <c r="AQ79" s="27"/>
      <c r="AR79" s="27"/>
      <c r="AS79" s="27"/>
      <c r="AT79" s="27"/>
      <c r="AU79" s="27"/>
    </row>
    <row r="80" spans="38:47" x14ac:dyDescent="0.25">
      <c r="AL80" s="27"/>
      <c r="AM80" s="27"/>
      <c r="AN80" s="27"/>
      <c r="AQ80" s="27"/>
      <c r="AR80" s="27"/>
      <c r="AS80" s="27"/>
      <c r="AT80" s="27"/>
      <c r="AU80" s="27"/>
    </row>
    <row r="81" spans="38:47" x14ac:dyDescent="0.25">
      <c r="AL81" s="27"/>
      <c r="AM81" s="27"/>
      <c r="AN81" s="27"/>
      <c r="AQ81" s="27"/>
      <c r="AR81" s="27"/>
      <c r="AS81" s="27"/>
      <c r="AT81" s="27"/>
      <c r="AU81" s="27"/>
    </row>
    <row r="82" spans="38:47" x14ac:dyDescent="0.25">
      <c r="AL82" s="27"/>
      <c r="AM82" s="27"/>
      <c r="AN82" s="27"/>
      <c r="AQ82" s="27"/>
      <c r="AR82" s="27"/>
      <c r="AS82" s="27"/>
      <c r="AT82" s="27"/>
      <c r="AU82" s="27"/>
    </row>
    <row r="83" spans="38:47" x14ac:dyDescent="0.25">
      <c r="AL83" s="27"/>
      <c r="AM83" s="27"/>
      <c r="AN83" s="27"/>
      <c r="AQ83" s="27"/>
      <c r="AR83" s="27"/>
      <c r="AS83" s="27"/>
      <c r="AT83" s="27"/>
      <c r="AU83" s="27"/>
    </row>
    <row r="84" spans="38:47" x14ac:dyDescent="0.25">
      <c r="AL84" s="27"/>
      <c r="AM84" s="27"/>
      <c r="AN84" s="27"/>
      <c r="AQ84" s="27"/>
      <c r="AR84" s="27"/>
      <c r="AS84" s="27"/>
      <c r="AT84" s="27"/>
      <c r="AU84" s="27"/>
    </row>
    <row r="85" spans="38:47" x14ac:dyDescent="0.25">
      <c r="AL85" s="27"/>
      <c r="AM85" s="27"/>
      <c r="AN85" s="27"/>
      <c r="AQ85" s="27"/>
      <c r="AR85" s="27"/>
      <c r="AS85" s="27"/>
      <c r="AT85" s="27"/>
      <c r="AU85" s="27"/>
    </row>
    <row r="86" spans="38:47" x14ac:dyDescent="0.25">
      <c r="AL86" s="27"/>
      <c r="AM86" s="27"/>
      <c r="AN86" s="27"/>
      <c r="AQ86" s="27"/>
      <c r="AR86" s="27"/>
      <c r="AS86" s="27"/>
      <c r="AT86" s="27"/>
      <c r="AU86" s="27"/>
    </row>
    <row r="87" spans="38:47" x14ac:dyDescent="0.25">
      <c r="AL87" s="27"/>
      <c r="AM87" s="27"/>
      <c r="AN87" s="27"/>
      <c r="AQ87" s="27"/>
      <c r="AR87" s="27"/>
      <c r="AS87" s="27"/>
      <c r="AT87" s="27"/>
      <c r="AU87" s="27"/>
    </row>
    <row r="88" spans="38:47" x14ac:dyDescent="0.25">
      <c r="AL88" s="27"/>
      <c r="AM88" s="27"/>
      <c r="AN88" s="27"/>
      <c r="AQ88" s="27"/>
      <c r="AR88" s="27"/>
      <c r="AS88" s="27"/>
      <c r="AT88" s="27"/>
      <c r="AU88" s="27"/>
    </row>
    <row r="89" spans="38:47" x14ac:dyDescent="0.25">
      <c r="AL89" s="27"/>
      <c r="AM89" s="27"/>
      <c r="AN89" s="27"/>
      <c r="AQ89" s="27"/>
      <c r="AR89" s="27"/>
      <c r="AS89" s="27"/>
      <c r="AT89" s="27"/>
      <c r="AU89" s="27"/>
    </row>
    <row r="90" spans="38:47" x14ac:dyDescent="0.25">
      <c r="AL90" s="27"/>
      <c r="AM90" s="27"/>
      <c r="AN90" s="27"/>
      <c r="AQ90" s="27"/>
      <c r="AR90" s="27"/>
      <c r="AS90" s="27"/>
      <c r="AT90" s="27"/>
      <c r="AU90" s="27"/>
    </row>
    <row r="97" spans="1:13" x14ac:dyDescent="0.25">
      <c r="A97" s="735"/>
      <c r="B97" s="736" t="s">
        <v>6</v>
      </c>
      <c r="C97" s="737" t="str">
        <f ca="1">C5</f>
        <v>18/19</v>
      </c>
      <c r="D97" s="737" t="str">
        <f t="shared" ref="D97:F97" ca="1" si="63">D5</f>
        <v>19/20</v>
      </c>
      <c r="E97" s="737" t="str">
        <f t="shared" ca="1" si="63"/>
        <v>19/20</v>
      </c>
      <c r="F97" s="737" t="str">
        <f t="shared" ca="1" si="63"/>
        <v>19/20</v>
      </c>
      <c r="G97" s="737"/>
      <c r="H97" s="737"/>
      <c r="I97" s="737"/>
      <c r="J97" s="737"/>
      <c r="K97" s="737"/>
      <c r="L97" s="737"/>
      <c r="M97" s="738"/>
    </row>
    <row r="98" spans="1:13" x14ac:dyDescent="0.25">
      <c r="A98" s="739"/>
      <c r="B98" s="740" t="s">
        <v>66</v>
      </c>
      <c r="C98" s="27" t="str">
        <f ca="1">TIME!$O$28</f>
        <v>17/18</v>
      </c>
      <c r="D98" s="27" t="str">
        <f ca="1">TIME!$O$29</f>
        <v>18/19</v>
      </c>
      <c r="E98" s="27" t="str">
        <f ca="1">TIME!$O$30</f>
        <v>18/19</v>
      </c>
      <c r="F98" s="27" t="str">
        <f ca="1">TIME!$P$31</f>
        <v>18/19</v>
      </c>
      <c r="G98" s="27"/>
      <c r="H98" s="27"/>
      <c r="I98" s="27"/>
      <c r="K98" s="27"/>
      <c r="L98" s="27"/>
      <c r="M98" s="741"/>
    </row>
    <row r="99" spans="1:13" x14ac:dyDescent="0.25">
      <c r="A99" s="739"/>
      <c r="B99" s="740"/>
      <c r="C99" s="27" t="str">
        <f ca="1">C6</f>
        <v>Q4</v>
      </c>
      <c r="D99" s="27" t="str">
        <f t="shared" ref="D99:F99" ca="1" si="64">D6</f>
        <v>Q1</v>
      </c>
      <c r="E99" s="27" t="str">
        <f t="shared" ca="1" si="64"/>
        <v>Q2</v>
      </c>
      <c r="F99" s="27" t="str">
        <f t="shared" ca="1" si="64"/>
        <v>Q3</v>
      </c>
      <c r="G99" s="27"/>
      <c r="H99" s="27"/>
      <c r="I99" s="27" t="str">
        <f ca="1">_xlfn.CONCAT(C97,C99)</f>
        <v>18/19Q4</v>
      </c>
      <c r="J99" s="27" t="str">
        <f t="shared" ref="J99:K99" ca="1" si="65">_xlfn.CONCAT(D97,D99)</f>
        <v>19/20Q1</v>
      </c>
      <c r="K99" s="27" t="str">
        <f t="shared" ca="1" si="65"/>
        <v>19/20Q2</v>
      </c>
      <c r="L99" s="27"/>
      <c r="M99" s="741" t="str">
        <f ca="1">_xlfn.CONCAT(F97,F99)</f>
        <v>19/20Q3</v>
      </c>
    </row>
    <row r="100" spans="1:13" x14ac:dyDescent="0.25">
      <c r="A100" s="739" t="str">
        <f>"BS.com"&amp;B100</f>
        <v>BS.comACCESSORIES</v>
      </c>
      <c r="B100" s="740" t="str">
        <f>B7</f>
        <v>ACCESSORIES</v>
      </c>
      <c r="C100" s="404" t="str">
        <f ca="1">IFERROR(VLOOKUP(_xlfn.CONCAT($B$1,$A100,C$98,C$99),HIS_SALES!$A$2:$O$5093,MATCH("GSII_Q",HIS_SALES!$A$1:$O$1,0),FALSE)*(1+VLOOKUP(_xlfn.CONCAT(LT_OVERVIEW!$B$1,"BRAND.com",LT_OVERVIEW!$B100,LT_OVERVIEW!C$97,LT_OVERVIEW!C$99),FC_DATA!$A$2:$L$5000,MATCH("Growth",FC_DATA!$A$1:$L$1,0),FALSE)),"")</f>
        <v/>
      </c>
      <c r="D100" s="404" t="str">
        <f ca="1">IFERROR(VLOOKUP(_xlfn.CONCAT($B$1,$A100,D$98,D$99),HIS_SALES!$A$2:$O$5093,MATCH("GSII_Q",HIS_SALES!$A$1:$O$1,0),FALSE)*(1+VLOOKUP(_xlfn.CONCAT(LT_OVERVIEW!$B$1,"BRAND.com",LT_OVERVIEW!$B100,LT_OVERVIEW!D$97,LT_OVERVIEW!D$99),FC_DATA!$A$2:$L$5000,MATCH("Growth",FC_DATA!$A$1:$L$1,0),FALSE)),"")</f>
        <v/>
      </c>
      <c r="E100" s="404" t="str">
        <f ca="1">IFERROR(VLOOKUP(_xlfn.CONCAT($B$1,$A100,E$98,E$99),HIS_SALES!$A$2:$O$5093,MATCH("GSII_Q",HIS_SALES!$A$1:$O$1,0),FALSE)*(1+VLOOKUP(_xlfn.CONCAT(LT_OVERVIEW!$B$1,"BRAND.com",LT_OVERVIEW!$B100,LT_OVERVIEW!E$97,LT_OVERVIEW!E$99),FC_DATA!$A$2:$L$5000,MATCH("Growth",FC_DATA!$A$1:$L$1,0),FALSE)),"")</f>
        <v/>
      </c>
      <c r="F100" s="404" t="str">
        <f ca="1">IFERROR(SUMIFS(FC_DATA!$AC$2:$AC$5000,FC_DATA!$U$2:$U$5000,$B$1,FC_DATA!$V$2:$V$5000,"BS.com",FC_DATA!$W$2:$W$5000,$B100,FC_DATA!$X$2:$X$5000,F$98,FC_DATA!$Y$2:$Y$5000,F$99)*(1+VLOOKUP(_xlfn.CONCAT(LT_OVERVIEW!$B$1,"BRAND.com",LT_OVERVIEW!$B100,LT_OVERVIEW!F$97,LT_OVERVIEW!F$99),FC_DATA!$A$2:$L$5000,MATCH("Growth",FC_DATA!$A$1:$L$1,0),FALSE)),"")</f>
        <v/>
      </c>
      <c r="G100" s="27"/>
      <c r="H100" s="27" t="str">
        <f>A100</f>
        <v>BS.comACCESSORIES</v>
      </c>
      <c r="I100" s="558" t="str">
        <f t="shared" ref="I100:K114" ca="1" si="66">IFERROR(C100/C$115,"")</f>
        <v/>
      </c>
      <c r="J100" s="558" t="str">
        <f t="shared" ca="1" si="66"/>
        <v/>
      </c>
      <c r="K100" s="558" t="str">
        <f t="shared" ca="1" si="66"/>
        <v/>
      </c>
      <c r="L100" s="558"/>
      <c r="M100" s="742" t="str">
        <f t="shared" ref="M100:M114" ca="1" si="67">IFERROR(F100/F$115,"")</f>
        <v/>
      </c>
    </row>
    <row r="101" spans="1:13" x14ac:dyDescent="0.25">
      <c r="A101" s="739" t="str">
        <f t="shared" ref="A101:A114" si="68">"BS.com"&amp;B101</f>
        <v>BS.comDRESSES</v>
      </c>
      <c r="B101" s="740" t="str">
        <f t="shared" ref="B101:B114" si="69">B8</f>
        <v>DRESSES</v>
      </c>
      <c r="C101" s="404" t="str">
        <f ca="1">IFERROR(VLOOKUP(_xlfn.CONCAT($B$1,$A101,C$98,C$99),HIS_SALES!$A$2:$O$5093,MATCH("GSII_Q",HIS_SALES!$A$1:$O$1,0),FALSE)*(1+VLOOKUP(_xlfn.CONCAT(LT_OVERVIEW!$B$1,"BRAND.com",LT_OVERVIEW!$B101,LT_OVERVIEW!C$97,LT_OVERVIEW!C$99),FC_DATA!$A$2:$L$5000,MATCH("Growth",FC_DATA!$A$1:$L$1,0),FALSE)),"")</f>
        <v/>
      </c>
      <c r="D101" s="404" t="str">
        <f ca="1">IFERROR(VLOOKUP(_xlfn.CONCAT($B$1,$A101,D$98,D$99),HIS_SALES!$A$2:$O$5093,MATCH("GSII_Q",HIS_SALES!$A$1:$O$1,0),FALSE)*(1+VLOOKUP(_xlfn.CONCAT(LT_OVERVIEW!$B$1,"BRAND.com",LT_OVERVIEW!$B101,LT_OVERVIEW!D$97,LT_OVERVIEW!D$99),FC_DATA!$A$2:$L$5000,MATCH("Growth",FC_DATA!$A$1:$L$1,0),FALSE)),"")</f>
        <v/>
      </c>
      <c r="E101" s="404" t="str">
        <f ca="1">IFERROR(VLOOKUP(_xlfn.CONCAT($B$1,$A101,E$98,E$99),HIS_SALES!$A$2:$O$5093,MATCH("GSII_Q",HIS_SALES!$A$1:$O$1,0),FALSE)*(1+VLOOKUP(_xlfn.CONCAT(LT_OVERVIEW!$B$1,"BRAND.com",LT_OVERVIEW!$B101,LT_OVERVIEW!E$97,LT_OVERVIEW!E$99),FC_DATA!$A$2:$L$5000,MATCH("Growth",FC_DATA!$A$1:$L$1,0),FALSE)),"")</f>
        <v/>
      </c>
      <c r="F101" s="404" t="str">
        <f ca="1">IFERROR(SUMIFS(FC_DATA!$AC$2:$AC$5000,FC_DATA!$U$2:$U$5000,$B$1,FC_DATA!$V$2:$V$5000,"BS.com",FC_DATA!$W$2:$W$5000,$B101,FC_DATA!$X$2:$X$5000,F$98,FC_DATA!$Y$2:$Y$5000,F$99)*(1+VLOOKUP(_xlfn.CONCAT(LT_OVERVIEW!$B$1,"BRAND.com",LT_OVERVIEW!$B101,LT_OVERVIEW!F$97,LT_OVERVIEW!F$99),FC_DATA!$A$2:$L$5000,MATCH("Growth",FC_DATA!$A$1:$L$1,0),FALSE)),"")</f>
        <v/>
      </c>
      <c r="G101" s="27"/>
      <c r="H101" s="27" t="str">
        <f t="shared" ref="H101:H130" si="70">A101</f>
        <v>BS.comDRESSES</v>
      </c>
      <c r="I101" s="558" t="str">
        <f t="shared" ca="1" si="66"/>
        <v/>
      </c>
      <c r="J101" s="558" t="str">
        <f t="shared" ca="1" si="66"/>
        <v/>
      </c>
      <c r="K101" s="558" t="str">
        <f t="shared" ca="1" si="66"/>
        <v/>
      </c>
      <c r="L101" s="558"/>
      <c r="M101" s="742" t="str">
        <f t="shared" ca="1" si="67"/>
        <v/>
      </c>
    </row>
    <row r="102" spans="1:13" x14ac:dyDescent="0.25">
      <c r="A102" s="739" t="str">
        <f t="shared" si="68"/>
        <v>BS.comJEANS</v>
      </c>
      <c r="B102" s="740" t="str">
        <f t="shared" si="69"/>
        <v>JEANS</v>
      </c>
      <c r="C102" s="404" t="str">
        <f ca="1">IFERROR(VLOOKUP(_xlfn.CONCAT($B$1,$A102,C$98,C$99),HIS_SALES!$A$2:$O$5093,MATCH("GSII_Q",HIS_SALES!$A$1:$O$1,0),FALSE)*(1+VLOOKUP(_xlfn.CONCAT(LT_OVERVIEW!$B$1,"BRAND.com",LT_OVERVIEW!$B102,LT_OVERVIEW!C$97,LT_OVERVIEW!C$99),FC_DATA!$A$2:$L$5000,MATCH("Growth",FC_DATA!$A$1:$L$1,0),FALSE)),"")</f>
        <v/>
      </c>
      <c r="D102" s="404" t="str">
        <f ca="1">IFERROR(VLOOKUP(_xlfn.CONCAT($B$1,$A102,D$98,D$99),HIS_SALES!$A$2:$O$5093,MATCH("GSII_Q",HIS_SALES!$A$1:$O$1,0),FALSE)*(1+VLOOKUP(_xlfn.CONCAT(LT_OVERVIEW!$B$1,"BRAND.com",LT_OVERVIEW!$B102,LT_OVERVIEW!D$97,LT_OVERVIEW!D$99),FC_DATA!$A$2:$L$5000,MATCH("Growth",FC_DATA!$A$1:$L$1,0),FALSE)),"")</f>
        <v/>
      </c>
      <c r="E102" s="404" t="str">
        <f ca="1">IFERROR(VLOOKUP(_xlfn.CONCAT($B$1,$A102,E$98,E$99),HIS_SALES!$A$2:$O$5093,MATCH("GSII_Q",HIS_SALES!$A$1:$O$1,0),FALSE)*(1+VLOOKUP(_xlfn.CONCAT(LT_OVERVIEW!$B$1,"BRAND.com",LT_OVERVIEW!$B102,LT_OVERVIEW!E$97,LT_OVERVIEW!E$99),FC_DATA!$A$2:$L$5000,MATCH("Growth",FC_DATA!$A$1:$L$1,0),FALSE)),"")</f>
        <v/>
      </c>
      <c r="F102" s="404" t="str">
        <f ca="1">IFERROR(SUMIFS(FC_DATA!$AC$2:$AC$5000,FC_DATA!$U$2:$U$5000,$B$1,FC_DATA!$V$2:$V$5000,"BS.com",FC_DATA!$W$2:$W$5000,$B102,FC_DATA!$X$2:$X$5000,F$98,FC_DATA!$Y$2:$Y$5000,F$99)*(1+VLOOKUP(_xlfn.CONCAT(LT_OVERVIEW!$B$1,"BRAND.com",LT_OVERVIEW!$B102,LT_OVERVIEW!F$97,LT_OVERVIEW!F$99),FC_DATA!$A$2:$L$5000,MATCH("Growth",FC_DATA!$A$1:$L$1,0),FALSE)),"")</f>
        <v/>
      </c>
      <c r="G102" s="27"/>
      <c r="H102" s="27" t="str">
        <f t="shared" si="70"/>
        <v>BS.comJEANS</v>
      </c>
      <c r="I102" s="558" t="str">
        <f t="shared" ca="1" si="66"/>
        <v/>
      </c>
      <c r="J102" s="558" t="str">
        <f t="shared" ca="1" si="66"/>
        <v/>
      </c>
      <c r="K102" s="558" t="str">
        <f t="shared" ca="1" si="66"/>
        <v/>
      </c>
      <c r="L102" s="558"/>
      <c r="M102" s="742" t="str">
        <f t="shared" ca="1" si="67"/>
        <v/>
      </c>
    </row>
    <row r="103" spans="1:13" x14ac:dyDescent="0.25">
      <c r="A103" s="739" t="str">
        <f t="shared" si="68"/>
        <v>BS.comKNIT</v>
      </c>
      <c r="B103" s="740" t="str">
        <f t="shared" si="69"/>
        <v>KNIT</v>
      </c>
      <c r="C103" s="404" t="str">
        <f ca="1">IFERROR(VLOOKUP(_xlfn.CONCAT($B$1,$A103,C$98,C$99),HIS_SALES!$A$2:$O$5093,MATCH("GSII_Q",HIS_SALES!$A$1:$O$1,0),FALSE)*(1+VLOOKUP(_xlfn.CONCAT(LT_OVERVIEW!$B$1,"BRAND.com",LT_OVERVIEW!$B103,LT_OVERVIEW!C$97,LT_OVERVIEW!C$99),FC_DATA!$A$2:$L$5000,MATCH("Growth",FC_DATA!$A$1:$L$1,0),FALSE)),"")</f>
        <v/>
      </c>
      <c r="D103" s="404" t="str">
        <f ca="1">IFERROR(VLOOKUP(_xlfn.CONCAT($B$1,$A103,D$98,D$99),HIS_SALES!$A$2:$O$5093,MATCH("GSII_Q",HIS_SALES!$A$1:$O$1,0),FALSE)*(1+VLOOKUP(_xlfn.CONCAT(LT_OVERVIEW!$B$1,"BRAND.com",LT_OVERVIEW!$B103,LT_OVERVIEW!D$97,LT_OVERVIEW!D$99),FC_DATA!$A$2:$L$5000,MATCH("Growth",FC_DATA!$A$1:$L$1,0),FALSE)),"")</f>
        <v/>
      </c>
      <c r="E103" s="404" t="str">
        <f ca="1">IFERROR(VLOOKUP(_xlfn.CONCAT($B$1,$A103,E$98,E$99),HIS_SALES!$A$2:$O$5093,MATCH("GSII_Q",HIS_SALES!$A$1:$O$1,0),FALSE)*(1+VLOOKUP(_xlfn.CONCAT(LT_OVERVIEW!$B$1,"BRAND.com",LT_OVERVIEW!$B103,LT_OVERVIEW!E$97,LT_OVERVIEW!E$99),FC_DATA!$A$2:$L$5000,MATCH("Growth",FC_DATA!$A$1:$L$1,0),FALSE)),"")</f>
        <v/>
      </c>
      <c r="F103" s="404" t="str">
        <f ca="1">IFERROR(SUMIFS(FC_DATA!$AC$2:$AC$5000,FC_DATA!$U$2:$U$5000,$B$1,FC_DATA!$V$2:$V$5000,"BS.com",FC_DATA!$W$2:$W$5000,$B103,FC_DATA!$X$2:$X$5000,F$98,FC_DATA!$Y$2:$Y$5000,F$99)*(1+VLOOKUP(_xlfn.CONCAT(LT_OVERVIEW!$B$1,"BRAND.com",LT_OVERVIEW!$B103,LT_OVERVIEW!F$97,LT_OVERVIEW!F$99),FC_DATA!$A$2:$L$5000,MATCH("Growth",FC_DATA!$A$1:$L$1,0),FALSE)),"")</f>
        <v/>
      </c>
      <c r="G103" s="27"/>
      <c r="H103" s="27" t="str">
        <f t="shared" si="70"/>
        <v>BS.comKNIT</v>
      </c>
      <c r="I103" s="558" t="str">
        <f t="shared" ca="1" si="66"/>
        <v/>
      </c>
      <c r="J103" s="558" t="str">
        <f t="shared" ca="1" si="66"/>
        <v/>
      </c>
      <c r="K103" s="558" t="str">
        <f t="shared" ca="1" si="66"/>
        <v/>
      </c>
      <c r="L103" s="558"/>
      <c r="M103" s="742" t="str">
        <f t="shared" ca="1" si="67"/>
        <v/>
      </c>
    </row>
    <row r="104" spans="1:13" x14ac:dyDescent="0.25">
      <c r="A104" s="739" t="str">
        <f t="shared" si="68"/>
        <v>BS.comOUTERWEAR</v>
      </c>
      <c r="B104" s="740" t="str">
        <f t="shared" si="69"/>
        <v>OUTERWEAR</v>
      </c>
      <c r="C104" s="404" t="str">
        <f ca="1">IFERROR(VLOOKUP(_xlfn.CONCAT($B$1,$A104,C$98,C$99),HIS_SALES!$A$2:$O$5093,MATCH("GSII_Q",HIS_SALES!$A$1:$O$1,0),FALSE)*(1+VLOOKUP(_xlfn.CONCAT(LT_OVERVIEW!$B$1,"BRAND.com",LT_OVERVIEW!$B104,LT_OVERVIEW!C$97,LT_OVERVIEW!C$99),FC_DATA!$A$2:$L$5000,MATCH("Growth",FC_DATA!$A$1:$L$1,0),FALSE)),"")</f>
        <v/>
      </c>
      <c r="D104" s="404" t="str">
        <f ca="1">IFERROR(VLOOKUP(_xlfn.CONCAT($B$1,$A104,D$98,D$99),HIS_SALES!$A$2:$O$5093,MATCH("GSII_Q",HIS_SALES!$A$1:$O$1,0),FALSE)*(1+VLOOKUP(_xlfn.CONCAT(LT_OVERVIEW!$B$1,"BRAND.com",LT_OVERVIEW!$B104,LT_OVERVIEW!D$97,LT_OVERVIEW!D$99),FC_DATA!$A$2:$L$5000,MATCH("Growth",FC_DATA!$A$1:$L$1,0),FALSE)),"")</f>
        <v/>
      </c>
      <c r="E104" s="404" t="str">
        <f ca="1">IFERROR(VLOOKUP(_xlfn.CONCAT($B$1,$A104,E$98,E$99),HIS_SALES!$A$2:$O$5093,MATCH("GSII_Q",HIS_SALES!$A$1:$O$1,0),FALSE)*(1+VLOOKUP(_xlfn.CONCAT(LT_OVERVIEW!$B$1,"BRAND.com",LT_OVERVIEW!$B104,LT_OVERVIEW!E$97,LT_OVERVIEW!E$99),FC_DATA!$A$2:$L$5000,MATCH("Growth",FC_DATA!$A$1:$L$1,0),FALSE)),"")</f>
        <v/>
      </c>
      <c r="F104" s="404" t="str">
        <f ca="1">IFERROR(SUMIFS(FC_DATA!$AC$2:$AC$5000,FC_DATA!$U$2:$U$5000,$B$1,FC_DATA!$V$2:$V$5000,"BS.com",FC_DATA!$W$2:$W$5000,$B104,FC_DATA!$X$2:$X$5000,F$98,FC_DATA!$Y$2:$Y$5000,F$99)*(1+VLOOKUP(_xlfn.CONCAT(LT_OVERVIEW!$B$1,"BRAND.com",LT_OVERVIEW!$B104,LT_OVERVIEW!F$97,LT_OVERVIEW!F$99),FC_DATA!$A$2:$L$5000,MATCH("Growth",FC_DATA!$A$1:$L$1,0),FALSE)),"")</f>
        <v/>
      </c>
      <c r="G104" s="27"/>
      <c r="H104" s="27" t="str">
        <f t="shared" si="70"/>
        <v>BS.comOUTERWEAR</v>
      </c>
      <c r="I104" s="558" t="str">
        <f t="shared" ca="1" si="66"/>
        <v/>
      </c>
      <c r="J104" s="558" t="str">
        <f t="shared" ca="1" si="66"/>
        <v/>
      </c>
      <c r="K104" s="558" t="str">
        <f t="shared" ca="1" si="66"/>
        <v/>
      </c>
      <c r="L104" s="558"/>
      <c r="M104" s="742" t="str">
        <f t="shared" ca="1" si="67"/>
        <v/>
      </c>
    </row>
    <row r="105" spans="1:13" x14ac:dyDescent="0.25">
      <c r="A105" s="739" t="str">
        <f t="shared" si="68"/>
        <v>BS.comPANTS</v>
      </c>
      <c r="B105" s="740" t="str">
        <f t="shared" si="69"/>
        <v>PANTS</v>
      </c>
      <c r="C105" s="404" t="str">
        <f ca="1">IFERROR(VLOOKUP(_xlfn.CONCAT($B$1,$A105,C$98,C$99),HIS_SALES!$A$2:$O$5093,MATCH("GSII_Q",HIS_SALES!$A$1:$O$1,0),FALSE)*(1+VLOOKUP(_xlfn.CONCAT(LT_OVERVIEW!$B$1,"BRAND.com",LT_OVERVIEW!$B105,LT_OVERVIEW!C$97,LT_OVERVIEW!C$99),FC_DATA!$A$2:$L$5000,MATCH("Growth",FC_DATA!$A$1:$L$1,0),FALSE)),"")</f>
        <v/>
      </c>
      <c r="D105" s="404" t="str">
        <f ca="1">IFERROR(VLOOKUP(_xlfn.CONCAT($B$1,$A105,D$98,D$99),HIS_SALES!$A$2:$O$5093,MATCH("GSII_Q",HIS_SALES!$A$1:$O$1,0),FALSE)*(1+VLOOKUP(_xlfn.CONCAT(LT_OVERVIEW!$B$1,"BRAND.com",LT_OVERVIEW!$B105,LT_OVERVIEW!D$97,LT_OVERVIEW!D$99),FC_DATA!$A$2:$L$5000,MATCH("Growth",FC_DATA!$A$1:$L$1,0),FALSE)),"")</f>
        <v/>
      </c>
      <c r="E105" s="404" t="str">
        <f ca="1">IFERROR(VLOOKUP(_xlfn.CONCAT($B$1,$A105,E$98,E$99),HIS_SALES!$A$2:$O$5093,MATCH("GSII_Q",HIS_SALES!$A$1:$O$1,0),FALSE)*(1+VLOOKUP(_xlfn.CONCAT(LT_OVERVIEW!$B$1,"BRAND.com",LT_OVERVIEW!$B105,LT_OVERVIEW!E$97,LT_OVERVIEW!E$99),FC_DATA!$A$2:$L$5000,MATCH("Growth",FC_DATA!$A$1:$L$1,0),FALSE)),"")</f>
        <v/>
      </c>
      <c r="F105" s="404" t="str">
        <f ca="1">IFERROR(SUMIFS(FC_DATA!$AC$2:$AC$5000,FC_DATA!$U$2:$U$5000,$B$1,FC_DATA!$V$2:$V$5000,"BS.com",FC_DATA!$W$2:$W$5000,$B105,FC_DATA!$X$2:$X$5000,F$98,FC_DATA!$Y$2:$Y$5000,F$99)*(1+VLOOKUP(_xlfn.CONCAT(LT_OVERVIEW!$B$1,"BRAND.com",LT_OVERVIEW!$B105,LT_OVERVIEW!F$97,LT_OVERVIEW!F$99),FC_DATA!$A$2:$L$5000,MATCH("Growth",FC_DATA!$A$1:$L$1,0),FALSE)),"")</f>
        <v/>
      </c>
      <c r="G105" s="27"/>
      <c r="H105" s="27" t="str">
        <f t="shared" si="70"/>
        <v>BS.comPANTS</v>
      </c>
      <c r="I105" s="558" t="str">
        <f t="shared" ca="1" si="66"/>
        <v/>
      </c>
      <c r="J105" s="558" t="str">
        <f t="shared" ca="1" si="66"/>
        <v/>
      </c>
      <c r="K105" s="558" t="str">
        <f t="shared" ca="1" si="66"/>
        <v/>
      </c>
      <c r="L105" s="558"/>
      <c r="M105" s="742" t="str">
        <f t="shared" ca="1" si="67"/>
        <v/>
      </c>
    </row>
    <row r="106" spans="1:13" x14ac:dyDescent="0.25">
      <c r="A106" s="739" t="str">
        <f t="shared" si="68"/>
        <v>BS.comSHIRTS</v>
      </c>
      <c r="B106" s="740" t="str">
        <f t="shared" si="69"/>
        <v>SHIRTS</v>
      </c>
      <c r="C106" s="404" t="str">
        <f ca="1">IFERROR(VLOOKUP(_xlfn.CONCAT($B$1,$A106,C$98,C$99),HIS_SALES!$A$2:$O$5093,MATCH("GSII_Q",HIS_SALES!$A$1:$O$1,0),FALSE)*(1+VLOOKUP(_xlfn.CONCAT(LT_OVERVIEW!$B$1,"BRAND.com",LT_OVERVIEW!$B106,LT_OVERVIEW!C$97,LT_OVERVIEW!C$99),FC_DATA!$A$2:$L$5000,MATCH("Growth",FC_DATA!$A$1:$L$1,0),FALSE)),"")</f>
        <v/>
      </c>
      <c r="D106" s="404" t="str">
        <f ca="1">IFERROR(VLOOKUP(_xlfn.CONCAT($B$1,$A106,D$98,D$99),HIS_SALES!$A$2:$O$5093,MATCH("GSII_Q",HIS_SALES!$A$1:$O$1,0),FALSE)*(1+VLOOKUP(_xlfn.CONCAT(LT_OVERVIEW!$B$1,"BRAND.com",LT_OVERVIEW!$B106,LT_OVERVIEW!D$97,LT_OVERVIEW!D$99),FC_DATA!$A$2:$L$5000,MATCH("Growth",FC_DATA!$A$1:$L$1,0),FALSE)),"")</f>
        <v/>
      </c>
      <c r="E106" s="404" t="str">
        <f ca="1">IFERROR(VLOOKUP(_xlfn.CONCAT($B$1,$A106,E$98,E$99),HIS_SALES!$A$2:$O$5093,MATCH("GSII_Q",HIS_SALES!$A$1:$O$1,0),FALSE)*(1+VLOOKUP(_xlfn.CONCAT(LT_OVERVIEW!$B$1,"BRAND.com",LT_OVERVIEW!$B106,LT_OVERVIEW!E$97,LT_OVERVIEW!E$99),FC_DATA!$A$2:$L$5000,MATCH("Growth",FC_DATA!$A$1:$L$1,0),FALSE)),"")</f>
        <v/>
      </c>
      <c r="F106" s="404" t="str">
        <f ca="1">IFERROR(SUMIFS(FC_DATA!$AC$2:$AC$5000,FC_DATA!$U$2:$U$5000,$B$1,FC_DATA!$V$2:$V$5000,"BS.com",FC_DATA!$W$2:$W$5000,$B106,FC_DATA!$X$2:$X$5000,F$98,FC_DATA!$Y$2:$Y$5000,F$99)*(1+VLOOKUP(_xlfn.CONCAT(LT_OVERVIEW!$B$1,"BRAND.com",LT_OVERVIEW!$B106,LT_OVERVIEW!F$97,LT_OVERVIEW!F$99),FC_DATA!$A$2:$L$5000,MATCH("Growth",FC_DATA!$A$1:$L$1,0),FALSE)),"")</f>
        <v/>
      </c>
      <c r="G106" s="27"/>
      <c r="H106" s="27" t="str">
        <f t="shared" si="70"/>
        <v>BS.comSHIRTS</v>
      </c>
      <c r="I106" s="558" t="str">
        <f t="shared" ca="1" si="66"/>
        <v/>
      </c>
      <c r="J106" s="558" t="str">
        <f t="shared" ca="1" si="66"/>
        <v/>
      </c>
      <c r="K106" s="558" t="str">
        <f t="shared" ca="1" si="66"/>
        <v/>
      </c>
      <c r="L106" s="558"/>
      <c r="M106" s="742" t="str">
        <f t="shared" ca="1" si="67"/>
        <v/>
      </c>
    </row>
    <row r="107" spans="1:13" x14ac:dyDescent="0.25">
      <c r="A107" s="739" t="str">
        <f t="shared" si="68"/>
        <v>BS.comSHOES</v>
      </c>
      <c r="B107" s="740" t="str">
        <f t="shared" si="69"/>
        <v>SHOES</v>
      </c>
      <c r="C107" s="404" t="str">
        <f ca="1">IFERROR(VLOOKUP(_xlfn.CONCAT($B$1,$A107,C$98,C$99),HIS_SALES!$A$2:$O$5093,MATCH("GSII_Q",HIS_SALES!$A$1:$O$1,0),FALSE)*(1+VLOOKUP(_xlfn.CONCAT(LT_OVERVIEW!$B$1,"BRAND.com",LT_OVERVIEW!$B107,LT_OVERVIEW!C$97,LT_OVERVIEW!C$99),FC_DATA!$A$2:$L$5000,MATCH("Growth",FC_DATA!$A$1:$L$1,0),FALSE)),"")</f>
        <v/>
      </c>
      <c r="D107" s="404" t="str">
        <f ca="1">IFERROR(VLOOKUP(_xlfn.CONCAT($B$1,$A107,D$98,D$99),HIS_SALES!$A$2:$O$5093,MATCH("GSII_Q",HIS_SALES!$A$1:$O$1,0),FALSE)*(1+VLOOKUP(_xlfn.CONCAT(LT_OVERVIEW!$B$1,"BRAND.com",LT_OVERVIEW!$B107,LT_OVERVIEW!D$97,LT_OVERVIEW!D$99),FC_DATA!$A$2:$L$5000,MATCH("Growth",FC_DATA!$A$1:$L$1,0),FALSE)),"")</f>
        <v/>
      </c>
      <c r="E107" s="404" t="str">
        <f ca="1">IFERROR(VLOOKUP(_xlfn.CONCAT($B$1,$A107,E$98,E$99),HIS_SALES!$A$2:$O$5093,MATCH("GSII_Q",HIS_SALES!$A$1:$O$1,0),FALSE)*(1+VLOOKUP(_xlfn.CONCAT(LT_OVERVIEW!$B$1,"BRAND.com",LT_OVERVIEW!$B107,LT_OVERVIEW!E$97,LT_OVERVIEW!E$99),FC_DATA!$A$2:$L$5000,MATCH("Growth",FC_DATA!$A$1:$L$1,0),FALSE)),"")</f>
        <v/>
      </c>
      <c r="F107" s="404" t="str">
        <f ca="1">IFERROR(SUMIFS(FC_DATA!$AC$2:$AC$5000,FC_DATA!$U$2:$U$5000,$B$1,FC_DATA!$V$2:$V$5000,"BS.com",FC_DATA!$W$2:$W$5000,$B107,FC_DATA!$X$2:$X$5000,F$98,FC_DATA!$Y$2:$Y$5000,F$99)*(1+VLOOKUP(_xlfn.CONCAT(LT_OVERVIEW!$B$1,"BRAND.com",LT_OVERVIEW!$B107,LT_OVERVIEW!F$97,LT_OVERVIEW!F$99),FC_DATA!$A$2:$L$5000,MATCH("Growth",FC_DATA!$A$1:$L$1,0),FALSE)),"")</f>
        <v/>
      </c>
      <c r="G107" s="27"/>
      <c r="H107" s="27" t="str">
        <f t="shared" si="70"/>
        <v>BS.comSHOES</v>
      </c>
      <c r="I107" s="558" t="str">
        <f t="shared" ca="1" si="66"/>
        <v/>
      </c>
      <c r="J107" s="558" t="str">
        <f t="shared" ca="1" si="66"/>
        <v/>
      </c>
      <c r="K107" s="558" t="str">
        <f t="shared" ca="1" si="66"/>
        <v/>
      </c>
      <c r="L107" s="558"/>
      <c r="M107" s="742" t="str">
        <f t="shared" ca="1" si="67"/>
        <v/>
      </c>
    </row>
    <row r="108" spans="1:13" x14ac:dyDescent="0.25">
      <c r="A108" s="739" t="str">
        <f t="shared" si="68"/>
        <v>BS.comSHORTS</v>
      </c>
      <c r="B108" s="740" t="str">
        <f t="shared" si="69"/>
        <v>SHORTS</v>
      </c>
      <c r="C108" s="404" t="str">
        <f ca="1">IFERROR(VLOOKUP(_xlfn.CONCAT($B$1,$A108,C$98,C$99),HIS_SALES!$A$2:$O$5093,MATCH("GSII_Q",HIS_SALES!$A$1:$O$1,0),FALSE)*(1+VLOOKUP(_xlfn.CONCAT(LT_OVERVIEW!$B$1,"BRAND.com",LT_OVERVIEW!$B108,LT_OVERVIEW!C$97,LT_OVERVIEW!C$99),FC_DATA!$A$2:$L$5000,MATCH("Growth",FC_DATA!$A$1:$L$1,0),FALSE)),"")</f>
        <v/>
      </c>
      <c r="D108" s="404" t="str">
        <f ca="1">IFERROR(VLOOKUP(_xlfn.CONCAT($B$1,$A108,D$98,D$99),HIS_SALES!$A$2:$O$5093,MATCH("GSII_Q",HIS_SALES!$A$1:$O$1,0),FALSE)*(1+VLOOKUP(_xlfn.CONCAT(LT_OVERVIEW!$B$1,"BRAND.com",LT_OVERVIEW!$B108,LT_OVERVIEW!D$97,LT_OVERVIEW!D$99),FC_DATA!$A$2:$L$5000,MATCH("Growth",FC_DATA!$A$1:$L$1,0),FALSE)),"")</f>
        <v/>
      </c>
      <c r="E108" s="404" t="str">
        <f ca="1">IFERROR(VLOOKUP(_xlfn.CONCAT($B$1,$A108,E$98,E$99),HIS_SALES!$A$2:$O$5093,MATCH("GSII_Q",HIS_SALES!$A$1:$O$1,0),FALSE)*(1+VLOOKUP(_xlfn.CONCAT(LT_OVERVIEW!$B$1,"BRAND.com",LT_OVERVIEW!$B108,LT_OVERVIEW!E$97,LT_OVERVIEW!E$99),FC_DATA!$A$2:$L$5000,MATCH("Growth",FC_DATA!$A$1:$L$1,0),FALSE)),"")</f>
        <v/>
      </c>
      <c r="F108" s="404" t="str">
        <f ca="1">IFERROR(SUMIFS(FC_DATA!$AC$2:$AC$5000,FC_DATA!$U$2:$U$5000,$B$1,FC_DATA!$V$2:$V$5000,"BS.com",FC_DATA!$W$2:$W$5000,$B108,FC_DATA!$X$2:$X$5000,F$98,FC_DATA!$Y$2:$Y$5000,F$99)*(1+VLOOKUP(_xlfn.CONCAT(LT_OVERVIEW!$B$1,"BRAND.com",LT_OVERVIEW!$B108,LT_OVERVIEW!F$97,LT_OVERVIEW!F$99),FC_DATA!$A$2:$L$5000,MATCH("Growth",FC_DATA!$A$1:$L$1,0),FALSE)),"")</f>
        <v/>
      </c>
      <c r="G108" s="27"/>
      <c r="H108" s="27" t="str">
        <f t="shared" si="70"/>
        <v>BS.comSHORTS</v>
      </c>
      <c r="I108" s="558" t="str">
        <f t="shared" ca="1" si="66"/>
        <v/>
      </c>
      <c r="J108" s="558" t="str">
        <f t="shared" ca="1" si="66"/>
        <v/>
      </c>
      <c r="K108" s="558" t="str">
        <f t="shared" ca="1" si="66"/>
        <v/>
      </c>
      <c r="L108" s="558"/>
      <c r="M108" s="742" t="str">
        <f t="shared" ca="1" si="67"/>
        <v/>
      </c>
    </row>
    <row r="109" spans="1:13" x14ac:dyDescent="0.25">
      <c r="A109" s="739" t="str">
        <f t="shared" si="68"/>
        <v>BS.comSKIRTS</v>
      </c>
      <c r="B109" s="740" t="str">
        <f t="shared" si="69"/>
        <v>SKIRTS</v>
      </c>
      <c r="C109" s="404" t="str">
        <f ca="1">IFERROR(VLOOKUP(_xlfn.CONCAT($B$1,$A109,C$98,C$99),HIS_SALES!$A$2:$O$5093,MATCH("GSII_Q",HIS_SALES!$A$1:$O$1,0),FALSE)*(1+VLOOKUP(_xlfn.CONCAT(LT_OVERVIEW!$B$1,"BRAND.com",LT_OVERVIEW!$B109,LT_OVERVIEW!C$97,LT_OVERVIEW!C$99),FC_DATA!$A$2:$L$5000,MATCH("Growth",FC_DATA!$A$1:$L$1,0),FALSE)),"")</f>
        <v/>
      </c>
      <c r="D109" s="404" t="str">
        <f ca="1">IFERROR(VLOOKUP(_xlfn.CONCAT($B$1,$A109,D$98,D$99),HIS_SALES!$A$2:$O$5093,MATCH("GSII_Q",HIS_SALES!$A$1:$O$1,0),FALSE)*(1+VLOOKUP(_xlfn.CONCAT(LT_OVERVIEW!$B$1,"BRAND.com",LT_OVERVIEW!$B109,LT_OVERVIEW!D$97,LT_OVERVIEW!D$99),FC_DATA!$A$2:$L$5000,MATCH("Growth",FC_DATA!$A$1:$L$1,0),FALSE)),"")</f>
        <v/>
      </c>
      <c r="E109" s="404" t="str">
        <f ca="1">IFERROR(VLOOKUP(_xlfn.CONCAT($B$1,$A109,E$98,E$99),HIS_SALES!$A$2:$O$5093,MATCH("GSII_Q",HIS_SALES!$A$1:$O$1,0),FALSE)*(1+VLOOKUP(_xlfn.CONCAT(LT_OVERVIEW!$B$1,"BRAND.com",LT_OVERVIEW!$B109,LT_OVERVIEW!E$97,LT_OVERVIEW!E$99),FC_DATA!$A$2:$L$5000,MATCH("Growth",FC_DATA!$A$1:$L$1,0),FALSE)),"")</f>
        <v/>
      </c>
      <c r="F109" s="404" t="str">
        <f ca="1">IFERROR(SUMIFS(FC_DATA!$AC$2:$AC$5000,FC_DATA!$U$2:$U$5000,$B$1,FC_DATA!$V$2:$V$5000,"BS.com",FC_DATA!$W$2:$W$5000,$B109,FC_DATA!$X$2:$X$5000,F$98,FC_DATA!$Y$2:$Y$5000,F$99)*(1+VLOOKUP(_xlfn.CONCAT(LT_OVERVIEW!$B$1,"BRAND.com",LT_OVERVIEW!$B109,LT_OVERVIEW!F$97,LT_OVERVIEW!F$99),FC_DATA!$A$2:$L$5000,MATCH("Growth",FC_DATA!$A$1:$L$1,0),FALSE)),"")</f>
        <v/>
      </c>
      <c r="G109" s="27"/>
      <c r="H109" s="27" t="str">
        <f t="shared" si="70"/>
        <v>BS.comSKIRTS</v>
      </c>
      <c r="I109" s="558" t="str">
        <f t="shared" ca="1" si="66"/>
        <v/>
      </c>
      <c r="J109" s="558" t="str">
        <f t="shared" ca="1" si="66"/>
        <v/>
      </c>
      <c r="K109" s="558" t="str">
        <f t="shared" ca="1" si="66"/>
        <v/>
      </c>
      <c r="L109" s="558"/>
      <c r="M109" s="742" t="str">
        <f t="shared" ca="1" si="67"/>
        <v/>
      </c>
    </row>
    <row r="110" spans="1:13" x14ac:dyDescent="0.25">
      <c r="A110" s="739" t="str">
        <f t="shared" si="68"/>
        <v>BS.comSWEAT</v>
      </c>
      <c r="B110" s="740" t="str">
        <f t="shared" si="69"/>
        <v>SWEAT</v>
      </c>
      <c r="C110" s="404" t="str">
        <f ca="1">IFERROR(VLOOKUP(_xlfn.CONCAT($B$1,$A110,C$98,C$99),HIS_SALES!$A$2:$O$5093,MATCH("GSII_Q",HIS_SALES!$A$1:$O$1,0),FALSE)*(1+VLOOKUP(_xlfn.CONCAT(LT_OVERVIEW!$B$1,"BRAND.com",LT_OVERVIEW!$B110,LT_OVERVIEW!C$97,LT_OVERVIEW!C$99),FC_DATA!$A$2:$L$5000,MATCH("Growth",FC_DATA!$A$1:$L$1,0),FALSE)),"")</f>
        <v/>
      </c>
      <c r="D110" s="404" t="str">
        <f ca="1">IFERROR(VLOOKUP(_xlfn.CONCAT($B$1,$A110,D$98,D$99),HIS_SALES!$A$2:$O$5093,MATCH("GSII_Q",HIS_SALES!$A$1:$O$1,0),FALSE)*(1+VLOOKUP(_xlfn.CONCAT(LT_OVERVIEW!$B$1,"BRAND.com",LT_OVERVIEW!$B110,LT_OVERVIEW!D$97,LT_OVERVIEW!D$99),FC_DATA!$A$2:$L$5000,MATCH("Growth",FC_DATA!$A$1:$L$1,0),FALSE)),"")</f>
        <v/>
      </c>
      <c r="E110" s="404" t="str">
        <f ca="1">IFERROR(VLOOKUP(_xlfn.CONCAT($B$1,$A110,E$98,E$99),HIS_SALES!$A$2:$O$5093,MATCH("GSII_Q",HIS_SALES!$A$1:$O$1,0),FALSE)*(1+VLOOKUP(_xlfn.CONCAT(LT_OVERVIEW!$B$1,"BRAND.com",LT_OVERVIEW!$B110,LT_OVERVIEW!E$97,LT_OVERVIEW!E$99),FC_DATA!$A$2:$L$5000,MATCH("Growth",FC_DATA!$A$1:$L$1,0),FALSE)),"")</f>
        <v/>
      </c>
      <c r="F110" s="404" t="str">
        <f ca="1">IFERROR(SUMIFS(FC_DATA!$AC$2:$AC$5000,FC_DATA!$U$2:$U$5000,$B$1,FC_DATA!$V$2:$V$5000,"BS.com",FC_DATA!$W$2:$W$5000,$B110,FC_DATA!$X$2:$X$5000,F$98,FC_DATA!$Y$2:$Y$5000,F$99)*(1+VLOOKUP(_xlfn.CONCAT(LT_OVERVIEW!$B$1,"BRAND.com",LT_OVERVIEW!$B110,LT_OVERVIEW!F$97,LT_OVERVIEW!F$99),FC_DATA!$A$2:$L$5000,MATCH("Growth",FC_DATA!$A$1:$L$1,0),FALSE)),"")</f>
        <v/>
      </c>
      <c r="G110" s="27"/>
      <c r="H110" s="27" t="str">
        <f t="shared" si="70"/>
        <v>BS.comSWEAT</v>
      </c>
      <c r="I110" s="558" t="str">
        <f t="shared" ca="1" si="66"/>
        <v/>
      </c>
      <c r="J110" s="558" t="str">
        <f t="shared" ca="1" si="66"/>
        <v/>
      </c>
      <c r="K110" s="558" t="str">
        <f t="shared" ca="1" si="66"/>
        <v/>
      </c>
      <c r="L110" s="558"/>
      <c r="M110" s="742" t="str">
        <f t="shared" ca="1" si="67"/>
        <v/>
      </c>
    </row>
    <row r="111" spans="1:13" x14ac:dyDescent="0.25">
      <c r="A111" s="739" t="str">
        <f t="shared" si="68"/>
        <v>BS.comTAILORING</v>
      </c>
      <c r="B111" s="740" t="str">
        <f t="shared" si="69"/>
        <v>TAILORING</v>
      </c>
      <c r="C111" s="404" t="str">
        <f ca="1">IFERROR(VLOOKUP(_xlfn.CONCAT($B$1,$A111,C$98,C$99),HIS_SALES!$A$2:$O$5093,MATCH("GSII_Q",HIS_SALES!$A$1:$O$1,0),FALSE)*(1+VLOOKUP(_xlfn.CONCAT(LT_OVERVIEW!$B$1,"BRAND.com",LT_OVERVIEW!$B111,LT_OVERVIEW!C$97,LT_OVERVIEW!C$99),FC_DATA!$A$2:$L$5000,MATCH("Growth",FC_DATA!$A$1:$L$1,0),FALSE)),"")</f>
        <v/>
      </c>
      <c r="D111" s="404" t="str">
        <f ca="1">IFERROR(VLOOKUP(_xlfn.CONCAT($B$1,$A111,D$98,D$99),HIS_SALES!$A$2:$O$5093,MATCH("GSII_Q",HIS_SALES!$A$1:$O$1,0),FALSE)*(1+VLOOKUP(_xlfn.CONCAT(LT_OVERVIEW!$B$1,"BRAND.com",LT_OVERVIEW!$B111,LT_OVERVIEW!D$97,LT_OVERVIEW!D$99),FC_DATA!$A$2:$L$5000,MATCH("Growth",FC_DATA!$A$1:$L$1,0),FALSE)),"")</f>
        <v/>
      </c>
      <c r="E111" s="404" t="str">
        <f ca="1">IFERROR(VLOOKUP(_xlfn.CONCAT($B$1,$A111,E$98,E$99),HIS_SALES!$A$2:$O$5093,MATCH("GSII_Q",HIS_SALES!$A$1:$O$1,0),FALSE)*(1+VLOOKUP(_xlfn.CONCAT(LT_OVERVIEW!$B$1,"BRAND.com",LT_OVERVIEW!$B111,LT_OVERVIEW!E$97,LT_OVERVIEW!E$99),FC_DATA!$A$2:$L$5000,MATCH("Growth",FC_DATA!$A$1:$L$1,0),FALSE)),"")</f>
        <v/>
      </c>
      <c r="F111" s="404" t="str">
        <f ca="1">IFERROR(SUMIFS(FC_DATA!$AC$2:$AC$5000,FC_DATA!$U$2:$U$5000,$B$1,FC_DATA!$V$2:$V$5000,"BS.com",FC_DATA!$W$2:$W$5000,$B111,FC_DATA!$X$2:$X$5000,F$98,FC_DATA!$Y$2:$Y$5000,F$99)*(1+VLOOKUP(_xlfn.CONCAT(LT_OVERVIEW!$B$1,"BRAND.com",LT_OVERVIEW!$B111,LT_OVERVIEW!F$97,LT_OVERVIEW!F$99),FC_DATA!$A$2:$L$5000,MATCH("Growth",FC_DATA!$A$1:$L$1,0),FALSE)),"")</f>
        <v/>
      </c>
      <c r="G111" s="27"/>
      <c r="H111" s="27" t="str">
        <f t="shared" si="70"/>
        <v>BS.comTAILORING</v>
      </c>
      <c r="I111" s="558" t="str">
        <f t="shared" ca="1" si="66"/>
        <v/>
      </c>
      <c r="J111" s="558" t="str">
        <f t="shared" ca="1" si="66"/>
        <v/>
      </c>
      <c r="K111" s="558" t="str">
        <f t="shared" ca="1" si="66"/>
        <v/>
      </c>
      <c r="L111" s="558"/>
      <c r="M111" s="742" t="str">
        <f t="shared" ca="1" si="67"/>
        <v/>
      </c>
    </row>
    <row r="112" spans="1:13" x14ac:dyDescent="0.25">
      <c r="A112" s="739" t="str">
        <f t="shared" si="68"/>
        <v>BS.comTOPS</v>
      </c>
      <c r="B112" s="740" t="str">
        <f t="shared" si="69"/>
        <v>TOPS</v>
      </c>
      <c r="C112" s="404" t="str">
        <f ca="1">IFERROR(VLOOKUP(_xlfn.CONCAT($B$1,$A112,C$98,C$99),HIS_SALES!$A$2:$O$5093,MATCH("GSII_Q",HIS_SALES!$A$1:$O$1,0),FALSE)*(1+VLOOKUP(_xlfn.CONCAT(LT_OVERVIEW!$B$1,"BRAND.com",LT_OVERVIEW!$B112,LT_OVERVIEW!C$97,LT_OVERVIEW!C$99),FC_DATA!$A$2:$L$5000,MATCH("Growth",FC_DATA!$A$1:$L$1,0),FALSE)),"")</f>
        <v/>
      </c>
      <c r="D112" s="404" t="str">
        <f ca="1">IFERROR(VLOOKUP(_xlfn.CONCAT($B$1,$A112,D$98,D$99),HIS_SALES!$A$2:$O$5093,MATCH("GSII_Q",HIS_SALES!$A$1:$O$1,0),FALSE)*(1+VLOOKUP(_xlfn.CONCAT(LT_OVERVIEW!$B$1,"BRAND.com",LT_OVERVIEW!$B112,LT_OVERVIEW!D$97,LT_OVERVIEW!D$99),FC_DATA!$A$2:$L$5000,MATCH("Growth",FC_DATA!$A$1:$L$1,0),FALSE)),"")</f>
        <v/>
      </c>
      <c r="E112" s="404" t="str">
        <f ca="1">IFERROR(VLOOKUP(_xlfn.CONCAT($B$1,$A112,E$98,E$99),HIS_SALES!$A$2:$O$5093,MATCH("GSII_Q",HIS_SALES!$A$1:$O$1,0),FALSE)*(1+VLOOKUP(_xlfn.CONCAT(LT_OVERVIEW!$B$1,"BRAND.com",LT_OVERVIEW!$B112,LT_OVERVIEW!E$97,LT_OVERVIEW!E$99),FC_DATA!$A$2:$L$5000,MATCH("Growth",FC_DATA!$A$1:$L$1,0),FALSE)),"")</f>
        <v/>
      </c>
      <c r="F112" s="404" t="str">
        <f ca="1">IFERROR(SUMIFS(FC_DATA!$AC$2:$AC$5000,FC_DATA!$U$2:$U$5000,$B$1,FC_DATA!$V$2:$V$5000,"BS.com",FC_DATA!$W$2:$W$5000,$B112,FC_DATA!$X$2:$X$5000,F$98,FC_DATA!$Y$2:$Y$5000,F$99)*(1+VLOOKUP(_xlfn.CONCAT(LT_OVERVIEW!$B$1,"BRAND.com",LT_OVERVIEW!$B112,LT_OVERVIEW!F$97,LT_OVERVIEW!F$99),FC_DATA!$A$2:$L$5000,MATCH("Growth",FC_DATA!$A$1:$L$1,0),FALSE)),"")</f>
        <v/>
      </c>
      <c r="G112" s="27"/>
      <c r="H112" s="27" t="str">
        <f t="shared" si="70"/>
        <v>BS.comTOPS</v>
      </c>
      <c r="I112" s="558" t="str">
        <f t="shared" ca="1" si="66"/>
        <v/>
      </c>
      <c r="J112" s="558" t="str">
        <f t="shared" ca="1" si="66"/>
        <v/>
      </c>
      <c r="K112" s="558" t="str">
        <f t="shared" ca="1" si="66"/>
        <v/>
      </c>
      <c r="L112" s="558"/>
      <c r="M112" s="742" t="str">
        <f t="shared" ca="1" si="67"/>
        <v/>
      </c>
    </row>
    <row r="113" spans="1:13" x14ac:dyDescent="0.25">
      <c r="A113" s="739" t="str">
        <f t="shared" si="68"/>
        <v>BS.comT-SHIRTS</v>
      </c>
      <c r="B113" s="740" t="str">
        <f t="shared" si="69"/>
        <v>T-SHIRTS</v>
      </c>
      <c r="C113" s="404" t="str">
        <f ca="1">IFERROR(VLOOKUP(_xlfn.CONCAT($B$1,$A113,C$98,C$99),HIS_SALES!$A$2:$O$5093,MATCH("GSII_Q",HIS_SALES!$A$1:$O$1,0),FALSE)*(1+VLOOKUP(_xlfn.CONCAT(LT_OVERVIEW!$B$1,"BRAND.com",LT_OVERVIEW!$B113,LT_OVERVIEW!C$97,LT_OVERVIEW!C$99),FC_DATA!$A$2:$L$5000,MATCH("Growth",FC_DATA!$A$1:$L$1,0),FALSE)),"")</f>
        <v/>
      </c>
      <c r="D113" s="404" t="str">
        <f ca="1">IFERROR(VLOOKUP(_xlfn.CONCAT($B$1,$A113,D$98,D$99),HIS_SALES!$A$2:$O$5093,MATCH("GSII_Q",HIS_SALES!$A$1:$O$1,0),FALSE)*(1+VLOOKUP(_xlfn.CONCAT(LT_OVERVIEW!$B$1,"BRAND.com",LT_OVERVIEW!$B113,LT_OVERVIEW!D$97,LT_OVERVIEW!D$99),FC_DATA!$A$2:$L$5000,MATCH("Growth",FC_DATA!$A$1:$L$1,0),FALSE)),"")</f>
        <v/>
      </c>
      <c r="E113" s="404" t="str">
        <f ca="1">IFERROR(VLOOKUP(_xlfn.CONCAT($B$1,$A113,E$98,E$99),HIS_SALES!$A$2:$O$5093,MATCH("GSII_Q",HIS_SALES!$A$1:$O$1,0),FALSE)*(1+VLOOKUP(_xlfn.CONCAT(LT_OVERVIEW!$B$1,"BRAND.com",LT_OVERVIEW!$B113,LT_OVERVIEW!E$97,LT_OVERVIEW!E$99),FC_DATA!$A$2:$L$5000,MATCH("Growth",FC_DATA!$A$1:$L$1,0),FALSE)),"")</f>
        <v/>
      </c>
      <c r="F113" s="404" t="str">
        <f ca="1">IFERROR(SUMIFS(FC_DATA!$AC$2:$AC$5000,FC_DATA!$U$2:$U$5000,$B$1,FC_DATA!$V$2:$V$5000,"BS.com",FC_DATA!$W$2:$W$5000,$B113,FC_DATA!$X$2:$X$5000,F$98,FC_DATA!$Y$2:$Y$5000,F$99)*(1+VLOOKUP(_xlfn.CONCAT(LT_OVERVIEW!$B$1,"BRAND.com",LT_OVERVIEW!$B113,LT_OVERVIEW!F$97,LT_OVERVIEW!F$99),FC_DATA!$A$2:$L$5000,MATCH("Growth",FC_DATA!$A$1:$L$1,0),FALSE)),"")</f>
        <v/>
      </c>
      <c r="G113" s="27"/>
      <c r="H113" s="27" t="str">
        <f t="shared" si="70"/>
        <v>BS.comT-SHIRTS</v>
      </c>
      <c r="I113" s="558" t="str">
        <f t="shared" ca="1" si="66"/>
        <v/>
      </c>
      <c r="J113" s="558" t="str">
        <f t="shared" ca="1" si="66"/>
        <v/>
      </c>
      <c r="K113" s="558" t="str">
        <f t="shared" ca="1" si="66"/>
        <v/>
      </c>
      <c r="L113" s="558"/>
      <c r="M113" s="742" t="str">
        <f t="shared" ca="1" si="67"/>
        <v/>
      </c>
    </row>
    <row r="114" spans="1:13" x14ac:dyDescent="0.25">
      <c r="A114" s="739" t="str">
        <f t="shared" si="68"/>
        <v>BS.comT-SHIRTS &amp; TOPS</v>
      </c>
      <c r="B114" s="740" t="str">
        <f t="shared" si="69"/>
        <v>T-SHIRTS &amp; TOPS</v>
      </c>
      <c r="C114" s="404" t="str">
        <f ca="1">IFERROR(VLOOKUP(_xlfn.CONCAT($B$1,$A114,C$98,C$99),HIS_SALES!$A$2:$O$5093,MATCH("GSII_Q",HIS_SALES!$A$1:$O$1,0),FALSE)*(1+VLOOKUP(_xlfn.CONCAT(LT_OVERVIEW!$B$1,"BRAND.com",LT_OVERVIEW!$B114,LT_OVERVIEW!C$97,LT_OVERVIEW!C$99),FC_DATA!$A$2:$L$5000,MATCH("Growth",FC_DATA!$A$1:$L$1,0),FALSE)),"")</f>
        <v/>
      </c>
      <c r="D114" s="404" t="str">
        <f ca="1">IFERROR(VLOOKUP(_xlfn.CONCAT($B$1,$A114,D$98,D$99),HIS_SALES!$A$2:$O$5093,MATCH("GSII_Q",HIS_SALES!$A$1:$O$1,0),FALSE)*(1+VLOOKUP(_xlfn.CONCAT(LT_OVERVIEW!$B$1,"BRAND.com",LT_OVERVIEW!$B114,LT_OVERVIEW!D$97,LT_OVERVIEW!D$99),FC_DATA!$A$2:$L$5000,MATCH("Growth",FC_DATA!$A$1:$L$1,0),FALSE)),"")</f>
        <v/>
      </c>
      <c r="E114" s="404" t="str">
        <f ca="1">IFERROR(VLOOKUP(_xlfn.CONCAT($B$1,$A114,E$98,E$99),HIS_SALES!$A$2:$O$5093,MATCH("GSII_Q",HIS_SALES!$A$1:$O$1,0),FALSE)*(1+VLOOKUP(_xlfn.CONCAT(LT_OVERVIEW!$B$1,"BRAND.com",LT_OVERVIEW!$B114,LT_OVERVIEW!E$97,LT_OVERVIEW!E$99),FC_DATA!$A$2:$L$5000,MATCH("Growth",FC_DATA!$A$1:$L$1,0),FALSE)),"")</f>
        <v/>
      </c>
      <c r="F114" s="404" t="str">
        <f ca="1">IFERROR(SUMIFS(FC_DATA!$AC$2:$AC$5000,FC_DATA!$U$2:$U$5000,$B$1,FC_DATA!$V$2:$V$5000,"BS.com",FC_DATA!$W$2:$W$5000,$B114,FC_DATA!$X$2:$X$5000,F$98,FC_DATA!$Y$2:$Y$5000,F$99)*(1+VLOOKUP(_xlfn.CONCAT(LT_OVERVIEW!$B$1,"BRAND.com",LT_OVERVIEW!$B114,LT_OVERVIEW!F$97,LT_OVERVIEW!F$99),FC_DATA!$A$2:$L$5000,MATCH("Growth",FC_DATA!$A$1:$L$1,0),FALSE)),"")</f>
        <v/>
      </c>
      <c r="G114" s="27"/>
      <c r="H114" s="27" t="str">
        <f t="shared" si="70"/>
        <v>BS.comT-SHIRTS &amp; TOPS</v>
      </c>
      <c r="I114" s="558" t="str">
        <f t="shared" ca="1" si="66"/>
        <v/>
      </c>
      <c r="J114" s="558" t="str">
        <f t="shared" ca="1" si="66"/>
        <v/>
      </c>
      <c r="K114" s="558" t="str">
        <f t="shared" ca="1" si="66"/>
        <v/>
      </c>
      <c r="L114" s="558"/>
      <c r="M114" s="742" t="str">
        <f t="shared" ca="1" si="67"/>
        <v/>
      </c>
    </row>
    <row r="115" spans="1:13" x14ac:dyDescent="0.25">
      <c r="A115" s="739"/>
      <c r="B115" s="657"/>
      <c r="C115" s="658">
        <f ca="1">SUM(C100:C114)</f>
        <v>0</v>
      </c>
      <c r="D115" s="658">
        <f ca="1">SUM(D100:D114)</f>
        <v>0</v>
      </c>
      <c r="E115" s="658">
        <f ca="1">SUM(E100:E114)</f>
        <v>0</v>
      </c>
      <c r="F115" s="658">
        <f ca="1">SUM(F100:F114)</f>
        <v>0</v>
      </c>
      <c r="G115" s="659"/>
      <c r="H115" s="659"/>
      <c r="I115" s="660">
        <f ca="1">SUM(I100:I114)</f>
        <v>0</v>
      </c>
      <c r="J115" s="660">
        <f ca="1">SUM(J100:J114)</f>
        <v>0</v>
      </c>
      <c r="K115" s="660">
        <f ca="1">SUM(K100:K114)</f>
        <v>0</v>
      </c>
      <c r="L115" s="660"/>
      <c r="M115" s="743">
        <f ca="1">SUM(M100:M114)</f>
        <v>0</v>
      </c>
    </row>
    <row r="116" spans="1:13" x14ac:dyDescent="0.25">
      <c r="A116" s="739" t="str">
        <f>"PARTNER.com"&amp;B116</f>
        <v>PARTNER.comACCESSORIES</v>
      </c>
      <c r="B116" s="740" t="str">
        <f t="shared" ref="B116:B130" si="71">B7</f>
        <v>ACCESSORIES</v>
      </c>
      <c r="C116" s="404" t="str">
        <f ca="1">IFERROR(VLOOKUP(_xlfn.CONCAT($B$1,$A116,C$98,C$99),HIS_SALES!$A$2:$O$5093,MATCH("GSII_Q",HIS_SALES!$A$1:$O$1,0),FALSE)*(1+VLOOKUP(_xlfn.CONCAT(LT_OVERVIEW!$B$1,"BRAND.com",LT_OVERVIEW!$B116,LT_OVERVIEW!C$97,LT_OVERVIEW!C$99),FC_DATA!$A$2:$L$5000,MATCH("Growth",FC_DATA!$A$1:$L$1,0),FALSE)),"")</f>
        <v/>
      </c>
      <c r="D116" s="404" t="str">
        <f ca="1">IFERROR(VLOOKUP(_xlfn.CONCAT($B$1,$A116,D$98,D$99),HIS_SALES!$A$2:$O$5093,MATCH("GSII_Q",HIS_SALES!$A$1:$O$1,0),FALSE)*(1+VLOOKUP(_xlfn.CONCAT(LT_OVERVIEW!$B$1,"BRAND.com",LT_OVERVIEW!$B116,LT_OVERVIEW!D$97,LT_OVERVIEW!D$99),FC_DATA!$A$2:$L$5000,MATCH("Growth",FC_DATA!$A$1:$L$1,0),FALSE)),"")</f>
        <v/>
      </c>
      <c r="E116" s="404" t="str">
        <f ca="1">IFERROR(VLOOKUP(_xlfn.CONCAT($B$1,$A116,E$98,E$99),HIS_SALES!$A$2:$O$5093,MATCH("GSII_Q",HIS_SALES!$A$1:$O$1,0),FALSE)*(1+VLOOKUP(_xlfn.CONCAT(LT_OVERVIEW!$B$1,"BRAND.com",LT_OVERVIEW!$B116,LT_OVERVIEW!E$97,LT_OVERVIEW!E$99),FC_DATA!$A$2:$L$5000,MATCH("Growth",FC_DATA!$A$1:$L$1,0),FALSE)),"")</f>
        <v/>
      </c>
      <c r="F116" s="404" t="str">
        <f ca="1">IFERROR(SUMIFS(FC_DATA!$AC2:$AC5000,FC_DATA!$U2:$U5000,$B$1,FC_DATA!$V2:$V5000,"PARTNER.com",FC_DATA!$W2:$W5000,$B100,FC_DATA!$X2:$X5000,F$98,FC_DATA!$Y2:$Y5000,F$99)*(1+VLOOKUP(_xlfn.CONCAT(LT_OVERVIEW!$B$1,"BRAND.com",LT_OVERVIEW!$B116,LT_OVERVIEW!F$97,LT_OVERVIEW!F$99),FC_DATA!$A$2:$L$5000,MATCH("Growth",FC_DATA!$A$1:$L$1,0),FALSE)),"")</f>
        <v/>
      </c>
      <c r="G116" s="27"/>
      <c r="H116" s="27" t="str">
        <f t="shared" si="70"/>
        <v>PARTNER.comACCESSORIES</v>
      </c>
      <c r="I116" s="558" t="str">
        <f ca="1">IFERROR(C116/C$131,"")</f>
        <v/>
      </c>
      <c r="J116" s="558" t="str">
        <f t="shared" ref="J116:K130" ca="1" si="72">IFERROR(D116/D$131,"")</f>
        <v/>
      </c>
      <c r="K116" s="558" t="str">
        <f t="shared" ca="1" si="72"/>
        <v/>
      </c>
      <c r="L116" s="558"/>
      <c r="M116" s="742" t="str">
        <f t="shared" ref="M116:M130" ca="1" si="73">IFERROR(F116/F$131,"")</f>
        <v/>
      </c>
    </row>
    <row r="117" spans="1:13" x14ac:dyDescent="0.25">
      <c r="A117" s="739" t="str">
        <f t="shared" ref="A117:A130" si="74">"PARTNER.com"&amp;B117</f>
        <v>PARTNER.comDRESSES</v>
      </c>
      <c r="B117" s="740" t="str">
        <f t="shared" si="71"/>
        <v>DRESSES</v>
      </c>
      <c r="C117" s="404" t="str">
        <f ca="1">IFERROR(VLOOKUP(_xlfn.CONCAT($B$1,$A117,C$98,C$99),HIS_SALES!$A$2:$O$5093,MATCH("GSII_Q",HIS_SALES!$A$1:$O$1,0),FALSE)*(1+VLOOKUP(_xlfn.CONCAT(LT_OVERVIEW!$B$1,"BRAND.com",LT_OVERVIEW!$B117,LT_OVERVIEW!C$97,LT_OVERVIEW!C$99),FC_DATA!$A$2:$L$5000,MATCH("Growth",FC_DATA!$A$1:$L$1,0),FALSE)),"")</f>
        <v/>
      </c>
      <c r="D117" s="404" t="str">
        <f ca="1">IFERROR(VLOOKUP(_xlfn.CONCAT($B$1,$A117,D$98,D$99),HIS_SALES!$A$2:$O$5093,MATCH("GSII_Q",HIS_SALES!$A$1:$O$1,0),FALSE)*(1+VLOOKUP(_xlfn.CONCAT(LT_OVERVIEW!$B$1,"BRAND.com",LT_OVERVIEW!$B117,LT_OVERVIEW!D$97,LT_OVERVIEW!D$99),FC_DATA!$A$2:$L$5000,MATCH("Growth",FC_DATA!$A$1:$L$1,0),FALSE)),"")</f>
        <v/>
      </c>
      <c r="E117" s="404" t="str">
        <f ca="1">IFERROR(VLOOKUP(_xlfn.CONCAT($B$1,$A117,E$98,E$99),HIS_SALES!$A$2:$O$5093,MATCH("GSII_Q",HIS_SALES!$A$1:$O$1,0),FALSE)*(1+VLOOKUP(_xlfn.CONCAT(LT_OVERVIEW!$B$1,"BRAND.com",LT_OVERVIEW!$B117,LT_OVERVIEW!E$97,LT_OVERVIEW!E$99),FC_DATA!$A$2:$L$5000,MATCH("Growth",FC_DATA!$A$1:$L$1,0),FALSE)),"")</f>
        <v/>
      </c>
      <c r="F117" s="404" t="str">
        <f ca="1">IFERROR(SUMIFS(FC_DATA!$AC3:$AC5001,FC_DATA!$U3:$U5001,$B$1,FC_DATA!$V3:$V5001,"PARTNER.com",FC_DATA!$W3:$W5001,$B101,FC_DATA!$X3:$X5001,F$98,FC_DATA!$Y3:$Y5001,F$99)*(1+VLOOKUP(_xlfn.CONCAT(LT_OVERVIEW!$B$1,"BRAND.com",LT_OVERVIEW!$B117,LT_OVERVIEW!F$97,LT_OVERVIEW!F$99),FC_DATA!$A$2:$L$5000,MATCH("Growth",FC_DATA!$A$1:$L$1,0),FALSE)),"")</f>
        <v/>
      </c>
      <c r="G117" s="27"/>
      <c r="H117" s="27" t="str">
        <f t="shared" si="70"/>
        <v>PARTNER.comDRESSES</v>
      </c>
      <c r="I117" s="558" t="str">
        <f t="shared" ref="I117:I130" ca="1" si="75">IFERROR(C117/C$131,"")</f>
        <v/>
      </c>
      <c r="J117" s="558" t="str">
        <f t="shared" ca="1" si="72"/>
        <v/>
      </c>
      <c r="K117" s="558" t="str">
        <f t="shared" ca="1" si="72"/>
        <v/>
      </c>
      <c r="L117" s="558"/>
      <c r="M117" s="742" t="str">
        <f t="shared" ca="1" si="73"/>
        <v/>
      </c>
    </row>
    <row r="118" spans="1:13" x14ac:dyDescent="0.25">
      <c r="A118" s="739" t="str">
        <f t="shared" si="74"/>
        <v>PARTNER.comJEANS</v>
      </c>
      <c r="B118" s="740" t="str">
        <f t="shared" si="71"/>
        <v>JEANS</v>
      </c>
      <c r="C118" s="404" t="str">
        <f ca="1">IFERROR(VLOOKUP(_xlfn.CONCAT($B$1,$A118,C$98,C$99),HIS_SALES!$A$2:$O$5093,MATCH("GSII_Q",HIS_SALES!$A$1:$O$1,0),FALSE)*(1+VLOOKUP(_xlfn.CONCAT(LT_OVERVIEW!$B$1,"BRAND.com",LT_OVERVIEW!$B118,LT_OVERVIEW!C$97,LT_OVERVIEW!C$99),FC_DATA!$A$2:$L$5000,MATCH("Growth",FC_DATA!$A$1:$L$1,0),FALSE)),"")</f>
        <v/>
      </c>
      <c r="D118" s="404" t="str">
        <f ca="1">IFERROR(VLOOKUP(_xlfn.CONCAT($B$1,$A118,D$98,D$99),HIS_SALES!$A$2:$O$5093,MATCH("GSII_Q",HIS_SALES!$A$1:$O$1,0),FALSE)*(1+VLOOKUP(_xlfn.CONCAT(LT_OVERVIEW!$B$1,"BRAND.com",LT_OVERVIEW!$B118,LT_OVERVIEW!D$97,LT_OVERVIEW!D$99),FC_DATA!$A$2:$L$5000,MATCH("Growth",FC_DATA!$A$1:$L$1,0),FALSE)),"")</f>
        <v/>
      </c>
      <c r="E118" s="404" t="str">
        <f ca="1">IFERROR(VLOOKUP(_xlfn.CONCAT($B$1,$A118,E$98,E$99),HIS_SALES!$A$2:$O$5093,MATCH("GSII_Q",HIS_SALES!$A$1:$O$1,0),FALSE)*(1+VLOOKUP(_xlfn.CONCAT(LT_OVERVIEW!$B$1,"BRAND.com",LT_OVERVIEW!$B118,LT_OVERVIEW!E$97,LT_OVERVIEW!E$99),FC_DATA!$A$2:$L$5000,MATCH("Growth",FC_DATA!$A$1:$L$1,0),FALSE)),"")</f>
        <v/>
      </c>
      <c r="F118" s="404" t="str">
        <f ca="1">IFERROR(SUMIFS(FC_DATA!$AC4:$AC5002,FC_DATA!$U4:$U5002,$B$1,FC_DATA!$V4:$V5002,"PARTNER.com",FC_DATA!$W4:$W5002,$B102,FC_DATA!$X4:$X5002,F$98,FC_DATA!$Y4:$Y5002,F$99)*(1+VLOOKUP(_xlfn.CONCAT(LT_OVERVIEW!$B$1,"BRAND.com",LT_OVERVIEW!$B118,LT_OVERVIEW!F$97,LT_OVERVIEW!F$99),FC_DATA!$A$2:$L$5000,MATCH("Growth",FC_DATA!$A$1:$L$1,0),FALSE)),"")</f>
        <v/>
      </c>
      <c r="G118" s="27"/>
      <c r="H118" s="27" t="str">
        <f t="shared" si="70"/>
        <v>PARTNER.comJEANS</v>
      </c>
      <c r="I118" s="558" t="str">
        <f t="shared" ca="1" si="75"/>
        <v/>
      </c>
      <c r="J118" s="558" t="str">
        <f t="shared" ca="1" si="72"/>
        <v/>
      </c>
      <c r="K118" s="558" t="str">
        <f t="shared" ca="1" si="72"/>
        <v/>
      </c>
      <c r="L118" s="558"/>
      <c r="M118" s="742" t="str">
        <f t="shared" ca="1" si="73"/>
        <v/>
      </c>
    </row>
    <row r="119" spans="1:13" x14ac:dyDescent="0.25">
      <c r="A119" s="739" t="str">
        <f t="shared" si="74"/>
        <v>PARTNER.comKNIT</v>
      </c>
      <c r="B119" s="740" t="str">
        <f t="shared" si="71"/>
        <v>KNIT</v>
      </c>
      <c r="C119" s="404" t="str">
        <f ca="1">IFERROR(VLOOKUP(_xlfn.CONCAT($B$1,$A119,C$98,C$99),HIS_SALES!$A$2:$O$5093,MATCH("GSII_Q",HIS_SALES!$A$1:$O$1,0),FALSE)*(1+VLOOKUP(_xlfn.CONCAT(LT_OVERVIEW!$B$1,"BRAND.com",LT_OVERVIEW!$B119,LT_OVERVIEW!C$97,LT_OVERVIEW!C$99),FC_DATA!$A$2:$L$5000,MATCH("Growth",FC_DATA!$A$1:$L$1,0),FALSE)),"")</f>
        <v/>
      </c>
      <c r="D119" s="404" t="str">
        <f ca="1">IFERROR(VLOOKUP(_xlfn.CONCAT($B$1,$A119,D$98,D$99),HIS_SALES!$A$2:$O$5093,MATCH("GSII_Q",HIS_SALES!$A$1:$O$1,0),FALSE)*(1+VLOOKUP(_xlfn.CONCAT(LT_OVERVIEW!$B$1,"BRAND.com",LT_OVERVIEW!$B119,LT_OVERVIEW!D$97,LT_OVERVIEW!D$99),FC_DATA!$A$2:$L$5000,MATCH("Growth",FC_DATA!$A$1:$L$1,0),FALSE)),"")</f>
        <v/>
      </c>
      <c r="E119" s="404" t="str">
        <f ca="1">IFERROR(VLOOKUP(_xlfn.CONCAT($B$1,$A119,E$98,E$99),HIS_SALES!$A$2:$O$5093,MATCH("GSII_Q",HIS_SALES!$A$1:$O$1,0),FALSE)*(1+VLOOKUP(_xlfn.CONCAT(LT_OVERVIEW!$B$1,"BRAND.com",LT_OVERVIEW!$B119,LT_OVERVIEW!E$97,LT_OVERVIEW!E$99),FC_DATA!$A$2:$L$5000,MATCH("Growth",FC_DATA!$A$1:$L$1,0),FALSE)),"")</f>
        <v/>
      </c>
      <c r="F119" s="404" t="str">
        <f ca="1">IFERROR(SUMIFS(FC_DATA!$AC5:$AC5003,FC_DATA!$U5:$U5003,$B$1,FC_DATA!$V5:$V5003,"PARTNER.com",FC_DATA!$W5:$W5003,$B103,FC_DATA!$X5:$X5003,F$98,FC_DATA!$Y5:$Y5003,F$99)*(1+VLOOKUP(_xlfn.CONCAT(LT_OVERVIEW!$B$1,"BRAND.com",LT_OVERVIEW!$B119,LT_OVERVIEW!F$97,LT_OVERVIEW!F$99),FC_DATA!$A$2:$L$5000,MATCH("Growth",FC_DATA!$A$1:$L$1,0),FALSE)),"")</f>
        <v/>
      </c>
      <c r="G119" s="27"/>
      <c r="H119" s="27" t="str">
        <f t="shared" si="70"/>
        <v>PARTNER.comKNIT</v>
      </c>
      <c r="I119" s="558" t="str">
        <f t="shared" ca="1" si="75"/>
        <v/>
      </c>
      <c r="J119" s="558" t="str">
        <f t="shared" ca="1" si="72"/>
        <v/>
      </c>
      <c r="K119" s="558" t="str">
        <f t="shared" ca="1" si="72"/>
        <v/>
      </c>
      <c r="L119" s="558"/>
      <c r="M119" s="742" t="str">
        <f t="shared" ca="1" si="73"/>
        <v/>
      </c>
    </row>
    <row r="120" spans="1:13" x14ac:dyDescent="0.25">
      <c r="A120" s="739" t="str">
        <f t="shared" si="74"/>
        <v>PARTNER.comOUTERWEAR</v>
      </c>
      <c r="B120" s="740" t="str">
        <f t="shared" si="71"/>
        <v>OUTERWEAR</v>
      </c>
      <c r="C120" s="404" t="str">
        <f ca="1">IFERROR(VLOOKUP(_xlfn.CONCAT($B$1,$A120,C$98,C$99),HIS_SALES!$A$2:$O$5093,MATCH("GSII_Q",HIS_SALES!$A$1:$O$1,0),FALSE)*(1+VLOOKUP(_xlfn.CONCAT(LT_OVERVIEW!$B$1,"BRAND.com",LT_OVERVIEW!$B120,LT_OVERVIEW!C$97,LT_OVERVIEW!C$99),FC_DATA!$A$2:$L$5000,MATCH("Growth",FC_DATA!$A$1:$L$1,0),FALSE)),"")</f>
        <v/>
      </c>
      <c r="D120" s="404" t="str">
        <f ca="1">IFERROR(VLOOKUP(_xlfn.CONCAT($B$1,$A120,D$98,D$99),HIS_SALES!$A$2:$O$5093,MATCH("GSII_Q",HIS_SALES!$A$1:$O$1,0),FALSE)*(1+VLOOKUP(_xlfn.CONCAT(LT_OVERVIEW!$B$1,"BRAND.com",LT_OVERVIEW!$B120,LT_OVERVIEW!D$97,LT_OVERVIEW!D$99),FC_DATA!$A$2:$L$5000,MATCH("Growth",FC_DATA!$A$1:$L$1,0),FALSE)),"")</f>
        <v/>
      </c>
      <c r="E120" s="404" t="str">
        <f ca="1">IFERROR(VLOOKUP(_xlfn.CONCAT($B$1,$A120,E$98,E$99),HIS_SALES!$A$2:$O$5093,MATCH("GSII_Q",HIS_SALES!$A$1:$O$1,0),FALSE)*(1+VLOOKUP(_xlfn.CONCAT(LT_OVERVIEW!$B$1,"BRAND.com",LT_OVERVIEW!$B120,LT_OVERVIEW!E$97,LT_OVERVIEW!E$99),FC_DATA!$A$2:$L$5000,MATCH("Growth",FC_DATA!$A$1:$L$1,0),FALSE)),"")</f>
        <v/>
      </c>
      <c r="F120" s="404" t="str">
        <f ca="1">IFERROR(SUMIFS(FC_DATA!$AC6:$AC5004,FC_DATA!$U6:$U5004,$B$1,FC_DATA!$V6:$V5004,"PARTNER.com",FC_DATA!$W6:$W5004,$B104,FC_DATA!$X6:$X5004,F$98,FC_DATA!$Y6:$Y5004,F$99)*(1+VLOOKUP(_xlfn.CONCAT(LT_OVERVIEW!$B$1,"BRAND.com",LT_OVERVIEW!$B120,LT_OVERVIEW!F$97,LT_OVERVIEW!F$99),FC_DATA!$A$2:$L$5000,MATCH("Growth",FC_DATA!$A$1:$L$1,0),FALSE)),"")</f>
        <v/>
      </c>
      <c r="G120" s="27"/>
      <c r="H120" s="27" t="str">
        <f t="shared" si="70"/>
        <v>PARTNER.comOUTERWEAR</v>
      </c>
      <c r="I120" s="558" t="str">
        <f t="shared" ca="1" si="75"/>
        <v/>
      </c>
      <c r="J120" s="558" t="str">
        <f t="shared" ca="1" si="72"/>
        <v/>
      </c>
      <c r="K120" s="558" t="str">
        <f t="shared" ca="1" si="72"/>
        <v/>
      </c>
      <c r="L120" s="558"/>
      <c r="M120" s="742" t="str">
        <f t="shared" ca="1" si="73"/>
        <v/>
      </c>
    </row>
    <row r="121" spans="1:13" x14ac:dyDescent="0.25">
      <c r="A121" s="739" t="str">
        <f t="shared" si="74"/>
        <v>PARTNER.comPANTS</v>
      </c>
      <c r="B121" s="740" t="str">
        <f t="shared" si="71"/>
        <v>PANTS</v>
      </c>
      <c r="C121" s="404" t="str">
        <f ca="1">IFERROR(VLOOKUP(_xlfn.CONCAT($B$1,$A121,C$98,C$99),HIS_SALES!$A$2:$O$5093,MATCH("GSII_Q",HIS_SALES!$A$1:$O$1,0),FALSE)*(1+VLOOKUP(_xlfn.CONCAT(LT_OVERVIEW!$B$1,"BRAND.com",LT_OVERVIEW!$B121,LT_OVERVIEW!C$97,LT_OVERVIEW!C$99),FC_DATA!$A$2:$L$5000,MATCH("Growth",FC_DATA!$A$1:$L$1,0),FALSE)),"")</f>
        <v/>
      </c>
      <c r="D121" s="404" t="str">
        <f ca="1">IFERROR(VLOOKUP(_xlfn.CONCAT($B$1,$A121,D$98,D$99),HIS_SALES!$A$2:$O$5093,MATCH("GSII_Q",HIS_SALES!$A$1:$O$1,0),FALSE)*(1+VLOOKUP(_xlfn.CONCAT(LT_OVERVIEW!$B$1,"BRAND.com",LT_OVERVIEW!$B121,LT_OVERVIEW!D$97,LT_OVERVIEW!D$99),FC_DATA!$A$2:$L$5000,MATCH("Growth",FC_DATA!$A$1:$L$1,0),FALSE)),"")</f>
        <v/>
      </c>
      <c r="E121" s="404" t="str">
        <f ca="1">IFERROR(VLOOKUP(_xlfn.CONCAT($B$1,$A121,E$98,E$99),HIS_SALES!$A$2:$O$5093,MATCH("GSII_Q",HIS_SALES!$A$1:$O$1,0),FALSE)*(1+VLOOKUP(_xlfn.CONCAT(LT_OVERVIEW!$B$1,"BRAND.com",LT_OVERVIEW!$B121,LT_OVERVIEW!E$97,LT_OVERVIEW!E$99),FC_DATA!$A$2:$L$5000,MATCH("Growth",FC_DATA!$A$1:$L$1,0),FALSE)),"")</f>
        <v/>
      </c>
      <c r="F121" s="404" t="str">
        <f ca="1">IFERROR(SUMIFS(FC_DATA!$AC7:$AC5005,FC_DATA!$U7:$U5005,$B$1,FC_DATA!$V7:$V5005,"PARTNER.com",FC_DATA!$W7:$W5005,$B105,FC_DATA!$X7:$X5005,F$98,FC_DATA!$Y7:$Y5005,F$99)*(1+VLOOKUP(_xlfn.CONCAT(LT_OVERVIEW!$B$1,"BRAND.com",LT_OVERVIEW!$B121,LT_OVERVIEW!F$97,LT_OVERVIEW!F$99),FC_DATA!$A$2:$L$5000,MATCH("Growth",FC_DATA!$A$1:$L$1,0),FALSE)),"")</f>
        <v/>
      </c>
      <c r="G121" s="27"/>
      <c r="H121" s="27" t="str">
        <f t="shared" si="70"/>
        <v>PARTNER.comPANTS</v>
      </c>
      <c r="I121" s="558" t="str">
        <f t="shared" ca="1" si="75"/>
        <v/>
      </c>
      <c r="J121" s="558" t="str">
        <f t="shared" ca="1" si="72"/>
        <v/>
      </c>
      <c r="K121" s="558" t="str">
        <f t="shared" ca="1" si="72"/>
        <v/>
      </c>
      <c r="L121" s="558"/>
      <c r="M121" s="742" t="str">
        <f t="shared" ca="1" si="73"/>
        <v/>
      </c>
    </row>
    <row r="122" spans="1:13" x14ac:dyDescent="0.25">
      <c r="A122" s="739" t="str">
        <f t="shared" si="74"/>
        <v>PARTNER.comSHIRTS</v>
      </c>
      <c r="B122" s="740" t="str">
        <f t="shared" si="71"/>
        <v>SHIRTS</v>
      </c>
      <c r="C122" s="404" t="str">
        <f ca="1">IFERROR(VLOOKUP(_xlfn.CONCAT($B$1,$A122,C$98,C$99),HIS_SALES!$A$2:$O$5093,MATCH("GSII_Q",HIS_SALES!$A$1:$O$1,0),FALSE)*(1+VLOOKUP(_xlfn.CONCAT(LT_OVERVIEW!$B$1,"BRAND.com",LT_OVERVIEW!$B122,LT_OVERVIEW!C$97,LT_OVERVIEW!C$99),FC_DATA!$A$2:$L$5000,MATCH("Growth",FC_DATA!$A$1:$L$1,0),FALSE)),"")</f>
        <v/>
      </c>
      <c r="D122" s="404" t="str">
        <f ca="1">IFERROR(VLOOKUP(_xlfn.CONCAT($B$1,$A122,D$98,D$99),HIS_SALES!$A$2:$O$5093,MATCH("GSII_Q",HIS_SALES!$A$1:$O$1,0),FALSE)*(1+VLOOKUP(_xlfn.CONCAT(LT_OVERVIEW!$B$1,"BRAND.com",LT_OVERVIEW!$B122,LT_OVERVIEW!D$97,LT_OVERVIEW!D$99),FC_DATA!$A$2:$L$5000,MATCH("Growth",FC_DATA!$A$1:$L$1,0),FALSE)),"")</f>
        <v/>
      </c>
      <c r="E122" s="404" t="str">
        <f ca="1">IFERROR(VLOOKUP(_xlfn.CONCAT($B$1,$A122,E$98,E$99),HIS_SALES!$A$2:$O$5093,MATCH("GSII_Q",HIS_SALES!$A$1:$O$1,0),FALSE)*(1+VLOOKUP(_xlfn.CONCAT(LT_OVERVIEW!$B$1,"BRAND.com",LT_OVERVIEW!$B122,LT_OVERVIEW!E$97,LT_OVERVIEW!E$99),FC_DATA!$A$2:$L$5000,MATCH("Growth",FC_DATA!$A$1:$L$1,0),FALSE)),"")</f>
        <v/>
      </c>
      <c r="F122" s="404" t="str">
        <f ca="1">IFERROR(SUMIFS(FC_DATA!$AC8:$AC5006,FC_DATA!$U8:$U5006,$B$1,FC_DATA!$V8:$V5006,"PARTNER.com",FC_DATA!$W8:$W5006,$B106,FC_DATA!$X8:$X5006,F$98,FC_DATA!$Y8:$Y5006,F$99)*(1+VLOOKUP(_xlfn.CONCAT(LT_OVERVIEW!$B$1,"BRAND.com",LT_OVERVIEW!$B122,LT_OVERVIEW!F$97,LT_OVERVIEW!F$99),FC_DATA!$A$2:$L$5000,MATCH("Growth",FC_DATA!$A$1:$L$1,0),FALSE)),"")</f>
        <v/>
      </c>
      <c r="G122" s="27"/>
      <c r="H122" s="27" t="str">
        <f t="shared" si="70"/>
        <v>PARTNER.comSHIRTS</v>
      </c>
      <c r="I122" s="558" t="str">
        <f t="shared" ca="1" si="75"/>
        <v/>
      </c>
      <c r="J122" s="558" t="str">
        <f t="shared" ca="1" si="72"/>
        <v/>
      </c>
      <c r="K122" s="558" t="str">
        <f t="shared" ca="1" si="72"/>
        <v/>
      </c>
      <c r="L122" s="558"/>
      <c r="M122" s="742" t="str">
        <f t="shared" ca="1" si="73"/>
        <v/>
      </c>
    </row>
    <row r="123" spans="1:13" x14ac:dyDescent="0.25">
      <c r="A123" s="739" t="str">
        <f t="shared" si="74"/>
        <v>PARTNER.comSHOES</v>
      </c>
      <c r="B123" s="740" t="str">
        <f t="shared" si="71"/>
        <v>SHOES</v>
      </c>
      <c r="C123" s="404" t="str">
        <f ca="1">IFERROR(VLOOKUP(_xlfn.CONCAT($B$1,$A123,C$98,C$99),HIS_SALES!$A$2:$O$5093,MATCH("GSII_Q",HIS_SALES!$A$1:$O$1,0),FALSE)*(1+VLOOKUP(_xlfn.CONCAT(LT_OVERVIEW!$B$1,"BRAND.com",LT_OVERVIEW!$B123,LT_OVERVIEW!C$97,LT_OVERVIEW!C$99),FC_DATA!$A$2:$L$5000,MATCH("Growth",FC_DATA!$A$1:$L$1,0),FALSE)),"")</f>
        <v/>
      </c>
      <c r="D123" s="404" t="str">
        <f ca="1">IFERROR(VLOOKUP(_xlfn.CONCAT($B$1,$A123,D$98,D$99),HIS_SALES!$A$2:$O$5093,MATCH("GSII_Q",HIS_SALES!$A$1:$O$1,0),FALSE)*(1+VLOOKUP(_xlfn.CONCAT(LT_OVERVIEW!$B$1,"BRAND.com",LT_OVERVIEW!$B123,LT_OVERVIEW!D$97,LT_OVERVIEW!D$99),FC_DATA!$A$2:$L$5000,MATCH("Growth",FC_DATA!$A$1:$L$1,0),FALSE)),"")</f>
        <v/>
      </c>
      <c r="E123" s="404" t="str">
        <f ca="1">IFERROR(VLOOKUP(_xlfn.CONCAT($B$1,$A123,E$98,E$99),HIS_SALES!$A$2:$O$5093,MATCH("GSII_Q",HIS_SALES!$A$1:$O$1,0),FALSE)*(1+VLOOKUP(_xlfn.CONCAT(LT_OVERVIEW!$B$1,"BRAND.com",LT_OVERVIEW!$B123,LT_OVERVIEW!E$97,LT_OVERVIEW!E$99),FC_DATA!$A$2:$L$5000,MATCH("Growth",FC_DATA!$A$1:$L$1,0),FALSE)),"")</f>
        <v/>
      </c>
      <c r="F123" s="404" t="str">
        <f ca="1">IFERROR(SUMIFS(FC_DATA!$AC9:$AC5007,FC_DATA!$U9:$U5007,$B$1,FC_DATA!$V9:$V5007,"PARTNER.com",FC_DATA!$W9:$W5007,$B107,FC_DATA!$X9:$X5007,F$98,FC_DATA!$Y9:$Y5007,F$99)*(1+VLOOKUP(_xlfn.CONCAT(LT_OVERVIEW!$B$1,"BRAND.com",LT_OVERVIEW!$B123,LT_OVERVIEW!F$97,LT_OVERVIEW!F$99),FC_DATA!$A$2:$L$5000,MATCH("Growth",FC_DATA!$A$1:$L$1,0),FALSE)),"")</f>
        <v/>
      </c>
      <c r="G123" s="27"/>
      <c r="H123" s="27" t="str">
        <f t="shared" si="70"/>
        <v>PARTNER.comSHOES</v>
      </c>
      <c r="I123" s="558" t="str">
        <f t="shared" ca="1" si="75"/>
        <v/>
      </c>
      <c r="J123" s="558" t="str">
        <f t="shared" ca="1" si="72"/>
        <v/>
      </c>
      <c r="K123" s="558" t="str">
        <f t="shared" ca="1" si="72"/>
        <v/>
      </c>
      <c r="L123" s="558"/>
      <c r="M123" s="742" t="str">
        <f t="shared" ca="1" si="73"/>
        <v/>
      </c>
    </row>
    <row r="124" spans="1:13" x14ac:dyDescent="0.25">
      <c r="A124" s="739" t="str">
        <f t="shared" si="74"/>
        <v>PARTNER.comSHORTS</v>
      </c>
      <c r="B124" s="740" t="str">
        <f t="shared" si="71"/>
        <v>SHORTS</v>
      </c>
      <c r="C124" s="404" t="str">
        <f ca="1">IFERROR(VLOOKUP(_xlfn.CONCAT($B$1,$A124,C$98,C$99),HIS_SALES!$A$2:$O$5093,MATCH("GSII_Q",HIS_SALES!$A$1:$O$1,0),FALSE)*(1+VLOOKUP(_xlfn.CONCAT(LT_OVERVIEW!$B$1,"BRAND.com",LT_OVERVIEW!$B124,LT_OVERVIEW!C$97,LT_OVERVIEW!C$99),FC_DATA!$A$2:$L$5000,MATCH("Growth",FC_DATA!$A$1:$L$1,0),FALSE)),"")</f>
        <v/>
      </c>
      <c r="D124" s="404" t="str">
        <f ca="1">IFERROR(VLOOKUP(_xlfn.CONCAT($B$1,$A124,D$98,D$99),HIS_SALES!$A$2:$O$5093,MATCH("GSII_Q",HIS_SALES!$A$1:$O$1,0),FALSE)*(1+VLOOKUP(_xlfn.CONCAT(LT_OVERVIEW!$B$1,"BRAND.com",LT_OVERVIEW!$B124,LT_OVERVIEW!D$97,LT_OVERVIEW!D$99),FC_DATA!$A$2:$L$5000,MATCH("Growth",FC_DATA!$A$1:$L$1,0),FALSE)),"")</f>
        <v/>
      </c>
      <c r="E124" s="404" t="str">
        <f ca="1">IFERROR(VLOOKUP(_xlfn.CONCAT($B$1,$A124,E$98,E$99),HIS_SALES!$A$2:$O$5093,MATCH("GSII_Q",HIS_SALES!$A$1:$O$1,0),FALSE)*(1+VLOOKUP(_xlfn.CONCAT(LT_OVERVIEW!$B$1,"BRAND.com",LT_OVERVIEW!$B124,LT_OVERVIEW!E$97,LT_OVERVIEW!E$99),FC_DATA!$A$2:$L$5000,MATCH("Growth",FC_DATA!$A$1:$L$1,0),FALSE)),"")</f>
        <v/>
      </c>
      <c r="F124" s="404" t="str">
        <f ca="1">IFERROR(SUMIFS(FC_DATA!$AC10:$AC5008,FC_DATA!$U10:$U5008,$B$1,FC_DATA!$V10:$V5008,"PARTNER.com",FC_DATA!$W10:$W5008,$B108,FC_DATA!$X10:$X5008,F$98,FC_DATA!$Y10:$Y5008,F$99)*(1+VLOOKUP(_xlfn.CONCAT(LT_OVERVIEW!$B$1,"BRAND.com",LT_OVERVIEW!$B124,LT_OVERVIEW!F$97,LT_OVERVIEW!F$99),FC_DATA!$A$2:$L$5000,MATCH("Growth",FC_DATA!$A$1:$L$1,0),FALSE)),"")</f>
        <v/>
      </c>
      <c r="G124" s="27"/>
      <c r="H124" s="27" t="str">
        <f t="shared" si="70"/>
        <v>PARTNER.comSHORTS</v>
      </c>
      <c r="I124" s="558" t="str">
        <f t="shared" ca="1" si="75"/>
        <v/>
      </c>
      <c r="J124" s="558" t="str">
        <f t="shared" ca="1" si="72"/>
        <v/>
      </c>
      <c r="K124" s="558" t="str">
        <f t="shared" ca="1" si="72"/>
        <v/>
      </c>
      <c r="L124" s="558"/>
      <c r="M124" s="742" t="str">
        <f t="shared" ca="1" si="73"/>
        <v/>
      </c>
    </row>
    <row r="125" spans="1:13" x14ac:dyDescent="0.25">
      <c r="A125" s="739" t="str">
        <f t="shared" si="74"/>
        <v>PARTNER.comSKIRTS</v>
      </c>
      <c r="B125" s="740" t="str">
        <f t="shared" si="71"/>
        <v>SKIRTS</v>
      </c>
      <c r="C125" s="404" t="str">
        <f ca="1">IFERROR(VLOOKUP(_xlfn.CONCAT($B$1,$A125,C$98,C$99),HIS_SALES!$A$2:$O$5093,MATCH("GSII_Q",HIS_SALES!$A$1:$O$1,0),FALSE)*(1+VLOOKUP(_xlfn.CONCAT(LT_OVERVIEW!$B$1,"BRAND.com",LT_OVERVIEW!$B125,LT_OVERVIEW!C$97,LT_OVERVIEW!C$99),FC_DATA!$A$2:$L$5000,MATCH("Growth",FC_DATA!$A$1:$L$1,0),FALSE)),"")</f>
        <v/>
      </c>
      <c r="D125" s="404" t="str">
        <f ca="1">IFERROR(VLOOKUP(_xlfn.CONCAT($B$1,$A125,D$98,D$99),HIS_SALES!$A$2:$O$5093,MATCH("GSII_Q",HIS_SALES!$A$1:$O$1,0),FALSE)*(1+VLOOKUP(_xlfn.CONCAT(LT_OVERVIEW!$B$1,"BRAND.com",LT_OVERVIEW!$B125,LT_OVERVIEW!D$97,LT_OVERVIEW!D$99),FC_DATA!$A$2:$L$5000,MATCH("Growth",FC_DATA!$A$1:$L$1,0),FALSE)),"")</f>
        <v/>
      </c>
      <c r="E125" s="404" t="str">
        <f ca="1">IFERROR(VLOOKUP(_xlfn.CONCAT($B$1,$A125,E$98,E$99),HIS_SALES!$A$2:$O$5093,MATCH("GSII_Q",HIS_SALES!$A$1:$O$1,0),FALSE)*(1+VLOOKUP(_xlfn.CONCAT(LT_OVERVIEW!$B$1,"BRAND.com",LT_OVERVIEW!$B125,LT_OVERVIEW!E$97,LT_OVERVIEW!E$99),FC_DATA!$A$2:$L$5000,MATCH("Growth",FC_DATA!$A$1:$L$1,0),FALSE)),"")</f>
        <v/>
      </c>
      <c r="F125" s="404" t="str">
        <f ca="1">IFERROR(SUMIFS(FC_DATA!$AC11:$AC5009,FC_DATA!$U11:$U5009,$B$1,FC_DATA!$V11:$V5009,"PARTNER.com",FC_DATA!$W11:$W5009,$B109,FC_DATA!$X11:$X5009,F$98,FC_DATA!$Y11:$Y5009,F$99)*(1+VLOOKUP(_xlfn.CONCAT(LT_OVERVIEW!$B$1,"BRAND.com",LT_OVERVIEW!$B125,LT_OVERVIEW!F$97,LT_OVERVIEW!F$99),FC_DATA!$A$2:$L$5000,MATCH("Growth",FC_DATA!$A$1:$L$1,0),FALSE)),"")</f>
        <v/>
      </c>
      <c r="G125" s="27"/>
      <c r="H125" s="27" t="str">
        <f t="shared" si="70"/>
        <v>PARTNER.comSKIRTS</v>
      </c>
      <c r="I125" s="558" t="str">
        <f t="shared" ca="1" si="75"/>
        <v/>
      </c>
      <c r="J125" s="558" t="str">
        <f t="shared" ca="1" si="72"/>
        <v/>
      </c>
      <c r="K125" s="558" t="str">
        <f t="shared" ca="1" si="72"/>
        <v/>
      </c>
      <c r="L125" s="558"/>
      <c r="M125" s="742" t="str">
        <f t="shared" ca="1" si="73"/>
        <v/>
      </c>
    </row>
    <row r="126" spans="1:13" x14ac:dyDescent="0.25">
      <c r="A126" s="739" t="str">
        <f t="shared" si="74"/>
        <v>PARTNER.comSWEAT</v>
      </c>
      <c r="B126" s="740" t="str">
        <f t="shared" si="71"/>
        <v>SWEAT</v>
      </c>
      <c r="C126" s="404" t="str">
        <f ca="1">IFERROR(VLOOKUP(_xlfn.CONCAT($B$1,$A126,C$98,C$99),HIS_SALES!$A$2:$O$5093,MATCH("GSII_Q",HIS_SALES!$A$1:$O$1,0),FALSE)*(1+VLOOKUP(_xlfn.CONCAT(LT_OVERVIEW!$B$1,"BRAND.com",LT_OVERVIEW!$B126,LT_OVERVIEW!C$97,LT_OVERVIEW!C$99),FC_DATA!$A$2:$L$5000,MATCH("Growth",FC_DATA!$A$1:$L$1,0),FALSE)),"")</f>
        <v/>
      </c>
      <c r="D126" s="404" t="str">
        <f ca="1">IFERROR(VLOOKUP(_xlfn.CONCAT($B$1,$A126,D$98,D$99),HIS_SALES!$A$2:$O$5093,MATCH("GSII_Q",HIS_SALES!$A$1:$O$1,0),FALSE)*(1+VLOOKUP(_xlfn.CONCAT(LT_OVERVIEW!$B$1,"BRAND.com",LT_OVERVIEW!$B126,LT_OVERVIEW!D$97,LT_OVERVIEW!D$99),FC_DATA!$A$2:$L$5000,MATCH("Growth",FC_DATA!$A$1:$L$1,0),FALSE)),"")</f>
        <v/>
      </c>
      <c r="E126" s="404" t="str">
        <f ca="1">IFERROR(VLOOKUP(_xlfn.CONCAT($B$1,$A126,E$98,E$99),HIS_SALES!$A$2:$O$5093,MATCH("GSII_Q",HIS_SALES!$A$1:$O$1,0),FALSE)*(1+VLOOKUP(_xlfn.CONCAT(LT_OVERVIEW!$B$1,"BRAND.com",LT_OVERVIEW!$B126,LT_OVERVIEW!E$97,LT_OVERVIEW!E$99),FC_DATA!$A$2:$L$5000,MATCH("Growth",FC_DATA!$A$1:$L$1,0),FALSE)),"")</f>
        <v/>
      </c>
      <c r="F126" s="404" t="str">
        <f ca="1">IFERROR(SUMIFS(FC_DATA!$AC12:$AC5010,FC_DATA!$U12:$U5010,$B$1,FC_DATA!$V12:$V5010,"PARTNER.com",FC_DATA!$W12:$W5010,$B110,FC_DATA!$X12:$X5010,F$98,FC_DATA!$Y12:$Y5010,F$99)*(1+VLOOKUP(_xlfn.CONCAT(LT_OVERVIEW!$B$1,"BRAND.com",LT_OVERVIEW!$B126,LT_OVERVIEW!F$97,LT_OVERVIEW!F$99),FC_DATA!$A$2:$L$5000,MATCH("Growth",FC_DATA!$A$1:$L$1,0),FALSE)),"")</f>
        <v/>
      </c>
      <c r="G126" s="27"/>
      <c r="H126" s="27" t="str">
        <f t="shared" si="70"/>
        <v>PARTNER.comSWEAT</v>
      </c>
      <c r="I126" s="558" t="str">
        <f t="shared" ca="1" si="75"/>
        <v/>
      </c>
      <c r="J126" s="558" t="str">
        <f t="shared" ca="1" si="72"/>
        <v/>
      </c>
      <c r="K126" s="558" t="str">
        <f t="shared" ca="1" si="72"/>
        <v/>
      </c>
      <c r="L126" s="558"/>
      <c r="M126" s="742" t="str">
        <f t="shared" ca="1" si="73"/>
        <v/>
      </c>
    </row>
    <row r="127" spans="1:13" x14ac:dyDescent="0.25">
      <c r="A127" s="739" t="str">
        <f t="shared" si="74"/>
        <v>PARTNER.comTAILORING</v>
      </c>
      <c r="B127" s="740" t="str">
        <f t="shared" si="71"/>
        <v>TAILORING</v>
      </c>
      <c r="C127" s="404" t="str">
        <f ca="1">IFERROR(VLOOKUP(_xlfn.CONCAT($B$1,$A127,C$98,C$99),HIS_SALES!$A$2:$O$5093,MATCH("GSII_Q",HIS_SALES!$A$1:$O$1,0),FALSE)*(1+VLOOKUP(_xlfn.CONCAT(LT_OVERVIEW!$B$1,"BRAND.com",LT_OVERVIEW!$B127,LT_OVERVIEW!C$97,LT_OVERVIEW!C$99),FC_DATA!$A$2:$L$5000,MATCH("Growth",FC_DATA!$A$1:$L$1,0),FALSE)),"")</f>
        <v/>
      </c>
      <c r="D127" s="404" t="str">
        <f ca="1">IFERROR(VLOOKUP(_xlfn.CONCAT($B$1,$A127,D$98,D$99),HIS_SALES!$A$2:$O$5093,MATCH("GSII_Q",HIS_SALES!$A$1:$O$1,0),FALSE)*(1+VLOOKUP(_xlfn.CONCAT(LT_OVERVIEW!$B$1,"BRAND.com",LT_OVERVIEW!$B127,LT_OVERVIEW!D$97,LT_OVERVIEW!D$99),FC_DATA!$A$2:$L$5000,MATCH("Growth",FC_DATA!$A$1:$L$1,0),FALSE)),"")</f>
        <v/>
      </c>
      <c r="E127" s="404" t="str">
        <f ca="1">IFERROR(VLOOKUP(_xlfn.CONCAT($B$1,$A127,E$98,E$99),HIS_SALES!$A$2:$O$5093,MATCH("GSII_Q",HIS_SALES!$A$1:$O$1,0),FALSE)*(1+VLOOKUP(_xlfn.CONCAT(LT_OVERVIEW!$B$1,"BRAND.com",LT_OVERVIEW!$B127,LT_OVERVIEW!E$97,LT_OVERVIEW!E$99),FC_DATA!$A$2:$L$5000,MATCH("Growth",FC_DATA!$A$1:$L$1,0),FALSE)),"")</f>
        <v/>
      </c>
      <c r="F127" s="404" t="str">
        <f ca="1">IFERROR(SUMIFS(FC_DATA!$AC13:$AC5011,FC_DATA!$U13:$U5011,$B$1,FC_DATA!$V13:$V5011,"PARTNER.com",FC_DATA!$W13:$W5011,$B111,FC_DATA!$X13:$X5011,F$98,FC_DATA!$Y13:$Y5011,F$99)*(1+VLOOKUP(_xlfn.CONCAT(LT_OVERVIEW!$B$1,"BRAND.com",LT_OVERVIEW!$B127,LT_OVERVIEW!F$97,LT_OVERVIEW!F$99),FC_DATA!$A$2:$L$5000,MATCH("Growth",FC_DATA!$A$1:$L$1,0),FALSE)),"")</f>
        <v/>
      </c>
      <c r="G127" s="27"/>
      <c r="H127" s="27" t="str">
        <f t="shared" si="70"/>
        <v>PARTNER.comTAILORING</v>
      </c>
      <c r="I127" s="558" t="str">
        <f t="shared" ca="1" si="75"/>
        <v/>
      </c>
      <c r="J127" s="558" t="str">
        <f t="shared" ca="1" si="72"/>
        <v/>
      </c>
      <c r="K127" s="558" t="str">
        <f t="shared" ca="1" si="72"/>
        <v/>
      </c>
      <c r="L127" s="558"/>
      <c r="M127" s="742" t="str">
        <f t="shared" ca="1" si="73"/>
        <v/>
      </c>
    </row>
    <row r="128" spans="1:13" x14ac:dyDescent="0.25">
      <c r="A128" s="739" t="str">
        <f t="shared" si="74"/>
        <v>PARTNER.comTOPS</v>
      </c>
      <c r="B128" s="740" t="str">
        <f t="shared" si="71"/>
        <v>TOPS</v>
      </c>
      <c r="C128" s="404" t="str">
        <f ca="1">IFERROR(VLOOKUP(_xlfn.CONCAT($B$1,$A128,C$98,C$99),HIS_SALES!$A$2:$O$5093,MATCH("GSII_Q",HIS_SALES!$A$1:$O$1,0),FALSE)*(1+VLOOKUP(_xlfn.CONCAT(LT_OVERVIEW!$B$1,"BRAND.com",LT_OVERVIEW!$B128,LT_OVERVIEW!C$97,LT_OVERVIEW!C$99),FC_DATA!$A$2:$L$5000,MATCH("Growth",FC_DATA!$A$1:$L$1,0),FALSE)),"")</f>
        <v/>
      </c>
      <c r="D128" s="404" t="str">
        <f ca="1">IFERROR(VLOOKUP(_xlfn.CONCAT($B$1,$A128,D$98,D$99),HIS_SALES!$A$2:$O$5093,MATCH("GSII_Q",HIS_SALES!$A$1:$O$1,0),FALSE)*(1+VLOOKUP(_xlfn.CONCAT(LT_OVERVIEW!$B$1,"BRAND.com",LT_OVERVIEW!$B128,LT_OVERVIEW!D$97,LT_OVERVIEW!D$99),FC_DATA!$A$2:$L$5000,MATCH("Growth",FC_DATA!$A$1:$L$1,0),FALSE)),"")</f>
        <v/>
      </c>
      <c r="E128" s="404" t="str">
        <f ca="1">IFERROR(VLOOKUP(_xlfn.CONCAT($B$1,$A128,E$98,E$99),HIS_SALES!$A$2:$O$5093,MATCH("GSII_Q",HIS_SALES!$A$1:$O$1,0),FALSE)*(1+VLOOKUP(_xlfn.CONCAT(LT_OVERVIEW!$B$1,"BRAND.com",LT_OVERVIEW!$B128,LT_OVERVIEW!E$97,LT_OVERVIEW!E$99),FC_DATA!$A$2:$L$5000,MATCH("Growth",FC_DATA!$A$1:$L$1,0),FALSE)),"")</f>
        <v/>
      </c>
      <c r="F128" s="404" t="str">
        <f ca="1">IFERROR(SUMIFS(FC_DATA!$AC14:$AC5012,FC_DATA!$U14:$U5012,$B$1,FC_DATA!$V14:$V5012,"PARTNER.com",FC_DATA!$W14:$W5012,$B112,FC_DATA!$X14:$X5012,F$98,FC_DATA!$Y14:$Y5012,F$99)*(1+VLOOKUP(_xlfn.CONCAT(LT_OVERVIEW!$B$1,"BRAND.com",LT_OVERVIEW!$B128,LT_OVERVIEW!F$97,LT_OVERVIEW!F$99),FC_DATA!$A$2:$L$5000,MATCH("Growth",FC_DATA!$A$1:$L$1,0),FALSE)),"")</f>
        <v/>
      </c>
      <c r="G128" s="27"/>
      <c r="H128" s="27" t="str">
        <f t="shared" si="70"/>
        <v>PARTNER.comTOPS</v>
      </c>
      <c r="I128" s="558" t="str">
        <f t="shared" ca="1" si="75"/>
        <v/>
      </c>
      <c r="J128" s="558" t="str">
        <f t="shared" ca="1" si="72"/>
        <v/>
      </c>
      <c r="K128" s="558" t="str">
        <f t="shared" ca="1" si="72"/>
        <v/>
      </c>
      <c r="L128" s="558"/>
      <c r="M128" s="742" t="str">
        <f t="shared" ca="1" si="73"/>
        <v/>
      </c>
    </row>
    <row r="129" spans="1:13" x14ac:dyDescent="0.25">
      <c r="A129" s="739" t="str">
        <f t="shared" si="74"/>
        <v>PARTNER.comT-SHIRTS</v>
      </c>
      <c r="B129" s="740" t="str">
        <f t="shared" si="71"/>
        <v>T-SHIRTS</v>
      </c>
      <c r="C129" s="404" t="str">
        <f ca="1">IFERROR(VLOOKUP(_xlfn.CONCAT($B$1,$A129,C$98,C$99),HIS_SALES!$A$2:$O$5093,MATCH("GSII_Q",HIS_SALES!$A$1:$O$1,0),FALSE)*(1+VLOOKUP(_xlfn.CONCAT(LT_OVERVIEW!$B$1,"BRAND.com",LT_OVERVIEW!$B129,LT_OVERVIEW!C$97,LT_OVERVIEW!C$99),FC_DATA!$A$2:$L$5000,MATCH("Growth",FC_DATA!$A$1:$L$1,0),FALSE)),"")</f>
        <v/>
      </c>
      <c r="D129" s="404" t="str">
        <f ca="1">IFERROR(VLOOKUP(_xlfn.CONCAT($B$1,$A129,D$98,D$99),HIS_SALES!$A$2:$O$5093,MATCH("GSII_Q",HIS_SALES!$A$1:$O$1,0),FALSE)*(1+VLOOKUP(_xlfn.CONCAT(LT_OVERVIEW!$B$1,"BRAND.com",LT_OVERVIEW!$B129,LT_OVERVIEW!D$97,LT_OVERVIEW!D$99),FC_DATA!$A$2:$L$5000,MATCH("Growth",FC_DATA!$A$1:$L$1,0),FALSE)),"")</f>
        <v/>
      </c>
      <c r="E129" s="404" t="str">
        <f ca="1">IFERROR(VLOOKUP(_xlfn.CONCAT($B$1,$A129,E$98,E$99),HIS_SALES!$A$2:$O$5093,MATCH("GSII_Q",HIS_SALES!$A$1:$O$1,0),FALSE)*(1+VLOOKUP(_xlfn.CONCAT(LT_OVERVIEW!$B$1,"BRAND.com",LT_OVERVIEW!$B129,LT_OVERVIEW!E$97,LT_OVERVIEW!E$99),FC_DATA!$A$2:$L$5000,MATCH("Growth",FC_DATA!$A$1:$L$1,0),FALSE)),"")</f>
        <v/>
      </c>
      <c r="F129" s="404" t="str">
        <f ca="1">IFERROR(SUMIFS(FC_DATA!$AC15:$AC5013,FC_DATA!$U15:$U5013,$B$1,FC_DATA!$V15:$V5013,"PARTNER.com",FC_DATA!$W15:$W5013,$B113,FC_DATA!$X15:$X5013,F$98,FC_DATA!$Y15:$Y5013,F$99)*(1+VLOOKUP(_xlfn.CONCAT(LT_OVERVIEW!$B$1,"BRAND.com",LT_OVERVIEW!$B129,LT_OVERVIEW!F$97,LT_OVERVIEW!F$99),FC_DATA!$A$2:$L$5000,MATCH("Growth",FC_DATA!$A$1:$L$1,0),FALSE)),"")</f>
        <v/>
      </c>
      <c r="G129" s="27"/>
      <c r="H129" s="27" t="str">
        <f t="shared" si="70"/>
        <v>PARTNER.comT-SHIRTS</v>
      </c>
      <c r="I129" s="558" t="str">
        <f t="shared" ca="1" si="75"/>
        <v/>
      </c>
      <c r="J129" s="558" t="str">
        <f t="shared" ca="1" si="72"/>
        <v/>
      </c>
      <c r="K129" s="558" t="str">
        <f t="shared" ca="1" si="72"/>
        <v/>
      </c>
      <c r="L129" s="558"/>
      <c r="M129" s="742" t="str">
        <f t="shared" ca="1" si="73"/>
        <v/>
      </c>
    </row>
    <row r="130" spans="1:13" x14ac:dyDescent="0.25">
      <c r="A130" s="739" t="str">
        <f t="shared" si="74"/>
        <v>PARTNER.comT-SHIRTS &amp; TOPS</v>
      </c>
      <c r="B130" s="740" t="str">
        <f t="shared" si="71"/>
        <v>T-SHIRTS &amp; TOPS</v>
      </c>
      <c r="C130" s="404" t="str">
        <f ca="1">IFERROR(VLOOKUP(_xlfn.CONCAT($B$1,$A130,C$98,C$99),HIS_SALES!$A$2:$O$5093,MATCH("GSII_Q",HIS_SALES!$A$1:$O$1,0),FALSE)*(1+VLOOKUP(_xlfn.CONCAT(LT_OVERVIEW!$B$1,"BRAND.com",LT_OVERVIEW!$B130,LT_OVERVIEW!C$97,LT_OVERVIEW!C$99),FC_DATA!$A$2:$L$5000,MATCH("Growth",FC_DATA!$A$1:$L$1,0),FALSE)),"")</f>
        <v/>
      </c>
      <c r="D130" s="404" t="str">
        <f ca="1">IFERROR(VLOOKUP(_xlfn.CONCAT($B$1,$A130,D$98,D$99),HIS_SALES!$A$2:$O$5093,MATCH("GSII_Q",HIS_SALES!$A$1:$O$1,0),FALSE)*(1+VLOOKUP(_xlfn.CONCAT(LT_OVERVIEW!$B$1,"BRAND.com",LT_OVERVIEW!$B130,LT_OVERVIEW!D$97,LT_OVERVIEW!D$99),FC_DATA!$A$2:$L$5000,MATCH("Growth",FC_DATA!$A$1:$L$1,0),FALSE)),"")</f>
        <v/>
      </c>
      <c r="E130" s="404" t="str">
        <f ca="1">IFERROR(VLOOKUP(_xlfn.CONCAT($B$1,$A130,E$98,E$99),HIS_SALES!$A$2:$O$5093,MATCH("GSII_Q",HIS_SALES!$A$1:$O$1,0),FALSE)*(1+VLOOKUP(_xlfn.CONCAT(LT_OVERVIEW!$B$1,"BRAND.com",LT_OVERVIEW!$B130,LT_OVERVIEW!E$97,LT_OVERVIEW!E$99),FC_DATA!$A$2:$L$5000,MATCH("Growth",FC_DATA!$A$1:$L$1,0),FALSE)),"")</f>
        <v/>
      </c>
      <c r="F130" s="404" t="str">
        <f ca="1">IFERROR(SUMIFS(FC_DATA!$AC16:$AC5014,FC_DATA!$U16:$U5014,$B$1,FC_DATA!$V16:$V5014,"PARTNER.com",FC_DATA!$W16:$W5014,$B114,FC_DATA!$X16:$X5014,F$98,FC_DATA!$Y16:$Y5014,F$99)*(1+VLOOKUP(_xlfn.CONCAT(LT_OVERVIEW!$B$1,"BRAND.com",LT_OVERVIEW!$B130,LT_OVERVIEW!F$97,LT_OVERVIEW!F$99),FC_DATA!$A$2:$L$5000,MATCH("Growth",FC_DATA!$A$1:$L$1,0),FALSE)),"")</f>
        <v/>
      </c>
      <c r="G130" s="27"/>
      <c r="H130" s="27" t="str">
        <f t="shared" si="70"/>
        <v>PARTNER.comT-SHIRTS &amp; TOPS</v>
      </c>
      <c r="I130" s="558" t="str">
        <f t="shared" ca="1" si="75"/>
        <v/>
      </c>
      <c r="J130" s="558" t="str">
        <f t="shared" ca="1" si="72"/>
        <v/>
      </c>
      <c r="K130" s="558" t="str">
        <f t="shared" ca="1" si="72"/>
        <v/>
      </c>
      <c r="L130" s="558"/>
      <c r="M130" s="742" t="str">
        <f t="shared" ca="1" si="73"/>
        <v/>
      </c>
    </row>
    <row r="131" spans="1:13" x14ac:dyDescent="0.25">
      <c r="A131" s="744"/>
      <c r="B131" s="657"/>
      <c r="C131" s="658">
        <f ca="1">SUM(C116:C130)</f>
        <v>0</v>
      </c>
      <c r="D131" s="658">
        <f t="shared" ref="D131:F131" ca="1" si="76">SUM(D116:D130)</f>
        <v>0</v>
      </c>
      <c r="E131" s="658">
        <f t="shared" ca="1" si="76"/>
        <v>0</v>
      </c>
      <c r="F131" s="658">
        <f t="shared" ca="1" si="76"/>
        <v>0</v>
      </c>
      <c r="G131" s="659"/>
      <c r="H131" s="659"/>
      <c r="I131" s="660">
        <f ca="1">SUM(I116:I130)</f>
        <v>0</v>
      </c>
      <c r="J131" s="660">
        <f t="shared" ref="J131:K131" ca="1" si="77">SUM(J116:J130)</f>
        <v>0</v>
      </c>
      <c r="K131" s="660">
        <f t="shared" ca="1" si="77"/>
        <v>0</v>
      </c>
      <c r="L131" s="660"/>
      <c r="M131" s="743">
        <f ca="1">SUM(M116:M130)</f>
        <v>0</v>
      </c>
    </row>
  </sheetData>
  <sheetProtection pivotTables="0"/>
  <protectedRanges>
    <protectedRange sqref="I3" name="channel1"/>
    <protectedRange sqref="I25:M25" name="Range1"/>
  </protectedRanges>
  <mergeCells count="18">
    <mergeCell ref="S1:U1"/>
    <mergeCell ref="AG27:AJ27"/>
    <mergeCell ref="AL27:AO27"/>
    <mergeCell ref="AR4:AU4"/>
    <mergeCell ref="I3:M3"/>
    <mergeCell ref="AL5:AO5"/>
    <mergeCell ref="AG4:AJ4"/>
    <mergeCell ref="R4:U4"/>
    <mergeCell ref="R26:U26"/>
    <mergeCell ref="W4:Z4"/>
    <mergeCell ref="AB4:AE4"/>
    <mergeCell ref="C4:F4"/>
    <mergeCell ref="H4:K4"/>
    <mergeCell ref="M4:P4"/>
    <mergeCell ref="C26:F26"/>
    <mergeCell ref="H26:K26"/>
    <mergeCell ref="M26:P26"/>
    <mergeCell ref="I25:M25"/>
  </mergeCells>
  <conditionalFormatting sqref="M22">
    <cfRule type="dataBar" priority="76">
      <dataBar>
        <cfvo type="min"/>
        <cfvo type="max"/>
        <color rgb="FF638EC6"/>
      </dataBar>
      <extLst>
        <ext xmlns:x14="http://schemas.microsoft.com/office/spreadsheetml/2009/9/main" uri="{B025F937-C7B1-47D3-B67F-A62EFF666E3E}">
          <x14:id>{50A00346-408E-4864-B263-2BE70FDC2B2F}</x14:id>
        </ext>
      </extLst>
    </cfRule>
  </conditionalFormatting>
  <conditionalFormatting sqref="N22">
    <cfRule type="dataBar" priority="75">
      <dataBar>
        <cfvo type="min"/>
        <cfvo type="max"/>
        <color rgb="FF638EC6"/>
      </dataBar>
      <extLst>
        <ext xmlns:x14="http://schemas.microsoft.com/office/spreadsheetml/2009/9/main" uri="{B025F937-C7B1-47D3-B67F-A62EFF666E3E}">
          <x14:id>{EBCFFFA9-C3A9-4E3B-A2BD-1C2AF7DA4299}</x14:id>
        </ext>
      </extLst>
    </cfRule>
  </conditionalFormatting>
  <conditionalFormatting sqref="O22">
    <cfRule type="dataBar" priority="74">
      <dataBar>
        <cfvo type="min"/>
        <cfvo type="max"/>
        <color rgb="FF638EC6"/>
      </dataBar>
      <extLst>
        <ext xmlns:x14="http://schemas.microsoft.com/office/spreadsheetml/2009/9/main" uri="{B025F937-C7B1-47D3-B67F-A62EFF666E3E}">
          <x14:id>{C5462E67-42C8-4D56-AED5-52913F54C44D}</x14:id>
        </ext>
      </extLst>
    </cfRule>
  </conditionalFormatting>
  <conditionalFormatting sqref="P22">
    <cfRule type="dataBar" priority="73">
      <dataBar>
        <cfvo type="min"/>
        <cfvo type="max"/>
        <color rgb="FF638EC6"/>
      </dataBar>
      <extLst>
        <ext xmlns:x14="http://schemas.microsoft.com/office/spreadsheetml/2009/9/main" uri="{B025F937-C7B1-47D3-B67F-A62EFF666E3E}">
          <x14:id>{5B5C9329-8745-4871-A65E-F83C1C96EE5D}</x14:id>
        </ext>
      </extLst>
    </cfRule>
  </conditionalFormatting>
  <conditionalFormatting sqref="M35:M38">
    <cfRule type="dataBar" priority="68">
      <dataBar>
        <cfvo type="min"/>
        <cfvo type="max"/>
        <color rgb="FF638EC6"/>
      </dataBar>
      <extLst>
        <ext xmlns:x14="http://schemas.microsoft.com/office/spreadsheetml/2009/9/main" uri="{B025F937-C7B1-47D3-B67F-A62EFF666E3E}">
          <x14:id>{DD650162-4D3A-4C9C-9F7C-3E18E8690A60}</x14:id>
        </ext>
      </extLst>
    </cfRule>
  </conditionalFormatting>
  <conditionalFormatting sqref="N35:N38">
    <cfRule type="dataBar" priority="67">
      <dataBar>
        <cfvo type="min"/>
        <cfvo type="max"/>
        <color rgb="FF638EC6"/>
      </dataBar>
      <extLst>
        <ext xmlns:x14="http://schemas.microsoft.com/office/spreadsheetml/2009/9/main" uri="{B025F937-C7B1-47D3-B67F-A62EFF666E3E}">
          <x14:id>{9FDBDB0D-5EF5-415B-B189-D58A48FD02C4}</x14:id>
        </ext>
      </extLst>
    </cfRule>
  </conditionalFormatting>
  <conditionalFormatting sqref="O35:O38">
    <cfRule type="dataBar" priority="66">
      <dataBar>
        <cfvo type="min"/>
        <cfvo type="max"/>
        <color rgb="FF638EC6"/>
      </dataBar>
      <extLst>
        <ext xmlns:x14="http://schemas.microsoft.com/office/spreadsheetml/2009/9/main" uri="{B025F937-C7B1-47D3-B67F-A62EFF666E3E}">
          <x14:id>{0A3D022A-7810-4521-83E3-88C513834927}</x14:id>
        </ext>
      </extLst>
    </cfRule>
  </conditionalFormatting>
  <conditionalFormatting sqref="P35:P38">
    <cfRule type="dataBar" priority="65">
      <dataBar>
        <cfvo type="min"/>
        <cfvo type="max"/>
        <color rgb="FF638EC6"/>
      </dataBar>
      <extLst>
        <ext xmlns:x14="http://schemas.microsoft.com/office/spreadsheetml/2009/9/main" uri="{B025F937-C7B1-47D3-B67F-A62EFF666E3E}">
          <x14:id>{EA397DC9-9148-4D94-8505-E853B99F08E0}</x14:id>
        </ext>
      </extLst>
    </cfRule>
  </conditionalFormatting>
  <conditionalFormatting sqref="M7:M20">
    <cfRule type="dataBar" priority="56">
      <dataBar>
        <cfvo type="min"/>
        <cfvo type="max"/>
        <color rgb="FF638EC6"/>
      </dataBar>
      <extLst>
        <ext xmlns:x14="http://schemas.microsoft.com/office/spreadsheetml/2009/9/main" uri="{B025F937-C7B1-47D3-B67F-A62EFF666E3E}">
          <x14:id>{802FE20C-D1D7-4311-912F-439C71AC81B5}</x14:id>
        </ext>
      </extLst>
    </cfRule>
  </conditionalFormatting>
  <conditionalFormatting sqref="N7:N20">
    <cfRule type="dataBar" priority="55">
      <dataBar>
        <cfvo type="min"/>
        <cfvo type="max"/>
        <color rgb="FF638EC6"/>
      </dataBar>
      <extLst>
        <ext xmlns:x14="http://schemas.microsoft.com/office/spreadsheetml/2009/9/main" uri="{B025F937-C7B1-47D3-B67F-A62EFF666E3E}">
          <x14:id>{8A74145A-DE8A-4B99-8303-DD73091A561A}</x14:id>
        </ext>
      </extLst>
    </cfRule>
  </conditionalFormatting>
  <conditionalFormatting sqref="O7:O20">
    <cfRule type="dataBar" priority="54">
      <dataBar>
        <cfvo type="min"/>
        <cfvo type="max"/>
        <color rgb="FF638EC6"/>
      </dataBar>
      <extLst>
        <ext xmlns:x14="http://schemas.microsoft.com/office/spreadsheetml/2009/9/main" uri="{B025F937-C7B1-47D3-B67F-A62EFF666E3E}">
          <x14:id>{E6245A82-B3EB-44B8-8487-18694E02DDE7}</x14:id>
        </ext>
      </extLst>
    </cfRule>
  </conditionalFormatting>
  <conditionalFormatting sqref="P7:P20">
    <cfRule type="dataBar" priority="53">
      <dataBar>
        <cfvo type="min"/>
        <cfvo type="max"/>
        <color rgb="FF638EC6"/>
      </dataBar>
      <extLst>
        <ext xmlns:x14="http://schemas.microsoft.com/office/spreadsheetml/2009/9/main" uri="{B025F937-C7B1-47D3-B67F-A62EFF666E3E}">
          <x14:id>{34CDF0A5-1411-43E6-8487-A0DDE968F112}</x14:id>
        </ext>
      </extLst>
    </cfRule>
  </conditionalFormatting>
  <conditionalFormatting sqref="R7:R20">
    <cfRule type="dataBar" priority="52">
      <dataBar>
        <cfvo type="min"/>
        <cfvo type="max"/>
        <color rgb="FF638EC6"/>
      </dataBar>
      <extLst>
        <ext xmlns:x14="http://schemas.microsoft.com/office/spreadsheetml/2009/9/main" uri="{B025F937-C7B1-47D3-B67F-A62EFF666E3E}">
          <x14:id>{697B4FCB-6A98-4B16-BA6F-F8B7C6965FBD}</x14:id>
        </ext>
      </extLst>
    </cfRule>
  </conditionalFormatting>
  <conditionalFormatting sqref="S7:S20">
    <cfRule type="dataBar" priority="51">
      <dataBar>
        <cfvo type="min"/>
        <cfvo type="max"/>
        <color rgb="FF638EC6"/>
      </dataBar>
      <extLst>
        <ext xmlns:x14="http://schemas.microsoft.com/office/spreadsheetml/2009/9/main" uri="{B025F937-C7B1-47D3-B67F-A62EFF666E3E}">
          <x14:id>{1F16D8D2-75D0-4131-9740-975BA51FD5DB}</x14:id>
        </ext>
      </extLst>
    </cfRule>
  </conditionalFormatting>
  <conditionalFormatting sqref="T7:T20">
    <cfRule type="dataBar" priority="50">
      <dataBar>
        <cfvo type="min"/>
        <cfvo type="max"/>
        <color rgb="FF638EC6"/>
      </dataBar>
      <extLst>
        <ext xmlns:x14="http://schemas.microsoft.com/office/spreadsheetml/2009/9/main" uri="{B025F937-C7B1-47D3-B67F-A62EFF666E3E}">
          <x14:id>{295272CF-CD5F-4464-91E1-D5F147AFD078}</x14:id>
        </ext>
      </extLst>
    </cfRule>
  </conditionalFormatting>
  <conditionalFormatting sqref="U7:V20">
    <cfRule type="dataBar" priority="49">
      <dataBar>
        <cfvo type="min"/>
        <cfvo type="max"/>
        <color rgb="FF638EC6"/>
      </dataBar>
      <extLst>
        <ext xmlns:x14="http://schemas.microsoft.com/office/spreadsheetml/2009/9/main" uri="{B025F937-C7B1-47D3-B67F-A62EFF666E3E}">
          <x14:id>{F7CE277C-F3D9-4FD9-86E6-FC3B3D675725}</x14:id>
        </ext>
      </extLst>
    </cfRule>
  </conditionalFormatting>
  <conditionalFormatting sqref="N29:N31">
    <cfRule type="dataBar" priority="41">
      <dataBar>
        <cfvo type="min"/>
        <cfvo type="max"/>
        <color rgb="FF638EC6"/>
      </dataBar>
      <extLst>
        <ext xmlns:x14="http://schemas.microsoft.com/office/spreadsheetml/2009/9/main" uri="{B025F937-C7B1-47D3-B67F-A62EFF666E3E}">
          <x14:id>{C6F68A2B-15FC-4940-AADC-127A00326D77}</x14:id>
        </ext>
      </extLst>
    </cfRule>
  </conditionalFormatting>
  <conditionalFormatting sqref="P29:P31">
    <cfRule type="dataBar" priority="39">
      <dataBar>
        <cfvo type="min"/>
        <cfvo type="max"/>
        <color rgb="FF638EC6"/>
      </dataBar>
      <extLst>
        <ext xmlns:x14="http://schemas.microsoft.com/office/spreadsheetml/2009/9/main" uri="{B025F937-C7B1-47D3-B67F-A62EFF666E3E}">
          <x14:id>{9742C6EB-5B3E-47CA-981D-8CFEB340CACF}</x14:id>
        </ext>
      </extLst>
    </cfRule>
  </conditionalFormatting>
  <conditionalFormatting sqref="R29:R31">
    <cfRule type="dataBar" priority="34">
      <dataBar>
        <cfvo type="min"/>
        <cfvo type="max"/>
        <color rgb="FF638EC6"/>
      </dataBar>
      <extLst>
        <ext xmlns:x14="http://schemas.microsoft.com/office/spreadsheetml/2009/9/main" uri="{B025F937-C7B1-47D3-B67F-A62EFF666E3E}">
          <x14:id>{2D050082-F702-4C32-A9E2-EBC55C7CB5A6}</x14:id>
        </ext>
      </extLst>
    </cfRule>
  </conditionalFormatting>
  <conditionalFormatting sqref="S29:S31">
    <cfRule type="dataBar" priority="33">
      <dataBar>
        <cfvo type="min"/>
        <cfvo type="max"/>
        <color rgb="FF638EC6"/>
      </dataBar>
      <extLst>
        <ext xmlns:x14="http://schemas.microsoft.com/office/spreadsheetml/2009/9/main" uri="{B025F937-C7B1-47D3-B67F-A62EFF666E3E}">
          <x14:id>{57925A7D-A4B6-4E01-93EF-F09BB3759253}</x14:id>
        </ext>
      </extLst>
    </cfRule>
  </conditionalFormatting>
  <conditionalFormatting sqref="T29:T31">
    <cfRule type="dataBar" priority="32">
      <dataBar>
        <cfvo type="min"/>
        <cfvo type="max"/>
        <color rgb="FF638EC6"/>
      </dataBar>
      <extLst>
        <ext xmlns:x14="http://schemas.microsoft.com/office/spreadsheetml/2009/9/main" uri="{B025F937-C7B1-47D3-B67F-A62EFF666E3E}">
          <x14:id>{BE677FD5-ED82-4FFF-B0D8-F3FBDD654306}</x14:id>
        </ext>
      </extLst>
    </cfRule>
  </conditionalFormatting>
  <conditionalFormatting sqref="U29:AE31">
    <cfRule type="dataBar" priority="31">
      <dataBar>
        <cfvo type="min"/>
        <cfvo type="max"/>
        <color rgb="FF638EC6"/>
      </dataBar>
      <extLst>
        <ext xmlns:x14="http://schemas.microsoft.com/office/spreadsheetml/2009/9/main" uri="{B025F937-C7B1-47D3-B67F-A62EFF666E3E}">
          <x14:id>{15D73070-12F7-432A-96F3-9020E293D259}</x14:id>
        </ext>
      </extLst>
    </cfRule>
  </conditionalFormatting>
  <conditionalFormatting sqref="M29:M31">
    <cfRule type="dataBar" priority="10">
      <dataBar>
        <cfvo type="min"/>
        <cfvo type="max"/>
        <color rgb="FF638EC6"/>
      </dataBar>
      <extLst>
        <ext xmlns:x14="http://schemas.microsoft.com/office/spreadsheetml/2009/9/main" uri="{B025F937-C7B1-47D3-B67F-A62EFF666E3E}">
          <x14:id>{97B93635-10DE-4E90-9F90-A7A51D705253}</x14:id>
        </ext>
      </extLst>
    </cfRule>
  </conditionalFormatting>
  <conditionalFormatting sqref="O29:O31">
    <cfRule type="dataBar" priority="9">
      <dataBar>
        <cfvo type="min"/>
        <cfvo type="max"/>
        <color rgb="FF638EC6"/>
      </dataBar>
      <extLst>
        <ext xmlns:x14="http://schemas.microsoft.com/office/spreadsheetml/2009/9/main" uri="{B025F937-C7B1-47D3-B67F-A62EFF666E3E}">
          <x14:id>{DA30972E-6B51-40ED-AD4E-E87F7EBC7263}</x14:id>
        </ext>
      </extLst>
    </cfRule>
  </conditionalFormatting>
  <hyperlinks>
    <hyperlink ref="S1" location="FRONT_PAGE!A1" display="BACK TO FRONT PAGE" xr:uid="{965C20E8-DC5D-4EE1-AE2A-E91889897157}"/>
  </hyperlink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50A00346-408E-4864-B263-2BE70FDC2B2F}">
            <x14:dataBar minLength="0" maxLength="100" gradient="0">
              <x14:cfvo type="autoMin"/>
              <x14:cfvo type="autoMax"/>
              <x14:negativeFillColor rgb="FFFF0000"/>
              <x14:axisColor rgb="FF000000"/>
            </x14:dataBar>
          </x14:cfRule>
          <xm:sqref>M22</xm:sqref>
        </x14:conditionalFormatting>
        <x14:conditionalFormatting xmlns:xm="http://schemas.microsoft.com/office/excel/2006/main">
          <x14:cfRule type="dataBar" id="{EBCFFFA9-C3A9-4E3B-A2BD-1C2AF7DA4299}">
            <x14:dataBar minLength="0" maxLength="100" gradient="0">
              <x14:cfvo type="autoMin"/>
              <x14:cfvo type="autoMax"/>
              <x14:negativeFillColor rgb="FFFF0000"/>
              <x14:axisColor rgb="FF000000"/>
            </x14:dataBar>
          </x14:cfRule>
          <xm:sqref>N22</xm:sqref>
        </x14:conditionalFormatting>
        <x14:conditionalFormatting xmlns:xm="http://schemas.microsoft.com/office/excel/2006/main">
          <x14:cfRule type="dataBar" id="{C5462E67-42C8-4D56-AED5-52913F54C44D}">
            <x14:dataBar minLength="0" maxLength="100" gradient="0">
              <x14:cfvo type="autoMin"/>
              <x14:cfvo type="autoMax"/>
              <x14:negativeFillColor rgb="FFFF0000"/>
              <x14:axisColor rgb="FF000000"/>
            </x14:dataBar>
          </x14:cfRule>
          <xm:sqref>O22</xm:sqref>
        </x14:conditionalFormatting>
        <x14:conditionalFormatting xmlns:xm="http://schemas.microsoft.com/office/excel/2006/main">
          <x14:cfRule type="dataBar" id="{5B5C9329-8745-4871-A65E-F83C1C96EE5D}">
            <x14:dataBar minLength="0" maxLength="100" gradient="0">
              <x14:cfvo type="autoMin"/>
              <x14:cfvo type="autoMax"/>
              <x14:negativeFillColor rgb="FFFF0000"/>
              <x14:axisColor rgb="FF000000"/>
            </x14:dataBar>
          </x14:cfRule>
          <xm:sqref>P22</xm:sqref>
        </x14:conditionalFormatting>
        <x14:conditionalFormatting xmlns:xm="http://schemas.microsoft.com/office/excel/2006/main">
          <x14:cfRule type="dataBar" id="{DD650162-4D3A-4C9C-9F7C-3E18E8690A60}">
            <x14:dataBar minLength="0" maxLength="100" border="1" negativeBarBorderColorSameAsPositive="0">
              <x14:cfvo type="autoMin"/>
              <x14:cfvo type="autoMax"/>
              <x14:borderColor rgb="FF638EC6"/>
              <x14:negativeFillColor rgb="FFFF0000"/>
              <x14:negativeBorderColor rgb="FFFF0000"/>
              <x14:axisColor rgb="FF000000"/>
            </x14:dataBar>
          </x14:cfRule>
          <xm:sqref>M35:M38</xm:sqref>
        </x14:conditionalFormatting>
        <x14:conditionalFormatting xmlns:xm="http://schemas.microsoft.com/office/excel/2006/main">
          <x14:cfRule type="dataBar" id="{9FDBDB0D-5EF5-415B-B189-D58A48FD02C4}">
            <x14:dataBar minLength="0" maxLength="100" border="1" negativeBarBorderColorSameAsPositive="0">
              <x14:cfvo type="autoMin"/>
              <x14:cfvo type="autoMax"/>
              <x14:borderColor rgb="FF638EC6"/>
              <x14:negativeFillColor rgb="FFFF0000"/>
              <x14:negativeBorderColor rgb="FFFF0000"/>
              <x14:axisColor rgb="FF000000"/>
            </x14:dataBar>
          </x14:cfRule>
          <xm:sqref>N35:N38</xm:sqref>
        </x14:conditionalFormatting>
        <x14:conditionalFormatting xmlns:xm="http://schemas.microsoft.com/office/excel/2006/main">
          <x14:cfRule type="dataBar" id="{0A3D022A-7810-4521-83E3-88C513834927}">
            <x14:dataBar minLength="0" maxLength="100" border="1" negativeBarBorderColorSameAsPositive="0">
              <x14:cfvo type="autoMin"/>
              <x14:cfvo type="autoMax"/>
              <x14:borderColor rgb="FF638EC6"/>
              <x14:negativeFillColor rgb="FFFF0000"/>
              <x14:negativeBorderColor rgb="FFFF0000"/>
              <x14:axisColor rgb="FF000000"/>
            </x14:dataBar>
          </x14:cfRule>
          <xm:sqref>O35:O38</xm:sqref>
        </x14:conditionalFormatting>
        <x14:conditionalFormatting xmlns:xm="http://schemas.microsoft.com/office/excel/2006/main">
          <x14:cfRule type="dataBar" id="{EA397DC9-9148-4D94-8505-E853B99F08E0}">
            <x14:dataBar minLength="0" maxLength="100" border="1" negativeBarBorderColorSameAsPositive="0">
              <x14:cfvo type="autoMin"/>
              <x14:cfvo type="autoMax"/>
              <x14:borderColor rgb="FF638EC6"/>
              <x14:negativeFillColor rgb="FFFF0000"/>
              <x14:negativeBorderColor rgb="FFFF0000"/>
              <x14:axisColor rgb="FF000000"/>
            </x14:dataBar>
          </x14:cfRule>
          <xm:sqref>P35:P38</xm:sqref>
        </x14:conditionalFormatting>
        <x14:conditionalFormatting xmlns:xm="http://schemas.microsoft.com/office/excel/2006/main">
          <x14:cfRule type="dataBar" id="{802FE20C-D1D7-4311-912F-439C71AC81B5}">
            <x14:dataBar minLength="0" maxLength="100" gradient="0">
              <x14:cfvo type="autoMin"/>
              <x14:cfvo type="autoMax"/>
              <x14:negativeFillColor rgb="FFFF0000"/>
              <x14:axisColor rgb="FF000000"/>
            </x14:dataBar>
          </x14:cfRule>
          <xm:sqref>M7:M20</xm:sqref>
        </x14:conditionalFormatting>
        <x14:conditionalFormatting xmlns:xm="http://schemas.microsoft.com/office/excel/2006/main">
          <x14:cfRule type="dataBar" id="{8A74145A-DE8A-4B99-8303-DD73091A561A}">
            <x14:dataBar minLength="0" maxLength="100" gradient="0">
              <x14:cfvo type="autoMin"/>
              <x14:cfvo type="autoMax"/>
              <x14:negativeFillColor rgb="FFFF0000"/>
              <x14:axisColor rgb="FF000000"/>
            </x14:dataBar>
          </x14:cfRule>
          <xm:sqref>N7:N20</xm:sqref>
        </x14:conditionalFormatting>
        <x14:conditionalFormatting xmlns:xm="http://schemas.microsoft.com/office/excel/2006/main">
          <x14:cfRule type="dataBar" id="{E6245A82-B3EB-44B8-8487-18694E02DDE7}">
            <x14:dataBar minLength="0" maxLength="100" gradient="0">
              <x14:cfvo type="autoMin"/>
              <x14:cfvo type="autoMax"/>
              <x14:negativeFillColor rgb="FFFF0000"/>
              <x14:axisColor rgb="FF000000"/>
            </x14:dataBar>
          </x14:cfRule>
          <xm:sqref>O7:O20</xm:sqref>
        </x14:conditionalFormatting>
        <x14:conditionalFormatting xmlns:xm="http://schemas.microsoft.com/office/excel/2006/main">
          <x14:cfRule type="dataBar" id="{34CDF0A5-1411-43E6-8487-A0DDE968F112}">
            <x14:dataBar minLength="0" maxLength="100" gradient="0">
              <x14:cfvo type="autoMin"/>
              <x14:cfvo type="autoMax"/>
              <x14:negativeFillColor rgb="FFFF0000"/>
              <x14:axisColor rgb="FF000000"/>
            </x14:dataBar>
          </x14:cfRule>
          <xm:sqref>P7:P20</xm:sqref>
        </x14:conditionalFormatting>
        <x14:conditionalFormatting xmlns:xm="http://schemas.microsoft.com/office/excel/2006/main">
          <x14:cfRule type="dataBar" id="{697B4FCB-6A98-4B16-BA6F-F8B7C6965FBD}">
            <x14:dataBar minLength="0" maxLength="100" gradient="0">
              <x14:cfvo type="autoMin"/>
              <x14:cfvo type="autoMax"/>
              <x14:negativeFillColor rgb="FFFF0000"/>
              <x14:axisColor rgb="FF000000"/>
            </x14:dataBar>
          </x14:cfRule>
          <xm:sqref>R7:R20</xm:sqref>
        </x14:conditionalFormatting>
        <x14:conditionalFormatting xmlns:xm="http://schemas.microsoft.com/office/excel/2006/main">
          <x14:cfRule type="dataBar" id="{1F16D8D2-75D0-4131-9740-975BA51FD5DB}">
            <x14:dataBar minLength="0" maxLength="100" gradient="0">
              <x14:cfvo type="autoMin"/>
              <x14:cfvo type="autoMax"/>
              <x14:negativeFillColor rgb="FFFF0000"/>
              <x14:axisColor rgb="FF000000"/>
            </x14:dataBar>
          </x14:cfRule>
          <xm:sqref>S7:S20</xm:sqref>
        </x14:conditionalFormatting>
        <x14:conditionalFormatting xmlns:xm="http://schemas.microsoft.com/office/excel/2006/main">
          <x14:cfRule type="dataBar" id="{295272CF-CD5F-4464-91E1-D5F147AFD078}">
            <x14:dataBar minLength="0" maxLength="100" gradient="0">
              <x14:cfvo type="autoMin"/>
              <x14:cfvo type="autoMax"/>
              <x14:negativeFillColor rgb="FFFF0000"/>
              <x14:axisColor rgb="FF000000"/>
            </x14:dataBar>
          </x14:cfRule>
          <xm:sqref>T7:T20</xm:sqref>
        </x14:conditionalFormatting>
        <x14:conditionalFormatting xmlns:xm="http://schemas.microsoft.com/office/excel/2006/main">
          <x14:cfRule type="dataBar" id="{F7CE277C-F3D9-4FD9-86E6-FC3B3D675725}">
            <x14:dataBar minLength="0" maxLength="100" gradient="0">
              <x14:cfvo type="autoMin"/>
              <x14:cfvo type="autoMax"/>
              <x14:negativeFillColor rgb="FFFF0000"/>
              <x14:axisColor rgb="FF000000"/>
            </x14:dataBar>
          </x14:cfRule>
          <xm:sqref>U7:V20</xm:sqref>
        </x14:conditionalFormatting>
        <x14:conditionalFormatting xmlns:xm="http://schemas.microsoft.com/office/excel/2006/main">
          <x14:cfRule type="dataBar" id="{C6F68A2B-15FC-4940-AADC-127A00326D77}">
            <x14:dataBar minLength="0" maxLength="100" gradient="0">
              <x14:cfvo type="autoMin"/>
              <x14:cfvo type="autoMax"/>
              <x14:negativeFillColor rgb="FFFF0000"/>
              <x14:axisColor rgb="FF000000"/>
            </x14:dataBar>
          </x14:cfRule>
          <xm:sqref>N29:N31</xm:sqref>
        </x14:conditionalFormatting>
        <x14:conditionalFormatting xmlns:xm="http://schemas.microsoft.com/office/excel/2006/main">
          <x14:cfRule type="dataBar" id="{9742C6EB-5B3E-47CA-981D-8CFEB340CACF}">
            <x14:dataBar minLength="0" maxLength="100" gradient="0">
              <x14:cfvo type="autoMin"/>
              <x14:cfvo type="autoMax"/>
              <x14:negativeFillColor rgb="FFFF0000"/>
              <x14:axisColor rgb="FF000000"/>
            </x14:dataBar>
          </x14:cfRule>
          <xm:sqref>P29:P31</xm:sqref>
        </x14:conditionalFormatting>
        <x14:conditionalFormatting xmlns:xm="http://schemas.microsoft.com/office/excel/2006/main">
          <x14:cfRule type="dataBar" id="{2D050082-F702-4C32-A9E2-EBC55C7CB5A6}">
            <x14:dataBar minLength="0" maxLength="100" gradient="0">
              <x14:cfvo type="autoMin"/>
              <x14:cfvo type="autoMax"/>
              <x14:negativeFillColor rgb="FFFF0000"/>
              <x14:axisColor rgb="FF000000"/>
            </x14:dataBar>
          </x14:cfRule>
          <xm:sqref>R29:R31</xm:sqref>
        </x14:conditionalFormatting>
        <x14:conditionalFormatting xmlns:xm="http://schemas.microsoft.com/office/excel/2006/main">
          <x14:cfRule type="dataBar" id="{57925A7D-A4B6-4E01-93EF-F09BB3759253}">
            <x14:dataBar minLength="0" maxLength="100" gradient="0">
              <x14:cfvo type="autoMin"/>
              <x14:cfvo type="autoMax"/>
              <x14:negativeFillColor rgb="FFFF0000"/>
              <x14:axisColor rgb="FF000000"/>
            </x14:dataBar>
          </x14:cfRule>
          <xm:sqref>S29:S31</xm:sqref>
        </x14:conditionalFormatting>
        <x14:conditionalFormatting xmlns:xm="http://schemas.microsoft.com/office/excel/2006/main">
          <x14:cfRule type="dataBar" id="{BE677FD5-ED82-4FFF-B0D8-F3FBDD654306}">
            <x14:dataBar minLength="0" maxLength="100" gradient="0">
              <x14:cfvo type="autoMin"/>
              <x14:cfvo type="autoMax"/>
              <x14:negativeFillColor rgb="FFFF0000"/>
              <x14:axisColor rgb="FF000000"/>
            </x14:dataBar>
          </x14:cfRule>
          <xm:sqref>T29:T31</xm:sqref>
        </x14:conditionalFormatting>
        <x14:conditionalFormatting xmlns:xm="http://schemas.microsoft.com/office/excel/2006/main">
          <x14:cfRule type="dataBar" id="{15D73070-12F7-432A-96F3-9020E293D259}">
            <x14:dataBar minLength="0" maxLength="100" gradient="0">
              <x14:cfvo type="autoMin"/>
              <x14:cfvo type="autoMax"/>
              <x14:negativeFillColor rgb="FFFF0000"/>
              <x14:axisColor rgb="FF000000"/>
            </x14:dataBar>
          </x14:cfRule>
          <xm:sqref>U29:AE31</xm:sqref>
        </x14:conditionalFormatting>
        <x14:conditionalFormatting xmlns:xm="http://schemas.microsoft.com/office/excel/2006/main">
          <x14:cfRule type="dataBar" id="{97B93635-10DE-4E90-9F90-A7A51D705253}">
            <x14:dataBar minLength="0" maxLength="100" gradient="0">
              <x14:cfvo type="autoMin"/>
              <x14:cfvo type="autoMax"/>
              <x14:negativeFillColor rgb="FFFF0000"/>
              <x14:axisColor rgb="FF000000"/>
            </x14:dataBar>
          </x14:cfRule>
          <xm:sqref>M29:M31</xm:sqref>
        </x14:conditionalFormatting>
        <x14:conditionalFormatting xmlns:xm="http://schemas.microsoft.com/office/excel/2006/main">
          <x14:cfRule type="dataBar" id="{DA30972E-6B51-40ED-AD4E-E87F7EBC7263}">
            <x14:dataBar minLength="0" maxLength="100" gradient="0">
              <x14:cfvo type="autoMin"/>
              <x14:cfvo type="autoMax"/>
              <x14:negativeFillColor rgb="FFFF0000"/>
              <x14:axisColor rgb="FF000000"/>
            </x14:dataBar>
          </x14:cfRule>
          <xm:sqref>O29:O31</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C7B2329-80A2-4BC3-942F-105779466951}">
          <x14:formula1>
            <xm:f>'PIVOT TABLE'!$F$4:$F$7</xm:f>
          </x14:formula1>
          <xm:sqref>I3:M3</xm:sqref>
        </x14:dataValidation>
        <x14:dataValidation type="list" allowBlank="1" showInputMessage="1" showErrorMessage="1" xr:uid="{CF770563-4D44-465D-910E-BBDD68802619}">
          <x14:formula1>
            <xm:f>'PIVOT TABLE'!$D$4:$D$20</xm:f>
          </x14:formula1>
          <xm:sqref>I25:M25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A57C7-E929-40BC-B6DC-4E5844EE0444}">
  <sheetPr codeName="Sheet3">
    <tabColor theme="3" tint="-0.249977111117893"/>
  </sheetPr>
  <dimension ref="A1:AP65"/>
  <sheetViews>
    <sheetView showGridLines="0" workbookViewId="0">
      <pane ySplit="1" topLeftCell="A2" activePane="bottomLeft" state="frozen"/>
      <selection activeCell="P64" sqref="P64"/>
      <selection pane="bottomLeft" activeCell="A2" sqref="A2"/>
    </sheetView>
  </sheetViews>
  <sheetFormatPr defaultColWidth="9.140625" defaultRowHeight="15" x14ac:dyDescent="0.25"/>
  <cols>
    <col min="1" max="1" width="20.28515625" style="419" customWidth="1"/>
    <col min="2" max="2" width="2.28515625" style="418" customWidth="1"/>
    <col min="3" max="16" width="9.140625" style="419" customWidth="1"/>
    <col min="17" max="17" width="1.5703125" style="419" customWidth="1"/>
    <col min="18" max="18" width="7.5703125" style="419" customWidth="1"/>
    <col min="19" max="19" width="20.42578125" style="419" bestFit="1" customWidth="1"/>
    <col min="20" max="30" width="9.140625" style="419"/>
    <col min="31" max="31" width="20.42578125" style="419" bestFit="1" customWidth="1"/>
    <col min="32" max="32" width="9.140625" style="419"/>
    <col min="33" max="33" width="20" style="419" bestFit="1" customWidth="1"/>
    <col min="34" max="34" width="16.28515625" style="419" bestFit="1" customWidth="1"/>
    <col min="35" max="36" width="6.140625" style="419" bestFit="1" customWidth="1"/>
    <col min="37" max="38" width="11.28515625" style="419" bestFit="1" customWidth="1"/>
    <col min="39" max="16384" width="9.140625" style="419"/>
  </cols>
  <sheetData>
    <row r="1" spans="1:24" ht="17.25" x14ac:dyDescent="0.3">
      <c r="A1" s="725" t="str">
        <f>LT_OVERVIEW!B1</f>
        <v>VM</v>
      </c>
      <c r="B1" s="65"/>
      <c r="C1" s="65"/>
      <c r="D1" s="65"/>
      <c r="E1" s="65"/>
      <c r="F1" s="65"/>
      <c r="G1" s="65"/>
      <c r="H1" s="65"/>
      <c r="I1" s="65"/>
      <c r="J1" s="931" t="s">
        <v>213</v>
      </c>
      <c r="K1" s="931"/>
      <c r="L1" s="931"/>
      <c r="M1" s="65"/>
      <c r="N1" s="65"/>
      <c r="O1" s="65"/>
      <c r="P1" s="65"/>
      <c r="Q1" s="65"/>
      <c r="R1" s="65"/>
      <c r="S1" s="65"/>
      <c r="T1" s="65"/>
      <c r="U1" s="65"/>
      <c r="V1" s="901" t="s">
        <v>202</v>
      </c>
      <c r="W1" s="901"/>
      <c r="X1" s="901"/>
    </row>
    <row r="3" spans="1:24" x14ac:dyDescent="0.25">
      <c r="A3" s="287"/>
      <c r="B3" s="418" t="str">
        <f>'PIVOT TABLE'!$B$1</f>
        <v>VM</v>
      </c>
      <c r="C3" s="418" t="str">
        <f>IF('PIVOT TABLE'!Q1&lt;&gt;"(ALL)",'PIVOT TABLE'!Q1,"*")</f>
        <v>BRAND.com</v>
      </c>
      <c r="D3" s="418"/>
      <c r="E3" s="418" t="str">
        <f>IF('PIVOT TABLE'!M1&lt;&gt;"(ALL)",'PIVOT TABLE'!M1,"*")</f>
        <v>OUTERWEAR</v>
      </c>
      <c r="F3" s="420"/>
      <c r="G3" s="420"/>
      <c r="H3" s="420"/>
      <c r="I3" s="420"/>
      <c r="J3" s="420"/>
      <c r="K3" s="420"/>
      <c r="L3" s="420"/>
      <c r="M3" s="420"/>
      <c r="N3" s="420"/>
      <c r="S3" s="421" t="s">
        <v>196</v>
      </c>
    </row>
    <row r="4" spans="1:24" ht="15.75" thickBot="1" x14ac:dyDescent="0.3">
      <c r="C4" s="422"/>
      <c r="D4" s="422"/>
      <c r="E4" s="422"/>
      <c r="F4" s="422"/>
      <c r="G4" s="422"/>
      <c r="H4" s="422"/>
      <c r="I4" s="422"/>
      <c r="J4" s="422"/>
      <c r="K4" s="422"/>
      <c r="L4" s="422"/>
      <c r="M4" s="422"/>
      <c r="N4" s="422"/>
      <c r="O4" s="423"/>
      <c r="P4" s="423"/>
      <c r="Q4" s="424"/>
    </row>
    <row r="5" spans="1:24" x14ac:dyDescent="0.25">
      <c r="C5" s="933" t="s">
        <v>96</v>
      </c>
      <c r="D5" s="933"/>
      <c r="E5" s="933"/>
      <c r="F5" s="933"/>
      <c r="G5" s="933"/>
      <c r="H5" s="933"/>
      <c r="I5" s="933"/>
      <c r="J5" s="933"/>
      <c r="K5" s="933"/>
      <c r="L5" s="933"/>
      <c r="M5" s="933"/>
      <c r="N5" s="933"/>
      <c r="O5" s="933"/>
      <c r="P5" s="933"/>
      <c r="Q5" s="424"/>
      <c r="S5" s="419" t="s">
        <v>96</v>
      </c>
    </row>
    <row r="6" spans="1:24" x14ac:dyDescent="0.25">
      <c r="C6" s="425" t="s">
        <v>7</v>
      </c>
      <c r="D6" s="426" t="s">
        <v>144</v>
      </c>
      <c r="E6" s="426" t="s">
        <v>146</v>
      </c>
      <c r="F6" s="426" t="s">
        <v>145</v>
      </c>
      <c r="G6" s="426" t="s">
        <v>149</v>
      </c>
      <c r="H6" s="426" t="s">
        <v>147</v>
      </c>
      <c r="I6" s="426" t="s">
        <v>148</v>
      </c>
      <c r="J6" s="426" t="s">
        <v>151</v>
      </c>
      <c r="K6" s="426" t="s">
        <v>152</v>
      </c>
      <c r="L6" s="426" t="s">
        <v>150</v>
      </c>
      <c r="M6" s="426" t="s">
        <v>155</v>
      </c>
      <c r="N6" s="426" t="s">
        <v>154</v>
      </c>
      <c r="O6" s="426" t="s">
        <v>153</v>
      </c>
      <c r="P6" s="426" t="s">
        <v>80</v>
      </c>
      <c r="Q6" s="424"/>
      <c r="S6" s="419" t="s">
        <v>7</v>
      </c>
      <c r="T6" s="419" t="s">
        <v>56</v>
      </c>
      <c r="U6" s="419" t="s">
        <v>57</v>
      </c>
      <c r="V6" s="419" t="s">
        <v>58</v>
      </c>
      <c r="W6" s="419" t="s">
        <v>59</v>
      </c>
    </row>
    <row r="7" spans="1:24" x14ac:dyDescent="0.25">
      <c r="C7" s="427" t="str">
        <f ca="1">Q_BRAND_FC!B7</f>
        <v>16/17</v>
      </c>
      <c r="D7" s="428">
        <f ca="1">IF(SUMIFS(HIS_SALES!$I:$I,HIS_SALES!$D:$D,DASHBOARD!$C$3,HIS_SALES!$E:$E,DASHBOARD!$E$3,HIS_SALES!$F:$F,DASHBOARD!$C7,HIS_SALES!$H:$H,DASHBOARD!D$6)&lt;&gt;0,SUMIFS(HIS_SALES!$I:$I,HIS_SALES!$D:$D,DASHBOARD!$C$3,HIS_SALES!$E:$E,DASHBOARD!$E$3,HIS_SALES!$F:$F,DASHBOARD!$C7,HIS_SALES!$H:$H,DASHBOARD!D$6),NA())</f>
        <v>327660.45520000299</v>
      </c>
      <c r="E7" s="428">
        <f ca="1">IF(SUMIFS(HIS_SALES!$I:$I,HIS_SALES!$D:$D,DASHBOARD!$C$3,HIS_SALES!$E:$E,DASHBOARD!$E$3,HIS_SALES!$F:$F,DASHBOARD!$C7,HIS_SALES!$H:$H,DASHBOARD!E$6)&lt;&gt;0,SUMIFS(HIS_SALES!$I:$I,HIS_SALES!$D:$D,DASHBOARD!$C$3,HIS_SALES!$E:$E,DASHBOARD!$E$3,HIS_SALES!$F:$F,DASHBOARD!$C7,HIS_SALES!$H:$H,DASHBOARD!E$6),NA())</f>
        <v>568879.05140000302</v>
      </c>
      <c r="F7" s="428">
        <f ca="1">IF(SUMIFS(HIS_SALES!$I:$I,HIS_SALES!$D:$D,DASHBOARD!$C$3,HIS_SALES!$E:$E,DASHBOARD!$E$3,HIS_SALES!$F:$F,DASHBOARD!$C7,HIS_SALES!$H:$H,DASHBOARD!F$6)&lt;&gt;0,SUMIFS(HIS_SALES!$I:$I,HIS_SALES!$D:$D,DASHBOARD!$C$3,HIS_SALES!$E:$E,DASHBOARD!$E$3,HIS_SALES!$F:$F,DASHBOARD!$C7,HIS_SALES!$H:$H,DASHBOARD!F$6),NA())</f>
        <v>1303118.0158000002</v>
      </c>
      <c r="G7" s="428">
        <f ca="1">IF(SUMIFS(HIS_SALES!$I:$I,HIS_SALES!$D:$D,DASHBOARD!$C$3,HIS_SALES!$E:$E,DASHBOARD!$E$3,HIS_SALES!$F:$F,DASHBOARD!$C7,HIS_SALES!$H:$H,DASHBOARD!G$6)&lt;&gt;0,SUMIFS(HIS_SALES!$I:$I,HIS_SALES!$D:$D,DASHBOARD!$C$3,HIS_SALES!$E:$E,DASHBOARD!$E$3,HIS_SALES!$F:$F,DASHBOARD!$C7,HIS_SALES!$H:$H,DASHBOARD!G$6),NA())</f>
        <v>1072843.9743000001</v>
      </c>
      <c r="H7" s="428">
        <f ca="1">IF(SUMIFS(HIS_SALES!$I:$I,HIS_SALES!$D:$D,DASHBOARD!$C$3,HIS_SALES!$E:$E,DASHBOARD!$E$3,HIS_SALES!$F:$F,DASHBOARD!$C7,HIS_SALES!$H:$H,DASHBOARD!H$6)&lt;&gt;0,SUMIFS(HIS_SALES!$I:$I,HIS_SALES!$D:$D,DASHBOARD!$C$3,HIS_SALES!$E:$E,DASHBOARD!$E$3,HIS_SALES!$F:$F,DASHBOARD!$C7,HIS_SALES!$H:$H,DASHBOARD!H$6),NA())</f>
        <v>566054.60179999901</v>
      </c>
      <c r="I7" s="428">
        <f ca="1">IF(SUMIFS(HIS_SALES!$I:$I,HIS_SALES!$D:$D,DASHBOARD!$C$3,HIS_SALES!$E:$E,DASHBOARD!$E$3,HIS_SALES!$F:$F,DASHBOARD!$C7,HIS_SALES!$H:$H,DASHBOARD!I$6)&lt;&gt;0,SUMIFS(HIS_SALES!$I:$I,HIS_SALES!$D:$D,DASHBOARD!$C$3,HIS_SALES!$E:$E,DASHBOARD!$E$3,HIS_SALES!$F:$F,DASHBOARD!$C7,HIS_SALES!$H:$H,DASHBOARD!I$6),NA())</f>
        <v>510688.54579999705</v>
      </c>
      <c r="J7" s="428">
        <f ca="1">IF(SUMIFS(HIS_SALES!$I:$I,HIS_SALES!$D:$D,DASHBOARD!$C$3,HIS_SALES!$E:$E,DASHBOARD!$E$3,HIS_SALES!$F:$F,DASHBOARD!$C7,HIS_SALES!$H:$H,DASHBOARD!J$6)&lt;&gt;0,SUMIFS(HIS_SALES!$I:$I,HIS_SALES!$D:$D,DASHBOARD!$C$3,HIS_SALES!$E:$E,DASHBOARD!$E$3,HIS_SALES!$F:$F,DASHBOARD!$C7,HIS_SALES!$H:$H,DASHBOARD!J$6),NA())</f>
        <v>435396.55620000104</v>
      </c>
      <c r="K7" s="428">
        <f ca="1">IF(SUMIFS(HIS_SALES!$I:$I,HIS_SALES!$D:$D,DASHBOARD!$C$3,HIS_SALES!$E:$E,DASHBOARD!$E$3,HIS_SALES!$F:$F,DASHBOARD!$C7,HIS_SALES!$H:$H,DASHBOARD!K$6)&lt;&gt;0,SUMIFS(HIS_SALES!$I:$I,HIS_SALES!$D:$D,DASHBOARD!$C$3,HIS_SALES!$E:$E,DASHBOARD!$E$3,HIS_SALES!$F:$F,DASHBOARD!$C7,HIS_SALES!$H:$H,DASHBOARD!K$6),NA())</f>
        <v>708292.18189999904</v>
      </c>
      <c r="L7" s="428">
        <f ca="1">IF(SUMIFS(HIS_SALES!$I:$I,HIS_SALES!$D:$D,DASHBOARD!$C$3,HIS_SALES!$E:$E,DASHBOARD!$E$3,HIS_SALES!$F:$F,DASHBOARD!$C7,HIS_SALES!$H:$H,DASHBOARD!L$6)&lt;&gt;0,SUMIFS(HIS_SALES!$I:$I,HIS_SALES!$D:$D,DASHBOARD!$C$3,HIS_SALES!$E:$E,DASHBOARD!$E$3,HIS_SALES!$F:$F,DASHBOARD!$C7,HIS_SALES!$H:$H,DASHBOARD!L$6),NA())</f>
        <v>582296.320499997</v>
      </c>
      <c r="M7" s="428">
        <f ca="1">IF(SUMIFS(HIS_SALES!$I:$I,HIS_SALES!$D:$D,DASHBOARD!$C$3,HIS_SALES!$E:$E,DASHBOARD!$E$3,HIS_SALES!$F:$F,DASHBOARD!$C7,HIS_SALES!$H:$H,DASHBOARD!M$6)&lt;&gt;0,SUMIFS(HIS_SALES!$I:$I,HIS_SALES!$D:$D,DASHBOARD!$C$3,HIS_SALES!$E:$E,DASHBOARD!$E$3,HIS_SALES!$F:$F,DASHBOARD!$C7,HIS_SALES!$H:$H,DASHBOARD!M$6),NA())</f>
        <v>340789.36300000001</v>
      </c>
      <c r="N7" s="428">
        <f ca="1">IF(SUMIFS(HIS_SALES!$I:$I,HIS_SALES!$D:$D,DASHBOARD!$C$3,HIS_SALES!$E:$E,DASHBOARD!$E$3,HIS_SALES!$F:$F,DASHBOARD!$C7,HIS_SALES!$H:$H,DASHBOARD!N$6)&lt;&gt;0,SUMIFS(HIS_SALES!$I:$I,HIS_SALES!$D:$D,DASHBOARD!$C$3,HIS_SALES!$E:$E,DASHBOARD!$E$3,HIS_SALES!$F:$F,DASHBOARD!$C7,HIS_SALES!$H:$H,DASHBOARD!N$6),NA())</f>
        <v>163150.47</v>
      </c>
      <c r="O7" s="428">
        <f ca="1">IF(SUMIFS(HIS_SALES!$I:$I,HIS_SALES!$D:$D,DASHBOARD!$C$3,HIS_SALES!$E:$E,DASHBOARD!$E$3,HIS_SALES!$F:$F,DASHBOARD!$C7,HIS_SALES!$H:$H,DASHBOARD!O$6)&lt;&gt;0,SUMIFS(HIS_SALES!$I:$I,HIS_SALES!$D:$D,DASHBOARD!$C$3,HIS_SALES!$E:$E,DASHBOARD!$E$3,HIS_SALES!$F:$F,DASHBOARD!$C7,HIS_SALES!$H:$H,DASHBOARD!O$6),NA())</f>
        <v>158773.17890000102</v>
      </c>
      <c r="P7" s="428">
        <f ca="1">SUM(D7:O7)</f>
        <v>6737942.7148000002</v>
      </c>
      <c r="Q7" s="424"/>
      <c r="S7" s="419" t="str">
        <f ca="1">C7</f>
        <v>16/17</v>
      </c>
      <c r="T7" s="540">
        <f ca="1">IF(ISNA(VLOOKUP(_xlfn.CONCAT($S7,T$6),TIME!$L$27:$L$31,1,FALSE)),SUMIFS(HIS_SALES!$I:$I,HIS_SALES!$C:$C,DASHBOARD!$B$3,HIS_SALES!$D:$D,DASHBOARD!$C$3,HIS_SALES!$E:$E,DASHBOARD!$E$3,HIS_SALES!$F:$F,DASHBOARD!$S7,HIS_SALES!$G:$G,DASHBOARD!T$6),NA())</f>
        <v>2199657.5224000062</v>
      </c>
      <c r="U7" s="540">
        <f ca="1">IF(ISNA(VLOOKUP(_xlfn.CONCAT($S7,U$6),TIME!$L$27:$L$31,1,FALSE)),SUMIFS(HIS_SALES!$I:$I,HIS_SALES!$C:$C,DASHBOARD!$B$3,HIS_SALES!$D:$D,DASHBOARD!$C$3,HIS_SALES!$E:$E,DASHBOARD!$E$3,HIS_SALES!$F:$F,DASHBOARD!$S7,HIS_SALES!$G:$G,DASHBOARD!U$6),NA())</f>
        <v>2149587.121899996</v>
      </c>
      <c r="V7" s="540">
        <f ca="1">IF(ISNA(VLOOKUP(_xlfn.CONCAT($S7,V$6),TIME!$L$27:$L$31,1,FALSE)),SUMIFS(HIS_SALES!$I:$I,HIS_SALES!$C:$C,DASHBOARD!$B$3,HIS_SALES!$D:$D,DASHBOARD!$C$3,HIS_SALES!$E:$E,DASHBOARD!$E$3,HIS_SALES!$F:$F,DASHBOARD!$S7,HIS_SALES!$G:$G,DASHBOARD!V$6),NA())</f>
        <v>1725985.0585999968</v>
      </c>
      <c r="W7" s="540">
        <f ca="1">IF(ISNA(VLOOKUP(_xlfn.CONCAT($S7,W$6),TIME!$L$27:$L$31,1,FALSE)),SUMIFS(HIS_SALES!$I:$I,HIS_SALES!$C:$C,DASHBOARD!$B$3,HIS_SALES!$D:$D,DASHBOARD!$C$3,HIS_SALES!$E:$E,DASHBOARD!$E$3,HIS_SALES!$F:$F,DASHBOARD!$S7,HIS_SALES!$G:$G,DASHBOARD!W$6),NA())</f>
        <v>662713.01190000097</v>
      </c>
    </row>
    <row r="8" spans="1:24" x14ac:dyDescent="0.25">
      <c r="C8" s="427" t="str">
        <f ca="1">Q_BRAND_FC!B8</f>
        <v>17/18</v>
      </c>
      <c r="D8" s="428">
        <f ca="1">IF(SUMIFS(HIS_SALES!$I:$I,HIS_SALES!$D:$D,DASHBOARD!$C$3,HIS_SALES!$E:$E,DASHBOARD!$E$3,HIS_SALES!$F:$F,DASHBOARD!$C8,HIS_SALES!$H:$H,DASHBOARD!D$6)&lt;&gt;0,SUMIFS(HIS_SALES!$I:$I,HIS_SALES!$D:$D,DASHBOARD!$C$3,HIS_SALES!$E:$E,DASHBOARD!$E$3,HIS_SALES!$F:$F,DASHBOARD!$C8,HIS_SALES!$H:$H,DASHBOARD!D$6),NA())</f>
        <v>324577.44130000001</v>
      </c>
      <c r="E8" s="428">
        <f ca="1">IF(SUMIFS(HIS_SALES!$I:$I,HIS_SALES!$D:$D,DASHBOARD!$C$3,HIS_SALES!$E:$E,DASHBOARD!$E$3,HIS_SALES!$F:$F,DASHBOARD!$C8,HIS_SALES!$H:$H,DASHBOARD!E$6)&lt;&gt;0,SUMIFS(HIS_SALES!$I:$I,HIS_SALES!$D:$D,DASHBOARD!$C$3,HIS_SALES!$E:$E,DASHBOARD!$E$3,HIS_SALES!$F:$F,DASHBOARD!$C8,HIS_SALES!$H:$H,DASHBOARD!E$6),NA())</f>
        <v>1006400.08849997</v>
      </c>
      <c r="F8" s="428">
        <f ca="1">IF(SUMIFS(HIS_SALES!$I:$I,HIS_SALES!$D:$D,DASHBOARD!$C$3,HIS_SALES!$E:$E,DASHBOARD!$E$3,HIS_SALES!$F:$F,DASHBOARD!$C8,HIS_SALES!$H:$H,DASHBOARD!F$6)&lt;&gt;0,SUMIFS(HIS_SALES!$I:$I,HIS_SALES!$D:$D,DASHBOARD!$C$3,HIS_SALES!$E:$E,DASHBOARD!$E$3,HIS_SALES!$F:$F,DASHBOARD!$C8,HIS_SALES!$H:$H,DASHBOARD!F$6),NA())</f>
        <v>1156970.44609997</v>
      </c>
      <c r="G8" s="428">
        <f ca="1">IF(SUMIFS(HIS_SALES!$I:$I,HIS_SALES!$D:$D,DASHBOARD!$C$3,HIS_SALES!$E:$E,DASHBOARD!$E$3,HIS_SALES!$F:$F,DASHBOARD!$C8,HIS_SALES!$H:$H,DASHBOARD!G$6)&lt;&gt;0,SUMIFS(HIS_SALES!$I:$I,HIS_SALES!$D:$D,DASHBOARD!$C$3,HIS_SALES!$E:$E,DASHBOARD!$E$3,HIS_SALES!$F:$F,DASHBOARD!$C8,HIS_SALES!$H:$H,DASHBOARD!G$6),NA())</f>
        <v>1174524.7726999901</v>
      </c>
      <c r="H8" s="428">
        <f ca="1">IF(SUMIFS(HIS_SALES!$I:$I,HIS_SALES!$D:$D,DASHBOARD!$C$3,HIS_SALES!$E:$E,DASHBOARD!$E$3,HIS_SALES!$F:$F,DASHBOARD!$C8,HIS_SALES!$H:$H,DASHBOARD!H$6)&lt;&gt;0,SUMIFS(HIS_SALES!$I:$I,HIS_SALES!$D:$D,DASHBOARD!$C$3,HIS_SALES!$E:$E,DASHBOARD!$E$3,HIS_SALES!$F:$F,DASHBOARD!$C8,HIS_SALES!$H:$H,DASHBOARD!H$6),NA())</f>
        <v>666992.46119999408</v>
      </c>
      <c r="I8" s="428">
        <f ca="1">IF(SUMIFS(HIS_SALES!$I:$I,HIS_SALES!$D:$D,DASHBOARD!$C$3,HIS_SALES!$E:$E,DASHBOARD!$E$3,HIS_SALES!$F:$F,DASHBOARD!$C8,HIS_SALES!$H:$H,DASHBOARD!I$6)&lt;&gt;0,SUMIFS(HIS_SALES!$I:$I,HIS_SALES!$D:$D,DASHBOARD!$C$3,HIS_SALES!$E:$E,DASHBOARD!$E$3,HIS_SALES!$F:$F,DASHBOARD!$C8,HIS_SALES!$H:$H,DASHBOARD!I$6),NA())</f>
        <v>498277.58680000203</v>
      </c>
      <c r="J8" s="428">
        <f ca="1">IF(SUMIFS(HIS_SALES!$I:$I,HIS_SALES!$D:$D,DASHBOARD!$C$3,HIS_SALES!$E:$E,DASHBOARD!$E$3,HIS_SALES!$F:$F,DASHBOARD!$C8,HIS_SALES!$H:$H,DASHBOARD!J$6)&lt;&gt;0,SUMIFS(HIS_SALES!$I:$I,HIS_SALES!$D:$D,DASHBOARD!$C$3,HIS_SALES!$E:$E,DASHBOARD!$E$3,HIS_SALES!$F:$F,DASHBOARD!$C8,HIS_SALES!$H:$H,DASHBOARD!J$6),NA())</f>
        <v>463645.54770000401</v>
      </c>
      <c r="K8" s="428">
        <f ca="1">IF(SUMIFS(HIS_SALES!$I:$I,HIS_SALES!$D:$D,DASHBOARD!$C$3,HIS_SALES!$E:$E,DASHBOARD!$E$3,HIS_SALES!$F:$F,DASHBOARD!$C8,HIS_SALES!$H:$H,DASHBOARD!K$6)&lt;&gt;0,SUMIFS(HIS_SALES!$I:$I,HIS_SALES!$D:$D,DASHBOARD!$C$3,HIS_SALES!$E:$E,DASHBOARD!$E$3,HIS_SALES!$F:$F,DASHBOARD!$C8,HIS_SALES!$H:$H,DASHBOARD!K$6),NA())</f>
        <v>619106.07630000298</v>
      </c>
      <c r="L8" s="428">
        <f ca="1">IF(SUMIFS(HIS_SALES!$I:$I,HIS_SALES!$D:$D,DASHBOARD!$C$3,HIS_SALES!$E:$E,DASHBOARD!$E$3,HIS_SALES!$F:$F,DASHBOARD!$C8,HIS_SALES!$H:$H,DASHBOARD!L$6)&lt;&gt;0,SUMIFS(HIS_SALES!$I:$I,HIS_SALES!$D:$D,DASHBOARD!$C$3,HIS_SALES!$E:$E,DASHBOARD!$E$3,HIS_SALES!$F:$F,DASHBOARD!$C8,HIS_SALES!$H:$H,DASHBOARD!L$6),NA())</f>
        <v>732136.50239998999</v>
      </c>
      <c r="M8" s="428">
        <f ca="1">IF(SUMIFS(HIS_SALES!$I:$I,HIS_SALES!$D:$D,DASHBOARD!$C$3,HIS_SALES!$E:$E,DASHBOARD!$E$3,HIS_SALES!$F:$F,DASHBOARD!$C8,HIS_SALES!$H:$H,DASHBOARD!M$6)&lt;&gt;0,SUMIFS(HIS_SALES!$I:$I,HIS_SALES!$D:$D,DASHBOARD!$C$3,HIS_SALES!$E:$E,DASHBOARD!$E$3,HIS_SALES!$F:$F,DASHBOARD!$C8,HIS_SALES!$H:$H,DASHBOARD!M$6),NA())</f>
        <v>248327.86479999902</v>
      </c>
      <c r="N8" s="428">
        <f ca="1">IF(SUMIFS(HIS_SALES!$I:$I,HIS_SALES!$D:$D,DASHBOARD!$C$3,HIS_SALES!$E:$E,DASHBOARD!$E$3,HIS_SALES!$F:$F,DASHBOARD!$C8,HIS_SALES!$H:$H,DASHBOARD!N$6)&lt;&gt;0,SUMIFS(HIS_SALES!$I:$I,HIS_SALES!$D:$D,DASHBOARD!$C$3,HIS_SALES!$E:$E,DASHBOARD!$E$3,HIS_SALES!$F:$F,DASHBOARD!$C8,HIS_SALES!$H:$H,DASHBOARD!N$6),NA())</f>
        <v>187329.68019999901</v>
      </c>
      <c r="O8" s="428">
        <f ca="1">IF(SUMIFS(HIS_SALES!$I:$I,HIS_SALES!$D:$D,DASHBOARD!$C$3,HIS_SALES!$E:$E,DASHBOARD!$E$3,HIS_SALES!$F:$F,DASHBOARD!$C8,HIS_SALES!$H:$H,DASHBOARD!O$6)&lt;&gt;0,SUMIFS(HIS_SALES!$I:$I,HIS_SALES!$D:$D,DASHBOARD!$C$3,HIS_SALES!$E:$E,DASHBOARD!$E$3,HIS_SALES!$F:$F,DASHBOARD!$C8,HIS_SALES!$H:$H,DASHBOARD!O$6),NA())</f>
        <v>158617.1961</v>
      </c>
      <c r="P8" s="428">
        <f t="shared" ref="P8" ca="1" si="0">SUM(D8:O8)</f>
        <v>7236905.6640999215</v>
      </c>
      <c r="Q8" s="424"/>
      <c r="S8" s="419" t="str">
        <f t="shared" ref="S8:S9" ca="1" si="1">C8</f>
        <v>17/18</v>
      </c>
      <c r="T8" s="540">
        <f ca="1">IF(ISNA(VLOOKUP(_xlfn.CONCAT($S8,T$6),TIME!$L$27:$L$31,1,FALSE)),SUMIFS(HIS_SALES!$I:$I,HIS_SALES!$C:$C,DASHBOARD!$B$3,HIS_SALES!$D:$D,DASHBOARD!$C$3,HIS_SALES!$E:$E,DASHBOARD!$E$3,HIS_SALES!$F:$F,DASHBOARD!$S8,HIS_SALES!$G:$G,DASHBOARD!T$6),NA())</f>
        <v>2487947.9758999404</v>
      </c>
      <c r="U8" s="540">
        <f ca="1">IF(ISNA(VLOOKUP(_xlfn.CONCAT($S8,U$6),TIME!$L$27:$L$31,1,FALSE)),SUMIFS(HIS_SALES!$I:$I,HIS_SALES!$C:$C,DASHBOARD!$B$3,HIS_SALES!$D:$D,DASHBOARD!$C$3,HIS_SALES!$E:$E,DASHBOARD!$E$3,HIS_SALES!$F:$F,DASHBOARD!$S8,HIS_SALES!$G:$G,DASHBOARD!U$6),NA())</f>
        <v>2339794.8206999861</v>
      </c>
      <c r="V8" s="540">
        <f ca="1">IF(ISNA(VLOOKUP(_xlfn.CONCAT($S8,V$6),TIME!$L$27:$L$31,1,FALSE)),SUMIFS(HIS_SALES!$I:$I,HIS_SALES!$C:$C,DASHBOARD!$B$3,HIS_SALES!$D:$D,DASHBOARD!$C$3,HIS_SALES!$E:$E,DASHBOARD!$E$3,HIS_SALES!$F:$F,DASHBOARD!$S8,HIS_SALES!$G:$G,DASHBOARD!V$6),NA())</f>
        <v>1814888.1263999969</v>
      </c>
      <c r="W8" s="540">
        <f ca="1">IF(ISNA(VLOOKUP(_xlfn.CONCAT($S8,W$6),TIME!$L$27:$L$31,1,FALSE)),SUMIFS(HIS_SALES!$I:$I,HIS_SALES!$C:$C,DASHBOARD!$B$3,HIS_SALES!$D:$D,DASHBOARD!$C$3,HIS_SALES!$E:$E,DASHBOARD!$E$3,HIS_SALES!$F:$F,DASHBOARD!$S8,HIS_SALES!$G:$G,DASHBOARD!W$6),NA())</f>
        <v>594274.74109999801</v>
      </c>
    </row>
    <row r="9" spans="1:24" ht="15.75" thickBot="1" x14ac:dyDescent="0.3">
      <c r="C9" s="427" t="str">
        <f ca="1">Q_BRAND_FC!B9</f>
        <v>18/19</v>
      </c>
      <c r="D9" s="428">
        <f ca="1">IF(SUMIFS(HIS_SALES!$I:$I,HIS_SALES!$D:$D,DASHBOARD!$C$3,HIS_SALES!$E:$E,DASHBOARD!$E$3,HIS_SALES!$F:$F,DASHBOARD!$C9,HIS_SALES!$H:$H,DASHBOARD!D$6)&lt;&gt;0,SUMIFS(HIS_SALES!$I:$I,HIS_SALES!$D:$D,DASHBOARD!$C$3,HIS_SALES!$E:$E,DASHBOARD!$E$3,HIS_SALES!$F:$F,DASHBOARD!$C9,HIS_SALES!$H:$H,DASHBOARD!D$6),NA())</f>
        <v>402328.01539999904</v>
      </c>
      <c r="E9" s="428">
        <f ca="1">IF(SUMIFS(HIS_SALES!$I:$I,HIS_SALES!$D:$D,DASHBOARD!$C$3,HIS_SALES!$E:$E,DASHBOARD!$E$3,HIS_SALES!$F:$F,DASHBOARD!$C9,HIS_SALES!$H:$H,DASHBOARD!E$6)&lt;&gt;0,SUMIFS(HIS_SALES!$I:$I,HIS_SALES!$D:$D,DASHBOARD!$C$3,HIS_SALES!$E:$E,DASHBOARD!$E$3,HIS_SALES!$F:$F,DASHBOARD!$C9,HIS_SALES!$H:$H,DASHBOARD!E$6),NA())</f>
        <v>1076223.6043999901</v>
      </c>
      <c r="F9" s="428">
        <f ca="1">IF(SUMIFS(HIS_SALES!$I:$I,HIS_SALES!$D:$D,DASHBOARD!$C$3,HIS_SALES!$E:$E,DASHBOARD!$E$3,HIS_SALES!$F:$F,DASHBOARD!$C9,HIS_SALES!$H:$H,DASHBOARD!F$6)&lt;&gt;0,SUMIFS(HIS_SALES!$I:$I,HIS_SALES!$D:$D,DASHBOARD!$C$3,HIS_SALES!$E:$E,DASHBOARD!$E$3,HIS_SALES!$F:$F,DASHBOARD!$C9,HIS_SALES!$H:$H,DASHBOARD!F$6),NA())</f>
        <v>1185718.5315999901</v>
      </c>
      <c r="G9" s="428">
        <f ca="1">IF(SUMIFS(HIS_SALES!$I:$I,HIS_SALES!$D:$D,DASHBOARD!$C$3,HIS_SALES!$E:$E,DASHBOARD!$E$3,HIS_SALES!$F:$F,DASHBOARD!$C9,HIS_SALES!$H:$H,DASHBOARD!G$6)&lt;&gt;0,SUMIFS(HIS_SALES!$I:$I,HIS_SALES!$D:$D,DASHBOARD!$C$3,HIS_SALES!$E:$E,DASHBOARD!$E$3,HIS_SALES!$F:$F,DASHBOARD!$C9,HIS_SALES!$H:$H,DASHBOARD!G$6),NA())</f>
        <v>1090145.06729998</v>
      </c>
      <c r="H9" s="428" t="e">
        <f ca="1">IF(SUMIFS(HIS_SALES!$I:$I,HIS_SALES!$D:$D,DASHBOARD!$C$3,HIS_SALES!$E:$E,DASHBOARD!$E$3,HIS_SALES!$F:$F,DASHBOARD!$C9,HIS_SALES!$H:$H,DASHBOARD!H$6)&lt;&gt;0,SUMIFS(HIS_SALES!$I:$I,HIS_SALES!$D:$D,DASHBOARD!$C$3,HIS_SALES!$E:$E,DASHBOARD!$E$3,HIS_SALES!$F:$F,DASHBOARD!$C9,HIS_SALES!$H:$H,DASHBOARD!H$6),NA())</f>
        <v>#N/A</v>
      </c>
      <c r="I9" s="428" t="e">
        <f ca="1">IF(SUMIFS(HIS_SALES!$I:$I,HIS_SALES!$D:$D,DASHBOARD!$C$3,HIS_SALES!$E:$E,DASHBOARD!$E$3,HIS_SALES!$F:$F,DASHBOARD!$C9,HIS_SALES!$H:$H,DASHBOARD!I$6)&lt;&gt;0,SUMIFS(HIS_SALES!$I:$I,HIS_SALES!$D:$D,DASHBOARD!$C$3,HIS_SALES!$E:$E,DASHBOARD!$E$3,HIS_SALES!$F:$F,DASHBOARD!$C9,HIS_SALES!$H:$H,DASHBOARD!I$6),NA())</f>
        <v>#N/A</v>
      </c>
      <c r="J9" s="428" t="e">
        <f ca="1">IF(SUMIFS(HIS_SALES!$I:$I,HIS_SALES!$D:$D,DASHBOARD!$C$3,HIS_SALES!$E:$E,DASHBOARD!$E$3,HIS_SALES!$F:$F,DASHBOARD!$C9,HIS_SALES!$H:$H,DASHBOARD!J$6)&lt;&gt;0,SUMIFS(HIS_SALES!$I:$I,HIS_SALES!$D:$D,DASHBOARD!$C$3,HIS_SALES!$E:$E,DASHBOARD!$E$3,HIS_SALES!$F:$F,DASHBOARD!$C9,HIS_SALES!$H:$H,DASHBOARD!J$6),NA())</f>
        <v>#N/A</v>
      </c>
      <c r="K9" s="428" t="e">
        <f ca="1">IF(SUMIFS(HIS_SALES!$I:$I,HIS_SALES!$D:$D,DASHBOARD!$C$3,HIS_SALES!$E:$E,DASHBOARD!$E$3,HIS_SALES!$F:$F,DASHBOARD!$C9,HIS_SALES!$H:$H,DASHBOARD!K$6)&lt;&gt;0,SUMIFS(HIS_SALES!$I:$I,HIS_SALES!$D:$D,DASHBOARD!$C$3,HIS_SALES!$E:$E,DASHBOARD!$E$3,HIS_SALES!$F:$F,DASHBOARD!$C9,HIS_SALES!$H:$H,DASHBOARD!K$6),NA())</f>
        <v>#N/A</v>
      </c>
      <c r="L9" s="428" t="e">
        <f ca="1">IF(SUMIFS(HIS_SALES!$I:$I,HIS_SALES!$D:$D,DASHBOARD!$C$3,HIS_SALES!$E:$E,DASHBOARD!$E$3,HIS_SALES!$F:$F,DASHBOARD!$C9,HIS_SALES!$H:$H,DASHBOARD!L$6)&lt;&gt;0,SUMIFS(HIS_SALES!$I:$I,HIS_SALES!$D:$D,DASHBOARD!$C$3,HIS_SALES!$E:$E,DASHBOARD!$E$3,HIS_SALES!$F:$F,DASHBOARD!$C9,HIS_SALES!$H:$H,DASHBOARD!L$6),NA())</f>
        <v>#N/A</v>
      </c>
      <c r="M9" s="428" t="e">
        <f ca="1">IF(SUMIFS(HIS_SALES!$I:$I,HIS_SALES!$D:$D,DASHBOARD!$C$3,HIS_SALES!$E:$E,DASHBOARD!$E$3,HIS_SALES!$F:$F,DASHBOARD!$C9,HIS_SALES!$H:$H,DASHBOARD!M$6)&lt;&gt;0,SUMIFS(HIS_SALES!$I:$I,HIS_SALES!$D:$D,DASHBOARD!$C$3,HIS_SALES!$E:$E,DASHBOARD!$E$3,HIS_SALES!$F:$F,DASHBOARD!$C9,HIS_SALES!$H:$H,DASHBOARD!M$6),NA())</f>
        <v>#N/A</v>
      </c>
      <c r="N9" s="428" t="e">
        <f ca="1">IF(SUMIFS(HIS_SALES!$I:$I,HIS_SALES!$D:$D,DASHBOARD!$C$3,HIS_SALES!$E:$E,DASHBOARD!$E$3,HIS_SALES!$F:$F,DASHBOARD!$C9,HIS_SALES!$H:$H,DASHBOARD!N$6)&lt;&gt;0,SUMIFS(HIS_SALES!$I:$I,HIS_SALES!$D:$D,DASHBOARD!$C$3,HIS_SALES!$E:$E,DASHBOARD!$E$3,HIS_SALES!$F:$F,DASHBOARD!$C9,HIS_SALES!$H:$H,DASHBOARD!N$6),NA())</f>
        <v>#N/A</v>
      </c>
      <c r="O9" s="428" t="e">
        <f ca="1">IF(SUMIFS(HIS_SALES!$I:$I,HIS_SALES!$D:$D,DASHBOARD!$C$3,HIS_SALES!$E:$E,DASHBOARD!$E$3,HIS_SALES!$F:$F,DASHBOARD!$C9,HIS_SALES!$H:$H,DASHBOARD!O$6)&lt;&gt;0,SUMIFS(HIS_SALES!$I:$I,HIS_SALES!$D:$D,DASHBOARD!$C$3,HIS_SALES!$E:$E,DASHBOARD!$E$3,HIS_SALES!$F:$F,DASHBOARD!$C9,HIS_SALES!$H:$H,DASHBOARD!O$6),NA())</f>
        <v>#N/A</v>
      </c>
      <c r="P9" s="428"/>
      <c r="Q9" s="424"/>
      <c r="S9" s="419" t="str">
        <f t="shared" ca="1" si="1"/>
        <v>18/19</v>
      </c>
      <c r="T9" s="540">
        <f ca="1">IF(ISNA(VLOOKUP(_xlfn.CONCAT($S9,T$6),TIME!$L$27:$L$31,1,FALSE)),SUMIFS(HIS_SALES!$I:$I,HIS_SALES!$C:$C,DASHBOARD!$B$3,HIS_SALES!$D:$D,DASHBOARD!$C$3,HIS_SALES!$E:$E,DASHBOARD!$E$3,HIS_SALES!$F:$F,DASHBOARD!$S9,HIS_SALES!$G:$G,DASHBOARD!T$6),NA())</f>
        <v>2664270.1513999794</v>
      </c>
      <c r="U9" s="540">
        <f ca="1">IF(ISNA(VLOOKUP(_xlfn.CONCAT($S9,U$6),TIME!$L$27:$L$31,1,FALSE)),SUMIFS(HIS_SALES!$I:$I,HIS_SALES!$C:$C,DASHBOARD!$B$3,HIS_SALES!$D:$D,DASHBOARD!$C$3,HIS_SALES!$E:$E,DASHBOARD!$E$3,HIS_SALES!$F:$F,DASHBOARD!$S9,HIS_SALES!$G:$G,DASHBOARD!U$6),NA())</f>
        <v>1090145.06729998</v>
      </c>
      <c r="V9" s="540" t="e">
        <f ca="1">IF(ISNA(VLOOKUP(_xlfn.CONCAT($S9,V$6),TIME!$L$27:$L$31,1,FALSE)),SUMIFS(HIS_SALES!$I:$I,HIS_SALES!$C:$C,DASHBOARD!$B$3,HIS_SALES!$D:$D,DASHBOARD!$C$3,HIS_SALES!$E:$E,DASHBOARD!$E$3,HIS_SALES!$F:$F,DASHBOARD!$S9,HIS_SALES!$G:$G,DASHBOARD!V$6),NA())</f>
        <v>#N/A</v>
      </c>
      <c r="W9" s="540" t="e">
        <f ca="1">IF(ISNA(VLOOKUP(_xlfn.CONCAT($S9,W$6),TIME!$L$27:$L$31,1,FALSE)),SUMIFS(HIS_SALES!$I:$I,HIS_SALES!$C:$C,DASHBOARD!$B$3,HIS_SALES!$D:$D,DASHBOARD!$C$3,HIS_SALES!$E:$E,DASHBOARD!$E$3,HIS_SALES!$F:$F,DASHBOARD!$S9,HIS_SALES!$G:$G,DASHBOARD!W$6),NA())</f>
        <v>#N/A</v>
      </c>
    </row>
    <row r="10" spans="1:24" ht="16.5" thickTop="1" thickBot="1" x14ac:dyDescent="0.3">
      <c r="C10" s="934" t="s">
        <v>97</v>
      </c>
      <c r="D10" s="934"/>
      <c r="E10" s="934"/>
      <c r="F10" s="934"/>
      <c r="G10" s="934"/>
      <c r="H10" s="934"/>
      <c r="I10" s="934"/>
      <c r="J10" s="934"/>
      <c r="K10" s="934"/>
      <c r="L10" s="934"/>
      <c r="M10" s="934"/>
      <c r="N10" s="934"/>
      <c r="O10" s="934"/>
      <c r="P10" s="934"/>
      <c r="Q10" s="424"/>
      <c r="S10" s="419" t="s">
        <v>97</v>
      </c>
      <c r="T10" s="540"/>
      <c r="U10" s="540"/>
      <c r="V10" s="540"/>
      <c r="W10" s="540"/>
    </row>
    <row r="11" spans="1:24" x14ac:dyDescent="0.25">
      <c r="B11" s="429" t="str">
        <f ca="1">Q_BRAND_FC!B13</f>
        <v>18/19</v>
      </c>
      <c r="C11" s="419" t="str">
        <f ca="1">B11&amp;" FC"</f>
        <v>18/19 FC</v>
      </c>
      <c r="D11" s="428" t="e">
        <f ca="1">IF(ISNA(D9),SUMIFS(FC_DATA!$AC:$AC,FC_DATA!$V:$V,DASHBOARD!$C$3,FC_DATA!$W:$W,DASHBOARD!$E$3,FC_DATA!$X:$X,DASHBOARD!$B11,FC_DATA!$Z:$Z,DASHBOARD!D$6),NA())</f>
        <v>#N/A</v>
      </c>
      <c r="E11" s="428" t="e">
        <f ca="1">IF(ISNA(E9),SUMIFS(FC_DATA!$AC:$AC,FC_DATA!$V:$V,DASHBOARD!$C$3,FC_DATA!$W:$W,DASHBOARD!$E$3,FC_DATA!$X:$X,DASHBOARD!$B11,FC_DATA!$Z:$Z,DASHBOARD!E$6),NA())</f>
        <v>#N/A</v>
      </c>
      <c r="F11" s="428" t="e">
        <f ca="1">IF(ISNA(F9),SUMIFS(FC_DATA!$AC:$AC,FC_DATA!$V:$V,DASHBOARD!$C$3,FC_DATA!$W:$W,DASHBOARD!$E$3,FC_DATA!$X:$X,DASHBOARD!$B11,FC_DATA!$Z:$Z,DASHBOARD!F$6),NA())</f>
        <v>#N/A</v>
      </c>
      <c r="G11" s="428" t="e">
        <f ca="1">IF(ISNA(G9),SUMIFS(FC_DATA!$AC:$AC,FC_DATA!$V:$V,DASHBOARD!$C$3,FC_DATA!$W:$W,DASHBOARD!$E$3,FC_DATA!$X:$X,DASHBOARD!$B11,FC_DATA!$Z:$Z,DASHBOARD!G$6),NA())</f>
        <v>#N/A</v>
      </c>
      <c r="H11" s="428">
        <f ca="1">IF(ISNA(H9),SUMIFS(FC_DATA!$AC:$AC,FC_DATA!$V:$V,DASHBOARD!$C$3,FC_DATA!$W:$W,DASHBOARD!$E$3,FC_DATA!$X:$X,DASHBOARD!$B11,FC_DATA!$Z:$Z,DASHBOARD!H$6),NA())</f>
        <v>0</v>
      </c>
      <c r="I11" s="428">
        <f ca="1">IF(ISNA(I9),SUMIFS(FC_DATA!$AC:$AC,FC_DATA!$V:$V,DASHBOARD!$C$3,FC_DATA!$W:$W,DASHBOARD!$E$3,FC_DATA!$X:$X,DASHBOARD!$B11,FC_DATA!$Z:$Z,DASHBOARD!I$6),NA())</f>
        <v>0</v>
      </c>
      <c r="J11" s="428">
        <f ca="1">IF(ISNA(J9),SUMIFS(FC_DATA!$AC:$AC,FC_DATA!$V:$V,DASHBOARD!$C$3,FC_DATA!$W:$W,DASHBOARD!$E$3,FC_DATA!$X:$X,DASHBOARD!$B11,FC_DATA!$Z:$Z,DASHBOARD!J$6),NA())</f>
        <v>0</v>
      </c>
      <c r="K11" s="428">
        <f ca="1">IF(ISNA(K9),SUMIFS(FC_DATA!$AC:$AC,FC_DATA!$V:$V,DASHBOARD!$C$3,FC_DATA!$W:$W,DASHBOARD!$E$3,FC_DATA!$X:$X,DASHBOARD!$B11,FC_DATA!$Z:$Z,DASHBOARD!K$6),NA())</f>
        <v>0</v>
      </c>
      <c r="L11" s="428">
        <f ca="1">IF(ISNA(L9),SUMIFS(FC_DATA!$AC:$AC,FC_DATA!$V:$V,DASHBOARD!$C$3,FC_DATA!$W:$W,DASHBOARD!$E$3,FC_DATA!$X:$X,DASHBOARD!$B11,FC_DATA!$Z:$Z,DASHBOARD!L$6),NA())</f>
        <v>0</v>
      </c>
      <c r="M11" s="428">
        <f ca="1">IF(ISNA(M9),SUMIFS(FC_DATA!$AC:$AC,FC_DATA!$V:$V,DASHBOARD!$C$3,FC_DATA!$W:$W,DASHBOARD!$E$3,FC_DATA!$X:$X,DASHBOARD!$B11,FC_DATA!$Z:$Z,DASHBOARD!M$6),NA())</f>
        <v>0</v>
      </c>
      <c r="N11" s="428">
        <f ca="1">IF(ISNA(N9),SUMIFS(FC_DATA!$AC:$AC,FC_DATA!$V:$V,DASHBOARD!$C$3,FC_DATA!$W:$W,DASHBOARD!$E$3,FC_DATA!$X:$X,DASHBOARD!$B11,FC_DATA!$Z:$Z,DASHBOARD!N$6),NA())</f>
        <v>0</v>
      </c>
      <c r="O11" s="428">
        <f ca="1">IF(ISNA(O9),SUMIFS(FC_DATA!$AC:$AC,FC_DATA!$V:$V,DASHBOARD!$C$3,FC_DATA!$W:$W,DASHBOARD!$E$3,FC_DATA!$X:$X,DASHBOARD!$B11,FC_DATA!$Z:$Z,DASHBOARD!O$6),NA())</f>
        <v>0</v>
      </c>
      <c r="P11" s="428" t="e">
        <f>IF(ISNA(P9),SUMIFS(FC_DATA!$AC:$AC,FC_DATA!$V:$V,DASHBOARD!$C$3,FC_DATA!$W:$W,DASHBOARD!$E$3,FC_DATA!$X:$X,DASHBOARD!$B11,FC_DATA!$Z:$Z,DASHBOARD!P$6),NA())</f>
        <v>#N/A</v>
      </c>
      <c r="Q11" s="424"/>
      <c r="R11" s="419" t="str">
        <f ca="1">$B$11</f>
        <v>18/19</v>
      </c>
      <c r="S11" s="419" t="str">
        <f ca="1">C11</f>
        <v>18/19 FC</v>
      </c>
      <c r="T11" s="540" t="e">
        <f ca="1">IF(ISNA(VLOOKUP(_xlfn.CONCAT($R11,T$6),TIME!$L$27:$L$31,1,FALSE)),NA(),SUMIFS(FC_DATA!$AC:$AC,FC_DATA!$V:$V,$C$3,FC_DATA!$W:$W,$E$3,FC_DATA!$X:$X,$R11,FC_DATA!$Y:$Y,T$6))</f>
        <v>#N/A</v>
      </c>
      <c r="U11" s="540" t="e">
        <f ca="1">IF(ISNA(VLOOKUP(_xlfn.CONCAT($R11,U$6),TIME!$L$27:$L$31,1,FALSE)),NA(),SUMIFS(FC_DATA!$AC:$AC,FC_DATA!$V:$V,$C$3,FC_DATA!$W:$W,$E$3,FC_DATA!$X:$X,$R11,FC_DATA!$Y:$Y,U$6))</f>
        <v>#N/A</v>
      </c>
      <c r="V11" s="540">
        <f ca="1">IF(ISNA(VLOOKUP(_xlfn.CONCAT($R11,V$6),TIME!$L$27:$L$31,1,FALSE)),NA(),SUMIFS(FC_DATA!$AC:$AC,FC_DATA!$V:$V,$C$3,FC_DATA!$W:$W,$E$3,FC_DATA!$X:$X,$R11,FC_DATA!$Y:$Y,V$6))</f>
        <v>0</v>
      </c>
      <c r="W11" s="540">
        <f ca="1">IF(ISNA(VLOOKUP(_xlfn.CONCAT($R11,W$6),TIME!$L$27:$L$31,1,FALSE)),NA(),SUMIFS(FC_DATA!$AC:$AC,FC_DATA!$V:$V,$C$3,FC_DATA!$W:$W,$E$3,FC_DATA!$X:$X,$R11,FC_DATA!$Y:$Y,W$6))</f>
        <v>0</v>
      </c>
    </row>
    <row r="12" spans="1:24" ht="15.75" thickBot="1" x14ac:dyDescent="0.3">
      <c r="B12" s="429" t="str">
        <f ca="1">Q_BRAND_FC!B14</f>
        <v>19/20</v>
      </c>
      <c r="C12" s="419" t="str">
        <f ca="1">B12&amp;" FC"</f>
        <v>19/20 FC</v>
      </c>
      <c r="D12" s="428" t="e">
        <f ca="1">IF(SUMIFS(FC_DATA!$AC:$AC,FC_DATA!$V:$V,DASHBOARD!$C$3,FC_DATA!$W:$W,DASHBOARD!$E$3,FC_DATA!$X:$X,DASHBOARD!$B12,FC_DATA!$Z:$Z,DASHBOARD!D$6)&lt;&gt;0,SUMIFS(FC_DATA!$AC:$AC,FC_DATA!$V:$V,DASHBOARD!$C$3,FC_DATA!$W:$W,DASHBOARD!$E$3,FC_DATA!$X:$X,DASHBOARD!$B12,FC_DATA!$Z:$Z,DASHBOARD!D$6),NA())</f>
        <v>#N/A</v>
      </c>
      <c r="E12" s="428" t="e">
        <f ca="1">IF(SUMIFS(FC_DATA!$AC:$AC,FC_DATA!$V:$V,DASHBOARD!$C$3,FC_DATA!$W:$W,DASHBOARD!$E$3,FC_DATA!$X:$X,DASHBOARD!$B12,FC_DATA!$Z:$Z,DASHBOARD!E$6)&lt;&gt;0,SUMIFS(FC_DATA!$AC:$AC,FC_DATA!$V:$V,DASHBOARD!$C$3,FC_DATA!$W:$W,DASHBOARD!$E$3,FC_DATA!$X:$X,DASHBOARD!$B12,FC_DATA!$Z:$Z,DASHBOARD!E$6),NA())</f>
        <v>#N/A</v>
      </c>
      <c r="F12" s="428" t="e">
        <f ca="1">IF(SUMIFS(FC_DATA!$AC:$AC,FC_DATA!$V:$V,DASHBOARD!$C$3,FC_DATA!$W:$W,DASHBOARD!$E$3,FC_DATA!$X:$X,DASHBOARD!$B12,FC_DATA!$Z:$Z,DASHBOARD!F$6)&lt;&gt;0,SUMIFS(FC_DATA!$AC:$AC,FC_DATA!$V:$V,DASHBOARD!$C$3,FC_DATA!$W:$W,DASHBOARD!$E$3,FC_DATA!$X:$X,DASHBOARD!$B12,FC_DATA!$Z:$Z,DASHBOARD!F$6),NA())</f>
        <v>#N/A</v>
      </c>
      <c r="G12" s="428" t="e">
        <f ca="1">IF(SUMIFS(FC_DATA!$AC:$AC,FC_DATA!$V:$V,DASHBOARD!$C$3,FC_DATA!$W:$W,DASHBOARD!$E$3,FC_DATA!$X:$X,DASHBOARD!$B12,FC_DATA!$Z:$Z,DASHBOARD!G$6)&lt;&gt;0,SUMIFS(FC_DATA!$AC:$AC,FC_DATA!$V:$V,DASHBOARD!$C$3,FC_DATA!$W:$W,DASHBOARD!$E$3,FC_DATA!$X:$X,DASHBOARD!$B12,FC_DATA!$Z:$Z,DASHBOARD!G$6),NA())</f>
        <v>#N/A</v>
      </c>
      <c r="H12" s="428" t="e">
        <f ca="1">IF(SUMIFS(FC_DATA!$AC:$AC,FC_DATA!$V:$V,DASHBOARD!$C$3,FC_DATA!$W:$W,DASHBOARD!$E$3,FC_DATA!$X:$X,DASHBOARD!$B12,FC_DATA!$Z:$Z,DASHBOARD!H$6)&lt;&gt;0,SUMIFS(FC_DATA!$AC:$AC,FC_DATA!$V:$V,DASHBOARD!$C$3,FC_DATA!$W:$W,DASHBOARD!$E$3,FC_DATA!$X:$X,DASHBOARD!$B12,FC_DATA!$Z:$Z,DASHBOARD!H$6),NA())</f>
        <v>#N/A</v>
      </c>
      <c r="I12" s="428" t="e">
        <f ca="1">IF(SUMIFS(FC_DATA!$AC:$AC,FC_DATA!$V:$V,DASHBOARD!$C$3,FC_DATA!$W:$W,DASHBOARD!$E$3,FC_DATA!$X:$X,DASHBOARD!$B12,FC_DATA!$Z:$Z,DASHBOARD!I$6)&lt;&gt;0,SUMIFS(FC_DATA!$AC:$AC,FC_DATA!$V:$V,DASHBOARD!$C$3,FC_DATA!$W:$W,DASHBOARD!$E$3,FC_DATA!$X:$X,DASHBOARD!$B12,FC_DATA!$Z:$Z,DASHBOARD!I$6),NA())</f>
        <v>#N/A</v>
      </c>
      <c r="J12" s="428" t="e">
        <f ca="1">IF(SUMIFS(FC_DATA!$AC:$AC,FC_DATA!$V:$V,DASHBOARD!$C$3,FC_DATA!$W:$W,DASHBOARD!$E$3,FC_DATA!$X:$X,DASHBOARD!$B12,FC_DATA!$Z:$Z,DASHBOARD!J$6)&lt;&gt;0,SUMIFS(FC_DATA!$AC:$AC,FC_DATA!$V:$V,DASHBOARD!$C$3,FC_DATA!$W:$W,DASHBOARD!$E$3,FC_DATA!$X:$X,DASHBOARD!$B12,FC_DATA!$Z:$Z,DASHBOARD!J$6),NA())</f>
        <v>#N/A</v>
      </c>
      <c r="K12" s="471" t="e">
        <f ca="1">IF(SUMIFS(FC_DATA!$AC:$AC,FC_DATA!$V:$V,DASHBOARD!$C$3,FC_DATA!$W:$W,DASHBOARD!$E$3,FC_DATA!$X:$X,DASHBOARD!$B12,FC_DATA!$Z:$Z,DASHBOARD!K$6)&lt;&gt;0,SUMIFS(FC_DATA!$AC:$AC,FC_DATA!$V:$V,DASHBOARD!$C$3,FC_DATA!$W:$W,DASHBOARD!$E$3,FC_DATA!$X:$X,DASHBOARD!$B12,FC_DATA!$Z:$Z,DASHBOARD!K$6),NA())</f>
        <v>#N/A</v>
      </c>
      <c r="L12" s="471" t="e">
        <f ca="1">IF(SUMIFS(FC_DATA!$AC:$AC,FC_DATA!$V:$V,DASHBOARD!$C$3,FC_DATA!$W:$W,DASHBOARD!$E$3,FC_DATA!$X:$X,DASHBOARD!$B12,FC_DATA!$Z:$Z,DASHBOARD!L$6)&lt;&gt;0,SUMIFS(FC_DATA!$AC:$AC,FC_DATA!$V:$V,DASHBOARD!$C$3,FC_DATA!$W:$W,DASHBOARD!$E$3,FC_DATA!$X:$X,DASHBOARD!$B12,FC_DATA!$Z:$Z,DASHBOARD!L$6),NA())</f>
        <v>#N/A</v>
      </c>
      <c r="M12" s="471" t="e">
        <f ca="1">IF(SUMIFS(FC_DATA!$AC:$AC,FC_DATA!$V:$V,DASHBOARD!$C$3,FC_DATA!$W:$W,DASHBOARD!$E$3,FC_DATA!$X:$X,DASHBOARD!$B12,FC_DATA!$Z:$Z,DASHBOARD!M$6)&lt;&gt;0,SUMIFS(FC_DATA!$AC:$AC,FC_DATA!$V:$V,DASHBOARD!$C$3,FC_DATA!$W:$W,DASHBOARD!$E$3,FC_DATA!$X:$X,DASHBOARD!$B12,FC_DATA!$Z:$Z,DASHBOARD!M$6),NA())</f>
        <v>#N/A</v>
      </c>
      <c r="N12" s="471" t="e">
        <f ca="1">IF(SUMIFS(FC_DATA!$AC:$AC,FC_DATA!$V:$V,DASHBOARD!$C$3,FC_DATA!$W:$W,DASHBOARD!$E$3,FC_DATA!$X:$X,DASHBOARD!$B12,FC_DATA!$Z:$Z,DASHBOARD!N$6)&lt;&gt;0,SUMIFS(FC_DATA!$AC:$AC,FC_DATA!$V:$V,DASHBOARD!$C$3,FC_DATA!$W:$W,DASHBOARD!$E$3,FC_DATA!$X:$X,DASHBOARD!$B12,FC_DATA!$Z:$Z,DASHBOARD!N$6),NA())</f>
        <v>#N/A</v>
      </c>
      <c r="O12" s="471" t="e">
        <f ca="1">IF(SUMIFS(FC_DATA!$AC:$AC,FC_DATA!$V:$V,DASHBOARD!$C$3,FC_DATA!$W:$W,DASHBOARD!$E$3,FC_DATA!$X:$X,DASHBOARD!$B12,FC_DATA!$Z:$Z,DASHBOARD!O$6)&lt;&gt;0,SUMIFS(FC_DATA!$AC:$AC,FC_DATA!$V:$V,DASHBOARD!$C$3,FC_DATA!$W:$W,DASHBOARD!$E$3,FC_DATA!$X:$X,DASHBOARD!$B12,FC_DATA!$Z:$Z,DASHBOARD!O$6),NA())</f>
        <v>#N/A</v>
      </c>
      <c r="P12" s="428"/>
      <c r="Q12" s="424"/>
      <c r="R12" s="430" t="str">
        <f ca="1">$B$12</f>
        <v>19/20</v>
      </c>
      <c r="S12" s="419" t="str">
        <f ca="1">C12</f>
        <v>19/20 FC</v>
      </c>
      <c r="T12" s="540">
        <f ca="1">IF(ISNA(VLOOKUP(_xlfn.CONCAT($R12,T$6),TIME!$L$27:$L$31,1,FALSE)),NA(),SUMIFS(FC_DATA!$AC:$AC,FC_DATA!$V:$V,$C$3,FC_DATA!$W:$W,$E$3,FC_DATA!$X:$X,$R12,FC_DATA!$Y:$Y,T$6)+SUMIFS(HIS_SALES!$I:$I,HIS_SALES!$C:$C,$B$3,HIS_SALES!$D:$D,$C$3,HIS_SALES!$E:$E,$E$3,HIS_SALES!$F:$F,$R12,HIS_SALES!$G:$G,T$6))</f>
        <v>0</v>
      </c>
      <c r="U12" s="540">
        <f ca="1">IF(ISNA(VLOOKUP(_xlfn.CONCAT($R12,U$6),TIME!$L$27:$L$31,1,FALSE)),NA(),SUMIFS(FC_DATA!$AC:$AC,FC_DATA!$V:$V,$C$3,FC_DATA!$W:$W,$E$3,FC_DATA!$X:$X,$R12,FC_DATA!$Y:$Y,U$6)+SUMIFS(HIS_SALES!$I:$I,HIS_SALES!$C:$C,$B$3,HIS_SALES!$D:$D,$C$3,HIS_SALES!$E:$E,$E$3,HIS_SALES!$F:$F,$R12,HIS_SALES!$G:$G,U$6))</f>
        <v>0</v>
      </c>
      <c r="V12" s="540">
        <f ca="1">IF(ISNA(VLOOKUP(_xlfn.CONCAT($R12,V$6),TIME!$L$27:$L$31,1,FALSE)),NA(),SUMIFS(FC_DATA!$AC:$AC,FC_DATA!$V:$V,$C$3,FC_DATA!$W:$W,$E$3,FC_DATA!$X:$X,$R12,FC_DATA!$Y:$Y,V$6)+SUMIFS(HIS_SALES!$I:$I,HIS_SALES!$C:$C,$B$3,HIS_SALES!$D:$D,$C$3,HIS_SALES!$E:$E,$E$3,HIS_SALES!$F:$F,$R12,HIS_SALES!$G:$G,V$6))</f>
        <v>0</v>
      </c>
      <c r="W12" s="540" t="e">
        <f ca="1">IF(ISNA(VLOOKUP(_xlfn.CONCAT($R12,W$6),TIME!$L$27:$L$31,1,FALSE)),NA(),SUMIFS(FC_DATA!$AC:$AC,FC_DATA!$V:$V,$C$3,FC_DATA!$W:$W,$E$3,FC_DATA!$X:$X,$R12,FC_DATA!$Y:$Y,W$6)+SUMIFS(HIS_SALES!$I:$I,HIS_SALES!$C:$C,$B$3,HIS_SALES!$D:$D,$C$3,HIS_SALES!$E:$E,$E$3,HIS_SALES!$F:$F,$R12,HIS_SALES!$G:$G,W$6))</f>
        <v>#N/A</v>
      </c>
    </row>
    <row r="13" spans="1:24" ht="15.75" thickTop="1" x14ac:dyDescent="0.25">
      <c r="C13" s="431" t="s">
        <v>191</v>
      </c>
      <c r="D13" s="432">
        <f ca="1">IFERROR(D9/D8-1,NA())</f>
        <v>0.23954398613961536</v>
      </c>
      <c r="E13" s="432">
        <f t="shared" ref="E13:O13" ca="1" si="2">IFERROR(E9/E8-1,NA())</f>
        <v>6.9379481081019545E-2</v>
      </c>
      <c r="F13" s="432">
        <f t="shared" ca="1" si="2"/>
        <v>2.4847726747841303E-2</v>
      </c>
      <c r="G13" s="432">
        <f t="shared" ca="1" si="2"/>
        <v>-7.184157146897685E-2</v>
      </c>
      <c r="H13" s="432" t="e">
        <f t="shared" ca="1" si="2"/>
        <v>#N/A</v>
      </c>
      <c r="I13" s="432" t="e">
        <f t="shared" ca="1" si="2"/>
        <v>#N/A</v>
      </c>
      <c r="J13" s="432" t="e">
        <f t="shared" ca="1" si="2"/>
        <v>#N/A</v>
      </c>
      <c r="K13" s="433" t="e">
        <f t="shared" ca="1" si="2"/>
        <v>#N/A</v>
      </c>
      <c r="L13" s="433" t="e">
        <f t="shared" ca="1" si="2"/>
        <v>#N/A</v>
      </c>
      <c r="M13" s="433" t="e">
        <f t="shared" ca="1" si="2"/>
        <v>#N/A</v>
      </c>
      <c r="N13" s="433" t="e">
        <f t="shared" ca="1" si="2"/>
        <v>#N/A</v>
      </c>
      <c r="O13" s="433" t="e">
        <f t="shared" ca="1" si="2"/>
        <v>#N/A</v>
      </c>
      <c r="P13" s="431"/>
      <c r="Q13" s="424"/>
      <c r="S13" s="427" t="s">
        <v>192</v>
      </c>
      <c r="T13" s="420">
        <f ca="1">T9/T8-1</f>
        <v>7.0870523502911897E-2</v>
      </c>
      <c r="U13" s="420">
        <f t="shared" ref="U13:W13" ca="1" si="3">U9/U8-1</f>
        <v>-0.53408518659176873</v>
      </c>
      <c r="V13" s="420" t="e">
        <f t="shared" ca="1" si="3"/>
        <v>#N/A</v>
      </c>
      <c r="W13" s="420" t="e">
        <f t="shared" ca="1" si="3"/>
        <v>#N/A</v>
      </c>
    </row>
    <row r="14" spans="1:24" x14ac:dyDescent="0.25">
      <c r="B14" s="434" t="str">
        <f ca="1">$B$11</f>
        <v>18/19</v>
      </c>
      <c r="C14" s="419" t="str">
        <f ca="1">B14&amp;" FC"</f>
        <v>18/19 FC</v>
      </c>
      <c r="D14" s="433" t="e">
        <f ca="1">IFERROR(D11/D8-1,NA())</f>
        <v>#N/A</v>
      </c>
      <c r="E14" s="433" t="e">
        <f t="shared" ref="E14:O14" ca="1" si="4">IFERROR(E11/E8-1,NA())</f>
        <v>#N/A</v>
      </c>
      <c r="F14" s="433" t="e">
        <f t="shared" ca="1" si="4"/>
        <v>#N/A</v>
      </c>
      <c r="G14" s="433" t="e">
        <f t="shared" ca="1" si="4"/>
        <v>#N/A</v>
      </c>
      <c r="H14" s="433">
        <f t="shared" ca="1" si="4"/>
        <v>-1</v>
      </c>
      <c r="I14" s="433">
        <f t="shared" ca="1" si="4"/>
        <v>-1</v>
      </c>
      <c r="J14" s="433">
        <f t="shared" ca="1" si="4"/>
        <v>-1</v>
      </c>
      <c r="K14" s="433">
        <f t="shared" ca="1" si="4"/>
        <v>-1</v>
      </c>
      <c r="L14" s="433">
        <f t="shared" ca="1" si="4"/>
        <v>-1</v>
      </c>
      <c r="M14" s="433">
        <f t="shared" ca="1" si="4"/>
        <v>-1</v>
      </c>
      <c r="N14" s="433">
        <f t="shared" ca="1" si="4"/>
        <v>-1</v>
      </c>
      <c r="O14" s="433">
        <f t="shared" ca="1" si="4"/>
        <v>-1</v>
      </c>
      <c r="P14" s="433"/>
      <c r="Q14" s="424"/>
      <c r="R14" s="419" t="str">
        <f ca="1">$B$11</f>
        <v>18/19</v>
      </c>
      <c r="S14" s="419" t="str">
        <f ca="1">C11</f>
        <v>18/19 FC</v>
      </c>
      <c r="T14" s="420" t="e">
        <f ca="1">T11/T8-1</f>
        <v>#N/A</v>
      </c>
      <c r="U14" s="420" t="e">
        <f t="shared" ref="U14:W14" ca="1" si="5">U11/U8-1</f>
        <v>#N/A</v>
      </c>
      <c r="V14" s="420">
        <f t="shared" ca="1" si="5"/>
        <v>-1</v>
      </c>
      <c r="W14" s="420">
        <f t="shared" ca="1" si="5"/>
        <v>-1</v>
      </c>
    </row>
    <row r="15" spans="1:24" x14ac:dyDescent="0.25">
      <c r="B15" s="434" t="str">
        <f ca="1">$B$12</f>
        <v>19/20</v>
      </c>
      <c r="C15" s="419" t="str">
        <f ca="1">B15&amp;" FC"</f>
        <v>19/20 FC</v>
      </c>
      <c r="D15" s="433" t="e">
        <f t="shared" ref="D15:O15" ca="1" si="6">IFERROR(D12/D9-1,NA())</f>
        <v>#N/A</v>
      </c>
      <c r="E15" s="433" t="e">
        <f t="shared" ca="1" si="6"/>
        <v>#N/A</v>
      </c>
      <c r="F15" s="433" t="e">
        <f t="shared" ca="1" si="6"/>
        <v>#N/A</v>
      </c>
      <c r="G15" s="433" t="e">
        <f t="shared" ca="1" si="6"/>
        <v>#N/A</v>
      </c>
      <c r="H15" s="433" t="e">
        <f t="shared" ca="1" si="6"/>
        <v>#N/A</v>
      </c>
      <c r="I15" s="433" t="e">
        <f t="shared" ca="1" si="6"/>
        <v>#N/A</v>
      </c>
      <c r="J15" s="433" t="e">
        <f t="shared" ca="1" si="6"/>
        <v>#N/A</v>
      </c>
      <c r="K15" s="433" t="e">
        <f t="shared" ca="1" si="6"/>
        <v>#N/A</v>
      </c>
      <c r="L15" s="433" t="e">
        <f t="shared" ca="1" si="6"/>
        <v>#N/A</v>
      </c>
      <c r="M15" s="433" t="e">
        <f t="shared" ca="1" si="6"/>
        <v>#N/A</v>
      </c>
      <c r="N15" s="433" t="e">
        <f t="shared" ca="1" si="6"/>
        <v>#N/A</v>
      </c>
      <c r="O15" s="433" t="e">
        <f t="shared" ca="1" si="6"/>
        <v>#N/A</v>
      </c>
      <c r="P15" s="433" t="str">
        <f t="shared" ref="P15" si="7">IFERROR((P12-P9)/P9,"")</f>
        <v/>
      </c>
      <c r="Q15" s="424"/>
      <c r="R15" s="430" t="str">
        <f ca="1">$B$12</f>
        <v>19/20</v>
      </c>
      <c r="S15" s="419" t="str">
        <f ca="1">C12</f>
        <v>19/20 FC</v>
      </c>
      <c r="T15" s="420">
        <f ca="1">IF(ISNA(T11),T12/T9-1,T12/T11-1)</f>
        <v>-1</v>
      </c>
      <c r="U15" s="420">
        <f t="shared" ref="U15:W15" ca="1" si="8">IF(ISNA(U11),U12/U9-1,U12/U11-1)</f>
        <v>-1</v>
      </c>
      <c r="V15" s="420" t="e">
        <f t="shared" ca="1" si="8"/>
        <v>#DIV/0!</v>
      </c>
      <c r="W15" s="420" t="e">
        <f t="shared" ca="1" si="8"/>
        <v>#N/A</v>
      </c>
    </row>
    <row r="16" spans="1:24" x14ac:dyDescent="0.25">
      <c r="C16" s="424"/>
      <c r="D16" s="424"/>
      <c r="E16" s="424"/>
      <c r="F16" s="424"/>
      <c r="G16" s="424"/>
      <c r="H16" s="424"/>
      <c r="I16" s="424"/>
      <c r="J16" s="424"/>
      <c r="K16" s="424"/>
      <c r="L16" s="424"/>
      <c r="M16" s="424"/>
      <c r="N16" s="424"/>
      <c r="O16" s="424"/>
      <c r="P16" s="424"/>
      <c r="Q16" s="424"/>
    </row>
    <row r="17" spans="1:42" x14ac:dyDescent="0.25">
      <c r="C17" s="424"/>
      <c r="D17" s="424"/>
      <c r="E17" s="424"/>
      <c r="F17" s="424"/>
      <c r="G17" s="424"/>
      <c r="H17" s="424"/>
      <c r="I17" s="424"/>
      <c r="J17" s="424"/>
      <c r="K17" s="424"/>
      <c r="L17" s="424"/>
      <c r="M17" s="424"/>
      <c r="N17" s="424"/>
      <c r="O17" s="424"/>
      <c r="P17" s="424"/>
      <c r="Q17" s="424"/>
    </row>
    <row r="19" spans="1:42" ht="9.9499999999999993" customHeight="1" x14ac:dyDescent="0.25"/>
    <row r="25" spans="1:42" x14ac:dyDescent="0.25">
      <c r="A25" s="420"/>
      <c r="B25" s="435"/>
      <c r="C25" s="420"/>
      <c r="D25" s="420"/>
      <c r="E25" s="420"/>
      <c r="F25" s="420"/>
      <c r="G25" s="420"/>
      <c r="H25" s="420"/>
      <c r="I25" s="420"/>
      <c r="J25" s="420"/>
      <c r="K25" s="420"/>
      <c r="L25" s="420"/>
      <c r="M25" s="420"/>
      <c r="N25" s="420"/>
      <c r="AL25" s="427"/>
      <c r="AM25" s="427"/>
      <c r="AN25" s="427"/>
      <c r="AO25" s="427"/>
      <c r="AP25" s="427"/>
    </row>
    <row r="26" spans="1:42" x14ac:dyDescent="0.25">
      <c r="A26" s="420"/>
      <c r="B26" s="435"/>
      <c r="C26" s="420"/>
      <c r="D26" s="420"/>
      <c r="E26" s="420"/>
      <c r="F26" s="420"/>
      <c r="G26" s="420"/>
      <c r="H26" s="420"/>
      <c r="I26" s="420"/>
      <c r="J26" s="420"/>
      <c r="K26" s="420"/>
      <c r="L26" s="420"/>
      <c r="M26" s="420"/>
      <c r="N26" s="420"/>
      <c r="AL26" s="436"/>
      <c r="AM26" s="436"/>
      <c r="AN26" s="436"/>
      <c r="AO26" s="436"/>
      <c r="AP26" s="436"/>
    </row>
    <row r="27" spans="1:42" x14ac:dyDescent="0.25">
      <c r="A27" s="420"/>
      <c r="B27" s="435"/>
      <c r="C27" s="420"/>
      <c r="D27" s="420"/>
      <c r="E27" s="420"/>
      <c r="F27" s="420"/>
      <c r="G27" s="420"/>
      <c r="H27" s="420"/>
      <c r="I27" s="420"/>
      <c r="J27" s="420"/>
      <c r="K27" s="420"/>
      <c r="L27" s="420"/>
      <c r="M27" s="420"/>
      <c r="N27" s="420"/>
      <c r="AL27" s="436"/>
      <c r="AM27" s="436"/>
      <c r="AN27" s="436"/>
      <c r="AO27" s="436"/>
      <c r="AP27" s="436"/>
    </row>
    <row r="28" spans="1:42" x14ac:dyDescent="0.25">
      <c r="A28" s="420"/>
      <c r="B28" s="435"/>
      <c r="C28" s="420"/>
      <c r="D28" s="420"/>
      <c r="E28" s="420"/>
      <c r="F28" s="420"/>
      <c r="G28" s="420"/>
      <c r="H28" s="420"/>
      <c r="I28" s="420"/>
      <c r="J28" s="420"/>
      <c r="K28" s="420"/>
      <c r="L28" s="420"/>
      <c r="M28" s="420"/>
      <c r="N28" s="420"/>
      <c r="AL28" s="436"/>
      <c r="AM28" s="436"/>
      <c r="AN28" s="436"/>
      <c r="AO28" s="436"/>
      <c r="AP28" s="436"/>
    </row>
    <row r="29" spans="1:42" x14ac:dyDescent="0.25">
      <c r="A29" s="420"/>
      <c r="B29" s="435"/>
      <c r="C29" s="420"/>
      <c r="D29" s="420"/>
      <c r="E29" s="420"/>
      <c r="F29" s="420"/>
      <c r="G29" s="420"/>
      <c r="H29" s="420"/>
      <c r="I29" s="420"/>
      <c r="J29" s="420"/>
      <c r="K29" s="420"/>
      <c r="L29" s="420"/>
      <c r="M29" s="420"/>
      <c r="N29" s="420"/>
      <c r="AL29" s="436"/>
      <c r="AM29" s="436"/>
      <c r="AN29" s="436"/>
      <c r="AO29" s="436"/>
      <c r="AP29" s="436"/>
    </row>
    <row r="30" spans="1:42" ht="9.9499999999999993" customHeight="1" x14ac:dyDescent="0.25">
      <c r="A30" s="420"/>
      <c r="B30" s="435"/>
      <c r="C30" s="420"/>
      <c r="D30" s="420"/>
      <c r="E30" s="420"/>
      <c r="F30" s="420"/>
      <c r="G30" s="420"/>
      <c r="H30" s="420"/>
      <c r="I30" s="420"/>
      <c r="J30" s="420"/>
      <c r="K30" s="420"/>
      <c r="L30" s="420"/>
      <c r="M30" s="420"/>
      <c r="N30" s="420"/>
      <c r="AL30" s="436"/>
      <c r="AM30" s="436"/>
      <c r="AN30" s="436"/>
      <c r="AO30" s="436"/>
      <c r="AP30" s="436"/>
    </row>
    <row r="31" spans="1:42" x14ac:dyDescent="0.25">
      <c r="A31" s="420"/>
      <c r="B31" s="435"/>
      <c r="C31" s="935" t="s">
        <v>193</v>
      </c>
      <c r="D31" s="935"/>
      <c r="E31" s="935"/>
      <c r="F31" s="935"/>
      <c r="G31" s="935"/>
      <c r="H31" s="935"/>
      <c r="I31" s="935"/>
      <c r="J31" s="935"/>
      <c r="K31" s="935"/>
      <c r="L31" s="935"/>
      <c r="M31" s="935"/>
      <c r="N31" s="935"/>
      <c r="O31" s="935"/>
      <c r="P31" s="935"/>
      <c r="AL31" s="436"/>
      <c r="AM31" s="436"/>
      <c r="AN31" s="436"/>
      <c r="AO31" s="436"/>
      <c r="AP31" s="436"/>
    </row>
    <row r="32" spans="1:42" x14ac:dyDescent="0.25">
      <c r="A32" s="420"/>
      <c r="B32" s="435"/>
      <c r="C32" s="425" t="s">
        <v>7</v>
      </c>
      <c r="D32" s="426" t="s">
        <v>144</v>
      </c>
      <c r="E32" s="426" t="s">
        <v>146</v>
      </c>
      <c r="F32" s="426" t="s">
        <v>145</v>
      </c>
      <c r="G32" s="426" t="s">
        <v>149</v>
      </c>
      <c r="H32" s="426" t="s">
        <v>147</v>
      </c>
      <c r="I32" s="426" t="s">
        <v>148</v>
      </c>
      <c r="J32" s="426" t="s">
        <v>151</v>
      </c>
      <c r="K32" s="426" t="s">
        <v>152</v>
      </c>
      <c r="L32" s="426" t="s">
        <v>150</v>
      </c>
      <c r="M32" s="426" t="s">
        <v>155</v>
      </c>
      <c r="N32" s="426" t="s">
        <v>154</v>
      </c>
      <c r="O32" s="426" t="s">
        <v>153</v>
      </c>
      <c r="P32" s="426" t="s">
        <v>80</v>
      </c>
      <c r="S32" s="419" t="s">
        <v>96</v>
      </c>
      <c r="AL32" s="436"/>
      <c r="AM32" s="436"/>
      <c r="AN32" s="436"/>
      <c r="AO32" s="436"/>
      <c r="AP32" s="436"/>
    </row>
    <row r="33" spans="1:42" x14ac:dyDescent="0.25">
      <c r="A33" s="420"/>
      <c r="B33" s="435"/>
      <c r="C33" s="427" t="str">
        <f ca="1">C7</f>
        <v>16/17</v>
      </c>
      <c r="D33" s="437">
        <f ca="1">IFERROR(SUMIFS(HIS_SALES!$J:$J,HIS_SALES!$D:$D,DASHBOARD!$C$3,HIS_SALES!$E:$E,DASHBOARD!$E$3,HIS_SALES!$F:$F,DASHBOARD!$C33,HIS_SALES!$H:$H,DASHBOARD!D$32)/(SUMIFS(HIS_SALES!$I:$I,HIS_SALES!$D:$D,DASHBOARD!$C$3,HIS_SALES!$E:$E,DASHBOARD!$E$3,HIS_SALES!$F:$F,DASHBOARD!$C33,HIS_SALES!$H:$H,DASHBOARD!D$32)+SUMIFS(HIS_SALES!$J:$J,HIS_SALES!$D:$D,DASHBOARD!$C$3,HIS_SALES!$E:$E,DASHBOARD!$E$3,HIS_SALES!$F:$F,DASHBOARD!$C33,HIS_SALES!$H:$H,DASHBOARD!D$32)),NA())</f>
        <v>9.2168682227146831E-2</v>
      </c>
      <c r="E33" s="437">
        <f ca="1">IFERROR(SUMIFS(HIS_SALES!$J:$J,HIS_SALES!$D:$D,DASHBOARD!$C$3,HIS_SALES!$E:$E,DASHBOARD!$E$3,HIS_SALES!$F:$F,DASHBOARD!$C33,HIS_SALES!$H:$H,DASHBOARD!E$32)/(SUMIFS(HIS_SALES!$I:$I,HIS_SALES!$D:$D,DASHBOARD!$C$3,HIS_SALES!$E:$E,DASHBOARD!$E$3,HIS_SALES!$F:$F,DASHBOARD!$C33,HIS_SALES!$H:$H,DASHBOARD!E$32)+SUMIFS(HIS_SALES!$J:$J,HIS_SALES!$D:$D,DASHBOARD!$C$3,HIS_SALES!$E:$E,DASHBOARD!$E$3,HIS_SALES!$F:$F,DASHBOARD!$C33,HIS_SALES!$H:$H,DASHBOARD!E$32)),NA())</f>
        <v>4.7203331749643564E-2</v>
      </c>
      <c r="F33" s="437">
        <f ca="1">IFERROR(SUMIFS(HIS_SALES!$J:$J,HIS_SALES!$D:$D,DASHBOARD!$C$3,HIS_SALES!$E:$E,DASHBOARD!$E$3,HIS_SALES!$F:$F,DASHBOARD!$C33,HIS_SALES!$H:$H,DASHBOARD!F$32)/(SUMIFS(HIS_SALES!$I:$I,HIS_SALES!$D:$D,DASHBOARD!$C$3,HIS_SALES!$E:$E,DASHBOARD!$E$3,HIS_SALES!$F:$F,DASHBOARD!$C33,HIS_SALES!$H:$H,DASHBOARD!F$32)+SUMIFS(HIS_SALES!$J:$J,HIS_SALES!$D:$D,DASHBOARD!$C$3,HIS_SALES!$E:$E,DASHBOARD!$E$3,HIS_SALES!$F:$F,DASHBOARD!$C33,HIS_SALES!$H:$H,DASHBOARD!F$32)),NA())</f>
        <v>3.542629870519895E-2</v>
      </c>
      <c r="G33" s="437">
        <f ca="1">IFERROR(SUMIFS(HIS_SALES!$J:$J,HIS_SALES!$D:$D,DASHBOARD!$C$3,HIS_SALES!$E:$E,DASHBOARD!$E$3,HIS_SALES!$F:$F,DASHBOARD!$C33,HIS_SALES!$H:$H,DASHBOARD!G$32)/(SUMIFS(HIS_SALES!$I:$I,HIS_SALES!$D:$D,DASHBOARD!$C$3,HIS_SALES!$E:$E,DASHBOARD!$E$3,HIS_SALES!$F:$F,DASHBOARD!$C33,HIS_SALES!$H:$H,DASHBOARD!G$32)+SUMIFS(HIS_SALES!$J:$J,HIS_SALES!$D:$D,DASHBOARD!$C$3,HIS_SALES!$E:$E,DASHBOARD!$E$3,HIS_SALES!$F:$F,DASHBOARD!$C33,HIS_SALES!$H:$H,DASHBOARD!G$32)),NA())</f>
        <v>5.9255374465097488E-2</v>
      </c>
      <c r="H33" s="437">
        <f ca="1">IFERROR(SUMIFS(HIS_SALES!$J:$J,HIS_SALES!$D:$D,DASHBOARD!$C$3,HIS_SALES!$E:$E,DASHBOARD!$E$3,HIS_SALES!$F:$F,DASHBOARD!$C33,HIS_SALES!$H:$H,DASHBOARD!H$32)/(SUMIFS(HIS_SALES!$I:$I,HIS_SALES!$D:$D,DASHBOARD!$C$3,HIS_SALES!$E:$E,DASHBOARD!$E$3,HIS_SALES!$F:$F,DASHBOARD!$C33,HIS_SALES!$H:$H,DASHBOARD!H$32)+SUMIFS(HIS_SALES!$J:$J,HIS_SALES!$D:$D,DASHBOARD!$C$3,HIS_SALES!$E:$E,DASHBOARD!$E$3,HIS_SALES!$F:$F,DASHBOARD!$C33,HIS_SALES!$H:$H,DASHBOARD!H$32)),NA())</f>
        <v>0.10575014953790407</v>
      </c>
      <c r="I33" s="437">
        <f ca="1">IFERROR(SUMIFS(HIS_SALES!$J:$J,HIS_SALES!$D:$D,DASHBOARD!$C$3,HIS_SALES!$E:$E,DASHBOARD!$E$3,HIS_SALES!$F:$F,DASHBOARD!$C33,HIS_SALES!$H:$H,DASHBOARD!I$32)/(SUMIFS(HIS_SALES!$I:$I,HIS_SALES!$D:$D,DASHBOARD!$C$3,HIS_SALES!$E:$E,DASHBOARD!$E$3,HIS_SALES!$F:$F,DASHBOARD!$C33,HIS_SALES!$H:$H,DASHBOARD!I$32)+SUMIFS(HIS_SALES!$J:$J,HIS_SALES!$D:$D,DASHBOARD!$C$3,HIS_SALES!$E:$E,DASHBOARD!$E$3,HIS_SALES!$F:$F,DASHBOARD!$C33,HIS_SALES!$H:$H,DASHBOARD!I$32)),NA())</f>
        <v>0.20147845326351099</v>
      </c>
      <c r="J33" s="437">
        <f ca="1">IFERROR(SUMIFS(HIS_SALES!$J:$J,HIS_SALES!$D:$D,DASHBOARD!$C$3,HIS_SALES!$E:$E,DASHBOARD!$E$3,HIS_SALES!$F:$F,DASHBOARD!$C33,HIS_SALES!$H:$H,DASHBOARD!J$32)/(SUMIFS(HIS_SALES!$I:$I,HIS_SALES!$D:$D,DASHBOARD!$C$3,HIS_SALES!$E:$E,DASHBOARD!$E$3,HIS_SALES!$F:$F,DASHBOARD!$C33,HIS_SALES!$H:$H,DASHBOARD!J$32)+SUMIFS(HIS_SALES!$J:$J,HIS_SALES!$D:$D,DASHBOARD!$C$3,HIS_SALES!$E:$E,DASHBOARD!$E$3,HIS_SALES!$F:$F,DASHBOARD!$C33,HIS_SALES!$H:$H,DASHBOARD!J$32)),NA())</f>
        <v>8.9421130548196254E-2</v>
      </c>
      <c r="K33" s="437">
        <f ca="1">IFERROR(SUMIFS(HIS_SALES!$J:$J,HIS_SALES!$D:$D,DASHBOARD!$C$3,HIS_SALES!$E:$E,DASHBOARD!$E$3,HIS_SALES!$F:$F,DASHBOARD!$C33,HIS_SALES!$H:$H,DASHBOARD!K$32)/(SUMIFS(HIS_SALES!$I:$I,HIS_SALES!$D:$D,DASHBOARD!$C$3,HIS_SALES!$E:$E,DASHBOARD!$E$3,HIS_SALES!$F:$F,DASHBOARD!$C33,HIS_SALES!$H:$H,DASHBOARD!K$32)+SUMIFS(HIS_SALES!$J:$J,HIS_SALES!$D:$D,DASHBOARD!$C$3,HIS_SALES!$E:$E,DASHBOARD!$E$3,HIS_SALES!$F:$F,DASHBOARD!$C33,HIS_SALES!$H:$H,DASHBOARD!K$32)),NA())</f>
        <v>7.5562383125141047E-2</v>
      </c>
      <c r="L33" s="437">
        <f ca="1">IFERROR(SUMIFS(HIS_SALES!$J:$J,HIS_SALES!$D:$D,DASHBOARD!$C$3,HIS_SALES!$E:$E,DASHBOARD!$E$3,HIS_SALES!$F:$F,DASHBOARD!$C33,HIS_SALES!$H:$H,DASHBOARD!L$32)/(SUMIFS(HIS_SALES!$I:$I,HIS_SALES!$D:$D,DASHBOARD!$C$3,HIS_SALES!$E:$E,DASHBOARD!$E$3,HIS_SALES!$F:$F,DASHBOARD!$C33,HIS_SALES!$H:$H,DASHBOARD!L$32)+SUMIFS(HIS_SALES!$J:$J,HIS_SALES!$D:$D,DASHBOARD!$C$3,HIS_SALES!$E:$E,DASHBOARD!$E$3,HIS_SALES!$F:$F,DASHBOARD!$C33,HIS_SALES!$H:$H,DASHBOARD!L$32)),NA())</f>
        <v>0.12214242560050215</v>
      </c>
      <c r="M33" s="437">
        <f ca="1">IFERROR(SUMIFS(HIS_SALES!$J:$J,HIS_SALES!$D:$D,DASHBOARD!$C$3,HIS_SALES!$E:$E,DASHBOARD!$E$3,HIS_SALES!$F:$F,DASHBOARD!$C33,HIS_SALES!$H:$H,DASHBOARD!M$32)/(SUMIFS(HIS_SALES!$I:$I,HIS_SALES!$D:$D,DASHBOARD!$C$3,HIS_SALES!$E:$E,DASHBOARD!$E$3,HIS_SALES!$F:$F,DASHBOARD!$C33,HIS_SALES!$H:$H,DASHBOARD!M$32)+SUMIFS(HIS_SALES!$J:$J,HIS_SALES!$D:$D,DASHBOARD!$C$3,HIS_SALES!$E:$E,DASHBOARD!$E$3,HIS_SALES!$F:$F,DASHBOARD!$C33,HIS_SALES!$H:$H,DASHBOARD!M$32)),NA())</f>
        <v>8.3881335571375767E-2</v>
      </c>
      <c r="N33" s="437">
        <f ca="1">IFERROR(SUMIFS(HIS_SALES!$J:$J,HIS_SALES!$D:$D,DASHBOARD!$C$3,HIS_SALES!$E:$E,DASHBOARD!$E$3,HIS_SALES!$F:$F,DASHBOARD!$C33,HIS_SALES!$H:$H,DASHBOARD!N$32)/(SUMIFS(HIS_SALES!$I:$I,HIS_SALES!$D:$D,DASHBOARD!$C$3,HIS_SALES!$E:$E,DASHBOARD!$E$3,HIS_SALES!$F:$F,DASHBOARD!$C33,HIS_SALES!$H:$H,DASHBOARD!N$32)+SUMIFS(HIS_SALES!$J:$J,HIS_SALES!$D:$D,DASHBOARD!$C$3,HIS_SALES!$E:$E,DASHBOARD!$E$3,HIS_SALES!$F:$F,DASHBOARD!$C33,HIS_SALES!$H:$H,DASHBOARD!N$32)),NA())</f>
        <v>0.17188899497943758</v>
      </c>
      <c r="O33" s="437">
        <v>8.3256641511749191E-2</v>
      </c>
      <c r="P33" s="437">
        <v>0.1271589266486024</v>
      </c>
      <c r="S33" s="419" t="s">
        <v>7</v>
      </c>
      <c r="T33" s="419" t="s">
        <v>56</v>
      </c>
      <c r="U33" s="419" t="s">
        <v>57</v>
      </c>
      <c r="V33" s="419" t="s">
        <v>58</v>
      </c>
      <c r="W33" s="419" t="s">
        <v>59</v>
      </c>
      <c r="AL33" s="436"/>
      <c r="AM33" s="436"/>
      <c r="AN33" s="436"/>
      <c r="AO33" s="436"/>
      <c r="AP33" s="436"/>
    </row>
    <row r="34" spans="1:42" x14ac:dyDescent="0.25">
      <c r="A34" s="420"/>
      <c r="B34" s="435"/>
      <c r="C34" s="427" t="str">
        <f ca="1">C8</f>
        <v>17/18</v>
      </c>
      <c r="D34" s="437">
        <f ca="1">IFERROR(SUMIFS(HIS_SALES!$J:$J,HIS_SALES!$D:$D,DASHBOARD!$C$3,HIS_SALES!$E:$E,DASHBOARD!$E$3,HIS_SALES!$F:$F,DASHBOARD!$C34,HIS_SALES!$H:$H,DASHBOARD!D$32)/(SUMIFS(HIS_SALES!$I:$I,HIS_SALES!$D:$D,DASHBOARD!$C$3,HIS_SALES!$E:$E,DASHBOARD!$E$3,HIS_SALES!$F:$F,DASHBOARD!$C34,HIS_SALES!$H:$H,DASHBOARD!D$32)+SUMIFS(HIS_SALES!$J:$J,HIS_SALES!$D:$D,DASHBOARD!$C$3,HIS_SALES!$E:$E,DASHBOARD!$E$3,HIS_SALES!$F:$F,DASHBOARD!$C34,HIS_SALES!$H:$H,DASHBOARD!D$32)),NA())</f>
        <v>8.7022249360311318E-2</v>
      </c>
      <c r="E34" s="437">
        <f ca="1">IFERROR(SUMIFS(HIS_SALES!$J:$J,HIS_SALES!$D:$D,DASHBOARD!$C$3,HIS_SALES!$E:$E,DASHBOARD!$E$3,HIS_SALES!$F:$F,DASHBOARD!$C34,HIS_SALES!$H:$H,DASHBOARD!E$32)/(SUMIFS(HIS_SALES!$I:$I,HIS_SALES!$D:$D,DASHBOARD!$C$3,HIS_SALES!$E:$E,DASHBOARD!$E$3,HIS_SALES!$F:$F,DASHBOARD!$C34,HIS_SALES!$H:$H,DASHBOARD!E$32)+SUMIFS(HIS_SALES!$J:$J,HIS_SALES!$D:$D,DASHBOARD!$C$3,HIS_SALES!$E:$E,DASHBOARD!$E$3,HIS_SALES!$F:$F,DASHBOARD!$C34,HIS_SALES!$H:$H,DASHBOARD!E$32)),NA())</f>
        <v>4.2686898959571597E-2</v>
      </c>
      <c r="F34" s="437">
        <f ca="1">IFERROR(SUMIFS(HIS_SALES!$J:$J,HIS_SALES!$D:$D,DASHBOARD!$C$3,HIS_SALES!$E:$E,DASHBOARD!$E$3,HIS_SALES!$F:$F,DASHBOARD!$C34,HIS_SALES!$H:$H,DASHBOARD!F$32)/(SUMIFS(HIS_SALES!$I:$I,HIS_SALES!$D:$D,DASHBOARD!$C$3,HIS_SALES!$E:$E,DASHBOARD!$E$3,HIS_SALES!$F:$F,DASHBOARD!$C34,HIS_SALES!$H:$H,DASHBOARD!F$32)+SUMIFS(HIS_SALES!$J:$J,HIS_SALES!$D:$D,DASHBOARD!$C$3,HIS_SALES!$E:$E,DASHBOARD!$E$3,HIS_SALES!$F:$F,DASHBOARD!$C34,HIS_SALES!$H:$H,DASHBOARD!F$32)),NA())</f>
        <v>2.1638650917414674E-2</v>
      </c>
      <c r="G34" s="437">
        <f ca="1">IFERROR(SUMIFS(HIS_SALES!$J:$J,HIS_SALES!$D:$D,DASHBOARD!$C$3,HIS_SALES!$E:$E,DASHBOARD!$E$3,HIS_SALES!$F:$F,DASHBOARD!$C34,HIS_SALES!$H:$H,DASHBOARD!G$32)/(SUMIFS(HIS_SALES!$I:$I,HIS_SALES!$D:$D,DASHBOARD!$C$3,HIS_SALES!$E:$E,DASHBOARD!$E$3,HIS_SALES!$F:$F,DASHBOARD!$C34,HIS_SALES!$H:$H,DASHBOARD!G$32)+SUMIFS(HIS_SALES!$J:$J,HIS_SALES!$D:$D,DASHBOARD!$C$3,HIS_SALES!$E:$E,DASHBOARD!$E$3,HIS_SALES!$F:$F,DASHBOARD!$C34,HIS_SALES!$H:$H,DASHBOARD!G$32)),NA())</f>
        <v>6.5500993280158293E-2</v>
      </c>
      <c r="H34" s="437">
        <f ca="1">IFERROR(SUMIFS(HIS_SALES!$J:$J,HIS_SALES!$D:$D,DASHBOARD!$C$3,HIS_SALES!$E:$E,DASHBOARD!$E$3,HIS_SALES!$F:$F,DASHBOARD!$C34,HIS_SALES!$H:$H,DASHBOARD!H$32)/(SUMIFS(HIS_SALES!$I:$I,HIS_SALES!$D:$D,DASHBOARD!$C$3,HIS_SALES!$E:$E,DASHBOARD!$E$3,HIS_SALES!$F:$F,DASHBOARD!$C34,HIS_SALES!$H:$H,DASHBOARD!H$32)+SUMIFS(HIS_SALES!$J:$J,HIS_SALES!$D:$D,DASHBOARD!$C$3,HIS_SALES!$E:$E,DASHBOARD!$E$3,HIS_SALES!$F:$F,DASHBOARD!$C34,HIS_SALES!$H:$H,DASHBOARD!H$32)),NA())</f>
        <v>8.7757259526730927E-2</v>
      </c>
      <c r="I34" s="437">
        <f ca="1">IFERROR(SUMIFS(HIS_SALES!$J:$J,HIS_SALES!$D:$D,DASHBOARD!$C$3,HIS_SALES!$E:$E,DASHBOARD!$E$3,HIS_SALES!$F:$F,DASHBOARD!$C34,HIS_SALES!$H:$H,DASHBOARD!I$32)/(SUMIFS(HIS_SALES!$I:$I,HIS_SALES!$D:$D,DASHBOARD!$C$3,HIS_SALES!$E:$E,DASHBOARD!$E$3,HIS_SALES!$F:$F,DASHBOARD!$C34,HIS_SALES!$H:$H,DASHBOARD!I$32)+SUMIFS(HIS_SALES!$J:$J,HIS_SALES!$D:$D,DASHBOARD!$C$3,HIS_SALES!$E:$E,DASHBOARD!$E$3,HIS_SALES!$F:$F,DASHBOARD!$C34,HIS_SALES!$H:$H,DASHBOARD!I$32)),NA())</f>
        <v>0.15035269945181004</v>
      </c>
      <c r="J34" s="437">
        <f ca="1">IFERROR(SUMIFS(HIS_SALES!$J:$J,HIS_SALES!$D:$D,DASHBOARD!$C$3,HIS_SALES!$E:$E,DASHBOARD!$E$3,HIS_SALES!$F:$F,DASHBOARD!$C34,HIS_SALES!$H:$H,DASHBOARD!J$32)/(SUMIFS(HIS_SALES!$I:$I,HIS_SALES!$D:$D,DASHBOARD!$C$3,HIS_SALES!$E:$E,DASHBOARD!$E$3,HIS_SALES!$F:$F,DASHBOARD!$C34,HIS_SALES!$H:$H,DASHBOARD!J$32)+SUMIFS(HIS_SALES!$J:$J,HIS_SALES!$D:$D,DASHBOARD!$C$3,HIS_SALES!$E:$E,DASHBOARD!$E$3,HIS_SALES!$F:$F,DASHBOARD!$C34,HIS_SALES!$H:$H,DASHBOARD!J$32)),NA())</f>
        <v>0.12342341023282401</v>
      </c>
      <c r="K34" s="437">
        <f ca="1">IFERROR(SUMIFS(HIS_SALES!$J:$J,HIS_SALES!$D:$D,DASHBOARD!$C$3,HIS_SALES!$E:$E,DASHBOARD!$E$3,HIS_SALES!$F:$F,DASHBOARD!$C34,HIS_SALES!$H:$H,DASHBOARD!K$32)/(SUMIFS(HIS_SALES!$I:$I,HIS_SALES!$D:$D,DASHBOARD!$C$3,HIS_SALES!$E:$E,DASHBOARD!$E$3,HIS_SALES!$F:$F,DASHBOARD!$C34,HIS_SALES!$H:$H,DASHBOARD!K$32)+SUMIFS(HIS_SALES!$J:$J,HIS_SALES!$D:$D,DASHBOARD!$C$3,HIS_SALES!$E:$E,DASHBOARD!$E$3,HIS_SALES!$F:$F,DASHBOARD!$C34,HIS_SALES!$H:$H,DASHBOARD!K$32)),NA())</f>
        <v>4.7423827857158346E-2</v>
      </c>
      <c r="L34" s="437">
        <f ca="1">IFERROR(SUMIFS(HIS_SALES!$J:$J,HIS_SALES!$D:$D,DASHBOARD!$C$3,HIS_SALES!$E:$E,DASHBOARD!$E$3,HIS_SALES!$F:$F,DASHBOARD!$C34,HIS_SALES!$H:$H,DASHBOARD!L$32)/(SUMIFS(HIS_SALES!$I:$I,HIS_SALES!$D:$D,DASHBOARD!$C$3,HIS_SALES!$E:$E,DASHBOARD!$E$3,HIS_SALES!$F:$F,DASHBOARD!$C34,HIS_SALES!$H:$H,DASHBOARD!L$32)+SUMIFS(HIS_SALES!$J:$J,HIS_SALES!$D:$D,DASHBOARD!$C$3,HIS_SALES!$E:$E,DASHBOARD!$E$3,HIS_SALES!$F:$F,DASHBOARD!$C34,HIS_SALES!$H:$H,DASHBOARD!L$32)),NA())</f>
        <v>0.10530266938054259</v>
      </c>
      <c r="M34" s="437">
        <f ca="1">IFERROR(SUMIFS(HIS_SALES!$J:$J,HIS_SALES!$D:$D,DASHBOARD!$C$3,HIS_SALES!$E:$E,DASHBOARD!$E$3,HIS_SALES!$F:$F,DASHBOARD!$C34,HIS_SALES!$H:$H,DASHBOARD!M$32)/(SUMIFS(HIS_SALES!$I:$I,HIS_SALES!$D:$D,DASHBOARD!$C$3,HIS_SALES!$E:$E,DASHBOARD!$E$3,HIS_SALES!$F:$F,DASHBOARD!$C34,HIS_SALES!$H:$H,DASHBOARD!M$32)+SUMIFS(HIS_SALES!$J:$J,HIS_SALES!$D:$D,DASHBOARD!$C$3,HIS_SALES!$E:$E,DASHBOARD!$E$3,HIS_SALES!$F:$F,DASHBOARD!$C34,HIS_SALES!$H:$H,DASHBOARD!M$32)),NA())</f>
        <v>8.4986409131810672E-2</v>
      </c>
      <c r="N34" s="437">
        <f ca="1">IFERROR(SUMIFS(HIS_SALES!$J:$J,HIS_SALES!$D:$D,DASHBOARD!$C$3,HIS_SALES!$E:$E,DASHBOARD!$E$3,HIS_SALES!$F:$F,DASHBOARD!$C34,HIS_SALES!$H:$H,DASHBOARD!N$32)/(SUMIFS(HIS_SALES!$I:$I,HIS_SALES!$D:$D,DASHBOARD!$C$3,HIS_SALES!$E:$E,DASHBOARD!$E$3,HIS_SALES!$F:$F,DASHBOARD!$C34,HIS_SALES!$H:$H,DASHBOARD!N$32)+SUMIFS(HIS_SALES!$J:$J,HIS_SALES!$D:$D,DASHBOARD!$C$3,HIS_SALES!$E:$E,DASHBOARD!$E$3,HIS_SALES!$F:$F,DASHBOARD!$C34,HIS_SALES!$H:$H,DASHBOARD!N$32)),NA())</f>
        <v>0.23372622327701531</v>
      </c>
      <c r="O34" s="437">
        <v>9.5555879603022795E-2</v>
      </c>
      <c r="P34" s="437">
        <v>6.3828376249276633E-2</v>
      </c>
      <c r="S34" s="419" t="str">
        <f ca="1">C7</f>
        <v>16/17</v>
      </c>
      <c r="T34" s="419">
        <f ca="1">IF(ISNA(VLOOKUP(_xlfn.CONCAT($S7,T$6),TIME!$L$27:$L$31,1,FALSE)),SUMIFS(HIS_SALES!$J:$J,HIS_SALES!$C:$C,$B$3,HIS_SALES!$D:$D,$C$3,HIS_SALES!$E:$E,$E$3,HIS_SALES!$F:$F,$S34,HIS_SALES!$G:$G,T$33)/(SUMIFS(HIS_SALES!$J:$J,HIS_SALES!$C:$C,$B$3,HIS_SALES!$D:$D,$C$3,HIS_SALES!$E:$E,$E$3,HIS_SALES!$F:$F,$S34,HIS_SALES!$G:$G,T$33)+SUMIFS(HIS_SALES!$I:$I,HIS_SALES!$C:$C,$B$3,HIS_SALES!$D:$D,$C$3,HIS_SALES!$E:$E,$E$3,HIS_SALES!$F:$F,$S34,HIS_SALES!$G:$G,T$33)),NA())</f>
        <v>4.734134831465614E-2</v>
      </c>
      <c r="U34" s="419">
        <f ca="1">IF(ISNA(VLOOKUP(_xlfn.CONCAT($S7,U$6),TIME!$L$27:$L$31,1,FALSE)),SUMIFS(HIS_SALES!$J:$J,HIS_SALES!$C:$C,$B$3,HIS_SALES!$D:$D,$C$3,HIS_SALES!$E:$E,$E$3,HIS_SALES!$F:$F,$S34,HIS_SALES!$G:$G,U$33)/(SUMIFS(HIS_SALES!$J:$J,HIS_SALES!$C:$C,$B$3,HIS_SALES!$D:$D,$C$3,HIS_SALES!$E:$E,$E$3,HIS_SALES!$F:$F,$S34,HIS_SALES!$G:$G,U$33)+SUMIFS(HIS_SALES!$I:$I,HIS_SALES!$C:$C,$B$3,HIS_SALES!$D:$D,$C$3,HIS_SALES!$E:$E,$E$3,HIS_SALES!$F:$F,$S34,HIS_SALES!$G:$G,U$33)),NA())</f>
        <v>0.10914795543120846</v>
      </c>
      <c r="V34" s="419">
        <f ca="1">IF(ISNA(VLOOKUP(_xlfn.CONCAT($S7,V$6),TIME!$L$27:$L$31,1,FALSE)),SUMIFS(HIS_SALES!$J:$J,HIS_SALES!$C:$C,$B$3,HIS_SALES!$D:$D,$C$3,HIS_SALES!$E:$E,$E$3,HIS_SALES!$F:$F,$S34,HIS_SALES!$G:$G,V$33)/(SUMIFS(HIS_SALES!$J:$J,HIS_SALES!$C:$C,$B$3,HIS_SALES!$D:$D,$C$3,HIS_SALES!$E:$E,$E$3,HIS_SALES!$F:$F,$S34,HIS_SALES!$G:$G,V$33)+SUMIFS(HIS_SALES!$I:$I,HIS_SALES!$C:$C,$B$3,HIS_SALES!$D:$D,$C$3,HIS_SALES!$E:$E,$E$3,HIS_SALES!$F:$F,$S34,HIS_SALES!$G:$G,V$33)),NA())</f>
        <v>9.5232524672861016E-2</v>
      </c>
      <c r="W34" s="419">
        <f ca="1">IF(ISNA(VLOOKUP(_xlfn.CONCAT($S7,W$6),TIME!$L$27:$L$31,1,FALSE)),SUMIFS(HIS_SALES!$J:$J,HIS_SALES!$C:$C,$B$3,HIS_SALES!$D:$D,$C$3,HIS_SALES!$E:$E,$E$3,HIS_SALES!$F:$F,$S34,HIS_SALES!$G:$G,W$33)/(SUMIFS(HIS_SALES!$J:$J,HIS_SALES!$C:$C,$B$3,HIS_SALES!$D:$D,$C$3,HIS_SALES!$E:$E,$E$3,HIS_SALES!$F:$F,$S34,HIS_SALES!$G:$G,W$33)+SUMIFS(HIS_SALES!$I:$I,HIS_SALES!$C:$C,$B$3,HIS_SALES!$D:$D,$C$3,HIS_SALES!$E:$E,$E$3,HIS_SALES!$F:$F,$S34,HIS_SALES!$G:$G,W$33)),NA())</f>
        <v>0.13517945994359842</v>
      </c>
      <c r="AL34" s="436"/>
      <c r="AM34" s="436"/>
      <c r="AN34" s="436"/>
      <c r="AO34" s="436"/>
      <c r="AP34" s="436"/>
    </row>
    <row r="35" spans="1:42" ht="15.75" thickBot="1" x14ac:dyDescent="0.3">
      <c r="A35" s="420"/>
      <c r="C35" s="427" t="str">
        <f ca="1">C9</f>
        <v>18/19</v>
      </c>
      <c r="D35" s="437">
        <f ca="1">IFERROR(SUMIFS(HIS_SALES!$J:$J,HIS_SALES!$D:$D,DASHBOARD!$C$3,HIS_SALES!$E:$E,DASHBOARD!$E$3,HIS_SALES!$F:$F,DASHBOARD!$C35,HIS_SALES!$H:$H,DASHBOARD!D$32)/(SUMIFS(HIS_SALES!$I:$I,HIS_SALES!$D:$D,DASHBOARD!$C$3,HIS_SALES!$E:$E,DASHBOARD!$E$3,HIS_SALES!$F:$F,DASHBOARD!$C35,HIS_SALES!$H:$H,DASHBOARD!D$32)+SUMIFS(HIS_SALES!$J:$J,HIS_SALES!$D:$D,DASHBOARD!$C$3,HIS_SALES!$E:$E,DASHBOARD!$E$3,HIS_SALES!$F:$F,DASHBOARD!$C35,HIS_SALES!$H:$H,DASHBOARD!D$32)),NA())</f>
        <v>0.1053489710879055</v>
      </c>
      <c r="E35" s="437">
        <f ca="1">IFERROR(SUMIFS(HIS_SALES!$J:$J,HIS_SALES!$D:$D,DASHBOARD!$C$3,HIS_SALES!$E:$E,DASHBOARD!$E$3,HIS_SALES!$F:$F,DASHBOARD!$C35,HIS_SALES!$H:$H,DASHBOARD!E$32)/(SUMIFS(HIS_SALES!$I:$I,HIS_SALES!$D:$D,DASHBOARD!$C$3,HIS_SALES!$E:$E,DASHBOARD!$E$3,HIS_SALES!$F:$F,DASHBOARD!$C35,HIS_SALES!$H:$H,DASHBOARD!E$32)+SUMIFS(HIS_SALES!$J:$J,HIS_SALES!$D:$D,DASHBOARD!$C$3,HIS_SALES!$E:$E,DASHBOARD!$E$3,HIS_SALES!$F:$F,DASHBOARD!$C35,HIS_SALES!$H:$H,DASHBOARD!E$32)),NA())</f>
        <v>5.9037645602780797E-2</v>
      </c>
      <c r="F35" s="437">
        <f ca="1">IFERROR(SUMIFS(HIS_SALES!$J:$J,HIS_SALES!$D:$D,DASHBOARD!$C$3,HIS_SALES!$E:$E,DASHBOARD!$E$3,HIS_SALES!$F:$F,DASHBOARD!$C35,HIS_SALES!$H:$H,DASHBOARD!F$32)/(SUMIFS(HIS_SALES!$I:$I,HIS_SALES!$D:$D,DASHBOARD!$C$3,HIS_SALES!$E:$E,DASHBOARD!$E$3,HIS_SALES!$F:$F,DASHBOARD!$C35,HIS_SALES!$H:$H,DASHBOARD!F$32)+SUMIFS(HIS_SALES!$J:$J,HIS_SALES!$D:$D,DASHBOARD!$C$3,HIS_SALES!$E:$E,DASHBOARD!$E$3,HIS_SALES!$F:$F,DASHBOARD!$C35,HIS_SALES!$H:$H,DASHBOARD!F$32)),NA())</f>
        <v>3.6114234819226758E-2</v>
      </c>
      <c r="G35" s="437">
        <f ca="1">IFERROR(SUMIFS(HIS_SALES!$J:$J,HIS_SALES!$D:$D,DASHBOARD!$C$3,HIS_SALES!$E:$E,DASHBOARD!$E$3,HIS_SALES!$F:$F,DASHBOARD!$C35,HIS_SALES!$H:$H,DASHBOARD!G$32)/(SUMIFS(HIS_SALES!$I:$I,HIS_SALES!$D:$D,DASHBOARD!$C$3,HIS_SALES!$E:$E,DASHBOARD!$E$3,HIS_SALES!$F:$F,DASHBOARD!$C35,HIS_SALES!$H:$H,DASHBOARD!G$32)+SUMIFS(HIS_SALES!$J:$J,HIS_SALES!$D:$D,DASHBOARD!$C$3,HIS_SALES!$E:$E,DASHBOARD!$E$3,HIS_SALES!$F:$F,DASHBOARD!$C35,HIS_SALES!$H:$H,DASHBOARD!G$32)),NA())</f>
        <v>8.0106717167663433E-2</v>
      </c>
      <c r="H35" s="437" t="e">
        <f ca="1">IFERROR(SUMIFS(HIS_SALES!$J:$J,HIS_SALES!$D:$D,DASHBOARD!$C$3,HIS_SALES!$E:$E,DASHBOARD!$E$3,HIS_SALES!$F:$F,DASHBOARD!$C35,HIS_SALES!$H:$H,DASHBOARD!H$32)/(SUMIFS(HIS_SALES!$I:$I,HIS_SALES!$D:$D,DASHBOARD!$C$3,HIS_SALES!$E:$E,DASHBOARD!$E$3,HIS_SALES!$F:$F,DASHBOARD!$C35,HIS_SALES!$H:$H,DASHBOARD!H$32)+SUMIFS(HIS_SALES!$J:$J,HIS_SALES!$D:$D,DASHBOARD!$C$3,HIS_SALES!$E:$E,DASHBOARD!$E$3,HIS_SALES!$F:$F,DASHBOARD!$C35,HIS_SALES!$H:$H,DASHBOARD!H$32)),NA())</f>
        <v>#N/A</v>
      </c>
      <c r="I35" s="437" t="e">
        <f ca="1">IFERROR(SUMIFS(HIS_SALES!$J:$J,HIS_SALES!$D:$D,DASHBOARD!$C$3,HIS_SALES!$E:$E,DASHBOARD!$E$3,HIS_SALES!$F:$F,DASHBOARD!$C35,HIS_SALES!$H:$H,DASHBOARD!I$32)/(SUMIFS(HIS_SALES!$I:$I,HIS_SALES!$D:$D,DASHBOARD!$C$3,HIS_SALES!$E:$E,DASHBOARD!$E$3,HIS_SALES!$F:$F,DASHBOARD!$C35,HIS_SALES!$H:$H,DASHBOARD!I$32)+SUMIFS(HIS_SALES!$J:$J,HIS_SALES!$D:$D,DASHBOARD!$C$3,HIS_SALES!$E:$E,DASHBOARD!$E$3,HIS_SALES!$F:$F,DASHBOARD!$C35,HIS_SALES!$H:$H,DASHBOARD!I$32)),NA())</f>
        <v>#N/A</v>
      </c>
      <c r="J35" s="437" t="e">
        <f ca="1">IFERROR(SUMIFS(HIS_SALES!$J:$J,HIS_SALES!$D:$D,DASHBOARD!$C$3,HIS_SALES!$E:$E,DASHBOARD!$E$3,HIS_SALES!$F:$F,DASHBOARD!$C35,HIS_SALES!$H:$H,DASHBOARD!J$32)/(SUMIFS(HIS_SALES!$I:$I,HIS_SALES!$D:$D,DASHBOARD!$C$3,HIS_SALES!$E:$E,DASHBOARD!$E$3,HIS_SALES!$F:$F,DASHBOARD!$C35,HIS_SALES!$H:$H,DASHBOARD!J$32)+SUMIFS(HIS_SALES!$J:$J,HIS_SALES!$D:$D,DASHBOARD!$C$3,HIS_SALES!$E:$E,DASHBOARD!$E$3,HIS_SALES!$F:$F,DASHBOARD!$C35,HIS_SALES!$H:$H,DASHBOARD!J$32)),NA())</f>
        <v>#N/A</v>
      </c>
      <c r="K35" s="437" t="e">
        <f ca="1">IFERROR(SUMIFS(HIS_SALES!$J:$J,HIS_SALES!$D:$D,DASHBOARD!$C$3,HIS_SALES!$E:$E,DASHBOARD!$E$3,HIS_SALES!$F:$F,DASHBOARD!$C35,HIS_SALES!$H:$H,DASHBOARD!K$32)/(SUMIFS(HIS_SALES!$I:$I,HIS_SALES!$D:$D,DASHBOARD!$C$3,HIS_SALES!$E:$E,DASHBOARD!$E$3,HIS_SALES!$F:$F,DASHBOARD!$C35,HIS_SALES!$H:$H,DASHBOARD!K$32)+SUMIFS(HIS_SALES!$J:$J,HIS_SALES!$D:$D,DASHBOARD!$C$3,HIS_SALES!$E:$E,DASHBOARD!$E$3,HIS_SALES!$F:$F,DASHBOARD!$C35,HIS_SALES!$H:$H,DASHBOARD!K$32)),NA())</f>
        <v>#N/A</v>
      </c>
      <c r="L35" s="437" t="e">
        <f ca="1">IFERROR(SUMIFS(HIS_SALES!$J:$J,HIS_SALES!$D:$D,DASHBOARD!$C$3,HIS_SALES!$E:$E,DASHBOARD!$E$3,HIS_SALES!$F:$F,DASHBOARD!$C35,HIS_SALES!$H:$H,DASHBOARD!L$32)/(SUMIFS(HIS_SALES!$I:$I,HIS_SALES!$D:$D,DASHBOARD!$C$3,HIS_SALES!$E:$E,DASHBOARD!$E$3,HIS_SALES!$F:$F,DASHBOARD!$C35,HIS_SALES!$H:$H,DASHBOARD!L$32)+SUMIFS(HIS_SALES!$J:$J,HIS_SALES!$D:$D,DASHBOARD!$C$3,HIS_SALES!$E:$E,DASHBOARD!$E$3,HIS_SALES!$F:$F,DASHBOARD!$C35,HIS_SALES!$H:$H,DASHBOARD!L$32)),NA())</f>
        <v>#N/A</v>
      </c>
      <c r="M35" s="437" t="e">
        <f ca="1">IFERROR(SUMIFS(HIS_SALES!$J:$J,HIS_SALES!$D:$D,DASHBOARD!$C$3,HIS_SALES!$E:$E,DASHBOARD!$E$3,HIS_SALES!$F:$F,DASHBOARD!$C35,HIS_SALES!$H:$H,DASHBOARD!M$32)/(SUMIFS(HIS_SALES!$I:$I,HIS_SALES!$D:$D,DASHBOARD!$C$3,HIS_SALES!$E:$E,DASHBOARD!$E$3,HIS_SALES!$F:$F,DASHBOARD!$C35,HIS_SALES!$H:$H,DASHBOARD!M$32)+SUMIFS(HIS_SALES!$J:$J,HIS_SALES!$D:$D,DASHBOARD!$C$3,HIS_SALES!$E:$E,DASHBOARD!$E$3,HIS_SALES!$F:$F,DASHBOARD!$C35,HIS_SALES!$H:$H,DASHBOARD!M$32)),NA())</f>
        <v>#N/A</v>
      </c>
      <c r="N35" s="437" t="e">
        <f ca="1">IFERROR(SUMIFS(HIS_SALES!$J:$J,HIS_SALES!$D:$D,DASHBOARD!$C$3,HIS_SALES!$E:$E,DASHBOARD!$E$3,HIS_SALES!$F:$F,DASHBOARD!$C35,HIS_SALES!$H:$H,DASHBOARD!N$32)/(SUMIFS(HIS_SALES!$I:$I,HIS_SALES!$D:$D,DASHBOARD!$C$3,HIS_SALES!$E:$E,DASHBOARD!$E$3,HIS_SALES!$F:$F,DASHBOARD!$C35,HIS_SALES!$H:$H,DASHBOARD!N$32)+SUMIFS(HIS_SALES!$J:$J,HIS_SALES!$D:$D,DASHBOARD!$C$3,HIS_SALES!$E:$E,DASHBOARD!$E$3,HIS_SALES!$F:$F,DASHBOARD!$C35,HIS_SALES!$H:$H,DASHBOARD!N$32)),NA())</f>
        <v>#N/A</v>
      </c>
      <c r="O35" s="437" t="e">
        <v>#N/A</v>
      </c>
      <c r="P35" s="437">
        <v>7.7440188153025252E-2</v>
      </c>
      <c r="S35" s="419" t="str">
        <f t="shared" ref="S35:S36" ca="1" si="9">C8</f>
        <v>17/18</v>
      </c>
      <c r="T35" s="419">
        <f ca="1">IF(ISNA(VLOOKUP(_xlfn.CONCAT($S8,T$6),TIME!$L$27:$L$31,1,FALSE)),SUMIFS(HIS_SALES!$J:$J,HIS_SALES!$C:$C,$B$3,HIS_SALES!$D:$D,$C$3,HIS_SALES!$E:$E,$E$3,HIS_SALES!$F:$F,$S35,HIS_SALES!$G:$G,T$33)/(SUMIFS(HIS_SALES!$J:$J,HIS_SALES!$C:$C,$B$3,HIS_SALES!$D:$D,$C$3,HIS_SALES!$E:$E,$E$3,HIS_SALES!$F:$F,$S35,HIS_SALES!$G:$G,T$33)+SUMIFS(HIS_SALES!$I:$I,HIS_SALES!$C:$C,$B$3,HIS_SALES!$D:$D,$C$3,HIS_SALES!$E:$E,$E$3,HIS_SALES!$F:$F,$S35,HIS_SALES!$G:$G,T$33)),NA())</f>
        <v>3.9161337233355964E-2</v>
      </c>
      <c r="U35" s="419">
        <f ca="1">IF(ISNA(VLOOKUP(_xlfn.CONCAT($S8,U$6),TIME!$L$27:$L$31,1,FALSE)),SUMIFS(HIS_SALES!$J:$J,HIS_SALES!$C:$C,$B$3,HIS_SALES!$D:$D,$C$3,HIS_SALES!$E:$E,$E$3,HIS_SALES!$F:$F,$S35,HIS_SALES!$G:$G,U$33)/(SUMIFS(HIS_SALES!$J:$J,HIS_SALES!$C:$C,$B$3,HIS_SALES!$D:$D,$C$3,HIS_SALES!$E:$E,$E$3,HIS_SALES!$F:$F,$S35,HIS_SALES!$G:$G,U$33)+SUMIFS(HIS_SALES!$I:$I,HIS_SALES!$C:$C,$B$3,HIS_SALES!$D:$D,$C$3,HIS_SALES!$E:$E,$E$3,HIS_SALES!$F:$F,$S35,HIS_SALES!$G:$G,U$33)),NA())</f>
        <v>9.115077159947732E-2</v>
      </c>
      <c r="V35" s="419">
        <f ca="1">IF(ISNA(VLOOKUP(_xlfn.CONCAT($S8,V$6),TIME!$L$27:$L$31,1,FALSE)),SUMIFS(HIS_SALES!$J:$J,HIS_SALES!$C:$C,$B$3,HIS_SALES!$D:$D,$C$3,HIS_SALES!$E:$E,$E$3,HIS_SALES!$F:$F,$S35,HIS_SALES!$G:$G,V$33)/(SUMIFS(HIS_SALES!$J:$J,HIS_SALES!$C:$C,$B$3,HIS_SALES!$D:$D,$C$3,HIS_SALES!$E:$E,$E$3,HIS_SALES!$F:$F,$S35,HIS_SALES!$G:$G,V$33)+SUMIFS(HIS_SALES!$I:$I,HIS_SALES!$C:$C,$B$3,HIS_SALES!$D:$D,$C$3,HIS_SALES!$E:$E,$E$3,HIS_SALES!$F:$F,$S35,HIS_SALES!$G:$G,V$33)),NA())</f>
        <v>9.1266488255171863E-2</v>
      </c>
      <c r="W35" s="419">
        <f ca="1">IF(ISNA(VLOOKUP(_xlfn.CONCAT($S8,W$6),TIME!$L$27:$L$31,1,FALSE)),SUMIFS(HIS_SALES!$J:$J,HIS_SALES!$C:$C,$B$3,HIS_SALES!$D:$D,$C$3,HIS_SALES!$E:$E,$E$3,HIS_SALES!$F:$F,$S35,HIS_SALES!$G:$G,W$33)/(SUMIFS(HIS_SALES!$J:$J,HIS_SALES!$C:$C,$B$3,HIS_SALES!$D:$D,$C$3,HIS_SALES!$E:$E,$E$3,HIS_SALES!$F:$F,$S35,HIS_SALES!$G:$G,W$33)+SUMIFS(HIS_SALES!$I:$I,HIS_SALES!$C:$C,$B$3,HIS_SALES!$D:$D,$C$3,HIS_SALES!$E:$E,$E$3,HIS_SALES!$F:$F,$S35,HIS_SALES!$G:$G,W$33)),NA())</f>
        <v>0.19354173648707562</v>
      </c>
      <c r="AL35" s="436"/>
      <c r="AM35" s="436"/>
      <c r="AN35" s="436"/>
      <c r="AO35" s="436"/>
      <c r="AP35" s="436"/>
    </row>
    <row r="36" spans="1:42" ht="16.5" thickTop="1" thickBot="1" x14ac:dyDescent="0.3">
      <c r="A36" s="420"/>
      <c r="B36" s="435"/>
      <c r="C36" s="934" t="s">
        <v>194</v>
      </c>
      <c r="D36" s="934"/>
      <c r="E36" s="934"/>
      <c r="F36" s="934"/>
      <c r="G36" s="934"/>
      <c r="H36" s="934"/>
      <c r="I36" s="934"/>
      <c r="J36" s="934"/>
      <c r="K36" s="934"/>
      <c r="L36" s="934"/>
      <c r="M36" s="934"/>
      <c r="N36" s="934"/>
      <c r="O36" s="934"/>
      <c r="P36" s="934"/>
      <c r="S36" s="419" t="str">
        <f t="shared" ca="1" si="9"/>
        <v>18/19</v>
      </c>
      <c r="T36" s="420">
        <f ca="1">IF(ISNA(VLOOKUP(_xlfn.CONCAT($S9,T$6),TIME!$L$27:$L$31,1,FALSE)),SUMIFS(HIS_SALES!$J:$J,HIS_SALES!$C:$C,$B$3,HIS_SALES!$D:$D,$C$3,HIS_SALES!$E:$E,$E$3,HIS_SALES!$F:$F,$S36,HIS_SALES!$G:$G,T$33)/(SUMIFS(HIS_SALES!$J:$J,HIS_SALES!$C:$C,$B$3,HIS_SALES!$D:$D,$C$3,HIS_SALES!$E:$E,$E$3,HIS_SALES!$F:$F,$S36,HIS_SALES!$G:$G,T$33)+SUMIFS(HIS_SALES!$I:$I,HIS_SALES!$C:$C,$B$3,HIS_SALES!$D:$D,$C$3,HIS_SALES!$E:$E,$E$3,HIS_SALES!$F:$F,$S36,HIS_SALES!$G:$G,T$33)),NA())</f>
        <v>5.6426535257501673E-2</v>
      </c>
      <c r="U36" s="420">
        <f ca="1">IF(ISNA(VLOOKUP(_xlfn.CONCAT($S9,U$6),TIME!$L$27:$L$31,1,FALSE)),SUMIFS(HIS_SALES!$J:$J,HIS_SALES!$C:$C,$B$3,HIS_SALES!$D:$D,$C$3,HIS_SALES!$E:$E,$E$3,HIS_SALES!$F:$F,$S36,HIS_SALES!$G:$G,U$33)/(SUMIFS(HIS_SALES!$J:$J,HIS_SALES!$C:$C,$B$3,HIS_SALES!$D:$D,$C$3,HIS_SALES!$E:$E,$E$3,HIS_SALES!$F:$F,$S36,HIS_SALES!$G:$G,U$33)+SUMIFS(HIS_SALES!$I:$I,HIS_SALES!$C:$C,$B$3,HIS_SALES!$D:$D,$C$3,HIS_SALES!$E:$E,$E$3,HIS_SALES!$F:$F,$S36,HIS_SALES!$G:$G,U$33)),NA())</f>
        <v>8.0106717167663433E-2</v>
      </c>
      <c r="V36" s="420" t="e">
        <f ca="1">IF(ISNA(VLOOKUP(_xlfn.CONCAT($S9,V$6),TIME!$L$27:$L$31,1,FALSE)),SUMIFS(HIS_SALES!$J:$J,HIS_SALES!$C:$C,$B$3,HIS_SALES!$D:$D,$C$3,HIS_SALES!$E:$E,$E$3,HIS_SALES!$F:$F,$S36,HIS_SALES!$G:$G,V$33)/(SUMIFS(HIS_SALES!$J:$J,HIS_SALES!$C:$C,$B$3,HIS_SALES!$D:$D,$C$3,HIS_SALES!$E:$E,$E$3,HIS_SALES!$F:$F,$S36,HIS_SALES!$G:$G,V$33)+SUMIFS(HIS_SALES!$I:$I,HIS_SALES!$C:$C,$B$3,HIS_SALES!$D:$D,$C$3,HIS_SALES!$E:$E,$E$3,HIS_SALES!$F:$F,$S36,HIS_SALES!$G:$G,V$33)),NA())</f>
        <v>#N/A</v>
      </c>
      <c r="W36" s="420" t="e">
        <f ca="1">IF(ISNA(VLOOKUP(_xlfn.CONCAT($S9,W$6),TIME!$L$27:$L$31,1,FALSE)),SUMIFS(HIS_SALES!$J:$J,HIS_SALES!$C:$C,$B$3,HIS_SALES!$D:$D,$C$3,HIS_SALES!$E:$E,$E$3,HIS_SALES!$F:$F,$S36,HIS_SALES!$G:$G,W$33)/(SUMIFS(HIS_SALES!$J:$J,HIS_SALES!$C:$C,$B$3,HIS_SALES!$D:$D,$C$3,HIS_SALES!$E:$E,$E$3,HIS_SALES!$F:$F,$S36,HIS_SALES!$G:$G,W$33)+SUMIFS(HIS_SALES!$I:$I,HIS_SALES!$C:$C,$B$3,HIS_SALES!$D:$D,$C$3,HIS_SALES!$E:$E,$E$3,HIS_SALES!$F:$F,$S36,HIS_SALES!$G:$G,W$33)),NA())</f>
        <v>#N/A</v>
      </c>
      <c r="AL36" s="436"/>
      <c r="AM36" s="436"/>
      <c r="AN36" s="436"/>
      <c r="AO36" s="436"/>
      <c r="AP36" s="436"/>
    </row>
    <row r="37" spans="1:42" x14ac:dyDescent="0.25">
      <c r="A37" s="420"/>
      <c r="B37" s="429" t="str">
        <f ca="1">B11</f>
        <v>18/19</v>
      </c>
      <c r="C37" s="419" t="str">
        <f ca="1">B37&amp;" FC"</f>
        <v>18/19 FC</v>
      </c>
      <c r="D37" s="470" t="e">
        <f ca="1">IF(ISNA(D35),SUMIFS(FC_DATA!$P:$P,FC_DATA!$V:$V,DASHBOARD!$C$3,FC_DATA!$W:$W,DASHBOARD!$E$3,FC_DATA!$X:$X,DASHBOARD!$B11,FC_DATA!$Z:$Z,DASHBOARD!D$32)/SUMIFS(FC_DATA!$AB:$AB,FC_DATA!$V:$V,DASHBOARD!$C$3,FC_DATA!$W:$W,DASHBOARD!$E$3,FC_DATA!$X:$X,DASHBOARD!$B11,FC_DATA!$Z:$Z,DASHBOARD!D$32),NA())</f>
        <v>#N/A</v>
      </c>
      <c r="E37" s="437" t="e">
        <f ca="1">IF(ISNA(E35),SUMIFS(FC_DATA!$P:$P,FC_DATA!$V:$V,DASHBOARD!$C$3,FC_DATA!$W:$W,DASHBOARD!$E$3,FC_DATA!$X:$X,DASHBOARD!$B11,FC_DATA!$Z:$Z,DASHBOARD!E$32)/SUMIFS(FC_DATA!$AB:$AB,FC_DATA!$V:$V,DASHBOARD!$C$3,FC_DATA!$W:$W,DASHBOARD!$E$3,FC_DATA!$X:$X,DASHBOARD!$B11,FC_DATA!$Z:$Z,DASHBOARD!E$32),NA())</f>
        <v>#N/A</v>
      </c>
      <c r="F37" s="437" t="e">
        <f ca="1">IF(ISNA(F35),SUMIFS(FC_DATA!$P:$P,FC_DATA!$V:$V,DASHBOARD!$C$3,FC_DATA!$W:$W,DASHBOARD!$E$3,FC_DATA!$X:$X,DASHBOARD!$B11,FC_DATA!$Z:$Z,DASHBOARD!F$32)/SUMIFS(FC_DATA!$AB:$AB,FC_DATA!$V:$V,DASHBOARD!$C$3,FC_DATA!$W:$W,DASHBOARD!$E$3,FC_DATA!$X:$X,DASHBOARD!$B11,FC_DATA!$Z:$Z,DASHBOARD!F$32),NA())</f>
        <v>#N/A</v>
      </c>
      <c r="G37" s="437" t="e">
        <f ca="1">IF(ISNA(G35),SUMIFS(FC_DATA!$P:$P,FC_DATA!$V:$V,DASHBOARD!$C$3,FC_DATA!$W:$W,DASHBOARD!$E$3,FC_DATA!$X:$X,DASHBOARD!$B11,FC_DATA!$Z:$Z,DASHBOARD!G$32)/SUMIFS(FC_DATA!$AB:$AB,FC_DATA!$V:$V,DASHBOARD!$C$3,FC_DATA!$W:$W,DASHBOARD!$E$3,FC_DATA!$X:$X,DASHBOARD!$B11,FC_DATA!$Z:$Z,DASHBOARD!G$32),NA())</f>
        <v>#N/A</v>
      </c>
      <c r="H37" s="437" t="e">
        <f ca="1">IF(ISNA(H35),SUMIFS(FC_DATA!$P:$P,FC_DATA!$V:$V,DASHBOARD!$C$3,FC_DATA!$W:$W,DASHBOARD!$E$3,FC_DATA!$X:$X,DASHBOARD!$B11,FC_DATA!$Z:$Z,DASHBOARD!H$32)/SUMIFS(FC_DATA!$AB:$AB,FC_DATA!$V:$V,DASHBOARD!$C$3,FC_DATA!$W:$W,DASHBOARD!$E$3,FC_DATA!$X:$X,DASHBOARD!$B11,FC_DATA!$Z:$Z,DASHBOARD!H$32),NA())</f>
        <v>#DIV/0!</v>
      </c>
      <c r="I37" s="437" t="e">
        <f ca="1">IF(ISNA(I35),SUMIFS(FC_DATA!$P:$P,FC_DATA!$V:$V,DASHBOARD!$C$3,FC_DATA!$W:$W,DASHBOARD!$E$3,FC_DATA!$X:$X,DASHBOARD!$B11,FC_DATA!$Z:$Z,DASHBOARD!I$32)/SUMIFS(FC_DATA!$AB:$AB,FC_DATA!$V:$V,DASHBOARD!$C$3,FC_DATA!$W:$W,DASHBOARD!$E$3,FC_DATA!$X:$X,DASHBOARD!$B11,FC_DATA!$Z:$Z,DASHBOARD!I$32),NA())</f>
        <v>#DIV/0!</v>
      </c>
      <c r="J37" s="437" t="e">
        <f ca="1">IF(ISNA(J35),SUMIFS(FC_DATA!$P:$P,FC_DATA!$V:$V,DASHBOARD!$C$3,FC_DATA!$W:$W,DASHBOARD!$E$3,FC_DATA!$X:$X,DASHBOARD!$B11,FC_DATA!$Z:$Z,DASHBOARD!J$32)/SUMIFS(FC_DATA!$AB:$AB,FC_DATA!$V:$V,DASHBOARD!$C$3,FC_DATA!$W:$W,DASHBOARD!$E$3,FC_DATA!$X:$X,DASHBOARD!$B11,FC_DATA!$Z:$Z,DASHBOARD!J$32),NA())</f>
        <v>#DIV/0!</v>
      </c>
      <c r="K37" s="437" t="e">
        <f ca="1">IF(ISNA(K35),SUMIFS(FC_DATA!$P:$P,FC_DATA!$V:$V,DASHBOARD!$C$3,FC_DATA!$W:$W,DASHBOARD!$E$3,FC_DATA!$X:$X,DASHBOARD!$B11,FC_DATA!$Z:$Z,DASHBOARD!K$32)/SUMIFS(FC_DATA!$AB:$AB,FC_DATA!$V:$V,DASHBOARD!$C$3,FC_DATA!$W:$W,DASHBOARD!$E$3,FC_DATA!$X:$X,DASHBOARD!$B11,FC_DATA!$Z:$Z,DASHBOARD!K$32),NA())</f>
        <v>#DIV/0!</v>
      </c>
      <c r="L37" s="437" t="e">
        <f ca="1">IF(ISNA(L35),SUMIFS(FC_DATA!$P:$P,FC_DATA!$V:$V,DASHBOARD!$C$3,FC_DATA!$W:$W,DASHBOARD!$E$3,FC_DATA!$X:$X,DASHBOARD!$B11,FC_DATA!$Z:$Z,DASHBOARD!L$32)/SUMIFS(FC_DATA!$AB:$AB,FC_DATA!$V:$V,DASHBOARD!$C$3,FC_DATA!$W:$W,DASHBOARD!$E$3,FC_DATA!$X:$X,DASHBOARD!$B11,FC_DATA!$Z:$Z,DASHBOARD!L$32),NA())</f>
        <v>#DIV/0!</v>
      </c>
      <c r="M37" s="437" t="e">
        <f ca="1">IF(ISNA(M35),SUMIFS(FC_DATA!$P:$P,FC_DATA!$V:$V,DASHBOARD!$C$3,FC_DATA!$W:$W,DASHBOARD!$E$3,FC_DATA!$X:$X,DASHBOARD!$B11,FC_DATA!$Z:$Z,DASHBOARD!M$32)/SUMIFS(FC_DATA!$AB:$AB,FC_DATA!$V:$V,DASHBOARD!$C$3,FC_DATA!$W:$W,DASHBOARD!$E$3,FC_DATA!$X:$X,DASHBOARD!$B11,FC_DATA!$Z:$Z,DASHBOARD!M$32),NA())</f>
        <v>#DIV/0!</v>
      </c>
      <c r="N37" s="437" t="e">
        <f ca="1">IF(ISNA(N35),SUMIFS(FC_DATA!$P:$P,FC_DATA!$V:$V,DASHBOARD!$C$3,FC_DATA!$W:$W,DASHBOARD!$E$3,FC_DATA!$X:$X,DASHBOARD!$B11,FC_DATA!$Z:$Z,DASHBOARD!N$32)/SUMIFS(FC_DATA!$AB:$AB,FC_DATA!$V:$V,DASHBOARD!$C$3,FC_DATA!$W:$W,DASHBOARD!$E$3,FC_DATA!$X:$X,DASHBOARD!$B11,FC_DATA!$Z:$Z,DASHBOARD!N$32),NA())</f>
        <v>#DIV/0!</v>
      </c>
      <c r="O37" s="437" t="e">
        <f ca="1">IF(ISNA(O35),SUMIFS(FC_DATA!$P:$P,FC_DATA!$V:$V,DASHBOARD!$C$3,FC_DATA!$W:$W,DASHBOARD!$E$3,FC_DATA!$X:$X,DASHBOARD!$B11,FC_DATA!$Z:$Z,DASHBOARD!O$32)/SUMIFS(FC_DATA!$AB:$AB,FC_DATA!$V:$V,DASHBOARD!$C$3,FC_DATA!$W:$W,DASHBOARD!$E$3,FC_DATA!$X:$X,DASHBOARD!$B11,FC_DATA!$Z:$Z,DASHBOARD!O$32),NA())</f>
        <v>#DIV/0!</v>
      </c>
      <c r="P37" s="428"/>
      <c r="Q37" s="273"/>
      <c r="S37" s="419" t="s">
        <v>97</v>
      </c>
      <c r="AL37" s="436"/>
      <c r="AM37" s="436"/>
      <c r="AN37" s="436"/>
      <c r="AO37" s="436"/>
      <c r="AP37" s="436"/>
    </row>
    <row r="38" spans="1:42" x14ac:dyDescent="0.25">
      <c r="A38" s="420"/>
      <c r="B38" s="429" t="str">
        <f ca="1">B12</f>
        <v>19/20</v>
      </c>
      <c r="C38" s="419" t="str">
        <f ca="1">B38&amp;" FC"</f>
        <v>19/20 FC</v>
      </c>
      <c r="D38" s="437" t="e">
        <f ca="1">SUMIFS(FC_DATA!$P:$P,FC_DATA!$V:$V,DASHBOARD!$C$3,FC_DATA!$W:$W,DASHBOARD!$E$3,FC_DATA!$X:$X,DASHBOARD!$B12,FC_DATA!$Z:$Z,DASHBOARD!D$32)/SUMIFS(FC_DATA!$AB:$AB,FC_DATA!$V:$V,DASHBOARD!$C$3,FC_DATA!$W:$W,DASHBOARD!$E$3,FC_DATA!$X:$X,DASHBOARD!$B12,FC_DATA!$Z:$Z,DASHBOARD!D$32)</f>
        <v>#DIV/0!</v>
      </c>
      <c r="E38" s="437" t="e">
        <f ca="1">SUMIFS(FC_DATA!$P:$P,FC_DATA!$V:$V,DASHBOARD!$C$3,FC_DATA!$W:$W,DASHBOARD!$E$3,FC_DATA!$X:$X,DASHBOARD!$B12,FC_DATA!$Z:$Z,DASHBOARD!E$32)/SUMIFS(FC_DATA!$AB:$AB,FC_DATA!$V:$V,DASHBOARD!$C$3,FC_DATA!$W:$W,DASHBOARD!$E$3,FC_DATA!$X:$X,DASHBOARD!$B12,FC_DATA!$Z:$Z,DASHBOARD!E$32)</f>
        <v>#DIV/0!</v>
      </c>
      <c r="F38" s="437" t="e">
        <f ca="1">SUMIFS(FC_DATA!$P:$P,FC_DATA!$V:$V,DASHBOARD!$C$3,FC_DATA!$W:$W,DASHBOARD!$E$3,FC_DATA!$X:$X,DASHBOARD!$B12,FC_DATA!$Z:$Z,DASHBOARD!F$32)/SUMIFS(FC_DATA!$AB:$AB,FC_DATA!$V:$V,DASHBOARD!$C$3,FC_DATA!$W:$W,DASHBOARD!$E$3,FC_DATA!$X:$X,DASHBOARD!$B12,FC_DATA!$Z:$Z,DASHBOARD!F$32)</f>
        <v>#DIV/0!</v>
      </c>
      <c r="G38" s="437" t="e">
        <f ca="1">SUMIFS(FC_DATA!$P:$P,FC_DATA!$V:$V,DASHBOARD!$C$3,FC_DATA!$W:$W,DASHBOARD!$E$3,FC_DATA!$X:$X,DASHBOARD!$B12,FC_DATA!$Z:$Z,DASHBOARD!G$32)/SUMIFS(FC_DATA!$AB:$AB,FC_DATA!$V:$V,DASHBOARD!$C$3,FC_DATA!$W:$W,DASHBOARD!$E$3,FC_DATA!$X:$X,DASHBOARD!$B12,FC_DATA!$Z:$Z,DASHBOARD!G$32)</f>
        <v>#DIV/0!</v>
      </c>
      <c r="H38" s="437" t="e">
        <f ca="1">SUMIFS(FC_DATA!$P:$P,FC_DATA!$V:$V,DASHBOARD!$C$3,FC_DATA!$W:$W,DASHBOARD!$E$3,FC_DATA!$X:$X,DASHBOARD!$B12,FC_DATA!$Z:$Z,DASHBOARD!H$32)/SUMIFS(FC_DATA!$AB:$AB,FC_DATA!$V:$V,DASHBOARD!$C$3,FC_DATA!$W:$W,DASHBOARD!$E$3,FC_DATA!$X:$X,DASHBOARD!$B12,FC_DATA!$Z:$Z,DASHBOARD!H$32)</f>
        <v>#DIV/0!</v>
      </c>
      <c r="I38" s="437" t="e">
        <f ca="1">SUMIFS(FC_DATA!$P:$P,FC_DATA!$V:$V,DASHBOARD!$C$3,FC_DATA!$W:$W,DASHBOARD!$E$3,FC_DATA!$X:$X,DASHBOARD!$B12,FC_DATA!$Z:$Z,DASHBOARD!I$32)/SUMIFS(FC_DATA!$AB:$AB,FC_DATA!$V:$V,DASHBOARD!$C$3,FC_DATA!$W:$W,DASHBOARD!$E$3,FC_DATA!$X:$X,DASHBOARD!$B12,FC_DATA!$Z:$Z,DASHBOARD!I$32)</f>
        <v>#DIV/0!</v>
      </c>
      <c r="J38" s="437" t="e">
        <f ca="1">SUMIFS(FC_DATA!$P:$P,FC_DATA!$V:$V,DASHBOARD!$C$3,FC_DATA!$W:$W,DASHBOARD!$E$3,FC_DATA!$X:$X,DASHBOARD!$B12,FC_DATA!$Z:$Z,DASHBOARD!J$32)/SUMIFS(FC_DATA!$AB:$AB,FC_DATA!$V:$V,DASHBOARD!$C$3,FC_DATA!$W:$W,DASHBOARD!$E$3,FC_DATA!$X:$X,DASHBOARD!$B12,FC_DATA!$Z:$Z,DASHBOARD!J$32)</f>
        <v>#DIV/0!</v>
      </c>
      <c r="K38" s="437" t="e">
        <f ca="1">SUMIFS(FC_DATA!$P:$P,FC_DATA!$V:$V,DASHBOARD!$C$3,FC_DATA!$W:$W,DASHBOARD!$E$3,FC_DATA!$X:$X,DASHBOARD!$B12,FC_DATA!$Z:$Z,DASHBOARD!K$32)/SUMIFS(FC_DATA!$AB:$AB,FC_DATA!$V:$V,DASHBOARD!$C$3,FC_DATA!$W:$W,DASHBOARD!$E$3,FC_DATA!$X:$X,DASHBOARD!$B12,FC_DATA!$Z:$Z,DASHBOARD!K$32)</f>
        <v>#DIV/0!</v>
      </c>
      <c r="L38" s="437" t="e">
        <f ca="1">SUMIFS(FC_DATA!$P:$P,FC_DATA!$V:$V,DASHBOARD!$C$3,FC_DATA!$W:$W,DASHBOARD!$E$3,FC_DATA!$X:$X,DASHBOARD!$B12,FC_DATA!$Z:$Z,DASHBOARD!L$32)/SUMIFS(FC_DATA!$AB:$AB,FC_DATA!$V:$V,DASHBOARD!$C$3,FC_DATA!$W:$W,DASHBOARD!$E$3,FC_DATA!$X:$X,DASHBOARD!$B12,FC_DATA!$Z:$Z,DASHBOARD!L$32)</f>
        <v>#DIV/0!</v>
      </c>
      <c r="M38" s="437" t="e">
        <f ca="1">SUMIFS(FC_DATA!$P:$P,FC_DATA!$V:$V,DASHBOARD!$C$3,FC_DATA!$W:$W,DASHBOARD!$E$3,FC_DATA!$X:$X,DASHBOARD!$B12,FC_DATA!$Z:$Z,DASHBOARD!M$32)/SUMIFS(FC_DATA!$AB:$AB,FC_DATA!$V:$V,DASHBOARD!$C$3,FC_DATA!$W:$W,DASHBOARD!$E$3,FC_DATA!$X:$X,DASHBOARD!$B12,FC_DATA!$Z:$Z,DASHBOARD!M$32)</f>
        <v>#DIV/0!</v>
      </c>
      <c r="N38" s="437" t="e">
        <f ca="1">SUMIFS(FC_DATA!$P:$P,FC_DATA!$V:$V,DASHBOARD!$C$3,FC_DATA!$W:$W,DASHBOARD!$E$3,FC_DATA!$X:$X,DASHBOARD!$B12,FC_DATA!$Z:$Z,DASHBOARD!N$32)/SUMIFS(FC_DATA!$AB:$AB,FC_DATA!$V:$V,DASHBOARD!$C$3,FC_DATA!$W:$W,DASHBOARD!$E$3,FC_DATA!$X:$X,DASHBOARD!$B12,FC_DATA!$Z:$Z,DASHBOARD!N$32)</f>
        <v>#DIV/0!</v>
      </c>
      <c r="O38" s="437" t="e">
        <f ca="1">SUMIFS(FC_DATA!$P:$P,FC_DATA!$V:$V,DASHBOARD!$C$3,FC_DATA!$W:$W,DASHBOARD!$E$3,FC_DATA!$X:$X,DASHBOARD!$B12,FC_DATA!$Z:$Z,DASHBOARD!O$32)/SUMIFS(FC_DATA!$AB:$AB,FC_DATA!$V:$V,DASHBOARD!$C$3,FC_DATA!$W:$W,DASHBOARD!$E$3,FC_DATA!$X:$X,DASHBOARD!$B12,FC_DATA!$Z:$Z,DASHBOARD!O$32)</f>
        <v>#DIV/0!</v>
      </c>
      <c r="P38" s="428"/>
      <c r="Q38" s="438"/>
      <c r="R38" s="419" t="str">
        <f ca="1">B11</f>
        <v>18/19</v>
      </c>
      <c r="S38" s="419" t="str">
        <f ca="1">C11</f>
        <v>18/19 FC</v>
      </c>
      <c r="T38" s="420" t="e">
        <f ca="1">IF(ISNA(VLOOKUP(_xlfn.CONCAT($R11,T$6),TIME!$L$27:$L$31,1,FALSE)),NA(),(SUMIFS(FC_DATA!$P:$P,FC_DATA!$U:$U,$B$3,FC_DATA!$V:$V,$C$3,FC_DATA!$W:$W,$E$3,FC_DATA!$X:$X,$R38,FC_DATA!$Y:$Y,T$33))/(SUMIFS(FC_DATA!$AB:$AB,FC_DATA!$U:$U,$B$3,FC_DATA!$V:$V,$C$3,FC_DATA!$W:$W,$E$3,FC_DATA!$X:$X,$R38,FC_DATA!$Y:$Y,T$33)))</f>
        <v>#N/A</v>
      </c>
      <c r="U38" s="420" t="e">
        <f ca="1">IF(ISNA(VLOOKUP(_xlfn.CONCAT($R11,U$6),TIME!$L$27:$L$31,1,FALSE)),NA(),(SUMIFS(FC_DATA!$P:$P,FC_DATA!$U:$U,$B$3,FC_DATA!$V:$V,$C$3,FC_DATA!$W:$W,$E$3,FC_DATA!$X:$X,$R38,FC_DATA!$Y:$Y,U$33))/(SUMIFS(FC_DATA!$AB:$AB,FC_DATA!$U:$U,$B$3,FC_DATA!$V:$V,$C$3,FC_DATA!$W:$W,$E$3,FC_DATA!$X:$X,$R38,FC_DATA!$Y:$Y,U$33)))</f>
        <v>#N/A</v>
      </c>
      <c r="V38" s="420" t="e">
        <f ca="1">IF(ISNA(VLOOKUP(_xlfn.CONCAT($R11,V$6),TIME!$L$27:$L$31,1,FALSE)),NA(),(SUMIFS(FC_DATA!$P:$P,FC_DATA!$U:$U,$B$3,FC_DATA!$V:$V,$C$3,FC_DATA!$W:$W,$E$3,FC_DATA!$X:$X,$R38,FC_DATA!$Y:$Y,V$33))/(SUMIFS(FC_DATA!$AB:$AB,FC_DATA!$U:$U,$B$3,FC_DATA!$V:$V,$C$3,FC_DATA!$W:$W,$E$3,FC_DATA!$X:$X,$R38,FC_DATA!$Y:$Y,V$33)))</f>
        <v>#DIV/0!</v>
      </c>
      <c r="W38" s="420" t="e">
        <f ca="1">IF(ISNA(VLOOKUP(_xlfn.CONCAT($R11,W$6),TIME!$L$27:$L$31,1,FALSE)),NA(),(SUMIFS(FC_DATA!$P:$P,FC_DATA!$U:$U,$B$3,FC_DATA!$V:$V,$C$3,FC_DATA!$W:$W,$E$3,FC_DATA!$X:$X,$R38,FC_DATA!$Y:$Y,W$33))/(SUMIFS(FC_DATA!$AB:$AB,FC_DATA!$U:$U,$B$3,FC_DATA!$V:$V,$C$3,FC_DATA!$W:$W,$E$3,FC_DATA!$X:$X,$R38,FC_DATA!$Y:$Y,W$33)))</f>
        <v>#DIV/0!</v>
      </c>
      <c r="AL38" s="436"/>
      <c r="AM38" s="436"/>
      <c r="AN38" s="436"/>
      <c r="AO38" s="436"/>
      <c r="AP38" s="436"/>
    </row>
    <row r="39" spans="1:42" x14ac:dyDescent="0.25">
      <c r="A39" s="420"/>
      <c r="B39" s="435"/>
      <c r="Q39" s="436"/>
      <c r="R39" s="419" t="str">
        <f ca="1">B12</f>
        <v>19/20</v>
      </c>
      <c r="S39" s="419" t="str">
        <f ca="1">C12</f>
        <v>19/20 FC</v>
      </c>
      <c r="T39" s="420" t="e">
        <f ca="1">IF(ISNA(VLOOKUP(_xlfn.CONCAT($R12,T$6),TIME!$L$27:$L$31,1,FALSE)),NA(),(SUMIFS(FC_DATA!$P:$P,FC_DATA!$U:$U,$B$3,FC_DATA!$V:$V,$C$3,FC_DATA!$W:$W,$E$3,FC_DATA!$X:$X,$R39,FC_DATA!$Y:$Y,T$33)+SUMIFS(HIS_SALES!$J:$J,HIS_SALES!$C:$C,$B$3,HIS_SALES!$D:$D,$C$3,HIS_SALES!$E:$E,$E$3,HIS_SALES!$F:$F,$R39,HIS_SALES!$G:$G,T$33))/(SUMIFS(FC_DATA!$AB:$AB,FC_DATA!$U:$U,$B$3,FC_DATA!$V:$V,$C$3,FC_DATA!$W:$W,$E$3,FC_DATA!$X:$X,$R39,FC_DATA!$Y:$Y,T$33)+SUMIFS(HIS_SALES!$J:$J,HIS_SALES!$C:$C,$B$3,HIS_SALES!$D:$D,$C$3,HIS_SALES!$E:$E,$E$3,HIS_SALES!$F:$F,$R39,HIS_SALES!$G:$G,T$33)+SUMIFS(HIS_SALES!$I:$I,HIS_SALES!$C:$C,$B$3,HIS_SALES!$D:$D,$C$3,HIS_SALES!$E:$E,$E$3,HIS_SALES!$F:$F,$R39,HIS_SALES!$G:$G,T$33)))</f>
        <v>#DIV/0!</v>
      </c>
      <c r="U39" s="420" t="e">
        <f ca="1">IF(ISNA(VLOOKUP(_xlfn.CONCAT($R12,U$6),TIME!$L$27:$L$31,1,FALSE)),NA(),(SUMIFS(FC_DATA!$P:$P,FC_DATA!$U:$U,$B$3,FC_DATA!$V:$V,$C$3,FC_DATA!$W:$W,$E$3,FC_DATA!$X:$X,$R39,FC_DATA!$Y:$Y,U$33)+SUMIFS(HIS_SALES!$J:$J,HIS_SALES!$C:$C,$B$3,HIS_SALES!$D:$D,$C$3,HIS_SALES!$E:$E,$E$3,HIS_SALES!$F:$F,$R39,HIS_SALES!$G:$G,U$33))/(SUMIFS(FC_DATA!$AB:$AB,FC_DATA!$U:$U,$B$3,FC_DATA!$V:$V,$C$3,FC_DATA!$W:$W,$E$3,FC_DATA!$X:$X,$R39,FC_DATA!$Y:$Y,U$33)+SUMIFS(HIS_SALES!$J:$J,HIS_SALES!$C:$C,$B$3,HIS_SALES!$D:$D,$C$3,HIS_SALES!$E:$E,$E$3,HIS_SALES!$F:$F,$R39,HIS_SALES!$G:$G,U$33)+SUMIFS(HIS_SALES!$I:$I,HIS_SALES!$C:$C,$B$3,HIS_SALES!$D:$D,$C$3,HIS_SALES!$E:$E,$E$3,HIS_SALES!$F:$F,$R39,HIS_SALES!$G:$G,U$33)))</f>
        <v>#DIV/0!</v>
      </c>
      <c r="V39" s="420" t="e">
        <f ca="1">IF(ISNA(VLOOKUP(_xlfn.CONCAT($R12,V$6),TIME!$L$27:$L$31,1,FALSE)),NA(),(SUMIFS(FC_DATA!$P:$P,FC_DATA!$U:$U,$B$3,FC_DATA!$V:$V,$C$3,FC_DATA!$W:$W,$E$3,FC_DATA!$X:$X,$R39,FC_DATA!$Y:$Y,V$33)+SUMIFS(HIS_SALES!$J:$J,HIS_SALES!$C:$C,$B$3,HIS_SALES!$D:$D,$C$3,HIS_SALES!$E:$E,$E$3,HIS_SALES!$F:$F,$R39,HIS_SALES!$G:$G,V$33))/(SUMIFS(FC_DATA!$AB:$AB,FC_DATA!$U:$U,$B$3,FC_DATA!$V:$V,$C$3,FC_DATA!$W:$W,$E$3,FC_DATA!$X:$X,$R39,FC_DATA!$Y:$Y,V$33)+SUMIFS(HIS_SALES!$J:$J,HIS_SALES!$C:$C,$B$3,HIS_SALES!$D:$D,$C$3,HIS_SALES!$E:$E,$E$3,HIS_SALES!$F:$F,$R39,HIS_SALES!$G:$G,V$33)+SUMIFS(HIS_SALES!$I:$I,HIS_SALES!$C:$C,$B$3,HIS_SALES!$D:$D,$C$3,HIS_SALES!$E:$E,$E$3,HIS_SALES!$F:$F,$R39,HIS_SALES!$G:$G,V$33)))</f>
        <v>#DIV/0!</v>
      </c>
      <c r="W39" s="420" t="e">
        <f ca="1">IF(ISNA(VLOOKUP(_xlfn.CONCAT($R12,W$6),TIME!$L$27:$L$31,1,FALSE)),NA(),(SUMIFS(FC_DATA!$P:$P,FC_DATA!$U:$U,$B$3,FC_DATA!$V:$V,$C$3,FC_DATA!$W:$W,$E$3,FC_DATA!$X:$X,$R39,FC_DATA!$Y:$Y,W$33)+SUMIFS(HIS_SALES!$J:$J,HIS_SALES!$C:$C,$B$3,HIS_SALES!$D:$D,$C$3,HIS_SALES!$E:$E,$E$3,HIS_SALES!$F:$F,$R39,HIS_SALES!$G:$G,W$33))/(SUMIFS(FC_DATA!$AB:$AB,FC_DATA!$U:$U,$B$3,FC_DATA!$V:$V,$C$3,FC_DATA!$W:$W,$E$3,FC_DATA!$X:$X,$R39,FC_DATA!$Y:$Y,W$33)+SUMIFS(HIS_SALES!$J:$J,HIS_SALES!$C:$C,$B$3,HIS_SALES!$D:$D,$C$3,HIS_SALES!$E:$E,$E$3,HIS_SALES!$F:$F,$R39,HIS_SALES!$G:$G,W$33)+SUMIFS(HIS_SALES!$I:$I,HIS_SALES!$C:$C,$B$3,HIS_SALES!$D:$D,$C$3,HIS_SALES!$E:$E,$E$3,HIS_SALES!$F:$F,$R39,HIS_SALES!$G:$G,W$33)))</f>
        <v>#N/A</v>
      </c>
    </row>
    <row r="40" spans="1:42" x14ac:dyDescent="0.25">
      <c r="A40" s="420"/>
      <c r="B40" s="435"/>
      <c r="Q40" s="436"/>
    </row>
    <row r="41" spans="1:42" x14ac:dyDescent="0.25">
      <c r="A41" s="420"/>
      <c r="B41" s="435"/>
      <c r="Q41" s="436"/>
      <c r="R41" s="420"/>
    </row>
    <row r="42" spans="1:42" x14ac:dyDescent="0.25">
      <c r="A42" s="420"/>
      <c r="B42" s="435"/>
      <c r="Q42" s="273"/>
      <c r="S42" s="436"/>
    </row>
    <row r="43" spans="1:42" x14ac:dyDescent="0.25">
      <c r="A43" s="420"/>
      <c r="B43" s="435"/>
      <c r="Q43" s="436"/>
    </row>
    <row r="44" spans="1:42" x14ac:dyDescent="0.25">
      <c r="A44" s="420"/>
      <c r="B44" s="435"/>
      <c r="Q44" s="436"/>
    </row>
    <row r="45" spans="1:42" x14ac:dyDescent="0.25">
      <c r="A45" s="420"/>
      <c r="B45" s="435"/>
      <c r="Q45" s="273"/>
      <c r="AL45" s="439"/>
      <c r="AM45" s="439"/>
      <c r="AN45" s="439"/>
      <c r="AO45" s="427"/>
      <c r="AP45" s="427"/>
    </row>
    <row r="46" spans="1:42" x14ac:dyDescent="0.25">
      <c r="A46" s="420"/>
      <c r="B46" s="435"/>
      <c r="Q46" s="420"/>
      <c r="AL46" s="420"/>
      <c r="AM46" s="420"/>
      <c r="AN46" s="420"/>
    </row>
    <row r="47" spans="1:42" ht="11.25" customHeight="1" x14ac:dyDescent="0.25">
      <c r="A47" s="440" t="s">
        <v>256</v>
      </c>
      <c r="B47" s="435"/>
      <c r="Q47" s="420"/>
      <c r="AL47" s="420"/>
      <c r="AM47" s="420"/>
      <c r="AN47" s="420"/>
    </row>
    <row r="48" spans="1:42" x14ac:dyDescent="0.25">
      <c r="B48" s="435"/>
      <c r="R48" s="420"/>
      <c r="S48" s="420"/>
      <c r="T48" s="420"/>
      <c r="U48" s="420"/>
      <c r="V48" s="420"/>
      <c r="W48" s="420"/>
      <c r="X48" s="420"/>
      <c r="Y48" s="420"/>
      <c r="Z48" s="420"/>
      <c r="AL48" s="420"/>
      <c r="AM48" s="420"/>
      <c r="AN48" s="420"/>
    </row>
    <row r="49" spans="1:40" x14ac:dyDescent="0.25">
      <c r="A49" s="420"/>
      <c r="B49" s="435"/>
      <c r="R49" s="420"/>
      <c r="S49" s="420"/>
      <c r="T49" s="420"/>
      <c r="U49" s="420"/>
      <c r="V49" s="420"/>
      <c r="W49" s="420"/>
      <c r="X49" s="420"/>
      <c r="Y49" s="420"/>
      <c r="Z49" s="420"/>
      <c r="AL49" s="420"/>
      <c r="AM49" s="420"/>
      <c r="AN49" s="420"/>
    </row>
    <row r="50" spans="1:40" x14ac:dyDescent="0.25">
      <c r="A50" s="420"/>
      <c r="B50" s="435"/>
      <c r="R50" s="420"/>
      <c r="S50" s="420"/>
      <c r="T50" s="420"/>
      <c r="U50" s="420"/>
      <c r="V50" s="420"/>
      <c r="W50" s="420"/>
      <c r="X50" s="420"/>
      <c r="Y50" s="420"/>
      <c r="Z50" s="420"/>
      <c r="AL50" s="420"/>
      <c r="AM50" s="420"/>
      <c r="AN50" s="420"/>
    </row>
    <row r="51" spans="1:40" x14ac:dyDescent="0.25">
      <c r="A51" s="420"/>
      <c r="B51" s="435"/>
      <c r="C51" s="932" t="s">
        <v>138</v>
      </c>
      <c r="D51" s="932"/>
      <c r="E51" s="932"/>
      <c r="F51" s="932"/>
      <c r="G51" s="932"/>
      <c r="H51" s="932"/>
      <c r="I51" s="932"/>
      <c r="J51" s="932"/>
      <c r="K51" s="932"/>
      <c r="L51" s="932"/>
      <c r="M51" s="932"/>
      <c r="N51" s="932"/>
      <c r="O51" s="932"/>
      <c r="R51" s="420"/>
      <c r="S51" s="420" t="s">
        <v>138</v>
      </c>
      <c r="T51" s="420"/>
      <c r="U51" s="420"/>
      <c r="V51" s="420"/>
      <c r="W51" s="420"/>
      <c r="X51" s="420"/>
      <c r="Y51" s="420"/>
      <c r="Z51" s="420"/>
      <c r="AL51" s="420"/>
      <c r="AM51" s="420"/>
      <c r="AN51" s="420"/>
    </row>
    <row r="52" spans="1:40" x14ac:dyDescent="0.25">
      <c r="C52" s="419" t="s">
        <v>7</v>
      </c>
      <c r="D52" s="419" t="s">
        <v>144</v>
      </c>
      <c r="E52" s="419" t="s">
        <v>146</v>
      </c>
      <c r="F52" s="419" t="s">
        <v>145</v>
      </c>
      <c r="G52" s="419" t="s">
        <v>149</v>
      </c>
      <c r="H52" s="419" t="s">
        <v>147</v>
      </c>
      <c r="I52" s="419" t="s">
        <v>148</v>
      </c>
      <c r="J52" s="419" t="s">
        <v>151</v>
      </c>
      <c r="K52" s="419" t="s">
        <v>152</v>
      </c>
      <c r="L52" s="419" t="s">
        <v>150</v>
      </c>
      <c r="M52" s="419" t="s">
        <v>155</v>
      </c>
      <c r="N52" s="419" t="s">
        <v>154</v>
      </c>
      <c r="O52" s="419" t="s">
        <v>153</v>
      </c>
      <c r="R52" s="420"/>
      <c r="S52" s="420" t="s">
        <v>7</v>
      </c>
      <c r="T52" s="420" t="s">
        <v>56</v>
      </c>
      <c r="U52" s="420" t="s">
        <v>57</v>
      </c>
      <c r="V52" s="420" t="s">
        <v>58</v>
      </c>
      <c r="W52" s="420" t="s">
        <v>59</v>
      </c>
      <c r="X52" s="420"/>
      <c r="Y52" s="420"/>
      <c r="Z52" s="420"/>
      <c r="AL52" s="420"/>
      <c r="AM52" s="420"/>
      <c r="AN52" s="420"/>
    </row>
    <row r="53" spans="1:40" x14ac:dyDescent="0.25">
      <c r="C53" s="419" t="str">
        <f ca="1">C7</f>
        <v>16/17</v>
      </c>
      <c r="D53" s="420">
        <f ca="1">IFERROR(VLOOKUP(_xlfn.CONCAT($B$3,$C$3,$E$3,$C53,D$52),HIS_SALES!$B$2:$N$5195,MATCH("NOOS_M",HIS_SALES!$B$1:$N$1,0),FALSE),NA())</f>
        <v>0.12934437747188901</v>
      </c>
      <c r="E53" s="420">
        <f ca="1">IFERROR(VLOOKUP(_xlfn.CONCAT($B$3,$C$3,$E$3,$C53,E$52),HIS_SALES!$B$2:$N$5195,MATCH("NOOS_M",HIS_SALES!$B$1:$N$1,0),FALSE),NA())</f>
        <v>9.2364902118805103E-2</v>
      </c>
      <c r="F53" s="420">
        <f ca="1">IFERROR(VLOOKUP(_xlfn.CONCAT($B$3,$C$3,$E$3,$C53,F$52),HIS_SALES!$B$2:$N$5195,MATCH("NOOS_M",HIS_SALES!$B$1:$N$1,0),FALSE),NA())</f>
        <v>4.9689896628624199E-2</v>
      </c>
      <c r="G53" s="420">
        <f ca="1">IFERROR(VLOOKUP(_xlfn.CONCAT($B$3,$C$3,$E$3,$C53,G$52),HIS_SALES!$B$2:$N$5195,MATCH("NOOS_M",HIS_SALES!$B$1:$N$1,0),FALSE),NA())</f>
        <v>3.2644803008612201E-2</v>
      </c>
      <c r="H53" s="420">
        <f ca="1">IFERROR(VLOOKUP(_xlfn.CONCAT($B$3,$C$3,$E$3,$C53,H$52),HIS_SALES!$B$2:$N$5195,MATCH("NOOS_M",HIS_SALES!$B$1:$N$1,0),FALSE),NA())</f>
        <v>4.84810919524973E-2</v>
      </c>
      <c r="I53" s="420">
        <f ca="1">IFERROR(VLOOKUP(_xlfn.CONCAT($B$3,$C$3,$E$3,$C53,I$52),HIS_SALES!$B$2:$N$5195,MATCH("NOOS_M",HIS_SALES!$B$1:$N$1,0),FALSE),NA())</f>
        <v>6.0724435186656898E-2</v>
      </c>
      <c r="J53" s="420">
        <f ca="1">IFERROR(VLOOKUP(_xlfn.CONCAT($B$3,$C$3,$E$3,$C53,J$52),HIS_SALES!$B$2:$N$5195,MATCH("NOOS_M",HIS_SALES!$B$1:$N$1,0),FALSE),NA())</f>
        <v>0.101411977819405</v>
      </c>
      <c r="K53" s="420">
        <f ca="1">IFERROR(VLOOKUP(_xlfn.CONCAT($B$3,$C$3,$E$3,$C53,K$52),HIS_SALES!$B$2:$N$5195,MATCH("NOOS_M",HIS_SALES!$B$1:$N$1,0),FALSE),NA())</f>
        <v>0.123538072755904</v>
      </c>
      <c r="L53" s="420">
        <f ca="1">IFERROR(VLOOKUP(_xlfn.CONCAT($B$3,$C$3,$E$3,$C53,L$52),HIS_SALES!$B$2:$N$5195,MATCH("NOOS_M",HIS_SALES!$B$1:$N$1,0),FALSE),NA())</f>
        <v>0.15236879089982303</v>
      </c>
      <c r="M53" s="420">
        <f ca="1">IFERROR(VLOOKUP(_xlfn.CONCAT($B$3,$C$3,$E$3,$C53,M$52),HIS_SALES!$B$2:$N$5195,MATCH("NOOS_M",HIS_SALES!$B$1:$N$1,0),FALSE),NA())</f>
        <v>0.16791477643625902</v>
      </c>
      <c r="N53" s="420">
        <f ca="1">IFERROR(VLOOKUP(_xlfn.CONCAT($B$3,$C$3,$E$3,$C53,N$52),HIS_SALES!$B$2:$N$5195,MATCH("NOOS_M",HIS_SALES!$B$1:$N$1,0),FALSE),NA())</f>
        <v>0.17972079393948401</v>
      </c>
      <c r="O53" s="420">
        <f ca="1">IFERROR(VLOOKUP(_xlfn.CONCAT($B$3,$C$3,$E$3,$C53,O$52),HIS_SALES!$B$2:$N$5195,MATCH("NOOS_M",HIS_SALES!$B$1:$N$1,0),FALSE),NA())</f>
        <v>0.15272297542944702</v>
      </c>
      <c r="R53" s="420"/>
      <c r="S53" s="420" t="str">
        <f ca="1">C7</f>
        <v>16/17</v>
      </c>
      <c r="T53" s="420">
        <f ca="1">IF(ISNA(VLOOKUP(_xlfn.CONCAT($S53,T$6),TIME!$L$27:$L$31,1,FALSE)),VLOOKUP(_xlfn.CONCAT($B$3,$C$3,$E$3,$C53,T$52),HIS_SALES!$A$2:$S$5195,MATCH("NOOS_Q",HIS_SALES!$A$1:$S$1,0),FALSE),NA())</f>
        <v>7.2591889134531698E-2</v>
      </c>
      <c r="U53" s="420">
        <f ca="1">IF(ISNA(VLOOKUP(_xlfn.CONCAT($S53,U$6),TIME!$L$27:$L$31,1,FALSE)),VLOOKUP(_xlfn.CONCAT($B$3,$C$3,$E$3,$C53,U$52),HIS_SALES!$A$2:$S$5195,MATCH("NOOS_Q",HIS_SALES!$A$1:$S$1,0),FALSE),NA())</f>
        <v>4.3486024803394301E-2</v>
      </c>
      <c r="V53" s="420">
        <f ca="1">IF(ISNA(VLOOKUP(_xlfn.CONCAT($S53,V$6),TIME!$L$27:$L$31,1,FALSE)),VLOOKUP(_xlfn.CONCAT($B$3,$C$3,$E$3,$C53,V$52),HIS_SALES!$A$2:$S$5195,MATCH("NOOS_Q",HIS_SALES!$A$1:$S$1,0),FALSE),NA())</f>
        <v>0.12768318138209001</v>
      </c>
      <c r="W53" s="420">
        <f ca="1">IF(ISNA(VLOOKUP(_xlfn.CONCAT($S53,W$6),TIME!$L$27:$L$31,1,FALSE)),VLOOKUP(_xlfn.CONCAT($B$3,$C$3,$E$3,$C53,W$52),HIS_SALES!$A$2:$S$5195,MATCH("NOOS_Q",HIS_SALES!$A$1:$S$1,0),FALSE),NA())</f>
        <v>0.167181588425969</v>
      </c>
      <c r="X53" s="420"/>
      <c r="Y53" s="420"/>
      <c r="Z53" s="420"/>
      <c r="AL53" s="420"/>
      <c r="AM53" s="420"/>
      <c r="AN53" s="420"/>
    </row>
    <row r="54" spans="1:40" x14ac:dyDescent="0.25">
      <c r="C54" s="419" t="str">
        <f ca="1">C8</f>
        <v>17/18</v>
      </c>
      <c r="D54" s="420">
        <f ca="1">IFERROR(VLOOKUP(_xlfn.CONCAT($B$3,$C$3,$E$3,$C54,D$52),HIS_SALES!$B$2:$N$5195,MATCH("NOOS_M",HIS_SALES!$B$1:$N$1,0),FALSE),NA())</f>
        <v>0.15973030285885101</v>
      </c>
      <c r="E54" s="420">
        <f ca="1">IFERROR(VLOOKUP(_xlfn.CONCAT($B$3,$C$3,$E$3,$C54,E$52),HIS_SALES!$B$2:$N$5195,MATCH("NOOS_M",HIS_SALES!$B$1:$N$1,0),FALSE),NA())</f>
        <v>8.1941445497003593E-2</v>
      </c>
      <c r="F54" s="420">
        <f ca="1">IFERROR(VLOOKUP(_xlfn.CONCAT($B$3,$C$3,$E$3,$C54,F$52),HIS_SALES!$B$2:$N$5195,MATCH("NOOS_M",HIS_SALES!$B$1:$N$1,0),FALSE),NA())</f>
        <v>4.3523417793205101E-2</v>
      </c>
      <c r="G54" s="420">
        <f ca="1">IFERROR(VLOOKUP(_xlfn.CONCAT($B$3,$C$3,$E$3,$C54,G$52),HIS_SALES!$B$2:$N$5195,MATCH("NOOS_M",HIS_SALES!$B$1:$N$1,0),FALSE),NA())</f>
        <v>4.6280572758838602E-2</v>
      </c>
      <c r="H54" s="420">
        <f ca="1">IFERROR(VLOOKUP(_xlfn.CONCAT($B$3,$C$3,$E$3,$C54,H$52),HIS_SALES!$B$2:$N$5195,MATCH("NOOS_M",HIS_SALES!$B$1:$N$1,0),FALSE),NA())</f>
        <v>5.4364516406621599E-2</v>
      </c>
      <c r="I54" s="420">
        <f ca="1">IFERROR(VLOOKUP(_xlfn.CONCAT($B$3,$C$3,$E$3,$C54,I$52),HIS_SALES!$B$2:$N$5195,MATCH("NOOS_M",HIS_SALES!$B$1:$N$1,0),FALSE),NA())</f>
        <v>9.41432947069894E-2</v>
      </c>
      <c r="J54" s="420">
        <f ca="1">IFERROR(VLOOKUP(_xlfn.CONCAT($B$3,$C$3,$E$3,$C54,J$52),HIS_SALES!$B$2:$N$5195,MATCH("NOOS_M",HIS_SALES!$B$1:$N$1,0),FALSE),NA())</f>
        <v>0.12011998061078201</v>
      </c>
      <c r="K54" s="420">
        <f ca="1">IFERROR(VLOOKUP(_xlfn.CONCAT($B$3,$C$3,$E$3,$C54,K$52),HIS_SALES!$B$2:$N$5195,MATCH("NOOS_M",HIS_SALES!$B$1:$N$1,0),FALSE),NA())</f>
        <v>0.18943438772384</v>
      </c>
      <c r="L54" s="420">
        <f ca="1">IFERROR(VLOOKUP(_xlfn.CONCAT($B$3,$C$3,$E$3,$C54,L$52),HIS_SALES!$B$2:$N$5195,MATCH("NOOS_M",HIS_SALES!$B$1:$N$1,0),FALSE),NA())</f>
        <v>0.20406550200713403</v>
      </c>
      <c r="M54" s="420">
        <f ca="1">IFERROR(VLOOKUP(_xlfn.CONCAT($B$3,$C$3,$E$3,$C54,M$52),HIS_SALES!$B$2:$N$5195,MATCH("NOOS_M",HIS_SALES!$B$1:$N$1,0),FALSE),NA())</f>
        <v>0.25727521980449303</v>
      </c>
      <c r="N54" s="420">
        <f ca="1">IFERROR(VLOOKUP(_xlfn.CONCAT($B$3,$C$3,$E$3,$C54,N$52),HIS_SALES!$B$2:$N$5195,MATCH("NOOS_M",HIS_SALES!$B$1:$N$1,0),FALSE),NA())</f>
        <v>0.22451444242630203</v>
      </c>
      <c r="O54" s="420">
        <f ca="1">IFERROR(VLOOKUP(_xlfn.CONCAT($B$3,$C$3,$E$3,$C54,O$52),HIS_SALES!$B$2:$N$5195,MATCH("NOOS_M",HIS_SALES!$B$1:$N$1,0),FALSE),NA())</f>
        <v>0.20367849006505101</v>
      </c>
      <c r="R54" s="420"/>
      <c r="S54" s="420" t="str">
        <f t="shared" ref="S54:S55" ca="1" si="10">C8</f>
        <v>17/18</v>
      </c>
      <c r="T54" s="420">
        <f ca="1">IF(ISNA(VLOOKUP(_xlfn.CONCAT($S54,T$6),TIME!$L$27:$L$31,1,FALSE)),VLOOKUP(_xlfn.CONCAT($B$3,$C$3,$E$3,$C54,T$52),HIS_SALES!$A$2:$S$5195,MATCH("NOOS_Q",HIS_SALES!$A$1:$S$1,0),FALSE),NA())</f>
        <v>7.4224236555108195E-2</v>
      </c>
      <c r="U54" s="420">
        <f ca="1">IF(ISNA(VLOOKUP(_xlfn.CONCAT($S54,U$6),TIME!$L$27:$L$31,1,FALSE)),VLOOKUP(_xlfn.CONCAT($B$3,$C$3,$E$3,$C54,U$52),HIS_SALES!$A$2:$S$5195,MATCH("NOOS_Q",HIS_SALES!$A$1:$S$1,0),FALSE),NA())</f>
        <v>5.8777758751879197E-2</v>
      </c>
      <c r="V54" s="420">
        <f ca="1">IF(ISNA(VLOOKUP(_xlfn.CONCAT($S54,V$6),TIME!$L$27:$L$31,1,FALSE)),VLOOKUP(_xlfn.CONCAT($B$3,$C$3,$E$3,$C54,V$52),HIS_SALES!$A$2:$S$5195,MATCH("NOOS_Q",HIS_SALES!$A$1:$S$1,0),FALSE),NA())</f>
        <v>0.17762906314201601</v>
      </c>
      <c r="W54" s="420">
        <f ca="1">IF(ISNA(VLOOKUP(_xlfn.CONCAT($S54,W$6),TIME!$L$27:$L$31,1,FALSE)),VLOOKUP(_xlfn.CONCAT($B$3,$C$3,$E$3,$C54,W$52),HIS_SALES!$A$2:$S$5195,MATCH("NOOS_Q",HIS_SALES!$A$1:$S$1,0),FALSE),NA())</f>
        <v>0.23264279320385403</v>
      </c>
      <c r="X54" s="420"/>
      <c r="Y54" s="420"/>
      <c r="Z54" s="420"/>
      <c r="AL54" s="420"/>
      <c r="AM54" s="420"/>
      <c r="AN54" s="420"/>
    </row>
    <row r="55" spans="1:40" x14ac:dyDescent="0.25">
      <c r="C55" s="419" t="str">
        <f ca="1">C9</f>
        <v>18/19</v>
      </c>
      <c r="D55" s="420">
        <f ca="1">IFERROR(VLOOKUP(_xlfn.CONCAT($B$3,$C$3,$E$3,$C55,D$52),HIS_SALES!$B$2:$N$5195,MATCH("NOOS_M",HIS_SALES!$B$1:$N$1,0),FALSE),NA())</f>
        <v>0.24114207757454703</v>
      </c>
      <c r="E55" s="420">
        <f ca="1">IFERROR(VLOOKUP(_xlfn.CONCAT($B$3,$C$3,$E$3,$C55,E$52),HIS_SALES!$B$2:$N$5195,MATCH("NOOS_M",HIS_SALES!$B$1:$N$1,0),FALSE),NA())</f>
        <v>0.26843257601756704</v>
      </c>
      <c r="F55" s="420">
        <f ca="1">IFERROR(VLOOKUP(_xlfn.CONCAT($B$3,$C$3,$E$3,$C55,F$52),HIS_SALES!$B$2:$N$5195,MATCH("NOOS_M",HIS_SALES!$B$1:$N$1,0),FALSE),NA())</f>
        <v>0.25374386650937303</v>
      </c>
      <c r="G55" s="420">
        <f ca="1">IFERROR(VLOOKUP(_xlfn.CONCAT($B$3,$C$3,$E$3,$C55,G$52),HIS_SALES!$B$2:$N$5195,MATCH("NOOS_M",HIS_SALES!$B$1:$N$1,0),FALSE),NA())</f>
        <v>0.27400879420555402</v>
      </c>
      <c r="H55" s="420" t="e">
        <f ca="1">IFERROR(VLOOKUP(_xlfn.CONCAT($B$3,$C$3,$E$3,$C55,H$52),HIS_SALES!$B$2:$N$5195,MATCH("NOOS_M",HIS_SALES!$B$1:$N$1,0),FALSE),NA())</f>
        <v>#N/A</v>
      </c>
      <c r="I55" s="420" t="e">
        <f ca="1">IFERROR(VLOOKUP(_xlfn.CONCAT($B$3,$C$3,$E$3,$C55,I$52),HIS_SALES!$B$2:$N$5195,MATCH("NOOS_M",HIS_SALES!$B$1:$N$1,0),FALSE),NA())</f>
        <v>#N/A</v>
      </c>
      <c r="J55" s="420" t="e">
        <f ca="1">IFERROR(VLOOKUP(_xlfn.CONCAT($B$3,$C$3,$E$3,$C55,J$52),HIS_SALES!$B$2:$N$5195,MATCH("NOOS_M",HIS_SALES!$B$1:$N$1,0),FALSE),NA())</f>
        <v>#N/A</v>
      </c>
      <c r="K55" s="420" t="e">
        <f ca="1">IFERROR(VLOOKUP(_xlfn.CONCAT($B$3,$C$3,$E$3,$C55,K$52),HIS_SALES!$B$2:$N$5195,MATCH("NOOS_M",HIS_SALES!$B$1:$N$1,0),FALSE),NA())</f>
        <v>#N/A</v>
      </c>
      <c r="L55" s="420" t="e">
        <f ca="1">IFERROR(VLOOKUP(_xlfn.CONCAT($B$3,$C$3,$E$3,$C55,L$52),HIS_SALES!$B$2:$N$5195,MATCH("NOOS_M",HIS_SALES!$B$1:$N$1,0),FALSE),NA())</f>
        <v>#N/A</v>
      </c>
      <c r="M55" s="420" t="e">
        <f ca="1">IFERROR(VLOOKUP(_xlfn.CONCAT($B$3,$C$3,$E$3,$C55,M$52),HIS_SALES!$B$2:$N$5195,MATCH("NOOS_M",HIS_SALES!$B$1:$N$1,0),FALSE),NA())</f>
        <v>#N/A</v>
      </c>
      <c r="N55" s="420" t="e">
        <f ca="1">IFERROR(VLOOKUP(_xlfn.CONCAT($B$3,$C$3,$E$3,$C55,N$52),HIS_SALES!$B$2:$N$5195,MATCH("NOOS_M",HIS_SALES!$B$1:$N$1,0),FALSE),NA())</f>
        <v>#N/A</v>
      </c>
      <c r="O55" s="420" t="e">
        <f ca="1">IFERROR(VLOOKUP(_xlfn.CONCAT($B$3,$C$3,$E$3,$C55,O$52),HIS_SALES!$B$2:$N$5195,MATCH("NOOS_M",HIS_SALES!$B$1:$N$1,0),FALSE),NA())</f>
        <v>#N/A</v>
      </c>
      <c r="R55" s="420"/>
      <c r="S55" s="420" t="str">
        <f t="shared" ca="1" si="10"/>
        <v>18/19</v>
      </c>
      <c r="T55" s="420">
        <f ca="1">IF(ISNA(VLOOKUP(_xlfn.CONCAT($S55,T$6),TIME!$L$27:$L$31,1,FALSE)),VLOOKUP(_xlfn.CONCAT($B$3,$C$3,$E$3,$C55,T$52),HIS_SALES!$A$2:$S$5195,MATCH("NOOS_Q",HIS_SALES!$A$1:$S$1,0),FALSE),NA())</f>
        <v>0.25777434485730399</v>
      </c>
      <c r="U55" s="420">
        <f ca="1">IF(ISNA(VLOOKUP(_xlfn.CONCAT($S55,U$6),TIME!$L$27:$L$31,1,FALSE)),VLOOKUP(_xlfn.CONCAT($B$3,$C$3,$E$3,$C55,U$52),HIS_SALES!$A$2:$S$5195,MATCH("NOOS_Q",HIS_SALES!$A$1:$S$1,0),FALSE),NA())</f>
        <v>0.27400879420555402</v>
      </c>
      <c r="V55" s="420" t="e">
        <f ca="1">IF(ISNA(VLOOKUP(_xlfn.CONCAT($S55,V$6),TIME!$L$27:$L$31,1,FALSE)),VLOOKUP(_xlfn.CONCAT($B$3,$C$3,$E$3,$C55,V$52),HIS_SALES!$A$2:$S$5195,MATCH("NOOS_Q",HIS_SALES!$A$1:$S$1,0),FALSE),NA())</f>
        <v>#N/A</v>
      </c>
      <c r="W55" s="420" t="e">
        <f ca="1">IF(ISNA(VLOOKUP(_xlfn.CONCAT($S55,W$6),TIME!$L$27:$L$31,1,FALSE)),VLOOKUP(_xlfn.CONCAT($B$3,$C$3,$E$3,$C55,W$52),HIS_SALES!$A$2:$S$5195,MATCH("NOOS_Q",HIS_SALES!$A$1:$S$1,0),FALSE),NA())</f>
        <v>#N/A</v>
      </c>
      <c r="X55" s="420"/>
      <c r="Y55" s="420"/>
      <c r="Z55" s="420"/>
      <c r="AL55" s="420"/>
      <c r="AM55" s="420"/>
      <c r="AN55" s="420"/>
    </row>
    <row r="56" spans="1:40" x14ac:dyDescent="0.25">
      <c r="C56" s="932" t="s">
        <v>97</v>
      </c>
      <c r="D56" s="932"/>
      <c r="E56" s="932"/>
      <c r="F56" s="932"/>
      <c r="G56" s="932"/>
      <c r="H56" s="932"/>
      <c r="I56" s="932"/>
      <c r="J56" s="932"/>
      <c r="K56" s="932"/>
      <c r="L56" s="932"/>
      <c r="M56" s="932"/>
      <c r="N56" s="932"/>
      <c r="O56" s="932"/>
      <c r="R56" s="420"/>
      <c r="S56" s="420" t="s">
        <v>138</v>
      </c>
      <c r="T56" s="420"/>
      <c r="U56" s="420"/>
      <c r="V56" s="420"/>
      <c r="W56" s="420"/>
      <c r="X56" s="420"/>
      <c r="Y56" s="420"/>
      <c r="Z56" s="420"/>
      <c r="AL56" s="420"/>
      <c r="AM56" s="420"/>
      <c r="AN56" s="420"/>
    </row>
    <row r="57" spans="1:40" x14ac:dyDescent="0.25">
      <c r="B57" s="434" t="str">
        <f ca="1">$B$11</f>
        <v>18/19</v>
      </c>
      <c r="C57" s="419" t="str">
        <f ca="1">B57&amp;" FC"</f>
        <v>18/19 FC</v>
      </c>
      <c r="D57" s="420" t="e">
        <f ca="1">IF(ISNA(D55),VLOOKUP(_xlfn.CONCAT($B$3,$C$3,$E$3,$B57,D$52),FC_DATA!$R$2:$AF$1000,MATCH("NOOS%",FC_DATA!$R$1:$AF$1,0),FALSE),NA())</f>
        <v>#N/A</v>
      </c>
      <c r="E57" s="420" t="e">
        <f ca="1">IF(ISNA(E55),VLOOKUP(_xlfn.CONCAT($B$3,$C$3,$E$3,$B57,E$52),FC_DATA!$R$2:$AF$1000,MATCH("NOOS%",FC_DATA!$R$1:$AF$1,0),FALSE),NA())</f>
        <v>#N/A</v>
      </c>
      <c r="F57" s="420" t="e">
        <f ca="1">IF(ISNA(F55),VLOOKUP(_xlfn.CONCAT($B$3,$C$3,$E$3,$B57,F$52),FC_DATA!$R$2:$AF$1000,MATCH("NOOS%",FC_DATA!$R$1:$AF$1,0),FALSE),NA())</f>
        <v>#N/A</v>
      </c>
      <c r="G57" s="420" t="e">
        <f ca="1">IF(ISNA(G55),VLOOKUP(_xlfn.CONCAT($B$3,$C$3,$E$3,$B57,G$52),FC_DATA!$R$2:$AF$1000,MATCH("NOOS%",FC_DATA!$R$1:$AF$1,0),FALSE),NA())</f>
        <v>#N/A</v>
      </c>
      <c r="H57" s="420" t="e">
        <f ca="1">IF(ISNA(H55),VLOOKUP(_xlfn.CONCAT($B$3,$C$3,$E$3,$B57,H$52),FC_DATA!$R$2:$AF$1000,MATCH("NOOS%",FC_DATA!$R$1:$AF$1,0),FALSE),NA())</f>
        <v>#N/A</v>
      </c>
      <c r="I57" s="420" t="e">
        <f ca="1">IF(ISNA(I55),VLOOKUP(_xlfn.CONCAT($B$3,$C$3,$E$3,$B57,I$52),FC_DATA!$R$2:$AF$1000,MATCH("NOOS%",FC_DATA!$R$1:$AF$1,0),FALSE),NA())</f>
        <v>#N/A</v>
      </c>
      <c r="J57" s="420" t="e">
        <f ca="1">IF(ISNA(J55),VLOOKUP(_xlfn.CONCAT($B$3,$C$3,$E$3,$B57,J$52),FC_DATA!$R$2:$AF$1000,MATCH("NOOS%",FC_DATA!$R$1:$AF$1,0),FALSE),NA())</f>
        <v>#N/A</v>
      </c>
      <c r="K57" s="420" t="e">
        <f ca="1">IF(ISNA(K55),VLOOKUP(_xlfn.CONCAT($B$3,$C$3,$E$3,$B57,K$52),FC_DATA!$R$2:$AF$1000,MATCH("NOOS%",FC_DATA!$R$1:$AF$1,0),FALSE),NA())</f>
        <v>#N/A</v>
      </c>
      <c r="L57" s="420" t="e">
        <f ca="1">IF(ISNA(L55),VLOOKUP(_xlfn.CONCAT($B$3,$C$3,$E$3,$B57,L$52),FC_DATA!$R$2:$AF$1000,MATCH("NOOS%",FC_DATA!$R$1:$AF$1,0),FALSE),NA())</f>
        <v>#N/A</v>
      </c>
      <c r="M57" s="420" t="e">
        <f ca="1">IF(ISNA(M55),VLOOKUP(_xlfn.CONCAT($B$3,$C$3,$E$3,$B57,M$52),FC_DATA!$R$2:$AF$1000,MATCH("NOOS%",FC_DATA!$R$1:$AF$1,0),FALSE),NA())</f>
        <v>#N/A</v>
      </c>
      <c r="N57" s="420" t="e">
        <f ca="1">IF(ISNA(N55),VLOOKUP(_xlfn.CONCAT($B$3,$C$3,$E$3,$B57,N$52),FC_DATA!$R$2:$AF$1000,MATCH("NOOS%",FC_DATA!$R$1:$AF$1,0),FALSE),NA())</f>
        <v>#N/A</v>
      </c>
      <c r="O57" s="420" t="e">
        <f ca="1">IF(ISNA(O55),VLOOKUP(_xlfn.CONCAT($B$3,$C$3,$E$3,$B57,O$52),FC_DATA!$R$2:$AF$1000,MATCH("NOOS%",FC_DATA!$R$1:$AF$1,0),FALSE),NA())</f>
        <v>#N/A</v>
      </c>
      <c r="R57" s="441" t="str">
        <f ca="1">$B$11</f>
        <v>18/19</v>
      </c>
      <c r="S57" s="420" t="str">
        <f ca="1">R57&amp;" FC"</f>
        <v>18/19 FC</v>
      </c>
      <c r="T57" s="420" t="e">
        <f ca="1">VLOOKUP(_xlfn.CONCAT(DASHBOARD!$B$3,DASHBOARD!$C$3,DASHBOARD!$E$3,DASHBOARD!$R57,DASHBOARD!T$52),FC_DATA!$A$2:$M$5000,MATCH("NOOS%",FC_DATA!$A$1:$M$1,0),FALSE)</f>
        <v>#N/A</v>
      </c>
      <c r="U57" s="420" t="e">
        <f ca="1">VLOOKUP(_xlfn.CONCAT(DASHBOARD!$B$3,DASHBOARD!$C$3,DASHBOARD!$E$3,DASHBOARD!$R57,DASHBOARD!U$52),FC_DATA!$A$2:$M$5000,MATCH("NOOS%",FC_DATA!$A$1:$M$1,0),FALSE)</f>
        <v>#N/A</v>
      </c>
      <c r="V57" s="420" t="e">
        <f ca="1">VLOOKUP(_xlfn.CONCAT(DASHBOARD!$B$3,DASHBOARD!$C$3,DASHBOARD!$E$3,DASHBOARD!$R57,DASHBOARD!V$52),FC_DATA!$A$2:$M$5000,MATCH("NOOS%",FC_DATA!$A$1:$M$1,0),FALSE)</f>
        <v>#N/A</v>
      </c>
      <c r="W57" s="420" t="e">
        <f ca="1">VLOOKUP(_xlfn.CONCAT(DASHBOARD!$B$3,DASHBOARD!$C$3,DASHBOARD!$E$3,DASHBOARD!$R57,DASHBOARD!W$52),FC_DATA!$A$2:$M$5000,MATCH("NOOS%",FC_DATA!$A$1:$M$1,0),FALSE)</f>
        <v>#N/A</v>
      </c>
      <c r="X57" s="420"/>
      <c r="Y57" s="420"/>
      <c r="Z57" s="420"/>
      <c r="AL57" s="420"/>
      <c r="AM57" s="420"/>
      <c r="AN57" s="420"/>
    </row>
    <row r="58" spans="1:40" x14ac:dyDescent="0.25">
      <c r="B58" s="434" t="str">
        <f ca="1">$B$12</f>
        <v>19/20</v>
      </c>
      <c r="C58" s="419" t="str">
        <f ca="1">B58&amp;" FC"</f>
        <v>19/20 FC</v>
      </c>
      <c r="D58" s="420" t="e">
        <f ca="1">VLOOKUP(_xlfn.CONCAT($B$3,$C$3,$E$3,$B58,D$52),FC_DATA!$R$2:$AF$1000,MATCH("NOOS%",FC_DATA!$R$1:$AF$1,0),FALSE)</f>
        <v>#N/A</v>
      </c>
      <c r="E58" s="420" t="e">
        <f ca="1">VLOOKUP(_xlfn.CONCAT($B$3,$C$3,$E$3,$B58,E$52),FC_DATA!$R$2:$AF$1000,MATCH("NOOS%",FC_DATA!$R$1:$AF$1,0),FALSE)</f>
        <v>#N/A</v>
      </c>
      <c r="F58" s="420" t="e">
        <f ca="1">VLOOKUP(_xlfn.CONCAT($B$3,$C$3,$E$3,$B58,F$52),FC_DATA!$R$2:$AF$1000,MATCH("NOOS%",FC_DATA!$R$1:$AF$1,0),FALSE)</f>
        <v>#N/A</v>
      </c>
      <c r="G58" s="420" t="e">
        <f ca="1">VLOOKUP(_xlfn.CONCAT($B$3,$C$3,$E$3,$B58,G$52),FC_DATA!$R$2:$AF$1000,MATCH("NOOS%",FC_DATA!$R$1:$AF$1,0),FALSE)</f>
        <v>#N/A</v>
      </c>
      <c r="H58" s="420" t="e">
        <f ca="1">VLOOKUP(_xlfn.CONCAT($B$3,$C$3,$E$3,$B58,H$52),FC_DATA!$R$2:$AF$1000,MATCH("NOOS%",FC_DATA!$R$1:$AF$1,0),FALSE)</f>
        <v>#N/A</v>
      </c>
      <c r="I58" s="420" t="e">
        <f ca="1">VLOOKUP(_xlfn.CONCAT($B$3,$C$3,$E$3,$B58,I$52),FC_DATA!$R$2:$AF$1000,MATCH("NOOS%",FC_DATA!$R$1:$AF$1,0),FALSE)</f>
        <v>#N/A</v>
      </c>
      <c r="J58" s="420" t="e">
        <f ca="1">VLOOKUP(_xlfn.CONCAT($B$3,$C$3,$E$3,$B58,J$52),FC_DATA!$R$2:$AF$1000,MATCH("NOOS%",FC_DATA!$R$1:$AF$1,0),FALSE)</f>
        <v>#N/A</v>
      </c>
      <c r="K58" s="420" t="e">
        <f ca="1">VLOOKUP(_xlfn.CONCAT($B$3,$C$3,$E$3,$B58,K$52),FC_DATA!$R$2:$AF$1000,MATCH("NOOS%",FC_DATA!$R$1:$AF$1,0),FALSE)</f>
        <v>#N/A</v>
      </c>
      <c r="L58" s="420" t="e">
        <f ca="1">VLOOKUP(_xlfn.CONCAT($B$3,$C$3,$E$3,$B58,L$52),FC_DATA!$R$2:$AF$1000,MATCH("NOOS%",FC_DATA!$R$1:$AF$1,0),FALSE)</f>
        <v>#N/A</v>
      </c>
      <c r="M58" s="420" t="e">
        <f ca="1">VLOOKUP(_xlfn.CONCAT($B$3,$C$3,$E$3,$B58,M$52),FC_DATA!$R$2:$AF$1000,MATCH("NOOS%",FC_DATA!$R$1:$AF$1,0),FALSE)</f>
        <v>#N/A</v>
      </c>
      <c r="N58" s="420" t="e">
        <f ca="1">VLOOKUP(_xlfn.CONCAT($B$3,$C$3,$E$3,$B58,N$52),FC_DATA!$R$2:$AF$1000,MATCH("NOOS%",FC_DATA!$R$1:$AF$1,0),FALSE)</f>
        <v>#N/A</v>
      </c>
      <c r="O58" s="420" t="e">
        <f ca="1">VLOOKUP(_xlfn.CONCAT($B$3,$C$3,$E$3,$B58,O$52),FC_DATA!$R$2:$AF$1000,MATCH("NOOS%",FC_DATA!$R$1:$AF$1,0),FALSE)</f>
        <v>#N/A</v>
      </c>
      <c r="R58" s="441" t="str">
        <f ca="1">$B$12</f>
        <v>19/20</v>
      </c>
      <c r="S58" s="420" t="str">
        <f ca="1">R58&amp;" FC"</f>
        <v>19/20 FC</v>
      </c>
      <c r="T58" s="420" t="e">
        <f ca="1">VLOOKUP(_xlfn.CONCAT(DASHBOARD!$B$3,DASHBOARD!$C$3,DASHBOARD!$E$3,DASHBOARD!$R58,DASHBOARD!T$52),FC_DATA!$A$2:$M$5000,MATCH("NOOS%",FC_DATA!$A$1:$M$1,0),FALSE)</f>
        <v>#N/A</v>
      </c>
      <c r="U58" s="420" t="e">
        <f ca="1">VLOOKUP(_xlfn.CONCAT(DASHBOARD!$B$3,DASHBOARD!$C$3,DASHBOARD!$E$3,DASHBOARD!$R58,DASHBOARD!U$52),FC_DATA!$A$2:$M$5000,MATCH("NOOS%",FC_DATA!$A$1:$M$1,0),FALSE)</f>
        <v>#N/A</v>
      </c>
      <c r="V58" s="420" t="e">
        <f ca="1">VLOOKUP(_xlfn.CONCAT(DASHBOARD!$B$3,DASHBOARD!$C$3,DASHBOARD!$E$3,DASHBOARD!$R58,DASHBOARD!V$52),FC_DATA!$A$2:$M$5000,MATCH("NOOS%",FC_DATA!$A$1:$M$1,0),FALSE)</f>
        <v>#N/A</v>
      </c>
      <c r="W58" s="420" t="e">
        <f ca="1">VLOOKUP(_xlfn.CONCAT(DASHBOARD!$B$3,DASHBOARD!$C$3,DASHBOARD!$E$3,DASHBOARD!$R58,DASHBOARD!W$52),FC_DATA!$A$2:$M$5000,MATCH("NOOS%",FC_DATA!$A$1:$M$1,0),FALSE)</f>
        <v>#N/A</v>
      </c>
      <c r="X58" s="420"/>
      <c r="Y58" s="420"/>
      <c r="Z58" s="420"/>
    </row>
    <row r="59" spans="1:40" x14ac:dyDescent="0.25">
      <c r="R59" s="420"/>
      <c r="S59" s="420"/>
      <c r="T59" s="420"/>
      <c r="U59" s="420"/>
      <c r="V59" s="420"/>
      <c r="W59" s="420"/>
      <c r="X59" s="420"/>
      <c r="Y59" s="420"/>
      <c r="Z59" s="420"/>
    </row>
    <row r="60" spans="1:40" x14ac:dyDescent="0.25">
      <c r="R60" s="420"/>
      <c r="S60" s="420"/>
      <c r="T60" s="420"/>
      <c r="U60" s="420"/>
      <c r="V60" s="420"/>
      <c r="W60" s="420"/>
      <c r="X60" s="420"/>
      <c r="Y60" s="420"/>
      <c r="Z60" s="420"/>
    </row>
    <row r="61" spans="1:40" x14ac:dyDescent="0.25">
      <c r="P61" s="419" t="s">
        <v>195</v>
      </c>
      <c r="R61" s="420"/>
      <c r="S61" s="420"/>
      <c r="T61" s="420"/>
      <c r="U61" s="420"/>
      <c r="V61" s="420"/>
      <c r="W61" s="420"/>
      <c r="X61" s="420"/>
      <c r="Y61" s="420"/>
      <c r="Z61" s="420"/>
    </row>
    <row r="62" spans="1:40" x14ac:dyDescent="0.25">
      <c r="R62" s="420"/>
      <c r="S62" s="420"/>
      <c r="T62" s="420"/>
      <c r="U62" s="420"/>
      <c r="V62" s="420"/>
      <c r="W62" s="420"/>
      <c r="X62" s="420"/>
      <c r="Y62" s="420"/>
      <c r="Z62" s="420"/>
    </row>
    <row r="63" spans="1:40" x14ac:dyDescent="0.25">
      <c r="R63" s="420"/>
      <c r="S63" s="420"/>
      <c r="T63" s="420"/>
      <c r="U63" s="420"/>
      <c r="V63" s="420"/>
      <c r="W63" s="420"/>
      <c r="X63" s="420"/>
      <c r="Y63" s="420"/>
      <c r="Z63" s="420"/>
    </row>
    <row r="64" spans="1:40" x14ac:dyDescent="0.25">
      <c r="R64" s="420"/>
      <c r="S64" s="420"/>
      <c r="T64" s="420"/>
      <c r="U64" s="420"/>
      <c r="V64" s="420"/>
      <c r="W64" s="420"/>
      <c r="X64" s="420"/>
      <c r="Y64" s="420"/>
      <c r="Z64" s="420"/>
    </row>
    <row r="65" spans="18:26" x14ac:dyDescent="0.25">
      <c r="R65" s="420"/>
      <c r="S65" s="420"/>
      <c r="T65" s="420"/>
      <c r="U65" s="420"/>
      <c r="V65" s="420"/>
      <c r="W65" s="420"/>
      <c r="X65" s="420"/>
      <c r="Y65" s="420"/>
      <c r="Z65" s="420"/>
    </row>
  </sheetData>
  <sheetProtection pivotTables="0"/>
  <protectedRanges>
    <protectedRange sqref="A1:B1048576" name="Range2"/>
  </protectedRanges>
  <mergeCells count="8">
    <mergeCell ref="V1:X1"/>
    <mergeCell ref="J1:L1"/>
    <mergeCell ref="C56:O56"/>
    <mergeCell ref="C5:P5"/>
    <mergeCell ref="C10:P10"/>
    <mergeCell ref="C31:P31"/>
    <mergeCell ref="C36:P36"/>
    <mergeCell ref="C51:O51"/>
  </mergeCells>
  <conditionalFormatting sqref="D7:O9">
    <cfRule type="containsErrors" dxfId="78" priority="8">
      <formula>ISERROR(D7)</formula>
    </cfRule>
  </conditionalFormatting>
  <conditionalFormatting sqref="D11:O12">
    <cfRule type="containsErrors" dxfId="77" priority="7">
      <formula>ISERROR(D11)</formula>
    </cfRule>
  </conditionalFormatting>
  <conditionalFormatting sqref="S42">
    <cfRule type="containsErrors" dxfId="76" priority="6">
      <formula>ISERROR(S42)</formula>
    </cfRule>
  </conditionalFormatting>
  <conditionalFormatting sqref="K13:O13">
    <cfRule type="containsErrors" dxfId="75" priority="3">
      <formula>ISERROR(K13)</formula>
    </cfRule>
  </conditionalFormatting>
  <conditionalFormatting sqref="D14:O15">
    <cfRule type="containsErrors" dxfId="74" priority="5">
      <formula>ISERROR(D14)</formula>
    </cfRule>
  </conditionalFormatting>
  <conditionalFormatting sqref="R41">
    <cfRule type="containsErrors" dxfId="73" priority="4">
      <formula>ISERROR(R41)</formula>
    </cfRule>
  </conditionalFormatting>
  <conditionalFormatting sqref="D33:O35">
    <cfRule type="containsErrors" dxfId="72" priority="2">
      <formula>ISERROR(D33)</formula>
    </cfRule>
  </conditionalFormatting>
  <conditionalFormatting sqref="D37:O38">
    <cfRule type="containsErrors" dxfId="71" priority="1">
      <formula>ISERROR(D37)</formula>
    </cfRule>
  </conditionalFormatting>
  <hyperlinks>
    <hyperlink ref="V1" location="FRONT_PAGE!A1" display="BACK TO FRONT PAGE" xr:uid="{D2DA1518-7F6E-48C2-86D6-BA90538F5B51}"/>
  </hyperlink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4BD36-FD29-4617-83E8-0364EDD34B8E}">
  <sheetPr codeName="Sheet17">
    <tabColor theme="3" tint="0.59999389629810485"/>
  </sheetPr>
  <dimension ref="A1:BK575"/>
  <sheetViews>
    <sheetView showGridLines="0" zoomScale="70" zoomScaleNormal="70" workbookViewId="0">
      <pane ySplit="1" topLeftCell="A2" activePane="bottomLeft" state="frozen"/>
      <selection activeCell="P64" sqref="P64"/>
      <selection pane="bottomLeft" activeCell="A2" sqref="A2"/>
    </sheetView>
  </sheetViews>
  <sheetFormatPr defaultColWidth="9.140625" defaultRowHeight="15" x14ac:dyDescent="0.25"/>
  <cols>
    <col min="1" max="1" width="2.7109375" style="78" customWidth="1"/>
    <col min="2" max="2" width="20.42578125" style="78" bestFit="1" customWidth="1"/>
    <col min="3" max="3" width="11.7109375" style="78" customWidth="1"/>
    <col min="4" max="5" width="10.7109375" style="78" customWidth="1"/>
    <col min="6" max="6" width="2.7109375" style="90" customWidth="1"/>
    <col min="7" max="9" width="10.7109375" style="78" customWidth="1"/>
    <col min="10" max="10" width="2.7109375" style="90" customWidth="1"/>
    <col min="11" max="13" width="10.7109375" style="78" customWidth="1"/>
    <col min="14" max="14" width="2.7109375" style="90" customWidth="1"/>
    <col min="15" max="17" width="10.7109375" style="78" customWidth="1"/>
    <col min="18" max="18" width="2.7109375" style="90" customWidth="1"/>
    <col min="19" max="19" width="22.85546875" style="78" bestFit="1" customWidth="1"/>
    <col min="20" max="22" width="10.85546875" style="78" customWidth="1"/>
    <col min="23" max="23" width="2.7109375" style="204" customWidth="1"/>
    <col min="24" max="25" width="10.85546875" style="204" customWidth="1"/>
    <col min="26" max="26" width="10.85546875" style="205" customWidth="1"/>
    <col min="27" max="27" width="2.7109375" style="205" customWidth="1"/>
    <col min="28" max="30" width="10.85546875" style="205" customWidth="1"/>
    <col min="31" max="31" width="2.7109375" style="205" customWidth="1"/>
    <col min="32" max="33" width="10.85546875" style="637" customWidth="1"/>
    <col min="34" max="34" width="10.85546875" style="636" customWidth="1"/>
    <col min="35" max="37" width="10.7109375" style="637" customWidth="1"/>
    <col min="38" max="38" width="10.7109375" style="636" customWidth="1"/>
    <col min="39" max="41" width="10.7109375" style="637" customWidth="1"/>
    <col min="42" max="47" width="10.7109375" style="61" customWidth="1"/>
    <col min="48" max="53" width="10.7109375" style="78" customWidth="1"/>
    <col min="54" max="55" width="12" style="78" bestFit="1" customWidth="1"/>
    <col min="56" max="56" width="11" style="78" bestFit="1" customWidth="1"/>
    <col min="57" max="58" width="12" style="78" bestFit="1" customWidth="1"/>
    <col min="59" max="61" width="2" style="78" bestFit="1" customWidth="1"/>
    <col min="62" max="63" width="12" style="78" bestFit="1" customWidth="1"/>
    <col min="64" max="16384" width="9.140625" style="78"/>
  </cols>
  <sheetData>
    <row r="1" spans="2:63" s="74" customFormat="1" ht="17.25" x14ac:dyDescent="0.3">
      <c r="B1" s="72" t="str">
        <f>Q_BRAND_FC!B1</f>
        <v>VM</v>
      </c>
      <c r="C1" s="65"/>
      <c r="D1" s="123" t="str">
        <f ca="1">C5</f>
        <v>18/19</v>
      </c>
      <c r="E1" s="124" t="str">
        <f ca="1">TIME!E9</f>
        <v>Apr</v>
      </c>
      <c r="F1" s="124" t="str">
        <f ca="1">O5&amp;"      "&amp;NWC_FC_NOOS!Q7</f>
        <v>19/20      Jan</v>
      </c>
      <c r="G1" s="73"/>
      <c r="H1" s="73"/>
      <c r="I1" s="65" t="s">
        <v>181</v>
      </c>
      <c r="J1" s="73"/>
      <c r="K1" s="73"/>
      <c r="L1" s="65" t="s">
        <v>185</v>
      </c>
      <c r="M1" s="65"/>
      <c r="N1" s="65"/>
      <c r="O1" s="73"/>
      <c r="P1" s="73"/>
      <c r="Q1" s="73"/>
      <c r="R1" s="73"/>
      <c r="S1" s="73"/>
      <c r="T1" s="73"/>
      <c r="U1" s="73"/>
      <c r="V1" s="73"/>
      <c r="W1" s="73"/>
      <c r="X1" s="73"/>
      <c r="Y1" s="73"/>
      <c r="Z1" s="73"/>
      <c r="AA1" s="560"/>
      <c r="AB1" s="901" t="s">
        <v>202</v>
      </c>
      <c r="AC1" s="901"/>
      <c r="AD1" s="901"/>
      <c r="AE1" s="901"/>
      <c r="AF1" s="901"/>
      <c r="AG1" s="901"/>
      <c r="AH1" s="901"/>
      <c r="AI1" s="634"/>
      <c r="AJ1" s="635"/>
      <c r="AK1" s="635"/>
      <c r="AL1" s="634"/>
      <c r="AM1" s="635"/>
      <c r="AN1" s="635"/>
      <c r="AO1" s="634"/>
      <c r="AP1" s="635"/>
      <c r="AQ1" s="635"/>
      <c r="AR1" s="635"/>
      <c r="AS1" s="635"/>
      <c r="AT1" s="635"/>
      <c r="AU1" s="634"/>
    </row>
    <row r="2" spans="2:63" s="76" customFormat="1" ht="17.25" x14ac:dyDescent="0.3">
      <c r="B2" s="505"/>
      <c r="C2" s="589"/>
      <c r="D2" s="589"/>
      <c r="E2" s="589"/>
      <c r="F2" s="589"/>
      <c r="G2" s="589"/>
      <c r="H2" s="589"/>
      <c r="I2" s="589"/>
      <c r="J2" s="589"/>
      <c r="K2" s="589"/>
      <c r="L2" s="589"/>
      <c r="M2" s="589"/>
      <c r="N2" s="589"/>
      <c r="O2" s="589"/>
      <c r="P2" s="589"/>
      <c r="Q2" s="589"/>
      <c r="R2" s="87"/>
      <c r="S2" s="75"/>
      <c r="T2" s="75"/>
      <c r="U2" s="75"/>
      <c r="W2" s="207"/>
      <c r="X2" s="207"/>
      <c r="Y2" s="207"/>
      <c r="Z2" s="208"/>
      <c r="AA2" s="208"/>
      <c r="AB2" s="208"/>
      <c r="AC2" s="208"/>
      <c r="AD2" s="208"/>
      <c r="AE2" s="208"/>
      <c r="AF2" s="595"/>
      <c r="AG2" s="595"/>
      <c r="AH2" s="596"/>
      <c r="AI2" s="596"/>
      <c r="AJ2" s="595"/>
      <c r="AK2" s="595"/>
      <c r="AL2" s="596"/>
      <c r="AM2" s="595"/>
      <c r="AN2" s="595"/>
      <c r="AO2" s="596"/>
      <c r="AP2" s="595"/>
      <c r="AQ2" s="595"/>
      <c r="AR2" s="595"/>
      <c r="AS2" s="61"/>
      <c r="AT2" s="61"/>
      <c r="AU2" s="596"/>
    </row>
    <row r="3" spans="2:63" ht="18" thickBot="1" x14ac:dyDescent="0.35">
      <c r="B3" s="943" t="s">
        <v>185</v>
      </c>
      <c r="C3" s="937"/>
      <c r="D3" s="937"/>
      <c r="E3" s="937"/>
      <c r="F3" s="937"/>
      <c r="G3" s="937"/>
      <c r="H3" s="937"/>
      <c r="I3" s="937"/>
      <c r="J3" s="937"/>
      <c r="K3" s="937"/>
      <c r="L3" s="937"/>
      <c r="M3" s="937"/>
      <c r="N3" s="937"/>
      <c r="O3" s="937"/>
      <c r="P3" s="937"/>
      <c r="Q3" s="937"/>
      <c r="R3" s="92"/>
      <c r="S3" s="943" t="s">
        <v>187</v>
      </c>
      <c r="T3" s="937"/>
      <c r="U3" s="937"/>
      <c r="V3" s="937"/>
      <c r="W3" s="937"/>
      <c r="X3" s="937"/>
      <c r="Y3" s="937"/>
      <c r="Z3" s="937"/>
      <c r="AA3" s="937"/>
      <c r="AB3" s="937"/>
      <c r="AC3" s="937"/>
      <c r="AD3" s="937"/>
      <c r="AE3" s="937"/>
      <c r="AF3" s="937"/>
      <c r="AG3" s="937"/>
      <c r="AH3" s="937"/>
      <c r="AX3" s="373"/>
      <c r="AY3" s="373"/>
      <c r="AZ3" s="77"/>
    </row>
    <row r="4" spans="2:63" s="76" customFormat="1" ht="17.25" hidden="1" customHeight="1" x14ac:dyDescent="0.3">
      <c r="B4" s="75"/>
      <c r="C4" s="80" t="str">
        <f ca="1">$C5&amp;C7</f>
        <v>18/19Feb</v>
      </c>
      <c r="D4" s="80" t="str">
        <f ca="1">$C5&amp;D7</f>
        <v>18/19Mar</v>
      </c>
      <c r="E4" s="80" t="str">
        <f ca="1">$C5&amp;E7</f>
        <v>18/19Apr</v>
      </c>
      <c r="F4" s="90"/>
      <c r="G4" s="80" t="str">
        <f ca="1">$G5&amp;G7</f>
        <v>18/19May</v>
      </c>
      <c r="H4" s="80" t="str">
        <f ca="1">$G5&amp;H7</f>
        <v>18/19Jun</v>
      </c>
      <c r="I4" s="80" t="str">
        <f ca="1">$G5&amp;I7</f>
        <v>18/19Jul</v>
      </c>
      <c r="J4" s="90"/>
      <c r="K4" s="80" t="str">
        <f ca="1">$K5&amp;K7</f>
        <v>19/20Aug</v>
      </c>
      <c r="L4" s="80" t="str">
        <f ca="1">$K5&amp;L7</f>
        <v>19/20Sep</v>
      </c>
      <c r="M4" s="80" t="str">
        <f ca="1">$K5&amp;M7</f>
        <v>19/20Oct</v>
      </c>
      <c r="N4" s="90"/>
      <c r="O4" s="80" t="str">
        <f ca="1">$O5&amp;O7</f>
        <v>19/20Nov</v>
      </c>
      <c r="P4" s="80" t="str">
        <f ca="1">$O5&amp;P7</f>
        <v>19/20Dec</v>
      </c>
      <c r="Q4" s="80" t="str">
        <f ca="1">$O5&amp;Q7</f>
        <v>19/20Jan</v>
      </c>
      <c r="R4" s="87"/>
      <c r="S4" s="578"/>
      <c r="T4" s="80" t="str">
        <f ca="1">$T5&amp;T7</f>
        <v>18/19Feb</v>
      </c>
      <c r="U4" s="80" t="str">
        <f ca="1">$T5&amp;U7</f>
        <v>18/19Mar</v>
      </c>
      <c r="V4" s="80" t="str">
        <f ca="1">$T5&amp;V7</f>
        <v>18/19Apr</v>
      </c>
      <c r="W4" s="90"/>
      <c r="X4" s="80" t="str">
        <f ca="1">$X5&amp;X7</f>
        <v>18/19May</v>
      </c>
      <c r="Y4" s="80" t="str">
        <f ca="1">$X5&amp;Y7</f>
        <v>18/19Jun</v>
      </c>
      <c r="Z4" s="80" t="str">
        <f ca="1">$X5&amp;Z7</f>
        <v>18/19Jul</v>
      </c>
      <c r="AA4" s="90"/>
      <c r="AB4" s="80" t="str">
        <f ca="1">$AB5&amp;AB7</f>
        <v>19/20Aug</v>
      </c>
      <c r="AC4" s="80" t="str">
        <f ca="1">$AB5&amp;AC7</f>
        <v>19/20Sep</v>
      </c>
      <c r="AD4" s="80" t="str">
        <f ca="1">$AB5&amp;AD7</f>
        <v>19/20Oct</v>
      </c>
      <c r="AE4" s="90"/>
      <c r="AF4" s="80" t="str">
        <f ca="1">$AF5&amp;AF7</f>
        <v>19/20Nov</v>
      </c>
      <c r="AG4" s="80" t="str">
        <f ca="1">$AF5&amp;AG7</f>
        <v>19/20Dec</v>
      </c>
      <c r="AH4" s="80" t="str">
        <f ca="1">$AF5&amp;AH7</f>
        <v>19/20Jan</v>
      </c>
      <c r="AI4" s="595"/>
      <c r="AJ4" s="595"/>
      <c r="AK4" s="595"/>
      <c r="AL4" s="595"/>
      <c r="AM4" s="595"/>
      <c r="AN4" s="595"/>
      <c r="AO4" s="595"/>
      <c r="AP4" s="595"/>
      <c r="AQ4" s="595"/>
      <c r="AR4" s="638"/>
      <c r="AS4" s="595"/>
      <c r="AT4" s="595"/>
      <c r="AU4" s="596"/>
      <c r="AX4" s="373"/>
      <c r="AY4" s="373"/>
      <c r="AZ4" s="78"/>
    </row>
    <row r="5" spans="2:63" s="80" customFormat="1" ht="17.25" x14ac:dyDescent="0.3">
      <c r="B5" s="378"/>
      <c r="C5" s="894" t="str">
        <f ca="1">TIME!$M$27</f>
        <v>18/19</v>
      </c>
      <c r="D5" s="894"/>
      <c r="E5" s="894"/>
      <c r="F5" s="289"/>
      <c r="G5" s="894" t="str">
        <f ca="1">TIME!$M$28</f>
        <v>18/19</v>
      </c>
      <c r="H5" s="894"/>
      <c r="I5" s="894"/>
      <c r="J5" s="289"/>
      <c r="K5" s="894" t="str">
        <f ca="1">TIME!$M$29</f>
        <v>19/20</v>
      </c>
      <c r="L5" s="894"/>
      <c r="M5" s="894"/>
      <c r="N5" s="289"/>
      <c r="O5" s="894" t="str">
        <f ca="1">TIME!$M$30</f>
        <v>19/20</v>
      </c>
      <c r="P5" s="894"/>
      <c r="Q5" s="894"/>
      <c r="R5" s="89"/>
      <c r="S5" s="378"/>
      <c r="T5" s="894" t="str">
        <f ca="1">TIME!$M$27</f>
        <v>18/19</v>
      </c>
      <c r="U5" s="894"/>
      <c r="V5" s="894"/>
      <c r="W5" s="289"/>
      <c r="X5" s="894" t="str">
        <f ca="1">TIME!$M$28</f>
        <v>18/19</v>
      </c>
      <c r="Y5" s="894"/>
      <c r="Z5" s="894"/>
      <c r="AA5" s="289"/>
      <c r="AB5" s="894" t="str">
        <f ca="1">TIME!$M$29</f>
        <v>19/20</v>
      </c>
      <c r="AC5" s="894"/>
      <c r="AD5" s="894"/>
      <c r="AE5" s="289"/>
      <c r="AF5" s="894" t="str">
        <f ca="1">TIME!$M$30</f>
        <v>19/20</v>
      </c>
      <c r="AG5" s="894"/>
      <c r="AH5" s="894"/>
      <c r="AI5" s="638"/>
      <c r="AJ5" s="638"/>
      <c r="AK5" s="638"/>
      <c r="AL5" s="638"/>
      <c r="AM5" s="638"/>
      <c r="AN5" s="638"/>
      <c r="AO5" s="638"/>
      <c r="AP5" s="638"/>
      <c r="AQ5" s="638"/>
      <c r="AR5" s="638"/>
      <c r="AS5" s="61"/>
      <c r="AT5" s="61"/>
      <c r="AU5" s="61"/>
      <c r="AV5" s="373"/>
      <c r="AW5" s="373"/>
      <c r="AX5" s="76"/>
      <c r="AY5" s="76"/>
      <c r="AZ5" s="77"/>
      <c r="BA5" s="373"/>
      <c r="BB5" s="373"/>
      <c r="BC5" s="373"/>
      <c r="BD5" s="373"/>
      <c r="BE5" s="373"/>
      <c r="BF5" s="373"/>
      <c r="BG5" s="373"/>
      <c r="BH5" s="373"/>
      <c r="BI5" s="373"/>
      <c r="BJ5" s="373"/>
      <c r="BK5" s="373"/>
    </row>
    <row r="6" spans="2:63" x14ac:dyDescent="0.25">
      <c r="B6" s="1"/>
      <c r="C6" s="942" t="str">
        <f ca="1">TIME!$N$27</f>
        <v>Q3</v>
      </c>
      <c r="D6" s="942"/>
      <c r="E6" s="942"/>
      <c r="F6" s="289"/>
      <c r="G6" s="942" t="str">
        <f ca="1">TIME!$N$28</f>
        <v>Q4</v>
      </c>
      <c r="H6" s="942"/>
      <c r="I6" s="942"/>
      <c r="J6" s="289"/>
      <c r="K6" s="942" t="str">
        <f ca="1">TIME!$N$29</f>
        <v>Q1</v>
      </c>
      <c r="L6" s="942"/>
      <c r="M6" s="942"/>
      <c r="N6" s="289"/>
      <c r="O6" s="942" t="str">
        <f ca="1">TIME!$N$30</f>
        <v>Q2</v>
      </c>
      <c r="P6" s="942"/>
      <c r="Q6" s="942"/>
      <c r="R6" s="89"/>
      <c r="S6" s="1"/>
      <c r="T6" s="942" t="str">
        <f ca="1">TIME!$N$27</f>
        <v>Q3</v>
      </c>
      <c r="U6" s="942"/>
      <c r="V6" s="942"/>
      <c r="W6" s="289"/>
      <c r="X6" s="942" t="str">
        <f ca="1">TIME!$N$28</f>
        <v>Q4</v>
      </c>
      <c r="Y6" s="942"/>
      <c r="Z6" s="942"/>
      <c r="AA6" s="289"/>
      <c r="AB6" s="942" t="str">
        <f ca="1">TIME!$N$29</f>
        <v>Q1</v>
      </c>
      <c r="AC6" s="942"/>
      <c r="AD6" s="942"/>
      <c r="AE6" s="289"/>
      <c r="AF6" s="942" t="str">
        <f ca="1">TIME!$N$30</f>
        <v>Q2</v>
      </c>
      <c r="AG6" s="942"/>
      <c r="AH6" s="942"/>
      <c r="AR6" s="638"/>
      <c r="AV6" s="373"/>
      <c r="AW6" s="373"/>
      <c r="AX6" s="373"/>
      <c r="AY6" s="373"/>
      <c r="AZ6" s="373"/>
      <c r="BA6" s="373"/>
      <c r="BB6" s="373"/>
      <c r="BC6" s="373"/>
      <c r="BD6" s="373"/>
      <c r="BE6" s="373"/>
      <c r="BF6" s="373"/>
      <c r="BG6" s="373"/>
      <c r="BH6" s="373"/>
      <c r="BI6" s="373"/>
      <c r="BJ6" s="373"/>
      <c r="BK6" s="373"/>
    </row>
    <row r="7" spans="2:63" x14ac:dyDescent="0.25">
      <c r="B7" s="379"/>
      <c r="C7" s="380" t="str">
        <f ca="1">VLOOKUP(IF(C6="Q1",1,IF(C6="Q2",4,IF(C6="Q3",7,IF(C6="Q4",10)))),TIME!$H$12:$I$23,2,0)</f>
        <v>Feb</v>
      </c>
      <c r="D7" s="380" t="str">
        <f ca="1">VLOOKUP(C7,TIME!$S$27:$U$39,3,0)</f>
        <v>Mar</v>
      </c>
      <c r="E7" s="380" t="str">
        <f ca="1">VLOOKUP(D7,TIME!$S$27:$U$39,3,0)</f>
        <v>Apr</v>
      </c>
      <c r="F7" s="289"/>
      <c r="G7" s="380" t="str">
        <f ca="1">VLOOKUP(IF(G6="Q1",1,IF(G6="Q2",4,IF(G6="Q3",7,IF(G6="Q4",10)))),TIME!$H$12:$I$23,2,0)</f>
        <v>May</v>
      </c>
      <c r="H7" s="380" t="str">
        <f ca="1">VLOOKUP(G7,TIME!$S$27:$U$39,3,0)</f>
        <v>Jun</v>
      </c>
      <c r="I7" s="380" t="str">
        <f ca="1">VLOOKUP(H7,TIME!$S$27:$U$39,3,0)</f>
        <v>Jul</v>
      </c>
      <c r="J7" s="289"/>
      <c r="K7" s="380" t="str">
        <f ca="1">VLOOKUP(IF(K6="Q1",1,IF(K6="Q2",4,IF(K6="Q3",7,IF(K6="Q4",10)))),TIME!$H$12:$I$23,2,0)</f>
        <v>Aug</v>
      </c>
      <c r="L7" s="380" t="str">
        <f ca="1">VLOOKUP(K7,TIME!$S$27:$U$39,3,0)</f>
        <v>Sep</v>
      </c>
      <c r="M7" s="380" t="str">
        <f ca="1">VLOOKUP(L7,TIME!$S$27:$U$39,3,0)</f>
        <v>Oct</v>
      </c>
      <c r="N7" s="289"/>
      <c r="O7" s="380" t="str">
        <f ca="1">VLOOKUP(IF(O6="Q1",1,IF(O6="Q2",4,IF(O6="Q3",7,IF(O6="Q4",10)))),TIME!$H$12:$I$23,2,0)</f>
        <v>Nov</v>
      </c>
      <c r="P7" s="380" t="str">
        <f ca="1">VLOOKUP(O7,TIME!$S$27:$U$39,3,0)</f>
        <v>Dec</v>
      </c>
      <c r="Q7" s="380" t="str">
        <f ca="1">VLOOKUP(P7,TIME!$S$27:$U$39,3,0)</f>
        <v>Jan</v>
      </c>
      <c r="S7" s="379"/>
      <c r="T7" s="380" t="str">
        <f ca="1">C7</f>
        <v>Feb</v>
      </c>
      <c r="U7" s="380" t="str">
        <f ca="1">D7</f>
        <v>Mar</v>
      </c>
      <c r="V7" s="380" t="str">
        <f ca="1">E7</f>
        <v>Apr</v>
      </c>
      <c r="W7" s="289"/>
      <c r="X7" s="380" t="str">
        <f ca="1">G7</f>
        <v>May</v>
      </c>
      <c r="Y7" s="380" t="str">
        <f ca="1">H7</f>
        <v>Jun</v>
      </c>
      <c r="Z7" s="380" t="str">
        <f ca="1">I7</f>
        <v>Jul</v>
      </c>
      <c r="AA7" s="289"/>
      <c r="AB7" s="380" t="str">
        <f ca="1">K7</f>
        <v>Aug</v>
      </c>
      <c r="AC7" s="380" t="str">
        <f ca="1">L7</f>
        <v>Sep</v>
      </c>
      <c r="AD7" s="380" t="str">
        <f ca="1">M7</f>
        <v>Oct</v>
      </c>
      <c r="AE7" s="289"/>
      <c r="AF7" s="380" t="str">
        <f ca="1">O7</f>
        <v>Nov</v>
      </c>
      <c r="AG7" s="380" t="str">
        <f ca="1">P7</f>
        <v>Dec</v>
      </c>
      <c r="AH7" s="380" t="str">
        <f ca="1">Q7</f>
        <v>Jan</v>
      </c>
      <c r="AR7" s="638"/>
      <c r="AV7" s="373"/>
      <c r="AW7" s="373"/>
      <c r="AX7" s="373"/>
      <c r="AY7" s="373"/>
      <c r="AZ7" s="373"/>
      <c r="BA7" s="373"/>
      <c r="BB7" s="373"/>
      <c r="BC7" s="373"/>
      <c r="BD7" s="373"/>
      <c r="BE7" s="373"/>
      <c r="BF7" s="373"/>
      <c r="BG7" s="373"/>
      <c r="BH7" s="373"/>
      <c r="BI7" s="373"/>
      <c r="BJ7" s="373"/>
      <c r="BK7" s="373"/>
    </row>
    <row r="8" spans="2:63" x14ac:dyDescent="0.25">
      <c r="B8" s="1" t="str">
        <f t="shared" ref="B8:B23" si="0">B54</f>
        <v>ACCESSORIES</v>
      </c>
      <c r="C8" s="759"/>
      <c r="D8" s="759"/>
      <c r="E8" s="759"/>
      <c r="F8" s="93"/>
      <c r="G8" s="759"/>
      <c r="H8" s="759"/>
      <c r="I8" s="759"/>
      <c r="J8" s="93"/>
      <c r="K8" s="759"/>
      <c r="L8" s="759"/>
      <c r="M8" s="759"/>
      <c r="N8" s="93"/>
      <c r="O8" s="759"/>
      <c r="P8" s="759"/>
      <c r="Q8" s="759"/>
      <c r="S8" s="1" t="str">
        <f t="shared" ref="S8:S23" si="1">B8</f>
        <v>ACCESSORIES</v>
      </c>
      <c r="T8" s="85">
        <f t="shared" ref="T8:T23" ca="1" si="2">IF(C8&lt;=4.3,C8*D76,IF(C8&gt;25.8,D54+E54+G54+H54+I54+K54+(L76*(C8-25.8)),IF(C8&gt;21.5,D54+E54+G54+H54+I54+(K76*(C8-21.5)),IF(C8&gt;17.2,D54+E54+G54+H54+(I76*(C8-17.2)),IF(C8&gt;12.9,D54+E54+G54+(H76*(C8-12.9)),IF(C8&gt;8.6,D54+E54+(G76*(C8-8.6)),IF(C8&gt;4.3,D54+(E76*(C8-4.3)),0)))))))</f>
        <v>0</v>
      </c>
      <c r="U8" s="85">
        <f t="shared" ref="U8:U23" ca="1" si="3">IF(D8&lt;=4.3,D8*E76,IF(D8&gt;25.8,E54+G54+H54+I54+K54+L54+(M76*(D8-25.8)),IF(D8&gt;21.5,E54+G54+H54+I54+K54+(L76*(D8-21.5)),IF(D8&gt;17.2,E54+G54+H54+I54+(K76*(D8-17.2)),IF(D8&gt;12.9,E54+G54+H54+(I76*(D8-12.9)),IF(D8&gt;8.6,E54+G54+(H76*(D8-8.6)),IF(D8&gt;4.3,E54+(G76*(D8-4.3)),0)))))))</f>
        <v>0</v>
      </c>
      <c r="V8" s="85">
        <f t="shared" ref="V8:V23" ca="1" si="4">IF(E8&lt;=4.3,E8*G76,IF(E8&gt;25.8,G54+H54+I54+K54+L54+M54+(O76*(E8-25.8)),IF(E8&gt;21.5,G54+H54+I54+K54+L54+(M76*(E8-21.5)),IF(E8&gt;17.2,G54+H54+I54+K54+(L76*(E8-17.2)),IF(E8&gt;12.9,G54+H54+I54+(K76*(E8-12.9)),IF(E8&gt;8.6,G54+H54+(I76*(E8-8.6)),IF(E8&gt;4.3,G54+(H76*(E8-4.3)),0)))))))</f>
        <v>0</v>
      </c>
      <c r="W8" s="91"/>
      <c r="X8" s="85">
        <f t="shared" ref="X8:X23" ca="1" si="5">IF(G8&lt;=4.3,G8*H76,IF(G8&gt;25.8,H54+I54+K54+L54+M54+O54+(P76*(G8-25.8)),IF(G8&gt;21.5,H54+I54+K54+L54+M54+(O76*(G8-21.5)),IF(G8&gt;17.2,H54+I54+K54+L54+(M76*(G8-17.2)),IF(G8&gt;12.9,H54+I54+K54+(L76*(G8-12.9)),IF(G8&gt;8.6,H54+I54+(K76*(G8-8.6)),IF(G8&gt;4.3,H54+(I76*(G8-4.3)),0)))))))</f>
        <v>0</v>
      </c>
      <c r="Y8" s="85">
        <f t="shared" ref="Y8:Y23" ca="1" si="6">IF(H8&lt;=4.3,H8*I76,IF(H8&gt;25.8,I54+K54+L54+M54+O54+P54+(Q76*(H8-25.8)),IF(H8&gt;21.5,I54+K54+L54+M54+O54+(P76*(H8-21.5)),IF(H8&gt;17.2,I54+K54+L54+M54+(O76*(H8-17.2)),IF(H8&gt;12.9,I54+K54+L54+(M76*(H8-12.9)),IF(H8&gt;8.6,I54+K54+(L76*(H8-8.6)),IF(H8&gt;4.3,I54+(K76*(H8-4.3)),0)))))))</f>
        <v>0</v>
      </c>
      <c r="Z8" s="85">
        <f t="shared" ref="Z8:Z23" ca="1" si="7">IF(I8&lt;=4.3,I8*K76,IF(I8&gt;25.8,K54+L54+M54+O54+P54+Q54+(S76*(I8-25.8)),IF(I8&gt;21.5,K54+L54+M54+O54+P54+(Q76*(I8-21.5)),IF(I8&gt;17.2,K54+L54+M54+O54+(P76*(I8-17.2)),IF(I8&gt;12.9,K54+L54+M54+(O76*(I8-12.9)),IF(I8&gt;8.6,K54+L54+(M76*(I8-8.6)),IF(I8&gt;4.3,K54+(L76*(I8-4.3)),0)))))))</f>
        <v>0</v>
      </c>
      <c r="AA8" s="91"/>
      <c r="AB8" s="85">
        <f t="shared" ref="AB8:AB23" ca="1" si="8">IF(K8&lt;=4.3,K8*L76,IF(K8&gt;25.8,L54+M54+O54+P54+Q54+S54+(T76*(K8-25.8)),IF(K8&gt;21.5,L54+M54+O54+P54+Q54+(S76*(K8-21.5)),IF(K8&gt;17.2,L54+M54+O54+P54+(Q76*(K8-17.2)),IF(K8&gt;12.9,L54+M54+O54+(P76*(K8-12.9)),IF(K8&gt;8.6,L54+M54+(O76*(K8-8.6)),IF(K8&gt;4.3,L54+(M76*(K8-4.3)),0)))))))</f>
        <v>0</v>
      </c>
      <c r="AC8" s="85">
        <f t="shared" ref="AC8:AC23" ca="1" si="9">IF(L8&lt;=4.3,L8*M76,IF(L8&gt;25.8,M54+O54+P54+Q54+S54+T54+(U76*(L8-25.8)),IF(L8&gt;21.5,M54+O54+P54+Q54+S54+(T76*(L8-21.5)),IF(L8&gt;17.2,M54+O54+P54+Q54+(S76*(L8-17.2)),IF(L8&gt;12.9,M54+O54+P54+(Q76*(L8-12.9)),IF(L8&gt;8.6,M54+O54+(P76*(L8-8.6)),IF(L8&gt;4.3,M54+(O76*(L8-4.3)),0)))))))</f>
        <v>0</v>
      </c>
      <c r="AD8" s="85">
        <f t="shared" ref="AD8:AD23" ca="1" si="10">IF(M8&lt;=4.3,M8*O76,IF(M8&gt;21.5,O54+P54+Q54+S54+T54+(U76*(M8-21.5)),IF(M8&gt;17.2,O54+P54+Q54+S54+(T76*(M8-17.2)),IF(M8&gt;12.9,O54+P54+Q54+(S76*(M8-12.9)),IF(M8&gt;8.6,O54+P54+(Q76*(M8-8.6)),IF(M8&gt;4.3,O54+(P76*(M8-4.3)),0))))))</f>
        <v>0</v>
      </c>
      <c r="AE8" s="91"/>
      <c r="AF8" s="85">
        <f t="shared" ref="AF8:AF23" ca="1" si="11">IF(O8&lt;=4.3,O8*P76,IF(O8&gt;17.2,P54+Q54+S54+T54+(U76*(O8-17.2)),IF(O8&gt;12.9,P54+Q54+S54+(T76*(O8-12.9)),IF(O8&gt;8.6,P54+Q54+(S76*(O8-8.6)),IF(O8&gt;4.3,P54+(Q76*(O8-4.3)),0)))))</f>
        <v>0</v>
      </c>
      <c r="AG8" s="85">
        <f t="shared" ref="AG8:AG23" ca="1" si="12">IF(P8&lt;=4.3,P8*Q76,IF(P8&gt;12.9,Q54+S54+T54+(U76*(P8-12.9)),IF(P8&gt;8.6,Q54+S54+(T76*(P8-8.6)),IF(P8&gt;4.3,Q54+(S76*(P8-4.3)),0))))</f>
        <v>0</v>
      </c>
      <c r="AH8" s="85">
        <f t="shared" ref="AH8:AH23" ca="1" si="13">IF(Q8&lt;=4.3,Q8*S76,IF(Q8&gt;8.6,S54+T54+(U76*(Q8-8.6)),IF(Q8&gt;4.3,S54+(T76*(Q8-4.3)),0)))</f>
        <v>0</v>
      </c>
      <c r="AR8" s="638"/>
      <c r="AV8" s="373"/>
      <c r="AW8" s="373"/>
      <c r="AX8" s="373"/>
      <c r="AY8" s="373"/>
      <c r="AZ8" s="373"/>
      <c r="BA8" s="373"/>
      <c r="BB8" s="373"/>
      <c r="BC8" s="373"/>
      <c r="BD8" s="373"/>
      <c r="BE8" s="373"/>
      <c r="BF8" s="373"/>
      <c r="BG8" s="373"/>
      <c r="BH8" s="373"/>
      <c r="BI8" s="373"/>
      <c r="BJ8" s="373"/>
      <c r="BK8" s="373"/>
    </row>
    <row r="9" spans="2:63" x14ac:dyDescent="0.25">
      <c r="B9" s="1" t="str">
        <f t="shared" si="0"/>
        <v>DRESSES</v>
      </c>
      <c r="C9" s="759"/>
      <c r="D9" s="759"/>
      <c r="E9" s="759"/>
      <c r="F9" s="93"/>
      <c r="G9" s="759"/>
      <c r="H9" s="759"/>
      <c r="I9" s="759"/>
      <c r="J9" s="93"/>
      <c r="K9" s="759"/>
      <c r="L9" s="759"/>
      <c r="M9" s="759"/>
      <c r="N9" s="93"/>
      <c r="O9" s="759"/>
      <c r="P9" s="759"/>
      <c r="Q9" s="759"/>
      <c r="S9" s="1" t="str">
        <f t="shared" si="1"/>
        <v>DRESSES</v>
      </c>
      <c r="T9" s="85">
        <f t="shared" ca="1" si="2"/>
        <v>0</v>
      </c>
      <c r="U9" s="85">
        <f t="shared" ca="1" si="3"/>
        <v>0</v>
      </c>
      <c r="V9" s="85">
        <f t="shared" ca="1" si="4"/>
        <v>0</v>
      </c>
      <c r="W9" s="91"/>
      <c r="X9" s="85">
        <f t="shared" ca="1" si="5"/>
        <v>0</v>
      </c>
      <c r="Y9" s="85">
        <f t="shared" ca="1" si="6"/>
        <v>0</v>
      </c>
      <c r="Z9" s="85">
        <f t="shared" ca="1" si="7"/>
        <v>0</v>
      </c>
      <c r="AA9" s="91"/>
      <c r="AB9" s="85">
        <f t="shared" ca="1" si="8"/>
        <v>0</v>
      </c>
      <c r="AC9" s="85">
        <f t="shared" ca="1" si="9"/>
        <v>0</v>
      </c>
      <c r="AD9" s="85">
        <f t="shared" ca="1" si="10"/>
        <v>0</v>
      </c>
      <c r="AE9" s="91"/>
      <c r="AF9" s="85">
        <f t="shared" ca="1" si="11"/>
        <v>0</v>
      </c>
      <c r="AG9" s="85">
        <f t="shared" ca="1" si="12"/>
        <v>0</v>
      </c>
      <c r="AH9" s="85">
        <f t="shared" ca="1" si="13"/>
        <v>0</v>
      </c>
      <c r="AR9" s="638"/>
      <c r="AV9" s="373"/>
      <c r="AW9" s="373"/>
      <c r="AX9" s="373"/>
      <c r="AY9" s="373"/>
      <c r="AZ9" s="373"/>
      <c r="BA9" s="373"/>
      <c r="BB9" s="373"/>
      <c r="BC9" s="373"/>
      <c r="BD9" s="373"/>
      <c r="BE9" s="373"/>
      <c r="BF9" s="373"/>
    </row>
    <row r="10" spans="2:63" x14ac:dyDescent="0.25">
      <c r="B10" s="1" t="str">
        <f t="shared" si="0"/>
        <v>JEANS</v>
      </c>
      <c r="C10" s="759"/>
      <c r="D10" s="759"/>
      <c r="E10" s="759"/>
      <c r="F10" s="93"/>
      <c r="G10" s="759"/>
      <c r="H10" s="759"/>
      <c r="I10" s="759"/>
      <c r="J10" s="93"/>
      <c r="K10" s="759"/>
      <c r="L10" s="759"/>
      <c r="M10" s="759"/>
      <c r="N10" s="93"/>
      <c r="O10" s="759"/>
      <c r="P10" s="759"/>
      <c r="Q10" s="759"/>
      <c r="S10" s="1" t="str">
        <f t="shared" si="1"/>
        <v>JEANS</v>
      </c>
      <c r="T10" s="85">
        <f t="shared" ca="1" si="2"/>
        <v>0</v>
      </c>
      <c r="U10" s="85">
        <f t="shared" ca="1" si="3"/>
        <v>0</v>
      </c>
      <c r="V10" s="85">
        <f t="shared" ca="1" si="4"/>
        <v>0</v>
      </c>
      <c r="W10" s="91"/>
      <c r="X10" s="85">
        <f t="shared" ca="1" si="5"/>
        <v>0</v>
      </c>
      <c r="Y10" s="85">
        <f t="shared" ca="1" si="6"/>
        <v>0</v>
      </c>
      <c r="Z10" s="85">
        <f t="shared" ca="1" si="7"/>
        <v>0</v>
      </c>
      <c r="AA10" s="91"/>
      <c r="AB10" s="85">
        <f t="shared" ca="1" si="8"/>
        <v>0</v>
      </c>
      <c r="AC10" s="85">
        <f t="shared" ca="1" si="9"/>
        <v>0</v>
      </c>
      <c r="AD10" s="85">
        <f t="shared" ca="1" si="10"/>
        <v>0</v>
      </c>
      <c r="AE10" s="91"/>
      <c r="AF10" s="85">
        <f t="shared" ca="1" si="11"/>
        <v>0</v>
      </c>
      <c r="AG10" s="85">
        <f t="shared" ca="1" si="12"/>
        <v>0</v>
      </c>
      <c r="AH10" s="85">
        <f t="shared" ca="1" si="13"/>
        <v>0</v>
      </c>
      <c r="AR10" s="638"/>
      <c r="AX10" s="373"/>
      <c r="AY10" s="373"/>
      <c r="AZ10" s="373"/>
    </row>
    <row r="11" spans="2:63" x14ac:dyDescent="0.25">
      <c r="B11" s="1" t="str">
        <f t="shared" si="0"/>
        <v>KNIT</v>
      </c>
      <c r="C11" s="759"/>
      <c r="D11" s="759"/>
      <c r="E11" s="759"/>
      <c r="F11" s="93"/>
      <c r="G11" s="759"/>
      <c r="H11" s="759"/>
      <c r="I11" s="759"/>
      <c r="J11" s="93"/>
      <c r="K11" s="759"/>
      <c r="L11" s="759"/>
      <c r="M11" s="759"/>
      <c r="N11" s="93"/>
      <c r="O11" s="759"/>
      <c r="P11" s="759"/>
      <c r="Q11" s="759"/>
      <c r="S11" s="1" t="str">
        <f t="shared" si="1"/>
        <v>KNIT</v>
      </c>
      <c r="T11" s="85">
        <f t="shared" ca="1" si="2"/>
        <v>0</v>
      </c>
      <c r="U11" s="85">
        <f t="shared" ca="1" si="3"/>
        <v>0</v>
      </c>
      <c r="V11" s="85">
        <f t="shared" ca="1" si="4"/>
        <v>0</v>
      </c>
      <c r="W11" s="91"/>
      <c r="X11" s="85">
        <f t="shared" ca="1" si="5"/>
        <v>0</v>
      </c>
      <c r="Y11" s="85">
        <f t="shared" ca="1" si="6"/>
        <v>0</v>
      </c>
      <c r="Z11" s="85">
        <f t="shared" ca="1" si="7"/>
        <v>0</v>
      </c>
      <c r="AA11" s="91"/>
      <c r="AB11" s="85">
        <f t="shared" ca="1" si="8"/>
        <v>0</v>
      </c>
      <c r="AC11" s="85">
        <f t="shared" ca="1" si="9"/>
        <v>0</v>
      </c>
      <c r="AD11" s="85">
        <f t="shared" ca="1" si="10"/>
        <v>0</v>
      </c>
      <c r="AE11" s="91"/>
      <c r="AF11" s="85">
        <f t="shared" ca="1" si="11"/>
        <v>0</v>
      </c>
      <c r="AG11" s="85">
        <f t="shared" ca="1" si="12"/>
        <v>0</v>
      </c>
      <c r="AH11" s="85">
        <f t="shared" ca="1" si="13"/>
        <v>0</v>
      </c>
      <c r="AR11" s="638"/>
      <c r="AX11" s="373"/>
      <c r="AY11" s="373"/>
      <c r="AZ11" s="373"/>
    </row>
    <row r="12" spans="2:63" x14ac:dyDescent="0.25">
      <c r="B12" s="1" t="str">
        <f t="shared" si="0"/>
        <v>OUTERWEAR</v>
      </c>
      <c r="C12" s="759"/>
      <c r="D12" s="759"/>
      <c r="E12" s="759"/>
      <c r="F12" s="93"/>
      <c r="G12" s="759"/>
      <c r="H12" s="759"/>
      <c r="I12" s="759"/>
      <c r="J12" s="93"/>
      <c r="K12" s="759"/>
      <c r="L12" s="759"/>
      <c r="M12" s="759"/>
      <c r="N12" s="93"/>
      <c r="O12" s="759"/>
      <c r="P12" s="759"/>
      <c r="Q12" s="759"/>
      <c r="S12" s="1" t="str">
        <f t="shared" si="1"/>
        <v>OUTERWEAR</v>
      </c>
      <c r="T12" s="85">
        <f t="shared" ca="1" si="2"/>
        <v>0</v>
      </c>
      <c r="U12" s="85">
        <f t="shared" ca="1" si="3"/>
        <v>0</v>
      </c>
      <c r="V12" s="85">
        <f t="shared" ca="1" si="4"/>
        <v>0</v>
      </c>
      <c r="W12" s="91"/>
      <c r="X12" s="85">
        <f t="shared" ca="1" si="5"/>
        <v>0</v>
      </c>
      <c r="Y12" s="85">
        <f t="shared" ca="1" si="6"/>
        <v>0</v>
      </c>
      <c r="Z12" s="85">
        <f t="shared" ca="1" si="7"/>
        <v>0</v>
      </c>
      <c r="AA12" s="91"/>
      <c r="AB12" s="85">
        <f t="shared" ca="1" si="8"/>
        <v>0</v>
      </c>
      <c r="AC12" s="85">
        <f t="shared" ca="1" si="9"/>
        <v>0</v>
      </c>
      <c r="AD12" s="85">
        <f t="shared" ca="1" si="10"/>
        <v>0</v>
      </c>
      <c r="AE12" s="91"/>
      <c r="AF12" s="85">
        <f t="shared" ca="1" si="11"/>
        <v>0</v>
      </c>
      <c r="AG12" s="85">
        <f t="shared" ca="1" si="12"/>
        <v>0</v>
      </c>
      <c r="AH12" s="85">
        <f t="shared" ca="1" si="13"/>
        <v>0</v>
      </c>
      <c r="AR12" s="638"/>
      <c r="AX12" s="373"/>
      <c r="AY12" s="373"/>
      <c r="AZ12" s="373"/>
    </row>
    <row r="13" spans="2:63" x14ac:dyDescent="0.25">
      <c r="B13" s="1" t="str">
        <f t="shared" si="0"/>
        <v>PANTS</v>
      </c>
      <c r="C13" s="759"/>
      <c r="D13" s="759"/>
      <c r="E13" s="759"/>
      <c r="F13" s="93"/>
      <c r="G13" s="759"/>
      <c r="H13" s="759"/>
      <c r="I13" s="759"/>
      <c r="J13" s="93"/>
      <c r="K13" s="759"/>
      <c r="L13" s="759"/>
      <c r="M13" s="759"/>
      <c r="N13" s="93"/>
      <c r="O13" s="759"/>
      <c r="P13" s="759"/>
      <c r="Q13" s="759"/>
      <c r="S13" s="1" t="str">
        <f t="shared" si="1"/>
        <v>PANTS</v>
      </c>
      <c r="T13" s="85">
        <f t="shared" ca="1" si="2"/>
        <v>0</v>
      </c>
      <c r="U13" s="85">
        <f t="shared" ca="1" si="3"/>
        <v>0</v>
      </c>
      <c r="V13" s="85">
        <f t="shared" ca="1" si="4"/>
        <v>0</v>
      </c>
      <c r="W13" s="91"/>
      <c r="X13" s="85">
        <f t="shared" ca="1" si="5"/>
        <v>0</v>
      </c>
      <c r="Y13" s="85">
        <f t="shared" ca="1" si="6"/>
        <v>0</v>
      </c>
      <c r="Z13" s="85">
        <f t="shared" ca="1" si="7"/>
        <v>0</v>
      </c>
      <c r="AA13" s="91"/>
      <c r="AB13" s="85">
        <f t="shared" ca="1" si="8"/>
        <v>0</v>
      </c>
      <c r="AC13" s="85">
        <f t="shared" ca="1" si="9"/>
        <v>0</v>
      </c>
      <c r="AD13" s="85">
        <f t="shared" ca="1" si="10"/>
        <v>0</v>
      </c>
      <c r="AE13" s="91"/>
      <c r="AF13" s="85">
        <f t="shared" ca="1" si="11"/>
        <v>0</v>
      </c>
      <c r="AG13" s="85">
        <f t="shared" ca="1" si="12"/>
        <v>0</v>
      </c>
      <c r="AH13" s="85">
        <f t="shared" ca="1" si="13"/>
        <v>0</v>
      </c>
      <c r="AR13" s="638"/>
      <c r="AX13" s="373"/>
      <c r="AY13" s="373"/>
      <c r="AZ13" s="373"/>
    </row>
    <row r="14" spans="2:63" x14ac:dyDescent="0.25">
      <c r="B14" s="1" t="str">
        <f t="shared" si="0"/>
        <v>SHIRTS</v>
      </c>
      <c r="C14" s="759"/>
      <c r="D14" s="759"/>
      <c r="E14" s="759"/>
      <c r="F14" s="93"/>
      <c r="G14" s="759"/>
      <c r="H14" s="759"/>
      <c r="I14" s="759"/>
      <c r="J14" s="93"/>
      <c r="K14" s="759"/>
      <c r="L14" s="759"/>
      <c r="M14" s="759"/>
      <c r="N14" s="93"/>
      <c r="O14" s="759"/>
      <c r="P14" s="759"/>
      <c r="Q14" s="759"/>
      <c r="S14" s="1" t="str">
        <f t="shared" si="1"/>
        <v>SHIRTS</v>
      </c>
      <c r="T14" s="85">
        <f t="shared" ca="1" si="2"/>
        <v>0</v>
      </c>
      <c r="U14" s="85">
        <f t="shared" ca="1" si="3"/>
        <v>0</v>
      </c>
      <c r="V14" s="85">
        <f t="shared" ca="1" si="4"/>
        <v>0</v>
      </c>
      <c r="W14" s="91"/>
      <c r="X14" s="85">
        <f t="shared" ca="1" si="5"/>
        <v>0</v>
      </c>
      <c r="Y14" s="85">
        <f t="shared" ca="1" si="6"/>
        <v>0</v>
      </c>
      <c r="Z14" s="85">
        <f t="shared" ca="1" si="7"/>
        <v>0</v>
      </c>
      <c r="AA14" s="91"/>
      <c r="AB14" s="85">
        <f t="shared" ca="1" si="8"/>
        <v>0</v>
      </c>
      <c r="AC14" s="85">
        <f t="shared" ca="1" si="9"/>
        <v>0</v>
      </c>
      <c r="AD14" s="85">
        <f t="shared" ca="1" si="10"/>
        <v>0</v>
      </c>
      <c r="AE14" s="91"/>
      <c r="AF14" s="85">
        <f t="shared" ca="1" si="11"/>
        <v>0</v>
      </c>
      <c r="AG14" s="85">
        <f t="shared" ca="1" si="12"/>
        <v>0</v>
      </c>
      <c r="AH14" s="85">
        <f t="shared" ca="1" si="13"/>
        <v>0</v>
      </c>
      <c r="AR14" s="638"/>
      <c r="AX14" s="373"/>
      <c r="AY14" s="373"/>
      <c r="AZ14" s="373"/>
    </row>
    <row r="15" spans="2:63" x14ac:dyDescent="0.25">
      <c r="B15" s="1" t="str">
        <f t="shared" si="0"/>
        <v>SHOES</v>
      </c>
      <c r="C15" s="759"/>
      <c r="D15" s="759"/>
      <c r="E15" s="759"/>
      <c r="F15" s="93"/>
      <c r="G15" s="759"/>
      <c r="H15" s="759"/>
      <c r="I15" s="759"/>
      <c r="J15" s="93"/>
      <c r="K15" s="759"/>
      <c r="L15" s="759"/>
      <c r="M15" s="759"/>
      <c r="N15" s="93"/>
      <c r="O15" s="759"/>
      <c r="P15" s="759"/>
      <c r="Q15" s="759"/>
      <c r="S15" s="1" t="str">
        <f t="shared" si="1"/>
        <v>SHOES</v>
      </c>
      <c r="T15" s="85">
        <f t="shared" ca="1" si="2"/>
        <v>0</v>
      </c>
      <c r="U15" s="85">
        <f t="shared" ca="1" si="3"/>
        <v>0</v>
      </c>
      <c r="V15" s="85">
        <f t="shared" ca="1" si="4"/>
        <v>0</v>
      </c>
      <c r="W15" s="91"/>
      <c r="X15" s="85">
        <f t="shared" ca="1" si="5"/>
        <v>0</v>
      </c>
      <c r="Y15" s="85">
        <f t="shared" ca="1" si="6"/>
        <v>0</v>
      </c>
      <c r="Z15" s="85">
        <f t="shared" ca="1" si="7"/>
        <v>0</v>
      </c>
      <c r="AA15" s="91"/>
      <c r="AB15" s="85">
        <f t="shared" ca="1" si="8"/>
        <v>0</v>
      </c>
      <c r="AC15" s="85">
        <f t="shared" ca="1" si="9"/>
        <v>0</v>
      </c>
      <c r="AD15" s="85">
        <f t="shared" ca="1" si="10"/>
        <v>0</v>
      </c>
      <c r="AE15" s="91"/>
      <c r="AF15" s="85">
        <f t="shared" ca="1" si="11"/>
        <v>0</v>
      </c>
      <c r="AG15" s="85">
        <f t="shared" ca="1" si="12"/>
        <v>0</v>
      </c>
      <c r="AH15" s="85">
        <f t="shared" ca="1" si="13"/>
        <v>0</v>
      </c>
      <c r="AR15" s="638"/>
      <c r="AX15" s="373"/>
      <c r="AY15" s="373"/>
      <c r="AZ15" s="373"/>
    </row>
    <row r="16" spans="2:63" x14ac:dyDescent="0.25">
      <c r="B16" s="1" t="str">
        <f t="shared" si="0"/>
        <v>SHORTS</v>
      </c>
      <c r="C16" s="759"/>
      <c r="D16" s="759"/>
      <c r="E16" s="759"/>
      <c r="F16" s="93"/>
      <c r="G16" s="759"/>
      <c r="H16" s="759"/>
      <c r="I16" s="759"/>
      <c r="J16" s="93"/>
      <c r="K16" s="759"/>
      <c r="L16" s="759"/>
      <c r="M16" s="759"/>
      <c r="N16" s="93"/>
      <c r="O16" s="759"/>
      <c r="P16" s="759"/>
      <c r="Q16" s="759"/>
      <c r="S16" s="1" t="str">
        <f t="shared" si="1"/>
        <v>SHORTS</v>
      </c>
      <c r="T16" s="85">
        <f t="shared" ca="1" si="2"/>
        <v>0</v>
      </c>
      <c r="U16" s="85">
        <f t="shared" ca="1" si="3"/>
        <v>0</v>
      </c>
      <c r="V16" s="85">
        <f t="shared" ca="1" si="4"/>
        <v>0</v>
      </c>
      <c r="W16" s="91"/>
      <c r="X16" s="85">
        <f t="shared" ca="1" si="5"/>
        <v>0</v>
      </c>
      <c r="Y16" s="85">
        <f t="shared" ca="1" si="6"/>
        <v>0</v>
      </c>
      <c r="Z16" s="85">
        <f t="shared" ca="1" si="7"/>
        <v>0</v>
      </c>
      <c r="AA16" s="91"/>
      <c r="AB16" s="85">
        <f t="shared" ca="1" si="8"/>
        <v>0</v>
      </c>
      <c r="AC16" s="85">
        <f t="shared" ca="1" si="9"/>
        <v>0</v>
      </c>
      <c r="AD16" s="85">
        <f t="shared" ca="1" si="10"/>
        <v>0</v>
      </c>
      <c r="AE16" s="91"/>
      <c r="AF16" s="85">
        <f t="shared" ca="1" si="11"/>
        <v>0</v>
      </c>
      <c r="AG16" s="85">
        <f t="shared" ca="1" si="12"/>
        <v>0</v>
      </c>
      <c r="AH16" s="85">
        <f t="shared" ca="1" si="13"/>
        <v>0</v>
      </c>
      <c r="AR16" s="638"/>
      <c r="AX16" s="373"/>
      <c r="AY16" s="373"/>
      <c r="AZ16" s="373"/>
    </row>
    <row r="17" spans="1:52" x14ac:dyDescent="0.25">
      <c r="B17" s="1" t="str">
        <f t="shared" si="0"/>
        <v>SKIRTS</v>
      </c>
      <c r="C17" s="759"/>
      <c r="D17" s="759"/>
      <c r="E17" s="759"/>
      <c r="F17" s="93"/>
      <c r="G17" s="759"/>
      <c r="H17" s="759"/>
      <c r="I17" s="759"/>
      <c r="J17" s="93"/>
      <c r="K17" s="759"/>
      <c r="L17" s="759"/>
      <c r="M17" s="759"/>
      <c r="N17" s="93"/>
      <c r="O17" s="759"/>
      <c r="P17" s="759"/>
      <c r="Q17" s="759"/>
      <c r="S17" s="1" t="str">
        <f t="shared" si="1"/>
        <v>SKIRTS</v>
      </c>
      <c r="T17" s="85">
        <f t="shared" ca="1" si="2"/>
        <v>0</v>
      </c>
      <c r="U17" s="85">
        <f t="shared" ca="1" si="3"/>
        <v>0</v>
      </c>
      <c r="V17" s="85">
        <f t="shared" ca="1" si="4"/>
        <v>0</v>
      </c>
      <c r="W17" s="91"/>
      <c r="X17" s="85">
        <f t="shared" ca="1" si="5"/>
        <v>0</v>
      </c>
      <c r="Y17" s="85">
        <f t="shared" ca="1" si="6"/>
        <v>0</v>
      </c>
      <c r="Z17" s="85">
        <f t="shared" ca="1" si="7"/>
        <v>0</v>
      </c>
      <c r="AA17" s="91"/>
      <c r="AB17" s="85">
        <f t="shared" ca="1" si="8"/>
        <v>0</v>
      </c>
      <c r="AC17" s="85">
        <f t="shared" ca="1" si="9"/>
        <v>0</v>
      </c>
      <c r="AD17" s="85">
        <f t="shared" ca="1" si="10"/>
        <v>0</v>
      </c>
      <c r="AE17" s="91"/>
      <c r="AF17" s="85">
        <f t="shared" ca="1" si="11"/>
        <v>0</v>
      </c>
      <c r="AG17" s="85">
        <f t="shared" ca="1" si="12"/>
        <v>0</v>
      </c>
      <c r="AH17" s="85">
        <f t="shared" ca="1" si="13"/>
        <v>0</v>
      </c>
      <c r="AR17" s="638"/>
      <c r="AX17" s="373"/>
      <c r="AY17" s="373"/>
      <c r="AZ17" s="373"/>
    </row>
    <row r="18" spans="1:52" x14ac:dyDescent="0.25">
      <c r="B18" s="1" t="str">
        <f t="shared" si="0"/>
        <v>SWEAT</v>
      </c>
      <c r="C18" s="759"/>
      <c r="D18" s="759"/>
      <c r="E18" s="759"/>
      <c r="F18" s="93"/>
      <c r="G18" s="759"/>
      <c r="H18" s="759"/>
      <c r="I18" s="759"/>
      <c r="J18" s="93"/>
      <c r="K18" s="759"/>
      <c r="L18" s="759"/>
      <c r="M18" s="759"/>
      <c r="N18" s="93"/>
      <c r="O18" s="759"/>
      <c r="P18" s="759"/>
      <c r="Q18" s="759"/>
      <c r="S18" s="1" t="str">
        <f t="shared" si="1"/>
        <v>SWEAT</v>
      </c>
      <c r="T18" s="85">
        <f t="shared" ca="1" si="2"/>
        <v>0</v>
      </c>
      <c r="U18" s="85">
        <f t="shared" ca="1" si="3"/>
        <v>0</v>
      </c>
      <c r="V18" s="85">
        <f t="shared" ca="1" si="4"/>
        <v>0</v>
      </c>
      <c r="W18" s="91"/>
      <c r="X18" s="85">
        <f t="shared" ca="1" si="5"/>
        <v>0</v>
      </c>
      <c r="Y18" s="85">
        <f t="shared" ca="1" si="6"/>
        <v>0</v>
      </c>
      <c r="Z18" s="85">
        <f t="shared" ca="1" si="7"/>
        <v>0</v>
      </c>
      <c r="AA18" s="91"/>
      <c r="AB18" s="85">
        <f t="shared" ca="1" si="8"/>
        <v>0</v>
      </c>
      <c r="AC18" s="85">
        <f t="shared" ca="1" si="9"/>
        <v>0</v>
      </c>
      <c r="AD18" s="85">
        <f t="shared" ca="1" si="10"/>
        <v>0</v>
      </c>
      <c r="AE18" s="91"/>
      <c r="AF18" s="85">
        <f t="shared" ca="1" si="11"/>
        <v>0</v>
      </c>
      <c r="AG18" s="85">
        <f t="shared" ca="1" si="12"/>
        <v>0</v>
      </c>
      <c r="AH18" s="85">
        <f t="shared" ca="1" si="13"/>
        <v>0</v>
      </c>
      <c r="AR18" s="638"/>
      <c r="AX18" s="373"/>
      <c r="AY18" s="373"/>
      <c r="AZ18" s="373"/>
    </row>
    <row r="19" spans="1:52" x14ac:dyDescent="0.25">
      <c r="B19" s="1" t="str">
        <f t="shared" si="0"/>
        <v>TAILORING</v>
      </c>
      <c r="C19" s="759"/>
      <c r="D19" s="759"/>
      <c r="E19" s="759"/>
      <c r="F19" s="93"/>
      <c r="G19" s="759"/>
      <c r="H19" s="759"/>
      <c r="I19" s="759"/>
      <c r="J19" s="93"/>
      <c r="K19" s="759"/>
      <c r="L19" s="759"/>
      <c r="M19" s="759"/>
      <c r="N19" s="93"/>
      <c r="O19" s="759"/>
      <c r="P19" s="759"/>
      <c r="Q19" s="759"/>
      <c r="S19" s="1" t="str">
        <f t="shared" si="1"/>
        <v>TAILORING</v>
      </c>
      <c r="T19" s="85">
        <f t="shared" ca="1" si="2"/>
        <v>0</v>
      </c>
      <c r="U19" s="85">
        <f t="shared" ca="1" si="3"/>
        <v>0</v>
      </c>
      <c r="V19" s="85">
        <f t="shared" ca="1" si="4"/>
        <v>0</v>
      </c>
      <c r="W19" s="91"/>
      <c r="X19" s="85">
        <f t="shared" ca="1" si="5"/>
        <v>0</v>
      </c>
      <c r="Y19" s="85">
        <f t="shared" ca="1" si="6"/>
        <v>0</v>
      </c>
      <c r="Z19" s="85">
        <f t="shared" ca="1" si="7"/>
        <v>0</v>
      </c>
      <c r="AA19" s="91"/>
      <c r="AB19" s="85">
        <f t="shared" ca="1" si="8"/>
        <v>0</v>
      </c>
      <c r="AC19" s="85">
        <f t="shared" ca="1" si="9"/>
        <v>0</v>
      </c>
      <c r="AD19" s="85">
        <f t="shared" ca="1" si="10"/>
        <v>0</v>
      </c>
      <c r="AE19" s="91"/>
      <c r="AF19" s="85">
        <f t="shared" ca="1" si="11"/>
        <v>0</v>
      </c>
      <c r="AG19" s="85">
        <f t="shared" ca="1" si="12"/>
        <v>0</v>
      </c>
      <c r="AH19" s="85">
        <f t="shared" ca="1" si="13"/>
        <v>0</v>
      </c>
      <c r="AR19" s="638"/>
      <c r="AX19" s="373"/>
      <c r="AY19" s="373"/>
      <c r="AZ19" s="373"/>
    </row>
    <row r="20" spans="1:52" x14ac:dyDescent="0.25">
      <c r="B20" s="1" t="str">
        <f t="shared" si="0"/>
        <v>TOPS</v>
      </c>
      <c r="C20" s="759"/>
      <c r="D20" s="759"/>
      <c r="E20" s="759"/>
      <c r="F20" s="93"/>
      <c r="G20" s="759"/>
      <c r="H20" s="759"/>
      <c r="I20" s="759"/>
      <c r="J20" s="93"/>
      <c r="K20" s="759"/>
      <c r="L20" s="759"/>
      <c r="M20" s="759"/>
      <c r="N20" s="93"/>
      <c r="O20" s="759"/>
      <c r="P20" s="759"/>
      <c r="Q20" s="759"/>
      <c r="S20" s="1" t="str">
        <f t="shared" si="1"/>
        <v>TOPS</v>
      </c>
      <c r="T20" s="85">
        <f t="shared" ca="1" si="2"/>
        <v>0</v>
      </c>
      <c r="U20" s="85">
        <f t="shared" ca="1" si="3"/>
        <v>0</v>
      </c>
      <c r="V20" s="85">
        <f t="shared" ca="1" si="4"/>
        <v>0</v>
      </c>
      <c r="W20" s="91"/>
      <c r="X20" s="85">
        <f t="shared" ca="1" si="5"/>
        <v>0</v>
      </c>
      <c r="Y20" s="85">
        <f t="shared" ca="1" si="6"/>
        <v>0</v>
      </c>
      <c r="Z20" s="85">
        <f t="shared" ca="1" si="7"/>
        <v>0</v>
      </c>
      <c r="AA20" s="91"/>
      <c r="AB20" s="85">
        <f t="shared" ca="1" si="8"/>
        <v>0</v>
      </c>
      <c r="AC20" s="85">
        <f t="shared" ca="1" si="9"/>
        <v>0</v>
      </c>
      <c r="AD20" s="85">
        <f t="shared" ca="1" si="10"/>
        <v>0</v>
      </c>
      <c r="AE20" s="91"/>
      <c r="AF20" s="85">
        <f t="shared" ca="1" si="11"/>
        <v>0</v>
      </c>
      <c r="AG20" s="85">
        <f t="shared" ca="1" si="12"/>
        <v>0</v>
      </c>
      <c r="AH20" s="85">
        <f t="shared" ca="1" si="13"/>
        <v>0</v>
      </c>
      <c r="AR20" s="638"/>
      <c r="AX20" s="373"/>
      <c r="AY20" s="373"/>
      <c r="AZ20" s="373"/>
    </row>
    <row r="21" spans="1:52" x14ac:dyDescent="0.25">
      <c r="B21" s="1" t="str">
        <f t="shared" si="0"/>
        <v>T-SHIRTS</v>
      </c>
      <c r="C21" s="759"/>
      <c r="D21" s="759"/>
      <c r="E21" s="759"/>
      <c r="F21" s="93"/>
      <c r="G21" s="759"/>
      <c r="H21" s="759"/>
      <c r="I21" s="759"/>
      <c r="J21" s="93"/>
      <c r="K21" s="759"/>
      <c r="L21" s="759"/>
      <c r="M21" s="759"/>
      <c r="N21" s="93"/>
      <c r="O21" s="759"/>
      <c r="P21" s="759"/>
      <c r="Q21" s="759"/>
      <c r="S21" s="1" t="str">
        <f t="shared" si="1"/>
        <v>T-SHIRTS</v>
      </c>
      <c r="T21" s="85">
        <f t="shared" ca="1" si="2"/>
        <v>0</v>
      </c>
      <c r="U21" s="85">
        <f t="shared" ca="1" si="3"/>
        <v>0</v>
      </c>
      <c r="V21" s="85">
        <f t="shared" ca="1" si="4"/>
        <v>0</v>
      </c>
      <c r="W21" s="91"/>
      <c r="X21" s="85">
        <f t="shared" ca="1" si="5"/>
        <v>0</v>
      </c>
      <c r="Y21" s="85">
        <f t="shared" ca="1" si="6"/>
        <v>0</v>
      </c>
      <c r="Z21" s="85">
        <f t="shared" ca="1" si="7"/>
        <v>0</v>
      </c>
      <c r="AA21" s="91"/>
      <c r="AB21" s="85">
        <f t="shared" ca="1" si="8"/>
        <v>0</v>
      </c>
      <c r="AC21" s="85">
        <f t="shared" ca="1" si="9"/>
        <v>0</v>
      </c>
      <c r="AD21" s="85">
        <f t="shared" ca="1" si="10"/>
        <v>0</v>
      </c>
      <c r="AE21" s="91"/>
      <c r="AF21" s="85">
        <f t="shared" ca="1" si="11"/>
        <v>0</v>
      </c>
      <c r="AG21" s="85">
        <f t="shared" ca="1" si="12"/>
        <v>0</v>
      </c>
      <c r="AH21" s="85">
        <f t="shared" ca="1" si="13"/>
        <v>0</v>
      </c>
      <c r="AR21" s="638"/>
      <c r="AX21" s="373"/>
      <c r="AY21" s="373"/>
      <c r="AZ21" s="373"/>
    </row>
    <row r="22" spans="1:52" x14ac:dyDescent="0.25">
      <c r="B22" s="1" t="str">
        <f t="shared" si="0"/>
        <v>T-SHIRTS &amp; TOPS</v>
      </c>
      <c r="C22" s="759"/>
      <c r="D22" s="759"/>
      <c r="E22" s="759"/>
      <c r="F22" s="93"/>
      <c r="G22" s="759"/>
      <c r="H22" s="759"/>
      <c r="I22" s="759"/>
      <c r="J22" s="93"/>
      <c r="K22" s="759"/>
      <c r="L22" s="759"/>
      <c r="M22" s="759"/>
      <c r="N22" s="93"/>
      <c r="O22" s="759"/>
      <c r="P22" s="759"/>
      <c r="Q22" s="759"/>
      <c r="S22" s="1" t="str">
        <f t="shared" si="1"/>
        <v>T-SHIRTS &amp; TOPS</v>
      </c>
      <c r="T22" s="85">
        <f t="shared" ca="1" si="2"/>
        <v>0</v>
      </c>
      <c r="U22" s="85">
        <f t="shared" ca="1" si="3"/>
        <v>0</v>
      </c>
      <c r="V22" s="85">
        <f t="shared" ca="1" si="4"/>
        <v>0</v>
      </c>
      <c r="W22" s="91"/>
      <c r="X22" s="85">
        <f t="shared" ca="1" si="5"/>
        <v>0</v>
      </c>
      <c r="Y22" s="85">
        <f t="shared" ca="1" si="6"/>
        <v>0</v>
      </c>
      <c r="Z22" s="85">
        <f t="shared" ca="1" si="7"/>
        <v>0</v>
      </c>
      <c r="AA22" s="91"/>
      <c r="AB22" s="85">
        <f t="shared" ca="1" si="8"/>
        <v>0</v>
      </c>
      <c r="AC22" s="85">
        <f t="shared" ca="1" si="9"/>
        <v>0</v>
      </c>
      <c r="AD22" s="85">
        <f t="shared" ca="1" si="10"/>
        <v>0</v>
      </c>
      <c r="AE22" s="91"/>
      <c r="AF22" s="85">
        <f t="shared" ca="1" si="11"/>
        <v>0</v>
      </c>
      <c r="AG22" s="85">
        <f t="shared" ca="1" si="12"/>
        <v>0</v>
      </c>
      <c r="AH22" s="85">
        <f t="shared" ca="1" si="13"/>
        <v>0</v>
      </c>
      <c r="AR22" s="638"/>
      <c r="AX22" s="373"/>
      <c r="AY22" s="373"/>
      <c r="AZ22" s="373"/>
    </row>
    <row r="23" spans="1:52" s="23" customFormat="1" ht="15" customHeight="1" x14ac:dyDescent="0.25">
      <c r="A23" s="22"/>
      <c r="B23" s="384">
        <f t="shared" si="0"/>
        <v>0</v>
      </c>
      <c r="C23" s="760"/>
      <c r="D23" s="760"/>
      <c r="E23" s="760"/>
      <c r="F23" s="94"/>
      <c r="G23" s="760"/>
      <c r="H23" s="760"/>
      <c r="I23" s="760"/>
      <c r="J23" s="94"/>
      <c r="K23" s="760"/>
      <c r="L23" s="760"/>
      <c r="M23" s="760"/>
      <c r="N23" s="94"/>
      <c r="O23" s="760"/>
      <c r="P23" s="760"/>
      <c r="Q23" s="760"/>
      <c r="R23" s="90"/>
      <c r="S23" s="1">
        <f t="shared" si="1"/>
        <v>0</v>
      </c>
      <c r="T23" s="85">
        <f t="shared" ca="1" si="2"/>
        <v>0</v>
      </c>
      <c r="U23" s="85">
        <f t="shared" ca="1" si="3"/>
        <v>0</v>
      </c>
      <c r="V23" s="85">
        <f t="shared" ca="1" si="4"/>
        <v>0</v>
      </c>
      <c r="W23" s="91"/>
      <c r="X23" s="85">
        <f t="shared" ca="1" si="5"/>
        <v>0</v>
      </c>
      <c r="Y23" s="85">
        <f t="shared" ca="1" si="6"/>
        <v>0</v>
      </c>
      <c r="Z23" s="85">
        <f t="shared" ca="1" si="7"/>
        <v>0</v>
      </c>
      <c r="AA23" s="91"/>
      <c r="AB23" s="85">
        <f t="shared" ca="1" si="8"/>
        <v>0</v>
      </c>
      <c r="AC23" s="85">
        <f t="shared" ca="1" si="9"/>
        <v>0</v>
      </c>
      <c r="AD23" s="85">
        <f t="shared" ca="1" si="10"/>
        <v>0</v>
      </c>
      <c r="AE23" s="91"/>
      <c r="AF23" s="85">
        <f t="shared" ca="1" si="11"/>
        <v>0</v>
      </c>
      <c r="AG23" s="85">
        <f t="shared" ca="1" si="12"/>
        <v>0</v>
      </c>
      <c r="AH23" s="85">
        <f t="shared" ca="1" si="13"/>
        <v>0</v>
      </c>
      <c r="AI23" s="61"/>
      <c r="AJ23" s="61"/>
      <c r="AK23" s="61"/>
      <c r="AL23" s="61"/>
      <c r="AM23" s="61"/>
      <c r="AN23" s="61"/>
      <c r="AO23" s="61"/>
      <c r="AP23" s="61"/>
      <c r="AQ23" s="61"/>
      <c r="AR23" s="638"/>
      <c r="AS23" s="61"/>
      <c r="AT23" s="61"/>
      <c r="AU23" s="61"/>
      <c r="AX23" s="373"/>
      <c r="AY23" s="373"/>
      <c r="AZ23" s="373"/>
    </row>
    <row r="24" spans="1:52" ht="15.75" thickBot="1" x14ac:dyDescent="0.3">
      <c r="B24" s="580" t="s">
        <v>226</v>
      </c>
      <c r="C24" s="663" t="str">
        <f ca="1">IF(T24&lt;D70,T24/D70*4.3,IF(T24&gt;SUM(D$70:$U$70),(T24-SUM(D$70:$U$70))/$U$70*4.3+COUNT(D$70:$U$70),IF(T24&gt;SUM(D$70:$T$70),(T24-SUM(D$70:$T$70))/$U$70*4.3+COUNT(D$70:$T$70)*4.3,IF(T24&gt;SUM(D$70:$S$70),(T24-SUM(D$70:$S$70))/$T$70*4.3+COUNT(D$70:$S$70)*4.3,IF(T24&gt;SUM(D$70:$Q$70),(T24-SUM(D$70:$Q$70))/$S$70*4.3+COUNT(D$70:$Q$70)*4.3,IF(T24&gt;SUM(D$70:$P$70),(T24-SUM(D$70:$P$70))/$Q$70*4.3+COUNT(D$70:$P$70)*4.3,IF(T24&gt;SUM(D$70:$O$70),(T24-SUM(D$70:$O$70))/$P$70*4.3+COUNT(D$70:$O$70)*4.3,IF(T24&gt;SUM(D$70:$M$70),(T24-SUM(D$70:$M$70))/$O$70*4.3+COUNT(D$70:$M$70)*4.3,IF(T24&gt;SUM(D$70:$L$70),(T24-SUM(D$70:$L$70))/$M$70*4.3+COUNT(D$70:$L$70)*4.3,IF(T24&gt;SUM(D$70:$K$70),(T24-SUM(D$70:$K$70))/$L$70*4.3+COUNT(D$70:$K$70)*4.3,IF(T24&gt;SUM(D$70:$I$70),(T24-SUM(D$70:$I$70))/$K$70*4.3+COUNT(D$70:$I$70)*4.3,IF(T24&gt;SUM(D$70:$H$70),(T24-SUM(D$70:$H$70))/$I$70*4.3+COUNT(D$70:$H$70)*4.3,IF(T24&gt;SUM(D$70:$G$70),(T24-SUM(D$70:$G$70))/$H$70*4.3+COUNT(D$70:$G$70)*4.3,IF(T24&gt;SUM(D$70:$E$70),(T24-SUM(D$70:$E$70))/$G$70*4.3+COUNT(D$70:$E$70)*4.3,IF(T24&gt;SUM(D$70:$D$70),(T24-SUM(D$70:$D$70))/$E$70*4.3+COUNT(D$70:$D$70)*4.3,"N/A")))))))))))))))</f>
        <v>N/A</v>
      </c>
      <c r="D24" s="663" t="str">
        <f ca="1">IF(U24&lt;E70,U24/E70*4.3,IF(U24&gt;SUM(E$70:$U$70),(U24-SUM(E$70:$U$70))/$U$70*4.3+COUNT(E$70:$U$70),IF(U24&gt;SUM(E$70:$T$70),(U24-SUM(E$70:$T$70))/$U$70*4.3+COUNT(E$70:$T$70)*4.3,IF(U24&gt;SUM(E$70:$S$70),(U24-SUM(E$70:$S$70))/$T$70*4.3+COUNT(E$70:$S$70)*4.3,IF(U24&gt;SUM(E$70:$Q$70),(U24-SUM(E$70:$Q$70))/$S$70*4.3+COUNT(E$70:$Q$70)*4.3,IF(U24&gt;SUM(E$70:$P$70),(U24-SUM(E$70:$P$70))/$Q$70*4.3+COUNT(E$70:$P$70)*4.3,IF(U24&gt;SUM(E$70:$O$70),(U24-SUM(E$70:$O$70))/$P$70*4.3+COUNT(E$70:$O$70)*4.3,IF(U24&gt;SUM(E$70:$M$70),(U24-SUM(E$70:$M$70))/$O$70*4.3+COUNT(E$70:$M$70)*4.3,IF(U24&gt;SUM(E$70:$L$70),(U24-SUM(E$70:$L$70))/$M$70*4.3+COUNT(E$70:$L$70)*4.3,IF(U24&gt;SUM(E$70:$K$70),(U24-SUM(E$70:$K$70))/$L$70*4.3+COUNT(E$70:$K$70)*4.3,IF(U24&gt;SUM(E$70:$I$70),(U24-SUM(E$70:$I$70))/$K$70*4.3+COUNT(E$70:$I$70)*4.3,IF(U24&gt;SUM(E$70:$H$70),(U24-SUM(E$70:$H$70))/$I$70*4.3+COUNT(E$70:$H$70)*4.3,IF(U24&gt;SUM(E$70:$G$70),(U24-SUM(E$70:$G$70))/$H$70*4.3+COUNT(E$70:$G$70)*4.3,IF(U24&gt;SUM(E$70:$E$70),(U24-SUM(E$70:$E$70))/$G$70*4.3+COUNT(E$70:$E$70)*4.3,IF(U24&gt;SUM($D$70:E$70),(U24-SUM($D$70:E$70))/$E$70*4.3+COUNT($D$70:E$70)*4.3,"N/A")))))))))))))))</f>
        <v>N/A</v>
      </c>
      <c r="E24" s="663" t="str">
        <f ca="1">IF(V24&lt;G70,V24/G70*4.3,IF(V24&gt;SUM(F$70:$U$70),(V24-SUM(F$70:$U$70))/$U$70*4.3+COUNT(F$70:$U$70),IF(V24&gt;SUM(F$70:$T$70),(V24-SUM(F$70:$T$70))/$U$70*4.3+COUNT(F$70:$T$70)*4.3,IF(V24&gt;SUM(F$70:$S$70),(V24-SUM(F$70:$S$70))/$T$70*4.3+COUNT(F$70:$S$70)*4.3,IF(V24&gt;SUM(F$70:$Q$70),(V24-SUM(F$70:$Q$70))/$S$70*4.3+COUNT(F$70:$Q$70)*4.3,IF(V24&gt;SUM(F$70:$P$70),(V24-SUM(F$70:$P$70))/$Q$70*4.3+COUNT(F$70:$P$70)*4.3,IF(V24&gt;SUM(F$70:$O$70),(V24-SUM(F$70:$O$70))/$P$70*4.3+COUNT(F$70:$O$70)*4.3,IF(V24&gt;SUM(F$70:$M$70),(V24-SUM(F$70:$M$70))/$O$70*4.3+COUNT(F$70:$M$70)*4.3,IF(V24&gt;SUM(F$70:$L$70),(V24-SUM(F$70:$L$70))/$M$70*4.3+COUNT(F$70:$L$70)*4.3,IF(V24&gt;SUM(F$70:$K$70),(V24-SUM(F$70:$K$70))/$L$70*4.3+COUNT(F$70:$K$70)*4.3,IF(V24&gt;SUM(F$70:$I$70),(V24-SUM(F$70:$I$70))/$K$70*4.3+COUNT(F$70:$I$70)*4.3,IF(V24&gt;SUM(F$70:$H$70),(V24-SUM(F$70:$H$70))/$I$70*4.3+COUNT(F$70:$H$70)*4.3,IF(V24&gt;SUM(F$70:$G$70),(V24-SUM(F$70:$G$70))/$H$70*4.3+COUNT(F$70:$G$70)*4.3,IF(V24&gt;SUM($E$70:F$70),(V24-SUM($E$70:F$70))/$G$70*4.3+COUNT($E$70:F$70)*4.3,IF(V24&gt;SUM($D$70:F$70),(V24-SUM($D$70:F$70))/$E$70*4.3+COUNT($D$70:F$70)*4.3,"N/A")))))))))))))))</f>
        <v>N/A</v>
      </c>
      <c r="F24" s="664"/>
      <c r="G24" s="663" t="str">
        <f ca="1">IF(X24&lt;H70,X24/H70*4.3,IF(X24&gt;SUM(H$70:$U$70),(X24-SUM(H$70:$U$70))/$U$70*4.3+COUNT(H$70:$U$70),IF(X24&gt;SUM(H$70:$T$70),(X24-SUM(H$70:$T$70))/$U$70*4.3+COUNT(H$70:$T$70)*4.3,IF(X24&gt;SUM(H$70:$S$70),(X24-SUM(H$70:$S$70))/$T$70*4.3+COUNT(H$70:$S$70)*4.3,IF(X24&gt;SUM(H$70:$Q$70),(X24-SUM(H$70:$Q$70))/$S$70*4.3+COUNT(H$70:$Q$70)*4.3,IF(X24&gt;SUM(H$70:$P$70),(X24-SUM(H$70:$P$70))/$Q$70*4.3+COUNT(H$70:$P$70)*4.3,IF(X24&gt;SUM(H$70:$O$70),(X24-SUM(H$70:$O$70))/$P$70*4.3+COUNT(H$70:$O$70)*4.3,IF(X24&gt;SUM(H$70:$M$70),(X24-SUM(H$70:$M$70))/$O$70*4.3+COUNT(H$70:$M$70)*4.3,IF(X24&gt;SUM(H$70:$L$70),(X24-SUM(H$70:$L$70))/$M$70*4.3+COUNT(H$70:$L$70)*4.3,IF(X24&gt;SUM(H$70:$K$70),(X24-SUM(H$70:$K$70))/$L$70*4.3+COUNT(H$70:$K$70)*4.3,IF(X24&gt;SUM(H$70:$I$70),(X24-SUM(H$70:$I$70))/$K$70*4.3+COUNT(H$70:$I$70)*4.3,IF(X24&gt;SUM(H$70:$H$70),(X24-SUM(H$70:$H$70))/$I$70*4.3+COUNT(H$70:$H$70)*4.3,IF(X24&gt;SUM($G$70:H$70),(X24-SUM($G$70:H$70))/$H$70*4.3+COUNT($G$70:H$70)*4.3,IF(X24&gt;SUM($E$70:H$70),(X24-SUM($E$70:H$70))/$G$70*4.3+COUNT($E$70:H$70)*4.3,IF(X24&gt;SUM($D$70:H$70),(X24-SUM($D$70:H$70))/$E$70*4.3+COUNT($D$70:H$70)*4.3,"N/A")))))))))))))))</f>
        <v>N/A</v>
      </c>
      <c r="H24" s="663" t="str">
        <f ca="1">IF(Y24&lt;I70,Y24/I70*4.3,IF(Y24&gt;SUM(I$70:$U$70),(Y24-SUM(I$70:$U$70))/$U$70*4.3+COUNT(I$70:$U$70),IF(Y24&gt;SUM(I$70:$T$70),(Y24-SUM(I$70:$T$70))/$U$70*4.3+COUNT(I$70:$T$70)*4.3,IF(Y24&gt;SUM(I$70:$S$70),(Y24-SUM(I$70:$S$70))/$T$70*4.3+COUNT(I$70:$S$70)*4.3,IF(Y24&gt;SUM(I$70:$Q$70),(Y24-SUM(I$70:$Q$70))/$S$70*4.3+COUNT(I$70:$Q$70)*4.3,IF(Y24&gt;SUM(I$70:$P$70),(Y24-SUM(I$70:$P$70))/$Q$70*4.3+COUNT(I$70:$P$70)*4.3,IF(Y24&gt;SUM(I$70:$O$70),(Y24-SUM(I$70:$O$70))/$P$70*4.3+COUNT(I$70:$O$70)*4.3,IF(Y24&gt;SUM(I$70:$M$70),(Y24-SUM(I$70:$M$70))/$O$70*4.3+COUNT(I$70:$M$70)*4.3,IF(Y24&gt;SUM(I$70:$L$70),(Y24-SUM(I$70:$L$70))/$M$70*4.3+COUNT(I$70:$L$70)*4.3,IF(Y24&gt;SUM(I$70:$K$70),(Y24-SUM(I$70:$K$70))/$L$70*4.3+COUNT(I$70:$K$70)*4.3,IF(Y24&gt;SUM(I$70:$I$70),(Y24-SUM(I$70:$I$70))/$K$70*4.3+COUNT(I$70:$I$70)*4.3,IF(Y24&gt;SUM($H$70:I$70),(Y24-SUM($H$70:I$70))/$I$70*4.3+COUNT($H$70:I$70)*4.3,IF(Y24&gt;SUM($G$70:I$70),(Y24-SUM($G$70:I$70))/$H$70*4.3+COUNT($G$70:I$70)*4.3,IF(Y24&gt;SUM($E$70:I$70),(Y24-SUM($E$70:I$70))/$G$70*4.3+COUNT($E$70:I$70)*4.3,IF(Y24&gt;SUM($D$70:I$70),(Y24-SUM($D$70:I$70))/$E$70*4.3+COUNT($D$70:I$70)*4.3,"N/A")))))))))))))))</f>
        <v>N/A</v>
      </c>
      <c r="I24" s="663" t="str">
        <f ca="1">IF(Z24&lt;K70,Z24/K70*4.3,IF(Z24&gt;SUM(J$70:$U$70),(Z24-SUM(J$70:$U$70))/$U$70*4.3+COUNT(J$70:$U$70),IF(Z24&gt;SUM(J$70:$T$70),(Z24-SUM(J$70:$T$70))/$U$70*4.3+COUNT(J$70:$T$70)*4.3,IF(Z24&gt;SUM(J$70:$S$70),(Z24-SUM(J$70:$S$70))/$T$70*4.3+COUNT(J$70:$S$70)*4.3,IF(Z24&gt;SUM(J$70:$Q$70),(Z24-SUM(J$70:$Q$70))/$S$70*4.3+COUNT(J$70:$Q$70)*4.3,IF(Z24&gt;SUM(J$70:$P$70),(Z24-SUM(J$70:$P$70))/$Q$70*4.3+COUNT(J$70:$P$70)*4.3,IF(Z24&gt;SUM(J$70:$O$70),(Z24-SUM(J$70:$O$70))/$P$70*4.3+COUNT(J$70:$O$70)*4.3,IF(Z24&gt;SUM(J$70:$M$70),(Z24-SUM(J$70:$M$70))/$O$70*4.3+COUNT(J$70:$M$70)*4.3,IF(Z24&gt;SUM(J$70:$L$70),(Z24-SUM(J$70:$L$70))/$M$70*4.3+COUNT(J$70:$L$70)*4.3,IF(Z24&gt;SUM(J$70:$K$70),(Z24-SUM(J$70:$K$70))/$L$70*4.3+COUNT(J$70:$K$70)*4.3,IF(Z24&gt;SUM($I$70:J$70),(Z24-SUM($I$70:J$70))/$K$70*4.3+COUNT($I$70:J$70)*4.3,IF(Z24&gt;SUM($H$70:J$70),(Z24-SUM($H$70:J$70))/$I$70*4.3+COUNT($H$70:J$70)*4.3,IF(Z24&gt;SUM($G$70:J$70),(Z24-SUM($G$70:J$70))/$H$70*4.3+COUNT($G$70:J$70)*4.3,IF(Z24&gt;SUM($E$70:J$70),(Z24-SUM($E$70:J$70))/$G$70*4.3+COUNT($E$70:J$70)*4.3,IF(Z24&gt;SUM($D$70:J$70),(Z24-SUM($D$70:J$70))/$E$70*4.3+COUNT($D$70:J$70)*4.3,"N/A")))))))))))))))</f>
        <v>N/A</v>
      </c>
      <c r="J24" s="664"/>
      <c r="K24" s="663" t="str">
        <f ca="1">IF(AB24&lt;L70,AB24/L70*4.3,IF(AB24&gt;SUM(L$70:$U$70),(AB24-SUM(L$70:$U$70))/$U$70*4.3+COUNT(L$70:$U$70),IF(AB24&gt;SUM(L$70:$T$70),(AB24-SUM(L$70:$T$70))/$U$70*4.3+COUNT(L$70:$T$70)*4.3,IF(AB24&gt;SUM(L$70:$S$70),(AB24-SUM(L$70:$S$70))/$T$70*4.3+COUNT(L$70:$S$70)*4.3,IF(AB24&gt;SUM(L$70:$Q$70),(AB24-SUM(L$70:$Q$70))/$S$70*4.3+COUNT(L$70:$Q$70)*4.3,IF(AB24&gt;SUM(L$70:$P$70),(AB24-SUM(L$70:$P$70))/$Q$70*4.3+COUNT(L$70:$P$70)*4.3,IF(AB24&gt;SUM(L$70:$O$70),(AB24-SUM(L$70:$O$70))/$P$70*4.3+COUNT(L$70:$O$70)*4.3,IF(AB24&gt;SUM(L$70:$M$70),(AB24-SUM(L$70:$M$70))/$O$70*4.3+COUNT(L$70:$M$70)*4.3,IF(AB24&gt;SUM(L$70:$L$70),(AB24-SUM(L$70:$L$70))/$M$70*4.3+COUNT(L$70:$L$70)*4.3,IF(AB24&gt;SUM($K$70:L$70),(AB24-SUM($K$70:L$70))/$L$70*4.3+COUNT($K$70:L$70)*4.3,IF(AB24&gt;SUM($I$70:L$70),(AB24-SUM($I$70:L$70))/$K$70*4.3+COUNT($I$70:L$70)*4.3,IF(AB24&gt;SUM($H$70:L$70),(AB24-SUM($H$70:L$70))/$I$70*4.3+COUNT($H$70:L$70)*4.3,IF(AB24&gt;SUM($G$70:L$70),(AB24-SUM($G$70:L$70))/$H$70*4.3+COUNT($G$70:L$70)*4.3,IF(AB24&gt;SUM($E$70:L$70),(AB24-SUM($E$70:L$70))/$G$70*4.3+COUNT($E$70:L$70)*4.3,IF(AB24&gt;SUM($D$70:L$70),(AB24-SUM($D$70:L$70))/$E$70*4.3+COUNT($D$70:L$70)*4.3,"N/A")))))))))))))))</f>
        <v>N/A</v>
      </c>
      <c r="L24" s="663" t="str">
        <f ca="1">IF(AC24&lt;M70,AC24/M70*4.3,IF(AC24&gt;SUM(M$70:$U$70),(AC24-SUM(M$70:$U$70))/$U$70*4.3+COUNT(M$70:$U$70),IF(AC24&gt;SUM(M$70:$T$70),(AC24-SUM(M$70:$T$70))/$U$70*4.3+COUNT(M$70:$T$70)*4.3,IF(AC24&gt;SUM(M$70:$S$70),(AC24-SUM(M$70:$S$70))/$T$70*4.3+COUNT(M$70:$S$70)*4.3,IF(AC24&gt;SUM(M$70:$Q$70),(AC24-SUM(M$70:$Q$70))/$S$70*4.3+COUNT(M$70:$Q$70)*4.3,IF(AC24&gt;SUM(M$70:$P$70),(AC24-SUM(M$70:$P$70))/$Q$70*4.3+COUNT(M$70:$P$70)*4.3,IF(AC24&gt;SUM(M$70:$O$70),(AC24-SUM(M$70:$O$70))/$P$70*4.3+COUNT(M$70:$O$70)*4.3,IF(AC24&gt;SUM(M$70:$M$70),(AC24-SUM(M$70:$M$70))/$O$70*4.3+COUNT(M$70:$M$70)*4.3,IF(AC24&gt;SUM($L$70:M$70),(AC24-SUM($L$70:M$70))/$M$70*4.3+COUNT($L$70:M$70)*4.3,IF(AC24&gt;SUM($K$70:M$70),(AC24-SUM($K$70:M$70))/$L$70*4.3+COUNT($K$70:M$70)*4.3,IF(AC24&gt;SUM($I$70:M$70),(AC24-SUM($I$70:M$70))/$K$70*4.3+COUNT($I$70:M$70)*4.3,IF(AC24&gt;SUM($H$70:M$70),(AC24-SUM($H$70:M$70))/$I$70*4.3+COUNT($H$70:M$70)*4.3,IF(AC24&gt;SUM($G$70:M$70),(AC24-SUM($G$70:M$70))/$H$70*4.3+COUNT($G$70:M$70)*4.3,IF(AC24&gt;SUM($E$70:M$70),(AC24-SUM($E$70:M$70))/$G$70*4.3+COUNT($E$70:M$70)*4.3,IF(AC24&gt;SUM($D$70:M$70),(AC24-SUM($D$70:M$70))/$E$70*4.3+COUNT($D$70:M$70)*4.3,"N/A")))))))))))))))</f>
        <v>N/A</v>
      </c>
      <c r="M24" s="663" t="str">
        <f ca="1">IF(AD24&lt;O70,AD24/O70*4.3,IF(AD24&gt;SUM(N$70:$U$70),(AD24-SUM(N$70:$U$70))/$U$70*4.3+COUNT(N$70:$U$70),IF(AD24&gt;SUM(N$70:$T$70),(AD24-SUM(N$70:$T$70))/$U$70*4.3+COUNT(N$70:$T$70)*4.3,IF(AD24&gt;SUM(N$70:$S$70),(AD24-SUM(N$70:$S$70))/$T$70*4.3+COUNT(N$70:$S$70)*4.3,IF(AD24&gt;SUM(N$70:$Q$70),(AD24-SUM(N$70:$Q$70))/$S$70*4.3+COUNT(N$70:$Q$70)*4.3,IF(AD24&gt;SUM(N$70:$P$70),(AD24-SUM(N$70:$P$70))/$Q$70*4.3+COUNT(N$70:$P$70)*4.3,IF(AD24&gt;SUM(N$70:$O$70),(AD24-SUM(N$70:$O$70))/$P$70*4.3+COUNT(N$70:$O$70)*4.3,IF(AD24&gt;SUM($M$70:N$70),(AD24-SUM($M$70:N$70))/$O$70*4.3+COUNT($M$70:N$70)*4.3,IF(AD24&gt;SUM($L$70:N$70),(AD24-SUM($L$70:N$70))/$M$70*4.3+COUNT($L$70:N$70)*4.3,IF(AD24&gt;SUM($K$70:N$70),(AD24-SUM($K$70:N$70))/$L$70*4.3+COUNT($K$70:N$70)*4.3,IF(AD24&gt;SUM($I$70:N$70),(AD24-SUM($I$70:N$70))/$K$70*4.3+COUNT($I$70:N$70)*4.3,IF(AD24&gt;SUM($H$70:N$70),(AD24-SUM($H$70:N$70))/$I$70*4.3+COUNT($H$70:N$70)*4.3,IF(AD24&gt;SUM($G$70:N$70),(AD24-SUM($G$70:N$70))/$H$70*4.3+COUNT($G$70:N$70)*4.3,IF(AD24&gt;SUM($E$70:N$70),(AD24-SUM($E$70:N$70))/$G$70*4.3+COUNT($E$70:N$70)*4.3,IF(AD24&gt;SUM($D$70:N$70),(AD24-SUM($D$70:N$70))/$E$70*4.3+COUNT($D$70:N$70)*4.3,"N/A")))))))))))))))</f>
        <v>N/A</v>
      </c>
      <c r="N24" s="664"/>
      <c r="O24" s="663" t="str">
        <f ca="1">IF(AF24&lt;P70,AF24/P70*4.3,IF(AF24&gt;SUM(P$70:$U$70),(AF24-SUM(P$70:$U$70))/$U$70*4.3+COUNT(P$70:$U$70),IF(AF24&gt;SUM(P$70:$T$70),(AF24-SUM(P$70:$T$70))/$U$70*4.3+COUNT(P$70:$T$70)*4.3,IF(AF24&gt;SUM(P$70:$S$70),(AF24-SUM(P$70:$S$70))/$T$70*4.3+COUNT(P$70:$S$70)*4.3,IF(AF24&gt;SUM(P$70:$Q$70),(AF24-SUM(P$70:$Q$70))/$S$70*4.3+COUNT(P$70:$Q$70)*4.3,IF(AF24&gt;SUM(P$70:$P$70),(AF24-SUM(P$70:$P$70))/$Q$70*4.3+COUNT(P$70:$P$70)*4.3,IF(AF24&gt;SUM($O$70:P$70),(AF24-SUM($O$70:P$70))/$P$70*4.3+COUNT($O$70:P$70)*4.3,IF(AF24&gt;SUM($M$70:P$70),(AF24-SUM($M$70:P$70))/$O$70*4.3+COUNT($M$70:P$70)*4.3,IF(AF24&gt;SUM($L$70:P$70),(AF24-SUM($L$70:P$70))/$M$70*4.3+COUNT($L$70:P$70)*4.3,IF(AF24&gt;SUM($K$70:P$70),(AF24-SUM($K$70:P$70))/$L$70*4.3+COUNT($K$70:P$70)*4.3,IF(AF24&gt;SUM($I$70:P$70),(AF24-SUM($I$70:P$70))/$K$70*4.3+COUNT($I$70:P$70)*4.3,IF(AF24&gt;SUM($H$70:P$70),(AF24-SUM($H$70:P$70))/$I$70*4.3+COUNT($H$70:P$70)*4.3,IF(AF24&gt;SUM($G$70:P$70),(AF24-SUM($G$70:P$70))/$H$70*4.3+COUNT($G$70:P$70)*4.3,IF(AF24&gt;SUM($E$70:P$70),(AF24-SUM($E$70:P$70))/$G$70*4.3+COUNT($E$70:P$70)*4.3,IF(AF24&gt;SUM($D$70:P$70),(AF24-SUM($D$70:P$70))/$E$70*4.3+COUNT($D$70:P$70)*4.3,"N/A")))))))))))))))</f>
        <v>N/A</v>
      </c>
      <c r="P24" s="663" t="str">
        <f ca="1">IF(AG24&lt;Q70,AG24/Q70*4.3,IF(AG24&gt;SUM(Q$70:$U$70),(AG24-SUM(Q$70:$U$70))/$U$70*4.3+COUNT(Q$70:$U$70),IF(AG24&gt;SUM(Q$70:$T$70),(AG24-SUM(Q$70:$T$70))/$U$70*4.3+COUNT(Q$70:$T$70)*4.3,IF(AG24&gt;SUM(Q$70:$S$70),(AG24-SUM(Q$70:$S$70))/$T$70*4.3+COUNT(Q$70:$S$70)*4.3,IF(AG24&gt;SUM(Q$70:$Q$70),(AG24-SUM(Q$70:$Q$70))/$S$70*4.3+COUNT(Q$70:$Q$70)*4.3,IF(AG24&gt;SUM($P$70:Q$70),(AG24-SUM($P$70:Q$70))/$Q$70*4.3+COUNT($P$70:Q$70)*4.3,IF(AG24&gt;SUM($O$70:Q$70),(AG24-SUM($O$70:Q$70))/$P$70*4.3+COUNT($O$70:Q$70)*4.3,IF(AG24&gt;SUM($M$70:Q$70),(AG24-SUM($M$70:Q$70))/$O$70*4.3+COUNT($M$70:Q$70)*4.3,IF(AG24&gt;SUM($L$70:Q$70),(AG24-SUM($L$70:Q$70))/$M$70*4.3+COUNT($L$70:Q$70)*4.3,IF(AG24&gt;SUM($K$70:Q$70),(AG24-SUM($K$70:Q$70))/$L$70*4.3+COUNT($K$70:Q$70)*4.3,IF(AG24&gt;SUM($I$70:Q$70),(AG24-SUM($I$70:Q$70))/$K$70*4.3+COUNT($I$70:Q$70)*4.3,IF(AG24&gt;SUM($H$70:Q$70),(AG24-SUM($H$70:Q$70))/$I$70*4.3+COUNT($H$70:Q$70)*4.3,IF(AG24&gt;SUM($G$70:Q$70),(AG24-SUM($G$70:Q$70))/$H$70*4.3+COUNT($G$70:Q$70)*4.3,IF(AG24&gt;SUM($E$70:Q$70),(AG24-SUM($E$70:Q$70))/$G$70*4.3+COUNT($E$70:Q$70)*4.3,IF(AG24&gt;SUM($D$70:Q$70),(AG24-SUM($D$70:Q$70))/$E$70*4.3+COUNT($D$70:Q$70)*4.3,"N/A")))))))))))))))</f>
        <v>N/A</v>
      </c>
      <c r="Q24" s="663" t="str">
        <f ca="1">IF(AH24&lt;S70,AH24/S70*4.3,IF(AH24&gt;SUM(R$70:$U$70),(AH24-SUM(R$70:$U$70))/$U$70*4.3+COUNT(R$70:$U$70),IF(AH24&gt;SUM(R$70:$T$70),(AH24-SUM(R$70:$T$70))/$U$70*4.3+COUNT(R$70:$T$70)*4.3,IF(AH24&gt;SUM(R$70:$S$70),(AH24-SUM(R$70:$S$70))/$T$70*4.3+COUNT(R$70:$S$70)*4.3,IF(AH24&gt;SUM($Q$70:R$70),(AH24-SUM($Q$70:R$70))/$S$70*4.3+COUNT($Q$70:R$70)*4.3,IF(AH24&gt;SUM($P$70:R$70),(AH24-SUM($P$70:R$70))/$Q$70*4.3+COUNT($P$70:R$70)*4.3,IF(AH24&gt;SUM($O$70:R$70),(AH24-SUM($O$70:R$70))/$P$70*4.3+COUNT($O$70:R$70)*4.3,IF(AH24&gt;SUM($M$70:R$70),(AH24-SUM($M$70:R$70))/$O$70*4.3+COUNT($M$70:R$70)*4.3,IF(AH24&gt;SUM($L$70:R$70),(AH24-SUM($L$70:R$70))/$M$70*4.3+COUNT($L$70:R$70)*4.3,IF(AH24&gt;SUM($K$70:R$70),(AH24-SUM($K$70:R$70))/$L$70*4.3+COUNT($K$70:R$70)*4.3,IF(AH24&gt;SUM($I$70:R$70),(AH24-SUM($I$70:R$70))/$K$70*4.3+COUNT($I$70:R$70)*4.3,IF(AH24&gt;SUM($H$70:R$70),(AH24-SUM($H$70:R$70))/$I$70*4.3+COUNT($H$70:R$70)*4.3,IF(AH24&gt;SUM($G$70:R$70),(AH24-SUM($G$70:R$70))/$H$70*4.3+COUNT($G$70:R$70)*4.3,IF(AH24&gt;SUM($E$70:R$70),(AH24-SUM($E$70:R$70))/$G$70*4.3+COUNT($E$70:R$70)*4.3,IF(AH24&gt;SUM($D$70:R$70),(AH24-SUM($D$70:R$70))/$E$70*4.3+COUNT($D$70:R$70)*4.3,"N/A")))))))))))))))</f>
        <v>N/A</v>
      </c>
      <c r="S24" s="381" t="s">
        <v>80</v>
      </c>
      <c r="T24" s="81">
        <f ca="1">SUM(T8:T23)</f>
        <v>0</v>
      </c>
      <c r="U24" s="81">
        <f ca="1">SUM(U8:U23)</f>
        <v>0</v>
      </c>
      <c r="V24" s="81">
        <f ca="1">SUM(V8:V23)</f>
        <v>0</v>
      </c>
      <c r="W24" s="83"/>
      <c r="X24" s="81">
        <f ca="1">SUM(X8:X23)</f>
        <v>0</v>
      </c>
      <c r="Y24" s="81">
        <f ca="1">SUM(Y8:Y23)</f>
        <v>0</v>
      </c>
      <c r="Z24" s="81">
        <f ca="1">SUM(Z8:Z23)</f>
        <v>0</v>
      </c>
      <c r="AA24" s="83"/>
      <c r="AB24" s="81">
        <f ca="1">SUM(AB8:AB23)</f>
        <v>0</v>
      </c>
      <c r="AC24" s="81">
        <f ca="1">SUM(AC8:AC23)</f>
        <v>0</v>
      </c>
      <c r="AD24" s="81">
        <f ca="1">SUM(AD8:AD23)</f>
        <v>0</v>
      </c>
      <c r="AE24" s="83"/>
      <c r="AF24" s="81">
        <f ca="1">SUM(AF8:AF23)</f>
        <v>0</v>
      </c>
      <c r="AG24" s="81">
        <f ca="1">SUM(AG8:AG23)</f>
        <v>0</v>
      </c>
      <c r="AH24" s="81">
        <f ca="1">SUM(AH8:AH23)</f>
        <v>0</v>
      </c>
      <c r="AR24" s="638"/>
      <c r="AX24" s="373"/>
      <c r="AY24" s="373"/>
      <c r="AZ24" s="373"/>
    </row>
    <row r="25" spans="1:52" x14ac:dyDescent="0.25">
      <c r="B25" s="581"/>
      <c r="C25" s="340"/>
      <c r="D25" s="340"/>
      <c r="E25" s="340"/>
      <c r="F25" s="579"/>
      <c r="G25" s="340"/>
      <c r="H25" s="340"/>
      <c r="I25" s="340"/>
      <c r="J25" s="579"/>
      <c r="K25" s="340"/>
      <c r="L25" s="340"/>
      <c r="M25" s="340"/>
      <c r="N25" s="579"/>
      <c r="O25" s="340"/>
      <c r="P25" s="340"/>
      <c r="Q25" s="340"/>
      <c r="S25" s="84"/>
      <c r="T25" s="84"/>
      <c r="U25" s="84"/>
      <c r="V25" s="84"/>
      <c r="AR25" s="638"/>
      <c r="AX25" s="373"/>
      <c r="AY25" s="373"/>
      <c r="AZ25" s="373"/>
    </row>
    <row r="26" spans="1:52" ht="17.25" x14ac:dyDescent="0.3">
      <c r="R26" s="92"/>
      <c r="S26"/>
      <c r="T26"/>
      <c r="U26"/>
      <c r="V26"/>
      <c r="W26"/>
      <c r="X26"/>
      <c r="Y26"/>
      <c r="Z26"/>
      <c r="AR26" s="638"/>
    </row>
    <row r="27" spans="1:52" ht="17.25" x14ac:dyDescent="0.3">
      <c r="R27" s="92"/>
      <c r="S27" s="373"/>
      <c r="T27" s="373"/>
      <c r="U27" s="373"/>
      <c r="V27" s="373"/>
      <c r="W27" s="373"/>
      <c r="X27" s="373"/>
      <c r="Y27" s="373"/>
      <c r="Z27" s="373"/>
      <c r="AR27" s="638"/>
    </row>
    <row r="28" spans="1:52" x14ac:dyDescent="0.25">
      <c r="R28" s="89"/>
      <c r="AR28" s="638"/>
    </row>
    <row r="29" spans="1:52" x14ac:dyDescent="0.25">
      <c r="R29" s="89"/>
      <c r="V29" s="23"/>
      <c r="AR29" s="638"/>
    </row>
    <row r="30" spans="1:52" x14ac:dyDescent="0.25">
      <c r="R30" s="89"/>
      <c r="V30" s="23"/>
      <c r="AR30" s="638"/>
    </row>
    <row r="31" spans="1:52" x14ac:dyDescent="0.25">
      <c r="R31" s="91"/>
      <c r="AR31" s="638"/>
    </row>
    <row r="32" spans="1:52" x14ac:dyDescent="0.25">
      <c r="R32" s="91"/>
      <c r="AR32" s="638"/>
    </row>
    <row r="33" spans="3:44" x14ac:dyDescent="0.25">
      <c r="R33" s="91"/>
      <c r="AR33" s="638"/>
    </row>
    <row r="34" spans="3:44" x14ac:dyDescent="0.25">
      <c r="R34" s="91"/>
      <c r="S34" s="86"/>
      <c r="T34" s="86"/>
      <c r="U34" s="86"/>
      <c r="AR34" s="638"/>
    </row>
    <row r="35" spans="3:44" x14ac:dyDescent="0.25">
      <c r="R35" s="91"/>
      <c r="S35" s="86"/>
      <c r="T35" s="86"/>
      <c r="U35" s="86"/>
      <c r="AR35" s="638"/>
    </row>
    <row r="36" spans="3:44" x14ac:dyDescent="0.25">
      <c r="R36" s="91"/>
      <c r="S36" s="84"/>
      <c r="T36" s="84"/>
      <c r="U36" s="84"/>
      <c r="V36" s="84"/>
      <c r="AR36" s="638"/>
    </row>
    <row r="37" spans="3:44" x14ac:dyDescent="0.25">
      <c r="R37" s="91"/>
      <c r="S37" s="84"/>
      <c r="T37" s="84"/>
      <c r="U37" s="84"/>
      <c r="V37" s="84"/>
      <c r="AR37" s="638"/>
    </row>
    <row r="38" spans="3:44" x14ac:dyDescent="0.25">
      <c r="R38" s="91"/>
      <c r="S38" s="84"/>
      <c r="T38" s="84"/>
      <c r="U38" s="84"/>
      <c r="V38" s="84"/>
      <c r="AR38" s="638"/>
    </row>
    <row r="39" spans="3:44" x14ac:dyDescent="0.25">
      <c r="R39" s="91"/>
      <c r="S39" s="84"/>
      <c r="T39" s="84"/>
      <c r="U39" s="84"/>
      <c r="V39" s="84"/>
      <c r="AR39" s="638"/>
    </row>
    <row r="40" spans="3:44" x14ac:dyDescent="0.25">
      <c r="R40" s="91"/>
      <c r="S40" s="84"/>
      <c r="T40" s="84"/>
      <c r="U40" s="84"/>
      <c r="V40" s="84"/>
      <c r="AR40" s="638"/>
    </row>
    <row r="41" spans="3:44" x14ac:dyDescent="0.25">
      <c r="R41" s="91"/>
      <c r="S41" s="84"/>
      <c r="T41" s="84"/>
      <c r="U41" s="84"/>
      <c r="V41" s="84"/>
      <c r="AR41" s="638"/>
    </row>
    <row r="42" spans="3:44" x14ac:dyDescent="0.25">
      <c r="R42" s="91"/>
      <c r="S42" s="84"/>
      <c r="T42" s="84"/>
      <c r="U42" s="84"/>
      <c r="V42" s="84"/>
      <c r="AR42" s="638"/>
    </row>
    <row r="43" spans="3:44" x14ac:dyDescent="0.25">
      <c r="R43" s="91"/>
      <c r="S43" s="84"/>
      <c r="T43" s="84"/>
      <c r="U43" s="84"/>
      <c r="V43" s="84"/>
      <c r="AR43" s="638"/>
    </row>
    <row r="44" spans="3:44" x14ac:dyDescent="0.25">
      <c r="R44" s="91"/>
      <c r="S44" s="84"/>
      <c r="T44" s="84"/>
      <c r="U44" s="84"/>
      <c r="V44" s="84"/>
      <c r="AR44" s="638"/>
    </row>
    <row r="45" spans="3:44" x14ac:dyDescent="0.25">
      <c r="R45" s="91"/>
      <c r="S45" s="84"/>
      <c r="T45" s="84"/>
      <c r="U45" s="84"/>
      <c r="V45" s="84"/>
      <c r="AR45" s="638"/>
    </row>
    <row r="46" spans="3:44" x14ac:dyDescent="0.25">
      <c r="R46" s="91"/>
      <c r="S46" s="84"/>
      <c r="T46" s="84"/>
      <c r="U46" s="84"/>
      <c r="V46" s="84"/>
      <c r="AR46" s="638"/>
    </row>
    <row r="47" spans="3:44" x14ac:dyDescent="0.25">
      <c r="R47" s="83"/>
      <c r="S47" s="84"/>
      <c r="T47" s="84"/>
      <c r="U47" s="84"/>
      <c r="V47" s="84"/>
      <c r="AR47" s="638"/>
    </row>
    <row r="48" spans="3:44" x14ac:dyDescent="0.25">
      <c r="C48" s="62" t="str">
        <f ca="1">$C$51&amp;C53</f>
        <v>18/19Feb</v>
      </c>
      <c r="D48" s="62" t="str">
        <f ca="1">$C$51&amp;D53</f>
        <v>18/19Mar</v>
      </c>
      <c r="E48" s="62" t="str">
        <f ca="1">$C$51&amp;E53</f>
        <v>18/19Apr</v>
      </c>
      <c r="F48" s="576"/>
      <c r="G48" s="62" t="str">
        <f ca="1">$G$51&amp;G53</f>
        <v>18/19May</v>
      </c>
      <c r="H48" s="62" t="str">
        <f ca="1">$G$51&amp;H53</f>
        <v>18/19Jun</v>
      </c>
      <c r="I48" s="62" t="str">
        <f ca="1">$G$51&amp;I53</f>
        <v>18/19Jul</v>
      </c>
      <c r="J48" s="576"/>
      <c r="K48" s="62" t="str">
        <f ca="1">$K$51&amp;K53</f>
        <v>19/20Aug</v>
      </c>
      <c r="L48" s="62" t="str">
        <f ca="1">$K$51&amp;L53</f>
        <v>19/20Sep</v>
      </c>
      <c r="M48" s="62" t="str">
        <f ca="1">$K$51&amp;M53</f>
        <v>19/20Oct</v>
      </c>
      <c r="N48" s="576"/>
      <c r="O48" s="62" t="str">
        <f ca="1">$O$51&amp;O53</f>
        <v>19/20Nov</v>
      </c>
      <c r="P48" s="62" t="str">
        <f ca="1">$O$51&amp;P53</f>
        <v>19/20Dec</v>
      </c>
      <c r="Q48" s="62" t="str">
        <f ca="1">$O$51&amp;Q53</f>
        <v>19/20Jan</v>
      </c>
      <c r="R48" s="576"/>
      <c r="S48" s="62" t="str">
        <f ca="1">$S$51&amp;S53</f>
        <v>19/20Feb</v>
      </c>
      <c r="T48" s="62" t="str">
        <f ca="1">$S$51&amp;T53</f>
        <v>19/20Mar</v>
      </c>
      <c r="U48" s="62" t="str">
        <f ca="1">$S$51&amp;U53</f>
        <v>19/20Apr</v>
      </c>
      <c r="AR48" s="638"/>
    </row>
    <row r="49" spans="2:47" ht="18" thickBot="1" x14ac:dyDescent="0.35">
      <c r="B49" s="937" t="s">
        <v>132</v>
      </c>
      <c r="C49" s="937"/>
      <c r="D49" s="937"/>
      <c r="E49" s="937"/>
      <c r="F49" s="937"/>
      <c r="G49" s="937"/>
      <c r="H49" s="937"/>
      <c r="I49" s="937"/>
      <c r="J49" s="937"/>
      <c r="K49" s="937"/>
      <c r="L49" s="937"/>
      <c r="M49" s="937"/>
      <c r="N49" s="937"/>
      <c r="O49" s="937"/>
      <c r="P49" s="937"/>
      <c r="Q49" s="937"/>
      <c r="R49" s="937"/>
      <c r="S49" s="937"/>
      <c r="T49" s="937"/>
      <c r="U49" s="937"/>
      <c r="AR49" s="638"/>
    </row>
    <row r="50" spans="2:47" hidden="1" x14ac:dyDescent="0.25">
      <c r="C50" s="80" t="str">
        <f ca="1">$C51&amp;C53</f>
        <v>18/19Feb</v>
      </c>
      <c r="D50" s="80" t="str">
        <f ca="1">$C51&amp;D53</f>
        <v>18/19Mar</v>
      </c>
      <c r="E50" s="80" t="str">
        <f ca="1">$C51&amp;E53</f>
        <v>18/19Apr</v>
      </c>
      <c r="G50" s="80" t="str">
        <f ca="1">$G51&amp;G53</f>
        <v>18/19May</v>
      </c>
      <c r="H50" s="80" t="str">
        <f ca="1">$G51&amp;H53</f>
        <v>18/19Jun</v>
      </c>
      <c r="I50" s="80" t="str">
        <f ca="1">$G51&amp;I53</f>
        <v>18/19Jul</v>
      </c>
      <c r="K50" s="80" t="str">
        <f ca="1">$K51&amp;K53</f>
        <v>19/20Aug</v>
      </c>
      <c r="L50" s="80" t="str">
        <f ca="1">$K51&amp;L53</f>
        <v>19/20Sep</v>
      </c>
      <c r="M50" s="80" t="str">
        <f ca="1">$K51&amp;M53</f>
        <v>19/20Oct</v>
      </c>
      <c r="O50" s="80" t="str">
        <f ca="1">$O51&amp;O53</f>
        <v>19/20Nov</v>
      </c>
      <c r="P50" s="80" t="str">
        <f ca="1">$O51&amp;P53</f>
        <v>19/20Dec</v>
      </c>
      <c r="Q50" s="80" t="str">
        <f ca="1">$O51&amp;Q53</f>
        <v>19/20Jan</v>
      </c>
      <c r="S50" s="80" t="str">
        <f ca="1">$S51&amp;S53</f>
        <v>19/20Feb</v>
      </c>
      <c r="T50" s="80" t="str">
        <f ca="1">$S51&amp;T53</f>
        <v>19/20Mar</v>
      </c>
      <c r="U50" s="80" t="str">
        <f ca="1">$S51&amp;U53</f>
        <v>19/20Apr</v>
      </c>
      <c r="AR50" s="638"/>
    </row>
    <row r="51" spans="2:47" s="1" customFormat="1" x14ac:dyDescent="0.25">
      <c r="B51" s="378"/>
      <c r="C51" s="894" t="str">
        <f ca="1">TIME!$M$27</f>
        <v>18/19</v>
      </c>
      <c r="D51" s="894"/>
      <c r="E51" s="894"/>
      <c r="F51" s="289"/>
      <c r="G51" s="894" t="str">
        <f ca="1">TIME!$M$28</f>
        <v>18/19</v>
      </c>
      <c r="H51" s="894"/>
      <c r="I51" s="894"/>
      <c r="J51" s="289"/>
      <c r="K51" s="894" t="str">
        <f ca="1">TIME!$M$29</f>
        <v>19/20</v>
      </c>
      <c r="L51" s="894"/>
      <c r="M51" s="894"/>
      <c r="N51" s="289"/>
      <c r="O51" s="894" t="str">
        <f ca="1">TIME!$M$30</f>
        <v>19/20</v>
      </c>
      <c r="P51" s="894"/>
      <c r="Q51" s="894"/>
      <c r="R51" s="289"/>
      <c r="S51" s="894" t="str">
        <f ca="1">TIME!$M$31</f>
        <v>19/20</v>
      </c>
      <c r="T51" s="894"/>
      <c r="U51" s="894"/>
      <c r="AA51" s="378"/>
      <c r="AB51" s="378"/>
      <c r="AC51" s="378"/>
      <c r="AD51" s="378"/>
      <c r="AE51" s="378"/>
      <c r="AF51" s="639"/>
      <c r="AG51" s="639"/>
      <c r="AH51" s="639"/>
      <c r="AI51" s="639"/>
      <c r="AJ51" s="639"/>
      <c r="AK51" s="639"/>
      <c r="AL51" s="639"/>
      <c r="AM51" s="639"/>
      <c r="AN51" s="639"/>
      <c r="AO51" s="639"/>
      <c r="AP51" s="639"/>
      <c r="AQ51" s="639"/>
      <c r="AR51" s="638"/>
      <c r="AS51" s="639"/>
      <c r="AT51" s="639"/>
      <c r="AU51" s="639"/>
    </row>
    <row r="52" spans="2:47" s="1" customFormat="1" x14ac:dyDescent="0.25">
      <c r="C52" s="942" t="str">
        <f ca="1">TIME!$N$27</f>
        <v>Q3</v>
      </c>
      <c r="D52" s="942"/>
      <c r="E52" s="942"/>
      <c r="F52" s="289"/>
      <c r="G52" s="942" t="str">
        <f ca="1">TIME!$N$28</f>
        <v>Q4</v>
      </c>
      <c r="H52" s="942"/>
      <c r="I52" s="942"/>
      <c r="J52" s="289"/>
      <c r="K52" s="942" t="str">
        <f ca="1">TIME!$N$29</f>
        <v>Q1</v>
      </c>
      <c r="L52" s="942"/>
      <c r="M52" s="942"/>
      <c r="N52" s="289"/>
      <c r="O52" s="942" t="str">
        <f ca="1">TIME!$N$30</f>
        <v>Q2</v>
      </c>
      <c r="P52" s="942"/>
      <c r="Q52" s="942"/>
      <c r="R52" s="289"/>
      <c r="S52" s="942" t="str">
        <f ca="1">TIME!$N$31</f>
        <v>Q3</v>
      </c>
      <c r="T52" s="942"/>
      <c r="U52" s="942"/>
      <c r="AA52" s="378"/>
      <c r="AB52" s="378"/>
      <c r="AC52" s="378"/>
      <c r="AD52" s="378"/>
      <c r="AE52" s="378"/>
      <c r="AF52" s="639"/>
      <c r="AG52" s="639"/>
      <c r="AH52" s="639"/>
      <c r="AI52" s="639"/>
      <c r="AJ52" s="639"/>
      <c r="AK52" s="639"/>
      <c r="AL52" s="639"/>
      <c r="AM52" s="639"/>
      <c r="AN52" s="639"/>
      <c r="AO52" s="639"/>
      <c r="AP52" s="639"/>
      <c r="AQ52" s="639"/>
      <c r="AR52" s="638"/>
      <c r="AS52" s="639"/>
      <c r="AT52" s="639"/>
      <c r="AU52" s="639"/>
    </row>
    <row r="53" spans="2:47" s="1" customFormat="1" x14ac:dyDescent="0.25">
      <c r="B53" s="379"/>
      <c r="C53" s="380" t="str">
        <f ca="1">C7</f>
        <v>Feb</v>
      </c>
      <c r="D53" s="380" t="str">
        <f ca="1">D7</f>
        <v>Mar</v>
      </c>
      <c r="E53" s="380" t="str">
        <f ca="1">E7</f>
        <v>Apr</v>
      </c>
      <c r="F53" s="289"/>
      <c r="G53" s="380" t="str">
        <f ca="1">G7</f>
        <v>May</v>
      </c>
      <c r="H53" s="380" t="str">
        <f ca="1">H7</f>
        <v>Jun</v>
      </c>
      <c r="I53" s="380" t="str">
        <f ca="1">I7</f>
        <v>Jul</v>
      </c>
      <c r="J53" s="289"/>
      <c r="K53" s="380" t="str">
        <f ca="1">K7</f>
        <v>Aug</v>
      </c>
      <c r="L53" s="380" t="str">
        <f ca="1">L7</f>
        <v>Sep</v>
      </c>
      <c r="M53" s="380" t="str">
        <f ca="1">M7</f>
        <v>Oct</v>
      </c>
      <c r="N53" s="289"/>
      <c r="O53" s="380" t="str">
        <f ca="1">O7</f>
        <v>Nov</v>
      </c>
      <c r="P53" s="380" t="str">
        <f ca="1">P7</f>
        <v>Dec</v>
      </c>
      <c r="Q53" s="380" t="str">
        <f ca="1">Q7</f>
        <v>Jan</v>
      </c>
      <c r="R53" s="289"/>
      <c r="S53" s="380" t="str">
        <f ca="1">VLOOKUP(Q53,TIME!$S$28:$U$39,3,0)</f>
        <v>Feb</v>
      </c>
      <c r="T53" s="380" t="str">
        <f ca="1">VLOOKUP(S53,TIME!$S$28:$U$39,3,0)</f>
        <v>Mar</v>
      </c>
      <c r="U53" s="380" t="str">
        <f ca="1">VLOOKUP(T53,TIME!$S$28:$U$39,3,0)</f>
        <v>Apr</v>
      </c>
      <c r="AA53" s="378"/>
      <c r="AB53" s="378"/>
      <c r="AC53" s="378"/>
      <c r="AD53" s="378"/>
      <c r="AE53" s="378"/>
      <c r="AF53" s="639"/>
      <c r="AG53" s="639"/>
      <c r="AH53" s="639"/>
      <c r="AI53" s="639"/>
      <c r="AJ53" s="639"/>
      <c r="AK53" s="639"/>
      <c r="AL53" s="639"/>
      <c r="AM53" s="639"/>
      <c r="AN53" s="639"/>
      <c r="AO53" s="639"/>
      <c r="AP53" s="639"/>
      <c r="AQ53" s="639"/>
      <c r="AR53" s="638"/>
      <c r="AS53" s="639"/>
      <c r="AT53" s="639"/>
      <c r="AU53" s="639"/>
    </row>
    <row r="54" spans="2:47" x14ac:dyDescent="0.25">
      <c r="B54" s="1" t="str">
        <f>'PIVOT TABLE'!A4</f>
        <v>ACCESSORIES</v>
      </c>
      <c r="C54" s="844">
        <f ca="1">SUMIFS(FC_DATA!$AL:$AL,FC_DATA!$U:$U,$B$1,FC_DATA!$W:$W,$B54,FC_DATA!$X:$X,$C$51,FC_DATA!$Z:$Z,C$53)</f>
        <v>0</v>
      </c>
      <c r="D54" s="844">
        <f ca="1">SUMIFS(FC_DATA!$AL:$AL,FC_DATA!$U:$U,$B$1,FC_DATA!$W:$W,$B54,FC_DATA!$X:$X,$C$51,FC_DATA!$Z:$Z,D$53)</f>
        <v>0</v>
      </c>
      <c r="E54" s="844">
        <f ca="1">SUMIFS(FC_DATA!$AL:$AL,FC_DATA!$U:$U,$B$1,FC_DATA!$W:$W,$B54,FC_DATA!$X:$X,$C$51,FC_DATA!$Z:$Z,E$53)</f>
        <v>0</v>
      </c>
      <c r="F54" s="845"/>
      <c r="G54" s="844">
        <f ca="1">SUMIFS(FC_DATA!$AL:$AL,FC_DATA!$U:$U,$B$1,FC_DATA!$W:$W,$B54,FC_DATA!$X:$X,$G$51,FC_DATA!$Z:$Z,G$53)</f>
        <v>0</v>
      </c>
      <c r="H54" s="844">
        <f ca="1">SUMIFS(FC_DATA!$AL:$AL,FC_DATA!$U:$U,$B$1,FC_DATA!$W:$W,$B54,FC_DATA!$X:$X,$G$51,FC_DATA!$Z:$Z,H$53)</f>
        <v>0</v>
      </c>
      <c r="I54" s="844">
        <f ca="1">SUMIFS(FC_DATA!$AL:$AL,FC_DATA!$U:$U,$B$1,FC_DATA!$W:$W,$B54,FC_DATA!$X:$X,$G$51,FC_DATA!$Z:$Z,I$53)</f>
        <v>0</v>
      </c>
      <c r="J54" s="845"/>
      <c r="K54" s="844">
        <f ca="1">SUMIFS(FC_DATA!$AL:$AL,FC_DATA!$U:$U,$B$1,FC_DATA!$W:$W,$B54,FC_DATA!$X:$X,$K$51,FC_DATA!$Z:$Z,K$53)</f>
        <v>0</v>
      </c>
      <c r="L54" s="844">
        <f ca="1">SUMIFS(FC_DATA!$AL:$AL,FC_DATA!$U:$U,$B$1,FC_DATA!$W:$W,$B54,FC_DATA!$X:$X,$K$51,FC_DATA!$Z:$Z,L$53)</f>
        <v>0</v>
      </c>
      <c r="M54" s="844">
        <f ca="1">SUMIFS(FC_DATA!$AL:$AL,FC_DATA!$U:$U,$B$1,FC_DATA!$W:$W,$B54,FC_DATA!$X:$X,$K$51,FC_DATA!$Z:$Z,M$53)</f>
        <v>0</v>
      </c>
      <c r="N54" s="845"/>
      <c r="O54" s="844">
        <f ca="1">SUMIFS(FC_DATA!$AL:$AL,FC_DATA!$U:$U,$B$1,FC_DATA!$W:$W,$B54,FC_DATA!$X:$X,$O$51,FC_DATA!$Z:$Z,O$53)</f>
        <v>0</v>
      </c>
      <c r="P54" s="844">
        <f ca="1">SUMIFS(FC_DATA!$AL:$AL,FC_DATA!$U:$U,$B$1,FC_DATA!$W:$W,$B54,FC_DATA!$X:$X,$O$51,FC_DATA!$Z:$Z,P$53)</f>
        <v>0</v>
      </c>
      <c r="Q54" s="844">
        <f ca="1">SUMIFS(FC_DATA!$AL:$AL,FC_DATA!$U:$U,$B$1,FC_DATA!$W:$W,$B54,FC_DATA!$X:$X,$O$51,FC_DATA!$Z:$Z,Q$53)</f>
        <v>0</v>
      </c>
      <c r="R54" s="845"/>
      <c r="S54" s="844">
        <f ca="1">SUMIFS(FC_DATA!$AL:$AL,FC_DATA!$U:$U,$B$1,FC_DATA!$W:$W,$B54,FC_DATA!$X:$X,$S$51,FC_DATA!$Z:$Z,S$53)</f>
        <v>0</v>
      </c>
      <c r="T54" s="844">
        <f ca="1">SUMIFS(FC_DATA!$AL:$AL,FC_DATA!$U:$U,$B$1,FC_DATA!$W:$W,$B54,FC_DATA!$X:$X,$S$51,FC_DATA!$Z:$Z,T$53)</f>
        <v>0</v>
      </c>
      <c r="U54" s="844">
        <f ca="1">SUMIFS(FC_DATA!$AL:$AL,FC_DATA!$U:$U,$B$1,FC_DATA!$W:$W,$B54,FC_DATA!$X:$X,$S$51,FC_DATA!$Z:$Z,U$53)</f>
        <v>0</v>
      </c>
      <c r="AR54" s="638"/>
    </row>
    <row r="55" spans="2:47" x14ac:dyDescent="0.25">
      <c r="B55" s="1" t="str">
        <f>'PIVOT TABLE'!A5</f>
        <v>DRESSES</v>
      </c>
      <c r="C55" s="844">
        <f ca="1">SUMIFS(FC_DATA!$AL:$AL,FC_DATA!$U:$U,$B$1,FC_DATA!$W:$W,$B55,FC_DATA!$X:$X,$C$51,FC_DATA!$Z:$Z,C$53)</f>
        <v>0</v>
      </c>
      <c r="D55" s="844">
        <f ca="1">SUMIFS(FC_DATA!$AL:$AL,FC_DATA!$U:$U,$B$1,FC_DATA!$W:$W,$B55,FC_DATA!$X:$X,$C$51,FC_DATA!$Z:$Z,D$53)</f>
        <v>0</v>
      </c>
      <c r="E55" s="844">
        <f ca="1">SUMIFS(FC_DATA!$AL:$AL,FC_DATA!$U:$U,$B$1,FC_DATA!$W:$W,$B55,FC_DATA!$X:$X,$C$51,FC_DATA!$Z:$Z,E$53)</f>
        <v>0</v>
      </c>
      <c r="F55" s="845"/>
      <c r="G55" s="844">
        <f ca="1">SUMIFS(FC_DATA!$AL:$AL,FC_DATA!$U:$U,$B$1,FC_DATA!$W:$W,$B55,FC_DATA!$X:$X,$G$51,FC_DATA!$Z:$Z,G$53)</f>
        <v>0</v>
      </c>
      <c r="H55" s="844">
        <f ca="1">SUMIFS(FC_DATA!$AL:$AL,FC_DATA!$U:$U,$B$1,FC_DATA!$W:$W,$B55,FC_DATA!$X:$X,$G$51,FC_DATA!$Z:$Z,H$53)</f>
        <v>0</v>
      </c>
      <c r="I55" s="844">
        <f ca="1">SUMIFS(FC_DATA!$AL:$AL,FC_DATA!$U:$U,$B$1,FC_DATA!$W:$W,$B55,FC_DATA!$X:$X,$G$51,FC_DATA!$Z:$Z,I$53)</f>
        <v>0</v>
      </c>
      <c r="J55" s="845"/>
      <c r="K55" s="844">
        <f ca="1">SUMIFS(FC_DATA!$AL:$AL,FC_DATA!$U:$U,$B$1,FC_DATA!$W:$W,$B55,FC_DATA!$X:$X,$K$51,FC_DATA!$Z:$Z,K$53)</f>
        <v>0</v>
      </c>
      <c r="L55" s="844">
        <f ca="1">SUMIFS(FC_DATA!$AL:$AL,FC_DATA!$U:$U,$B$1,FC_DATA!$W:$W,$B55,FC_DATA!$X:$X,$K$51,FC_DATA!$Z:$Z,L$53)</f>
        <v>0</v>
      </c>
      <c r="M55" s="844">
        <f ca="1">SUMIFS(FC_DATA!$AL:$AL,FC_DATA!$U:$U,$B$1,FC_DATA!$W:$W,$B55,FC_DATA!$X:$X,$K$51,FC_DATA!$Z:$Z,M$53)</f>
        <v>0</v>
      </c>
      <c r="N55" s="845"/>
      <c r="O55" s="844">
        <f ca="1">SUMIFS(FC_DATA!$AL:$AL,FC_DATA!$U:$U,$B$1,FC_DATA!$W:$W,$B55,FC_DATA!$X:$X,$O$51,FC_DATA!$Z:$Z,O$53)</f>
        <v>0</v>
      </c>
      <c r="P55" s="844">
        <f ca="1">SUMIFS(FC_DATA!$AL:$AL,FC_DATA!$U:$U,$B$1,FC_DATA!$W:$W,$B55,FC_DATA!$X:$X,$O$51,FC_DATA!$Z:$Z,P$53)</f>
        <v>0</v>
      </c>
      <c r="Q55" s="844">
        <f ca="1">SUMIFS(FC_DATA!$AL:$AL,FC_DATA!$U:$U,$B$1,FC_DATA!$W:$W,$B55,FC_DATA!$X:$X,$O$51,FC_DATA!$Z:$Z,Q$53)</f>
        <v>0</v>
      </c>
      <c r="R55" s="845"/>
      <c r="S55" s="844">
        <f ca="1">SUMIFS(FC_DATA!$AL:$AL,FC_DATA!$U:$U,$B$1,FC_DATA!$W:$W,$B55,FC_DATA!$X:$X,$S$51,FC_DATA!$Z:$Z,S$53)</f>
        <v>0</v>
      </c>
      <c r="T55" s="844">
        <f ca="1">SUMIFS(FC_DATA!$AL:$AL,FC_DATA!$U:$U,$B$1,FC_DATA!$W:$W,$B55,FC_DATA!$X:$X,$S$51,FC_DATA!$Z:$Z,T$53)</f>
        <v>0</v>
      </c>
      <c r="U55" s="844">
        <f ca="1">SUMIFS(FC_DATA!$AL:$AL,FC_DATA!$U:$U,$B$1,FC_DATA!$W:$W,$B55,FC_DATA!$X:$X,$S$51,FC_DATA!$Z:$Z,U$53)</f>
        <v>0</v>
      </c>
      <c r="AR55" s="638"/>
    </row>
    <row r="56" spans="2:47" x14ac:dyDescent="0.25">
      <c r="B56" s="1" t="str">
        <f>'PIVOT TABLE'!A6</f>
        <v>JEANS</v>
      </c>
      <c r="C56" s="844">
        <f ca="1">SUMIFS(FC_DATA!$AL:$AL,FC_DATA!$U:$U,$B$1,FC_DATA!$W:$W,$B56,FC_DATA!$X:$X,$C$51,FC_DATA!$Z:$Z,C$53)</f>
        <v>0</v>
      </c>
      <c r="D56" s="844">
        <f ca="1">SUMIFS(FC_DATA!$AL:$AL,FC_DATA!$U:$U,$B$1,FC_DATA!$W:$W,$B56,FC_DATA!$X:$X,$C$51,FC_DATA!$Z:$Z,D$53)</f>
        <v>0</v>
      </c>
      <c r="E56" s="844">
        <f ca="1">SUMIFS(FC_DATA!$AL:$AL,FC_DATA!$U:$U,$B$1,FC_DATA!$W:$W,$B56,FC_DATA!$X:$X,$C$51,FC_DATA!$Z:$Z,E$53)</f>
        <v>0</v>
      </c>
      <c r="F56" s="845"/>
      <c r="G56" s="844">
        <f ca="1">SUMIFS(FC_DATA!$AL:$AL,FC_DATA!$U:$U,$B$1,FC_DATA!$W:$W,$B56,FC_DATA!$X:$X,$G$51,FC_DATA!$Z:$Z,G$53)</f>
        <v>0</v>
      </c>
      <c r="H56" s="844">
        <f ca="1">SUMIFS(FC_DATA!$AL:$AL,FC_DATA!$U:$U,$B$1,FC_DATA!$W:$W,$B56,FC_DATA!$X:$X,$G$51,FC_DATA!$Z:$Z,H$53)</f>
        <v>0</v>
      </c>
      <c r="I56" s="844">
        <f ca="1">SUMIFS(FC_DATA!$AL:$AL,FC_DATA!$U:$U,$B$1,FC_DATA!$W:$W,$B56,FC_DATA!$X:$X,$G$51,FC_DATA!$Z:$Z,I$53)</f>
        <v>0</v>
      </c>
      <c r="J56" s="845"/>
      <c r="K56" s="844">
        <f ca="1">SUMIFS(FC_DATA!$AL:$AL,FC_DATA!$U:$U,$B$1,FC_DATA!$W:$W,$B56,FC_DATA!$X:$X,$K$51,FC_DATA!$Z:$Z,K$53)</f>
        <v>0</v>
      </c>
      <c r="L56" s="844">
        <f ca="1">SUMIFS(FC_DATA!$AL:$AL,FC_DATA!$U:$U,$B$1,FC_DATA!$W:$W,$B56,FC_DATA!$X:$X,$K$51,FC_DATA!$Z:$Z,L$53)</f>
        <v>0</v>
      </c>
      <c r="M56" s="844">
        <f ca="1">SUMIFS(FC_DATA!$AL:$AL,FC_DATA!$U:$U,$B$1,FC_DATA!$W:$W,$B56,FC_DATA!$X:$X,$K$51,FC_DATA!$Z:$Z,M$53)</f>
        <v>0</v>
      </c>
      <c r="N56" s="845"/>
      <c r="O56" s="844">
        <f ca="1">SUMIFS(FC_DATA!$AL:$AL,FC_DATA!$U:$U,$B$1,FC_DATA!$W:$W,$B56,FC_DATA!$X:$X,$O$51,FC_DATA!$Z:$Z,O$53)</f>
        <v>0</v>
      </c>
      <c r="P56" s="844">
        <f ca="1">SUMIFS(FC_DATA!$AL:$AL,FC_DATA!$U:$U,$B$1,FC_DATA!$W:$W,$B56,FC_DATA!$X:$X,$O$51,FC_DATA!$Z:$Z,P$53)</f>
        <v>0</v>
      </c>
      <c r="Q56" s="844">
        <f ca="1">SUMIFS(FC_DATA!$AL:$AL,FC_DATA!$U:$U,$B$1,FC_DATA!$W:$W,$B56,FC_DATA!$X:$X,$O$51,FC_DATA!$Z:$Z,Q$53)</f>
        <v>0</v>
      </c>
      <c r="R56" s="845"/>
      <c r="S56" s="844">
        <f ca="1">SUMIFS(FC_DATA!$AL:$AL,FC_DATA!$U:$U,$B$1,FC_DATA!$W:$W,$B56,FC_DATA!$X:$X,$S$51,FC_DATA!$Z:$Z,S$53)</f>
        <v>0</v>
      </c>
      <c r="T56" s="844">
        <f ca="1">SUMIFS(FC_DATA!$AL:$AL,FC_DATA!$U:$U,$B$1,FC_DATA!$W:$W,$B56,FC_DATA!$X:$X,$S$51,FC_DATA!$Z:$Z,T$53)</f>
        <v>0</v>
      </c>
      <c r="U56" s="844">
        <f ca="1">SUMIFS(FC_DATA!$AL:$AL,FC_DATA!$U:$U,$B$1,FC_DATA!$W:$W,$B56,FC_DATA!$X:$X,$S$51,FC_DATA!$Z:$Z,U$53)</f>
        <v>0</v>
      </c>
      <c r="AR56" s="638"/>
    </row>
    <row r="57" spans="2:47" x14ac:dyDescent="0.25">
      <c r="B57" s="1" t="str">
        <f>'PIVOT TABLE'!A7</f>
        <v>KNIT</v>
      </c>
      <c r="C57" s="844">
        <f ca="1">SUMIFS(FC_DATA!$AL:$AL,FC_DATA!$U:$U,$B$1,FC_DATA!$W:$W,$B57,FC_DATA!$X:$X,$C$51,FC_DATA!$Z:$Z,C$53)</f>
        <v>0</v>
      </c>
      <c r="D57" s="844">
        <f ca="1">SUMIFS(FC_DATA!$AL:$AL,FC_DATA!$U:$U,$B$1,FC_DATA!$W:$W,$B57,FC_DATA!$X:$X,$C$51,FC_DATA!$Z:$Z,D$53)</f>
        <v>0</v>
      </c>
      <c r="E57" s="844">
        <f ca="1">SUMIFS(FC_DATA!$AL:$AL,FC_DATA!$U:$U,$B$1,FC_DATA!$W:$W,$B57,FC_DATA!$X:$X,$C$51,FC_DATA!$Z:$Z,E$53)</f>
        <v>0</v>
      </c>
      <c r="F57" s="845"/>
      <c r="G57" s="844">
        <f ca="1">SUMIFS(FC_DATA!$AL:$AL,FC_DATA!$U:$U,$B$1,FC_DATA!$W:$W,$B57,FC_DATA!$X:$X,$G$51,FC_DATA!$Z:$Z,G$53)</f>
        <v>0</v>
      </c>
      <c r="H57" s="844">
        <f ca="1">SUMIFS(FC_DATA!$AL:$AL,FC_DATA!$U:$U,$B$1,FC_DATA!$W:$W,$B57,FC_DATA!$X:$X,$G$51,FC_DATA!$Z:$Z,H$53)</f>
        <v>0</v>
      </c>
      <c r="I57" s="844">
        <f ca="1">SUMIFS(FC_DATA!$AL:$AL,FC_DATA!$U:$U,$B$1,FC_DATA!$W:$W,$B57,FC_DATA!$X:$X,$G$51,FC_DATA!$Z:$Z,I$53)</f>
        <v>0</v>
      </c>
      <c r="J57" s="845"/>
      <c r="K57" s="844">
        <f ca="1">SUMIFS(FC_DATA!$AL:$AL,FC_DATA!$U:$U,$B$1,FC_DATA!$W:$W,$B57,FC_DATA!$X:$X,$K$51,FC_DATA!$Z:$Z,K$53)</f>
        <v>0</v>
      </c>
      <c r="L57" s="844">
        <f ca="1">SUMIFS(FC_DATA!$AL:$AL,FC_DATA!$U:$U,$B$1,FC_DATA!$W:$W,$B57,FC_DATA!$X:$X,$K$51,FC_DATA!$Z:$Z,L$53)</f>
        <v>0</v>
      </c>
      <c r="M57" s="844">
        <f ca="1">SUMIFS(FC_DATA!$AL:$AL,FC_DATA!$U:$U,$B$1,FC_DATA!$W:$W,$B57,FC_DATA!$X:$X,$K$51,FC_DATA!$Z:$Z,M$53)</f>
        <v>0</v>
      </c>
      <c r="N57" s="845"/>
      <c r="O57" s="844">
        <f ca="1">SUMIFS(FC_DATA!$AL:$AL,FC_DATA!$U:$U,$B$1,FC_DATA!$W:$W,$B57,FC_DATA!$X:$X,$O$51,FC_DATA!$Z:$Z,O$53)</f>
        <v>0</v>
      </c>
      <c r="P57" s="844">
        <f ca="1">SUMIFS(FC_DATA!$AL:$AL,FC_DATA!$U:$U,$B$1,FC_DATA!$W:$W,$B57,FC_DATA!$X:$X,$O$51,FC_DATA!$Z:$Z,P$53)</f>
        <v>0</v>
      </c>
      <c r="Q57" s="844">
        <f ca="1">SUMIFS(FC_DATA!$AL:$AL,FC_DATA!$U:$U,$B$1,FC_DATA!$W:$W,$B57,FC_DATA!$X:$X,$O$51,FC_DATA!$Z:$Z,Q$53)</f>
        <v>0</v>
      </c>
      <c r="R57" s="845"/>
      <c r="S57" s="844">
        <f ca="1">SUMIFS(FC_DATA!$AL:$AL,FC_DATA!$U:$U,$B$1,FC_DATA!$W:$W,$B57,FC_DATA!$X:$X,$S$51,FC_DATA!$Z:$Z,S$53)</f>
        <v>0</v>
      </c>
      <c r="T57" s="844">
        <f ca="1">SUMIFS(FC_DATA!$AL:$AL,FC_DATA!$U:$U,$B$1,FC_DATA!$W:$W,$B57,FC_DATA!$X:$X,$S$51,FC_DATA!$Z:$Z,T$53)</f>
        <v>0</v>
      </c>
      <c r="U57" s="844">
        <f ca="1">SUMIFS(FC_DATA!$AL:$AL,FC_DATA!$U:$U,$B$1,FC_DATA!$W:$W,$B57,FC_DATA!$X:$X,$S$51,FC_DATA!$Z:$Z,U$53)</f>
        <v>0</v>
      </c>
      <c r="AR57" s="638"/>
    </row>
    <row r="58" spans="2:47" x14ac:dyDescent="0.25">
      <c r="B58" s="1" t="str">
        <f>'PIVOT TABLE'!A8</f>
        <v>OUTERWEAR</v>
      </c>
      <c r="C58" s="844">
        <f ca="1">SUMIFS(FC_DATA!$AL:$AL,FC_DATA!$U:$U,$B$1,FC_DATA!$W:$W,$B58,FC_DATA!$X:$X,$C$51,FC_DATA!$Z:$Z,C$53)</f>
        <v>0</v>
      </c>
      <c r="D58" s="844">
        <f ca="1">SUMIFS(FC_DATA!$AL:$AL,FC_DATA!$U:$U,$B$1,FC_DATA!$W:$W,$B58,FC_DATA!$X:$X,$C$51,FC_DATA!$Z:$Z,D$53)</f>
        <v>0</v>
      </c>
      <c r="E58" s="844">
        <f ca="1">SUMIFS(FC_DATA!$AL:$AL,FC_DATA!$U:$U,$B$1,FC_DATA!$W:$W,$B58,FC_DATA!$X:$X,$C$51,FC_DATA!$Z:$Z,E$53)</f>
        <v>0</v>
      </c>
      <c r="F58" s="845"/>
      <c r="G58" s="844">
        <f ca="1">SUMIFS(FC_DATA!$AL:$AL,FC_DATA!$U:$U,$B$1,FC_DATA!$W:$W,$B58,FC_DATA!$X:$X,$G$51,FC_DATA!$Z:$Z,G$53)</f>
        <v>0</v>
      </c>
      <c r="H58" s="844">
        <f ca="1">SUMIFS(FC_DATA!$AL:$AL,FC_DATA!$U:$U,$B$1,FC_DATA!$W:$W,$B58,FC_DATA!$X:$X,$G$51,FC_DATA!$Z:$Z,H$53)</f>
        <v>0</v>
      </c>
      <c r="I58" s="844">
        <f ca="1">SUMIFS(FC_DATA!$AL:$AL,FC_DATA!$U:$U,$B$1,FC_DATA!$W:$W,$B58,FC_DATA!$X:$X,$G$51,FC_DATA!$Z:$Z,I$53)</f>
        <v>0</v>
      </c>
      <c r="J58" s="845"/>
      <c r="K58" s="844">
        <f ca="1">SUMIFS(FC_DATA!$AL:$AL,FC_DATA!$U:$U,$B$1,FC_DATA!$W:$W,$B58,FC_DATA!$X:$X,$K$51,FC_DATA!$Z:$Z,K$53)</f>
        <v>0</v>
      </c>
      <c r="L58" s="844">
        <f ca="1">SUMIFS(FC_DATA!$AL:$AL,FC_DATA!$U:$U,$B$1,FC_DATA!$W:$W,$B58,FC_DATA!$X:$X,$K$51,FC_DATA!$Z:$Z,L$53)</f>
        <v>0</v>
      </c>
      <c r="M58" s="844">
        <f ca="1">SUMIFS(FC_DATA!$AL:$AL,FC_DATA!$U:$U,$B$1,FC_DATA!$W:$W,$B58,FC_DATA!$X:$X,$K$51,FC_DATA!$Z:$Z,M$53)</f>
        <v>0</v>
      </c>
      <c r="N58" s="845"/>
      <c r="O58" s="844">
        <f ca="1">SUMIFS(FC_DATA!$AL:$AL,FC_DATA!$U:$U,$B$1,FC_DATA!$W:$W,$B58,FC_DATA!$X:$X,$O$51,FC_DATA!$Z:$Z,O$53)</f>
        <v>0</v>
      </c>
      <c r="P58" s="844">
        <f ca="1">SUMIFS(FC_DATA!$AL:$AL,FC_DATA!$U:$U,$B$1,FC_DATA!$W:$W,$B58,FC_DATA!$X:$X,$O$51,FC_DATA!$Z:$Z,P$53)</f>
        <v>0</v>
      </c>
      <c r="Q58" s="844">
        <f ca="1">SUMIFS(FC_DATA!$AL:$AL,FC_DATA!$U:$U,$B$1,FC_DATA!$W:$W,$B58,FC_DATA!$X:$X,$O$51,FC_DATA!$Z:$Z,Q$53)</f>
        <v>0</v>
      </c>
      <c r="R58" s="845"/>
      <c r="S58" s="844">
        <f ca="1">SUMIFS(FC_DATA!$AL:$AL,FC_DATA!$U:$U,$B$1,FC_DATA!$W:$W,$B58,FC_DATA!$X:$X,$S$51,FC_DATA!$Z:$Z,S$53)</f>
        <v>0</v>
      </c>
      <c r="T58" s="844">
        <f ca="1">SUMIFS(FC_DATA!$AL:$AL,FC_DATA!$U:$U,$B$1,FC_DATA!$W:$W,$B58,FC_DATA!$X:$X,$S$51,FC_DATA!$Z:$Z,T$53)</f>
        <v>0</v>
      </c>
      <c r="U58" s="844">
        <f ca="1">SUMIFS(FC_DATA!$AL:$AL,FC_DATA!$U:$U,$B$1,FC_DATA!$W:$W,$B58,FC_DATA!$X:$X,$S$51,FC_DATA!$Z:$Z,U$53)</f>
        <v>0</v>
      </c>
      <c r="AR58" s="638"/>
    </row>
    <row r="59" spans="2:47" x14ac:dyDescent="0.25">
      <c r="B59" s="1" t="str">
        <f>'PIVOT TABLE'!A9</f>
        <v>PANTS</v>
      </c>
      <c r="C59" s="844">
        <f ca="1">SUMIFS(FC_DATA!$AL:$AL,FC_DATA!$U:$U,$B$1,FC_DATA!$W:$W,$B59,FC_DATA!$X:$X,$C$51,FC_DATA!$Z:$Z,C$53)</f>
        <v>0</v>
      </c>
      <c r="D59" s="844">
        <f ca="1">SUMIFS(FC_DATA!$AL:$AL,FC_DATA!$U:$U,$B$1,FC_DATA!$W:$W,$B59,FC_DATA!$X:$X,$C$51,FC_DATA!$Z:$Z,D$53)</f>
        <v>0</v>
      </c>
      <c r="E59" s="844">
        <f ca="1">SUMIFS(FC_DATA!$AL:$AL,FC_DATA!$U:$U,$B$1,FC_DATA!$W:$W,$B59,FC_DATA!$X:$X,$C$51,FC_DATA!$Z:$Z,E$53)</f>
        <v>0</v>
      </c>
      <c r="F59" s="845"/>
      <c r="G59" s="844">
        <f ca="1">SUMIFS(FC_DATA!$AL:$AL,FC_DATA!$U:$U,$B$1,FC_DATA!$W:$W,$B59,FC_DATA!$X:$X,$G$51,FC_DATA!$Z:$Z,G$53)</f>
        <v>0</v>
      </c>
      <c r="H59" s="844">
        <f ca="1">SUMIFS(FC_DATA!$AL:$AL,FC_DATA!$U:$U,$B$1,FC_DATA!$W:$W,$B59,FC_DATA!$X:$X,$G$51,FC_DATA!$Z:$Z,H$53)</f>
        <v>0</v>
      </c>
      <c r="I59" s="844">
        <f ca="1">SUMIFS(FC_DATA!$AL:$AL,FC_DATA!$U:$U,$B$1,FC_DATA!$W:$W,$B59,FC_DATA!$X:$X,$G$51,FC_DATA!$Z:$Z,I$53)</f>
        <v>0</v>
      </c>
      <c r="J59" s="845"/>
      <c r="K59" s="844">
        <f ca="1">SUMIFS(FC_DATA!$AL:$AL,FC_DATA!$U:$U,$B$1,FC_DATA!$W:$W,$B59,FC_DATA!$X:$X,$K$51,FC_DATA!$Z:$Z,K$53)</f>
        <v>0</v>
      </c>
      <c r="L59" s="844">
        <f ca="1">SUMIFS(FC_DATA!$AL:$AL,FC_DATA!$U:$U,$B$1,FC_DATA!$W:$W,$B59,FC_DATA!$X:$X,$K$51,FC_DATA!$Z:$Z,L$53)</f>
        <v>0</v>
      </c>
      <c r="M59" s="844">
        <f ca="1">SUMIFS(FC_DATA!$AL:$AL,FC_DATA!$U:$U,$B$1,FC_DATA!$W:$W,$B59,FC_DATA!$X:$X,$K$51,FC_DATA!$Z:$Z,M$53)</f>
        <v>0</v>
      </c>
      <c r="N59" s="845"/>
      <c r="O59" s="844">
        <f ca="1">SUMIFS(FC_DATA!$AL:$AL,FC_DATA!$U:$U,$B$1,FC_DATA!$W:$W,$B59,FC_DATA!$X:$X,$O$51,FC_DATA!$Z:$Z,O$53)</f>
        <v>0</v>
      </c>
      <c r="P59" s="844">
        <f ca="1">SUMIFS(FC_DATA!$AL:$AL,FC_DATA!$U:$U,$B$1,FC_DATA!$W:$W,$B59,FC_DATA!$X:$X,$O$51,FC_DATA!$Z:$Z,P$53)</f>
        <v>0</v>
      </c>
      <c r="Q59" s="844">
        <f ca="1">SUMIFS(FC_DATA!$AL:$AL,FC_DATA!$U:$U,$B$1,FC_DATA!$W:$W,$B59,FC_DATA!$X:$X,$O$51,FC_DATA!$Z:$Z,Q$53)</f>
        <v>0</v>
      </c>
      <c r="R59" s="845"/>
      <c r="S59" s="844">
        <f ca="1">SUMIFS(FC_DATA!$AL:$AL,FC_DATA!$U:$U,$B$1,FC_DATA!$W:$W,$B59,FC_DATA!$X:$X,$S$51,FC_DATA!$Z:$Z,S$53)</f>
        <v>0</v>
      </c>
      <c r="T59" s="844">
        <f ca="1">SUMIFS(FC_DATA!$AL:$AL,FC_DATA!$U:$U,$B$1,FC_DATA!$W:$W,$B59,FC_DATA!$X:$X,$S$51,FC_DATA!$Z:$Z,T$53)</f>
        <v>0</v>
      </c>
      <c r="U59" s="844">
        <f ca="1">SUMIFS(FC_DATA!$AL:$AL,FC_DATA!$U:$U,$B$1,FC_DATA!$W:$W,$B59,FC_DATA!$X:$X,$S$51,FC_DATA!$Z:$Z,U$53)</f>
        <v>0</v>
      </c>
      <c r="AR59" s="638"/>
    </row>
    <row r="60" spans="2:47" x14ac:dyDescent="0.25">
      <c r="B60" s="1" t="str">
        <f>'PIVOT TABLE'!A10</f>
        <v>SHIRTS</v>
      </c>
      <c r="C60" s="844">
        <f ca="1">SUMIFS(FC_DATA!$AL:$AL,FC_DATA!$U:$U,$B$1,FC_DATA!$W:$W,$B60,FC_DATA!$X:$X,$C$51,FC_DATA!$Z:$Z,C$53)</f>
        <v>0</v>
      </c>
      <c r="D60" s="844">
        <f ca="1">SUMIFS(FC_DATA!$AL:$AL,FC_DATA!$U:$U,$B$1,FC_DATA!$W:$W,$B60,FC_DATA!$X:$X,$C$51,FC_DATA!$Z:$Z,D$53)</f>
        <v>0</v>
      </c>
      <c r="E60" s="844">
        <f ca="1">SUMIFS(FC_DATA!$AL:$AL,FC_DATA!$U:$U,$B$1,FC_DATA!$W:$W,$B60,FC_DATA!$X:$X,$C$51,FC_DATA!$Z:$Z,E$53)</f>
        <v>0</v>
      </c>
      <c r="F60" s="845"/>
      <c r="G60" s="844">
        <f ca="1">SUMIFS(FC_DATA!$AL:$AL,FC_DATA!$U:$U,$B$1,FC_DATA!$W:$W,$B60,FC_DATA!$X:$X,$G$51,FC_DATA!$Z:$Z,G$53)</f>
        <v>0</v>
      </c>
      <c r="H60" s="844">
        <f ca="1">SUMIFS(FC_DATA!$AL:$AL,FC_DATA!$U:$U,$B$1,FC_DATA!$W:$W,$B60,FC_DATA!$X:$X,$G$51,FC_DATA!$Z:$Z,H$53)</f>
        <v>0</v>
      </c>
      <c r="I60" s="844">
        <f ca="1">SUMIFS(FC_DATA!$AL:$AL,FC_DATA!$U:$U,$B$1,FC_DATA!$W:$W,$B60,FC_DATA!$X:$X,$G$51,FC_DATA!$Z:$Z,I$53)</f>
        <v>0</v>
      </c>
      <c r="J60" s="845"/>
      <c r="K60" s="844">
        <f ca="1">SUMIFS(FC_DATA!$AL:$AL,FC_DATA!$U:$U,$B$1,FC_DATA!$W:$W,$B60,FC_DATA!$X:$X,$K$51,FC_DATA!$Z:$Z,K$53)</f>
        <v>0</v>
      </c>
      <c r="L60" s="844">
        <f ca="1">SUMIFS(FC_DATA!$AL:$AL,FC_DATA!$U:$U,$B$1,FC_DATA!$W:$W,$B60,FC_DATA!$X:$X,$K$51,FC_DATA!$Z:$Z,L$53)</f>
        <v>0</v>
      </c>
      <c r="M60" s="844">
        <f ca="1">SUMIFS(FC_DATA!$AL:$AL,FC_DATA!$U:$U,$B$1,FC_DATA!$W:$W,$B60,FC_DATA!$X:$X,$K$51,FC_DATA!$Z:$Z,M$53)</f>
        <v>0</v>
      </c>
      <c r="N60" s="845"/>
      <c r="O60" s="844">
        <f ca="1">SUMIFS(FC_DATA!$AL:$AL,FC_DATA!$U:$U,$B$1,FC_DATA!$W:$W,$B60,FC_DATA!$X:$X,$O$51,FC_DATA!$Z:$Z,O$53)</f>
        <v>0</v>
      </c>
      <c r="P60" s="844">
        <f ca="1">SUMIFS(FC_DATA!$AL:$AL,FC_DATA!$U:$U,$B$1,FC_DATA!$W:$W,$B60,FC_DATA!$X:$X,$O$51,FC_DATA!$Z:$Z,P$53)</f>
        <v>0</v>
      </c>
      <c r="Q60" s="844">
        <f ca="1">SUMIFS(FC_DATA!$AL:$AL,FC_DATA!$U:$U,$B$1,FC_DATA!$W:$W,$B60,FC_DATA!$X:$X,$O$51,FC_DATA!$Z:$Z,Q$53)</f>
        <v>0</v>
      </c>
      <c r="R60" s="845"/>
      <c r="S60" s="844">
        <f ca="1">SUMIFS(FC_DATA!$AL:$AL,FC_DATA!$U:$U,$B$1,FC_DATA!$W:$W,$B60,FC_DATA!$X:$X,$S$51,FC_DATA!$Z:$Z,S$53)</f>
        <v>0</v>
      </c>
      <c r="T60" s="844">
        <f ca="1">SUMIFS(FC_DATA!$AL:$AL,FC_DATA!$U:$U,$B$1,FC_DATA!$W:$W,$B60,FC_DATA!$X:$X,$S$51,FC_DATA!$Z:$Z,T$53)</f>
        <v>0</v>
      </c>
      <c r="U60" s="844">
        <f ca="1">SUMIFS(FC_DATA!$AL:$AL,FC_DATA!$U:$U,$B$1,FC_DATA!$W:$W,$B60,FC_DATA!$X:$X,$S$51,FC_DATA!$Z:$Z,U$53)</f>
        <v>0</v>
      </c>
      <c r="AR60" s="638"/>
    </row>
    <row r="61" spans="2:47" x14ac:dyDescent="0.25">
      <c r="B61" s="1" t="str">
        <f>'PIVOT TABLE'!A11</f>
        <v>SHOES</v>
      </c>
      <c r="C61" s="844">
        <f ca="1">SUMIFS(FC_DATA!$AL:$AL,FC_DATA!$U:$U,$B$1,FC_DATA!$W:$W,$B61,FC_DATA!$X:$X,$C$51,FC_DATA!$Z:$Z,C$53)</f>
        <v>0</v>
      </c>
      <c r="D61" s="844">
        <f ca="1">SUMIFS(FC_DATA!$AL:$AL,FC_DATA!$U:$U,$B$1,FC_DATA!$W:$W,$B61,FC_DATA!$X:$X,$C$51,FC_DATA!$Z:$Z,D$53)</f>
        <v>0</v>
      </c>
      <c r="E61" s="844">
        <f ca="1">SUMIFS(FC_DATA!$AL:$AL,FC_DATA!$U:$U,$B$1,FC_DATA!$W:$W,$B61,FC_DATA!$X:$X,$C$51,FC_DATA!$Z:$Z,E$53)</f>
        <v>0</v>
      </c>
      <c r="F61" s="845"/>
      <c r="G61" s="844">
        <f ca="1">SUMIFS(FC_DATA!$AL:$AL,FC_DATA!$U:$U,$B$1,FC_DATA!$W:$W,$B61,FC_DATA!$X:$X,$G$51,FC_DATA!$Z:$Z,G$53)</f>
        <v>0</v>
      </c>
      <c r="H61" s="844">
        <f ca="1">SUMIFS(FC_DATA!$AL:$AL,FC_DATA!$U:$U,$B$1,FC_DATA!$W:$W,$B61,FC_DATA!$X:$X,$G$51,FC_DATA!$Z:$Z,H$53)</f>
        <v>0</v>
      </c>
      <c r="I61" s="844">
        <f ca="1">SUMIFS(FC_DATA!$AL:$AL,FC_DATA!$U:$U,$B$1,FC_DATA!$W:$W,$B61,FC_DATA!$X:$X,$G$51,FC_DATA!$Z:$Z,I$53)</f>
        <v>0</v>
      </c>
      <c r="J61" s="845"/>
      <c r="K61" s="844">
        <f ca="1">SUMIFS(FC_DATA!$AL:$AL,FC_DATA!$U:$U,$B$1,FC_DATA!$W:$W,$B61,FC_DATA!$X:$X,$K$51,FC_DATA!$Z:$Z,K$53)</f>
        <v>0</v>
      </c>
      <c r="L61" s="844">
        <f ca="1">SUMIFS(FC_DATA!$AL:$AL,FC_DATA!$U:$U,$B$1,FC_DATA!$W:$W,$B61,FC_DATA!$X:$X,$K$51,FC_DATA!$Z:$Z,L$53)</f>
        <v>0</v>
      </c>
      <c r="M61" s="844">
        <f ca="1">SUMIFS(FC_DATA!$AL:$AL,FC_DATA!$U:$U,$B$1,FC_DATA!$W:$W,$B61,FC_DATA!$X:$X,$K$51,FC_DATA!$Z:$Z,M$53)</f>
        <v>0</v>
      </c>
      <c r="N61" s="845"/>
      <c r="O61" s="844">
        <f ca="1">SUMIFS(FC_DATA!$AL:$AL,FC_DATA!$U:$U,$B$1,FC_DATA!$W:$W,$B61,FC_DATA!$X:$X,$O$51,FC_DATA!$Z:$Z,O$53)</f>
        <v>0</v>
      </c>
      <c r="P61" s="844">
        <f ca="1">SUMIFS(FC_DATA!$AL:$AL,FC_DATA!$U:$U,$B$1,FC_DATA!$W:$W,$B61,FC_DATA!$X:$X,$O$51,FC_DATA!$Z:$Z,P$53)</f>
        <v>0</v>
      </c>
      <c r="Q61" s="844">
        <f ca="1">SUMIFS(FC_DATA!$AL:$AL,FC_DATA!$U:$U,$B$1,FC_DATA!$W:$W,$B61,FC_DATA!$X:$X,$O$51,FC_DATA!$Z:$Z,Q$53)</f>
        <v>0</v>
      </c>
      <c r="R61" s="845"/>
      <c r="S61" s="844">
        <f ca="1">SUMIFS(FC_DATA!$AL:$AL,FC_DATA!$U:$U,$B$1,FC_DATA!$W:$W,$B61,FC_DATA!$X:$X,$S$51,FC_DATA!$Z:$Z,S$53)</f>
        <v>0</v>
      </c>
      <c r="T61" s="844">
        <f ca="1">SUMIFS(FC_DATA!$AL:$AL,FC_DATA!$U:$U,$B$1,FC_DATA!$W:$W,$B61,FC_DATA!$X:$X,$S$51,FC_DATA!$Z:$Z,T$53)</f>
        <v>0</v>
      </c>
      <c r="U61" s="844">
        <f ca="1">SUMIFS(FC_DATA!$AL:$AL,FC_DATA!$U:$U,$B$1,FC_DATA!$W:$W,$B61,FC_DATA!$X:$X,$S$51,FC_DATA!$Z:$Z,U$53)</f>
        <v>0</v>
      </c>
      <c r="AR61" s="638"/>
    </row>
    <row r="62" spans="2:47" x14ac:dyDescent="0.25">
      <c r="B62" s="1" t="str">
        <f>'PIVOT TABLE'!A12</f>
        <v>SHORTS</v>
      </c>
      <c r="C62" s="844">
        <f ca="1">SUMIFS(FC_DATA!$AL:$AL,FC_DATA!$U:$U,$B$1,FC_DATA!$W:$W,$B62,FC_DATA!$X:$X,$C$51,FC_DATA!$Z:$Z,C$53)</f>
        <v>0</v>
      </c>
      <c r="D62" s="844">
        <f ca="1">SUMIFS(FC_DATA!$AL:$AL,FC_DATA!$U:$U,$B$1,FC_DATA!$W:$W,$B62,FC_DATA!$X:$X,$C$51,FC_DATA!$Z:$Z,D$53)</f>
        <v>0</v>
      </c>
      <c r="E62" s="844">
        <f ca="1">SUMIFS(FC_DATA!$AL:$AL,FC_DATA!$U:$U,$B$1,FC_DATA!$W:$W,$B62,FC_DATA!$X:$X,$C$51,FC_DATA!$Z:$Z,E$53)</f>
        <v>0</v>
      </c>
      <c r="F62" s="845"/>
      <c r="G62" s="844">
        <f ca="1">SUMIFS(FC_DATA!$AL:$AL,FC_DATA!$U:$U,$B$1,FC_DATA!$W:$W,$B62,FC_DATA!$X:$X,$G$51,FC_DATA!$Z:$Z,G$53)</f>
        <v>0</v>
      </c>
      <c r="H62" s="844">
        <f ca="1">SUMIFS(FC_DATA!$AL:$AL,FC_DATA!$U:$U,$B$1,FC_DATA!$W:$W,$B62,FC_DATA!$X:$X,$G$51,FC_DATA!$Z:$Z,H$53)</f>
        <v>0</v>
      </c>
      <c r="I62" s="844">
        <f ca="1">SUMIFS(FC_DATA!$AL:$AL,FC_DATA!$U:$U,$B$1,FC_DATA!$W:$W,$B62,FC_DATA!$X:$X,$G$51,FC_DATA!$Z:$Z,I$53)</f>
        <v>0</v>
      </c>
      <c r="J62" s="845"/>
      <c r="K62" s="844">
        <f ca="1">SUMIFS(FC_DATA!$AL:$AL,FC_DATA!$U:$U,$B$1,FC_DATA!$W:$W,$B62,FC_DATA!$X:$X,$K$51,FC_DATA!$Z:$Z,K$53)</f>
        <v>0</v>
      </c>
      <c r="L62" s="844">
        <f ca="1">SUMIFS(FC_DATA!$AL:$AL,FC_DATA!$U:$U,$B$1,FC_DATA!$W:$W,$B62,FC_DATA!$X:$X,$K$51,FC_DATA!$Z:$Z,L$53)</f>
        <v>0</v>
      </c>
      <c r="M62" s="844">
        <f ca="1">SUMIFS(FC_DATA!$AL:$AL,FC_DATA!$U:$U,$B$1,FC_DATA!$W:$W,$B62,FC_DATA!$X:$X,$K$51,FC_DATA!$Z:$Z,M$53)</f>
        <v>0</v>
      </c>
      <c r="N62" s="845"/>
      <c r="O62" s="844">
        <f ca="1">SUMIFS(FC_DATA!$AL:$AL,FC_DATA!$U:$U,$B$1,FC_DATA!$W:$W,$B62,FC_DATA!$X:$X,$O$51,FC_DATA!$Z:$Z,O$53)</f>
        <v>0</v>
      </c>
      <c r="P62" s="844">
        <f ca="1">SUMIFS(FC_DATA!$AL:$AL,FC_DATA!$U:$U,$B$1,FC_DATA!$W:$W,$B62,FC_DATA!$X:$X,$O$51,FC_DATA!$Z:$Z,P$53)</f>
        <v>0</v>
      </c>
      <c r="Q62" s="844">
        <f ca="1">SUMIFS(FC_DATA!$AL:$AL,FC_DATA!$U:$U,$B$1,FC_DATA!$W:$W,$B62,FC_DATA!$X:$X,$O$51,FC_DATA!$Z:$Z,Q$53)</f>
        <v>0</v>
      </c>
      <c r="R62" s="845"/>
      <c r="S62" s="844">
        <f ca="1">SUMIFS(FC_DATA!$AL:$AL,FC_DATA!$U:$U,$B$1,FC_DATA!$W:$W,$B62,FC_DATA!$X:$X,$S$51,FC_DATA!$Z:$Z,S$53)</f>
        <v>0</v>
      </c>
      <c r="T62" s="844">
        <f ca="1">SUMIFS(FC_DATA!$AL:$AL,FC_DATA!$U:$U,$B$1,FC_DATA!$W:$W,$B62,FC_DATA!$X:$X,$S$51,FC_DATA!$Z:$Z,T$53)</f>
        <v>0</v>
      </c>
      <c r="U62" s="844">
        <f ca="1">SUMIFS(FC_DATA!$AL:$AL,FC_DATA!$U:$U,$B$1,FC_DATA!$W:$W,$B62,FC_DATA!$X:$X,$S$51,FC_DATA!$Z:$Z,U$53)</f>
        <v>0</v>
      </c>
      <c r="AR62" s="638"/>
    </row>
    <row r="63" spans="2:47" x14ac:dyDescent="0.25">
      <c r="B63" s="1" t="str">
        <f>'PIVOT TABLE'!A13</f>
        <v>SKIRTS</v>
      </c>
      <c r="C63" s="844">
        <f ca="1">SUMIFS(FC_DATA!$AL:$AL,FC_DATA!$U:$U,$B$1,FC_DATA!$W:$W,$B63,FC_DATA!$X:$X,$C$51,FC_DATA!$Z:$Z,C$53)</f>
        <v>0</v>
      </c>
      <c r="D63" s="844">
        <f ca="1">SUMIFS(FC_DATA!$AL:$AL,FC_DATA!$U:$U,$B$1,FC_DATA!$W:$W,$B63,FC_DATA!$X:$X,$C$51,FC_DATA!$Z:$Z,D$53)</f>
        <v>0</v>
      </c>
      <c r="E63" s="844">
        <f ca="1">SUMIFS(FC_DATA!$AL:$AL,FC_DATA!$U:$U,$B$1,FC_DATA!$W:$W,$B63,FC_DATA!$X:$X,$C$51,FC_DATA!$Z:$Z,E$53)</f>
        <v>0</v>
      </c>
      <c r="F63" s="845"/>
      <c r="G63" s="844">
        <f ca="1">SUMIFS(FC_DATA!$AL:$AL,FC_DATA!$U:$U,$B$1,FC_DATA!$W:$W,$B63,FC_DATA!$X:$X,$G$51,FC_DATA!$Z:$Z,G$53)</f>
        <v>0</v>
      </c>
      <c r="H63" s="844">
        <f ca="1">SUMIFS(FC_DATA!$AL:$AL,FC_DATA!$U:$U,$B$1,FC_DATA!$W:$W,$B63,FC_DATA!$X:$X,$G$51,FC_DATA!$Z:$Z,H$53)</f>
        <v>0</v>
      </c>
      <c r="I63" s="844">
        <f ca="1">SUMIFS(FC_DATA!$AL:$AL,FC_DATA!$U:$U,$B$1,FC_DATA!$W:$W,$B63,FC_DATA!$X:$X,$G$51,FC_DATA!$Z:$Z,I$53)</f>
        <v>0</v>
      </c>
      <c r="J63" s="845"/>
      <c r="K63" s="844">
        <f ca="1">SUMIFS(FC_DATA!$AL:$AL,FC_DATA!$U:$U,$B$1,FC_DATA!$W:$W,$B63,FC_DATA!$X:$X,$K$51,FC_DATA!$Z:$Z,K$53)</f>
        <v>0</v>
      </c>
      <c r="L63" s="844">
        <f ca="1">SUMIFS(FC_DATA!$AL:$AL,FC_DATA!$U:$U,$B$1,FC_DATA!$W:$W,$B63,FC_DATA!$X:$X,$K$51,FC_DATA!$Z:$Z,L$53)</f>
        <v>0</v>
      </c>
      <c r="M63" s="844">
        <f ca="1">SUMIFS(FC_DATA!$AL:$AL,FC_DATA!$U:$U,$B$1,FC_DATA!$W:$W,$B63,FC_DATA!$X:$X,$K$51,FC_DATA!$Z:$Z,M$53)</f>
        <v>0</v>
      </c>
      <c r="N63" s="845"/>
      <c r="O63" s="844">
        <f ca="1">SUMIFS(FC_DATA!$AL:$AL,FC_DATA!$U:$U,$B$1,FC_DATA!$W:$W,$B63,FC_DATA!$X:$X,$O$51,FC_DATA!$Z:$Z,O$53)</f>
        <v>0</v>
      </c>
      <c r="P63" s="844">
        <f ca="1">SUMIFS(FC_DATA!$AL:$AL,FC_DATA!$U:$U,$B$1,FC_DATA!$W:$W,$B63,FC_DATA!$X:$X,$O$51,FC_DATA!$Z:$Z,P$53)</f>
        <v>0</v>
      </c>
      <c r="Q63" s="844">
        <f ca="1">SUMIFS(FC_DATA!$AL:$AL,FC_DATA!$U:$U,$B$1,FC_DATA!$W:$W,$B63,FC_DATA!$X:$X,$O$51,FC_DATA!$Z:$Z,Q$53)</f>
        <v>0</v>
      </c>
      <c r="R63" s="845"/>
      <c r="S63" s="844">
        <f ca="1">SUMIFS(FC_DATA!$AL:$AL,FC_DATA!$U:$U,$B$1,FC_DATA!$W:$W,$B63,FC_DATA!$X:$X,$S$51,FC_DATA!$Z:$Z,S$53)</f>
        <v>0</v>
      </c>
      <c r="T63" s="844">
        <f ca="1">SUMIFS(FC_DATA!$AL:$AL,FC_DATA!$U:$U,$B$1,FC_DATA!$W:$W,$B63,FC_DATA!$X:$X,$S$51,FC_DATA!$Z:$Z,T$53)</f>
        <v>0</v>
      </c>
      <c r="U63" s="844">
        <f ca="1">SUMIFS(FC_DATA!$AL:$AL,FC_DATA!$U:$U,$B$1,FC_DATA!$W:$W,$B63,FC_DATA!$X:$X,$S$51,FC_DATA!$Z:$Z,U$53)</f>
        <v>0</v>
      </c>
      <c r="AR63" s="638"/>
    </row>
    <row r="64" spans="2:47" x14ac:dyDescent="0.25">
      <c r="B64" s="1" t="str">
        <f>'PIVOT TABLE'!A14</f>
        <v>SWEAT</v>
      </c>
      <c r="C64" s="844">
        <f ca="1">SUMIFS(FC_DATA!$AL:$AL,FC_DATA!$U:$U,$B$1,FC_DATA!$W:$W,$B64,FC_DATA!$X:$X,$C$51,FC_DATA!$Z:$Z,C$53)</f>
        <v>0</v>
      </c>
      <c r="D64" s="844">
        <f ca="1">SUMIFS(FC_DATA!$AL:$AL,FC_DATA!$U:$U,$B$1,FC_DATA!$W:$W,$B64,FC_DATA!$X:$X,$C$51,FC_DATA!$Z:$Z,D$53)</f>
        <v>0</v>
      </c>
      <c r="E64" s="844">
        <f ca="1">SUMIFS(FC_DATA!$AL:$AL,FC_DATA!$U:$U,$B$1,FC_DATA!$W:$W,$B64,FC_DATA!$X:$X,$C$51,FC_DATA!$Z:$Z,E$53)</f>
        <v>0</v>
      </c>
      <c r="F64" s="845"/>
      <c r="G64" s="844">
        <f ca="1">SUMIFS(FC_DATA!$AL:$AL,FC_DATA!$U:$U,$B$1,FC_DATA!$W:$W,$B64,FC_DATA!$X:$X,$G$51,FC_DATA!$Z:$Z,G$53)</f>
        <v>0</v>
      </c>
      <c r="H64" s="844">
        <f ca="1">SUMIFS(FC_DATA!$AL:$AL,FC_DATA!$U:$U,$B$1,FC_DATA!$W:$W,$B64,FC_DATA!$X:$X,$G$51,FC_DATA!$Z:$Z,H$53)</f>
        <v>0</v>
      </c>
      <c r="I64" s="844">
        <f ca="1">SUMIFS(FC_DATA!$AL:$AL,FC_DATA!$U:$U,$B$1,FC_DATA!$W:$W,$B64,FC_DATA!$X:$X,$G$51,FC_DATA!$Z:$Z,I$53)</f>
        <v>0</v>
      </c>
      <c r="J64" s="845"/>
      <c r="K64" s="844">
        <f ca="1">SUMIFS(FC_DATA!$AL:$AL,FC_DATA!$U:$U,$B$1,FC_DATA!$W:$W,$B64,FC_DATA!$X:$X,$K$51,FC_DATA!$Z:$Z,K$53)</f>
        <v>0</v>
      </c>
      <c r="L64" s="844">
        <f ca="1">SUMIFS(FC_DATA!$AL:$AL,FC_DATA!$U:$U,$B$1,FC_DATA!$W:$W,$B64,FC_DATA!$X:$X,$K$51,FC_DATA!$Z:$Z,L$53)</f>
        <v>0</v>
      </c>
      <c r="M64" s="844">
        <f ca="1">SUMIFS(FC_DATA!$AL:$AL,FC_DATA!$U:$U,$B$1,FC_DATA!$W:$W,$B64,FC_DATA!$X:$X,$K$51,FC_DATA!$Z:$Z,M$53)</f>
        <v>0</v>
      </c>
      <c r="N64" s="845"/>
      <c r="O64" s="844">
        <f ca="1">SUMIFS(FC_DATA!$AL:$AL,FC_DATA!$U:$U,$B$1,FC_DATA!$W:$W,$B64,FC_DATA!$X:$X,$O$51,FC_DATA!$Z:$Z,O$53)</f>
        <v>0</v>
      </c>
      <c r="P64" s="844">
        <f ca="1">SUMIFS(FC_DATA!$AL:$AL,FC_DATA!$U:$U,$B$1,FC_DATA!$W:$W,$B64,FC_DATA!$X:$X,$O$51,FC_DATA!$Z:$Z,P$53)</f>
        <v>0</v>
      </c>
      <c r="Q64" s="844">
        <f ca="1">SUMIFS(FC_DATA!$AL:$AL,FC_DATA!$U:$U,$B$1,FC_DATA!$W:$W,$B64,FC_DATA!$X:$X,$O$51,FC_DATA!$Z:$Z,Q$53)</f>
        <v>0</v>
      </c>
      <c r="R64" s="845"/>
      <c r="S64" s="844">
        <f ca="1">SUMIFS(FC_DATA!$AL:$AL,FC_DATA!$U:$U,$B$1,FC_DATA!$W:$W,$B64,FC_DATA!$X:$X,$S$51,FC_DATA!$Z:$Z,S$53)</f>
        <v>0</v>
      </c>
      <c r="T64" s="844">
        <f ca="1">SUMIFS(FC_DATA!$AL:$AL,FC_DATA!$U:$U,$B$1,FC_DATA!$W:$W,$B64,FC_DATA!$X:$X,$S$51,FC_DATA!$Z:$Z,T$53)</f>
        <v>0</v>
      </c>
      <c r="U64" s="844">
        <f ca="1">SUMIFS(FC_DATA!$AL:$AL,FC_DATA!$U:$U,$B$1,FC_DATA!$W:$W,$B64,FC_DATA!$X:$X,$S$51,FC_DATA!$Z:$Z,U$53)</f>
        <v>0</v>
      </c>
      <c r="AR64" s="638"/>
    </row>
    <row r="65" spans="2:44" x14ac:dyDescent="0.25">
      <c r="B65" s="1" t="str">
        <f>'PIVOT TABLE'!A15</f>
        <v>TAILORING</v>
      </c>
      <c r="C65" s="844">
        <f ca="1">SUMIFS(FC_DATA!$AL:$AL,FC_DATA!$U:$U,$B$1,FC_DATA!$W:$W,$B65,FC_DATA!$X:$X,$C$51,FC_DATA!$Z:$Z,C$53)</f>
        <v>0</v>
      </c>
      <c r="D65" s="844">
        <f ca="1">SUMIFS(FC_DATA!$AL:$AL,FC_DATA!$U:$U,$B$1,FC_DATA!$W:$W,$B65,FC_DATA!$X:$X,$C$51,FC_DATA!$Z:$Z,D$53)</f>
        <v>0</v>
      </c>
      <c r="E65" s="844">
        <f ca="1">SUMIFS(FC_DATA!$AL:$AL,FC_DATA!$U:$U,$B$1,FC_DATA!$W:$W,$B65,FC_DATA!$X:$X,$C$51,FC_DATA!$Z:$Z,E$53)</f>
        <v>0</v>
      </c>
      <c r="F65" s="845"/>
      <c r="G65" s="844">
        <f ca="1">SUMIFS(FC_DATA!$AL:$AL,FC_DATA!$U:$U,$B$1,FC_DATA!$W:$W,$B65,FC_DATA!$X:$X,$G$51,FC_DATA!$Z:$Z,G$53)</f>
        <v>0</v>
      </c>
      <c r="H65" s="844">
        <f ca="1">SUMIFS(FC_DATA!$AL:$AL,FC_DATA!$U:$U,$B$1,FC_DATA!$W:$W,$B65,FC_DATA!$X:$X,$G$51,FC_DATA!$Z:$Z,H$53)</f>
        <v>0</v>
      </c>
      <c r="I65" s="844">
        <f ca="1">SUMIFS(FC_DATA!$AL:$AL,FC_DATA!$U:$U,$B$1,FC_DATA!$W:$W,$B65,FC_DATA!$X:$X,$G$51,FC_DATA!$Z:$Z,I$53)</f>
        <v>0</v>
      </c>
      <c r="J65" s="845"/>
      <c r="K65" s="844">
        <f ca="1">SUMIFS(FC_DATA!$AL:$AL,FC_DATA!$U:$U,$B$1,FC_DATA!$W:$W,$B65,FC_DATA!$X:$X,$K$51,FC_DATA!$Z:$Z,K$53)</f>
        <v>0</v>
      </c>
      <c r="L65" s="844">
        <f ca="1">SUMIFS(FC_DATA!$AL:$AL,FC_DATA!$U:$U,$B$1,FC_DATA!$W:$W,$B65,FC_DATA!$X:$X,$K$51,FC_DATA!$Z:$Z,L$53)</f>
        <v>0</v>
      </c>
      <c r="M65" s="844">
        <f ca="1">SUMIFS(FC_DATA!$AL:$AL,FC_DATA!$U:$U,$B$1,FC_DATA!$W:$W,$B65,FC_DATA!$X:$X,$K$51,FC_DATA!$Z:$Z,M$53)</f>
        <v>0</v>
      </c>
      <c r="N65" s="845"/>
      <c r="O65" s="844">
        <f ca="1">SUMIFS(FC_DATA!$AL:$AL,FC_DATA!$U:$U,$B$1,FC_DATA!$W:$W,$B65,FC_DATA!$X:$X,$O$51,FC_DATA!$Z:$Z,O$53)</f>
        <v>0</v>
      </c>
      <c r="P65" s="844">
        <f ca="1">SUMIFS(FC_DATA!$AL:$AL,FC_DATA!$U:$U,$B$1,FC_DATA!$W:$W,$B65,FC_DATA!$X:$X,$O$51,FC_DATA!$Z:$Z,P$53)</f>
        <v>0</v>
      </c>
      <c r="Q65" s="844">
        <f ca="1">SUMIFS(FC_DATA!$AL:$AL,FC_DATA!$U:$U,$B$1,FC_DATA!$W:$W,$B65,FC_DATA!$X:$X,$O$51,FC_DATA!$Z:$Z,Q$53)</f>
        <v>0</v>
      </c>
      <c r="R65" s="845"/>
      <c r="S65" s="844">
        <f ca="1">SUMIFS(FC_DATA!$AL:$AL,FC_DATA!$U:$U,$B$1,FC_DATA!$W:$W,$B65,FC_DATA!$X:$X,$S$51,FC_DATA!$Z:$Z,S$53)</f>
        <v>0</v>
      </c>
      <c r="T65" s="844">
        <f ca="1">SUMIFS(FC_DATA!$AL:$AL,FC_DATA!$U:$U,$B$1,FC_DATA!$W:$W,$B65,FC_DATA!$X:$X,$S$51,FC_DATA!$Z:$Z,T$53)</f>
        <v>0</v>
      </c>
      <c r="U65" s="844">
        <f ca="1">SUMIFS(FC_DATA!$AL:$AL,FC_DATA!$U:$U,$B$1,FC_DATA!$W:$W,$B65,FC_DATA!$X:$X,$S$51,FC_DATA!$Z:$Z,U$53)</f>
        <v>0</v>
      </c>
      <c r="AR65" s="638"/>
    </row>
    <row r="66" spans="2:44" x14ac:dyDescent="0.25">
      <c r="B66" s="1" t="str">
        <f>'PIVOT TABLE'!A16</f>
        <v>TOPS</v>
      </c>
      <c r="C66" s="844">
        <f ca="1">SUMIFS(FC_DATA!$AL:$AL,FC_DATA!$U:$U,$B$1,FC_DATA!$W:$W,$B66,FC_DATA!$X:$X,$C$51,FC_DATA!$Z:$Z,C$53)</f>
        <v>0</v>
      </c>
      <c r="D66" s="844">
        <f ca="1">SUMIFS(FC_DATA!$AL:$AL,FC_DATA!$U:$U,$B$1,FC_DATA!$W:$W,$B66,FC_DATA!$X:$X,$C$51,FC_DATA!$Z:$Z,D$53)</f>
        <v>0</v>
      </c>
      <c r="E66" s="844">
        <f ca="1">SUMIFS(FC_DATA!$AL:$AL,FC_DATA!$U:$U,$B$1,FC_DATA!$W:$W,$B66,FC_DATA!$X:$X,$C$51,FC_DATA!$Z:$Z,E$53)</f>
        <v>0</v>
      </c>
      <c r="F66" s="845"/>
      <c r="G66" s="844">
        <f ca="1">SUMIFS(FC_DATA!$AL:$AL,FC_DATA!$U:$U,$B$1,FC_DATA!$W:$W,$B66,FC_DATA!$X:$X,$G$51,FC_DATA!$Z:$Z,G$53)</f>
        <v>0</v>
      </c>
      <c r="H66" s="844">
        <f ca="1">SUMIFS(FC_DATA!$AL:$AL,FC_DATA!$U:$U,$B$1,FC_DATA!$W:$W,$B66,FC_DATA!$X:$X,$G$51,FC_DATA!$Z:$Z,H$53)</f>
        <v>0</v>
      </c>
      <c r="I66" s="844">
        <f ca="1">SUMIFS(FC_DATA!$AL:$AL,FC_DATA!$U:$U,$B$1,FC_DATA!$W:$W,$B66,FC_DATA!$X:$X,$G$51,FC_DATA!$Z:$Z,I$53)</f>
        <v>0</v>
      </c>
      <c r="J66" s="845"/>
      <c r="K66" s="844">
        <f ca="1">SUMIFS(FC_DATA!$AL:$AL,FC_DATA!$U:$U,$B$1,FC_DATA!$W:$W,$B66,FC_DATA!$X:$X,$K$51,FC_DATA!$Z:$Z,K$53)</f>
        <v>0</v>
      </c>
      <c r="L66" s="844">
        <f ca="1">SUMIFS(FC_DATA!$AL:$AL,FC_DATA!$U:$U,$B$1,FC_DATA!$W:$W,$B66,FC_DATA!$X:$X,$K$51,FC_DATA!$Z:$Z,L$53)</f>
        <v>0</v>
      </c>
      <c r="M66" s="844">
        <f ca="1">SUMIFS(FC_DATA!$AL:$AL,FC_DATA!$U:$U,$B$1,FC_DATA!$W:$W,$B66,FC_DATA!$X:$X,$K$51,FC_DATA!$Z:$Z,M$53)</f>
        <v>0</v>
      </c>
      <c r="N66" s="845"/>
      <c r="O66" s="844">
        <f ca="1">SUMIFS(FC_DATA!$AL:$AL,FC_DATA!$U:$U,$B$1,FC_DATA!$W:$W,$B66,FC_DATA!$X:$X,$O$51,FC_DATA!$Z:$Z,O$53)</f>
        <v>0</v>
      </c>
      <c r="P66" s="844">
        <f ca="1">SUMIFS(FC_DATA!$AL:$AL,FC_DATA!$U:$U,$B$1,FC_DATA!$W:$W,$B66,FC_DATA!$X:$X,$O$51,FC_DATA!$Z:$Z,P$53)</f>
        <v>0</v>
      </c>
      <c r="Q66" s="844">
        <f ca="1">SUMIFS(FC_DATA!$AL:$AL,FC_DATA!$U:$U,$B$1,FC_DATA!$W:$W,$B66,FC_DATA!$X:$X,$O$51,FC_DATA!$Z:$Z,Q$53)</f>
        <v>0</v>
      </c>
      <c r="R66" s="845"/>
      <c r="S66" s="844">
        <f ca="1">SUMIFS(FC_DATA!$AL:$AL,FC_DATA!$U:$U,$B$1,FC_DATA!$W:$W,$B66,FC_DATA!$X:$X,$S$51,FC_DATA!$Z:$Z,S$53)</f>
        <v>0</v>
      </c>
      <c r="T66" s="844">
        <f ca="1">SUMIFS(FC_DATA!$AL:$AL,FC_DATA!$U:$U,$B$1,FC_DATA!$W:$W,$B66,FC_DATA!$X:$X,$S$51,FC_DATA!$Z:$Z,T$53)</f>
        <v>0</v>
      </c>
      <c r="U66" s="844">
        <f ca="1">SUMIFS(FC_DATA!$AL:$AL,FC_DATA!$U:$U,$B$1,FC_DATA!$W:$W,$B66,FC_DATA!$X:$X,$S$51,FC_DATA!$Z:$Z,U$53)</f>
        <v>0</v>
      </c>
      <c r="AR66" s="638"/>
    </row>
    <row r="67" spans="2:44" x14ac:dyDescent="0.25">
      <c r="B67" s="1" t="str">
        <f>'PIVOT TABLE'!A17</f>
        <v>T-SHIRTS</v>
      </c>
      <c r="C67" s="844">
        <f ca="1">SUMIFS(FC_DATA!$AL:$AL,FC_DATA!$U:$U,$B$1,FC_DATA!$W:$W,$B67,FC_DATA!$X:$X,$C$51,FC_DATA!$Z:$Z,C$53)</f>
        <v>0</v>
      </c>
      <c r="D67" s="844">
        <f ca="1">SUMIFS(FC_DATA!$AL:$AL,FC_DATA!$U:$U,$B$1,FC_DATA!$W:$W,$B67,FC_DATA!$X:$X,$C$51,FC_DATA!$Z:$Z,D$53)</f>
        <v>0</v>
      </c>
      <c r="E67" s="844">
        <f ca="1">SUMIFS(FC_DATA!$AL:$AL,FC_DATA!$U:$U,$B$1,FC_DATA!$W:$W,$B67,FC_DATA!$X:$X,$C$51,FC_DATA!$Z:$Z,E$53)</f>
        <v>0</v>
      </c>
      <c r="F67" s="845"/>
      <c r="G67" s="844">
        <f ca="1">SUMIFS(FC_DATA!$AL:$AL,FC_DATA!$U:$U,$B$1,FC_DATA!$W:$W,$B67,FC_DATA!$X:$X,$G$51,FC_DATA!$Z:$Z,G$53)</f>
        <v>0</v>
      </c>
      <c r="H67" s="844">
        <f ca="1">SUMIFS(FC_DATA!$AL:$AL,FC_DATA!$U:$U,$B$1,FC_DATA!$W:$W,$B67,FC_DATA!$X:$X,$G$51,FC_DATA!$Z:$Z,H$53)</f>
        <v>0</v>
      </c>
      <c r="I67" s="844">
        <f ca="1">SUMIFS(FC_DATA!$AL:$AL,FC_DATA!$U:$U,$B$1,FC_DATA!$W:$W,$B67,FC_DATA!$X:$X,$G$51,FC_DATA!$Z:$Z,I$53)</f>
        <v>0</v>
      </c>
      <c r="J67" s="845"/>
      <c r="K67" s="844">
        <f ca="1">SUMIFS(FC_DATA!$AL:$AL,FC_DATA!$U:$U,$B$1,FC_DATA!$W:$W,$B67,FC_DATA!$X:$X,$K$51,FC_DATA!$Z:$Z,K$53)</f>
        <v>0</v>
      </c>
      <c r="L67" s="844">
        <f ca="1">SUMIFS(FC_DATA!$AL:$AL,FC_DATA!$U:$U,$B$1,FC_DATA!$W:$W,$B67,FC_DATA!$X:$X,$K$51,FC_DATA!$Z:$Z,L$53)</f>
        <v>0</v>
      </c>
      <c r="M67" s="844">
        <f ca="1">SUMIFS(FC_DATA!$AL:$AL,FC_DATA!$U:$U,$B$1,FC_DATA!$W:$W,$B67,FC_DATA!$X:$X,$K$51,FC_DATA!$Z:$Z,M$53)</f>
        <v>0</v>
      </c>
      <c r="N67" s="845"/>
      <c r="O67" s="844">
        <f ca="1">SUMIFS(FC_DATA!$AL:$AL,FC_DATA!$U:$U,$B$1,FC_DATA!$W:$W,$B67,FC_DATA!$X:$X,$O$51,FC_DATA!$Z:$Z,O$53)</f>
        <v>0</v>
      </c>
      <c r="P67" s="844">
        <f ca="1">SUMIFS(FC_DATA!$AL:$AL,FC_DATA!$U:$U,$B$1,FC_DATA!$W:$W,$B67,FC_DATA!$X:$X,$O$51,FC_DATA!$Z:$Z,P$53)</f>
        <v>0</v>
      </c>
      <c r="Q67" s="844">
        <f ca="1">SUMIFS(FC_DATA!$AL:$AL,FC_DATA!$U:$U,$B$1,FC_DATA!$W:$W,$B67,FC_DATA!$X:$X,$O$51,FC_DATA!$Z:$Z,Q$53)</f>
        <v>0</v>
      </c>
      <c r="R67" s="845"/>
      <c r="S67" s="844">
        <f ca="1">SUMIFS(FC_DATA!$AL:$AL,FC_DATA!$U:$U,$B$1,FC_DATA!$W:$W,$B67,FC_DATA!$X:$X,$S$51,FC_DATA!$Z:$Z,S$53)</f>
        <v>0</v>
      </c>
      <c r="T67" s="844">
        <f ca="1">SUMIFS(FC_DATA!$AL:$AL,FC_DATA!$U:$U,$B$1,FC_DATA!$W:$W,$B67,FC_DATA!$X:$X,$S$51,FC_DATA!$Z:$Z,T$53)</f>
        <v>0</v>
      </c>
      <c r="U67" s="844">
        <f ca="1">SUMIFS(FC_DATA!$AL:$AL,FC_DATA!$U:$U,$B$1,FC_DATA!$W:$W,$B67,FC_DATA!$X:$X,$S$51,FC_DATA!$Z:$Z,U$53)</f>
        <v>0</v>
      </c>
      <c r="AR67" s="638"/>
    </row>
    <row r="68" spans="2:44" x14ac:dyDescent="0.25">
      <c r="B68" s="1" t="str">
        <f>'PIVOT TABLE'!A18</f>
        <v>T-SHIRTS &amp; TOPS</v>
      </c>
      <c r="C68" s="844">
        <f ca="1">SUMIFS(FC_DATA!$AL:$AL,FC_DATA!$U:$U,$B$1,FC_DATA!$W:$W,$B68,FC_DATA!$X:$X,$C$51,FC_DATA!$Z:$Z,C$53)</f>
        <v>0</v>
      </c>
      <c r="D68" s="844">
        <f ca="1">SUMIFS(FC_DATA!$AL:$AL,FC_DATA!$U:$U,$B$1,FC_DATA!$W:$W,$B68,FC_DATA!$X:$X,$C$51,FC_DATA!$Z:$Z,D$53)</f>
        <v>0</v>
      </c>
      <c r="E68" s="844">
        <f ca="1">SUMIFS(FC_DATA!$AL:$AL,FC_DATA!$U:$U,$B$1,FC_DATA!$W:$W,$B68,FC_DATA!$X:$X,$C$51,FC_DATA!$Z:$Z,E$53)</f>
        <v>0</v>
      </c>
      <c r="F68" s="845"/>
      <c r="G68" s="844">
        <f ca="1">SUMIFS(FC_DATA!$AL:$AL,FC_DATA!$U:$U,$B$1,FC_DATA!$W:$W,$B68,FC_DATA!$X:$X,$G$51,FC_DATA!$Z:$Z,G$53)</f>
        <v>0</v>
      </c>
      <c r="H68" s="844">
        <f ca="1">SUMIFS(FC_DATA!$AL:$AL,FC_DATA!$U:$U,$B$1,FC_DATA!$W:$W,$B68,FC_DATA!$X:$X,$G$51,FC_DATA!$Z:$Z,H$53)</f>
        <v>0</v>
      </c>
      <c r="I68" s="844">
        <f ca="1">SUMIFS(FC_DATA!$AL:$AL,FC_DATA!$U:$U,$B$1,FC_DATA!$W:$W,$B68,FC_DATA!$X:$X,$G$51,FC_DATA!$Z:$Z,I$53)</f>
        <v>0</v>
      </c>
      <c r="J68" s="845"/>
      <c r="K68" s="844">
        <f ca="1">SUMIFS(FC_DATA!$AL:$AL,FC_DATA!$U:$U,$B$1,FC_DATA!$W:$W,$B68,FC_DATA!$X:$X,$K$51,FC_DATA!$Z:$Z,K$53)</f>
        <v>0</v>
      </c>
      <c r="L68" s="844">
        <f ca="1">SUMIFS(FC_DATA!$AL:$AL,FC_DATA!$U:$U,$B$1,FC_DATA!$W:$W,$B68,FC_DATA!$X:$X,$K$51,FC_DATA!$Z:$Z,L$53)</f>
        <v>0</v>
      </c>
      <c r="M68" s="844">
        <f ca="1">SUMIFS(FC_DATA!$AL:$AL,FC_DATA!$U:$U,$B$1,FC_DATA!$W:$W,$B68,FC_DATA!$X:$X,$K$51,FC_DATA!$Z:$Z,M$53)</f>
        <v>0</v>
      </c>
      <c r="N68" s="845"/>
      <c r="O68" s="844">
        <f ca="1">SUMIFS(FC_DATA!$AL:$AL,FC_DATA!$U:$U,$B$1,FC_DATA!$W:$W,$B68,FC_DATA!$X:$X,$O$51,FC_DATA!$Z:$Z,O$53)</f>
        <v>0</v>
      </c>
      <c r="P68" s="844">
        <f ca="1">SUMIFS(FC_DATA!$AL:$AL,FC_DATA!$U:$U,$B$1,FC_DATA!$W:$W,$B68,FC_DATA!$X:$X,$O$51,FC_DATA!$Z:$Z,P$53)</f>
        <v>0</v>
      </c>
      <c r="Q68" s="844">
        <f ca="1">SUMIFS(FC_DATA!$AL:$AL,FC_DATA!$U:$U,$B$1,FC_DATA!$W:$W,$B68,FC_DATA!$X:$X,$O$51,FC_DATA!$Z:$Z,Q$53)</f>
        <v>0</v>
      </c>
      <c r="R68" s="845"/>
      <c r="S68" s="844">
        <f ca="1">SUMIFS(FC_DATA!$AL:$AL,FC_DATA!$U:$U,$B$1,FC_DATA!$W:$W,$B68,FC_DATA!$X:$X,$S$51,FC_DATA!$Z:$Z,S$53)</f>
        <v>0</v>
      </c>
      <c r="T68" s="844">
        <f ca="1">SUMIFS(FC_DATA!$AL:$AL,FC_DATA!$U:$U,$B$1,FC_DATA!$W:$W,$B68,FC_DATA!$X:$X,$S$51,FC_DATA!$Z:$Z,T$53)</f>
        <v>0</v>
      </c>
      <c r="U68" s="844">
        <f ca="1">SUMIFS(FC_DATA!$AL:$AL,FC_DATA!$U:$U,$B$1,FC_DATA!$W:$W,$B68,FC_DATA!$X:$X,$S$51,FC_DATA!$Z:$Z,U$53)</f>
        <v>0</v>
      </c>
      <c r="AR68" s="638"/>
    </row>
    <row r="69" spans="2:44" x14ac:dyDescent="0.25">
      <c r="B69" s="1">
        <f>'PIVOT TABLE'!A19</f>
        <v>0</v>
      </c>
      <c r="C69" s="844">
        <f ca="1">SUMIFS(FC_DATA!$AL:$AL,FC_DATA!$U:$U,$B$1,FC_DATA!$W:$W,$B69,FC_DATA!$X:$X,$C$51,FC_DATA!$Z:$Z,C$53)</f>
        <v>0</v>
      </c>
      <c r="D69" s="844">
        <f ca="1">SUMIFS(FC_DATA!$AL:$AL,FC_DATA!$U:$U,$B$1,FC_DATA!$W:$W,$B69,FC_DATA!$X:$X,$C$51,FC_DATA!$Z:$Z,D$53)</f>
        <v>0</v>
      </c>
      <c r="E69" s="844">
        <f ca="1">SUMIFS(FC_DATA!$AL:$AL,FC_DATA!$U:$U,$B$1,FC_DATA!$W:$W,$B69,FC_DATA!$X:$X,$C$51,FC_DATA!$Z:$Z,E$53)</f>
        <v>0</v>
      </c>
      <c r="F69" s="845"/>
      <c r="G69" s="844">
        <f ca="1">SUMIFS(FC_DATA!$AL:$AL,FC_DATA!$U:$U,$B$1,FC_DATA!$W:$W,$B69,FC_DATA!$X:$X,$G$51,FC_DATA!$Z:$Z,G$53)</f>
        <v>0</v>
      </c>
      <c r="H69" s="844">
        <f ca="1">SUMIFS(FC_DATA!$AL:$AL,FC_DATA!$U:$U,$B$1,FC_DATA!$W:$W,$B69,FC_DATA!$X:$X,$G$51,FC_DATA!$Z:$Z,H$53)</f>
        <v>0</v>
      </c>
      <c r="I69" s="844">
        <f ca="1">SUMIFS(FC_DATA!$AL:$AL,FC_DATA!$U:$U,$B$1,FC_DATA!$W:$W,$B69,FC_DATA!$X:$X,$G$51,FC_DATA!$Z:$Z,I$53)</f>
        <v>0</v>
      </c>
      <c r="J69" s="845"/>
      <c r="K69" s="844">
        <f ca="1">SUMIFS(FC_DATA!$AL:$AL,FC_DATA!$U:$U,$B$1,FC_DATA!$W:$W,$B69,FC_DATA!$X:$X,$K$51,FC_DATA!$Z:$Z,K$53)</f>
        <v>0</v>
      </c>
      <c r="L69" s="844">
        <f ca="1">SUMIFS(FC_DATA!$AL:$AL,FC_DATA!$U:$U,$B$1,FC_DATA!$W:$W,$B69,FC_DATA!$X:$X,$K$51,FC_DATA!$Z:$Z,L$53)</f>
        <v>0</v>
      </c>
      <c r="M69" s="844">
        <f ca="1">SUMIFS(FC_DATA!$AL:$AL,FC_DATA!$U:$U,$B$1,FC_DATA!$W:$W,$B69,FC_DATA!$X:$X,$K$51,FC_DATA!$Z:$Z,M$53)</f>
        <v>0</v>
      </c>
      <c r="N69" s="845"/>
      <c r="O69" s="844">
        <f ca="1">SUMIFS(FC_DATA!$AL:$AL,FC_DATA!$U:$U,$B$1,FC_DATA!$W:$W,$B69,FC_DATA!$X:$X,$O$51,FC_DATA!$Z:$Z,O$53)</f>
        <v>0</v>
      </c>
      <c r="P69" s="844">
        <f ca="1">SUMIFS(FC_DATA!$AL:$AL,FC_DATA!$U:$U,$B$1,FC_DATA!$W:$W,$B69,FC_DATA!$X:$X,$O$51,FC_DATA!$Z:$Z,P$53)</f>
        <v>0</v>
      </c>
      <c r="Q69" s="844">
        <f ca="1">SUMIFS(FC_DATA!$AL:$AL,FC_DATA!$U:$U,$B$1,FC_DATA!$W:$W,$B69,FC_DATA!$X:$X,$O$51,FC_DATA!$Z:$Z,Q$53)</f>
        <v>0</v>
      </c>
      <c r="R69" s="845"/>
      <c r="S69" s="844">
        <f ca="1">SUMIFS(FC_DATA!$AL:$AL,FC_DATA!$U:$U,$B$1,FC_DATA!$W:$W,$B69,FC_DATA!$X:$X,$S$51,FC_DATA!$Z:$Z,S$53)</f>
        <v>0</v>
      </c>
      <c r="T69" s="844">
        <f ca="1">SUMIFS(FC_DATA!$AL:$AL,FC_DATA!$U:$U,$B$1,FC_DATA!$W:$W,$B69,FC_DATA!$X:$X,$S$51,FC_DATA!$Z:$Z,T$53)</f>
        <v>0</v>
      </c>
      <c r="U69" s="844">
        <f ca="1">SUMIFS(FC_DATA!$AL:$AL,FC_DATA!$U:$U,$B$1,FC_DATA!$W:$W,$B69,FC_DATA!$X:$X,$S$51,FC_DATA!$Z:$Z,U$53)</f>
        <v>0</v>
      </c>
      <c r="AR69" s="638"/>
    </row>
    <row r="70" spans="2:44" ht="15.75" thickBot="1" x14ac:dyDescent="0.3">
      <c r="B70" s="381" t="s">
        <v>80</v>
      </c>
      <c r="C70" s="81">
        <f ca="1">SUM(C54:C69)</f>
        <v>0</v>
      </c>
      <c r="D70" s="81">
        <f ca="1">SUM(D54:D69)</f>
        <v>0</v>
      </c>
      <c r="E70" s="81">
        <f ca="1">SUM(E54:E69)</f>
        <v>0</v>
      </c>
      <c r="F70" s="83"/>
      <c r="G70" s="81">
        <f ca="1">SUM(G54:G69)</f>
        <v>0</v>
      </c>
      <c r="H70" s="81">
        <f ca="1">SUM(H54:H69)</f>
        <v>0</v>
      </c>
      <c r="I70" s="81">
        <f ca="1">SUM(I54:I69)</f>
        <v>0</v>
      </c>
      <c r="J70" s="83"/>
      <c r="K70" s="81">
        <f ca="1">SUM(K54:K69)</f>
        <v>0</v>
      </c>
      <c r="L70" s="81">
        <f ca="1">SUM(L54:L69)</f>
        <v>0</v>
      </c>
      <c r="M70" s="81">
        <f ca="1">SUM(M54:M69)</f>
        <v>0</v>
      </c>
      <c r="N70" s="83"/>
      <c r="O70" s="81">
        <f ca="1">SUM(O54:O69)</f>
        <v>0</v>
      </c>
      <c r="P70" s="81">
        <f ca="1">SUM(P54:P69)</f>
        <v>0</v>
      </c>
      <c r="Q70" s="81">
        <f ca="1">SUM(Q54:Q69)</f>
        <v>0</v>
      </c>
      <c r="R70" s="83"/>
      <c r="S70" s="81">
        <f ca="1">SUM(S54:S69)</f>
        <v>0</v>
      </c>
      <c r="T70" s="81">
        <f ca="1">SUM(T54:T69)</f>
        <v>0</v>
      </c>
      <c r="U70" s="81">
        <f ca="1">SUM(U54:U69)</f>
        <v>0</v>
      </c>
      <c r="W70" s="78"/>
      <c r="X70" s="78"/>
      <c r="Y70" s="78"/>
      <c r="Z70" s="78"/>
      <c r="AA70" s="80"/>
      <c r="AB70" s="80"/>
      <c r="AC70" s="80"/>
      <c r="AD70" s="80"/>
      <c r="AE70" s="80"/>
      <c r="AR70" s="638"/>
    </row>
    <row r="71" spans="2:44" x14ac:dyDescent="0.25">
      <c r="B71" s="383"/>
      <c r="C71" s="83"/>
      <c r="D71" s="83"/>
      <c r="E71" s="83"/>
      <c r="F71" s="83"/>
      <c r="G71" s="83"/>
      <c r="H71" s="83"/>
      <c r="I71" s="83"/>
      <c r="J71" s="83"/>
      <c r="K71" s="83"/>
      <c r="L71" s="83"/>
      <c r="M71" s="83"/>
      <c r="N71" s="83"/>
      <c r="O71" s="83"/>
      <c r="P71" s="83"/>
      <c r="Q71" s="83"/>
      <c r="R71" s="83"/>
      <c r="S71" s="83"/>
      <c r="T71" s="83"/>
      <c r="U71" s="83"/>
      <c r="W71" s="203"/>
      <c r="X71" s="203"/>
      <c r="Y71" s="203"/>
      <c r="Z71" s="203"/>
      <c r="AA71" s="203"/>
      <c r="AB71" s="203"/>
      <c r="AC71" s="203"/>
      <c r="AD71" s="203"/>
      <c r="AE71" s="203"/>
      <c r="AR71" s="638"/>
    </row>
    <row r="72" spans="2:44" ht="18" hidden="1" thickBot="1" x14ac:dyDescent="0.35">
      <c r="B72" s="936" t="s">
        <v>133</v>
      </c>
      <c r="C72" s="937"/>
      <c r="D72" s="937"/>
      <c r="E72" s="937"/>
      <c r="F72" s="937"/>
      <c r="G72" s="937"/>
      <c r="H72" s="937"/>
      <c r="I72" s="937"/>
      <c r="J72" s="937"/>
      <c r="K72" s="937"/>
      <c r="L72" s="937"/>
      <c r="M72" s="937"/>
      <c r="N72" s="937"/>
      <c r="O72" s="937"/>
      <c r="P72" s="937"/>
      <c r="Q72" s="937"/>
      <c r="R72" s="937"/>
      <c r="S72" s="937"/>
      <c r="T72" s="937"/>
      <c r="U72" s="938"/>
      <c r="W72" s="203"/>
      <c r="X72" s="203"/>
      <c r="Y72" s="203"/>
      <c r="Z72" s="203"/>
      <c r="AA72" s="203"/>
      <c r="AB72" s="203"/>
      <c r="AC72" s="203"/>
      <c r="AD72" s="203"/>
      <c r="AE72" s="203"/>
      <c r="AR72" s="638"/>
    </row>
    <row r="73" spans="2:44" hidden="1" x14ac:dyDescent="0.25">
      <c r="B73" s="390"/>
      <c r="C73" s="940" t="str">
        <f ca="1">TIME!$M$27</f>
        <v>18/19</v>
      </c>
      <c r="D73" s="940"/>
      <c r="E73" s="940"/>
      <c r="F73" s="395"/>
      <c r="G73" s="940" t="str">
        <f ca="1">TIME!$M$28</f>
        <v>18/19</v>
      </c>
      <c r="H73" s="940"/>
      <c r="I73" s="940"/>
      <c r="J73" s="395"/>
      <c r="K73" s="940" t="str">
        <f ca="1">TIME!$M$29</f>
        <v>19/20</v>
      </c>
      <c r="L73" s="940"/>
      <c r="M73" s="940"/>
      <c r="N73" s="395"/>
      <c r="O73" s="940" t="str">
        <f ca="1">TIME!$M$30</f>
        <v>19/20</v>
      </c>
      <c r="P73" s="940"/>
      <c r="Q73" s="940"/>
      <c r="R73" s="395"/>
      <c r="S73" s="940" t="str">
        <f ca="1">TIME!$M$31</f>
        <v>19/20</v>
      </c>
      <c r="T73" s="940"/>
      <c r="U73" s="941"/>
      <c r="W73" s="203"/>
      <c r="X73" s="203"/>
      <c r="Y73" s="203"/>
      <c r="Z73" s="203"/>
      <c r="AA73" s="203"/>
      <c r="AB73" s="203"/>
      <c r="AC73" s="203"/>
      <c r="AD73" s="203"/>
      <c r="AE73" s="203"/>
      <c r="AR73" s="638"/>
    </row>
    <row r="74" spans="2:44" hidden="1" x14ac:dyDescent="0.25">
      <c r="B74" s="390"/>
      <c r="C74" s="892" t="str">
        <f ca="1">TIME!$N$27</f>
        <v>Q3</v>
      </c>
      <c r="D74" s="892"/>
      <c r="E74" s="892"/>
      <c r="F74" s="395"/>
      <c r="G74" s="892" t="str">
        <f ca="1">TIME!$N$28</f>
        <v>Q4</v>
      </c>
      <c r="H74" s="892"/>
      <c r="I74" s="892"/>
      <c r="J74" s="395"/>
      <c r="K74" s="892" t="str">
        <f ca="1">TIME!$N$29</f>
        <v>Q1</v>
      </c>
      <c r="L74" s="892"/>
      <c r="M74" s="892"/>
      <c r="N74" s="395"/>
      <c r="O74" s="892" t="str">
        <f ca="1">TIME!$N$30</f>
        <v>Q2</v>
      </c>
      <c r="P74" s="892"/>
      <c r="Q74" s="892"/>
      <c r="R74" s="395"/>
      <c r="S74" s="892" t="str">
        <f ca="1">TIME!$N$31</f>
        <v>Q3</v>
      </c>
      <c r="T74" s="892"/>
      <c r="U74" s="939"/>
      <c r="W74" s="203"/>
      <c r="X74" s="203"/>
      <c r="Y74" s="203"/>
      <c r="Z74" s="203"/>
      <c r="AA74" s="203"/>
      <c r="AB74" s="203"/>
      <c r="AC74" s="203"/>
      <c r="AD74" s="203"/>
      <c r="AE74" s="203"/>
      <c r="AR74" s="638"/>
    </row>
    <row r="75" spans="2:44" hidden="1" x14ac:dyDescent="0.25">
      <c r="B75" s="391"/>
      <c r="C75" s="382" t="str">
        <f ca="1">T7</f>
        <v>Feb</v>
      </c>
      <c r="D75" s="382" t="str">
        <f ca="1">U7</f>
        <v>Mar</v>
      </c>
      <c r="E75" s="382" t="str">
        <f ca="1">V7</f>
        <v>Apr</v>
      </c>
      <c r="F75" s="395"/>
      <c r="G75" s="382" t="str">
        <f ca="1">X7</f>
        <v>May</v>
      </c>
      <c r="H75" s="382" t="str">
        <f ca="1">Y7</f>
        <v>Jun</v>
      </c>
      <c r="I75" s="382" t="str">
        <f ca="1">Z7</f>
        <v>Jul</v>
      </c>
      <c r="J75" s="395"/>
      <c r="K75" s="382" t="str">
        <f ca="1">AB7</f>
        <v>Aug</v>
      </c>
      <c r="L75" s="382" t="str">
        <f ca="1">AC7</f>
        <v>Sep</v>
      </c>
      <c r="M75" s="382" t="str">
        <f ca="1">AD7</f>
        <v>Oct</v>
      </c>
      <c r="N75" s="395"/>
      <c r="O75" s="382" t="str">
        <f ca="1">AF7</f>
        <v>Nov</v>
      </c>
      <c r="P75" s="382" t="str">
        <f ca="1">AG7</f>
        <v>Dec</v>
      </c>
      <c r="Q75" s="382" t="str">
        <f ca="1">AH7</f>
        <v>Jan</v>
      </c>
      <c r="R75" s="395"/>
      <c r="S75" s="382" t="str">
        <f ca="1">S53</f>
        <v>Feb</v>
      </c>
      <c r="T75" s="382" t="str">
        <f ca="1">T53</f>
        <v>Mar</v>
      </c>
      <c r="U75" s="385" t="str">
        <f ca="1">U53</f>
        <v>Apr</v>
      </c>
      <c r="W75" s="203"/>
      <c r="X75" s="203"/>
      <c r="Y75" s="203"/>
      <c r="Z75" s="203"/>
      <c r="AA75" s="203"/>
      <c r="AB75" s="203"/>
      <c r="AC75" s="203"/>
      <c r="AD75" s="203"/>
      <c r="AE75" s="203"/>
      <c r="AR75" s="638"/>
    </row>
    <row r="76" spans="2:44" hidden="1" x14ac:dyDescent="0.25">
      <c r="B76" s="390" t="str">
        <f>B54</f>
        <v>ACCESSORIES</v>
      </c>
      <c r="C76" s="212">
        <f t="shared" ref="C76:E91" ca="1" si="14">C54/4.3</f>
        <v>0</v>
      </c>
      <c r="D76" s="212">
        <f t="shared" ca="1" si="14"/>
        <v>0</v>
      </c>
      <c r="E76" s="212">
        <f t="shared" ca="1" si="14"/>
        <v>0</v>
      </c>
      <c r="F76" s="212"/>
      <c r="G76" s="212">
        <f t="shared" ref="G76:I91" ca="1" si="15">G54/4.3</f>
        <v>0</v>
      </c>
      <c r="H76" s="212">
        <f t="shared" ca="1" si="15"/>
        <v>0</v>
      </c>
      <c r="I76" s="212">
        <f t="shared" ca="1" si="15"/>
        <v>0</v>
      </c>
      <c r="J76" s="212"/>
      <c r="K76" s="212">
        <f t="shared" ref="K76:M91" ca="1" si="16">K54/4.3</f>
        <v>0</v>
      </c>
      <c r="L76" s="212">
        <f t="shared" ca="1" si="16"/>
        <v>0</v>
      </c>
      <c r="M76" s="212">
        <f t="shared" ca="1" si="16"/>
        <v>0</v>
      </c>
      <c r="N76" s="212"/>
      <c r="O76" s="212">
        <f t="shared" ref="O76:Q91" ca="1" si="17">O54/4.3</f>
        <v>0</v>
      </c>
      <c r="P76" s="212">
        <f t="shared" ca="1" si="17"/>
        <v>0</v>
      </c>
      <c r="Q76" s="212">
        <f t="shared" ca="1" si="17"/>
        <v>0</v>
      </c>
      <c r="R76" s="212"/>
      <c r="S76" s="212">
        <f t="shared" ref="S76:U91" ca="1" si="18">S54/4.3</f>
        <v>0</v>
      </c>
      <c r="T76" s="212">
        <f t="shared" ca="1" si="18"/>
        <v>0</v>
      </c>
      <c r="U76" s="386">
        <f t="shared" ca="1" si="18"/>
        <v>0</v>
      </c>
      <c r="W76" s="203"/>
      <c r="X76" s="203"/>
      <c r="Y76" s="203"/>
      <c r="Z76" s="203"/>
      <c r="AA76" s="203"/>
      <c r="AB76" s="203"/>
      <c r="AC76" s="203"/>
      <c r="AD76" s="203"/>
      <c r="AE76" s="203"/>
      <c r="AR76" s="638"/>
    </row>
    <row r="77" spans="2:44" hidden="1" x14ac:dyDescent="0.25">
      <c r="B77" s="390" t="str">
        <f t="shared" ref="B77:B91" si="19">B55</f>
        <v>DRESSES</v>
      </c>
      <c r="C77" s="212">
        <f t="shared" ca="1" si="14"/>
        <v>0</v>
      </c>
      <c r="D77" s="212">
        <f t="shared" ca="1" si="14"/>
        <v>0</v>
      </c>
      <c r="E77" s="212">
        <f t="shared" ca="1" si="14"/>
        <v>0</v>
      </c>
      <c r="F77" s="212"/>
      <c r="G77" s="212">
        <f t="shared" ca="1" si="15"/>
        <v>0</v>
      </c>
      <c r="H77" s="212">
        <f t="shared" ca="1" si="15"/>
        <v>0</v>
      </c>
      <c r="I77" s="212">
        <f t="shared" ca="1" si="15"/>
        <v>0</v>
      </c>
      <c r="J77" s="212"/>
      <c r="K77" s="212">
        <f t="shared" ca="1" si="16"/>
        <v>0</v>
      </c>
      <c r="L77" s="212">
        <f t="shared" ca="1" si="16"/>
        <v>0</v>
      </c>
      <c r="M77" s="212">
        <f t="shared" ca="1" si="16"/>
        <v>0</v>
      </c>
      <c r="N77" s="212"/>
      <c r="O77" s="212">
        <f t="shared" ca="1" si="17"/>
        <v>0</v>
      </c>
      <c r="P77" s="212">
        <f t="shared" ca="1" si="17"/>
        <v>0</v>
      </c>
      <c r="Q77" s="212">
        <f t="shared" ca="1" si="17"/>
        <v>0</v>
      </c>
      <c r="R77" s="212"/>
      <c r="S77" s="212">
        <f t="shared" ca="1" si="18"/>
        <v>0</v>
      </c>
      <c r="T77" s="212">
        <f t="shared" ca="1" si="18"/>
        <v>0</v>
      </c>
      <c r="U77" s="386">
        <f t="shared" ca="1" si="18"/>
        <v>0</v>
      </c>
      <c r="W77" s="203"/>
      <c r="X77" s="203"/>
      <c r="Y77" s="203"/>
      <c r="Z77" s="203"/>
      <c r="AA77" s="203"/>
      <c r="AB77" s="203"/>
      <c r="AC77" s="203"/>
      <c r="AD77" s="203"/>
      <c r="AE77" s="203"/>
      <c r="AR77" s="638"/>
    </row>
    <row r="78" spans="2:44" hidden="1" x14ac:dyDescent="0.25">
      <c r="B78" s="390" t="str">
        <f t="shared" si="19"/>
        <v>JEANS</v>
      </c>
      <c r="C78" s="212">
        <f t="shared" ca="1" si="14"/>
        <v>0</v>
      </c>
      <c r="D78" s="212">
        <f t="shared" ca="1" si="14"/>
        <v>0</v>
      </c>
      <c r="E78" s="212">
        <f t="shared" ca="1" si="14"/>
        <v>0</v>
      </c>
      <c r="F78" s="212"/>
      <c r="G78" s="212">
        <f t="shared" ca="1" si="15"/>
        <v>0</v>
      </c>
      <c r="H78" s="212">
        <f t="shared" ca="1" si="15"/>
        <v>0</v>
      </c>
      <c r="I78" s="212">
        <f t="shared" ca="1" si="15"/>
        <v>0</v>
      </c>
      <c r="J78" s="212"/>
      <c r="K78" s="212">
        <f t="shared" ca="1" si="16"/>
        <v>0</v>
      </c>
      <c r="L78" s="212">
        <f t="shared" ca="1" si="16"/>
        <v>0</v>
      </c>
      <c r="M78" s="212">
        <f t="shared" ca="1" si="16"/>
        <v>0</v>
      </c>
      <c r="N78" s="212"/>
      <c r="O78" s="212">
        <f t="shared" ca="1" si="17"/>
        <v>0</v>
      </c>
      <c r="P78" s="212">
        <f t="shared" ca="1" si="17"/>
        <v>0</v>
      </c>
      <c r="Q78" s="212">
        <f t="shared" ca="1" si="17"/>
        <v>0</v>
      </c>
      <c r="R78" s="212"/>
      <c r="S78" s="212">
        <f t="shared" ca="1" si="18"/>
        <v>0</v>
      </c>
      <c r="T78" s="212">
        <f t="shared" ca="1" si="18"/>
        <v>0</v>
      </c>
      <c r="U78" s="386">
        <f t="shared" ca="1" si="18"/>
        <v>0</v>
      </c>
      <c r="W78" s="203"/>
      <c r="X78" s="203"/>
      <c r="Y78" s="203"/>
      <c r="Z78" s="203"/>
      <c r="AA78" s="203"/>
      <c r="AB78" s="203"/>
      <c r="AC78" s="203"/>
      <c r="AD78" s="203"/>
      <c r="AE78" s="203"/>
      <c r="AR78" s="638"/>
    </row>
    <row r="79" spans="2:44" hidden="1" x14ac:dyDescent="0.25">
      <c r="B79" s="390" t="str">
        <f t="shared" si="19"/>
        <v>KNIT</v>
      </c>
      <c r="C79" s="212">
        <f t="shared" ca="1" si="14"/>
        <v>0</v>
      </c>
      <c r="D79" s="212">
        <f t="shared" ca="1" si="14"/>
        <v>0</v>
      </c>
      <c r="E79" s="212">
        <f t="shared" ca="1" si="14"/>
        <v>0</v>
      </c>
      <c r="F79" s="212"/>
      <c r="G79" s="212">
        <f t="shared" ca="1" si="15"/>
        <v>0</v>
      </c>
      <c r="H79" s="212">
        <f t="shared" ca="1" si="15"/>
        <v>0</v>
      </c>
      <c r="I79" s="212">
        <f t="shared" ca="1" si="15"/>
        <v>0</v>
      </c>
      <c r="J79" s="212"/>
      <c r="K79" s="212">
        <f t="shared" ca="1" si="16"/>
        <v>0</v>
      </c>
      <c r="L79" s="212">
        <f t="shared" ca="1" si="16"/>
        <v>0</v>
      </c>
      <c r="M79" s="212">
        <f t="shared" ca="1" si="16"/>
        <v>0</v>
      </c>
      <c r="N79" s="212"/>
      <c r="O79" s="212">
        <f t="shared" ca="1" si="17"/>
        <v>0</v>
      </c>
      <c r="P79" s="212">
        <f t="shared" ca="1" si="17"/>
        <v>0</v>
      </c>
      <c r="Q79" s="212">
        <f t="shared" ca="1" si="17"/>
        <v>0</v>
      </c>
      <c r="R79" s="212"/>
      <c r="S79" s="212">
        <f t="shared" ca="1" si="18"/>
        <v>0</v>
      </c>
      <c r="T79" s="212">
        <f t="shared" ca="1" si="18"/>
        <v>0</v>
      </c>
      <c r="U79" s="386">
        <f t="shared" ca="1" si="18"/>
        <v>0</v>
      </c>
      <c r="W79" s="203"/>
      <c r="X79" s="203"/>
      <c r="Y79" s="203"/>
      <c r="Z79" s="203"/>
      <c r="AA79" s="203"/>
      <c r="AB79" s="203"/>
      <c r="AC79" s="203"/>
      <c r="AD79" s="203"/>
      <c r="AE79" s="203"/>
      <c r="AR79" s="638"/>
    </row>
    <row r="80" spans="2:44" hidden="1" x14ac:dyDescent="0.25">
      <c r="B80" s="390" t="str">
        <f t="shared" si="19"/>
        <v>OUTERWEAR</v>
      </c>
      <c r="C80" s="212">
        <f t="shared" ca="1" si="14"/>
        <v>0</v>
      </c>
      <c r="D80" s="212">
        <f t="shared" ca="1" si="14"/>
        <v>0</v>
      </c>
      <c r="E80" s="212">
        <f t="shared" ca="1" si="14"/>
        <v>0</v>
      </c>
      <c r="F80" s="212"/>
      <c r="G80" s="212">
        <f t="shared" ca="1" si="15"/>
        <v>0</v>
      </c>
      <c r="H80" s="212">
        <f t="shared" ca="1" si="15"/>
        <v>0</v>
      </c>
      <c r="I80" s="212">
        <f t="shared" ca="1" si="15"/>
        <v>0</v>
      </c>
      <c r="J80" s="212"/>
      <c r="K80" s="212">
        <f t="shared" ca="1" si="16"/>
        <v>0</v>
      </c>
      <c r="L80" s="212">
        <f t="shared" ca="1" si="16"/>
        <v>0</v>
      </c>
      <c r="M80" s="212">
        <f t="shared" ca="1" si="16"/>
        <v>0</v>
      </c>
      <c r="N80" s="212"/>
      <c r="O80" s="212">
        <f t="shared" ca="1" si="17"/>
        <v>0</v>
      </c>
      <c r="P80" s="212">
        <f t="shared" ca="1" si="17"/>
        <v>0</v>
      </c>
      <c r="Q80" s="212">
        <f t="shared" ca="1" si="17"/>
        <v>0</v>
      </c>
      <c r="R80" s="212"/>
      <c r="S80" s="212">
        <f t="shared" ca="1" si="18"/>
        <v>0</v>
      </c>
      <c r="T80" s="212">
        <f t="shared" ca="1" si="18"/>
        <v>0</v>
      </c>
      <c r="U80" s="386">
        <f t="shared" ca="1" si="18"/>
        <v>0</v>
      </c>
      <c r="W80" s="203"/>
      <c r="X80" s="203"/>
      <c r="Y80" s="203"/>
      <c r="Z80" s="203"/>
      <c r="AA80" s="203"/>
      <c r="AB80" s="203"/>
      <c r="AC80" s="203"/>
      <c r="AD80" s="203"/>
      <c r="AE80" s="203"/>
      <c r="AR80" s="638"/>
    </row>
    <row r="81" spans="2:44" hidden="1" x14ac:dyDescent="0.25">
      <c r="B81" s="390" t="str">
        <f t="shared" si="19"/>
        <v>PANTS</v>
      </c>
      <c r="C81" s="212">
        <f t="shared" ca="1" si="14"/>
        <v>0</v>
      </c>
      <c r="D81" s="212">
        <f t="shared" ca="1" si="14"/>
        <v>0</v>
      </c>
      <c r="E81" s="212">
        <f t="shared" ca="1" si="14"/>
        <v>0</v>
      </c>
      <c r="F81" s="212"/>
      <c r="G81" s="212">
        <f t="shared" ca="1" si="15"/>
        <v>0</v>
      </c>
      <c r="H81" s="212">
        <f t="shared" ca="1" si="15"/>
        <v>0</v>
      </c>
      <c r="I81" s="212">
        <f t="shared" ca="1" si="15"/>
        <v>0</v>
      </c>
      <c r="J81" s="212"/>
      <c r="K81" s="212">
        <f t="shared" ca="1" si="16"/>
        <v>0</v>
      </c>
      <c r="L81" s="212">
        <f t="shared" ca="1" si="16"/>
        <v>0</v>
      </c>
      <c r="M81" s="212">
        <f t="shared" ca="1" si="16"/>
        <v>0</v>
      </c>
      <c r="N81" s="212"/>
      <c r="O81" s="212">
        <f t="shared" ca="1" si="17"/>
        <v>0</v>
      </c>
      <c r="P81" s="212">
        <f t="shared" ca="1" si="17"/>
        <v>0</v>
      </c>
      <c r="Q81" s="212">
        <f t="shared" ca="1" si="17"/>
        <v>0</v>
      </c>
      <c r="R81" s="212"/>
      <c r="S81" s="212">
        <f t="shared" ca="1" si="18"/>
        <v>0</v>
      </c>
      <c r="T81" s="212">
        <f t="shared" ca="1" si="18"/>
        <v>0</v>
      </c>
      <c r="U81" s="386">
        <f t="shared" ca="1" si="18"/>
        <v>0</v>
      </c>
      <c r="W81" s="203"/>
      <c r="X81" s="203"/>
      <c r="Y81" s="203"/>
      <c r="Z81" s="203"/>
      <c r="AA81" s="203"/>
      <c r="AB81" s="203"/>
      <c r="AC81" s="203"/>
      <c r="AD81" s="203"/>
      <c r="AE81" s="203"/>
      <c r="AR81" s="638"/>
    </row>
    <row r="82" spans="2:44" hidden="1" x14ac:dyDescent="0.25">
      <c r="B82" s="390" t="str">
        <f t="shared" si="19"/>
        <v>SHIRTS</v>
      </c>
      <c r="C82" s="212">
        <f t="shared" ca="1" si="14"/>
        <v>0</v>
      </c>
      <c r="D82" s="212">
        <f t="shared" ca="1" si="14"/>
        <v>0</v>
      </c>
      <c r="E82" s="212">
        <f t="shared" ca="1" si="14"/>
        <v>0</v>
      </c>
      <c r="F82" s="212"/>
      <c r="G82" s="212">
        <f t="shared" ca="1" si="15"/>
        <v>0</v>
      </c>
      <c r="H82" s="212">
        <f t="shared" ca="1" si="15"/>
        <v>0</v>
      </c>
      <c r="I82" s="212">
        <f t="shared" ca="1" si="15"/>
        <v>0</v>
      </c>
      <c r="J82" s="212"/>
      <c r="K82" s="212">
        <f t="shared" ca="1" si="16"/>
        <v>0</v>
      </c>
      <c r="L82" s="212">
        <f t="shared" ca="1" si="16"/>
        <v>0</v>
      </c>
      <c r="M82" s="212">
        <f t="shared" ca="1" si="16"/>
        <v>0</v>
      </c>
      <c r="N82" s="212"/>
      <c r="O82" s="212">
        <f t="shared" ca="1" si="17"/>
        <v>0</v>
      </c>
      <c r="P82" s="212">
        <f t="shared" ca="1" si="17"/>
        <v>0</v>
      </c>
      <c r="Q82" s="212">
        <f t="shared" ca="1" si="17"/>
        <v>0</v>
      </c>
      <c r="R82" s="212"/>
      <c r="S82" s="212">
        <f t="shared" ca="1" si="18"/>
        <v>0</v>
      </c>
      <c r="T82" s="212">
        <f t="shared" ca="1" si="18"/>
        <v>0</v>
      </c>
      <c r="U82" s="386">
        <f t="shared" ca="1" si="18"/>
        <v>0</v>
      </c>
      <c r="W82" s="203"/>
      <c r="X82" s="203"/>
      <c r="Y82" s="203"/>
      <c r="Z82" s="203"/>
      <c r="AA82" s="203"/>
      <c r="AB82" s="203"/>
      <c r="AC82" s="203"/>
      <c r="AD82" s="203"/>
      <c r="AE82" s="203"/>
      <c r="AR82" s="638"/>
    </row>
    <row r="83" spans="2:44" hidden="1" x14ac:dyDescent="0.25">
      <c r="B83" s="390" t="str">
        <f t="shared" si="19"/>
        <v>SHOES</v>
      </c>
      <c r="C83" s="212">
        <f t="shared" ca="1" si="14"/>
        <v>0</v>
      </c>
      <c r="D83" s="212">
        <f t="shared" ca="1" si="14"/>
        <v>0</v>
      </c>
      <c r="E83" s="212">
        <f t="shared" ca="1" si="14"/>
        <v>0</v>
      </c>
      <c r="F83" s="212"/>
      <c r="G83" s="212">
        <f t="shared" ca="1" si="15"/>
        <v>0</v>
      </c>
      <c r="H83" s="212">
        <f t="shared" ca="1" si="15"/>
        <v>0</v>
      </c>
      <c r="I83" s="212">
        <f t="shared" ca="1" si="15"/>
        <v>0</v>
      </c>
      <c r="J83" s="212"/>
      <c r="K83" s="212">
        <f t="shared" ca="1" si="16"/>
        <v>0</v>
      </c>
      <c r="L83" s="212">
        <f t="shared" ca="1" si="16"/>
        <v>0</v>
      </c>
      <c r="M83" s="212">
        <f t="shared" ca="1" si="16"/>
        <v>0</v>
      </c>
      <c r="N83" s="212"/>
      <c r="O83" s="212">
        <f t="shared" ca="1" si="17"/>
        <v>0</v>
      </c>
      <c r="P83" s="212">
        <f t="shared" ca="1" si="17"/>
        <v>0</v>
      </c>
      <c r="Q83" s="212">
        <f t="shared" ca="1" si="17"/>
        <v>0</v>
      </c>
      <c r="R83" s="212"/>
      <c r="S83" s="212">
        <f t="shared" ca="1" si="18"/>
        <v>0</v>
      </c>
      <c r="T83" s="212">
        <f t="shared" ca="1" si="18"/>
        <v>0</v>
      </c>
      <c r="U83" s="386">
        <f t="shared" ca="1" si="18"/>
        <v>0</v>
      </c>
      <c r="W83" s="203"/>
      <c r="X83" s="203"/>
      <c r="Y83" s="203"/>
      <c r="Z83" s="203"/>
      <c r="AA83" s="203"/>
      <c r="AB83" s="203"/>
      <c r="AC83" s="203"/>
      <c r="AD83" s="203"/>
      <c r="AE83" s="203"/>
      <c r="AR83" s="638"/>
    </row>
    <row r="84" spans="2:44" hidden="1" x14ac:dyDescent="0.25">
      <c r="B84" s="390" t="str">
        <f t="shared" si="19"/>
        <v>SHORTS</v>
      </c>
      <c r="C84" s="212">
        <f t="shared" ca="1" si="14"/>
        <v>0</v>
      </c>
      <c r="D84" s="212">
        <f t="shared" ca="1" si="14"/>
        <v>0</v>
      </c>
      <c r="E84" s="212">
        <f t="shared" ca="1" si="14"/>
        <v>0</v>
      </c>
      <c r="F84" s="212"/>
      <c r="G84" s="212">
        <f t="shared" ca="1" si="15"/>
        <v>0</v>
      </c>
      <c r="H84" s="212">
        <f t="shared" ca="1" si="15"/>
        <v>0</v>
      </c>
      <c r="I84" s="212">
        <f t="shared" ca="1" si="15"/>
        <v>0</v>
      </c>
      <c r="J84" s="212"/>
      <c r="K84" s="212">
        <f t="shared" ca="1" si="16"/>
        <v>0</v>
      </c>
      <c r="L84" s="212">
        <f t="shared" ca="1" si="16"/>
        <v>0</v>
      </c>
      <c r="M84" s="212">
        <f t="shared" ca="1" si="16"/>
        <v>0</v>
      </c>
      <c r="N84" s="212"/>
      <c r="O84" s="212">
        <f t="shared" ca="1" si="17"/>
        <v>0</v>
      </c>
      <c r="P84" s="212">
        <f t="shared" ca="1" si="17"/>
        <v>0</v>
      </c>
      <c r="Q84" s="212">
        <f t="shared" ca="1" si="17"/>
        <v>0</v>
      </c>
      <c r="R84" s="212"/>
      <c r="S84" s="212">
        <f t="shared" ca="1" si="18"/>
        <v>0</v>
      </c>
      <c r="T84" s="212">
        <f t="shared" ca="1" si="18"/>
        <v>0</v>
      </c>
      <c r="U84" s="386">
        <f t="shared" ca="1" si="18"/>
        <v>0</v>
      </c>
      <c r="W84" s="203"/>
      <c r="X84" s="203"/>
      <c r="Y84" s="203"/>
      <c r="Z84" s="203"/>
      <c r="AA84" s="203"/>
      <c r="AB84" s="203"/>
      <c r="AC84" s="203"/>
      <c r="AD84" s="203"/>
      <c r="AE84" s="203"/>
      <c r="AR84" s="638"/>
    </row>
    <row r="85" spans="2:44" hidden="1" x14ac:dyDescent="0.25">
      <c r="B85" s="390" t="str">
        <f t="shared" si="19"/>
        <v>SKIRTS</v>
      </c>
      <c r="C85" s="212">
        <f t="shared" ca="1" si="14"/>
        <v>0</v>
      </c>
      <c r="D85" s="212">
        <f t="shared" ca="1" si="14"/>
        <v>0</v>
      </c>
      <c r="E85" s="212">
        <f t="shared" ca="1" si="14"/>
        <v>0</v>
      </c>
      <c r="F85" s="212"/>
      <c r="G85" s="212">
        <f t="shared" ca="1" si="15"/>
        <v>0</v>
      </c>
      <c r="H85" s="212">
        <f t="shared" ca="1" si="15"/>
        <v>0</v>
      </c>
      <c r="I85" s="212">
        <f t="shared" ca="1" si="15"/>
        <v>0</v>
      </c>
      <c r="J85" s="212"/>
      <c r="K85" s="212">
        <f t="shared" ca="1" si="16"/>
        <v>0</v>
      </c>
      <c r="L85" s="212">
        <f t="shared" ca="1" si="16"/>
        <v>0</v>
      </c>
      <c r="M85" s="212">
        <f t="shared" ca="1" si="16"/>
        <v>0</v>
      </c>
      <c r="N85" s="212"/>
      <c r="O85" s="212">
        <f t="shared" ca="1" si="17"/>
        <v>0</v>
      </c>
      <c r="P85" s="212">
        <f t="shared" ca="1" si="17"/>
        <v>0</v>
      </c>
      <c r="Q85" s="212">
        <f t="shared" ca="1" si="17"/>
        <v>0</v>
      </c>
      <c r="R85" s="212"/>
      <c r="S85" s="212">
        <f t="shared" ca="1" si="18"/>
        <v>0</v>
      </c>
      <c r="T85" s="212">
        <f t="shared" ca="1" si="18"/>
        <v>0</v>
      </c>
      <c r="U85" s="386">
        <f t="shared" ca="1" si="18"/>
        <v>0</v>
      </c>
      <c r="W85" s="203"/>
      <c r="X85" s="203"/>
      <c r="Y85" s="203"/>
      <c r="Z85" s="203"/>
      <c r="AA85" s="203"/>
      <c r="AB85" s="203"/>
      <c r="AC85" s="203"/>
      <c r="AD85" s="203"/>
      <c r="AE85" s="203"/>
      <c r="AR85" s="638"/>
    </row>
    <row r="86" spans="2:44" hidden="1" x14ac:dyDescent="0.25">
      <c r="B86" s="390" t="str">
        <f t="shared" si="19"/>
        <v>SWEAT</v>
      </c>
      <c r="C86" s="212">
        <f t="shared" ca="1" si="14"/>
        <v>0</v>
      </c>
      <c r="D86" s="212">
        <f t="shared" ca="1" si="14"/>
        <v>0</v>
      </c>
      <c r="E86" s="212">
        <f t="shared" ca="1" si="14"/>
        <v>0</v>
      </c>
      <c r="F86" s="212"/>
      <c r="G86" s="212">
        <f t="shared" ca="1" si="15"/>
        <v>0</v>
      </c>
      <c r="H86" s="212">
        <f t="shared" ca="1" si="15"/>
        <v>0</v>
      </c>
      <c r="I86" s="212">
        <f t="shared" ca="1" si="15"/>
        <v>0</v>
      </c>
      <c r="J86" s="212"/>
      <c r="K86" s="212">
        <f t="shared" ca="1" si="16"/>
        <v>0</v>
      </c>
      <c r="L86" s="212">
        <f t="shared" ca="1" si="16"/>
        <v>0</v>
      </c>
      <c r="M86" s="212">
        <f t="shared" ca="1" si="16"/>
        <v>0</v>
      </c>
      <c r="N86" s="212"/>
      <c r="O86" s="212">
        <f t="shared" ca="1" si="17"/>
        <v>0</v>
      </c>
      <c r="P86" s="212">
        <f t="shared" ca="1" si="17"/>
        <v>0</v>
      </c>
      <c r="Q86" s="212">
        <f t="shared" ca="1" si="17"/>
        <v>0</v>
      </c>
      <c r="R86" s="212"/>
      <c r="S86" s="212">
        <f t="shared" ca="1" si="18"/>
        <v>0</v>
      </c>
      <c r="T86" s="212">
        <f t="shared" ca="1" si="18"/>
        <v>0</v>
      </c>
      <c r="U86" s="386">
        <f t="shared" ca="1" si="18"/>
        <v>0</v>
      </c>
      <c r="W86" s="203"/>
      <c r="X86" s="203"/>
      <c r="Y86" s="203"/>
      <c r="Z86" s="203"/>
      <c r="AA86" s="203"/>
      <c r="AB86" s="203"/>
      <c r="AC86" s="203"/>
      <c r="AD86" s="203"/>
      <c r="AE86" s="203"/>
      <c r="AR86" s="638"/>
    </row>
    <row r="87" spans="2:44" hidden="1" x14ac:dyDescent="0.25">
      <c r="B87" s="390" t="str">
        <f t="shared" si="19"/>
        <v>TAILORING</v>
      </c>
      <c r="C87" s="212">
        <f t="shared" ca="1" si="14"/>
        <v>0</v>
      </c>
      <c r="D87" s="212">
        <f t="shared" ca="1" si="14"/>
        <v>0</v>
      </c>
      <c r="E87" s="212">
        <f t="shared" ca="1" si="14"/>
        <v>0</v>
      </c>
      <c r="F87" s="212"/>
      <c r="G87" s="212">
        <f t="shared" ca="1" si="15"/>
        <v>0</v>
      </c>
      <c r="H87" s="212">
        <f t="shared" ca="1" si="15"/>
        <v>0</v>
      </c>
      <c r="I87" s="212">
        <f t="shared" ca="1" si="15"/>
        <v>0</v>
      </c>
      <c r="J87" s="212"/>
      <c r="K87" s="212">
        <f t="shared" ca="1" si="16"/>
        <v>0</v>
      </c>
      <c r="L87" s="212">
        <f t="shared" ca="1" si="16"/>
        <v>0</v>
      </c>
      <c r="M87" s="212">
        <f t="shared" ca="1" si="16"/>
        <v>0</v>
      </c>
      <c r="N87" s="212"/>
      <c r="O87" s="212">
        <f t="shared" ca="1" si="17"/>
        <v>0</v>
      </c>
      <c r="P87" s="212">
        <f t="shared" ca="1" si="17"/>
        <v>0</v>
      </c>
      <c r="Q87" s="212">
        <f t="shared" ca="1" si="17"/>
        <v>0</v>
      </c>
      <c r="R87" s="212"/>
      <c r="S87" s="212">
        <f t="shared" ca="1" si="18"/>
        <v>0</v>
      </c>
      <c r="T87" s="212">
        <f t="shared" ca="1" si="18"/>
        <v>0</v>
      </c>
      <c r="U87" s="386">
        <f t="shared" ca="1" si="18"/>
        <v>0</v>
      </c>
      <c r="W87" s="203"/>
      <c r="X87" s="203"/>
      <c r="Y87" s="203"/>
      <c r="Z87" s="203"/>
      <c r="AA87" s="203"/>
      <c r="AB87" s="203"/>
      <c r="AC87" s="203"/>
      <c r="AD87" s="203"/>
      <c r="AE87" s="203"/>
      <c r="AR87" s="638"/>
    </row>
    <row r="88" spans="2:44" hidden="1" x14ac:dyDescent="0.25">
      <c r="B88" s="390" t="str">
        <f t="shared" si="19"/>
        <v>TOPS</v>
      </c>
      <c r="C88" s="212">
        <f t="shared" ca="1" si="14"/>
        <v>0</v>
      </c>
      <c r="D88" s="212">
        <f t="shared" ca="1" si="14"/>
        <v>0</v>
      </c>
      <c r="E88" s="212">
        <f t="shared" ca="1" si="14"/>
        <v>0</v>
      </c>
      <c r="F88" s="212"/>
      <c r="G88" s="212">
        <f t="shared" ca="1" si="15"/>
        <v>0</v>
      </c>
      <c r="H88" s="212">
        <f t="shared" ca="1" si="15"/>
        <v>0</v>
      </c>
      <c r="I88" s="212">
        <f t="shared" ca="1" si="15"/>
        <v>0</v>
      </c>
      <c r="J88" s="212"/>
      <c r="K88" s="212">
        <f t="shared" ca="1" si="16"/>
        <v>0</v>
      </c>
      <c r="L88" s="212">
        <f t="shared" ca="1" si="16"/>
        <v>0</v>
      </c>
      <c r="M88" s="212">
        <f t="shared" ca="1" si="16"/>
        <v>0</v>
      </c>
      <c r="N88" s="212"/>
      <c r="O88" s="212">
        <f t="shared" ca="1" si="17"/>
        <v>0</v>
      </c>
      <c r="P88" s="212">
        <f t="shared" ca="1" si="17"/>
        <v>0</v>
      </c>
      <c r="Q88" s="212">
        <f t="shared" ca="1" si="17"/>
        <v>0</v>
      </c>
      <c r="R88" s="212"/>
      <c r="S88" s="212">
        <f t="shared" ca="1" si="18"/>
        <v>0</v>
      </c>
      <c r="T88" s="212">
        <f t="shared" ca="1" si="18"/>
        <v>0</v>
      </c>
      <c r="U88" s="386">
        <f t="shared" ca="1" si="18"/>
        <v>0</v>
      </c>
      <c r="W88" s="203"/>
      <c r="X88" s="203"/>
      <c r="Y88" s="203"/>
      <c r="Z88" s="203"/>
      <c r="AA88" s="203"/>
      <c r="AB88" s="203"/>
      <c r="AC88" s="203"/>
      <c r="AD88" s="203"/>
      <c r="AE88" s="203"/>
      <c r="AR88" s="638"/>
    </row>
    <row r="89" spans="2:44" hidden="1" x14ac:dyDescent="0.25">
      <c r="B89" s="390" t="str">
        <f t="shared" si="19"/>
        <v>T-SHIRTS</v>
      </c>
      <c r="C89" s="212">
        <f t="shared" ca="1" si="14"/>
        <v>0</v>
      </c>
      <c r="D89" s="212">
        <f t="shared" ca="1" si="14"/>
        <v>0</v>
      </c>
      <c r="E89" s="212">
        <f t="shared" ca="1" si="14"/>
        <v>0</v>
      </c>
      <c r="F89" s="212"/>
      <c r="G89" s="212">
        <f t="shared" ca="1" si="15"/>
        <v>0</v>
      </c>
      <c r="H89" s="212">
        <f t="shared" ca="1" si="15"/>
        <v>0</v>
      </c>
      <c r="I89" s="212">
        <f t="shared" ca="1" si="15"/>
        <v>0</v>
      </c>
      <c r="J89" s="212"/>
      <c r="K89" s="212">
        <f t="shared" ca="1" si="16"/>
        <v>0</v>
      </c>
      <c r="L89" s="212">
        <f t="shared" ca="1" si="16"/>
        <v>0</v>
      </c>
      <c r="M89" s="212">
        <f t="shared" ca="1" si="16"/>
        <v>0</v>
      </c>
      <c r="N89" s="212"/>
      <c r="O89" s="212">
        <f t="shared" ca="1" si="17"/>
        <v>0</v>
      </c>
      <c r="P89" s="212">
        <f t="shared" ca="1" si="17"/>
        <v>0</v>
      </c>
      <c r="Q89" s="212">
        <f t="shared" ca="1" si="17"/>
        <v>0</v>
      </c>
      <c r="R89" s="212"/>
      <c r="S89" s="212">
        <f t="shared" ca="1" si="18"/>
        <v>0</v>
      </c>
      <c r="T89" s="212">
        <f t="shared" ca="1" si="18"/>
        <v>0</v>
      </c>
      <c r="U89" s="386">
        <f t="shared" ca="1" si="18"/>
        <v>0</v>
      </c>
      <c r="W89" s="203"/>
      <c r="X89" s="203"/>
      <c r="Y89" s="203"/>
      <c r="Z89" s="203"/>
      <c r="AA89" s="203"/>
      <c r="AB89" s="203"/>
      <c r="AC89" s="203"/>
      <c r="AD89" s="203"/>
      <c r="AE89" s="203"/>
      <c r="AR89" s="638"/>
    </row>
    <row r="90" spans="2:44" hidden="1" x14ac:dyDescent="0.25">
      <c r="B90" s="390" t="str">
        <f t="shared" si="19"/>
        <v>T-SHIRTS &amp; TOPS</v>
      </c>
      <c r="C90" s="212">
        <f t="shared" ca="1" si="14"/>
        <v>0</v>
      </c>
      <c r="D90" s="212">
        <f t="shared" ca="1" si="14"/>
        <v>0</v>
      </c>
      <c r="E90" s="212">
        <f t="shared" ca="1" si="14"/>
        <v>0</v>
      </c>
      <c r="F90" s="212"/>
      <c r="G90" s="212">
        <f t="shared" ca="1" si="15"/>
        <v>0</v>
      </c>
      <c r="H90" s="212">
        <f t="shared" ca="1" si="15"/>
        <v>0</v>
      </c>
      <c r="I90" s="212">
        <f t="shared" ca="1" si="15"/>
        <v>0</v>
      </c>
      <c r="J90" s="212"/>
      <c r="K90" s="212">
        <f t="shared" ca="1" si="16"/>
        <v>0</v>
      </c>
      <c r="L90" s="212">
        <f t="shared" ca="1" si="16"/>
        <v>0</v>
      </c>
      <c r="M90" s="212">
        <f t="shared" ca="1" si="16"/>
        <v>0</v>
      </c>
      <c r="N90" s="212"/>
      <c r="O90" s="212">
        <f t="shared" ca="1" si="17"/>
        <v>0</v>
      </c>
      <c r="P90" s="212">
        <f t="shared" ca="1" si="17"/>
        <v>0</v>
      </c>
      <c r="Q90" s="212">
        <f t="shared" ca="1" si="17"/>
        <v>0</v>
      </c>
      <c r="R90" s="212"/>
      <c r="S90" s="212">
        <f t="shared" ca="1" si="18"/>
        <v>0</v>
      </c>
      <c r="T90" s="212">
        <f t="shared" ca="1" si="18"/>
        <v>0</v>
      </c>
      <c r="U90" s="386">
        <f t="shared" ca="1" si="18"/>
        <v>0</v>
      </c>
      <c r="W90" s="203"/>
      <c r="X90" s="203"/>
      <c r="Y90" s="203"/>
      <c r="Z90" s="203"/>
      <c r="AA90" s="203"/>
      <c r="AB90" s="203"/>
      <c r="AC90" s="203"/>
      <c r="AD90" s="203"/>
      <c r="AE90" s="203"/>
      <c r="AR90" s="638"/>
    </row>
    <row r="91" spans="2:44" hidden="1" x14ac:dyDescent="0.25">
      <c r="B91" s="390">
        <f t="shared" si="19"/>
        <v>0</v>
      </c>
      <c r="C91" s="212">
        <f t="shared" ca="1" si="14"/>
        <v>0</v>
      </c>
      <c r="D91" s="212">
        <f t="shared" ca="1" si="14"/>
        <v>0</v>
      </c>
      <c r="E91" s="212">
        <f t="shared" ca="1" si="14"/>
        <v>0</v>
      </c>
      <c r="F91" s="212"/>
      <c r="G91" s="212">
        <f t="shared" ca="1" si="15"/>
        <v>0</v>
      </c>
      <c r="H91" s="212">
        <f t="shared" ca="1" si="15"/>
        <v>0</v>
      </c>
      <c r="I91" s="212">
        <f t="shared" ca="1" si="15"/>
        <v>0</v>
      </c>
      <c r="J91" s="212"/>
      <c r="K91" s="212">
        <f t="shared" ca="1" si="16"/>
        <v>0</v>
      </c>
      <c r="L91" s="212">
        <f t="shared" ca="1" si="16"/>
        <v>0</v>
      </c>
      <c r="M91" s="212">
        <f t="shared" ca="1" si="16"/>
        <v>0</v>
      </c>
      <c r="N91" s="212"/>
      <c r="O91" s="212">
        <f t="shared" ca="1" si="17"/>
        <v>0</v>
      </c>
      <c r="P91" s="212">
        <f t="shared" ca="1" si="17"/>
        <v>0</v>
      </c>
      <c r="Q91" s="212">
        <f t="shared" ca="1" si="17"/>
        <v>0</v>
      </c>
      <c r="R91" s="212"/>
      <c r="S91" s="212">
        <f t="shared" ca="1" si="18"/>
        <v>0</v>
      </c>
      <c r="T91" s="212">
        <f t="shared" ca="1" si="18"/>
        <v>0</v>
      </c>
      <c r="U91" s="386">
        <f t="shared" ca="1" si="18"/>
        <v>0</v>
      </c>
      <c r="W91" s="203"/>
      <c r="X91" s="203"/>
      <c r="Y91" s="203"/>
      <c r="Z91" s="203"/>
      <c r="AA91" s="203"/>
      <c r="AB91" s="203"/>
      <c r="AC91" s="203"/>
      <c r="AD91" s="203"/>
      <c r="AE91" s="203"/>
      <c r="AR91" s="638"/>
    </row>
    <row r="92" spans="2:44" hidden="1" x14ac:dyDescent="0.25">
      <c r="B92" s="392" t="str">
        <f>B70</f>
        <v>TOTAL</v>
      </c>
      <c r="C92" s="387">
        <f ca="1">SUM(C76:C91)</f>
        <v>0</v>
      </c>
      <c r="D92" s="387">
        <f ca="1">SUM(D76:D91)</f>
        <v>0</v>
      </c>
      <c r="E92" s="387">
        <f ca="1">SUM(E76:E91)</f>
        <v>0</v>
      </c>
      <c r="F92" s="388"/>
      <c r="G92" s="387">
        <f ca="1">SUM(G76:G91)</f>
        <v>0</v>
      </c>
      <c r="H92" s="387">
        <f ca="1">SUM(H76:H91)</f>
        <v>0</v>
      </c>
      <c r="I92" s="387">
        <f ca="1">SUM(I76:I91)</f>
        <v>0</v>
      </c>
      <c r="J92" s="388"/>
      <c r="K92" s="387">
        <f ca="1">SUM(K76:K91)</f>
        <v>0</v>
      </c>
      <c r="L92" s="387">
        <f ca="1">SUM(L76:L91)</f>
        <v>0</v>
      </c>
      <c r="M92" s="387">
        <f ca="1">SUM(M76:M91)</f>
        <v>0</v>
      </c>
      <c r="N92" s="388"/>
      <c r="O92" s="387">
        <f ca="1">SUM(O76:O91)</f>
        <v>0</v>
      </c>
      <c r="P92" s="387">
        <f ca="1">SUM(P76:P91)</f>
        <v>0</v>
      </c>
      <c r="Q92" s="387">
        <f ca="1">SUM(Q76:Q91)</f>
        <v>0</v>
      </c>
      <c r="R92" s="388"/>
      <c r="S92" s="387">
        <f ca="1">SUM(S76:S91)</f>
        <v>0</v>
      </c>
      <c r="T92" s="387">
        <f ca="1">SUM(T76:T91)</f>
        <v>0</v>
      </c>
      <c r="U92" s="389">
        <f ca="1">SUM(U76:U91)</f>
        <v>0</v>
      </c>
      <c r="W92" s="203"/>
      <c r="X92" s="203"/>
      <c r="Y92" s="203"/>
      <c r="Z92" s="203"/>
      <c r="AA92" s="203"/>
      <c r="AB92" s="203"/>
      <c r="AC92" s="203"/>
      <c r="AD92" s="203"/>
      <c r="AE92" s="203"/>
      <c r="AR92" s="638"/>
    </row>
    <row r="93" spans="2:44" x14ac:dyDescent="0.25">
      <c r="B93" s="82"/>
      <c r="C93" s="83"/>
      <c r="D93" s="83"/>
      <c r="E93" s="83"/>
      <c r="F93" s="83"/>
      <c r="G93" s="83"/>
      <c r="H93" s="83"/>
      <c r="I93" s="83"/>
      <c r="J93" s="83"/>
      <c r="K93" s="83"/>
      <c r="L93" s="83"/>
      <c r="M93" s="83"/>
      <c r="N93" s="83"/>
      <c r="O93" s="83"/>
      <c r="P93" s="83"/>
      <c r="Q93" s="83"/>
      <c r="R93" s="83"/>
      <c r="S93" s="83"/>
      <c r="T93" s="83"/>
      <c r="U93" s="83"/>
      <c r="AR93" s="638"/>
    </row>
    <row r="94" spans="2:44" x14ac:dyDescent="0.25">
      <c r="O94" s="90"/>
      <c r="R94" s="78"/>
      <c r="S94" s="90"/>
      <c r="W94" s="78"/>
      <c r="Z94" s="204"/>
      <c r="AR94" s="638"/>
    </row>
    <row r="95" spans="2:44" x14ac:dyDescent="0.25">
      <c r="O95" s="90"/>
      <c r="R95" s="78"/>
      <c r="S95" s="90"/>
      <c r="W95" s="78"/>
      <c r="Z95" s="204"/>
      <c r="AR95" s="638"/>
    </row>
    <row r="96" spans="2:44" x14ac:dyDescent="0.25">
      <c r="O96" s="90"/>
      <c r="R96" s="78"/>
      <c r="S96" s="90"/>
      <c r="W96" s="78"/>
      <c r="Z96" s="204"/>
      <c r="AR96" s="638"/>
    </row>
    <row r="97" spans="15:44" x14ac:dyDescent="0.25">
      <c r="O97" s="90"/>
      <c r="R97" s="78"/>
      <c r="S97" s="90"/>
      <c r="W97" s="78"/>
      <c r="Z97" s="204"/>
      <c r="AR97" s="638"/>
    </row>
    <row r="98" spans="15:44" x14ac:dyDescent="0.25">
      <c r="O98" s="90"/>
      <c r="R98" s="78"/>
      <c r="S98" s="90"/>
      <c r="W98" s="78"/>
      <c r="Z98" s="204"/>
      <c r="AR98" s="638"/>
    </row>
    <row r="99" spans="15:44" x14ac:dyDescent="0.25">
      <c r="O99" s="90"/>
      <c r="R99" s="78"/>
      <c r="S99" s="90"/>
      <c r="W99" s="78"/>
      <c r="Z99" s="204"/>
      <c r="AR99" s="638"/>
    </row>
    <row r="100" spans="15:44" x14ac:dyDescent="0.25">
      <c r="O100" s="90"/>
      <c r="R100" s="78"/>
      <c r="S100" s="90"/>
      <c r="W100" s="78"/>
      <c r="Z100" s="204"/>
      <c r="AR100" s="638"/>
    </row>
    <row r="101" spans="15:44" x14ac:dyDescent="0.25">
      <c r="O101" s="90"/>
      <c r="R101" s="78"/>
      <c r="S101" s="90"/>
      <c r="W101" s="78"/>
      <c r="Z101" s="204"/>
      <c r="AR101" s="638"/>
    </row>
    <row r="102" spans="15:44" x14ac:dyDescent="0.25">
      <c r="O102" s="90"/>
      <c r="R102" s="78"/>
      <c r="S102" s="90"/>
      <c r="W102" s="78"/>
      <c r="Z102" s="204"/>
      <c r="AR102" s="638"/>
    </row>
    <row r="103" spans="15:44" x14ac:dyDescent="0.25">
      <c r="O103" s="90"/>
      <c r="R103" s="78"/>
      <c r="S103" s="90"/>
      <c r="W103" s="78"/>
      <c r="Z103" s="204"/>
      <c r="AR103" s="638"/>
    </row>
    <row r="104" spans="15:44" x14ac:dyDescent="0.25">
      <c r="O104" s="90"/>
      <c r="R104" s="78"/>
      <c r="S104" s="90"/>
      <c r="W104" s="78"/>
      <c r="Z104" s="204"/>
      <c r="AR104" s="638"/>
    </row>
    <row r="105" spans="15:44" x14ac:dyDescent="0.25">
      <c r="O105" s="90"/>
      <c r="R105" s="78"/>
      <c r="S105" s="90"/>
      <c r="W105" s="78"/>
      <c r="Z105" s="204"/>
      <c r="AR105" s="638"/>
    </row>
    <row r="106" spans="15:44" x14ac:dyDescent="0.25">
      <c r="O106" s="90"/>
      <c r="R106" s="78"/>
      <c r="S106" s="90"/>
      <c r="W106" s="78"/>
      <c r="Z106" s="204"/>
      <c r="AR106" s="638"/>
    </row>
    <row r="107" spans="15:44" x14ac:dyDescent="0.25">
      <c r="O107" s="90"/>
      <c r="R107" s="78"/>
      <c r="S107" s="90"/>
      <c r="W107" s="78"/>
      <c r="Z107" s="204"/>
      <c r="AR107" s="638"/>
    </row>
    <row r="108" spans="15:44" x14ac:dyDescent="0.25">
      <c r="O108" s="90"/>
      <c r="R108" s="78"/>
      <c r="S108" s="90"/>
      <c r="W108" s="78"/>
      <c r="Z108" s="204"/>
      <c r="AR108" s="638"/>
    </row>
    <row r="109" spans="15:44" x14ac:dyDescent="0.25">
      <c r="O109" s="90"/>
      <c r="R109" s="78"/>
      <c r="S109" s="90"/>
      <c r="W109" s="78"/>
      <c r="Z109" s="204"/>
      <c r="AR109" s="638"/>
    </row>
    <row r="110" spans="15:44" x14ac:dyDescent="0.25">
      <c r="O110" s="90"/>
      <c r="R110" s="78"/>
      <c r="S110" s="90"/>
      <c r="W110" s="78"/>
      <c r="Z110" s="204"/>
      <c r="AR110" s="638"/>
    </row>
    <row r="111" spans="15:44" x14ac:dyDescent="0.25">
      <c r="O111" s="90"/>
      <c r="R111" s="78"/>
      <c r="S111" s="90"/>
      <c r="W111" s="78"/>
      <c r="Z111" s="204"/>
      <c r="AR111" s="638"/>
    </row>
    <row r="112" spans="15:44" x14ac:dyDescent="0.25">
      <c r="O112" s="90"/>
      <c r="R112" s="78"/>
      <c r="S112" s="90"/>
      <c r="W112" s="78"/>
      <c r="Z112" s="204"/>
      <c r="AR112" s="638"/>
    </row>
    <row r="113" spans="15:44" x14ac:dyDescent="0.25">
      <c r="O113" s="90"/>
      <c r="R113" s="78"/>
      <c r="S113" s="90"/>
      <c r="W113" s="78"/>
      <c r="Z113" s="204"/>
      <c r="AR113" s="638"/>
    </row>
    <row r="114" spans="15:44" x14ac:dyDescent="0.25">
      <c r="O114" s="90"/>
      <c r="R114" s="78"/>
      <c r="S114" s="90"/>
      <c r="W114" s="78"/>
      <c r="Z114" s="204"/>
      <c r="AR114" s="638"/>
    </row>
    <row r="115" spans="15:44" x14ac:dyDescent="0.25">
      <c r="O115" s="90"/>
      <c r="R115" s="78"/>
      <c r="S115" s="90"/>
      <c r="W115" s="78"/>
      <c r="Z115" s="204"/>
      <c r="AR115" s="638"/>
    </row>
    <row r="116" spans="15:44" x14ac:dyDescent="0.25">
      <c r="O116" s="90"/>
      <c r="R116" s="78"/>
      <c r="S116" s="90"/>
      <c r="W116" s="78"/>
      <c r="Z116" s="204"/>
      <c r="AR116" s="638"/>
    </row>
    <row r="117" spans="15:44" x14ac:dyDescent="0.25">
      <c r="O117" s="90"/>
      <c r="R117" s="78"/>
      <c r="S117" s="90"/>
      <c r="W117" s="78"/>
      <c r="Z117" s="204"/>
      <c r="AR117" s="638"/>
    </row>
    <row r="118" spans="15:44" x14ac:dyDescent="0.25">
      <c r="O118" s="90"/>
      <c r="R118" s="78"/>
      <c r="S118" s="90"/>
      <c r="W118" s="78"/>
      <c r="Z118" s="204"/>
      <c r="AR118" s="638"/>
    </row>
    <row r="119" spans="15:44" x14ac:dyDescent="0.25">
      <c r="O119" s="90"/>
      <c r="R119" s="78"/>
      <c r="S119" s="90"/>
      <c r="W119" s="78"/>
      <c r="Z119" s="204"/>
      <c r="AR119" s="638"/>
    </row>
    <row r="120" spans="15:44" x14ac:dyDescent="0.25">
      <c r="O120" s="90"/>
      <c r="R120" s="78"/>
      <c r="S120" s="90"/>
      <c r="W120" s="78"/>
      <c r="Z120" s="204"/>
      <c r="AR120" s="638"/>
    </row>
    <row r="121" spans="15:44" x14ac:dyDescent="0.25">
      <c r="O121" s="90"/>
      <c r="R121" s="78"/>
      <c r="S121" s="90"/>
      <c r="W121" s="78"/>
      <c r="Z121" s="204"/>
      <c r="AR121" s="638"/>
    </row>
    <row r="122" spans="15:44" x14ac:dyDescent="0.25">
      <c r="O122" s="90"/>
      <c r="R122" s="78"/>
      <c r="S122" s="90"/>
      <c r="W122" s="78"/>
      <c r="Z122" s="204"/>
      <c r="AR122" s="638"/>
    </row>
    <row r="123" spans="15:44" x14ac:dyDescent="0.25">
      <c r="O123" s="90"/>
      <c r="R123" s="78"/>
      <c r="S123" s="90"/>
      <c r="W123" s="78"/>
      <c r="Z123" s="204"/>
      <c r="AR123" s="638"/>
    </row>
    <row r="124" spans="15:44" x14ac:dyDescent="0.25">
      <c r="O124" s="90"/>
      <c r="R124" s="78"/>
      <c r="S124" s="90"/>
      <c r="W124" s="78"/>
      <c r="Z124" s="204"/>
      <c r="AR124" s="638"/>
    </row>
    <row r="125" spans="15:44" x14ac:dyDescent="0.25">
      <c r="O125" s="90"/>
      <c r="R125" s="78"/>
      <c r="S125" s="90"/>
      <c r="W125" s="78"/>
      <c r="Z125" s="204"/>
      <c r="AR125" s="638"/>
    </row>
    <row r="126" spans="15:44" x14ac:dyDescent="0.25">
      <c r="O126" s="90"/>
      <c r="R126" s="78"/>
      <c r="S126" s="90"/>
      <c r="W126" s="78"/>
      <c r="Z126" s="204"/>
      <c r="AR126" s="638"/>
    </row>
    <row r="127" spans="15:44" x14ac:dyDescent="0.25">
      <c r="O127" s="90"/>
      <c r="R127" s="78"/>
      <c r="S127" s="90"/>
      <c r="W127" s="78"/>
      <c r="Z127" s="204"/>
      <c r="AR127" s="638"/>
    </row>
    <row r="128" spans="15:44" x14ac:dyDescent="0.25">
      <c r="O128" s="90"/>
      <c r="R128" s="78"/>
      <c r="S128" s="90"/>
      <c r="W128" s="78"/>
      <c r="Z128" s="204"/>
      <c r="AR128" s="638"/>
    </row>
    <row r="129" spans="15:44" x14ac:dyDescent="0.25">
      <c r="O129" s="90"/>
      <c r="R129" s="78"/>
      <c r="S129" s="90"/>
      <c r="W129" s="78"/>
      <c r="Z129" s="204"/>
      <c r="AR129" s="638"/>
    </row>
    <row r="130" spans="15:44" x14ac:dyDescent="0.25">
      <c r="O130" s="90"/>
      <c r="R130" s="78"/>
      <c r="S130" s="90"/>
      <c r="W130" s="78"/>
      <c r="Z130" s="204"/>
      <c r="AR130" s="638"/>
    </row>
    <row r="131" spans="15:44" x14ac:dyDescent="0.25">
      <c r="O131" s="90"/>
      <c r="R131" s="78"/>
      <c r="S131" s="90"/>
      <c r="W131" s="78"/>
      <c r="Z131" s="204"/>
      <c r="AR131" s="638"/>
    </row>
    <row r="132" spans="15:44" x14ac:dyDescent="0.25">
      <c r="O132" s="90"/>
      <c r="R132" s="78"/>
      <c r="S132" s="90"/>
      <c r="W132" s="78"/>
      <c r="Z132" s="204"/>
      <c r="AR132" s="638"/>
    </row>
    <row r="133" spans="15:44" x14ac:dyDescent="0.25">
      <c r="O133" s="90"/>
      <c r="R133" s="78"/>
      <c r="S133" s="90"/>
      <c r="W133" s="78"/>
      <c r="Z133" s="204"/>
      <c r="AR133" s="638"/>
    </row>
    <row r="134" spans="15:44" x14ac:dyDescent="0.25">
      <c r="O134" s="90"/>
      <c r="R134" s="78"/>
      <c r="S134" s="90"/>
      <c r="W134" s="78"/>
      <c r="Z134" s="204"/>
      <c r="AR134" s="638"/>
    </row>
    <row r="135" spans="15:44" x14ac:dyDescent="0.25">
      <c r="O135" s="90"/>
      <c r="R135" s="78"/>
      <c r="S135" s="90"/>
      <c r="W135" s="78"/>
      <c r="Z135" s="204"/>
      <c r="AR135" s="638"/>
    </row>
    <row r="136" spans="15:44" x14ac:dyDescent="0.25">
      <c r="O136" s="90"/>
      <c r="R136" s="78"/>
      <c r="S136" s="90"/>
      <c r="W136" s="78"/>
      <c r="Z136" s="204"/>
      <c r="AR136" s="638"/>
    </row>
    <row r="137" spans="15:44" x14ac:dyDescent="0.25">
      <c r="O137" s="90"/>
      <c r="R137" s="78"/>
      <c r="S137" s="90"/>
      <c r="W137" s="78"/>
      <c r="Z137" s="204"/>
      <c r="AR137" s="638"/>
    </row>
    <row r="138" spans="15:44" x14ac:dyDescent="0.25">
      <c r="O138" s="90"/>
      <c r="R138" s="78"/>
      <c r="S138" s="90"/>
      <c r="W138" s="78"/>
      <c r="Z138" s="204"/>
      <c r="AR138" s="638"/>
    </row>
    <row r="139" spans="15:44" x14ac:dyDescent="0.25">
      <c r="O139" s="90"/>
      <c r="R139" s="78"/>
      <c r="S139" s="90"/>
      <c r="W139" s="78"/>
      <c r="Z139" s="204"/>
      <c r="AR139" s="638"/>
    </row>
    <row r="140" spans="15:44" x14ac:dyDescent="0.25">
      <c r="O140" s="90"/>
      <c r="R140" s="78"/>
      <c r="S140" s="90"/>
      <c r="W140" s="78"/>
      <c r="Z140" s="204"/>
      <c r="AR140" s="638"/>
    </row>
    <row r="141" spans="15:44" x14ac:dyDescent="0.25">
      <c r="O141" s="90"/>
      <c r="R141" s="78"/>
      <c r="S141" s="90"/>
      <c r="W141" s="78"/>
      <c r="Z141" s="204"/>
      <c r="AR141" s="638"/>
    </row>
    <row r="142" spans="15:44" x14ac:dyDescent="0.25">
      <c r="O142" s="90"/>
      <c r="R142" s="78"/>
      <c r="S142" s="90"/>
      <c r="W142" s="78"/>
      <c r="Z142" s="204"/>
      <c r="AR142" s="638"/>
    </row>
    <row r="143" spans="15:44" x14ac:dyDescent="0.25">
      <c r="O143" s="90"/>
      <c r="R143" s="78"/>
      <c r="S143" s="90"/>
      <c r="W143" s="78"/>
      <c r="Z143" s="204"/>
      <c r="AR143" s="638"/>
    </row>
    <row r="144" spans="15:44" x14ac:dyDescent="0.25">
      <c r="O144" s="90"/>
      <c r="R144" s="78"/>
      <c r="S144" s="90"/>
      <c r="W144" s="78"/>
      <c r="Z144" s="204"/>
      <c r="AR144" s="638"/>
    </row>
    <row r="145" spans="15:44" x14ac:dyDescent="0.25">
      <c r="O145" s="90"/>
      <c r="R145" s="78"/>
      <c r="S145" s="90"/>
      <c r="W145" s="78"/>
      <c r="Z145" s="204"/>
      <c r="AR145" s="638"/>
    </row>
    <row r="146" spans="15:44" x14ac:dyDescent="0.25">
      <c r="O146" s="90"/>
      <c r="R146" s="78"/>
      <c r="S146" s="90"/>
      <c r="W146" s="78"/>
      <c r="Z146" s="204"/>
      <c r="AR146" s="638"/>
    </row>
    <row r="147" spans="15:44" x14ac:dyDescent="0.25">
      <c r="O147" s="90"/>
      <c r="R147" s="78"/>
      <c r="S147" s="90"/>
      <c r="W147" s="78"/>
      <c r="Z147" s="204"/>
      <c r="AR147" s="638"/>
    </row>
    <row r="148" spans="15:44" x14ac:dyDescent="0.25">
      <c r="O148" s="90"/>
      <c r="R148" s="78"/>
      <c r="S148" s="90"/>
      <c r="W148" s="78"/>
      <c r="Z148" s="204"/>
      <c r="AR148" s="638"/>
    </row>
    <row r="149" spans="15:44" x14ac:dyDescent="0.25">
      <c r="O149" s="90"/>
      <c r="R149" s="78"/>
      <c r="S149" s="90"/>
      <c r="W149" s="78"/>
      <c r="Z149" s="204"/>
      <c r="AR149" s="638"/>
    </row>
    <row r="150" spans="15:44" x14ac:dyDescent="0.25">
      <c r="O150" s="90"/>
      <c r="R150" s="78"/>
      <c r="S150" s="90"/>
      <c r="W150" s="78"/>
      <c r="Z150" s="204"/>
      <c r="AR150" s="638"/>
    </row>
    <row r="151" spans="15:44" x14ac:dyDescent="0.25">
      <c r="O151" s="90"/>
      <c r="R151" s="78"/>
      <c r="S151" s="90"/>
      <c r="W151" s="78"/>
      <c r="Z151" s="204"/>
      <c r="AR151" s="638"/>
    </row>
    <row r="152" spans="15:44" x14ac:dyDescent="0.25">
      <c r="O152" s="90"/>
      <c r="R152" s="78"/>
      <c r="S152" s="90"/>
      <c r="W152" s="78"/>
      <c r="Z152" s="204"/>
      <c r="AR152" s="638"/>
    </row>
    <row r="153" spans="15:44" x14ac:dyDescent="0.25">
      <c r="O153" s="90"/>
      <c r="R153" s="78"/>
      <c r="S153" s="90"/>
      <c r="W153" s="78"/>
      <c r="Z153" s="204"/>
      <c r="AR153" s="638"/>
    </row>
    <row r="154" spans="15:44" x14ac:dyDescent="0.25">
      <c r="O154" s="90"/>
      <c r="R154" s="78"/>
      <c r="S154" s="90"/>
      <c r="W154" s="78"/>
      <c r="Z154" s="204"/>
      <c r="AR154" s="638"/>
    </row>
    <row r="155" spans="15:44" x14ac:dyDescent="0.25">
      <c r="O155" s="90"/>
      <c r="R155" s="78"/>
      <c r="S155" s="90"/>
      <c r="W155" s="78"/>
      <c r="Z155" s="204"/>
      <c r="AR155" s="638"/>
    </row>
    <row r="156" spans="15:44" x14ac:dyDescent="0.25">
      <c r="O156" s="90"/>
      <c r="R156" s="78"/>
      <c r="S156" s="90"/>
      <c r="W156" s="78"/>
      <c r="Z156" s="204"/>
      <c r="AR156" s="638"/>
    </row>
    <row r="157" spans="15:44" x14ac:dyDescent="0.25">
      <c r="O157" s="90"/>
      <c r="R157" s="78"/>
      <c r="S157" s="90"/>
      <c r="W157" s="78"/>
      <c r="Z157" s="204"/>
      <c r="AR157" s="638"/>
    </row>
    <row r="158" spans="15:44" x14ac:dyDescent="0.25">
      <c r="O158" s="90"/>
      <c r="R158" s="78"/>
      <c r="S158" s="90"/>
      <c r="W158" s="78"/>
      <c r="Z158" s="204"/>
      <c r="AR158" s="638"/>
    </row>
    <row r="159" spans="15:44" x14ac:dyDescent="0.25">
      <c r="O159" s="90"/>
      <c r="R159" s="78"/>
      <c r="S159" s="90"/>
      <c r="W159" s="78"/>
      <c r="Z159" s="204"/>
      <c r="AR159" s="638"/>
    </row>
    <row r="160" spans="15:44" x14ac:dyDescent="0.25">
      <c r="O160" s="90"/>
      <c r="R160" s="78"/>
      <c r="S160" s="90"/>
      <c r="W160" s="78"/>
      <c r="Z160" s="204"/>
      <c r="AR160" s="638"/>
    </row>
    <row r="161" spans="15:44" x14ac:dyDescent="0.25">
      <c r="O161" s="90"/>
      <c r="R161" s="78"/>
      <c r="S161" s="90"/>
      <c r="W161" s="78"/>
      <c r="Z161" s="204"/>
      <c r="AR161" s="638"/>
    </row>
    <row r="162" spans="15:44" x14ac:dyDescent="0.25">
      <c r="O162" s="90"/>
      <c r="R162" s="78"/>
      <c r="S162" s="90"/>
      <c r="W162" s="78"/>
      <c r="Z162" s="204"/>
      <c r="AR162" s="638"/>
    </row>
    <row r="163" spans="15:44" x14ac:dyDescent="0.25">
      <c r="O163" s="90"/>
      <c r="R163" s="78"/>
      <c r="S163" s="90"/>
      <c r="W163" s="78"/>
      <c r="Z163" s="204"/>
      <c r="AR163" s="638"/>
    </row>
    <row r="164" spans="15:44" x14ac:dyDescent="0.25">
      <c r="O164" s="90"/>
      <c r="R164" s="78"/>
      <c r="S164" s="90"/>
      <c r="W164" s="78"/>
      <c r="Z164" s="204"/>
      <c r="AR164" s="638"/>
    </row>
    <row r="165" spans="15:44" x14ac:dyDescent="0.25">
      <c r="O165" s="90"/>
      <c r="R165" s="78"/>
      <c r="S165" s="90"/>
      <c r="W165" s="78"/>
      <c r="Z165" s="204"/>
      <c r="AR165" s="638"/>
    </row>
    <row r="166" spans="15:44" x14ac:dyDescent="0.25">
      <c r="O166" s="90"/>
      <c r="R166" s="78"/>
      <c r="S166" s="90"/>
      <c r="W166" s="78"/>
      <c r="Z166" s="204"/>
      <c r="AR166" s="638"/>
    </row>
    <row r="167" spans="15:44" x14ac:dyDescent="0.25">
      <c r="O167" s="90"/>
      <c r="R167" s="78"/>
      <c r="S167" s="90"/>
      <c r="W167" s="78"/>
      <c r="Z167" s="204"/>
      <c r="AR167" s="638"/>
    </row>
    <row r="168" spans="15:44" x14ac:dyDescent="0.25">
      <c r="O168" s="90"/>
      <c r="R168" s="78"/>
      <c r="S168" s="90"/>
      <c r="W168" s="78"/>
      <c r="Z168" s="204"/>
      <c r="AR168" s="638"/>
    </row>
    <row r="169" spans="15:44" x14ac:dyDescent="0.25">
      <c r="O169" s="90"/>
      <c r="R169" s="78"/>
      <c r="S169" s="90"/>
      <c r="W169" s="78"/>
      <c r="Z169" s="204"/>
      <c r="AR169" s="638"/>
    </row>
    <row r="170" spans="15:44" x14ac:dyDescent="0.25">
      <c r="O170" s="90"/>
      <c r="R170" s="78"/>
      <c r="S170" s="90"/>
      <c r="W170" s="78"/>
      <c r="Z170" s="204"/>
      <c r="AR170" s="638"/>
    </row>
    <row r="171" spans="15:44" x14ac:dyDescent="0.25">
      <c r="O171" s="90"/>
      <c r="R171" s="78"/>
      <c r="S171" s="90"/>
      <c r="W171" s="78"/>
      <c r="Z171" s="204"/>
      <c r="AR171" s="638"/>
    </row>
    <row r="172" spans="15:44" x14ac:dyDescent="0.25">
      <c r="O172" s="90"/>
      <c r="R172" s="78"/>
      <c r="S172" s="90"/>
      <c r="W172" s="78"/>
      <c r="Z172" s="204"/>
      <c r="AR172" s="638"/>
    </row>
    <row r="173" spans="15:44" x14ac:dyDescent="0.25">
      <c r="O173" s="90"/>
      <c r="R173" s="78"/>
      <c r="S173" s="90"/>
      <c r="W173" s="78"/>
      <c r="Z173" s="204"/>
      <c r="AR173" s="638"/>
    </row>
    <row r="174" spans="15:44" x14ac:dyDescent="0.25">
      <c r="O174" s="90"/>
      <c r="R174" s="78"/>
      <c r="S174" s="90"/>
      <c r="W174" s="78"/>
      <c r="Z174" s="204"/>
      <c r="AR174" s="638"/>
    </row>
    <row r="175" spans="15:44" x14ac:dyDescent="0.25">
      <c r="O175" s="90"/>
      <c r="R175" s="78"/>
      <c r="S175" s="90"/>
      <c r="W175" s="78"/>
      <c r="Z175" s="204"/>
      <c r="AR175" s="638"/>
    </row>
    <row r="176" spans="15:44" x14ac:dyDescent="0.25">
      <c r="O176" s="90"/>
      <c r="R176" s="78"/>
      <c r="S176" s="90"/>
      <c r="W176" s="78"/>
      <c r="Z176" s="204"/>
      <c r="AR176" s="638"/>
    </row>
    <row r="177" spans="15:44" x14ac:dyDescent="0.25">
      <c r="O177" s="90"/>
      <c r="R177" s="78"/>
      <c r="S177" s="90"/>
      <c r="W177" s="78"/>
      <c r="Z177" s="204"/>
      <c r="AR177" s="638"/>
    </row>
    <row r="178" spans="15:44" x14ac:dyDescent="0.25">
      <c r="O178" s="90"/>
      <c r="R178" s="78"/>
      <c r="S178" s="90"/>
      <c r="W178" s="78"/>
      <c r="Z178" s="204"/>
      <c r="AR178" s="638"/>
    </row>
    <row r="179" spans="15:44" x14ac:dyDescent="0.25">
      <c r="O179" s="90"/>
      <c r="R179" s="78"/>
      <c r="S179" s="90"/>
      <c r="W179" s="78"/>
      <c r="Z179" s="204"/>
      <c r="AR179" s="638"/>
    </row>
    <row r="180" spans="15:44" x14ac:dyDescent="0.25">
      <c r="O180" s="90"/>
      <c r="R180" s="78"/>
      <c r="S180" s="90"/>
      <c r="W180" s="78"/>
      <c r="Z180" s="204"/>
      <c r="AR180" s="638"/>
    </row>
    <row r="181" spans="15:44" x14ac:dyDescent="0.25">
      <c r="O181" s="90"/>
      <c r="R181" s="78"/>
      <c r="S181" s="90"/>
      <c r="W181" s="78"/>
      <c r="Z181" s="204"/>
      <c r="AR181" s="638"/>
    </row>
    <row r="182" spans="15:44" x14ac:dyDescent="0.25">
      <c r="O182" s="90"/>
      <c r="R182" s="78"/>
      <c r="S182" s="90"/>
      <c r="W182" s="78"/>
      <c r="Z182" s="204"/>
      <c r="AR182" s="638"/>
    </row>
    <row r="183" spans="15:44" x14ac:dyDescent="0.25">
      <c r="O183" s="90"/>
      <c r="R183" s="78"/>
      <c r="S183" s="90"/>
      <c r="W183" s="78"/>
      <c r="Z183" s="204"/>
      <c r="AR183" s="638"/>
    </row>
    <row r="184" spans="15:44" x14ac:dyDescent="0.25">
      <c r="O184" s="90"/>
      <c r="R184" s="78"/>
      <c r="S184" s="90"/>
      <c r="W184" s="78"/>
      <c r="Z184" s="204"/>
      <c r="AR184" s="638"/>
    </row>
    <row r="185" spans="15:44" x14ac:dyDescent="0.25">
      <c r="O185" s="90"/>
      <c r="R185" s="78"/>
      <c r="S185" s="90"/>
      <c r="W185" s="78"/>
      <c r="Z185" s="204"/>
      <c r="AR185" s="638"/>
    </row>
    <row r="186" spans="15:44" x14ac:dyDescent="0.25">
      <c r="O186" s="90"/>
      <c r="R186" s="78"/>
      <c r="S186" s="90"/>
      <c r="W186" s="78"/>
      <c r="Z186" s="204"/>
      <c r="AR186" s="638"/>
    </row>
    <row r="187" spans="15:44" x14ac:dyDescent="0.25">
      <c r="O187" s="90"/>
      <c r="R187" s="78"/>
      <c r="S187" s="90"/>
      <c r="W187" s="78"/>
      <c r="Z187" s="204"/>
      <c r="AR187" s="638"/>
    </row>
    <row r="188" spans="15:44" x14ac:dyDescent="0.25">
      <c r="O188" s="90"/>
      <c r="R188" s="78"/>
      <c r="S188" s="90"/>
      <c r="W188" s="78"/>
      <c r="Z188" s="204"/>
      <c r="AR188" s="638"/>
    </row>
    <row r="189" spans="15:44" x14ac:dyDescent="0.25">
      <c r="O189" s="90"/>
      <c r="R189" s="78"/>
      <c r="S189" s="90"/>
      <c r="W189" s="78"/>
      <c r="Z189" s="204"/>
      <c r="AR189" s="638"/>
    </row>
    <row r="190" spans="15:44" x14ac:dyDescent="0.25">
      <c r="O190" s="90"/>
      <c r="R190" s="78"/>
      <c r="S190" s="90"/>
      <c r="W190" s="78"/>
      <c r="Z190" s="204"/>
      <c r="AR190" s="638"/>
    </row>
    <row r="191" spans="15:44" x14ac:dyDescent="0.25">
      <c r="O191" s="90"/>
      <c r="R191" s="78"/>
      <c r="S191" s="90"/>
      <c r="W191" s="78"/>
      <c r="Z191" s="204"/>
      <c r="AR191" s="638"/>
    </row>
    <row r="192" spans="15:44" x14ac:dyDescent="0.25">
      <c r="O192" s="90"/>
      <c r="R192" s="78"/>
      <c r="S192" s="90"/>
      <c r="W192" s="78"/>
      <c r="Z192" s="204"/>
      <c r="AR192" s="638"/>
    </row>
    <row r="193" spans="15:44" x14ac:dyDescent="0.25">
      <c r="O193" s="90"/>
      <c r="R193" s="78"/>
      <c r="S193" s="90"/>
      <c r="W193" s="78"/>
      <c r="Z193" s="204"/>
      <c r="AR193" s="638"/>
    </row>
    <row r="194" spans="15:44" x14ac:dyDescent="0.25">
      <c r="O194" s="90"/>
      <c r="R194" s="78"/>
      <c r="S194" s="90"/>
      <c r="W194" s="78"/>
      <c r="Z194" s="204"/>
      <c r="AR194" s="638"/>
    </row>
    <row r="195" spans="15:44" x14ac:dyDescent="0.25">
      <c r="O195" s="90"/>
      <c r="R195" s="78"/>
      <c r="S195" s="90"/>
      <c r="W195" s="78"/>
      <c r="Z195" s="204"/>
      <c r="AR195" s="638"/>
    </row>
    <row r="196" spans="15:44" x14ac:dyDescent="0.25">
      <c r="O196" s="90"/>
      <c r="R196" s="78"/>
      <c r="S196" s="90"/>
      <c r="W196" s="78"/>
      <c r="Z196" s="204"/>
      <c r="AR196" s="638"/>
    </row>
    <row r="197" spans="15:44" x14ac:dyDescent="0.25">
      <c r="O197" s="90"/>
      <c r="R197" s="78"/>
      <c r="S197" s="90"/>
      <c r="W197" s="78"/>
      <c r="Z197" s="204"/>
      <c r="AR197" s="638"/>
    </row>
    <row r="198" spans="15:44" x14ac:dyDescent="0.25">
      <c r="O198" s="90"/>
      <c r="R198" s="78"/>
      <c r="S198" s="90"/>
      <c r="W198" s="78"/>
      <c r="Z198" s="204"/>
      <c r="AR198" s="638"/>
    </row>
    <row r="199" spans="15:44" x14ac:dyDescent="0.25">
      <c r="O199" s="90"/>
      <c r="R199" s="78"/>
      <c r="S199" s="90"/>
      <c r="W199" s="78"/>
      <c r="Z199" s="204"/>
      <c r="AR199" s="638"/>
    </row>
    <row r="200" spans="15:44" x14ac:dyDescent="0.25">
      <c r="O200" s="90"/>
      <c r="R200" s="78"/>
      <c r="S200" s="90"/>
      <c r="W200" s="78"/>
      <c r="Z200" s="204"/>
      <c r="AR200" s="638"/>
    </row>
    <row r="201" spans="15:44" x14ac:dyDescent="0.25">
      <c r="O201" s="90"/>
      <c r="R201" s="78"/>
      <c r="S201" s="90"/>
      <c r="W201" s="78"/>
      <c r="Z201" s="204"/>
      <c r="AR201" s="638"/>
    </row>
    <row r="202" spans="15:44" x14ac:dyDescent="0.25">
      <c r="O202" s="90"/>
      <c r="R202" s="78"/>
      <c r="S202" s="90"/>
      <c r="W202" s="78"/>
      <c r="Z202" s="204"/>
      <c r="AR202" s="638"/>
    </row>
    <row r="203" spans="15:44" x14ac:dyDescent="0.25">
      <c r="O203" s="90"/>
      <c r="R203" s="78"/>
      <c r="S203" s="90"/>
      <c r="W203" s="78"/>
      <c r="Z203" s="204"/>
      <c r="AR203" s="638"/>
    </row>
    <row r="204" spans="15:44" x14ac:dyDescent="0.25">
      <c r="O204" s="90"/>
      <c r="R204" s="78"/>
      <c r="S204" s="90"/>
      <c r="W204" s="78"/>
      <c r="Z204" s="204"/>
      <c r="AR204" s="638"/>
    </row>
    <row r="205" spans="15:44" x14ac:dyDescent="0.25">
      <c r="O205" s="90"/>
      <c r="R205" s="78"/>
      <c r="S205" s="90"/>
      <c r="W205" s="78"/>
      <c r="Z205" s="204"/>
      <c r="AR205" s="638"/>
    </row>
    <row r="206" spans="15:44" x14ac:dyDescent="0.25">
      <c r="O206" s="90"/>
      <c r="R206" s="78"/>
      <c r="S206" s="90"/>
      <c r="W206" s="78"/>
      <c r="Z206" s="204"/>
      <c r="AR206" s="638"/>
    </row>
    <row r="207" spans="15:44" x14ac:dyDescent="0.25">
      <c r="O207" s="90"/>
      <c r="R207" s="78"/>
      <c r="S207" s="90"/>
      <c r="W207" s="78"/>
      <c r="Z207" s="204"/>
      <c r="AR207" s="638"/>
    </row>
    <row r="208" spans="15:44" x14ac:dyDescent="0.25">
      <c r="O208" s="90"/>
      <c r="R208" s="78"/>
      <c r="S208" s="90"/>
      <c r="W208" s="78"/>
      <c r="Z208" s="204"/>
      <c r="AR208" s="638"/>
    </row>
    <row r="209" spans="15:44" x14ac:dyDescent="0.25">
      <c r="O209" s="90"/>
      <c r="R209" s="78"/>
      <c r="S209" s="90"/>
      <c r="W209" s="78"/>
      <c r="Z209" s="204"/>
      <c r="AR209" s="638"/>
    </row>
    <row r="210" spans="15:44" x14ac:dyDescent="0.25">
      <c r="O210" s="90"/>
      <c r="R210" s="78"/>
      <c r="S210" s="90"/>
      <c r="W210" s="78"/>
      <c r="Z210" s="204"/>
      <c r="AR210" s="638"/>
    </row>
    <row r="211" spans="15:44" x14ac:dyDescent="0.25">
      <c r="O211" s="90"/>
      <c r="R211" s="78"/>
      <c r="S211" s="90"/>
      <c r="W211" s="78"/>
      <c r="Z211" s="204"/>
      <c r="AR211" s="638"/>
    </row>
    <row r="212" spans="15:44" x14ac:dyDescent="0.25">
      <c r="O212" s="90"/>
      <c r="R212" s="78"/>
      <c r="S212" s="90"/>
      <c r="W212" s="78"/>
      <c r="Z212" s="204"/>
      <c r="AR212" s="638"/>
    </row>
    <row r="213" spans="15:44" x14ac:dyDescent="0.25">
      <c r="O213" s="90"/>
      <c r="R213" s="78"/>
      <c r="S213" s="90"/>
      <c r="W213" s="78"/>
      <c r="Z213" s="204"/>
      <c r="AR213" s="638"/>
    </row>
    <row r="214" spans="15:44" x14ac:dyDescent="0.25">
      <c r="O214" s="90"/>
      <c r="R214" s="78"/>
      <c r="S214" s="90"/>
      <c r="W214" s="78"/>
      <c r="Z214" s="204"/>
      <c r="AR214" s="638"/>
    </row>
    <row r="215" spans="15:44" x14ac:dyDescent="0.25">
      <c r="O215" s="90"/>
      <c r="R215" s="78"/>
      <c r="S215" s="90"/>
      <c r="W215" s="78"/>
      <c r="Z215" s="204"/>
      <c r="AR215" s="638"/>
    </row>
    <row r="216" spans="15:44" x14ac:dyDescent="0.25">
      <c r="O216" s="90"/>
      <c r="R216" s="78"/>
      <c r="S216" s="90"/>
      <c r="W216" s="78"/>
      <c r="Z216" s="204"/>
      <c r="AR216" s="638"/>
    </row>
    <row r="217" spans="15:44" x14ac:dyDescent="0.25">
      <c r="O217" s="90"/>
      <c r="R217" s="78"/>
      <c r="S217" s="90"/>
      <c r="W217" s="78"/>
      <c r="Z217" s="204"/>
      <c r="AR217" s="638"/>
    </row>
    <row r="218" spans="15:44" x14ac:dyDescent="0.25">
      <c r="O218" s="90"/>
      <c r="R218" s="78"/>
      <c r="S218" s="90"/>
      <c r="W218" s="78"/>
      <c r="Z218" s="204"/>
      <c r="AR218" s="638"/>
    </row>
    <row r="219" spans="15:44" x14ac:dyDescent="0.25">
      <c r="O219" s="90"/>
      <c r="R219" s="78"/>
      <c r="S219" s="90"/>
      <c r="W219" s="78"/>
      <c r="Z219" s="204"/>
      <c r="AR219" s="638"/>
    </row>
    <row r="220" spans="15:44" x14ac:dyDescent="0.25">
      <c r="O220" s="90"/>
      <c r="R220" s="78"/>
      <c r="S220" s="90"/>
      <c r="W220" s="78"/>
      <c r="Z220" s="204"/>
      <c r="AR220" s="638"/>
    </row>
    <row r="221" spans="15:44" x14ac:dyDescent="0.25">
      <c r="O221" s="90"/>
      <c r="R221" s="78"/>
      <c r="S221" s="90"/>
      <c r="W221" s="78"/>
      <c r="Z221" s="204"/>
      <c r="AR221" s="638"/>
    </row>
    <row r="222" spans="15:44" x14ac:dyDescent="0.25">
      <c r="O222" s="90"/>
      <c r="R222" s="78"/>
      <c r="S222" s="90"/>
      <c r="W222" s="78"/>
      <c r="Z222" s="204"/>
      <c r="AR222" s="638"/>
    </row>
    <row r="223" spans="15:44" x14ac:dyDescent="0.25">
      <c r="O223" s="90"/>
      <c r="R223" s="78"/>
      <c r="S223" s="90"/>
      <c r="W223" s="78"/>
      <c r="Z223" s="204"/>
      <c r="AR223" s="638"/>
    </row>
    <row r="224" spans="15:44" x14ac:dyDescent="0.25">
      <c r="O224" s="90"/>
      <c r="R224" s="78"/>
      <c r="S224" s="90"/>
      <c r="W224" s="78"/>
      <c r="Z224" s="204"/>
      <c r="AR224" s="638"/>
    </row>
    <row r="225" spans="15:44" x14ac:dyDescent="0.25">
      <c r="O225" s="90"/>
      <c r="R225" s="78"/>
      <c r="S225" s="90"/>
      <c r="W225" s="78"/>
      <c r="Z225" s="204"/>
      <c r="AR225" s="638"/>
    </row>
    <row r="226" spans="15:44" x14ac:dyDescent="0.25">
      <c r="O226" s="90"/>
      <c r="R226" s="78"/>
      <c r="S226" s="90"/>
      <c r="W226" s="78"/>
      <c r="Z226" s="204"/>
      <c r="AR226" s="638"/>
    </row>
    <row r="227" spans="15:44" x14ac:dyDescent="0.25">
      <c r="O227" s="90"/>
      <c r="R227" s="78"/>
      <c r="S227" s="90"/>
      <c r="W227" s="78"/>
      <c r="Z227" s="204"/>
      <c r="AR227" s="638"/>
    </row>
    <row r="228" spans="15:44" x14ac:dyDescent="0.25">
      <c r="O228" s="90"/>
      <c r="R228" s="78"/>
      <c r="S228" s="90"/>
      <c r="W228" s="78"/>
      <c r="Z228" s="204"/>
      <c r="AR228" s="638"/>
    </row>
    <row r="229" spans="15:44" x14ac:dyDescent="0.25">
      <c r="O229" s="90"/>
      <c r="R229" s="78"/>
      <c r="S229" s="90"/>
      <c r="W229" s="78"/>
      <c r="Z229" s="204"/>
      <c r="AR229" s="638"/>
    </row>
    <row r="230" spans="15:44" x14ac:dyDescent="0.25">
      <c r="O230" s="90"/>
      <c r="R230" s="78"/>
      <c r="S230" s="90"/>
      <c r="W230" s="78"/>
      <c r="Z230" s="204"/>
      <c r="AR230" s="638"/>
    </row>
    <row r="231" spans="15:44" x14ac:dyDescent="0.25">
      <c r="O231" s="90"/>
      <c r="R231" s="78"/>
      <c r="S231" s="90"/>
      <c r="W231" s="78"/>
      <c r="Z231" s="204"/>
      <c r="AR231" s="638"/>
    </row>
    <row r="232" spans="15:44" x14ac:dyDescent="0.25">
      <c r="O232" s="90"/>
      <c r="R232" s="78"/>
      <c r="S232" s="90"/>
      <c r="W232" s="78"/>
      <c r="Z232" s="204"/>
      <c r="AR232" s="638"/>
    </row>
    <row r="233" spans="15:44" x14ac:dyDescent="0.25">
      <c r="O233" s="90"/>
      <c r="R233" s="78"/>
      <c r="S233" s="90"/>
      <c r="W233" s="78"/>
      <c r="Z233" s="204"/>
      <c r="AR233" s="638"/>
    </row>
    <row r="234" spans="15:44" x14ac:dyDescent="0.25">
      <c r="O234" s="90"/>
      <c r="R234" s="78"/>
      <c r="S234" s="90"/>
      <c r="W234" s="78"/>
      <c r="Z234" s="204"/>
      <c r="AR234" s="638"/>
    </row>
    <row r="235" spans="15:44" x14ac:dyDescent="0.25">
      <c r="O235" s="90"/>
      <c r="R235" s="78"/>
      <c r="S235" s="90"/>
      <c r="W235" s="78"/>
      <c r="Z235" s="204"/>
      <c r="AR235" s="638"/>
    </row>
    <row r="236" spans="15:44" x14ac:dyDescent="0.25">
      <c r="O236" s="90"/>
      <c r="R236" s="78"/>
      <c r="S236" s="90"/>
      <c r="W236" s="78"/>
      <c r="Z236" s="204"/>
      <c r="AR236" s="638"/>
    </row>
    <row r="237" spans="15:44" x14ac:dyDescent="0.25">
      <c r="O237" s="90"/>
      <c r="R237" s="78"/>
      <c r="S237" s="90"/>
      <c r="W237" s="78"/>
      <c r="Z237" s="204"/>
      <c r="AR237" s="638"/>
    </row>
    <row r="238" spans="15:44" x14ac:dyDescent="0.25">
      <c r="O238" s="90"/>
      <c r="R238" s="78"/>
      <c r="S238" s="90"/>
      <c r="W238" s="78"/>
      <c r="Z238" s="204"/>
      <c r="AR238" s="638"/>
    </row>
    <row r="239" spans="15:44" x14ac:dyDescent="0.25">
      <c r="O239" s="90"/>
      <c r="R239" s="78"/>
      <c r="S239" s="90"/>
      <c r="W239" s="78"/>
      <c r="Z239" s="204"/>
      <c r="AR239" s="638"/>
    </row>
    <row r="240" spans="15:44" x14ac:dyDescent="0.25">
      <c r="O240" s="90"/>
      <c r="R240" s="78"/>
      <c r="S240" s="90"/>
      <c r="W240" s="78"/>
      <c r="Z240" s="204"/>
      <c r="AR240" s="638"/>
    </row>
    <row r="241" spans="15:44" x14ac:dyDescent="0.25">
      <c r="O241" s="90"/>
      <c r="R241" s="78"/>
      <c r="S241" s="90"/>
      <c r="W241" s="78"/>
      <c r="Z241" s="204"/>
      <c r="AR241" s="638"/>
    </row>
    <row r="242" spans="15:44" x14ac:dyDescent="0.25">
      <c r="O242" s="90"/>
      <c r="R242" s="78"/>
      <c r="S242" s="90"/>
      <c r="W242" s="78"/>
      <c r="Z242" s="204"/>
      <c r="AR242" s="638"/>
    </row>
    <row r="243" spans="15:44" x14ac:dyDescent="0.25">
      <c r="O243" s="90"/>
      <c r="R243" s="78"/>
      <c r="S243" s="90"/>
      <c r="W243" s="78"/>
      <c r="Z243" s="204"/>
      <c r="AR243" s="638"/>
    </row>
    <row r="244" spans="15:44" x14ac:dyDescent="0.25">
      <c r="O244" s="90"/>
      <c r="R244" s="78"/>
      <c r="S244" s="90"/>
      <c r="W244" s="78"/>
      <c r="Z244" s="204"/>
      <c r="AR244" s="638"/>
    </row>
    <row r="245" spans="15:44" x14ac:dyDescent="0.25">
      <c r="O245" s="90"/>
      <c r="R245" s="78"/>
      <c r="S245" s="90"/>
      <c r="W245" s="78"/>
      <c r="Z245" s="204"/>
      <c r="AR245" s="19"/>
    </row>
    <row r="246" spans="15:44" x14ac:dyDescent="0.25">
      <c r="O246" s="90"/>
      <c r="R246" s="78"/>
      <c r="S246" s="90"/>
      <c r="W246" s="78"/>
      <c r="Z246" s="204"/>
      <c r="AR246" s="19"/>
    </row>
    <row r="247" spans="15:44" x14ac:dyDescent="0.25">
      <c r="O247" s="90"/>
      <c r="R247" s="78"/>
      <c r="S247" s="90"/>
      <c r="W247" s="78"/>
      <c r="Z247" s="204"/>
      <c r="AR247" s="19"/>
    </row>
    <row r="248" spans="15:44" x14ac:dyDescent="0.25">
      <c r="O248" s="90"/>
      <c r="R248" s="78"/>
      <c r="S248" s="90"/>
      <c r="W248" s="78"/>
      <c r="Z248" s="204"/>
      <c r="AR248" s="19"/>
    </row>
    <row r="249" spans="15:44" x14ac:dyDescent="0.25">
      <c r="O249" s="90"/>
      <c r="R249" s="78"/>
      <c r="S249" s="90"/>
      <c r="W249" s="78"/>
      <c r="Z249" s="204"/>
      <c r="AR249" s="19"/>
    </row>
    <row r="250" spans="15:44" x14ac:dyDescent="0.25">
      <c r="O250" s="90"/>
      <c r="R250" s="78"/>
      <c r="S250" s="90"/>
      <c r="W250" s="78"/>
      <c r="Z250" s="204"/>
      <c r="AR250" s="19"/>
    </row>
    <row r="251" spans="15:44" x14ac:dyDescent="0.25">
      <c r="O251" s="90"/>
      <c r="R251" s="78"/>
      <c r="S251" s="90"/>
      <c r="W251" s="78"/>
      <c r="Z251" s="204"/>
      <c r="AR251" s="19"/>
    </row>
    <row r="252" spans="15:44" x14ac:dyDescent="0.25">
      <c r="O252" s="90"/>
      <c r="R252" s="78"/>
      <c r="S252" s="90"/>
      <c r="W252" s="78"/>
      <c r="Z252" s="204"/>
      <c r="AR252" s="19"/>
    </row>
    <row r="253" spans="15:44" x14ac:dyDescent="0.25">
      <c r="O253" s="90"/>
      <c r="R253" s="78"/>
      <c r="S253" s="90"/>
      <c r="W253" s="78"/>
      <c r="Z253" s="204"/>
      <c r="AR253" s="19"/>
    </row>
    <row r="254" spans="15:44" x14ac:dyDescent="0.25">
      <c r="O254" s="90"/>
      <c r="R254" s="78"/>
      <c r="S254" s="90"/>
      <c r="W254" s="78"/>
      <c r="Z254" s="204"/>
      <c r="AR254" s="19"/>
    </row>
    <row r="255" spans="15:44" x14ac:dyDescent="0.25">
      <c r="O255" s="90"/>
      <c r="R255" s="78"/>
      <c r="S255" s="90"/>
      <c r="W255" s="78"/>
      <c r="Z255" s="204"/>
      <c r="AR255" s="19"/>
    </row>
    <row r="256" spans="15:44" x14ac:dyDescent="0.25">
      <c r="O256" s="90"/>
      <c r="R256" s="78"/>
      <c r="S256" s="90"/>
      <c r="W256" s="78"/>
      <c r="Z256" s="204"/>
      <c r="AR256" s="19"/>
    </row>
    <row r="257" spans="15:44" x14ac:dyDescent="0.25">
      <c r="O257" s="90"/>
      <c r="R257" s="78"/>
      <c r="S257" s="90"/>
      <c r="W257" s="78"/>
      <c r="Z257" s="204"/>
      <c r="AR257" s="19"/>
    </row>
    <row r="258" spans="15:44" x14ac:dyDescent="0.25">
      <c r="O258" s="90"/>
      <c r="R258" s="78"/>
      <c r="S258" s="90"/>
      <c r="W258" s="78"/>
      <c r="Z258" s="204"/>
      <c r="AR258" s="19"/>
    </row>
    <row r="259" spans="15:44" x14ac:dyDescent="0.25">
      <c r="O259" s="90"/>
      <c r="R259" s="78"/>
      <c r="S259" s="90"/>
      <c r="W259" s="78"/>
      <c r="Z259" s="204"/>
      <c r="AR259" s="19"/>
    </row>
    <row r="260" spans="15:44" x14ac:dyDescent="0.25">
      <c r="O260" s="90"/>
      <c r="R260" s="78"/>
      <c r="S260" s="90"/>
      <c r="W260" s="78"/>
      <c r="Z260" s="204"/>
      <c r="AR260" s="19"/>
    </row>
    <row r="261" spans="15:44" x14ac:dyDescent="0.25">
      <c r="O261" s="90"/>
      <c r="R261" s="78"/>
      <c r="S261" s="90"/>
      <c r="W261" s="78"/>
      <c r="Z261" s="204"/>
      <c r="AR261" s="19"/>
    </row>
    <row r="262" spans="15:44" x14ac:dyDescent="0.25">
      <c r="O262" s="90"/>
      <c r="R262" s="78"/>
      <c r="S262" s="90"/>
      <c r="W262" s="78"/>
      <c r="Z262" s="204"/>
      <c r="AR262" s="19"/>
    </row>
    <row r="263" spans="15:44" x14ac:dyDescent="0.25">
      <c r="O263" s="90"/>
      <c r="R263" s="78"/>
      <c r="S263" s="90"/>
      <c r="W263" s="78"/>
      <c r="Z263" s="204"/>
      <c r="AR263" s="19"/>
    </row>
    <row r="264" spans="15:44" x14ac:dyDescent="0.25">
      <c r="O264" s="90"/>
      <c r="R264" s="78"/>
      <c r="S264" s="90"/>
      <c r="W264" s="78"/>
      <c r="Z264" s="204"/>
      <c r="AR264" s="19"/>
    </row>
    <row r="265" spans="15:44" x14ac:dyDescent="0.25">
      <c r="O265" s="90"/>
      <c r="R265" s="78"/>
      <c r="S265" s="90"/>
      <c r="W265" s="78"/>
      <c r="Z265" s="204"/>
      <c r="AR265" s="19"/>
    </row>
    <row r="266" spans="15:44" x14ac:dyDescent="0.25">
      <c r="O266" s="90"/>
      <c r="R266" s="78"/>
      <c r="S266" s="90"/>
      <c r="W266" s="78"/>
      <c r="Z266" s="204"/>
      <c r="AR266" s="19"/>
    </row>
    <row r="267" spans="15:44" x14ac:dyDescent="0.25">
      <c r="O267" s="90"/>
      <c r="R267" s="78"/>
      <c r="S267" s="90"/>
      <c r="W267" s="78"/>
      <c r="Z267" s="204"/>
      <c r="AR267" s="19"/>
    </row>
    <row r="268" spans="15:44" x14ac:dyDescent="0.25">
      <c r="O268" s="90"/>
      <c r="R268" s="78"/>
      <c r="S268" s="90"/>
      <c r="W268" s="78"/>
      <c r="Z268" s="204"/>
      <c r="AR268" s="19"/>
    </row>
    <row r="269" spans="15:44" x14ac:dyDescent="0.25">
      <c r="O269" s="90"/>
      <c r="R269" s="78"/>
      <c r="S269" s="90"/>
      <c r="W269" s="78"/>
      <c r="Z269" s="204"/>
      <c r="AR269" s="19"/>
    </row>
    <row r="270" spans="15:44" x14ac:dyDescent="0.25">
      <c r="O270" s="90"/>
      <c r="R270" s="78"/>
      <c r="S270" s="90"/>
      <c r="W270" s="78"/>
      <c r="Z270" s="204"/>
      <c r="AR270" s="19"/>
    </row>
    <row r="271" spans="15:44" x14ac:dyDescent="0.25">
      <c r="O271" s="90"/>
      <c r="R271" s="78"/>
      <c r="S271" s="90"/>
      <c r="W271" s="78"/>
      <c r="Z271" s="204"/>
      <c r="AR271" s="19"/>
    </row>
    <row r="272" spans="15:44" x14ac:dyDescent="0.25">
      <c r="O272" s="90"/>
      <c r="R272" s="78"/>
      <c r="S272" s="90"/>
      <c r="W272" s="78"/>
      <c r="Z272" s="204"/>
      <c r="AR272" s="19"/>
    </row>
    <row r="273" spans="15:44" x14ac:dyDescent="0.25">
      <c r="O273" s="90"/>
      <c r="R273" s="78"/>
      <c r="S273" s="90"/>
      <c r="W273" s="78"/>
      <c r="Z273" s="204"/>
      <c r="AR273" s="19"/>
    </row>
    <row r="274" spans="15:44" x14ac:dyDescent="0.25">
      <c r="O274" s="90"/>
      <c r="R274" s="78"/>
      <c r="S274" s="90"/>
      <c r="W274" s="78"/>
      <c r="Z274" s="204"/>
      <c r="AR274" s="19"/>
    </row>
    <row r="275" spans="15:44" x14ac:dyDescent="0.25">
      <c r="O275" s="90"/>
      <c r="R275" s="78"/>
      <c r="S275" s="90"/>
      <c r="W275" s="78"/>
      <c r="Z275" s="204"/>
      <c r="AR275" s="19"/>
    </row>
    <row r="276" spans="15:44" x14ac:dyDescent="0.25">
      <c r="O276" s="90"/>
      <c r="R276" s="78"/>
      <c r="S276" s="90"/>
      <c r="W276" s="78"/>
      <c r="Z276" s="204"/>
      <c r="AR276" s="19"/>
    </row>
    <row r="277" spans="15:44" x14ac:dyDescent="0.25">
      <c r="O277" s="90"/>
      <c r="R277" s="78"/>
      <c r="S277" s="90"/>
      <c r="W277" s="78"/>
      <c r="Z277" s="204"/>
      <c r="AR277" s="19"/>
    </row>
    <row r="278" spans="15:44" x14ac:dyDescent="0.25">
      <c r="O278" s="90"/>
      <c r="R278" s="78"/>
      <c r="S278" s="90"/>
      <c r="W278" s="78"/>
      <c r="Z278" s="204"/>
      <c r="AR278" s="19"/>
    </row>
    <row r="279" spans="15:44" x14ac:dyDescent="0.25">
      <c r="O279" s="90"/>
      <c r="R279" s="78"/>
      <c r="S279" s="90"/>
      <c r="W279" s="78"/>
      <c r="Z279" s="204"/>
      <c r="AR279" s="19"/>
    </row>
    <row r="280" spans="15:44" x14ac:dyDescent="0.25">
      <c r="O280" s="90"/>
      <c r="R280" s="78"/>
      <c r="S280" s="90"/>
      <c r="W280" s="78"/>
      <c r="Z280" s="204"/>
      <c r="AR280" s="19"/>
    </row>
    <row r="281" spans="15:44" x14ac:dyDescent="0.25">
      <c r="O281" s="90"/>
      <c r="R281" s="78"/>
      <c r="S281" s="90"/>
      <c r="W281" s="78"/>
      <c r="Z281" s="204"/>
      <c r="AR281" s="19"/>
    </row>
    <row r="282" spans="15:44" x14ac:dyDescent="0.25">
      <c r="O282" s="90"/>
      <c r="R282" s="78"/>
      <c r="S282" s="90"/>
      <c r="W282" s="78"/>
      <c r="Z282" s="204"/>
      <c r="AR282" s="19"/>
    </row>
    <row r="283" spans="15:44" x14ac:dyDescent="0.25">
      <c r="O283" s="90"/>
      <c r="R283" s="78"/>
      <c r="S283" s="90"/>
      <c r="W283" s="78"/>
      <c r="Z283" s="204"/>
      <c r="AR283" s="19"/>
    </row>
    <row r="284" spans="15:44" x14ac:dyDescent="0.25">
      <c r="O284" s="90"/>
      <c r="R284" s="78"/>
      <c r="S284" s="90"/>
      <c r="W284" s="78"/>
      <c r="Z284" s="204"/>
      <c r="AR284" s="19"/>
    </row>
    <row r="285" spans="15:44" x14ac:dyDescent="0.25">
      <c r="O285" s="90"/>
      <c r="R285" s="78"/>
      <c r="S285" s="90"/>
      <c r="W285" s="78"/>
      <c r="Z285" s="204"/>
      <c r="AR285" s="19"/>
    </row>
    <row r="286" spans="15:44" x14ac:dyDescent="0.25">
      <c r="O286" s="90"/>
      <c r="R286" s="78"/>
      <c r="S286" s="90"/>
      <c r="W286" s="78"/>
      <c r="Z286" s="204"/>
      <c r="AR286" s="19"/>
    </row>
    <row r="287" spans="15:44" x14ac:dyDescent="0.25">
      <c r="O287" s="90"/>
      <c r="R287" s="78"/>
      <c r="S287" s="90"/>
      <c r="W287" s="78"/>
      <c r="Z287" s="204"/>
      <c r="AR287" s="19"/>
    </row>
    <row r="288" spans="15:44" x14ac:dyDescent="0.25">
      <c r="O288" s="90"/>
      <c r="R288" s="78"/>
      <c r="S288" s="90"/>
      <c r="W288" s="78"/>
      <c r="Z288" s="204"/>
      <c r="AR288" s="19"/>
    </row>
    <row r="289" spans="15:44" x14ac:dyDescent="0.25">
      <c r="O289" s="90"/>
      <c r="R289" s="78"/>
      <c r="S289" s="90"/>
      <c r="W289" s="78"/>
      <c r="Z289" s="204"/>
      <c r="AR289" s="19"/>
    </row>
    <row r="290" spans="15:44" x14ac:dyDescent="0.25">
      <c r="O290" s="90"/>
      <c r="R290" s="78"/>
      <c r="S290" s="90"/>
      <c r="W290" s="78"/>
      <c r="Z290" s="204"/>
      <c r="AR290" s="19"/>
    </row>
    <row r="291" spans="15:44" x14ac:dyDescent="0.25">
      <c r="O291" s="90"/>
      <c r="R291" s="78"/>
      <c r="S291" s="90"/>
      <c r="W291" s="78"/>
      <c r="Z291" s="204"/>
      <c r="AR291" s="19"/>
    </row>
    <row r="292" spans="15:44" x14ac:dyDescent="0.25">
      <c r="O292" s="90"/>
      <c r="R292" s="78"/>
      <c r="S292" s="90"/>
      <c r="W292" s="78"/>
      <c r="Z292" s="204"/>
      <c r="AR292" s="19"/>
    </row>
    <row r="293" spans="15:44" x14ac:dyDescent="0.25">
      <c r="O293" s="90"/>
      <c r="R293" s="78"/>
      <c r="S293" s="90"/>
      <c r="W293" s="78"/>
      <c r="Z293" s="204"/>
      <c r="AR293" s="19"/>
    </row>
    <row r="294" spans="15:44" x14ac:dyDescent="0.25">
      <c r="O294" s="90"/>
      <c r="R294" s="78"/>
      <c r="S294" s="90"/>
      <c r="W294" s="78"/>
      <c r="Z294" s="204"/>
      <c r="AR294" s="19"/>
    </row>
    <row r="295" spans="15:44" x14ac:dyDescent="0.25">
      <c r="O295" s="90"/>
      <c r="R295" s="78"/>
      <c r="S295" s="90"/>
      <c r="W295" s="78"/>
      <c r="Z295" s="204"/>
      <c r="AR295" s="19"/>
    </row>
    <row r="296" spans="15:44" x14ac:dyDescent="0.25">
      <c r="O296" s="90"/>
      <c r="R296" s="78"/>
      <c r="S296" s="90"/>
      <c r="W296" s="78"/>
      <c r="Z296" s="204"/>
      <c r="AR296" s="19"/>
    </row>
    <row r="297" spans="15:44" x14ac:dyDescent="0.25">
      <c r="O297" s="90"/>
      <c r="R297" s="78"/>
      <c r="S297" s="90"/>
      <c r="W297" s="78"/>
      <c r="Z297" s="204"/>
      <c r="AR297" s="19"/>
    </row>
    <row r="298" spans="15:44" x14ac:dyDescent="0.25">
      <c r="O298" s="90"/>
      <c r="R298" s="78"/>
      <c r="S298" s="90"/>
      <c r="W298" s="78"/>
      <c r="Z298" s="204"/>
      <c r="AR298" s="19"/>
    </row>
    <row r="299" spans="15:44" x14ac:dyDescent="0.25">
      <c r="O299" s="90"/>
      <c r="R299" s="78"/>
      <c r="S299" s="90"/>
      <c r="W299" s="78"/>
      <c r="Z299" s="204"/>
      <c r="AR299" s="19"/>
    </row>
    <row r="300" spans="15:44" x14ac:dyDescent="0.25">
      <c r="O300" s="90"/>
      <c r="R300" s="78"/>
      <c r="S300" s="90"/>
      <c r="W300" s="78"/>
      <c r="Z300" s="204"/>
      <c r="AR300" s="19"/>
    </row>
    <row r="301" spans="15:44" x14ac:dyDescent="0.25">
      <c r="O301" s="90"/>
      <c r="R301" s="78"/>
      <c r="S301" s="90"/>
      <c r="W301" s="78"/>
      <c r="Z301" s="204"/>
      <c r="AR301" s="19"/>
    </row>
    <row r="302" spans="15:44" x14ac:dyDescent="0.25">
      <c r="O302" s="90"/>
      <c r="R302" s="78"/>
      <c r="S302" s="90"/>
      <c r="W302" s="78"/>
      <c r="Z302" s="204"/>
      <c r="AR302" s="19"/>
    </row>
    <row r="303" spans="15:44" x14ac:dyDescent="0.25">
      <c r="O303" s="90"/>
      <c r="R303" s="78"/>
      <c r="S303" s="90"/>
      <c r="W303" s="78"/>
      <c r="Z303" s="204"/>
      <c r="AR303" s="19"/>
    </row>
    <row r="304" spans="15:44" x14ac:dyDescent="0.25">
      <c r="O304" s="90"/>
      <c r="R304" s="78"/>
      <c r="S304" s="90"/>
      <c r="W304" s="78"/>
      <c r="Z304" s="204"/>
      <c r="AR304" s="19"/>
    </row>
    <row r="305" spans="15:44" x14ac:dyDescent="0.25">
      <c r="O305" s="90"/>
      <c r="R305" s="78"/>
      <c r="S305" s="90"/>
      <c r="W305" s="78"/>
      <c r="Z305" s="204"/>
      <c r="AR305" s="19"/>
    </row>
    <row r="306" spans="15:44" x14ac:dyDescent="0.25">
      <c r="O306" s="90"/>
      <c r="R306" s="78"/>
      <c r="S306" s="90"/>
      <c r="W306" s="78"/>
      <c r="Z306" s="204"/>
      <c r="AR306" s="19"/>
    </row>
    <row r="307" spans="15:44" x14ac:dyDescent="0.25">
      <c r="O307" s="90"/>
      <c r="R307" s="78"/>
      <c r="S307" s="90"/>
      <c r="W307" s="78"/>
      <c r="Z307" s="204"/>
      <c r="AR307" s="19"/>
    </row>
    <row r="308" spans="15:44" x14ac:dyDescent="0.25">
      <c r="O308" s="90"/>
      <c r="R308" s="78"/>
      <c r="S308" s="90"/>
      <c r="W308" s="78"/>
      <c r="Z308" s="204"/>
      <c r="AR308" s="19"/>
    </row>
    <row r="309" spans="15:44" x14ac:dyDescent="0.25">
      <c r="O309" s="90"/>
      <c r="R309" s="78"/>
      <c r="S309" s="90"/>
      <c r="W309" s="78"/>
      <c r="Z309" s="204"/>
      <c r="AR309" s="19"/>
    </row>
    <row r="310" spans="15:44" x14ac:dyDescent="0.25">
      <c r="O310" s="90"/>
      <c r="R310" s="78"/>
      <c r="S310" s="90"/>
      <c r="W310" s="78"/>
      <c r="Z310" s="204"/>
      <c r="AR310" s="19"/>
    </row>
    <row r="311" spans="15:44" x14ac:dyDescent="0.25">
      <c r="O311" s="90"/>
      <c r="R311" s="78"/>
      <c r="S311" s="90"/>
      <c r="W311" s="78"/>
      <c r="Z311" s="204"/>
      <c r="AR311" s="19"/>
    </row>
    <row r="312" spans="15:44" x14ac:dyDescent="0.25">
      <c r="O312" s="90"/>
      <c r="R312" s="78"/>
      <c r="S312" s="90"/>
      <c r="W312" s="78"/>
      <c r="Z312" s="204"/>
      <c r="AR312" s="19"/>
    </row>
    <row r="313" spans="15:44" x14ac:dyDescent="0.25">
      <c r="O313" s="90"/>
      <c r="R313" s="78"/>
      <c r="S313" s="90"/>
      <c r="W313" s="78"/>
      <c r="Z313" s="204"/>
      <c r="AR313" s="19"/>
    </row>
    <row r="314" spans="15:44" x14ac:dyDescent="0.25">
      <c r="O314" s="90"/>
      <c r="R314" s="78"/>
      <c r="S314" s="90"/>
      <c r="W314" s="78"/>
      <c r="Z314" s="204"/>
      <c r="AR314" s="19"/>
    </row>
    <row r="315" spans="15:44" x14ac:dyDescent="0.25">
      <c r="O315" s="90"/>
      <c r="R315" s="78"/>
      <c r="S315" s="90"/>
      <c r="W315" s="78"/>
      <c r="Z315" s="204"/>
      <c r="AR315" s="19"/>
    </row>
    <row r="316" spans="15:44" x14ac:dyDescent="0.25">
      <c r="O316" s="90"/>
      <c r="R316" s="78"/>
      <c r="S316" s="90"/>
      <c r="W316" s="78"/>
      <c r="Z316" s="204"/>
      <c r="AR316" s="19"/>
    </row>
    <row r="317" spans="15:44" x14ac:dyDescent="0.25">
      <c r="O317" s="90"/>
      <c r="R317" s="78"/>
      <c r="S317" s="90"/>
      <c r="W317" s="78"/>
      <c r="Z317" s="204"/>
      <c r="AR317" s="19"/>
    </row>
    <row r="318" spans="15:44" x14ac:dyDescent="0.25">
      <c r="O318" s="90"/>
      <c r="R318" s="78"/>
      <c r="S318" s="90"/>
      <c r="W318" s="78"/>
      <c r="Z318" s="204"/>
      <c r="AR318" s="19"/>
    </row>
    <row r="319" spans="15:44" x14ac:dyDescent="0.25">
      <c r="O319" s="90"/>
      <c r="R319" s="78"/>
      <c r="S319" s="90"/>
      <c r="W319" s="78"/>
      <c r="Z319" s="204"/>
      <c r="AR319" s="19"/>
    </row>
    <row r="320" spans="15:44" x14ac:dyDescent="0.25">
      <c r="O320" s="90"/>
      <c r="R320" s="78"/>
      <c r="S320" s="90"/>
      <c r="W320" s="78"/>
      <c r="Z320" s="204"/>
      <c r="AR320" s="19"/>
    </row>
    <row r="321" spans="15:44" x14ac:dyDescent="0.25">
      <c r="O321" s="90"/>
      <c r="R321" s="78"/>
      <c r="S321" s="90"/>
      <c r="W321" s="78"/>
      <c r="Z321" s="204"/>
      <c r="AR321" s="19"/>
    </row>
    <row r="322" spans="15:44" x14ac:dyDescent="0.25">
      <c r="O322" s="90"/>
      <c r="R322" s="78"/>
      <c r="S322" s="90"/>
      <c r="W322" s="78"/>
      <c r="Z322" s="204"/>
      <c r="AR322" s="19"/>
    </row>
    <row r="323" spans="15:44" x14ac:dyDescent="0.25">
      <c r="O323" s="90"/>
      <c r="R323" s="78"/>
      <c r="S323" s="90"/>
      <c r="W323" s="78"/>
      <c r="Z323" s="204"/>
      <c r="AR323" s="19"/>
    </row>
    <row r="324" spans="15:44" x14ac:dyDescent="0.25">
      <c r="O324" s="90"/>
      <c r="R324" s="78"/>
      <c r="S324" s="90"/>
      <c r="W324" s="78"/>
      <c r="Z324" s="204"/>
      <c r="AR324" s="19"/>
    </row>
    <row r="325" spans="15:44" x14ac:dyDescent="0.25">
      <c r="O325" s="90"/>
      <c r="R325" s="78"/>
      <c r="S325" s="90"/>
      <c r="W325" s="78"/>
      <c r="Z325" s="204"/>
      <c r="AR325" s="19"/>
    </row>
    <row r="326" spans="15:44" x14ac:dyDescent="0.25">
      <c r="O326" s="90"/>
      <c r="R326" s="78"/>
      <c r="S326" s="90"/>
      <c r="W326" s="78"/>
      <c r="Z326" s="204"/>
      <c r="AR326" s="19"/>
    </row>
    <row r="327" spans="15:44" x14ac:dyDescent="0.25">
      <c r="O327" s="90"/>
      <c r="R327" s="78"/>
      <c r="S327" s="90"/>
      <c r="W327" s="78"/>
      <c r="Z327" s="204"/>
      <c r="AR327" s="19"/>
    </row>
    <row r="328" spans="15:44" x14ac:dyDescent="0.25">
      <c r="O328" s="90"/>
      <c r="R328" s="78"/>
      <c r="S328" s="90"/>
      <c r="W328" s="78"/>
      <c r="Z328" s="204"/>
      <c r="AR328" s="19"/>
    </row>
    <row r="329" spans="15:44" x14ac:dyDescent="0.25">
      <c r="O329" s="90"/>
      <c r="R329" s="78"/>
      <c r="S329" s="90"/>
      <c r="W329" s="78"/>
      <c r="Z329" s="204"/>
      <c r="AR329" s="19"/>
    </row>
    <row r="330" spans="15:44" x14ac:dyDescent="0.25">
      <c r="O330" s="90"/>
      <c r="R330" s="78"/>
      <c r="S330" s="90"/>
      <c r="W330" s="78"/>
      <c r="Z330" s="204"/>
      <c r="AR330" s="19"/>
    </row>
    <row r="331" spans="15:44" x14ac:dyDescent="0.25">
      <c r="O331" s="90"/>
      <c r="R331" s="78"/>
      <c r="S331" s="90"/>
      <c r="W331" s="78"/>
      <c r="Z331" s="204"/>
      <c r="AR331" s="19"/>
    </row>
    <row r="332" spans="15:44" x14ac:dyDescent="0.25">
      <c r="O332" s="90"/>
      <c r="R332" s="78"/>
      <c r="S332" s="90"/>
      <c r="W332" s="78"/>
      <c r="Z332" s="204"/>
      <c r="AR332" s="19"/>
    </row>
    <row r="333" spans="15:44" x14ac:dyDescent="0.25">
      <c r="O333" s="90"/>
      <c r="R333" s="78"/>
      <c r="S333" s="90"/>
      <c r="W333" s="78"/>
      <c r="Z333" s="204"/>
      <c r="AR333" s="19"/>
    </row>
    <row r="334" spans="15:44" x14ac:dyDescent="0.25">
      <c r="O334" s="90"/>
      <c r="R334" s="78"/>
      <c r="S334" s="90"/>
      <c r="W334" s="78"/>
      <c r="Z334" s="204"/>
      <c r="AR334" s="19"/>
    </row>
    <row r="335" spans="15:44" x14ac:dyDescent="0.25">
      <c r="AR335" s="19"/>
    </row>
    <row r="336" spans="15:44" x14ac:dyDescent="0.25">
      <c r="AR336" s="19"/>
    </row>
    <row r="337" spans="44:44" x14ac:dyDescent="0.25">
      <c r="AR337" s="19"/>
    </row>
    <row r="338" spans="44:44" x14ac:dyDescent="0.25">
      <c r="AR338" s="19"/>
    </row>
    <row r="339" spans="44:44" x14ac:dyDescent="0.25">
      <c r="AR339" s="19"/>
    </row>
    <row r="340" spans="44:44" x14ac:dyDescent="0.25">
      <c r="AR340" s="19"/>
    </row>
    <row r="341" spans="44:44" x14ac:dyDescent="0.25">
      <c r="AR341" s="19"/>
    </row>
    <row r="342" spans="44:44" x14ac:dyDescent="0.25">
      <c r="AR342" s="19"/>
    </row>
    <row r="343" spans="44:44" x14ac:dyDescent="0.25">
      <c r="AR343" s="19"/>
    </row>
    <row r="344" spans="44:44" x14ac:dyDescent="0.25">
      <c r="AR344" s="19"/>
    </row>
    <row r="345" spans="44:44" x14ac:dyDescent="0.25">
      <c r="AR345" s="19"/>
    </row>
    <row r="346" spans="44:44" x14ac:dyDescent="0.25">
      <c r="AR346" s="19"/>
    </row>
    <row r="347" spans="44:44" x14ac:dyDescent="0.25">
      <c r="AR347" s="19"/>
    </row>
    <row r="348" spans="44:44" x14ac:dyDescent="0.25">
      <c r="AR348" s="19"/>
    </row>
    <row r="349" spans="44:44" x14ac:dyDescent="0.25">
      <c r="AR349" s="19"/>
    </row>
    <row r="350" spans="44:44" x14ac:dyDescent="0.25">
      <c r="AR350" s="19"/>
    </row>
    <row r="351" spans="44:44" x14ac:dyDescent="0.25">
      <c r="AR351" s="19"/>
    </row>
    <row r="352" spans="44:44" x14ac:dyDescent="0.25">
      <c r="AR352" s="19"/>
    </row>
    <row r="353" spans="44:44" x14ac:dyDescent="0.25">
      <c r="AR353" s="19"/>
    </row>
    <row r="354" spans="44:44" x14ac:dyDescent="0.25">
      <c r="AR354" s="19"/>
    </row>
    <row r="355" spans="44:44" x14ac:dyDescent="0.25">
      <c r="AR355" s="19"/>
    </row>
    <row r="356" spans="44:44" x14ac:dyDescent="0.25">
      <c r="AR356" s="19"/>
    </row>
    <row r="357" spans="44:44" x14ac:dyDescent="0.25">
      <c r="AR357" s="19"/>
    </row>
    <row r="358" spans="44:44" x14ac:dyDescent="0.25">
      <c r="AR358" s="19"/>
    </row>
    <row r="359" spans="44:44" x14ac:dyDescent="0.25">
      <c r="AR359" s="19"/>
    </row>
    <row r="360" spans="44:44" x14ac:dyDescent="0.25">
      <c r="AR360" s="19"/>
    </row>
    <row r="361" spans="44:44" x14ac:dyDescent="0.25">
      <c r="AR361" s="19"/>
    </row>
    <row r="362" spans="44:44" x14ac:dyDescent="0.25">
      <c r="AR362" s="19"/>
    </row>
    <row r="363" spans="44:44" x14ac:dyDescent="0.25">
      <c r="AR363" s="19"/>
    </row>
    <row r="364" spans="44:44" x14ac:dyDescent="0.25">
      <c r="AR364" s="19"/>
    </row>
    <row r="365" spans="44:44" x14ac:dyDescent="0.25">
      <c r="AR365" s="19"/>
    </row>
    <row r="366" spans="44:44" x14ac:dyDescent="0.25">
      <c r="AR366" s="19"/>
    </row>
    <row r="367" spans="44:44" x14ac:dyDescent="0.25">
      <c r="AR367" s="19"/>
    </row>
    <row r="368" spans="44:44" x14ac:dyDescent="0.25">
      <c r="AR368" s="19"/>
    </row>
    <row r="369" spans="44:44" x14ac:dyDescent="0.25">
      <c r="AR369" s="19"/>
    </row>
    <row r="370" spans="44:44" x14ac:dyDescent="0.25">
      <c r="AR370" s="19"/>
    </row>
    <row r="371" spans="44:44" x14ac:dyDescent="0.25">
      <c r="AR371" s="19"/>
    </row>
    <row r="372" spans="44:44" x14ac:dyDescent="0.25">
      <c r="AR372" s="19"/>
    </row>
    <row r="373" spans="44:44" x14ac:dyDescent="0.25">
      <c r="AR373" s="19"/>
    </row>
    <row r="374" spans="44:44" x14ac:dyDescent="0.25">
      <c r="AR374" s="19"/>
    </row>
    <row r="375" spans="44:44" x14ac:dyDescent="0.25">
      <c r="AR375" s="19"/>
    </row>
    <row r="376" spans="44:44" x14ac:dyDescent="0.25">
      <c r="AR376" s="19"/>
    </row>
    <row r="377" spans="44:44" x14ac:dyDescent="0.25">
      <c r="AR377" s="19"/>
    </row>
    <row r="378" spans="44:44" x14ac:dyDescent="0.25">
      <c r="AR378" s="19"/>
    </row>
    <row r="379" spans="44:44" x14ac:dyDescent="0.25">
      <c r="AR379" s="19"/>
    </row>
    <row r="380" spans="44:44" x14ac:dyDescent="0.25">
      <c r="AR380" s="19"/>
    </row>
    <row r="381" spans="44:44" x14ac:dyDescent="0.25">
      <c r="AR381" s="19"/>
    </row>
    <row r="382" spans="44:44" x14ac:dyDescent="0.25">
      <c r="AR382" s="19"/>
    </row>
    <row r="383" spans="44:44" x14ac:dyDescent="0.25">
      <c r="AR383" s="19"/>
    </row>
    <row r="384" spans="44:44" x14ac:dyDescent="0.25">
      <c r="AR384" s="19"/>
    </row>
    <row r="385" spans="44:44" x14ac:dyDescent="0.25">
      <c r="AR385" s="19"/>
    </row>
    <row r="386" spans="44:44" x14ac:dyDescent="0.25">
      <c r="AR386" s="19"/>
    </row>
    <row r="387" spans="44:44" x14ac:dyDescent="0.25">
      <c r="AR387" s="19"/>
    </row>
    <row r="388" spans="44:44" x14ac:dyDescent="0.25">
      <c r="AR388" s="19"/>
    </row>
    <row r="389" spans="44:44" x14ac:dyDescent="0.25">
      <c r="AR389" s="19"/>
    </row>
    <row r="390" spans="44:44" x14ac:dyDescent="0.25">
      <c r="AR390" s="19"/>
    </row>
    <row r="391" spans="44:44" x14ac:dyDescent="0.25">
      <c r="AR391" s="19"/>
    </row>
    <row r="392" spans="44:44" x14ac:dyDescent="0.25">
      <c r="AR392" s="19"/>
    </row>
    <row r="393" spans="44:44" x14ac:dyDescent="0.25">
      <c r="AR393" s="19"/>
    </row>
    <row r="394" spans="44:44" x14ac:dyDescent="0.25">
      <c r="AR394" s="19"/>
    </row>
    <row r="395" spans="44:44" x14ac:dyDescent="0.25">
      <c r="AR395" s="19"/>
    </row>
    <row r="396" spans="44:44" x14ac:dyDescent="0.25">
      <c r="AR396" s="19"/>
    </row>
    <row r="397" spans="44:44" x14ac:dyDescent="0.25">
      <c r="AR397" s="19"/>
    </row>
    <row r="398" spans="44:44" x14ac:dyDescent="0.25">
      <c r="AR398" s="19"/>
    </row>
    <row r="399" spans="44:44" x14ac:dyDescent="0.25">
      <c r="AR399" s="19"/>
    </row>
    <row r="400" spans="44:44" x14ac:dyDescent="0.25">
      <c r="AR400" s="19"/>
    </row>
    <row r="401" spans="44:44" x14ac:dyDescent="0.25">
      <c r="AR401" s="19"/>
    </row>
    <row r="402" spans="44:44" x14ac:dyDescent="0.25">
      <c r="AR402" s="19"/>
    </row>
    <row r="403" spans="44:44" x14ac:dyDescent="0.25">
      <c r="AR403" s="19"/>
    </row>
    <row r="404" spans="44:44" x14ac:dyDescent="0.25">
      <c r="AR404" s="19"/>
    </row>
    <row r="405" spans="44:44" x14ac:dyDescent="0.25">
      <c r="AR405" s="19"/>
    </row>
    <row r="406" spans="44:44" x14ac:dyDescent="0.25">
      <c r="AR406" s="19"/>
    </row>
    <row r="407" spans="44:44" x14ac:dyDescent="0.25">
      <c r="AR407" s="19"/>
    </row>
    <row r="408" spans="44:44" x14ac:dyDescent="0.25">
      <c r="AR408" s="19"/>
    </row>
    <row r="409" spans="44:44" x14ac:dyDescent="0.25">
      <c r="AR409" s="19"/>
    </row>
    <row r="410" spans="44:44" x14ac:dyDescent="0.25">
      <c r="AR410" s="19"/>
    </row>
    <row r="411" spans="44:44" x14ac:dyDescent="0.25">
      <c r="AR411" s="19"/>
    </row>
    <row r="412" spans="44:44" x14ac:dyDescent="0.25">
      <c r="AR412" s="19"/>
    </row>
    <row r="413" spans="44:44" x14ac:dyDescent="0.25">
      <c r="AR413" s="19"/>
    </row>
    <row r="414" spans="44:44" x14ac:dyDescent="0.25">
      <c r="AR414" s="19"/>
    </row>
    <row r="415" spans="44:44" x14ac:dyDescent="0.25">
      <c r="AR415" s="19"/>
    </row>
    <row r="416" spans="44:44" x14ac:dyDescent="0.25">
      <c r="AR416" s="19"/>
    </row>
    <row r="417" spans="44:44" x14ac:dyDescent="0.25">
      <c r="AR417" s="19"/>
    </row>
    <row r="418" spans="44:44" x14ac:dyDescent="0.25">
      <c r="AR418" s="19"/>
    </row>
    <row r="419" spans="44:44" x14ac:dyDescent="0.25">
      <c r="AR419" s="19"/>
    </row>
    <row r="420" spans="44:44" x14ac:dyDescent="0.25">
      <c r="AR420" s="19"/>
    </row>
    <row r="421" spans="44:44" x14ac:dyDescent="0.25">
      <c r="AR421" s="19"/>
    </row>
    <row r="422" spans="44:44" x14ac:dyDescent="0.25">
      <c r="AR422" s="19"/>
    </row>
    <row r="423" spans="44:44" x14ac:dyDescent="0.25">
      <c r="AR423" s="19"/>
    </row>
    <row r="424" spans="44:44" x14ac:dyDescent="0.25">
      <c r="AR424" s="19"/>
    </row>
    <row r="425" spans="44:44" x14ac:dyDescent="0.25">
      <c r="AR425" s="19"/>
    </row>
    <row r="426" spans="44:44" x14ac:dyDescent="0.25">
      <c r="AR426" s="19"/>
    </row>
    <row r="427" spans="44:44" x14ac:dyDescent="0.25">
      <c r="AR427" s="19"/>
    </row>
    <row r="428" spans="44:44" x14ac:dyDescent="0.25">
      <c r="AR428" s="19"/>
    </row>
    <row r="429" spans="44:44" x14ac:dyDescent="0.25">
      <c r="AR429" s="19"/>
    </row>
    <row r="430" spans="44:44" x14ac:dyDescent="0.25">
      <c r="AR430" s="19"/>
    </row>
    <row r="431" spans="44:44" x14ac:dyDescent="0.25">
      <c r="AR431" s="19"/>
    </row>
    <row r="432" spans="44:44" x14ac:dyDescent="0.25">
      <c r="AR432" s="19"/>
    </row>
    <row r="433" spans="44:44" x14ac:dyDescent="0.25">
      <c r="AR433" s="19"/>
    </row>
    <row r="434" spans="44:44" x14ac:dyDescent="0.25">
      <c r="AR434" s="19"/>
    </row>
    <row r="435" spans="44:44" x14ac:dyDescent="0.25">
      <c r="AR435" s="19"/>
    </row>
    <row r="436" spans="44:44" x14ac:dyDescent="0.25">
      <c r="AR436" s="19"/>
    </row>
    <row r="437" spans="44:44" x14ac:dyDescent="0.25">
      <c r="AR437" s="19"/>
    </row>
    <row r="438" spans="44:44" x14ac:dyDescent="0.25">
      <c r="AR438" s="19"/>
    </row>
    <row r="439" spans="44:44" x14ac:dyDescent="0.25">
      <c r="AR439" s="19"/>
    </row>
    <row r="440" spans="44:44" x14ac:dyDescent="0.25">
      <c r="AR440" s="19"/>
    </row>
    <row r="441" spans="44:44" x14ac:dyDescent="0.25">
      <c r="AR441" s="19"/>
    </row>
    <row r="442" spans="44:44" x14ac:dyDescent="0.25">
      <c r="AR442" s="19"/>
    </row>
    <row r="443" spans="44:44" x14ac:dyDescent="0.25">
      <c r="AR443" s="19"/>
    </row>
    <row r="444" spans="44:44" x14ac:dyDescent="0.25">
      <c r="AR444" s="19"/>
    </row>
    <row r="445" spans="44:44" x14ac:dyDescent="0.25">
      <c r="AR445" s="19"/>
    </row>
    <row r="446" spans="44:44" x14ac:dyDescent="0.25">
      <c r="AR446" s="19"/>
    </row>
    <row r="447" spans="44:44" x14ac:dyDescent="0.25">
      <c r="AR447" s="19"/>
    </row>
    <row r="448" spans="44:44" x14ac:dyDescent="0.25">
      <c r="AR448" s="19"/>
    </row>
    <row r="449" spans="44:44" x14ac:dyDescent="0.25">
      <c r="AR449" s="19"/>
    </row>
    <row r="450" spans="44:44" x14ac:dyDescent="0.25">
      <c r="AR450" s="19"/>
    </row>
    <row r="451" spans="44:44" x14ac:dyDescent="0.25">
      <c r="AR451" s="19"/>
    </row>
    <row r="452" spans="44:44" x14ac:dyDescent="0.25">
      <c r="AR452" s="19"/>
    </row>
    <row r="453" spans="44:44" x14ac:dyDescent="0.25">
      <c r="AR453" s="19"/>
    </row>
    <row r="454" spans="44:44" x14ac:dyDescent="0.25">
      <c r="AR454" s="19"/>
    </row>
    <row r="455" spans="44:44" x14ac:dyDescent="0.25">
      <c r="AR455" s="19"/>
    </row>
    <row r="456" spans="44:44" x14ac:dyDescent="0.25">
      <c r="AR456" s="19"/>
    </row>
    <row r="457" spans="44:44" x14ac:dyDescent="0.25">
      <c r="AR457" s="19"/>
    </row>
    <row r="458" spans="44:44" x14ac:dyDescent="0.25">
      <c r="AR458" s="19"/>
    </row>
    <row r="459" spans="44:44" x14ac:dyDescent="0.25">
      <c r="AR459" s="19"/>
    </row>
    <row r="460" spans="44:44" x14ac:dyDescent="0.25">
      <c r="AR460" s="19"/>
    </row>
    <row r="461" spans="44:44" x14ac:dyDescent="0.25">
      <c r="AR461" s="19"/>
    </row>
    <row r="462" spans="44:44" x14ac:dyDescent="0.25">
      <c r="AR462" s="19"/>
    </row>
    <row r="463" spans="44:44" x14ac:dyDescent="0.25">
      <c r="AR463" s="19"/>
    </row>
    <row r="464" spans="44:44" x14ac:dyDescent="0.25">
      <c r="AR464" s="19"/>
    </row>
    <row r="465" spans="44:44" x14ac:dyDescent="0.25">
      <c r="AR465" s="19"/>
    </row>
    <row r="466" spans="44:44" x14ac:dyDescent="0.25">
      <c r="AR466" s="19"/>
    </row>
    <row r="467" spans="44:44" x14ac:dyDescent="0.25">
      <c r="AR467" s="19"/>
    </row>
    <row r="468" spans="44:44" x14ac:dyDescent="0.25">
      <c r="AR468" s="19"/>
    </row>
    <row r="469" spans="44:44" x14ac:dyDescent="0.25">
      <c r="AR469" s="19"/>
    </row>
    <row r="470" spans="44:44" x14ac:dyDescent="0.25">
      <c r="AR470" s="19"/>
    </row>
    <row r="471" spans="44:44" x14ac:dyDescent="0.25">
      <c r="AR471" s="19"/>
    </row>
    <row r="472" spans="44:44" x14ac:dyDescent="0.25">
      <c r="AR472" s="19"/>
    </row>
    <row r="473" spans="44:44" x14ac:dyDescent="0.25">
      <c r="AR473" s="19"/>
    </row>
    <row r="474" spans="44:44" x14ac:dyDescent="0.25">
      <c r="AR474" s="19"/>
    </row>
    <row r="475" spans="44:44" x14ac:dyDescent="0.25">
      <c r="AR475" s="19"/>
    </row>
    <row r="476" spans="44:44" x14ac:dyDescent="0.25">
      <c r="AR476" s="19"/>
    </row>
    <row r="477" spans="44:44" x14ac:dyDescent="0.25">
      <c r="AR477" s="19"/>
    </row>
    <row r="478" spans="44:44" x14ac:dyDescent="0.25">
      <c r="AR478" s="19"/>
    </row>
    <row r="479" spans="44:44" x14ac:dyDescent="0.25">
      <c r="AR479" s="19"/>
    </row>
    <row r="480" spans="44:44" x14ac:dyDescent="0.25">
      <c r="AR480" s="19"/>
    </row>
    <row r="481" spans="44:44" x14ac:dyDescent="0.25">
      <c r="AR481" s="19"/>
    </row>
    <row r="482" spans="44:44" x14ac:dyDescent="0.25">
      <c r="AR482" s="19"/>
    </row>
    <row r="483" spans="44:44" x14ac:dyDescent="0.25">
      <c r="AR483" s="19"/>
    </row>
    <row r="484" spans="44:44" x14ac:dyDescent="0.25">
      <c r="AR484" s="19"/>
    </row>
    <row r="575" spans="2:11" x14ac:dyDescent="0.25">
      <c r="B575" s="328"/>
      <c r="C575" s="328"/>
      <c r="D575" s="328"/>
      <c r="E575" s="328"/>
      <c r="F575" s="328"/>
      <c r="G575" s="328"/>
      <c r="H575" s="328"/>
      <c r="I575" s="80"/>
      <c r="K575" s="80"/>
    </row>
  </sheetData>
  <sheetProtection pivotTables="0"/>
  <protectedRanges>
    <protectedRange sqref="C8:Q23" name="Range1"/>
  </protectedRanges>
  <mergeCells count="41">
    <mergeCell ref="AF6:AH6"/>
    <mergeCell ref="B3:Q3"/>
    <mergeCell ref="C5:E5"/>
    <mergeCell ref="K52:M52"/>
    <mergeCell ref="O52:Q52"/>
    <mergeCell ref="S52:U52"/>
    <mergeCell ref="B49:U49"/>
    <mergeCell ref="C51:E51"/>
    <mergeCell ref="G51:I51"/>
    <mergeCell ref="K51:M51"/>
    <mergeCell ref="O51:Q51"/>
    <mergeCell ref="S51:U51"/>
    <mergeCell ref="C52:E52"/>
    <mergeCell ref="G52:I52"/>
    <mergeCell ref="AB1:AH1"/>
    <mergeCell ref="C6:E6"/>
    <mergeCell ref="G6:I6"/>
    <mergeCell ref="K6:M6"/>
    <mergeCell ref="O6:Q6"/>
    <mergeCell ref="S3:AH3"/>
    <mergeCell ref="T5:V5"/>
    <mergeCell ref="X5:Z5"/>
    <mergeCell ref="AB5:AD5"/>
    <mergeCell ref="AF5:AH5"/>
    <mergeCell ref="T6:V6"/>
    <mergeCell ref="X6:Z6"/>
    <mergeCell ref="AB6:AD6"/>
    <mergeCell ref="G5:I5"/>
    <mergeCell ref="K5:M5"/>
    <mergeCell ref="O5:Q5"/>
    <mergeCell ref="C74:E74"/>
    <mergeCell ref="G74:I74"/>
    <mergeCell ref="K74:M74"/>
    <mergeCell ref="O74:Q74"/>
    <mergeCell ref="B72:U72"/>
    <mergeCell ref="S74:U74"/>
    <mergeCell ref="C73:E73"/>
    <mergeCell ref="G73:I73"/>
    <mergeCell ref="K73:M73"/>
    <mergeCell ref="O73:Q73"/>
    <mergeCell ref="S73:U73"/>
  </mergeCells>
  <dataValidations count="1">
    <dataValidation type="decimal" operator="greaterThan" allowBlank="1" showInputMessage="1" showErrorMessage="1" sqref="C8:Q23" xr:uid="{DFD068F8-D624-43DA-85E2-CC7F72451BF2}">
      <formula1>0</formula1>
    </dataValidation>
  </dataValidations>
  <hyperlinks>
    <hyperlink ref="AB1" location="FRONT_PAGE!A1" display="BACK TO FRONT PAGE" xr:uid="{C10E42C9-380D-4C07-AB7E-2792ECAE9D8D}"/>
  </hyperlinks>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2677E-D0BA-488D-84FE-A71ACA5FE749}">
  <sheetPr codeName="Sheet12">
    <tabColor theme="3" tint="0.59999389629810485"/>
  </sheetPr>
  <dimension ref="A1:BK334"/>
  <sheetViews>
    <sheetView showGridLines="0" zoomScale="70" zoomScaleNormal="70" workbookViewId="0">
      <pane ySplit="1" topLeftCell="A2" activePane="bottomLeft" state="frozen"/>
      <selection activeCell="P64" sqref="P64"/>
      <selection pane="bottomLeft" activeCell="A2" sqref="A2"/>
    </sheetView>
  </sheetViews>
  <sheetFormatPr defaultColWidth="9.140625" defaultRowHeight="15" x14ac:dyDescent="0.25"/>
  <cols>
    <col min="1" max="1" width="2.7109375" style="78" customWidth="1"/>
    <col min="2" max="2" width="20.42578125" style="78" bestFit="1" customWidth="1"/>
    <col min="3" max="3" width="11.7109375" style="78" bestFit="1" customWidth="1"/>
    <col min="4" max="5" width="10.7109375" style="78" customWidth="1"/>
    <col min="6" max="6" width="2.7109375" style="90" customWidth="1"/>
    <col min="7" max="9" width="10.7109375" style="78" customWidth="1"/>
    <col min="10" max="10" width="2.7109375" style="90" customWidth="1"/>
    <col min="11" max="13" width="10.7109375" style="78" customWidth="1"/>
    <col min="14" max="14" width="2.7109375" style="90" customWidth="1"/>
    <col min="15" max="17" width="10.7109375" style="78" customWidth="1"/>
    <col min="18" max="18" width="2.7109375" style="90" customWidth="1"/>
    <col min="19" max="19" width="22.85546875" style="78" bestFit="1" customWidth="1"/>
    <col min="20" max="22" width="10.85546875" style="78" customWidth="1"/>
    <col min="23" max="23" width="2.7109375" style="204" customWidth="1"/>
    <col min="24" max="25" width="10.85546875" style="204" customWidth="1"/>
    <col min="26" max="26" width="10.85546875" style="205" customWidth="1"/>
    <col min="27" max="27" width="2.7109375" style="205" customWidth="1"/>
    <col min="28" max="30" width="10.85546875" style="205" customWidth="1"/>
    <col min="31" max="31" width="2.7109375" style="205" customWidth="1"/>
    <col min="32" max="33" width="10.85546875" style="637" customWidth="1"/>
    <col min="34" max="34" width="10.85546875" style="636" customWidth="1"/>
    <col min="35" max="37" width="10.7109375" style="637" customWidth="1"/>
    <col min="38" max="38" width="10.7109375" style="636" customWidth="1"/>
    <col min="39" max="41" width="10.7109375" style="637" customWidth="1"/>
    <col min="42" max="47" width="10.7109375" style="61" customWidth="1"/>
    <col min="48" max="53" width="10.7109375" style="78" customWidth="1"/>
    <col min="54" max="55" width="12" style="78" bestFit="1" customWidth="1"/>
    <col min="56" max="56" width="11" style="78" bestFit="1" customWidth="1"/>
    <col min="57" max="58" width="12" style="78" bestFit="1" customWidth="1"/>
    <col min="59" max="61" width="2" style="78" bestFit="1" customWidth="1"/>
    <col min="62" max="63" width="12" style="78" bestFit="1" customWidth="1"/>
    <col min="64" max="16384" width="9.140625" style="78"/>
  </cols>
  <sheetData>
    <row r="1" spans="2:63" s="74" customFormat="1" ht="17.25" x14ac:dyDescent="0.3">
      <c r="B1" s="72" t="str">
        <f>Q_BRAND_FC!B1</f>
        <v>VM</v>
      </c>
      <c r="C1" s="65"/>
      <c r="D1" s="123" t="str">
        <f ca="1">C5</f>
        <v>18/19</v>
      </c>
      <c r="E1" s="124" t="str">
        <f ca="1">TIME!E9</f>
        <v>Apr</v>
      </c>
      <c r="F1" s="124" t="str">
        <f ca="1">O5&amp;"      "&amp;'NWC_FC_NON-NOOS'!Q7</f>
        <v>19/20      Jan</v>
      </c>
      <c r="G1" s="73"/>
      <c r="H1" s="73"/>
      <c r="I1" s="65" t="s">
        <v>197</v>
      </c>
      <c r="J1" s="73"/>
      <c r="K1" s="73"/>
      <c r="L1" s="65" t="s">
        <v>185</v>
      </c>
      <c r="M1" s="65"/>
      <c r="N1" s="65"/>
      <c r="O1" s="73"/>
      <c r="P1" s="73"/>
      <c r="Q1" s="73"/>
      <c r="R1" s="73"/>
      <c r="S1" s="73"/>
      <c r="T1" s="73"/>
      <c r="U1" s="73"/>
      <c r="V1" s="73"/>
      <c r="W1" s="73"/>
      <c r="X1" s="73"/>
      <c r="Y1" s="73"/>
      <c r="Z1" s="73"/>
      <c r="AA1" s="73"/>
      <c r="AB1" s="901" t="s">
        <v>202</v>
      </c>
      <c r="AC1" s="901"/>
      <c r="AD1" s="901"/>
      <c r="AE1" s="209"/>
      <c r="AF1" s="635"/>
      <c r="AG1" s="635"/>
      <c r="AH1" s="634"/>
      <c r="AI1" s="634"/>
      <c r="AJ1" s="635"/>
      <c r="AK1" s="635"/>
      <c r="AL1" s="634"/>
      <c r="AM1" s="635"/>
      <c r="AN1" s="635"/>
      <c r="AO1" s="634"/>
      <c r="AP1" s="635"/>
      <c r="AQ1" s="635"/>
      <c r="AR1" s="635"/>
      <c r="AS1" s="635"/>
      <c r="AT1" s="635"/>
      <c r="AU1" s="634"/>
    </row>
    <row r="2" spans="2:63" s="76" customFormat="1" ht="17.25" x14ac:dyDescent="0.3">
      <c r="B2" s="505"/>
      <c r="C2" s="67"/>
      <c r="D2" s="67"/>
      <c r="E2" s="67"/>
      <c r="F2" s="67"/>
      <c r="G2" s="67"/>
      <c r="H2" s="67"/>
      <c r="I2" s="67"/>
      <c r="J2" s="67"/>
      <c r="K2" s="67"/>
      <c r="L2" s="67"/>
      <c r="M2" s="67"/>
      <c r="N2" s="67"/>
      <c r="O2" s="67"/>
      <c r="P2" s="67"/>
      <c r="Q2" s="67"/>
      <c r="R2" s="87"/>
      <c r="S2" s="75"/>
      <c r="T2" s="75"/>
      <c r="U2" s="75"/>
      <c r="W2" s="207"/>
      <c r="X2" s="207"/>
      <c r="Y2" s="207"/>
      <c r="Z2" s="208"/>
      <c r="AA2" s="208"/>
      <c r="AB2" s="208"/>
      <c r="AC2" s="208"/>
      <c r="AD2" s="208"/>
      <c r="AE2" s="208"/>
      <c r="AF2" s="595"/>
      <c r="AG2" s="595"/>
      <c r="AH2" s="596"/>
      <c r="AI2" s="596"/>
      <c r="AJ2" s="595"/>
      <c r="AK2" s="595"/>
      <c r="AL2" s="596"/>
      <c r="AM2" s="595"/>
      <c r="AN2" s="595"/>
      <c r="AO2" s="596"/>
      <c r="AP2" s="595"/>
      <c r="AQ2" s="595"/>
      <c r="AR2" s="595"/>
      <c r="AS2" s="61"/>
      <c r="AT2" s="61"/>
      <c r="AU2" s="596"/>
    </row>
    <row r="3" spans="2:63" ht="18" thickBot="1" x14ac:dyDescent="0.35">
      <c r="B3" s="943" t="s">
        <v>185</v>
      </c>
      <c r="C3" s="937"/>
      <c r="D3" s="937"/>
      <c r="E3" s="937"/>
      <c r="F3" s="937"/>
      <c r="G3" s="937"/>
      <c r="H3" s="937"/>
      <c r="I3" s="937"/>
      <c r="J3" s="937"/>
      <c r="K3" s="937"/>
      <c r="L3" s="937"/>
      <c r="M3" s="937"/>
      <c r="N3" s="937"/>
      <c r="O3" s="937"/>
      <c r="P3" s="937"/>
      <c r="Q3" s="937"/>
      <c r="R3" s="92"/>
      <c r="S3" s="943" t="s">
        <v>187</v>
      </c>
      <c r="T3" s="937"/>
      <c r="U3" s="937"/>
      <c r="V3" s="937"/>
      <c r="W3" s="937"/>
      <c r="X3" s="937"/>
      <c r="Y3" s="937"/>
      <c r="Z3" s="937"/>
      <c r="AA3" s="937"/>
      <c r="AB3" s="937"/>
      <c r="AC3" s="937"/>
      <c r="AD3" s="937"/>
      <c r="AE3" s="937"/>
      <c r="AF3" s="937"/>
      <c r="AG3" s="937"/>
      <c r="AH3" s="937"/>
      <c r="AX3" s="373"/>
      <c r="AY3" s="373"/>
      <c r="AZ3" s="77"/>
    </row>
    <row r="4" spans="2:63" s="76" customFormat="1" ht="17.25" hidden="1" customHeight="1" x14ac:dyDescent="0.3">
      <c r="B4" s="75"/>
      <c r="C4" s="80" t="str">
        <f ca="1">$C5&amp;C7</f>
        <v>18/19Feb</v>
      </c>
      <c r="D4" s="80" t="str">
        <f t="shared" ref="D4:E4" ca="1" si="0">$C5&amp;D7</f>
        <v>18/19Mar</v>
      </c>
      <c r="E4" s="80" t="str">
        <f t="shared" ca="1" si="0"/>
        <v>18/19Apr</v>
      </c>
      <c r="F4" s="90"/>
      <c r="G4" s="80" t="str">
        <f ca="1">$G5&amp;G7</f>
        <v>18/19May</v>
      </c>
      <c r="H4" s="80" t="str">
        <f t="shared" ref="H4:I4" ca="1" si="1">$G5&amp;H7</f>
        <v>18/19Jun</v>
      </c>
      <c r="I4" s="80" t="str">
        <f t="shared" ca="1" si="1"/>
        <v>18/19Jul</v>
      </c>
      <c r="J4" s="90"/>
      <c r="K4" s="80" t="str">
        <f ca="1">$K5&amp;K7</f>
        <v>19/20Aug</v>
      </c>
      <c r="L4" s="80" t="str">
        <f t="shared" ref="L4:M4" ca="1" si="2">$K5&amp;L7</f>
        <v>19/20Sep</v>
      </c>
      <c r="M4" s="80" t="str">
        <f t="shared" ca="1" si="2"/>
        <v>19/20Oct</v>
      </c>
      <c r="N4" s="90"/>
      <c r="O4" s="80" t="str">
        <f ca="1">$O5&amp;O7</f>
        <v>19/20Nov</v>
      </c>
      <c r="P4" s="80" t="str">
        <f t="shared" ref="P4:Q4" ca="1" si="3">$O5&amp;P7</f>
        <v>19/20Dec</v>
      </c>
      <c r="Q4" s="80" t="str">
        <f t="shared" ca="1" si="3"/>
        <v>19/20Jan</v>
      </c>
      <c r="R4" s="87"/>
      <c r="S4" s="578"/>
      <c r="T4" s="80" t="str">
        <f ca="1">$T5&amp;T7</f>
        <v>18/19Feb</v>
      </c>
      <c r="U4" s="80" t="str">
        <f ca="1">$T5&amp;U7</f>
        <v>18/19Mar</v>
      </c>
      <c r="V4" s="80" t="str">
        <f ca="1">$T5&amp;V7</f>
        <v>18/19Apr</v>
      </c>
      <c r="W4" s="90"/>
      <c r="X4" s="80" t="str">
        <f ca="1">$X5&amp;X7</f>
        <v>18/19May</v>
      </c>
      <c r="Y4" s="80" t="str">
        <f ca="1">$X5&amp;Y7</f>
        <v>18/19Jun</v>
      </c>
      <c r="Z4" s="80" t="str">
        <f ca="1">$X5&amp;Z7</f>
        <v>18/19Jul</v>
      </c>
      <c r="AA4" s="90"/>
      <c r="AB4" s="80" t="str">
        <f ca="1">$AB5&amp;AB7</f>
        <v>19/20Aug</v>
      </c>
      <c r="AC4" s="80" t="str">
        <f ca="1">$AB5&amp;AC7</f>
        <v>19/20Sep</v>
      </c>
      <c r="AD4" s="80" t="str">
        <f ca="1">$AB5&amp;AD7</f>
        <v>19/20Oct</v>
      </c>
      <c r="AE4" s="90"/>
      <c r="AF4" s="80" t="str">
        <f ca="1">$AF5&amp;AF7</f>
        <v>19/20Nov</v>
      </c>
      <c r="AG4" s="80" t="str">
        <f ca="1">$AF5&amp;AG7</f>
        <v>19/20Dec</v>
      </c>
      <c r="AH4" s="80" t="str">
        <f ca="1">$AF5&amp;AH7</f>
        <v>19/20Jan</v>
      </c>
      <c r="AI4" s="596"/>
      <c r="AJ4" s="595"/>
      <c r="AK4" s="595"/>
      <c r="AL4" s="596"/>
      <c r="AM4" s="595"/>
      <c r="AN4" s="595"/>
      <c r="AO4" s="596"/>
      <c r="AP4" s="595"/>
      <c r="AQ4" s="595"/>
      <c r="AR4" s="595"/>
      <c r="AS4" s="595"/>
      <c r="AT4" s="595"/>
      <c r="AU4" s="596"/>
      <c r="AX4" s="373"/>
      <c r="AY4" s="373"/>
      <c r="AZ4" s="78"/>
    </row>
    <row r="5" spans="2:63" s="80" customFormat="1" ht="17.25" x14ac:dyDescent="0.3">
      <c r="B5" s="378"/>
      <c r="C5" s="894" t="str">
        <f ca="1">TIME!$M$27</f>
        <v>18/19</v>
      </c>
      <c r="D5" s="894"/>
      <c r="E5" s="894"/>
      <c r="F5" s="289"/>
      <c r="G5" s="894" t="str">
        <f ca="1">TIME!$M$28</f>
        <v>18/19</v>
      </c>
      <c r="H5" s="894"/>
      <c r="I5" s="894"/>
      <c r="J5" s="289"/>
      <c r="K5" s="894" t="str">
        <f ca="1">TIME!$M$29</f>
        <v>19/20</v>
      </c>
      <c r="L5" s="894"/>
      <c r="M5" s="894"/>
      <c r="N5" s="289"/>
      <c r="O5" s="894" t="str">
        <f ca="1">TIME!$M$30</f>
        <v>19/20</v>
      </c>
      <c r="P5" s="894"/>
      <c r="Q5" s="894"/>
      <c r="R5" s="89"/>
      <c r="S5" s="378"/>
      <c r="T5" s="894" t="str">
        <f ca="1">TIME!$M$27</f>
        <v>18/19</v>
      </c>
      <c r="U5" s="894"/>
      <c r="V5" s="894"/>
      <c r="W5" s="289"/>
      <c r="X5" s="894" t="str">
        <f ca="1">TIME!$M$28</f>
        <v>18/19</v>
      </c>
      <c r="Y5" s="894"/>
      <c r="Z5" s="894"/>
      <c r="AA5" s="289"/>
      <c r="AB5" s="894" t="str">
        <f ca="1">TIME!$M$29</f>
        <v>19/20</v>
      </c>
      <c r="AC5" s="894"/>
      <c r="AD5" s="894"/>
      <c r="AE5" s="289"/>
      <c r="AF5" s="894" t="str">
        <f ca="1">TIME!$M$30</f>
        <v>19/20</v>
      </c>
      <c r="AG5" s="894"/>
      <c r="AH5" s="894"/>
      <c r="AI5" s="636"/>
      <c r="AJ5" s="636"/>
      <c r="AK5" s="636"/>
      <c r="AL5" s="636"/>
      <c r="AM5" s="636"/>
      <c r="AN5" s="636"/>
      <c r="AO5" s="636"/>
      <c r="AP5" s="638"/>
      <c r="AQ5" s="638"/>
      <c r="AR5" s="638"/>
      <c r="AS5" s="61"/>
      <c r="AT5" s="61"/>
      <c r="AU5" s="61"/>
      <c r="AV5"/>
      <c r="AW5"/>
      <c r="AX5" s="76"/>
      <c r="AY5" s="76"/>
      <c r="AZ5" s="77"/>
      <c r="BA5"/>
      <c r="BB5"/>
      <c r="BC5"/>
      <c r="BD5"/>
      <c r="BE5"/>
      <c r="BF5"/>
      <c r="BG5"/>
      <c r="BH5"/>
      <c r="BI5"/>
      <c r="BJ5"/>
      <c r="BK5"/>
    </row>
    <row r="6" spans="2:63" x14ac:dyDescent="0.25">
      <c r="B6" s="1"/>
      <c r="C6" s="942" t="str">
        <f ca="1">TIME!$N$27</f>
        <v>Q3</v>
      </c>
      <c r="D6" s="942"/>
      <c r="E6" s="942"/>
      <c r="F6" s="289"/>
      <c r="G6" s="942" t="str">
        <f ca="1">TIME!$N$28</f>
        <v>Q4</v>
      </c>
      <c r="H6" s="942"/>
      <c r="I6" s="942"/>
      <c r="J6" s="289"/>
      <c r="K6" s="942" t="str">
        <f ca="1">TIME!$N$29</f>
        <v>Q1</v>
      </c>
      <c r="L6" s="942"/>
      <c r="M6" s="942"/>
      <c r="N6" s="289"/>
      <c r="O6" s="942" t="str">
        <f ca="1">TIME!$N$30</f>
        <v>Q2</v>
      </c>
      <c r="P6" s="942"/>
      <c r="Q6" s="942"/>
      <c r="R6" s="89"/>
      <c r="S6" s="1"/>
      <c r="T6" s="942" t="str">
        <f ca="1">TIME!$N$27</f>
        <v>Q3</v>
      </c>
      <c r="U6" s="942"/>
      <c r="V6" s="942"/>
      <c r="W6" s="289"/>
      <c r="X6" s="942" t="str">
        <f ca="1">TIME!$N$28</f>
        <v>Q4</v>
      </c>
      <c r="Y6" s="942"/>
      <c r="Z6" s="942"/>
      <c r="AA6" s="289"/>
      <c r="AB6" s="942" t="str">
        <f ca="1">TIME!$N$29</f>
        <v>Q1</v>
      </c>
      <c r="AC6" s="942"/>
      <c r="AD6" s="942"/>
      <c r="AE6" s="289"/>
      <c r="AF6" s="942" t="str">
        <f ca="1">TIME!$N$30</f>
        <v>Q2</v>
      </c>
      <c r="AG6" s="942"/>
      <c r="AH6" s="942"/>
      <c r="AV6"/>
      <c r="AW6"/>
      <c r="AX6"/>
      <c r="AY6"/>
      <c r="AZ6"/>
      <c r="BA6"/>
      <c r="BB6"/>
      <c r="BC6"/>
      <c r="BD6"/>
      <c r="BE6"/>
      <c r="BF6"/>
      <c r="BG6"/>
      <c r="BH6"/>
      <c r="BI6"/>
      <c r="BJ6"/>
      <c r="BK6"/>
    </row>
    <row r="7" spans="2:63" x14ac:dyDescent="0.25">
      <c r="B7" s="379"/>
      <c r="C7" s="380" t="str">
        <f ca="1">VLOOKUP(IF(C6="Q1",1,IF(C6="Q2",4,IF(C6="Q3",7,IF(C6="Q4",10)))),TIME!$H$12:$I$23,2,0)</f>
        <v>Feb</v>
      </c>
      <c r="D7" s="380" t="str">
        <f ca="1">VLOOKUP(C7,TIME!$S$27:$U$39,3,0)</f>
        <v>Mar</v>
      </c>
      <c r="E7" s="380" t="str">
        <f ca="1">VLOOKUP(D7,TIME!$S$27:$U$39,3,0)</f>
        <v>Apr</v>
      </c>
      <c r="F7" s="289"/>
      <c r="G7" s="380" t="str">
        <f ca="1">VLOOKUP(IF(G6="Q1",1,IF(G6="Q2",4,IF(G6="Q3",7,IF(G6="Q4",10)))),TIME!$H$12:$I$23,2,0)</f>
        <v>May</v>
      </c>
      <c r="H7" s="380" t="str">
        <f ca="1">VLOOKUP(G7,TIME!$S$27:$U$39,3,0)</f>
        <v>Jun</v>
      </c>
      <c r="I7" s="380" t="str">
        <f ca="1">VLOOKUP(H7,TIME!$S$27:$U$39,3,0)</f>
        <v>Jul</v>
      </c>
      <c r="J7" s="289"/>
      <c r="K7" s="380" t="str">
        <f ca="1">VLOOKUP(IF(K6="Q1",1,IF(K6="Q2",4,IF(K6="Q3",7,IF(K6="Q4",10)))),TIME!$H$12:$I$23,2,0)</f>
        <v>Aug</v>
      </c>
      <c r="L7" s="380" t="str">
        <f ca="1">VLOOKUP(K7,TIME!$S$27:$U$39,3,0)</f>
        <v>Sep</v>
      </c>
      <c r="M7" s="380" t="str">
        <f ca="1">VLOOKUP(L7,TIME!$S$27:$U$39,3,0)</f>
        <v>Oct</v>
      </c>
      <c r="N7" s="289"/>
      <c r="O7" s="380" t="str">
        <f ca="1">VLOOKUP(IF(O6="Q1",1,IF(O6="Q2",4,IF(O6="Q3",7,IF(O6="Q4",10)))),TIME!$H$12:$I$23,2,0)</f>
        <v>Nov</v>
      </c>
      <c r="P7" s="380" t="str">
        <f ca="1">VLOOKUP(O7,TIME!$S$27:$U$39,3,0)</f>
        <v>Dec</v>
      </c>
      <c r="Q7" s="380" t="str">
        <f ca="1">VLOOKUP(P7,TIME!$S$27:$U$39,3,0)</f>
        <v>Jan</v>
      </c>
      <c r="S7" s="379"/>
      <c r="T7" s="380" t="str">
        <f ca="1">C7</f>
        <v>Feb</v>
      </c>
      <c r="U7" s="380" t="str">
        <f ca="1">D7</f>
        <v>Mar</v>
      </c>
      <c r="V7" s="380" t="str">
        <f ca="1">E7</f>
        <v>Apr</v>
      </c>
      <c r="W7" s="289"/>
      <c r="X7" s="380" t="str">
        <f ca="1">G7</f>
        <v>May</v>
      </c>
      <c r="Y7" s="380" t="str">
        <f ca="1">H7</f>
        <v>Jun</v>
      </c>
      <c r="Z7" s="380" t="str">
        <f ca="1">I7</f>
        <v>Jul</v>
      </c>
      <c r="AA7" s="289"/>
      <c r="AB7" s="380" t="str">
        <f ca="1">K7</f>
        <v>Aug</v>
      </c>
      <c r="AC7" s="380" t="str">
        <f ca="1">L7</f>
        <v>Sep</v>
      </c>
      <c r="AD7" s="380" t="str">
        <f ca="1">M7</f>
        <v>Oct</v>
      </c>
      <c r="AE7" s="289"/>
      <c r="AF7" s="380" t="str">
        <f ca="1">O7</f>
        <v>Nov</v>
      </c>
      <c r="AG7" s="380" t="str">
        <f ca="1">P7</f>
        <v>Dec</v>
      </c>
      <c r="AH7" s="380" t="str">
        <f ca="1">Q7</f>
        <v>Jan</v>
      </c>
      <c r="AV7"/>
      <c r="AW7"/>
      <c r="AX7"/>
      <c r="AY7"/>
      <c r="AZ7"/>
      <c r="BA7"/>
      <c r="BB7"/>
      <c r="BC7"/>
      <c r="BD7"/>
      <c r="BE7"/>
      <c r="BF7"/>
      <c r="BG7"/>
      <c r="BH7"/>
      <c r="BI7"/>
      <c r="BJ7"/>
      <c r="BK7"/>
    </row>
    <row r="8" spans="2:63" x14ac:dyDescent="0.25">
      <c r="B8" s="1" t="str">
        <f t="shared" ref="B8:B23" si="4">B54</f>
        <v>ACCESSORIES</v>
      </c>
      <c r="C8" s="759"/>
      <c r="D8" s="759"/>
      <c r="E8" s="759"/>
      <c r="F8" s="93"/>
      <c r="G8" s="759"/>
      <c r="H8" s="759"/>
      <c r="I8" s="759"/>
      <c r="J8" s="93"/>
      <c r="K8" s="759"/>
      <c r="L8" s="759"/>
      <c r="M8" s="759"/>
      <c r="N8" s="93"/>
      <c r="O8" s="759"/>
      <c r="P8" s="759"/>
      <c r="Q8" s="759"/>
      <c r="S8" s="1" t="str">
        <f t="shared" ref="S8:S23" si="5">B8</f>
        <v>ACCESSORIES</v>
      </c>
      <c r="T8" s="85">
        <f t="shared" ref="T8:T23" ca="1" si="6">IF(C8&lt;=4.3,C8*D76,IF(C8&gt;25.8,D54+E54+G54+H54+I54+K54+(L76*(C8-25.8)),IF(C8&gt;21.5,D54+E54+G54+H54+I54+(K76*(C8-21.5)),IF(C8&gt;17.2,D54+E54+G54+H54+(I76*(C8-17.2)),IF(C8&gt;12.9,D54+E54+G54+(H76*(C8-12.9)),IF(C8&gt;8.6,D54+E54+(G76*(C8-8.6)),IF(C8&gt;4.3,D54+(E76*(C8-4.3)),0)))))))</f>
        <v>0</v>
      </c>
      <c r="U8" s="85">
        <f t="shared" ref="U8:U23" ca="1" si="7">IF(D8&lt;=4.3,D8*E76,IF(D8&gt;25.8,E54+G54+H54+I54+K54+L54+(M76*(D8-25.8)),IF(D8&gt;21.5,E54+G54+H54+I54+K54+(L76*(D8-21.5)),IF(D8&gt;17.2,E54+G54+H54+I54+(K76*(D8-17.2)),IF(D8&gt;12.9,E54+G54+H54+(I76*(D8-12.9)),IF(D8&gt;8.6,E54+G54+(H76*(D8-8.6)),IF(D8&gt;4.3,E54+(G76*(D8-4.3)),0)))))))</f>
        <v>0</v>
      </c>
      <c r="V8" s="85">
        <f t="shared" ref="V8:V23" ca="1" si="8">IF(E8&lt;=4.3,E8*G76,IF(E8&gt;25.8,G54+H54+I54+K54+L54+M54+(O76*(E8-25.8)),IF(E8&gt;21.5,G54+H54+I54+K54+L54+(M76*(E8-21.5)),IF(E8&gt;17.2,G54+H54+I54+K54+(L76*(E8-17.2)),IF(E8&gt;12.9,G54+H54+I54+(K76*(E8-12.9)),IF(E8&gt;8.6,G54+H54+(I76*(E8-8.6)),IF(E8&gt;4.3,G54+(H76*(E8-4.3)),0)))))))</f>
        <v>0</v>
      </c>
      <c r="W8" s="91"/>
      <c r="X8" s="85">
        <f t="shared" ref="X8:X23" ca="1" si="9">IF(G8&lt;=4.3,G8*H76,IF(G8&gt;25.8,H54+I54+K54+L54+M54+O54+(P76*(G8-25.8)),IF(G8&gt;21.5,H54+I54+K54+L54+M54+(O76*(G8-21.5)),IF(G8&gt;17.2,H54+I54+K54+L54+(M76*(G8-17.2)),IF(G8&gt;12.9,H54+I54+K54+(L76*(G8-12.9)),IF(G8&gt;8.6,H54+I54+(K76*(G8-8.6)),IF(G8&gt;4.3,H54+(I76*(G8-4.3)),0)))))))</f>
        <v>0</v>
      </c>
      <c r="Y8" s="85">
        <f t="shared" ref="Y8:Y23" ca="1" si="10">IF(H8&lt;=4.3,H8*I76,IF(H8&gt;25.8,I54+K54+L54+M54+O54+P54+(Q76*(H8-25.8)),IF(H8&gt;21.5,I54+K54+L54+M54+O54+(P76*(H8-21.5)),IF(H8&gt;17.2,I54+K54+L54+M54+(O76*(H8-17.2)),IF(H8&gt;12.9,I54+K54+L54+(M76*(H8-12.9)),IF(H8&gt;8.6,I54+K54+(L76*(H8-8.6)),IF(H8&gt;4.3,I54+(K76*(H8-4.3)),0)))))))</f>
        <v>0</v>
      </c>
      <c r="Z8" s="85">
        <f t="shared" ref="Z8:Z23" ca="1" si="11">IF(I8&lt;=4.3,I8*K76,IF(I8&gt;25.8,K54+L54+M54+O54+P54+Q54+(S76*(I8-25.8)),IF(I8&gt;21.5,K54+L54+M54+O54+P54+(Q76*(I8-21.5)),IF(I8&gt;17.2,K54+L54+M54+O54+(P76*(I8-17.2)),IF(I8&gt;12.9,K54+L54+M54+(O76*(I8-12.9)),IF(I8&gt;8.6,K54+L54+(M76*(I8-8.6)),IF(I8&gt;4.3,K54+(L76*(I8-4.3)),0)))))))</f>
        <v>0</v>
      </c>
      <c r="AA8" s="91"/>
      <c r="AB8" s="85">
        <f t="shared" ref="AB8:AB23" ca="1" si="12">IF(K8&lt;=4.3,K8*L76,IF(K8&gt;25.8,L54+M54+O54+P54+Q54+S54+(T76*(K8-25.8)),IF(K8&gt;21.5,L54+M54+O54+P54+Q54+(S76*(K8-21.5)),IF(K8&gt;17.2,L54+M54+O54+P54+(Q76*(K8-17.2)),IF(K8&gt;12.9,L54+M54+O54+(P76*(K8-12.9)),IF(K8&gt;8.6,L54+M54+(O76*(K8-8.6)),IF(K8&gt;4.3,L54+(M76*(K8-4.3)),0)))))))</f>
        <v>0</v>
      </c>
      <c r="AC8" s="85">
        <f t="shared" ref="AC8:AC23" ca="1" si="13">IF(L8&lt;=4.3,L8*M76,IF(L8&gt;25.8,M54+O54+P54+Q54+S54+T54+(U76*(L8-25.8)),IF(L8&gt;21.5,M54+O54+P54+Q54+S54+(T76*(L8-21.5)),IF(L8&gt;17.2,M54+O54+P54+Q54+(S76*(L8-17.2)),IF(L8&gt;12.9,M54+O54+P54+(Q76*(L8-12.9)),IF(L8&gt;8.6,M54+O54+(P76*(L8-8.6)),IF(L8&gt;4.3,M54+(O76*(L8-4.3)),0)))))))</f>
        <v>0</v>
      </c>
      <c r="AD8" s="85">
        <f t="shared" ref="AD8:AD23" ca="1" si="14">IF(M8&lt;=4.3,M8*O76,IF(M8&gt;21.5,O54+P54+Q54+S54+T54+(U76*(M8-21.5)),IF(M8&gt;17.2,O54+P54+Q54+S54+(T76*(M8-17.2)),IF(M8&gt;12.9,O54+P54+Q54+(S76*(M8-12.9)),IF(M8&gt;8.6,O54+P54+(Q76*(M8-8.6)),IF(M8&gt;4.3,O54+(P76*(M8-4.3)),0))))))</f>
        <v>0</v>
      </c>
      <c r="AE8" s="91"/>
      <c r="AF8" s="85">
        <f t="shared" ref="AF8:AF23" ca="1" si="15">IF(O8&lt;=4.3,O8*P76,IF(O8&gt;17.2,P54+Q54+S54+T54+(U76*(O8-17.2)),IF(O8&gt;12.9,P54+Q54+S54+(T76*(O8-12.9)),IF(O8&gt;8.6,P54+Q54+(S76*(O8-8.6)),IF(O8&gt;4.3,P54+(Q76*(O8-4.3)),0)))))</f>
        <v>0</v>
      </c>
      <c r="AG8" s="85">
        <f t="shared" ref="AG8:AG23" ca="1" si="16">IF(P8&lt;=4.3,P8*Q76,IF(P8&gt;12.9,Q54+S54+T54+(U76*(P8-12.9)),IF(P8&gt;8.6,Q54+S54+(T76*(P8-8.6)),IF(P8&gt;4.3,Q54+(S76*(P8-4.3)),0))))</f>
        <v>0</v>
      </c>
      <c r="AH8" s="85">
        <f t="shared" ref="AH8:AH23" ca="1" si="17">IF(Q8&lt;=4.3,Q8*S76,IF(Q8&gt;8.6,S54+T54+(U76*(Q8-8.6)),IF(Q8&gt;4.3,S54+(T76*(Q8-4.3)),0)))</f>
        <v>0</v>
      </c>
      <c r="AV8"/>
      <c r="AW8"/>
      <c r="AX8"/>
      <c r="AY8"/>
      <c r="AZ8"/>
      <c r="BA8"/>
      <c r="BB8"/>
      <c r="BC8"/>
      <c r="BD8"/>
      <c r="BE8"/>
      <c r="BF8"/>
      <c r="BG8"/>
      <c r="BH8"/>
      <c r="BI8"/>
      <c r="BJ8"/>
      <c r="BK8"/>
    </row>
    <row r="9" spans="2:63" x14ac:dyDescent="0.25">
      <c r="B9" s="1" t="str">
        <f t="shared" si="4"/>
        <v>DRESSES</v>
      </c>
      <c r="C9" s="759"/>
      <c r="D9" s="759"/>
      <c r="E9" s="759"/>
      <c r="F9" s="93"/>
      <c r="G9" s="759"/>
      <c r="H9" s="759"/>
      <c r="I9" s="759"/>
      <c r="J9" s="93"/>
      <c r="K9" s="759"/>
      <c r="L9" s="759"/>
      <c r="M9" s="759"/>
      <c r="N9" s="93"/>
      <c r="O9" s="759"/>
      <c r="P9" s="759"/>
      <c r="Q9" s="759"/>
      <c r="S9" s="1" t="str">
        <f t="shared" si="5"/>
        <v>DRESSES</v>
      </c>
      <c r="T9" s="85">
        <f t="shared" ca="1" si="6"/>
        <v>0</v>
      </c>
      <c r="U9" s="85">
        <f t="shared" ca="1" si="7"/>
        <v>0</v>
      </c>
      <c r="V9" s="85">
        <f t="shared" ca="1" si="8"/>
        <v>0</v>
      </c>
      <c r="W9" s="91"/>
      <c r="X9" s="85">
        <f t="shared" ca="1" si="9"/>
        <v>0</v>
      </c>
      <c r="Y9" s="85">
        <f t="shared" ca="1" si="10"/>
        <v>0</v>
      </c>
      <c r="Z9" s="85">
        <f t="shared" ca="1" si="11"/>
        <v>0</v>
      </c>
      <c r="AA9" s="91"/>
      <c r="AB9" s="85">
        <f t="shared" ca="1" si="12"/>
        <v>0</v>
      </c>
      <c r="AC9" s="85">
        <f t="shared" ca="1" si="13"/>
        <v>0</v>
      </c>
      <c r="AD9" s="85">
        <f t="shared" ca="1" si="14"/>
        <v>0</v>
      </c>
      <c r="AE9" s="91"/>
      <c r="AF9" s="85">
        <f t="shared" ca="1" si="15"/>
        <v>0</v>
      </c>
      <c r="AG9" s="85">
        <f t="shared" ca="1" si="16"/>
        <v>0</v>
      </c>
      <c r="AH9" s="85">
        <f t="shared" ca="1" si="17"/>
        <v>0</v>
      </c>
      <c r="AV9"/>
      <c r="AW9"/>
      <c r="AX9"/>
      <c r="AY9"/>
      <c r="AZ9"/>
      <c r="BA9"/>
      <c r="BB9"/>
      <c r="BC9"/>
      <c r="BD9"/>
      <c r="BE9"/>
      <c r="BF9"/>
    </row>
    <row r="10" spans="2:63" x14ac:dyDescent="0.25">
      <c r="B10" s="1" t="str">
        <f t="shared" si="4"/>
        <v>JEANS</v>
      </c>
      <c r="C10" s="759"/>
      <c r="D10" s="759"/>
      <c r="E10" s="759"/>
      <c r="F10" s="93"/>
      <c r="G10" s="759"/>
      <c r="H10" s="759"/>
      <c r="I10" s="759"/>
      <c r="J10" s="93"/>
      <c r="K10" s="759"/>
      <c r="L10" s="759"/>
      <c r="M10" s="759"/>
      <c r="N10" s="93"/>
      <c r="O10" s="759"/>
      <c r="P10" s="759"/>
      <c r="Q10" s="759"/>
      <c r="S10" s="1" t="str">
        <f t="shared" si="5"/>
        <v>JEANS</v>
      </c>
      <c r="T10" s="85">
        <f t="shared" ca="1" si="6"/>
        <v>0</v>
      </c>
      <c r="U10" s="85">
        <f t="shared" ca="1" si="7"/>
        <v>0</v>
      </c>
      <c r="V10" s="85">
        <f t="shared" ca="1" si="8"/>
        <v>0</v>
      </c>
      <c r="W10" s="91"/>
      <c r="X10" s="85">
        <f t="shared" ca="1" si="9"/>
        <v>0</v>
      </c>
      <c r="Y10" s="85">
        <f t="shared" ca="1" si="10"/>
        <v>0</v>
      </c>
      <c r="Z10" s="85">
        <f t="shared" ca="1" si="11"/>
        <v>0</v>
      </c>
      <c r="AA10" s="91"/>
      <c r="AB10" s="85">
        <f t="shared" ca="1" si="12"/>
        <v>0</v>
      </c>
      <c r="AC10" s="85">
        <f t="shared" ca="1" si="13"/>
        <v>0</v>
      </c>
      <c r="AD10" s="85">
        <f t="shared" ca="1" si="14"/>
        <v>0</v>
      </c>
      <c r="AE10" s="91"/>
      <c r="AF10" s="85">
        <f t="shared" ca="1" si="15"/>
        <v>0</v>
      </c>
      <c r="AG10" s="85">
        <f t="shared" ca="1" si="16"/>
        <v>0</v>
      </c>
      <c r="AH10" s="85">
        <f t="shared" ca="1" si="17"/>
        <v>0</v>
      </c>
      <c r="AX10"/>
      <c r="AY10"/>
      <c r="AZ10"/>
    </row>
    <row r="11" spans="2:63" x14ac:dyDescent="0.25">
      <c r="B11" s="1" t="str">
        <f t="shared" si="4"/>
        <v>KNIT</v>
      </c>
      <c r="C11" s="759"/>
      <c r="D11" s="759"/>
      <c r="E11" s="759"/>
      <c r="F11" s="93"/>
      <c r="G11" s="759"/>
      <c r="H11" s="759"/>
      <c r="I11" s="759"/>
      <c r="J11" s="93"/>
      <c r="K11" s="759"/>
      <c r="L11" s="759"/>
      <c r="M11" s="759"/>
      <c r="N11" s="93"/>
      <c r="O11" s="759"/>
      <c r="P11" s="759"/>
      <c r="Q11" s="759"/>
      <c r="S11" s="1" t="str">
        <f t="shared" si="5"/>
        <v>KNIT</v>
      </c>
      <c r="T11" s="85">
        <f t="shared" ca="1" si="6"/>
        <v>0</v>
      </c>
      <c r="U11" s="85">
        <f t="shared" ca="1" si="7"/>
        <v>0</v>
      </c>
      <c r="V11" s="85">
        <f t="shared" ca="1" si="8"/>
        <v>0</v>
      </c>
      <c r="W11" s="91"/>
      <c r="X11" s="85">
        <f t="shared" ca="1" si="9"/>
        <v>0</v>
      </c>
      <c r="Y11" s="85">
        <f t="shared" ca="1" si="10"/>
        <v>0</v>
      </c>
      <c r="Z11" s="85">
        <f t="shared" ca="1" si="11"/>
        <v>0</v>
      </c>
      <c r="AA11" s="91"/>
      <c r="AB11" s="85">
        <f t="shared" ca="1" si="12"/>
        <v>0</v>
      </c>
      <c r="AC11" s="85">
        <f t="shared" ca="1" si="13"/>
        <v>0</v>
      </c>
      <c r="AD11" s="85">
        <f t="shared" ca="1" si="14"/>
        <v>0</v>
      </c>
      <c r="AE11" s="91"/>
      <c r="AF11" s="85">
        <f t="shared" ca="1" si="15"/>
        <v>0</v>
      </c>
      <c r="AG11" s="85">
        <f t="shared" ca="1" si="16"/>
        <v>0</v>
      </c>
      <c r="AH11" s="85">
        <f t="shared" ca="1" si="17"/>
        <v>0</v>
      </c>
      <c r="AX11"/>
      <c r="AY11"/>
      <c r="AZ11"/>
    </row>
    <row r="12" spans="2:63" x14ac:dyDescent="0.25">
      <c r="B12" s="1" t="str">
        <f t="shared" si="4"/>
        <v>OUTERWEAR</v>
      </c>
      <c r="C12" s="759"/>
      <c r="D12" s="759"/>
      <c r="E12" s="759"/>
      <c r="F12" s="93"/>
      <c r="G12" s="759"/>
      <c r="H12" s="759"/>
      <c r="I12" s="759"/>
      <c r="J12" s="93"/>
      <c r="K12" s="759"/>
      <c r="L12" s="759"/>
      <c r="M12" s="759"/>
      <c r="N12" s="93"/>
      <c r="O12" s="759"/>
      <c r="P12" s="759"/>
      <c r="Q12" s="759"/>
      <c r="S12" s="1" t="str">
        <f t="shared" si="5"/>
        <v>OUTERWEAR</v>
      </c>
      <c r="T12" s="85">
        <f t="shared" ca="1" si="6"/>
        <v>0</v>
      </c>
      <c r="U12" s="85">
        <f t="shared" ca="1" si="7"/>
        <v>0</v>
      </c>
      <c r="V12" s="85">
        <f t="shared" ca="1" si="8"/>
        <v>0</v>
      </c>
      <c r="W12" s="91"/>
      <c r="X12" s="85">
        <f t="shared" ca="1" si="9"/>
        <v>0</v>
      </c>
      <c r="Y12" s="85">
        <f t="shared" ca="1" si="10"/>
        <v>0</v>
      </c>
      <c r="Z12" s="85">
        <f t="shared" ca="1" si="11"/>
        <v>0</v>
      </c>
      <c r="AA12" s="91"/>
      <c r="AB12" s="85">
        <f t="shared" ca="1" si="12"/>
        <v>0</v>
      </c>
      <c r="AC12" s="85">
        <f t="shared" ca="1" si="13"/>
        <v>0</v>
      </c>
      <c r="AD12" s="85">
        <f t="shared" ca="1" si="14"/>
        <v>0</v>
      </c>
      <c r="AE12" s="91"/>
      <c r="AF12" s="85">
        <f t="shared" ca="1" si="15"/>
        <v>0</v>
      </c>
      <c r="AG12" s="85">
        <f t="shared" ca="1" si="16"/>
        <v>0</v>
      </c>
      <c r="AH12" s="85">
        <f t="shared" ca="1" si="17"/>
        <v>0</v>
      </c>
      <c r="AX12"/>
      <c r="AY12"/>
      <c r="AZ12"/>
    </row>
    <row r="13" spans="2:63" x14ac:dyDescent="0.25">
      <c r="B13" s="1" t="str">
        <f t="shared" si="4"/>
        <v>PANTS</v>
      </c>
      <c r="C13" s="759"/>
      <c r="D13" s="759"/>
      <c r="E13" s="759"/>
      <c r="F13" s="93"/>
      <c r="G13" s="759"/>
      <c r="H13" s="759"/>
      <c r="I13" s="759"/>
      <c r="J13" s="93"/>
      <c r="K13" s="759"/>
      <c r="L13" s="759"/>
      <c r="M13" s="759"/>
      <c r="N13" s="93"/>
      <c r="O13" s="759"/>
      <c r="P13" s="759"/>
      <c r="Q13" s="759"/>
      <c r="S13" s="1" t="str">
        <f t="shared" si="5"/>
        <v>PANTS</v>
      </c>
      <c r="T13" s="85">
        <f t="shared" ca="1" si="6"/>
        <v>0</v>
      </c>
      <c r="U13" s="85">
        <f t="shared" ca="1" si="7"/>
        <v>0</v>
      </c>
      <c r="V13" s="85">
        <f t="shared" ca="1" si="8"/>
        <v>0</v>
      </c>
      <c r="W13" s="91"/>
      <c r="X13" s="85">
        <f t="shared" ca="1" si="9"/>
        <v>0</v>
      </c>
      <c r="Y13" s="85">
        <f t="shared" ca="1" si="10"/>
        <v>0</v>
      </c>
      <c r="Z13" s="85">
        <f t="shared" ca="1" si="11"/>
        <v>0</v>
      </c>
      <c r="AA13" s="91"/>
      <c r="AB13" s="85">
        <f t="shared" ca="1" si="12"/>
        <v>0</v>
      </c>
      <c r="AC13" s="85">
        <f t="shared" ca="1" si="13"/>
        <v>0</v>
      </c>
      <c r="AD13" s="85">
        <f t="shared" ca="1" si="14"/>
        <v>0</v>
      </c>
      <c r="AE13" s="91"/>
      <c r="AF13" s="85">
        <f t="shared" ca="1" si="15"/>
        <v>0</v>
      </c>
      <c r="AG13" s="85">
        <f t="shared" ca="1" si="16"/>
        <v>0</v>
      </c>
      <c r="AH13" s="85">
        <f t="shared" ca="1" si="17"/>
        <v>0</v>
      </c>
      <c r="AX13"/>
      <c r="AY13"/>
      <c r="AZ13"/>
    </row>
    <row r="14" spans="2:63" x14ac:dyDescent="0.25">
      <c r="B14" s="1" t="str">
        <f t="shared" si="4"/>
        <v>SHIRTS</v>
      </c>
      <c r="C14" s="759"/>
      <c r="D14" s="759"/>
      <c r="E14" s="759"/>
      <c r="F14" s="93"/>
      <c r="G14" s="759"/>
      <c r="H14" s="759"/>
      <c r="I14" s="759"/>
      <c r="J14" s="93"/>
      <c r="K14" s="759"/>
      <c r="L14" s="759"/>
      <c r="M14" s="759"/>
      <c r="N14" s="93"/>
      <c r="O14" s="759"/>
      <c r="P14" s="759"/>
      <c r="Q14" s="759"/>
      <c r="S14" s="1" t="str">
        <f t="shared" si="5"/>
        <v>SHIRTS</v>
      </c>
      <c r="T14" s="85">
        <f t="shared" ca="1" si="6"/>
        <v>0</v>
      </c>
      <c r="U14" s="85">
        <f t="shared" ca="1" si="7"/>
        <v>0</v>
      </c>
      <c r="V14" s="85">
        <f t="shared" ca="1" si="8"/>
        <v>0</v>
      </c>
      <c r="W14" s="91"/>
      <c r="X14" s="85">
        <f t="shared" ca="1" si="9"/>
        <v>0</v>
      </c>
      <c r="Y14" s="85">
        <f t="shared" ca="1" si="10"/>
        <v>0</v>
      </c>
      <c r="Z14" s="85">
        <f t="shared" ca="1" si="11"/>
        <v>0</v>
      </c>
      <c r="AA14" s="91"/>
      <c r="AB14" s="85">
        <f t="shared" ca="1" si="12"/>
        <v>0</v>
      </c>
      <c r="AC14" s="85">
        <f t="shared" ca="1" si="13"/>
        <v>0</v>
      </c>
      <c r="AD14" s="85">
        <f t="shared" ca="1" si="14"/>
        <v>0</v>
      </c>
      <c r="AE14" s="91"/>
      <c r="AF14" s="85">
        <f t="shared" ca="1" si="15"/>
        <v>0</v>
      </c>
      <c r="AG14" s="85">
        <f t="shared" ca="1" si="16"/>
        <v>0</v>
      </c>
      <c r="AH14" s="85">
        <f t="shared" ca="1" si="17"/>
        <v>0</v>
      </c>
      <c r="AX14"/>
      <c r="AY14"/>
      <c r="AZ14"/>
    </row>
    <row r="15" spans="2:63" x14ac:dyDescent="0.25">
      <c r="B15" s="1" t="str">
        <f t="shared" si="4"/>
        <v>SHOES</v>
      </c>
      <c r="C15" s="759"/>
      <c r="D15" s="759"/>
      <c r="E15" s="759"/>
      <c r="F15" s="93"/>
      <c r="G15" s="759"/>
      <c r="H15" s="759"/>
      <c r="I15" s="759"/>
      <c r="J15" s="93"/>
      <c r="K15" s="759"/>
      <c r="L15" s="759"/>
      <c r="M15" s="759"/>
      <c r="N15" s="93"/>
      <c r="O15" s="759"/>
      <c r="P15" s="759"/>
      <c r="Q15" s="759"/>
      <c r="S15" s="1" t="str">
        <f t="shared" si="5"/>
        <v>SHOES</v>
      </c>
      <c r="T15" s="85">
        <f t="shared" ca="1" si="6"/>
        <v>0</v>
      </c>
      <c r="U15" s="85">
        <f t="shared" ca="1" si="7"/>
        <v>0</v>
      </c>
      <c r="V15" s="85">
        <f t="shared" ca="1" si="8"/>
        <v>0</v>
      </c>
      <c r="W15" s="91"/>
      <c r="X15" s="85">
        <f t="shared" ca="1" si="9"/>
        <v>0</v>
      </c>
      <c r="Y15" s="85">
        <f t="shared" ca="1" si="10"/>
        <v>0</v>
      </c>
      <c r="Z15" s="85">
        <f t="shared" ca="1" si="11"/>
        <v>0</v>
      </c>
      <c r="AA15" s="91"/>
      <c r="AB15" s="85">
        <f t="shared" ca="1" si="12"/>
        <v>0</v>
      </c>
      <c r="AC15" s="85">
        <f t="shared" ca="1" si="13"/>
        <v>0</v>
      </c>
      <c r="AD15" s="85">
        <f t="shared" ca="1" si="14"/>
        <v>0</v>
      </c>
      <c r="AE15" s="91"/>
      <c r="AF15" s="85">
        <f t="shared" ca="1" si="15"/>
        <v>0</v>
      </c>
      <c r="AG15" s="85">
        <f t="shared" ca="1" si="16"/>
        <v>0</v>
      </c>
      <c r="AH15" s="85">
        <f t="shared" ca="1" si="17"/>
        <v>0</v>
      </c>
      <c r="AX15"/>
      <c r="AY15"/>
      <c r="AZ15"/>
    </row>
    <row r="16" spans="2:63" x14ac:dyDescent="0.25">
      <c r="B16" s="1" t="str">
        <f t="shared" si="4"/>
        <v>SHORTS</v>
      </c>
      <c r="C16" s="759"/>
      <c r="D16" s="759"/>
      <c r="E16" s="759"/>
      <c r="F16" s="93"/>
      <c r="G16" s="759"/>
      <c r="H16" s="759"/>
      <c r="I16" s="759"/>
      <c r="J16" s="93"/>
      <c r="K16" s="759"/>
      <c r="L16" s="759"/>
      <c r="M16" s="759"/>
      <c r="N16" s="93"/>
      <c r="O16" s="759"/>
      <c r="P16" s="759"/>
      <c r="Q16" s="759"/>
      <c r="S16" s="1" t="str">
        <f t="shared" si="5"/>
        <v>SHORTS</v>
      </c>
      <c r="T16" s="85">
        <f t="shared" ca="1" si="6"/>
        <v>0</v>
      </c>
      <c r="U16" s="85">
        <f t="shared" ca="1" si="7"/>
        <v>0</v>
      </c>
      <c r="V16" s="85">
        <f t="shared" ca="1" si="8"/>
        <v>0</v>
      </c>
      <c r="W16" s="91"/>
      <c r="X16" s="85">
        <f t="shared" ca="1" si="9"/>
        <v>0</v>
      </c>
      <c r="Y16" s="85">
        <f t="shared" ca="1" si="10"/>
        <v>0</v>
      </c>
      <c r="Z16" s="85">
        <f t="shared" ca="1" si="11"/>
        <v>0</v>
      </c>
      <c r="AA16" s="91"/>
      <c r="AB16" s="85">
        <f t="shared" ca="1" si="12"/>
        <v>0</v>
      </c>
      <c r="AC16" s="85">
        <f t="shared" ca="1" si="13"/>
        <v>0</v>
      </c>
      <c r="AD16" s="85">
        <f t="shared" ca="1" si="14"/>
        <v>0</v>
      </c>
      <c r="AE16" s="91"/>
      <c r="AF16" s="85">
        <f t="shared" ca="1" si="15"/>
        <v>0</v>
      </c>
      <c r="AG16" s="85">
        <f t="shared" ca="1" si="16"/>
        <v>0</v>
      </c>
      <c r="AH16" s="85">
        <f t="shared" ca="1" si="17"/>
        <v>0</v>
      </c>
      <c r="AX16"/>
      <c r="AY16"/>
      <c r="AZ16"/>
    </row>
    <row r="17" spans="1:52" x14ac:dyDescent="0.25">
      <c r="B17" s="1" t="str">
        <f t="shared" si="4"/>
        <v>SKIRTS</v>
      </c>
      <c r="C17" s="759"/>
      <c r="D17" s="759"/>
      <c r="E17" s="759"/>
      <c r="F17" s="93"/>
      <c r="G17" s="759"/>
      <c r="H17" s="759"/>
      <c r="I17" s="759"/>
      <c r="J17" s="93"/>
      <c r="K17" s="759"/>
      <c r="L17" s="759"/>
      <c r="M17" s="759"/>
      <c r="N17" s="93"/>
      <c r="O17" s="759"/>
      <c r="P17" s="759"/>
      <c r="Q17" s="759"/>
      <c r="S17" s="1" t="str">
        <f t="shared" si="5"/>
        <v>SKIRTS</v>
      </c>
      <c r="T17" s="85">
        <f t="shared" ca="1" si="6"/>
        <v>0</v>
      </c>
      <c r="U17" s="85">
        <f t="shared" ca="1" si="7"/>
        <v>0</v>
      </c>
      <c r="V17" s="85">
        <f t="shared" ca="1" si="8"/>
        <v>0</v>
      </c>
      <c r="W17" s="91"/>
      <c r="X17" s="85">
        <f t="shared" ca="1" si="9"/>
        <v>0</v>
      </c>
      <c r="Y17" s="85">
        <f t="shared" ca="1" si="10"/>
        <v>0</v>
      </c>
      <c r="Z17" s="85">
        <f t="shared" ca="1" si="11"/>
        <v>0</v>
      </c>
      <c r="AA17" s="91"/>
      <c r="AB17" s="85">
        <f t="shared" ca="1" si="12"/>
        <v>0</v>
      </c>
      <c r="AC17" s="85">
        <f t="shared" ca="1" si="13"/>
        <v>0</v>
      </c>
      <c r="AD17" s="85">
        <f t="shared" ca="1" si="14"/>
        <v>0</v>
      </c>
      <c r="AE17" s="91"/>
      <c r="AF17" s="85">
        <f t="shared" ca="1" si="15"/>
        <v>0</v>
      </c>
      <c r="AG17" s="85">
        <f t="shared" ca="1" si="16"/>
        <v>0</v>
      </c>
      <c r="AH17" s="85">
        <f t="shared" ca="1" si="17"/>
        <v>0</v>
      </c>
      <c r="AX17"/>
      <c r="AY17"/>
      <c r="AZ17"/>
    </row>
    <row r="18" spans="1:52" x14ac:dyDescent="0.25">
      <c r="B18" s="1" t="str">
        <f t="shared" si="4"/>
        <v>SWEAT</v>
      </c>
      <c r="C18" s="759"/>
      <c r="D18" s="759"/>
      <c r="E18" s="759"/>
      <c r="F18" s="93"/>
      <c r="G18" s="759"/>
      <c r="H18" s="759"/>
      <c r="I18" s="759"/>
      <c r="J18" s="93"/>
      <c r="K18" s="759"/>
      <c r="L18" s="759"/>
      <c r="M18" s="759"/>
      <c r="N18" s="93"/>
      <c r="O18" s="759"/>
      <c r="P18" s="759"/>
      <c r="Q18" s="759"/>
      <c r="S18" s="1" t="str">
        <f t="shared" si="5"/>
        <v>SWEAT</v>
      </c>
      <c r="T18" s="85">
        <f t="shared" ca="1" si="6"/>
        <v>0</v>
      </c>
      <c r="U18" s="85">
        <f t="shared" ca="1" si="7"/>
        <v>0</v>
      </c>
      <c r="V18" s="85">
        <f t="shared" ca="1" si="8"/>
        <v>0</v>
      </c>
      <c r="W18" s="91"/>
      <c r="X18" s="85">
        <f t="shared" ca="1" si="9"/>
        <v>0</v>
      </c>
      <c r="Y18" s="85">
        <f t="shared" ca="1" si="10"/>
        <v>0</v>
      </c>
      <c r="Z18" s="85">
        <f t="shared" ca="1" si="11"/>
        <v>0</v>
      </c>
      <c r="AA18" s="91"/>
      <c r="AB18" s="85">
        <f t="shared" ca="1" si="12"/>
        <v>0</v>
      </c>
      <c r="AC18" s="85">
        <f t="shared" ca="1" si="13"/>
        <v>0</v>
      </c>
      <c r="AD18" s="85">
        <f t="shared" ca="1" si="14"/>
        <v>0</v>
      </c>
      <c r="AE18" s="91"/>
      <c r="AF18" s="85">
        <f t="shared" ca="1" si="15"/>
        <v>0</v>
      </c>
      <c r="AG18" s="85">
        <f t="shared" ca="1" si="16"/>
        <v>0</v>
      </c>
      <c r="AH18" s="85">
        <f t="shared" ca="1" si="17"/>
        <v>0</v>
      </c>
      <c r="AX18"/>
      <c r="AY18"/>
      <c r="AZ18"/>
    </row>
    <row r="19" spans="1:52" x14ac:dyDescent="0.25">
      <c r="B19" s="1" t="str">
        <f t="shared" si="4"/>
        <v>TAILORING</v>
      </c>
      <c r="C19" s="759"/>
      <c r="D19" s="759"/>
      <c r="E19" s="759"/>
      <c r="F19" s="93"/>
      <c r="G19" s="759"/>
      <c r="H19" s="759"/>
      <c r="I19" s="759"/>
      <c r="J19" s="93"/>
      <c r="K19" s="759"/>
      <c r="L19" s="759"/>
      <c r="M19" s="759"/>
      <c r="N19" s="93"/>
      <c r="O19" s="759"/>
      <c r="P19" s="759"/>
      <c r="Q19" s="759"/>
      <c r="S19" s="1" t="str">
        <f t="shared" si="5"/>
        <v>TAILORING</v>
      </c>
      <c r="T19" s="85">
        <f t="shared" ca="1" si="6"/>
        <v>0</v>
      </c>
      <c r="U19" s="85">
        <f t="shared" ca="1" si="7"/>
        <v>0</v>
      </c>
      <c r="V19" s="85">
        <f t="shared" ca="1" si="8"/>
        <v>0</v>
      </c>
      <c r="W19" s="91"/>
      <c r="X19" s="85">
        <f t="shared" ca="1" si="9"/>
        <v>0</v>
      </c>
      <c r="Y19" s="85">
        <f t="shared" ca="1" si="10"/>
        <v>0</v>
      </c>
      <c r="Z19" s="85">
        <f t="shared" ca="1" si="11"/>
        <v>0</v>
      </c>
      <c r="AA19" s="91"/>
      <c r="AB19" s="85">
        <f t="shared" ca="1" si="12"/>
        <v>0</v>
      </c>
      <c r="AC19" s="85">
        <f t="shared" ca="1" si="13"/>
        <v>0</v>
      </c>
      <c r="AD19" s="85">
        <f t="shared" ca="1" si="14"/>
        <v>0</v>
      </c>
      <c r="AE19" s="91"/>
      <c r="AF19" s="85">
        <f t="shared" ca="1" si="15"/>
        <v>0</v>
      </c>
      <c r="AG19" s="85">
        <f t="shared" ca="1" si="16"/>
        <v>0</v>
      </c>
      <c r="AH19" s="85">
        <f t="shared" ca="1" si="17"/>
        <v>0</v>
      </c>
      <c r="AX19"/>
      <c r="AY19"/>
      <c r="AZ19"/>
    </row>
    <row r="20" spans="1:52" x14ac:dyDescent="0.25">
      <c r="B20" s="1" t="str">
        <f t="shared" si="4"/>
        <v>TOPS</v>
      </c>
      <c r="C20" s="759"/>
      <c r="D20" s="759"/>
      <c r="E20" s="759"/>
      <c r="F20" s="93"/>
      <c r="G20" s="759"/>
      <c r="H20" s="759"/>
      <c r="I20" s="759"/>
      <c r="J20" s="93"/>
      <c r="K20" s="759"/>
      <c r="L20" s="759"/>
      <c r="M20" s="759"/>
      <c r="N20" s="93"/>
      <c r="O20" s="759"/>
      <c r="P20" s="759"/>
      <c r="Q20" s="759"/>
      <c r="S20" s="1" t="str">
        <f t="shared" si="5"/>
        <v>TOPS</v>
      </c>
      <c r="T20" s="85">
        <f t="shared" ca="1" si="6"/>
        <v>0</v>
      </c>
      <c r="U20" s="85">
        <f t="shared" ca="1" si="7"/>
        <v>0</v>
      </c>
      <c r="V20" s="85">
        <f t="shared" ca="1" si="8"/>
        <v>0</v>
      </c>
      <c r="W20" s="91"/>
      <c r="X20" s="85">
        <f t="shared" ca="1" si="9"/>
        <v>0</v>
      </c>
      <c r="Y20" s="85">
        <f t="shared" ca="1" si="10"/>
        <v>0</v>
      </c>
      <c r="Z20" s="85">
        <f t="shared" ca="1" si="11"/>
        <v>0</v>
      </c>
      <c r="AA20" s="91"/>
      <c r="AB20" s="85">
        <f t="shared" ca="1" si="12"/>
        <v>0</v>
      </c>
      <c r="AC20" s="85">
        <f t="shared" ca="1" si="13"/>
        <v>0</v>
      </c>
      <c r="AD20" s="85">
        <f t="shared" ca="1" si="14"/>
        <v>0</v>
      </c>
      <c r="AE20" s="91"/>
      <c r="AF20" s="85">
        <f t="shared" ca="1" si="15"/>
        <v>0</v>
      </c>
      <c r="AG20" s="85">
        <f t="shared" ca="1" si="16"/>
        <v>0</v>
      </c>
      <c r="AH20" s="85">
        <f t="shared" ca="1" si="17"/>
        <v>0</v>
      </c>
      <c r="AX20"/>
      <c r="AY20"/>
      <c r="AZ20"/>
    </row>
    <row r="21" spans="1:52" x14ac:dyDescent="0.25">
      <c r="B21" s="1" t="str">
        <f t="shared" si="4"/>
        <v>T-SHIRTS</v>
      </c>
      <c r="C21" s="759"/>
      <c r="D21" s="759"/>
      <c r="E21" s="759"/>
      <c r="F21" s="93"/>
      <c r="G21" s="759"/>
      <c r="H21" s="759"/>
      <c r="I21" s="759"/>
      <c r="J21" s="93"/>
      <c r="K21" s="759"/>
      <c r="L21" s="759"/>
      <c r="M21" s="759"/>
      <c r="N21" s="93"/>
      <c r="O21" s="759"/>
      <c r="P21" s="759"/>
      <c r="Q21" s="759"/>
      <c r="S21" s="1" t="str">
        <f t="shared" si="5"/>
        <v>T-SHIRTS</v>
      </c>
      <c r="T21" s="85">
        <f t="shared" ca="1" si="6"/>
        <v>0</v>
      </c>
      <c r="U21" s="85">
        <f t="shared" ca="1" si="7"/>
        <v>0</v>
      </c>
      <c r="V21" s="85">
        <f t="shared" ca="1" si="8"/>
        <v>0</v>
      </c>
      <c r="W21" s="91"/>
      <c r="X21" s="85">
        <f t="shared" ca="1" si="9"/>
        <v>0</v>
      </c>
      <c r="Y21" s="85">
        <f t="shared" ca="1" si="10"/>
        <v>0</v>
      </c>
      <c r="Z21" s="85">
        <f t="shared" ca="1" si="11"/>
        <v>0</v>
      </c>
      <c r="AA21" s="91"/>
      <c r="AB21" s="85">
        <f t="shared" ca="1" si="12"/>
        <v>0</v>
      </c>
      <c r="AC21" s="85">
        <f t="shared" ca="1" si="13"/>
        <v>0</v>
      </c>
      <c r="AD21" s="85">
        <f t="shared" ca="1" si="14"/>
        <v>0</v>
      </c>
      <c r="AE21" s="91"/>
      <c r="AF21" s="85">
        <f t="shared" ca="1" si="15"/>
        <v>0</v>
      </c>
      <c r="AG21" s="85">
        <f t="shared" ca="1" si="16"/>
        <v>0</v>
      </c>
      <c r="AH21" s="85">
        <f t="shared" ca="1" si="17"/>
        <v>0</v>
      </c>
      <c r="AX21"/>
      <c r="AY21"/>
      <c r="AZ21"/>
    </row>
    <row r="22" spans="1:52" x14ac:dyDescent="0.25">
      <c r="B22" s="1" t="str">
        <f t="shared" si="4"/>
        <v>T-SHIRTS &amp; TOPS</v>
      </c>
      <c r="C22" s="759"/>
      <c r="D22" s="759"/>
      <c r="E22" s="759"/>
      <c r="F22" s="93"/>
      <c r="G22" s="759"/>
      <c r="H22" s="759"/>
      <c r="I22" s="759"/>
      <c r="J22" s="93"/>
      <c r="K22" s="759"/>
      <c r="L22" s="759"/>
      <c r="M22" s="759"/>
      <c r="N22" s="93"/>
      <c r="O22" s="759"/>
      <c r="P22" s="759"/>
      <c r="Q22" s="759"/>
      <c r="S22" s="1" t="str">
        <f t="shared" si="5"/>
        <v>T-SHIRTS &amp; TOPS</v>
      </c>
      <c r="T22" s="85">
        <f t="shared" ca="1" si="6"/>
        <v>0</v>
      </c>
      <c r="U22" s="85">
        <f t="shared" ca="1" si="7"/>
        <v>0</v>
      </c>
      <c r="V22" s="85">
        <f t="shared" ca="1" si="8"/>
        <v>0</v>
      </c>
      <c r="W22" s="91"/>
      <c r="X22" s="85">
        <f t="shared" ca="1" si="9"/>
        <v>0</v>
      </c>
      <c r="Y22" s="85">
        <f t="shared" ca="1" si="10"/>
        <v>0</v>
      </c>
      <c r="Z22" s="85">
        <f t="shared" ca="1" si="11"/>
        <v>0</v>
      </c>
      <c r="AA22" s="91"/>
      <c r="AB22" s="85">
        <f t="shared" ca="1" si="12"/>
        <v>0</v>
      </c>
      <c r="AC22" s="85">
        <f t="shared" ca="1" si="13"/>
        <v>0</v>
      </c>
      <c r="AD22" s="85">
        <f t="shared" ca="1" si="14"/>
        <v>0</v>
      </c>
      <c r="AE22" s="91"/>
      <c r="AF22" s="85">
        <f t="shared" ca="1" si="15"/>
        <v>0</v>
      </c>
      <c r="AG22" s="85">
        <f t="shared" ca="1" si="16"/>
        <v>0</v>
      </c>
      <c r="AH22" s="85">
        <f t="shared" ca="1" si="17"/>
        <v>0</v>
      </c>
      <c r="AX22"/>
      <c r="AY22"/>
      <c r="AZ22"/>
    </row>
    <row r="23" spans="1:52" s="23" customFormat="1" ht="15" customHeight="1" x14ac:dyDescent="0.25">
      <c r="A23" s="22"/>
      <c r="B23" s="384">
        <f t="shared" si="4"/>
        <v>0</v>
      </c>
      <c r="C23" s="760"/>
      <c r="D23" s="760"/>
      <c r="E23" s="760"/>
      <c r="F23" s="94"/>
      <c r="G23" s="760"/>
      <c r="H23" s="760"/>
      <c r="I23" s="760"/>
      <c r="J23" s="94"/>
      <c r="K23" s="760"/>
      <c r="L23" s="760"/>
      <c r="M23" s="760"/>
      <c r="N23" s="94"/>
      <c r="O23" s="760"/>
      <c r="P23" s="760"/>
      <c r="Q23" s="760"/>
      <c r="R23" s="90"/>
      <c r="S23" s="1">
        <f t="shared" si="5"/>
        <v>0</v>
      </c>
      <c r="T23" s="85">
        <f t="shared" ca="1" si="6"/>
        <v>0</v>
      </c>
      <c r="U23" s="85">
        <f t="shared" ca="1" si="7"/>
        <v>0</v>
      </c>
      <c r="V23" s="85">
        <f t="shared" ca="1" si="8"/>
        <v>0</v>
      </c>
      <c r="W23" s="91"/>
      <c r="X23" s="85">
        <f t="shared" ca="1" si="9"/>
        <v>0</v>
      </c>
      <c r="Y23" s="85">
        <f t="shared" ca="1" si="10"/>
        <v>0</v>
      </c>
      <c r="Z23" s="85">
        <f t="shared" ca="1" si="11"/>
        <v>0</v>
      </c>
      <c r="AA23" s="91"/>
      <c r="AB23" s="85">
        <f t="shared" ca="1" si="12"/>
        <v>0</v>
      </c>
      <c r="AC23" s="85">
        <f t="shared" ca="1" si="13"/>
        <v>0</v>
      </c>
      <c r="AD23" s="85">
        <f t="shared" ca="1" si="14"/>
        <v>0</v>
      </c>
      <c r="AE23" s="91"/>
      <c r="AF23" s="85">
        <f t="shared" ca="1" si="15"/>
        <v>0</v>
      </c>
      <c r="AG23" s="85">
        <f t="shared" ca="1" si="16"/>
        <v>0</v>
      </c>
      <c r="AH23" s="85">
        <f t="shared" ca="1" si="17"/>
        <v>0</v>
      </c>
      <c r="AI23" s="637"/>
      <c r="AJ23" s="637"/>
      <c r="AK23" s="637"/>
      <c r="AL23" s="636"/>
      <c r="AM23" s="637"/>
      <c r="AN23" s="637"/>
      <c r="AO23" s="637"/>
      <c r="AP23" s="61"/>
      <c r="AQ23" s="61"/>
      <c r="AR23" s="61"/>
      <c r="AS23" s="61"/>
      <c r="AT23" s="61"/>
      <c r="AU23" s="61"/>
      <c r="AX23"/>
      <c r="AY23"/>
      <c r="AZ23"/>
    </row>
    <row r="24" spans="1:52" s="23" customFormat="1" ht="15" customHeight="1" thickBot="1" x14ac:dyDescent="0.3">
      <c r="A24" s="22"/>
      <c r="B24" s="580" t="s">
        <v>226</v>
      </c>
      <c r="C24" s="663" t="str">
        <f ca="1">IF(T24&lt;D70,T24/D70*4.3,IF(T24&gt;SUM(D$70:$U$70),(T24-SUM(D$70:$U$70))/$U$70*4.3+COUNT(D$70:$U$70),IF(T24&gt;SUM(D$70:$T$70),(T24-SUM(D$70:$T$70))/$U$70*4.3+COUNT(D$70:$T$70)*4.3,IF(T24&gt;SUM(D$70:$S$70),(T24-SUM(D$70:$S$70))/$T$70*4.3+COUNT(D$70:$S$70)*4.3,IF(T24&gt;SUM(D$70:$Q$70),(T24-SUM(D$70:$Q$70))/$S$70*4.3+COUNT(D$70:$Q$70)*4.3,IF(T24&gt;SUM(D$70:$P$70),(T24-SUM(D$70:$P$70))/$Q$70*4.3+COUNT(D$70:$P$70)*4.3,IF(T24&gt;SUM(D$70:$O$70),(T24-SUM(D$70:$O$70))/$P$70*4.3+COUNT(D$70:$O$70)*4.3,IF(T24&gt;SUM(D$70:$M$70),(T24-SUM(D$70:$M$70))/$O$70*4.3+COUNT(D$70:$M$70)*4.3,IF(T24&gt;SUM(D$70:$L$70),(T24-SUM(D$70:$L$70))/$M$70*4.3+COUNT(D$70:$L$70)*4.3,IF(T24&gt;SUM(D$70:$K$70),(T24-SUM(D$70:$K$70))/$L$70*4.3+COUNT(D$70:$K$70)*4.3,IF(T24&gt;SUM(D$70:$I$70),(T24-SUM(D$70:$I$70))/$K$70*4.3+COUNT(D$70:$I$70)*4.3,IF(T24&gt;SUM(D$70:$H$70),(T24-SUM(D$70:$H$70))/$I$70*4.3+COUNT(D$70:$H$70)*4.3,IF(T24&gt;SUM(D$70:$G$70),(T24-SUM(D$70:$G$70))/$H$70*4.3+COUNT(D$70:$G$70)*4.3,IF(T24&gt;SUM(D$70:$E$70),(T24-SUM(D$70:$E$70))/$G$70*4.3+COUNT(D$70:$E$70)*4.3,IF(T24&gt;SUM(D$70:$D$70),(T24-SUM(D$70:$D$70))/$E$70*4.3+COUNT(D$70:$D$70)*4.3,"N/A")))))))))))))))</f>
        <v>N/A</v>
      </c>
      <c r="D24" s="663" t="str">
        <f ca="1">IF(U24&lt;E70,U24/E70*4.3,IF(U24&gt;SUM(E$70:$U$70),(U24-SUM(E$70:$U$70))/$U$70*4.3+COUNT(E$70:$U$70),IF(U24&gt;SUM(E$70:$T$70),(U24-SUM(E$70:$T$70))/$U$70*4.3+COUNT(E$70:$T$70)*4.3,IF(U24&gt;SUM(E$70:$S$70),(U24-SUM(E$70:$S$70))/$T$70*4.3+COUNT(E$70:$S$70)*4.3,IF(U24&gt;SUM(E$70:$Q$70),(U24-SUM(E$70:$Q$70))/$S$70*4.3+COUNT(E$70:$Q$70)*4.3,IF(U24&gt;SUM(E$70:$P$70),(U24-SUM(E$70:$P$70))/$Q$70*4.3+COUNT(E$70:$P$70)*4.3,IF(U24&gt;SUM(E$70:$O$70),(U24-SUM(E$70:$O$70))/$P$70*4.3+COUNT(E$70:$O$70)*4.3,IF(U24&gt;SUM(E$70:$M$70),(U24-SUM(E$70:$M$70))/$O$70*4.3+COUNT(E$70:$M$70)*4.3,IF(U24&gt;SUM(E$70:$L$70),(U24-SUM(E$70:$L$70))/$M$70*4.3+COUNT(E$70:$L$70)*4.3,IF(U24&gt;SUM(E$70:$K$70),(U24-SUM(E$70:$K$70))/$L$70*4.3+COUNT(E$70:$K$70)*4.3,IF(U24&gt;SUM(E$70:$I$70),(U24-SUM(E$70:$I$70))/$K$70*4.3+COUNT(E$70:$I$70)*4.3,IF(U24&gt;SUM(E$70:$H$70),(U24-SUM(E$70:$H$70))/$I$70*4.3+COUNT(E$70:$H$70)*4.3,IF(U24&gt;SUM(E$70:$G$70),(U24-SUM(E$70:$G$70))/$H$70*4.3+COUNT(E$70:$G$70)*4.3,IF(U24&gt;SUM(E$70:$E$70),(U24-SUM(E$70:$E$70))/$G$70*4.3+COUNT(E$70:$E$70)*4.3,IF(U24&gt;SUM($D$70:E$70),(U24-SUM($D$70:E$70))/$E$70*4.3+COUNT($D$70:E$70)*4.3,"N/A")))))))))))))))</f>
        <v>N/A</v>
      </c>
      <c r="E24" s="663" t="str">
        <f ca="1">IF(V24&lt;G70,V24/G70*4.3,IF(V24&gt;SUM(F$70:$U$70),(V24-SUM(F$70:$U$70))/$U$70*4.3+COUNT(F$70:$U$70),IF(V24&gt;SUM(F$70:$T$70),(V24-SUM(F$70:$T$70))/$U$70*4.3+COUNT(F$70:$T$70)*4.3,IF(V24&gt;SUM(F$70:$S$70),(V24-SUM(F$70:$S$70))/$T$70*4.3+COUNT(F$70:$S$70)*4.3,IF(V24&gt;SUM(F$70:$Q$70),(V24-SUM(F$70:$Q$70))/$S$70*4.3+COUNT(F$70:$Q$70)*4.3,IF(V24&gt;SUM(F$70:$P$70),(V24-SUM(F$70:$P$70))/$Q$70*4.3+COUNT(F$70:$P$70)*4.3,IF(V24&gt;SUM(F$70:$O$70),(V24-SUM(F$70:$O$70))/$P$70*4.3+COUNT(F$70:$O$70)*4.3,IF(V24&gt;SUM(F$70:$M$70),(V24-SUM(F$70:$M$70))/$O$70*4.3+COUNT(F$70:$M$70)*4.3,IF(V24&gt;SUM(F$70:$L$70),(V24-SUM(F$70:$L$70))/$M$70*4.3+COUNT(F$70:$L$70)*4.3,IF(V24&gt;SUM(F$70:$K$70),(V24-SUM(F$70:$K$70))/$L$70*4.3+COUNT(F$70:$K$70)*4.3,IF(V24&gt;SUM(F$70:$I$70),(V24-SUM(F$70:$I$70))/$K$70*4.3+COUNT(F$70:$I$70)*4.3,IF(V24&gt;SUM(F$70:$H$70),(V24-SUM(F$70:$H$70))/$I$70*4.3+COUNT(F$70:$H$70)*4.3,IF(V24&gt;SUM(F$70:$G$70),(V24-SUM(F$70:$G$70))/$H$70*4.3+COUNT(F$70:$G$70)*4.3,IF(V24&gt;SUM($E$70:F$70),(V24-SUM($E$70:F$70))/$G$70*4.3+COUNT($E$70:F$70)*4.3,IF(V24&gt;SUM($D$70:F$70),(V24-SUM($D$70:F$70))/$E$70*4.3+COUNT($D$70:F$70)*4.3,"N/A")))))))))))))))</f>
        <v>N/A</v>
      </c>
      <c r="F24" s="664"/>
      <c r="G24" s="663" t="str">
        <f ca="1">IF(X24&lt;H70,X24/H70*4.3,IF(X24&gt;SUM(H$70:$U$70),(X24-SUM(H$70:$U$70))/$U$70*4.3+COUNT(H$70:$U$70),IF(X24&gt;SUM(H$70:$T$70),(X24-SUM(H$70:$T$70))/$U$70*4.3+COUNT(H$70:$T$70)*4.3,IF(X24&gt;SUM(H$70:$S$70),(X24-SUM(H$70:$S$70))/$T$70*4.3+COUNT(H$70:$S$70)*4.3,IF(X24&gt;SUM(H$70:$Q$70),(X24-SUM(H$70:$Q$70))/$S$70*4.3+COUNT(H$70:$Q$70)*4.3,IF(X24&gt;SUM(H$70:$P$70),(X24-SUM(H$70:$P$70))/$Q$70*4.3+COUNT(H$70:$P$70)*4.3,IF(X24&gt;SUM(H$70:$O$70),(X24-SUM(H$70:$O$70))/$P$70*4.3+COUNT(H$70:$O$70)*4.3,IF(X24&gt;SUM(H$70:$M$70),(X24-SUM(H$70:$M$70))/$O$70*4.3+COUNT(H$70:$M$70)*4.3,IF(X24&gt;SUM(H$70:$L$70),(X24-SUM(H$70:$L$70))/$M$70*4.3+COUNT(H$70:$L$70)*4.3,IF(X24&gt;SUM(H$70:$K$70),(X24-SUM(H$70:$K$70))/$L$70*4.3+COUNT(H$70:$K$70)*4.3,IF(X24&gt;SUM(H$70:$I$70),(X24-SUM(H$70:$I$70))/$K$70*4.3+COUNT(H$70:$I$70)*4.3,IF(X24&gt;SUM(H$70:$H$70),(X24-SUM(H$70:$H$70))/$I$70*4.3+COUNT(H$70:$H$70)*4.3,IF(X24&gt;SUM($G$70:H$70),(X24-SUM($G$70:H$70))/$H$70*4.3+COUNT($G$70:H$70)*4.3,IF(X24&gt;SUM($E$70:H$70),(X24-SUM($E$70:H$70))/$G$70*4.3+COUNT($E$70:H$70)*4.3,IF(X24&gt;SUM($D$70:H$70),(X24-SUM($D$70:H$70))/$E$70*4.3+COUNT($D$70:H$70)*4.3,"N/A")))))))))))))))</f>
        <v>N/A</v>
      </c>
      <c r="H24" s="663" t="str">
        <f ca="1">IF(Y24&lt;I70,Y24/I70*4.3,IF(Y24&gt;SUM(I$70:$U$70),(Y24-SUM(I$70:$U$70))/$U$70*4.3+COUNT(I$70:$U$70),IF(Y24&gt;SUM(I$70:$T$70),(Y24-SUM(I$70:$T$70))/$U$70*4.3+COUNT(I$70:$T$70)*4.3,IF(Y24&gt;SUM(I$70:$S$70),(Y24-SUM(I$70:$S$70))/$T$70*4.3+COUNT(I$70:$S$70)*4.3,IF(Y24&gt;SUM(I$70:$Q$70),(Y24-SUM(I$70:$Q$70))/$S$70*4.3+COUNT(I$70:$Q$70)*4.3,IF(Y24&gt;SUM(I$70:$P$70),(Y24-SUM(I$70:$P$70))/$Q$70*4.3+COUNT(I$70:$P$70)*4.3,IF(Y24&gt;SUM(I$70:$O$70),(Y24-SUM(I$70:$O$70))/$P$70*4.3+COUNT(I$70:$O$70)*4.3,IF(Y24&gt;SUM(I$70:$M$70),(Y24-SUM(I$70:$M$70))/$O$70*4.3+COUNT(I$70:$M$70)*4.3,IF(Y24&gt;SUM(I$70:$L$70),(Y24-SUM(I$70:$L$70))/$M$70*4.3+COUNT(I$70:$L$70)*4.3,IF(Y24&gt;SUM(I$70:$K$70),(Y24-SUM(I$70:$K$70))/$L$70*4.3+COUNT(I$70:$K$70)*4.3,IF(Y24&gt;SUM(I$70:$I$70),(Y24-SUM(I$70:$I$70))/$K$70*4.3+COUNT(I$70:$I$70)*4.3,IF(Y24&gt;SUM($H$70:I$70),(Y24-SUM($H$70:I$70))/$I$70*4.3+COUNT($H$70:I$70)*4.3,IF(Y24&gt;SUM($G$70:I$70),(Y24-SUM($G$70:I$70))/$H$70*4.3+COUNT($G$70:I$70)*4.3,IF(Y24&gt;SUM($E$70:I$70),(Y24-SUM($E$70:I$70))/$G$70*4.3+COUNT($E$70:I$70)*4.3,IF(Y24&gt;SUM($D$70:I$70),(Y24-SUM($D$70:I$70))/$E$70*4.3+COUNT($D$70:I$70)*4.3,"N/A")))))))))))))))</f>
        <v>N/A</v>
      </c>
      <c r="I24" s="663" t="str">
        <f ca="1">IF(Z24&lt;K70,Z24/K70*4.3,IF(Z24&gt;SUM(J$70:$U$70),(Z24-SUM(J$70:$U$70))/$U$70*4.3+COUNT(J$70:$U$70),IF(Z24&gt;SUM(J$70:$T$70),(Z24-SUM(J$70:$T$70))/$U$70*4.3+COUNT(J$70:$T$70)*4.3,IF(Z24&gt;SUM(J$70:$S$70),(Z24-SUM(J$70:$S$70))/$T$70*4.3+COUNT(J$70:$S$70)*4.3,IF(Z24&gt;SUM(J$70:$Q$70),(Z24-SUM(J$70:$Q$70))/$S$70*4.3+COUNT(J$70:$Q$70)*4.3,IF(Z24&gt;SUM(J$70:$P$70),(Z24-SUM(J$70:$P$70))/$Q$70*4.3+COUNT(J$70:$P$70)*4.3,IF(Z24&gt;SUM(J$70:$O$70),(Z24-SUM(J$70:$O$70))/$P$70*4.3+COUNT(J$70:$O$70)*4.3,IF(Z24&gt;SUM(J$70:$M$70),(Z24-SUM(J$70:$M$70))/$O$70*4.3+COUNT(J$70:$M$70)*4.3,IF(Z24&gt;SUM(J$70:$L$70),(Z24-SUM(J$70:$L$70))/$M$70*4.3+COUNT(J$70:$L$70)*4.3,IF(Z24&gt;SUM(J$70:$K$70),(Z24-SUM(J$70:$K$70))/$L$70*4.3+COUNT(J$70:$K$70)*4.3,IF(Z24&gt;SUM($I$70:J$70),(Z24-SUM($I$70:J$70))/$K$70*4.3+COUNT($I$70:J$70)*4.3,IF(Z24&gt;SUM($H$70:J$70),(Z24-SUM($H$70:J$70))/$I$70*4.3+COUNT($H$70:J$70)*4.3,IF(Z24&gt;SUM($G$70:J$70),(Z24-SUM($G$70:J$70))/$H$70*4.3+COUNT($G$70:J$70)*4.3,IF(Z24&gt;SUM($E$70:J$70),(Z24-SUM($E$70:J$70))/$G$70*4.3+COUNT($E$70:J$70)*4.3,IF(Z24&gt;SUM($D$70:J$70),(Z24-SUM($D$70:J$70))/$E$70*4.3+COUNT($D$70:J$70)*4.3,"N/A")))))))))))))))</f>
        <v>N/A</v>
      </c>
      <c r="J24" s="664"/>
      <c r="K24" s="663" t="str">
        <f ca="1">IF(AB24&lt;L70,AB24/L70*4.3,IF(AB24&gt;SUM(L$70:$U$70),(AB24-SUM(L$70:$U$70))/$U$70*4.3+COUNT(L$70:$U$70),IF(AB24&gt;SUM(L$70:$T$70),(AB24-SUM(L$70:$T$70))/$U$70*4.3+COUNT(L$70:$T$70)*4.3,IF(AB24&gt;SUM(L$70:$S$70),(AB24-SUM(L$70:$S$70))/$T$70*4.3+COUNT(L$70:$S$70)*4.3,IF(AB24&gt;SUM(L$70:$Q$70),(AB24-SUM(L$70:$Q$70))/$S$70*4.3+COUNT(L$70:$Q$70)*4.3,IF(AB24&gt;SUM(L$70:$P$70),(AB24-SUM(L$70:$P$70))/$Q$70*4.3+COUNT(L$70:$P$70)*4.3,IF(AB24&gt;SUM(L$70:$O$70),(AB24-SUM(L$70:$O$70))/$P$70*4.3+COUNT(L$70:$O$70)*4.3,IF(AB24&gt;SUM(L$70:$M$70),(AB24-SUM(L$70:$M$70))/$O$70*4.3+COUNT(L$70:$M$70)*4.3,IF(AB24&gt;SUM(L$70:$L$70),(AB24-SUM(L$70:$L$70))/$M$70*4.3+COUNT(L$70:$L$70)*4.3,IF(AB24&gt;SUM($K$70:L$70),(AB24-SUM($K$70:L$70))/$L$70*4.3+COUNT($K$70:L$70)*4.3,IF(AB24&gt;SUM($I$70:L$70),(AB24-SUM($I$70:L$70))/$K$70*4.3+COUNT($I$70:L$70)*4.3,IF(AB24&gt;SUM($H$70:L$70),(AB24-SUM($H$70:L$70))/$I$70*4.3+COUNT($H$70:L$70)*4.3,IF(AB24&gt;SUM($G$70:L$70),(AB24-SUM($G$70:L$70))/$H$70*4.3+COUNT($G$70:L$70)*4.3,IF(AB24&gt;SUM($E$70:L$70),(AB24-SUM($E$70:L$70))/$G$70*4.3+COUNT($E$70:L$70)*4.3,IF(AB24&gt;SUM($D$70:L$70),(AB24-SUM($D$70:L$70))/$E$70*4.3+COUNT($D$70:L$70)*4.3,"N/A")))))))))))))))</f>
        <v>N/A</v>
      </c>
      <c r="L24" s="663" t="str">
        <f ca="1">IF(AC24&lt;M70,AC24/M70*4.3,IF(AC24&gt;SUM(M$70:$U$70),(AC24-SUM(M$70:$U$70))/$U$70*4.3+COUNT(M$70:$U$70),IF(AC24&gt;SUM(M$70:$T$70),(AC24-SUM(M$70:$T$70))/$U$70*4.3+COUNT(M$70:$T$70)*4.3,IF(AC24&gt;SUM(M$70:$S$70),(AC24-SUM(M$70:$S$70))/$T$70*4.3+COUNT(M$70:$S$70)*4.3,IF(AC24&gt;SUM(M$70:$Q$70),(AC24-SUM(M$70:$Q$70))/$S$70*4.3+COUNT(M$70:$Q$70)*4.3,IF(AC24&gt;SUM(M$70:$P$70),(AC24-SUM(M$70:$P$70))/$Q$70*4.3+COUNT(M$70:$P$70)*4.3,IF(AC24&gt;SUM(M$70:$O$70),(AC24-SUM(M$70:$O$70))/$P$70*4.3+COUNT(M$70:$O$70)*4.3,IF(AC24&gt;SUM(M$70:$M$70),(AC24-SUM(M$70:$M$70))/$O$70*4.3+COUNT(M$70:$M$70)*4.3,IF(AC24&gt;SUM($L$70:M$70),(AC24-SUM($L$70:M$70))/$M$70*4.3+COUNT($L$70:M$70)*4.3,IF(AC24&gt;SUM($K$70:M$70),(AC24-SUM($K$70:M$70))/$L$70*4.3+COUNT($K$70:M$70)*4.3,IF(AC24&gt;SUM($I$70:M$70),(AC24-SUM($I$70:M$70))/$K$70*4.3+COUNT($I$70:M$70)*4.3,IF(AC24&gt;SUM($H$70:M$70),(AC24-SUM($H$70:M$70))/$I$70*4.3+COUNT($H$70:M$70)*4.3,IF(AC24&gt;SUM($G$70:M$70),(AC24-SUM($G$70:M$70))/$H$70*4.3+COUNT($G$70:M$70)*4.3,IF(AC24&gt;SUM($E$70:M$70),(AC24-SUM($E$70:M$70))/$G$70*4.3+COUNT($E$70:M$70)*4.3,IF(AC24&gt;SUM($D$70:M$70),(AC24-SUM($D$70:M$70))/$E$70*4.3+COUNT($D$70:M$70)*4.3,"N/A")))))))))))))))</f>
        <v>N/A</v>
      </c>
      <c r="M24" s="663" t="str">
        <f ca="1">IF(AD24&lt;O70,AD24/O70*4.3,IF(AD24&gt;SUM(N$70:$U$70),(AD24-SUM(N$70:$U$70))/$U$70*4.3+COUNT(N$70:$U$70),IF(AD24&gt;SUM(N$70:$T$70),(AD24-SUM(N$70:$T$70))/$U$70*4.3+COUNT(N$70:$T$70)*4.3,IF(AD24&gt;SUM(N$70:$S$70),(AD24-SUM(N$70:$S$70))/$T$70*4.3+COUNT(N$70:$S$70)*4.3,IF(AD24&gt;SUM(N$70:$Q$70),(AD24-SUM(N$70:$Q$70))/$S$70*4.3+COUNT(N$70:$Q$70)*4.3,IF(AD24&gt;SUM(N$70:$P$70),(AD24-SUM(N$70:$P$70))/$Q$70*4.3+COUNT(N$70:$P$70)*4.3,IF(AD24&gt;SUM(N$70:$O$70),(AD24-SUM(N$70:$O$70))/$P$70*4.3+COUNT(N$70:$O$70)*4.3,IF(AD24&gt;SUM($M$70:N$70),(AD24-SUM($M$70:N$70))/$O$70*4.3+COUNT($M$70:N$70)*4.3,IF(AD24&gt;SUM($L$70:N$70),(AD24-SUM($L$70:N$70))/$M$70*4.3+COUNT($L$70:N$70)*4.3,IF(AD24&gt;SUM($K$70:N$70),(AD24-SUM($K$70:N$70))/$L$70*4.3+COUNT($K$70:N$70)*4.3,IF(AD24&gt;SUM($I$70:N$70),(AD24-SUM($I$70:N$70))/$K$70*4.3+COUNT($I$70:N$70)*4.3,IF(AD24&gt;SUM($H$70:N$70),(AD24-SUM($H$70:N$70))/$I$70*4.3+COUNT($H$70:N$70)*4.3,IF(AD24&gt;SUM($G$70:N$70),(AD24-SUM($G$70:N$70))/$H$70*4.3+COUNT($G$70:N$70)*4.3,IF(AD24&gt;SUM($E$70:N$70),(AD24-SUM($E$70:N$70))/$G$70*4.3+COUNT($E$70:N$70)*4.3,IF(AD24&gt;SUM($D$70:N$70),(AD24-SUM($D$70:N$70))/$E$70*4.3+COUNT($D$70:N$70)*4.3,"N/A")))))))))))))))</f>
        <v>N/A</v>
      </c>
      <c r="N24" s="664"/>
      <c r="O24" s="663" t="str">
        <f ca="1">IF(AF24&lt;P70,AF24/P70*4.3,IF(AF24&gt;SUM(P$70:$U$70),(AF24-SUM(P$70:$U$70))/$U$70*4.3+COUNT(P$70:$U$70),IF(AF24&gt;SUM(P$70:$T$70),(AF24-SUM(P$70:$T$70))/$U$70*4.3+COUNT(P$70:$T$70)*4.3,IF(AF24&gt;SUM(P$70:$S$70),(AF24-SUM(P$70:$S$70))/$T$70*4.3+COUNT(P$70:$S$70)*4.3,IF(AF24&gt;SUM(P$70:$Q$70),(AF24-SUM(P$70:$Q$70))/$S$70*4.3+COUNT(P$70:$Q$70)*4.3,IF(AF24&gt;SUM(P$70:$P$70),(AF24-SUM(P$70:$P$70))/$Q$70*4.3+COUNT(P$70:$P$70)*4.3,IF(AF24&gt;SUM($O$70:P$70),(AF24-SUM($O$70:P$70))/$P$70*4.3+COUNT($O$70:P$70)*4.3,IF(AF24&gt;SUM($M$70:P$70),(AF24-SUM($M$70:P$70))/$O$70*4.3+COUNT($M$70:P$70)*4.3,IF(AF24&gt;SUM($L$70:P$70),(AF24-SUM($L$70:P$70))/$M$70*4.3+COUNT($L$70:P$70)*4.3,IF(AF24&gt;SUM($K$70:P$70),(AF24-SUM($K$70:P$70))/$L$70*4.3+COUNT($K$70:P$70)*4.3,IF(AF24&gt;SUM($I$70:P$70),(AF24-SUM($I$70:P$70))/$K$70*4.3+COUNT($I$70:P$70)*4.3,IF(AF24&gt;SUM($H$70:P$70),(AF24-SUM($H$70:P$70))/$I$70*4.3+COUNT($H$70:P$70)*4.3,IF(AF24&gt;SUM($G$70:P$70),(AF24-SUM($G$70:P$70))/$H$70*4.3+COUNT($G$70:P$70)*4.3,IF(AF24&gt;SUM($E$70:P$70),(AF24-SUM($E$70:P$70))/$G$70*4.3+COUNT($E$70:P$70)*4.3,IF(AF24&gt;SUM($D$70:P$70),(AF24-SUM($D$70:P$70))/$E$70*4.3+COUNT($D$70:P$70)*4.3,"N/A")))))))))))))))</f>
        <v>N/A</v>
      </c>
      <c r="P24" s="663" t="str">
        <f ca="1">IF(AG24&lt;Q70,AG24/Q70*4.3,IF(AG24&gt;SUM(Q$70:$U$70),(AG24-SUM(Q$70:$U$70))/$U$70*4.3+COUNT(Q$70:$U$70),IF(AG24&gt;SUM(Q$70:$T$70),(AG24-SUM(Q$70:$T$70))/$U$70*4.3+COUNT(Q$70:$T$70)*4.3,IF(AG24&gt;SUM(Q$70:$S$70),(AG24-SUM(Q$70:$S$70))/$T$70*4.3+COUNT(Q$70:$S$70)*4.3,IF(AG24&gt;SUM(Q$70:$Q$70),(AG24-SUM(Q$70:$Q$70))/$S$70*4.3+COUNT(Q$70:$Q$70)*4.3,IF(AG24&gt;SUM($P$70:Q$70),(AG24-SUM($P$70:Q$70))/$Q$70*4.3+COUNT($P$70:Q$70)*4.3,IF(AG24&gt;SUM($O$70:Q$70),(AG24-SUM($O$70:Q$70))/$P$70*4.3+COUNT($O$70:Q$70)*4.3,IF(AG24&gt;SUM($M$70:Q$70),(AG24-SUM($M$70:Q$70))/$O$70*4.3+COUNT($M$70:Q$70)*4.3,IF(AG24&gt;SUM($L$70:Q$70),(AG24-SUM($L$70:Q$70))/$M$70*4.3+COUNT($L$70:Q$70)*4.3,IF(AG24&gt;SUM($K$70:Q$70),(AG24-SUM($K$70:Q$70))/$L$70*4.3+COUNT($K$70:Q$70)*4.3,IF(AG24&gt;SUM($I$70:Q$70),(AG24-SUM($I$70:Q$70))/$K$70*4.3+COUNT($I$70:Q$70)*4.3,IF(AG24&gt;SUM($H$70:Q$70),(AG24-SUM($H$70:Q$70))/$I$70*4.3+COUNT($H$70:Q$70)*4.3,IF(AG24&gt;SUM($G$70:Q$70),(AG24-SUM($G$70:Q$70))/$H$70*4.3+COUNT($G$70:Q$70)*4.3,IF(AG24&gt;SUM($E$70:Q$70),(AG24-SUM($E$70:Q$70))/$G$70*4.3+COUNT($E$70:Q$70)*4.3,IF(AG24&gt;SUM($D$70:Q$70),(AG24-SUM($D$70:Q$70))/$E$70*4.3+COUNT($D$70:Q$70)*4.3,"N/A")))))))))))))))</f>
        <v>N/A</v>
      </c>
      <c r="Q24" s="663" t="str">
        <f ca="1">IF(AH24&lt;S70,AH24/S70*4.3,IF(AH24&gt;SUM(R$70:$U$70),(AH24-SUM(R$70:$U$70))/$U$70*4.3+COUNT(R$70:$U$70),IF(AH24&gt;SUM(R$70:$T$70),(AH24-SUM(R$70:$T$70))/$U$70*4.3+COUNT(R$70:$T$70)*4.3,IF(AH24&gt;SUM(R$70:$S$70),(AH24-SUM(R$70:$S$70))/$T$70*4.3+COUNT(R$70:$S$70)*4.3,IF(AH24&gt;SUM($Q$70:R$70),(AH24-SUM($Q$70:R$70))/$S$70*4.3+COUNT($Q$70:R$70)*4.3,IF(AH24&gt;SUM($P$70:R$70),(AH24-SUM($P$70:R$70))/$Q$70*4.3+COUNT($P$70:R$70)*4.3,IF(AH24&gt;SUM($O$70:R$70),(AH24-SUM($O$70:R$70))/$P$70*4.3+COUNT($O$70:R$70)*4.3,IF(AH24&gt;SUM($M$70:R$70),(AH24-SUM($M$70:R$70))/$O$70*4.3+COUNT($M$70:R$70)*4.3,IF(AH24&gt;SUM($L$70:R$70),(AH24-SUM($L$70:R$70))/$M$70*4.3+COUNT($L$70:R$70)*4.3,IF(AH24&gt;SUM($K$70:R$70),(AH24-SUM($K$70:R$70))/$L$70*4.3+COUNT($K$70:R$70)*4.3,IF(AH24&gt;SUM($I$70:R$70),(AH24-SUM($I$70:R$70))/$K$70*4.3+COUNT($I$70:R$70)*4.3,IF(AH24&gt;SUM($H$70:R$70),(AH24-SUM($H$70:R$70))/$I$70*4.3+COUNT($H$70:R$70)*4.3,IF(AH24&gt;SUM($G$70:R$70),(AH24-SUM($G$70:R$70))/$H$70*4.3+COUNT($G$70:R$70)*4.3,IF(AH24&gt;SUM($E$70:R$70),(AH24-SUM($E$70:R$70))/$G$70*4.3+COUNT($E$70:R$70)*4.3,IF(AH24&gt;SUM($D$70:R$70),(AH24-SUM($D$70:R$70))/$E$70*4.3+COUNT($D$70:R$70)*4.3,"N/A")))))))))))))))</f>
        <v>N/A</v>
      </c>
      <c r="R24" s="90"/>
      <c r="S24" s="381" t="s">
        <v>80</v>
      </c>
      <c r="T24" s="81">
        <f ca="1">SUM(T8:T23)</f>
        <v>0</v>
      </c>
      <c r="U24" s="81">
        <f ca="1">SUM(U8:U23)</f>
        <v>0</v>
      </c>
      <c r="V24" s="81">
        <f ca="1">SUM(V8:V23)</f>
        <v>0</v>
      </c>
      <c r="W24" s="83"/>
      <c r="X24" s="81">
        <f ca="1">SUM(X8:X23)</f>
        <v>0</v>
      </c>
      <c r="Y24" s="81">
        <f ca="1">SUM(Y8:Y23)</f>
        <v>0</v>
      </c>
      <c r="Z24" s="81">
        <f ca="1">SUM(Z8:Z23)</f>
        <v>0</v>
      </c>
      <c r="AA24" s="83"/>
      <c r="AB24" s="81">
        <f ca="1">SUM(AB8:AB23)</f>
        <v>0</v>
      </c>
      <c r="AC24" s="81">
        <f ca="1">SUM(AC8:AC23)</f>
        <v>0</v>
      </c>
      <c r="AD24" s="81">
        <f ca="1">SUM(AD8:AD23)</f>
        <v>0</v>
      </c>
      <c r="AE24" s="83"/>
      <c r="AF24" s="81">
        <f ca="1">SUM(AF8:AF23)</f>
        <v>0</v>
      </c>
      <c r="AG24" s="81">
        <f ca="1">SUM(AG8:AG23)</f>
        <v>0</v>
      </c>
      <c r="AH24" s="81">
        <f ca="1">SUM(AH8:AH23)</f>
        <v>0</v>
      </c>
      <c r="AI24" s="637"/>
      <c r="AJ24" s="637"/>
      <c r="AK24" s="637"/>
      <c r="AL24" s="636"/>
      <c r="AM24" s="637"/>
      <c r="AN24" s="637"/>
      <c r="AO24" s="637"/>
      <c r="AP24" s="61"/>
      <c r="AQ24" s="61"/>
      <c r="AR24" s="61"/>
      <c r="AS24" s="61"/>
      <c r="AT24" s="61"/>
      <c r="AU24" s="61"/>
      <c r="AX24" s="373"/>
      <c r="AY24" s="373"/>
      <c r="AZ24" s="373"/>
    </row>
    <row r="25" spans="1:52" x14ac:dyDescent="0.25">
      <c r="B25" s="79"/>
      <c r="C25" s="79"/>
      <c r="D25" s="79"/>
      <c r="E25" s="79"/>
      <c r="G25" s="79"/>
      <c r="H25" s="79"/>
      <c r="I25" s="79"/>
      <c r="K25" s="79"/>
      <c r="L25" s="79"/>
      <c r="M25" s="79"/>
      <c r="O25" s="79"/>
      <c r="P25" s="79"/>
      <c r="Q25" s="79"/>
      <c r="S25" s="84"/>
      <c r="T25" s="84"/>
      <c r="U25" s="84"/>
      <c r="V25" s="84"/>
      <c r="AX25"/>
      <c r="AY25"/>
      <c r="AZ25"/>
    </row>
    <row r="26" spans="1:52" ht="17.25" x14ac:dyDescent="0.3">
      <c r="R26" s="92"/>
      <c r="S26"/>
      <c r="T26"/>
      <c r="U26"/>
      <c r="V26"/>
      <c r="W26"/>
      <c r="X26"/>
      <c r="Y26"/>
      <c r="Z26"/>
      <c r="AA26" s="373"/>
    </row>
    <row r="27" spans="1:52" ht="17.25" x14ac:dyDescent="0.3">
      <c r="R27" s="92"/>
      <c r="S27" s="373"/>
      <c r="T27" s="373"/>
      <c r="U27" s="373"/>
      <c r="V27" s="373"/>
      <c r="W27" s="373"/>
      <c r="X27" s="373"/>
      <c r="Y27" s="373"/>
      <c r="Z27" s="373"/>
      <c r="AA27" s="373"/>
    </row>
    <row r="28" spans="1:52" x14ac:dyDescent="0.25">
      <c r="R28" s="89"/>
    </row>
    <row r="29" spans="1:52" x14ac:dyDescent="0.25">
      <c r="R29" s="89"/>
      <c r="V29" s="23"/>
    </row>
    <row r="30" spans="1:52" x14ac:dyDescent="0.25">
      <c r="R30" s="89"/>
      <c r="V30" s="23"/>
    </row>
    <row r="31" spans="1:52" x14ac:dyDescent="0.25">
      <c r="R31" s="91"/>
    </row>
    <row r="32" spans="1:52" x14ac:dyDescent="0.25">
      <c r="R32" s="91"/>
    </row>
    <row r="33" spans="2:22" x14ac:dyDescent="0.25">
      <c r="R33" s="91"/>
    </row>
    <row r="34" spans="2:22" x14ac:dyDescent="0.25">
      <c r="R34" s="91"/>
      <c r="S34" s="86"/>
      <c r="T34" s="86"/>
      <c r="U34" s="86"/>
    </row>
    <row r="35" spans="2:22" x14ac:dyDescent="0.25">
      <c r="R35" s="91"/>
      <c r="S35" s="86"/>
      <c r="T35" s="86"/>
      <c r="U35" s="86"/>
    </row>
    <row r="36" spans="2:22" x14ac:dyDescent="0.25">
      <c r="R36" s="91"/>
      <c r="S36" s="84"/>
      <c r="T36" s="84"/>
      <c r="U36" s="84"/>
      <c r="V36" s="84"/>
    </row>
    <row r="37" spans="2:22" x14ac:dyDescent="0.25">
      <c r="R37" s="91"/>
      <c r="S37" s="84"/>
      <c r="T37" s="84"/>
      <c r="U37" s="84"/>
      <c r="V37" s="84"/>
    </row>
    <row r="38" spans="2:22" x14ac:dyDescent="0.25">
      <c r="R38" s="91"/>
      <c r="S38" s="84"/>
      <c r="T38" s="84"/>
      <c r="U38" s="84"/>
      <c r="V38" s="84"/>
    </row>
    <row r="39" spans="2:22" x14ac:dyDescent="0.25">
      <c r="R39" s="91"/>
      <c r="S39" s="84"/>
      <c r="T39" s="84"/>
      <c r="U39" s="84"/>
      <c r="V39" s="84"/>
    </row>
    <row r="40" spans="2:22" x14ac:dyDescent="0.25">
      <c r="R40" s="91"/>
      <c r="S40" s="84"/>
      <c r="T40" s="84"/>
      <c r="U40" s="84"/>
      <c r="V40" s="84"/>
    </row>
    <row r="41" spans="2:22" x14ac:dyDescent="0.25">
      <c r="R41" s="91"/>
      <c r="S41" s="84"/>
      <c r="T41" s="84"/>
      <c r="U41" s="84"/>
      <c r="V41" s="84"/>
    </row>
    <row r="42" spans="2:22" x14ac:dyDescent="0.25">
      <c r="R42" s="91"/>
      <c r="S42" s="84"/>
      <c r="T42" s="84"/>
      <c r="U42" s="84"/>
      <c r="V42" s="84"/>
    </row>
    <row r="43" spans="2:22" x14ac:dyDescent="0.25">
      <c r="R43" s="91"/>
      <c r="S43" s="84"/>
      <c r="T43" s="84"/>
      <c r="U43" s="84"/>
      <c r="V43" s="84"/>
    </row>
    <row r="44" spans="2:22" x14ac:dyDescent="0.25">
      <c r="R44" s="91"/>
      <c r="S44" s="84"/>
      <c r="T44" s="84"/>
      <c r="U44" s="84"/>
      <c r="V44" s="84"/>
    </row>
    <row r="45" spans="2:22" x14ac:dyDescent="0.25">
      <c r="R45" s="91"/>
      <c r="S45" s="84"/>
      <c r="T45" s="84"/>
      <c r="U45" s="84"/>
      <c r="V45" s="84"/>
    </row>
    <row r="46" spans="2:22" x14ac:dyDescent="0.25">
      <c r="R46" s="91"/>
      <c r="S46" s="84"/>
      <c r="T46" s="84"/>
      <c r="U46" s="84"/>
      <c r="V46" s="84"/>
    </row>
    <row r="47" spans="2:22" x14ac:dyDescent="0.25">
      <c r="R47" s="83"/>
      <c r="S47" s="84"/>
      <c r="T47" s="84"/>
      <c r="U47" s="84"/>
      <c r="V47" s="84"/>
    </row>
    <row r="48" spans="2:22" x14ac:dyDescent="0.25">
      <c r="B48" s="62"/>
      <c r="C48" s="62" t="str">
        <f ca="1">$C$51&amp;C53</f>
        <v>18/19Feb</v>
      </c>
      <c r="D48" s="62" t="str">
        <f t="shared" ref="D48:E48" ca="1" si="18">$C$51&amp;D53</f>
        <v>18/19Mar</v>
      </c>
      <c r="E48" s="62" t="str">
        <f t="shared" ca="1" si="18"/>
        <v>18/19Apr</v>
      </c>
      <c r="F48" s="576"/>
      <c r="G48" s="62" t="str">
        <f ca="1">$G$51&amp;G53</f>
        <v>18/19May</v>
      </c>
      <c r="H48" s="62" t="str">
        <f t="shared" ref="H48:I48" ca="1" si="19">$G$51&amp;H53</f>
        <v>18/19Jun</v>
      </c>
      <c r="I48" s="62" t="str">
        <f t="shared" ca="1" si="19"/>
        <v>18/19Jul</v>
      </c>
      <c r="J48" s="576"/>
      <c r="K48" s="62" t="str">
        <f ca="1">$K$51&amp;K53</f>
        <v>19/20Aug</v>
      </c>
      <c r="L48" s="62" t="str">
        <f t="shared" ref="L48:M48" ca="1" si="20">$K$51&amp;L53</f>
        <v>19/20Sep</v>
      </c>
      <c r="M48" s="62" t="str">
        <f t="shared" ca="1" si="20"/>
        <v>19/20Oct</v>
      </c>
      <c r="N48" s="576"/>
      <c r="O48" s="62" t="str">
        <f ca="1">$O$51&amp;O53</f>
        <v>19/20Nov</v>
      </c>
      <c r="P48" s="62" t="str">
        <f t="shared" ref="P48:Q48" ca="1" si="21">$O$51&amp;P53</f>
        <v>19/20Dec</v>
      </c>
      <c r="Q48" s="62" t="str">
        <f t="shared" ca="1" si="21"/>
        <v>19/20Jan</v>
      </c>
      <c r="R48" s="19"/>
      <c r="S48" s="62" t="str">
        <f ca="1">$S$51&amp;S53</f>
        <v>19/20Feb</v>
      </c>
      <c r="T48" s="62" t="str">
        <f t="shared" ref="T48:U48" ca="1" si="22">$S$51&amp;T53</f>
        <v>19/20Mar</v>
      </c>
      <c r="U48" s="62" t="str">
        <f t="shared" ca="1" si="22"/>
        <v>19/20Apr</v>
      </c>
    </row>
    <row r="49" spans="2:47" ht="18" thickBot="1" x14ac:dyDescent="0.35">
      <c r="B49" s="937" t="s">
        <v>132</v>
      </c>
      <c r="C49" s="937"/>
      <c r="D49" s="937"/>
      <c r="E49" s="937"/>
      <c r="F49" s="937"/>
      <c r="G49" s="937"/>
      <c r="H49" s="937"/>
      <c r="I49" s="937"/>
      <c r="J49" s="937"/>
      <c r="K49" s="937"/>
      <c r="L49" s="937"/>
      <c r="M49" s="937"/>
      <c r="N49" s="937"/>
      <c r="O49" s="937"/>
      <c r="P49" s="937"/>
      <c r="Q49" s="937"/>
      <c r="R49" s="937"/>
      <c r="S49" s="937"/>
      <c r="T49" s="937"/>
      <c r="U49" s="937"/>
    </row>
    <row r="50" spans="2:47" ht="15" hidden="1" customHeight="1" x14ac:dyDescent="0.25">
      <c r="C50" s="78" t="str">
        <f ca="1">$C51&amp;C53</f>
        <v>18/19Feb</v>
      </c>
      <c r="D50" s="78" t="str">
        <f t="shared" ref="D50" ca="1" si="23">$C51&amp;D53</f>
        <v>18/19Mar</v>
      </c>
      <c r="E50" s="78" t="str">
        <f t="shared" ref="E50" ca="1" si="24">$C51&amp;E53</f>
        <v>18/19Apr</v>
      </c>
      <c r="G50" s="78" t="str">
        <f ca="1">$G51&amp;G53</f>
        <v>18/19May</v>
      </c>
      <c r="H50" s="78" t="str">
        <f t="shared" ref="H50" ca="1" si="25">$G51&amp;H53</f>
        <v>18/19Jun</v>
      </c>
      <c r="I50" s="78" t="str">
        <f t="shared" ref="I50" ca="1" si="26">$G51&amp;I53</f>
        <v>18/19Jul</v>
      </c>
      <c r="K50" s="78" t="str">
        <f ca="1">$K51&amp;K53</f>
        <v>19/20Aug</v>
      </c>
      <c r="L50" s="78" t="str">
        <f t="shared" ref="L50" ca="1" si="27">$K51&amp;L53</f>
        <v>19/20Sep</v>
      </c>
      <c r="M50" s="78" t="str">
        <f t="shared" ref="M50" ca="1" si="28">$K51&amp;M53</f>
        <v>19/20Oct</v>
      </c>
      <c r="O50" s="78" t="str">
        <f ca="1">$O51&amp;O53</f>
        <v>19/20Nov</v>
      </c>
      <c r="P50" s="78" t="str">
        <f t="shared" ref="P50" ca="1" si="29">$O51&amp;P53</f>
        <v>19/20Dec</v>
      </c>
      <c r="Q50" s="78" t="str">
        <f t="shared" ref="Q50" ca="1" si="30">$O51&amp;Q53</f>
        <v>19/20Jan</v>
      </c>
      <c r="S50" s="78" t="str">
        <f ca="1">$S51&amp;S53</f>
        <v>19/20Feb</v>
      </c>
      <c r="T50" s="78" t="str">
        <f t="shared" ref="T50:U50" ca="1" si="31">$S51&amp;T53</f>
        <v>19/20Mar</v>
      </c>
      <c r="U50" s="78" t="str">
        <f t="shared" ca="1" si="31"/>
        <v>19/20Apr</v>
      </c>
    </row>
    <row r="51" spans="2:47" s="1" customFormat="1" x14ac:dyDescent="0.25">
      <c r="B51" s="378"/>
      <c r="C51" s="894" t="str">
        <f ca="1">TIME!$M$27</f>
        <v>18/19</v>
      </c>
      <c r="D51" s="894"/>
      <c r="E51" s="894"/>
      <c r="F51" s="289"/>
      <c r="G51" s="894" t="str">
        <f ca="1">TIME!$M$28</f>
        <v>18/19</v>
      </c>
      <c r="H51" s="894"/>
      <c r="I51" s="894"/>
      <c r="J51" s="289"/>
      <c r="K51" s="894" t="str">
        <f ca="1">TIME!$M$29</f>
        <v>19/20</v>
      </c>
      <c r="L51" s="894"/>
      <c r="M51" s="894"/>
      <c r="N51" s="289"/>
      <c r="O51" s="894" t="str">
        <f ca="1">TIME!$M$30</f>
        <v>19/20</v>
      </c>
      <c r="P51" s="894"/>
      <c r="Q51" s="894"/>
      <c r="R51" s="289"/>
      <c r="S51" s="894" t="str">
        <f ca="1">TIME!$M$31</f>
        <v>19/20</v>
      </c>
      <c r="T51" s="894"/>
      <c r="U51" s="894"/>
      <c r="AB51" s="378"/>
      <c r="AC51" s="378"/>
      <c r="AD51" s="378"/>
      <c r="AE51" s="378"/>
      <c r="AF51" s="639"/>
      <c r="AG51" s="639"/>
      <c r="AH51" s="639"/>
      <c r="AI51" s="639"/>
      <c r="AJ51" s="639"/>
      <c r="AK51" s="639"/>
      <c r="AL51" s="639"/>
      <c r="AM51" s="639"/>
      <c r="AN51" s="639"/>
      <c r="AO51" s="639"/>
      <c r="AP51" s="639"/>
      <c r="AQ51" s="639"/>
      <c r="AR51" s="639"/>
      <c r="AS51" s="639"/>
      <c r="AT51" s="639"/>
      <c r="AU51" s="639"/>
    </row>
    <row r="52" spans="2:47" s="1" customFormat="1" x14ac:dyDescent="0.25">
      <c r="C52" s="942" t="str">
        <f ca="1">TIME!$N$27</f>
        <v>Q3</v>
      </c>
      <c r="D52" s="942"/>
      <c r="E52" s="942"/>
      <c r="F52" s="289"/>
      <c r="G52" s="942" t="str">
        <f ca="1">TIME!$N$28</f>
        <v>Q4</v>
      </c>
      <c r="H52" s="942"/>
      <c r="I52" s="942"/>
      <c r="J52" s="289"/>
      <c r="K52" s="942" t="str">
        <f ca="1">TIME!$N$29</f>
        <v>Q1</v>
      </c>
      <c r="L52" s="942"/>
      <c r="M52" s="942"/>
      <c r="N52" s="289"/>
      <c r="O52" s="942" t="str">
        <f ca="1">TIME!$N$30</f>
        <v>Q2</v>
      </c>
      <c r="P52" s="942"/>
      <c r="Q52" s="942"/>
      <c r="R52" s="289"/>
      <c r="S52" s="942" t="str">
        <f ca="1">TIME!$N$31</f>
        <v>Q3</v>
      </c>
      <c r="T52" s="942"/>
      <c r="U52" s="942"/>
      <c r="AB52" s="378"/>
      <c r="AC52" s="378"/>
      <c r="AD52" s="378"/>
      <c r="AE52" s="378"/>
      <c r="AF52" s="639"/>
      <c r="AG52" s="639"/>
      <c r="AH52" s="639"/>
      <c r="AI52" s="639"/>
      <c r="AJ52" s="639"/>
      <c r="AK52" s="639"/>
      <c r="AL52" s="639"/>
      <c r="AM52" s="639"/>
      <c r="AN52" s="639"/>
      <c r="AO52" s="639"/>
      <c r="AP52" s="639"/>
      <c r="AQ52" s="639"/>
      <c r="AR52" s="639"/>
      <c r="AS52" s="639"/>
      <c r="AT52" s="639"/>
      <c r="AU52" s="639"/>
    </row>
    <row r="53" spans="2:47" s="1" customFormat="1" x14ac:dyDescent="0.25">
      <c r="B53" s="379"/>
      <c r="C53" s="380" t="str">
        <f ca="1">C7</f>
        <v>Feb</v>
      </c>
      <c r="D53" s="380" t="str">
        <f ca="1">D7</f>
        <v>Mar</v>
      </c>
      <c r="E53" s="380" t="str">
        <f ca="1">E7</f>
        <v>Apr</v>
      </c>
      <c r="F53" s="289"/>
      <c r="G53" s="380" t="str">
        <f ca="1">G7</f>
        <v>May</v>
      </c>
      <c r="H53" s="380" t="str">
        <f ca="1">H7</f>
        <v>Jun</v>
      </c>
      <c r="I53" s="380" t="str">
        <f ca="1">I7</f>
        <v>Jul</v>
      </c>
      <c r="J53" s="289"/>
      <c r="K53" s="380" t="str">
        <f ca="1">K7</f>
        <v>Aug</v>
      </c>
      <c r="L53" s="380" t="str">
        <f ca="1">L7</f>
        <v>Sep</v>
      </c>
      <c r="M53" s="380" t="str">
        <f ca="1">M7</f>
        <v>Oct</v>
      </c>
      <c r="N53" s="289"/>
      <c r="O53" s="380" t="str">
        <f ca="1">O7</f>
        <v>Nov</v>
      </c>
      <c r="P53" s="380" t="str">
        <f ca="1">P7</f>
        <v>Dec</v>
      </c>
      <c r="Q53" s="380" t="str">
        <f ca="1">Q7</f>
        <v>Jan</v>
      </c>
      <c r="R53" s="289"/>
      <c r="S53" s="380" t="str">
        <f ca="1">VLOOKUP(Q53,TIME!$S$28:$U$39,3,0)</f>
        <v>Feb</v>
      </c>
      <c r="T53" s="380" t="str">
        <f ca="1">VLOOKUP(S53,TIME!$S$28:$U$39,3,0)</f>
        <v>Mar</v>
      </c>
      <c r="U53" s="380" t="str">
        <f ca="1">VLOOKUP(T53,TIME!$S$28:$U$39,3,0)</f>
        <v>Apr</v>
      </c>
      <c r="AB53" s="378"/>
      <c r="AC53" s="378"/>
      <c r="AD53" s="378"/>
      <c r="AE53" s="378"/>
      <c r="AF53" s="639"/>
      <c r="AG53" s="639"/>
      <c r="AH53" s="639"/>
      <c r="AI53" s="639"/>
      <c r="AJ53" s="639"/>
      <c r="AK53" s="639"/>
      <c r="AL53" s="639"/>
      <c r="AM53" s="639"/>
      <c r="AN53" s="639"/>
      <c r="AO53" s="639"/>
      <c r="AP53" s="639"/>
      <c r="AQ53" s="639"/>
      <c r="AR53" s="639"/>
      <c r="AS53" s="639"/>
      <c r="AT53" s="639"/>
      <c r="AU53" s="639"/>
    </row>
    <row r="54" spans="2:47" x14ac:dyDescent="0.25">
      <c r="B54" s="1" t="str">
        <f>'PIVOT TABLE'!A4</f>
        <v>ACCESSORIES</v>
      </c>
      <c r="C54" s="844">
        <f ca="1">SUMIFS(FC_DATA!$AM:$AM,FC_DATA!$U:$U,$B$1,FC_DATA!$W:$W,$B54,FC_DATA!$X:$X,$C$51,FC_DATA!$Z:$Z,C$53)</f>
        <v>0</v>
      </c>
      <c r="D54" s="844">
        <f ca="1">SUMIFS(FC_DATA!$AM:$AM,FC_DATA!$U:$U,$B$1,FC_DATA!$W:$W,$B54,FC_DATA!$X:$X,$C$51,FC_DATA!$Z:$Z,D$53)</f>
        <v>0</v>
      </c>
      <c r="E54" s="844">
        <f ca="1">SUMIFS(FC_DATA!$AM:$AM,FC_DATA!$U:$U,$B$1,FC_DATA!$W:$W,$B54,FC_DATA!$X:$X,$C$51,FC_DATA!$Z:$Z,E$53)</f>
        <v>0</v>
      </c>
      <c r="F54" s="845"/>
      <c r="G54" s="844">
        <f ca="1">SUMIFS(FC_DATA!$AM:$AM,FC_DATA!$U:$U,$B$1,FC_DATA!$W:$W,$B54,FC_DATA!$X:$X,$G$51,FC_DATA!$Z:$Z,G$53)</f>
        <v>0</v>
      </c>
      <c r="H54" s="844">
        <f ca="1">SUMIFS(FC_DATA!$AM:$AM,FC_DATA!$U:$U,$B$1,FC_DATA!$W:$W,$B54,FC_DATA!$X:$X,$G$51,FC_DATA!$Z:$Z,H$53)</f>
        <v>0</v>
      </c>
      <c r="I54" s="844">
        <f ca="1">SUMIFS(FC_DATA!$AM:$AM,FC_DATA!$U:$U,$B$1,FC_DATA!$W:$W,$B54,FC_DATA!$X:$X,$G$51,FC_DATA!$Z:$Z,I$53)</f>
        <v>0</v>
      </c>
      <c r="J54" s="845"/>
      <c r="K54" s="844">
        <f ca="1">SUMIFS(FC_DATA!$AM:$AM,FC_DATA!$U:$U,$B$1,FC_DATA!$W:$W,$B54,FC_DATA!$X:$X,$K$51,FC_DATA!$Z:$Z,K$53)</f>
        <v>0</v>
      </c>
      <c r="L54" s="844">
        <f ca="1">SUMIFS(FC_DATA!$AM:$AM,FC_DATA!$U:$U,$B$1,FC_DATA!$W:$W,$B54,FC_DATA!$X:$X,$K$51,FC_DATA!$Z:$Z,L$53)</f>
        <v>0</v>
      </c>
      <c r="M54" s="844">
        <f ca="1">SUMIFS(FC_DATA!$AM:$AM,FC_DATA!$U:$U,$B$1,FC_DATA!$W:$W,$B54,FC_DATA!$X:$X,$K$51,FC_DATA!$Z:$Z,M$53)</f>
        <v>0</v>
      </c>
      <c r="N54" s="845"/>
      <c r="O54" s="844">
        <f ca="1">SUMIFS(FC_DATA!$AM:$AM,FC_DATA!$U:$U,$B$1,FC_DATA!$W:$W,$B54,FC_DATA!$X:$X,$O$51,FC_DATA!$Z:$Z,O$53)</f>
        <v>0</v>
      </c>
      <c r="P54" s="844">
        <f ca="1">SUMIFS(FC_DATA!$AM:$AM,FC_DATA!$U:$U,$B$1,FC_DATA!$W:$W,$B54,FC_DATA!$X:$X,$O$51,FC_DATA!$Z:$Z,P$53)</f>
        <v>0</v>
      </c>
      <c r="Q54" s="844">
        <f ca="1">SUMIFS(FC_DATA!$AM:$AM,FC_DATA!$U:$U,$B$1,FC_DATA!$W:$W,$B54,FC_DATA!$X:$X,$O$51,FC_DATA!$Z:$Z,Q$53)</f>
        <v>0</v>
      </c>
      <c r="R54" s="845"/>
      <c r="S54" s="844">
        <f ca="1">SUMIFS(FC_DATA!$AM:$AM,FC_DATA!$U:$U,$B$1,FC_DATA!$W:$W,$B54,FC_DATA!$X:$X,$S$51,FC_DATA!$Z:$Z,S$53)</f>
        <v>0</v>
      </c>
      <c r="T54" s="844">
        <f ca="1">SUMIFS(FC_DATA!$AM:$AM,FC_DATA!$U:$U,$B$1,FC_DATA!$W:$W,$B54,FC_DATA!$X:$X,$S$51,FC_DATA!$Z:$Z,T$53)</f>
        <v>0</v>
      </c>
      <c r="U54" s="844">
        <f ca="1">SUMIFS(FC_DATA!$AM:$AM,FC_DATA!$U:$U,$B$1,FC_DATA!$W:$W,$B54,FC_DATA!$X:$X,$S$51,FC_DATA!$Z:$Z,U$53)</f>
        <v>0</v>
      </c>
    </row>
    <row r="55" spans="2:47" x14ac:dyDescent="0.25">
      <c r="B55" s="1" t="str">
        <f>'PIVOT TABLE'!A5</f>
        <v>DRESSES</v>
      </c>
      <c r="C55" s="844">
        <f ca="1">SUMIFS(FC_DATA!$AM:$AM,FC_DATA!$U:$U,$B$1,FC_DATA!$W:$W,$B55,FC_DATA!$X:$X,$C$51,FC_DATA!$Z:$Z,C$53)</f>
        <v>0</v>
      </c>
      <c r="D55" s="844">
        <f ca="1">SUMIFS(FC_DATA!$AM:$AM,FC_DATA!$U:$U,$B$1,FC_DATA!$W:$W,$B55,FC_DATA!$X:$X,$C$51,FC_DATA!$Z:$Z,D$53)</f>
        <v>0</v>
      </c>
      <c r="E55" s="844">
        <f ca="1">SUMIFS(FC_DATA!$AM:$AM,FC_DATA!$U:$U,$B$1,FC_DATA!$W:$W,$B55,FC_DATA!$X:$X,$C$51,FC_DATA!$Z:$Z,E$53)</f>
        <v>0</v>
      </c>
      <c r="F55" s="845"/>
      <c r="G55" s="844">
        <f ca="1">SUMIFS(FC_DATA!$AM:$AM,FC_DATA!$U:$U,$B$1,FC_DATA!$W:$W,$B55,FC_DATA!$X:$X,$G$51,FC_DATA!$Z:$Z,G$53)</f>
        <v>0</v>
      </c>
      <c r="H55" s="844">
        <f ca="1">SUMIFS(FC_DATA!$AM:$AM,FC_DATA!$U:$U,$B$1,FC_DATA!$W:$W,$B55,FC_DATA!$X:$X,$G$51,FC_DATA!$Z:$Z,H$53)</f>
        <v>0</v>
      </c>
      <c r="I55" s="844">
        <f ca="1">SUMIFS(FC_DATA!$AM:$AM,FC_DATA!$U:$U,$B$1,FC_DATA!$W:$W,$B55,FC_DATA!$X:$X,$G$51,FC_DATA!$Z:$Z,I$53)</f>
        <v>0</v>
      </c>
      <c r="J55" s="845"/>
      <c r="K55" s="844">
        <f ca="1">SUMIFS(FC_DATA!$AM:$AM,FC_DATA!$U:$U,$B$1,FC_DATA!$W:$W,$B55,FC_DATA!$X:$X,$K$51,FC_DATA!$Z:$Z,K$53)</f>
        <v>0</v>
      </c>
      <c r="L55" s="844">
        <f ca="1">SUMIFS(FC_DATA!$AM:$AM,FC_DATA!$U:$U,$B$1,FC_DATA!$W:$W,$B55,FC_DATA!$X:$X,$K$51,FC_DATA!$Z:$Z,L$53)</f>
        <v>0</v>
      </c>
      <c r="M55" s="844">
        <f ca="1">SUMIFS(FC_DATA!$AM:$AM,FC_DATA!$U:$U,$B$1,FC_DATA!$W:$W,$B55,FC_DATA!$X:$X,$K$51,FC_DATA!$Z:$Z,M$53)</f>
        <v>0</v>
      </c>
      <c r="N55" s="845"/>
      <c r="O55" s="844">
        <f ca="1">SUMIFS(FC_DATA!$AM:$AM,FC_DATA!$U:$U,$B$1,FC_DATA!$W:$W,$B55,FC_DATA!$X:$X,$O$51,FC_DATA!$Z:$Z,O$53)</f>
        <v>0</v>
      </c>
      <c r="P55" s="844">
        <f ca="1">SUMIFS(FC_DATA!$AM:$AM,FC_DATA!$U:$U,$B$1,FC_DATA!$W:$W,$B55,FC_DATA!$X:$X,$O$51,FC_DATA!$Z:$Z,P$53)</f>
        <v>0</v>
      </c>
      <c r="Q55" s="844">
        <f ca="1">SUMIFS(FC_DATA!$AM:$AM,FC_DATA!$U:$U,$B$1,FC_DATA!$W:$W,$B55,FC_DATA!$X:$X,$O$51,FC_DATA!$Z:$Z,Q$53)</f>
        <v>0</v>
      </c>
      <c r="R55" s="845"/>
      <c r="S55" s="844">
        <f ca="1">SUMIFS(FC_DATA!$AM:$AM,FC_DATA!$U:$U,$B$1,FC_DATA!$W:$W,$B55,FC_DATA!$X:$X,$S$51,FC_DATA!$Z:$Z,S$53)</f>
        <v>0</v>
      </c>
      <c r="T55" s="844">
        <f ca="1">SUMIFS(FC_DATA!$AM:$AM,FC_DATA!$U:$U,$B$1,FC_DATA!$W:$W,$B55,FC_DATA!$X:$X,$S$51,FC_DATA!$Z:$Z,T$53)</f>
        <v>0</v>
      </c>
      <c r="U55" s="844">
        <f ca="1">SUMIFS(FC_DATA!$AM:$AM,FC_DATA!$U:$U,$B$1,FC_DATA!$W:$W,$B55,FC_DATA!$X:$X,$S$51,FC_DATA!$Z:$Z,U$53)</f>
        <v>0</v>
      </c>
    </row>
    <row r="56" spans="2:47" x14ac:dyDescent="0.25">
      <c r="B56" s="1" t="str">
        <f>'PIVOT TABLE'!A6</f>
        <v>JEANS</v>
      </c>
      <c r="C56" s="844">
        <f ca="1">SUMIFS(FC_DATA!$AM:$AM,FC_DATA!$U:$U,$B$1,FC_DATA!$W:$W,$B56,FC_DATA!$X:$X,$C$51,FC_DATA!$Z:$Z,C$53)</f>
        <v>0</v>
      </c>
      <c r="D56" s="844">
        <f ca="1">SUMIFS(FC_DATA!$AM:$AM,FC_DATA!$U:$U,$B$1,FC_DATA!$W:$W,$B56,FC_DATA!$X:$X,$C$51,FC_DATA!$Z:$Z,D$53)</f>
        <v>0</v>
      </c>
      <c r="E56" s="844">
        <f ca="1">SUMIFS(FC_DATA!$AM:$AM,FC_DATA!$U:$U,$B$1,FC_DATA!$W:$W,$B56,FC_DATA!$X:$X,$C$51,FC_DATA!$Z:$Z,E$53)</f>
        <v>0</v>
      </c>
      <c r="F56" s="845"/>
      <c r="G56" s="844">
        <f ca="1">SUMIFS(FC_DATA!$AM:$AM,FC_DATA!$U:$U,$B$1,FC_DATA!$W:$W,$B56,FC_DATA!$X:$X,$G$51,FC_DATA!$Z:$Z,G$53)</f>
        <v>0</v>
      </c>
      <c r="H56" s="844">
        <f ca="1">SUMIFS(FC_DATA!$AM:$AM,FC_DATA!$U:$U,$B$1,FC_DATA!$W:$W,$B56,FC_DATA!$X:$X,$G$51,FC_DATA!$Z:$Z,H$53)</f>
        <v>0</v>
      </c>
      <c r="I56" s="844">
        <f ca="1">SUMIFS(FC_DATA!$AM:$AM,FC_DATA!$U:$U,$B$1,FC_DATA!$W:$W,$B56,FC_DATA!$X:$X,$G$51,FC_DATA!$Z:$Z,I$53)</f>
        <v>0</v>
      </c>
      <c r="J56" s="845"/>
      <c r="K56" s="844">
        <f ca="1">SUMIFS(FC_DATA!$AM:$AM,FC_DATA!$U:$U,$B$1,FC_DATA!$W:$W,$B56,FC_DATA!$X:$X,$K$51,FC_DATA!$Z:$Z,K$53)</f>
        <v>0</v>
      </c>
      <c r="L56" s="844">
        <f ca="1">SUMIFS(FC_DATA!$AM:$AM,FC_DATA!$U:$U,$B$1,FC_DATA!$W:$W,$B56,FC_DATA!$X:$X,$K$51,FC_DATA!$Z:$Z,L$53)</f>
        <v>0</v>
      </c>
      <c r="M56" s="844">
        <f ca="1">SUMIFS(FC_DATA!$AM:$AM,FC_DATA!$U:$U,$B$1,FC_DATA!$W:$W,$B56,FC_DATA!$X:$X,$K$51,FC_DATA!$Z:$Z,M$53)</f>
        <v>0</v>
      </c>
      <c r="N56" s="845"/>
      <c r="O56" s="844">
        <f ca="1">SUMIFS(FC_DATA!$AM:$AM,FC_DATA!$U:$U,$B$1,FC_DATA!$W:$W,$B56,FC_DATA!$X:$X,$O$51,FC_DATA!$Z:$Z,O$53)</f>
        <v>0</v>
      </c>
      <c r="P56" s="844">
        <f ca="1">SUMIFS(FC_DATA!$AM:$AM,FC_DATA!$U:$U,$B$1,FC_DATA!$W:$W,$B56,FC_DATA!$X:$X,$O$51,FC_DATA!$Z:$Z,P$53)</f>
        <v>0</v>
      </c>
      <c r="Q56" s="844">
        <f ca="1">SUMIFS(FC_DATA!$AM:$AM,FC_DATA!$U:$U,$B$1,FC_DATA!$W:$W,$B56,FC_DATA!$X:$X,$O$51,FC_DATA!$Z:$Z,Q$53)</f>
        <v>0</v>
      </c>
      <c r="R56" s="845"/>
      <c r="S56" s="844">
        <f ca="1">SUMIFS(FC_DATA!$AM:$AM,FC_DATA!$U:$U,$B$1,FC_DATA!$W:$W,$B56,FC_DATA!$X:$X,$S$51,FC_DATA!$Z:$Z,S$53)</f>
        <v>0</v>
      </c>
      <c r="T56" s="844">
        <f ca="1">SUMIFS(FC_DATA!$AM:$AM,FC_DATA!$U:$U,$B$1,FC_DATA!$W:$W,$B56,FC_DATA!$X:$X,$S$51,FC_DATA!$Z:$Z,T$53)</f>
        <v>0</v>
      </c>
      <c r="U56" s="844">
        <f ca="1">SUMIFS(FC_DATA!$AM:$AM,FC_DATA!$U:$U,$B$1,FC_DATA!$W:$W,$B56,FC_DATA!$X:$X,$S$51,FC_DATA!$Z:$Z,U$53)</f>
        <v>0</v>
      </c>
    </row>
    <row r="57" spans="2:47" x14ac:dyDescent="0.25">
      <c r="B57" s="1" t="str">
        <f>'PIVOT TABLE'!A7</f>
        <v>KNIT</v>
      </c>
      <c r="C57" s="844">
        <f ca="1">SUMIFS(FC_DATA!$AM:$AM,FC_DATA!$U:$U,$B$1,FC_DATA!$W:$W,$B57,FC_DATA!$X:$X,$C$51,FC_DATA!$Z:$Z,C$53)</f>
        <v>0</v>
      </c>
      <c r="D57" s="844">
        <f ca="1">SUMIFS(FC_DATA!$AM:$AM,FC_DATA!$U:$U,$B$1,FC_DATA!$W:$W,$B57,FC_DATA!$X:$X,$C$51,FC_DATA!$Z:$Z,D$53)</f>
        <v>0</v>
      </c>
      <c r="E57" s="844">
        <f ca="1">SUMIFS(FC_DATA!$AM:$AM,FC_DATA!$U:$U,$B$1,FC_DATA!$W:$W,$B57,FC_DATA!$X:$X,$C$51,FC_DATA!$Z:$Z,E$53)</f>
        <v>0</v>
      </c>
      <c r="F57" s="845"/>
      <c r="G57" s="844">
        <f ca="1">SUMIFS(FC_DATA!$AM:$AM,FC_DATA!$U:$U,$B$1,FC_DATA!$W:$W,$B57,FC_DATA!$X:$X,$G$51,FC_DATA!$Z:$Z,G$53)</f>
        <v>0</v>
      </c>
      <c r="H57" s="844">
        <f ca="1">SUMIFS(FC_DATA!$AM:$AM,FC_DATA!$U:$U,$B$1,FC_DATA!$W:$W,$B57,FC_DATA!$X:$X,$G$51,FC_DATA!$Z:$Z,H$53)</f>
        <v>0</v>
      </c>
      <c r="I57" s="844">
        <f ca="1">SUMIFS(FC_DATA!$AM:$AM,FC_DATA!$U:$U,$B$1,FC_DATA!$W:$W,$B57,FC_DATA!$X:$X,$G$51,FC_DATA!$Z:$Z,I$53)</f>
        <v>0</v>
      </c>
      <c r="J57" s="845"/>
      <c r="K57" s="844">
        <f ca="1">SUMIFS(FC_DATA!$AM:$AM,FC_DATA!$U:$U,$B$1,FC_DATA!$W:$W,$B57,FC_DATA!$X:$X,$K$51,FC_DATA!$Z:$Z,K$53)</f>
        <v>0</v>
      </c>
      <c r="L57" s="844">
        <f ca="1">SUMIFS(FC_DATA!$AM:$AM,FC_DATA!$U:$U,$B$1,FC_DATA!$W:$W,$B57,FC_DATA!$X:$X,$K$51,FC_DATA!$Z:$Z,L$53)</f>
        <v>0</v>
      </c>
      <c r="M57" s="844">
        <f ca="1">SUMIFS(FC_DATA!$AM:$AM,FC_DATA!$U:$U,$B$1,FC_DATA!$W:$W,$B57,FC_DATA!$X:$X,$K$51,FC_DATA!$Z:$Z,M$53)</f>
        <v>0</v>
      </c>
      <c r="N57" s="845"/>
      <c r="O57" s="844">
        <f ca="1">SUMIFS(FC_DATA!$AM:$AM,FC_DATA!$U:$U,$B$1,FC_DATA!$W:$W,$B57,FC_DATA!$X:$X,$O$51,FC_DATA!$Z:$Z,O$53)</f>
        <v>0</v>
      </c>
      <c r="P57" s="844">
        <f ca="1">SUMIFS(FC_DATA!$AM:$AM,FC_DATA!$U:$U,$B$1,FC_DATA!$W:$W,$B57,FC_DATA!$X:$X,$O$51,FC_DATA!$Z:$Z,P$53)</f>
        <v>0</v>
      </c>
      <c r="Q57" s="844">
        <f ca="1">SUMIFS(FC_DATA!$AM:$AM,FC_DATA!$U:$U,$B$1,FC_DATA!$W:$W,$B57,FC_DATA!$X:$X,$O$51,FC_DATA!$Z:$Z,Q$53)</f>
        <v>0</v>
      </c>
      <c r="R57" s="845"/>
      <c r="S57" s="844">
        <f ca="1">SUMIFS(FC_DATA!$AM:$AM,FC_DATA!$U:$U,$B$1,FC_DATA!$W:$W,$B57,FC_DATA!$X:$X,$S$51,FC_DATA!$Z:$Z,S$53)</f>
        <v>0</v>
      </c>
      <c r="T57" s="844">
        <f ca="1">SUMIFS(FC_DATA!$AM:$AM,FC_DATA!$U:$U,$B$1,FC_DATA!$W:$W,$B57,FC_DATA!$X:$X,$S$51,FC_DATA!$Z:$Z,T$53)</f>
        <v>0</v>
      </c>
      <c r="U57" s="844">
        <f ca="1">SUMIFS(FC_DATA!$AM:$AM,FC_DATA!$U:$U,$B$1,FC_DATA!$W:$W,$B57,FC_DATA!$X:$X,$S$51,FC_DATA!$Z:$Z,U$53)</f>
        <v>0</v>
      </c>
    </row>
    <row r="58" spans="2:47" x14ac:dyDescent="0.25">
      <c r="B58" s="1" t="str">
        <f>'PIVOT TABLE'!A8</f>
        <v>OUTERWEAR</v>
      </c>
      <c r="C58" s="844">
        <f ca="1">SUMIFS(FC_DATA!$AM:$AM,FC_DATA!$U:$U,$B$1,FC_DATA!$W:$W,$B58,FC_DATA!$X:$X,$C$51,FC_DATA!$Z:$Z,C$53)</f>
        <v>0</v>
      </c>
      <c r="D58" s="844">
        <f ca="1">SUMIFS(FC_DATA!$AM:$AM,FC_DATA!$U:$U,$B$1,FC_DATA!$W:$W,$B58,FC_DATA!$X:$X,$C$51,FC_DATA!$Z:$Z,D$53)</f>
        <v>0</v>
      </c>
      <c r="E58" s="844">
        <f ca="1">SUMIFS(FC_DATA!$AM:$AM,FC_DATA!$U:$U,$B$1,FC_DATA!$W:$W,$B58,FC_DATA!$X:$X,$C$51,FC_DATA!$Z:$Z,E$53)</f>
        <v>0</v>
      </c>
      <c r="F58" s="845"/>
      <c r="G58" s="844">
        <f ca="1">SUMIFS(FC_DATA!$AM:$AM,FC_DATA!$U:$U,$B$1,FC_DATA!$W:$W,$B58,FC_DATA!$X:$X,$G$51,FC_DATA!$Z:$Z,G$53)</f>
        <v>0</v>
      </c>
      <c r="H58" s="844">
        <f ca="1">SUMIFS(FC_DATA!$AM:$AM,FC_DATA!$U:$U,$B$1,FC_DATA!$W:$W,$B58,FC_DATA!$X:$X,$G$51,FC_DATA!$Z:$Z,H$53)</f>
        <v>0</v>
      </c>
      <c r="I58" s="844">
        <f ca="1">SUMIFS(FC_DATA!$AM:$AM,FC_DATA!$U:$U,$B$1,FC_DATA!$W:$W,$B58,FC_DATA!$X:$X,$G$51,FC_DATA!$Z:$Z,I$53)</f>
        <v>0</v>
      </c>
      <c r="J58" s="845"/>
      <c r="K58" s="844">
        <f ca="1">SUMIFS(FC_DATA!$AM:$AM,FC_DATA!$U:$U,$B$1,FC_DATA!$W:$W,$B58,FC_DATA!$X:$X,$K$51,FC_DATA!$Z:$Z,K$53)</f>
        <v>0</v>
      </c>
      <c r="L58" s="844">
        <f ca="1">SUMIFS(FC_DATA!$AM:$AM,FC_DATA!$U:$U,$B$1,FC_DATA!$W:$W,$B58,FC_DATA!$X:$X,$K$51,FC_DATA!$Z:$Z,L$53)</f>
        <v>0</v>
      </c>
      <c r="M58" s="844">
        <f ca="1">SUMIFS(FC_DATA!$AM:$AM,FC_DATA!$U:$U,$B$1,FC_DATA!$W:$W,$B58,FC_DATA!$X:$X,$K$51,FC_DATA!$Z:$Z,M$53)</f>
        <v>0</v>
      </c>
      <c r="N58" s="845"/>
      <c r="O58" s="844">
        <f ca="1">SUMIFS(FC_DATA!$AM:$AM,FC_DATA!$U:$U,$B$1,FC_DATA!$W:$W,$B58,FC_DATA!$X:$X,$O$51,FC_DATA!$Z:$Z,O$53)</f>
        <v>0</v>
      </c>
      <c r="P58" s="844">
        <f ca="1">SUMIFS(FC_DATA!$AM:$AM,FC_DATA!$U:$U,$B$1,FC_DATA!$W:$W,$B58,FC_DATA!$X:$X,$O$51,FC_DATA!$Z:$Z,P$53)</f>
        <v>0</v>
      </c>
      <c r="Q58" s="844">
        <f ca="1">SUMIFS(FC_DATA!$AM:$AM,FC_DATA!$U:$U,$B$1,FC_DATA!$W:$W,$B58,FC_DATA!$X:$X,$O$51,FC_DATA!$Z:$Z,Q$53)</f>
        <v>0</v>
      </c>
      <c r="R58" s="845"/>
      <c r="S58" s="844">
        <f ca="1">SUMIFS(FC_DATA!$AM:$AM,FC_DATA!$U:$U,$B$1,FC_DATA!$W:$W,$B58,FC_DATA!$X:$X,$S$51,FC_DATA!$Z:$Z,S$53)</f>
        <v>0</v>
      </c>
      <c r="T58" s="844">
        <f ca="1">SUMIFS(FC_DATA!$AM:$AM,FC_DATA!$U:$U,$B$1,FC_DATA!$W:$W,$B58,FC_DATA!$X:$X,$S$51,FC_DATA!$Z:$Z,T$53)</f>
        <v>0</v>
      </c>
      <c r="U58" s="844">
        <f ca="1">SUMIFS(FC_DATA!$AM:$AM,FC_DATA!$U:$U,$B$1,FC_DATA!$W:$W,$B58,FC_DATA!$X:$X,$S$51,FC_DATA!$Z:$Z,U$53)</f>
        <v>0</v>
      </c>
    </row>
    <row r="59" spans="2:47" x14ac:dyDescent="0.25">
      <c r="B59" s="1" t="str">
        <f>'PIVOT TABLE'!A9</f>
        <v>PANTS</v>
      </c>
      <c r="C59" s="844">
        <f ca="1">SUMIFS(FC_DATA!$AM:$AM,FC_DATA!$U:$U,$B$1,FC_DATA!$W:$W,$B59,FC_DATA!$X:$X,$C$51,FC_DATA!$Z:$Z,C$53)</f>
        <v>0</v>
      </c>
      <c r="D59" s="844">
        <f ca="1">SUMIFS(FC_DATA!$AM:$AM,FC_DATA!$U:$U,$B$1,FC_DATA!$W:$W,$B59,FC_DATA!$X:$X,$C$51,FC_DATA!$Z:$Z,D$53)</f>
        <v>0</v>
      </c>
      <c r="E59" s="844">
        <f ca="1">SUMIFS(FC_DATA!$AM:$AM,FC_DATA!$U:$U,$B$1,FC_DATA!$W:$W,$B59,FC_DATA!$X:$X,$C$51,FC_DATA!$Z:$Z,E$53)</f>
        <v>0</v>
      </c>
      <c r="F59" s="845"/>
      <c r="G59" s="844">
        <f ca="1">SUMIFS(FC_DATA!$AM:$AM,FC_DATA!$U:$U,$B$1,FC_DATA!$W:$W,$B59,FC_DATA!$X:$X,$G$51,FC_DATA!$Z:$Z,G$53)</f>
        <v>0</v>
      </c>
      <c r="H59" s="844">
        <f ca="1">SUMIFS(FC_DATA!$AM:$AM,FC_DATA!$U:$U,$B$1,FC_DATA!$W:$W,$B59,FC_DATA!$X:$X,$G$51,FC_DATA!$Z:$Z,H$53)</f>
        <v>0</v>
      </c>
      <c r="I59" s="844">
        <f ca="1">SUMIFS(FC_DATA!$AM:$AM,FC_DATA!$U:$U,$B$1,FC_DATA!$W:$W,$B59,FC_DATA!$X:$X,$G$51,FC_DATA!$Z:$Z,I$53)</f>
        <v>0</v>
      </c>
      <c r="J59" s="845"/>
      <c r="K59" s="844">
        <f ca="1">SUMIFS(FC_DATA!$AM:$AM,FC_DATA!$U:$U,$B$1,FC_DATA!$W:$W,$B59,FC_DATA!$X:$X,$K$51,FC_DATA!$Z:$Z,K$53)</f>
        <v>0</v>
      </c>
      <c r="L59" s="844">
        <f ca="1">SUMIFS(FC_DATA!$AM:$AM,FC_DATA!$U:$U,$B$1,FC_DATA!$W:$W,$B59,FC_DATA!$X:$X,$K$51,FC_DATA!$Z:$Z,L$53)</f>
        <v>0</v>
      </c>
      <c r="M59" s="844">
        <f ca="1">SUMIFS(FC_DATA!$AM:$AM,FC_DATA!$U:$U,$B$1,FC_DATA!$W:$W,$B59,FC_DATA!$X:$X,$K$51,FC_DATA!$Z:$Z,M$53)</f>
        <v>0</v>
      </c>
      <c r="N59" s="845"/>
      <c r="O59" s="844">
        <f ca="1">SUMIFS(FC_DATA!$AM:$AM,FC_DATA!$U:$U,$B$1,FC_DATA!$W:$W,$B59,FC_DATA!$X:$X,$O$51,FC_DATA!$Z:$Z,O$53)</f>
        <v>0</v>
      </c>
      <c r="P59" s="844">
        <f ca="1">SUMIFS(FC_DATA!$AM:$AM,FC_DATA!$U:$U,$B$1,FC_DATA!$W:$W,$B59,FC_DATA!$X:$X,$O$51,FC_DATA!$Z:$Z,P$53)</f>
        <v>0</v>
      </c>
      <c r="Q59" s="844">
        <f ca="1">SUMIFS(FC_DATA!$AM:$AM,FC_DATA!$U:$U,$B$1,FC_DATA!$W:$W,$B59,FC_DATA!$X:$X,$O$51,FC_DATA!$Z:$Z,Q$53)</f>
        <v>0</v>
      </c>
      <c r="R59" s="845"/>
      <c r="S59" s="844">
        <f ca="1">SUMIFS(FC_DATA!$AM:$AM,FC_DATA!$U:$U,$B$1,FC_DATA!$W:$W,$B59,FC_DATA!$X:$X,$S$51,FC_DATA!$Z:$Z,S$53)</f>
        <v>0</v>
      </c>
      <c r="T59" s="844">
        <f ca="1">SUMIFS(FC_DATA!$AM:$AM,FC_DATA!$U:$U,$B$1,FC_DATA!$W:$W,$B59,FC_DATA!$X:$X,$S$51,FC_DATA!$Z:$Z,T$53)</f>
        <v>0</v>
      </c>
      <c r="U59" s="844">
        <f ca="1">SUMIFS(FC_DATA!$AM:$AM,FC_DATA!$U:$U,$B$1,FC_DATA!$W:$W,$B59,FC_DATA!$X:$X,$S$51,FC_DATA!$Z:$Z,U$53)</f>
        <v>0</v>
      </c>
    </row>
    <row r="60" spans="2:47" x14ac:dyDescent="0.25">
      <c r="B60" s="1" t="str">
        <f>'PIVOT TABLE'!A10</f>
        <v>SHIRTS</v>
      </c>
      <c r="C60" s="844">
        <f ca="1">SUMIFS(FC_DATA!$AM:$AM,FC_DATA!$U:$U,$B$1,FC_DATA!$W:$W,$B60,FC_DATA!$X:$X,$C$51,FC_DATA!$Z:$Z,C$53)</f>
        <v>0</v>
      </c>
      <c r="D60" s="844">
        <f ca="1">SUMIFS(FC_DATA!$AM:$AM,FC_DATA!$U:$U,$B$1,FC_DATA!$W:$W,$B60,FC_DATA!$X:$X,$C$51,FC_DATA!$Z:$Z,D$53)</f>
        <v>0</v>
      </c>
      <c r="E60" s="844">
        <f ca="1">SUMIFS(FC_DATA!$AM:$AM,FC_DATA!$U:$U,$B$1,FC_DATA!$W:$W,$B60,FC_DATA!$X:$X,$C$51,FC_DATA!$Z:$Z,E$53)</f>
        <v>0</v>
      </c>
      <c r="F60" s="845"/>
      <c r="G60" s="844">
        <f ca="1">SUMIFS(FC_DATA!$AM:$AM,FC_DATA!$U:$U,$B$1,FC_DATA!$W:$W,$B60,FC_DATA!$X:$X,$G$51,FC_DATA!$Z:$Z,G$53)</f>
        <v>0</v>
      </c>
      <c r="H60" s="844">
        <f ca="1">SUMIFS(FC_DATA!$AM:$AM,FC_DATA!$U:$U,$B$1,FC_DATA!$W:$W,$B60,FC_DATA!$X:$X,$G$51,FC_DATA!$Z:$Z,H$53)</f>
        <v>0</v>
      </c>
      <c r="I60" s="844">
        <f ca="1">SUMIFS(FC_DATA!$AM:$AM,FC_DATA!$U:$U,$B$1,FC_DATA!$W:$W,$B60,FC_DATA!$X:$X,$G$51,FC_DATA!$Z:$Z,I$53)</f>
        <v>0</v>
      </c>
      <c r="J60" s="845"/>
      <c r="K60" s="844">
        <f ca="1">SUMIFS(FC_DATA!$AM:$AM,FC_DATA!$U:$U,$B$1,FC_DATA!$W:$W,$B60,FC_DATA!$X:$X,$K$51,FC_DATA!$Z:$Z,K$53)</f>
        <v>0</v>
      </c>
      <c r="L60" s="844">
        <f ca="1">SUMIFS(FC_DATA!$AM:$AM,FC_DATA!$U:$U,$B$1,FC_DATA!$W:$W,$B60,FC_DATA!$X:$X,$K$51,FC_DATA!$Z:$Z,L$53)</f>
        <v>0</v>
      </c>
      <c r="M60" s="844">
        <f ca="1">SUMIFS(FC_DATA!$AM:$AM,FC_DATA!$U:$U,$B$1,FC_DATA!$W:$W,$B60,FC_DATA!$X:$X,$K$51,FC_DATA!$Z:$Z,M$53)</f>
        <v>0</v>
      </c>
      <c r="N60" s="845"/>
      <c r="O60" s="844">
        <f ca="1">SUMIFS(FC_DATA!$AM:$AM,FC_DATA!$U:$U,$B$1,FC_DATA!$W:$W,$B60,FC_DATA!$X:$X,$O$51,FC_DATA!$Z:$Z,O$53)</f>
        <v>0</v>
      </c>
      <c r="P60" s="844">
        <f ca="1">SUMIFS(FC_DATA!$AM:$AM,FC_DATA!$U:$U,$B$1,FC_DATA!$W:$W,$B60,FC_DATA!$X:$X,$O$51,FC_DATA!$Z:$Z,P$53)</f>
        <v>0</v>
      </c>
      <c r="Q60" s="844">
        <f ca="1">SUMIFS(FC_DATA!$AM:$AM,FC_DATA!$U:$U,$B$1,FC_DATA!$W:$W,$B60,FC_DATA!$X:$X,$O$51,FC_DATA!$Z:$Z,Q$53)</f>
        <v>0</v>
      </c>
      <c r="R60" s="845"/>
      <c r="S60" s="844">
        <f ca="1">SUMIFS(FC_DATA!$AM:$AM,FC_DATA!$U:$U,$B$1,FC_DATA!$W:$W,$B60,FC_DATA!$X:$X,$S$51,FC_DATA!$Z:$Z,S$53)</f>
        <v>0</v>
      </c>
      <c r="T60" s="844">
        <f ca="1">SUMIFS(FC_DATA!$AM:$AM,FC_DATA!$U:$U,$B$1,FC_DATA!$W:$W,$B60,FC_DATA!$X:$X,$S$51,FC_DATA!$Z:$Z,T$53)</f>
        <v>0</v>
      </c>
      <c r="U60" s="844">
        <f ca="1">SUMIFS(FC_DATA!$AM:$AM,FC_DATA!$U:$U,$B$1,FC_DATA!$W:$W,$B60,FC_DATA!$X:$X,$S$51,FC_DATA!$Z:$Z,U$53)</f>
        <v>0</v>
      </c>
    </row>
    <row r="61" spans="2:47" x14ac:dyDescent="0.25">
      <c r="B61" s="1" t="str">
        <f>'PIVOT TABLE'!A11</f>
        <v>SHOES</v>
      </c>
      <c r="C61" s="844">
        <f ca="1">SUMIFS(FC_DATA!$AM:$AM,FC_DATA!$U:$U,$B$1,FC_DATA!$W:$W,$B61,FC_DATA!$X:$X,$C$51,FC_DATA!$Z:$Z,C$53)</f>
        <v>0</v>
      </c>
      <c r="D61" s="844">
        <f ca="1">SUMIFS(FC_DATA!$AM:$AM,FC_DATA!$U:$U,$B$1,FC_DATA!$W:$W,$B61,FC_DATA!$X:$X,$C$51,FC_DATA!$Z:$Z,D$53)</f>
        <v>0</v>
      </c>
      <c r="E61" s="844">
        <f ca="1">SUMIFS(FC_DATA!$AM:$AM,FC_DATA!$U:$U,$B$1,FC_DATA!$W:$W,$B61,FC_DATA!$X:$X,$C$51,FC_DATA!$Z:$Z,E$53)</f>
        <v>0</v>
      </c>
      <c r="F61" s="845"/>
      <c r="G61" s="844">
        <f ca="1">SUMIFS(FC_DATA!$AM:$AM,FC_DATA!$U:$U,$B$1,FC_DATA!$W:$W,$B61,FC_DATA!$X:$X,$G$51,FC_DATA!$Z:$Z,G$53)</f>
        <v>0</v>
      </c>
      <c r="H61" s="844">
        <f ca="1">SUMIFS(FC_DATA!$AM:$AM,FC_DATA!$U:$U,$B$1,FC_DATA!$W:$W,$B61,FC_DATA!$X:$X,$G$51,FC_DATA!$Z:$Z,H$53)</f>
        <v>0</v>
      </c>
      <c r="I61" s="844">
        <f ca="1">SUMIFS(FC_DATA!$AM:$AM,FC_DATA!$U:$U,$B$1,FC_DATA!$W:$W,$B61,FC_DATA!$X:$X,$G$51,FC_DATA!$Z:$Z,I$53)</f>
        <v>0</v>
      </c>
      <c r="J61" s="845"/>
      <c r="K61" s="844">
        <f ca="1">SUMIFS(FC_DATA!$AM:$AM,FC_DATA!$U:$U,$B$1,FC_DATA!$W:$W,$B61,FC_DATA!$X:$X,$K$51,FC_DATA!$Z:$Z,K$53)</f>
        <v>0</v>
      </c>
      <c r="L61" s="844">
        <f ca="1">SUMIFS(FC_DATA!$AM:$AM,FC_DATA!$U:$U,$B$1,FC_DATA!$W:$W,$B61,FC_DATA!$X:$X,$K$51,FC_DATA!$Z:$Z,L$53)</f>
        <v>0</v>
      </c>
      <c r="M61" s="844">
        <f ca="1">SUMIFS(FC_DATA!$AM:$AM,FC_DATA!$U:$U,$B$1,FC_DATA!$W:$W,$B61,FC_DATA!$X:$X,$K$51,FC_DATA!$Z:$Z,M$53)</f>
        <v>0</v>
      </c>
      <c r="N61" s="845"/>
      <c r="O61" s="844">
        <f ca="1">SUMIFS(FC_DATA!$AM:$AM,FC_DATA!$U:$U,$B$1,FC_DATA!$W:$W,$B61,FC_DATA!$X:$X,$O$51,FC_DATA!$Z:$Z,O$53)</f>
        <v>0</v>
      </c>
      <c r="P61" s="844">
        <f ca="1">SUMIFS(FC_DATA!$AM:$AM,FC_DATA!$U:$U,$B$1,FC_DATA!$W:$W,$B61,FC_DATA!$X:$X,$O$51,FC_DATA!$Z:$Z,P$53)</f>
        <v>0</v>
      </c>
      <c r="Q61" s="844">
        <f ca="1">SUMIFS(FC_DATA!$AM:$AM,FC_DATA!$U:$U,$B$1,FC_DATA!$W:$W,$B61,FC_DATA!$X:$X,$O$51,FC_DATA!$Z:$Z,Q$53)</f>
        <v>0</v>
      </c>
      <c r="R61" s="845"/>
      <c r="S61" s="844">
        <f ca="1">SUMIFS(FC_DATA!$AM:$AM,FC_DATA!$U:$U,$B$1,FC_DATA!$W:$W,$B61,FC_DATA!$X:$X,$S$51,FC_DATA!$Z:$Z,S$53)</f>
        <v>0</v>
      </c>
      <c r="T61" s="844">
        <f ca="1">SUMIFS(FC_DATA!$AM:$AM,FC_DATA!$U:$U,$B$1,FC_DATA!$W:$W,$B61,FC_DATA!$X:$X,$S$51,FC_DATA!$Z:$Z,T$53)</f>
        <v>0</v>
      </c>
      <c r="U61" s="844">
        <f ca="1">SUMIFS(FC_DATA!$AM:$AM,FC_DATA!$U:$U,$B$1,FC_DATA!$W:$W,$B61,FC_DATA!$X:$X,$S$51,FC_DATA!$Z:$Z,U$53)</f>
        <v>0</v>
      </c>
    </row>
    <row r="62" spans="2:47" x14ac:dyDescent="0.25">
      <c r="B62" s="1" t="str">
        <f>'PIVOT TABLE'!A12</f>
        <v>SHORTS</v>
      </c>
      <c r="C62" s="844">
        <f ca="1">SUMIFS(FC_DATA!$AM:$AM,FC_DATA!$U:$U,$B$1,FC_DATA!$W:$W,$B62,FC_DATA!$X:$X,$C$51,FC_DATA!$Z:$Z,C$53)</f>
        <v>0</v>
      </c>
      <c r="D62" s="844">
        <f ca="1">SUMIFS(FC_DATA!$AM:$AM,FC_DATA!$U:$U,$B$1,FC_DATA!$W:$W,$B62,FC_DATA!$X:$X,$C$51,FC_DATA!$Z:$Z,D$53)</f>
        <v>0</v>
      </c>
      <c r="E62" s="844">
        <f ca="1">SUMIFS(FC_DATA!$AM:$AM,FC_DATA!$U:$U,$B$1,FC_DATA!$W:$W,$B62,FC_DATA!$X:$X,$C$51,FC_DATA!$Z:$Z,E$53)</f>
        <v>0</v>
      </c>
      <c r="F62" s="845"/>
      <c r="G62" s="844">
        <f ca="1">SUMIFS(FC_DATA!$AM:$AM,FC_DATA!$U:$U,$B$1,FC_DATA!$W:$W,$B62,FC_DATA!$X:$X,$G$51,FC_DATA!$Z:$Z,G$53)</f>
        <v>0</v>
      </c>
      <c r="H62" s="844">
        <f ca="1">SUMIFS(FC_DATA!$AM:$AM,FC_DATA!$U:$U,$B$1,FC_DATA!$W:$W,$B62,FC_DATA!$X:$X,$G$51,FC_DATA!$Z:$Z,H$53)</f>
        <v>0</v>
      </c>
      <c r="I62" s="844">
        <f ca="1">SUMIFS(FC_DATA!$AM:$AM,FC_DATA!$U:$U,$B$1,FC_DATA!$W:$W,$B62,FC_DATA!$X:$X,$G$51,FC_DATA!$Z:$Z,I$53)</f>
        <v>0</v>
      </c>
      <c r="J62" s="845"/>
      <c r="K62" s="844">
        <f ca="1">SUMIFS(FC_DATA!$AM:$AM,FC_DATA!$U:$U,$B$1,FC_DATA!$W:$W,$B62,FC_DATA!$X:$X,$K$51,FC_DATA!$Z:$Z,K$53)</f>
        <v>0</v>
      </c>
      <c r="L62" s="844">
        <f ca="1">SUMIFS(FC_DATA!$AM:$AM,FC_DATA!$U:$U,$B$1,FC_DATA!$W:$W,$B62,FC_DATA!$X:$X,$K$51,FC_DATA!$Z:$Z,L$53)</f>
        <v>0</v>
      </c>
      <c r="M62" s="844">
        <f ca="1">SUMIFS(FC_DATA!$AM:$AM,FC_DATA!$U:$U,$B$1,FC_DATA!$W:$W,$B62,FC_DATA!$X:$X,$K$51,FC_DATA!$Z:$Z,M$53)</f>
        <v>0</v>
      </c>
      <c r="N62" s="845"/>
      <c r="O62" s="844">
        <f ca="1">SUMIFS(FC_DATA!$AM:$AM,FC_DATA!$U:$U,$B$1,FC_DATA!$W:$W,$B62,FC_DATA!$X:$X,$O$51,FC_DATA!$Z:$Z,O$53)</f>
        <v>0</v>
      </c>
      <c r="P62" s="844">
        <f ca="1">SUMIFS(FC_DATA!$AM:$AM,FC_DATA!$U:$U,$B$1,FC_DATA!$W:$W,$B62,FC_DATA!$X:$X,$O$51,FC_DATA!$Z:$Z,P$53)</f>
        <v>0</v>
      </c>
      <c r="Q62" s="844">
        <f ca="1">SUMIFS(FC_DATA!$AM:$AM,FC_DATA!$U:$U,$B$1,FC_DATA!$W:$W,$B62,FC_DATA!$X:$X,$O$51,FC_DATA!$Z:$Z,Q$53)</f>
        <v>0</v>
      </c>
      <c r="R62" s="845"/>
      <c r="S62" s="844">
        <f ca="1">SUMIFS(FC_DATA!$AM:$AM,FC_DATA!$U:$U,$B$1,FC_DATA!$W:$W,$B62,FC_DATA!$X:$X,$S$51,FC_DATA!$Z:$Z,S$53)</f>
        <v>0</v>
      </c>
      <c r="T62" s="844">
        <f ca="1">SUMIFS(FC_DATA!$AM:$AM,FC_DATA!$U:$U,$B$1,FC_DATA!$W:$W,$B62,FC_DATA!$X:$X,$S$51,FC_DATA!$Z:$Z,T$53)</f>
        <v>0</v>
      </c>
      <c r="U62" s="844">
        <f ca="1">SUMIFS(FC_DATA!$AM:$AM,FC_DATA!$U:$U,$B$1,FC_DATA!$W:$W,$B62,FC_DATA!$X:$X,$S$51,FC_DATA!$Z:$Z,U$53)</f>
        <v>0</v>
      </c>
    </row>
    <row r="63" spans="2:47" x14ac:dyDescent="0.25">
      <c r="B63" s="1" t="str">
        <f>'PIVOT TABLE'!A13</f>
        <v>SKIRTS</v>
      </c>
      <c r="C63" s="844">
        <f ca="1">SUMIFS(FC_DATA!$AM:$AM,FC_DATA!$U:$U,$B$1,FC_DATA!$W:$W,$B63,FC_DATA!$X:$X,$C$51,FC_DATA!$Z:$Z,C$53)</f>
        <v>0</v>
      </c>
      <c r="D63" s="844">
        <f ca="1">SUMIFS(FC_DATA!$AM:$AM,FC_DATA!$U:$U,$B$1,FC_DATA!$W:$W,$B63,FC_DATA!$X:$X,$C$51,FC_DATA!$Z:$Z,D$53)</f>
        <v>0</v>
      </c>
      <c r="E63" s="844">
        <f ca="1">SUMIFS(FC_DATA!$AM:$AM,FC_DATA!$U:$U,$B$1,FC_DATA!$W:$W,$B63,FC_DATA!$X:$X,$C$51,FC_DATA!$Z:$Z,E$53)</f>
        <v>0</v>
      </c>
      <c r="F63" s="845"/>
      <c r="G63" s="844">
        <f ca="1">SUMIFS(FC_DATA!$AM:$AM,FC_DATA!$U:$U,$B$1,FC_DATA!$W:$W,$B63,FC_DATA!$X:$X,$G$51,FC_DATA!$Z:$Z,G$53)</f>
        <v>0</v>
      </c>
      <c r="H63" s="844">
        <f ca="1">SUMIFS(FC_DATA!$AM:$AM,FC_DATA!$U:$U,$B$1,FC_DATA!$W:$W,$B63,FC_DATA!$X:$X,$G$51,FC_DATA!$Z:$Z,H$53)</f>
        <v>0</v>
      </c>
      <c r="I63" s="844">
        <f ca="1">SUMIFS(FC_DATA!$AM:$AM,FC_DATA!$U:$U,$B$1,FC_DATA!$W:$W,$B63,FC_DATA!$X:$X,$G$51,FC_DATA!$Z:$Z,I$53)</f>
        <v>0</v>
      </c>
      <c r="J63" s="845"/>
      <c r="K63" s="844">
        <f ca="1">SUMIFS(FC_DATA!$AM:$AM,FC_DATA!$U:$U,$B$1,FC_DATA!$W:$W,$B63,FC_DATA!$X:$X,$K$51,FC_DATA!$Z:$Z,K$53)</f>
        <v>0</v>
      </c>
      <c r="L63" s="844">
        <f ca="1">SUMIFS(FC_DATA!$AM:$AM,FC_DATA!$U:$U,$B$1,FC_DATA!$W:$W,$B63,FC_DATA!$X:$X,$K$51,FC_DATA!$Z:$Z,L$53)</f>
        <v>0</v>
      </c>
      <c r="M63" s="844">
        <f ca="1">SUMIFS(FC_DATA!$AM:$AM,FC_DATA!$U:$U,$B$1,FC_DATA!$W:$W,$B63,FC_DATA!$X:$X,$K$51,FC_DATA!$Z:$Z,M$53)</f>
        <v>0</v>
      </c>
      <c r="N63" s="845"/>
      <c r="O63" s="844">
        <f ca="1">SUMIFS(FC_DATA!$AM:$AM,FC_DATA!$U:$U,$B$1,FC_DATA!$W:$W,$B63,FC_DATA!$X:$X,$O$51,FC_DATA!$Z:$Z,O$53)</f>
        <v>0</v>
      </c>
      <c r="P63" s="844">
        <f ca="1">SUMIFS(FC_DATA!$AM:$AM,FC_DATA!$U:$U,$B$1,FC_DATA!$W:$W,$B63,FC_DATA!$X:$X,$O$51,FC_DATA!$Z:$Z,P$53)</f>
        <v>0</v>
      </c>
      <c r="Q63" s="844">
        <f ca="1">SUMIFS(FC_DATA!$AM:$AM,FC_DATA!$U:$U,$B$1,FC_DATA!$W:$W,$B63,FC_DATA!$X:$X,$O$51,FC_DATA!$Z:$Z,Q$53)</f>
        <v>0</v>
      </c>
      <c r="R63" s="845"/>
      <c r="S63" s="844">
        <f ca="1">SUMIFS(FC_DATA!$AM:$AM,FC_DATA!$U:$U,$B$1,FC_DATA!$W:$W,$B63,FC_DATA!$X:$X,$S$51,FC_DATA!$Z:$Z,S$53)</f>
        <v>0</v>
      </c>
      <c r="T63" s="844">
        <f ca="1">SUMIFS(FC_DATA!$AM:$AM,FC_DATA!$U:$U,$B$1,FC_DATA!$W:$W,$B63,FC_DATA!$X:$X,$S$51,FC_DATA!$Z:$Z,T$53)</f>
        <v>0</v>
      </c>
      <c r="U63" s="844">
        <f ca="1">SUMIFS(FC_DATA!$AM:$AM,FC_DATA!$U:$U,$B$1,FC_DATA!$W:$W,$B63,FC_DATA!$X:$X,$S$51,FC_DATA!$Z:$Z,U$53)</f>
        <v>0</v>
      </c>
    </row>
    <row r="64" spans="2:47" x14ac:dyDescent="0.25">
      <c r="B64" s="1" t="str">
        <f>'PIVOT TABLE'!A14</f>
        <v>SWEAT</v>
      </c>
      <c r="C64" s="844">
        <f ca="1">SUMIFS(FC_DATA!$AM:$AM,FC_DATA!$U:$U,$B$1,FC_DATA!$W:$W,$B64,FC_DATA!$X:$X,$C$51,FC_DATA!$Z:$Z,C$53)</f>
        <v>0</v>
      </c>
      <c r="D64" s="844">
        <f ca="1">SUMIFS(FC_DATA!$AM:$AM,FC_DATA!$U:$U,$B$1,FC_DATA!$W:$W,$B64,FC_DATA!$X:$X,$C$51,FC_DATA!$Z:$Z,D$53)</f>
        <v>0</v>
      </c>
      <c r="E64" s="844">
        <f ca="1">SUMIFS(FC_DATA!$AM:$AM,FC_DATA!$U:$U,$B$1,FC_DATA!$W:$W,$B64,FC_DATA!$X:$X,$C$51,FC_DATA!$Z:$Z,E$53)</f>
        <v>0</v>
      </c>
      <c r="F64" s="845"/>
      <c r="G64" s="844">
        <f ca="1">SUMIFS(FC_DATA!$AM:$AM,FC_DATA!$U:$U,$B$1,FC_DATA!$W:$W,$B64,FC_DATA!$X:$X,$G$51,FC_DATA!$Z:$Z,G$53)</f>
        <v>0</v>
      </c>
      <c r="H64" s="844">
        <f ca="1">SUMIFS(FC_DATA!$AM:$AM,FC_DATA!$U:$U,$B$1,FC_DATA!$W:$W,$B64,FC_DATA!$X:$X,$G$51,FC_DATA!$Z:$Z,H$53)</f>
        <v>0</v>
      </c>
      <c r="I64" s="844">
        <f ca="1">SUMIFS(FC_DATA!$AM:$AM,FC_DATA!$U:$U,$B$1,FC_DATA!$W:$W,$B64,FC_DATA!$X:$X,$G$51,FC_DATA!$Z:$Z,I$53)</f>
        <v>0</v>
      </c>
      <c r="J64" s="845"/>
      <c r="K64" s="844">
        <f ca="1">SUMIFS(FC_DATA!$AM:$AM,FC_DATA!$U:$U,$B$1,FC_DATA!$W:$W,$B64,FC_DATA!$X:$X,$K$51,FC_DATA!$Z:$Z,K$53)</f>
        <v>0</v>
      </c>
      <c r="L64" s="844">
        <f ca="1">SUMIFS(FC_DATA!$AM:$AM,FC_DATA!$U:$U,$B$1,FC_DATA!$W:$W,$B64,FC_DATA!$X:$X,$K$51,FC_DATA!$Z:$Z,L$53)</f>
        <v>0</v>
      </c>
      <c r="M64" s="844">
        <f ca="1">SUMIFS(FC_DATA!$AM:$AM,FC_DATA!$U:$U,$B$1,FC_DATA!$W:$W,$B64,FC_DATA!$X:$X,$K$51,FC_DATA!$Z:$Z,M$53)</f>
        <v>0</v>
      </c>
      <c r="N64" s="845"/>
      <c r="O64" s="844">
        <f ca="1">SUMIFS(FC_DATA!$AM:$AM,FC_DATA!$U:$U,$B$1,FC_DATA!$W:$W,$B64,FC_DATA!$X:$X,$O$51,FC_DATA!$Z:$Z,O$53)</f>
        <v>0</v>
      </c>
      <c r="P64" s="844">
        <f ca="1">SUMIFS(FC_DATA!$AM:$AM,FC_DATA!$U:$U,$B$1,FC_DATA!$W:$W,$B64,FC_DATA!$X:$X,$O$51,FC_DATA!$Z:$Z,P$53)</f>
        <v>0</v>
      </c>
      <c r="Q64" s="844">
        <f ca="1">SUMIFS(FC_DATA!$AM:$AM,FC_DATA!$U:$U,$B$1,FC_DATA!$W:$W,$B64,FC_DATA!$X:$X,$O$51,FC_DATA!$Z:$Z,Q$53)</f>
        <v>0</v>
      </c>
      <c r="R64" s="845"/>
      <c r="S64" s="844">
        <f ca="1">SUMIFS(FC_DATA!$AM:$AM,FC_DATA!$U:$U,$B$1,FC_DATA!$W:$W,$B64,FC_DATA!$X:$X,$S$51,FC_DATA!$Z:$Z,S$53)</f>
        <v>0</v>
      </c>
      <c r="T64" s="844">
        <f ca="1">SUMIFS(FC_DATA!$AM:$AM,FC_DATA!$U:$U,$B$1,FC_DATA!$W:$W,$B64,FC_DATA!$X:$X,$S$51,FC_DATA!$Z:$Z,T$53)</f>
        <v>0</v>
      </c>
      <c r="U64" s="844">
        <f ca="1">SUMIFS(FC_DATA!$AM:$AM,FC_DATA!$U:$U,$B$1,FC_DATA!$W:$W,$B64,FC_DATA!$X:$X,$S$51,FC_DATA!$Z:$Z,U$53)</f>
        <v>0</v>
      </c>
    </row>
    <row r="65" spans="2:41" x14ac:dyDescent="0.25">
      <c r="B65" s="1" t="str">
        <f>'PIVOT TABLE'!A15</f>
        <v>TAILORING</v>
      </c>
      <c r="C65" s="844">
        <f ca="1">SUMIFS(FC_DATA!$AM:$AM,FC_DATA!$U:$U,$B$1,FC_DATA!$W:$W,$B65,FC_DATA!$X:$X,$C$51,FC_DATA!$Z:$Z,C$53)</f>
        <v>0</v>
      </c>
      <c r="D65" s="844">
        <f ca="1">SUMIFS(FC_DATA!$AM:$AM,FC_DATA!$U:$U,$B$1,FC_DATA!$W:$W,$B65,FC_DATA!$X:$X,$C$51,FC_DATA!$Z:$Z,D$53)</f>
        <v>0</v>
      </c>
      <c r="E65" s="844">
        <f ca="1">SUMIFS(FC_DATA!$AM:$AM,FC_DATA!$U:$U,$B$1,FC_DATA!$W:$W,$B65,FC_DATA!$X:$X,$C$51,FC_DATA!$Z:$Z,E$53)</f>
        <v>0</v>
      </c>
      <c r="F65" s="845"/>
      <c r="G65" s="844">
        <f ca="1">SUMIFS(FC_DATA!$AM:$AM,FC_DATA!$U:$U,$B$1,FC_DATA!$W:$W,$B65,FC_DATA!$X:$X,$G$51,FC_DATA!$Z:$Z,G$53)</f>
        <v>0</v>
      </c>
      <c r="H65" s="844">
        <f ca="1">SUMIFS(FC_DATA!$AM:$AM,FC_DATA!$U:$U,$B$1,FC_DATA!$W:$W,$B65,FC_DATA!$X:$X,$G$51,FC_DATA!$Z:$Z,H$53)</f>
        <v>0</v>
      </c>
      <c r="I65" s="844">
        <f ca="1">SUMIFS(FC_DATA!$AM:$AM,FC_DATA!$U:$U,$B$1,FC_DATA!$W:$W,$B65,FC_DATA!$X:$X,$G$51,FC_DATA!$Z:$Z,I$53)</f>
        <v>0</v>
      </c>
      <c r="J65" s="845"/>
      <c r="K65" s="844">
        <f ca="1">SUMIFS(FC_DATA!$AM:$AM,FC_DATA!$U:$U,$B$1,FC_DATA!$W:$W,$B65,FC_DATA!$X:$X,$K$51,FC_DATA!$Z:$Z,K$53)</f>
        <v>0</v>
      </c>
      <c r="L65" s="844">
        <f ca="1">SUMIFS(FC_DATA!$AM:$AM,FC_DATA!$U:$U,$B$1,FC_DATA!$W:$W,$B65,FC_DATA!$X:$X,$K$51,FC_DATA!$Z:$Z,L$53)</f>
        <v>0</v>
      </c>
      <c r="M65" s="844">
        <f ca="1">SUMIFS(FC_DATA!$AM:$AM,FC_DATA!$U:$U,$B$1,FC_DATA!$W:$W,$B65,FC_DATA!$X:$X,$K$51,FC_DATA!$Z:$Z,M$53)</f>
        <v>0</v>
      </c>
      <c r="N65" s="845"/>
      <c r="O65" s="844">
        <f ca="1">SUMIFS(FC_DATA!$AM:$AM,FC_DATA!$U:$U,$B$1,FC_DATA!$W:$W,$B65,FC_DATA!$X:$X,$O$51,FC_DATA!$Z:$Z,O$53)</f>
        <v>0</v>
      </c>
      <c r="P65" s="844">
        <f ca="1">SUMIFS(FC_DATA!$AM:$AM,FC_DATA!$U:$U,$B$1,FC_DATA!$W:$W,$B65,FC_DATA!$X:$X,$O$51,FC_DATA!$Z:$Z,P$53)</f>
        <v>0</v>
      </c>
      <c r="Q65" s="844">
        <f ca="1">SUMIFS(FC_DATA!$AM:$AM,FC_DATA!$U:$U,$B$1,FC_DATA!$W:$W,$B65,FC_DATA!$X:$X,$O$51,FC_DATA!$Z:$Z,Q$53)</f>
        <v>0</v>
      </c>
      <c r="R65" s="845"/>
      <c r="S65" s="844">
        <f ca="1">SUMIFS(FC_DATA!$AM:$AM,FC_DATA!$U:$U,$B$1,FC_DATA!$W:$W,$B65,FC_DATA!$X:$X,$S$51,FC_DATA!$Z:$Z,S$53)</f>
        <v>0</v>
      </c>
      <c r="T65" s="844">
        <f ca="1">SUMIFS(FC_DATA!$AM:$AM,FC_DATA!$U:$U,$B$1,FC_DATA!$W:$W,$B65,FC_DATA!$X:$X,$S$51,FC_DATA!$Z:$Z,T$53)</f>
        <v>0</v>
      </c>
      <c r="U65" s="844">
        <f ca="1">SUMIFS(FC_DATA!$AM:$AM,FC_DATA!$U:$U,$B$1,FC_DATA!$W:$W,$B65,FC_DATA!$X:$X,$S$51,FC_DATA!$Z:$Z,U$53)</f>
        <v>0</v>
      </c>
    </row>
    <row r="66" spans="2:41" x14ac:dyDescent="0.25">
      <c r="B66" s="1" t="str">
        <f>'PIVOT TABLE'!A16</f>
        <v>TOPS</v>
      </c>
      <c r="C66" s="844">
        <f ca="1">SUMIFS(FC_DATA!$AM:$AM,FC_DATA!$U:$U,$B$1,FC_DATA!$W:$W,$B66,FC_DATA!$X:$X,$C$51,FC_DATA!$Z:$Z,C$53)</f>
        <v>0</v>
      </c>
      <c r="D66" s="844">
        <f ca="1">SUMIFS(FC_DATA!$AM:$AM,FC_DATA!$U:$U,$B$1,FC_DATA!$W:$W,$B66,FC_DATA!$X:$X,$C$51,FC_DATA!$Z:$Z,D$53)</f>
        <v>0</v>
      </c>
      <c r="E66" s="844">
        <f ca="1">SUMIFS(FC_DATA!$AM:$AM,FC_DATA!$U:$U,$B$1,FC_DATA!$W:$W,$B66,FC_DATA!$X:$X,$C$51,FC_DATA!$Z:$Z,E$53)</f>
        <v>0</v>
      </c>
      <c r="F66" s="845"/>
      <c r="G66" s="844">
        <f ca="1">SUMIFS(FC_DATA!$AM:$AM,FC_DATA!$U:$U,$B$1,FC_DATA!$W:$W,$B66,FC_DATA!$X:$X,$G$51,FC_DATA!$Z:$Z,G$53)</f>
        <v>0</v>
      </c>
      <c r="H66" s="844">
        <f ca="1">SUMIFS(FC_DATA!$AM:$AM,FC_DATA!$U:$U,$B$1,FC_DATA!$W:$W,$B66,FC_DATA!$X:$X,$G$51,FC_DATA!$Z:$Z,H$53)</f>
        <v>0</v>
      </c>
      <c r="I66" s="844">
        <f ca="1">SUMIFS(FC_DATA!$AM:$AM,FC_DATA!$U:$U,$B$1,FC_DATA!$W:$W,$B66,FC_DATA!$X:$X,$G$51,FC_DATA!$Z:$Z,I$53)</f>
        <v>0</v>
      </c>
      <c r="J66" s="845"/>
      <c r="K66" s="844">
        <f ca="1">SUMIFS(FC_DATA!$AM:$AM,FC_DATA!$U:$U,$B$1,FC_DATA!$W:$W,$B66,FC_DATA!$X:$X,$K$51,FC_DATA!$Z:$Z,K$53)</f>
        <v>0</v>
      </c>
      <c r="L66" s="844">
        <f ca="1">SUMIFS(FC_DATA!$AM:$AM,FC_DATA!$U:$U,$B$1,FC_DATA!$W:$W,$B66,FC_DATA!$X:$X,$K$51,FC_DATA!$Z:$Z,L$53)</f>
        <v>0</v>
      </c>
      <c r="M66" s="844">
        <f ca="1">SUMIFS(FC_DATA!$AM:$AM,FC_DATA!$U:$U,$B$1,FC_DATA!$W:$W,$B66,FC_DATA!$X:$X,$K$51,FC_DATA!$Z:$Z,M$53)</f>
        <v>0</v>
      </c>
      <c r="N66" s="845"/>
      <c r="O66" s="844">
        <f ca="1">SUMIFS(FC_DATA!$AM:$AM,FC_DATA!$U:$U,$B$1,FC_DATA!$W:$W,$B66,FC_DATA!$X:$X,$O$51,FC_DATA!$Z:$Z,O$53)</f>
        <v>0</v>
      </c>
      <c r="P66" s="844">
        <f ca="1">SUMIFS(FC_DATA!$AM:$AM,FC_DATA!$U:$U,$B$1,FC_DATA!$W:$W,$B66,FC_DATA!$X:$X,$O$51,FC_DATA!$Z:$Z,P$53)</f>
        <v>0</v>
      </c>
      <c r="Q66" s="844">
        <f ca="1">SUMIFS(FC_DATA!$AM:$AM,FC_DATA!$U:$U,$B$1,FC_DATA!$W:$W,$B66,FC_DATA!$X:$X,$O$51,FC_DATA!$Z:$Z,Q$53)</f>
        <v>0</v>
      </c>
      <c r="R66" s="845"/>
      <c r="S66" s="844">
        <f ca="1">SUMIFS(FC_DATA!$AM:$AM,FC_DATA!$U:$U,$B$1,FC_DATA!$W:$W,$B66,FC_DATA!$X:$X,$S$51,FC_DATA!$Z:$Z,S$53)</f>
        <v>0</v>
      </c>
      <c r="T66" s="844">
        <f ca="1">SUMIFS(FC_DATA!$AM:$AM,FC_DATA!$U:$U,$B$1,FC_DATA!$W:$W,$B66,FC_DATA!$X:$X,$S$51,FC_DATA!$Z:$Z,T$53)</f>
        <v>0</v>
      </c>
      <c r="U66" s="844">
        <f ca="1">SUMIFS(FC_DATA!$AM:$AM,FC_DATA!$U:$U,$B$1,FC_DATA!$W:$W,$B66,FC_DATA!$X:$X,$S$51,FC_DATA!$Z:$Z,U$53)</f>
        <v>0</v>
      </c>
    </row>
    <row r="67" spans="2:41" x14ac:dyDescent="0.25">
      <c r="B67" s="1" t="str">
        <f>'PIVOT TABLE'!A17</f>
        <v>T-SHIRTS</v>
      </c>
      <c r="C67" s="844">
        <f ca="1">SUMIFS(FC_DATA!$AM:$AM,FC_DATA!$U:$U,$B$1,FC_DATA!$W:$W,$B67,FC_DATA!$X:$X,$C$51,FC_DATA!$Z:$Z,C$53)</f>
        <v>0</v>
      </c>
      <c r="D67" s="844">
        <f ca="1">SUMIFS(FC_DATA!$AM:$AM,FC_DATA!$U:$U,$B$1,FC_DATA!$W:$W,$B67,FC_DATA!$X:$X,$C$51,FC_DATA!$Z:$Z,D$53)</f>
        <v>0</v>
      </c>
      <c r="E67" s="844">
        <f ca="1">SUMIFS(FC_DATA!$AM:$AM,FC_DATA!$U:$U,$B$1,FC_DATA!$W:$W,$B67,FC_DATA!$X:$X,$C$51,FC_DATA!$Z:$Z,E$53)</f>
        <v>0</v>
      </c>
      <c r="F67" s="845"/>
      <c r="G67" s="844">
        <f ca="1">SUMIFS(FC_DATA!$AM:$AM,FC_DATA!$U:$U,$B$1,FC_DATA!$W:$W,$B67,FC_DATA!$X:$X,$G$51,FC_DATA!$Z:$Z,G$53)</f>
        <v>0</v>
      </c>
      <c r="H67" s="844">
        <f ca="1">SUMIFS(FC_DATA!$AM:$AM,FC_DATA!$U:$U,$B$1,FC_DATA!$W:$W,$B67,FC_DATA!$X:$X,$G$51,FC_DATA!$Z:$Z,H$53)</f>
        <v>0</v>
      </c>
      <c r="I67" s="844">
        <f ca="1">SUMIFS(FC_DATA!$AM:$AM,FC_DATA!$U:$U,$B$1,FC_DATA!$W:$W,$B67,FC_DATA!$X:$X,$G$51,FC_DATA!$Z:$Z,I$53)</f>
        <v>0</v>
      </c>
      <c r="J67" s="845"/>
      <c r="K67" s="844">
        <f ca="1">SUMIFS(FC_DATA!$AM:$AM,FC_DATA!$U:$U,$B$1,FC_DATA!$W:$W,$B67,FC_DATA!$X:$X,$K$51,FC_DATA!$Z:$Z,K$53)</f>
        <v>0</v>
      </c>
      <c r="L67" s="844">
        <f ca="1">SUMIFS(FC_DATA!$AM:$AM,FC_DATA!$U:$U,$B$1,FC_DATA!$W:$W,$B67,FC_DATA!$X:$X,$K$51,FC_DATA!$Z:$Z,L$53)</f>
        <v>0</v>
      </c>
      <c r="M67" s="844">
        <f ca="1">SUMIFS(FC_DATA!$AM:$AM,FC_DATA!$U:$U,$B$1,FC_DATA!$W:$W,$B67,FC_DATA!$X:$X,$K$51,FC_DATA!$Z:$Z,M$53)</f>
        <v>0</v>
      </c>
      <c r="N67" s="845"/>
      <c r="O67" s="844">
        <f ca="1">SUMIFS(FC_DATA!$AM:$AM,FC_DATA!$U:$U,$B$1,FC_DATA!$W:$W,$B67,FC_DATA!$X:$X,$O$51,FC_DATA!$Z:$Z,O$53)</f>
        <v>0</v>
      </c>
      <c r="P67" s="844">
        <f ca="1">SUMIFS(FC_DATA!$AM:$AM,FC_DATA!$U:$U,$B$1,FC_DATA!$W:$W,$B67,FC_DATA!$X:$X,$O$51,FC_DATA!$Z:$Z,P$53)</f>
        <v>0</v>
      </c>
      <c r="Q67" s="844">
        <f ca="1">SUMIFS(FC_DATA!$AM:$AM,FC_DATA!$U:$U,$B$1,FC_DATA!$W:$W,$B67,FC_DATA!$X:$X,$O$51,FC_DATA!$Z:$Z,Q$53)</f>
        <v>0</v>
      </c>
      <c r="R67" s="845"/>
      <c r="S67" s="844">
        <f ca="1">SUMIFS(FC_DATA!$AM:$AM,FC_DATA!$U:$U,$B$1,FC_DATA!$W:$W,$B67,FC_DATA!$X:$X,$S$51,FC_DATA!$Z:$Z,S$53)</f>
        <v>0</v>
      </c>
      <c r="T67" s="844">
        <f ca="1">SUMIFS(FC_DATA!$AM:$AM,FC_DATA!$U:$U,$B$1,FC_DATA!$W:$W,$B67,FC_DATA!$X:$X,$S$51,FC_DATA!$Z:$Z,T$53)</f>
        <v>0</v>
      </c>
      <c r="U67" s="844">
        <f ca="1">SUMIFS(FC_DATA!$AM:$AM,FC_DATA!$U:$U,$B$1,FC_DATA!$W:$W,$B67,FC_DATA!$X:$X,$S$51,FC_DATA!$Z:$Z,U$53)</f>
        <v>0</v>
      </c>
    </row>
    <row r="68" spans="2:41" x14ac:dyDescent="0.25">
      <c r="B68" s="1" t="str">
        <f>'PIVOT TABLE'!A18</f>
        <v>T-SHIRTS &amp; TOPS</v>
      </c>
      <c r="C68" s="844">
        <f ca="1">SUMIFS(FC_DATA!$AM:$AM,FC_DATA!$U:$U,$B$1,FC_DATA!$W:$W,$B68,FC_DATA!$X:$X,$C$51,FC_DATA!$Z:$Z,C$53)</f>
        <v>0</v>
      </c>
      <c r="D68" s="844">
        <f ca="1">SUMIFS(FC_DATA!$AM:$AM,FC_DATA!$U:$U,$B$1,FC_DATA!$W:$W,$B68,FC_DATA!$X:$X,$C$51,FC_DATA!$Z:$Z,D$53)</f>
        <v>0</v>
      </c>
      <c r="E68" s="844">
        <f ca="1">SUMIFS(FC_DATA!$AM:$AM,FC_DATA!$U:$U,$B$1,FC_DATA!$W:$W,$B68,FC_DATA!$X:$X,$C$51,FC_DATA!$Z:$Z,E$53)</f>
        <v>0</v>
      </c>
      <c r="F68" s="845"/>
      <c r="G68" s="844">
        <f ca="1">SUMIFS(FC_DATA!$AM:$AM,FC_DATA!$U:$U,$B$1,FC_DATA!$W:$W,$B68,FC_DATA!$X:$X,$G$51,FC_DATA!$Z:$Z,G$53)</f>
        <v>0</v>
      </c>
      <c r="H68" s="844">
        <f ca="1">SUMIFS(FC_DATA!$AM:$AM,FC_DATA!$U:$U,$B$1,FC_DATA!$W:$W,$B68,FC_DATA!$X:$X,$G$51,FC_DATA!$Z:$Z,H$53)</f>
        <v>0</v>
      </c>
      <c r="I68" s="844">
        <f ca="1">SUMIFS(FC_DATA!$AM:$AM,FC_DATA!$U:$U,$B$1,FC_DATA!$W:$W,$B68,FC_DATA!$X:$X,$G$51,FC_DATA!$Z:$Z,I$53)</f>
        <v>0</v>
      </c>
      <c r="J68" s="845"/>
      <c r="K68" s="844">
        <f ca="1">SUMIFS(FC_DATA!$AM:$AM,FC_DATA!$U:$U,$B$1,FC_DATA!$W:$W,$B68,FC_DATA!$X:$X,$K$51,FC_DATA!$Z:$Z,K$53)</f>
        <v>0</v>
      </c>
      <c r="L68" s="844">
        <f ca="1">SUMIFS(FC_DATA!$AM:$AM,FC_DATA!$U:$U,$B$1,FC_DATA!$W:$W,$B68,FC_DATA!$X:$X,$K$51,FC_DATA!$Z:$Z,L$53)</f>
        <v>0</v>
      </c>
      <c r="M68" s="844">
        <f ca="1">SUMIFS(FC_DATA!$AM:$AM,FC_DATA!$U:$U,$B$1,FC_DATA!$W:$W,$B68,FC_DATA!$X:$X,$K$51,FC_DATA!$Z:$Z,M$53)</f>
        <v>0</v>
      </c>
      <c r="N68" s="845"/>
      <c r="O68" s="844">
        <f ca="1">SUMIFS(FC_DATA!$AM:$AM,FC_DATA!$U:$U,$B$1,FC_DATA!$W:$W,$B68,FC_DATA!$X:$X,$O$51,FC_DATA!$Z:$Z,O$53)</f>
        <v>0</v>
      </c>
      <c r="P68" s="844">
        <f ca="1">SUMIFS(FC_DATA!$AM:$AM,FC_DATA!$U:$U,$B$1,FC_DATA!$W:$W,$B68,FC_DATA!$X:$X,$O$51,FC_DATA!$Z:$Z,P$53)</f>
        <v>0</v>
      </c>
      <c r="Q68" s="844">
        <f ca="1">SUMIFS(FC_DATA!$AM:$AM,FC_DATA!$U:$U,$B$1,FC_DATA!$W:$W,$B68,FC_DATA!$X:$X,$O$51,FC_DATA!$Z:$Z,Q$53)</f>
        <v>0</v>
      </c>
      <c r="R68" s="845"/>
      <c r="S68" s="844">
        <f ca="1">SUMIFS(FC_DATA!$AM:$AM,FC_DATA!$U:$U,$B$1,FC_DATA!$W:$W,$B68,FC_DATA!$X:$X,$S$51,FC_DATA!$Z:$Z,S$53)</f>
        <v>0</v>
      </c>
      <c r="T68" s="844">
        <f ca="1">SUMIFS(FC_DATA!$AM:$AM,FC_DATA!$U:$U,$B$1,FC_DATA!$W:$W,$B68,FC_DATA!$X:$X,$S$51,FC_DATA!$Z:$Z,T$53)</f>
        <v>0</v>
      </c>
      <c r="U68" s="844">
        <f ca="1">SUMIFS(FC_DATA!$AM:$AM,FC_DATA!$U:$U,$B$1,FC_DATA!$W:$W,$B68,FC_DATA!$X:$X,$S$51,FC_DATA!$Z:$Z,U$53)</f>
        <v>0</v>
      </c>
    </row>
    <row r="69" spans="2:41" x14ac:dyDescent="0.25">
      <c r="B69" s="1">
        <f>'PIVOT TABLE'!A19</f>
        <v>0</v>
      </c>
      <c r="C69" s="844">
        <f ca="1">SUMIFS(FC_DATA!$AM:$AM,FC_DATA!$U:$U,$B$1,FC_DATA!$W:$W,$B69,FC_DATA!$X:$X,$C$51,FC_DATA!$Z:$Z,C$53)</f>
        <v>0</v>
      </c>
      <c r="D69" s="844">
        <f ca="1">SUMIFS(FC_DATA!$AM:$AM,FC_DATA!$U:$U,$B$1,FC_DATA!$W:$W,$B69,FC_DATA!$X:$X,$C$51,FC_DATA!$Z:$Z,D$53)</f>
        <v>0</v>
      </c>
      <c r="E69" s="844">
        <f ca="1">SUMIFS(FC_DATA!$AM:$AM,FC_DATA!$U:$U,$B$1,FC_DATA!$W:$W,$B69,FC_DATA!$X:$X,$C$51,FC_DATA!$Z:$Z,E$53)</f>
        <v>0</v>
      </c>
      <c r="F69" s="845"/>
      <c r="G69" s="844">
        <f ca="1">SUMIFS(FC_DATA!$AM:$AM,FC_DATA!$U:$U,$B$1,FC_DATA!$W:$W,$B69,FC_DATA!$X:$X,$G$51,FC_DATA!$Z:$Z,G$53)</f>
        <v>0</v>
      </c>
      <c r="H69" s="844">
        <f ca="1">SUMIFS(FC_DATA!$AM:$AM,FC_DATA!$U:$U,$B$1,FC_DATA!$W:$W,$B69,FC_DATA!$X:$X,$G$51,FC_DATA!$Z:$Z,H$53)</f>
        <v>0</v>
      </c>
      <c r="I69" s="844">
        <f ca="1">SUMIFS(FC_DATA!$AM:$AM,FC_DATA!$U:$U,$B$1,FC_DATA!$W:$W,$B69,FC_DATA!$X:$X,$G$51,FC_DATA!$Z:$Z,I$53)</f>
        <v>0</v>
      </c>
      <c r="J69" s="845"/>
      <c r="K69" s="844">
        <f ca="1">SUMIFS(FC_DATA!$AM:$AM,FC_DATA!$U:$U,$B$1,FC_DATA!$W:$W,$B69,FC_DATA!$X:$X,$K$51,FC_DATA!$Z:$Z,K$53)</f>
        <v>0</v>
      </c>
      <c r="L69" s="844">
        <f ca="1">SUMIFS(FC_DATA!$AM:$AM,FC_DATA!$U:$U,$B$1,FC_DATA!$W:$W,$B69,FC_DATA!$X:$X,$K$51,FC_DATA!$Z:$Z,L$53)</f>
        <v>0</v>
      </c>
      <c r="M69" s="844">
        <f ca="1">SUMIFS(FC_DATA!$AM:$AM,FC_DATA!$U:$U,$B$1,FC_DATA!$W:$W,$B69,FC_DATA!$X:$X,$K$51,FC_DATA!$Z:$Z,M$53)</f>
        <v>0</v>
      </c>
      <c r="N69" s="845"/>
      <c r="O69" s="844">
        <f ca="1">SUMIFS(FC_DATA!$AM:$AM,FC_DATA!$U:$U,$B$1,FC_DATA!$W:$W,$B69,FC_DATA!$X:$X,$O$51,FC_DATA!$Z:$Z,O$53)</f>
        <v>0</v>
      </c>
      <c r="P69" s="844">
        <f ca="1">SUMIFS(FC_DATA!$AM:$AM,FC_DATA!$U:$U,$B$1,FC_DATA!$W:$W,$B69,FC_DATA!$X:$X,$O$51,FC_DATA!$Z:$Z,P$53)</f>
        <v>0</v>
      </c>
      <c r="Q69" s="844">
        <f ca="1">SUMIFS(FC_DATA!$AM:$AM,FC_DATA!$U:$U,$B$1,FC_DATA!$W:$W,$B69,FC_DATA!$X:$X,$O$51,FC_DATA!$Z:$Z,Q$53)</f>
        <v>0</v>
      </c>
      <c r="R69" s="845"/>
      <c r="S69" s="844">
        <f ca="1">SUMIFS(FC_DATA!$AM:$AM,FC_DATA!$U:$U,$B$1,FC_DATA!$W:$W,$B69,FC_DATA!$X:$X,$S$51,FC_DATA!$Z:$Z,S$53)</f>
        <v>0</v>
      </c>
      <c r="T69" s="844">
        <f ca="1">SUMIFS(FC_DATA!$AM:$AM,FC_DATA!$U:$U,$B$1,FC_DATA!$W:$W,$B69,FC_DATA!$X:$X,$S$51,FC_DATA!$Z:$Z,T$53)</f>
        <v>0</v>
      </c>
      <c r="U69" s="844">
        <f ca="1">SUMIFS(FC_DATA!$AM:$AM,FC_DATA!$U:$U,$B$1,FC_DATA!$W:$W,$B69,FC_DATA!$X:$X,$S$51,FC_DATA!$Z:$Z,U$53)</f>
        <v>0</v>
      </c>
    </row>
    <row r="70" spans="2:41" ht="15.75" thickBot="1" x14ac:dyDescent="0.3">
      <c r="B70" s="381" t="s">
        <v>80</v>
      </c>
      <c r="C70" s="81">
        <f ca="1">SUM(C54:C69)</f>
        <v>0</v>
      </c>
      <c r="D70" s="81">
        <f t="shared" ref="D70:U70" ca="1" si="32">SUM(D54:D69)</f>
        <v>0</v>
      </c>
      <c r="E70" s="81">
        <f t="shared" ca="1" si="32"/>
        <v>0</v>
      </c>
      <c r="F70" s="83"/>
      <c r="G70" s="81">
        <f t="shared" ca="1" si="32"/>
        <v>0</v>
      </c>
      <c r="H70" s="81">
        <f t="shared" ca="1" si="32"/>
        <v>0</v>
      </c>
      <c r="I70" s="81">
        <f t="shared" ca="1" si="32"/>
        <v>0</v>
      </c>
      <c r="J70" s="83"/>
      <c r="K70" s="81">
        <f t="shared" ca="1" si="32"/>
        <v>0</v>
      </c>
      <c r="L70" s="81">
        <f t="shared" ca="1" si="32"/>
        <v>0</v>
      </c>
      <c r="M70" s="81">
        <f t="shared" ca="1" si="32"/>
        <v>0</v>
      </c>
      <c r="N70" s="83"/>
      <c r="O70" s="81">
        <f t="shared" ca="1" si="32"/>
        <v>0</v>
      </c>
      <c r="P70" s="81">
        <f t="shared" ca="1" si="32"/>
        <v>0</v>
      </c>
      <c r="Q70" s="81">
        <f t="shared" ca="1" si="32"/>
        <v>0</v>
      </c>
      <c r="R70" s="83"/>
      <c r="S70" s="81">
        <f t="shared" ca="1" si="32"/>
        <v>0</v>
      </c>
      <c r="T70" s="81">
        <f t="shared" ca="1" si="32"/>
        <v>0</v>
      </c>
      <c r="U70" s="81">
        <f t="shared" ca="1" si="32"/>
        <v>0</v>
      </c>
      <c r="W70" s="78"/>
      <c r="X70" s="78"/>
      <c r="Y70" s="78"/>
      <c r="Z70" s="78"/>
      <c r="AA70" s="78"/>
      <c r="AB70" s="80"/>
      <c r="AC70" s="80"/>
      <c r="AD70" s="80"/>
      <c r="AE70" s="80"/>
      <c r="AF70" s="61"/>
      <c r="AG70" s="61"/>
      <c r="AH70" s="61"/>
      <c r="AI70" s="61"/>
      <c r="AJ70" s="61"/>
      <c r="AK70" s="61"/>
      <c r="AL70" s="61"/>
      <c r="AM70" s="61"/>
      <c r="AN70" s="61"/>
      <c r="AO70" s="61"/>
    </row>
    <row r="71" spans="2:41" x14ac:dyDescent="0.25">
      <c r="B71" s="383"/>
      <c r="C71" s="83"/>
      <c r="D71" s="83"/>
      <c r="E71" s="83"/>
      <c r="F71" s="83"/>
      <c r="G71" s="83"/>
      <c r="H71" s="83"/>
      <c r="I71" s="83"/>
      <c r="J71" s="83"/>
      <c r="K71" s="83"/>
      <c r="L71" s="83"/>
      <c r="M71" s="83"/>
      <c r="N71" s="83"/>
      <c r="O71" s="83"/>
      <c r="P71" s="83"/>
      <c r="Q71" s="83"/>
      <c r="R71" s="83"/>
      <c r="S71" s="83"/>
      <c r="T71" s="83"/>
      <c r="U71" s="83"/>
      <c r="W71" s="203"/>
      <c r="X71" s="203"/>
      <c r="Y71" s="203"/>
      <c r="Z71" s="203"/>
      <c r="AA71" s="203"/>
      <c r="AB71" s="203"/>
      <c r="AC71" s="203"/>
      <c r="AD71" s="203"/>
      <c r="AE71" s="203"/>
      <c r="AF71" s="640"/>
      <c r="AG71" s="640"/>
      <c r="AH71" s="640"/>
      <c r="AI71" s="640"/>
      <c r="AJ71" s="640"/>
      <c r="AK71" s="640"/>
      <c r="AL71" s="640"/>
      <c r="AM71" s="640"/>
      <c r="AN71" s="640"/>
      <c r="AO71" s="640"/>
    </row>
    <row r="72" spans="2:41" ht="18" hidden="1" thickBot="1" x14ac:dyDescent="0.35">
      <c r="B72" s="936" t="s">
        <v>133</v>
      </c>
      <c r="C72" s="937"/>
      <c r="D72" s="937"/>
      <c r="E72" s="937"/>
      <c r="F72" s="937"/>
      <c r="G72" s="937"/>
      <c r="H72" s="937"/>
      <c r="I72" s="937"/>
      <c r="J72" s="937"/>
      <c r="K72" s="937"/>
      <c r="L72" s="937"/>
      <c r="M72" s="937"/>
      <c r="N72" s="937"/>
      <c r="O72" s="937"/>
      <c r="P72" s="937"/>
      <c r="Q72" s="937"/>
      <c r="R72" s="937"/>
      <c r="S72" s="937"/>
      <c r="T72" s="937"/>
      <c r="U72" s="938"/>
      <c r="W72" s="203"/>
      <c r="X72" s="203"/>
      <c r="Y72" s="203"/>
      <c r="Z72" s="203"/>
      <c r="AA72" s="203"/>
      <c r="AB72" s="203"/>
      <c r="AC72" s="203"/>
      <c r="AD72" s="203"/>
      <c r="AE72" s="203"/>
      <c r="AF72" s="640"/>
      <c r="AG72" s="640"/>
      <c r="AH72" s="640"/>
      <c r="AI72" s="640"/>
      <c r="AJ72" s="640"/>
      <c r="AK72" s="640"/>
      <c r="AL72" s="640"/>
      <c r="AM72" s="640"/>
      <c r="AN72" s="640"/>
      <c r="AO72" s="640"/>
    </row>
    <row r="73" spans="2:41" hidden="1" x14ac:dyDescent="0.25">
      <c r="B73" s="390"/>
      <c r="C73" s="940" t="str">
        <f ca="1">TIME!$M$27</f>
        <v>18/19</v>
      </c>
      <c r="D73" s="940"/>
      <c r="E73" s="940"/>
      <c r="F73" s="372"/>
      <c r="G73" s="940" t="str">
        <f ca="1">TIME!$M$28</f>
        <v>18/19</v>
      </c>
      <c r="H73" s="940"/>
      <c r="I73" s="940"/>
      <c r="J73" s="372"/>
      <c r="K73" s="940" t="str">
        <f ca="1">TIME!$M$29</f>
        <v>19/20</v>
      </c>
      <c r="L73" s="940"/>
      <c r="M73" s="940"/>
      <c r="N73" s="372"/>
      <c r="O73" s="940" t="str">
        <f ca="1">TIME!$M$30</f>
        <v>19/20</v>
      </c>
      <c r="P73" s="940"/>
      <c r="Q73" s="940"/>
      <c r="R73" s="372"/>
      <c r="S73" s="940" t="str">
        <f ca="1">TIME!$M$31</f>
        <v>19/20</v>
      </c>
      <c r="T73" s="940"/>
      <c r="U73" s="941"/>
      <c r="W73" s="203"/>
      <c r="X73" s="203"/>
      <c r="Y73" s="203"/>
      <c r="Z73" s="203"/>
      <c r="AA73" s="203"/>
      <c r="AB73" s="203"/>
      <c r="AC73" s="203"/>
      <c r="AD73" s="203"/>
      <c r="AE73" s="203"/>
      <c r="AF73" s="640"/>
      <c r="AG73" s="640"/>
      <c r="AH73" s="640"/>
      <c r="AI73" s="640"/>
      <c r="AJ73" s="640"/>
      <c r="AK73" s="640"/>
      <c r="AL73" s="640"/>
      <c r="AM73" s="640"/>
      <c r="AN73" s="640"/>
      <c r="AO73" s="640"/>
    </row>
    <row r="74" spans="2:41" hidden="1" x14ac:dyDescent="0.25">
      <c r="B74" s="390"/>
      <c r="C74" s="892" t="str">
        <f ca="1">TIME!$N$27</f>
        <v>Q3</v>
      </c>
      <c r="D74" s="892"/>
      <c r="E74" s="892"/>
      <c r="F74" s="372"/>
      <c r="G74" s="892" t="str">
        <f ca="1">TIME!$N$28</f>
        <v>Q4</v>
      </c>
      <c r="H74" s="892"/>
      <c r="I74" s="892"/>
      <c r="J74" s="372"/>
      <c r="K74" s="892" t="str">
        <f ca="1">TIME!$N$29</f>
        <v>Q1</v>
      </c>
      <c r="L74" s="892"/>
      <c r="M74" s="892"/>
      <c r="N74" s="372"/>
      <c r="O74" s="892" t="str">
        <f ca="1">TIME!$N$30</f>
        <v>Q2</v>
      </c>
      <c r="P74" s="892"/>
      <c r="Q74" s="892"/>
      <c r="R74" s="372"/>
      <c r="S74" s="892" t="str">
        <f ca="1">TIME!$N$31</f>
        <v>Q3</v>
      </c>
      <c r="T74" s="892"/>
      <c r="U74" s="939"/>
      <c r="W74" s="203"/>
      <c r="X74" s="203"/>
      <c r="Y74" s="203"/>
      <c r="Z74" s="203"/>
      <c r="AA74" s="203"/>
      <c r="AB74" s="203"/>
      <c r="AC74" s="203"/>
      <c r="AD74" s="203"/>
      <c r="AE74" s="203"/>
      <c r="AF74" s="640"/>
      <c r="AG74" s="640"/>
      <c r="AH74" s="640"/>
      <c r="AI74" s="640"/>
      <c r="AJ74" s="640"/>
      <c r="AK74" s="640"/>
      <c r="AL74" s="640"/>
      <c r="AM74" s="640"/>
      <c r="AN74" s="640"/>
      <c r="AO74" s="640"/>
    </row>
    <row r="75" spans="2:41" hidden="1" x14ac:dyDescent="0.25">
      <c r="B75" s="391"/>
      <c r="C75" s="382" t="str">
        <f ca="1">T7</f>
        <v>Feb</v>
      </c>
      <c r="D75" s="382" t="str">
        <f ca="1">U7</f>
        <v>Mar</v>
      </c>
      <c r="E75" s="382" t="str">
        <f ca="1">V7</f>
        <v>Apr</v>
      </c>
      <c r="F75" s="372"/>
      <c r="G75" s="382" t="str">
        <f ca="1">X7</f>
        <v>May</v>
      </c>
      <c r="H75" s="382" t="str">
        <f ca="1">Y7</f>
        <v>Jun</v>
      </c>
      <c r="I75" s="382" t="str">
        <f ca="1">Z7</f>
        <v>Jul</v>
      </c>
      <c r="J75" s="372"/>
      <c r="K75" s="382" t="str">
        <f ca="1">AB7</f>
        <v>Aug</v>
      </c>
      <c r="L75" s="382" t="str">
        <f ca="1">AC7</f>
        <v>Sep</v>
      </c>
      <c r="M75" s="382" t="str">
        <f ca="1">AD7</f>
        <v>Oct</v>
      </c>
      <c r="N75" s="372"/>
      <c r="O75" s="382" t="str">
        <f ca="1">AF7</f>
        <v>Nov</v>
      </c>
      <c r="P75" s="382" t="str">
        <f ca="1">AG7</f>
        <v>Dec</v>
      </c>
      <c r="Q75" s="382" t="str">
        <f ca="1">AH7</f>
        <v>Jan</v>
      </c>
      <c r="R75" s="372"/>
      <c r="S75" s="382" t="str">
        <f ca="1">S53</f>
        <v>Feb</v>
      </c>
      <c r="T75" s="382" t="str">
        <f ca="1">T53</f>
        <v>Mar</v>
      </c>
      <c r="U75" s="385" t="str">
        <f ca="1">U53</f>
        <v>Apr</v>
      </c>
      <c r="W75" s="203"/>
      <c r="X75" s="203"/>
      <c r="Y75" s="203"/>
      <c r="Z75" s="203"/>
      <c r="AA75" s="203"/>
      <c r="AB75" s="203"/>
      <c r="AC75" s="203"/>
      <c r="AD75" s="203"/>
      <c r="AE75" s="203"/>
      <c r="AF75" s="640"/>
      <c r="AG75" s="640"/>
      <c r="AH75" s="640"/>
      <c r="AI75" s="640"/>
      <c r="AJ75" s="640"/>
      <c r="AK75" s="640"/>
      <c r="AL75" s="640"/>
      <c r="AM75" s="640"/>
      <c r="AN75" s="640"/>
      <c r="AO75" s="640"/>
    </row>
    <row r="76" spans="2:41" hidden="1" x14ac:dyDescent="0.25">
      <c r="B76" s="390" t="str">
        <f>B54</f>
        <v>ACCESSORIES</v>
      </c>
      <c r="C76" s="212">
        <f t="shared" ref="C76:E91" ca="1" si="33">C54/4.3</f>
        <v>0</v>
      </c>
      <c r="D76" s="212">
        <f t="shared" ca="1" si="33"/>
        <v>0</v>
      </c>
      <c r="E76" s="212">
        <f t="shared" ca="1" si="33"/>
        <v>0</v>
      </c>
      <c r="F76" s="212"/>
      <c r="G76" s="212">
        <f t="shared" ref="G76:I91" ca="1" si="34">G54/4.3</f>
        <v>0</v>
      </c>
      <c r="H76" s="212">
        <f t="shared" ca="1" si="34"/>
        <v>0</v>
      </c>
      <c r="I76" s="212">
        <f t="shared" ca="1" si="34"/>
        <v>0</v>
      </c>
      <c r="J76" s="212"/>
      <c r="K76" s="212">
        <f t="shared" ref="K76:M91" ca="1" si="35">K54/4.3</f>
        <v>0</v>
      </c>
      <c r="L76" s="212">
        <f t="shared" ca="1" si="35"/>
        <v>0</v>
      </c>
      <c r="M76" s="212">
        <f t="shared" ca="1" si="35"/>
        <v>0</v>
      </c>
      <c r="N76" s="212"/>
      <c r="O76" s="212">
        <f t="shared" ref="O76:Q91" ca="1" si="36">O54/4.3</f>
        <v>0</v>
      </c>
      <c r="P76" s="212">
        <f t="shared" ca="1" si="36"/>
        <v>0</v>
      </c>
      <c r="Q76" s="212">
        <f t="shared" ca="1" si="36"/>
        <v>0</v>
      </c>
      <c r="R76" s="212"/>
      <c r="S76" s="212">
        <f t="shared" ref="S76:U91" ca="1" si="37">S54/4.3</f>
        <v>0</v>
      </c>
      <c r="T76" s="212">
        <f t="shared" ca="1" si="37"/>
        <v>0</v>
      </c>
      <c r="U76" s="386">
        <f t="shared" ca="1" si="37"/>
        <v>0</v>
      </c>
      <c r="W76" s="203"/>
      <c r="X76" s="203"/>
      <c r="Y76" s="203"/>
      <c r="Z76" s="203"/>
      <c r="AA76" s="203"/>
      <c r="AB76" s="203"/>
      <c r="AC76" s="203"/>
      <c r="AD76" s="203"/>
      <c r="AE76" s="203"/>
      <c r="AF76" s="640"/>
      <c r="AG76" s="640"/>
      <c r="AH76" s="640"/>
      <c r="AI76" s="640"/>
      <c r="AJ76" s="640"/>
      <c r="AK76" s="640"/>
      <c r="AL76" s="640"/>
      <c r="AM76" s="640"/>
      <c r="AN76" s="640"/>
      <c r="AO76" s="640"/>
    </row>
    <row r="77" spans="2:41" hidden="1" x14ac:dyDescent="0.25">
      <c r="B77" s="390" t="str">
        <f t="shared" ref="B77:B91" si="38">B55</f>
        <v>DRESSES</v>
      </c>
      <c r="C77" s="212">
        <f t="shared" ca="1" si="33"/>
        <v>0</v>
      </c>
      <c r="D77" s="212">
        <f t="shared" ca="1" si="33"/>
        <v>0</v>
      </c>
      <c r="E77" s="212">
        <f t="shared" ca="1" si="33"/>
        <v>0</v>
      </c>
      <c r="F77" s="212"/>
      <c r="G77" s="212">
        <f t="shared" ca="1" si="34"/>
        <v>0</v>
      </c>
      <c r="H77" s="212">
        <f t="shared" ca="1" si="34"/>
        <v>0</v>
      </c>
      <c r="I77" s="212">
        <f t="shared" ca="1" si="34"/>
        <v>0</v>
      </c>
      <c r="J77" s="212"/>
      <c r="K77" s="212">
        <f t="shared" ca="1" si="35"/>
        <v>0</v>
      </c>
      <c r="L77" s="212">
        <f t="shared" ca="1" si="35"/>
        <v>0</v>
      </c>
      <c r="M77" s="212">
        <f t="shared" ca="1" si="35"/>
        <v>0</v>
      </c>
      <c r="N77" s="212"/>
      <c r="O77" s="212">
        <f t="shared" ca="1" si="36"/>
        <v>0</v>
      </c>
      <c r="P77" s="212">
        <f t="shared" ca="1" si="36"/>
        <v>0</v>
      </c>
      <c r="Q77" s="212">
        <f t="shared" ca="1" si="36"/>
        <v>0</v>
      </c>
      <c r="R77" s="212"/>
      <c r="S77" s="212">
        <f t="shared" ca="1" si="37"/>
        <v>0</v>
      </c>
      <c r="T77" s="212">
        <f t="shared" ca="1" si="37"/>
        <v>0</v>
      </c>
      <c r="U77" s="386">
        <f t="shared" ca="1" si="37"/>
        <v>0</v>
      </c>
      <c r="W77" s="203"/>
      <c r="X77" s="203"/>
      <c r="Y77" s="203"/>
      <c r="Z77" s="203"/>
      <c r="AA77" s="203"/>
      <c r="AB77" s="203"/>
      <c r="AC77" s="203"/>
      <c r="AD77" s="203"/>
      <c r="AE77" s="203"/>
      <c r="AF77" s="640"/>
      <c r="AG77" s="640"/>
      <c r="AH77" s="640"/>
      <c r="AI77" s="640"/>
      <c r="AJ77" s="640"/>
      <c r="AK77" s="640"/>
      <c r="AL77" s="640"/>
      <c r="AM77" s="640"/>
      <c r="AN77" s="640"/>
      <c r="AO77" s="640"/>
    </row>
    <row r="78" spans="2:41" hidden="1" x14ac:dyDescent="0.25">
      <c r="B78" s="390" t="str">
        <f t="shared" si="38"/>
        <v>JEANS</v>
      </c>
      <c r="C78" s="212">
        <f t="shared" ca="1" si="33"/>
        <v>0</v>
      </c>
      <c r="D78" s="212">
        <f t="shared" ca="1" si="33"/>
        <v>0</v>
      </c>
      <c r="E78" s="212">
        <f t="shared" ca="1" si="33"/>
        <v>0</v>
      </c>
      <c r="F78" s="212"/>
      <c r="G78" s="212">
        <f t="shared" ca="1" si="34"/>
        <v>0</v>
      </c>
      <c r="H78" s="212">
        <f t="shared" ca="1" si="34"/>
        <v>0</v>
      </c>
      <c r="I78" s="212">
        <f t="shared" ca="1" si="34"/>
        <v>0</v>
      </c>
      <c r="J78" s="212"/>
      <c r="K78" s="212">
        <f t="shared" ca="1" si="35"/>
        <v>0</v>
      </c>
      <c r="L78" s="212">
        <f t="shared" ca="1" si="35"/>
        <v>0</v>
      </c>
      <c r="M78" s="212">
        <f t="shared" ca="1" si="35"/>
        <v>0</v>
      </c>
      <c r="N78" s="212"/>
      <c r="O78" s="212">
        <f t="shared" ca="1" si="36"/>
        <v>0</v>
      </c>
      <c r="P78" s="212">
        <f t="shared" ca="1" si="36"/>
        <v>0</v>
      </c>
      <c r="Q78" s="212">
        <f t="shared" ca="1" si="36"/>
        <v>0</v>
      </c>
      <c r="R78" s="212"/>
      <c r="S78" s="212">
        <f t="shared" ca="1" si="37"/>
        <v>0</v>
      </c>
      <c r="T78" s="212">
        <f t="shared" ca="1" si="37"/>
        <v>0</v>
      </c>
      <c r="U78" s="386">
        <f t="shared" ca="1" si="37"/>
        <v>0</v>
      </c>
      <c r="W78" s="203"/>
      <c r="X78" s="203"/>
      <c r="Y78" s="203"/>
      <c r="Z78" s="203"/>
      <c r="AA78" s="203"/>
      <c r="AB78" s="203"/>
      <c r="AC78" s="203"/>
      <c r="AD78" s="203"/>
      <c r="AE78" s="203"/>
      <c r="AF78" s="640"/>
      <c r="AG78" s="640"/>
      <c r="AH78" s="640"/>
      <c r="AI78" s="640"/>
      <c r="AJ78" s="640"/>
      <c r="AK78" s="640"/>
      <c r="AL78" s="640"/>
      <c r="AM78" s="640"/>
      <c r="AN78" s="640"/>
      <c r="AO78" s="640"/>
    </row>
    <row r="79" spans="2:41" hidden="1" x14ac:dyDescent="0.25">
      <c r="B79" s="390" t="str">
        <f t="shared" si="38"/>
        <v>KNIT</v>
      </c>
      <c r="C79" s="212">
        <f t="shared" ca="1" si="33"/>
        <v>0</v>
      </c>
      <c r="D79" s="212">
        <f t="shared" ca="1" si="33"/>
        <v>0</v>
      </c>
      <c r="E79" s="212">
        <f t="shared" ca="1" si="33"/>
        <v>0</v>
      </c>
      <c r="F79" s="212"/>
      <c r="G79" s="212">
        <f t="shared" ca="1" si="34"/>
        <v>0</v>
      </c>
      <c r="H79" s="212">
        <f t="shared" ca="1" si="34"/>
        <v>0</v>
      </c>
      <c r="I79" s="212">
        <f t="shared" ca="1" si="34"/>
        <v>0</v>
      </c>
      <c r="J79" s="212"/>
      <c r="K79" s="212">
        <f t="shared" ca="1" si="35"/>
        <v>0</v>
      </c>
      <c r="L79" s="212">
        <f t="shared" ca="1" si="35"/>
        <v>0</v>
      </c>
      <c r="M79" s="212">
        <f t="shared" ca="1" si="35"/>
        <v>0</v>
      </c>
      <c r="N79" s="212"/>
      <c r="O79" s="212">
        <f t="shared" ca="1" si="36"/>
        <v>0</v>
      </c>
      <c r="P79" s="212">
        <f t="shared" ca="1" si="36"/>
        <v>0</v>
      </c>
      <c r="Q79" s="212">
        <f t="shared" ca="1" si="36"/>
        <v>0</v>
      </c>
      <c r="R79" s="212"/>
      <c r="S79" s="212">
        <f t="shared" ca="1" si="37"/>
        <v>0</v>
      </c>
      <c r="T79" s="212">
        <f t="shared" ca="1" si="37"/>
        <v>0</v>
      </c>
      <c r="U79" s="386">
        <f t="shared" ca="1" si="37"/>
        <v>0</v>
      </c>
      <c r="W79" s="203"/>
      <c r="X79" s="203"/>
      <c r="Y79" s="203"/>
      <c r="Z79" s="203"/>
      <c r="AA79" s="203"/>
      <c r="AB79" s="203"/>
      <c r="AC79" s="203"/>
      <c r="AD79" s="203"/>
      <c r="AE79" s="203"/>
      <c r="AF79" s="640"/>
      <c r="AG79" s="640"/>
      <c r="AH79" s="640"/>
      <c r="AI79" s="640"/>
      <c r="AJ79" s="640"/>
      <c r="AK79" s="640"/>
      <c r="AL79" s="640"/>
      <c r="AM79" s="640"/>
      <c r="AN79" s="640"/>
      <c r="AO79" s="640"/>
    </row>
    <row r="80" spans="2:41" hidden="1" x14ac:dyDescent="0.25">
      <c r="B80" s="390" t="str">
        <f t="shared" si="38"/>
        <v>OUTERWEAR</v>
      </c>
      <c r="C80" s="212">
        <f t="shared" ca="1" si="33"/>
        <v>0</v>
      </c>
      <c r="D80" s="212">
        <f t="shared" ca="1" si="33"/>
        <v>0</v>
      </c>
      <c r="E80" s="212">
        <f t="shared" ca="1" si="33"/>
        <v>0</v>
      </c>
      <c r="F80" s="212"/>
      <c r="G80" s="212">
        <f t="shared" ca="1" si="34"/>
        <v>0</v>
      </c>
      <c r="H80" s="212">
        <f t="shared" ca="1" si="34"/>
        <v>0</v>
      </c>
      <c r="I80" s="212">
        <f t="shared" ca="1" si="34"/>
        <v>0</v>
      </c>
      <c r="J80" s="212"/>
      <c r="K80" s="212">
        <f t="shared" ca="1" si="35"/>
        <v>0</v>
      </c>
      <c r="L80" s="212">
        <f t="shared" ca="1" si="35"/>
        <v>0</v>
      </c>
      <c r="M80" s="212">
        <f t="shared" ca="1" si="35"/>
        <v>0</v>
      </c>
      <c r="N80" s="212"/>
      <c r="O80" s="212">
        <f t="shared" ca="1" si="36"/>
        <v>0</v>
      </c>
      <c r="P80" s="212">
        <f t="shared" ca="1" si="36"/>
        <v>0</v>
      </c>
      <c r="Q80" s="212">
        <f t="shared" ca="1" si="36"/>
        <v>0</v>
      </c>
      <c r="R80" s="212"/>
      <c r="S80" s="212">
        <f t="shared" ca="1" si="37"/>
        <v>0</v>
      </c>
      <c r="T80" s="212">
        <f t="shared" ca="1" si="37"/>
        <v>0</v>
      </c>
      <c r="U80" s="386">
        <f t="shared" ca="1" si="37"/>
        <v>0</v>
      </c>
      <c r="W80" s="203"/>
      <c r="X80" s="203"/>
      <c r="Y80" s="203"/>
      <c r="Z80" s="203"/>
      <c r="AA80" s="203"/>
      <c r="AB80" s="203"/>
      <c r="AC80" s="203"/>
      <c r="AD80" s="203"/>
      <c r="AE80" s="203"/>
      <c r="AF80" s="640"/>
      <c r="AG80" s="640"/>
      <c r="AH80" s="640"/>
      <c r="AI80" s="640"/>
      <c r="AJ80" s="640"/>
      <c r="AK80" s="640"/>
      <c r="AL80" s="640"/>
      <c r="AM80" s="640"/>
      <c r="AN80" s="640"/>
      <c r="AO80" s="640"/>
    </row>
    <row r="81" spans="2:41" hidden="1" x14ac:dyDescent="0.25">
      <c r="B81" s="390" t="str">
        <f t="shared" si="38"/>
        <v>PANTS</v>
      </c>
      <c r="C81" s="212">
        <f t="shared" ca="1" si="33"/>
        <v>0</v>
      </c>
      <c r="D81" s="212">
        <f t="shared" ca="1" si="33"/>
        <v>0</v>
      </c>
      <c r="E81" s="212">
        <f t="shared" ca="1" si="33"/>
        <v>0</v>
      </c>
      <c r="F81" s="212"/>
      <c r="G81" s="212">
        <f t="shared" ca="1" si="34"/>
        <v>0</v>
      </c>
      <c r="H81" s="212">
        <f t="shared" ca="1" si="34"/>
        <v>0</v>
      </c>
      <c r="I81" s="212">
        <f t="shared" ca="1" si="34"/>
        <v>0</v>
      </c>
      <c r="J81" s="212"/>
      <c r="K81" s="212">
        <f t="shared" ca="1" si="35"/>
        <v>0</v>
      </c>
      <c r="L81" s="212">
        <f t="shared" ca="1" si="35"/>
        <v>0</v>
      </c>
      <c r="M81" s="212">
        <f t="shared" ca="1" si="35"/>
        <v>0</v>
      </c>
      <c r="N81" s="212"/>
      <c r="O81" s="212">
        <f t="shared" ca="1" si="36"/>
        <v>0</v>
      </c>
      <c r="P81" s="212">
        <f t="shared" ca="1" si="36"/>
        <v>0</v>
      </c>
      <c r="Q81" s="212">
        <f t="shared" ca="1" si="36"/>
        <v>0</v>
      </c>
      <c r="R81" s="212"/>
      <c r="S81" s="212">
        <f t="shared" ca="1" si="37"/>
        <v>0</v>
      </c>
      <c r="T81" s="212">
        <f t="shared" ca="1" si="37"/>
        <v>0</v>
      </c>
      <c r="U81" s="386">
        <f t="shared" ca="1" si="37"/>
        <v>0</v>
      </c>
      <c r="W81" s="203"/>
      <c r="X81" s="203"/>
      <c r="Y81" s="203"/>
      <c r="Z81" s="203"/>
      <c r="AA81" s="203"/>
      <c r="AB81" s="203"/>
      <c r="AC81" s="203"/>
      <c r="AD81" s="203"/>
      <c r="AE81" s="203"/>
      <c r="AF81" s="640"/>
      <c r="AG81" s="640"/>
      <c r="AH81" s="640"/>
      <c r="AI81" s="640"/>
      <c r="AJ81" s="640"/>
      <c r="AK81" s="640"/>
      <c r="AL81" s="640"/>
      <c r="AM81" s="640"/>
      <c r="AN81" s="640"/>
      <c r="AO81" s="640"/>
    </row>
    <row r="82" spans="2:41" hidden="1" x14ac:dyDescent="0.25">
      <c r="B82" s="390" t="str">
        <f t="shared" si="38"/>
        <v>SHIRTS</v>
      </c>
      <c r="C82" s="212">
        <f t="shared" ca="1" si="33"/>
        <v>0</v>
      </c>
      <c r="D82" s="212">
        <f t="shared" ca="1" si="33"/>
        <v>0</v>
      </c>
      <c r="E82" s="212">
        <f t="shared" ca="1" si="33"/>
        <v>0</v>
      </c>
      <c r="F82" s="212"/>
      <c r="G82" s="212">
        <f t="shared" ca="1" si="34"/>
        <v>0</v>
      </c>
      <c r="H82" s="212">
        <f t="shared" ca="1" si="34"/>
        <v>0</v>
      </c>
      <c r="I82" s="212">
        <f t="shared" ca="1" si="34"/>
        <v>0</v>
      </c>
      <c r="J82" s="212"/>
      <c r="K82" s="212">
        <f t="shared" ca="1" si="35"/>
        <v>0</v>
      </c>
      <c r="L82" s="212">
        <f t="shared" ca="1" si="35"/>
        <v>0</v>
      </c>
      <c r="M82" s="212">
        <f t="shared" ca="1" si="35"/>
        <v>0</v>
      </c>
      <c r="N82" s="212"/>
      <c r="O82" s="212">
        <f t="shared" ca="1" si="36"/>
        <v>0</v>
      </c>
      <c r="P82" s="212">
        <f t="shared" ca="1" si="36"/>
        <v>0</v>
      </c>
      <c r="Q82" s="212">
        <f t="shared" ca="1" si="36"/>
        <v>0</v>
      </c>
      <c r="R82" s="212"/>
      <c r="S82" s="212">
        <f t="shared" ca="1" si="37"/>
        <v>0</v>
      </c>
      <c r="T82" s="212">
        <f t="shared" ca="1" si="37"/>
        <v>0</v>
      </c>
      <c r="U82" s="386">
        <f t="shared" ca="1" si="37"/>
        <v>0</v>
      </c>
      <c r="W82" s="203"/>
      <c r="X82" s="203"/>
      <c r="Y82" s="203"/>
      <c r="Z82" s="203"/>
      <c r="AA82" s="203"/>
      <c r="AB82" s="203"/>
      <c r="AC82" s="203"/>
      <c r="AD82" s="203"/>
      <c r="AE82" s="203"/>
      <c r="AF82" s="640"/>
      <c r="AG82" s="640"/>
      <c r="AH82" s="640"/>
      <c r="AI82" s="640"/>
      <c r="AJ82" s="640"/>
      <c r="AK82" s="640"/>
      <c r="AL82" s="640"/>
      <c r="AM82" s="640"/>
      <c r="AN82" s="640"/>
      <c r="AO82" s="640"/>
    </row>
    <row r="83" spans="2:41" hidden="1" x14ac:dyDescent="0.25">
      <c r="B83" s="390" t="str">
        <f t="shared" si="38"/>
        <v>SHOES</v>
      </c>
      <c r="C83" s="212">
        <f t="shared" ca="1" si="33"/>
        <v>0</v>
      </c>
      <c r="D83" s="212">
        <f t="shared" ca="1" si="33"/>
        <v>0</v>
      </c>
      <c r="E83" s="212">
        <f t="shared" ca="1" si="33"/>
        <v>0</v>
      </c>
      <c r="F83" s="212"/>
      <c r="G83" s="212">
        <f t="shared" ca="1" si="34"/>
        <v>0</v>
      </c>
      <c r="H83" s="212">
        <f t="shared" ca="1" si="34"/>
        <v>0</v>
      </c>
      <c r="I83" s="212">
        <f t="shared" ca="1" si="34"/>
        <v>0</v>
      </c>
      <c r="J83" s="212"/>
      <c r="K83" s="212">
        <f t="shared" ca="1" si="35"/>
        <v>0</v>
      </c>
      <c r="L83" s="212">
        <f t="shared" ca="1" si="35"/>
        <v>0</v>
      </c>
      <c r="M83" s="212">
        <f t="shared" ca="1" si="35"/>
        <v>0</v>
      </c>
      <c r="N83" s="212"/>
      <c r="O83" s="212">
        <f t="shared" ca="1" si="36"/>
        <v>0</v>
      </c>
      <c r="P83" s="212">
        <f t="shared" ca="1" si="36"/>
        <v>0</v>
      </c>
      <c r="Q83" s="212">
        <f t="shared" ca="1" si="36"/>
        <v>0</v>
      </c>
      <c r="R83" s="212"/>
      <c r="S83" s="212">
        <f t="shared" ca="1" si="37"/>
        <v>0</v>
      </c>
      <c r="T83" s="212">
        <f t="shared" ca="1" si="37"/>
        <v>0</v>
      </c>
      <c r="U83" s="386">
        <f t="shared" ca="1" si="37"/>
        <v>0</v>
      </c>
      <c r="W83" s="203"/>
      <c r="X83" s="203"/>
      <c r="Y83" s="203"/>
      <c r="Z83" s="203"/>
      <c r="AA83" s="203"/>
      <c r="AB83" s="203"/>
      <c r="AC83" s="203"/>
      <c r="AD83" s="203"/>
      <c r="AE83" s="203"/>
      <c r="AF83" s="640"/>
      <c r="AG83" s="640"/>
      <c r="AH83" s="640"/>
      <c r="AI83" s="640"/>
      <c r="AJ83" s="640"/>
      <c r="AK83" s="640"/>
      <c r="AL83" s="640"/>
      <c r="AM83" s="640"/>
      <c r="AN83" s="640"/>
      <c r="AO83" s="640"/>
    </row>
    <row r="84" spans="2:41" hidden="1" x14ac:dyDescent="0.25">
      <c r="B84" s="390" t="str">
        <f t="shared" si="38"/>
        <v>SHORTS</v>
      </c>
      <c r="C84" s="212">
        <f t="shared" ca="1" si="33"/>
        <v>0</v>
      </c>
      <c r="D84" s="212">
        <f t="shared" ca="1" si="33"/>
        <v>0</v>
      </c>
      <c r="E84" s="212">
        <f t="shared" ca="1" si="33"/>
        <v>0</v>
      </c>
      <c r="F84" s="212"/>
      <c r="G84" s="212">
        <f t="shared" ca="1" si="34"/>
        <v>0</v>
      </c>
      <c r="H84" s="212">
        <f t="shared" ca="1" si="34"/>
        <v>0</v>
      </c>
      <c r="I84" s="212">
        <f t="shared" ca="1" si="34"/>
        <v>0</v>
      </c>
      <c r="J84" s="212"/>
      <c r="K84" s="212">
        <f t="shared" ca="1" si="35"/>
        <v>0</v>
      </c>
      <c r="L84" s="212">
        <f t="shared" ca="1" si="35"/>
        <v>0</v>
      </c>
      <c r="M84" s="212">
        <f t="shared" ca="1" si="35"/>
        <v>0</v>
      </c>
      <c r="N84" s="212"/>
      <c r="O84" s="212">
        <f t="shared" ca="1" si="36"/>
        <v>0</v>
      </c>
      <c r="P84" s="212">
        <f t="shared" ca="1" si="36"/>
        <v>0</v>
      </c>
      <c r="Q84" s="212">
        <f t="shared" ca="1" si="36"/>
        <v>0</v>
      </c>
      <c r="R84" s="212"/>
      <c r="S84" s="212">
        <f t="shared" ca="1" si="37"/>
        <v>0</v>
      </c>
      <c r="T84" s="212">
        <f t="shared" ca="1" si="37"/>
        <v>0</v>
      </c>
      <c r="U84" s="386">
        <f t="shared" ca="1" si="37"/>
        <v>0</v>
      </c>
      <c r="W84" s="203"/>
      <c r="X84" s="203"/>
      <c r="Y84" s="203"/>
      <c r="Z84" s="203"/>
      <c r="AA84" s="203"/>
      <c r="AB84" s="203"/>
      <c r="AC84" s="203"/>
      <c r="AD84" s="203"/>
      <c r="AE84" s="203"/>
      <c r="AF84" s="640"/>
      <c r="AG84" s="640"/>
      <c r="AH84" s="640"/>
      <c r="AI84" s="640"/>
      <c r="AJ84" s="640"/>
      <c r="AK84" s="640"/>
      <c r="AL84" s="640"/>
      <c r="AM84" s="640"/>
      <c r="AN84" s="640"/>
      <c r="AO84" s="640"/>
    </row>
    <row r="85" spans="2:41" hidden="1" x14ac:dyDescent="0.25">
      <c r="B85" s="390" t="str">
        <f t="shared" si="38"/>
        <v>SKIRTS</v>
      </c>
      <c r="C85" s="212">
        <f t="shared" ca="1" si="33"/>
        <v>0</v>
      </c>
      <c r="D85" s="212">
        <f t="shared" ca="1" si="33"/>
        <v>0</v>
      </c>
      <c r="E85" s="212">
        <f t="shared" ca="1" si="33"/>
        <v>0</v>
      </c>
      <c r="F85" s="212"/>
      <c r="G85" s="212">
        <f t="shared" ca="1" si="34"/>
        <v>0</v>
      </c>
      <c r="H85" s="212">
        <f t="shared" ca="1" si="34"/>
        <v>0</v>
      </c>
      <c r="I85" s="212">
        <f t="shared" ca="1" si="34"/>
        <v>0</v>
      </c>
      <c r="J85" s="212"/>
      <c r="K85" s="212">
        <f t="shared" ca="1" si="35"/>
        <v>0</v>
      </c>
      <c r="L85" s="212">
        <f t="shared" ca="1" si="35"/>
        <v>0</v>
      </c>
      <c r="M85" s="212">
        <f t="shared" ca="1" si="35"/>
        <v>0</v>
      </c>
      <c r="N85" s="212"/>
      <c r="O85" s="212">
        <f t="shared" ca="1" si="36"/>
        <v>0</v>
      </c>
      <c r="P85" s="212">
        <f t="shared" ca="1" si="36"/>
        <v>0</v>
      </c>
      <c r="Q85" s="212">
        <f t="shared" ca="1" si="36"/>
        <v>0</v>
      </c>
      <c r="R85" s="212"/>
      <c r="S85" s="212">
        <f t="shared" ca="1" si="37"/>
        <v>0</v>
      </c>
      <c r="T85" s="212">
        <f t="shared" ca="1" si="37"/>
        <v>0</v>
      </c>
      <c r="U85" s="386">
        <f t="shared" ca="1" si="37"/>
        <v>0</v>
      </c>
      <c r="W85" s="203"/>
      <c r="X85" s="203"/>
      <c r="Y85" s="203"/>
      <c r="Z85" s="203"/>
      <c r="AA85" s="203"/>
      <c r="AB85" s="203"/>
      <c r="AC85" s="203"/>
      <c r="AD85" s="203"/>
      <c r="AE85" s="203"/>
      <c r="AF85" s="640"/>
      <c r="AG85" s="640"/>
      <c r="AH85" s="640"/>
      <c r="AI85" s="640"/>
      <c r="AJ85" s="640"/>
      <c r="AK85" s="640"/>
      <c r="AL85" s="640"/>
      <c r="AM85" s="640"/>
      <c r="AN85" s="640"/>
      <c r="AO85" s="640"/>
    </row>
    <row r="86" spans="2:41" hidden="1" x14ac:dyDescent="0.25">
      <c r="B86" s="390" t="str">
        <f t="shared" si="38"/>
        <v>SWEAT</v>
      </c>
      <c r="C86" s="212">
        <f t="shared" ca="1" si="33"/>
        <v>0</v>
      </c>
      <c r="D86" s="212">
        <f t="shared" ca="1" si="33"/>
        <v>0</v>
      </c>
      <c r="E86" s="212">
        <f t="shared" ca="1" si="33"/>
        <v>0</v>
      </c>
      <c r="F86" s="212"/>
      <c r="G86" s="212">
        <f t="shared" ca="1" si="34"/>
        <v>0</v>
      </c>
      <c r="H86" s="212">
        <f t="shared" ca="1" si="34"/>
        <v>0</v>
      </c>
      <c r="I86" s="212">
        <f t="shared" ca="1" si="34"/>
        <v>0</v>
      </c>
      <c r="J86" s="212"/>
      <c r="K86" s="212">
        <f t="shared" ca="1" si="35"/>
        <v>0</v>
      </c>
      <c r="L86" s="212">
        <f t="shared" ca="1" si="35"/>
        <v>0</v>
      </c>
      <c r="M86" s="212">
        <f t="shared" ca="1" si="35"/>
        <v>0</v>
      </c>
      <c r="N86" s="212"/>
      <c r="O86" s="212">
        <f t="shared" ca="1" si="36"/>
        <v>0</v>
      </c>
      <c r="P86" s="212">
        <f t="shared" ca="1" si="36"/>
        <v>0</v>
      </c>
      <c r="Q86" s="212">
        <f t="shared" ca="1" si="36"/>
        <v>0</v>
      </c>
      <c r="R86" s="212"/>
      <c r="S86" s="212">
        <f t="shared" ca="1" si="37"/>
        <v>0</v>
      </c>
      <c r="T86" s="212">
        <f t="shared" ca="1" si="37"/>
        <v>0</v>
      </c>
      <c r="U86" s="386">
        <f t="shared" ca="1" si="37"/>
        <v>0</v>
      </c>
      <c r="W86" s="203"/>
      <c r="X86" s="203"/>
      <c r="Y86" s="203"/>
      <c r="Z86" s="203"/>
      <c r="AA86" s="203"/>
      <c r="AB86" s="203"/>
      <c r="AC86" s="203"/>
      <c r="AD86" s="203"/>
      <c r="AE86" s="203"/>
      <c r="AF86" s="640"/>
      <c r="AG86" s="640"/>
      <c r="AH86" s="640"/>
      <c r="AI86" s="640"/>
      <c r="AJ86" s="640"/>
      <c r="AK86" s="640"/>
      <c r="AL86" s="640"/>
      <c r="AM86" s="640"/>
      <c r="AN86" s="640"/>
      <c r="AO86" s="640"/>
    </row>
    <row r="87" spans="2:41" hidden="1" x14ac:dyDescent="0.25">
      <c r="B87" s="390" t="str">
        <f t="shared" si="38"/>
        <v>TAILORING</v>
      </c>
      <c r="C87" s="212">
        <f t="shared" ca="1" si="33"/>
        <v>0</v>
      </c>
      <c r="D87" s="212">
        <f t="shared" ca="1" si="33"/>
        <v>0</v>
      </c>
      <c r="E87" s="212">
        <f t="shared" ca="1" si="33"/>
        <v>0</v>
      </c>
      <c r="F87" s="212"/>
      <c r="G87" s="212">
        <f t="shared" ca="1" si="34"/>
        <v>0</v>
      </c>
      <c r="H87" s="212">
        <f t="shared" ca="1" si="34"/>
        <v>0</v>
      </c>
      <c r="I87" s="212">
        <f t="shared" ca="1" si="34"/>
        <v>0</v>
      </c>
      <c r="J87" s="212"/>
      <c r="K87" s="212">
        <f t="shared" ca="1" si="35"/>
        <v>0</v>
      </c>
      <c r="L87" s="212">
        <f t="shared" ca="1" si="35"/>
        <v>0</v>
      </c>
      <c r="M87" s="212">
        <f t="shared" ca="1" si="35"/>
        <v>0</v>
      </c>
      <c r="N87" s="212"/>
      <c r="O87" s="212">
        <f t="shared" ca="1" si="36"/>
        <v>0</v>
      </c>
      <c r="P87" s="212">
        <f t="shared" ca="1" si="36"/>
        <v>0</v>
      </c>
      <c r="Q87" s="212">
        <f t="shared" ca="1" si="36"/>
        <v>0</v>
      </c>
      <c r="R87" s="212"/>
      <c r="S87" s="212">
        <f t="shared" ca="1" si="37"/>
        <v>0</v>
      </c>
      <c r="T87" s="212">
        <f t="shared" ca="1" si="37"/>
        <v>0</v>
      </c>
      <c r="U87" s="386">
        <f t="shared" ca="1" si="37"/>
        <v>0</v>
      </c>
      <c r="W87" s="203"/>
      <c r="X87" s="203"/>
      <c r="Y87" s="203"/>
      <c r="Z87" s="203"/>
      <c r="AA87" s="203"/>
      <c r="AB87" s="203"/>
      <c r="AC87" s="203"/>
      <c r="AD87" s="203"/>
      <c r="AE87" s="203"/>
      <c r="AF87" s="640"/>
      <c r="AG87" s="640"/>
      <c r="AH87" s="640"/>
      <c r="AI87" s="640"/>
      <c r="AJ87" s="640"/>
      <c r="AK87" s="640"/>
      <c r="AL87" s="640"/>
      <c r="AM87" s="640"/>
      <c r="AN87" s="640"/>
      <c r="AO87" s="640"/>
    </row>
    <row r="88" spans="2:41" hidden="1" x14ac:dyDescent="0.25">
      <c r="B88" s="390" t="str">
        <f t="shared" si="38"/>
        <v>TOPS</v>
      </c>
      <c r="C88" s="212">
        <f t="shared" ca="1" si="33"/>
        <v>0</v>
      </c>
      <c r="D88" s="212">
        <f t="shared" ca="1" si="33"/>
        <v>0</v>
      </c>
      <c r="E88" s="212">
        <f t="shared" ca="1" si="33"/>
        <v>0</v>
      </c>
      <c r="F88" s="212"/>
      <c r="G88" s="212">
        <f t="shared" ca="1" si="34"/>
        <v>0</v>
      </c>
      <c r="H88" s="212">
        <f t="shared" ca="1" si="34"/>
        <v>0</v>
      </c>
      <c r="I88" s="212">
        <f t="shared" ca="1" si="34"/>
        <v>0</v>
      </c>
      <c r="J88" s="212"/>
      <c r="K88" s="212">
        <f t="shared" ca="1" si="35"/>
        <v>0</v>
      </c>
      <c r="L88" s="212">
        <f t="shared" ca="1" si="35"/>
        <v>0</v>
      </c>
      <c r="M88" s="212">
        <f t="shared" ca="1" si="35"/>
        <v>0</v>
      </c>
      <c r="N88" s="212"/>
      <c r="O88" s="212">
        <f t="shared" ca="1" si="36"/>
        <v>0</v>
      </c>
      <c r="P88" s="212">
        <f t="shared" ca="1" si="36"/>
        <v>0</v>
      </c>
      <c r="Q88" s="212">
        <f t="shared" ca="1" si="36"/>
        <v>0</v>
      </c>
      <c r="R88" s="212"/>
      <c r="S88" s="212">
        <f t="shared" ca="1" si="37"/>
        <v>0</v>
      </c>
      <c r="T88" s="212">
        <f t="shared" ca="1" si="37"/>
        <v>0</v>
      </c>
      <c r="U88" s="386">
        <f t="shared" ca="1" si="37"/>
        <v>0</v>
      </c>
      <c r="W88" s="203"/>
      <c r="X88" s="203"/>
      <c r="Y88" s="203"/>
      <c r="Z88" s="203"/>
      <c r="AA88" s="203"/>
      <c r="AB88" s="203"/>
      <c r="AC88" s="203"/>
      <c r="AD88" s="203"/>
      <c r="AE88" s="203"/>
      <c r="AF88" s="640"/>
      <c r="AG88" s="640"/>
      <c r="AH88" s="640"/>
      <c r="AI88" s="640"/>
      <c r="AJ88" s="640"/>
      <c r="AK88" s="640"/>
      <c r="AL88" s="640"/>
      <c r="AM88" s="640"/>
      <c r="AN88" s="640"/>
      <c r="AO88" s="640"/>
    </row>
    <row r="89" spans="2:41" hidden="1" x14ac:dyDescent="0.25">
      <c r="B89" s="390" t="str">
        <f t="shared" si="38"/>
        <v>T-SHIRTS</v>
      </c>
      <c r="C89" s="212">
        <f t="shared" ca="1" si="33"/>
        <v>0</v>
      </c>
      <c r="D89" s="212">
        <f t="shared" ca="1" si="33"/>
        <v>0</v>
      </c>
      <c r="E89" s="212">
        <f t="shared" ca="1" si="33"/>
        <v>0</v>
      </c>
      <c r="F89" s="212"/>
      <c r="G89" s="212">
        <f t="shared" ca="1" si="34"/>
        <v>0</v>
      </c>
      <c r="H89" s="212">
        <f t="shared" ca="1" si="34"/>
        <v>0</v>
      </c>
      <c r="I89" s="212">
        <f t="shared" ca="1" si="34"/>
        <v>0</v>
      </c>
      <c r="J89" s="212"/>
      <c r="K89" s="212">
        <f t="shared" ca="1" si="35"/>
        <v>0</v>
      </c>
      <c r="L89" s="212">
        <f t="shared" ca="1" si="35"/>
        <v>0</v>
      </c>
      <c r="M89" s="212">
        <f t="shared" ca="1" si="35"/>
        <v>0</v>
      </c>
      <c r="N89" s="212"/>
      <c r="O89" s="212">
        <f t="shared" ca="1" si="36"/>
        <v>0</v>
      </c>
      <c r="P89" s="212">
        <f t="shared" ca="1" si="36"/>
        <v>0</v>
      </c>
      <c r="Q89" s="212">
        <f t="shared" ca="1" si="36"/>
        <v>0</v>
      </c>
      <c r="R89" s="212"/>
      <c r="S89" s="212">
        <f t="shared" ca="1" si="37"/>
        <v>0</v>
      </c>
      <c r="T89" s="212">
        <f t="shared" ca="1" si="37"/>
        <v>0</v>
      </c>
      <c r="U89" s="386">
        <f t="shared" ca="1" si="37"/>
        <v>0</v>
      </c>
      <c r="W89" s="203"/>
      <c r="X89" s="203"/>
      <c r="Y89" s="203"/>
      <c r="Z89" s="203"/>
      <c r="AA89" s="203"/>
      <c r="AB89" s="203"/>
      <c r="AC89" s="203"/>
      <c r="AD89" s="203"/>
      <c r="AE89" s="203"/>
      <c r="AF89" s="640"/>
      <c r="AG89" s="640"/>
      <c r="AH89" s="640"/>
      <c r="AI89" s="640"/>
      <c r="AJ89" s="640"/>
      <c r="AK89" s="640"/>
      <c r="AL89" s="640"/>
      <c r="AM89" s="640"/>
      <c r="AN89" s="640"/>
      <c r="AO89" s="640"/>
    </row>
    <row r="90" spans="2:41" hidden="1" x14ac:dyDescent="0.25">
      <c r="B90" s="390" t="str">
        <f t="shared" si="38"/>
        <v>T-SHIRTS &amp; TOPS</v>
      </c>
      <c r="C90" s="212">
        <f t="shared" ca="1" si="33"/>
        <v>0</v>
      </c>
      <c r="D90" s="212">
        <f t="shared" ca="1" si="33"/>
        <v>0</v>
      </c>
      <c r="E90" s="212">
        <f t="shared" ca="1" si="33"/>
        <v>0</v>
      </c>
      <c r="F90" s="212"/>
      <c r="G90" s="212">
        <f t="shared" ca="1" si="34"/>
        <v>0</v>
      </c>
      <c r="H90" s="212">
        <f t="shared" ca="1" si="34"/>
        <v>0</v>
      </c>
      <c r="I90" s="212">
        <f t="shared" ca="1" si="34"/>
        <v>0</v>
      </c>
      <c r="J90" s="212"/>
      <c r="K90" s="212">
        <f t="shared" ca="1" si="35"/>
        <v>0</v>
      </c>
      <c r="L90" s="212">
        <f t="shared" ca="1" si="35"/>
        <v>0</v>
      </c>
      <c r="M90" s="212">
        <f t="shared" ca="1" si="35"/>
        <v>0</v>
      </c>
      <c r="N90" s="212"/>
      <c r="O90" s="212">
        <f t="shared" ca="1" si="36"/>
        <v>0</v>
      </c>
      <c r="P90" s="212">
        <f t="shared" ca="1" si="36"/>
        <v>0</v>
      </c>
      <c r="Q90" s="212">
        <f t="shared" ca="1" si="36"/>
        <v>0</v>
      </c>
      <c r="R90" s="212"/>
      <c r="S90" s="212">
        <f t="shared" ca="1" si="37"/>
        <v>0</v>
      </c>
      <c r="T90" s="212">
        <f t="shared" ca="1" si="37"/>
        <v>0</v>
      </c>
      <c r="U90" s="386">
        <f t="shared" ca="1" si="37"/>
        <v>0</v>
      </c>
      <c r="W90" s="203"/>
      <c r="X90" s="203"/>
      <c r="Y90" s="203"/>
      <c r="Z90" s="203"/>
      <c r="AA90" s="203"/>
      <c r="AB90" s="203"/>
      <c r="AC90" s="203"/>
      <c r="AD90" s="203"/>
      <c r="AE90" s="203"/>
      <c r="AF90" s="640"/>
      <c r="AG90" s="640"/>
      <c r="AH90" s="640"/>
      <c r="AI90" s="640"/>
      <c r="AJ90" s="640"/>
      <c r="AK90" s="640"/>
      <c r="AL90" s="640"/>
      <c r="AM90" s="640"/>
      <c r="AN90" s="640"/>
      <c r="AO90" s="640"/>
    </row>
    <row r="91" spans="2:41" hidden="1" x14ac:dyDescent="0.25">
      <c r="B91" s="390">
        <f t="shared" si="38"/>
        <v>0</v>
      </c>
      <c r="C91" s="212">
        <f t="shared" ca="1" si="33"/>
        <v>0</v>
      </c>
      <c r="D91" s="212">
        <f t="shared" ca="1" si="33"/>
        <v>0</v>
      </c>
      <c r="E91" s="212">
        <f t="shared" ca="1" si="33"/>
        <v>0</v>
      </c>
      <c r="F91" s="212"/>
      <c r="G91" s="212">
        <f t="shared" ca="1" si="34"/>
        <v>0</v>
      </c>
      <c r="H91" s="212">
        <f t="shared" ca="1" si="34"/>
        <v>0</v>
      </c>
      <c r="I91" s="212">
        <f t="shared" ca="1" si="34"/>
        <v>0</v>
      </c>
      <c r="J91" s="212"/>
      <c r="K91" s="212">
        <f t="shared" ca="1" si="35"/>
        <v>0</v>
      </c>
      <c r="L91" s="212">
        <f t="shared" ca="1" si="35"/>
        <v>0</v>
      </c>
      <c r="M91" s="212">
        <f t="shared" ca="1" si="35"/>
        <v>0</v>
      </c>
      <c r="N91" s="212"/>
      <c r="O91" s="212">
        <f t="shared" ca="1" si="36"/>
        <v>0</v>
      </c>
      <c r="P91" s="212">
        <f t="shared" ca="1" si="36"/>
        <v>0</v>
      </c>
      <c r="Q91" s="212">
        <f t="shared" ca="1" si="36"/>
        <v>0</v>
      </c>
      <c r="R91" s="212"/>
      <c r="S91" s="212">
        <f t="shared" ca="1" si="37"/>
        <v>0</v>
      </c>
      <c r="T91" s="212">
        <f t="shared" ca="1" si="37"/>
        <v>0</v>
      </c>
      <c r="U91" s="386">
        <f t="shared" ca="1" si="37"/>
        <v>0</v>
      </c>
      <c r="W91" s="203"/>
      <c r="X91" s="203"/>
      <c r="Y91" s="203"/>
      <c r="Z91" s="203"/>
      <c r="AA91" s="203"/>
      <c r="AB91" s="203"/>
      <c r="AC91" s="203"/>
      <c r="AD91" s="203"/>
      <c r="AE91" s="203"/>
      <c r="AF91" s="640"/>
      <c r="AG91" s="640"/>
      <c r="AH91" s="640"/>
      <c r="AI91" s="640"/>
      <c r="AJ91" s="640"/>
      <c r="AK91" s="640"/>
      <c r="AL91" s="640"/>
      <c r="AM91" s="640"/>
      <c r="AN91" s="640"/>
      <c r="AO91" s="640"/>
    </row>
    <row r="92" spans="2:41" hidden="1" x14ac:dyDescent="0.25">
      <c r="B92" s="392" t="str">
        <f>B70</f>
        <v>TOTAL</v>
      </c>
      <c r="C92" s="387">
        <f ca="1">SUM(C76:C91)</f>
        <v>0</v>
      </c>
      <c r="D92" s="387">
        <f t="shared" ref="D92:U92" ca="1" si="39">SUM(D76:D91)</f>
        <v>0</v>
      </c>
      <c r="E92" s="387">
        <f t="shared" ca="1" si="39"/>
        <v>0</v>
      </c>
      <c r="F92" s="388"/>
      <c r="G92" s="387">
        <f t="shared" ca="1" si="39"/>
        <v>0</v>
      </c>
      <c r="H92" s="387">
        <f t="shared" ca="1" si="39"/>
        <v>0</v>
      </c>
      <c r="I92" s="387">
        <f t="shared" ca="1" si="39"/>
        <v>0</v>
      </c>
      <c r="J92" s="388"/>
      <c r="K92" s="387">
        <f t="shared" ca="1" si="39"/>
        <v>0</v>
      </c>
      <c r="L92" s="387">
        <f t="shared" ca="1" si="39"/>
        <v>0</v>
      </c>
      <c r="M92" s="387">
        <f t="shared" ca="1" si="39"/>
        <v>0</v>
      </c>
      <c r="N92" s="388"/>
      <c r="O92" s="387">
        <f t="shared" ca="1" si="39"/>
        <v>0</v>
      </c>
      <c r="P92" s="387">
        <f t="shared" ca="1" si="39"/>
        <v>0</v>
      </c>
      <c r="Q92" s="387">
        <f t="shared" ca="1" si="39"/>
        <v>0</v>
      </c>
      <c r="R92" s="388"/>
      <c r="S92" s="387">
        <f t="shared" ca="1" si="39"/>
        <v>0</v>
      </c>
      <c r="T92" s="387">
        <f t="shared" ca="1" si="39"/>
        <v>0</v>
      </c>
      <c r="U92" s="389">
        <f t="shared" ca="1" si="39"/>
        <v>0</v>
      </c>
      <c r="W92" s="203"/>
      <c r="X92" s="203"/>
      <c r="Y92" s="203"/>
      <c r="Z92" s="203"/>
      <c r="AA92" s="203"/>
      <c r="AB92" s="203"/>
      <c r="AC92" s="203"/>
      <c r="AD92" s="203"/>
      <c r="AE92" s="203"/>
      <c r="AF92" s="640"/>
      <c r="AG92" s="640"/>
      <c r="AH92" s="640"/>
      <c r="AI92" s="640"/>
      <c r="AJ92" s="640"/>
      <c r="AK92" s="640"/>
      <c r="AL92" s="640"/>
      <c r="AM92" s="640"/>
      <c r="AN92" s="640"/>
      <c r="AO92" s="640"/>
    </row>
    <row r="93" spans="2:41" x14ac:dyDescent="0.25">
      <c r="B93" s="82"/>
      <c r="C93" s="83"/>
      <c r="D93" s="83"/>
      <c r="E93" s="83"/>
      <c r="F93" s="83"/>
      <c r="G93" s="83"/>
      <c r="H93" s="83"/>
      <c r="I93" s="83"/>
      <c r="J93" s="83"/>
      <c r="K93" s="83"/>
      <c r="L93" s="83"/>
      <c r="M93" s="83"/>
      <c r="N93" s="83"/>
      <c r="O93" s="83"/>
      <c r="P93" s="83"/>
      <c r="Q93" s="83"/>
      <c r="R93" s="83"/>
      <c r="S93" s="83"/>
      <c r="T93" s="83"/>
      <c r="U93" s="83"/>
    </row>
    <row r="94" spans="2:41" x14ac:dyDescent="0.25">
      <c r="B94" s="83"/>
      <c r="C94" s="24"/>
      <c r="D94" s="203"/>
      <c r="E94" s="203"/>
      <c r="F94" s="203"/>
      <c r="G94" s="203"/>
      <c r="H94" s="203"/>
      <c r="I94" s="203"/>
      <c r="J94" s="203"/>
      <c r="K94" s="203"/>
      <c r="L94" s="203"/>
      <c r="M94" s="203"/>
      <c r="N94" s="203"/>
      <c r="O94" s="24"/>
      <c r="P94" s="204"/>
      <c r="Q94" s="204"/>
      <c r="R94" s="204"/>
      <c r="S94" s="205"/>
      <c r="T94" s="205"/>
      <c r="U94" s="205"/>
      <c r="V94" s="205"/>
      <c r="W94" s="205"/>
      <c r="Z94" s="204"/>
      <c r="AB94" s="204"/>
      <c r="AC94" s="204"/>
      <c r="AD94" s="204"/>
      <c r="AH94" s="637"/>
      <c r="AI94" s="61"/>
      <c r="AJ94" s="61"/>
      <c r="AK94" s="61"/>
      <c r="AL94" s="61"/>
      <c r="AM94" s="61"/>
      <c r="AN94" s="61"/>
      <c r="AO94" s="61"/>
    </row>
    <row r="95" spans="2:41" x14ac:dyDescent="0.25">
      <c r="C95" s="206"/>
      <c r="D95" s="24"/>
      <c r="E95" s="24"/>
      <c r="F95" s="24"/>
      <c r="G95" s="206"/>
      <c r="H95" s="24"/>
      <c r="I95" s="24"/>
      <c r="J95" s="24"/>
      <c r="K95" s="206"/>
      <c r="L95" s="24"/>
      <c r="M95" s="24"/>
      <c r="N95" s="24"/>
      <c r="O95" s="24"/>
      <c r="P95" s="204"/>
      <c r="Q95" s="204"/>
      <c r="R95" s="204"/>
      <c r="S95" s="205"/>
      <c r="T95" s="205"/>
      <c r="U95" s="205"/>
      <c r="V95" s="205"/>
      <c r="W95" s="205"/>
      <c r="Z95" s="204"/>
      <c r="AB95" s="204"/>
      <c r="AC95" s="204"/>
      <c r="AD95" s="204"/>
      <c r="AH95" s="637"/>
      <c r="AI95" s="61"/>
      <c r="AJ95" s="61"/>
      <c r="AK95" s="61"/>
      <c r="AL95" s="61"/>
      <c r="AM95" s="61"/>
      <c r="AN95" s="61"/>
      <c r="AO95" s="61"/>
    </row>
    <row r="96" spans="2:41" x14ac:dyDescent="0.25">
      <c r="C96" s="206"/>
      <c r="D96" s="24"/>
      <c r="E96" s="24"/>
      <c r="F96" s="24"/>
      <c r="G96" s="206"/>
      <c r="H96" s="24"/>
      <c r="I96" s="24"/>
      <c r="J96" s="24"/>
      <c r="K96" s="206"/>
      <c r="L96" s="24"/>
      <c r="M96" s="24"/>
      <c r="N96" s="24"/>
      <c r="O96" s="24"/>
      <c r="P96" s="204"/>
      <c r="Q96" s="204"/>
      <c r="R96" s="204"/>
      <c r="S96" s="205"/>
      <c r="T96" s="205"/>
      <c r="U96" s="205"/>
      <c r="V96" s="205"/>
      <c r="W96" s="205"/>
      <c r="Z96" s="204"/>
      <c r="AB96" s="204"/>
      <c r="AC96" s="204"/>
      <c r="AD96" s="204"/>
      <c r="AH96" s="637"/>
      <c r="AI96" s="61"/>
      <c r="AJ96" s="61"/>
      <c r="AK96" s="61"/>
      <c r="AL96" s="61"/>
      <c r="AM96" s="61"/>
      <c r="AN96" s="61"/>
      <c r="AO96" s="61"/>
    </row>
    <row r="97" spans="3:41" x14ac:dyDescent="0.25">
      <c r="C97" s="206"/>
      <c r="D97" s="24"/>
      <c r="E97" s="24"/>
      <c r="F97" s="24"/>
      <c r="G97" s="206"/>
      <c r="H97" s="24"/>
      <c r="I97" s="24"/>
      <c r="J97" s="24"/>
      <c r="K97" s="206"/>
      <c r="L97" s="24"/>
      <c r="M97" s="24"/>
      <c r="N97" s="24"/>
      <c r="O97" s="24"/>
      <c r="P97" s="204"/>
      <c r="Q97" s="204"/>
      <c r="R97" s="204"/>
      <c r="S97" s="205"/>
      <c r="T97" s="205"/>
      <c r="U97" s="205"/>
      <c r="V97" s="205"/>
      <c r="W97" s="205"/>
      <c r="Z97" s="204"/>
      <c r="AB97" s="204"/>
      <c r="AC97" s="204"/>
      <c r="AD97" s="204"/>
      <c r="AH97" s="637"/>
      <c r="AI97" s="61"/>
      <c r="AJ97" s="61"/>
      <c r="AK97" s="61"/>
      <c r="AL97" s="61"/>
      <c r="AM97" s="61"/>
      <c r="AN97" s="61"/>
      <c r="AO97" s="61"/>
    </row>
    <row r="98" spans="3:41" x14ac:dyDescent="0.25">
      <c r="C98" s="206"/>
      <c r="D98" s="24"/>
      <c r="E98" s="24"/>
      <c r="F98" s="24"/>
      <c r="G98" s="206"/>
      <c r="H98" s="24"/>
      <c r="I98" s="24"/>
      <c r="J98" s="24"/>
      <c r="K98" s="206"/>
      <c r="L98" s="24"/>
      <c r="M98" s="24"/>
      <c r="N98" s="24"/>
      <c r="O98" s="24"/>
      <c r="P98" s="204"/>
      <c r="Q98" s="204"/>
      <c r="R98" s="204"/>
      <c r="S98" s="205"/>
      <c r="T98" s="205"/>
      <c r="U98" s="205"/>
      <c r="V98" s="205"/>
      <c r="W98" s="205"/>
      <c r="Z98" s="204"/>
      <c r="AB98" s="204"/>
      <c r="AC98" s="204"/>
      <c r="AD98" s="204"/>
      <c r="AH98" s="637"/>
      <c r="AI98" s="61"/>
      <c r="AJ98" s="61"/>
      <c r="AK98" s="61"/>
      <c r="AL98" s="61"/>
      <c r="AM98" s="61"/>
      <c r="AN98" s="61"/>
      <c r="AO98" s="61"/>
    </row>
    <row r="99" spans="3:41" x14ac:dyDescent="0.25">
      <c r="C99" s="206"/>
      <c r="D99" s="24"/>
      <c r="E99" s="24"/>
      <c r="F99" s="24"/>
      <c r="G99" s="206"/>
      <c r="H99" s="24"/>
      <c r="I99" s="24"/>
      <c r="J99" s="24"/>
      <c r="K99" s="206"/>
      <c r="L99" s="24"/>
      <c r="M99" s="24"/>
      <c r="N99" s="24"/>
      <c r="O99" s="24"/>
      <c r="P99" s="204"/>
      <c r="Q99" s="204"/>
      <c r="R99" s="204"/>
      <c r="S99" s="205"/>
      <c r="T99" s="205"/>
      <c r="U99" s="205"/>
      <c r="V99" s="205"/>
      <c r="W99" s="205"/>
      <c r="Z99" s="204"/>
      <c r="AB99" s="204"/>
      <c r="AC99" s="204"/>
      <c r="AD99" s="204"/>
      <c r="AH99" s="637"/>
      <c r="AI99" s="61"/>
      <c r="AJ99" s="61"/>
      <c r="AK99" s="61"/>
      <c r="AL99" s="61"/>
      <c r="AM99" s="61"/>
      <c r="AN99" s="61"/>
      <c r="AO99" s="61"/>
    </row>
    <row r="100" spans="3:41" x14ac:dyDescent="0.25">
      <c r="C100" s="206"/>
      <c r="D100" s="24"/>
      <c r="E100" s="24"/>
      <c r="F100" s="24"/>
      <c r="G100" s="206"/>
      <c r="H100" s="24"/>
      <c r="I100" s="24"/>
      <c r="J100" s="24"/>
      <c r="K100" s="206"/>
      <c r="L100" s="24"/>
      <c r="M100" s="24"/>
      <c r="N100" s="24"/>
      <c r="O100" s="24"/>
      <c r="P100" s="204"/>
      <c r="Q100" s="204"/>
      <c r="R100" s="204"/>
      <c r="S100" s="205"/>
      <c r="T100" s="205"/>
      <c r="U100" s="205"/>
      <c r="V100" s="205"/>
      <c r="W100" s="205"/>
      <c r="Z100" s="204"/>
      <c r="AB100" s="204"/>
      <c r="AC100" s="204"/>
      <c r="AD100" s="204"/>
      <c r="AH100" s="637"/>
      <c r="AI100" s="61"/>
      <c r="AJ100" s="61"/>
      <c r="AK100" s="61"/>
      <c r="AL100" s="61"/>
      <c r="AM100" s="61"/>
      <c r="AN100" s="61"/>
      <c r="AO100" s="61"/>
    </row>
    <row r="101" spans="3:41" x14ac:dyDescent="0.25">
      <c r="C101" s="206"/>
      <c r="D101" s="24"/>
      <c r="E101" s="24"/>
      <c r="F101" s="24"/>
      <c r="G101" s="206"/>
      <c r="H101" s="24"/>
      <c r="I101" s="24"/>
      <c r="J101" s="24"/>
      <c r="K101" s="206"/>
      <c r="L101" s="24"/>
      <c r="M101" s="24"/>
      <c r="N101" s="24"/>
      <c r="O101" s="24"/>
      <c r="P101" s="204"/>
      <c r="Q101" s="204"/>
      <c r="R101" s="204"/>
      <c r="S101" s="205"/>
      <c r="T101" s="205"/>
      <c r="U101" s="205"/>
      <c r="V101" s="205"/>
      <c r="W101" s="205"/>
      <c r="Z101" s="204"/>
      <c r="AB101" s="204"/>
      <c r="AC101" s="204"/>
      <c r="AD101" s="204"/>
      <c r="AH101" s="637"/>
      <c r="AI101" s="61"/>
      <c r="AJ101" s="61"/>
      <c r="AK101" s="61"/>
      <c r="AL101" s="61"/>
      <c r="AM101" s="61"/>
      <c r="AN101" s="61"/>
      <c r="AO101" s="61"/>
    </row>
    <row r="102" spans="3:41" x14ac:dyDescent="0.25">
      <c r="C102" s="206"/>
      <c r="D102" s="24"/>
      <c r="E102" s="24"/>
      <c r="F102" s="24"/>
      <c r="G102" s="206"/>
      <c r="H102" s="24"/>
      <c r="I102" s="24"/>
      <c r="J102" s="24"/>
      <c r="K102" s="206"/>
      <c r="L102" s="24"/>
      <c r="M102" s="24"/>
      <c r="N102" s="24"/>
      <c r="O102" s="24"/>
      <c r="P102" s="204"/>
      <c r="Q102" s="204"/>
      <c r="R102" s="204"/>
      <c r="S102" s="205"/>
      <c r="T102" s="205"/>
      <c r="U102" s="205"/>
      <c r="V102" s="205"/>
      <c r="W102" s="205"/>
      <c r="Z102" s="204"/>
      <c r="AB102" s="204"/>
      <c r="AC102" s="204"/>
      <c r="AD102" s="204"/>
      <c r="AH102" s="637"/>
      <c r="AI102" s="61"/>
      <c r="AJ102" s="61"/>
      <c r="AK102" s="61"/>
      <c r="AL102" s="61"/>
      <c r="AM102" s="61"/>
      <c r="AN102" s="61"/>
      <c r="AO102" s="61"/>
    </row>
    <row r="103" spans="3:41" x14ac:dyDescent="0.25">
      <c r="C103" s="206"/>
      <c r="D103" s="24"/>
      <c r="E103" s="24"/>
      <c r="F103" s="24"/>
      <c r="G103" s="203"/>
      <c r="H103" s="24"/>
      <c r="I103" s="24"/>
      <c r="J103" s="24"/>
      <c r="K103" s="206"/>
      <c r="L103" s="24"/>
      <c r="M103" s="24"/>
      <c r="N103" s="24"/>
      <c r="O103" s="24"/>
      <c r="P103" s="204"/>
      <c r="Q103" s="204"/>
      <c r="R103" s="204"/>
      <c r="S103" s="205"/>
      <c r="T103" s="205"/>
      <c r="U103" s="205"/>
      <c r="V103" s="205"/>
      <c r="W103" s="205"/>
      <c r="Z103" s="204"/>
      <c r="AB103" s="204"/>
      <c r="AC103" s="204"/>
      <c r="AD103" s="204"/>
      <c r="AH103" s="637"/>
      <c r="AI103" s="61"/>
      <c r="AJ103" s="61"/>
      <c r="AK103" s="61"/>
      <c r="AL103" s="61"/>
      <c r="AM103" s="61"/>
      <c r="AN103" s="61"/>
      <c r="AO103" s="61"/>
    </row>
    <row r="104" spans="3:41" x14ac:dyDescent="0.25">
      <c r="C104" s="206"/>
      <c r="D104" s="24"/>
      <c r="E104" s="24"/>
      <c r="F104" s="24"/>
      <c r="G104" s="206"/>
      <c r="H104" s="24"/>
      <c r="I104" s="24"/>
      <c r="J104" s="24"/>
      <c r="K104" s="206"/>
      <c r="L104" s="24"/>
      <c r="M104" s="24"/>
      <c r="N104" s="24"/>
      <c r="O104" s="24"/>
      <c r="P104" s="204"/>
      <c r="Q104" s="204"/>
      <c r="R104" s="204"/>
      <c r="S104" s="205"/>
      <c r="T104" s="205"/>
      <c r="U104" s="205"/>
      <c r="V104" s="205"/>
      <c r="W104" s="205"/>
      <c r="Z104" s="204"/>
      <c r="AB104" s="204"/>
      <c r="AC104" s="204"/>
      <c r="AD104" s="204"/>
      <c r="AH104" s="637"/>
      <c r="AI104" s="61"/>
      <c r="AJ104" s="61"/>
      <c r="AK104" s="61"/>
      <c r="AL104" s="61"/>
      <c r="AM104" s="61"/>
      <c r="AN104" s="61"/>
      <c r="AO104" s="61"/>
    </row>
    <row r="105" spans="3:41" x14ac:dyDescent="0.25">
      <c r="C105" s="206"/>
      <c r="D105" s="24"/>
      <c r="E105" s="24"/>
      <c r="F105" s="24"/>
      <c r="G105" s="206"/>
      <c r="H105" s="24"/>
      <c r="I105" s="24"/>
      <c r="J105" s="24"/>
      <c r="K105" s="206"/>
      <c r="L105" s="24"/>
      <c r="M105" s="24"/>
      <c r="N105" s="24"/>
      <c r="O105" s="24"/>
      <c r="P105" s="204"/>
      <c r="Q105" s="204"/>
      <c r="R105" s="204"/>
      <c r="S105" s="205"/>
      <c r="T105" s="205"/>
      <c r="U105" s="205"/>
      <c r="V105" s="205"/>
      <c r="W105" s="205"/>
      <c r="Z105" s="204"/>
      <c r="AB105" s="204"/>
      <c r="AC105" s="204"/>
      <c r="AD105" s="204"/>
      <c r="AH105" s="637"/>
      <c r="AI105" s="61"/>
      <c r="AJ105" s="61"/>
      <c r="AK105" s="61"/>
      <c r="AL105" s="61"/>
      <c r="AM105" s="61"/>
      <c r="AN105" s="61"/>
      <c r="AO105" s="61"/>
    </row>
    <row r="106" spans="3:41" x14ac:dyDescent="0.25">
      <c r="C106" s="206"/>
      <c r="D106" s="24"/>
      <c r="E106" s="24"/>
      <c r="F106" s="24"/>
      <c r="G106" s="206"/>
      <c r="H106" s="24"/>
      <c r="I106" s="24"/>
      <c r="J106" s="24"/>
      <c r="K106" s="206"/>
      <c r="L106" s="24"/>
      <c r="M106" s="24"/>
      <c r="N106" s="24"/>
      <c r="O106" s="24"/>
      <c r="P106" s="204"/>
      <c r="Q106" s="204"/>
      <c r="R106" s="204"/>
      <c r="S106" s="205"/>
      <c r="T106" s="205"/>
      <c r="U106" s="205"/>
      <c r="V106" s="205"/>
      <c r="W106" s="205"/>
      <c r="Z106" s="204"/>
      <c r="AB106" s="204"/>
      <c r="AC106" s="204"/>
      <c r="AD106" s="204"/>
      <c r="AH106" s="637"/>
      <c r="AI106" s="61"/>
      <c r="AJ106" s="61"/>
      <c r="AK106" s="61"/>
      <c r="AL106" s="61"/>
      <c r="AM106" s="61"/>
      <c r="AN106" s="61"/>
      <c r="AO106" s="61"/>
    </row>
    <row r="107" spans="3:41" x14ac:dyDescent="0.25">
      <c r="C107" s="206"/>
      <c r="D107" s="24"/>
      <c r="E107" s="24"/>
      <c r="F107" s="24"/>
      <c r="G107" s="206"/>
      <c r="H107" s="24"/>
      <c r="I107" s="24"/>
      <c r="J107" s="24"/>
      <c r="K107" s="206"/>
      <c r="L107" s="24"/>
      <c r="M107" s="24"/>
      <c r="N107" s="24"/>
      <c r="O107" s="24"/>
      <c r="P107" s="204"/>
      <c r="Q107" s="204"/>
      <c r="R107" s="204"/>
      <c r="S107" s="205"/>
      <c r="T107" s="205"/>
      <c r="U107" s="205"/>
      <c r="V107" s="205"/>
      <c r="W107" s="205"/>
      <c r="Z107" s="204"/>
      <c r="AB107" s="204"/>
      <c r="AC107" s="204"/>
      <c r="AD107" s="204"/>
      <c r="AH107" s="637"/>
      <c r="AI107" s="61"/>
      <c r="AJ107" s="61"/>
      <c r="AK107" s="61"/>
      <c r="AL107" s="61"/>
      <c r="AM107" s="61"/>
      <c r="AN107" s="61"/>
      <c r="AO107" s="61"/>
    </row>
    <row r="108" spans="3:41" x14ac:dyDescent="0.25">
      <c r="C108" s="206"/>
      <c r="D108" s="24"/>
      <c r="E108" s="24"/>
      <c r="F108" s="24"/>
      <c r="G108" s="206"/>
      <c r="H108" s="24"/>
      <c r="I108" s="24"/>
      <c r="J108" s="24"/>
      <c r="K108" s="206"/>
      <c r="L108" s="24"/>
      <c r="M108" s="24"/>
      <c r="N108" s="24"/>
      <c r="O108" s="24"/>
      <c r="P108" s="204"/>
      <c r="Q108" s="204"/>
      <c r="R108" s="204"/>
      <c r="S108" s="205"/>
      <c r="T108" s="205"/>
      <c r="U108" s="205"/>
      <c r="V108" s="205"/>
      <c r="W108" s="205"/>
      <c r="Z108" s="204"/>
      <c r="AB108" s="204"/>
      <c r="AC108" s="204"/>
      <c r="AD108" s="204"/>
      <c r="AH108" s="637"/>
      <c r="AI108" s="61"/>
      <c r="AJ108" s="61"/>
      <c r="AK108" s="61"/>
      <c r="AL108" s="61"/>
      <c r="AM108" s="61"/>
      <c r="AN108" s="61"/>
      <c r="AO108" s="61"/>
    </row>
    <row r="109" spans="3:41" x14ac:dyDescent="0.25">
      <c r="C109" s="206"/>
      <c r="D109" s="24"/>
      <c r="E109" s="24"/>
      <c r="F109" s="24"/>
      <c r="G109" s="206"/>
      <c r="H109" s="24"/>
      <c r="I109" s="24"/>
      <c r="J109" s="24"/>
      <c r="K109" s="206"/>
      <c r="L109" s="24"/>
      <c r="M109" s="24"/>
      <c r="N109" s="24"/>
      <c r="O109" s="24"/>
      <c r="P109" s="204"/>
      <c r="Q109" s="204"/>
      <c r="R109" s="204"/>
      <c r="S109" s="205"/>
      <c r="T109" s="205"/>
      <c r="U109" s="205"/>
      <c r="V109" s="205"/>
      <c r="W109" s="205"/>
      <c r="Z109" s="204"/>
      <c r="AB109" s="204"/>
      <c r="AC109" s="204"/>
      <c r="AD109" s="204"/>
      <c r="AH109" s="637"/>
      <c r="AI109" s="61"/>
      <c r="AJ109" s="61"/>
      <c r="AK109" s="61"/>
      <c r="AL109" s="61"/>
      <c r="AM109" s="61"/>
      <c r="AN109" s="61"/>
      <c r="AO109" s="61"/>
    </row>
    <row r="110" spans="3:41" x14ac:dyDescent="0.25">
      <c r="C110" s="206"/>
      <c r="D110" s="24"/>
      <c r="E110" s="24"/>
      <c r="F110" s="24"/>
      <c r="G110" s="206"/>
      <c r="H110" s="24"/>
      <c r="I110" s="24"/>
      <c r="J110" s="24"/>
      <c r="K110" s="206"/>
      <c r="L110" s="24"/>
      <c r="M110" s="24"/>
      <c r="N110" s="24"/>
      <c r="O110" s="24"/>
      <c r="P110" s="204"/>
      <c r="Q110" s="204"/>
      <c r="R110" s="204"/>
      <c r="S110" s="205"/>
      <c r="T110" s="205"/>
      <c r="U110" s="205"/>
      <c r="V110" s="205"/>
      <c r="W110" s="205"/>
      <c r="Z110" s="204"/>
      <c r="AB110" s="204"/>
      <c r="AC110" s="204"/>
      <c r="AD110" s="204"/>
      <c r="AH110" s="637"/>
      <c r="AI110" s="61"/>
      <c r="AJ110" s="61"/>
      <c r="AK110" s="61"/>
      <c r="AL110" s="61"/>
      <c r="AM110" s="61"/>
      <c r="AN110" s="61"/>
      <c r="AO110" s="61"/>
    </row>
    <row r="111" spans="3:41" x14ac:dyDescent="0.25">
      <c r="C111" s="206"/>
      <c r="D111" s="24"/>
      <c r="E111" s="24"/>
      <c r="F111" s="24"/>
      <c r="G111" s="206"/>
      <c r="H111" s="24"/>
      <c r="I111" s="24"/>
      <c r="J111" s="24"/>
      <c r="K111" s="206"/>
      <c r="L111" s="24"/>
      <c r="M111" s="24"/>
      <c r="N111" s="24"/>
      <c r="O111" s="24"/>
      <c r="P111" s="204"/>
      <c r="Q111" s="204"/>
      <c r="R111" s="204"/>
      <c r="S111" s="205"/>
      <c r="T111" s="205"/>
      <c r="U111" s="205"/>
      <c r="V111" s="205"/>
      <c r="W111" s="205"/>
      <c r="Z111" s="204"/>
      <c r="AB111" s="204"/>
      <c r="AC111" s="204"/>
      <c r="AD111" s="204"/>
      <c r="AH111" s="637"/>
      <c r="AI111" s="61"/>
      <c r="AJ111" s="61"/>
      <c r="AK111" s="61"/>
      <c r="AL111" s="61"/>
      <c r="AM111" s="61"/>
      <c r="AN111" s="61"/>
      <c r="AO111" s="61"/>
    </row>
    <row r="112" spans="3:41" x14ac:dyDescent="0.25">
      <c r="C112" s="206"/>
      <c r="D112" s="24"/>
      <c r="E112" s="24"/>
      <c r="F112" s="24"/>
      <c r="G112" s="206"/>
      <c r="H112" s="24"/>
      <c r="I112" s="24"/>
      <c r="J112" s="24"/>
      <c r="K112" s="206"/>
      <c r="L112" s="24"/>
      <c r="M112" s="24"/>
      <c r="N112" s="24"/>
      <c r="O112" s="24"/>
      <c r="P112" s="204"/>
      <c r="Q112" s="204"/>
      <c r="R112" s="204"/>
      <c r="S112" s="205"/>
      <c r="T112" s="205"/>
      <c r="U112" s="205"/>
      <c r="V112" s="205"/>
      <c r="W112" s="205"/>
      <c r="Z112" s="204"/>
      <c r="AB112" s="204"/>
      <c r="AC112" s="204"/>
      <c r="AD112" s="204"/>
      <c r="AH112" s="637"/>
      <c r="AI112" s="61"/>
      <c r="AJ112" s="61"/>
      <c r="AK112" s="61"/>
      <c r="AL112" s="61"/>
      <c r="AM112" s="61"/>
      <c r="AN112" s="61"/>
      <c r="AO112" s="61"/>
    </row>
    <row r="113" spans="3:41" x14ac:dyDescent="0.25">
      <c r="C113" s="206"/>
      <c r="D113" s="24"/>
      <c r="E113" s="24"/>
      <c r="F113" s="24"/>
      <c r="G113" s="206"/>
      <c r="H113" s="24"/>
      <c r="I113" s="24"/>
      <c r="J113" s="24"/>
      <c r="K113" s="206"/>
      <c r="L113" s="24"/>
      <c r="M113" s="24"/>
      <c r="N113" s="24"/>
      <c r="O113" s="24"/>
      <c r="P113" s="204"/>
      <c r="Q113" s="204"/>
      <c r="R113" s="204"/>
      <c r="S113" s="205"/>
      <c r="T113" s="205"/>
      <c r="U113" s="205"/>
      <c r="V113" s="205"/>
      <c r="W113" s="205"/>
      <c r="Z113" s="204"/>
      <c r="AB113" s="204"/>
      <c r="AC113" s="204"/>
      <c r="AD113" s="204"/>
      <c r="AH113" s="637"/>
      <c r="AI113" s="61"/>
      <c r="AJ113" s="61"/>
      <c r="AK113" s="61"/>
      <c r="AL113" s="61"/>
      <c r="AM113" s="61"/>
      <c r="AN113" s="61"/>
      <c r="AO113" s="61"/>
    </row>
    <row r="114" spans="3:41" x14ac:dyDescent="0.25">
      <c r="C114" s="206"/>
      <c r="D114" s="24"/>
      <c r="E114" s="24"/>
      <c r="F114" s="24"/>
      <c r="G114" s="206"/>
      <c r="H114" s="24"/>
      <c r="I114" s="24"/>
      <c r="J114" s="24"/>
      <c r="K114" s="206"/>
      <c r="L114" s="24"/>
      <c r="M114" s="24"/>
      <c r="N114" s="24"/>
      <c r="O114" s="24"/>
      <c r="P114" s="204"/>
      <c r="Q114" s="204"/>
      <c r="R114" s="204"/>
      <c r="S114" s="205"/>
      <c r="T114" s="205"/>
      <c r="U114" s="205"/>
      <c r="V114" s="205"/>
      <c r="W114" s="205"/>
      <c r="Z114" s="204"/>
      <c r="AB114" s="204"/>
      <c r="AC114" s="204"/>
      <c r="AD114" s="204"/>
      <c r="AH114" s="637"/>
      <c r="AI114" s="61"/>
      <c r="AJ114" s="61"/>
      <c r="AK114" s="61"/>
      <c r="AL114" s="61"/>
      <c r="AM114" s="61"/>
      <c r="AN114" s="61"/>
      <c r="AO114" s="61"/>
    </row>
    <row r="115" spans="3:41" x14ac:dyDescent="0.25">
      <c r="C115" s="206"/>
      <c r="D115" s="24"/>
      <c r="E115" s="24"/>
      <c r="F115" s="24"/>
      <c r="G115" s="206"/>
      <c r="H115" s="24"/>
      <c r="I115" s="24"/>
      <c r="J115" s="24"/>
      <c r="K115" s="206"/>
      <c r="L115" s="24"/>
      <c r="M115" s="24"/>
      <c r="N115" s="24"/>
      <c r="O115" s="24"/>
      <c r="P115" s="204"/>
      <c r="Q115" s="204"/>
      <c r="R115" s="204"/>
      <c r="S115" s="205"/>
      <c r="T115" s="205"/>
      <c r="U115" s="205"/>
      <c r="V115" s="205"/>
      <c r="W115" s="205"/>
      <c r="Z115" s="204"/>
      <c r="AB115" s="204"/>
      <c r="AC115" s="204"/>
      <c r="AD115" s="204"/>
      <c r="AH115" s="637"/>
      <c r="AI115" s="61"/>
      <c r="AJ115" s="61"/>
      <c r="AK115" s="61"/>
      <c r="AL115" s="61"/>
      <c r="AM115" s="61"/>
      <c r="AN115" s="61"/>
      <c r="AO115" s="61"/>
    </row>
    <row r="116" spans="3:41" x14ac:dyDescent="0.25">
      <c r="C116" s="206"/>
      <c r="D116" s="24"/>
      <c r="E116" s="24"/>
      <c r="F116" s="24"/>
      <c r="G116" s="206"/>
      <c r="H116" s="24"/>
      <c r="I116" s="24"/>
      <c r="J116" s="24"/>
      <c r="K116" s="206"/>
      <c r="L116" s="24"/>
      <c r="M116" s="24"/>
      <c r="N116" s="24"/>
      <c r="O116" s="24"/>
      <c r="P116" s="204"/>
      <c r="Q116" s="204"/>
      <c r="R116" s="204"/>
      <c r="S116" s="205"/>
      <c r="T116" s="205"/>
      <c r="U116" s="205"/>
      <c r="V116" s="205"/>
      <c r="W116" s="205"/>
      <c r="Z116" s="204"/>
      <c r="AB116" s="204"/>
      <c r="AC116" s="204"/>
      <c r="AD116" s="204"/>
      <c r="AH116" s="637"/>
      <c r="AI116" s="61"/>
      <c r="AJ116" s="61"/>
      <c r="AK116" s="61"/>
      <c r="AL116" s="61"/>
      <c r="AM116" s="61"/>
      <c r="AN116" s="61"/>
      <c r="AO116" s="61"/>
    </row>
    <row r="117" spans="3:41" x14ac:dyDescent="0.25">
      <c r="C117" s="206"/>
      <c r="D117" s="24"/>
      <c r="E117" s="24"/>
      <c r="F117" s="24"/>
      <c r="G117" s="206"/>
      <c r="H117" s="24"/>
      <c r="I117" s="24"/>
      <c r="J117" s="24"/>
      <c r="K117" s="206"/>
      <c r="L117" s="24"/>
      <c r="M117" s="24"/>
      <c r="N117" s="24"/>
      <c r="O117" s="24"/>
      <c r="P117" s="204"/>
      <c r="Q117" s="204"/>
      <c r="R117" s="204"/>
      <c r="S117" s="205"/>
      <c r="T117" s="205"/>
      <c r="U117" s="205"/>
      <c r="V117" s="205"/>
      <c r="W117" s="205"/>
      <c r="Z117" s="204"/>
      <c r="AB117" s="204"/>
      <c r="AC117" s="204"/>
      <c r="AD117" s="204"/>
      <c r="AH117" s="637"/>
      <c r="AI117" s="61"/>
      <c r="AJ117" s="61"/>
      <c r="AK117" s="61"/>
      <c r="AL117" s="61"/>
      <c r="AM117" s="61"/>
      <c r="AN117" s="61"/>
      <c r="AO117" s="61"/>
    </row>
    <row r="118" spans="3:41" x14ac:dyDescent="0.25">
      <c r="C118" s="206"/>
      <c r="D118" s="24"/>
      <c r="E118" s="24"/>
      <c r="F118" s="24"/>
      <c r="G118" s="206"/>
      <c r="H118" s="24"/>
      <c r="I118" s="24"/>
      <c r="J118" s="24"/>
      <c r="K118" s="206"/>
      <c r="L118" s="24"/>
      <c r="M118" s="24"/>
      <c r="N118" s="24"/>
      <c r="O118" s="24"/>
      <c r="P118" s="204"/>
      <c r="Q118" s="204"/>
      <c r="R118" s="204"/>
      <c r="S118" s="205"/>
      <c r="T118" s="205"/>
      <c r="U118" s="205"/>
      <c r="V118" s="205"/>
      <c r="W118" s="205"/>
      <c r="Z118" s="204"/>
      <c r="AB118" s="204"/>
      <c r="AC118" s="204"/>
      <c r="AD118" s="204"/>
      <c r="AH118" s="637"/>
      <c r="AI118" s="61"/>
      <c r="AJ118" s="61"/>
      <c r="AK118" s="61"/>
      <c r="AL118" s="61"/>
      <c r="AM118" s="61"/>
      <c r="AN118" s="61"/>
      <c r="AO118" s="61"/>
    </row>
    <row r="119" spans="3:41" x14ac:dyDescent="0.25">
      <c r="C119" s="206"/>
      <c r="D119" s="24"/>
      <c r="E119" s="24"/>
      <c r="F119" s="24"/>
      <c r="G119" s="206"/>
      <c r="H119" s="24"/>
      <c r="I119" s="24"/>
      <c r="J119" s="24"/>
      <c r="K119" s="206"/>
      <c r="L119" s="24"/>
      <c r="M119" s="24"/>
      <c r="N119" s="24"/>
      <c r="O119" s="24"/>
      <c r="P119" s="204"/>
      <c r="Q119" s="204"/>
      <c r="R119" s="204"/>
      <c r="S119" s="205"/>
      <c r="T119" s="205"/>
      <c r="U119" s="205"/>
      <c r="V119" s="205"/>
      <c r="W119" s="205"/>
      <c r="Z119" s="204"/>
      <c r="AB119" s="204"/>
      <c r="AC119" s="204"/>
      <c r="AD119" s="204"/>
      <c r="AH119" s="637"/>
      <c r="AI119" s="61"/>
      <c r="AJ119" s="61"/>
      <c r="AK119" s="61"/>
      <c r="AL119" s="61"/>
      <c r="AM119" s="61"/>
      <c r="AN119" s="61"/>
      <c r="AO119" s="61"/>
    </row>
    <row r="120" spans="3:41" x14ac:dyDescent="0.25">
      <c r="C120" s="206"/>
      <c r="D120" s="24"/>
      <c r="E120" s="24"/>
      <c r="F120" s="24"/>
      <c r="G120" s="206"/>
      <c r="H120" s="24"/>
      <c r="I120" s="24"/>
      <c r="J120" s="24"/>
      <c r="K120" s="206"/>
      <c r="L120" s="24"/>
      <c r="M120" s="24"/>
      <c r="N120" s="24"/>
      <c r="O120" s="24"/>
      <c r="P120" s="204"/>
      <c r="Q120" s="204"/>
      <c r="R120" s="204"/>
      <c r="S120" s="205"/>
      <c r="T120" s="205"/>
      <c r="U120" s="205"/>
      <c r="V120" s="205"/>
      <c r="W120" s="205"/>
      <c r="Z120" s="204"/>
      <c r="AB120" s="204"/>
      <c r="AC120" s="204"/>
      <c r="AD120" s="204"/>
      <c r="AH120" s="637"/>
      <c r="AI120" s="61"/>
      <c r="AJ120" s="61"/>
      <c r="AK120" s="61"/>
      <c r="AL120" s="61"/>
      <c r="AM120" s="61"/>
      <c r="AN120" s="61"/>
      <c r="AO120" s="61"/>
    </row>
    <row r="121" spans="3:41" x14ac:dyDescent="0.25">
      <c r="C121" s="206"/>
      <c r="D121" s="24"/>
      <c r="E121" s="24"/>
      <c r="F121" s="24"/>
      <c r="G121" s="206"/>
      <c r="H121" s="24"/>
      <c r="I121" s="24"/>
      <c r="J121" s="24"/>
      <c r="K121" s="206"/>
      <c r="L121" s="24"/>
      <c r="M121" s="24"/>
      <c r="N121" s="24"/>
      <c r="O121" s="24"/>
      <c r="P121" s="204"/>
      <c r="Q121" s="204"/>
      <c r="R121" s="204"/>
      <c r="S121" s="205"/>
      <c r="T121" s="205"/>
      <c r="U121" s="205"/>
      <c r="V121" s="205"/>
      <c r="W121" s="205"/>
      <c r="Z121" s="204"/>
      <c r="AB121" s="204"/>
      <c r="AC121" s="204"/>
      <c r="AD121" s="204"/>
      <c r="AH121" s="637"/>
      <c r="AI121" s="61"/>
      <c r="AJ121" s="61"/>
      <c r="AK121" s="61"/>
      <c r="AL121" s="61"/>
      <c r="AM121" s="61"/>
      <c r="AN121" s="61"/>
      <c r="AO121" s="61"/>
    </row>
    <row r="122" spans="3:41" x14ac:dyDescent="0.25">
      <c r="C122" s="206"/>
      <c r="D122" s="24"/>
      <c r="E122" s="24"/>
      <c r="F122" s="24"/>
      <c r="G122" s="206"/>
      <c r="H122" s="24"/>
      <c r="I122" s="24"/>
      <c r="J122" s="24"/>
      <c r="K122" s="206"/>
      <c r="L122" s="24"/>
      <c r="M122" s="24"/>
      <c r="N122" s="24"/>
      <c r="O122" s="24"/>
      <c r="P122" s="204"/>
      <c r="Q122" s="204"/>
      <c r="R122" s="204"/>
      <c r="S122" s="205"/>
      <c r="T122" s="205"/>
      <c r="U122" s="205"/>
      <c r="V122" s="205"/>
      <c r="W122" s="205"/>
      <c r="Z122" s="204"/>
      <c r="AB122" s="204"/>
      <c r="AC122" s="204"/>
      <c r="AD122" s="204"/>
      <c r="AH122" s="637"/>
      <c r="AI122" s="61"/>
      <c r="AJ122" s="61"/>
      <c r="AK122" s="61"/>
      <c r="AL122" s="61"/>
      <c r="AM122" s="61"/>
      <c r="AN122" s="61"/>
      <c r="AO122" s="61"/>
    </row>
    <row r="123" spans="3:41" x14ac:dyDescent="0.25">
      <c r="C123" s="206"/>
      <c r="D123" s="24"/>
      <c r="E123" s="24"/>
      <c r="F123" s="24"/>
      <c r="G123" s="206"/>
      <c r="H123" s="24"/>
      <c r="I123" s="24"/>
      <c r="J123" s="24"/>
      <c r="K123" s="206"/>
      <c r="L123" s="24"/>
      <c r="M123" s="24"/>
      <c r="N123" s="24"/>
      <c r="O123" s="24"/>
      <c r="P123" s="204"/>
      <c r="Q123" s="204"/>
      <c r="R123" s="204"/>
      <c r="S123" s="205"/>
      <c r="T123" s="205"/>
      <c r="U123" s="205"/>
      <c r="V123" s="205"/>
      <c r="W123" s="205"/>
      <c r="Z123" s="204"/>
      <c r="AB123" s="204"/>
      <c r="AC123" s="204"/>
      <c r="AD123" s="204"/>
      <c r="AH123" s="637"/>
      <c r="AI123" s="61"/>
      <c r="AJ123" s="61"/>
      <c r="AK123" s="61"/>
      <c r="AL123" s="61"/>
      <c r="AM123" s="61"/>
      <c r="AN123" s="61"/>
      <c r="AO123" s="61"/>
    </row>
    <row r="124" spans="3:41" x14ac:dyDescent="0.25">
      <c r="C124" s="206"/>
      <c r="D124" s="24"/>
      <c r="E124" s="24"/>
      <c r="F124" s="24"/>
      <c r="G124" s="206"/>
      <c r="H124" s="24"/>
      <c r="I124" s="24"/>
      <c r="J124" s="24"/>
      <c r="K124" s="206"/>
      <c r="L124" s="24"/>
      <c r="M124" s="24"/>
      <c r="N124" s="24"/>
      <c r="O124" s="24"/>
      <c r="P124" s="204"/>
      <c r="Q124" s="204"/>
      <c r="R124" s="204"/>
      <c r="S124" s="205"/>
      <c r="T124" s="205"/>
      <c r="U124" s="205"/>
      <c r="V124" s="205"/>
      <c r="W124" s="205"/>
      <c r="Z124" s="204"/>
      <c r="AB124" s="204"/>
      <c r="AC124" s="204"/>
      <c r="AD124" s="204"/>
      <c r="AH124" s="637"/>
      <c r="AI124" s="61"/>
      <c r="AJ124" s="61"/>
      <c r="AK124" s="61"/>
      <c r="AL124" s="61"/>
      <c r="AM124" s="61"/>
      <c r="AN124" s="61"/>
      <c r="AO124" s="61"/>
    </row>
    <row r="125" spans="3:41" x14ac:dyDescent="0.25">
      <c r="C125" s="206"/>
      <c r="D125" s="24"/>
      <c r="E125" s="24"/>
      <c r="F125" s="24"/>
      <c r="G125" s="206"/>
      <c r="H125" s="24"/>
      <c r="I125" s="24"/>
      <c r="J125" s="24"/>
      <c r="K125" s="206"/>
      <c r="L125" s="24"/>
      <c r="M125" s="24"/>
      <c r="N125" s="24"/>
      <c r="O125" s="24"/>
      <c r="P125" s="204"/>
      <c r="Q125" s="204"/>
      <c r="R125" s="204"/>
      <c r="S125" s="205"/>
      <c r="T125" s="205"/>
      <c r="U125" s="205"/>
      <c r="V125" s="205"/>
      <c r="W125" s="205"/>
      <c r="Z125" s="204"/>
      <c r="AB125" s="204"/>
      <c r="AC125" s="204"/>
      <c r="AD125" s="204"/>
      <c r="AH125" s="637"/>
      <c r="AI125" s="61"/>
      <c r="AJ125" s="61"/>
      <c r="AK125" s="61"/>
      <c r="AL125" s="61"/>
      <c r="AM125" s="61"/>
      <c r="AN125" s="61"/>
      <c r="AO125" s="61"/>
    </row>
    <row r="126" spans="3:41" x14ac:dyDescent="0.25">
      <c r="C126" s="206"/>
      <c r="D126" s="24"/>
      <c r="E126" s="24"/>
      <c r="F126" s="24"/>
      <c r="G126" s="206"/>
      <c r="H126" s="24"/>
      <c r="I126" s="24"/>
      <c r="J126" s="24"/>
      <c r="K126" s="206"/>
      <c r="L126" s="24"/>
      <c r="M126" s="24"/>
      <c r="N126" s="24"/>
      <c r="O126" s="24"/>
      <c r="P126" s="204"/>
      <c r="Q126" s="204"/>
      <c r="R126" s="204"/>
      <c r="S126" s="205"/>
      <c r="T126" s="205"/>
      <c r="U126" s="205"/>
      <c r="V126" s="205"/>
      <c r="W126" s="205"/>
      <c r="Z126" s="204"/>
      <c r="AB126" s="204"/>
      <c r="AC126" s="204"/>
      <c r="AD126" s="204"/>
      <c r="AH126" s="637"/>
      <c r="AI126" s="61"/>
      <c r="AJ126" s="61"/>
      <c r="AK126" s="61"/>
      <c r="AL126" s="61"/>
      <c r="AM126" s="61"/>
      <c r="AN126" s="61"/>
      <c r="AO126" s="61"/>
    </row>
    <row r="127" spans="3:41" x14ac:dyDescent="0.25">
      <c r="C127" s="206"/>
      <c r="D127" s="24"/>
      <c r="E127" s="24"/>
      <c r="F127" s="24"/>
      <c r="G127" s="206"/>
      <c r="H127" s="24"/>
      <c r="I127" s="24"/>
      <c r="J127" s="24"/>
      <c r="K127" s="206"/>
      <c r="L127" s="24"/>
      <c r="M127" s="24"/>
      <c r="N127" s="24"/>
      <c r="O127" s="24"/>
      <c r="P127" s="204"/>
      <c r="Q127" s="204"/>
      <c r="R127" s="204"/>
      <c r="S127" s="205"/>
      <c r="T127" s="205"/>
      <c r="U127" s="205"/>
      <c r="V127" s="205"/>
      <c r="W127" s="205"/>
      <c r="Z127" s="204"/>
      <c r="AB127" s="204"/>
      <c r="AC127" s="204"/>
      <c r="AD127" s="204"/>
      <c r="AH127" s="637"/>
      <c r="AI127" s="61"/>
      <c r="AJ127" s="61"/>
      <c r="AK127" s="61"/>
      <c r="AL127" s="61"/>
      <c r="AM127" s="61"/>
      <c r="AN127" s="61"/>
      <c r="AO127" s="61"/>
    </row>
    <row r="128" spans="3:41" x14ac:dyDescent="0.25">
      <c r="C128" s="206"/>
      <c r="D128" s="24"/>
      <c r="E128" s="24"/>
      <c r="F128" s="24"/>
      <c r="G128" s="206"/>
      <c r="H128" s="24"/>
      <c r="I128" s="24"/>
      <c r="J128" s="24"/>
      <c r="K128" s="206"/>
      <c r="L128" s="24"/>
      <c r="M128" s="24"/>
      <c r="N128" s="24"/>
      <c r="O128" s="24"/>
      <c r="P128" s="204"/>
      <c r="Q128" s="204"/>
      <c r="R128" s="204"/>
      <c r="S128" s="205"/>
      <c r="T128" s="205"/>
      <c r="U128" s="205"/>
      <c r="V128" s="205"/>
      <c r="W128" s="205"/>
      <c r="Z128" s="204"/>
      <c r="AB128" s="204"/>
      <c r="AC128" s="204"/>
      <c r="AD128" s="204"/>
      <c r="AH128" s="637"/>
      <c r="AI128" s="61"/>
      <c r="AJ128" s="61"/>
      <c r="AK128" s="61"/>
      <c r="AL128" s="61"/>
      <c r="AM128" s="61"/>
      <c r="AN128" s="61"/>
      <c r="AO128" s="61"/>
    </row>
    <row r="129" spans="3:41" x14ac:dyDescent="0.25">
      <c r="C129" s="206"/>
      <c r="D129" s="24"/>
      <c r="E129" s="24"/>
      <c r="F129" s="24"/>
      <c r="G129" s="206"/>
      <c r="H129" s="24"/>
      <c r="I129" s="24"/>
      <c r="J129" s="24"/>
      <c r="K129" s="206"/>
      <c r="L129" s="24"/>
      <c r="M129" s="24"/>
      <c r="N129" s="24"/>
      <c r="O129" s="24"/>
      <c r="P129" s="204"/>
      <c r="Q129" s="204"/>
      <c r="R129" s="204"/>
      <c r="S129" s="205"/>
      <c r="T129" s="205"/>
      <c r="U129" s="205"/>
      <c r="V129" s="205"/>
      <c r="W129" s="205"/>
      <c r="Z129" s="204"/>
      <c r="AB129" s="204"/>
      <c r="AC129" s="204"/>
      <c r="AD129" s="204"/>
      <c r="AH129" s="637"/>
      <c r="AI129" s="61"/>
      <c r="AJ129" s="61"/>
      <c r="AK129" s="61"/>
      <c r="AL129" s="61"/>
      <c r="AM129" s="61"/>
      <c r="AN129" s="61"/>
      <c r="AO129" s="61"/>
    </row>
    <row r="130" spans="3:41" x14ac:dyDescent="0.25">
      <c r="C130" s="206"/>
      <c r="D130" s="24"/>
      <c r="E130" s="24"/>
      <c r="F130" s="24"/>
      <c r="G130" s="206"/>
      <c r="H130" s="24"/>
      <c r="I130" s="24"/>
      <c r="J130" s="24"/>
      <c r="K130" s="206"/>
      <c r="L130" s="24"/>
      <c r="M130" s="24"/>
      <c r="N130" s="24"/>
      <c r="O130" s="24"/>
      <c r="P130" s="204"/>
      <c r="Q130" s="204"/>
      <c r="R130" s="204"/>
      <c r="S130" s="205"/>
      <c r="T130" s="205"/>
      <c r="U130" s="205"/>
      <c r="V130" s="205"/>
      <c r="W130" s="205"/>
      <c r="Z130" s="204"/>
      <c r="AB130" s="204"/>
      <c r="AC130" s="204"/>
      <c r="AD130" s="204"/>
      <c r="AH130" s="637"/>
      <c r="AI130" s="61"/>
      <c r="AJ130" s="61"/>
      <c r="AK130" s="61"/>
      <c r="AL130" s="61"/>
      <c r="AM130" s="61"/>
      <c r="AN130" s="61"/>
      <c r="AO130" s="61"/>
    </row>
    <row r="131" spans="3:41" x14ac:dyDescent="0.25">
      <c r="C131" s="206"/>
      <c r="D131" s="24"/>
      <c r="E131" s="24"/>
      <c r="F131" s="24"/>
      <c r="G131" s="206"/>
      <c r="H131" s="24"/>
      <c r="I131" s="24"/>
      <c r="J131" s="24"/>
      <c r="K131" s="206"/>
      <c r="L131" s="24"/>
      <c r="M131" s="24"/>
      <c r="N131" s="24"/>
      <c r="O131" s="24"/>
      <c r="P131" s="204"/>
      <c r="Q131" s="204"/>
      <c r="R131" s="204"/>
      <c r="S131" s="205"/>
      <c r="T131" s="205"/>
      <c r="U131" s="205"/>
      <c r="V131" s="205"/>
      <c r="W131" s="205"/>
      <c r="Z131" s="204"/>
      <c r="AB131" s="204"/>
      <c r="AC131" s="204"/>
      <c r="AD131" s="204"/>
      <c r="AH131" s="637"/>
      <c r="AI131" s="61"/>
      <c r="AJ131" s="61"/>
      <c r="AK131" s="61"/>
      <c r="AL131" s="61"/>
      <c r="AM131" s="61"/>
      <c r="AN131" s="61"/>
      <c r="AO131" s="61"/>
    </row>
    <row r="132" spans="3:41" x14ac:dyDescent="0.25">
      <c r="C132" s="206"/>
      <c r="D132" s="24"/>
      <c r="E132" s="24"/>
      <c r="F132" s="24"/>
      <c r="G132" s="206"/>
      <c r="H132" s="24"/>
      <c r="I132" s="24"/>
      <c r="J132" s="24"/>
      <c r="K132" s="206"/>
      <c r="L132" s="24"/>
      <c r="M132" s="24"/>
      <c r="N132" s="24"/>
      <c r="O132" s="24"/>
      <c r="P132" s="204"/>
      <c r="Q132" s="204"/>
      <c r="R132" s="204"/>
      <c r="S132" s="205"/>
      <c r="T132" s="205"/>
      <c r="U132" s="205"/>
      <c r="V132" s="205"/>
      <c r="W132" s="205"/>
      <c r="Z132" s="204"/>
      <c r="AB132" s="204"/>
      <c r="AC132" s="204"/>
      <c r="AD132" s="204"/>
      <c r="AH132" s="637"/>
      <c r="AI132" s="61"/>
      <c r="AJ132" s="61"/>
      <c r="AK132" s="61"/>
      <c r="AL132" s="61"/>
      <c r="AM132" s="61"/>
      <c r="AN132" s="61"/>
      <c r="AO132" s="61"/>
    </row>
    <row r="133" spans="3:41" x14ac:dyDescent="0.25">
      <c r="C133" s="206"/>
      <c r="D133" s="24"/>
      <c r="E133" s="24"/>
      <c r="F133" s="24"/>
      <c r="G133" s="206"/>
      <c r="H133" s="24"/>
      <c r="I133" s="24"/>
      <c r="J133" s="24"/>
      <c r="K133" s="206"/>
      <c r="L133" s="24"/>
      <c r="M133" s="24"/>
      <c r="N133" s="24"/>
      <c r="O133" s="24"/>
      <c r="P133" s="204"/>
      <c r="Q133" s="204"/>
      <c r="R133" s="204"/>
      <c r="S133" s="205"/>
      <c r="T133" s="205"/>
      <c r="U133" s="205"/>
      <c r="V133" s="205"/>
      <c r="W133" s="205"/>
      <c r="Z133" s="204"/>
      <c r="AB133" s="204"/>
      <c r="AC133" s="204"/>
      <c r="AD133" s="204"/>
      <c r="AH133" s="637"/>
      <c r="AI133" s="61"/>
      <c r="AJ133" s="61"/>
      <c r="AK133" s="61"/>
      <c r="AL133" s="61"/>
      <c r="AM133" s="61"/>
      <c r="AN133" s="61"/>
      <c r="AO133" s="61"/>
    </row>
    <row r="134" spans="3:41" x14ac:dyDescent="0.25">
      <c r="C134" s="206"/>
      <c r="D134" s="24"/>
      <c r="E134" s="24"/>
      <c r="F134" s="24"/>
      <c r="G134" s="206"/>
      <c r="H134" s="24"/>
      <c r="I134" s="24"/>
      <c r="J134" s="24"/>
      <c r="K134" s="206"/>
      <c r="L134" s="24"/>
      <c r="M134" s="24"/>
      <c r="N134" s="24"/>
      <c r="O134" s="24"/>
      <c r="P134" s="204"/>
      <c r="Q134" s="204"/>
      <c r="R134" s="204"/>
      <c r="S134" s="205"/>
      <c r="T134" s="205"/>
      <c r="U134" s="205"/>
      <c r="V134" s="205"/>
      <c r="W134" s="205"/>
      <c r="Z134" s="204"/>
      <c r="AB134" s="204"/>
      <c r="AC134" s="204"/>
      <c r="AD134" s="204"/>
      <c r="AH134" s="637"/>
      <c r="AI134" s="61"/>
      <c r="AJ134" s="61"/>
      <c r="AK134" s="61"/>
      <c r="AL134" s="61"/>
      <c r="AM134" s="61"/>
      <c r="AN134" s="61"/>
      <c r="AO134" s="61"/>
    </row>
    <row r="135" spans="3:41" x14ac:dyDescent="0.25">
      <c r="C135" s="206"/>
      <c r="D135" s="24"/>
      <c r="E135" s="24"/>
      <c r="F135" s="24"/>
      <c r="G135" s="206"/>
      <c r="H135" s="24"/>
      <c r="I135" s="24"/>
      <c r="J135" s="24"/>
      <c r="K135" s="206"/>
      <c r="L135" s="24"/>
      <c r="M135" s="24"/>
      <c r="N135" s="24"/>
      <c r="O135" s="24"/>
      <c r="P135" s="204"/>
      <c r="Q135" s="204"/>
      <c r="R135" s="204"/>
      <c r="S135" s="205"/>
      <c r="T135" s="205"/>
      <c r="U135" s="205"/>
      <c r="V135" s="205"/>
      <c r="W135" s="205"/>
      <c r="Z135" s="204"/>
      <c r="AB135" s="204"/>
      <c r="AC135" s="204"/>
      <c r="AD135" s="204"/>
      <c r="AH135" s="637"/>
      <c r="AI135" s="61"/>
      <c r="AJ135" s="61"/>
      <c r="AK135" s="61"/>
      <c r="AL135" s="61"/>
      <c r="AM135" s="61"/>
      <c r="AN135" s="61"/>
      <c r="AO135" s="61"/>
    </row>
    <row r="136" spans="3:41" x14ac:dyDescent="0.25">
      <c r="C136" s="206"/>
      <c r="D136" s="24"/>
      <c r="E136" s="24"/>
      <c r="F136" s="24"/>
      <c r="G136" s="206"/>
      <c r="H136" s="24"/>
      <c r="I136" s="24"/>
      <c r="J136" s="24"/>
      <c r="K136" s="206"/>
      <c r="L136" s="24"/>
      <c r="M136" s="24"/>
      <c r="N136" s="24"/>
      <c r="O136" s="24"/>
      <c r="P136" s="204"/>
      <c r="Q136" s="204"/>
      <c r="R136" s="204"/>
      <c r="S136" s="205"/>
      <c r="T136" s="205"/>
      <c r="U136" s="205"/>
      <c r="V136" s="205"/>
      <c r="W136" s="205"/>
      <c r="Z136" s="204"/>
      <c r="AB136" s="204"/>
      <c r="AC136" s="204"/>
      <c r="AD136" s="204"/>
      <c r="AH136" s="637"/>
      <c r="AI136" s="61"/>
      <c r="AJ136" s="61"/>
      <c r="AK136" s="61"/>
      <c r="AL136" s="61"/>
      <c r="AM136" s="61"/>
      <c r="AN136" s="61"/>
      <c r="AO136" s="61"/>
    </row>
    <row r="137" spans="3:41" x14ac:dyDescent="0.25">
      <c r="C137" s="206"/>
      <c r="D137" s="24"/>
      <c r="E137" s="24"/>
      <c r="F137" s="24"/>
      <c r="G137" s="206"/>
      <c r="H137" s="24"/>
      <c r="I137" s="24"/>
      <c r="J137" s="24"/>
      <c r="K137" s="206"/>
      <c r="L137" s="24"/>
      <c r="M137" s="24"/>
      <c r="N137" s="24"/>
      <c r="O137" s="24"/>
      <c r="P137" s="204"/>
      <c r="Q137" s="204"/>
      <c r="R137" s="204"/>
      <c r="S137" s="205"/>
      <c r="T137" s="205"/>
      <c r="U137" s="205"/>
      <c r="V137" s="205"/>
      <c r="W137" s="205"/>
      <c r="Z137" s="204"/>
      <c r="AB137" s="204"/>
      <c r="AC137" s="204"/>
      <c r="AD137" s="204"/>
      <c r="AH137" s="637"/>
      <c r="AI137" s="61"/>
      <c r="AJ137" s="61"/>
      <c r="AK137" s="61"/>
      <c r="AL137" s="61"/>
      <c r="AM137" s="61"/>
      <c r="AN137" s="61"/>
      <c r="AO137" s="61"/>
    </row>
    <row r="138" spans="3:41" x14ac:dyDescent="0.25">
      <c r="C138" s="206"/>
      <c r="D138" s="24"/>
      <c r="E138" s="24"/>
      <c r="F138" s="24"/>
      <c r="G138" s="206"/>
      <c r="H138" s="24"/>
      <c r="I138" s="24"/>
      <c r="J138" s="24"/>
      <c r="K138" s="206"/>
      <c r="L138" s="24"/>
      <c r="M138" s="24"/>
      <c r="N138" s="24"/>
      <c r="O138" s="24"/>
      <c r="P138" s="204"/>
      <c r="Q138" s="204"/>
      <c r="R138" s="204"/>
      <c r="S138" s="205"/>
      <c r="T138" s="205"/>
      <c r="U138" s="205"/>
      <c r="V138" s="205"/>
      <c r="W138" s="205"/>
      <c r="Z138" s="204"/>
      <c r="AB138" s="204"/>
      <c r="AC138" s="204"/>
      <c r="AD138" s="204"/>
      <c r="AH138" s="637"/>
      <c r="AI138" s="61"/>
      <c r="AJ138" s="61"/>
      <c r="AK138" s="61"/>
      <c r="AL138" s="61"/>
      <c r="AM138" s="61"/>
      <c r="AN138" s="61"/>
      <c r="AO138" s="61"/>
    </row>
    <row r="139" spans="3:41" x14ac:dyDescent="0.25">
      <c r="C139" s="206"/>
      <c r="D139" s="24"/>
      <c r="E139" s="24"/>
      <c r="F139" s="24"/>
      <c r="G139" s="206"/>
      <c r="H139" s="24"/>
      <c r="I139" s="24"/>
      <c r="J139" s="24"/>
      <c r="K139" s="206"/>
      <c r="L139" s="24"/>
      <c r="M139" s="24"/>
      <c r="N139" s="24"/>
      <c r="O139" s="24"/>
      <c r="P139" s="204"/>
      <c r="Q139" s="204"/>
      <c r="R139" s="204"/>
      <c r="S139" s="205"/>
      <c r="T139" s="205"/>
      <c r="U139" s="205"/>
      <c r="V139" s="205"/>
      <c r="W139" s="205"/>
      <c r="Z139" s="204"/>
      <c r="AB139" s="204"/>
      <c r="AC139" s="204"/>
      <c r="AD139" s="204"/>
      <c r="AH139" s="637"/>
      <c r="AI139" s="61"/>
      <c r="AJ139" s="61"/>
      <c r="AK139" s="61"/>
      <c r="AL139" s="61"/>
      <c r="AM139" s="61"/>
      <c r="AN139" s="61"/>
      <c r="AO139" s="61"/>
    </row>
    <row r="140" spans="3:41" x14ac:dyDescent="0.25">
      <c r="C140" s="206"/>
      <c r="D140" s="24"/>
      <c r="E140" s="24"/>
      <c r="F140" s="24"/>
      <c r="G140" s="206"/>
      <c r="H140" s="24"/>
      <c r="I140" s="24"/>
      <c r="J140" s="24"/>
      <c r="K140" s="206"/>
      <c r="L140" s="24"/>
      <c r="M140" s="24"/>
      <c r="N140" s="24"/>
      <c r="O140" s="24"/>
      <c r="P140" s="204"/>
      <c r="Q140" s="204"/>
      <c r="R140" s="204"/>
      <c r="S140" s="205"/>
      <c r="T140" s="205"/>
      <c r="U140" s="205"/>
      <c r="V140" s="205"/>
      <c r="W140" s="205"/>
      <c r="Z140" s="204"/>
      <c r="AB140" s="204"/>
      <c r="AC140" s="204"/>
      <c r="AD140" s="204"/>
      <c r="AH140" s="637"/>
      <c r="AI140" s="61"/>
      <c r="AJ140" s="61"/>
      <c r="AK140" s="61"/>
      <c r="AL140" s="61"/>
      <c r="AM140" s="61"/>
      <c r="AN140" s="61"/>
      <c r="AO140" s="61"/>
    </row>
    <row r="141" spans="3:41" x14ac:dyDescent="0.25">
      <c r="C141" s="206"/>
      <c r="D141" s="24"/>
      <c r="E141" s="24"/>
      <c r="F141" s="24"/>
      <c r="G141" s="206"/>
      <c r="H141" s="24"/>
      <c r="I141" s="24"/>
      <c r="J141" s="24"/>
      <c r="K141" s="206"/>
      <c r="L141" s="24"/>
      <c r="M141" s="24"/>
      <c r="N141" s="24"/>
      <c r="O141" s="24"/>
      <c r="P141" s="204"/>
      <c r="Q141" s="204"/>
      <c r="R141" s="204"/>
      <c r="S141" s="205"/>
      <c r="T141" s="205"/>
      <c r="U141" s="205"/>
      <c r="V141" s="205"/>
      <c r="W141" s="205"/>
      <c r="Z141" s="204"/>
      <c r="AB141" s="204"/>
      <c r="AC141" s="204"/>
      <c r="AD141" s="204"/>
      <c r="AH141" s="637"/>
      <c r="AI141" s="61"/>
      <c r="AJ141" s="61"/>
      <c r="AK141" s="61"/>
      <c r="AL141" s="61"/>
      <c r="AM141" s="61"/>
      <c r="AN141" s="61"/>
      <c r="AO141" s="61"/>
    </row>
    <row r="142" spans="3:41" x14ac:dyDescent="0.25">
      <c r="C142" s="206"/>
      <c r="D142" s="24"/>
      <c r="E142" s="24"/>
      <c r="F142" s="24"/>
      <c r="G142" s="206"/>
      <c r="H142" s="24"/>
      <c r="I142" s="24"/>
      <c r="J142" s="24"/>
      <c r="K142" s="206"/>
      <c r="L142" s="24"/>
      <c r="M142" s="24"/>
      <c r="N142" s="24"/>
      <c r="O142" s="24"/>
      <c r="P142" s="204"/>
      <c r="Q142" s="204"/>
      <c r="R142" s="204"/>
      <c r="S142" s="205"/>
      <c r="T142" s="205"/>
      <c r="U142" s="205"/>
      <c r="V142" s="205"/>
      <c r="W142" s="205"/>
      <c r="Z142" s="204"/>
      <c r="AB142" s="204"/>
      <c r="AC142" s="204"/>
      <c r="AD142" s="204"/>
      <c r="AH142" s="637"/>
      <c r="AI142" s="61"/>
      <c r="AJ142" s="61"/>
      <c r="AK142" s="61"/>
      <c r="AL142" s="61"/>
      <c r="AM142" s="61"/>
      <c r="AN142" s="61"/>
      <c r="AO142" s="61"/>
    </row>
    <row r="143" spans="3:41" x14ac:dyDescent="0.25">
      <c r="C143" s="206"/>
      <c r="D143" s="24"/>
      <c r="E143" s="24"/>
      <c r="F143" s="24"/>
      <c r="G143" s="206"/>
      <c r="H143" s="24"/>
      <c r="I143" s="24"/>
      <c r="J143" s="24"/>
      <c r="K143" s="206"/>
      <c r="L143" s="24"/>
      <c r="M143" s="24"/>
      <c r="N143" s="24"/>
      <c r="O143" s="24"/>
      <c r="P143" s="204"/>
      <c r="Q143" s="204"/>
      <c r="R143" s="204"/>
      <c r="S143" s="205"/>
      <c r="T143" s="205"/>
      <c r="U143" s="205"/>
      <c r="V143" s="205"/>
      <c r="W143" s="205"/>
      <c r="Z143" s="204"/>
      <c r="AB143" s="204"/>
      <c r="AC143" s="204"/>
      <c r="AD143" s="204"/>
      <c r="AH143" s="637"/>
      <c r="AI143" s="61"/>
      <c r="AJ143" s="61"/>
      <c r="AK143" s="61"/>
      <c r="AL143" s="61"/>
      <c r="AM143" s="61"/>
      <c r="AN143" s="61"/>
      <c r="AO143" s="61"/>
    </row>
    <row r="144" spans="3:41" x14ac:dyDescent="0.25">
      <c r="C144" s="206"/>
      <c r="D144" s="24"/>
      <c r="E144" s="24"/>
      <c r="F144" s="24"/>
      <c r="G144" s="206"/>
      <c r="H144" s="24"/>
      <c r="I144" s="24"/>
      <c r="J144" s="24"/>
      <c r="K144" s="206"/>
      <c r="L144" s="24"/>
      <c r="M144" s="24"/>
      <c r="N144" s="24"/>
      <c r="O144" s="24"/>
      <c r="P144" s="204"/>
      <c r="Q144" s="204"/>
      <c r="R144" s="204"/>
      <c r="S144" s="205"/>
      <c r="T144" s="205"/>
      <c r="U144" s="205"/>
      <c r="V144" s="205"/>
      <c r="W144" s="205"/>
      <c r="Z144" s="204"/>
      <c r="AB144" s="204"/>
      <c r="AC144" s="204"/>
      <c r="AD144" s="204"/>
      <c r="AH144" s="637"/>
      <c r="AI144" s="61"/>
      <c r="AJ144" s="61"/>
      <c r="AK144" s="61"/>
      <c r="AL144" s="61"/>
      <c r="AM144" s="61"/>
      <c r="AN144" s="61"/>
      <c r="AO144" s="61"/>
    </row>
    <row r="145" spans="3:41" x14ac:dyDescent="0.25">
      <c r="C145" s="206"/>
      <c r="D145" s="24"/>
      <c r="E145" s="24"/>
      <c r="F145" s="24"/>
      <c r="G145" s="206"/>
      <c r="H145" s="24"/>
      <c r="I145" s="24"/>
      <c r="J145" s="24"/>
      <c r="K145" s="206"/>
      <c r="L145" s="24"/>
      <c r="M145" s="24"/>
      <c r="N145" s="24"/>
      <c r="O145" s="24"/>
      <c r="P145" s="204"/>
      <c r="Q145" s="204"/>
      <c r="R145" s="204"/>
      <c r="S145" s="205"/>
      <c r="T145" s="205"/>
      <c r="U145" s="205"/>
      <c r="V145" s="205"/>
      <c r="W145" s="205"/>
      <c r="Z145" s="204"/>
      <c r="AB145" s="204"/>
      <c r="AC145" s="204"/>
      <c r="AD145" s="204"/>
      <c r="AH145" s="637"/>
      <c r="AI145" s="61"/>
      <c r="AJ145" s="61"/>
      <c r="AK145" s="61"/>
      <c r="AL145" s="61"/>
      <c r="AM145" s="61"/>
      <c r="AN145" s="61"/>
      <c r="AO145" s="61"/>
    </row>
    <row r="146" spans="3:41" x14ac:dyDescent="0.25">
      <c r="C146" s="206"/>
      <c r="D146" s="24"/>
      <c r="E146" s="24"/>
      <c r="F146" s="24"/>
      <c r="G146" s="206"/>
      <c r="H146" s="24"/>
      <c r="I146" s="24"/>
      <c r="J146" s="24"/>
      <c r="K146" s="206"/>
      <c r="L146" s="24"/>
      <c r="M146" s="24"/>
      <c r="N146" s="24"/>
      <c r="O146" s="24"/>
      <c r="P146" s="204"/>
      <c r="Q146" s="204"/>
      <c r="R146" s="204"/>
      <c r="S146" s="205"/>
      <c r="T146" s="205"/>
      <c r="U146" s="205"/>
      <c r="V146" s="205"/>
      <c r="W146" s="205"/>
      <c r="Z146" s="204"/>
      <c r="AB146" s="204"/>
      <c r="AC146" s="204"/>
      <c r="AD146" s="204"/>
      <c r="AH146" s="637"/>
      <c r="AI146" s="61"/>
      <c r="AJ146" s="61"/>
      <c r="AK146" s="61"/>
      <c r="AL146" s="61"/>
      <c r="AM146" s="61"/>
      <c r="AN146" s="61"/>
      <c r="AO146" s="61"/>
    </row>
    <row r="147" spans="3:41" x14ac:dyDescent="0.25">
      <c r="C147" s="206"/>
      <c r="D147" s="24"/>
      <c r="E147" s="24"/>
      <c r="F147" s="24"/>
      <c r="G147" s="206"/>
      <c r="H147" s="24"/>
      <c r="I147" s="24"/>
      <c r="J147" s="24"/>
      <c r="K147" s="206"/>
      <c r="L147" s="24"/>
      <c r="M147" s="24"/>
      <c r="N147" s="24"/>
      <c r="O147" s="24"/>
      <c r="P147" s="204"/>
      <c r="Q147" s="204"/>
      <c r="R147" s="204"/>
      <c r="S147" s="205"/>
      <c r="T147" s="205"/>
      <c r="U147" s="205"/>
      <c r="V147" s="205"/>
      <c r="W147" s="205"/>
      <c r="Z147" s="204"/>
      <c r="AB147" s="204"/>
      <c r="AC147" s="204"/>
      <c r="AD147" s="204"/>
      <c r="AH147" s="637"/>
      <c r="AI147" s="61"/>
      <c r="AJ147" s="61"/>
      <c r="AK147" s="61"/>
      <c r="AL147" s="61"/>
      <c r="AM147" s="61"/>
      <c r="AN147" s="61"/>
      <c r="AO147" s="61"/>
    </row>
    <row r="148" spans="3:41" x14ac:dyDescent="0.25">
      <c r="C148" s="206"/>
      <c r="D148" s="24"/>
      <c r="E148" s="24"/>
      <c r="F148" s="24"/>
      <c r="G148" s="206"/>
      <c r="H148" s="24"/>
      <c r="I148" s="24"/>
      <c r="J148" s="24"/>
      <c r="K148" s="206"/>
      <c r="L148" s="24"/>
      <c r="M148" s="24"/>
      <c r="N148" s="24"/>
      <c r="O148" s="24"/>
      <c r="P148" s="204"/>
      <c r="Q148" s="204"/>
      <c r="R148" s="204"/>
      <c r="S148" s="205"/>
      <c r="T148" s="205"/>
      <c r="U148" s="205"/>
      <c r="V148" s="205"/>
      <c r="W148" s="205"/>
      <c r="Z148" s="204"/>
      <c r="AB148" s="204"/>
      <c r="AC148" s="204"/>
      <c r="AD148" s="204"/>
      <c r="AH148" s="637"/>
      <c r="AI148" s="61"/>
      <c r="AJ148" s="61"/>
      <c r="AK148" s="61"/>
      <c r="AL148" s="61"/>
      <c r="AM148" s="61"/>
      <c r="AN148" s="61"/>
      <c r="AO148" s="61"/>
    </row>
    <row r="149" spans="3:41" x14ac:dyDescent="0.25">
      <c r="C149" s="206"/>
      <c r="D149" s="24"/>
      <c r="E149" s="24"/>
      <c r="F149" s="24"/>
      <c r="G149" s="206"/>
      <c r="H149" s="24"/>
      <c r="I149" s="24"/>
      <c r="J149" s="24"/>
      <c r="K149" s="206"/>
      <c r="L149" s="24"/>
      <c r="M149" s="24"/>
      <c r="N149" s="24"/>
      <c r="O149" s="24"/>
      <c r="P149" s="204"/>
      <c r="Q149" s="204"/>
      <c r="R149" s="204"/>
      <c r="S149" s="205"/>
      <c r="T149" s="205"/>
      <c r="U149" s="205"/>
      <c r="V149" s="205"/>
      <c r="W149" s="205"/>
      <c r="Z149" s="204"/>
      <c r="AB149" s="204"/>
      <c r="AC149" s="204"/>
      <c r="AD149" s="204"/>
      <c r="AH149" s="637"/>
      <c r="AI149" s="61"/>
      <c r="AJ149" s="61"/>
      <c r="AK149" s="61"/>
      <c r="AL149" s="61"/>
      <c r="AM149" s="61"/>
      <c r="AN149" s="61"/>
      <c r="AO149" s="61"/>
    </row>
    <row r="150" spans="3:41" x14ac:dyDescent="0.25">
      <c r="C150" s="206"/>
      <c r="D150" s="24"/>
      <c r="E150" s="24"/>
      <c r="F150" s="24"/>
      <c r="G150" s="206"/>
      <c r="H150" s="24"/>
      <c r="I150" s="24"/>
      <c r="J150" s="24"/>
      <c r="K150" s="206"/>
      <c r="L150" s="24"/>
      <c r="M150" s="24"/>
      <c r="N150" s="24"/>
      <c r="O150" s="24"/>
      <c r="P150" s="204"/>
      <c r="Q150" s="204"/>
      <c r="R150" s="204"/>
      <c r="S150" s="205"/>
      <c r="T150" s="205"/>
      <c r="U150" s="205"/>
      <c r="V150" s="205"/>
      <c r="W150" s="205"/>
      <c r="Z150" s="204"/>
      <c r="AB150" s="204"/>
      <c r="AC150" s="204"/>
      <c r="AD150" s="204"/>
      <c r="AH150" s="637"/>
      <c r="AI150" s="61"/>
      <c r="AJ150" s="61"/>
      <c r="AK150" s="61"/>
      <c r="AL150" s="61"/>
      <c r="AM150" s="61"/>
      <c r="AN150" s="61"/>
      <c r="AO150" s="61"/>
    </row>
    <row r="151" spans="3:41" x14ac:dyDescent="0.25">
      <c r="C151" s="206"/>
      <c r="D151" s="24"/>
      <c r="E151" s="24"/>
      <c r="F151" s="24"/>
      <c r="G151" s="206"/>
      <c r="H151" s="24"/>
      <c r="I151" s="24"/>
      <c r="J151" s="24"/>
      <c r="K151" s="206"/>
      <c r="L151" s="24"/>
      <c r="M151" s="24"/>
      <c r="N151" s="24"/>
      <c r="O151" s="24"/>
      <c r="P151" s="204"/>
      <c r="Q151" s="204"/>
      <c r="R151" s="204"/>
      <c r="S151" s="205"/>
      <c r="T151" s="205"/>
      <c r="U151" s="205"/>
      <c r="V151" s="205"/>
      <c r="W151" s="205"/>
      <c r="Z151" s="204"/>
      <c r="AB151" s="204"/>
      <c r="AC151" s="204"/>
      <c r="AD151" s="204"/>
      <c r="AH151" s="637"/>
      <c r="AI151" s="61"/>
      <c r="AJ151" s="61"/>
      <c r="AK151" s="61"/>
      <c r="AL151" s="61"/>
      <c r="AM151" s="61"/>
      <c r="AN151" s="61"/>
      <c r="AO151" s="61"/>
    </row>
    <row r="152" spans="3:41" x14ac:dyDescent="0.25">
      <c r="C152" s="206"/>
      <c r="D152" s="24"/>
      <c r="E152" s="24"/>
      <c r="F152" s="24"/>
      <c r="G152" s="206"/>
      <c r="H152" s="24"/>
      <c r="I152" s="24"/>
      <c r="J152" s="24"/>
      <c r="K152" s="206"/>
      <c r="L152" s="24"/>
      <c r="M152" s="24"/>
      <c r="N152" s="24"/>
      <c r="O152" s="24"/>
      <c r="P152" s="204"/>
      <c r="Q152" s="204"/>
      <c r="R152" s="204"/>
      <c r="S152" s="205"/>
      <c r="T152" s="205"/>
      <c r="U152" s="205"/>
      <c r="V152" s="205"/>
      <c r="W152" s="205"/>
      <c r="Z152" s="204"/>
      <c r="AB152" s="204"/>
      <c r="AC152" s="204"/>
      <c r="AD152" s="204"/>
      <c r="AH152" s="637"/>
      <c r="AI152" s="61"/>
      <c r="AJ152" s="61"/>
      <c r="AK152" s="61"/>
      <c r="AL152" s="61"/>
      <c r="AM152" s="61"/>
      <c r="AN152" s="61"/>
      <c r="AO152" s="61"/>
    </row>
    <row r="153" spans="3:41" x14ac:dyDescent="0.25">
      <c r="C153" s="206"/>
      <c r="D153" s="24"/>
      <c r="E153" s="24"/>
      <c r="F153" s="24"/>
      <c r="G153" s="206"/>
      <c r="H153" s="24"/>
      <c r="I153" s="24"/>
      <c r="J153" s="24"/>
      <c r="K153" s="206"/>
      <c r="L153" s="24"/>
      <c r="M153" s="24"/>
      <c r="N153" s="24"/>
      <c r="O153" s="24"/>
      <c r="P153" s="204"/>
      <c r="Q153" s="204"/>
      <c r="R153" s="204"/>
      <c r="S153" s="205"/>
      <c r="T153" s="205"/>
      <c r="U153" s="205"/>
      <c r="V153" s="205"/>
      <c r="W153" s="205"/>
      <c r="Z153" s="204"/>
      <c r="AB153" s="204"/>
      <c r="AC153" s="204"/>
      <c r="AD153" s="204"/>
      <c r="AH153" s="637"/>
      <c r="AI153" s="61"/>
      <c r="AJ153" s="61"/>
      <c r="AK153" s="61"/>
      <c r="AL153" s="61"/>
      <c r="AM153" s="61"/>
      <c r="AN153" s="61"/>
      <c r="AO153" s="61"/>
    </row>
    <row r="154" spans="3:41" x14ac:dyDescent="0.25">
      <c r="C154" s="206"/>
      <c r="D154" s="24"/>
      <c r="E154" s="24"/>
      <c r="F154" s="24"/>
      <c r="G154" s="206"/>
      <c r="H154" s="24"/>
      <c r="I154" s="24"/>
      <c r="J154" s="24"/>
      <c r="K154" s="206"/>
      <c r="L154" s="24"/>
      <c r="M154" s="24"/>
      <c r="N154" s="24"/>
      <c r="O154" s="24"/>
      <c r="P154" s="204"/>
      <c r="Q154" s="204"/>
      <c r="R154" s="204"/>
      <c r="S154" s="205"/>
      <c r="T154" s="205"/>
      <c r="U154" s="205"/>
      <c r="V154" s="205"/>
      <c r="W154" s="205"/>
      <c r="Z154" s="204"/>
      <c r="AB154" s="204"/>
      <c r="AC154" s="204"/>
      <c r="AD154" s="204"/>
      <c r="AH154" s="637"/>
      <c r="AI154" s="61"/>
      <c r="AJ154" s="61"/>
      <c r="AK154" s="61"/>
      <c r="AL154" s="61"/>
      <c r="AM154" s="61"/>
      <c r="AN154" s="61"/>
      <c r="AO154" s="61"/>
    </row>
    <row r="155" spans="3:41" x14ac:dyDescent="0.25">
      <c r="C155" s="206"/>
      <c r="D155" s="24"/>
      <c r="E155" s="24"/>
      <c r="F155" s="24"/>
      <c r="G155" s="206"/>
      <c r="H155" s="24"/>
      <c r="I155" s="24"/>
      <c r="J155" s="24"/>
      <c r="K155" s="206"/>
      <c r="L155" s="24"/>
      <c r="M155" s="24"/>
      <c r="N155" s="24"/>
      <c r="O155" s="24"/>
      <c r="P155" s="204"/>
      <c r="Q155" s="204"/>
      <c r="R155" s="204"/>
      <c r="S155" s="205"/>
      <c r="T155" s="205"/>
      <c r="U155" s="205"/>
      <c r="V155" s="205"/>
      <c r="W155" s="205"/>
      <c r="Z155" s="204"/>
      <c r="AB155" s="204"/>
      <c r="AC155" s="204"/>
      <c r="AD155" s="204"/>
      <c r="AH155" s="637"/>
      <c r="AI155" s="61"/>
      <c r="AJ155" s="61"/>
      <c r="AK155" s="61"/>
      <c r="AL155" s="61"/>
      <c r="AM155" s="61"/>
      <c r="AN155" s="61"/>
      <c r="AO155" s="61"/>
    </row>
    <row r="156" spans="3:41" x14ac:dyDescent="0.25">
      <c r="C156" s="206"/>
      <c r="D156" s="24"/>
      <c r="E156" s="24"/>
      <c r="F156" s="24"/>
      <c r="G156" s="206"/>
      <c r="H156" s="24"/>
      <c r="I156" s="24"/>
      <c r="J156" s="24"/>
      <c r="K156" s="206"/>
      <c r="L156" s="24"/>
      <c r="M156" s="24"/>
      <c r="N156" s="24"/>
      <c r="O156" s="24"/>
      <c r="P156" s="204"/>
      <c r="Q156" s="204"/>
      <c r="R156" s="204"/>
      <c r="S156" s="205"/>
      <c r="T156" s="205"/>
      <c r="U156" s="205"/>
      <c r="V156" s="205"/>
      <c r="W156" s="205"/>
      <c r="Z156" s="204"/>
      <c r="AB156" s="204"/>
      <c r="AC156" s="204"/>
      <c r="AD156" s="204"/>
      <c r="AH156" s="637"/>
      <c r="AI156" s="61"/>
      <c r="AJ156" s="61"/>
      <c r="AK156" s="61"/>
      <c r="AL156" s="61"/>
      <c r="AM156" s="61"/>
      <c r="AN156" s="61"/>
      <c r="AO156" s="61"/>
    </row>
    <row r="157" spans="3:41" x14ac:dyDescent="0.25">
      <c r="C157" s="206"/>
      <c r="D157" s="24"/>
      <c r="E157" s="24"/>
      <c r="F157" s="24"/>
      <c r="G157" s="206"/>
      <c r="H157" s="24"/>
      <c r="I157" s="24"/>
      <c r="J157" s="24"/>
      <c r="K157" s="206"/>
      <c r="L157" s="24"/>
      <c r="M157" s="24"/>
      <c r="N157" s="24"/>
      <c r="O157" s="24"/>
      <c r="P157" s="204"/>
      <c r="Q157" s="204"/>
      <c r="R157" s="204"/>
      <c r="S157" s="205"/>
      <c r="T157" s="205"/>
      <c r="U157" s="205"/>
      <c r="V157" s="205"/>
      <c r="W157" s="205"/>
      <c r="Z157" s="204"/>
      <c r="AB157" s="204"/>
      <c r="AC157" s="204"/>
      <c r="AD157" s="204"/>
      <c r="AH157" s="637"/>
      <c r="AI157" s="61"/>
      <c r="AJ157" s="61"/>
      <c r="AK157" s="61"/>
      <c r="AL157" s="61"/>
      <c r="AM157" s="61"/>
      <c r="AN157" s="61"/>
      <c r="AO157" s="61"/>
    </row>
    <row r="158" spans="3:41" x14ac:dyDescent="0.25">
      <c r="C158" s="206"/>
      <c r="D158" s="24"/>
      <c r="E158" s="24"/>
      <c r="F158" s="24"/>
      <c r="G158" s="206"/>
      <c r="H158" s="24"/>
      <c r="I158" s="24"/>
      <c r="J158" s="24"/>
      <c r="K158" s="206"/>
      <c r="L158" s="24"/>
      <c r="M158" s="24"/>
      <c r="N158" s="24"/>
      <c r="O158" s="24"/>
      <c r="P158" s="204"/>
      <c r="Q158" s="204"/>
      <c r="R158" s="204"/>
      <c r="S158" s="205"/>
      <c r="T158" s="205"/>
      <c r="U158" s="205"/>
      <c r="V158" s="205"/>
      <c r="W158" s="205"/>
      <c r="Z158" s="204"/>
      <c r="AB158" s="204"/>
      <c r="AC158" s="204"/>
      <c r="AD158" s="204"/>
      <c r="AH158" s="637"/>
      <c r="AI158" s="61"/>
      <c r="AJ158" s="61"/>
      <c r="AK158" s="61"/>
      <c r="AL158" s="61"/>
      <c r="AM158" s="61"/>
      <c r="AN158" s="61"/>
      <c r="AO158" s="61"/>
    </row>
    <row r="159" spans="3:41" x14ac:dyDescent="0.25">
      <c r="C159" s="206"/>
      <c r="D159" s="24"/>
      <c r="E159" s="24"/>
      <c r="F159" s="24"/>
      <c r="G159" s="206"/>
      <c r="H159" s="24"/>
      <c r="I159" s="24"/>
      <c r="J159" s="24"/>
      <c r="K159" s="206"/>
      <c r="L159" s="24"/>
      <c r="M159" s="24"/>
      <c r="N159" s="24"/>
      <c r="O159" s="24"/>
      <c r="P159" s="204"/>
      <c r="Q159" s="204"/>
      <c r="R159" s="204"/>
      <c r="S159" s="205"/>
      <c r="T159" s="205"/>
      <c r="U159" s="205"/>
      <c r="V159" s="205"/>
      <c r="W159" s="205"/>
      <c r="Z159" s="204"/>
      <c r="AB159" s="204"/>
      <c r="AC159" s="204"/>
      <c r="AD159" s="204"/>
      <c r="AH159" s="637"/>
      <c r="AI159" s="61"/>
      <c r="AJ159" s="61"/>
      <c r="AK159" s="61"/>
      <c r="AL159" s="61"/>
      <c r="AM159" s="61"/>
      <c r="AN159" s="61"/>
      <c r="AO159" s="61"/>
    </row>
    <row r="160" spans="3:41" x14ac:dyDescent="0.25">
      <c r="C160" s="206"/>
      <c r="D160" s="24"/>
      <c r="E160" s="24"/>
      <c r="F160" s="24"/>
      <c r="G160" s="206"/>
      <c r="H160" s="24"/>
      <c r="I160" s="24"/>
      <c r="J160" s="24"/>
      <c r="K160" s="206"/>
      <c r="L160" s="24"/>
      <c r="M160" s="24"/>
      <c r="N160" s="24"/>
      <c r="O160" s="24"/>
      <c r="P160" s="204"/>
      <c r="Q160" s="204"/>
      <c r="R160" s="204"/>
      <c r="S160" s="205"/>
      <c r="T160" s="205"/>
      <c r="U160" s="205"/>
      <c r="V160" s="205"/>
      <c r="W160" s="205"/>
      <c r="Z160" s="204"/>
      <c r="AB160" s="204"/>
      <c r="AC160" s="204"/>
      <c r="AD160" s="204"/>
      <c r="AH160" s="637"/>
      <c r="AI160" s="61"/>
      <c r="AJ160" s="61"/>
      <c r="AK160" s="61"/>
      <c r="AL160" s="61"/>
      <c r="AM160" s="61"/>
      <c r="AN160" s="61"/>
      <c r="AO160" s="61"/>
    </row>
    <row r="161" spans="3:41" x14ac:dyDescent="0.25">
      <c r="C161" s="206"/>
      <c r="D161" s="24"/>
      <c r="E161" s="24"/>
      <c r="F161" s="24"/>
      <c r="G161" s="206"/>
      <c r="H161" s="24"/>
      <c r="I161" s="24"/>
      <c r="J161" s="24"/>
      <c r="K161" s="206"/>
      <c r="L161" s="24"/>
      <c r="M161" s="24"/>
      <c r="N161" s="24"/>
      <c r="O161" s="24"/>
      <c r="P161" s="204"/>
      <c r="Q161" s="204"/>
      <c r="R161" s="204"/>
      <c r="S161" s="205"/>
      <c r="T161" s="205"/>
      <c r="U161" s="205"/>
      <c r="V161" s="205"/>
      <c r="W161" s="205"/>
      <c r="Z161" s="204"/>
      <c r="AB161" s="204"/>
      <c r="AC161" s="204"/>
      <c r="AD161" s="204"/>
      <c r="AH161" s="637"/>
      <c r="AI161" s="61"/>
      <c r="AJ161" s="61"/>
      <c r="AK161" s="61"/>
      <c r="AL161" s="61"/>
      <c r="AM161" s="61"/>
      <c r="AN161" s="61"/>
      <c r="AO161" s="61"/>
    </row>
    <row r="162" spans="3:41" x14ac:dyDescent="0.25">
      <c r="C162" s="206"/>
      <c r="D162" s="24"/>
      <c r="E162" s="24"/>
      <c r="F162" s="24"/>
      <c r="G162" s="206"/>
      <c r="H162" s="24"/>
      <c r="I162" s="24"/>
      <c r="J162" s="24"/>
      <c r="K162" s="206"/>
      <c r="L162" s="24"/>
      <c r="M162" s="24"/>
      <c r="N162" s="24"/>
      <c r="O162" s="24"/>
      <c r="P162" s="204"/>
      <c r="Q162" s="204"/>
      <c r="R162" s="204"/>
      <c r="S162" s="205"/>
      <c r="T162" s="205"/>
      <c r="U162" s="205"/>
      <c r="V162" s="205"/>
      <c r="W162" s="205"/>
      <c r="Z162" s="204"/>
      <c r="AB162" s="204"/>
      <c r="AC162" s="204"/>
      <c r="AD162" s="204"/>
      <c r="AH162" s="637"/>
      <c r="AI162" s="61"/>
      <c r="AJ162" s="61"/>
      <c r="AK162" s="61"/>
      <c r="AL162" s="61"/>
      <c r="AM162" s="61"/>
      <c r="AN162" s="61"/>
      <c r="AO162" s="61"/>
    </row>
    <row r="163" spans="3:41" x14ac:dyDescent="0.25">
      <c r="C163" s="206"/>
      <c r="D163" s="24"/>
      <c r="E163" s="24"/>
      <c r="F163" s="24"/>
      <c r="G163" s="206"/>
      <c r="H163" s="24"/>
      <c r="I163" s="24"/>
      <c r="J163" s="24"/>
      <c r="K163" s="206"/>
      <c r="L163" s="24"/>
      <c r="M163" s="24"/>
      <c r="N163" s="24"/>
      <c r="O163" s="24"/>
      <c r="P163" s="204"/>
      <c r="Q163" s="204"/>
      <c r="R163" s="204"/>
      <c r="S163" s="205"/>
      <c r="T163" s="205"/>
      <c r="U163" s="205"/>
      <c r="V163" s="205"/>
      <c r="W163" s="205"/>
      <c r="Z163" s="204"/>
      <c r="AB163" s="204"/>
      <c r="AC163" s="204"/>
      <c r="AD163" s="204"/>
      <c r="AH163" s="637"/>
      <c r="AI163" s="61"/>
      <c r="AJ163" s="61"/>
      <c r="AK163" s="61"/>
      <c r="AL163" s="61"/>
      <c r="AM163" s="61"/>
      <c r="AN163" s="61"/>
      <c r="AO163" s="61"/>
    </row>
    <row r="164" spans="3:41" x14ac:dyDescent="0.25">
      <c r="C164" s="206"/>
      <c r="D164" s="24"/>
      <c r="E164" s="24"/>
      <c r="F164" s="24"/>
      <c r="G164" s="206"/>
      <c r="H164" s="24"/>
      <c r="I164" s="24"/>
      <c r="J164" s="24"/>
      <c r="K164" s="206"/>
      <c r="L164" s="24"/>
      <c r="M164" s="24"/>
      <c r="N164" s="24"/>
      <c r="O164" s="24"/>
      <c r="P164" s="204"/>
      <c r="Q164" s="204"/>
      <c r="R164" s="204"/>
      <c r="S164" s="205"/>
      <c r="T164" s="205"/>
      <c r="U164" s="205"/>
      <c r="V164" s="205"/>
      <c r="W164" s="205"/>
      <c r="Z164" s="204"/>
      <c r="AB164" s="204"/>
      <c r="AC164" s="204"/>
      <c r="AD164" s="204"/>
      <c r="AH164" s="637"/>
      <c r="AI164" s="61"/>
      <c r="AJ164" s="61"/>
      <c r="AK164" s="61"/>
      <c r="AL164" s="61"/>
      <c r="AM164" s="61"/>
      <c r="AN164" s="61"/>
      <c r="AO164" s="61"/>
    </row>
    <row r="165" spans="3:41" x14ac:dyDescent="0.25">
      <c r="C165" s="206"/>
      <c r="D165" s="24"/>
      <c r="E165" s="24"/>
      <c r="F165" s="24"/>
      <c r="G165" s="206"/>
      <c r="H165" s="24"/>
      <c r="I165" s="24"/>
      <c r="J165" s="24"/>
      <c r="K165" s="206"/>
      <c r="L165" s="24"/>
      <c r="M165" s="24"/>
      <c r="N165" s="24"/>
      <c r="O165" s="24"/>
      <c r="P165" s="204"/>
      <c r="Q165" s="204"/>
      <c r="R165" s="204"/>
      <c r="S165" s="205"/>
      <c r="T165" s="205"/>
      <c r="U165" s="205"/>
      <c r="V165" s="205"/>
      <c r="W165" s="205"/>
      <c r="Z165" s="204"/>
      <c r="AB165" s="204"/>
      <c r="AC165" s="204"/>
      <c r="AD165" s="204"/>
      <c r="AH165" s="637"/>
      <c r="AI165" s="61"/>
      <c r="AJ165" s="61"/>
      <c r="AK165" s="61"/>
      <c r="AL165" s="61"/>
      <c r="AM165" s="61"/>
      <c r="AN165" s="61"/>
      <c r="AO165" s="61"/>
    </row>
    <row r="166" spans="3:41" x14ac:dyDescent="0.25">
      <c r="C166" s="206"/>
      <c r="D166" s="24"/>
      <c r="E166" s="24"/>
      <c r="F166" s="24"/>
      <c r="G166" s="206"/>
      <c r="H166" s="24"/>
      <c r="I166" s="24"/>
      <c r="J166" s="24"/>
      <c r="K166" s="206"/>
      <c r="L166" s="24"/>
      <c r="M166" s="24"/>
      <c r="N166" s="24"/>
      <c r="O166" s="24"/>
      <c r="P166" s="204"/>
      <c r="Q166" s="204"/>
      <c r="R166" s="204"/>
      <c r="S166" s="205"/>
      <c r="T166" s="205"/>
      <c r="U166" s="205"/>
      <c r="V166" s="205"/>
      <c r="W166" s="205"/>
      <c r="Z166" s="204"/>
      <c r="AB166" s="204"/>
      <c r="AC166" s="204"/>
      <c r="AD166" s="204"/>
      <c r="AH166" s="637"/>
      <c r="AI166" s="61"/>
      <c r="AJ166" s="61"/>
      <c r="AK166" s="61"/>
      <c r="AL166" s="61"/>
      <c r="AM166" s="61"/>
      <c r="AN166" s="61"/>
      <c r="AO166" s="61"/>
    </row>
    <row r="167" spans="3:41" x14ac:dyDescent="0.25">
      <c r="C167" s="206"/>
      <c r="D167" s="24"/>
      <c r="E167" s="24"/>
      <c r="F167" s="24"/>
      <c r="G167" s="206"/>
      <c r="H167" s="24"/>
      <c r="I167" s="24"/>
      <c r="J167" s="24"/>
      <c r="K167" s="206"/>
      <c r="L167" s="24"/>
      <c r="M167" s="24"/>
      <c r="N167" s="24"/>
      <c r="O167" s="24"/>
      <c r="P167" s="204"/>
      <c r="Q167" s="204"/>
      <c r="R167" s="204"/>
      <c r="S167" s="205"/>
      <c r="T167" s="205"/>
      <c r="U167" s="205"/>
      <c r="V167" s="205"/>
      <c r="W167" s="205"/>
      <c r="Z167" s="204"/>
      <c r="AB167" s="204"/>
      <c r="AC167" s="204"/>
      <c r="AD167" s="204"/>
      <c r="AH167" s="637"/>
      <c r="AI167" s="61"/>
      <c r="AJ167" s="61"/>
      <c r="AK167" s="61"/>
      <c r="AL167" s="61"/>
      <c r="AM167" s="61"/>
      <c r="AN167" s="61"/>
      <c r="AO167" s="61"/>
    </row>
    <row r="168" spans="3:41" x14ac:dyDescent="0.25">
      <c r="C168" s="206"/>
      <c r="D168" s="24"/>
      <c r="E168" s="24"/>
      <c r="F168" s="24"/>
      <c r="G168" s="206"/>
      <c r="H168" s="24"/>
      <c r="I168" s="24"/>
      <c r="J168" s="24"/>
      <c r="K168" s="206"/>
      <c r="L168" s="24"/>
      <c r="M168" s="24"/>
      <c r="N168" s="24"/>
      <c r="O168" s="24"/>
      <c r="P168" s="204"/>
      <c r="Q168" s="204"/>
      <c r="R168" s="204"/>
      <c r="S168" s="205"/>
      <c r="T168" s="205"/>
      <c r="U168" s="205"/>
      <c r="V168" s="205"/>
      <c r="W168" s="205"/>
      <c r="Z168" s="204"/>
      <c r="AB168" s="204"/>
      <c r="AC168" s="204"/>
      <c r="AD168" s="204"/>
      <c r="AH168" s="637"/>
      <c r="AI168" s="61"/>
      <c r="AJ168" s="61"/>
      <c r="AK168" s="61"/>
      <c r="AL168" s="61"/>
      <c r="AM168" s="61"/>
      <c r="AN168" s="61"/>
      <c r="AO168" s="61"/>
    </row>
    <row r="169" spans="3:41" x14ac:dyDescent="0.25">
      <c r="C169" s="206"/>
      <c r="D169" s="24"/>
      <c r="E169" s="24"/>
      <c r="F169" s="24"/>
      <c r="G169" s="206"/>
      <c r="H169" s="24"/>
      <c r="I169" s="24"/>
      <c r="J169" s="24"/>
      <c r="K169" s="206"/>
      <c r="L169" s="24"/>
      <c r="M169" s="24"/>
      <c r="N169" s="24"/>
      <c r="O169" s="24"/>
      <c r="P169" s="204"/>
      <c r="Q169" s="204"/>
      <c r="R169" s="204"/>
      <c r="S169" s="205"/>
      <c r="T169" s="205"/>
      <c r="U169" s="205"/>
      <c r="V169" s="205"/>
      <c r="W169" s="205"/>
      <c r="Z169" s="204"/>
      <c r="AB169" s="204"/>
      <c r="AC169" s="204"/>
      <c r="AD169" s="204"/>
      <c r="AH169" s="637"/>
      <c r="AI169" s="61"/>
      <c r="AJ169" s="61"/>
      <c r="AK169" s="61"/>
      <c r="AL169" s="61"/>
      <c r="AM169" s="61"/>
      <c r="AN169" s="61"/>
      <c r="AO169" s="61"/>
    </row>
    <row r="170" spans="3:41" x14ac:dyDescent="0.25">
      <c r="C170" s="206"/>
      <c r="D170" s="24"/>
      <c r="E170" s="24"/>
      <c r="F170" s="24"/>
      <c r="G170" s="206"/>
      <c r="H170" s="24"/>
      <c r="I170" s="24"/>
      <c r="J170" s="24"/>
      <c r="K170" s="206"/>
      <c r="L170" s="24"/>
      <c r="M170" s="24"/>
      <c r="N170" s="24"/>
      <c r="O170" s="24"/>
      <c r="P170" s="204"/>
      <c r="Q170" s="204"/>
      <c r="R170" s="204"/>
      <c r="S170" s="205"/>
      <c r="T170" s="205"/>
      <c r="U170" s="205"/>
      <c r="V170" s="205"/>
      <c r="W170" s="205"/>
      <c r="Z170" s="204"/>
      <c r="AB170" s="204"/>
      <c r="AC170" s="204"/>
      <c r="AD170" s="204"/>
      <c r="AH170" s="637"/>
      <c r="AI170" s="61"/>
      <c r="AJ170" s="61"/>
      <c r="AK170" s="61"/>
      <c r="AL170" s="61"/>
      <c r="AM170" s="61"/>
      <c r="AN170" s="61"/>
      <c r="AO170" s="61"/>
    </row>
    <row r="171" spans="3:41" x14ac:dyDescent="0.25">
      <c r="C171" s="206"/>
      <c r="D171" s="24"/>
      <c r="E171" s="24"/>
      <c r="F171" s="24"/>
      <c r="G171" s="206"/>
      <c r="H171" s="24"/>
      <c r="I171" s="24"/>
      <c r="J171" s="24"/>
      <c r="K171" s="206"/>
      <c r="L171" s="24"/>
      <c r="M171" s="24"/>
      <c r="N171" s="24"/>
      <c r="O171" s="24"/>
      <c r="P171" s="204"/>
      <c r="Q171" s="204"/>
      <c r="R171" s="204"/>
      <c r="S171" s="205"/>
      <c r="T171" s="205"/>
      <c r="U171" s="205"/>
      <c r="V171" s="205"/>
      <c r="W171" s="205"/>
      <c r="Z171" s="204"/>
      <c r="AB171" s="204"/>
      <c r="AC171" s="204"/>
      <c r="AD171" s="204"/>
      <c r="AH171" s="637"/>
      <c r="AI171" s="61"/>
      <c r="AJ171" s="61"/>
      <c r="AK171" s="61"/>
      <c r="AL171" s="61"/>
      <c r="AM171" s="61"/>
      <c r="AN171" s="61"/>
      <c r="AO171" s="61"/>
    </row>
    <row r="172" spans="3:41" x14ac:dyDescent="0.25">
      <c r="C172" s="206"/>
      <c r="D172" s="24"/>
      <c r="E172" s="24"/>
      <c r="F172" s="24"/>
      <c r="G172" s="206"/>
      <c r="H172" s="24"/>
      <c r="I172" s="24"/>
      <c r="J172" s="24"/>
      <c r="K172" s="206"/>
      <c r="L172" s="24"/>
      <c r="M172" s="24"/>
      <c r="N172" s="24"/>
      <c r="O172" s="24"/>
      <c r="P172" s="204"/>
      <c r="Q172" s="204"/>
      <c r="R172" s="204"/>
      <c r="S172" s="205"/>
      <c r="T172" s="205"/>
      <c r="U172" s="205"/>
      <c r="V172" s="205"/>
      <c r="W172" s="205"/>
      <c r="Z172" s="204"/>
      <c r="AB172" s="204"/>
      <c r="AC172" s="204"/>
      <c r="AD172" s="204"/>
      <c r="AH172" s="637"/>
      <c r="AI172" s="61"/>
      <c r="AJ172" s="61"/>
      <c r="AK172" s="61"/>
      <c r="AL172" s="61"/>
      <c r="AM172" s="61"/>
      <c r="AN172" s="61"/>
      <c r="AO172" s="61"/>
    </row>
    <row r="173" spans="3:41" x14ac:dyDescent="0.25">
      <c r="C173" s="206"/>
      <c r="D173" s="24"/>
      <c r="E173" s="24"/>
      <c r="F173" s="24"/>
      <c r="G173" s="206"/>
      <c r="H173" s="24"/>
      <c r="I173" s="24"/>
      <c r="J173" s="24"/>
      <c r="K173" s="206"/>
      <c r="L173" s="24"/>
      <c r="M173" s="24"/>
      <c r="N173" s="24"/>
      <c r="O173" s="24"/>
      <c r="P173" s="204"/>
      <c r="Q173" s="204"/>
      <c r="R173" s="204"/>
      <c r="S173" s="205"/>
      <c r="T173" s="205"/>
      <c r="U173" s="205"/>
      <c r="V173" s="205"/>
      <c r="W173" s="205"/>
      <c r="Z173" s="204"/>
      <c r="AB173" s="204"/>
      <c r="AC173" s="204"/>
      <c r="AD173" s="204"/>
      <c r="AH173" s="637"/>
      <c r="AI173" s="61"/>
      <c r="AJ173" s="61"/>
      <c r="AK173" s="61"/>
      <c r="AL173" s="61"/>
      <c r="AM173" s="61"/>
      <c r="AN173" s="61"/>
      <c r="AO173" s="61"/>
    </row>
    <row r="174" spans="3:41" x14ac:dyDescent="0.25">
      <c r="C174" s="206"/>
      <c r="D174" s="24"/>
      <c r="E174" s="24"/>
      <c r="F174" s="24"/>
      <c r="G174" s="206"/>
      <c r="H174" s="24"/>
      <c r="I174" s="24"/>
      <c r="J174" s="24"/>
      <c r="K174" s="206"/>
      <c r="L174" s="24"/>
      <c r="M174" s="24"/>
      <c r="N174" s="24"/>
      <c r="O174" s="24"/>
      <c r="P174" s="204"/>
      <c r="Q174" s="204"/>
      <c r="R174" s="204"/>
      <c r="S174" s="205"/>
      <c r="T174" s="205"/>
      <c r="U174" s="205"/>
      <c r="V174" s="205"/>
      <c r="W174" s="205"/>
      <c r="Z174" s="204"/>
      <c r="AB174" s="204"/>
      <c r="AC174" s="204"/>
      <c r="AD174" s="204"/>
      <c r="AH174" s="637"/>
      <c r="AI174" s="61"/>
      <c r="AJ174" s="61"/>
      <c r="AK174" s="61"/>
      <c r="AL174" s="61"/>
      <c r="AM174" s="61"/>
      <c r="AN174" s="61"/>
      <c r="AO174" s="61"/>
    </row>
    <row r="175" spans="3:41" x14ac:dyDescent="0.25">
      <c r="C175" s="206"/>
      <c r="D175" s="24"/>
      <c r="E175" s="24"/>
      <c r="F175" s="24"/>
      <c r="G175" s="206"/>
      <c r="H175" s="24"/>
      <c r="I175" s="24"/>
      <c r="J175" s="24"/>
      <c r="K175" s="206"/>
      <c r="L175" s="24"/>
      <c r="M175" s="24"/>
      <c r="N175" s="24"/>
      <c r="O175" s="24"/>
      <c r="P175" s="204"/>
      <c r="Q175" s="204"/>
      <c r="R175" s="204"/>
      <c r="S175" s="205"/>
      <c r="T175" s="205"/>
      <c r="U175" s="205"/>
      <c r="V175" s="205"/>
      <c r="W175" s="205"/>
      <c r="Z175" s="204"/>
      <c r="AB175" s="204"/>
      <c r="AC175" s="204"/>
      <c r="AD175" s="204"/>
      <c r="AH175" s="637"/>
      <c r="AI175" s="61"/>
      <c r="AJ175" s="61"/>
      <c r="AK175" s="61"/>
      <c r="AL175" s="61"/>
      <c r="AM175" s="61"/>
      <c r="AN175" s="61"/>
      <c r="AO175" s="61"/>
    </row>
    <row r="176" spans="3:41" x14ac:dyDescent="0.25">
      <c r="C176" s="206"/>
      <c r="D176" s="24"/>
      <c r="E176" s="24"/>
      <c r="F176" s="24"/>
      <c r="G176" s="206"/>
      <c r="H176" s="24"/>
      <c r="I176" s="24"/>
      <c r="J176" s="24"/>
      <c r="K176" s="206"/>
      <c r="L176" s="24"/>
      <c r="M176" s="24"/>
      <c r="N176" s="24"/>
      <c r="O176" s="24"/>
      <c r="P176" s="204"/>
      <c r="Q176" s="204"/>
      <c r="R176" s="204"/>
      <c r="S176" s="205"/>
      <c r="T176" s="205"/>
      <c r="U176" s="205"/>
      <c r="V176" s="205"/>
      <c r="W176" s="205"/>
      <c r="Z176" s="204"/>
      <c r="AB176" s="204"/>
      <c r="AC176" s="204"/>
      <c r="AD176" s="204"/>
      <c r="AH176" s="637"/>
      <c r="AI176" s="61"/>
      <c r="AJ176" s="61"/>
      <c r="AK176" s="61"/>
      <c r="AL176" s="61"/>
      <c r="AM176" s="61"/>
      <c r="AN176" s="61"/>
      <c r="AO176" s="61"/>
    </row>
    <row r="177" spans="3:41" x14ac:dyDescent="0.25">
      <c r="C177" s="206"/>
      <c r="D177" s="24"/>
      <c r="E177" s="24"/>
      <c r="F177" s="24"/>
      <c r="G177" s="206"/>
      <c r="H177" s="24"/>
      <c r="I177" s="24"/>
      <c r="J177" s="24"/>
      <c r="K177" s="206"/>
      <c r="L177" s="24"/>
      <c r="M177" s="24"/>
      <c r="N177" s="24"/>
      <c r="O177" s="24"/>
      <c r="P177" s="204"/>
      <c r="Q177" s="204"/>
      <c r="R177" s="204"/>
      <c r="S177" s="205"/>
      <c r="T177" s="205"/>
      <c r="U177" s="205"/>
      <c r="V177" s="205"/>
      <c r="W177" s="205"/>
      <c r="Z177" s="204"/>
      <c r="AB177" s="204"/>
      <c r="AC177" s="204"/>
      <c r="AD177" s="204"/>
      <c r="AH177" s="637"/>
      <c r="AI177" s="61"/>
      <c r="AJ177" s="61"/>
      <c r="AK177" s="61"/>
      <c r="AL177" s="61"/>
      <c r="AM177" s="61"/>
      <c r="AN177" s="61"/>
      <c r="AO177" s="61"/>
    </row>
    <row r="178" spans="3:41" x14ac:dyDescent="0.25">
      <c r="C178" s="206"/>
      <c r="D178" s="24"/>
      <c r="E178" s="24"/>
      <c r="F178" s="24"/>
      <c r="G178" s="206"/>
      <c r="H178" s="24"/>
      <c r="I178" s="24"/>
      <c r="J178" s="24"/>
      <c r="K178" s="206"/>
      <c r="L178" s="24"/>
      <c r="M178" s="24"/>
      <c r="N178" s="24"/>
      <c r="O178" s="24"/>
      <c r="P178" s="204"/>
      <c r="Q178" s="204"/>
      <c r="R178" s="204"/>
      <c r="S178" s="205"/>
      <c r="T178" s="205"/>
      <c r="U178" s="205"/>
      <c r="V178" s="205"/>
      <c r="W178" s="205"/>
      <c r="Z178" s="204"/>
      <c r="AB178" s="204"/>
      <c r="AC178" s="204"/>
      <c r="AD178" s="204"/>
      <c r="AH178" s="637"/>
      <c r="AI178" s="61"/>
      <c r="AJ178" s="61"/>
      <c r="AK178" s="61"/>
      <c r="AL178" s="61"/>
      <c r="AM178" s="61"/>
      <c r="AN178" s="61"/>
      <c r="AO178" s="61"/>
    </row>
    <row r="179" spans="3:41" x14ac:dyDescent="0.25">
      <c r="C179" s="206"/>
      <c r="D179" s="24"/>
      <c r="E179" s="24"/>
      <c r="F179" s="24"/>
      <c r="G179" s="206"/>
      <c r="H179" s="24"/>
      <c r="I179" s="24"/>
      <c r="J179" s="24"/>
      <c r="K179" s="206"/>
      <c r="L179" s="24"/>
      <c r="M179" s="24"/>
      <c r="N179" s="24"/>
      <c r="O179" s="24"/>
      <c r="P179" s="204"/>
      <c r="Q179" s="204"/>
      <c r="R179" s="204"/>
      <c r="S179" s="205"/>
      <c r="T179" s="205"/>
      <c r="U179" s="205"/>
      <c r="V179" s="205"/>
      <c r="W179" s="205"/>
      <c r="Z179" s="204"/>
      <c r="AB179" s="204"/>
      <c r="AC179" s="204"/>
      <c r="AD179" s="204"/>
      <c r="AH179" s="637"/>
      <c r="AI179" s="61"/>
      <c r="AJ179" s="61"/>
      <c r="AK179" s="61"/>
      <c r="AL179" s="61"/>
      <c r="AM179" s="61"/>
      <c r="AN179" s="61"/>
      <c r="AO179" s="61"/>
    </row>
    <row r="180" spans="3:41" x14ac:dyDescent="0.25">
      <c r="C180" s="206"/>
      <c r="D180" s="24"/>
      <c r="E180" s="24"/>
      <c r="F180" s="24"/>
      <c r="G180" s="206"/>
      <c r="H180" s="24"/>
      <c r="I180" s="24"/>
      <c r="J180" s="24"/>
      <c r="K180" s="206"/>
      <c r="L180" s="24"/>
      <c r="M180" s="24"/>
      <c r="N180" s="24"/>
      <c r="O180" s="24"/>
      <c r="P180" s="204"/>
      <c r="Q180" s="204"/>
      <c r="R180" s="204"/>
      <c r="S180" s="205"/>
      <c r="T180" s="205"/>
      <c r="U180" s="205"/>
      <c r="V180" s="205"/>
      <c r="W180" s="205"/>
      <c r="Z180" s="204"/>
      <c r="AB180" s="204"/>
      <c r="AC180" s="204"/>
      <c r="AD180" s="204"/>
      <c r="AH180" s="637"/>
      <c r="AI180" s="61"/>
      <c r="AJ180" s="61"/>
      <c r="AK180" s="61"/>
      <c r="AL180" s="61"/>
      <c r="AM180" s="61"/>
      <c r="AN180" s="61"/>
      <c r="AO180" s="61"/>
    </row>
    <row r="181" spans="3:41" x14ac:dyDescent="0.25">
      <c r="C181" s="206"/>
      <c r="D181" s="24"/>
      <c r="E181" s="24"/>
      <c r="F181" s="24"/>
      <c r="G181" s="206"/>
      <c r="H181" s="24"/>
      <c r="I181" s="24"/>
      <c r="J181" s="24"/>
      <c r="K181" s="206"/>
      <c r="L181" s="24"/>
      <c r="M181" s="24"/>
      <c r="N181" s="24"/>
      <c r="O181" s="24"/>
      <c r="P181" s="204"/>
      <c r="Q181" s="204"/>
      <c r="R181" s="204"/>
      <c r="S181" s="205"/>
      <c r="T181" s="205"/>
      <c r="U181" s="205"/>
      <c r="V181" s="205"/>
      <c r="W181" s="205"/>
      <c r="Z181" s="204"/>
      <c r="AB181" s="204"/>
      <c r="AC181" s="204"/>
      <c r="AD181" s="204"/>
      <c r="AH181" s="637"/>
      <c r="AI181" s="61"/>
      <c r="AJ181" s="61"/>
      <c r="AK181" s="61"/>
      <c r="AL181" s="61"/>
      <c r="AM181" s="61"/>
      <c r="AN181" s="61"/>
      <c r="AO181" s="61"/>
    </row>
    <row r="182" spans="3:41" x14ac:dyDescent="0.25">
      <c r="C182" s="206"/>
      <c r="D182" s="24"/>
      <c r="E182" s="24"/>
      <c r="F182" s="24"/>
      <c r="G182" s="206"/>
      <c r="H182" s="24"/>
      <c r="I182" s="24"/>
      <c r="J182" s="24"/>
      <c r="K182" s="206"/>
      <c r="L182" s="24"/>
      <c r="M182" s="24"/>
      <c r="N182" s="24"/>
      <c r="O182" s="24"/>
      <c r="P182" s="204"/>
      <c r="Q182" s="204"/>
      <c r="R182" s="204"/>
      <c r="S182" s="205"/>
      <c r="T182" s="205"/>
      <c r="U182" s="205"/>
      <c r="V182" s="205"/>
      <c r="W182" s="205"/>
      <c r="Z182" s="204"/>
      <c r="AB182" s="204"/>
      <c r="AC182" s="204"/>
      <c r="AD182" s="204"/>
      <c r="AH182" s="637"/>
      <c r="AI182" s="61"/>
      <c r="AJ182" s="61"/>
      <c r="AK182" s="61"/>
      <c r="AL182" s="61"/>
      <c r="AM182" s="61"/>
      <c r="AN182" s="61"/>
      <c r="AO182" s="61"/>
    </row>
    <row r="183" spans="3:41" x14ac:dyDescent="0.25">
      <c r="C183" s="206"/>
      <c r="D183" s="24"/>
      <c r="E183" s="24"/>
      <c r="F183" s="24"/>
      <c r="G183" s="206"/>
      <c r="H183" s="24"/>
      <c r="I183" s="24"/>
      <c r="J183" s="24"/>
      <c r="K183" s="206"/>
      <c r="L183" s="24"/>
      <c r="M183" s="24"/>
      <c r="N183" s="24"/>
      <c r="O183" s="24"/>
      <c r="P183" s="204"/>
      <c r="Q183" s="204"/>
      <c r="R183" s="204"/>
      <c r="S183" s="205"/>
      <c r="T183" s="205"/>
      <c r="U183" s="205"/>
      <c r="V183" s="205"/>
      <c r="W183" s="205"/>
      <c r="Z183" s="204"/>
      <c r="AB183" s="204"/>
      <c r="AC183" s="204"/>
      <c r="AD183" s="204"/>
      <c r="AH183" s="637"/>
      <c r="AI183" s="61"/>
      <c r="AJ183" s="61"/>
      <c r="AK183" s="61"/>
      <c r="AL183" s="61"/>
      <c r="AM183" s="61"/>
      <c r="AN183" s="61"/>
      <c r="AO183" s="61"/>
    </row>
    <row r="184" spans="3:41" x14ac:dyDescent="0.25">
      <c r="C184" s="206"/>
      <c r="D184" s="24"/>
      <c r="E184" s="24"/>
      <c r="F184" s="24"/>
      <c r="G184" s="206"/>
      <c r="H184" s="24"/>
      <c r="I184" s="24"/>
      <c r="J184" s="24"/>
      <c r="K184" s="206"/>
      <c r="L184" s="24"/>
      <c r="M184" s="24"/>
      <c r="N184" s="24"/>
      <c r="O184" s="24"/>
      <c r="P184" s="204"/>
      <c r="Q184" s="204"/>
      <c r="R184" s="204"/>
      <c r="S184" s="205"/>
      <c r="T184" s="205"/>
      <c r="U184" s="205"/>
      <c r="V184" s="205"/>
      <c r="W184" s="205"/>
      <c r="Z184" s="204"/>
      <c r="AB184" s="204"/>
      <c r="AC184" s="204"/>
      <c r="AD184" s="204"/>
      <c r="AH184" s="637"/>
      <c r="AI184" s="61"/>
      <c r="AJ184" s="61"/>
      <c r="AK184" s="61"/>
      <c r="AL184" s="61"/>
      <c r="AM184" s="61"/>
      <c r="AN184" s="61"/>
      <c r="AO184" s="61"/>
    </row>
    <row r="185" spans="3:41" x14ac:dyDescent="0.25">
      <c r="C185" s="206"/>
      <c r="D185" s="24"/>
      <c r="E185" s="24"/>
      <c r="F185" s="24"/>
      <c r="G185" s="206"/>
      <c r="H185" s="24"/>
      <c r="I185" s="24"/>
      <c r="J185" s="24"/>
      <c r="K185" s="206"/>
      <c r="L185" s="24"/>
      <c r="M185" s="24"/>
      <c r="N185" s="24"/>
      <c r="O185" s="24"/>
      <c r="P185" s="204"/>
      <c r="Q185" s="204"/>
      <c r="R185" s="204"/>
      <c r="S185" s="205"/>
      <c r="T185" s="205"/>
      <c r="U185" s="205"/>
      <c r="V185" s="205"/>
      <c r="W185" s="205"/>
      <c r="Z185" s="204"/>
      <c r="AB185" s="204"/>
      <c r="AC185" s="204"/>
      <c r="AD185" s="204"/>
      <c r="AH185" s="637"/>
      <c r="AI185" s="61"/>
      <c r="AJ185" s="61"/>
      <c r="AK185" s="61"/>
      <c r="AL185" s="61"/>
      <c r="AM185" s="61"/>
      <c r="AN185" s="61"/>
      <c r="AO185" s="61"/>
    </row>
    <row r="186" spans="3:41" x14ac:dyDescent="0.25">
      <c r="C186" s="206"/>
      <c r="D186" s="24"/>
      <c r="E186" s="24"/>
      <c r="F186" s="24"/>
      <c r="G186" s="206"/>
      <c r="H186" s="24"/>
      <c r="I186" s="24"/>
      <c r="J186" s="24"/>
      <c r="K186" s="206"/>
      <c r="L186" s="24"/>
      <c r="M186" s="24"/>
      <c r="N186" s="24"/>
      <c r="O186" s="24"/>
      <c r="P186" s="204"/>
      <c r="Q186" s="204"/>
      <c r="R186" s="204"/>
      <c r="S186" s="205"/>
      <c r="T186" s="205"/>
      <c r="U186" s="205"/>
      <c r="V186" s="205"/>
      <c r="W186" s="205"/>
      <c r="Z186" s="204"/>
      <c r="AB186" s="204"/>
      <c r="AC186" s="204"/>
      <c r="AD186" s="204"/>
      <c r="AH186" s="637"/>
      <c r="AI186" s="61"/>
      <c r="AJ186" s="61"/>
      <c r="AK186" s="61"/>
      <c r="AL186" s="61"/>
      <c r="AM186" s="61"/>
      <c r="AN186" s="61"/>
      <c r="AO186" s="61"/>
    </row>
    <row r="187" spans="3:41" x14ac:dyDescent="0.25">
      <c r="C187" s="206"/>
      <c r="D187" s="24"/>
      <c r="E187" s="24"/>
      <c r="F187" s="24"/>
      <c r="G187" s="206"/>
      <c r="H187" s="24"/>
      <c r="I187" s="24"/>
      <c r="J187" s="24"/>
      <c r="K187" s="206"/>
      <c r="L187" s="24"/>
      <c r="M187" s="24"/>
      <c r="N187" s="24"/>
      <c r="O187" s="24"/>
      <c r="P187" s="204"/>
      <c r="Q187" s="204"/>
      <c r="R187" s="204"/>
      <c r="S187" s="205"/>
      <c r="T187" s="205"/>
      <c r="U187" s="205"/>
      <c r="V187" s="205"/>
      <c r="W187" s="205"/>
      <c r="Z187" s="204"/>
      <c r="AB187" s="204"/>
      <c r="AC187" s="204"/>
      <c r="AD187" s="204"/>
      <c r="AH187" s="637"/>
      <c r="AI187" s="61"/>
      <c r="AJ187" s="61"/>
      <c r="AK187" s="61"/>
      <c r="AL187" s="61"/>
      <c r="AM187" s="61"/>
      <c r="AN187" s="61"/>
      <c r="AO187" s="61"/>
    </row>
    <row r="188" spans="3:41" x14ac:dyDescent="0.25">
      <c r="C188" s="206"/>
      <c r="D188" s="24"/>
      <c r="E188" s="24"/>
      <c r="F188" s="24"/>
      <c r="G188" s="206"/>
      <c r="H188" s="24"/>
      <c r="I188" s="24"/>
      <c r="J188" s="24"/>
      <c r="K188" s="206"/>
      <c r="L188" s="24"/>
      <c r="M188" s="24"/>
      <c r="N188" s="24"/>
      <c r="O188" s="24"/>
      <c r="P188" s="204"/>
      <c r="Q188" s="204"/>
      <c r="R188" s="204"/>
      <c r="S188" s="205"/>
      <c r="T188" s="205"/>
      <c r="U188" s="205"/>
      <c r="V188" s="205"/>
      <c r="W188" s="205"/>
      <c r="Z188" s="204"/>
      <c r="AB188" s="204"/>
      <c r="AC188" s="204"/>
      <c r="AD188" s="204"/>
      <c r="AH188" s="637"/>
      <c r="AI188" s="61"/>
      <c r="AJ188" s="61"/>
      <c r="AK188" s="61"/>
      <c r="AL188" s="61"/>
      <c r="AM188" s="61"/>
      <c r="AN188" s="61"/>
      <c r="AO188" s="61"/>
    </row>
    <row r="189" spans="3:41" x14ac:dyDescent="0.25">
      <c r="C189" s="206"/>
      <c r="D189" s="24"/>
      <c r="E189" s="24"/>
      <c r="F189" s="24"/>
      <c r="G189" s="206"/>
      <c r="H189" s="24"/>
      <c r="I189" s="24"/>
      <c r="J189" s="24"/>
      <c r="K189" s="206"/>
      <c r="L189" s="24"/>
      <c r="M189" s="24"/>
      <c r="N189" s="24"/>
      <c r="O189" s="24"/>
      <c r="P189" s="204"/>
      <c r="Q189" s="204"/>
      <c r="R189" s="204"/>
      <c r="S189" s="205"/>
      <c r="T189" s="205"/>
      <c r="U189" s="205"/>
      <c r="V189" s="205"/>
      <c r="W189" s="205"/>
      <c r="Z189" s="204"/>
      <c r="AB189" s="204"/>
      <c r="AC189" s="204"/>
      <c r="AD189" s="204"/>
      <c r="AH189" s="637"/>
      <c r="AI189" s="61"/>
      <c r="AJ189" s="61"/>
      <c r="AK189" s="61"/>
      <c r="AL189" s="61"/>
      <c r="AM189" s="61"/>
      <c r="AN189" s="61"/>
      <c r="AO189" s="61"/>
    </row>
    <row r="190" spans="3:41" x14ac:dyDescent="0.25">
      <c r="C190" s="206"/>
      <c r="D190" s="24"/>
      <c r="E190" s="24"/>
      <c r="F190" s="24"/>
      <c r="G190" s="206"/>
      <c r="H190" s="24"/>
      <c r="I190" s="24"/>
      <c r="J190" s="24"/>
      <c r="K190" s="206"/>
      <c r="L190" s="24"/>
      <c r="M190" s="24"/>
      <c r="N190" s="24"/>
      <c r="O190" s="24"/>
      <c r="P190" s="204"/>
      <c r="Q190" s="204"/>
      <c r="R190" s="204"/>
      <c r="S190" s="205"/>
      <c r="T190" s="205"/>
      <c r="U190" s="205"/>
      <c r="V190" s="205"/>
      <c r="W190" s="205"/>
      <c r="Z190" s="204"/>
      <c r="AB190" s="204"/>
      <c r="AC190" s="204"/>
      <c r="AD190" s="204"/>
      <c r="AH190" s="637"/>
      <c r="AI190" s="61"/>
      <c r="AJ190" s="61"/>
      <c r="AK190" s="61"/>
      <c r="AL190" s="61"/>
      <c r="AM190" s="61"/>
      <c r="AN190" s="61"/>
      <c r="AO190" s="61"/>
    </row>
    <row r="191" spans="3:41" x14ac:dyDescent="0.25">
      <c r="C191" s="206"/>
      <c r="D191" s="24"/>
      <c r="E191" s="24"/>
      <c r="F191" s="24"/>
      <c r="G191" s="206"/>
      <c r="H191" s="24"/>
      <c r="I191" s="24"/>
      <c r="J191" s="24"/>
      <c r="K191" s="206"/>
      <c r="L191" s="24"/>
      <c r="M191" s="24"/>
      <c r="N191" s="24"/>
      <c r="O191" s="24"/>
      <c r="P191" s="204"/>
      <c r="Q191" s="204"/>
      <c r="R191" s="204"/>
      <c r="S191" s="205"/>
      <c r="T191" s="205"/>
      <c r="U191" s="205"/>
      <c r="V191" s="205"/>
      <c r="W191" s="205"/>
      <c r="Z191" s="204"/>
      <c r="AB191" s="204"/>
      <c r="AC191" s="204"/>
      <c r="AD191" s="204"/>
      <c r="AH191" s="637"/>
      <c r="AI191" s="61"/>
      <c r="AJ191" s="61"/>
      <c r="AK191" s="61"/>
      <c r="AL191" s="61"/>
      <c r="AM191" s="61"/>
      <c r="AN191" s="61"/>
      <c r="AO191" s="61"/>
    </row>
    <row r="192" spans="3:41" x14ac:dyDescent="0.25">
      <c r="C192" s="206"/>
      <c r="D192" s="24"/>
      <c r="E192" s="24"/>
      <c r="F192" s="24"/>
      <c r="G192" s="206"/>
      <c r="H192" s="24"/>
      <c r="I192" s="24"/>
      <c r="J192" s="24"/>
      <c r="K192" s="206"/>
      <c r="L192" s="24"/>
      <c r="M192" s="24"/>
      <c r="N192" s="24"/>
      <c r="O192" s="24"/>
      <c r="P192" s="204"/>
      <c r="Q192" s="204"/>
      <c r="R192" s="204"/>
      <c r="S192" s="205"/>
      <c r="T192" s="205"/>
      <c r="U192" s="205"/>
      <c r="V192" s="205"/>
      <c r="W192" s="205"/>
      <c r="Z192" s="204"/>
      <c r="AB192" s="204"/>
      <c r="AC192" s="204"/>
      <c r="AD192" s="204"/>
      <c r="AH192" s="637"/>
      <c r="AI192" s="61"/>
      <c r="AJ192" s="61"/>
      <c r="AK192" s="61"/>
      <c r="AL192" s="61"/>
      <c r="AM192" s="61"/>
      <c r="AN192" s="61"/>
      <c r="AO192" s="61"/>
    </row>
    <row r="193" spans="3:41" x14ac:dyDescent="0.25">
      <c r="C193" s="206"/>
      <c r="D193" s="24"/>
      <c r="E193" s="24"/>
      <c r="F193" s="24"/>
      <c r="G193" s="206"/>
      <c r="H193" s="24"/>
      <c r="I193" s="24"/>
      <c r="J193" s="24"/>
      <c r="K193" s="206"/>
      <c r="L193" s="24"/>
      <c r="M193" s="24"/>
      <c r="N193" s="24"/>
      <c r="O193" s="24"/>
      <c r="P193" s="204"/>
      <c r="Q193" s="204"/>
      <c r="R193" s="204"/>
      <c r="S193" s="205"/>
      <c r="T193" s="205"/>
      <c r="U193" s="205"/>
      <c r="V193" s="205"/>
      <c r="W193" s="205"/>
      <c r="Z193" s="204"/>
      <c r="AB193" s="204"/>
      <c r="AC193" s="204"/>
      <c r="AD193" s="204"/>
      <c r="AH193" s="637"/>
      <c r="AI193" s="61"/>
      <c r="AJ193" s="61"/>
      <c r="AK193" s="61"/>
      <c r="AL193" s="61"/>
      <c r="AM193" s="61"/>
      <c r="AN193" s="61"/>
      <c r="AO193" s="61"/>
    </row>
    <row r="194" spans="3:41" x14ac:dyDescent="0.25">
      <c r="C194" s="206"/>
      <c r="D194" s="24"/>
      <c r="E194" s="24"/>
      <c r="F194" s="24"/>
      <c r="G194" s="206"/>
      <c r="H194" s="24"/>
      <c r="I194" s="24"/>
      <c r="J194" s="24"/>
      <c r="K194" s="206"/>
      <c r="L194" s="24"/>
      <c r="M194" s="24"/>
      <c r="N194" s="24"/>
      <c r="O194" s="24"/>
      <c r="P194" s="204"/>
      <c r="Q194" s="204"/>
      <c r="R194" s="204"/>
      <c r="S194" s="205"/>
      <c r="T194" s="205"/>
      <c r="U194" s="205"/>
      <c r="V194" s="205"/>
      <c r="W194" s="205"/>
      <c r="Z194" s="204"/>
      <c r="AB194" s="204"/>
      <c r="AC194" s="204"/>
      <c r="AD194" s="204"/>
      <c r="AH194" s="637"/>
      <c r="AI194" s="61"/>
      <c r="AJ194" s="61"/>
      <c r="AK194" s="61"/>
      <c r="AL194" s="61"/>
      <c r="AM194" s="61"/>
      <c r="AN194" s="61"/>
      <c r="AO194" s="61"/>
    </row>
    <row r="195" spans="3:41" x14ac:dyDescent="0.25">
      <c r="C195" s="206"/>
      <c r="D195" s="24"/>
      <c r="E195" s="24"/>
      <c r="F195" s="24"/>
      <c r="G195" s="206"/>
      <c r="H195" s="24"/>
      <c r="I195" s="24"/>
      <c r="J195" s="24"/>
      <c r="K195" s="206"/>
      <c r="L195" s="24"/>
      <c r="M195" s="24"/>
      <c r="N195" s="24"/>
      <c r="O195" s="24"/>
      <c r="P195" s="204"/>
      <c r="Q195" s="204"/>
      <c r="R195" s="204"/>
      <c r="S195" s="205"/>
      <c r="T195" s="205"/>
      <c r="U195" s="205"/>
      <c r="V195" s="205"/>
      <c r="W195" s="205"/>
      <c r="Z195" s="204"/>
      <c r="AB195" s="204"/>
      <c r="AC195" s="204"/>
      <c r="AD195" s="204"/>
      <c r="AH195" s="637"/>
      <c r="AI195" s="61"/>
      <c r="AJ195" s="61"/>
      <c r="AK195" s="61"/>
      <c r="AL195" s="61"/>
      <c r="AM195" s="61"/>
      <c r="AN195" s="61"/>
      <c r="AO195" s="61"/>
    </row>
    <row r="196" spans="3:41" x14ac:dyDescent="0.25">
      <c r="C196" s="206"/>
      <c r="D196" s="24"/>
      <c r="E196" s="24"/>
      <c r="F196" s="24"/>
      <c r="G196" s="206"/>
      <c r="H196" s="24"/>
      <c r="I196" s="24"/>
      <c r="J196" s="24"/>
      <c r="K196" s="206"/>
      <c r="L196" s="24"/>
      <c r="M196" s="24"/>
      <c r="N196" s="24"/>
      <c r="O196" s="24"/>
      <c r="P196" s="204"/>
      <c r="Q196" s="204"/>
      <c r="R196" s="204"/>
      <c r="S196" s="205"/>
      <c r="T196" s="205"/>
      <c r="U196" s="205"/>
      <c r="V196" s="205"/>
      <c r="W196" s="205"/>
      <c r="Z196" s="204"/>
      <c r="AB196" s="204"/>
      <c r="AC196" s="204"/>
      <c r="AD196" s="204"/>
      <c r="AH196" s="637"/>
      <c r="AI196" s="61"/>
      <c r="AJ196" s="61"/>
      <c r="AK196" s="61"/>
      <c r="AL196" s="61"/>
      <c r="AM196" s="61"/>
      <c r="AN196" s="61"/>
      <c r="AO196" s="61"/>
    </row>
    <row r="197" spans="3:41" x14ac:dyDescent="0.25">
      <c r="C197" s="206"/>
      <c r="D197" s="24"/>
      <c r="E197" s="24"/>
      <c r="F197" s="24"/>
      <c r="G197" s="206"/>
      <c r="H197" s="24"/>
      <c r="I197" s="24"/>
      <c r="J197" s="24"/>
      <c r="K197" s="206"/>
      <c r="L197" s="24"/>
      <c r="M197" s="24"/>
      <c r="N197" s="24"/>
      <c r="O197" s="24"/>
      <c r="P197" s="204"/>
      <c r="Q197" s="204"/>
      <c r="R197" s="204"/>
      <c r="S197" s="205"/>
      <c r="T197" s="205"/>
      <c r="U197" s="205"/>
      <c r="V197" s="205"/>
      <c r="W197" s="205"/>
      <c r="Z197" s="204"/>
      <c r="AB197" s="204"/>
      <c r="AC197" s="204"/>
      <c r="AD197" s="204"/>
      <c r="AH197" s="637"/>
      <c r="AI197" s="61"/>
      <c r="AJ197" s="61"/>
      <c r="AK197" s="61"/>
      <c r="AL197" s="61"/>
      <c r="AM197" s="61"/>
      <c r="AN197" s="61"/>
      <c r="AO197" s="61"/>
    </row>
    <row r="198" spans="3:41" x14ac:dyDescent="0.25">
      <c r="C198" s="206"/>
      <c r="D198" s="24"/>
      <c r="E198" s="24"/>
      <c r="F198" s="24"/>
      <c r="G198" s="206"/>
      <c r="H198" s="24"/>
      <c r="I198" s="24"/>
      <c r="J198" s="24"/>
      <c r="K198" s="206"/>
      <c r="L198" s="24"/>
      <c r="M198" s="24"/>
      <c r="N198" s="24"/>
      <c r="O198" s="24"/>
      <c r="P198" s="204"/>
      <c r="Q198" s="204"/>
      <c r="R198" s="204"/>
      <c r="S198" s="205"/>
      <c r="T198" s="205"/>
      <c r="U198" s="205"/>
      <c r="V198" s="205"/>
      <c r="W198" s="205"/>
      <c r="Z198" s="204"/>
      <c r="AB198" s="204"/>
      <c r="AC198" s="204"/>
      <c r="AD198" s="204"/>
      <c r="AH198" s="637"/>
      <c r="AI198" s="61"/>
      <c r="AJ198" s="61"/>
      <c r="AK198" s="61"/>
      <c r="AL198" s="61"/>
      <c r="AM198" s="61"/>
      <c r="AN198" s="61"/>
      <c r="AO198" s="61"/>
    </row>
    <row r="199" spans="3:41" x14ac:dyDescent="0.25">
      <c r="C199" s="206"/>
      <c r="D199" s="24"/>
      <c r="E199" s="24"/>
      <c r="F199" s="24"/>
      <c r="G199" s="206"/>
      <c r="H199" s="24"/>
      <c r="I199" s="24"/>
      <c r="J199" s="24"/>
      <c r="K199" s="206"/>
      <c r="L199" s="24"/>
      <c r="M199" s="24"/>
      <c r="N199" s="24"/>
      <c r="O199" s="24"/>
      <c r="P199" s="204"/>
      <c r="Q199" s="204"/>
      <c r="R199" s="204"/>
      <c r="S199" s="205"/>
      <c r="T199" s="205"/>
      <c r="U199" s="205"/>
      <c r="V199" s="205"/>
      <c r="W199" s="205"/>
      <c r="Z199" s="204"/>
      <c r="AB199" s="204"/>
      <c r="AC199" s="204"/>
      <c r="AD199" s="204"/>
      <c r="AH199" s="637"/>
      <c r="AI199" s="61"/>
      <c r="AJ199" s="61"/>
      <c r="AK199" s="61"/>
      <c r="AL199" s="61"/>
      <c r="AM199" s="61"/>
      <c r="AN199" s="61"/>
      <c r="AO199" s="61"/>
    </row>
    <row r="200" spans="3:41" x14ac:dyDescent="0.25">
      <c r="C200" s="206"/>
      <c r="D200" s="24"/>
      <c r="E200" s="24"/>
      <c r="F200" s="24"/>
      <c r="G200" s="206"/>
      <c r="H200" s="24"/>
      <c r="I200" s="24"/>
      <c r="J200" s="24"/>
      <c r="K200" s="206"/>
      <c r="L200" s="24"/>
      <c r="M200" s="24"/>
      <c r="N200" s="24"/>
      <c r="O200" s="24"/>
      <c r="P200" s="204"/>
      <c r="Q200" s="204"/>
      <c r="R200" s="204"/>
      <c r="S200" s="205"/>
      <c r="T200" s="205"/>
      <c r="U200" s="205"/>
      <c r="V200" s="205"/>
      <c r="W200" s="205"/>
      <c r="Z200" s="204"/>
      <c r="AB200" s="204"/>
      <c r="AC200" s="204"/>
      <c r="AD200" s="204"/>
      <c r="AH200" s="637"/>
      <c r="AI200" s="61"/>
      <c r="AJ200" s="61"/>
      <c r="AK200" s="61"/>
      <c r="AL200" s="61"/>
      <c r="AM200" s="61"/>
      <c r="AN200" s="61"/>
      <c r="AO200" s="61"/>
    </row>
    <row r="201" spans="3:41" x14ac:dyDescent="0.25">
      <c r="C201" s="206"/>
      <c r="D201" s="24"/>
      <c r="E201" s="24"/>
      <c r="F201" s="24"/>
      <c r="G201" s="206"/>
      <c r="H201" s="24"/>
      <c r="I201" s="24"/>
      <c r="J201" s="24"/>
      <c r="K201" s="206"/>
      <c r="L201" s="24"/>
      <c r="M201" s="24"/>
      <c r="N201" s="24"/>
      <c r="O201" s="24"/>
      <c r="P201" s="204"/>
      <c r="Q201" s="204"/>
      <c r="R201" s="204"/>
      <c r="S201" s="205"/>
      <c r="T201" s="205"/>
      <c r="U201" s="205"/>
      <c r="V201" s="205"/>
      <c r="W201" s="205"/>
      <c r="Z201" s="204"/>
      <c r="AB201" s="204"/>
      <c r="AC201" s="204"/>
      <c r="AD201" s="204"/>
      <c r="AH201" s="637"/>
      <c r="AI201" s="61"/>
      <c r="AJ201" s="61"/>
      <c r="AK201" s="61"/>
      <c r="AL201" s="61"/>
      <c r="AM201" s="61"/>
      <c r="AN201" s="61"/>
      <c r="AO201" s="61"/>
    </row>
    <row r="202" spans="3:41" x14ac:dyDescent="0.25">
      <c r="C202" s="90"/>
      <c r="F202" s="78"/>
      <c r="G202" s="90"/>
      <c r="J202" s="78"/>
      <c r="K202" s="90"/>
      <c r="N202" s="78"/>
      <c r="O202" s="24"/>
      <c r="P202" s="204"/>
      <c r="Q202" s="204"/>
      <c r="R202" s="204"/>
      <c r="S202" s="205"/>
      <c r="T202" s="205"/>
      <c r="U202" s="205"/>
      <c r="V202" s="205"/>
      <c r="W202" s="205"/>
      <c r="Z202" s="204"/>
      <c r="AB202" s="204"/>
      <c r="AC202" s="204"/>
      <c r="AD202" s="204"/>
      <c r="AH202" s="637"/>
      <c r="AI202" s="61"/>
      <c r="AJ202" s="61"/>
      <c r="AK202" s="61"/>
      <c r="AL202" s="61"/>
      <c r="AM202" s="61"/>
      <c r="AN202" s="61"/>
      <c r="AO202" s="61"/>
    </row>
    <row r="203" spans="3:41" x14ac:dyDescent="0.25">
      <c r="C203" s="90"/>
      <c r="F203" s="78"/>
      <c r="G203" s="90"/>
      <c r="J203" s="78"/>
      <c r="K203" s="90"/>
      <c r="N203" s="78"/>
      <c r="O203" s="24"/>
      <c r="P203" s="204"/>
      <c r="Q203" s="204"/>
      <c r="R203" s="204"/>
      <c r="S203" s="205"/>
      <c r="T203" s="205"/>
      <c r="U203" s="205"/>
      <c r="V203" s="205"/>
      <c r="W203" s="205"/>
      <c r="Z203" s="204"/>
      <c r="AB203" s="204"/>
      <c r="AC203" s="204"/>
      <c r="AD203" s="204"/>
      <c r="AH203" s="637"/>
      <c r="AI203" s="61"/>
      <c r="AJ203" s="61"/>
      <c r="AK203" s="61"/>
      <c r="AL203" s="61"/>
      <c r="AM203" s="61"/>
      <c r="AN203" s="61"/>
      <c r="AO203" s="61"/>
    </row>
    <row r="204" spans="3:41" x14ac:dyDescent="0.25">
      <c r="C204" s="90"/>
      <c r="F204" s="78"/>
      <c r="G204" s="90"/>
      <c r="J204" s="78"/>
      <c r="K204" s="90"/>
      <c r="N204" s="78"/>
      <c r="O204" s="24"/>
      <c r="P204" s="204"/>
      <c r="Q204" s="204"/>
      <c r="R204" s="204"/>
      <c r="S204" s="205"/>
      <c r="T204" s="205"/>
      <c r="U204" s="205"/>
      <c r="V204" s="205"/>
      <c r="W204" s="205"/>
      <c r="Z204" s="204"/>
      <c r="AB204" s="204"/>
      <c r="AC204" s="204"/>
      <c r="AD204" s="204"/>
      <c r="AH204" s="637"/>
      <c r="AI204" s="61"/>
      <c r="AJ204" s="61"/>
      <c r="AK204" s="61"/>
      <c r="AL204" s="61"/>
      <c r="AM204" s="61"/>
      <c r="AN204" s="61"/>
      <c r="AO204" s="61"/>
    </row>
    <row r="205" spans="3:41" x14ac:dyDescent="0.25">
      <c r="C205" s="90"/>
      <c r="F205" s="78"/>
      <c r="G205" s="90"/>
      <c r="J205" s="78"/>
      <c r="K205" s="90"/>
      <c r="N205" s="78"/>
      <c r="O205" s="24"/>
      <c r="P205" s="204"/>
      <c r="Q205" s="204"/>
      <c r="R205" s="204"/>
      <c r="S205" s="205"/>
      <c r="T205" s="205"/>
      <c r="U205" s="205"/>
      <c r="V205" s="205"/>
      <c r="W205" s="205"/>
      <c r="Z205" s="204"/>
      <c r="AB205" s="204"/>
      <c r="AC205" s="204"/>
      <c r="AD205" s="204"/>
      <c r="AH205" s="637"/>
      <c r="AI205" s="61"/>
      <c r="AJ205" s="61"/>
      <c r="AK205" s="61"/>
      <c r="AL205" s="61"/>
      <c r="AM205" s="61"/>
      <c r="AN205" s="61"/>
      <c r="AO205" s="61"/>
    </row>
    <row r="206" spans="3:41" x14ac:dyDescent="0.25">
      <c r="C206" s="90"/>
      <c r="F206" s="78"/>
      <c r="G206" s="90"/>
      <c r="J206" s="78"/>
      <c r="K206" s="90"/>
      <c r="N206" s="78"/>
      <c r="O206" s="24"/>
      <c r="P206" s="204"/>
      <c r="Q206" s="204"/>
      <c r="R206" s="204"/>
      <c r="S206" s="205"/>
      <c r="T206" s="205"/>
      <c r="U206" s="205"/>
      <c r="V206" s="205"/>
      <c r="W206" s="205"/>
      <c r="Z206" s="204"/>
      <c r="AB206" s="204"/>
      <c r="AC206" s="204"/>
      <c r="AD206" s="204"/>
      <c r="AH206" s="637"/>
      <c r="AI206" s="61"/>
      <c r="AJ206" s="61"/>
      <c r="AK206" s="61"/>
      <c r="AL206" s="61"/>
      <c r="AM206" s="61"/>
      <c r="AN206" s="61"/>
      <c r="AO206" s="61"/>
    </row>
    <row r="207" spans="3:41" x14ac:dyDescent="0.25">
      <c r="C207" s="90"/>
      <c r="F207" s="78"/>
      <c r="G207" s="90"/>
      <c r="J207" s="78"/>
      <c r="K207" s="90"/>
      <c r="N207" s="78"/>
      <c r="O207" s="24"/>
      <c r="P207" s="204"/>
      <c r="Q207" s="204"/>
      <c r="R207" s="204"/>
      <c r="S207" s="205"/>
      <c r="T207" s="205"/>
      <c r="U207" s="205"/>
      <c r="V207" s="205"/>
      <c r="W207" s="205"/>
      <c r="Z207" s="204"/>
      <c r="AB207" s="204"/>
      <c r="AC207" s="204"/>
      <c r="AD207" s="204"/>
      <c r="AH207" s="637"/>
      <c r="AI207" s="61"/>
      <c r="AJ207" s="61"/>
      <c r="AK207" s="61"/>
      <c r="AL207" s="61"/>
      <c r="AM207" s="61"/>
      <c r="AN207" s="61"/>
      <c r="AO207" s="61"/>
    </row>
    <row r="208" spans="3:41" x14ac:dyDescent="0.25">
      <c r="C208" s="90"/>
      <c r="F208" s="78"/>
      <c r="G208" s="90"/>
      <c r="J208" s="78"/>
      <c r="K208" s="90"/>
      <c r="N208" s="78"/>
      <c r="O208" s="24"/>
      <c r="P208" s="204"/>
      <c r="Q208" s="204"/>
      <c r="R208" s="204"/>
      <c r="S208" s="205"/>
      <c r="T208" s="205"/>
      <c r="U208" s="205"/>
      <c r="V208" s="205"/>
      <c r="W208" s="205"/>
      <c r="Z208" s="204"/>
      <c r="AB208" s="204"/>
      <c r="AC208" s="204"/>
      <c r="AD208" s="204"/>
      <c r="AH208" s="637"/>
      <c r="AI208" s="61"/>
      <c r="AJ208" s="61"/>
      <c r="AK208" s="61"/>
      <c r="AL208" s="61"/>
      <c r="AM208" s="61"/>
      <c r="AN208" s="61"/>
      <c r="AO208" s="61"/>
    </row>
    <row r="209" spans="3:41" x14ac:dyDescent="0.25">
      <c r="C209" s="90"/>
      <c r="F209" s="78"/>
      <c r="G209" s="90"/>
      <c r="J209" s="78"/>
      <c r="K209" s="90"/>
      <c r="N209" s="78"/>
      <c r="O209" s="24"/>
      <c r="P209" s="204"/>
      <c r="Q209" s="204"/>
      <c r="R209" s="204"/>
      <c r="S209" s="205"/>
      <c r="T209" s="205"/>
      <c r="U209" s="205"/>
      <c r="V209" s="205"/>
      <c r="W209" s="205"/>
      <c r="Z209" s="204"/>
      <c r="AB209" s="204"/>
      <c r="AC209" s="204"/>
      <c r="AD209" s="204"/>
      <c r="AH209" s="637"/>
      <c r="AI209" s="61"/>
      <c r="AJ209" s="61"/>
      <c r="AK209" s="61"/>
      <c r="AL209" s="61"/>
      <c r="AM209" s="61"/>
      <c r="AN209" s="61"/>
      <c r="AO209" s="61"/>
    </row>
    <row r="210" spans="3:41" x14ac:dyDescent="0.25">
      <c r="C210" s="90"/>
      <c r="F210" s="78"/>
      <c r="G210" s="90"/>
      <c r="J210" s="78"/>
      <c r="K210" s="90"/>
      <c r="N210" s="78"/>
      <c r="O210" s="24"/>
      <c r="P210" s="204"/>
      <c r="Q210" s="204"/>
      <c r="R210" s="204"/>
      <c r="S210" s="205"/>
      <c r="T210" s="205"/>
      <c r="U210" s="205"/>
      <c r="V210" s="205"/>
      <c r="W210" s="205"/>
      <c r="Z210" s="204"/>
      <c r="AB210" s="204"/>
      <c r="AC210" s="204"/>
      <c r="AD210" s="204"/>
      <c r="AH210" s="637"/>
      <c r="AI210" s="61"/>
      <c r="AJ210" s="61"/>
      <c r="AK210" s="61"/>
      <c r="AL210" s="61"/>
      <c r="AM210" s="61"/>
      <c r="AN210" s="61"/>
      <c r="AO210" s="61"/>
    </row>
    <row r="211" spans="3:41" x14ac:dyDescent="0.25">
      <c r="C211" s="90"/>
      <c r="F211" s="78"/>
      <c r="G211" s="90"/>
      <c r="J211" s="78"/>
      <c r="K211" s="90"/>
      <c r="N211" s="78"/>
      <c r="O211" s="24"/>
      <c r="P211" s="204"/>
      <c r="Q211" s="204"/>
      <c r="R211" s="204"/>
      <c r="S211" s="205"/>
      <c r="T211" s="205"/>
      <c r="U211" s="205"/>
      <c r="V211" s="205"/>
      <c r="W211" s="205"/>
      <c r="Z211" s="204"/>
      <c r="AB211" s="204"/>
      <c r="AC211" s="204"/>
      <c r="AD211" s="204"/>
      <c r="AH211" s="637"/>
      <c r="AI211" s="61"/>
      <c r="AJ211" s="61"/>
      <c r="AK211" s="61"/>
      <c r="AL211" s="61"/>
      <c r="AM211" s="61"/>
      <c r="AN211" s="61"/>
      <c r="AO211" s="61"/>
    </row>
    <row r="212" spans="3:41" x14ac:dyDescent="0.25">
      <c r="C212" s="90"/>
      <c r="F212" s="78"/>
      <c r="G212" s="90"/>
      <c r="J212" s="78"/>
      <c r="K212" s="90"/>
      <c r="N212" s="78"/>
      <c r="O212" s="24"/>
      <c r="P212" s="204"/>
      <c r="Q212" s="204"/>
      <c r="R212" s="204"/>
      <c r="S212" s="205"/>
      <c r="T212" s="205"/>
      <c r="U212" s="205"/>
      <c r="V212" s="205"/>
      <c r="W212" s="205"/>
      <c r="Z212" s="204"/>
      <c r="AB212" s="204"/>
      <c r="AC212" s="204"/>
      <c r="AD212" s="204"/>
      <c r="AH212" s="637"/>
      <c r="AI212" s="61"/>
      <c r="AJ212" s="61"/>
      <c r="AK212" s="61"/>
      <c r="AL212" s="61"/>
      <c r="AM212" s="61"/>
      <c r="AN212" s="61"/>
      <c r="AO212" s="61"/>
    </row>
    <row r="213" spans="3:41" x14ac:dyDescent="0.25">
      <c r="C213" s="90"/>
      <c r="F213" s="78"/>
      <c r="G213" s="90"/>
      <c r="J213" s="78"/>
      <c r="K213" s="90"/>
      <c r="N213" s="78"/>
      <c r="O213" s="24"/>
      <c r="P213" s="204"/>
      <c r="Q213" s="204"/>
      <c r="R213" s="204"/>
      <c r="S213" s="205"/>
      <c r="T213" s="205"/>
      <c r="U213" s="205"/>
      <c r="V213" s="205"/>
      <c r="W213" s="205"/>
      <c r="Z213" s="204"/>
      <c r="AB213" s="204"/>
      <c r="AC213" s="204"/>
      <c r="AD213" s="204"/>
      <c r="AH213" s="637"/>
      <c r="AI213" s="61"/>
      <c r="AJ213" s="61"/>
      <c r="AK213" s="61"/>
      <c r="AL213" s="61"/>
      <c r="AM213" s="61"/>
      <c r="AN213" s="61"/>
      <c r="AO213" s="61"/>
    </row>
    <row r="214" spans="3:41" x14ac:dyDescent="0.25">
      <c r="C214" s="90"/>
      <c r="F214" s="78"/>
      <c r="G214" s="90"/>
      <c r="J214" s="78"/>
      <c r="K214" s="90"/>
      <c r="N214" s="78"/>
      <c r="O214" s="24"/>
      <c r="P214" s="204"/>
      <c r="Q214" s="204"/>
      <c r="R214" s="204"/>
      <c r="S214" s="205"/>
      <c r="T214" s="205"/>
      <c r="U214" s="205"/>
      <c r="V214" s="205"/>
      <c r="W214" s="205"/>
      <c r="Z214" s="204"/>
      <c r="AB214" s="204"/>
      <c r="AC214" s="204"/>
      <c r="AD214" s="204"/>
      <c r="AH214" s="637"/>
      <c r="AI214" s="61"/>
      <c r="AJ214" s="61"/>
      <c r="AK214" s="61"/>
      <c r="AL214" s="61"/>
      <c r="AM214" s="61"/>
      <c r="AN214" s="61"/>
      <c r="AO214" s="61"/>
    </row>
    <row r="215" spans="3:41" x14ac:dyDescent="0.25">
      <c r="C215" s="90"/>
      <c r="F215" s="78"/>
      <c r="G215" s="90"/>
      <c r="J215" s="78"/>
      <c r="K215" s="90"/>
      <c r="N215" s="78"/>
      <c r="O215" s="24"/>
      <c r="P215" s="204"/>
      <c r="Q215" s="204"/>
      <c r="R215" s="204"/>
      <c r="S215" s="205"/>
      <c r="T215" s="205"/>
      <c r="U215" s="205"/>
      <c r="V215" s="205"/>
      <c r="W215" s="205"/>
      <c r="Z215" s="204"/>
      <c r="AB215" s="204"/>
      <c r="AC215" s="204"/>
      <c r="AD215" s="204"/>
      <c r="AH215" s="637"/>
      <c r="AI215" s="61"/>
      <c r="AJ215" s="61"/>
      <c r="AK215" s="61"/>
      <c r="AL215" s="61"/>
      <c r="AM215" s="61"/>
      <c r="AN215" s="61"/>
      <c r="AO215" s="61"/>
    </row>
    <row r="216" spans="3:41" x14ac:dyDescent="0.25">
      <c r="C216" s="90"/>
      <c r="F216" s="78"/>
      <c r="G216" s="90"/>
      <c r="J216" s="78"/>
      <c r="K216" s="90"/>
      <c r="N216" s="78"/>
      <c r="O216" s="24"/>
      <c r="P216" s="204"/>
      <c r="Q216" s="204"/>
      <c r="R216" s="204"/>
      <c r="S216" s="205"/>
      <c r="T216" s="205"/>
      <c r="U216" s="205"/>
      <c r="V216" s="205"/>
      <c r="W216" s="205"/>
      <c r="Z216" s="204"/>
      <c r="AB216" s="204"/>
      <c r="AC216" s="204"/>
      <c r="AD216" s="204"/>
      <c r="AH216" s="637"/>
      <c r="AI216" s="61"/>
      <c r="AJ216" s="61"/>
      <c r="AK216" s="61"/>
      <c r="AL216" s="61"/>
      <c r="AM216" s="61"/>
      <c r="AN216" s="61"/>
      <c r="AO216" s="61"/>
    </row>
    <row r="217" spans="3:41" x14ac:dyDescent="0.25">
      <c r="C217" s="90"/>
      <c r="F217" s="78"/>
      <c r="G217" s="90"/>
      <c r="J217" s="78"/>
      <c r="K217" s="90"/>
      <c r="N217" s="78"/>
      <c r="O217" s="24"/>
      <c r="P217" s="204"/>
      <c r="Q217" s="204"/>
      <c r="R217" s="204"/>
      <c r="S217" s="205"/>
      <c r="T217" s="205"/>
      <c r="U217" s="205"/>
      <c r="V217" s="205"/>
      <c r="W217" s="205"/>
      <c r="Z217" s="204"/>
      <c r="AB217" s="204"/>
      <c r="AC217" s="204"/>
      <c r="AD217" s="204"/>
      <c r="AH217" s="637"/>
      <c r="AI217" s="61"/>
      <c r="AJ217" s="61"/>
      <c r="AK217" s="61"/>
      <c r="AL217" s="61"/>
      <c r="AM217" s="61"/>
      <c r="AN217" s="61"/>
      <c r="AO217" s="61"/>
    </row>
    <row r="218" spans="3:41" x14ac:dyDescent="0.25">
      <c r="C218" s="90"/>
      <c r="F218" s="78"/>
      <c r="G218" s="90"/>
      <c r="J218" s="78"/>
      <c r="K218" s="90"/>
      <c r="N218" s="78"/>
      <c r="O218" s="24"/>
      <c r="P218" s="204"/>
      <c r="Q218" s="204"/>
      <c r="R218" s="204"/>
      <c r="S218" s="205"/>
      <c r="T218" s="205"/>
      <c r="U218" s="205"/>
      <c r="V218" s="205"/>
      <c r="W218" s="205"/>
      <c r="Z218" s="204"/>
      <c r="AB218" s="204"/>
      <c r="AC218" s="204"/>
      <c r="AD218" s="204"/>
      <c r="AH218" s="637"/>
      <c r="AI218" s="61"/>
      <c r="AJ218" s="61"/>
      <c r="AK218" s="61"/>
      <c r="AL218" s="61"/>
      <c r="AM218" s="61"/>
      <c r="AN218" s="61"/>
      <c r="AO218" s="61"/>
    </row>
    <row r="219" spans="3:41" x14ac:dyDescent="0.25">
      <c r="C219" s="90"/>
      <c r="F219" s="78"/>
      <c r="G219" s="90"/>
      <c r="J219" s="78"/>
      <c r="K219" s="90"/>
      <c r="N219" s="78"/>
      <c r="O219" s="24"/>
      <c r="P219" s="204"/>
      <c r="Q219" s="204"/>
      <c r="R219" s="204"/>
      <c r="S219" s="205"/>
      <c r="T219" s="205"/>
      <c r="U219" s="205"/>
      <c r="V219" s="205"/>
      <c r="W219" s="205"/>
      <c r="Z219" s="204"/>
      <c r="AB219" s="204"/>
      <c r="AC219" s="204"/>
      <c r="AD219" s="204"/>
      <c r="AH219" s="637"/>
      <c r="AI219" s="61"/>
      <c r="AJ219" s="61"/>
      <c r="AK219" s="61"/>
      <c r="AL219" s="61"/>
      <c r="AM219" s="61"/>
      <c r="AN219" s="61"/>
      <c r="AO219" s="61"/>
    </row>
    <row r="220" spans="3:41" x14ac:dyDescent="0.25">
      <c r="C220" s="90"/>
      <c r="F220" s="78"/>
      <c r="G220" s="90"/>
      <c r="J220" s="78"/>
      <c r="K220" s="90"/>
      <c r="N220" s="78"/>
      <c r="O220" s="24"/>
      <c r="P220" s="204"/>
      <c r="Q220" s="204"/>
      <c r="R220" s="204"/>
      <c r="S220" s="205"/>
      <c r="T220" s="205"/>
      <c r="U220" s="205"/>
      <c r="V220" s="205"/>
      <c r="W220" s="205"/>
      <c r="Z220" s="204"/>
      <c r="AB220" s="204"/>
      <c r="AC220" s="204"/>
      <c r="AD220" s="204"/>
      <c r="AH220" s="637"/>
      <c r="AI220" s="61"/>
      <c r="AJ220" s="61"/>
      <c r="AK220" s="61"/>
      <c r="AL220" s="61"/>
      <c r="AM220" s="61"/>
      <c r="AN220" s="61"/>
      <c r="AO220" s="61"/>
    </row>
    <row r="221" spans="3:41" x14ac:dyDescent="0.25">
      <c r="C221" s="90"/>
      <c r="F221" s="78"/>
      <c r="G221" s="90"/>
      <c r="J221" s="78"/>
      <c r="K221" s="90"/>
      <c r="N221" s="78"/>
      <c r="O221" s="24"/>
      <c r="P221" s="204"/>
      <c r="Q221" s="204"/>
      <c r="R221" s="204"/>
      <c r="S221" s="205"/>
      <c r="T221" s="205"/>
      <c r="U221" s="205"/>
      <c r="V221" s="205"/>
      <c r="W221" s="205"/>
      <c r="Z221" s="204"/>
      <c r="AB221" s="204"/>
      <c r="AC221" s="204"/>
      <c r="AD221" s="204"/>
      <c r="AH221" s="637"/>
      <c r="AI221" s="61"/>
      <c r="AJ221" s="61"/>
      <c r="AK221" s="61"/>
      <c r="AL221" s="61"/>
      <c r="AM221" s="61"/>
      <c r="AN221" s="61"/>
      <c r="AO221" s="61"/>
    </row>
    <row r="222" spans="3:41" x14ac:dyDescent="0.25">
      <c r="C222" s="90"/>
      <c r="F222" s="78"/>
      <c r="G222" s="90"/>
      <c r="J222" s="78"/>
      <c r="K222" s="90"/>
      <c r="N222" s="78"/>
      <c r="O222" s="24"/>
      <c r="P222" s="204"/>
      <c r="Q222" s="204"/>
      <c r="R222" s="204"/>
      <c r="S222" s="205"/>
      <c r="T222" s="205"/>
      <c r="U222" s="205"/>
      <c r="V222" s="205"/>
      <c r="W222" s="205"/>
      <c r="Z222" s="204"/>
      <c r="AB222" s="204"/>
      <c r="AC222" s="204"/>
      <c r="AD222" s="204"/>
      <c r="AH222" s="637"/>
      <c r="AI222" s="61"/>
      <c r="AJ222" s="61"/>
      <c r="AK222" s="61"/>
      <c r="AL222" s="61"/>
      <c r="AM222" s="61"/>
      <c r="AN222" s="61"/>
      <c r="AO222" s="61"/>
    </row>
    <row r="223" spans="3:41" x14ac:dyDescent="0.25">
      <c r="C223" s="90"/>
      <c r="F223" s="78"/>
      <c r="G223" s="90"/>
      <c r="J223" s="78"/>
      <c r="K223" s="90"/>
      <c r="N223" s="78"/>
      <c r="O223" s="24"/>
      <c r="P223" s="204"/>
      <c r="Q223" s="204"/>
      <c r="R223" s="204"/>
      <c r="S223" s="205"/>
      <c r="T223" s="205"/>
      <c r="U223" s="205"/>
      <c r="V223" s="205"/>
      <c r="W223" s="205"/>
      <c r="Z223" s="204"/>
      <c r="AB223" s="204"/>
      <c r="AC223" s="204"/>
      <c r="AD223" s="204"/>
      <c r="AH223" s="637"/>
      <c r="AI223" s="61"/>
      <c r="AJ223" s="61"/>
      <c r="AK223" s="61"/>
      <c r="AL223" s="61"/>
      <c r="AM223" s="61"/>
      <c r="AN223" s="61"/>
      <c r="AO223" s="61"/>
    </row>
    <row r="224" spans="3:41" x14ac:dyDescent="0.25">
      <c r="C224" s="90"/>
      <c r="F224" s="78"/>
      <c r="G224" s="90"/>
      <c r="J224" s="78"/>
      <c r="K224" s="90"/>
      <c r="N224" s="78"/>
      <c r="O224" s="24"/>
      <c r="P224" s="204"/>
      <c r="Q224" s="204"/>
      <c r="R224" s="204"/>
      <c r="S224" s="205"/>
      <c r="T224" s="205"/>
      <c r="U224" s="205"/>
      <c r="V224" s="205"/>
      <c r="W224" s="205"/>
      <c r="Z224" s="204"/>
      <c r="AB224" s="204"/>
      <c r="AC224" s="204"/>
      <c r="AD224" s="204"/>
      <c r="AH224" s="637"/>
      <c r="AI224" s="61"/>
      <c r="AJ224" s="61"/>
      <c r="AK224" s="61"/>
      <c r="AL224" s="61"/>
      <c r="AM224" s="61"/>
      <c r="AN224" s="61"/>
      <c r="AO224" s="61"/>
    </row>
    <row r="225" spans="3:41" x14ac:dyDescent="0.25">
      <c r="C225" s="90"/>
      <c r="F225" s="78"/>
      <c r="G225" s="90"/>
      <c r="J225" s="78"/>
      <c r="K225" s="90"/>
      <c r="N225" s="78"/>
      <c r="O225" s="24"/>
      <c r="P225" s="204"/>
      <c r="Q225" s="204"/>
      <c r="R225" s="204"/>
      <c r="S225" s="205"/>
      <c r="T225" s="205"/>
      <c r="U225" s="205"/>
      <c r="V225" s="205"/>
      <c r="W225" s="205"/>
      <c r="Z225" s="204"/>
      <c r="AB225" s="204"/>
      <c r="AC225" s="204"/>
      <c r="AD225" s="204"/>
      <c r="AH225" s="637"/>
      <c r="AI225" s="61"/>
      <c r="AJ225" s="61"/>
      <c r="AK225" s="61"/>
      <c r="AL225" s="61"/>
      <c r="AM225" s="61"/>
      <c r="AN225" s="61"/>
      <c r="AO225" s="61"/>
    </row>
    <row r="226" spans="3:41" x14ac:dyDescent="0.25">
      <c r="C226" s="90"/>
      <c r="F226" s="78"/>
      <c r="G226" s="90"/>
      <c r="J226" s="78"/>
      <c r="K226" s="90"/>
      <c r="N226" s="78"/>
      <c r="O226" s="24"/>
      <c r="P226" s="204"/>
      <c r="Q226" s="204"/>
      <c r="R226" s="204"/>
      <c r="S226" s="205"/>
      <c r="T226" s="205"/>
      <c r="U226" s="205"/>
      <c r="V226" s="205"/>
      <c r="W226" s="205"/>
      <c r="Z226" s="204"/>
      <c r="AB226" s="204"/>
      <c r="AC226" s="204"/>
      <c r="AD226" s="204"/>
      <c r="AH226" s="637"/>
      <c r="AI226" s="61"/>
      <c r="AJ226" s="61"/>
      <c r="AK226" s="61"/>
      <c r="AL226" s="61"/>
      <c r="AM226" s="61"/>
      <c r="AN226" s="61"/>
      <c r="AO226" s="61"/>
    </row>
    <row r="227" spans="3:41" x14ac:dyDescent="0.25">
      <c r="C227" s="90"/>
      <c r="F227" s="78"/>
      <c r="G227" s="90"/>
      <c r="J227" s="78"/>
      <c r="K227" s="90"/>
      <c r="N227" s="78"/>
      <c r="O227" s="24"/>
      <c r="P227" s="204"/>
      <c r="Q227" s="204"/>
      <c r="R227" s="204"/>
      <c r="S227" s="205"/>
      <c r="T227" s="205"/>
      <c r="U227" s="205"/>
      <c r="V227" s="205"/>
      <c r="W227" s="205"/>
      <c r="Z227" s="204"/>
      <c r="AB227" s="204"/>
      <c r="AC227" s="204"/>
      <c r="AD227" s="204"/>
      <c r="AH227" s="637"/>
      <c r="AI227" s="61"/>
      <c r="AJ227" s="61"/>
      <c r="AK227" s="61"/>
      <c r="AL227" s="61"/>
      <c r="AM227" s="61"/>
      <c r="AN227" s="61"/>
      <c r="AO227" s="61"/>
    </row>
    <row r="228" spans="3:41" x14ac:dyDescent="0.25">
      <c r="C228" s="90"/>
      <c r="F228" s="78"/>
      <c r="G228" s="90"/>
      <c r="J228" s="78"/>
      <c r="K228" s="90"/>
      <c r="N228" s="78"/>
      <c r="O228" s="24"/>
      <c r="P228" s="204"/>
      <c r="Q228" s="204"/>
      <c r="R228" s="204"/>
      <c r="S228" s="205"/>
      <c r="T228" s="205"/>
      <c r="U228" s="205"/>
      <c r="V228" s="205"/>
      <c r="W228" s="205"/>
      <c r="Z228" s="204"/>
      <c r="AB228" s="204"/>
      <c r="AC228" s="204"/>
      <c r="AD228" s="204"/>
      <c r="AH228" s="637"/>
      <c r="AI228" s="61"/>
      <c r="AJ228" s="61"/>
      <c r="AK228" s="61"/>
      <c r="AL228" s="61"/>
      <c r="AM228" s="61"/>
      <c r="AN228" s="61"/>
      <c r="AO228" s="61"/>
    </row>
    <row r="229" spans="3:41" x14ac:dyDescent="0.25">
      <c r="C229" s="90"/>
      <c r="F229" s="78"/>
      <c r="G229" s="90"/>
      <c r="J229" s="78"/>
      <c r="K229" s="90"/>
      <c r="N229" s="78"/>
      <c r="O229" s="24"/>
      <c r="P229" s="204"/>
      <c r="Q229" s="204"/>
      <c r="R229" s="204"/>
      <c r="S229" s="205"/>
      <c r="T229" s="205"/>
      <c r="U229" s="205"/>
      <c r="V229" s="205"/>
      <c r="W229" s="205"/>
      <c r="Z229" s="204"/>
      <c r="AB229" s="204"/>
      <c r="AC229" s="204"/>
      <c r="AD229" s="204"/>
      <c r="AH229" s="637"/>
      <c r="AI229" s="61"/>
      <c r="AJ229" s="61"/>
      <c r="AK229" s="61"/>
      <c r="AL229" s="61"/>
      <c r="AM229" s="61"/>
      <c r="AN229" s="61"/>
      <c r="AO229" s="61"/>
    </row>
    <row r="230" spans="3:41" x14ac:dyDescent="0.25">
      <c r="C230" s="90"/>
      <c r="F230" s="78"/>
      <c r="G230" s="90"/>
      <c r="J230" s="78"/>
      <c r="K230" s="90"/>
      <c r="N230" s="78"/>
      <c r="O230" s="24"/>
      <c r="P230" s="204"/>
      <c r="Q230" s="204"/>
      <c r="R230" s="204"/>
      <c r="S230" s="205"/>
      <c r="T230" s="205"/>
      <c r="U230" s="205"/>
      <c r="V230" s="205"/>
      <c r="W230" s="205"/>
      <c r="Z230" s="204"/>
      <c r="AB230" s="204"/>
      <c r="AC230" s="204"/>
      <c r="AD230" s="204"/>
      <c r="AH230" s="637"/>
      <c r="AI230" s="61"/>
      <c r="AJ230" s="61"/>
      <c r="AK230" s="61"/>
      <c r="AL230" s="61"/>
      <c r="AM230" s="61"/>
      <c r="AN230" s="61"/>
      <c r="AO230" s="61"/>
    </row>
    <row r="231" spans="3:41" x14ac:dyDescent="0.25">
      <c r="C231" s="90"/>
      <c r="F231" s="78"/>
      <c r="G231" s="90"/>
      <c r="J231" s="78"/>
      <c r="K231" s="90"/>
      <c r="N231" s="78"/>
      <c r="O231" s="24"/>
      <c r="P231" s="204"/>
      <c r="Q231" s="204"/>
      <c r="R231" s="204"/>
      <c r="S231" s="205"/>
      <c r="T231" s="205"/>
      <c r="U231" s="205"/>
      <c r="V231" s="205"/>
      <c r="W231" s="205"/>
      <c r="Z231" s="204"/>
      <c r="AB231" s="204"/>
      <c r="AC231" s="204"/>
      <c r="AD231" s="204"/>
      <c r="AH231" s="637"/>
      <c r="AI231" s="61"/>
      <c r="AJ231" s="61"/>
      <c r="AK231" s="61"/>
      <c r="AL231" s="61"/>
      <c r="AM231" s="61"/>
      <c r="AN231" s="61"/>
      <c r="AO231" s="61"/>
    </row>
    <row r="232" spans="3:41" x14ac:dyDescent="0.25">
      <c r="C232" s="90"/>
      <c r="F232" s="78"/>
      <c r="G232" s="90"/>
      <c r="J232" s="78"/>
      <c r="K232" s="90"/>
      <c r="N232" s="78"/>
      <c r="O232" s="24"/>
      <c r="P232" s="204"/>
      <c r="Q232" s="204"/>
      <c r="R232" s="204"/>
      <c r="S232" s="205"/>
      <c r="T232" s="205"/>
      <c r="U232" s="205"/>
      <c r="V232" s="205"/>
      <c r="W232" s="205"/>
      <c r="Z232" s="204"/>
      <c r="AB232" s="204"/>
      <c r="AC232" s="204"/>
      <c r="AD232" s="204"/>
      <c r="AH232" s="637"/>
      <c r="AI232" s="61"/>
      <c r="AJ232" s="61"/>
      <c r="AK232" s="61"/>
      <c r="AL232" s="61"/>
      <c r="AM232" s="61"/>
      <c r="AN232" s="61"/>
      <c r="AO232" s="61"/>
    </row>
    <row r="233" spans="3:41" x14ac:dyDescent="0.25">
      <c r="C233" s="90"/>
      <c r="F233" s="78"/>
      <c r="G233" s="90"/>
      <c r="J233" s="78"/>
      <c r="K233" s="90"/>
      <c r="N233" s="78"/>
      <c r="O233" s="24"/>
      <c r="P233" s="204"/>
      <c r="Q233" s="204"/>
      <c r="R233" s="204"/>
      <c r="S233" s="205"/>
      <c r="T233" s="205"/>
      <c r="U233" s="205"/>
      <c r="V233" s="205"/>
      <c r="W233" s="205"/>
      <c r="Z233" s="204"/>
      <c r="AB233" s="204"/>
      <c r="AC233" s="204"/>
      <c r="AD233" s="204"/>
      <c r="AH233" s="637"/>
      <c r="AI233" s="61"/>
      <c r="AJ233" s="61"/>
      <c r="AK233" s="61"/>
      <c r="AL233" s="61"/>
      <c r="AM233" s="61"/>
      <c r="AN233" s="61"/>
      <c r="AO233" s="61"/>
    </row>
    <row r="234" spans="3:41" x14ac:dyDescent="0.25">
      <c r="C234" s="90"/>
      <c r="F234" s="78"/>
      <c r="G234" s="90"/>
      <c r="J234" s="78"/>
      <c r="K234" s="90"/>
      <c r="N234" s="78"/>
      <c r="O234" s="24"/>
      <c r="P234" s="204"/>
      <c r="Q234" s="204"/>
      <c r="R234" s="204"/>
      <c r="S234" s="205"/>
      <c r="T234" s="205"/>
      <c r="U234" s="205"/>
      <c r="V234" s="205"/>
      <c r="W234" s="205"/>
      <c r="Z234" s="204"/>
      <c r="AB234" s="204"/>
      <c r="AC234" s="204"/>
      <c r="AD234" s="204"/>
      <c r="AH234" s="637"/>
      <c r="AI234" s="61"/>
      <c r="AJ234" s="61"/>
      <c r="AK234" s="61"/>
      <c r="AL234" s="61"/>
      <c r="AM234" s="61"/>
      <c r="AN234" s="61"/>
      <c r="AO234" s="61"/>
    </row>
    <row r="235" spans="3:41" x14ac:dyDescent="0.25">
      <c r="C235" s="90"/>
      <c r="F235" s="78"/>
      <c r="G235" s="90"/>
      <c r="J235" s="78"/>
      <c r="K235" s="90"/>
      <c r="N235" s="78"/>
      <c r="O235" s="24"/>
      <c r="P235" s="204"/>
      <c r="Q235" s="204"/>
      <c r="R235" s="204"/>
      <c r="S235" s="205"/>
      <c r="T235" s="205"/>
      <c r="U235" s="205"/>
      <c r="V235" s="205"/>
      <c r="W235" s="205"/>
      <c r="Z235" s="204"/>
      <c r="AB235" s="204"/>
      <c r="AC235" s="204"/>
      <c r="AD235" s="204"/>
      <c r="AH235" s="637"/>
      <c r="AI235" s="61"/>
      <c r="AJ235" s="61"/>
      <c r="AK235" s="61"/>
      <c r="AL235" s="61"/>
      <c r="AM235" s="61"/>
      <c r="AN235" s="61"/>
      <c r="AO235" s="61"/>
    </row>
    <row r="236" spans="3:41" x14ac:dyDescent="0.25">
      <c r="C236" s="90"/>
      <c r="F236" s="78"/>
      <c r="G236" s="90"/>
      <c r="J236" s="78"/>
      <c r="K236" s="90"/>
      <c r="N236" s="78"/>
      <c r="O236" s="24"/>
      <c r="P236" s="204"/>
      <c r="Q236" s="204"/>
      <c r="R236" s="204"/>
      <c r="S236" s="205"/>
      <c r="T236" s="205"/>
      <c r="U236" s="205"/>
      <c r="V236" s="205"/>
      <c r="W236" s="205"/>
      <c r="Z236" s="204"/>
      <c r="AB236" s="204"/>
      <c r="AC236" s="204"/>
      <c r="AD236" s="204"/>
      <c r="AH236" s="637"/>
      <c r="AI236" s="61"/>
      <c r="AJ236" s="61"/>
      <c r="AK236" s="61"/>
      <c r="AL236" s="61"/>
      <c r="AM236" s="61"/>
      <c r="AN236" s="61"/>
      <c r="AO236" s="61"/>
    </row>
    <row r="237" spans="3:41" x14ac:dyDescent="0.25">
      <c r="C237" s="90"/>
      <c r="F237" s="78"/>
      <c r="G237" s="90"/>
      <c r="J237" s="78"/>
      <c r="K237" s="90"/>
      <c r="N237" s="78"/>
      <c r="O237" s="24"/>
      <c r="P237" s="204"/>
      <c r="Q237" s="204"/>
      <c r="R237" s="204"/>
      <c r="S237" s="205"/>
      <c r="T237" s="205"/>
      <c r="U237" s="205"/>
      <c r="V237" s="205"/>
      <c r="W237" s="205"/>
      <c r="Z237" s="204"/>
      <c r="AB237" s="204"/>
      <c r="AC237" s="204"/>
      <c r="AD237" s="204"/>
      <c r="AH237" s="637"/>
      <c r="AI237" s="61"/>
      <c r="AJ237" s="61"/>
      <c r="AK237" s="61"/>
      <c r="AL237" s="61"/>
      <c r="AM237" s="61"/>
      <c r="AN237" s="61"/>
      <c r="AO237" s="61"/>
    </row>
    <row r="238" spans="3:41" x14ac:dyDescent="0.25">
      <c r="C238" s="90"/>
      <c r="F238" s="78"/>
      <c r="G238" s="90"/>
      <c r="J238" s="78"/>
      <c r="K238" s="90"/>
      <c r="N238" s="78"/>
      <c r="O238" s="24"/>
      <c r="P238" s="204"/>
      <c r="Q238" s="204"/>
      <c r="R238" s="204"/>
      <c r="S238" s="205"/>
      <c r="T238" s="205"/>
      <c r="U238" s="205"/>
      <c r="V238" s="205"/>
      <c r="W238" s="205"/>
      <c r="Z238" s="204"/>
      <c r="AB238" s="204"/>
      <c r="AC238" s="204"/>
      <c r="AD238" s="204"/>
      <c r="AH238" s="637"/>
      <c r="AI238" s="61"/>
      <c r="AJ238" s="61"/>
      <c r="AK238" s="61"/>
      <c r="AL238" s="61"/>
      <c r="AM238" s="61"/>
      <c r="AN238" s="61"/>
      <c r="AO238" s="61"/>
    </row>
    <row r="239" spans="3:41" x14ac:dyDescent="0.25">
      <c r="C239" s="90"/>
      <c r="F239" s="78"/>
      <c r="G239" s="90"/>
      <c r="J239" s="78"/>
      <c r="K239" s="90"/>
      <c r="N239" s="78"/>
      <c r="O239" s="24"/>
      <c r="P239" s="204"/>
      <c r="Q239" s="204"/>
      <c r="R239" s="204"/>
      <c r="S239" s="205"/>
      <c r="T239" s="205"/>
      <c r="U239" s="205"/>
      <c r="V239" s="205"/>
      <c r="W239" s="205"/>
      <c r="Z239" s="204"/>
      <c r="AB239" s="204"/>
      <c r="AC239" s="204"/>
      <c r="AD239" s="204"/>
      <c r="AH239" s="637"/>
      <c r="AI239" s="61"/>
      <c r="AJ239" s="61"/>
      <c r="AK239" s="61"/>
      <c r="AL239" s="61"/>
      <c r="AM239" s="61"/>
      <c r="AN239" s="61"/>
      <c r="AO239" s="61"/>
    </row>
    <row r="240" spans="3:41" x14ac:dyDescent="0.25">
      <c r="C240" s="90"/>
      <c r="F240" s="78"/>
      <c r="G240" s="90"/>
      <c r="J240" s="78"/>
      <c r="K240" s="90"/>
      <c r="N240" s="78"/>
      <c r="O240" s="24"/>
      <c r="P240" s="204"/>
      <c r="Q240" s="204"/>
      <c r="R240" s="204"/>
      <c r="S240" s="205"/>
      <c r="T240" s="205"/>
      <c r="U240" s="205"/>
      <c r="V240" s="205"/>
      <c r="W240" s="205"/>
      <c r="Z240" s="204"/>
      <c r="AB240" s="204"/>
      <c r="AC240" s="204"/>
      <c r="AD240" s="204"/>
      <c r="AH240" s="637"/>
      <c r="AI240" s="61"/>
      <c r="AJ240" s="61"/>
      <c r="AK240" s="61"/>
      <c r="AL240" s="61"/>
      <c r="AM240" s="61"/>
      <c r="AN240" s="61"/>
      <c r="AO240" s="61"/>
    </row>
    <row r="241" spans="3:41" x14ac:dyDescent="0.25">
      <c r="C241" s="90"/>
      <c r="F241" s="78"/>
      <c r="G241" s="90"/>
      <c r="J241" s="78"/>
      <c r="K241" s="90"/>
      <c r="N241" s="78"/>
      <c r="O241" s="24"/>
      <c r="P241" s="204"/>
      <c r="Q241" s="204"/>
      <c r="R241" s="204"/>
      <c r="S241" s="205"/>
      <c r="T241" s="205"/>
      <c r="U241" s="205"/>
      <c r="V241" s="205"/>
      <c r="W241" s="205"/>
      <c r="Z241" s="204"/>
      <c r="AB241" s="204"/>
      <c r="AC241" s="204"/>
      <c r="AD241" s="204"/>
      <c r="AH241" s="637"/>
      <c r="AI241" s="61"/>
      <c r="AJ241" s="61"/>
      <c r="AK241" s="61"/>
      <c r="AL241" s="61"/>
      <c r="AM241" s="61"/>
      <c r="AN241" s="61"/>
      <c r="AO241" s="61"/>
    </row>
    <row r="242" spans="3:41" x14ac:dyDescent="0.25">
      <c r="C242" s="90"/>
      <c r="F242" s="78"/>
      <c r="G242" s="90"/>
      <c r="J242" s="78"/>
      <c r="K242" s="90"/>
      <c r="N242" s="78"/>
      <c r="O242" s="24"/>
      <c r="P242" s="204"/>
      <c r="Q242" s="204"/>
      <c r="R242" s="204"/>
      <c r="S242" s="205"/>
      <c r="T242" s="205"/>
      <c r="U242" s="205"/>
      <c r="V242" s="205"/>
      <c r="W242" s="205"/>
      <c r="Z242" s="204"/>
      <c r="AB242" s="204"/>
      <c r="AC242" s="204"/>
      <c r="AD242" s="204"/>
      <c r="AH242" s="637"/>
      <c r="AI242" s="61"/>
      <c r="AJ242" s="61"/>
      <c r="AK242" s="61"/>
      <c r="AL242" s="61"/>
      <c r="AM242" s="61"/>
      <c r="AN242" s="61"/>
      <c r="AO242" s="61"/>
    </row>
    <row r="243" spans="3:41" x14ac:dyDescent="0.25">
      <c r="C243" s="90"/>
      <c r="F243" s="78"/>
      <c r="G243" s="90"/>
      <c r="J243" s="78"/>
      <c r="K243" s="90"/>
      <c r="N243" s="78"/>
      <c r="O243" s="24"/>
      <c r="P243" s="204"/>
      <c r="Q243" s="204"/>
      <c r="R243" s="204"/>
      <c r="S243" s="205"/>
      <c r="T243" s="205"/>
      <c r="U243" s="205"/>
      <c r="V243" s="205"/>
      <c r="W243" s="205"/>
      <c r="Z243" s="204"/>
      <c r="AB243" s="204"/>
      <c r="AC243" s="204"/>
      <c r="AD243" s="204"/>
      <c r="AH243" s="637"/>
      <c r="AI243" s="61"/>
      <c r="AJ243" s="61"/>
      <c r="AK243" s="61"/>
      <c r="AL243" s="61"/>
      <c r="AM243" s="61"/>
      <c r="AN243" s="61"/>
      <c r="AO243" s="61"/>
    </row>
    <row r="244" spans="3:41" x14ac:dyDescent="0.25">
      <c r="C244" s="90"/>
      <c r="F244" s="78"/>
      <c r="G244" s="90"/>
      <c r="J244" s="78"/>
      <c r="K244" s="90"/>
      <c r="N244" s="78"/>
      <c r="O244" s="24"/>
      <c r="P244" s="204"/>
      <c r="Q244" s="204"/>
      <c r="R244" s="204"/>
      <c r="S244" s="205"/>
      <c r="T244" s="205"/>
      <c r="U244" s="205"/>
      <c r="V244" s="205"/>
      <c r="W244" s="205"/>
      <c r="Z244" s="204"/>
      <c r="AB244" s="204"/>
      <c r="AC244" s="204"/>
      <c r="AD244" s="204"/>
      <c r="AH244" s="637"/>
      <c r="AI244" s="61"/>
      <c r="AJ244" s="61"/>
      <c r="AK244" s="61"/>
      <c r="AL244" s="61"/>
      <c r="AM244" s="61"/>
      <c r="AN244" s="61"/>
      <c r="AO244" s="61"/>
    </row>
    <row r="245" spans="3:41" x14ac:dyDescent="0.25">
      <c r="C245" s="90"/>
      <c r="F245" s="78"/>
      <c r="G245" s="90"/>
      <c r="J245" s="78"/>
      <c r="K245" s="90"/>
      <c r="N245" s="78"/>
      <c r="O245" s="24"/>
      <c r="P245" s="204"/>
      <c r="Q245" s="204"/>
      <c r="R245" s="204"/>
      <c r="S245" s="205"/>
      <c r="T245" s="205"/>
      <c r="U245" s="205"/>
      <c r="V245" s="205"/>
      <c r="W245" s="205"/>
      <c r="Z245" s="204"/>
      <c r="AB245" s="204"/>
      <c r="AC245" s="204"/>
      <c r="AD245" s="204"/>
      <c r="AH245" s="637"/>
      <c r="AI245" s="61"/>
      <c r="AJ245" s="61"/>
      <c r="AK245" s="61"/>
      <c r="AL245" s="61"/>
      <c r="AM245" s="61"/>
      <c r="AN245" s="61"/>
      <c r="AO245" s="61"/>
    </row>
    <row r="246" spans="3:41" x14ac:dyDescent="0.25">
      <c r="C246" s="90"/>
      <c r="F246" s="78"/>
      <c r="G246" s="90"/>
      <c r="J246" s="78"/>
      <c r="K246" s="90"/>
      <c r="N246" s="78"/>
      <c r="O246" s="24"/>
      <c r="P246" s="204"/>
      <c r="Q246" s="204"/>
      <c r="R246" s="204"/>
      <c r="S246" s="205"/>
      <c r="T246" s="205"/>
      <c r="U246" s="205"/>
      <c r="V246" s="205"/>
      <c r="W246" s="205"/>
      <c r="Z246" s="204"/>
      <c r="AB246" s="204"/>
      <c r="AC246" s="204"/>
      <c r="AD246" s="204"/>
      <c r="AH246" s="637"/>
      <c r="AI246" s="61"/>
      <c r="AJ246" s="61"/>
      <c r="AK246" s="61"/>
      <c r="AL246" s="61"/>
      <c r="AM246" s="61"/>
      <c r="AN246" s="61"/>
      <c r="AO246" s="61"/>
    </row>
    <row r="247" spans="3:41" x14ac:dyDescent="0.25">
      <c r="C247" s="90"/>
      <c r="F247" s="78"/>
      <c r="G247" s="90"/>
      <c r="J247" s="78"/>
      <c r="K247" s="90"/>
      <c r="N247" s="78"/>
      <c r="O247" s="24"/>
      <c r="P247" s="204"/>
      <c r="Q247" s="204"/>
      <c r="R247" s="204"/>
      <c r="S247" s="205"/>
      <c r="T247" s="205"/>
      <c r="U247" s="205"/>
      <c r="V247" s="205"/>
      <c r="W247" s="205"/>
      <c r="Z247" s="204"/>
      <c r="AB247" s="204"/>
      <c r="AC247" s="204"/>
      <c r="AD247" s="204"/>
      <c r="AH247" s="637"/>
      <c r="AI247" s="61"/>
      <c r="AJ247" s="61"/>
      <c r="AK247" s="61"/>
      <c r="AL247" s="61"/>
      <c r="AM247" s="61"/>
      <c r="AN247" s="61"/>
      <c r="AO247" s="61"/>
    </row>
    <row r="248" spans="3:41" x14ac:dyDescent="0.25">
      <c r="C248" s="90"/>
      <c r="F248" s="78"/>
      <c r="G248" s="90"/>
      <c r="J248" s="78"/>
      <c r="K248" s="90"/>
      <c r="N248" s="78"/>
      <c r="O248" s="24"/>
      <c r="P248" s="204"/>
      <c r="Q248" s="204"/>
      <c r="R248" s="204"/>
      <c r="S248" s="205"/>
      <c r="T248" s="205"/>
      <c r="U248" s="205"/>
      <c r="V248" s="205"/>
      <c r="W248" s="205"/>
      <c r="Z248" s="204"/>
      <c r="AB248" s="204"/>
      <c r="AC248" s="204"/>
      <c r="AD248" s="204"/>
      <c r="AH248" s="637"/>
      <c r="AI248" s="61"/>
      <c r="AJ248" s="61"/>
      <c r="AK248" s="61"/>
      <c r="AL248" s="61"/>
      <c r="AM248" s="61"/>
      <c r="AN248" s="61"/>
      <c r="AO248" s="61"/>
    </row>
    <row r="249" spans="3:41" x14ac:dyDescent="0.25">
      <c r="C249" s="90"/>
      <c r="F249" s="78"/>
      <c r="G249" s="90"/>
      <c r="J249" s="78"/>
      <c r="K249" s="90"/>
      <c r="N249" s="78"/>
      <c r="O249" s="24"/>
      <c r="P249" s="204"/>
      <c r="Q249" s="204"/>
      <c r="R249" s="204"/>
      <c r="S249" s="205"/>
      <c r="T249" s="205"/>
      <c r="U249" s="205"/>
      <c r="V249" s="205"/>
      <c r="W249" s="205"/>
      <c r="Z249" s="204"/>
      <c r="AB249" s="204"/>
      <c r="AC249" s="204"/>
      <c r="AD249" s="204"/>
      <c r="AH249" s="637"/>
      <c r="AI249" s="61"/>
      <c r="AJ249" s="61"/>
      <c r="AK249" s="61"/>
      <c r="AL249" s="61"/>
      <c r="AM249" s="61"/>
      <c r="AN249" s="61"/>
      <c r="AO249" s="61"/>
    </row>
    <row r="250" spans="3:41" x14ac:dyDescent="0.25">
      <c r="C250" s="90"/>
      <c r="F250" s="78"/>
      <c r="G250" s="90"/>
      <c r="J250" s="78"/>
      <c r="K250" s="90"/>
      <c r="N250" s="78"/>
      <c r="O250" s="24"/>
      <c r="P250" s="204"/>
      <c r="Q250" s="204"/>
      <c r="R250" s="204"/>
      <c r="S250" s="205"/>
      <c r="T250" s="205"/>
      <c r="U250" s="205"/>
      <c r="V250" s="205"/>
      <c r="W250" s="205"/>
      <c r="Z250" s="204"/>
      <c r="AB250" s="204"/>
      <c r="AC250" s="204"/>
      <c r="AD250" s="204"/>
      <c r="AH250" s="637"/>
      <c r="AI250" s="61"/>
      <c r="AJ250" s="61"/>
      <c r="AK250" s="61"/>
      <c r="AL250" s="61"/>
      <c r="AM250" s="61"/>
      <c r="AN250" s="61"/>
      <c r="AO250" s="61"/>
    </row>
    <row r="251" spans="3:41" x14ac:dyDescent="0.25">
      <c r="C251" s="90"/>
      <c r="F251" s="78"/>
      <c r="G251" s="90"/>
      <c r="J251" s="78"/>
      <c r="K251" s="90"/>
      <c r="N251" s="78"/>
      <c r="O251" s="24"/>
      <c r="P251" s="204"/>
      <c r="Q251" s="204"/>
      <c r="R251" s="204"/>
      <c r="S251" s="205"/>
      <c r="T251" s="205"/>
      <c r="U251" s="205"/>
      <c r="V251" s="205"/>
      <c r="W251" s="205"/>
      <c r="Z251" s="204"/>
      <c r="AB251" s="204"/>
      <c r="AC251" s="204"/>
      <c r="AD251" s="204"/>
      <c r="AH251" s="637"/>
      <c r="AI251" s="61"/>
      <c r="AJ251" s="61"/>
      <c r="AK251" s="61"/>
      <c r="AL251" s="61"/>
      <c r="AM251" s="61"/>
      <c r="AN251" s="61"/>
      <c r="AO251" s="61"/>
    </row>
    <row r="252" spans="3:41" x14ac:dyDescent="0.25">
      <c r="C252" s="90"/>
      <c r="F252" s="78"/>
      <c r="G252" s="90"/>
      <c r="J252" s="78"/>
      <c r="K252" s="90"/>
      <c r="N252" s="78"/>
      <c r="O252" s="24"/>
      <c r="P252" s="204"/>
      <c r="Q252" s="204"/>
      <c r="R252" s="204"/>
      <c r="S252" s="205"/>
      <c r="T252" s="205"/>
      <c r="U252" s="205"/>
      <c r="V252" s="205"/>
      <c r="W252" s="205"/>
      <c r="Z252" s="204"/>
      <c r="AB252" s="204"/>
      <c r="AC252" s="204"/>
      <c r="AD252" s="204"/>
      <c r="AH252" s="637"/>
      <c r="AI252" s="61"/>
      <c r="AJ252" s="61"/>
      <c r="AK252" s="61"/>
      <c r="AL252" s="61"/>
      <c r="AM252" s="61"/>
      <c r="AN252" s="61"/>
      <c r="AO252" s="61"/>
    </row>
    <row r="253" spans="3:41" x14ac:dyDescent="0.25">
      <c r="C253" s="90"/>
      <c r="F253" s="78"/>
      <c r="G253" s="90"/>
      <c r="J253" s="78"/>
      <c r="K253" s="90"/>
      <c r="N253" s="78"/>
      <c r="O253" s="24"/>
      <c r="P253" s="204"/>
      <c r="Q253" s="204"/>
      <c r="R253" s="204"/>
      <c r="S253" s="205"/>
      <c r="T253" s="205"/>
      <c r="U253" s="205"/>
      <c r="V253" s="205"/>
      <c r="W253" s="205"/>
      <c r="Z253" s="204"/>
      <c r="AB253" s="204"/>
      <c r="AC253" s="204"/>
      <c r="AD253" s="204"/>
      <c r="AH253" s="637"/>
      <c r="AI253" s="61"/>
      <c r="AJ253" s="61"/>
      <c r="AK253" s="61"/>
      <c r="AL253" s="61"/>
      <c r="AM253" s="61"/>
      <c r="AN253" s="61"/>
      <c r="AO253" s="61"/>
    </row>
    <row r="254" spans="3:41" x14ac:dyDescent="0.25">
      <c r="C254" s="90"/>
      <c r="F254" s="78"/>
      <c r="G254" s="90"/>
      <c r="J254" s="78"/>
      <c r="K254" s="90"/>
      <c r="N254" s="78"/>
      <c r="O254" s="24"/>
      <c r="P254" s="204"/>
      <c r="Q254" s="204"/>
      <c r="R254" s="204"/>
      <c r="S254" s="205"/>
      <c r="T254" s="205"/>
      <c r="U254" s="205"/>
      <c r="V254" s="205"/>
      <c r="W254" s="205"/>
      <c r="Z254" s="204"/>
      <c r="AB254" s="204"/>
      <c r="AC254" s="204"/>
      <c r="AD254" s="204"/>
      <c r="AH254" s="637"/>
      <c r="AI254" s="61"/>
      <c r="AJ254" s="61"/>
      <c r="AK254" s="61"/>
      <c r="AL254" s="61"/>
      <c r="AM254" s="61"/>
      <c r="AN254" s="61"/>
      <c r="AO254" s="61"/>
    </row>
    <row r="255" spans="3:41" x14ac:dyDescent="0.25">
      <c r="C255" s="90"/>
      <c r="F255" s="78"/>
      <c r="G255" s="90"/>
      <c r="J255" s="78"/>
      <c r="K255" s="90"/>
      <c r="N255" s="78"/>
      <c r="O255" s="24"/>
      <c r="P255" s="204"/>
      <c r="Q255" s="204"/>
      <c r="R255" s="204"/>
      <c r="S255" s="205"/>
      <c r="T255" s="205"/>
      <c r="U255" s="205"/>
      <c r="V255" s="205"/>
      <c r="W255" s="205"/>
      <c r="Z255" s="204"/>
      <c r="AB255" s="204"/>
      <c r="AC255" s="204"/>
      <c r="AD255" s="204"/>
      <c r="AH255" s="637"/>
      <c r="AI255" s="61"/>
      <c r="AJ255" s="61"/>
      <c r="AK255" s="61"/>
      <c r="AL255" s="61"/>
      <c r="AM255" s="61"/>
      <c r="AN255" s="61"/>
      <c r="AO255" s="61"/>
    </row>
    <row r="256" spans="3:41" x14ac:dyDescent="0.25">
      <c r="C256" s="90"/>
      <c r="F256" s="78"/>
      <c r="G256" s="90"/>
      <c r="J256" s="78"/>
      <c r="K256" s="90"/>
      <c r="N256" s="78"/>
      <c r="O256" s="24"/>
      <c r="P256" s="204"/>
      <c r="Q256" s="204"/>
      <c r="R256" s="204"/>
      <c r="S256" s="205"/>
      <c r="T256" s="205"/>
      <c r="U256" s="205"/>
      <c r="V256" s="205"/>
      <c r="W256" s="205"/>
      <c r="Z256" s="204"/>
      <c r="AB256" s="204"/>
      <c r="AC256" s="204"/>
      <c r="AD256" s="204"/>
      <c r="AH256" s="637"/>
      <c r="AI256" s="61"/>
      <c r="AJ256" s="61"/>
      <c r="AK256" s="61"/>
      <c r="AL256" s="61"/>
      <c r="AM256" s="61"/>
      <c r="AN256" s="61"/>
      <c r="AO256" s="61"/>
    </row>
    <row r="257" spans="3:41" x14ac:dyDescent="0.25">
      <c r="C257" s="90"/>
      <c r="F257" s="78"/>
      <c r="G257" s="90"/>
      <c r="J257" s="78"/>
      <c r="K257" s="90"/>
      <c r="N257" s="78"/>
      <c r="O257" s="24"/>
      <c r="P257" s="204"/>
      <c r="Q257" s="204"/>
      <c r="R257" s="204"/>
      <c r="S257" s="205"/>
      <c r="T257" s="205"/>
      <c r="U257" s="205"/>
      <c r="V257" s="205"/>
      <c r="W257" s="205"/>
      <c r="Z257" s="204"/>
      <c r="AB257" s="204"/>
      <c r="AC257" s="204"/>
      <c r="AD257" s="204"/>
      <c r="AH257" s="637"/>
      <c r="AI257" s="61"/>
      <c r="AJ257" s="61"/>
      <c r="AK257" s="61"/>
      <c r="AL257" s="61"/>
      <c r="AM257" s="61"/>
      <c r="AN257" s="61"/>
      <c r="AO257" s="61"/>
    </row>
    <row r="258" spans="3:41" x14ac:dyDescent="0.25">
      <c r="C258" s="90"/>
      <c r="F258" s="78"/>
      <c r="G258" s="90"/>
      <c r="J258" s="78"/>
      <c r="K258" s="90"/>
      <c r="N258" s="78"/>
      <c r="O258" s="24"/>
      <c r="P258" s="204"/>
      <c r="Q258" s="204"/>
      <c r="R258" s="204"/>
      <c r="S258" s="205"/>
      <c r="T258" s="205"/>
      <c r="U258" s="205"/>
      <c r="V258" s="205"/>
      <c r="W258" s="205"/>
      <c r="Z258" s="204"/>
      <c r="AB258" s="204"/>
      <c r="AC258" s="204"/>
      <c r="AD258" s="204"/>
      <c r="AH258" s="637"/>
      <c r="AI258" s="61"/>
      <c r="AJ258" s="61"/>
      <c r="AK258" s="61"/>
      <c r="AL258" s="61"/>
      <c r="AM258" s="61"/>
      <c r="AN258" s="61"/>
      <c r="AO258" s="61"/>
    </row>
    <row r="259" spans="3:41" x14ac:dyDescent="0.25">
      <c r="C259" s="90"/>
      <c r="F259" s="78"/>
      <c r="G259" s="90"/>
      <c r="J259" s="78"/>
      <c r="K259" s="90"/>
      <c r="N259" s="78"/>
      <c r="O259" s="24"/>
      <c r="P259" s="204"/>
      <c r="Q259" s="204"/>
      <c r="R259" s="204"/>
      <c r="S259" s="205"/>
      <c r="T259" s="205"/>
      <c r="U259" s="205"/>
      <c r="V259" s="205"/>
      <c r="W259" s="205"/>
      <c r="Z259" s="204"/>
      <c r="AB259" s="204"/>
      <c r="AC259" s="204"/>
      <c r="AD259" s="204"/>
      <c r="AH259" s="637"/>
      <c r="AI259" s="61"/>
      <c r="AJ259" s="61"/>
      <c r="AK259" s="61"/>
      <c r="AL259" s="61"/>
      <c r="AM259" s="61"/>
      <c r="AN259" s="61"/>
      <c r="AO259" s="61"/>
    </row>
    <row r="260" spans="3:41" x14ac:dyDescent="0.25">
      <c r="C260" s="90"/>
      <c r="F260" s="78"/>
      <c r="G260" s="90"/>
      <c r="J260" s="78"/>
      <c r="K260" s="90"/>
      <c r="N260" s="78"/>
      <c r="O260" s="24"/>
      <c r="P260" s="204"/>
      <c r="Q260" s="204"/>
      <c r="R260" s="204"/>
      <c r="S260" s="205"/>
      <c r="T260" s="205"/>
      <c r="U260" s="205"/>
      <c r="V260" s="205"/>
      <c r="W260" s="205"/>
      <c r="Z260" s="204"/>
      <c r="AB260" s="204"/>
      <c r="AC260" s="204"/>
      <c r="AD260" s="204"/>
      <c r="AH260" s="637"/>
      <c r="AI260" s="61"/>
      <c r="AJ260" s="61"/>
      <c r="AK260" s="61"/>
      <c r="AL260" s="61"/>
      <c r="AM260" s="61"/>
      <c r="AN260" s="61"/>
      <c r="AO260" s="61"/>
    </row>
    <row r="261" spans="3:41" x14ac:dyDescent="0.25">
      <c r="C261" s="90"/>
      <c r="F261" s="78"/>
      <c r="G261" s="90"/>
      <c r="J261" s="78"/>
      <c r="K261" s="90"/>
      <c r="N261" s="78"/>
      <c r="O261" s="24"/>
      <c r="P261" s="204"/>
      <c r="Q261" s="204"/>
      <c r="R261" s="204"/>
      <c r="S261" s="205"/>
      <c r="T261" s="205"/>
      <c r="U261" s="205"/>
      <c r="V261" s="205"/>
      <c r="W261" s="205"/>
      <c r="Z261" s="204"/>
      <c r="AB261" s="204"/>
      <c r="AC261" s="204"/>
      <c r="AD261" s="204"/>
      <c r="AH261" s="637"/>
      <c r="AI261" s="61"/>
      <c r="AJ261" s="61"/>
      <c r="AK261" s="61"/>
      <c r="AL261" s="61"/>
      <c r="AM261" s="61"/>
      <c r="AN261" s="61"/>
      <c r="AO261" s="61"/>
    </row>
    <row r="262" spans="3:41" x14ac:dyDescent="0.25">
      <c r="C262" s="90"/>
      <c r="F262" s="78"/>
      <c r="G262" s="90"/>
      <c r="J262" s="78"/>
      <c r="K262" s="90"/>
      <c r="N262" s="78"/>
      <c r="O262" s="24"/>
      <c r="P262" s="204"/>
      <c r="Q262" s="204"/>
      <c r="R262" s="204"/>
      <c r="S262" s="205"/>
      <c r="T262" s="205"/>
      <c r="U262" s="205"/>
      <c r="V262" s="205"/>
      <c r="W262" s="205"/>
      <c r="Z262" s="204"/>
      <c r="AB262" s="204"/>
      <c r="AC262" s="204"/>
      <c r="AD262" s="204"/>
      <c r="AH262" s="637"/>
      <c r="AI262" s="61"/>
      <c r="AJ262" s="61"/>
      <c r="AK262" s="61"/>
      <c r="AL262" s="61"/>
      <c r="AM262" s="61"/>
      <c r="AN262" s="61"/>
      <c r="AO262" s="61"/>
    </row>
    <row r="263" spans="3:41" x14ac:dyDescent="0.25">
      <c r="C263" s="90"/>
      <c r="F263" s="78"/>
      <c r="G263" s="90"/>
      <c r="J263" s="78"/>
      <c r="K263" s="90"/>
      <c r="N263" s="78"/>
      <c r="O263" s="24"/>
      <c r="P263" s="204"/>
      <c r="Q263" s="204"/>
      <c r="R263" s="204"/>
      <c r="S263" s="205"/>
      <c r="T263" s="205"/>
      <c r="U263" s="205"/>
      <c r="V263" s="205"/>
      <c r="W263" s="205"/>
      <c r="Z263" s="204"/>
      <c r="AB263" s="204"/>
      <c r="AC263" s="204"/>
      <c r="AD263" s="204"/>
      <c r="AH263" s="637"/>
      <c r="AI263" s="61"/>
      <c r="AJ263" s="61"/>
      <c r="AK263" s="61"/>
      <c r="AL263" s="61"/>
      <c r="AM263" s="61"/>
      <c r="AN263" s="61"/>
      <c r="AO263" s="61"/>
    </row>
    <row r="264" spans="3:41" x14ac:dyDescent="0.25">
      <c r="C264" s="90"/>
      <c r="F264" s="78"/>
      <c r="G264" s="90"/>
      <c r="J264" s="78"/>
      <c r="K264" s="90"/>
      <c r="N264" s="78"/>
      <c r="O264" s="24"/>
      <c r="P264" s="204"/>
      <c r="Q264" s="204"/>
      <c r="R264" s="204"/>
      <c r="S264" s="205"/>
      <c r="T264" s="205"/>
      <c r="U264" s="205"/>
      <c r="V264" s="205"/>
      <c r="W264" s="205"/>
      <c r="Z264" s="204"/>
      <c r="AB264" s="204"/>
      <c r="AC264" s="204"/>
      <c r="AD264" s="204"/>
      <c r="AH264" s="637"/>
      <c r="AI264" s="61"/>
      <c r="AJ264" s="61"/>
      <c r="AK264" s="61"/>
      <c r="AL264" s="61"/>
      <c r="AM264" s="61"/>
      <c r="AN264" s="61"/>
      <c r="AO264" s="61"/>
    </row>
    <row r="265" spans="3:41" x14ac:dyDescent="0.25">
      <c r="C265" s="90"/>
      <c r="F265" s="78"/>
      <c r="G265" s="90"/>
      <c r="J265" s="78"/>
      <c r="K265" s="90"/>
      <c r="N265" s="78"/>
      <c r="O265" s="24"/>
      <c r="P265" s="204"/>
      <c r="Q265" s="204"/>
      <c r="R265" s="204"/>
      <c r="S265" s="205"/>
      <c r="T265" s="205"/>
      <c r="U265" s="205"/>
      <c r="V265" s="205"/>
      <c r="W265" s="205"/>
      <c r="Z265" s="204"/>
      <c r="AB265" s="204"/>
      <c r="AC265" s="204"/>
      <c r="AD265" s="204"/>
      <c r="AH265" s="637"/>
      <c r="AI265" s="61"/>
      <c r="AJ265" s="61"/>
      <c r="AK265" s="61"/>
      <c r="AL265" s="61"/>
      <c r="AM265" s="61"/>
      <c r="AN265" s="61"/>
      <c r="AO265" s="61"/>
    </row>
    <row r="266" spans="3:41" x14ac:dyDescent="0.25">
      <c r="C266" s="90"/>
      <c r="F266" s="78"/>
      <c r="G266" s="90"/>
      <c r="J266" s="78"/>
      <c r="K266" s="90"/>
      <c r="N266" s="78"/>
      <c r="O266" s="24"/>
      <c r="P266" s="204"/>
      <c r="Q266" s="204"/>
      <c r="R266" s="204"/>
      <c r="S266" s="205"/>
      <c r="T266" s="205"/>
      <c r="U266" s="205"/>
      <c r="V266" s="205"/>
      <c r="W266" s="205"/>
      <c r="Z266" s="204"/>
      <c r="AB266" s="204"/>
      <c r="AC266" s="204"/>
      <c r="AD266" s="204"/>
      <c r="AH266" s="637"/>
      <c r="AI266" s="61"/>
      <c r="AJ266" s="61"/>
      <c r="AK266" s="61"/>
      <c r="AL266" s="61"/>
      <c r="AM266" s="61"/>
      <c r="AN266" s="61"/>
      <c r="AO266" s="61"/>
    </row>
    <row r="267" spans="3:41" x14ac:dyDescent="0.25">
      <c r="C267" s="90"/>
      <c r="F267" s="78"/>
      <c r="G267" s="90"/>
      <c r="J267" s="78"/>
      <c r="K267" s="90"/>
      <c r="N267" s="78"/>
      <c r="O267" s="24"/>
      <c r="P267" s="204"/>
      <c r="Q267" s="204"/>
      <c r="R267" s="204"/>
      <c r="S267" s="205"/>
      <c r="T267" s="205"/>
      <c r="U267" s="205"/>
      <c r="V267" s="205"/>
      <c r="W267" s="205"/>
      <c r="Z267" s="204"/>
      <c r="AB267" s="204"/>
      <c r="AC267" s="204"/>
      <c r="AD267" s="204"/>
      <c r="AH267" s="637"/>
      <c r="AI267" s="61"/>
      <c r="AJ267" s="61"/>
      <c r="AK267" s="61"/>
      <c r="AL267" s="61"/>
      <c r="AM267" s="61"/>
      <c r="AN267" s="61"/>
      <c r="AO267" s="61"/>
    </row>
    <row r="268" spans="3:41" x14ac:dyDescent="0.25">
      <c r="C268" s="90"/>
      <c r="F268" s="78"/>
      <c r="G268" s="90"/>
      <c r="J268" s="78"/>
      <c r="K268" s="90"/>
      <c r="N268" s="78"/>
      <c r="O268" s="24"/>
      <c r="P268" s="204"/>
      <c r="Q268" s="204"/>
      <c r="R268" s="204"/>
      <c r="S268" s="205"/>
      <c r="T268" s="205"/>
      <c r="U268" s="205"/>
      <c r="V268" s="205"/>
      <c r="W268" s="205"/>
      <c r="Z268" s="204"/>
      <c r="AB268" s="204"/>
      <c r="AC268" s="204"/>
      <c r="AD268" s="204"/>
      <c r="AH268" s="637"/>
      <c r="AI268" s="61"/>
      <c r="AJ268" s="61"/>
      <c r="AK268" s="61"/>
      <c r="AL268" s="61"/>
      <c r="AM268" s="61"/>
      <c r="AN268" s="61"/>
      <c r="AO268" s="61"/>
    </row>
    <row r="269" spans="3:41" x14ac:dyDescent="0.25">
      <c r="C269" s="90"/>
      <c r="F269" s="78"/>
      <c r="G269" s="90"/>
      <c r="J269" s="78"/>
      <c r="K269" s="90"/>
      <c r="N269" s="78"/>
      <c r="O269" s="24"/>
      <c r="P269" s="204"/>
      <c r="Q269" s="204"/>
      <c r="R269" s="204"/>
      <c r="S269" s="205"/>
      <c r="T269" s="205"/>
      <c r="U269" s="205"/>
      <c r="V269" s="205"/>
      <c r="W269" s="205"/>
      <c r="Z269" s="204"/>
      <c r="AB269" s="204"/>
      <c r="AC269" s="204"/>
      <c r="AD269" s="204"/>
      <c r="AH269" s="637"/>
      <c r="AI269" s="61"/>
      <c r="AJ269" s="61"/>
      <c r="AK269" s="61"/>
      <c r="AL269" s="61"/>
      <c r="AM269" s="61"/>
      <c r="AN269" s="61"/>
      <c r="AO269" s="61"/>
    </row>
    <row r="270" spans="3:41" x14ac:dyDescent="0.25">
      <c r="C270" s="90"/>
      <c r="F270" s="78"/>
      <c r="G270" s="90"/>
      <c r="J270" s="78"/>
      <c r="K270" s="90"/>
      <c r="N270" s="78"/>
      <c r="O270" s="24"/>
      <c r="P270" s="204"/>
      <c r="Q270" s="204"/>
      <c r="R270" s="204"/>
      <c r="S270" s="205"/>
      <c r="T270" s="205"/>
      <c r="U270" s="205"/>
      <c r="V270" s="205"/>
      <c r="W270" s="205"/>
      <c r="Z270" s="204"/>
      <c r="AB270" s="204"/>
      <c r="AC270" s="204"/>
      <c r="AD270" s="204"/>
      <c r="AH270" s="637"/>
      <c r="AI270" s="61"/>
      <c r="AJ270" s="61"/>
      <c r="AK270" s="61"/>
      <c r="AL270" s="61"/>
      <c r="AM270" s="61"/>
      <c r="AN270" s="61"/>
      <c r="AO270" s="61"/>
    </row>
    <row r="271" spans="3:41" x14ac:dyDescent="0.25">
      <c r="C271" s="90"/>
      <c r="F271" s="78"/>
      <c r="G271" s="90"/>
      <c r="J271" s="78"/>
      <c r="K271" s="90"/>
      <c r="N271" s="78"/>
      <c r="O271" s="24"/>
      <c r="P271" s="204"/>
      <c r="Q271" s="204"/>
      <c r="R271" s="204"/>
      <c r="S271" s="205"/>
      <c r="T271" s="205"/>
      <c r="U271" s="205"/>
      <c r="V271" s="205"/>
      <c r="W271" s="205"/>
      <c r="Z271" s="204"/>
      <c r="AB271" s="204"/>
      <c r="AC271" s="204"/>
      <c r="AD271" s="204"/>
      <c r="AH271" s="637"/>
      <c r="AI271" s="61"/>
      <c r="AJ271" s="61"/>
      <c r="AK271" s="61"/>
      <c r="AL271" s="61"/>
      <c r="AM271" s="61"/>
      <c r="AN271" s="61"/>
      <c r="AO271" s="61"/>
    </row>
    <row r="272" spans="3:41" x14ac:dyDescent="0.25">
      <c r="C272" s="90"/>
      <c r="F272" s="78"/>
      <c r="G272" s="90"/>
      <c r="J272" s="78"/>
      <c r="K272" s="90"/>
      <c r="N272" s="78"/>
      <c r="O272" s="24"/>
      <c r="P272" s="204"/>
      <c r="Q272" s="204"/>
      <c r="R272" s="204"/>
      <c r="S272" s="205"/>
      <c r="T272" s="205"/>
      <c r="U272" s="205"/>
      <c r="V272" s="205"/>
      <c r="W272" s="205"/>
      <c r="Z272" s="204"/>
      <c r="AB272" s="204"/>
      <c r="AC272" s="204"/>
      <c r="AD272" s="204"/>
      <c r="AH272" s="637"/>
      <c r="AI272" s="61"/>
      <c r="AJ272" s="61"/>
      <c r="AK272" s="61"/>
      <c r="AL272" s="61"/>
      <c r="AM272" s="61"/>
      <c r="AN272" s="61"/>
      <c r="AO272" s="61"/>
    </row>
    <row r="273" spans="3:41" x14ac:dyDescent="0.25">
      <c r="C273" s="90"/>
      <c r="F273" s="78"/>
      <c r="G273" s="90"/>
      <c r="J273" s="78"/>
      <c r="K273" s="90"/>
      <c r="N273" s="78"/>
      <c r="O273" s="24"/>
      <c r="P273" s="204"/>
      <c r="Q273" s="204"/>
      <c r="R273" s="204"/>
      <c r="S273" s="205"/>
      <c r="T273" s="205"/>
      <c r="U273" s="205"/>
      <c r="V273" s="205"/>
      <c r="W273" s="205"/>
      <c r="Z273" s="204"/>
      <c r="AB273" s="204"/>
      <c r="AC273" s="204"/>
      <c r="AD273" s="204"/>
      <c r="AH273" s="637"/>
      <c r="AI273" s="61"/>
      <c r="AJ273" s="61"/>
      <c r="AK273" s="61"/>
      <c r="AL273" s="61"/>
      <c r="AM273" s="61"/>
      <c r="AN273" s="61"/>
      <c r="AO273" s="61"/>
    </row>
    <row r="274" spans="3:41" x14ac:dyDescent="0.25">
      <c r="C274" s="90"/>
      <c r="F274" s="78"/>
      <c r="G274" s="90"/>
      <c r="J274" s="78"/>
      <c r="K274" s="90"/>
      <c r="N274" s="78"/>
      <c r="O274" s="24"/>
      <c r="P274" s="204"/>
      <c r="Q274" s="204"/>
      <c r="R274" s="204"/>
      <c r="S274" s="205"/>
      <c r="T274" s="205"/>
      <c r="U274" s="205"/>
      <c r="V274" s="205"/>
      <c r="W274" s="205"/>
      <c r="Z274" s="204"/>
      <c r="AB274" s="204"/>
      <c r="AC274" s="204"/>
      <c r="AD274" s="204"/>
      <c r="AH274" s="637"/>
      <c r="AI274" s="61"/>
      <c r="AJ274" s="61"/>
      <c r="AK274" s="61"/>
      <c r="AL274" s="61"/>
      <c r="AM274" s="61"/>
      <c r="AN274" s="61"/>
      <c r="AO274" s="61"/>
    </row>
    <row r="275" spans="3:41" x14ac:dyDescent="0.25">
      <c r="C275" s="90"/>
      <c r="F275" s="78"/>
      <c r="G275" s="90"/>
      <c r="J275" s="78"/>
      <c r="K275" s="90"/>
      <c r="N275" s="78"/>
      <c r="O275" s="24"/>
      <c r="P275" s="204"/>
      <c r="Q275" s="204"/>
      <c r="R275" s="204"/>
      <c r="S275" s="205"/>
      <c r="T275" s="205"/>
      <c r="U275" s="205"/>
      <c r="V275" s="205"/>
      <c r="W275" s="205"/>
      <c r="Z275" s="204"/>
      <c r="AB275" s="204"/>
      <c r="AC275" s="204"/>
      <c r="AD275" s="204"/>
      <c r="AH275" s="637"/>
      <c r="AI275" s="61"/>
      <c r="AJ275" s="61"/>
      <c r="AK275" s="61"/>
      <c r="AL275" s="61"/>
      <c r="AM275" s="61"/>
      <c r="AN275" s="61"/>
      <c r="AO275" s="61"/>
    </row>
    <row r="276" spans="3:41" x14ac:dyDescent="0.25">
      <c r="C276" s="90"/>
      <c r="F276" s="78"/>
      <c r="G276" s="90"/>
      <c r="J276" s="78"/>
      <c r="K276" s="90"/>
      <c r="N276" s="78"/>
      <c r="O276" s="24"/>
      <c r="P276" s="204"/>
      <c r="Q276" s="204"/>
      <c r="R276" s="204"/>
      <c r="S276" s="205"/>
      <c r="T276" s="205"/>
      <c r="U276" s="205"/>
      <c r="V276" s="205"/>
      <c r="W276" s="205"/>
      <c r="Z276" s="204"/>
      <c r="AB276" s="204"/>
      <c r="AC276" s="204"/>
      <c r="AD276" s="204"/>
      <c r="AH276" s="637"/>
      <c r="AI276" s="61"/>
      <c r="AJ276" s="61"/>
      <c r="AK276" s="61"/>
      <c r="AL276" s="61"/>
      <c r="AM276" s="61"/>
      <c r="AN276" s="61"/>
      <c r="AO276" s="61"/>
    </row>
    <row r="277" spans="3:41" x14ac:dyDescent="0.25">
      <c r="C277" s="90"/>
      <c r="F277" s="78"/>
      <c r="G277" s="90"/>
      <c r="J277" s="78"/>
      <c r="K277" s="90"/>
      <c r="N277" s="78"/>
      <c r="O277" s="24"/>
      <c r="P277" s="204"/>
      <c r="Q277" s="204"/>
      <c r="R277" s="204"/>
      <c r="S277" s="205"/>
      <c r="T277" s="205"/>
      <c r="U277" s="205"/>
      <c r="V277" s="205"/>
      <c r="W277" s="205"/>
      <c r="Z277" s="204"/>
      <c r="AB277" s="204"/>
      <c r="AC277" s="204"/>
      <c r="AD277" s="204"/>
      <c r="AH277" s="637"/>
      <c r="AI277" s="61"/>
      <c r="AJ277" s="61"/>
      <c r="AK277" s="61"/>
      <c r="AL277" s="61"/>
      <c r="AM277" s="61"/>
      <c r="AN277" s="61"/>
      <c r="AO277" s="61"/>
    </row>
    <row r="278" spans="3:41" x14ac:dyDescent="0.25">
      <c r="C278" s="90"/>
      <c r="F278" s="78"/>
      <c r="G278" s="90"/>
      <c r="J278" s="78"/>
      <c r="K278" s="90"/>
      <c r="N278" s="78"/>
      <c r="O278" s="24"/>
      <c r="P278" s="204"/>
      <c r="Q278" s="204"/>
      <c r="R278" s="204"/>
      <c r="S278" s="205"/>
      <c r="T278" s="205"/>
      <c r="U278" s="205"/>
      <c r="V278" s="205"/>
      <c r="W278" s="205"/>
      <c r="Z278" s="204"/>
      <c r="AB278" s="204"/>
      <c r="AC278" s="204"/>
      <c r="AD278" s="204"/>
      <c r="AH278" s="637"/>
      <c r="AI278" s="61"/>
      <c r="AJ278" s="61"/>
      <c r="AK278" s="61"/>
      <c r="AL278" s="61"/>
      <c r="AM278" s="61"/>
      <c r="AN278" s="61"/>
      <c r="AO278" s="61"/>
    </row>
    <row r="279" spans="3:41" x14ac:dyDescent="0.25">
      <c r="C279" s="90"/>
      <c r="F279" s="78"/>
      <c r="G279" s="90"/>
      <c r="J279" s="78"/>
      <c r="K279" s="90"/>
      <c r="N279" s="78"/>
      <c r="O279" s="24"/>
      <c r="P279" s="204"/>
      <c r="Q279" s="204"/>
      <c r="R279" s="204"/>
      <c r="S279" s="205"/>
      <c r="T279" s="205"/>
      <c r="U279" s="205"/>
      <c r="V279" s="205"/>
      <c r="W279" s="205"/>
      <c r="Z279" s="204"/>
      <c r="AB279" s="204"/>
      <c r="AC279" s="204"/>
      <c r="AD279" s="204"/>
      <c r="AH279" s="637"/>
      <c r="AI279" s="61"/>
      <c r="AJ279" s="61"/>
      <c r="AK279" s="61"/>
      <c r="AL279" s="61"/>
      <c r="AM279" s="61"/>
      <c r="AN279" s="61"/>
      <c r="AO279" s="61"/>
    </row>
    <row r="280" spans="3:41" x14ac:dyDescent="0.25">
      <c r="C280" s="90"/>
      <c r="F280" s="78"/>
      <c r="G280" s="90"/>
      <c r="J280" s="78"/>
      <c r="K280" s="90"/>
      <c r="N280" s="78"/>
      <c r="O280" s="24"/>
      <c r="P280" s="204"/>
      <c r="Q280" s="204"/>
      <c r="R280" s="204"/>
      <c r="S280" s="205"/>
      <c r="T280" s="205"/>
      <c r="U280" s="205"/>
      <c r="V280" s="205"/>
      <c r="W280" s="205"/>
      <c r="Z280" s="204"/>
      <c r="AB280" s="204"/>
      <c r="AC280" s="204"/>
      <c r="AD280" s="204"/>
      <c r="AH280" s="637"/>
      <c r="AI280" s="61"/>
      <c r="AJ280" s="61"/>
      <c r="AK280" s="61"/>
      <c r="AL280" s="61"/>
      <c r="AM280" s="61"/>
      <c r="AN280" s="61"/>
      <c r="AO280" s="61"/>
    </row>
    <row r="281" spans="3:41" x14ac:dyDescent="0.25">
      <c r="C281" s="90"/>
      <c r="F281" s="78"/>
      <c r="G281" s="90"/>
      <c r="J281" s="78"/>
      <c r="K281" s="90"/>
      <c r="N281" s="78"/>
      <c r="O281" s="24"/>
      <c r="P281" s="204"/>
      <c r="Q281" s="204"/>
      <c r="R281" s="204"/>
      <c r="S281" s="205"/>
      <c r="T281" s="205"/>
      <c r="U281" s="205"/>
      <c r="V281" s="205"/>
      <c r="W281" s="205"/>
      <c r="Z281" s="204"/>
      <c r="AB281" s="204"/>
      <c r="AC281" s="204"/>
      <c r="AD281" s="204"/>
      <c r="AH281" s="637"/>
      <c r="AI281" s="61"/>
      <c r="AJ281" s="61"/>
      <c r="AK281" s="61"/>
      <c r="AL281" s="61"/>
      <c r="AM281" s="61"/>
      <c r="AN281" s="61"/>
      <c r="AO281" s="61"/>
    </row>
    <row r="282" spans="3:41" x14ac:dyDescent="0.25">
      <c r="C282" s="90"/>
      <c r="F282" s="78"/>
      <c r="G282" s="90"/>
      <c r="J282" s="78"/>
      <c r="K282" s="90"/>
      <c r="N282" s="78"/>
      <c r="O282" s="24"/>
      <c r="P282" s="204"/>
      <c r="Q282" s="204"/>
      <c r="R282" s="204"/>
      <c r="S282" s="205"/>
      <c r="T282" s="205"/>
      <c r="U282" s="205"/>
      <c r="V282" s="205"/>
      <c r="W282" s="205"/>
      <c r="Z282" s="204"/>
      <c r="AB282" s="204"/>
      <c r="AC282" s="204"/>
      <c r="AD282" s="204"/>
      <c r="AH282" s="637"/>
      <c r="AI282" s="61"/>
      <c r="AJ282" s="61"/>
      <c r="AK282" s="61"/>
      <c r="AL282" s="61"/>
      <c r="AM282" s="61"/>
      <c r="AN282" s="61"/>
      <c r="AO282" s="61"/>
    </row>
    <row r="283" spans="3:41" x14ac:dyDescent="0.25">
      <c r="C283" s="90"/>
      <c r="F283" s="78"/>
      <c r="G283" s="90"/>
      <c r="J283" s="78"/>
      <c r="K283" s="90"/>
      <c r="N283" s="78"/>
      <c r="O283" s="24"/>
      <c r="P283" s="204"/>
      <c r="Q283" s="204"/>
      <c r="R283" s="204"/>
      <c r="S283" s="205"/>
      <c r="T283" s="205"/>
      <c r="U283" s="205"/>
      <c r="V283" s="205"/>
      <c r="W283" s="205"/>
      <c r="Z283" s="204"/>
      <c r="AB283" s="204"/>
      <c r="AC283" s="204"/>
      <c r="AD283" s="204"/>
      <c r="AH283" s="637"/>
      <c r="AI283" s="61"/>
      <c r="AJ283" s="61"/>
      <c r="AK283" s="61"/>
      <c r="AL283" s="61"/>
      <c r="AM283" s="61"/>
      <c r="AN283" s="61"/>
      <c r="AO283" s="61"/>
    </row>
    <row r="284" spans="3:41" x14ac:dyDescent="0.25">
      <c r="C284" s="90"/>
      <c r="F284" s="78"/>
      <c r="G284" s="90"/>
      <c r="J284" s="78"/>
      <c r="K284" s="90"/>
      <c r="N284" s="78"/>
      <c r="O284" s="24"/>
      <c r="P284" s="204"/>
      <c r="Q284" s="204"/>
      <c r="R284" s="204"/>
      <c r="S284" s="205"/>
      <c r="T284" s="205"/>
      <c r="U284" s="205"/>
      <c r="V284" s="205"/>
      <c r="W284" s="205"/>
      <c r="Z284" s="204"/>
      <c r="AB284" s="204"/>
      <c r="AC284" s="204"/>
      <c r="AD284" s="204"/>
      <c r="AH284" s="637"/>
      <c r="AI284" s="61"/>
      <c r="AJ284" s="61"/>
      <c r="AK284" s="61"/>
      <c r="AL284" s="61"/>
      <c r="AM284" s="61"/>
      <c r="AN284" s="61"/>
      <c r="AO284" s="61"/>
    </row>
    <row r="285" spans="3:41" x14ac:dyDescent="0.25">
      <c r="C285" s="90"/>
      <c r="F285" s="78"/>
      <c r="G285" s="90"/>
      <c r="J285" s="78"/>
      <c r="K285" s="90"/>
      <c r="N285" s="78"/>
      <c r="O285" s="24"/>
      <c r="P285" s="204"/>
      <c r="Q285" s="204"/>
      <c r="R285" s="204"/>
      <c r="S285" s="205"/>
      <c r="T285" s="205"/>
      <c r="U285" s="205"/>
      <c r="V285" s="205"/>
      <c r="W285" s="205"/>
      <c r="Z285" s="204"/>
      <c r="AB285" s="204"/>
      <c r="AC285" s="204"/>
      <c r="AD285" s="204"/>
      <c r="AH285" s="637"/>
      <c r="AI285" s="61"/>
      <c r="AJ285" s="61"/>
      <c r="AK285" s="61"/>
      <c r="AL285" s="61"/>
      <c r="AM285" s="61"/>
      <c r="AN285" s="61"/>
      <c r="AO285" s="61"/>
    </row>
    <row r="286" spans="3:41" x14ac:dyDescent="0.25">
      <c r="C286" s="90"/>
      <c r="F286" s="78"/>
      <c r="G286" s="90"/>
      <c r="J286" s="78"/>
      <c r="K286" s="90"/>
      <c r="N286" s="78"/>
      <c r="O286" s="24"/>
      <c r="P286" s="204"/>
      <c r="Q286" s="204"/>
      <c r="R286" s="204"/>
      <c r="S286" s="205"/>
      <c r="T286" s="205"/>
      <c r="U286" s="205"/>
      <c r="V286" s="205"/>
      <c r="W286" s="205"/>
      <c r="Z286" s="204"/>
      <c r="AB286" s="204"/>
      <c r="AC286" s="204"/>
      <c r="AD286" s="204"/>
      <c r="AH286" s="637"/>
      <c r="AI286" s="61"/>
      <c r="AJ286" s="61"/>
      <c r="AK286" s="61"/>
      <c r="AL286" s="61"/>
      <c r="AM286" s="61"/>
      <c r="AN286" s="61"/>
      <c r="AO286" s="61"/>
    </row>
    <row r="287" spans="3:41" x14ac:dyDescent="0.25">
      <c r="C287" s="90"/>
      <c r="F287" s="78"/>
      <c r="G287" s="90"/>
      <c r="J287" s="78"/>
      <c r="K287" s="90"/>
      <c r="N287" s="78"/>
      <c r="O287" s="24"/>
      <c r="P287" s="204"/>
      <c r="Q287" s="204"/>
      <c r="R287" s="204"/>
      <c r="S287" s="205"/>
      <c r="T287" s="205"/>
      <c r="U287" s="205"/>
      <c r="V287" s="205"/>
      <c r="W287" s="205"/>
      <c r="Z287" s="204"/>
      <c r="AB287" s="204"/>
      <c r="AC287" s="204"/>
      <c r="AD287" s="204"/>
      <c r="AH287" s="637"/>
      <c r="AI287" s="61"/>
      <c r="AJ287" s="61"/>
      <c r="AK287" s="61"/>
      <c r="AL287" s="61"/>
      <c r="AM287" s="61"/>
      <c r="AN287" s="61"/>
      <c r="AO287" s="61"/>
    </row>
    <row r="288" spans="3:41" x14ac:dyDescent="0.25">
      <c r="C288" s="90"/>
      <c r="F288" s="78"/>
      <c r="G288" s="90"/>
      <c r="J288" s="78"/>
      <c r="K288" s="90"/>
      <c r="N288" s="78"/>
      <c r="O288" s="24"/>
      <c r="P288" s="204"/>
      <c r="Q288" s="204"/>
      <c r="R288" s="204"/>
      <c r="S288" s="205"/>
      <c r="T288" s="205"/>
      <c r="U288" s="205"/>
      <c r="V288" s="205"/>
      <c r="W288" s="205"/>
      <c r="Z288" s="204"/>
      <c r="AB288" s="204"/>
      <c r="AC288" s="204"/>
      <c r="AD288" s="204"/>
      <c r="AH288" s="637"/>
      <c r="AI288" s="61"/>
      <c r="AJ288" s="61"/>
      <c r="AK288" s="61"/>
      <c r="AL288" s="61"/>
      <c r="AM288" s="61"/>
      <c r="AN288" s="61"/>
      <c r="AO288" s="61"/>
    </row>
    <row r="289" spans="3:41" x14ac:dyDescent="0.25">
      <c r="C289" s="90"/>
      <c r="F289" s="78"/>
      <c r="G289" s="90"/>
      <c r="J289" s="78"/>
      <c r="K289" s="90"/>
      <c r="N289" s="78"/>
      <c r="O289" s="24"/>
      <c r="P289" s="204"/>
      <c r="Q289" s="204"/>
      <c r="R289" s="204"/>
      <c r="S289" s="205"/>
      <c r="T289" s="205"/>
      <c r="U289" s="205"/>
      <c r="V289" s="205"/>
      <c r="W289" s="205"/>
      <c r="Z289" s="204"/>
      <c r="AB289" s="204"/>
      <c r="AC289" s="204"/>
      <c r="AD289" s="204"/>
      <c r="AH289" s="637"/>
      <c r="AI289" s="61"/>
      <c r="AJ289" s="61"/>
      <c r="AK289" s="61"/>
      <c r="AL289" s="61"/>
      <c r="AM289" s="61"/>
      <c r="AN289" s="61"/>
      <c r="AO289" s="61"/>
    </row>
    <row r="290" spans="3:41" x14ac:dyDescent="0.25">
      <c r="C290" s="90"/>
      <c r="F290" s="78"/>
      <c r="G290" s="90"/>
      <c r="J290" s="78"/>
      <c r="K290" s="90"/>
      <c r="N290" s="78"/>
      <c r="O290" s="24"/>
      <c r="P290" s="204"/>
      <c r="Q290" s="204"/>
      <c r="R290" s="204"/>
      <c r="S290" s="205"/>
      <c r="T290" s="205"/>
      <c r="U290" s="205"/>
      <c r="V290" s="205"/>
      <c r="W290" s="205"/>
      <c r="Z290" s="204"/>
      <c r="AB290" s="204"/>
      <c r="AC290" s="204"/>
      <c r="AD290" s="204"/>
      <c r="AH290" s="637"/>
      <c r="AI290" s="61"/>
      <c r="AJ290" s="61"/>
      <c r="AK290" s="61"/>
      <c r="AL290" s="61"/>
      <c r="AM290" s="61"/>
      <c r="AN290" s="61"/>
      <c r="AO290" s="61"/>
    </row>
    <row r="291" spans="3:41" x14ac:dyDescent="0.25">
      <c r="C291" s="90"/>
      <c r="F291" s="78"/>
      <c r="G291" s="90"/>
      <c r="J291" s="78"/>
      <c r="K291" s="90"/>
      <c r="N291" s="78"/>
      <c r="O291" s="24"/>
      <c r="P291" s="204"/>
      <c r="Q291" s="204"/>
      <c r="R291" s="204"/>
      <c r="S291" s="205"/>
      <c r="T291" s="205"/>
      <c r="U291" s="205"/>
      <c r="V291" s="205"/>
      <c r="W291" s="205"/>
      <c r="Z291" s="204"/>
      <c r="AB291" s="204"/>
      <c r="AC291" s="204"/>
      <c r="AD291" s="204"/>
      <c r="AH291" s="637"/>
      <c r="AI291" s="61"/>
      <c r="AJ291" s="61"/>
      <c r="AK291" s="61"/>
      <c r="AL291" s="61"/>
      <c r="AM291" s="61"/>
      <c r="AN291" s="61"/>
      <c r="AO291" s="61"/>
    </row>
    <row r="292" spans="3:41" x14ac:dyDescent="0.25">
      <c r="C292" s="90"/>
      <c r="F292" s="78"/>
      <c r="G292" s="90"/>
      <c r="J292" s="78"/>
      <c r="K292" s="90"/>
      <c r="N292" s="78"/>
      <c r="O292" s="24"/>
      <c r="P292" s="204"/>
      <c r="Q292" s="204"/>
      <c r="R292" s="204"/>
      <c r="S292" s="205"/>
      <c r="T292" s="205"/>
      <c r="U292" s="205"/>
      <c r="V292" s="205"/>
      <c r="W292" s="205"/>
      <c r="Z292" s="204"/>
      <c r="AB292" s="204"/>
      <c r="AC292" s="204"/>
      <c r="AD292" s="204"/>
      <c r="AH292" s="637"/>
      <c r="AI292" s="61"/>
      <c r="AJ292" s="61"/>
      <c r="AK292" s="61"/>
      <c r="AL292" s="61"/>
      <c r="AM292" s="61"/>
      <c r="AN292" s="61"/>
      <c r="AO292" s="61"/>
    </row>
    <row r="293" spans="3:41" x14ac:dyDescent="0.25">
      <c r="C293" s="90"/>
      <c r="F293" s="78"/>
      <c r="G293" s="90"/>
      <c r="J293" s="78"/>
      <c r="K293" s="90"/>
      <c r="N293" s="78"/>
      <c r="O293" s="24"/>
      <c r="P293" s="204"/>
      <c r="Q293" s="204"/>
      <c r="R293" s="204"/>
      <c r="S293" s="205"/>
      <c r="T293" s="205"/>
      <c r="U293" s="205"/>
      <c r="V293" s="205"/>
      <c r="W293" s="205"/>
      <c r="Z293" s="204"/>
      <c r="AB293" s="204"/>
      <c r="AC293" s="204"/>
      <c r="AD293" s="204"/>
      <c r="AH293" s="637"/>
      <c r="AI293" s="61"/>
      <c r="AJ293" s="61"/>
      <c r="AK293" s="61"/>
      <c r="AL293" s="61"/>
      <c r="AM293" s="61"/>
      <c r="AN293" s="61"/>
      <c r="AO293" s="61"/>
    </row>
    <row r="294" spans="3:41" x14ac:dyDescent="0.25">
      <c r="C294" s="90"/>
      <c r="F294" s="78"/>
      <c r="G294" s="90"/>
      <c r="J294" s="78"/>
      <c r="K294" s="90"/>
      <c r="N294" s="78"/>
      <c r="O294" s="24"/>
      <c r="P294" s="204"/>
      <c r="Q294" s="204"/>
      <c r="R294" s="204"/>
      <c r="S294" s="205"/>
      <c r="T294" s="205"/>
      <c r="U294" s="205"/>
      <c r="V294" s="205"/>
      <c r="W294" s="205"/>
      <c r="Z294" s="204"/>
      <c r="AB294" s="204"/>
      <c r="AC294" s="204"/>
      <c r="AD294" s="204"/>
      <c r="AH294" s="637"/>
      <c r="AI294" s="61"/>
      <c r="AJ294" s="61"/>
      <c r="AK294" s="61"/>
      <c r="AL294" s="61"/>
      <c r="AM294" s="61"/>
      <c r="AN294" s="61"/>
      <c r="AO294" s="61"/>
    </row>
    <row r="295" spans="3:41" x14ac:dyDescent="0.25">
      <c r="C295" s="90"/>
      <c r="F295" s="78"/>
      <c r="G295" s="90"/>
      <c r="J295" s="78"/>
      <c r="K295" s="90"/>
      <c r="N295" s="78"/>
      <c r="O295" s="24"/>
      <c r="P295" s="204"/>
      <c r="Q295" s="204"/>
      <c r="R295" s="204"/>
      <c r="S295" s="205"/>
      <c r="T295" s="205"/>
      <c r="U295" s="205"/>
      <c r="V295" s="205"/>
      <c r="W295" s="205"/>
      <c r="Z295" s="204"/>
      <c r="AB295" s="204"/>
      <c r="AC295" s="204"/>
      <c r="AD295" s="204"/>
      <c r="AH295" s="637"/>
      <c r="AI295" s="61"/>
      <c r="AJ295" s="61"/>
      <c r="AK295" s="61"/>
      <c r="AL295" s="61"/>
      <c r="AM295" s="61"/>
      <c r="AN295" s="61"/>
      <c r="AO295" s="61"/>
    </row>
    <row r="296" spans="3:41" x14ac:dyDescent="0.25">
      <c r="C296" s="90"/>
      <c r="F296" s="78"/>
      <c r="G296" s="90"/>
      <c r="J296" s="78"/>
      <c r="K296" s="90"/>
      <c r="N296" s="78"/>
      <c r="O296" s="24"/>
      <c r="P296" s="204"/>
      <c r="Q296" s="204"/>
      <c r="R296" s="204"/>
      <c r="S296" s="205"/>
      <c r="T296" s="205"/>
      <c r="U296" s="205"/>
      <c r="V296" s="205"/>
      <c r="W296" s="205"/>
      <c r="Z296" s="204"/>
      <c r="AB296" s="204"/>
      <c r="AC296" s="204"/>
      <c r="AD296" s="204"/>
      <c r="AH296" s="637"/>
      <c r="AI296" s="61"/>
      <c r="AJ296" s="61"/>
      <c r="AK296" s="61"/>
      <c r="AL296" s="61"/>
      <c r="AM296" s="61"/>
      <c r="AN296" s="61"/>
      <c r="AO296" s="61"/>
    </row>
    <row r="297" spans="3:41" x14ac:dyDescent="0.25">
      <c r="C297" s="90"/>
      <c r="F297" s="78"/>
      <c r="G297" s="90"/>
      <c r="J297" s="78"/>
      <c r="K297" s="90"/>
      <c r="N297" s="78"/>
      <c r="O297" s="24"/>
      <c r="P297" s="204"/>
      <c r="Q297" s="204"/>
      <c r="R297" s="204"/>
      <c r="S297" s="205"/>
      <c r="T297" s="205"/>
      <c r="U297" s="205"/>
      <c r="V297" s="205"/>
      <c r="W297" s="205"/>
      <c r="Z297" s="204"/>
      <c r="AB297" s="204"/>
      <c r="AC297" s="204"/>
      <c r="AD297" s="204"/>
      <c r="AH297" s="637"/>
      <c r="AI297" s="61"/>
      <c r="AJ297" s="61"/>
      <c r="AK297" s="61"/>
      <c r="AL297" s="61"/>
      <c r="AM297" s="61"/>
      <c r="AN297" s="61"/>
      <c r="AO297" s="61"/>
    </row>
    <row r="298" spans="3:41" x14ac:dyDescent="0.25">
      <c r="C298" s="90"/>
      <c r="F298" s="78"/>
      <c r="G298" s="90"/>
      <c r="J298" s="78"/>
      <c r="K298" s="90"/>
      <c r="N298" s="78"/>
      <c r="O298" s="24"/>
      <c r="P298" s="204"/>
      <c r="Q298" s="204"/>
      <c r="R298" s="204"/>
      <c r="S298" s="205"/>
      <c r="T298" s="205"/>
      <c r="U298" s="205"/>
      <c r="V298" s="205"/>
      <c r="W298" s="205"/>
      <c r="Z298" s="204"/>
      <c r="AB298" s="204"/>
      <c r="AC298" s="204"/>
      <c r="AD298" s="204"/>
      <c r="AH298" s="637"/>
      <c r="AI298" s="61"/>
      <c r="AJ298" s="61"/>
      <c r="AK298" s="61"/>
      <c r="AL298" s="61"/>
      <c r="AM298" s="61"/>
      <c r="AN298" s="61"/>
      <c r="AO298" s="61"/>
    </row>
    <row r="299" spans="3:41" x14ac:dyDescent="0.25">
      <c r="C299" s="90"/>
      <c r="F299" s="78"/>
      <c r="G299" s="90"/>
      <c r="J299" s="78"/>
      <c r="K299" s="90"/>
      <c r="N299" s="78"/>
      <c r="O299" s="24"/>
      <c r="P299" s="204"/>
      <c r="Q299" s="204"/>
      <c r="R299" s="204"/>
      <c r="S299" s="205"/>
      <c r="T299" s="205"/>
      <c r="U299" s="205"/>
      <c r="V299" s="205"/>
      <c r="W299" s="205"/>
      <c r="Z299" s="204"/>
      <c r="AB299" s="204"/>
      <c r="AC299" s="204"/>
      <c r="AD299" s="204"/>
      <c r="AH299" s="637"/>
      <c r="AI299" s="61"/>
      <c r="AJ299" s="61"/>
      <c r="AK299" s="61"/>
      <c r="AL299" s="61"/>
      <c r="AM299" s="61"/>
      <c r="AN299" s="61"/>
      <c r="AO299" s="61"/>
    </row>
    <row r="300" spans="3:41" x14ac:dyDescent="0.25">
      <c r="C300" s="90"/>
      <c r="F300" s="78"/>
      <c r="G300" s="90"/>
      <c r="J300" s="78"/>
      <c r="K300" s="90"/>
      <c r="N300" s="78"/>
      <c r="O300" s="24"/>
      <c r="P300" s="204"/>
      <c r="Q300" s="204"/>
      <c r="R300" s="204"/>
      <c r="S300" s="205"/>
      <c r="T300" s="205"/>
      <c r="U300" s="205"/>
      <c r="V300" s="205"/>
      <c r="W300" s="205"/>
      <c r="Z300" s="204"/>
      <c r="AB300" s="204"/>
      <c r="AC300" s="204"/>
      <c r="AD300" s="204"/>
      <c r="AH300" s="637"/>
      <c r="AI300" s="61"/>
      <c r="AJ300" s="61"/>
      <c r="AK300" s="61"/>
      <c r="AL300" s="61"/>
      <c r="AM300" s="61"/>
      <c r="AN300" s="61"/>
      <c r="AO300" s="61"/>
    </row>
    <row r="301" spans="3:41" x14ac:dyDescent="0.25">
      <c r="C301" s="90"/>
      <c r="F301" s="78"/>
      <c r="G301" s="90"/>
      <c r="J301" s="78"/>
      <c r="K301" s="90"/>
      <c r="N301" s="78"/>
      <c r="O301" s="24"/>
      <c r="P301" s="204"/>
      <c r="Q301" s="204"/>
      <c r="R301" s="204"/>
      <c r="S301" s="205"/>
      <c r="T301" s="205"/>
      <c r="U301" s="205"/>
      <c r="V301" s="205"/>
      <c r="W301" s="205"/>
      <c r="Z301" s="204"/>
      <c r="AB301" s="204"/>
      <c r="AC301" s="204"/>
      <c r="AD301" s="204"/>
      <c r="AH301" s="637"/>
      <c r="AI301" s="61"/>
      <c r="AJ301" s="61"/>
      <c r="AK301" s="61"/>
      <c r="AL301" s="61"/>
      <c r="AM301" s="61"/>
      <c r="AN301" s="61"/>
      <c r="AO301" s="61"/>
    </row>
    <row r="302" spans="3:41" x14ac:dyDescent="0.25">
      <c r="C302" s="90"/>
      <c r="F302" s="78"/>
      <c r="G302" s="90"/>
      <c r="J302" s="78"/>
      <c r="K302" s="90"/>
      <c r="N302" s="78"/>
      <c r="O302" s="24"/>
      <c r="P302" s="204"/>
      <c r="Q302" s="204"/>
      <c r="R302" s="204"/>
      <c r="S302" s="205"/>
      <c r="T302" s="205"/>
      <c r="U302" s="205"/>
      <c r="V302" s="205"/>
      <c r="W302" s="205"/>
      <c r="Z302" s="204"/>
      <c r="AB302" s="204"/>
      <c r="AC302" s="204"/>
      <c r="AD302" s="204"/>
      <c r="AH302" s="637"/>
      <c r="AI302" s="61"/>
      <c r="AJ302" s="61"/>
      <c r="AK302" s="61"/>
      <c r="AL302" s="61"/>
      <c r="AM302" s="61"/>
      <c r="AN302" s="61"/>
      <c r="AO302" s="61"/>
    </row>
    <row r="303" spans="3:41" x14ac:dyDescent="0.25">
      <c r="C303" s="90"/>
      <c r="F303" s="78"/>
      <c r="G303" s="90"/>
      <c r="J303" s="78"/>
      <c r="K303" s="90"/>
      <c r="N303" s="78"/>
      <c r="O303" s="24"/>
      <c r="P303" s="204"/>
      <c r="Q303" s="204"/>
      <c r="R303" s="204"/>
      <c r="S303" s="205"/>
      <c r="T303" s="205"/>
      <c r="U303" s="205"/>
      <c r="V303" s="205"/>
      <c r="W303" s="205"/>
      <c r="Z303" s="204"/>
      <c r="AB303" s="204"/>
      <c r="AC303" s="204"/>
      <c r="AD303" s="204"/>
      <c r="AH303" s="637"/>
      <c r="AI303" s="61"/>
      <c r="AJ303" s="61"/>
      <c r="AK303" s="61"/>
      <c r="AL303" s="61"/>
      <c r="AM303" s="61"/>
      <c r="AN303" s="61"/>
      <c r="AO303" s="61"/>
    </row>
    <row r="304" spans="3:41" x14ac:dyDescent="0.25">
      <c r="C304" s="90"/>
      <c r="F304" s="78"/>
      <c r="G304" s="90"/>
      <c r="J304" s="78"/>
      <c r="K304" s="90"/>
      <c r="N304" s="78"/>
      <c r="O304" s="24"/>
      <c r="P304" s="204"/>
      <c r="Q304" s="204"/>
      <c r="R304" s="204"/>
      <c r="S304" s="205"/>
      <c r="T304" s="205"/>
      <c r="U304" s="205"/>
      <c r="V304" s="205"/>
      <c r="W304" s="205"/>
      <c r="Z304" s="204"/>
      <c r="AB304" s="204"/>
      <c r="AC304" s="204"/>
      <c r="AD304" s="204"/>
      <c r="AH304" s="637"/>
      <c r="AI304" s="61"/>
      <c r="AJ304" s="61"/>
      <c r="AK304" s="61"/>
      <c r="AL304" s="61"/>
      <c r="AM304" s="61"/>
      <c r="AN304" s="61"/>
      <c r="AO304" s="61"/>
    </row>
    <row r="305" spans="3:41" x14ac:dyDescent="0.25">
      <c r="C305" s="90"/>
      <c r="F305" s="78"/>
      <c r="G305" s="90"/>
      <c r="J305" s="78"/>
      <c r="K305" s="90"/>
      <c r="N305" s="78"/>
      <c r="O305" s="24"/>
      <c r="P305" s="204"/>
      <c r="Q305" s="204"/>
      <c r="R305" s="204"/>
      <c r="S305" s="205"/>
      <c r="T305" s="205"/>
      <c r="U305" s="205"/>
      <c r="V305" s="205"/>
      <c r="W305" s="205"/>
      <c r="Z305" s="204"/>
      <c r="AB305" s="204"/>
      <c r="AC305" s="204"/>
      <c r="AD305" s="204"/>
      <c r="AH305" s="637"/>
      <c r="AI305" s="61"/>
      <c r="AJ305" s="61"/>
      <c r="AK305" s="61"/>
      <c r="AL305" s="61"/>
      <c r="AM305" s="61"/>
      <c r="AN305" s="61"/>
      <c r="AO305" s="61"/>
    </row>
    <row r="306" spans="3:41" x14ac:dyDescent="0.25">
      <c r="C306" s="90"/>
      <c r="F306" s="78"/>
      <c r="G306" s="90"/>
      <c r="J306" s="78"/>
      <c r="K306" s="90"/>
      <c r="N306" s="78"/>
      <c r="O306" s="24"/>
      <c r="P306" s="204"/>
      <c r="Q306" s="204"/>
      <c r="R306" s="204"/>
      <c r="S306" s="205"/>
      <c r="T306" s="205"/>
      <c r="U306" s="205"/>
      <c r="V306" s="205"/>
      <c r="W306" s="205"/>
      <c r="Z306" s="204"/>
      <c r="AB306" s="204"/>
      <c r="AC306" s="204"/>
      <c r="AD306" s="204"/>
      <c r="AH306" s="637"/>
      <c r="AI306" s="61"/>
      <c r="AJ306" s="61"/>
      <c r="AK306" s="61"/>
      <c r="AL306" s="61"/>
      <c r="AM306" s="61"/>
      <c r="AN306" s="61"/>
      <c r="AO306" s="61"/>
    </row>
    <row r="307" spans="3:41" x14ac:dyDescent="0.25">
      <c r="C307" s="90"/>
      <c r="F307" s="78"/>
      <c r="G307" s="90"/>
      <c r="J307" s="78"/>
      <c r="K307" s="90"/>
      <c r="N307" s="78"/>
      <c r="O307" s="24"/>
      <c r="P307" s="204"/>
      <c r="Q307" s="204"/>
      <c r="R307" s="204"/>
      <c r="S307" s="205"/>
      <c r="T307" s="205"/>
      <c r="U307" s="205"/>
      <c r="V307" s="205"/>
      <c r="W307" s="205"/>
      <c r="Z307" s="204"/>
      <c r="AB307" s="204"/>
      <c r="AC307" s="204"/>
      <c r="AD307" s="204"/>
      <c r="AH307" s="637"/>
      <c r="AI307" s="61"/>
      <c r="AJ307" s="61"/>
      <c r="AK307" s="61"/>
      <c r="AL307" s="61"/>
      <c r="AM307" s="61"/>
      <c r="AN307" s="61"/>
      <c r="AO307" s="61"/>
    </row>
    <row r="308" spans="3:41" x14ac:dyDescent="0.25">
      <c r="C308" s="90"/>
      <c r="F308" s="78"/>
      <c r="G308" s="90"/>
      <c r="J308" s="78"/>
      <c r="K308" s="90"/>
      <c r="N308" s="78"/>
      <c r="O308" s="24"/>
      <c r="P308" s="204"/>
      <c r="Q308" s="204"/>
      <c r="R308" s="204"/>
      <c r="S308" s="205"/>
      <c r="T308" s="205"/>
      <c r="U308" s="205"/>
      <c r="V308" s="205"/>
      <c r="W308" s="205"/>
      <c r="Z308" s="204"/>
      <c r="AB308" s="204"/>
      <c r="AC308" s="204"/>
      <c r="AD308" s="204"/>
      <c r="AH308" s="637"/>
      <c r="AI308" s="61"/>
      <c r="AJ308" s="61"/>
      <c r="AK308" s="61"/>
      <c r="AL308" s="61"/>
      <c r="AM308" s="61"/>
      <c r="AN308" s="61"/>
      <c r="AO308" s="61"/>
    </row>
    <row r="309" spans="3:41" x14ac:dyDescent="0.25">
      <c r="C309" s="90"/>
      <c r="F309" s="78"/>
      <c r="G309" s="90"/>
      <c r="J309" s="78"/>
      <c r="K309" s="90"/>
      <c r="N309" s="78"/>
      <c r="O309" s="24"/>
      <c r="P309" s="204"/>
      <c r="Q309" s="204"/>
      <c r="R309" s="204"/>
      <c r="S309" s="205"/>
      <c r="T309" s="205"/>
      <c r="U309" s="205"/>
      <c r="V309" s="205"/>
      <c r="W309" s="205"/>
      <c r="Z309" s="204"/>
      <c r="AB309" s="204"/>
      <c r="AC309" s="204"/>
      <c r="AD309" s="204"/>
      <c r="AH309" s="637"/>
      <c r="AI309" s="61"/>
      <c r="AJ309" s="61"/>
      <c r="AK309" s="61"/>
      <c r="AL309" s="61"/>
      <c r="AM309" s="61"/>
      <c r="AN309" s="61"/>
      <c r="AO309" s="61"/>
    </row>
    <row r="310" spans="3:41" x14ac:dyDescent="0.25">
      <c r="C310" s="90"/>
      <c r="F310" s="78"/>
      <c r="G310" s="90"/>
      <c r="J310" s="78"/>
      <c r="K310" s="90"/>
      <c r="N310" s="78"/>
      <c r="O310" s="24"/>
      <c r="P310" s="204"/>
      <c r="Q310" s="204"/>
      <c r="R310" s="204"/>
      <c r="S310" s="205"/>
      <c r="T310" s="205"/>
      <c r="U310" s="205"/>
      <c r="V310" s="205"/>
      <c r="W310" s="205"/>
      <c r="Z310" s="204"/>
      <c r="AB310" s="204"/>
      <c r="AC310" s="204"/>
      <c r="AD310" s="204"/>
      <c r="AH310" s="637"/>
      <c r="AI310" s="61"/>
      <c r="AJ310" s="61"/>
      <c r="AK310" s="61"/>
      <c r="AL310" s="61"/>
      <c r="AM310" s="61"/>
      <c r="AN310" s="61"/>
      <c r="AO310" s="61"/>
    </row>
    <row r="311" spans="3:41" x14ac:dyDescent="0.25">
      <c r="C311" s="90"/>
      <c r="F311" s="78"/>
      <c r="G311" s="90"/>
      <c r="J311" s="78"/>
      <c r="K311" s="90"/>
      <c r="N311" s="78"/>
      <c r="O311" s="24"/>
      <c r="P311" s="204"/>
      <c r="Q311" s="204"/>
      <c r="R311" s="204"/>
      <c r="S311" s="205"/>
      <c r="T311" s="205"/>
      <c r="U311" s="205"/>
      <c r="V311" s="205"/>
      <c r="W311" s="205"/>
      <c r="Z311" s="204"/>
      <c r="AB311" s="204"/>
      <c r="AC311" s="204"/>
      <c r="AD311" s="204"/>
      <c r="AH311" s="637"/>
      <c r="AI311" s="61"/>
      <c r="AJ311" s="61"/>
      <c r="AK311" s="61"/>
      <c r="AL311" s="61"/>
      <c r="AM311" s="61"/>
      <c r="AN311" s="61"/>
      <c r="AO311" s="61"/>
    </row>
    <row r="312" spans="3:41" x14ac:dyDescent="0.25">
      <c r="C312" s="90"/>
      <c r="F312" s="78"/>
      <c r="G312" s="90"/>
      <c r="J312" s="78"/>
      <c r="K312" s="90"/>
      <c r="N312" s="78"/>
      <c r="O312" s="24"/>
      <c r="P312" s="204"/>
      <c r="Q312" s="204"/>
      <c r="R312" s="204"/>
      <c r="S312" s="205"/>
      <c r="T312" s="205"/>
      <c r="U312" s="205"/>
      <c r="V312" s="205"/>
      <c r="W312" s="205"/>
      <c r="Z312" s="204"/>
      <c r="AB312" s="204"/>
      <c r="AC312" s="204"/>
      <c r="AD312" s="204"/>
      <c r="AH312" s="637"/>
      <c r="AI312" s="61"/>
      <c r="AJ312" s="61"/>
      <c r="AK312" s="61"/>
      <c r="AL312" s="61"/>
      <c r="AM312" s="61"/>
      <c r="AN312" s="61"/>
      <c r="AO312" s="61"/>
    </row>
    <row r="313" spans="3:41" x14ac:dyDescent="0.25">
      <c r="C313" s="90"/>
      <c r="F313" s="78"/>
      <c r="G313" s="90"/>
      <c r="J313" s="78"/>
      <c r="K313" s="90"/>
      <c r="N313" s="78"/>
      <c r="O313" s="24"/>
      <c r="P313" s="204"/>
      <c r="Q313" s="204"/>
      <c r="R313" s="204"/>
      <c r="S313" s="205"/>
      <c r="T313" s="205"/>
      <c r="U313" s="205"/>
      <c r="V313" s="205"/>
      <c r="W313" s="205"/>
      <c r="Z313" s="204"/>
      <c r="AB313" s="204"/>
      <c r="AC313" s="204"/>
      <c r="AD313" s="204"/>
      <c r="AH313" s="637"/>
      <c r="AI313" s="61"/>
      <c r="AJ313" s="61"/>
      <c r="AK313" s="61"/>
      <c r="AL313" s="61"/>
      <c r="AM313" s="61"/>
      <c r="AN313" s="61"/>
      <c r="AO313" s="61"/>
    </row>
    <row r="314" spans="3:41" x14ac:dyDescent="0.25">
      <c r="C314" s="90"/>
      <c r="F314" s="78"/>
      <c r="G314" s="90"/>
      <c r="J314" s="78"/>
      <c r="K314" s="90"/>
      <c r="N314" s="78"/>
      <c r="O314" s="24"/>
      <c r="P314" s="204"/>
      <c r="Q314" s="204"/>
      <c r="R314" s="204"/>
      <c r="S314" s="205"/>
      <c r="T314" s="205"/>
      <c r="U314" s="205"/>
      <c r="V314" s="205"/>
      <c r="W314" s="205"/>
      <c r="Z314" s="204"/>
      <c r="AB314" s="204"/>
      <c r="AC314" s="204"/>
      <c r="AD314" s="204"/>
      <c r="AH314" s="637"/>
      <c r="AI314" s="61"/>
      <c r="AJ314" s="61"/>
      <c r="AK314" s="61"/>
      <c r="AL314" s="61"/>
      <c r="AM314" s="61"/>
      <c r="AN314" s="61"/>
      <c r="AO314" s="61"/>
    </row>
    <row r="315" spans="3:41" x14ac:dyDescent="0.25">
      <c r="C315" s="90"/>
      <c r="F315" s="78"/>
      <c r="G315" s="90"/>
      <c r="J315" s="78"/>
      <c r="K315" s="90"/>
      <c r="N315" s="78"/>
      <c r="O315" s="24"/>
      <c r="P315" s="204"/>
      <c r="Q315" s="204"/>
      <c r="R315" s="204"/>
      <c r="S315" s="205"/>
      <c r="T315" s="205"/>
      <c r="U315" s="205"/>
      <c r="V315" s="205"/>
      <c r="W315" s="205"/>
      <c r="Z315" s="204"/>
      <c r="AB315" s="204"/>
      <c r="AC315" s="204"/>
      <c r="AD315" s="204"/>
      <c r="AH315" s="637"/>
      <c r="AI315" s="61"/>
      <c r="AJ315" s="61"/>
      <c r="AK315" s="61"/>
      <c r="AL315" s="61"/>
      <c r="AM315" s="61"/>
      <c r="AN315" s="61"/>
      <c r="AO315" s="61"/>
    </row>
    <row r="316" spans="3:41" x14ac:dyDescent="0.25">
      <c r="C316" s="90"/>
      <c r="F316" s="78"/>
      <c r="G316" s="90"/>
      <c r="J316" s="78"/>
      <c r="K316" s="90"/>
      <c r="N316" s="78"/>
      <c r="O316" s="24"/>
      <c r="P316" s="204"/>
      <c r="Q316" s="204"/>
      <c r="R316" s="204"/>
      <c r="S316" s="205"/>
      <c r="T316" s="205"/>
      <c r="U316" s="205"/>
      <c r="V316" s="205"/>
      <c r="W316" s="205"/>
      <c r="Z316" s="204"/>
      <c r="AB316" s="204"/>
      <c r="AC316" s="204"/>
      <c r="AD316" s="204"/>
      <c r="AH316" s="637"/>
      <c r="AI316" s="61"/>
      <c r="AJ316" s="61"/>
      <c r="AK316" s="61"/>
      <c r="AL316" s="61"/>
      <c r="AM316" s="61"/>
      <c r="AN316" s="61"/>
      <c r="AO316" s="61"/>
    </row>
    <row r="317" spans="3:41" x14ac:dyDescent="0.25">
      <c r="C317" s="90"/>
      <c r="F317" s="78"/>
      <c r="G317" s="90"/>
      <c r="J317" s="78"/>
      <c r="K317" s="90"/>
      <c r="N317" s="78"/>
      <c r="O317" s="24"/>
      <c r="P317" s="204"/>
      <c r="Q317" s="204"/>
      <c r="R317" s="204"/>
      <c r="S317" s="205"/>
      <c r="T317" s="205"/>
      <c r="U317" s="205"/>
      <c r="V317" s="205"/>
      <c r="W317" s="205"/>
      <c r="Z317" s="204"/>
      <c r="AB317" s="204"/>
      <c r="AC317" s="204"/>
      <c r="AD317" s="204"/>
      <c r="AH317" s="637"/>
      <c r="AI317" s="61"/>
      <c r="AJ317" s="61"/>
      <c r="AK317" s="61"/>
      <c r="AL317" s="61"/>
      <c r="AM317" s="61"/>
      <c r="AN317" s="61"/>
      <c r="AO317" s="61"/>
    </row>
    <row r="318" spans="3:41" x14ac:dyDescent="0.25">
      <c r="C318" s="90"/>
      <c r="F318" s="78"/>
      <c r="G318" s="90"/>
      <c r="J318" s="78"/>
      <c r="K318" s="90"/>
      <c r="N318" s="78"/>
      <c r="O318" s="24"/>
      <c r="P318" s="204"/>
      <c r="Q318" s="204"/>
      <c r="R318" s="204"/>
      <c r="S318" s="205"/>
      <c r="T318" s="205"/>
      <c r="U318" s="205"/>
      <c r="V318" s="205"/>
      <c r="W318" s="205"/>
      <c r="Z318" s="204"/>
      <c r="AB318" s="204"/>
      <c r="AC318" s="204"/>
      <c r="AD318" s="204"/>
      <c r="AH318" s="637"/>
      <c r="AI318" s="61"/>
      <c r="AJ318" s="61"/>
      <c r="AK318" s="61"/>
      <c r="AL318" s="61"/>
      <c r="AM318" s="61"/>
      <c r="AN318" s="61"/>
      <c r="AO318" s="61"/>
    </row>
    <row r="319" spans="3:41" x14ac:dyDescent="0.25">
      <c r="C319" s="90"/>
      <c r="F319" s="78"/>
      <c r="G319" s="90"/>
      <c r="J319" s="78"/>
      <c r="K319" s="90"/>
      <c r="N319" s="78"/>
      <c r="O319" s="24"/>
      <c r="P319" s="204"/>
      <c r="Q319" s="204"/>
      <c r="R319" s="204"/>
      <c r="S319" s="205"/>
      <c r="T319" s="205"/>
      <c r="U319" s="205"/>
      <c r="V319" s="205"/>
      <c r="W319" s="205"/>
      <c r="Z319" s="204"/>
      <c r="AB319" s="204"/>
      <c r="AC319" s="204"/>
      <c r="AD319" s="204"/>
      <c r="AH319" s="637"/>
      <c r="AI319" s="61"/>
      <c r="AJ319" s="61"/>
      <c r="AK319" s="61"/>
      <c r="AL319" s="61"/>
      <c r="AM319" s="61"/>
      <c r="AN319" s="61"/>
      <c r="AO319" s="61"/>
    </row>
    <row r="320" spans="3:41" x14ac:dyDescent="0.25">
      <c r="C320" s="90"/>
      <c r="F320" s="78"/>
      <c r="G320" s="90"/>
      <c r="J320" s="78"/>
      <c r="K320" s="90"/>
      <c r="N320" s="78"/>
      <c r="O320" s="24"/>
      <c r="P320" s="204"/>
      <c r="Q320" s="204"/>
      <c r="R320" s="204"/>
      <c r="S320" s="205"/>
      <c r="T320" s="205"/>
      <c r="U320" s="205"/>
      <c r="V320" s="205"/>
      <c r="W320" s="205"/>
      <c r="Z320" s="204"/>
      <c r="AB320" s="204"/>
      <c r="AC320" s="204"/>
      <c r="AD320" s="204"/>
      <c r="AH320" s="637"/>
      <c r="AI320" s="61"/>
      <c r="AJ320" s="61"/>
      <c r="AK320" s="61"/>
      <c r="AL320" s="61"/>
      <c r="AM320" s="61"/>
      <c r="AN320" s="61"/>
      <c r="AO320" s="61"/>
    </row>
    <row r="321" spans="3:41" x14ac:dyDescent="0.25">
      <c r="C321" s="90"/>
      <c r="F321" s="78"/>
      <c r="G321" s="90"/>
      <c r="J321" s="78"/>
      <c r="K321" s="90"/>
      <c r="N321" s="78"/>
      <c r="O321" s="24"/>
      <c r="P321" s="204"/>
      <c r="Q321" s="204"/>
      <c r="R321" s="204"/>
      <c r="S321" s="205"/>
      <c r="T321" s="205"/>
      <c r="U321" s="205"/>
      <c r="V321" s="205"/>
      <c r="W321" s="205"/>
      <c r="Z321" s="204"/>
      <c r="AB321" s="204"/>
      <c r="AC321" s="204"/>
      <c r="AD321" s="204"/>
      <c r="AH321" s="637"/>
      <c r="AI321" s="61"/>
      <c r="AJ321" s="61"/>
      <c r="AK321" s="61"/>
      <c r="AL321" s="61"/>
      <c r="AM321" s="61"/>
      <c r="AN321" s="61"/>
      <c r="AO321" s="61"/>
    </row>
    <row r="322" spans="3:41" x14ac:dyDescent="0.25">
      <c r="C322" s="90"/>
      <c r="F322" s="78"/>
      <c r="G322" s="90"/>
      <c r="J322" s="78"/>
      <c r="K322" s="90"/>
      <c r="N322" s="78"/>
      <c r="O322" s="24"/>
      <c r="P322" s="204"/>
      <c r="Q322" s="204"/>
      <c r="R322" s="204"/>
      <c r="S322" s="205"/>
      <c r="T322" s="205"/>
      <c r="U322" s="205"/>
      <c r="V322" s="205"/>
      <c r="W322" s="205"/>
      <c r="Z322" s="204"/>
      <c r="AB322" s="204"/>
      <c r="AC322" s="204"/>
      <c r="AD322" s="204"/>
      <c r="AH322" s="637"/>
      <c r="AI322" s="61"/>
      <c r="AJ322" s="61"/>
      <c r="AK322" s="61"/>
      <c r="AL322" s="61"/>
      <c r="AM322" s="61"/>
      <c r="AN322" s="61"/>
      <c r="AO322" s="61"/>
    </row>
    <row r="323" spans="3:41" x14ac:dyDescent="0.25">
      <c r="C323" s="90"/>
      <c r="F323" s="78"/>
      <c r="G323" s="90"/>
      <c r="J323" s="78"/>
      <c r="K323" s="90"/>
      <c r="N323" s="78"/>
      <c r="O323" s="24"/>
      <c r="P323" s="204"/>
      <c r="Q323" s="204"/>
      <c r="R323" s="204"/>
      <c r="S323" s="205"/>
      <c r="T323" s="205"/>
      <c r="U323" s="205"/>
      <c r="V323" s="205"/>
      <c r="W323" s="205"/>
      <c r="Z323" s="204"/>
      <c r="AB323" s="204"/>
      <c r="AC323" s="204"/>
      <c r="AD323" s="204"/>
      <c r="AH323" s="637"/>
      <c r="AI323" s="61"/>
      <c r="AJ323" s="61"/>
      <c r="AK323" s="61"/>
      <c r="AL323" s="61"/>
      <c r="AM323" s="61"/>
      <c r="AN323" s="61"/>
      <c r="AO323" s="61"/>
    </row>
    <row r="324" spans="3:41" x14ac:dyDescent="0.25">
      <c r="C324" s="90"/>
      <c r="F324" s="78"/>
      <c r="G324" s="90"/>
      <c r="J324" s="78"/>
      <c r="K324" s="90"/>
      <c r="N324" s="78"/>
      <c r="O324" s="24"/>
      <c r="P324" s="204"/>
      <c r="Q324" s="204"/>
      <c r="R324" s="204"/>
      <c r="S324" s="205"/>
      <c r="T324" s="205"/>
      <c r="U324" s="205"/>
      <c r="V324" s="205"/>
      <c r="W324" s="205"/>
      <c r="Z324" s="204"/>
      <c r="AB324" s="204"/>
      <c r="AC324" s="204"/>
      <c r="AD324" s="204"/>
      <c r="AH324" s="637"/>
      <c r="AI324" s="61"/>
      <c r="AJ324" s="61"/>
      <c r="AK324" s="61"/>
      <c r="AL324" s="61"/>
      <c r="AM324" s="61"/>
      <c r="AN324" s="61"/>
      <c r="AO324" s="61"/>
    </row>
    <row r="325" spans="3:41" x14ac:dyDescent="0.25">
      <c r="C325" s="90"/>
      <c r="F325" s="78"/>
      <c r="G325" s="90"/>
      <c r="J325" s="78"/>
      <c r="K325" s="90"/>
      <c r="N325" s="78"/>
      <c r="O325" s="24"/>
      <c r="P325" s="204"/>
      <c r="Q325" s="204"/>
      <c r="R325" s="204"/>
      <c r="S325" s="205"/>
      <c r="T325" s="205"/>
      <c r="U325" s="205"/>
      <c r="V325" s="205"/>
      <c r="W325" s="205"/>
      <c r="Z325" s="204"/>
      <c r="AB325" s="204"/>
      <c r="AC325" s="204"/>
      <c r="AD325" s="204"/>
      <c r="AH325" s="637"/>
      <c r="AI325" s="61"/>
      <c r="AJ325" s="61"/>
      <c r="AK325" s="61"/>
      <c r="AL325" s="61"/>
      <c r="AM325" s="61"/>
      <c r="AN325" s="61"/>
      <c r="AO325" s="61"/>
    </row>
    <row r="326" spans="3:41" x14ac:dyDescent="0.25">
      <c r="C326" s="90"/>
      <c r="F326" s="78"/>
      <c r="G326" s="90"/>
      <c r="J326" s="78"/>
      <c r="K326" s="90"/>
      <c r="N326" s="78"/>
      <c r="O326" s="24"/>
      <c r="P326" s="204"/>
      <c r="Q326" s="204"/>
      <c r="R326" s="204"/>
      <c r="S326" s="205"/>
      <c r="T326" s="205"/>
      <c r="U326" s="205"/>
      <c r="V326" s="205"/>
      <c r="W326" s="205"/>
      <c r="Z326" s="204"/>
      <c r="AB326" s="204"/>
      <c r="AC326" s="204"/>
      <c r="AD326" s="204"/>
      <c r="AH326" s="637"/>
      <c r="AI326" s="61"/>
      <c r="AJ326" s="61"/>
      <c r="AK326" s="61"/>
      <c r="AL326" s="61"/>
      <c r="AM326" s="61"/>
      <c r="AN326" s="61"/>
      <c r="AO326" s="61"/>
    </row>
    <row r="327" spans="3:41" x14ac:dyDescent="0.25">
      <c r="C327" s="90"/>
      <c r="F327" s="78"/>
      <c r="G327" s="90"/>
      <c r="J327" s="78"/>
      <c r="K327" s="90"/>
      <c r="N327" s="78"/>
      <c r="O327" s="24"/>
      <c r="P327" s="204"/>
      <c r="Q327" s="204"/>
      <c r="R327" s="204"/>
      <c r="S327" s="205"/>
      <c r="T327" s="205"/>
      <c r="U327" s="205"/>
      <c r="V327" s="205"/>
      <c r="W327" s="205"/>
      <c r="Z327" s="204"/>
      <c r="AB327" s="204"/>
      <c r="AC327" s="204"/>
      <c r="AD327" s="204"/>
      <c r="AH327" s="637"/>
      <c r="AI327" s="61"/>
      <c r="AJ327" s="61"/>
      <c r="AK327" s="61"/>
      <c r="AL327" s="61"/>
      <c r="AM327" s="61"/>
      <c r="AN327" s="61"/>
      <c r="AO327" s="61"/>
    </row>
    <row r="328" spans="3:41" x14ac:dyDescent="0.25">
      <c r="C328" s="90"/>
      <c r="F328" s="78"/>
      <c r="G328" s="90"/>
      <c r="J328" s="78"/>
      <c r="K328" s="90"/>
      <c r="N328" s="78"/>
      <c r="O328" s="24"/>
      <c r="P328" s="204"/>
      <c r="Q328" s="204"/>
      <c r="R328" s="204"/>
      <c r="S328" s="205"/>
      <c r="T328" s="205"/>
      <c r="U328" s="205"/>
      <c r="V328" s="205"/>
      <c r="W328" s="205"/>
      <c r="Z328" s="204"/>
      <c r="AB328" s="204"/>
      <c r="AC328" s="204"/>
      <c r="AD328" s="204"/>
      <c r="AH328" s="637"/>
      <c r="AI328" s="61"/>
      <c r="AJ328" s="61"/>
      <c r="AK328" s="61"/>
      <c r="AL328" s="61"/>
      <c r="AM328" s="61"/>
      <c r="AN328" s="61"/>
      <c r="AO328" s="61"/>
    </row>
    <row r="329" spans="3:41" x14ac:dyDescent="0.25">
      <c r="C329" s="90"/>
      <c r="F329" s="78"/>
      <c r="G329" s="90"/>
      <c r="J329" s="78"/>
      <c r="K329" s="90"/>
      <c r="N329" s="78"/>
      <c r="O329" s="24"/>
      <c r="P329" s="204"/>
      <c r="Q329" s="204"/>
      <c r="R329" s="204"/>
      <c r="S329" s="205"/>
      <c r="T329" s="205"/>
      <c r="U329" s="205"/>
      <c r="V329" s="205"/>
      <c r="W329" s="205"/>
      <c r="Z329" s="204"/>
      <c r="AB329" s="204"/>
      <c r="AC329" s="204"/>
      <c r="AD329" s="204"/>
      <c r="AH329" s="637"/>
      <c r="AI329" s="61"/>
      <c r="AJ329" s="61"/>
      <c r="AK329" s="61"/>
      <c r="AL329" s="61"/>
      <c r="AM329" s="61"/>
      <c r="AN329" s="61"/>
      <c r="AO329" s="61"/>
    </row>
    <row r="330" spans="3:41" x14ac:dyDescent="0.25">
      <c r="C330" s="90"/>
      <c r="F330" s="78"/>
      <c r="G330" s="90"/>
      <c r="J330" s="78"/>
      <c r="K330" s="90"/>
      <c r="N330" s="78"/>
      <c r="O330" s="24"/>
      <c r="P330" s="204"/>
      <c r="Q330" s="204"/>
      <c r="R330" s="204"/>
      <c r="S330" s="205"/>
      <c r="T330" s="205"/>
      <c r="U330" s="205"/>
      <c r="V330" s="205"/>
      <c r="W330" s="205"/>
      <c r="Z330" s="204"/>
      <c r="AB330" s="204"/>
      <c r="AC330" s="204"/>
      <c r="AD330" s="204"/>
      <c r="AH330" s="637"/>
      <c r="AI330" s="61"/>
      <c r="AJ330" s="61"/>
      <c r="AK330" s="61"/>
      <c r="AL330" s="61"/>
      <c r="AM330" s="61"/>
      <c r="AN330" s="61"/>
      <c r="AO330" s="61"/>
    </row>
    <row r="331" spans="3:41" x14ac:dyDescent="0.25">
      <c r="C331" s="90"/>
      <c r="F331" s="78"/>
      <c r="G331" s="90"/>
      <c r="J331" s="78"/>
      <c r="K331" s="90"/>
      <c r="N331" s="78"/>
      <c r="O331" s="24"/>
      <c r="P331" s="204"/>
      <c r="Q331" s="204"/>
      <c r="R331" s="204"/>
      <c r="S331" s="205"/>
      <c r="T331" s="205"/>
      <c r="U331" s="205"/>
      <c r="V331" s="205"/>
      <c r="W331" s="205"/>
      <c r="Z331" s="204"/>
      <c r="AB331" s="204"/>
      <c r="AC331" s="204"/>
      <c r="AD331" s="204"/>
      <c r="AH331" s="637"/>
      <c r="AI331" s="61"/>
      <c r="AJ331" s="61"/>
      <c r="AK331" s="61"/>
      <c r="AL331" s="61"/>
      <c r="AM331" s="61"/>
      <c r="AN331" s="61"/>
      <c r="AO331" s="61"/>
    </row>
    <row r="332" spans="3:41" x14ac:dyDescent="0.25">
      <c r="C332" s="90"/>
      <c r="F332" s="78"/>
      <c r="G332" s="90"/>
      <c r="J332" s="78"/>
      <c r="K332" s="90"/>
      <c r="N332" s="78"/>
      <c r="O332" s="24"/>
      <c r="P332" s="204"/>
      <c r="Q332" s="204"/>
      <c r="R332" s="204"/>
      <c r="S332" s="205"/>
      <c r="T332" s="205"/>
      <c r="U332" s="205"/>
      <c r="V332" s="205"/>
      <c r="W332" s="205"/>
      <c r="Z332" s="204"/>
      <c r="AB332" s="204"/>
      <c r="AC332" s="204"/>
      <c r="AD332" s="204"/>
      <c r="AH332" s="637"/>
      <c r="AI332" s="61"/>
      <c r="AJ332" s="61"/>
      <c r="AK332" s="61"/>
      <c r="AL332" s="61"/>
      <c r="AM332" s="61"/>
      <c r="AN332" s="61"/>
      <c r="AO332" s="61"/>
    </row>
    <row r="333" spans="3:41" x14ac:dyDescent="0.25">
      <c r="C333" s="90"/>
      <c r="F333" s="78"/>
      <c r="G333" s="90"/>
      <c r="J333" s="78"/>
      <c r="K333" s="90"/>
      <c r="N333" s="78"/>
      <c r="O333" s="24"/>
      <c r="P333" s="204"/>
      <c r="Q333" s="204"/>
      <c r="R333" s="204"/>
      <c r="S333" s="205"/>
      <c r="T333" s="205"/>
      <c r="U333" s="205"/>
      <c r="V333" s="205"/>
      <c r="W333" s="205"/>
      <c r="Z333" s="204"/>
      <c r="AB333" s="204"/>
      <c r="AC333" s="204"/>
      <c r="AD333" s="204"/>
      <c r="AH333" s="637"/>
      <c r="AI333" s="61"/>
      <c r="AJ333" s="61"/>
      <c r="AK333" s="61"/>
      <c r="AL333" s="61"/>
      <c r="AM333" s="61"/>
      <c r="AN333" s="61"/>
      <c r="AO333" s="61"/>
    </row>
    <row r="334" spans="3:41" x14ac:dyDescent="0.25">
      <c r="C334" s="90"/>
      <c r="F334" s="78"/>
      <c r="G334" s="90"/>
      <c r="J334" s="78"/>
      <c r="K334" s="90"/>
      <c r="N334" s="78"/>
      <c r="O334" s="24"/>
      <c r="P334" s="204"/>
      <c r="Q334" s="204"/>
      <c r="R334" s="204"/>
      <c r="S334" s="205"/>
      <c r="T334" s="205"/>
      <c r="U334" s="205"/>
      <c r="V334" s="205"/>
      <c r="W334" s="205"/>
      <c r="Z334" s="204"/>
      <c r="AB334" s="204"/>
      <c r="AC334" s="204"/>
      <c r="AD334" s="204"/>
      <c r="AH334" s="637"/>
      <c r="AI334" s="61"/>
      <c r="AJ334" s="61"/>
      <c r="AK334" s="61"/>
      <c r="AL334" s="61"/>
      <c r="AM334" s="61"/>
      <c r="AN334" s="61"/>
      <c r="AO334" s="61"/>
    </row>
  </sheetData>
  <sheetProtection pivotTables="0"/>
  <protectedRanges>
    <protectedRange sqref="C8:Q23" name="Range1"/>
  </protectedRanges>
  <mergeCells count="41">
    <mergeCell ref="AB1:AD1"/>
    <mergeCell ref="G5:I5"/>
    <mergeCell ref="K5:M5"/>
    <mergeCell ref="O5:Q5"/>
    <mergeCell ref="K52:M52"/>
    <mergeCell ref="O51:Q51"/>
    <mergeCell ref="O52:Q52"/>
    <mergeCell ref="T5:V5"/>
    <mergeCell ref="X5:Z5"/>
    <mergeCell ref="AB5:AD5"/>
    <mergeCell ref="AF5:AH5"/>
    <mergeCell ref="S51:U51"/>
    <mergeCell ref="S52:U52"/>
    <mergeCell ref="B72:U72"/>
    <mergeCell ref="B3:Q3"/>
    <mergeCell ref="S3:AH3"/>
    <mergeCell ref="K51:M51"/>
    <mergeCell ref="C6:E6"/>
    <mergeCell ref="G6:I6"/>
    <mergeCell ref="K6:M6"/>
    <mergeCell ref="O6:Q6"/>
    <mergeCell ref="T6:V6"/>
    <mergeCell ref="X6:Z6"/>
    <mergeCell ref="AB6:AD6"/>
    <mergeCell ref="AF6:AH6"/>
    <mergeCell ref="C5:E5"/>
    <mergeCell ref="S73:U73"/>
    <mergeCell ref="C73:E73"/>
    <mergeCell ref="G73:I73"/>
    <mergeCell ref="K73:M73"/>
    <mergeCell ref="O73:Q73"/>
    <mergeCell ref="C51:E51"/>
    <mergeCell ref="G51:I51"/>
    <mergeCell ref="B49:U49"/>
    <mergeCell ref="C52:E52"/>
    <mergeCell ref="G52:I52"/>
    <mergeCell ref="C74:E74"/>
    <mergeCell ref="G74:I74"/>
    <mergeCell ref="K74:M74"/>
    <mergeCell ref="O74:Q74"/>
    <mergeCell ref="S74:U74"/>
  </mergeCells>
  <dataValidations count="1">
    <dataValidation type="decimal" operator="greaterThan" allowBlank="1" showInputMessage="1" showErrorMessage="1" sqref="C8:Q23" xr:uid="{FCA79352-62A3-4CD6-91F5-6FE2B97EB30B}">
      <formula1>0</formula1>
    </dataValidation>
  </dataValidations>
  <hyperlinks>
    <hyperlink ref="AB1" location="FRONT_PAGE!A1" display="BACK TO FRONT PAGE" xr:uid="{FD6B7F50-3965-4A09-92CD-9643A4C14C57}"/>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E4A599-8631-424E-8C60-E32F2D25EE3D}">
          <x14:formula1>
            <xm:f>TIME!$L$12:$L$16</xm:f>
          </x14:formula1>
          <xm:sqref>D1</xm:sqref>
        </x14:dataValidation>
      </x14:dataValidations>
    </ex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B86A8-0589-4123-8398-3CB2734A578E}">
  <sheetPr codeName="Sheet9"/>
  <dimension ref="A1:AG508"/>
  <sheetViews>
    <sheetView workbookViewId="0">
      <selection activeCell="A2" sqref="A2"/>
    </sheetView>
  </sheetViews>
  <sheetFormatPr defaultRowHeight="15" x14ac:dyDescent="0.25"/>
  <cols>
    <col min="1" max="6" width="8.7109375" customWidth="1"/>
    <col min="7" max="7" width="14.7109375" bestFit="1" customWidth="1"/>
    <col min="8" max="9" width="8.7109375" style="18" customWidth="1"/>
    <col min="10" max="10" width="15.85546875" style="60" bestFit="1" customWidth="1"/>
    <col min="11" max="11" width="12.42578125" style="348" bestFit="1" customWidth="1"/>
    <col min="12" max="12" width="8.7109375" style="60" customWidth="1"/>
    <col min="13" max="13" width="13.140625" style="18" bestFit="1" customWidth="1"/>
    <col min="14" max="15" width="8.7109375" customWidth="1"/>
    <col min="16" max="16" width="13.5703125" bestFit="1" customWidth="1"/>
    <col min="17" max="17" width="18.42578125" bestFit="1" customWidth="1"/>
    <col min="18" max="25" width="8.7109375" customWidth="1"/>
    <col min="26" max="26" width="22.42578125" bestFit="1" customWidth="1"/>
    <col min="27" max="27" width="17.85546875" bestFit="1" customWidth="1"/>
    <col min="31" max="31" width="21.7109375" bestFit="1" customWidth="1"/>
    <col min="32" max="32" width="12.140625" customWidth="1"/>
  </cols>
  <sheetData>
    <row r="1" spans="1:33" x14ac:dyDescent="0.25">
      <c r="A1" s="373"/>
      <c r="B1" s="373"/>
      <c r="C1" s="373"/>
      <c r="D1" s="373"/>
      <c r="E1" s="373"/>
      <c r="F1" s="373"/>
      <c r="G1" s="373"/>
      <c r="H1" s="373"/>
      <c r="I1" s="373"/>
      <c r="J1" s="373"/>
      <c r="K1" s="373"/>
      <c r="L1" s="373"/>
      <c r="M1" s="373"/>
      <c r="N1" s="373"/>
      <c r="O1" s="373"/>
      <c r="P1" s="373"/>
      <c r="Q1" s="373"/>
      <c r="R1" s="373"/>
      <c r="S1" s="373"/>
      <c r="T1" s="373"/>
      <c r="U1" s="373"/>
      <c r="V1" s="373"/>
      <c r="W1" s="373"/>
      <c r="X1" s="373"/>
      <c r="Y1" s="373"/>
      <c r="Z1" s="373"/>
      <c r="AA1" s="373"/>
      <c r="AB1" s="373"/>
      <c r="AC1" s="373"/>
      <c r="AD1" s="373"/>
      <c r="AE1" s="373"/>
      <c r="AF1" s="373"/>
      <c r="AG1" s="373"/>
    </row>
    <row r="2" spans="1:33" x14ac:dyDescent="0.25">
      <c r="A2" s="373"/>
      <c r="B2" s="373"/>
      <c r="C2" s="373"/>
      <c r="D2" s="373"/>
      <c r="E2" s="373"/>
      <c r="F2" s="373"/>
      <c r="G2" s="373"/>
      <c r="H2" s="373"/>
      <c r="I2" s="373"/>
      <c r="J2" s="373"/>
      <c r="K2" s="373"/>
      <c r="L2" s="373"/>
      <c r="M2" s="373"/>
      <c r="N2" s="373"/>
      <c r="O2" s="373"/>
      <c r="P2" s="373"/>
      <c r="Q2" s="373"/>
      <c r="R2" s="373"/>
      <c r="S2" s="373"/>
      <c r="T2" s="373"/>
      <c r="U2" s="373"/>
      <c r="V2" s="373"/>
      <c r="W2" s="373"/>
      <c r="X2" s="373"/>
      <c r="Y2" s="373"/>
      <c r="Z2" s="373"/>
      <c r="AA2" s="373"/>
      <c r="AB2" s="373"/>
      <c r="AC2" s="373"/>
      <c r="AD2" s="373"/>
      <c r="AE2" s="373"/>
      <c r="AF2" s="373"/>
      <c r="AG2" s="373"/>
    </row>
    <row r="3" spans="1:33" x14ac:dyDescent="0.25">
      <c r="A3" s="373"/>
      <c r="B3" s="373"/>
      <c r="C3" s="373"/>
      <c r="D3" s="373"/>
      <c r="E3" s="373"/>
      <c r="F3" s="373"/>
      <c r="G3" s="373"/>
      <c r="H3" s="373"/>
      <c r="I3" s="373"/>
      <c r="J3" s="373"/>
      <c r="K3" s="373"/>
      <c r="L3" s="373"/>
      <c r="M3" s="373"/>
      <c r="N3" s="373"/>
      <c r="O3" s="373"/>
      <c r="P3" s="373"/>
      <c r="Q3" s="373"/>
      <c r="R3" s="373"/>
      <c r="S3" s="373"/>
      <c r="T3" s="373"/>
      <c r="U3" s="373"/>
      <c r="V3" s="373"/>
      <c r="W3" s="373"/>
      <c r="X3" s="373"/>
      <c r="Y3" s="373"/>
      <c r="Z3" s="373"/>
      <c r="AA3" s="373"/>
      <c r="AB3" s="373"/>
      <c r="AC3" s="373"/>
      <c r="AD3" s="373"/>
      <c r="AE3" s="373"/>
      <c r="AF3" s="373"/>
      <c r="AG3" s="373"/>
    </row>
    <row r="4" spans="1:33" x14ac:dyDescent="0.25">
      <c r="A4" s="373"/>
      <c r="B4" s="373"/>
      <c r="C4" s="373"/>
      <c r="D4" s="373"/>
      <c r="E4" s="373"/>
      <c r="F4" s="373"/>
      <c r="G4" s="373"/>
      <c r="H4" s="373"/>
      <c r="I4" s="373"/>
      <c r="J4" s="373"/>
      <c r="K4" s="373"/>
      <c r="L4" s="373"/>
      <c r="M4" s="373"/>
      <c r="N4" s="373"/>
      <c r="O4" s="373"/>
      <c r="P4" s="373"/>
      <c r="Q4" s="373"/>
      <c r="R4" s="373"/>
      <c r="S4" s="373"/>
      <c r="T4" s="373"/>
      <c r="U4" s="373"/>
      <c r="V4" s="373"/>
      <c r="W4" s="373"/>
      <c r="X4" s="373"/>
      <c r="Y4" s="373"/>
      <c r="Z4" s="373"/>
      <c r="AA4" s="373"/>
      <c r="AB4" s="373"/>
      <c r="AC4" s="373"/>
      <c r="AD4" s="373"/>
      <c r="AE4" s="373"/>
      <c r="AF4" s="373"/>
      <c r="AG4" s="373"/>
    </row>
    <row r="5" spans="1:33" x14ac:dyDescent="0.25">
      <c r="A5" s="373"/>
      <c r="B5" s="373"/>
      <c r="C5" s="373"/>
      <c r="D5" s="373"/>
      <c r="E5" s="373"/>
      <c r="F5" s="373"/>
      <c r="G5" s="373"/>
      <c r="H5" s="373"/>
      <c r="I5" s="373"/>
      <c r="J5" s="373"/>
      <c r="K5" s="373"/>
      <c r="L5" s="373"/>
      <c r="M5" s="373"/>
      <c r="N5" s="373"/>
      <c r="O5" s="373"/>
      <c r="P5" s="373"/>
      <c r="Q5" s="373"/>
      <c r="R5" s="373"/>
      <c r="S5" s="373"/>
      <c r="T5" s="373"/>
      <c r="U5" s="373"/>
      <c r="V5" s="373"/>
      <c r="W5" s="373"/>
      <c r="X5" s="373"/>
      <c r="Y5" s="373"/>
      <c r="Z5" s="373"/>
      <c r="AA5" s="373"/>
      <c r="AB5" s="373"/>
      <c r="AC5" s="373"/>
      <c r="AD5" s="373"/>
      <c r="AE5" s="373"/>
      <c r="AF5" s="373"/>
      <c r="AG5" s="373"/>
    </row>
    <row r="6" spans="1:33" x14ac:dyDescent="0.25">
      <c r="A6" s="373"/>
      <c r="B6" s="373"/>
      <c r="C6" s="373"/>
      <c r="D6" s="373"/>
      <c r="E6" s="373"/>
      <c r="F6" s="373"/>
      <c r="G6" s="373"/>
      <c r="H6" s="373"/>
      <c r="I6" s="373"/>
      <c r="J6" s="373"/>
      <c r="K6" s="373"/>
      <c r="L6" s="373"/>
      <c r="M6" s="373"/>
      <c r="N6" s="373"/>
      <c r="O6" s="373"/>
      <c r="P6" s="373"/>
      <c r="Q6" s="373"/>
      <c r="R6" s="373"/>
      <c r="S6" s="373"/>
      <c r="T6" s="373"/>
      <c r="U6" s="373"/>
      <c r="V6" s="373"/>
      <c r="W6" s="373"/>
      <c r="X6" s="373"/>
      <c r="Y6" s="373"/>
      <c r="Z6" s="373"/>
      <c r="AA6" s="373"/>
      <c r="AB6" s="373"/>
      <c r="AC6" s="373"/>
      <c r="AD6" s="373"/>
      <c r="AE6" s="373"/>
      <c r="AF6" s="373"/>
      <c r="AG6" s="373"/>
    </row>
    <row r="7" spans="1:33" x14ac:dyDescent="0.25">
      <c r="A7" s="373"/>
      <c r="B7" s="373"/>
      <c r="C7" s="373"/>
      <c r="D7" s="373"/>
      <c r="E7" s="373"/>
      <c r="F7" s="373"/>
      <c r="G7" s="373"/>
      <c r="H7" s="373"/>
      <c r="I7" s="373"/>
      <c r="J7" s="373"/>
      <c r="K7" s="373"/>
      <c r="L7" s="373"/>
      <c r="M7" s="373"/>
      <c r="N7" s="373"/>
      <c r="O7" s="373"/>
      <c r="P7" s="373"/>
      <c r="Q7" s="373"/>
      <c r="R7" s="373"/>
      <c r="S7" s="373"/>
      <c r="T7" s="373"/>
      <c r="U7" s="373"/>
      <c r="V7" s="373"/>
      <c r="W7" s="373"/>
      <c r="X7" s="373"/>
      <c r="Y7" s="373"/>
      <c r="Z7" s="373"/>
      <c r="AA7" s="373"/>
      <c r="AB7" s="373"/>
      <c r="AC7" s="373"/>
      <c r="AD7" s="373"/>
      <c r="AE7" s="373"/>
      <c r="AF7" s="373"/>
      <c r="AG7" s="373"/>
    </row>
    <row r="8" spans="1:33" x14ac:dyDescent="0.25">
      <c r="A8" s="373"/>
      <c r="B8" s="373"/>
      <c r="C8" s="373"/>
      <c r="D8" s="373"/>
      <c r="E8" s="373"/>
      <c r="F8" s="373"/>
      <c r="G8" s="373"/>
      <c r="H8" s="373"/>
      <c r="I8" s="373"/>
      <c r="J8" s="373"/>
      <c r="K8" s="373"/>
      <c r="L8" s="373"/>
      <c r="M8" s="373"/>
      <c r="N8" s="373"/>
      <c r="O8" s="373"/>
      <c r="P8" s="373"/>
      <c r="Q8" s="373"/>
      <c r="R8" s="373"/>
      <c r="S8" s="373"/>
      <c r="T8" s="373"/>
      <c r="U8" s="373"/>
      <c r="V8" s="373"/>
      <c r="W8" s="373"/>
      <c r="X8" s="373"/>
      <c r="Y8" s="373"/>
      <c r="Z8" s="373"/>
      <c r="AA8" s="373"/>
      <c r="AB8" s="373"/>
      <c r="AC8" s="373"/>
      <c r="AD8" s="373"/>
      <c r="AE8" s="373"/>
      <c r="AF8" s="373"/>
      <c r="AG8" s="373"/>
    </row>
    <row r="9" spans="1:33" x14ac:dyDescent="0.25">
      <c r="A9" s="373"/>
      <c r="B9" s="373"/>
      <c r="C9" s="373"/>
      <c r="D9" s="373"/>
      <c r="E9" s="373"/>
      <c r="F9" s="373"/>
      <c r="G9" s="373"/>
      <c r="H9" s="373"/>
      <c r="I9" s="373"/>
      <c r="J9" s="373"/>
      <c r="K9" s="373"/>
      <c r="L9" s="373"/>
      <c r="M9" s="373"/>
      <c r="N9" s="373"/>
      <c r="O9" s="373"/>
      <c r="P9" s="373"/>
      <c r="Q9" s="373"/>
      <c r="R9" s="373"/>
      <c r="S9" s="373"/>
      <c r="T9" s="373"/>
      <c r="U9" s="373"/>
      <c r="V9" s="373"/>
      <c r="W9" s="373"/>
      <c r="X9" s="373"/>
      <c r="Y9" s="373"/>
      <c r="Z9" s="373"/>
      <c r="AA9" s="373"/>
      <c r="AB9" s="373"/>
      <c r="AC9" s="373"/>
      <c r="AD9" s="373"/>
      <c r="AE9" s="373"/>
      <c r="AF9" s="373"/>
      <c r="AG9" s="373"/>
    </row>
    <row r="10" spans="1:33" x14ac:dyDescent="0.25">
      <c r="A10" s="373"/>
      <c r="B10" s="373"/>
      <c r="C10" s="373"/>
      <c r="D10" s="373"/>
      <c r="E10" s="373"/>
      <c r="F10" s="373"/>
      <c r="G10" s="373"/>
      <c r="H10" s="373"/>
      <c r="I10" s="373"/>
      <c r="J10" s="373"/>
      <c r="K10" s="373"/>
      <c r="L10" s="373"/>
      <c r="M10" s="373"/>
      <c r="N10" s="373"/>
      <c r="O10" s="373"/>
      <c r="P10" s="373"/>
      <c r="Q10" s="373"/>
      <c r="R10" s="373"/>
      <c r="S10" s="373"/>
      <c r="T10" s="373"/>
      <c r="U10" s="373"/>
      <c r="V10" s="373"/>
      <c r="W10" s="373"/>
      <c r="X10" s="373"/>
      <c r="Y10" s="373"/>
      <c r="Z10" s="373"/>
      <c r="AA10" s="373"/>
      <c r="AB10" s="373"/>
      <c r="AC10" s="373"/>
      <c r="AD10" s="373"/>
      <c r="AE10" s="373"/>
      <c r="AF10" s="373"/>
      <c r="AG10" s="373"/>
    </row>
    <row r="11" spans="1:33" x14ac:dyDescent="0.25">
      <c r="A11" s="373"/>
      <c r="B11" s="373"/>
      <c r="C11" s="373"/>
      <c r="D11" s="373"/>
      <c r="E11" s="373"/>
      <c r="F11" s="373"/>
      <c r="G11" s="373"/>
      <c r="H11" s="373"/>
      <c r="I11" s="373"/>
      <c r="J11" s="373"/>
      <c r="K11" s="373"/>
      <c r="L11" s="373"/>
      <c r="M11" s="373"/>
      <c r="N11" s="373"/>
      <c r="O11" s="373"/>
      <c r="P11" s="373"/>
      <c r="Q11" s="373"/>
      <c r="R11" s="373"/>
      <c r="S11" s="373"/>
      <c r="T11" s="373"/>
      <c r="U11" s="373"/>
      <c r="V11" s="373"/>
      <c r="W11" s="373"/>
      <c r="X11" s="373"/>
      <c r="Y11" s="373"/>
      <c r="Z11" s="373"/>
      <c r="AA11" s="373"/>
      <c r="AB11" s="373"/>
      <c r="AC11" s="373"/>
      <c r="AD11" s="373"/>
      <c r="AE11" s="373"/>
      <c r="AF11" s="373"/>
      <c r="AG11" s="373"/>
    </row>
    <row r="12" spans="1:33" x14ac:dyDescent="0.25">
      <c r="A12" s="373"/>
      <c r="B12" s="373"/>
      <c r="C12" s="373"/>
      <c r="D12" s="373"/>
      <c r="E12" s="373"/>
      <c r="F12" s="373"/>
      <c r="G12" s="373"/>
      <c r="H12" s="373"/>
      <c r="I12" s="373"/>
      <c r="J12" s="373"/>
      <c r="K12" s="373"/>
      <c r="L12" s="373"/>
      <c r="M12" s="373"/>
      <c r="N12" s="373"/>
      <c r="O12" s="373"/>
      <c r="P12" s="373"/>
      <c r="Q12" s="373"/>
      <c r="R12" s="373"/>
      <c r="S12" s="373"/>
      <c r="T12" s="373"/>
      <c r="U12" s="373"/>
      <c r="V12" s="373"/>
      <c r="W12" s="373"/>
      <c r="X12" s="373"/>
      <c r="Y12" s="373"/>
      <c r="Z12" s="373"/>
      <c r="AA12" s="373"/>
      <c r="AB12" s="373"/>
      <c r="AC12" s="373"/>
      <c r="AD12" s="373"/>
      <c r="AE12" s="373"/>
      <c r="AF12" s="373"/>
      <c r="AG12" s="373"/>
    </row>
    <row r="13" spans="1:33" x14ac:dyDescent="0.25">
      <c r="A13" s="373"/>
      <c r="B13" s="373"/>
      <c r="C13" s="373"/>
      <c r="D13" s="373"/>
      <c r="E13" s="373"/>
      <c r="F13" s="373"/>
      <c r="G13" s="373"/>
      <c r="H13" s="373"/>
      <c r="I13" s="373"/>
      <c r="J13" s="373"/>
      <c r="K13" s="373"/>
      <c r="L13" s="373"/>
      <c r="M13" s="373"/>
      <c r="N13" s="373"/>
      <c r="O13" s="373"/>
      <c r="P13" s="373"/>
      <c r="Q13" s="373"/>
      <c r="R13" s="373"/>
      <c r="S13" s="373"/>
      <c r="T13" s="373"/>
      <c r="U13" s="373"/>
      <c r="V13" s="373"/>
      <c r="W13" s="373"/>
      <c r="X13" s="373"/>
      <c r="Y13" s="373"/>
      <c r="Z13" s="373"/>
      <c r="AA13" s="373"/>
      <c r="AB13" s="373"/>
      <c r="AC13" s="373"/>
      <c r="AD13" s="373"/>
      <c r="AE13" s="373"/>
      <c r="AF13" s="373"/>
      <c r="AG13" s="373"/>
    </row>
    <row r="14" spans="1:33" x14ac:dyDescent="0.25">
      <c r="A14" s="373"/>
      <c r="B14" s="373"/>
      <c r="C14" s="373"/>
      <c r="D14" s="373"/>
      <c r="E14" s="373"/>
      <c r="F14" s="373"/>
      <c r="G14" s="373"/>
      <c r="H14" s="373"/>
      <c r="I14" s="373"/>
      <c r="J14" s="373"/>
      <c r="K14" s="373"/>
      <c r="L14" s="373"/>
      <c r="M14" s="373"/>
      <c r="N14" s="373"/>
      <c r="O14" s="373"/>
      <c r="P14" s="373"/>
      <c r="Q14" s="373"/>
      <c r="R14" s="373"/>
      <c r="S14" s="373"/>
      <c r="T14" s="373"/>
      <c r="U14" s="373"/>
      <c r="V14" s="373"/>
      <c r="W14" s="373"/>
      <c r="X14" s="373"/>
      <c r="Y14" s="373"/>
      <c r="Z14" s="373"/>
      <c r="AA14" s="373"/>
      <c r="AB14" s="373"/>
      <c r="AC14" s="373"/>
      <c r="AD14" s="373"/>
      <c r="AE14" s="373"/>
      <c r="AF14" s="373"/>
      <c r="AG14" s="373"/>
    </row>
    <row r="15" spans="1:33" x14ac:dyDescent="0.25">
      <c r="A15" s="373"/>
      <c r="B15" s="373"/>
      <c r="C15" s="373"/>
      <c r="D15" s="373"/>
      <c r="E15" s="373"/>
      <c r="F15" s="373"/>
      <c r="G15" s="373"/>
      <c r="H15" s="373"/>
      <c r="I15" s="373"/>
      <c r="J15" s="373"/>
      <c r="K15" s="373"/>
      <c r="L15" s="373"/>
      <c r="M15" s="373"/>
      <c r="N15" s="373"/>
      <c r="O15" s="373"/>
      <c r="P15" s="373"/>
      <c r="Q15" s="373"/>
      <c r="R15" s="373"/>
      <c r="S15" s="373"/>
      <c r="T15" s="373"/>
      <c r="U15" s="373"/>
      <c r="V15" s="373"/>
      <c r="W15" s="373"/>
      <c r="X15" s="373"/>
      <c r="Y15" s="373"/>
      <c r="Z15" s="373"/>
      <c r="AA15" s="373"/>
      <c r="AB15" s="373"/>
      <c r="AC15" s="373"/>
      <c r="AD15" s="373"/>
      <c r="AE15" s="373"/>
      <c r="AF15" s="373"/>
      <c r="AG15" s="373"/>
    </row>
    <row r="16" spans="1:33" x14ac:dyDescent="0.25">
      <c r="A16" s="373"/>
      <c r="B16" s="373"/>
      <c r="C16" s="373"/>
      <c r="D16" s="373"/>
      <c r="E16" s="373"/>
      <c r="F16" s="373"/>
      <c r="G16" s="373"/>
      <c r="H16" s="373"/>
      <c r="I16" s="373"/>
      <c r="J16" s="373"/>
      <c r="K16" s="373"/>
      <c r="L16" s="373"/>
      <c r="M16" s="373"/>
      <c r="N16" s="373"/>
      <c r="O16" s="373"/>
      <c r="P16" s="373"/>
      <c r="Q16" s="373"/>
      <c r="R16" s="373"/>
      <c r="S16" s="373"/>
      <c r="T16" s="373"/>
      <c r="U16" s="373"/>
      <c r="V16" s="373"/>
      <c r="W16" s="373"/>
      <c r="X16" s="373"/>
      <c r="Y16" s="373"/>
      <c r="Z16" s="373"/>
      <c r="AA16" s="373"/>
      <c r="AB16" s="373"/>
      <c r="AC16" s="373"/>
      <c r="AD16" s="373"/>
      <c r="AE16" s="373"/>
      <c r="AF16" s="373"/>
      <c r="AG16" s="373"/>
    </row>
    <row r="17" spans="1:33" x14ac:dyDescent="0.25">
      <c r="A17" s="373"/>
      <c r="B17" s="373"/>
      <c r="C17" s="373"/>
      <c r="D17" s="373"/>
      <c r="E17" s="373"/>
      <c r="F17" s="373"/>
      <c r="G17" s="373"/>
      <c r="H17" s="373"/>
      <c r="I17" s="373"/>
      <c r="J17" s="373"/>
      <c r="K17" s="373"/>
      <c r="L17" s="373"/>
      <c r="M17" s="373"/>
      <c r="N17" s="373"/>
      <c r="O17" s="373"/>
      <c r="P17" s="373"/>
      <c r="Q17" s="373"/>
      <c r="R17" s="373"/>
      <c r="S17" s="373"/>
      <c r="T17" s="373"/>
      <c r="U17" s="373"/>
      <c r="V17" s="373"/>
      <c r="W17" s="373"/>
      <c r="X17" s="373"/>
      <c r="Y17" s="373"/>
      <c r="Z17" s="373"/>
      <c r="AA17" s="373"/>
      <c r="AB17" s="373"/>
      <c r="AC17" s="373"/>
      <c r="AD17" s="373"/>
      <c r="AE17" s="373"/>
      <c r="AF17" s="373"/>
      <c r="AG17" s="373"/>
    </row>
    <row r="18" spans="1:33" x14ac:dyDescent="0.25">
      <c r="A18" s="373"/>
      <c r="B18" s="373"/>
      <c r="C18" s="373"/>
      <c r="D18" s="373"/>
      <c r="E18" s="373"/>
      <c r="F18" s="373"/>
      <c r="G18" s="373"/>
      <c r="H18" s="373"/>
      <c r="I18" s="373"/>
      <c r="J18" s="373"/>
      <c r="K18" s="373"/>
      <c r="L18" s="373"/>
      <c r="M18" s="373"/>
      <c r="N18" s="373"/>
      <c r="O18" s="373"/>
      <c r="P18" s="373"/>
      <c r="Q18" s="373"/>
      <c r="R18" s="373"/>
      <c r="S18" s="373"/>
      <c r="T18" s="373"/>
      <c r="U18" s="373"/>
      <c r="V18" s="373"/>
      <c r="W18" s="373"/>
      <c r="X18" s="373"/>
      <c r="Y18" s="373"/>
      <c r="Z18" s="373"/>
      <c r="AA18" s="373"/>
      <c r="AB18" s="373"/>
      <c r="AC18" s="373"/>
      <c r="AD18" s="373"/>
      <c r="AE18" s="373"/>
      <c r="AF18" s="373"/>
      <c r="AG18" s="373"/>
    </row>
    <row r="19" spans="1:33" x14ac:dyDescent="0.25">
      <c r="A19" s="373"/>
      <c r="B19" s="373"/>
      <c r="C19" s="373"/>
      <c r="D19" s="373"/>
      <c r="E19" s="373"/>
      <c r="F19" s="373"/>
      <c r="G19" s="373"/>
      <c r="H19" s="373"/>
      <c r="I19" s="373"/>
      <c r="J19" s="373"/>
      <c r="K19" s="373"/>
      <c r="L19" s="373"/>
      <c r="M19" s="373"/>
      <c r="N19" s="373"/>
      <c r="O19" s="373"/>
      <c r="P19" s="373"/>
      <c r="Q19" s="373"/>
      <c r="R19" s="373"/>
      <c r="S19" s="373"/>
      <c r="T19" s="373"/>
      <c r="U19" s="373"/>
      <c r="V19" s="373"/>
      <c r="W19" s="373"/>
      <c r="X19" s="373"/>
      <c r="Y19" s="373"/>
      <c r="Z19" s="373"/>
      <c r="AA19" s="373"/>
      <c r="AB19" s="373"/>
      <c r="AC19" s="373"/>
      <c r="AD19" s="373"/>
      <c r="AE19" s="373"/>
      <c r="AF19" s="373"/>
      <c r="AG19" s="373"/>
    </row>
    <row r="20" spans="1:33" x14ac:dyDescent="0.25">
      <c r="A20" s="373"/>
      <c r="B20" s="373"/>
      <c r="C20" s="373"/>
      <c r="D20" s="373"/>
      <c r="E20" s="373"/>
      <c r="F20" s="373"/>
      <c r="G20" s="373"/>
      <c r="H20" s="373"/>
      <c r="I20" s="373"/>
      <c r="J20" s="373"/>
      <c r="K20" s="373"/>
      <c r="L20" s="373"/>
      <c r="M20" s="373"/>
      <c r="N20" s="373"/>
      <c r="O20" s="373"/>
      <c r="P20" s="373"/>
      <c r="Q20" s="373"/>
      <c r="R20" s="373"/>
      <c r="S20" s="373"/>
      <c r="T20" s="373"/>
      <c r="U20" s="373"/>
      <c r="V20" s="373"/>
      <c r="W20" s="373"/>
      <c r="X20" s="373"/>
      <c r="Y20" s="373"/>
      <c r="Z20" s="373"/>
      <c r="AA20" s="373"/>
      <c r="AB20" s="373"/>
      <c r="AC20" s="373"/>
      <c r="AD20" s="373"/>
      <c r="AE20" s="373"/>
      <c r="AF20" s="373"/>
      <c r="AG20" s="373"/>
    </row>
    <row r="21" spans="1:33" x14ac:dyDescent="0.25">
      <c r="A21" s="373"/>
      <c r="B21" s="373"/>
      <c r="C21" s="373"/>
      <c r="D21" s="373"/>
      <c r="E21" s="373"/>
      <c r="F21" s="373"/>
      <c r="G21" s="373"/>
      <c r="H21" s="373"/>
      <c r="I21" s="373"/>
      <c r="J21" s="373"/>
      <c r="K21" s="373"/>
      <c r="L21" s="373"/>
      <c r="M21" s="373"/>
      <c r="N21" s="373"/>
      <c r="O21" s="373"/>
      <c r="P21" s="373"/>
      <c r="Q21" s="373"/>
      <c r="R21" s="373"/>
      <c r="S21" s="373"/>
      <c r="T21" s="373"/>
      <c r="U21" s="373"/>
      <c r="V21" s="373"/>
      <c r="W21" s="373"/>
      <c r="X21" s="373"/>
      <c r="Y21" s="373"/>
      <c r="Z21" s="373"/>
      <c r="AA21" s="373"/>
      <c r="AB21" s="373"/>
      <c r="AC21" s="373"/>
      <c r="AD21" s="373"/>
      <c r="AE21" s="373"/>
      <c r="AF21" s="373"/>
      <c r="AG21" s="373"/>
    </row>
    <row r="22" spans="1:33" x14ac:dyDescent="0.25">
      <c r="A22" s="373"/>
      <c r="B22" s="373"/>
      <c r="C22" s="373"/>
      <c r="D22" s="373"/>
      <c r="E22" s="373"/>
      <c r="F22" s="373"/>
      <c r="G22" s="373"/>
      <c r="H22" s="373"/>
      <c r="I22" s="373"/>
      <c r="J22" s="373"/>
      <c r="K22" s="373"/>
      <c r="L22" s="373"/>
      <c r="M22" s="373"/>
      <c r="N22" s="373"/>
      <c r="O22" s="373"/>
      <c r="P22" s="373"/>
      <c r="Q22" s="373"/>
      <c r="R22" s="373"/>
      <c r="S22" s="373"/>
      <c r="T22" s="373"/>
      <c r="U22" s="373"/>
      <c r="V22" s="373"/>
      <c r="W22" s="373"/>
      <c r="X22" s="373"/>
      <c r="Y22" s="373"/>
      <c r="Z22" s="373"/>
      <c r="AA22" s="373"/>
      <c r="AB22" s="373"/>
      <c r="AC22" s="373"/>
      <c r="AD22" s="373"/>
      <c r="AE22" s="373"/>
      <c r="AF22" s="373"/>
      <c r="AG22" s="373"/>
    </row>
    <row r="23" spans="1:33" x14ac:dyDescent="0.25">
      <c r="A23" s="373"/>
      <c r="B23" s="373"/>
      <c r="C23" s="373"/>
      <c r="D23" s="373"/>
      <c r="E23" s="373"/>
      <c r="F23" s="373"/>
      <c r="G23" s="373"/>
      <c r="H23" s="373"/>
      <c r="I23" s="373"/>
      <c r="J23" s="373"/>
      <c r="K23" s="373"/>
      <c r="L23" s="373"/>
      <c r="M23" s="373"/>
      <c r="N23" s="373"/>
      <c r="O23" s="373"/>
      <c r="P23" s="373"/>
      <c r="Q23" s="373"/>
      <c r="R23" s="373"/>
      <c r="S23" s="373"/>
      <c r="T23" s="373"/>
      <c r="U23" s="373"/>
      <c r="V23" s="373"/>
      <c r="W23" s="373"/>
      <c r="X23" s="373"/>
      <c r="Y23" s="373"/>
      <c r="Z23" s="373"/>
      <c r="AA23" s="373"/>
      <c r="AB23" s="373"/>
      <c r="AC23" s="373"/>
      <c r="AD23" s="373"/>
      <c r="AE23" s="373"/>
      <c r="AF23" s="373"/>
      <c r="AG23" s="373"/>
    </row>
    <row r="24" spans="1:33" x14ac:dyDescent="0.25">
      <c r="A24" s="373"/>
      <c r="B24" s="373"/>
      <c r="C24" s="373"/>
      <c r="D24" s="373"/>
      <c r="E24" s="373"/>
      <c r="F24" s="373"/>
      <c r="G24" s="373"/>
      <c r="H24" s="373"/>
      <c r="I24" s="373"/>
      <c r="J24" s="373"/>
      <c r="K24" s="373"/>
      <c r="L24" s="373"/>
      <c r="M24" s="373"/>
      <c r="N24" s="373"/>
      <c r="O24" s="373"/>
      <c r="P24" s="373"/>
      <c r="Q24" s="373"/>
      <c r="R24" s="373"/>
      <c r="S24" s="373"/>
      <c r="T24" s="373"/>
      <c r="U24" s="373"/>
      <c r="V24" s="373"/>
      <c r="W24" s="373"/>
      <c r="X24" s="373"/>
      <c r="Y24" s="373"/>
      <c r="Z24" s="373"/>
      <c r="AA24" s="373"/>
      <c r="AB24" s="373"/>
      <c r="AC24" s="373"/>
      <c r="AD24" s="373"/>
      <c r="AE24" s="373"/>
      <c r="AF24" s="373"/>
      <c r="AG24" s="373"/>
    </row>
    <row r="25" spans="1:33" x14ac:dyDescent="0.25">
      <c r="A25" s="373"/>
      <c r="B25" s="373"/>
      <c r="C25" s="373"/>
      <c r="D25" s="373"/>
      <c r="E25" s="373"/>
      <c r="F25" s="373"/>
      <c r="G25" s="373"/>
      <c r="H25" s="373"/>
      <c r="I25" s="373"/>
      <c r="J25" s="373"/>
      <c r="K25" s="373"/>
      <c r="L25" s="373"/>
      <c r="M25" s="373"/>
      <c r="N25" s="373"/>
      <c r="O25" s="373"/>
      <c r="P25" s="373"/>
      <c r="Q25" s="373"/>
      <c r="R25" s="373"/>
      <c r="S25" s="373"/>
      <c r="T25" s="373"/>
      <c r="U25" s="373"/>
      <c r="V25" s="373"/>
      <c r="W25" s="373"/>
      <c r="X25" s="373"/>
      <c r="Y25" s="373"/>
      <c r="Z25" s="373"/>
      <c r="AA25" s="373"/>
      <c r="AB25" s="373"/>
      <c r="AC25" s="373"/>
      <c r="AD25" s="373"/>
      <c r="AE25" s="373"/>
      <c r="AF25" s="373"/>
      <c r="AG25" s="373"/>
    </row>
    <row r="26" spans="1:33" x14ac:dyDescent="0.25">
      <c r="A26" s="373"/>
      <c r="B26" s="373"/>
      <c r="C26" s="373"/>
      <c r="D26" s="373"/>
      <c r="E26" s="373"/>
      <c r="F26" s="373"/>
      <c r="G26" s="373"/>
      <c r="H26" s="373"/>
      <c r="I26" s="373"/>
      <c r="J26" s="373"/>
      <c r="K26" s="373"/>
      <c r="L26" s="373"/>
      <c r="M26" s="373"/>
      <c r="N26" s="373"/>
      <c r="O26" s="373"/>
      <c r="P26" s="373"/>
      <c r="Q26" s="373"/>
      <c r="R26" s="373"/>
      <c r="S26" s="373"/>
      <c r="T26" s="373"/>
      <c r="U26" s="373"/>
      <c r="V26" s="373"/>
      <c r="W26" s="373"/>
      <c r="X26" s="373"/>
      <c r="Y26" s="373"/>
      <c r="Z26" s="373"/>
      <c r="AA26" s="373"/>
      <c r="AB26" s="373"/>
      <c r="AC26" s="373"/>
      <c r="AD26" s="373"/>
      <c r="AE26" s="373"/>
      <c r="AF26" s="373"/>
      <c r="AG26" s="373"/>
    </row>
    <row r="27" spans="1:33" x14ac:dyDescent="0.25">
      <c r="A27" s="373"/>
      <c r="B27" s="373"/>
      <c r="C27" s="373"/>
      <c r="D27" s="373"/>
      <c r="E27" s="373"/>
      <c r="F27" s="373"/>
      <c r="G27" s="373"/>
      <c r="H27" s="373"/>
      <c r="I27" s="373"/>
      <c r="J27" s="373"/>
      <c r="K27" s="373"/>
      <c r="L27" s="373"/>
      <c r="M27" s="373"/>
      <c r="N27" s="373"/>
      <c r="O27" s="373"/>
      <c r="P27" s="373"/>
      <c r="Q27" s="373"/>
      <c r="R27" s="373"/>
      <c r="S27" s="373"/>
      <c r="T27" s="373"/>
      <c r="U27" s="373"/>
      <c r="V27" s="373"/>
      <c r="W27" s="373"/>
      <c r="X27" s="373"/>
      <c r="Y27" s="373"/>
      <c r="Z27" s="373"/>
      <c r="AA27" s="373"/>
      <c r="AB27" s="373"/>
      <c r="AC27" s="373"/>
      <c r="AD27" s="373"/>
      <c r="AE27" s="373"/>
      <c r="AF27" s="373"/>
      <c r="AG27" s="373"/>
    </row>
    <row r="28" spans="1:33" x14ac:dyDescent="0.25">
      <c r="A28" s="373"/>
      <c r="B28" s="373"/>
      <c r="C28" s="373"/>
      <c r="D28" s="373"/>
      <c r="E28" s="373"/>
      <c r="F28" s="373"/>
      <c r="G28" s="373"/>
      <c r="H28" s="373"/>
      <c r="I28" s="373"/>
      <c r="J28" s="373"/>
      <c r="K28" s="373"/>
      <c r="L28" s="373"/>
      <c r="M28" s="373"/>
      <c r="N28" s="373"/>
      <c r="O28" s="373"/>
      <c r="P28" s="373"/>
      <c r="Q28" s="373"/>
      <c r="R28" s="373"/>
      <c r="S28" s="373"/>
      <c r="T28" s="373"/>
      <c r="U28" s="373"/>
      <c r="V28" s="373"/>
      <c r="W28" s="373"/>
      <c r="X28" s="373"/>
      <c r="Y28" s="373"/>
      <c r="Z28" s="373"/>
      <c r="AA28" s="373"/>
      <c r="AB28" s="373"/>
      <c r="AC28" s="373"/>
      <c r="AD28" s="373"/>
      <c r="AE28" s="373"/>
      <c r="AF28" s="373"/>
      <c r="AG28" s="373"/>
    </row>
    <row r="29" spans="1:33" x14ac:dyDescent="0.25">
      <c r="A29" s="373"/>
      <c r="B29" s="373"/>
      <c r="C29" s="373"/>
      <c r="D29" s="373"/>
      <c r="E29" s="373"/>
      <c r="F29" s="373"/>
      <c r="G29" s="373"/>
      <c r="H29" s="373"/>
      <c r="I29" s="373"/>
      <c r="J29" s="373"/>
      <c r="K29" s="373"/>
      <c r="L29" s="373"/>
      <c r="M29" s="373"/>
      <c r="N29" s="373"/>
      <c r="O29" s="373"/>
      <c r="P29" s="373"/>
      <c r="Q29" s="373"/>
      <c r="R29" s="373"/>
      <c r="S29" s="373"/>
      <c r="T29" s="373"/>
      <c r="U29" s="373"/>
      <c r="V29" s="373"/>
      <c r="W29" s="373"/>
      <c r="X29" s="373"/>
      <c r="Y29" s="373"/>
      <c r="Z29" s="373"/>
      <c r="AA29" s="373"/>
      <c r="AB29" s="373"/>
      <c r="AC29" s="373"/>
      <c r="AD29" s="373"/>
      <c r="AE29" s="373"/>
      <c r="AF29" s="373"/>
      <c r="AG29" s="373"/>
    </row>
    <row r="30" spans="1:33" x14ac:dyDescent="0.25">
      <c r="A30" s="373"/>
      <c r="B30" s="373"/>
      <c r="C30" s="373"/>
      <c r="D30" s="373"/>
      <c r="E30" s="373"/>
      <c r="F30" s="373"/>
      <c r="G30" s="373"/>
      <c r="H30" s="373"/>
      <c r="I30" s="373"/>
      <c r="J30" s="373"/>
      <c r="K30" s="373"/>
      <c r="L30" s="373"/>
      <c r="M30" s="373"/>
      <c r="N30" s="373"/>
      <c r="O30" s="373"/>
      <c r="P30" s="373"/>
      <c r="Q30" s="373"/>
      <c r="R30" s="373"/>
      <c r="S30" s="373"/>
      <c r="T30" s="373"/>
      <c r="U30" s="373"/>
      <c r="V30" s="373"/>
      <c r="W30" s="373"/>
      <c r="X30" s="373"/>
      <c r="Y30" s="373"/>
      <c r="Z30" s="373"/>
      <c r="AA30" s="373"/>
      <c r="AB30" s="373"/>
      <c r="AC30" s="373"/>
      <c r="AD30" s="373"/>
      <c r="AE30" s="373"/>
      <c r="AF30" s="373"/>
      <c r="AG30" s="373"/>
    </row>
    <row r="31" spans="1:33" x14ac:dyDescent="0.25">
      <c r="A31" s="373"/>
      <c r="B31" s="373"/>
      <c r="C31" s="373"/>
      <c r="D31" s="373"/>
      <c r="E31" s="373"/>
      <c r="F31" s="373"/>
      <c r="G31" s="373"/>
      <c r="H31" s="373"/>
      <c r="I31" s="373"/>
      <c r="J31" s="373"/>
      <c r="K31" s="373"/>
      <c r="L31" s="373"/>
      <c r="M31" s="373"/>
      <c r="N31" s="373"/>
      <c r="O31" s="373"/>
      <c r="P31" s="373"/>
      <c r="Q31" s="373"/>
      <c r="R31" s="373"/>
      <c r="S31" s="373"/>
      <c r="T31" s="373"/>
      <c r="U31" s="373"/>
      <c r="V31" s="373"/>
      <c r="W31" s="373"/>
      <c r="X31" s="373"/>
      <c r="Y31" s="373"/>
      <c r="Z31" s="373"/>
      <c r="AA31" s="373"/>
      <c r="AB31" s="373"/>
      <c r="AC31" s="373"/>
      <c r="AD31" s="373"/>
      <c r="AE31" s="373"/>
      <c r="AF31" s="373"/>
      <c r="AG31" s="373"/>
    </row>
    <row r="32" spans="1:33" x14ac:dyDescent="0.25">
      <c r="A32" s="373"/>
      <c r="B32" s="373"/>
      <c r="C32" s="373"/>
      <c r="D32" s="373"/>
      <c r="E32" s="373"/>
      <c r="F32" s="373"/>
      <c r="G32" s="373"/>
      <c r="H32" s="373"/>
      <c r="I32" s="373"/>
      <c r="J32" s="373"/>
      <c r="K32" s="373"/>
      <c r="L32" s="373"/>
      <c r="M32" s="373"/>
      <c r="N32" s="373"/>
      <c r="O32" s="373"/>
      <c r="P32" s="373"/>
      <c r="Q32" s="373"/>
      <c r="R32" s="373"/>
      <c r="S32" s="373"/>
      <c r="T32" s="373"/>
      <c r="U32" s="373"/>
      <c r="V32" s="373"/>
      <c r="W32" s="373"/>
      <c r="X32" s="373"/>
      <c r="Y32" s="373"/>
      <c r="Z32" s="373"/>
      <c r="AA32" s="373"/>
      <c r="AB32" s="373"/>
      <c r="AC32" s="373"/>
      <c r="AD32" s="373"/>
      <c r="AE32" s="373"/>
      <c r="AF32" s="373"/>
      <c r="AG32" s="373"/>
    </row>
    <row r="33" spans="1:33" x14ac:dyDescent="0.25">
      <c r="A33" s="373"/>
      <c r="B33" s="373"/>
      <c r="C33" s="373"/>
      <c r="D33" s="373"/>
      <c r="E33" s="373"/>
      <c r="F33" s="373"/>
      <c r="G33" s="373"/>
      <c r="H33" s="373"/>
      <c r="I33" s="373"/>
      <c r="J33" s="373"/>
      <c r="K33" s="373"/>
      <c r="L33" s="373"/>
      <c r="M33" s="373"/>
      <c r="N33" s="373"/>
      <c r="O33" s="373"/>
      <c r="P33" s="373"/>
      <c r="Q33" s="373"/>
      <c r="R33" s="373"/>
      <c r="S33" s="373"/>
      <c r="T33" s="373"/>
      <c r="U33" s="373"/>
      <c r="V33" s="373"/>
      <c r="W33" s="373"/>
      <c r="X33" s="373"/>
      <c r="Y33" s="373"/>
      <c r="Z33" s="373"/>
      <c r="AA33" s="373"/>
      <c r="AB33" s="373"/>
      <c r="AC33" s="373"/>
      <c r="AD33" s="373"/>
      <c r="AE33" s="373"/>
      <c r="AF33" s="373"/>
      <c r="AG33" s="373"/>
    </row>
    <row r="34" spans="1:33" x14ac:dyDescent="0.25">
      <c r="A34" s="373"/>
      <c r="B34" s="373"/>
      <c r="C34" s="373"/>
      <c r="D34" s="373"/>
      <c r="E34" s="373"/>
      <c r="F34" s="373"/>
      <c r="G34" s="373"/>
      <c r="H34" s="373"/>
      <c r="I34" s="373"/>
      <c r="J34" s="373"/>
      <c r="K34" s="373"/>
      <c r="L34" s="373"/>
      <c r="M34" s="373"/>
      <c r="N34" s="373"/>
      <c r="O34" s="373"/>
      <c r="P34" s="373"/>
      <c r="Q34" s="373"/>
      <c r="R34" s="373"/>
      <c r="S34" s="373"/>
      <c r="T34" s="373"/>
      <c r="U34" s="373"/>
      <c r="V34" s="373"/>
      <c r="W34" s="373"/>
      <c r="X34" s="373"/>
      <c r="Y34" s="373"/>
      <c r="Z34" s="373"/>
      <c r="AA34" s="373"/>
      <c r="AB34" s="373"/>
      <c r="AC34" s="373"/>
      <c r="AD34" s="373"/>
      <c r="AE34" s="373"/>
      <c r="AF34" s="373"/>
      <c r="AG34" s="373"/>
    </row>
    <row r="35" spans="1:33" x14ac:dyDescent="0.25">
      <c r="A35" s="373"/>
      <c r="B35" s="373"/>
      <c r="C35" s="373"/>
      <c r="D35" s="373"/>
      <c r="E35" s="373"/>
      <c r="F35" s="373"/>
      <c r="G35" s="373"/>
      <c r="H35" s="373"/>
      <c r="I35" s="373"/>
      <c r="J35" s="373"/>
      <c r="K35" s="373"/>
      <c r="L35" s="373"/>
      <c r="M35" s="373"/>
      <c r="N35" s="373"/>
      <c r="O35" s="373"/>
      <c r="P35" s="373"/>
      <c r="Q35" s="373"/>
      <c r="R35" s="373"/>
      <c r="S35" s="373"/>
      <c r="T35" s="373"/>
      <c r="U35" s="373"/>
      <c r="V35" s="373"/>
      <c r="W35" s="373"/>
      <c r="X35" s="373"/>
      <c r="Y35" s="373"/>
      <c r="Z35" s="373"/>
      <c r="AA35" s="373"/>
      <c r="AB35" s="373"/>
      <c r="AC35" s="373"/>
      <c r="AD35" s="373"/>
      <c r="AE35" s="373"/>
      <c r="AF35" s="373"/>
      <c r="AG35" s="373"/>
    </row>
    <row r="36" spans="1:33" x14ac:dyDescent="0.25">
      <c r="A36" s="373"/>
      <c r="B36" s="373"/>
      <c r="C36" s="373"/>
      <c r="D36" s="373"/>
      <c r="E36" s="373"/>
      <c r="F36" s="373"/>
      <c r="G36" s="373"/>
      <c r="H36" s="373"/>
      <c r="I36" s="373"/>
      <c r="J36" s="373"/>
      <c r="K36" s="373"/>
      <c r="L36" s="373"/>
      <c r="M36" s="373"/>
      <c r="N36" s="373"/>
      <c r="O36" s="373"/>
      <c r="P36" s="373"/>
      <c r="Q36" s="373"/>
      <c r="R36" s="373"/>
      <c r="S36" s="373"/>
      <c r="T36" s="373"/>
      <c r="U36" s="373"/>
      <c r="V36" s="373"/>
      <c r="W36" s="373"/>
      <c r="X36" s="373"/>
      <c r="Y36" s="373"/>
      <c r="Z36" s="373"/>
      <c r="AA36" s="373"/>
      <c r="AB36" s="373"/>
      <c r="AC36" s="373"/>
      <c r="AD36" s="373"/>
      <c r="AE36" s="373"/>
      <c r="AF36" s="373"/>
      <c r="AG36" s="373"/>
    </row>
    <row r="37" spans="1:33" x14ac:dyDescent="0.25">
      <c r="A37" s="373"/>
      <c r="B37" s="373"/>
      <c r="C37" s="373"/>
      <c r="D37" s="373"/>
      <c r="E37" s="373"/>
      <c r="F37" s="373"/>
      <c r="G37" s="373"/>
      <c r="H37" s="373"/>
      <c r="I37" s="373"/>
      <c r="J37" s="373"/>
      <c r="K37" s="373"/>
      <c r="L37" s="373"/>
      <c r="M37" s="373"/>
      <c r="N37" s="373"/>
      <c r="O37" s="373"/>
      <c r="P37" s="373"/>
      <c r="Q37" s="373"/>
      <c r="R37" s="373"/>
      <c r="S37" s="373"/>
      <c r="T37" s="373"/>
      <c r="U37" s="373"/>
      <c r="V37" s="373"/>
      <c r="W37" s="373"/>
      <c r="X37" s="373"/>
      <c r="Y37" s="373"/>
      <c r="Z37" s="373"/>
      <c r="AA37" s="373"/>
      <c r="AB37" s="373"/>
      <c r="AC37" s="373"/>
      <c r="AD37" s="373"/>
      <c r="AE37" s="373"/>
      <c r="AF37" s="373"/>
      <c r="AG37" s="373"/>
    </row>
    <row r="38" spans="1:33" x14ac:dyDescent="0.25">
      <c r="A38" s="373"/>
      <c r="B38" s="373"/>
      <c r="C38" s="373"/>
      <c r="D38" s="373"/>
      <c r="E38" s="373"/>
      <c r="F38" s="373"/>
      <c r="G38" s="373"/>
      <c r="H38" s="373"/>
      <c r="I38" s="373"/>
      <c r="J38" s="373"/>
      <c r="K38" s="373"/>
      <c r="L38" s="373"/>
      <c r="M38" s="373"/>
      <c r="N38" s="373"/>
      <c r="O38" s="373"/>
      <c r="P38" s="373"/>
      <c r="Q38" s="373"/>
      <c r="R38" s="373"/>
      <c r="S38" s="373"/>
      <c r="T38" s="373"/>
      <c r="U38" s="373"/>
      <c r="V38" s="373"/>
      <c r="W38" s="373"/>
      <c r="X38" s="373"/>
      <c r="Y38" s="373"/>
      <c r="Z38" s="373"/>
      <c r="AA38" s="373"/>
      <c r="AB38" s="373"/>
      <c r="AC38" s="373"/>
      <c r="AD38" s="373"/>
      <c r="AE38" s="373"/>
      <c r="AF38" s="373"/>
      <c r="AG38" s="373"/>
    </row>
    <row r="39" spans="1:33" x14ac:dyDescent="0.25">
      <c r="A39" s="373"/>
      <c r="B39" s="373"/>
      <c r="C39" s="373"/>
      <c r="D39" s="373"/>
      <c r="E39" s="373"/>
      <c r="F39" s="373"/>
      <c r="G39" s="373"/>
      <c r="H39" s="373"/>
      <c r="I39" s="373"/>
      <c r="J39" s="373"/>
      <c r="K39" s="373"/>
      <c r="L39" s="373"/>
      <c r="M39" s="373"/>
      <c r="N39" s="373"/>
      <c r="O39" s="373"/>
      <c r="P39" s="373"/>
      <c r="Q39" s="373"/>
      <c r="R39" s="373"/>
      <c r="S39" s="373"/>
      <c r="T39" s="373"/>
      <c r="U39" s="373"/>
      <c r="V39" s="373"/>
      <c r="W39" s="373"/>
      <c r="X39" s="373"/>
      <c r="Y39" s="373"/>
      <c r="Z39" s="373"/>
      <c r="AA39" s="373"/>
      <c r="AB39" s="373"/>
      <c r="AC39" s="373"/>
      <c r="AD39" s="373"/>
      <c r="AE39" s="373"/>
      <c r="AF39" s="373"/>
      <c r="AG39" s="373"/>
    </row>
    <row r="40" spans="1:33" x14ac:dyDescent="0.25">
      <c r="A40" s="373"/>
      <c r="B40" s="373"/>
      <c r="C40" s="373"/>
      <c r="D40" s="373"/>
      <c r="E40" s="373"/>
      <c r="F40" s="373"/>
      <c r="G40" s="373"/>
      <c r="H40" s="373"/>
      <c r="I40" s="373"/>
      <c r="J40" s="373"/>
      <c r="K40" s="373"/>
      <c r="L40" s="373"/>
      <c r="M40" s="373"/>
      <c r="N40" s="373"/>
      <c r="O40" s="373"/>
      <c r="P40" s="373"/>
      <c r="Q40" s="373"/>
      <c r="R40" s="373"/>
      <c r="S40" s="373"/>
      <c r="T40" s="373"/>
      <c r="U40" s="373"/>
      <c r="V40" s="373"/>
      <c r="W40" s="373"/>
      <c r="X40" s="373"/>
      <c r="Y40" s="373"/>
      <c r="Z40" s="373"/>
      <c r="AA40" s="373"/>
      <c r="AB40" s="373"/>
      <c r="AC40" s="373"/>
      <c r="AD40" s="373"/>
      <c r="AE40" s="373"/>
      <c r="AF40" s="373"/>
      <c r="AG40" s="373"/>
    </row>
    <row r="41" spans="1:33" x14ac:dyDescent="0.25">
      <c r="A41" s="373"/>
      <c r="B41" s="373"/>
      <c r="C41" s="373"/>
      <c r="D41" s="373"/>
      <c r="E41" s="373"/>
      <c r="F41" s="373"/>
      <c r="G41" s="373"/>
      <c r="H41" s="373"/>
      <c r="I41" s="373"/>
      <c r="J41" s="373"/>
      <c r="K41" s="373"/>
      <c r="L41" s="373"/>
      <c r="M41" s="373"/>
      <c r="N41" s="373"/>
      <c r="O41" s="373"/>
      <c r="P41" s="373"/>
      <c r="Q41" s="373"/>
      <c r="R41" s="373"/>
      <c r="S41" s="373"/>
      <c r="T41" s="373"/>
      <c r="U41" s="373"/>
      <c r="V41" s="373"/>
      <c r="W41" s="373"/>
      <c r="X41" s="373"/>
      <c r="Y41" s="373"/>
      <c r="Z41" s="373"/>
      <c r="AA41" s="373"/>
      <c r="AB41" s="373"/>
      <c r="AC41" s="373"/>
      <c r="AD41" s="373"/>
      <c r="AE41" s="373"/>
      <c r="AF41" s="373"/>
      <c r="AG41" s="373"/>
    </row>
    <row r="42" spans="1:33" x14ac:dyDescent="0.25">
      <c r="A42" s="373"/>
      <c r="B42" s="373"/>
      <c r="C42" s="373"/>
      <c r="D42" s="373"/>
      <c r="E42" s="373"/>
      <c r="F42" s="373"/>
      <c r="G42" s="373"/>
      <c r="H42" s="373"/>
      <c r="I42" s="373"/>
      <c r="J42" s="373"/>
      <c r="K42" s="373"/>
      <c r="L42" s="373"/>
      <c r="M42" s="373"/>
      <c r="N42" s="373"/>
      <c r="O42" s="373"/>
      <c r="P42" s="373"/>
      <c r="Q42" s="373"/>
      <c r="R42" s="373"/>
      <c r="S42" s="373"/>
      <c r="T42" s="373"/>
      <c r="U42" s="373"/>
      <c r="V42" s="373"/>
      <c r="W42" s="373"/>
      <c r="X42" s="373"/>
      <c r="Y42" s="373"/>
      <c r="Z42" s="373"/>
      <c r="AA42" s="373"/>
      <c r="AB42" s="373"/>
      <c r="AC42" s="373"/>
      <c r="AD42" s="373"/>
      <c r="AE42" s="373"/>
      <c r="AF42" s="373"/>
      <c r="AG42" s="373"/>
    </row>
    <row r="43" spans="1:33" x14ac:dyDescent="0.25">
      <c r="A43" s="373"/>
      <c r="B43" s="373"/>
      <c r="C43" s="373"/>
      <c r="D43" s="373"/>
      <c r="E43" s="373"/>
      <c r="F43" s="373"/>
      <c r="G43" s="373"/>
      <c r="H43" s="373"/>
      <c r="I43" s="373"/>
      <c r="J43" s="373"/>
      <c r="K43" s="373"/>
      <c r="L43" s="373"/>
      <c r="M43" s="373"/>
      <c r="N43" s="373"/>
      <c r="O43" s="373"/>
      <c r="P43" s="373"/>
      <c r="Q43" s="373"/>
      <c r="R43" s="373"/>
      <c r="S43" s="373"/>
      <c r="T43" s="373"/>
      <c r="U43" s="373"/>
      <c r="V43" s="373"/>
      <c r="W43" s="373"/>
      <c r="X43" s="373"/>
      <c r="Y43" s="373"/>
      <c r="Z43" s="373"/>
      <c r="AA43" s="373"/>
      <c r="AB43" s="373"/>
      <c r="AC43" s="373"/>
      <c r="AD43" s="373"/>
      <c r="AE43" s="373"/>
      <c r="AF43" s="373"/>
      <c r="AG43" s="373"/>
    </row>
    <row r="44" spans="1:33" x14ac:dyDescent="0.25">
      <c r="A44" s="373"/>
      <c r="B44" s="373"/>
      <c r="C44" s="373"/>
      <c r="D44" s="373"/>
      <c r="E44" s="373"/>
      <c r="F44" s="373"/>
      <c r="G44" s="373"/>
      <c r="H44" s="373"/>
      <c r="I44" s="373"/>
      <c r="J44" s="373"/>
      <c r="K44" s="373"/>
      <c r="L44" s="373"/>
      <c r="M44" s="373"/>
      <c r="N44" s="373"/>
      <c r="O44" s="373"/>
      <c r="P44" s="373"/>
      <c r="Q44" s="373"/>
      <c r="R44" s="373"/>
      <c r="S44" s="373"/>
      <c r="T44" s="373"/>
      <c r="U44" s="373"/>
      <c r="V44" s="373"/>
      <c r="W44" s="373"/>
      <c r="X44" s="373"/>
      <c r="Y44" s="373"/>
      <c r="Z44" s="373"/>
      <c r="AA44" s="373"/>
      <c r="AB44" s="373"/>
      <c r="AC44" s="373"/>
      <c r="AD44" s="373"/>
      <c r="AE44" s="373"/>
      <c r="AF44" s="373"/>
      <c r="AG44" s="373"/>
    </row>
    <row r="45" spans="1:33" x14ac:dyDescent="0.25">
      <c r="A45" s="373"/>
      <c r="B45" s="373"/>
      <c r="C45" s="373"/>
      <c r="D45" s="373"/>
      <c r="E45" s="373"/>
      <c r="F45" s="373"/>
      <c r="G45" s="373"/>
      <c r="H45" s="373"/>
      <c r="I45" s="373"/>
      <c r="J45" s="373"/>
      <c r="K45" s="373"/>
      <c r="L45" s="373"/>
      <c r="M45" s="373"/>
      <c r="N45" s="373"/>
      <c r="O45" s="373"/>
      <c r="P45" s="373"/>
      <c r="Q45" s="373"/>
      <c r="R45" s="373"/>
      <c r="S45" s="373"/>
      <c r="T45" s="373"/>
      <c r="U45" s="373"/>
      <c r="V45" s="373"/>
      <c r="W45" s="373"/>
      <c r="X45" s="373"/>
      <c r="Y45" s="373"/>
      <c r="Z45" s="373"/>
      <c r="AA45" s="373"/>
      <c r="AB45" s="373"/>
      <c r="AC45" s="373"/>
      <c r="AD45" s="373"/>
      <c r="AE45" s="373"/>
      <c r="AF45" s="373"/>
      <c r="AG45" s="373"/>
    </row>
    <row r="46" spans="1:33" x14ac:dyDescent="0.25">
      <c r="A46" s="373"/>
      <c r="B46" s="373"/>
      <c r="C46" s="373"/>
      <c r="D46" s="373"/>
      <c r="E46" s="373"/>
      <c r="F46" s="373"/>
      <c r="G46" s="373"/>
      <c r="H46" s="373"/>
      <c r="I46" s="373"/>
      <c r="J46" s="373"/>
      <c r="K46" s="373"/>
      <c r="L46" s="373"/>
      <c r="M46" s="373"/>
      <c r="N46" s="373"/>
      <c r="O46" s="373"/>
      <c r="P46" s="373"/>
      <c r="Q46" s="373"/>
      <c r="R46" s="373"/>
      <c r="S46" s="373"/>
      <c r="T46" s="373"/>
      <c r="U46" s="373"/>
      <c r="V46" s="373"/>
      <c r="W46" s="373"/>
      <c r="X46" s="373"/>
      <c r="Y46" s="373"/>
      <c r="Z46" s="373"/>
      <c r="AA46" s="373"/>
      <c r="AB46" s="373"/>
      <c r="AC46" s="373"/>
      <c r="AD46" s="373"/>
      <c r="AE46" s="373"/>
      <c r="AF46" s="373"/>
      <c r="AG46" s="373"/>
    </row>
    <row r="47" spans="1:33" x14ac:dyDescent="0.25">
      <c r="A47" s="373"/>
      <c r="B47" s="373"/>
      <c r="C47" s="373"/>
      <c r="D47" s="373"/>
      <c r="E47" s="373"/>
      <c r="F47" s="373"/>
      <c r="G47" s="373"/>
      <c r="H47" s="373"/>
      <c r="I47" s="373"/>
      <c r="J47" s="373"/>
      <c r="K47" s="373"/>
      <c r="L47" s="373"/>
      <c r="M47" s="373"/>
      <c r="N47" s="373"/>
      <c r="O47" s="373"/>
      <c r="P47" s="373"/>
      <c r="Q47" s="373"/>
      <c r="R47" s="373"/>
      <c r="S47" s="373"/>
      <c r="T47" s="373"/>
      <c r="U47" s="373"/>
      <c r="V47" s="373"/>
      <c r="W47" s="373"/>
      <c r="X47" s="373"/>
      <c r="Y47" s="373"/>
      <c r="Z47" s="373"/>
      <c r="AA47" s="373"/>
      <c r="AB47" s="373"/>
      <c r="AC47" s="373"/>
      <c r="AD47" s="373"/>
      <c r="AE47" s="373"/>
      <c r="AF47" s="373"/>
      <c r="AG47" s="373"/>
    </row>
    <row r="48" spans="1:33" x14ac:dyDescent="0.25">
      <c r="A48" s="373"/>
      <c r="B48" s="373"/>
      <c r="C48" s="373"/>
      <c r="D48" s="373"/>
      <c r="E48" s="373"/>
      <c r="F48" s="373"/>
      <c r="G48" s="373"/>
      <c r="H48" s="373"/>
      <c r="I48" s="373"/>
      <c r="J48" s="373"/>
      <c r="K48" s="373"/>
      <c r="L48" s="373"/>
      <c r="M48" s="373"/>
      <c r="N48" s="373"/>
      <c r="O48" s="373"/>
      <c r="P48" s="373"/>
      <c r="Q48" s="373"/>
      <c r="R48" s="373"/>
      <c r="S48" s="373"/>
      <c r="T48" s="373"/>
      <c r="U48" s="373"/>
      <c r="V48" s="373"/>
      <c r="W48" s="373"/>
      <c r="X48" s="373"/>
      <c r="Y48" s="373"/>
      <c r="Z48" s="373"/>
      <c r="AA48" s="373"/>
      <c r="AB48" s="373"/>
      <c r="AC48" s="373"/>
      <c r="AD48" s="373"/>
      <c r="AE48" s="373"/>
      <c r="AF48" s="373"/>
      <c r="AG48" s="373"/>
    </row>
    <row r="49" spans="1:33" x14ac:dyDescent="0.25">
      <c r="A49" s="373"/>
      <c r="B49" s="373"/>
      <c r="C49" s="373"/>
      <c r="D49" s="373"/>
      <c r="E49" s="373"/>
      <c r="F49" s="373"/>
      <c r="G49" s="373"/>
      <c r="H49" s="373"/>
      <c r="I49" s="373"/>
      <c r="J49" s="373"/>
      <c r="K49" s="373"/>
      <c r="L49" s="373"/>
      <c r="M49" s="373"/>
      <c r="N49" s="373"/>
      <c r="O49" s="373"/>
      <c r="P49" s="373"/>
      <c r="Q49" s="373"/>
      <c r="R49" s="373"/>
      <c r="S49" s="373"/>
      <c r="T49" s="373"/>
      <c r="U49" s="373"/>
      <c r="V49" s="373"/>
      <c r="W49" s="373"/>
      <c r="X49" s="373"/>
      <c r="Y49" s="373"/>
      <c r="Z49" s="373"/>
      <c r="AA49" s="373"/>
      <c r="AB49" s="373"/>
      <c r="AC49" s="373"/>
      <c r="AD49" s="373"/>
      <c r="AE49" s="373"/>
      <c r="AF49" s="373"/>
      <c r="AG49" s="373"/>
    </row>
    <row r="50" spans="1:33" x14ac:dyDescent="0.25">
      <c r="A50" s="373"/>
      <c r="B50" s="373"/>
      <c r="C50" s="373"/>
      <c r="D50" s="373"/>
      <c r="E50" s="373"/>
      <c r="F50" s="373"/>
      <c r="G50" s="373"/>
      <c r="H50" s="373"/>
      <c r="I50" s="373"/>
      <c r="J50" s="373"/>
      <c r="K50" s="373"/>
      <c r="L50" s="373"/>
      <c r="M50" s="373"/>
      <c r="N50" s="373"/>
      <c r="O50" s="373"/>
      <c r="P50" s="373"/>
      <c r="Q50" s="373"/>
      <c r="R50" s="373"/>
      <c r="S50" s="373"/>
      <c r="T50" s="373"/>
      <c r="U50" s="373"/>
      <c r="V50" s="373"/>
      <c r="W50" s="373"/>
      <c r="X50" s="373"/>
      <c r="Y50" s="373"/>
      <c r="Z50" s="373"/>
      <c r="AA50" s="373"/>
      <c r="AB50" s="373"/>
      <c r="AC50" s="373"/>
      <c r="AD50" s="373"/>
      <c r="AE50" s="373"/>
      <c r="AF50" s="373"/>
      <c r="AG50" s="373"/>
    </row>
    <row r="51" spans="1:33" x14ac:dyDescent="0.25">
      <c r="A51" s="373"/>
      <c r="B51" s="373"/>
      <c r="C51" s="373"/>
      <c r="D51" s="373"/>
      <c r="E51" s="373"/>
      <c r="F51" s="373"/>
      <c r="G51" s="373"/>
      <c r="H51" s="373"/>
      <c r="I51" s="373"/>
      <c r="J51" s="373"/>
      <c r="K51" s="373"/>
      <c r="L51" s="373"/>
      <c r="M51" s="373"/>
      <c r="N51" s="373"/>
      <c r="O51" s="373"/>
      <c r="P51" s="373"/>
      <c r="Q51" s="373"/>
      <c r="R51" s="373"/>
      <c r="S51" s="373"/>
      <c r="T51" s="373"/>
      <c r="U51" s="373"/>
      <c r="V51" s="373"/>
      <c r="W51" s="373"/>
      <c r="X51" s="373"/>
      <c r="Y51" s="373"/>
      <c r="Z51" s="373"/>
      <c r="AA51" s="373"/>
      <c r="AB51" s="373"/>
      <c r="AC51" s="373"/>
      <c r="AD51" s="373"/>
      <c r="AE51" s="373"/>
      <c r="AF51" s="373"/>
      <c r="AG51" s="373"/>
    </row>
    <row r="52" spans="1:33" x14ac:dyDescent="0.25">
      <c r="A52" s="373"/>
      <c r="B52" s="373"/>
      <c r="C52" s="373"/>
      <c r="D52" s="373"/>
      <c r="E52" s="373"/>
      <c r="F52" s="373"/>
      <c r="G52" s="373"/>
      <c r="H52" s="373"/>
      <c r="I52" s="373"/>
      <c r="J52" s="373"/>
      <c r="K52" s="373"/>
      <c r="L52" s="373"/>
      <c r="M52" s="373"/>
      <c r="N52" s="373"/>
      <c r="O52" s="373"/>
      <c r="P52" s="373"/>
      <c r="Q52" s="373"/>
      <c r="R52" s="373"/>
      <c r="S52" s="373"/>
      <c r="T52" s="373"/>
      <c r="U52" s="373"/>
      <c r="V52" s="373"/>
      <c r="W52" s="373"/>
      <c r="X52" s="373"/>
      <c r="Y52" s="373"/>
      <c r="Z52" s="373"/>
      <c r="AA52" s="373"/>
      <c r="AB52" s="373"/>
      <c r="AC52" s="373"/>
      <c r="AD52" s="373"/>
      <c r="AE52" s="373"/>
      <c r="AF52" s="373"/>
      <c r="AG52" s="373"/>
    </row>
    <row r="53" spans="1:33" x14ac:dyDescent="0.25">
      <c r="A53" s="373"/>
      <c r="B53" s="373"/>
      <c r="C53" s="373"/>
      <c r="D53" s="373"/>
      <c r="E53" s="373"/>
      <c r="F53" s="373"/>
      <c r="G53" s="373"/>
      <c r="H53" s="373"/>
      <c r="I53" s="373"/>
      <c r="J53" s="373"/>
      <c r="K53" s="373"/>
      <c r="L53" s="373"/>
      <c r="M53" s="373"/>
      <c r="N53" s="373"/>
      <c r="O53" s="373"/>
      <c r="P53" s="373"/>
      <c r="Q53" s="373"/>
      <c r="R53" s="373"/>
      <c r="S53" s="373"/>
      <c r="T53" s="373"/>
      <c r="U53" s="373"/>
      <c r="V53" s="373"/>
      <c r="W53" s="373"/>
      <c r="X53" s="373"/>
      <c r="Y53" s="373"/>
      <c r="Z53" s="373"/>
      <c r="AA53" s="373"/>
      <c r="AB53" s="373"/>
      <c r="AC53" s="373"/>
      <c r="AD53" s="373"/>
      <c r="AE53" s="373"/>
      <c r="AF53" s="373"/>
      <c r="AG53" s="373"/>
    </row>
    <row r="54" spans="1:33" x14ac:dyDescent="0.25">
      <c r="A54" s="373"/>
      <c r="B54" s="373"/>
      <c r="C54" s="373"/>
      <c r="D54" s="373"/>
      <c r="E54" s="373"/>
      <c r="F54" s="373"/>
      <c r="G54" s="373"/>
      <c r="H54" s="373"/>
      <c r="I54" s="373"/>
      <c r="J54" s="373"/>
      <c r="K54" s="373"/>
      <c r="L54" s="373"/>
      <c r="M54" s="373"/>
      <c r="N54" s="373"/>
      <c r="O54" s="373"/>
      <c r="P54" s="373"/>
      <c r="Q54" s="373"/>
      <c r="R54" s="373"/>
      <c r="S54" s="373"/>
      <c r="T54" s="373"/>
      <c r="U54" s="373"/>
      <c r="V54" s="373"/>
      <c r="W54" s="373"/>
      <c r="X54" s="373"/>
      <c r="Y54" s="373"/>
      <c r="Z54" s="373"/>
      <c r="AA54" s="373"/>
      <c r="AB54" s="373"/>
      <c r="AC54" s="373"/>
      <c r="AD54" s="373"/>
      <c r="AE54" s="373"/>
      <c r="AF54" s="373"/>
      <c r="AG54" s="373"/>
    </row>
    <row r="55" spans="1:33" x14ac:dyDescent="0.25">
      <c r="A55" s="373"/>
      <c r="B55" s="373"/>
      <c r="C55" s="373"/>
      <c r="D55" s="373"/>
      <c r="E55" s="373"/>
      <c r="F55" s="373"/>
      <c r="G55" s="373"/>
      <c r="H55" s="373"/>
      <c r="I55" s="373"/>
      <c r="J55" s="373"/>
      <c r="K55" s="373"/>
      <c r="L55" s="373"/>
      <c r="M55" s="373"/>
      <c r="N55" s="373"/>
      <c r="O55" s="373"/>
      <c r="P55" s="373"/>
      <c r="Q55" s="373"/>
      <c r="R55" s="373"/>
      <c r="S55" s="373"/>
      <c r="T55" s="373"/>
      <c r="U55" s="373"/>
      <c r="V55" s="373"/>
      <c r="W55" s="373"/>
      <c r="X55" s="373"/>
      <c r="Y55" s="373"/>
      <c r="Z55" s="373"/>
      <c r="AA55" s="373"/>
      <c r="AB55" s="373"/>
      <c r="AC55" s="373"/>
      <c r="AD55" s="373"/>
      <c r="AE55" s="373"/>
      <c r="AF55" s="373"/>
      <c r="AG55" s="373"/>
    </row>
    <row r="56" spans="1:33" x14ac:dyDescent="0.25">
      <c r="A56" s="373"/>
      <c r="B56" s="373"/>
      <c r="C56" s="373"/>
      <c r="D56" s="373"/>
      <c r="E56" s="373"/>
      <c r="F56" s="373"/>
      <c r="G56" s="373"/>
      <c r="H56" s="373"/>
      <c r="I56" s="373"/>
      <c r="J56" s="373"/>
      <c r="K56" s="373"/>
      <c r="L56" s="373"/>
      <c r="M56" s="373"/>
      <c r="N56" s="373"/>
      <c r="O56" s="373"/>
      <c r="P56" s="373"/>
      <c r="Q56" s="373"/>
      <c r="R56" s="373"/>
      <c r="S56" s="373"/>
      <c r="T56" s="373"/>
      <c r="U56" s="373"/>
      <c r="V56" s="373"/>
      <c r="W56" s="373"/>
      <c r="X56" s="373"/>
      <c r="Y56" s="373"/>
      <c r="Z56" s="373"/>
      <c r="AA56" s="373"/>
      <c r="AB56" s="373"/>
      <c r="AC56" s="373"/>
      <c r="AD56" s="373"/>
      <c r="AE56" s="373"/>
      <c r="AF56" s="373"/>
      <c r="AG56" s="373"/>
    </row>
    <row r="57" spans="1:33" x14ac:dyDescent="0.25">
      <c r="A57" s="373"/>
      <c r="B57" s="373"/>
      <c r="C57" s="373"/>
      <c r="D57" s="373"/>
      <c r="E57" s="373"/>
      <c r="F57" s="373"/>
      <c r="G57" s="373"/>
      <c r="H57" s="373"/>
      <c r="I57" s="373"/>
      <c r="J57" s="373"/>
      <c r="K57" s="373"/>
      <c r="L57" s="373"/>
      <c r="M57" s="373"/>
      <c r="N57" s="373"/>
      <c r="O57" s="373"/>
      <c r="P57" s="373"/>
      <c r="Q57" s="373"/>
      <c r="R57" s="373"/>
      <c r="S57" s="373"/>
      <c r="T57" s="373"/>
      <c r="U57" s="373"/>
      <c r="V57" s="373"/>
      <c r="W57" s="373"/>
      <c r="X57" s="373"/>
      <c r="Y57" s="373"/>
      <c r="Z57" s="373"/>
      <c r="AA57" s="373"/>
      <c r="AB57" s="373"/>
      <c r="AC57" s="373"/>
      <c r="AD57" s="373"/>
      <c r="AE57" s="373"/>
      <c r="AF57" s="373"/>
      <c r="AG57" s="373"/>
    </row>
    <row r="58" spans="1:33" x14ac:dyDescent="0.25">
      <c r="A58" s="373"/>
      <c r="B58" s="373"/>
      <c r="C58" s="373"/>
      <c r="D58" s="373"/>
      <c r="E58" s="373"/>
      <c r="F58" s="373"/>
      <c r="G58" s="373"/>
      <c r="H58" s="373"/>
      <c r="I58" s="373"/>
      <c r="J58" s="373"/>
      <c r="K58" s="373"/>
      <c r="L58" s="373"/>
      <c r="M58" s="373"/>
      <c r="N58" s="373"/>
      <c r="O58" s="373"/>
      <c r="P58" s="373"/>
      <c r="Q58" s="373"/>
      <c r="R58" s="373"/>
      <c r="S58" s="373"/>
      <c r="T58" s="373"/>
      <c r="U58" s="373"/>
      <c r="V58" s="373"/>
      <c r="W58" s="373"/>
      <c r="X58" s="373"/>
      <c r="Y58" s="373"/>
      <c r="Z58" s="373"/>
      <c r="AA58" s="373"/>
      <c r="AB58" s="373"/>
      <c r="AC58" s="373"/>
      <c r="AD58" s="373"/>
      <c r="AE58" s="373"/>
      <c r="AF58" s="373"/>
      <c r="AG58" s="373"/>
    </row>
    <row r="59" spans="1:33" x14ac:dyDescent="0.25">
      <c r="A59" s="373"/>
      <c r="B59" s="373"/>
      <c r="C59" s="373"/>
      <c r="D59" s="373"/>
      <c r="E59" s="373"/>
      <c r="F59" s="373"/>
      <c r="G59" s="373"/>
      <c r="H59" s="373"/>
      <c r="I59" s="373"/>
      <c r="J59" s="373"/>
      <c r="K59" s="373"/>
      <c r="L59" s="373"/>
      <c r="M59" s="373"/>
      <c r="N59" s="373"/>
      <c r="O59" s="373"/>
      <c r="P59" s="373"/>
      <c r="Q59" s="373"/>
      <c r="R59" s="373"/>
      <c r="S59" s="373"/>
      <c r="T59" s="373"/>
      <c r="U59" s="373"/>
      <c r="V59" s="373"/>
      <c r="W59" s="373"/>
      <c r="X59" s="373"/>
      <c r="Y59" s="373"/>
      <c r="Z59" s="373"/>
      <c r="AA59" s="373"/>
      <c r="AB59" s="373"/>
      <c r="AC59" s="373"/>
      <c r="AD59" s="373"/>
      <c r="AE59" s="373"/>
      <c r="AF59" s="373"/>
      <c r="AG59" s="373"/>
    </row>
    <row r="60" spans="1:33" x14ac:dyDescent="0.25">
      <c r="A60" s="373"/>
      <c r="B60" s="373"/>
      <c r="C60" s="373"/>
      <c r="D60" s="373"/>
      <c r="E60" s="373"/>
      <c r="F60" s="373"/>
      <c r="G60" s="373"/>
      <c r="H60" s="373"/>
      <c r="I60" s="373"/>
      <c r="J60" s="373"/>
      <c r="K60" s="373"/>
      <c r="L60" s="373"/>
      <c r="M60" s="373"/>
      <c r="N60" s="373"/>
      <c r="O60" s="373"/>
      <c r="P60" s="373"/>
      <c r="Q60" s="373"/>
      <c r="R60" s="373"/>
      <c r="S60" s="373"/>
      <c r="T60" s="373"/>
      <c r="U60" s="373"/>
      <c r="V60" s="373"/>
      <c r="W60" s="373"/>
      <c r="X60" s="373"/>
      <c r="Y60" s="373"/>
      <c r="Z60" s="373"/>
      <c r="AA60" s="373"/>
      <c r="AB60" s="373"/>
      <c r="AC60" s="373"/>
      <c r="AD60" s="373"/>
      <c r="AE60" s="373"/>
      <c r="AF60" s="373"/>
      <c r="AG60" s="373"/>
    </row>
    <row r="61" spans="1:33" x14ac:dyDescent="0.25">
      <c r="A61" s="373"/>
      <c r="B61" s="373"/>
      <c r="C61" s="373"/>
      <c r="D61" s="373"/>
      <c r="E61" s="373"/>
      <c r="F61" s="373"/>
      <c r="G61" s="373"/>
      <c r="H61" s="373"/>
      <c r="I61" s="373"/>
      <c r="J61" s="373"/>
      <c r="K61" s="373"/>
      <c r="L61" s="373"/>
      <c r="M61" s="373"/>
      <c r="N61" s="373"/>
      <c r="O61" s="373"/>
      <c r="P61" s="373"/>
      <c r="Q61" s="373"/>
      <c r="R61" s="373"/>
      <c r="S61" s="373"/>
      <c r="T61" s="373"/>
      <c r="U61" s="373"/>
      <c r="V61" s="373"/>
      <c r="W61" s="373"/>
      <c r="X61" s="373"/>
      <c r="Y61" s="373"/>
      <c r="Z61" s="373"/>
      <c r="AA61" s="373"/>
      <c r="AB61" s="373"/>
      <c r="AC61" s="373"/>
      <c r="AD61" s="373"/>
      <c r="AE61" s="373"/>
      <c r="AF61" s="373"/>
      <c r="AG61" s="373"/>
    </row>
    <row r="62" spans="1:33" x14ac:dyDescent="0.25">
      <c r="A62" s="373"/>
      <c r="B62" s="373"/>
      <c r="C62" s="373"/>
      <c r="D62" s="373"/>
      <c r="E62" s="373"/>
      <c r="F62" s="373"/>
      <c r="G62" s="373"/>
      <c r="H62" s="373"/>
      <c r="I62" s="373"/>
      <c r="J62" s="373"/>
      <c r="K62" s="373"/>
      <c r="L62" s="373"/>
      <c r="M62" s="373"/>
      <c r="N62" s="373"/>
      <c r="O62" s="373"/>
      <c r="P62" s="373"/>
      <c r="Q62" s="373"/>
      <c r="R62" s="373"/>
      <c r="S62" s="373"/>
      <c r="T62" s="373"/>
      <c r="U62" s="373"/>
      <c r="V62" s="373"/>
      <c r="W62" s="373"/>
      <c r="X62" s="373"/>
      <c r="Y62" s="373"/>
      <c r="Z62" s="373"/>
      <c r="AA62" s="373"/>
      <c r="AB62" s="373"/>
      <c r="AC62" s="373"/>
      <c r="AD62" s="373"/>
      <c r="AE62" s="373"/>
      <c r="AF62" s="373"/>
      <c r="AG62" s="373"/>
    </row>
    <row r="63" spans="1:33" x14ac:dyDescent="0.25">
      <c r="A63" s="373"/>
      <c r="B63" s="373"/>
      <c r="C63" s="373"/>
      <c r="D63" s="373"/>
      <c r="E63" s="373"/>
      <c r="F63" s="373"/>
      <c r="G63" s="373"/>
      <c r="H63" s="373"/>
      <c r="I63" s="373"/>
      <c r="J63" s="373"/>
      <c r="K63" s="373"/>
      <c r="L63" s="373"/>
      <c r="M63" s="373"/>
      <c r="N63" s="373"/>
      <c r="O63" s="373"/>
      <c r="P63" s="373"/>
      <c r="Q63" s="373"/>
      <c r="R63" s="373"/>
      <c r="S63" s="373"/>
      <c r="T63" s="373"/>
      <c r="U63" s="373"/>
      <c r="V63" s="373"/>
      <c r="W63" s="373"/>
      <c r="X63" s="373"/>
      <c r="Y63" s="373"/>
      <c r="Z63" s="373"/>
      <c r="AA63" s="373"/>
      <c r="AB63" s="373"/>
      <c r="AC63" s="373"/>
      <c r="AD63" s="373"/>
      <c r="AE63" s="373"/>
      <c r="AF63" s="373"/>
      <c r="AG63" s="373"/>
    </row>
    <row r="64" spans="1:33" x14ac:dyDescent="0.25">
      <c r="A64" s="373"/>
      <c r="B64" s="373"/>
      <c r="C64" s="373"/>
      <c r="D64" s="373"/>
      <c r="E64" s="373"/>
      <c r="F64" s="373"/>
      <c r="G64" s="373"/>
      <c r="H64" s="373"/>
      <c r="I64" s="373"/>
      <c r="J64" s="373"/>
      <c r="K64" s="373"/>
      <c r="L64" s="373"/>
      <c r="M64" s="373"/>
      <c r="N64" s="373"/>
      <c r="O64" s="373"/>
      <c r="P64" s="373"/>
      <c r="Q64" s="373"/>
      <c r="R64" s="373"/>
      <c r="S64" s="373"/>
      <c r="T64" s="373"/>
      <c r="U64" s="373"/>
      <c r="V64" s="373"/>
      <c r="W64" s="373"/>
      <c r="X64" s="373"/>
      <c r="Y64" s="373"/>
      <c r="Z64" s="373"/>
      <c r="AA64" s="373"/>
      <c r="AB64" s="373"/>
      <c r="AC64" s="373"/>
      <c r="AD64" s="373"/>
      <c r="AE64" s="373"/>
      <c r="AF64" s="373"/>
      <c r="AG64" s="373"/>
    </row>
    <row r="65" spans="1:33" x14ac:dyDescent="0.25">
      <c r="A65" s="373"/>
      <c r="B65" s="373"/>
      <c r="C65" s="373"/>
      <c r="D65" s="373"/>
      <c r="E65" s="373"/>
      <c r="F65" s="373"/>
      <c r="G65" s="373"/>
      <c r="H65" s="373"/>
      <c r="I65" s="373"/>
      <c r="J65" s="373"/>
      <c r="K65" s="373"/>
      <c r="L65" s="373"/>
      <c r="M65" s="373"/>
      <c r="N65" s="373"/>
      <c r="O65" s="373"/>
      <c r="P65" s="373"/>
      <c r="Q65" s="373"/>
      <c r="R65" s="373"/>
      <c r="S65" s="373"/>
      <c r="T65" s="373"/>
      <c r="U65" s="373"/>
      <c r="V65" s="373"/>
      <c r="W65" s="373"/>
      <c r="X65" s="373"/>
      <c r="Y65" s="373"/>
      <c r="Z65" s="373"/>
      <c r="AA65" s="373"/>
      <c r="AB65" s="373"/>
      <c r="AC65" s="373"/>
      <c r="AD65" s="373"/>
      <c r="AE65" s="373"/>
      <c r="AF65" s="373"/>
      <c r="AG65" s="373"/>
    </row>
    <row r="66" spans="1:33" x14ac:dyDescent="0.25">
      <c r="A66" s="373"/>
      <c r="B66" s="373"/>
      <c r="C66" s="373"/>
      <c r="D66" s="373"/>
      <c r="E66" s="373"/>
      <c r="F66" s="373"/>
      <c r="G66" s="373"/>
      <c r="H66" s="373"/>
      <c r="I66" s="373"/>
      <c r="J66" s="373"/>
      <c r="K66" s="373"/>
      <c r="L66" s="373"/>
      <c r="M66" s="373"/>
      <c r="N66" s="373"/>
      <c r="O66" s="373"/>
      <c r="P66" s="373"/>
      <c r="Q66" s="373"/>
      <c r="R66" s="373"/>
      <c r="S66" s="373"/>
      <c r="T66" s="373"/>
      <c r="U66" s="373"/>
      <c r="V66" s="373"/>
      <c r="W66" s="373"/>
      <c r="X66" s="373"/>
      <c r="Y66" s="373"/>
      <c r="Z66" s="373"/>
      <c r="AA66" s="373"/>
      <c r="AB66" s="373"/>
      <c r="AC66" s="373"/>
      <c r="AD66" s="373"/>
      <c r="AE66" s="373"/>
      <c r="AF66" s="373"/>
      <c r="AG66" s="373"/>
    </row>
    <row r="67" spans="1:33" x14ac:dyDescent="0.25">
      <c r="A67" s="373"/>
      <c r="B67" s="373"/>
      <c r="C67" s="373"/>
      <c r="D67" s="373"/>
      <c r="E67" s="373"/>
      <c r="F67" s="373"/>
      <c r="G67" s="373"/>
      <c r="H67" s="373"/>
      <c r="I67" s="373"/>
      <c r="J67" s="373"/>
      <c r="K67" s="373"/>
      <c r="L67" s="373"/>
      <c r="M67" s="373"/>
      <c r="N67" s="373"/>
      <c r="O67" s="373"/>
      <c r="P67" s="373"/>
      <c r="Q67" s="373"/>
      <c r="R67" s="373"/>
      <c r="S67" s="373"/>
      <c r="T67" s="373"/>
      <c r="U67" s="373"/>
      <c r="V67" s="373"/>
      <c r="W67" s="373"/>
      <c r="X67" s="373"/>
      <c r="Y67" s="373"/>
      <c r="Z67" s="373"/>
      <c r="AA67" s="373"/>
      <c r="AB67" s="373"/>
      <c r="AC67" s="373"/>
      <c r="AD67" s="373"/>
      <c r="AE67" s="373"/>
      <c r="AF67" s="373"/>
      <c r="AG67" s="373"/>
    </row>
    <row r="68" spans="1:33" x14ac:dyDescent="0.25">
      <c r="A68" s="373"/>
      <c r="B68" s="373"/>
      <c r="C68" s="373"/>
      <c r="D68" s="373"/>
      <c r="E68" s="373"/>
      <c r="F68" s="373"/>
      <c r="G68" s="373"/>
      <c r="H68" s="373"/>
      <c r="I68" s="373"/>
      <c r="J68" s="373"/>
      <c r="K68" s="373"/>
      <c r="L68" s="373"/>
      <c r="M68" s="373"/>
      <c r="N68" s="373"/>
      <c r="O68" s="373"/>
      <c r="P68" s="373"/>
      <c r="Q68" s="373"/>
      <c r="R68" s="373"/>
      <c r="S68" s="373"/>
      <c r="T68" s="373"/>
      <c r="U68" s="373"/>
      <c r="V68" s="373"/>
      <c r="W68" s="373"/>
      <c r="X68" s="373"/>
      <c r="Y68" s="373"/>
      <c r="Z68" s="373"/>
      <c r="AA68" s="373"/>
      <c r="AB68" s="373"/>
      <c r="AC68" s="373"/>
      <c r="AD68" s="373"/>
      <c r="AE68" s="373"/>
      <c r="AF68" s="373"/>
      <c r="AG68" s="373"/>
    </row>
    <row r="69" spans="1:33" x14ac:dyDescent="0.25">
      <c r="A69" s="373"/>
      <c r="B69" s="373"/>
      <c r="C69" s="373"/>
      <c r="D69" s="373"/>
      <c r="E69" s="373"/>
      <c r="F69" s="373"/>
      <c r="G69" s="373"/>
      <c r="H69" s="373"/>
      <c r="I69" s="373"/>
      <c r="J69" s="373"/>
      <c r="K69" s="373"/>
      <c r="L69" s="373"/>
      <c r="M69" s="373"/>
      <c r="N69" s="373"/>
      <c r="O69" s="373"/>
      <c r="P69" s="373"/>
      <c r="Q69" s="373"/>
      <c r="R69" s="373"/>
      <c r="S69" s="373"/>
      <c r="T69" s="373"/>
      <c r="U69" s="373"/>
      <c r="V69" s="373"/>
      <c r="W69" s="373"/>
      <c r="X69" s="373"/>
      <c r="Y69" s="373"/>
      <c r="Z69" s="373"/>
      <c r="AA69" s="373"/>
      <c r="AB69" s="373"/>
      <c r="AC69" s="373"/>
      <c r="AD69" s="373"/>
      <c r="AE69" s="373"/>
      <c r="AF69" s="373"/>
      <c r="AG69" s="373"/>
    </row>
    <row r="70" spans="1:33" x14ac:dyDescent="0.25">
      <c r="A70" s="373"/>
      <c r="B70" s="373"/>
      <c r="C70" s="373"/>
      <c r="D70" s="373"/>
      <c r="E70" s="373"/>
      <c r="F70" s="373"/>
      <c r="G70" s="373"/>
      <c r="H70" s="373"/>
      <c r="I70" s="373"/>
      <c r="J70" s="373"/>
      <c r="K70" s="373"/>
      <c r="L70" s="373"/>
      <c r="M70" s="373"/>
      <c r="N70" s="373"/>
      <c r="O70" s="373"/>
      <c r="P70" s="373"/>
      <c r="Q70" s="373"/>
      <c r="R70" s="373"/>
      <c r="S70" s="373"/>
      <c r="T70" s="373"/>
      <c r="U70" s="373"/>
      <c r="V70" s="373"/>
      <c r="W70" s="373"/>
      <c r="X70" s="373"/>
      <c r="Y70" s="373"/>
      <c r="Z70" s="373"/>
      <c r="AA70" s="373"/>
      <c r="AB70" s="373"/>
      <c r="AC70" s="373"/>
      <c r="AD70" s="373"/>
      <c r="AE70" s="373"/>
      <c r="AF70" s="373"/>
      <c r="AG70" s="373"/>
    </row>
    <row r="71" spans="1:33" x14ac:dyDescent="0.25">
      <c r="A71" s="373"/>
      <c r="B71" s="373"/>
      <c r="C71" s="373"/>
      <c r="D71" s="373"/>
      <c r="E71" s="373"/>
      <c r="F71" s="373"/>
      <c r="G71" s="373"/>
      <c r="H71" s="373"/>
      <c r="I71" s="373"/>
      <c r="J71" s="373"/>
      <c r="K71" s="373"/>
      <c r="L71" s="373"/>
      <c r="M71" s="373"/>
      <c r="N71" s="373"/>
      <c r="O71" s="373"/>
      <c r="P71" s="373"/>
      <c r="Q71" s="373"/>
      <c r="R71" s="373"/>
      <c r="S71" s="373"/>
      <c r="T71" s="373"/>
      <c r="U71" s="373"/>
      <c r="V71" s="373"/>
      <c r="W71" s="373"/>
      <c r="X71" s="373"/>
      <c r="Y71" s="373"/>
      <c r="Z71" s="373"/>
      <c r="AA71" s="373"/>
      <c r="AB71" s="373"/>
      <c r="AC71" s="373"/>
      <c r="AD71" s="373"/>
      <c r="AE71" s="373"/>
      <c r="AF71" s="373"/>
      <c r="AG71" s="373"/>
    </row>
    <row r="72" spans="1:33" x14ac:dyDescent="0.25">
      <c r="A72" s="373"/>
      <c r="B72" s="373"/>
      <c r="C72" s="373"/>
      <c r="D72" s="373"/>
      <c r="E72" s="373"/>
      <c r="F72" s="373"/>
      <c r="G72" s="373"/>
      <c r="H72" s="373"/>
      <c r="I72" s="373"/>
      <c r="J72" s="373"/>
      <c r="K72" s="373"/>
      <c r="L72" s="373"/>
      <c r="M72" s="373"/>
      <c r="N72" s="373"/>
      <c r="O72" s="373"/>
      <c r="P72" s="373"/>
      <c r="Q72" s="373"/>
      <c r="R72" s="373"/>
      <c r="S72" s="373"/>
      <c r="T72" s="373"/>
      <c r="U72" s="373"/>
      <c r="V72" s="373"/>
      <c r="W72" s="373"/>
      <c r="X72" s="373"/>
      <c r="Y72" s="373"/>
      <c r="Z72" s="373"/>
      <c r="AA72" s="373"/>
      <c r="AB72" s="373"/>
      <c r="AC72" s="373"/>
      <c r="AD72" s="373"/>
      <c r="AE72" s="373"/>
      <c r="AF72" s="373"/>
      <c r="AG72" s="373"/>
    </row>
    <row r="73" spans="1:33" x14ac:dyDescent="0.25">
      <c r="A73" s="373"/>
      <c r="B73" s="373"/>
      <c r="C73" s="373"/>
      <c r="D73" s="373"/>
      <c r="E73" s="373"/>
      <c r="F73" s="373"/>
      <c r="G73" s="373"/>
      <c r="H73" s="373"/>
      <c r="I73" s="373"/>
      <c r="J73" s="373"/>
      <c r="K73" s="373"/>
      <c r="L73" s="373"/>
      <c r="M73" s="373"/>
      <c r="N73" s="373"/>
      <c r="O73" s="373"/>
      <c r="P73" s="373"/>
      <c r="Q73" s="373"/>
      <c r="R73" s="373"/>
      <c r="S73" s="373"/>
      <c r="T73" s="373"/>
      <c r="U73" s="373"/>
      <c r="V73" s="373"/>
      <c r="W73" s="373"/>
      <c r="X73" s="373"/>
      <c r="Y73" s="373"/>
      <c r="Z73" s="373"/>
      <c r="AA73" s="373"/>
      <c r="AB73" s="373"/>
      <c r="AC73" s="373"/>
      <c r="AD73" s="373"/>
      <c r="AE73" s="373"/>
      <c r="AF73" s="373"/>
      <c r="AG73" s="373"/>
    </row>
    <row r="74" spans="1:33" x14ac:dyDescent="0.25">
      <c r="A74" s="373"/>
      <c r="B74" s="373"/>
      <c r="C74" s="373"/>
      <c r="D74" s="373"/>
      <c r="E74" s="373"/>
      <c r="F74" s="373"/>
      <c r="G74" s="373"/>
      <c r="H74" s="373"/>
      <c r="I74" s="373"/>
      <c r="J74" s="373"/>
      <c r="K74" s="373"/>
      <c r="L74" s="373"/>
      <c r="M74" s="373"/>
      <c r="N74" s="373"/>
      <c r="O74" s="373"/>
      <c r="P74" s="373"/>
      <c r="Q74" s="373"/>
      <c r="R74" s="373"/>
      <c r="S74" s="373"/>
      <c r="T74" s="373"/>
      <c r="U74" s="373"/>
      <c r="V74" s="373"/>
      <c r="W74" s="373"/>
      <c r="X74" s="373"/>
      <c r="Y74" s="373"/>
      <c r="Z74" s="373"/>
      <c r="AA74" s="373"/>
      <c r="AB74" s="373"/>
      <c r="AC74" s="373"/>
      <c r="AD74" s="373"/>
      <c r="AE74" s="373"/>
      <c r="AF74" s="373"/>
      <c r="AG74" s="373"/>
    </row>
    <row r="75" spans="1:33" x14ac:dyDescent="0.25">
      <c r="A75" s="373"/>
      <c r="B75" s="373"/>
      <c r="C75" s="373"/>
      <c r="D75" s="373"/>
      <c r="E75" s="373"/>
      <c r="F75" s="373"/>
      <c r="G75" s="373"/>
      <c r="H75" s="373"/>
      <c r="I75" s="373"/>
      <c r="J75" s="373"/>
      <c r="K75" s="373"/>
      <c r="L75" s="373"/>
      <c r="M75" s="373"/>
      <c r="N75" s="373"/>
      <c r="O75" s="373"/>
      <c r="P75" s="373"/>
      <c r="Q75" s="373"/>
      <c r="R75" s="373"/>
      <c r="S75" s="373"/>
      <c r="T75" s="373"/>
      <c r="U75" s="373"/>
      <c r="V75" s="373"/>
      <c r="W75" s="373"/>
      <c r="X75" s="373"/>
      <c r="Y75" s="373"/>
      <c r="Z75" s="373"/>
      <c r="AA75" s="373"/>
      <c r="AB75" s="373"/>
      <c r="AC75" s="373"/>
      <c r="AD75" s="373"/>
      <c r="AE75" s="373"/>
      <c r="AF75" s="373"/>
      <c r="AG75" s="373"/>
    </row>
    <row r="76" spans="1:33" x14ac:dyDescent="0.25">
      <c r="A76" s="373"/>
      <c r="B76" s="373"/>
      <c r="C76" s="373"/>
      <c r="D76" s="373"/>
      <c r="E76" s="373"/>
      <c r="F76" s="373"/>
      <c r="G76" s="373"/>
      <c r="H76" s="373"/>
      <c r="I76" s="373"/>
      <c r="J76" s="373"/>
      <c r="K76" s="373"/>
      <c r="L76" s="373"/>
      <c r="M76" s="373"/>
      <c r="N76" s="373"/>
      <c r="O76" s="373"/>
      <c r="P76" s="373"/>
      <c r="Q76" s="373"/>
      <c r="R76" s="373"/>
      <c r="S76" s="373"/>
      <c r="T76" s="373"/>
      <c r="U76" s="373"/>
      <c r="V76" s="373"/>
      <c r="W76" s="373"/>
      <c r="X76" s="373"/>
      <c r="Y76" s="373"/>
      <c r="Z76" s="373"/>
      <c r="AA76" s="373"/>
      <c r="AB76" s="373"/>
      <c r="AC76" s="373"/>
      <c r="AD76" s="373"/>
      <c r="AE76" s="373"/>
      <c r="AF76" s="373"/>
      <c r="AG76" s="373"/>
    </row>
    <row r="77" spans="1:33" x14ac:dyDescent="0.25">
      <c r="A77" s="373"/>
      <c r="B77" s="373"/>
      <c r="C77" s="373"/>
      <c r="D77" s="373"/>
      <c r="E77" s="373"/>
      <c r="F77" s="373"/>
      <c r="G77" s="373"/>
      <c r="H77" s="373"/>
      <c r="I77" s="373"/>
      <c r="J77" s="373"/>
      <c r="K77" s="373"/>
      <c r="L77" s="373"/>
      <c r="M77" s="373"/>
      <c r="N77" s="373"/>
      <c r="O77" s="373"/>
      <c r="P77" s="373"/>
      <c r="Q77" s="373"/>
      <c r="R77" s="373"/>
      <c r="S77" s="373"/>
      <c r="T77" s="373"/>
      <c r="U77" s="373"/>
      <c r="V77" s="373"/>
      <c r="W77" s="373"/>
      <c r="X77" s="373"/>
      <c r="Y77" s="373"/>
      <c r="Z77" s="373"/>
      <c r="AA77" s="373"/>
      <c r="AB77" s="373"/>
      <c r="AC77" s="373"/>
      <c r="AD77" s="373"/>
      <c r="AE77" s="373"/>
      <c r="AF77" s="373"/>
      <c r="AG77" s="373"/>
    </row>
    <row r="78" spans="1:33" x14ac:dyDescent="0.25">
      <c r="A78" s="373"/>
      <c r="B78" s="373"/>
      <c r="C78" s="373"/>
      <c r="D78" s="373"/>
      <c r="E78" s="373"/>
      <c r="F78" s="373"/>
      <c r="G78" s="373"/>
      <c r="H78" s="373"/>
      <c r="I78" s="373"/>
      <c r="J78" s="373"/>
      <c r="K78" s="373"/>
      <c r="L78" s="373"/>
      <c r="M78" s="373"/>
      <c r="N78" s="373"/>
      <c r="O78" s="373"/>
      <c r="P78" s="373"/>
      <c r="Q78" s="373"/>
      <c r="R78" s="373"/>
      <c r="S78" s="373"/>
      <c r="T78" s="373"/>
      <c r="U78" s="373"/>
      <c r="V78" s="373"/>
      <c r="W78" s="373"/>
      <c r="X78" s="373"/>
      <c r="Y78" s="373"/>
      <c r="Z78" s="373"/>
      <c r="AA78" s="373"/>
      <c r="AB78" s="373"/>
      <c r="AC78" s="373"/>
      <c r="AD78" s="373"/>
      <c r="AE78" s="373"/>
      <c r="AF78" s="373"/>
      <c r="AG78" s="373"/>
    </row>
    <row r="79" spans="1:33" x14ac:dyDescent="0.25">
      <c r="A79" s="373"/>
      <c r="B79" s="373"/>
      <c r="C79" s="373"/>
      <c r="D79" s="373"/>
      <c r="E79" s="373"/>
      <c r="F79" s="373"/>
      <c r="G79" s="373"/>
      <c r="H79" s="373"/>
      <c r="I79" s="373"/>
      <c r="J79" s="373"/>
      <c r="K79" s="373"/>
      <c r="L79" s="373"/>
      <c r="M79" s="373"/>
      <c r="N79" s="373"/>
      <c r="O79" s="373"/>
      <c r="P79" s="373"/>
      <c r="Q79" s="373"/>
      <c r="R79" s="373"/>
      <c r="S79" s="373"/>
      <c r="T79" s="373"/>
      <c r="U79" s="373"/>
      <c r="V79" s="373"/>
      <c r="W79" s="373"/>
      <c r="X79" s="373"/>
      <c r="Y79" s="373"/>
      <c r="Z79" s="373"/>
      <c r="AA79" s="373"/>
      <c r="AB79" s="373"/>
      <c r="AC79" s="373"/>
      <c r="AD79" s="373"/>
      <c r="AE79" s="373"/>
      <c r="AF79" s="373"/>
      <c r="AG79" s="373"/>
    </row>
    <row r="80" spans="1:33" x14ac:dyDescent="0.25">
      <c r="A80" s="373"/>
      <c r="B80" s="373"/>
      <c r="C80" s="373"/>
      <c r="D80" s="373"/>
      <c r="E80" s="373"/>
      <c r="F80" s="373"/>
      <c r="G80" s="373"/>
      <c r="H80" s="373"/>
      <c r="I80" s="373"/>
      <c r="J80" s="373"/>
      <c r="K80" s="373"/>
      <c r="L80" s="373"/>
      <c r="M80" s="373"/>
      <c r="N80" s="373"/>
      <c r="O80" s="373"/>
      <c r="P80" s="373"/>
      <c r="Q80" s="373"/>
      <c r="R80" s="373"/>
      <c r="S80" s="373"/>
      <c r="T80" s="373"/>
      <c r="U80" s="373"/>
      <c r="V80" s="373"/>
      <c r="W80" s="373"/>
      <c r="X80" s="373"/>
      <c r="Y80" s="373"/>
      <c r="Z80" s="373"/>
      <c r="AA80" s="373"/>
      <c r="AB80" s="373"/>
      <c r="AC80" s="373"/>
      <c r="AD80" s="373"/>
      <c r="AE80" s="373"/>
      <c r="AF80" s="373"/>
      <c r="AG80" s="373"/>
    </row>
    <row r="81" spans="1:33" x14ac:dyDescent="0.25">
      <c r="A81" s="373"/>
      <c r="B81" s="373"/>
      <c r="C81" s="373"/>
      <c r="D81" s="373"/>
      <c r="E81" s="373"/>
      <c r="F81" s="373"/>
      <c r="G81" s="373"/>
      <c r="H81" s="373"/>
      <c r="I81" s="373"/>
      <c r="J81" s="373"/>
      <c r="K81" s="373"/>
      <c r="L81" s="373"/>
      <c r="M81" s="373"/>
      <c r="N81" s="373"/>
      <c r="O81" s="373"/>
      <c r="P81" s="373"/>
      <c r="Q81" s="373"/>
      <c r="R81" s="373"/>
      <c r="S81" s="373"/>
      <c r="T81" s="373"/>
      <c r="U81" s="373"/>
      <c r="V81" s="373"/>
      <c r="W81" s="373"/>
      <c r="X81" s="373"/>
      <c r="Y81" s="373"/>
      <c r="Z81" s="373"/>
      <c r="AA81" s="373"/>
      <c r="AB81" s="373"/>
      <c r="AC81" s="373"/>
      <c r="AD81" s="373"/>
      <c r="AE81" s="373"/>
      <c r="AF81" s="373"/>
      <c r="AG81" s="373"/>
    </row>
    <row r="82" spans="1:33" x14ac:dyDescent="0.25">
      <c r="A82" s="373"/>
      <c r="B82" s="373"/>
      <c r="C82" s="373"/>
      <c r="D82" s="373"/>
      <c r="E82" s="373"/>
      <c r="F82" s="373"/>
      <c r="G82" s="373"/>
      <c r="H82" s="373"/>
      <c r="I82" s="373"/>
      <c r="J82" s="373"/>
      <c r="K82" s="373"/>
      <c r="L82" s="373"/>
      <c r="M82" s="373"/>
      <c r="N82" s="373"/>
      <c r="O82" s="373"/>
      <c r="P82" s="373"/>
      <c r="Q82" s="373"/>
      <c r="R82" s="373"/>
      <c r="S82" s="373"/>
      <c r="T82" s="373"/>
      <c r="U82" s="373"/>
      <c r="V82" s="373"/>
      <c r="W82" s="373"/>
      <c r="X82" s="373"/>
      <c r="Y82" s="373"/>
      <c r="Z82" s="373"/>
      <c r="AA82" s="373"/>
      <c r="AB82" s="373"/>
      <c r="AC82" s="373"/>
      <c r="AD82" s="373"/>
      <c r="AE82" s="373"/>
      <c r="AF82" s="373"/>
      <c r="AG82" s="373"/>
    </row>
    <row r="83" spans="1:33" x14ac:dyDescent="0.25">
      <c r="A83" s="373"/>
      <c r="B83" s="373"/>
      <c r="C83" s="373"/>
      <c r="D83" s="373"/>
      <c r="E83" s="373"/>
      <c r="F83" s="373"/>
      <c r="G83" s="373"/>
      <c r="H83" s="373"/>
      <c r="I83" s="373"/>
      <c r="J83" s="373"/>
      <c r="K83" s="373"/>
      <c r="L83" s="373"/>
      <c r="M83" s="373"/>
      <c r="N83" s="373"/>
      <c r="O83" s="373"/>
      <c r="P83" s="373"/>
      <c r="Q83" s="373"/>
      <c r="R83" s="373"/>
      <c r="S83" s="373"/>
      <c r="T83" s="373"/>
      <c r="U83" s="373"/>
      <c r="V83" s="373"/>
      <c r="W83" s="373"/>
      <c r="X83" s="373"/>
      <c r="Y83" s="373"/>
      <c r="Z83" s="373"/>
      <c r="AA83" s="373"/>
      <c r="AB83" s="373"/>
      <c r="AC83" s="373"/>
      <c r="AD83" s="373"/>
      <c r="AE83" s="373"/>
      <c r="AF83" s="373"/>
      <c r="AG83" s="373"/>
    </row>
    <row r="84" spans="1:33" x14ac:dyDescent="0.25">
      <c r="A84" s="373"/>
      <c r="B84" s="373"/>
      <c r="C84" s="373"/>
      <c r="D84" s="373"/>
      <c r="E84" s="373"/>
      <c r="F84" s="373"/>
      <c r="G84" s="373"/>
      <c r="H84" s="373"/>
      <c r="I84" s="373"/>
      <c r="J84" s="373"/>
      <c r="K84" s="373"/>
      <c r="L84" s="373"/>
      <c r="M84" s="373"/>
      <c r="N84" s="373"/>
      <c r="O84" s="373"/>
      <c r="P84" s="373"/>
      <c r="Q84" s="373"/>
      <c r="R84" s="373"/>
      <c r="S84" s="373"/>
      <c r="T84" s="373"/>
      <c r="U84" s="373"/>
      <c r="V84" s="373"/>
      <c r="W84" s="373"/>
      <c r="X84" s="373"/>
      <c r="Y84" s="373"/>
      <c r="Z84" s="373"/>
      <c r="AA84" s="373"/>
      <c r="AB84" s="373"/>
      <c r="AC84" s="373"/>
      <c r="AD84" s="373"/>
      <c r="AE84" s="373"/>
      <c r="AF84" s="373"/>
      <c r="AG84" s="373"/>
    </row>
    <row r="85" spans="1:33" x14ac:dyDescent="0.25">
      <c r="A85" s="373"/>
      <c r="B85" s="373"/>
      <c r="C85" s="373"/>
      <c r="D85" s="373"/>
      <c r="E85" s="373"/>
      <c r="F85" s="373"/>
      <c r="G85" s="373"/>
      <c r="H85" s="373"/>
      <c r="I85" s="373"/>
      <c r="J85" s="373"/>
      <c r="K85" s="373"/>
      <c r="L85" s="373"/>
      <c r="M85" s="373"/>
      <c r="N85" s="373"/>
      <c r="O85" s="373"/>
      <c r="P85" s="373"/>
      <c r="Q85" s="373"/>
      <c r="R85" s="373"/>
      <c r="S85" s="373"/>
      <c r="T85" s="373"/>
      <c r="U85" s="373"/>
      <c r="V85" s="373"/>
      <c r="W85" s="373"/>
      <c r="X85" s="373"/>
      <c r="Y85" s="373"/>
      <c r="Z85" s="373"/>
      <c r="AA85" s="373"/>
      <c r="AB85" s="373"/>
      <c r="AC85" s="373"/>
      <c r="AD85" s="373"/>
      <c r="AE85" s="373"/>
      <c r="AF85" s="373"/>
      <c r="AG85" s="373"/>
    </row>
    <row r="86" spans="1:33" x14ac:dyDescent="0.25">
      <c r="A86" s="373"/>
      <c r="B86" s="373"/>
      <c r="C86" s="373"/>
      <c r="D86" s="373"/>
      <c r="E86" s="373"/>
      <c r="F86" s="373"/>
      <c r="G86" s="373"/>
      <c r="H86" s="373"/>
      <c r="I86" s="373"/>
      <c r="J86" s="373"/>
      <c r="K86" s="373"/>
      <c r="L86" s="373"/>
      <c r="M86" s="373"/>
      <c r="N86" s="373"/>
      <c r="O86" s="373"/>
      <c r="P86" s="373"/>
      <c r="Q86" s="373"/>
      <c r="R86" s="373"/>
      <c r="S86" s="373"/>
      <c r="T86" s="373"/>
      <c r="U86" s="373"/>
      <c r="V86" s="373"/>
      <c r="W86" s="373"/>
      <c r="X86" s="373"/>
      <c r="Y86" s="373"/>
      <c r="Z86" s="373"/>
      <c r="AA86" s="373"/>
      <c r="AB86" s="373"/>
      <c r="AC86" s="373"/>
      <c r="AD86" s="373"/>
      <c r="AE86" s="373"/>
      <c r="AF86" s="373"/>
      <c r="AG86" s="373"/>
    </row>
    <row r="87" spans="1:33" x14ac:dyDescent="0.25">
      <c r="A87" s="373"/>
      <c r="B87" s="373"/>
      <c r="C87" s="373"/>
      <c r="D87" s="373"/>
      <c r="E87" s="373"/>
      <c r="F87" s="373"/>
      <c r="G87" s="373"/>
      <c r="H87" s="373"/>
      <c r="I87" s="373"/>
      <c r="J87" s="373"/>
      <c r="K87" s="373"/>
      <c r="L87" s="373"/>
      <c r="M87" s="373"/>
      <c r="N87" s="373"/>
      <c r="O87" s="373"/>
      <c r="P87" s="373"/>
      <c r="Q87" s="373"/>
      <c r="R87" s="373"/>
      <c r="S87" s="373"/>
      <c r="T87" s="373"/>
      <c r="U87" s="373"/>
      <c r="V87" s="373"/>
      <c r="W87" s="373"/>
      <c r="X87" s="373"/>
      <c r="Y87" s="373"/>
      <c r="Z87" s="373"/>
      <c r="AA87" s="373"/>
      <c r="AB87" s="373"/>
      <c r="AC87" s="373"/>
      <c r="AD87" s="373"/>
      <c r="AE87" s="373"/>
      <c r="AF87" s="373"/>
      <c r="AG87" s="373"/>
    </row>
    <row r="88" spans="1:33" x14ac:dyDescent="0.25">
      <c r="A88" s="373"/>
      <c r="B88" s="373"/>
      <c r="C88" s="373"/>
      <c r="D88" s="373"/>
      <c r="E88" s="373"/>
      <c r="F88" s="373"/>
      <c r="G88" s="373"/>
      <c r="H88" s="373"/>
      <c r="I88" s="373"/>
      <c r="J88" s="373"/>
      <c r="K88" s="373"/>
      <c r="L88" s="373"/>
      <c r="M88" s="373"/>
      <c r="N88" s="373"/>
      <c r="O88" s="373"/>
      <c r="P88" s="373"/>
      <c r="Q88" s="373"/>
      <c r="R88" s="373"/>
      <c r="S88" s="373"/>
      <c r="T88" s="373"/>
      <c r="U88" s="373"/>
      <c r="V88" s="373"/>
      <c r="W88" s="373"/>
      <c r="X88" s="373"/>
      <c r="Y88" s="373"/>
      <c r="Z88" s="373"/>
      <c r="AA88" s="373"/>
      <c r="AB88" s="373"/>
      <c r="AC88" s="373"/>
      <c r="AD88" s="373"/>
      <c r="AE88" s="373"/>
      <c r="AF88" s="373"/>
      <c r="AG88" s="373"/>
    </row>
    <row r="89" spans="1:33" x14ac:dyDescent="0.25">
      <c r="A89" s="373"/>
      <c r="B89" s="373"/>
      <c r="C89" s="373"/>
      <c r="D89" s="373"/>
      <c r="E89" s="373"/>
      <c r="F89" s="373"/>
      <c r="G89" s="373"/>
      <c r="H89" s="373"/>
      <c r="I89" s="373"/>
      <c r="J89" s="373"/>
      <c r="K89" s="373"/>
      <c r="L89" s="373"/>
      <c r="M89" s="373"/>
      <c r="N89" s="373"/>
      <c r="O89" s="373"/>
      <c r="P89" s="373"/>
      <c r="Q89" s="373"/>
      <c r="R89" s="373"/>
      <c r="S89" s="373"/>
      <c r="T89" s="373"/>
      <c r="U89" s="373"/>
      <c r="V89" s="373"/>
      <c r="W89" s="373"/>
      <c r="X89" s="373"/>
      <c r="Y89" s="373"/>
      <c r="Z89" s="373"/>
      <c r="AA89" s="373"/>
      <c r="AB89" s="373"/>
      <c r="AC89" s="373"/>
      <c r="AD89" s="373"/>
      <c r="AE89" s="373"/>
      <c r="AF89" s="373"/>
      <c r="AG89" s="373"/>
    </row>
    <row r="90" spans="1:33" x14ac:dyDescent="0.25">
      <c r="A90" s="373"/>
      <c r="B90" s="373"/>
      <c r="C90" s="373"/>
      <c r="D90" s="373"/>
      <c r="E90" s="373"/>
      <c r="F90" s="373"/>
      <c r="G90" s="373"/>
      <c r="H90" s="373"/>
      <c r="I90" s="373"/>
      <c r="J90" s="373"/>
      <c r="K90" s="373"/>
      <c r="L90" s="373"/>
      <c r="M90" s="373"/>
      <c r="N90" s="373"/>
      <c r="O90" s="373"/>
      <c r="P90" s="373"/>
      <c r="Q90" s="373"/>
      <c r="R90" s="373"/>
      <c r="S90" s="373"/>
      <c r="T90" s="373"/>
      <c r="U90" s="373"/>
      <c r="V90" s="373"/>
      <c r="W90" s="373"/>
      <c r="X90" s="373"/>
      <c r="Y90" s="373"/>
      <c r="Z90" s="373"/>
      <c r="AA90" s="373"/>
      <c r="AB90" s="373"/>
      <c r="AC90" s="373"/>
      <c r="AD90" s="373"/>
      <c r="AE90" s="373"/>
      <c r="AF90" s="373"/>
      <c r="AG90" s="373"/>
    </row>
    <row r="91" spans="1:33" x14ac:dyDescent="0.25">
      <c r="A91" s="373"/>
      <c r="B91" s="373"/>
      <c r="C91" s="373"/>
      <c r="D91" s="373"/>
      <c r="E91" s="373"/>
      <c r="F91" s="373"/>
      <c r="G91" s="373"/>
      <c r="H91" s="373"/>
      <c r="I91" s="373"/>
      <c r="J91" s="373"/>
      <c r="K91" s="373"/>
      <c r="L91" s="373"/>
      <c r="M91" s="373"/>
      <c r="N91" s="373"/>
      <c r="O91" s="373"/>
      <c r="P91" s="373"/>
      <c r="Q91" s="373"/>
      <c r="R91" s="373"/>
      <c r="S91" s="373"/>
      <c r="T91" s="373"/>
      <c r="U91" s="373"/>
      <c r="V91" s="373"/>
      <c r="W91" s="373"/>
      <c r="X91" s="373"/>
      <c r="Y91" s="373"/>
      <c r="Z91" s="373"/>
      <c r="AA91" s="373"/>
      <c r="AB91" s="373"/>
      <c r="AC91" s="373"/>
      <c r="AD91" s="373"/>
      <c r="AE91" s="373"/>
      <c r="AF91" s="373"/>
      <c r="AG91" s="373"/>
    </row>
    <row r="92" spans="1:33" x14ac:dyDescent="0.25">
      <c r="A92" s="373"/>
      <c r="B92" s="373"/>
      <c r="C92" s="373"/>
      <c r="D92" s="373"/>
      <c r="E92" s="373"/>
      <c r="F92" s="373"/>
      <c r="G92" s="373"/>
      <c r="H92" s="373"/>
      <c r="I92" s="373"/>
      <c r="J92" s="373"/>
      <c r="K92" s="373"/>
      <c r="L92" s="373"/>
      <c r="M92" s="373"/>
      <c r="N92" s="373"/>
      <c r="O92" s="373"/>
      <c r="P92" s="373"/>
      <c r="Q92" s="373"/>
      <c r="R92" s="373"/>
      <c r="S92" s="373"/>
      <c r="T92" s="373"/>
      <c r="U92" s="373"/>
      <c r="V92" s="373"/>
      <c r="W92" s="373"/>
      <c r="X92" s="373"/>
      <c r="Y92" s="373"/>
      <c r="Z92" s="373"/>
      <c r="AA92" s="373"/>
      <c r="AB92" s="373"/>
      <c r="AC92" s="373"/>
      <c r="AD92" s="373"/>
      <c r="AE92" s="373"/>
      <c r="AF92" s="373"/>
      <c r="AG92" s="373"/>
    </row>
    <row r="93" spans="1:33" x14ac:dyDescent="0.25">
      <c r="A93" s="373"/>
      <c r="B93" s="373"/>
      <c r="C93" s="373"/>
      <c r="D93" s="373"/>
      <c r="E93" s="373"/>
      <c r="F93" s="373"/>
      <c r="G93" s="373"/>
      <c r="H93" s="373"/>
      <c r="I93" s="373"/>
      <c r="J93" s="373"/>
      <c r="K93" s="373"/>
      <c r="L93" s="373"/>
      <c r="M93" s="373"/>
      <c r="N93" s="373"/>
      <c r="O93" s="373"/>
      <c r="P93" s="373"/>
      <c r="Q93" s="373"/>
      <c r="R93" s="373"/>
      <c r="S93" s="373"/>
      <c r="T93" s="373"/>
      <c r="U93" s="373"/>
      <c r="V93" s="373"/>
      <c r="W93" s="373"/>
      <c r="X93" s="373"/>
      <c r="Y93" s="373"/>
      <c r="Z93" s="373"/>
      <c r="AA93" s="373"/>
      <c r="AB93" s="373"/>
      <c r="AC93" s="373"/>
      <c r="AD93" s="373"/>
      <c r="AE93" s="373"/>
      <c r="AF93" s="373"/>
      <c r="AG93" s="373"/>
    </row>
    <row r="94" spans="1:33" x14ac:dyDescent="0.25">
      <c r="A94" s="373"/>
      <c r="B94" s="373"/>
      <c r="C94" s="373"/>
      <c r="D94" s="373"/>
      <c r="E94" s="373"/>
      <c r="F94" s="373"/>
      <c r="G94" s="373"/>
      <c r="H94" s="373"/>
      <c r="I94" s="373"/>
      <c r="J94" s="373"/>
      <c r="K94" s="373"/>
      <c r="L94" s="373"/>
      <c r="M94" s="373"/>
      <c r="N94" s="373"/>
      <c r="O94" s="373"/>
      <c r="P94" s="373"/>
      <c r="Q94" s="373"/>
      <c r="R94" s="373"/>
      <c r="S94" s="373"/>
      <c r="T94" s="373"/>
      <c r="U94" s="373"/>
      <c r="V94" s="373"/>
      <c r="W94" s="373"/>
      <c r="X94" s="373"/>
      <c r="Y94" s="373"/>
      <c r="Z94" s="373"/>
      <c r="AA94" s="373"/>
      <c r="AB94" s="373"/>
      <c r="AC94" s="373"/>
      <c r="AD94" s="373"/>
      <c r="AE94" s="373"/>
      <c r="AF94" s="373"/>
      <c r="AG94" s="373"/>
    </row>
    <row r="95" spans="1:33" x14ac:dyDescent="0.25">
      <c r="A95" s="373"/>
      <c r="B95" s="373"/>
      <c r="C95" s="373"/>
      <c r="D95" s="373"/>
      <c r="E95" s="373"/>
      <c r="F95" s="373"/>
      <c r="G95" s="373"/>
      <c r="H95" s="373"/>
      <c r="I95" s="373"/>
      <c r="J95" s="373"/>
      <c r="K95" s="373"/>
      <c r="L95" s="373"/>
      <c r="M95" s="373"/>
      <c r="N95" s="373"/>
      <c r="O95" s="373"/>
      <c r="P95" s="373"/>
      <c r="Q95" s="373"/>
      <c r="R95" s="373"/>
      <c r="S95" s="373"/>
      <c r="T95" s="373"/>
      <c r="U95" s="373"/>
      <c r="V95" s="373"/>
      <c r="W95" s="373"/>
      <c r="X95" s="373"/>
      <c r="Y95" s="373"/>
      <c r="Z95" s="373"/>
      <c r="AA95" s="373"/>
      <c r="AB95" s="373"/>
      <c r="AC95" s="373"/>
      <c r="AD95" s="373"/>
      <c r="AE95" s="373"/>
      <c r="AF95" s="373"/>
      <c r="AG95" s="373"/>
    </row>
    <row r="96" spans="1:33" x14ac:dyDescent="0.25">
      <c r="A96" s="373"/>
      <c r="B96" s="373"/>
      <c r="C96" s="373"/>
      <c r="D96" s="373"/>
      <c r="E96" s="373"/>
      <c r="F96" s="373"/>
      <c r="G96" s="373"/>
      <c r="H96" s="373"/>
      <c r="I96" s="373"/>
      <c r="J96" s="373"/>
      <c r="K96" s="373"/>
      <c r="L96" s="373"/>
      <c r="M96" s="373"/>
      <c r="N96" s="373"/>
      <c r="O96" s="373"/>
      <c r="P96" s="373"/>
      <c r="Q96" s="373"/>
      <c r="R96" s="373"/>
      <c r="S96" s="373"/>
      <c r="T96" s="373"/>
      <c r="U96" s="373"/>
      <c r="V96" s="373"/>
      <c r="W96" s="373"/>
      <c r="X96" s="373"/>
      <c r="Y96" s="373"/>
      <c r="Z96" s="373"/>
      <c r="AA96" s="373"/>
      <c r="AB96" s="373"/>
      <c r="AC96" s="373"/>
      <c r="AD96" s="373"/>
      <c r="AE96" s="373"/>
      <c r="AF96" s="373"/>
      <c r="AG96" s="373"/>
    </row>
    <row r="97" spans="1:33" x14ac:dyDescent="0.25">
      <c r="A97" s="373"/>
      <c r="B97" s="373"/>
      <c r="C97" s="373"/>
      <c r="D97" s="373"/>
      <c r="E97" s="373"/>
      <c r="F97" s="373"/>
      <c r="G97" s="373"/>
      <c r="H97" s="373"/>
      <c r="I97" s="373"/>
      <c r="J97" s="373"/>
      <c r="K97" s="373"/>
      <c r="L97" s="373"/>
      <c r="M97" s="373"/>
      <c r="N97" s="373"/>
      <c r="O97" s="373"/>
      <c r="P97" s="373"/>
      <c r="Q97" s="373"/>
      <c r="R97" s="373"/>
      <c r="S97" s="373"/>
      <c r="T97" s="373"/>
      <c r="U97" s="373"/>
      <c r="V97" s="373"/>
      <c r="W97" s="373"/>
      <c r="X97" s="373"/>
      <c r="Y97" s="373"/>
      <c r="Z97" s="373"/>
      <c r="AA97" s="373"/>
      <c r="AB97" s="373"/>
      <c r="AC97" s="373"/>
      <c r="AD97" s="373"/>
      <c r="AE97" s="373"/>
      <c r="AF97" s="373"/>
      <c r="AG97" s="373"/>
    </row>
    <row r="98" spans="1:33" x14ac:dyDescent="0.25">
      <c r="A98" s="373"/>
      <c r="B98" s="373"/>
      <c r="C98" s="373"/>
      <c r="D98" s="373"/>
      <c r="E98" s="373"/>
      <c r="F98" s="373"/>
      <c r="G98" s="373"/>
      <c r="H98" s="373"/>
      <c r="I98" s="373"/>
      <c r="J98" s="373"/>
      <c r="K98" s="373"/>
      <c r="L98" s="373"/>
      <c r="M98" s="373"/>
      <c r="N98" s="373"/>
      <c r="O98" s="373"/>
      <c r="P98" s="373"/>
      <c r="Q98" s="373"/>
      <c r="R98" s="373"/>
      <c r="S98" s="373"/>
      <c r="T98" s="373"/>
      <c r="U98" s="373"/>
      <c r="V98" s="373"/>
      <c r="W98" s="373"/>
      <c r="X98" s="373"/>
      <c r="Y98" s="373"/>
      <c r="Z98" s="373"/>
      <c r="AA98" s="373"/>
      <c r="AB98" s="373"/>
      <c r="AC98" s="373"/>
      <c r="AD98" s="373"/>
      <c r="AE98" s="373"/>
      <c r="AF98" s="373"/>
      <c r="AG98" s="373"/>
    </row>
    <row r="99" spans="1:33" x14ac:dyDescent="0.25">
      <c r="A99" s="373"/>
      <c r="B99" s="373"/>
      <c r="C99" s="373"/>
      <c r="D99" s="373"/>
      <c r="E99" s="373"/>
      <c r="F99" s="373"/>
      <c r="G99" s="373"/>
      <c r="H99" s="373"/>
      <c r="I99" s="373"/>
      <c r="J99" s="373"/>
      <c r="K99" s="373"/>
      <c r="L99" s="373"/>
      <c r="M99" s="373"/>
      <c r="N99" s="373"/>
      <c r="O99" s="373"/>
      <c r="P99" s="373"/>
      <c r="Q99" s="373"/>
      <c r="R99" s="373"/>
      <c r="S99" s="373"/>
      <c r="T99" s="373"/>
      <c r="U99" s="373"/>
      <c r="V99" s="373"/>
      <c r="W99" s="373"/>
      <c r="X99" s="373"/>
      <c r="Y99" s="373"/>
      <c r="Z99" s="373"/>
      <c r="AA99" s="373"/>
      <c r="AB99" s="373"/>
      <c r="AC99" s="373"/>
      <c r="AD99" s="373"/>
      <c r="AE99" s="373"/>
      <c r="AF99" s="373"/>
      <c r="AG99" s="373"/>
    </row>
    <row r="100" spans="1:33" x14ac:dyDescent="0.25">
      <c r="A100" s="373"/>
      <c r="B100" s="373"/>
      <c r="C100" s="373"/>
      <c r="D100" s="373"/>
      <c r="E100" s="373"/>
      <c r="F100" s="373"/>
      <c r="G100" s="373"/>
      <c r="H100" s="373"/>
      <c r="I100" s="373"/>
      <c r="J100" s="373"/>
      <c r="K100" s="373"/>
      <c r="L100" s="373"/>
      <c r="M100" s="373"/>
      <c r="N100" s="373"/>
      <c r="O100" s="373"/>
      <c r="P100" s="373"/>
      <c r="Q100" s="373"/>
      <c r="R100" s="373"/>
      <c r="S100" s="373"/>
      <c r="T100" s="373"/>
      <c r="U100" s="373"/>
      <c r="V100" s="373"/>
      <c r="W100" s="373"/>
      <c r="X100" s="373"/>
      <c r="Y100" s="373"/>
      <c r="Z100" s="373"/>
      <c r="AA100" s="373"/>
      <c r="AB100" s="373"/>
      <c r="AC100" s="373"/>
      <c r="AD100" s="373"/>
      <c r="AE100" s="373"/>
      <c r="AF100" s="373"/>
      <c r="AG100" s="373"/>
    </row>
    <row r="101" spans="1:33" x14ac:dyDescent="0.25">
      <c r="A101" s="373"/>
      <c r="B101" s="373"/>
      <c r="C101" s="373"/>
      <c r="D101" s="373"/>
      <c r="E101" s="373"/>
      <c r="F101" s="373"/>
      <c r="G101" s="373"/>
      <c r="H101" s="373"/>
      <c r="I101" s="373"/>
      <c r="J101" s="373"/>
      <c r="K101" s="373"/>
      <c r="L101" s="373"/>
      <c r="M101" s="373"/>
      <c r="N101" s="373"/>
      <c r="O101" s="373"/>
      <c r="P101" s="373"/>
      <c r="Q101" s="373"/>
      <c r="R101" s="373"/>
      <c r="S101" s="373"/>
      <c r="T101" s="373"/>
      <c r="U101" s="373"/>
      <c r="V101" s="373"/>
      <c r="W101" s="373"/>
      <c r="X101" s="373"/>
      <c r="Y101" s="373"/>
      <c r="Z101" s="373"/>
      <c r="AA101" s="373"/>
      <c r="AB101" s="373"/>
      <c r="AC101" s="373"/>
      <c r="AD101" s="373"/>
      <c r="AE101" s="373"/>
      <c r="AF101" s="373"/>
      <c r="AG101" s="373"/>
    </row>
    <row r="102" spans="1:33" x14ac:dyDescent="0.25">
      <c r="A102" s="373"/>
      <c r="B102" s="373"/>
      <c r="C102" s="373"/>
      <c r="D102" s="373"/>
      <c r="E102" s="373"/>
      <c r="F102" s="373"/>
      <c r="G102" s="373"/>
      <c r="H102" s="373"/>
      <c r="I102" s="373"/>
      <c r="J102" s="373"/>
      <c r="K102" s="373"/>
      <c r="L102" s="373"/>
      <c r="M102" s="373"/>
      <c r="N102" s="373"/>
      <c r="O102" s="373"/>
      <c r="P102" s="373"/>
      <c r="Q102" s="373"/>
      <c r="R102" s="373"/>
      <c r="S102" s="373"/>
      <c r="T102" s="373"/>
      <c r="U102" s="373"/>
      <c r="V102" s="373"/>
      <c r="W102" s="373"/>
      <c r="X102" s="373"/>
      <c r="Y102" s="373"/>
      <c r="Z102" s="373"/>
      <c r="AA102" s="373"/>
      <c r="AB102" s="373"/>
      <c r="AC102" s="373"/>
      <c r="AD102" s="373"/>
      <c r="AE102" s="373"/>
      <c r="AF102" s="373"/>
      <c r="AG102" s="373"/>
    </row>
    <row r="103" spans="1:33" x14ac:dyDescent="0.25">
      <c r="A103" s="373"/>
      <c r="B103" s="373"/>
      <c r="C103" s="373"/>
      <c r="D103" s="373"/>
      <c r="E103" s="373"/>
      <c r="F103" s="373"/>
      <c r="G103" s="373"/>
      <c r="H103" s="373"/>
      <c r="I103" s="373"/>
      <c r="J103" s="373"/>
      <c r="K103" s="373"/>
      <c r="L103" s="373"/>
      <c r="M103" s="373"/>
      <c r="N103" s="373"/>
      <c r="O103" s="373"/>
      <c r="P103" s="373"/>
      <c r="Q103" s="373"/>
      <c r="R103" s="373"/>
      <c r="S103" s="373"/>
      <c r="T103" s="373"/>
      <c r="U103" s="373"/>
      <c r="V103" s="373"/>
      <c r="W103" s="373"/>
      <c r="X103" s="373"/>
      <c r="Y103" s="373"/>
      <c r="Z103" s="373"/>
      <c r="AA103" s="373"/>
      <c r="AB103" s="373"/>
      <c r="AC103" s="373"/>
      <c r="AD103" s="373"/>
      <c r="AE103" s="373"/>
      <c r="AF103" s="373"/>
      <c r="AG103" s="373"/>
    </row>
    <row r="104" spans="1:33" x14ac:dyDescent="0.25">
      <c r="A104" s="373"/>
      <c r="B104" s="373"/>
      <c r="C104" s="373"/>
      <c r="D104" s="373"/>
      <c r="E104" s="373"/>
      <c r="F104" s="373"/>
      <c r="G104" s="373"/>
      <c r="H104" s="373"/>
      <c r="I104" s="373"/>
      <c r="J104" s="373"/>
      <c r="K104" s="373"/>
      <c r="L104" s="373"/>
      <c r="M104" s="373"/>
      <c r="N104" s="373"/>
      <c r="O104" s="373"/>
      <c r="P104" s="373"/>
      <c r="Q104" s="373"/>
      <c r="R104" s="373"/>
      <c r="S104" s="373"/>
      <c r="T104" s="373"/>
      <c r="U104" s="373"/>
      <c r="V104" s="373"/>
      <c r="W104" s="373"/>
      <c r="X104" s="373"/>
      <c r="Y104" s="373"/>
      <c r="Z104" s="373"/>
      <c r="AA104" s="373"/>
      <c r="AB104" s="373"/>
      <c r="AC104" s="373"/>
      <c r="AD104" s="373"/>
      <c r="AE104" s="373"/>
      <c r="AF104" s="373"/>
      <c r="AG104" s="373"/>
    </row>
    <row r="105" spans="1:33" x14ac:dyDescent="0.25">
      <c r="A105" s="373"/>
      <c r="B105" s="373"/>
      <c r="C105" s="373"/>
      <c r="D105" s="373"/>
      <c r="E105" s="373"/>
      <c r="F105" s="373"/>
      <c r="G105" s="373"/>
      <c r="H105" s="373"/>
      <c r="I105" s="373"/>
      <c r="J105" s="373"/>
      <c r="K105" s="373"/>
      <c r="L105" s="373"/>
      <c r="M105" s="373"/>
      <c r="N105" s="373"/>
      <c r="O105" s="373"/>
      <c r="P105" s="373"/>
      <c r="Q105" s="373"/>
      <c r="R105" s="373"/>
      <c r="S105" s="373"/>
      <c r="T105" s="373"/>
      <c r="U105" s="373"/>
      <c r="V105" s="373"/>
      <c r="W105" s="373"/>
      <c r="X105" s="373"/>
      <c r="Y105" s="373"/>
      <c r="Z105" s="373"/>
      <c r="AA105" s="373"/>
      <c r="AB105" s="373"/>
      <c r="AC105" s="373"/>
      <c r="AD105" s="373"/>
      <c r="AE105" s="373"/>
      <c r="AF105" s="373"/>
      <c r="AG105" s="373"/>
    </row>
    <row r="106" spans="1:33" x14ac:dyDescent="0.25">
      <c r="A106" s="373"/>
      <c r="B106" s="373"/>
      <c r="C106" s="373"/>
      <c r="D106" s="373"/>
      <c r="E106" s="373"/>
      <c r="F106" s="373"/>
      <c r="G106" s="373"/>
      <c r="H106" s="373"/>
      <c r="I106" s="373"/>
      <c r="J106" s="373"/>
      <c r="K106" s="373"/>
      <c r="L106" s="373"/>
      <c r="M106" s="373"/>
      <c r="N106" s="373"/>
      <c r="O106" s="373"/>
      <c r="P106" s="373"/>
      <c r="Q106" s="373"/>
      <c r="R106" s="373"/>
      <c r="S106" s="373"/>
      <c r="T106" s="373"/>
      <c r="U106" s="373"/>
      <c r="V106" s="373"/>
      <c r="W106" s="373"/>
      <c r="X106" s="373"/>
      <c r="Y106" s="373"/>
      <c r="Z106" s="373"/>
      <c r="AA106" s="373"/>
      <c r="AB106" s="373"/>
      <c r="AC106" s="373"/>
      <c r="AD106" s="373"/>
      <c r="AE106" s="373"/>
      <c r="AF106" s="373"/>
      <c r="AG106" s="373"/>
    </row>
    <row r="107" spans="1:33" x14ac:dyDescent="0.25">
      <c r="A107" s="373"/>
      <c r="B107" s="373"/>
      <c r="C107" s="373"/>
      <c r="D107" s="373"/>
      <c r="E107" s="373"/>
      <c r="F107" s="373"/>
      <c r="G107" s="373"/>
      <c r="H107" s="373"/>
      <c r="I107" s="373"/>
      <c r="J107" s="373"/>
      <c r="K107" s="373"/>
      <c r="L107" s="373"/>
      <c r="M107" s="373"/>
      <c r="N107" s="373"/>
      <c r="O107" s="373"/>
      <c r="P107" s="373"/>
      <c r="Q107" s="373"/>
      <c r="R107" s="373"/>
      <c r="S107" s="373"/>
      <c r="T107" s="373"/>
      <c r="U107" s="373"/>
      <c r="V107" s="373"/>
      <c r="W107" s="373"/>
      <c r="X107" s="373"/>
      <c r="Y107" s="373"/>
      <c r="Z107" s="373"/>
      <c r="AA107" s="373"/>
      <c r="AB107" s="373"/>
      <c r="AC107" s="373"/>
      <c r="AD107" s="373"/>
      <c r="AE107" s="373"/>
      <c r="AF107" s="373"/>
      <c r="AG107" s="373"/>
    </row>
    <row r="108" spans="1:33" x14ac:dyDescent="0.25">
      <c r="A108" s="373"/>
      <c r="B108" s="373"/>
      <c r="C108" s="373"/>
      <c r="D108" s="373"/>
      <c r="E108" s="373"/>
      <c r="F108" s="373"/>
      <c r="G108" s="373"/>
      <c r="H108" s="373"/>
      <c r="I108" s="373"/>
      <c r="J108" s="373"/>
      <c r="K108" s="373"/>
      <c r="L108" s="373"/>
      <c r="M108" s="373"/>
      <c r="N108" s="373"/>
      <c r="O108" s="373"/>
      <c r="P108" s="373"/>
      <c r="Q108" s="373"/>
      <c r="R108" s="373"/>
      <c r="S108" s="373"/>
      <c r="T108" s="373"/>
      <c r="U108" s="373"/>
      <c r="V108" s="373"/>
      <c r="W108" s="373"/>
      <c r="X108" s="373"/>
      <c r="Y108" s="373"/>
      <c r="Z108" s="373"/>
      <c r="AA108" s="373"/>
      <c r="AB108" s="373"/>
      <c r="AC108" s="373"/>
      <c r="AD108" s="373"/>
      <c r="AE108" s="373"/>
      <c r="AF108" s="373"/>
      <c r="AG108" s="373"/>
    </row>
    <row r="109" spans="1:33" x14ac:dyDescent="0.25">
      <c r="A109" s="373"/>
      <c r="B109" s="373"/>
      <c r="C109" s="373"/>
      <c r="D109" s="373"/>
      <c r="E109" s="373"/>
      <c r="F109" s="373"/>
      <c r="G109" s="373"/>
      <c r="H109" s="373"/>
      <c r="I109" s="373"/>
      <c r="J109" s="373"/>
      <c r="K109" s="373"/>
      <c r="L109" s="373"/>
      <c r="M109" s="373"/>
      <c r="N109" s="373"/>
      <c r="O109" s="373"/>
      <c r="P109" s="373"/>
      <c r="Q109" s="373"/>
      <c r="R109" s="373"/>
      <c r="S109" s="373"/>
      <c r="T109" s="373"/>
      <c r="U109" s="373"/>
      <c r="V109" s="373"/>
      <c r="W109" s="373"/>
      <c r="X109" s="373"/>
      <c r="Y109" s="373"/>
      <c r="Z109" s="373"/>
      <c r="AA109" s="373"/>
      <c r="AB109" s="373"/>
      <c r="AC109" s="373"/>
      <c r="AD109" s="373"/>
      <c r="AE109" s="373"/>
      <c r="AF109" s="373"/>
      <c r="AG109" s="373"/>
    </row>
    <row r="110" spans="1:33" x14ac:dyDescent="0.25">
      <c r="A110" s="373"/>
      <c r="B110" s="373"/>
      <c r="C110" s="373"/>
      <c r="D110" s="373"/>
      <c r="E110" s="373"/>
      <c r="F110" s="373"/>
      <c r="G110" s="373"/>
      <c r="H110" s="373"/>
      <c r="I110" s="373"/>
      <c r="J110" s="373"/>
      <c r="K110" s="373"/>
      <c r="L110" s="373"/>
      <c r="M110" s="373"/>
      <c r="N110" s="373"/>
      <c r="O110" s="373"/>
      <c r="P110" s="373"/>
      <c r="Q110" s="373"/>
      <c r="R110" s="373"/>
      <c r="S110" s="373"/>
      <c r="T110" s="373"/>
      <c r="U110" s="373"/>
      <c r="V110" s="373"/>
      <c r="W110" s="373"/>
      <c r="X110" s="373"/>
      <c r="Y110" s="373"/>
      <c r="Z110" s="373"/>
      <c r="AA110" s="373"/>
      <c r="AB110" s="373"/>
      <c r="AC110" s="373"/>
      <c r="AD110" s="373"/>
      <c r="AE110" s="373"/>
      <c r="AF110" s="373"/>
      <c r="AG110" s="373"/>
    </row>
    <row r="111" spans="1:33" x14ac:dyDescent="0.25">
      <c r="A111" s="373"/>
      <c r="B111" s="373"/>
      <c r="C111" s="373"/>
      <c r="D111" s="373"/>
      <c r="E111" s="373"/>
      <c r="F111" s="373"/>
      <c r="G111" s="373"/>
      <c r="H111" s="373"/>
      <c r="I111" s="373"/>
      <c r="J111" s="373"/>
      <c r="K111" s="373"/>
      <c r="L111" s="373"/>
      <c r="M111" s="373"/>
      <c r="N111" s="373"/>
      <c r="O111" s="373"/>
      <c r="P111" s="373"/>
      <c r="Q111" s="373"/>
      <c r="R111" s="373"/>
      <c r="S111" s="373"/>
      <c r="T111" s="373"/>
      <c r="U111" s="373"/>
      <c r="V111" s="373"/>
      <c r="W111" s="373"/>
      <c r="X111" s="373"/>
      <c r="Y111" s="373"/>
      <c r="Z111" s="373"/>
      <c r="AA111" s="373"/>
      <c r="AB111" s="373"/>
      <c r="AC111" s="373"/>
      <c r="AD111" s="373"/>
      <c r="AE111" s="373"/>
      <c r="AF111" s="373"/>
      <c r="AG111" s="373"/>
    </row>
    <row r="112" spans="1:33" x14ac:dyDescent="0.25">
      <c r="A112" s="373"/>
      <c r="B112" s="373"/>
      <c r="C112" s="373"/>
      <c r="D112" s="373"/>
      <c r="E112" s="373"/>
      <c r="F112" s="373"/>
      <c r="G112" s="373"/>
      <c r="H112" s="373"/>
      <c r="I112" s="373"/>
      <c r="J112" s="373"/>
      <c r="K112" s="373"/>
      <c r="L112" s="373"/>
      <c r="M112" s="373"/>
      <c r="N112" s="373"/>
      <c r="O112" s="373"/>
      <c r="P112" s="373"/>
      <c r="Q112" s="373"/>
      <c r="R112" s="373"/>
      <c r="S112" s="373"/>
      <c r="T112" s="373"/>
      <c r="U112" s="373"/>
      <c r="V112" s="373"/>
      <c r="W112" s="373"/>
      <c r="X112" s="373"/>
      <c r="Y112" s="373"/>
      <c r="Z112" s="373"/>
      <c r="AA112" s="373"/>
      <c r="AB112" s="373"/>
      <c r="AC112" s="373"/>
      <c r="AD112" s="373"/>
      <c r="AE112" s="373"/>
      <c r="AF112" s="373"/>
      <c r="AG112" s="373"/>
    </row>
    <row r="113" spans="1:33" x14ac:dyDescent="0.25">
      <c r="A113" s="373"/>
      <c r="B113" s="373"/>
      <c r="C113" s="373"/>
      <c r="D113" s="373"/>
      <c r="E113" s="373"/>
      <c r="F113" s="373"/>
      <c r="G113" s="373"/>
      <c r="H113" s="373"/>
      <c r="I113" s="373"/>
      <c r="J113" s="373"/>
      <c r="K113" s="373"/>
      <c r="L113" s="373"/>
      <c r="M113" s="373"/>
      <c r="N113" s="373"/>
      <c r="O113" s="373"/>
      <c r="P113" s="373"/>
      <c r="Q113" s="373"/>
      <c r="R113" s="373"/>
      <c r="S113" s="373"/>
      <c r="T113" s="373"/>
      <c r="U113" s="373"/>
      <c r="V113" s="373"/>
      <c r="W113" s="373"/>
      <c r="X113" s="373"/>
      <c r="Y113" s="373"/>
      <c r="Z113" s="373"/>
      <c r="AA113" s="373"/>
      <c r="AB113" s="373"/>
      <c r="AC113" s="373"/>
      <c r="AD113" s="373"/>
      <c r="AE113" s="373"/>
      <c r="AF113" s="373"/>
      <c r="AG113" s="373"/>
    </row>
    <row r="114" spans="1:33" x14ac:dyDescent="0.25">
      <c r="A114" s="373"/>
      <c r="B114" s="373"/>
      <c r="C114" s="373"/>
      <c r="D114" s="373"/>
      <c r="E114" s="373"/>
      <c r="F114" s="373"/>
      <c r="G114" s="373"/>
      <c r="H114" s="373"/>
      <c r="I114" s="373"/>
      <c r="J114" s="373"/>
      <c r="K114" s="373"/>
      <c r="L114" s="373"/>
      <c r="M114" s="373"/>
      <c r="N114" s="373"/>
      <c r="O114" s="373"/>
      <c r="P114" s="373"/>
      <c r="Q114" s="373"/>
      <c r="R114" s="373"/>
      <c r="S114" s="373"/>
      <c r="T114" s="373"/>
      <c r="U114" s="373"/>
      <c r="V114" s="373"/>
      <c r="W114" s="373"/>
      <c r="X114" s="373"/>
      <c r="Y114" s="373"/>
      <c r="Z114" s="373"/>
      <c r="AA114" s="373"/>
      <c r="AB114" s="373"/>
      <c r="AC114" s="373"/>
      <c r="AD114" s="373"/>
      <c r="AE114" s="373"/>
      <c r="AF114" s="373"/>
      <c r="AG114" s="373"/>
    </row>
    <row r="115" spans="1:33" x14ac:dyDescent="0.25">
      <c r="A115" s="373"/>
      <c r="B115" s="373"/>
      <c r="C115" s="373"/>
      <c r="D115" s="373"/>
      <c r="E115" s="373"/>
      <c r="F115" s="373"/>
      <c r="G115" s="373"/>
      <c r="H115" s="373"/>
      <c r="I115" s="373"/>
      <c r="J115" s="373"/>
      <c r="K115" s="373"/>
      <c r="L115" s="373"/>
      <c r="M115" s="373"/>
      <c r="N115" s="373"/>
      <c r="O115" s="373"/>
      <c r="P115" s="373"/>
      <c r="Q115" s="373"/>
      <c r="R115" s="373"/>
      <c r="S115" s="373"/>
      <c r="T115" s="373"/>
      <c r="U115" s="373"/>
      <c r="V115" s="373"/>
      <c r="W115" s="373"/>
      <c r="X115" s="373"/>
      <c r="Y115" s="373"/>
      <c r="Z115" s="373"/>
      <c r="AA115" s="373"/>
      <c r="AB115" s="373"/>
      <c r="AC115" s="373"/>
      <c r="AD115" s="373"/>
      <c r="AE115" s="373"/>
      <c r="AF115" s="373"/>
      <c r="AG115" s="373"/>
    </row>
    <row r="116" spans="1:33" x14ac:dyDescent="0.25">
      <c r="A116" s="373"/>
      <c r="B116" s="373"/>
      <c r="C116" s="373"/>
      <c r="D116" s="373"/>
      <c r="E116" s="373"/>
      <c r="F116" s="373"/>
      <c r="G116" s="373"/>
      <c r="H116" s="373"/>
      <c r="I116" s="373"/>
      <c r="J116" s="373"/>
      <c r="K116" s="373"/>
      <c r="L116" s="373"/>
      <c r="M116" s="373"/>
      <c r="N116" s="373"/>
      <c r="O116" s="373"/>
      <c r="P116" s="373"/>
      <c r="Q116" s="373"/>
      <c r="R116" s="373"/>
      <c r="S116" s="373"/>
      <c r="T116" s="373"/>
      <c r="U116" s="373"/>
      <c r="V116" s="373"/>
      <c r="W116" s="373"/>
      <c r="X116" s="373"/>
      <c r="Y116" s="373"/>
      <c r="Z116" s="373"/>
      <c r="AA116" s="373"/>
      <c r="AB116" s="373"/>
      <c r="AC116" s="373"/>
      <c r="AD116" s="373"/>
      <c r="AE116" s="373"/>
      <c r="AF116" s="373"/>
      <c r="AG116" s="373"/>
    </row>
    <row r="117" spans="1:33" x14ac:dyDescent="0.25">
      <c r="A117" s="373"/>
      <c r="B117" s="373"/>
      <c r="C117" s="373"/>
      <c r="D117" s="373"/>
      <c r="E117" s="373"/>
      <c r="F117" s="373"/>
      <c r="G117" s="373"/>
      <c r="H117" s="373"/>
      <c r="I117" s="373"/>
      <c r="J117" s="373"/>
      <c r="K117" s="373"/>
      <c r="L117" s="373"/>
      <c r="M117" s="373"/>
      <c r="N117" s="373"/>
      <c r="O117" s="373"/>
      <c r="P117" s="373"/>
      <c r="Q117" s="373"/>
      <c r="R117" s="373"/>
      <c r="S117" s="373"/>
      <c r="T117" s="373"/>
      <c r="U117" s="373"/>
      <c r="V117" s="373"/>
      <c r="W117" s="373"/>
      <c r="X117" s="373"/>
      <c r="Y117" s="373"/>
      <c r="Z117" s="373"/>
      <c r="AA117" s="373"/>
      <c r="AB117" s="373"/>
      <c r="AC117" s="373"/>
      <c r="AD117" s="373"/>
      <c r="AE117" s="373"/>
      <c r="AF117" s="373"/>
      <c r="AG117" s="373"/>
    </row>
    <row r="118" spans="1:33" x14ac:dyDescent="0.25">
      <c r="A118" s="373"/>
      <c r="B118" s="373"/>
      <c r="C118" s="373"/>
      <c r="D118" s="373"/>
      <c r="E118" s="373"/>
      <c r="F118" s="373"/>
      <c r="G118" s="373"/>
      <c r="H118" s="373"/>
      <c r="I118" s="373"/>
      <c r="J118" s="373"/>
      <c r="K118" s="373"/>
      <c r="L118" s="373"/>
      <c r="M118" s="373"/>
      <c r="N118" s="373"/>
      <c r="O118" s="373"/>
      <c r="P118" s="373"/>
      <c r="Q118" s="373"/>
      <c r="R118" s="373"/>
      <c r="S118" s="373"/>
      <c r="T118" s="373"/>
      <c r="U118" s="373"/>
      <c r="V118" s="373"/>
      <c r="W118" s="373"/>
      <c r="X118" s="373"/>
      <c r="Y118" s="373"/>
      <c r="Z118" s="373"/>
      <c r="AA118" s="373"/>
      <c r="AB118" s="373"/>
      <c r="AC118" s="373"/>
      <c r="AD118" s="373"/>
      <c r="AE118" s="373"/>
      <c r="AF118" s="373"/>
      <c r="AG118" s="373"/>
    </row>
    <row r="119" spans="1:33" x14ac:dyDescent="0.25">
      <c r="A119" s="373"/>
      <c r="B119" s="373"/>
      <c r="C119" s="373"/>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row>
    <row r="120" spans="1:33" x14ac:dyDescent="0.25">
      <c r="A120" s="373"/>
      <c r="B120" s="373"/>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row>
    <row r="121" spans="1:33" x14ac:dyDescent="0.25">
      <c r="A121" s="373"/>
      <c r="B121" s="373"/>
      <c r="C121" s="373"/>
      <c r="D121" s="373"/>
      <c r="E121" s="373"/>
      <c r="F121" s="373"/>
      <c r="G121" s="373"/>
      <c r="H121" s="373"/>
      <c r="I121" s="373"/>
      <c r="J121" s="373"/>
      <c r="K121" s="373"/>
      <c r="L121" s="373"/>
      <c r="M121" s="373"/>
      <c r="N121" s="373"/>
      <c r="O121" s="373"/>
      <c r="P121" s="373"/>
      <c r="Q121" s="373"/>
      <c r="R121" s="373"/>
      <c r="S121" s="373"/>
      <c r="T121" s="373"/>
      <c r="U121" s="373"/>
      <c r="V121" s="373"/>
      <c r="W121" s="373"/>
      <c r="X121" s="373"/>
      <c r="Y121" s="373"/>
      <c r="Z121" s="373"/>
      <c r="AA121" s="373"/>
      <c r="AB121" s="373"/>
      <c r="AC121" s="373"/>
      <c r="AD121" s="373"/>
      <c r="AE121" s="373"/>
      <c r="AF121" s="373"/>
      <c r="AG121" s="373"/>
    </row>
    <row r="122" spans="1:33" x14ac:dyDescent="0.25">
      <c r="A122" s="373"/>
      <c r="B122" s="373"/>
      <c r="C122" s="373"/>
      <c r="D122" s="373"/>
      <c r="E122" s="373"/>
      <c r="F122" s="373"/>
      <c r="G122" s="373"/>
      <c r="H122" s="373"/>
      <c r="I122" s="373"/>
      <c r="J122" s="373"/>
      <c r="K122" s="373"/>
      <c r="L122" s="373"/>
      <c r="M122" s="373"/>
      <c r="N122" s="373"/>
      <c r="O122" s="373"/>
      <c r="P122" s="373"/>
      <c r="Q122" s="373"/>
      <c r="R122" s="373"/>
      <c r="S122" s="373"/>
      <c r="T122" s="373"/>
      <c r="U122" s="373"/>
      <c r="V122" s="373"/>
      <c r="W122" s="373"/>
      <c r="X122" s="373"/>
      <c r="Y122" s="373"/>
      <c r="Z122" s="373"/>
      <c r="AA122" s="373"/>
      <c r="AB122" s="373"/>
      <c r="AC122" s="373"/>
      <c r="AD122" s="373"/>
      <c r="AE122" s="373"/>
      <c r="AF122" s="373"/>
      <c r="AG122" s="373"/>
    </row>
    <row r="123" spans="1:33" x14ac:dyDescent="0.25">
      <c r="A123" s="373"/>
      <c r="B123" s="373"/>
      <c r="C123" s="373"/>
      <c r="D123" s="373"/>
      <c r="E123" s="373"/>
      <c r="F123" s="373"/>
      <c r="G123" s="373"/>
      <c r="H123" s="373"/>
      <c r="I123" s="373"/>
      <c r="J123" s="373"/>
      <c r="K123" s="373"/>
      <c r="L123" s="373"/>
      <c r="M123" s="373"/>
      <c r="N123" s="373"/>
      <c r="O123" s="373"/>
      <c r="P123" s="373"/>
      <c r="Q123" s="373"/>
      <c r="R123" s="373"/>
      <c r="S123" s="373"/>
      <c r="T123" s="373"/>
      <c r="U123" s="373"/>
      <c r="V123" s="373"/>
      <c r="W123" s="373"/>
      <c r="X123" s="373"/>
      <c r="Y123" s="373"/>
      <c r="Z123" s="373"/>
      <c r="AA123" s="373"/>
      <c r="AB123" s="373"/>
      <c r="AC123" s="373"/>
      <c r="AD123" s="373"/>
      <c r="AE123" s="373"/>
      <c r="AF123" s="373"/>
      <c r="AG123" s="373"/>
    </row>
    <row r="124" spans="1:33" x14ac:dyDescent="0.25">
      <c r="A124" s="373"/>
      <c r="B124" s="373"/>
      <c r="C124" s="373"/>
      <c r="D124" s="373"/>
      <c r="E124" s="373"/>
      <c r="F124" s="373"/>
      <c r="G124" s="373"/>
      <c r="H124" s="373"/>
      <c r="I124" s="373"/>
      <c r="J124" s="373"/>
      <c r="K124" s="373"/>
      <c r="L124" s="373"/>
      <c r="M124" s="373"/>
      <c r="N124" s="373"/>
      <c r="O124" s="373"/>
      <c r="P124" s="373"/>
      <c r="Q124" s="373"/>
      <c r="R124" s="373"/>
      <c r="S124" s="373"/>
      <c r="T124" s="373"/>
      <c r="U124" s="373"/>
      <c r="V124" s="373"/>
      <c r="W124" s="373"/>
      <c r="X124" s="373"/>
      <c r="Y124" s="373"/>
      <c r="Z124" s="373"/>
      <c r="AA124" s="373"/>
      <c r="AB124" s="373"/>
      <c r="AC124" s="373"/>
      <c r="AD124" s="373"/>
      <c r="AE124" s="373"/>
      <c r="AF124" s="373"/>
      <c r="AG124" s="373"/>
    </row>
    <row r="125" spans="1:33" x14ac:dyDescent="0.25">
      <c r="A125" s="373"/>
      <c r="B125" s="373"/>
      <c r="C125" s="373"/>
      <c r="D125" s="373"/>
      <c r="E125" s="373"/>
      <c r="F125" s="373"/>
      <c r="G125" s="373"/>
      <c r="H125" s="373"/>
      <c r="I125" s="373"/>
      <c r="J125" s="373"/>
      <c r="K125" s="373"/>
      <c r="L125" s="373"/>
      <c r="M125" s="373"/>
      <c r="N125" s="373"/>
      <c r="O125" s="373"/>
      <c r="P125" s="373"/>
      <c r="Q125" s="373"/>
      <c r="R125" s="373"/>
      <c r="S125" s="373"/>
      <c r="T125" s="373"/>
      <c r="U125" s="373"/>
      <c r="V125" s="373"/>
      <c r="W125" s="373"/>
      <c r="X125" s="373"/>
      <c r="Y125" s="373"/>
      <c r="Z125" s="373"/>
      <c r="AA125" s="373"/>
      <c r="AB125" s="373"/>
      <c r="AC125" s="373"/>
      <c r="AD125" s="373"/>
      <c r="AE125" s="373"/>
      <c r="AF125" s="373"/>
      <c r="AG125" s="373"/>
    </row>
    <row r="126" spans="1:33" x14ac:dyDescent="0.25">
      <c r="A126" s="373"/>
      <c r="B126" s="373"/>
      <c r="C126" s="373"/>
      <c r="D126" s="373"/>
      <c r="E126" s="373"/>
      <c r="F126" s="373"/>
      <c r="G126" s="373"/>
      <c r="H126" s="373"/>
      <c r="I126" s="373"/>
      <c r="J126" s="373"/>
      <c r="K126" s="373"/>
      <c r="L126" s="373"/>
      <c r="M126" s="373"/>
      <c r="N126" s="373"/>
      <c r="O126" s="373"/>
      <c r="P126" s="373"/>
      <c r="Q126" s="373"/>
      <c r="R126" s="373"/>
      <c r="S126" s="373"/>
      <c r="T126" s="373"/>
      <c r="U126" s="373"/>
      <c r="V126" s="373"/>
      <c r="W126" s="373"/>
      <c r="X126" s="373"/>
      <c r="Y126" s="373"/>
      <c r="Z126" s="373"/>
      <c r="AA126" s="373"/>
      <c r="AB126" s="373"/>
      <c r="AC126" s="373"/>
      <c r="AD126" s="373"/>
      <c r="AE126" s="373"/>
      <c r="AF126" s="373"/>
      <c r="AG126" s="373"/>
    </row>
    <row r="127" spans="1:33" x14ac:dyDescent="0.25">
      <c r="A127" s="373"/>
      <c r="B127" s="373"/>
      <c r="C127" s="373"/>
      <c r="D127" s="373"/>
      <c r="E127" s="373"/>
      <c r="F127" s="373"/>
      <c r="G127" s="373"/>
      <c r="H127" s="373"/>
      <c r="I127" s="373"/>
      <c r="J127" s="373"/>
      <c r="K127" s="373"/>
      <c r="L127" s="373"/>
      <c r="M127" s="373"/>
      <c r="N127" s="373"/>
      <c r="O127" s="373"/>
      <c r="P127" s="373"/>
      <c r="Q127" s="373"/>
      <c r="R127" s="373"/>
      <c r="S127" s="373"/>
      <c r="T127" s="373"/>
      <c r="U127" s="373"/>
      <c r="V127" s="373"/>
      <c r="W127" s="373"/>
      <c r="X127" s="373"/>
      <c r="Y127" s="373"/>
      <c r="Z127" s="373"/>
      <c r="AA127" s="373"/>
      <c r="AB127" s="373"/>
      <c r="AC127" s="373"/>
      <c r="AD127" s="373"/>
      <c r="AE127" s="373"/>
      <c r="AF127" s="373"/>
      <c r="AG127" s="373"/>
    </row>
    <row r="128" spans="1:33" x14ac:dyDescent="0.25">
      <c r="A128" s="373"/>
      <c r="B128" s="373"/>
      <c r="C128" s="373"/>
      <c r="D128" s="373"/>
      <c r="E128" s="373"/>
      <c r="F128" s="373"/>
      <c r="G128" s="373"/>
      <c r="H128" s="373"/>
      <c r="I128" s="373"/>
      <c r="J128" s="373"/>
      <c r="K128" s="373"/>
      <c r="L128" s="373"/>
      <c r="M128" s="373"/>
      <c r="N128" s="373"/>
      <c r="O128" s="373"/>
      <c r="P128" s="373"/>
      <c r="Q128" s="373"/>
      <c r="R128" s="373"/>
      <c r="S128" s="373"/>
      <c r="T128" s="373"/>
      <c r="U128" s="373"/>
      <c r="V128" s="373"/>
      <c r="W128" s="373"/>
      <c r="X128" s="373"/>
      <c r="Y128" s="373"/>
      <c r="Z128" s="373"/>
      <c r="AA128" s="373"/>
      <c r="AB128" s="373"/>
      <c r="AC128" s="373"/>
      <c r="AD128" s="373"/>
      <c r="AE128" s="373"/>
      <c r="AF128" s="373"/>
      <c r="AG128" s="373"/>
    </row>
    <row r="129" spans="1:33" x14ac:dyDescent="0.25">
      <c r="A129" s="373"/>
      <c r="B129" s="373"/>
      <c r="C129" s="373"/>
      <c r="D129" s="373"/>
      <c r="E129" s="373"/>
      <c r="F129" s="373"/>
      <c r="G129" s="373"/>
      <c r="H129" s="373"/>
      <c r="I129" s="373"/>
      <c r="J129" s="373"/>
      <c r="K129" s="373"/>
      <c r="L129" s="373"/>
      <c r="M129" s="373"/>
      <c r="N129" s="373"/>
      <c r="O129" s="373"/>
      <c r="P129" s="373"/>
      <c r="Q129" s="373"/>
      <c r="R129" s="373"/>
      <c r="S129" s="373"/>
      <c r="T129" s="373"/>
      <c r="U129" s="373"/>
      <c r="V129" s="373"/>
      <c r="W129" s="373"/>
      <c r="X129" s="373"/>
      <c r="Y129" s="373"/>
      <c r="Z129" s="373"/>
      <c r="AA129" s="373"/>
      <c r="AB129" s="373"/>
      <c r="AC129" s="373"/>
      <c r="AD129" s="373"/>
      <c r="AE129" s="373"/>
      <c r="AF129" s="373"/>
      <c r="AG129" s="373"/>
    </row>
    <row r="130" spans="1:33" x14ac:dyDescent="0.25">
      <c r="A130" s="373"/>
      <c r="B130" s="373"/>
      <c r="C130" s="373"/>
      <c r="D130" s="373"/>
      <c r="E130" s="373"/>
      <c r="F130" s="373"/>
      <c r="G130" s="373"/>
      <c r="H130" s="373"/>
      <c r="I130" s="373"/>
      <c r="J130" s="373"/>
      <c r="K130" s="373"/>
      <c r="L130" s="373"/>
      <c r="M130" s="373"/>
      <c r="N130" s="373"/>
      <c r="O130" s="373"/>
      <c r="P130" s="373"/>
      <c r="Q130" s="373"/>
      <c r="R130" s="373"/>
      <c r="S130" s="373"/>
      <c r="T130" s="373"/>
      <c r="U130" s="373"/>
      <c r="V130" s="373"/>
      <c r="W130" s="373"/>
      <c r="X130" s="373"/>
      <c r="Y130" s="373"/>
      <c r="Z130" s="373"/>
      <c r="AA130" s="373"/>
      <c r="AB130" s="373"/>
      <c r="AC130" s="373"/>
      <c r="AD130" s="373"/>
      <c r="AE130" s="373"/>
      <c r="AF130" s="373"/>
      <c r="AG130" s="373"/>
    </row>
    <row r="131" spans="1:33" x14ac:dyDescent="0.25">
      <c r="A131" s="373"/>
      <c r="B131" s="373"/>
      <c r="C131" s="373"/>
      <c r="D131" s="373"/>
      <c r="E131" s="373"/>
      <c r="F131" s="373"/>
      <c r="G131" s="373"/>
      <c r="H131" s="373"/>
      <c r="I131" s="373"/>
      <c r="J131" s="373"/>
      <c r="K131" s="373"/>
      <c r="L131" s="373"/>
      <c r="M131" s="373"/>
      <c r="N131" s="373"/>
      <c r="O131" s="373"/>
      <c r="P131" s="373"/>
      <c r="Q131" s="373"/>
      <c r="R131" s="373"/>
      <c r="S131" s="373"/>
      <c r="T131" s="373"/>
      <c r="U131" s="373"/>
      <c r="V131" s="373"/>
      <c r="W131" s="373"/>
      <c r="X131" s="373"/>
      <c r="Y131" s="373"/>
      <c r="Z131" s="373"/>
      <c r="AA131" s="373"/>
      <c r="AB131" s="373"/>
      <c r="AC131" s="373"/>
      <c r="AD131" s="373"/>
      <c r="AE131" s="373"/>
      <c r="AF131" s="373"/>
      <c r="AG131" s="373"/>
    </row>
    <row r="132" spans="1:33" x14ac:dyDescent="0.25">
      <c r="A132" s="373"/>
      <c r="B132" s="373"/>
      <c r="C132" s="373"/>
      <c r="D132" s="373"/>
      <c r="E132" s="373"/>
      <c r="F132" s="373"/>
      <c r="G132" s="373"/>
      <c r="H132" s="373"/>
      <c r="I132" s="373"/>
      <c r="J132" s="373"/>
      <c r="K132" s="373"/>
      <c r="L132" s="373"/>
      <c r="M132" s="373"/>
      <c r="N132" s="373"/>
      <c r="O132" s="373"/>
      <c r="P132" s="373"/>
      <c r="Q132" s="373"/>
      <c r="R132" s="373"/>
      <c r="S132" s="373"/>
      <c r="T132" s="373"/>
      <c r="U132" s="373"/>
      <c r="V132" s="373"/>
      <c r="W132" s="373"/>
      <c r="X132" s="373"/>
      <c r="Y132" s="373"/>
      <c r="Z132" s="373"/>
      <c r="AA132" s="373"/>
      <c r="AB132" s="373"/>
      <c r="AC132" s="373"/>
      <c r="AD132" s="373"/>
      <c r="AE132" s="373"/>
      <c r="AF132" s="373"/>
      <c r="AG132" s="373"/>
    </row>
    <row r="133" spans="1:33" x14ac:dyDescent="0.25">
      <c r="A133" s="373"/>
      <c r="B133" s="373"/>
      <c r="C133" s="373"/>
      <c r="D133" s="373"/>
      <c r="E133" s="373"/>
      <c r="F133" s="373"/>
      <c r="G133" s="373"/>
      <c r="H133" s="373"/>
      <c r="I133" s="373"/>
      <c r="J133" s="373"/>
      <c r="K133" s="373"/>
      <c r="L133" s="373"/>
      <c r="M133" s="373"/>
      <c r="N133" s="373"/>
      <c r="O133" s="373"/>
      <c r="P133" s="373"/>
      <c r="Q133" s="373"/>
      <c r="R133" s="373"/>
      <c r="S133" s="373"/>
      <c r="T133" s="373"/>
      <c r="U133" s="373"/>
      <c r="V133" s="373"/>
      <c r="W133" s="373"/>
      <c r="X133" s="373"/>
      <c r="Y133" s="373"/>
      <c r="Z133" s="373"/>
      <c r="AA133" s="373"/>
      <c r="AB133" s="373"/>
      <c r="AC133" s="373"/>
      <c r="AD133" s="373"/>
      <c r="AE133" s="373"/>
      <c r="AF133" s="373"/>
      <c r="AG133" s="373"/>
    </row>
    <row r="134" spans="1:33" x14ac:dyDescent="0.25">
      <c r="A134" s="373"/>
      <c r="B134" s="373"/>
      <c r="C134" s="373"/>
      <c r="D134" s="373"/>
      <c r="E134" s="373"/>
      <c r="F134" s="373"/>
      <c r="G134" s="373"/>
      <c r="H134" s="373"/>
      <c r="I134" s="373"/>
      <c r="J134" s="373"/>
      <c r="K134" s="373"/>
      <c r="L134" s="373"/>
      <c r="M134" s="373"/>
      <c r="N134" s="373"/>
      <c r="O134" s="373"/>
      <c r="P134" s="373"/>
      <c r="Q134" s="373"/>
      <c r="R134" s="373"/>
      <c r="S134" s="373"/>
      <c r="T134" s="373"/>
      <c r="U134" s="373"/>
      <c r="V134" s="373"/>
      <c r="W134" s="373"/>
      <c r="X134" s="373"/>
      <c r="Y134" s="373"/>
      <c r="Z134" s="373"/>
      <c r="AA134" s="373"/>
      <c r="AB134" s="373"/>
      <c r="AC134" s="373"/>
      <c r="AD134" s="373"/>
      <c r="AE134" s="373"/>
      <c r="AF134" s="373"/>
      <c r="AG134" s="373"/>
    </row>
    <row r="135" spans="1:33" x14ac:dyDescent="0.25">
      <c r="A135" s="373"/>
      <c r="B135" s="373"/>
      <c r="C135" s="373"/>
      <c r="D135" s="373"/>
      <c r="E135" s="373"/>
      <c r="F135" s="373"/>
      <c r="G135" s="373"/>
      <c r="H135" s="373"/>
      <c r="I135" s="373"/>
      <c r="J135" s="373"/>
      <c r="K135" s="373"/>
      <c r="L135" s="373"/>
      <c r="M135" s="373"/>
      <c r="N135" s="373"/>
      <c r="O135" s="373"/>
      <c r="P135" s="373"/>
      <c r="Q135" s="373"/>
      <c r="R135" s="373"/>
      <c r="S135" s="373"/>
      <c r="T135" s="373"/>
      <c r="U135" s="373"/>
      <c r="V135" s="373"/>
      <c r="W135" s="373"/>
      <c r="X135" s="373"/>
      <c r="Y135" s="373"/>
      <c r="Z135" s="373"/>
      <c r="AA135" s="373"/>
      <c r="AB135" s="373"/>
      <c r="AC135" s="373"/>
      <c r="AD135" s="373"/>
      <c r="AE135" s="373"/>
      <c r="AF135" s="373"/>
      <c r="AG135" s="373"/>
    </row>
    <row r="136" spans="1:33" x14ac:dyDescent="0.25">
      <c r="A136" s="373"/>
      <c r="B136" s="373"/>
      <c r="C136" s="373"/>
      <c r="D136" s="373"/>
      <c r="E136" s="373"/>
      <c r="F136" s="373"/>
      <c r="G136" s="373"/>
      <c r="H136" s="373"/>
      <c r="I136" s="373"/>
      <c r="J136" s="373"/>
      <c r="K136" s="373"/>
      <c r="L136" s="373"/>
      <c r="M136" s="373"/>
      <c r="N136" s="373"/>
      <c r="O136" s="373"/>
      <c r="P136" s="373"/>
      <c r="Q136" s="373"/>
      <c r="R136" s="373"/>
      <c r="S136" s="373"/>
      <c r="T136" s="373"/>
      <c r="U136" s="373"/>
      <c r="V136" s="373"/>
      <c r="W136" s="373"/>
      <c r="X136" s="373"/>
      <c r="Y136" s="373"/>
      <c r="Z136" s="373"/>
      <c r="AA136" s="373"/>
      <c r="AB136" s="373"/>
      <c r="AC136" s="373"/>
      <c r="AD136" s="373"/>
      <c r="AE136" s="373"/>
      <c r="AF136" s="373"/>
      <c r="AG136" s="373"/>
    </row>
    <row r="137" spans="1:33" x14ac:dyDescent="0.25">
      <c r="A137" s="373"/>
      <c r="B137" s="373"/>
      <c r="C137" s="373"/>
      <c r="D137" s="373"/>
      <c r="E137" s="373"/>
      <c r="F137" s="373"/>
      <c r="G137" s="373"/>
      <c r="H137" s="373"/>
      <c r="I137" s="373"/>
      <c r="J137" s="373"/>
      <c r="K137" s="373"/>
      <c r="L137" s="373"/>
      <c r="M137" s="373"/>
      <c r="N137" s="373"/>
      <c r="O137" s="373"/>
      <c r="P137" s="373"/>
      <c r="Q137" s="373"/>
      <c r="R137" s="373"/>
      <c r="S137" s="373"/>
      <c r="T137" s="373"/>
      <c r="U137" s="373"/>
      <c r="V137" s="373"/>
      <c r="W137" s="373"/>
      <c r="X137" s="373"/>
      <c r="Y137" s="373"/>
      <c r="Z137" s="373"/>
      <c r="AA137" s="373"/>
      <c r="AB137" s="373"/>
      <c r="AC137" s="373"/>
      <c r="AD137" s="373"/>
      <c r="AE137" s="373"/>
      <c r="AF137" s="373"/>
      <c r="AG137" s="373"/>
    </row>
    <row r="138" spans="1:33" x14ac:dyDescent="0.25">
      <c r="A138" s="373"/>
      <c r="B138" s="373"/>
      <c r="C138" s="373"/>
      <c r="D138" s="373"/>
      <c r="E138" s="373"/>
      <c r="F138" s="373"/>
      <c r="G138" s="373"/>
      <c r="H138" s="373"/>
      <c r="I138" s="373"/>
      <c r="J138" s="373"/>
      <c r="K138" s="373"/>
      <c r="L138" s="373"/>
      <c r="M138" s="373"/>
      <c r="N138" s="373"/>
      <c r="O138" s="373"/>
      <c r="P138" s="373"/>
      <c r="Q138" s="373"/>
      <c r="R138" s="373"/>
      <c r="S138" s="373"/>
      <c r="T138" s="373"/>
      <c r="U138" s="373"/>
      <c r="V138" s="373"/>
      <c r="W138" s="373"/>
      <c r="X138" s="373"/>
      <c r="Y138" s="373"/>
      <c r="Z138" s="373"/>
      <c r="AA138" s="373"/>
      <c r="AB138" s="373"/>
      <c r="AC138" s="373"/>
      <c r="AD138" s="373"/>
      <c r="AE138" s="373"/>
      <c r="AF138" s="373"/>
      <c r="AG138" s="373"/>
    </row>
    <row r="139" spans="1:33" x14ac:dyDescent="0.25">
      <c r="A139" s="373"/>
      <c r="B139" s="373"/>
      <c r="C139" s="373"/>
      <c r="D139" s="373"/>
      <c r="E139" s="373"/>
      <c r="F139" s="373"/>
      <c r="G139" s="373"/>
      <c r="H139" s="373"/>
      <c r="I139" s="373"/>
      <c r="J139" s="373"/>
      <c r="K139" s="373"/>
      <c r="L139" s="373"/>
      <c r="M139" s="373"/>
      <c r="N139" s="373"/>
      <c r="O139" s="373"/>
      <c r="P139" s="373"/>
      <c r="Q139" s="373"/>
      <c r="R139" s="373"/>
      <c r="S139" s="373"/>
      <c r="T139" s="373"/>
      <c r="U139" s="373"/>
      <c r="V139" s="373"/>
      <c r="W139" s="373"/>
      <c r="X139" s="373"/>
      <c r="Y139" s="373"/>
      <c r="Z139" s="373"/>
      <c r="AA139" s="373"/>
      <c r="AB139" s="373"/>
      <c r="AC139" s="373"/>
      <c r="AD139" s="373"/>
      <c r="AE139" s="373"/>
      <c r="AF139" s="373"/>
      <c r="AG139" s="373"/>
    </row>
    <row r="140" spans="1:33" x14ac:dyDescent="0.25">
      <c r="A140" s="373"/>
      <c r="B140" s="373"/>
      <c r="C140" s="373"/>
      <c r="D140" s="373"/>
      <c r="E140" s="373"/>
      <c r="F140" s="373"/>
      <c r="G140" s="373"/>
      <c r="H140" s="373"/>
      <c r="I140" s="373"/>
      <c r="J140" s="373"/>
      <c r="K140" s="373"/>
      <c r="L140" s="373"/>
      <c r="M140" s="373"/>
      <c r="N140" s="373"/>
      <c r="O140" s="373"/>
      <c r="P140" s="373"/>
      <c r="Q140" s="373"/>
      <c r="R140" s="373"/>
      <c r="S140" s="373"/>
      <c r="T140" s="373"/>
      <c r="U140" s="373"/>
      <c r="V140" s="373"/>
      <c r="W140" s="373"/>
      <c r="X140" s="373"/>
      <c r="Y140" s="373"/>
      <c r="Z140" s="373"/>
      <c r="AA140" s="373"/>
      <c r="AB140" s="373"/>
      <c r="AC140" s="373"/>
      <c r="AD140" s="373"/>
      <c r="AE140" s="373"/>
      <c r="AF140" s="373"/>
      <c r="AG140" s="373"/>
    </row>
    <row r="141" spans="1:33" x14ac:dyDescent="0.25">
      <c r="A141" s="373"/>
      <c r="B141" s="373"/>
      <c r="C141" s="373"/>
      <c r="D141" s="373"/>
      <c r="E141" s="373"/>
      <c r="F141" s="373"/>
      <c r="G141" s="373"/>
      <c r="H141" s="373"/>
      <c r="I141" s="373"/>
      <c r="J141" s="373"/>
      <c r="K141" s="373"/>
      <c r="L141" s="373"/>
      <c r="M141" s="373"/>
      <c r="N141" s="373"/>
      <c r="O141" s="373"/>
      <c r="P141" s="373"/>
      <c r="Q141" s="373"/>
      <c r="R141" s="373"/>
      <c r="S141" s="373"/>
      <c r="T141" s="373"/>
      <c r="U141" s="373"/>
      <c r="V141" s="373"/>
      <c r="W141" s="373"/>
      <c r="X141" s="373"/>
      <c r="Y141" s="373"/>
      <c r="Z141" s="373"/>
      <c r="AA141" s="373"/>
      <c r="AB141" s="373"/>
      <c r="AC141" s="373"/>
      <c r="AD141" s="373"/>
      <c r="AE141" s="373"/>
      <c r="AF141" s="373"/>
      <c r="AG141" s="373"/>
    </row>
    <row r="142" spans="1:33" x14ac:dyDescent="0.25">
      <c r="A142" s="373"/>
      <c r="B142" s="373"/>
      <c r="C142" s="373"/>
      <c r="D142" s="373"/>
      <c r="E142" s="373"/>
      <c r="F142" s="373"/>
      <c r="G142" s="373"/>
      <c r="H142" s="373"/>
      <c r="I142" s="373"/>
      <c r="J142" s="373"/>
      <c r="K142" s="373"/>
      <c r="L142" s="373"/>
      <c r="M142" s="373"/>
      <c r="N142" s="373"/>
      <c r="O142" s="373"/>
      <c r="P142" s="373"/>
      <c r="Q142" s="373"/>
      <c r="R142" s="373"/>
      <c r="S142" s="373"/>
      <c r="T142" s="373"/>
      <c r="U142" s="373"/>
      <c r="V142" s="373"/>
      <c r="W142" s="373"/>
      <c r="X142" s="373"/>
      <c r="Y142" s="373"/>
      <c r="Z142" s="373"/>
      <c r="AA142" s="373"/>
      <c r="AB142" s="373"/>
      <c r="AC142" s="373"/>
      <c r="AD142" s="373"/>
      <c r="AE142" s="373"/>
      <c r="AF142" s="373"/>
      <c r="AG142" s="373"/>
    </row>
    <row r="143" spans="1:33" x14ac:dyDescent="0.25">
      <c r="A143" s="373"/>
      <c r="B143" s="373"/>
      <c r="C143" s="373"/>
      <c r="D143" s="373"/>
      <c r="E143" s="373"/>
      <c r="F143" s="373"/>
      <c r="G143" s="373"/>
      <c r="H143" s="373"/>
      <c r="I143" s="373"/>
      <c r="J143" s="373"/>
      <c r="K143" s="373"/>
      <c r="L143" s="373"/>
      <c r="M143" s="373"/>
      <c r="N143" s="373"/>
      <c r="O143" s="373"/>
      <c r="P143" s="373"/>
      <c r="Q143" s="373"/>
      <c r="R143" s="373"/>
      <c r="S143" s="373"/>
      <c r="T143" s="373"/>
      <c r="U143" s="373"/>
      <c r="V143" s="373"/>
      <c r="W143" s="373"/>
      <c r="X143" s="373"/>
      <c r="Y143" s="373"/>
      <c r="Z143" s="373"/>
      <c r="AA143" s="373"/>
      <c r="AB143" s="373"/>
      <c r="AC143" s="373"/>
      <c r="AD143" s="373"/>
      <c r="AE143" s="373"/>
      <c r="AF143" s="373"/>
      <c r="AG143" s="373"/>
    </row>
    <row r="144" spans="1:33" x14ac:dyDescent="0.25">
      <c r="A144" s="373"/>
      <c r="B144" s="373"/>
      <c r="C144" s="373"/>
      <c r="D144" s="373"/>
      <c r="E144" s="373"/>
      <c r="F144" s="373"/>
      <c r="G144" s="373"/>
      <c r="H144" s="373"/>
      <c r="I144" s="373"/>
      <c r="J144" s="373"/>
      <c r="K144" s="373"/>
      <c r="L144" s="373"/>
      <c r="M144" s="373"/>
      <c r="N144" s="373"/>
      <c r="O144" s="373"/>
      <c r="P144" s="373"/>
      <c r="Q144" s="373"/>
      <c r="R144" s="373"/>
      <c r="S144" s="373"/>
      <c r="T144" s="373"/>
      <c r="U144" s="373"/>
      <c r="V144" s="373"/>
      <c r="W144" s="373"/>
      <c r="X144" s="373"/>
      <c r="Y144" s="373"/>
      <c r="Z144" s="373"/>
      <c r="AA144" s="373"/>
      <c r="AB144" s="373"/>
      <c r="AC144" s="373"/>
      <c r="AD144" s="373"/>
      <c r="AE144" s="373"/>
      <c r="AF144" s="373"/>
      <c r="AG144" s="373"/>
    </row>
    <row r="145" spans="1:33" x14ac:dyDescent="0.25">
      <c r="A145" s="373"/>
      <c r="B145" s="373"/>
      <c r="C145" s="373"/>
      <c r="D145" s="373"/>
      <c r="E145" s="373"/>
      <c r="F145" s="373"/>
      <c r="G145" s="373"/>
      <c r="H145" s="373"/>
      <c r="I145" s="373"/>
      <c r="J145" s="373"/>
      <c r="K145" s="373"/>
      <c r="L145" s="373"/>
      <c r="M145" s="373"/>
      <c r="N145" s="373"/>
      <c r="O145" s="373"/>
      <c r="P145" s="373"/>
      <c r="Q145" s="373"/>
      <c r="R145" s="373"/>
      <c r="S145" s="373"/>
      <c r="T145" s="373"/>
      <c r="U145" s="373"/>
      <c r="V145" s="373"/>
      <c r="W145" s="373"/>
      <c r="X145" s="373"/>
      <c r="Y145" s="373"/>
      <c r="Z145" s="373"/>
      <c r="AA145" s="373"/>
      <c r="AB145" s="373"/>
      <c r="AC145" s="373"/>
      <c r="AD145" s="373"/>
      <c r="AE145" s="373"/>
      <c r="AF145" s="373"/>
      <c r="AG145" s="373"/>
    </row>
    <row r="146" spans="1:33" x14ac:dyDescent="0.25">
      <c r="A146" s="373"/>
      <c r="B146" s="373"/>
      <c r="C146" s="373"/>
      <c r="D146" s="373"/>
      <c r="E146" s="373"/>
      <c r="F146" s="373"/>
      <c r="G146" s="373"/>
      <c r="H146" s="373"/>
      <c r="I146" s="373"/>
      <c r="J146" s="373"/>
      <c r="K146" s="373"/>
      <c r="L146" s="373"/>
      <c r="M146" s="373"/>
      <c r="N146" s="373"/>
      <c r="O146" s="373"/>
      <c r="P146" s="373"/>
      <c r="Q146" s="373"/>
      <c r="R146" s="373"/>
      <c r="S146" s="373"/>
      <c r="T146" s="373"/>
      <c r="U146" s="373"/>
      <c r="V146" s="373"/>
      <c r="W146" s="373"/>
      <c r="X146" s="373"/>
      <c r="Y146" s="373"/>
      <c r="Z146" s="373"/>
      <c r="AA146" s="373"/>
      <c r="AB146" s="373"/>
      <c r="AC146" s="373"/>
      <c r="AD146" s="373"/>
      <c r="AE146" s="373"/>
      <c r="AF146" s="373"/>
      <c r="AG146" s="373"/>
    </row>
    <row r="147" spans="1:33" x14ac:dyDescent="0.25">
      <c r="A147" s="373"/>
      <c r="B147" s="373"/>
      <c r="C147" s="373"/>
      <c r="D147" s="373"/>
      <c r="E147" s="373"/>
      <c r="F147" s="373"/>
      <c r="G147" s="373"/>
      <c r="H147" s="373"/>
      <c r="I147" s="373"/>
      <c r="J147" s="373"/>
      <c r="K147" s="373"/>
      <c r="L147" s="373"/>
      <c r="M147" s="373"/>
      <c r="N147" s="373"/>
      <c r="O147" s="373"/>
      <c r="P147" s="373"/>
      <c r="Q147" s="373"/>
      <c r="R147" s="373"/>
      <c r="S147" s="373"/>
      <c r="T147" s="373"/>
      <c r="U147" s="373"/>
      <c r="V147" s="373"/>
      <c r="W147" s="373"/>
      <c r="X147" s="373"/>
      <c r="Y147" s="373"/>
      <c r="Z147" s="373"/>
      <c r="AA147" s="373"/>
      <c r="AB147" s="373"/>
      <c r="AC147" s="373"/>
      <c r="AD147" s="373"/>
      <c r="AE147" s="373"/>
      <c r="AF147" s="373"/>
      <c r="AG147" s="373"/>
    </row>
    <row r="148" spans="1:33" x14ac:dyDescent="0.25">
      <c r="A148" s="373"/>
      <c r="B148" s="373"/>
      <c r="C148" s="373"/>
      <c r="D148" s="373"/>
      <c r="E148" s="373"/>
      <c r="F148" s="373"/>
      <c r="G148" s="373"/>
      <c r="H148" s="373"/>
      <c r="I148" s="373"/>
      <c r="J148" s="373"/>
      <c r="K148" s="373"/>
      <c r="L148" s="373"/>
      <c r="M148" s="373"/>
      <c r="N148" s="373"/>
      <c r="O148" s="373"/>
      <c r="P148" s="373"/>
      <c r="Q148" s="373"/>
      <c r="R148" s="373"/>
      <c r="S148" s="373"/>
      <c r="T148" s="373"/>
      <c r="U148" s="373"/>
      <c r="V148" s="373"/>
      <c r="W148" s="373"/>
      <c r="X148" s="373"/>
      <c r="Y148" s="373"/>
      <c r="Z148" s="373"/>
      <c r="AA148" s="373"/>
      <c r="AB148" s="373"/>
      <c r="AC148" s="373"/>
      <c r="AD148" s="373"/>
      <c r="AE148" s="373"/>
      <c r="AF148" s="373"/>
      <c r="AG148" s="373"/>
    </row>
    <row r="149" spans="1:33" x14ac:dyDescent="0.25">
      <c r="A149" s="373"/>
      <c r="B149" s="373"/>
      <c r="C149" s="373"/>
      <c r="D149" s="373"/>
      <c r="E149" s="373"/>
      <c r="F149" s="373"/>
      <c r="G149" s="373"/>
      <c r="H149" s="373"/>
      <c r="I149" s="373"/>
      <c r="J149" s="373"/>
      <c r="K149" s="373"/>
      <c r="L149" s="373"/>
      <c r="M149" s="373"/>
      <c r="N149" s="373"/>
      <c r="O149" s="373"/>
      <c r="P149" s="373"/>
      <c r="Q149" s="373"/>
      <c r="R149" s="373"/>
      <c r="S149" s="373"/>
      <c r="T149" s="373"/>
      <c r="U149" s="373"/>
      <c r="V149" s="373"/>
      <c r="W149" s="373"/>
      <c r="X149" s="373"/>
      <c r="Y149" s="373"/>
      <c r="Z149" s="373"/>
      <c r="AA149" s="373"/>
      <c r="AB149" s="373"/>
      <c r="AC149" s="373"/>
      <c r="AD149" s="373"/>
      <c r="AE149" s="373"/>
      <c r="AF149" s="373"/>
      <c r="AG149" s="373"/>
    </row>
    <row r="150" spans="1:33" x14ac:dyDescent="0.25">
      <c r="A150" s="373"/>
      <c r="B150" s="373"/>
      <c r="C150" s="373"/>
      <c r="D150" s="373"/>
      <c r="E150" s="373"/>
      <c r="F150" s="373"/>
      <c r="G150" s="373"/>
      <c r="H150" s="373"/>
      <c r="I150" s="373"/>
      <c r="J150" s="373"/>
      <c r="K150" s="373"/>
      <c r="L150" s="373"/>
      <c r="M150" s="373"/>
      <c r="N150" s="373"/>
      <c r="O150" s="373"/>
      <c r="P150" s="373"/>
      <c r="Q150" s="373"/>
      <c r="R150" s="373"/>
      <c r="S150" s="373"/>
      <c r="T150" s="373"/>
      <c r="U150" s="373"/>
      <c r="V150" s="373"/>
      <c r="W150" s="373"/>
      <c r="X150" s="373"/>
      <c r="Y150" s="373"/>
      <c r="Z150" s="373"/>
      <c r="AA150" s="373"/>
      <c r="AB150" s="373"/>
      <c r="AC150" s="373"/>
      <c r="AD150" s="373"/>
      <c r="AE150" s="373"/>
      <c r="AF150" s="373"/>
      <c r="AG150" s="373"/>
    </row>
    <row r="151" spans="1:33" x14ac:dyDescent="0.25">
      <c r="A151" s="373"/>
      <c r="B151" s="373"/>
      <c r="C151" s="373"/>
      <c r="D151" s="373"/>
      <c r="E151" s="373"/>
      <c r="F151" s="373"/>
      <c r="G151" s="373"/>
      <c r="H151" s="373"/>
      <c r="I151" s="373"/>
      <c r="J151" s="373"/>
      <c r="K151" s="373"/>
      <c r="L151" s="373"/>
      <c r="M151" s="373"/>
      <c r="N151" s="373"/>
      <c r="O151" s="373"/>
      <c r="P151" s="373"/>
      <c r="Q151" s="373"/>
      <c r="R151" s="373"/>
      <c r="S151" s="373"/>
      <c r="T151" s="373"/>
      <c r="U151" s="373"/>
      <c r="V151" s="373"/>
      <c r="W151" s="373"/>
      <c r="X151" s="373"/>
      <c r="Y151" s="373"/>
      <c r="Z151" s="373"/>
      <c r="AA151" s="373"/>
      <c r="AB151" s="373"/>
      <c r="AC151" s="373"/>
      <c r="AD151" s="373"/>
      <c r="AE151" s="373"/>
      <c r="AF151" s="373"/>
      <c r="AG151" s="373"/>
    </row>
    <row r="152" spans="1:33" x14ac:dyDescent="0.25">
      <c r="A152" s="373"/>
      <c r="B152" s="373"/>
      <c r="C152" s="373"/>
      <c r="D152" s="373"/>
      <c r="E152" s="373"/>
      <c r="F152" s="373"/>
      <c r="G152" s="373"/>
      <c r="H152" s="373"/>
      <c r="I152" s="373"/>
      <c r="J152" s="373"/>
      <c r="K152" s="373"/>
      <c r="L152" s="373"/>
      <c r="M152" s="373"/>
      <c r="N152" s="373"/>
      <c r="O152" s="373"/>
      <c r="P152" s="373"/>
      <c r="Q152" s="373"/>
      <c r="R152" s="373"/>
      <c r="S152" s="373"/>
      <c r="T152" s="373"/>
      <c r="U152" s="373"/>
      <c r="V152" s="373"/>
      <c r="W152" s="373"/>
      <c r="X152" s="373"/>
      <c r="Y152" s="373"/>
      <c r="Z152" s="373"/>
      <c r="AA152" s="373"/>
      <c r="AB152" s="373"/>
      <c r="AC152" s="373"/>
      <c r="AD152" s="373"/>
      <c r="AE152" s="373"/>
      <c r="AF152" s="373"/>
      <c r="AG152" s="373"/>
    </row>
    <row r="153" spans="1:33" x14ac:dyDescent="0.25">
      <c r="A153" s="373"/>
      <c r="B153" s="373"/>
      <c r="C153" s="373"/>
      <c r="D153" s="373"/>
      <c r="E153" s="373"/>
      <c r="F153" s="373"/>
      <c r="G153" s="373"/>
      <c r="H153" s="373"/>
      <c r="I153" s="373"/>
      <c r="J153" s="373"/>
      <c r="K153" s="373"/>
      <c r="L153" s="373"/>
      <c r="M153" s="373"/>
      <c r="N153" s="373"/>
      <c r="O153" s="373"/>
      <c r="P153" s="373"/>
      <c r="Q153" s="373"/>
      <c r="R153" s="373"/>
      <c r="S153" s="373"/>
      <c r="T153" s="373"/>
      <c r="U153" s="373"/>
      <c r="V153" s="373"/>
      <c r="W153" s="373"/>
      <c r="X153" s="373"/>
      <c r="Y153" s="373"/>
      <c r="Z153" s="373"/>
      <c r="AA153" s="373"/>
      <c r="AB153" s="373"/>
      <c r="AC153" s="373"/>
      <c r="AD153" s="373"/>
      <c r="AE153" s="373"/>
      <c r="AF153" s="373"/>
      <c r="AG153" s="373"/>
    </row>
    <row r="154" spans="1:33" x14ac:dyDescent="0.25">
      <c r="A154" s="373"/>
      <c r="B154" s="373"/>
      <c r="C154" s="373"/>
      <c r="D154" s="373"/>
      <c r="E154" s="373"/>
      <c r="F154" s="373"/>
      <c r="G154" s="373"/>
      <c r="H154" s="373"/>
      <c r="I154" s="373"/>
      <c r="J154" s="373"/>
      <c r="K154" s="373"/>
      <c r="L154" s="373"/>
      <c r="M154" s="373"/>
      <c r="N154" s="373"/>
      <c r="O154" s="373"/>
      <c r="P154" s="373"/>
      <c r="Q154" s="373"/>
      <c r="R154" s="373"/>
      <c r="S154" s="373"/>
      <c r="T154" s="373"/>
      <c r="U154" s="373"/>
      <c r="V154" s="373"/>
      <c r="W154" s="373"/>
      <c r="X154" s="373"/>
      <c r="Y154" s="373"/>
      <c r="Z154" s="373"/>
      <c r="AA154" s="373"/>
      <c r="AB154" s="373"/>
      <c r="AC154" s="373"/>
      <c r="AD154" s="373"/>
      <c r="AE154" s="373"/>
      <c r="AF154" s="373"/>
      <c r="AG154" s="373"/>
    </row>
    <row r="155" spans="1:33" x14ac:dyDescent="0.25">
      <c r="A155" s="373"/>
      <c r="B155" s="373"/>
      <c r="C155" s="373"/>
      <c r="D155" s="373"/>
      <c r="E155" s="373"/>
      <c r="F155" s="373"/>
      <c r="G155" s="373"/>
      <c r="H155" s="373"/>
      <c r="I155" s="373"/>
      <c r="J155" s="373"/>
      <c r="K155" s="373"/>
      <c r="L155" s="373"/>
      <c r="M155" s="373"/>
      <c r="N155" s="373"/>
      <c r="O155" s="373"/>
      <c r="P155" s="373"/>
      <c r="Q155" s="373"/>
      <c r="R155" s="373"/>
      <c r="S155" s="373"/>
      <c r="T155" s="373"/>
      <c r="U155" s="373"/>
      <c r="V155" s="373"/>
      <c r="W155" s="373"/>
      <c r="X155" s="373"/>
      <c r="Y155" s="373"/>
      <c r="Z155" s="373"/>
      <c r="AA155" s="373"/>
      <c r="AB155" s="373"/>
      <c r="AC155" s="373"/>
      <c r="AD155" s="373"/>
      <c r="AE155" s="373"/>
      <c r="AF155" s="373"/>
      <c r="AG155" s="373"/>
    </row>
    <row r="156" spans="1:33" x14ac:dyDescent="0.25">
      <c r="A156" s="373"/>
      <c r="B156" s="373"/>
      <c r="C156" s="373"/>
      <c r="D156" s="373"/>
      <c r="E156" s="373"/>
      <c r="F156" s="373"/>
      <c r="G156" s="373"/>
      <c r="H156" s="373"/>
      <c r="I156" s="373"/>
      <c r="J156" s="373"/>
      <c r="K156" s="373"/>
      <c r="L156" s="373"/>
      <c r="M156" s="373"/>
      <c r="N156" s="373"/>
      <c r="O156" s="373"/>
      <c r="P156" s="373"/>
      <c r="Q156" s="373"/>
      <c r="R156" s="373"/>
      <c r="S156" s="373"/>
      <c r="T156" s="373"/>
      <c r="U156" s="373"/>
      <c r="V156" s="373"/>
      <c r="W156" s="373"/>
      <c r="X156" s="373"/>
      <c r="Y156" s="373"/>
      <c r="Z156" s="373"/>
      <c r="AA156" s="373"/>
      <c r="AB156" s="373"/>
      <c r="AC156" s="373"/>
      <c r="AD156" s="373"/>
      <c r="AE156" s="373"/>
      <c r="AF156" s="373"/>
      <c r="AG156" s="373"/>
    </row>
    <row r="157" spans="1:33" x14ac:dyDescent="0.25">
      <c r="A157" s="373"/>
      <c r="B157" s="373"/>
      <c r="C157" s="373"/>
      <c r="D157" s="373"/>
      <c r="E157" s="373"/>
      <c r="F157" s="373"/>
      <c r="G157" s="373"/>
      <c r="H157" s="373"/>
      <c r="I157" s="373"/>
      <c r="J157" s="373"/>
      <c r="K157" s="373"/>
      <c r="L157" s="373"/>
      <c r="M157" s="373"/>
      <c r="N157" s="373"/>
      <c r="O157" s="373"/>
      <c r="P157" s="373"/>
      <c r="Q157" s="373"/>
      <c r="R157" s="373"/>
      <c r="S157" s="373"/>
      <c r="T157" s="373"/>
      <c r="U157" s="373"/>
      <c r="V157" s="373"/>
      <c r="W157" s="373"/>
      <c r="X157" s="373"/>
      <c r="Y157" s="373"/>
      <c r="Z157" s="373"/>
      <c r="AA157" s="373"/>
      <c r="AB157" s="373"/>
      <c r="AC157" s="373"/>
      <c r="AD157" s="373"/>
      <c r="AE157" s="373"/>
      <c r="AF157" s="373"/>
      <c r="AG157" s="373"/>
    </row>
    <row r="158" spans="1:33" x14ac:dyDescent="0.25">
      <c r="A158" s="373"/>
      <c r="B158" s="373"/>
      <c r="C158" s="373"/>
      <c r="D158" s="373"/>
      <c r="E158" s="373"/>
      <c r="F158" s="373"/>
      <c r="G158" s="373"/>
      <c r="H158" s="373"/>
      <c r="I158" s="373"/>
      <c r="J158" s="373"/>
      <c r="K158" s="373"/>
      <c r="L158" s="373"/>
      <c r="M158" s="373"/>
      <c r="N158" s="373"/>
      <c r="O158" s="373"/>
      <c r="P158" s="373"/>
      <c r="Q158" s="373"/>
      <c r="R158" s="373"/>
      <c r="S158" s="373"/>
      <c r="T158" s="373"/>
      <c r="U158" s="373"/>
      <c r="V158" s="373"/>
      <c r="W158" s="373"/>
      <c r="X158" s="373"/>
      <c r="Y158" s="373"/>
      <c r="Z158" s="373"/>
      <c r="AA158" s="373"/>
      <c r="AB158" s="373"/>
      <c r="AC158" s="373"/>
      <c r="AD158" s="373"/>
      <c r="AE158" s="373"/>
      <c r="AF158" s="373"/>
      <c r="AG158" s="373"/>
    </row>
    <row r="159" spans="1:33" x14ac:dyDescent="0.25">
      <c r="A159" s="373"/>
      <c r="B159" s="373"/>
      <c r="C159" s="373"/>
      <c r="D159" s="373"/>
      <c r="E159" s="373"/>
      <c r="F159" s="373"/>
      <c r="G159" s="373"/>
      <c r="H159" s="373"/>
      <c r="I159" s="373"/>
      <c r="J159" s="373"/>
      <c r="K159" s="373"/>
      <c r="L159" s="373"/>
      <c r="M159" s="373"/>
      <c r="N159" s="373"/>
      <c r="O159" s="373"/>
      <c r="P159" s="373"/>
      <c r="Q159" s="373"/>
      <c r="R159" s="373"/>
      <c r="S159" s="373"/>
      <c r="T159" s="373"/>
      <c r="U159" s="373"/>
      <c r="V159" s="373"/>
      <c r="W159" s="373"/>
      <c r="X159" s="373"/>
      <c r="Y159" s="373"/>
      <c r="Z159" s="373"/>
      <c r="AA159" s="373"/>
      <c r="AB159" s="373"/>
      <c r="AC159" s="373"/>
      <c r="AD159" s="373"/>
      <c r="AE159" s="373"/>
      <c r="AF159" s="373"/>
      <c r="AG159" s="373"/>
    </row>
    <row r="160" spans="1:33" x14ac:dyDescent="0.25">
      <c r="A160" s="373"/>
      <c r="B160" s="373"/>
      <c r="C160" s="373"/>
      <c r="D160" s="373"/>
      <c r="E160" s="373"/>
      <c r="F160" s="373"/>
      <c r="G160" s="373"/>
      <c r="H160" s="373"/>
      <c r="I160" s="373"/>
      <c r="J160" s="373"/>
      <c r="K160" s="373"/>
      <c r="L160" s="373"/>
      <c r="M160" s="373"/>
      <c r="N160" s="373"/>
      <c r="O160" s="373"/>
      <c r="P160" s="373"/>
      <c r="Q160" s="373"/>
      <c r="R160" s="373"/>
      <c r="S160" s="373"/>
      <c r="T160" s="373"/>
      <c r="U160" s="373"/>
      <c r="V160" s="373"/>
      <c r="W160" s="373"/>
      <c r="X160" s="373"/>
      <c r="Y160" s="373"/>
      <c r="Z160" s="373"/>
      <c r="AA160" s="373"/>
      <c r="AB160" s="373"/>
      <c r="AC160" s="373"/>
      <c r="AD160" s="373"/>
      <c r="AE160" s="373"/>
      <c r="AF160" s="373"/>
      <c r="AG160" s="373"/>
    </row>
    <row r="161" spans="1:33" x14ac:dyDescent="0.25">
      <c r="A161" s="373"/>
      <c r="B161" s="373"/>
      <c r="C161" s="373"/>
      <c r="D161" s="373"/>
      <c r="E161" s="373"/>
      <c r="F161" s="373"/>
      <c r="G161" s="373"/>
      <c r="H161" s="373"/>
      <c r="I161" s="373"/>
      <c r="J161" s="373"/>
      <c r="K161" s="373"/>
      <c r="L161" s="373"/>
      <c r="M161" s="373"/>
      <c r="N161" s="373"/>
      <c r="O161" s="373"/>
      <c r="P161" s="373"/>
      <c r="Q161" s="373"/>
      <c r="R161" s="373"/>
      <c r="S161" s="373"/>
      <c r="T161" s="373"/>
      <c r="U161" s="373"/>
      <c r="V161" s="373"/>
      <c r="W161" s="373"/>
      <c r="X161" s="373"/>
      <c r="Y161" s="373"/>
      <c r="Z161" s="373"/>
      <c r="AA161" s="373"/>
      <c r="AB161" s="373"/>
      <c r="AC161" s="373"/>
      <c r="AD161" s="373"/>
      <c r="AE161" s="373"/>
      <c r="AF161" s="373"/>
      <c r="AG161" s="373"/>
    </row>
    <row r="162" spans="1:33" x14ac:dyDescent="0.25">
      <c r="A162" s="373"/>
      <c r="B162" s="373"/>
      <c r="C162" s="373"/>
      <c r="D162" s="373"/>
      <c r="E162" s="373"/>
      <c r="F162" s="373"/>
      <c r="G162" s="373"/>
      <c r="H162" s="373"/>
      <c r="I162" s="373"/>
      <c r="J162" s="373"/>
      <c r="K162" s="373"/>
      <c r="L162" s="373"/>
      <c r="M162" s="373"/>
      <c r="N162" s="373"/>
      <c r="O162" s="373"/>
      <c r="P162" s="373"/>
      <c r="Q162" s="373"/>
      <c r="R162" s="373"/>
      <c r="S162" s="373"/>
      <c r="T162" s="373"/>
      <c r="U162" s="373"/>
      <c r="V162" s="373"/>
      <c r="W162" s="373"/>
      <c r="X162" s="373"/>
      <c r="Y162" s="373"/>
      <c r="Z162" s="373"/>
      <c r="AA162" s="373"/>
      <c r="AB162" s="373"/>
      <c r="AC162" s="373"/>
      <c r="AD162" s="373"/>
      <c r="AE162" s="373"/>
      <c r="AF162" s="373"/>
      <c r="AG162" s="373"/>
    </row>
    <row r="163" spans="1:33" x14ac:dyDescent="0.25">
      <c r="A163" s="373"/>
      <c r="B163" s="373"/>
      <c r="C163" s="373"/>
      <c r="D163" s="373"/>
      <c r="E163" s="373"/>
      <c r="F163" s="373"/>
      <c r="G163" s="373"/>
      <c r="H163" s="373"/>
      <c r="I163" s="373"/>
      <c r="J163" s="373"/>
      <c r="K163" s="373"/>
      <c r="L163" s="373"/>
      <c r="M163" s="373"/>
      <c r="N163" s="373"/>
      <c r="O163" s="373"/>
      <c r="P163" s="373"/>
      <c r="Q163" s="373"/>
      <c r="R163" s="373"/>
      <c r="S163" s="373"/>
      <c r="T163" s="373"/>
      <c r="U163" s="373"/>
      <c r="V163" s="373"/>
      <c r="W163" s="373"/>
      <c r="X163" s="373"/>
      <c r="Y163" s="373"/>
      <c r="Z163" s="373"/>
      <c r="AA163" s="373"/>
      <c r="AB163" s="373"/>
      <c r="AC163" s="373"/>
      <c r="AD163" s="373"/>
      <c r="AE163" s="373"/>
      <c r="AF163" s="373"/>
      <c r="AG163" s="373"/>
    </row>
    <row r="164" spans="1:33" x14ac:dyDescent="0.25">
      <c r="A164" s="373"/>
      <c r="B164" s="373"/>
      <c r="C164" s="373"/>
      <c r="D164" s="373"/>
      <c r="E164" s="373"/>
      <c r="F164" s="373"/>
      <c r="G164" s="373"/>
      <c r="H164" s="373"/>
      <c r="I164" s="373"/>
      <c r="J164" s="373"/>
      <c r="K164" s="373"/>
      <c r="L164" s="373"/>
      <c r="M164" s="373"/>
      <c r="N164" s="373"/>
      <c r="O164" s="373"/>
      <c r="P164" s="373"/>
      <c r="Q164" s="373"/>
      <c r="R164" s="373"/>
      <c r="S164" s="373"/>
      <c r="T164" s="373"/>
      <c r="U164" s="373"/>
      <c r="V164" s="373"/>
      <c r="W164" s="373"/>
      <c r="X164" s="373"/>
      <c r="Y164" s="373"/>
      <c r="Z164" s="373"/>
      <c r="AA164" s="373"/>
      <c r="AB164" s="373"/>
      <c r="AC164" s="373"/>
      <c r="AD164" s="373"/>
      <c r="AE164" s="373"/>
      <c r="AF164" s="373"/>
      <c r="AG164" s="373"/>
    </row>
    <row r="165" spans="1:33" x14ac:dyDescent="0.25">
      <c r="A165" s="373"/>
      <c r="B165" s="373"/>
      <c r="C165" s="373"/>
      <c r="D165" s="373"/>
      <c r="E165" s="373"/>
      <c r="F165" s="373"/>
      <c r="G165" s="373"/>
      <c r="H165" s="373"/>
      <c r="I165" s="373"/>
      <c r="J165" s="373"/>
      <c r="K165" s="373"/>
      <c r="L165" s="373"/>
      <c r="M165" s="373"/>
      <c r="N165" s="373"/>
      <c r="O165" s="373"/>
      <c r="P165" s="373"/>
      <c r="Q165" s="373"/>
      <c r="R165" s="373"/>
      <c r="S165" s="373"/>
      <c r="T165" s="373"/>
      <c r="U165" s="373"/>
      <c r="V165" s="373"/>
      <c r="W165" s="373"/>
      <c r="X165" s="373"/>
      <c r="Y165" s="373"/>
      <c r="Z165" s="373"/>
      <c r="AA165" s="373"/>
      <c r="AB165" s="373"/>
      <c r="AC165" s="373"/>
      <c r="AD165" s="373"/>
      <c r="AE165" s="373"/>
      <c r="AF165" s="373"/>
      <c r="AG165" s="373"/>
    </row>
    <row r="166" spans="1:33" x14ac:dyDescent="0.25">
      <c r="A166" s="373"/>
      <c r="B166" s="373"/>
      <c r="C166" s="373"/>
      <c r="D166" s="373"/>
      <c r="E166" s="373"/>
      <c r="F166" s="373"/>
      <c r="G166" s="373"/>
      <c r="H166" s="373"/>
      <c r="I166" s="373"/>
      <c r="J166" s="373"/>
      <c r="K166" s="373"/>
      <c r="L166" s="373"/>
      <c r="M166" s="373"/>
      <c r="N166" s="373"/>
      <c r="O166" s="373"/>
      <c r="P166" s="373"/>
      <c r="Q166" s="373"/>
      <c r="R166" s="373"/>
      <c r="S166" s="373"/>
      <c r="T166" s="373"/>
      <c r="U166" s="373"/>
      <c r="V166" s="373"/>
      <c r="W166" s="373"/>
      <c r="X166" s="373"/>
      <c r="Y166" s="373"/>
      <c r="Z166" s="373"/>
      <c r="AA166" s="373"/>
      <c r="AB166" s="373"/>
      <c r="AC166" s="373"/>
      <c r="AD166" s="373"/>
      <c r="AE166" s="373"/>
      <c r="AF166" s="373"/>
      <c r="AG166" s="373"/>
    </row>
    <row r="167" spans="1:33" x14ac:dyDescent="0.25">
      <c r="A167" s="373"/>
      <c r="B167" s="373"/>
      <c r="C167" s="373"/>
      <c r="D167" s="373"/>
      <c r="E167" s="373"/>
      <c r="F167" s="373"/>
      <c r="G167" s="373"/>
      <c r="H167" s="373"/>
      <c r="I167" s="373"/>
      <c r="J167" s="373"/>
      <c r="K167" s="373"/>
      <c r="L167" s="373"/>
      <c r="M167" s="373"/>
      <c r="N167" s="373"/>
      <c r="O167" s="373"/>
      <c r="P167" s="373"/>
      <c r="Q167" s="373"/>
      <c r="R167" s="373"/>
      <c r="S167" s="373"/>
      <c r="T167" s="373"/>
      <c r="U167" s="373"/>
      <c r="V167" s="373"/>
      <c r="W167" s="373"/>
      <c r="X167" s="373"/>
      <c r="Y167" s="373"/>
      <c r="Z167" s="373"/>
      <c r="AA167" s="373"/>
      <c r="AB167" s="373"/>
      <c r="AC167" s="373"/>
      <c r="AD167" s="373"/>
      <c r="AE167" s="373"/>
      <c r="AF167" s="373"/>
      <c r="AG167" s="373"/>
    </row>
    <row r="168" spans="1:33" x14ac:dyDescent="0.25">
      <c r="A168" s="373"/>
      <c r="B168" s="373"/>
      <c r="C168" s="373"/>
      <c r="D168" s="373"/>
      <c r="E168" s="373"/>
      <c r="F168" s="373"/>
      <c r="G168" s="373"/>
      <c r="H168" s="373"/>
      <c r="I168" s="373"/>
      <c r="J168" s="373"/>
      <c r="K168" s="373"/>
      <c r="L168" s="373"/>
      <c r="M168" s="373"/>
      <c r="N168" s="373"/>
      <c r="O168" s="373"/>
      <c r="P168" s="373"/>
      <c r="Q168" s="373"/>
      <c r="R168" s="373"/>
      <c r="S168" s="373"/>
      <c r="T168" s="373"/>
      <c r="U168" s="373"/>
      <c r="V168" s="373"/>
      <c r="W168" s="373"/>
      <c r="X168" s="373"/>
      <c r="Y168" s="373"/>
      <c r="Z168" s="373"/>
      <c r="AA168" s="373"/>
      <c r="AB168" s="373"/>
      <c r="AC168" s="373"/>
      <c r="AD168" s="373"/>
      <c r="AE168" s="373"/>
      <c r="AF168" s="373"/>
      <c r="AG168" s="373"/>
    </row>
    <row r="169" spans="1:33" x14ac:dyDescent="0.25">
      <c r="A169" s="373"/>
      <c r="B169" s="373"/>
      <c r="C169" s="373"/>
      <c r="D169" s="373"/>
      <c r="E169" s="373"/>
      <c r="F169" s="373"/>
      <c r="G169" s="373"/>
      <c r="H169" s="373"/>
      <c r="I169" s="373"/>
      <c r="J169" s="373"/>
      <c r="K169" s="373"/>
      <c r="L169" s="373"/>
      <c r="M169" s="373"/>
      <c r="N169" s="373"/>
      <c r="O169" s="373"/>
      <c r="P169" s="373"/>
      <c r="Q169" s="373"/>
      <c r="R169" s="373"/>
      <c r="S169" s="373"/>
      <c r="T169" s="373"/>
      <c r="U169" s="373"/>
      <c r="V169" s="373"/>
      <c r="W169" s="373"/>
      <c r="X169" s="373"/>
      <c r="Y169" s="373"/>
      <c r="Z169" s="373"/>
      <c r="AA169" s="373"/>
      <c r="AB169" s="373"/>
      <c r="AC169" s="373"/>
      <c r="AD169" s="373"/>
      <c r="AE169" s="373"/>
      <c r="AF169" s="373"/>
      <c r="AG169" s="373"/>
    </row>
    <row r="170" spans="1:33" x14ac:dyDescent="0.25">
      <c r="A170" s="373"/>
      <c r="B170" s="373"/>
      <c r="C170" s="373"/>
      <c r="D170" s="373"/>
      <c r="E170" s="373"/>
      <c r="F170" s="373"/>
      <c r="G170" s="373"/>
      <c r="H170" s="373"/>
      <c r="I170" s="373"/>
      <c r="J170" s="373"/>
      <c r="K170" s="373"/>
      <c r="L170" s="373"/>
      <c r="M170" s="373"/>
      <c r="N170" s="373"/>
      <c r="O170" s="373"/>
      <c r="P170" s="373"/>
      <c r="Q170" s="373"/>
      <c r="R170" s="373"/>
      <c r="S170" s="373"/>
      <c r="T170" s="373"/>
      <c r="U170" s="373"/>
      <c r="V170" s="373"/>
      <c r="W170" s="373"/>
      <c r="X170" s="373"/>
      <c r="Y170" s="373"/>
      <c r="Z170" s="373"/>
      <c r="AA170" s="373"/>
      <c r="AB170" s="373"/>
      <c r="AC170" s="373"/>
      <c r="AD170" s="373"/>
      <c r="AE170" s="373"/>
      <c r="AF170" s="373"/>
      <c r="AG170" s="373"/>
    </row>
    <row r="171" spans="1:33" x14ac:dyDescent="0.25">
      <c r="A171" s="373"/>
      <c r="B171" s="373"/>
      <c r="C171" s="373"/>
      <c r="D171" s="373"/>
      <c r="E171" s="373"/>
      <c r="F171" s="373"/>
      <c r="G171" s="373"/>
      <c r="H171" s="373"/>
      <c r="I171" s="373"/>
      <c r="J171" s="373"/>
      <c r="K171" s="373"/>
      <c r="L171" s="373"/>
      <c r="M171" s="373"/>
      <c r="N171" s="373"/>
      <c r="O171" s="373"/>
      <c r="P171" s="373"/>
      <c r="Q171" s="373"/>
      <c r="R171" s="373"/>
      <c r="S171" s="373"/>
      <c r="T171" s="373"/>
      <c r="U171" s="373"/>
      <c r="V171" s="373"/>
      <c r="W171" s="373"/>
      <c r="X171" s="373"/>
      <c r="Y171" s="373"/>
      <c r="Z171" s="373"/>
      <c r="AA171" s="373"/>
      <c r="AB171" s="373"/>
      <c r="AC171" s="373"/>
      <c r="AD171" s="373"/>
      <c r="AE171" s="373"/>
      <c r="AF171" s="373"/>
      <c r="AG171" s="373"/>
    </row>
    <row r="172" spans="1:33" x14ac:dyDescent="0.25">
      <c r="A172" s="373"/>
      <c r="B172" s="373"/>
      <c r="C172" s="373"/>
      <c r="D172" s="373"/>
      <c r="E172" s="373"/>
      <c r="F172" s="373"/>
      <c r="G172" s="373"/>
      <c r="H172" s="373"/>
      <c r="I172" s="373"/>
      <c r="J172" s="373"/>
      <c r="K172" s="373"/>
      <c r="L172" s="373"/>
      <c r="M172" s="373"/>
      <c r="N172" s="373"/>
      <c r="O172" s="373"/>
      <c r="P172" s="373"/>
      <c r="Q172" s="373"/>
      <c r="R172" s="373"/>
      <c r="S172" s="373"/>
      <c r="T172" s="373"/>
      <c r="U172" s="373"/>
      <c r="V172" s="373"/>
      <c r="W172" s="373"/>
      <c r="X172" s="373"/>
      <c r="Y172" s="373"/>
      <c r="Z172" s="373"/>
      <c r="AA172" s="373"/>
      <c r="AB172" s="373"/>
      <c r="AC172" s="373"/>
      <c r="AD172" s="373"/>
      <c r="AE172" s="373"/>
      <c r="AF172" s="373"/>
      <c r="AG172" s="373"/>
    </row>
    <row r="173" spans="1:33" x14ac:dyDescent="0.25">
      <c r="A173" s="373"/>
      <c r="B173" s="373"/>
      <c r="C173" s="373"/>
      <c r="D173" s="373"/>
      <c r="E173" s="373"/>
      <c r="F173" s="373"/>
      <c r="G173" s="373"/>
      <c r="H173" s="373"/>
      <c r="I173" s="373"/>
      <c r="J173" s="373"/>
      <c r="K173" s="373"/>
      <c r="L173" s="373"/>
      <c r="M173" s="373"/>
      <c r="N173" s="373"/>
      <c r="O173" s="373"/>
      <c r="P173" s="373"/>
      <c r="Q173" s="373"/>
      <c r="R173" s="373"/>
      <c r="S173" s="373"/>
      <c r="T173" s="373"/>
      <c r="U173" s="373"/>
      <c r="V173" s="373"/>
      <c r="W173" s="373"/>
      <c r="X173" s="373"/>
      <c r="Y173" s="373"/>
      <c r="Z173" s="373"/>
      <c r="AA173" s="373"/>
      <c r="AB173" s="373"/>
      <c r="AC173" s="373"/>
      <c r="AD173" s="373"/>
      <c r="AE173" s="373"/>
      <c r="AF173" s="373"/>
      <c r="AG173" s="373"/>
    </row>
    <row r="174" spans="1:33" x14ac:dyDescent="0.25">
      <c r="A174" s="373"/>
      <c r="B174" s="373"/>
      <c r="C174" s="373"/>
      <c r="D174" s="373"/>
      <c r="E174" s="373"/>
      <c r="F174" s="373"/>
      <c r="G174" s="373"/>
      <c r="H174" s="373"/>
      <c r="I174" s="373"/>
      <c r="J174" s="373"/>
      <c r="K174" s="373"/>
      <c r="L174" s="373"/>
      <c r="M174" s="373"/>
      <c r="N174" s="373"/>
      <c r="O174" s="373"/>
      <c r="P174" s="373"/>
      <c r="Q174" s="373"/>
      <c r="R174" s="373"/>
      <c r="S174" s="373"/>
      <c r="T174" s="373"/>
      <c r="U174" s="373"/>
      <c r="V174" s="373"/>
      <c r="W174" s="373"/>
      <c r="X174" s="373"/>
      <c r="Y174" s="373"/>
      <c r="Z174" s="373"/>
      <c r="AA174" s="373"/>
      <c r="AB174" s="373"/>
      <c r="AC174" s="373"/>
      <c r="AD174" s="373"/>
      <c r="AE174" s="373"/>
      <c r="AF174" s="373"/>
      <c r="AG174" s="373"/>
    </row>
    <row r="175" spans="1:33" x14ac:dyDescent="0.25">
      <c r="A175" s="373"/>
      <c r="B175" s="373"/>
      <c r="C175" s="373"/>
      <c r="D175" s="373"/>
      <c r="E175" s="373"/>
      <c r="F175" s="373"/>
      <c r="G175" s="373"/>
      <c r="H175" s="373"/>
      <c r="I175" s="373"/>
      <c r="J175" s="373"/>
      <c r="K175" s="373"/>
      <c r="L175" s="373"/>
      <c r="M175" s="373"/>
      <c r="N175" s="373"/>
      <c r="O175" s="373"/>
      <c r="P175" s="373"/>
      <c r="Q175" s="373"/>
      <c r="R175" s="373"/>
      <c r="S175" s="373"/>
      <c r="T175" s="373"/>
      <c r="U175" s="373"/>
      <c r="V175" s="373"/>
      <c r="W175" s="373"/>
      <c r="X175" s="373"/>
      <c r="Y175" s="373"/>
      <c r="Z175" s="373"/>
      <c r="AA175" s="373"/>
      <c r="AB175" s="373"/>
      <c r="AC175" s="373"/>
      <c r="AD175" s="373"/>
      <c r="AE175" s="373"/>
      <c r="AF175" s="373"/>
      <c r="AG175" s="373"/>
    </row>
    <row r="176" spans="1:33" x14ac:dyDescent="0.25">
      <c r="A176" s="373"/>
      <c r="B176" s="373"/>
      <c r="C176" s="373"/>
      <c r="D176" s="373"/>
      <c r="E176" s="373"/>
      <c r="F176" s="373"/>
      <c r="G176" s="373"/>
      <c r="H176" s="373"/>
      <c r="I176" s="373"/>
      <c r="J176" s="373"/>
      <c r="K176" s="373"/>
      <c r="L176" s="373"/>
      <c r="M176" s="373"/>
      <c r="N176" s="373"/>
      <c r="O176" s="373"/>
      <c r="P176" s="373"/>
      <c r="Q176" s="373"/>
      <c r="R176" s="373"/>
      <c r="S176" s="373"/>
      <c r="T176" s="373"/>
      <c r="U176" s="373"/>
      <c r="V176" s="373"/>
      <c r="W176" s="373"/>
      <c r="X176" s="373"/>
      <c r="Y176" s="373"/>
      <c r="Z176" s="373"/>
      <c r="AA176" s="373"/>
      <c r="AB176" s="373"/>
      <c r="AC176" s="373"/>
      <c r="AD176" s="373"/>
      <c r="AE176" s="373"/>
      <c r="AF176" s="373"/>
      <c r="AG176" s="373"/>
    </row>
    <row r="177" spans="1:33" x14ac:dyDescent="0.25">
      <c r="A177" s="373"/>
      <c r="B177" s="373"/>
      <c r="C177" s="373"/>
      <c r="D177" s="373"/>
      <c r="E177" s="373"/>
      <c r="F177" s="373"/>
      <c r="G177" s="373"/>
      <c r="H177" s="373"/>
      <c r="I177" s="373"/>
      <c r="J177" s="373"/>
      <c r="K177" s="373"/>
      <c r="L177" s="373"/>
      <c r="M177" s="373"/>
      <c r="N177" s="373"/>
      <c r="O177" s="373"/>
      <c r="P177" s="373"/>
      <c r="Q177" s="373"/>
      <c r="R177" s="373"/>
      <c r="S177" s="373"/>
      <c r="T177" s="373"/>
      <c r="U177" s="373"/>
      <c r="V177" s="373"/>
      <c r="W177" s="373"/>
      <c r="X177" s="373"/>
      <c r="Y177" s="373"/>
      <c r="Z177" s="373"/>
      <c r="AA177" s="373"/>
      <c r="AB177" s="373"/>
      <c r="AC177" s="373"/>
      <c r="AD177" s="373"/>
      <c r="AE177" s="373"/>
      <c r="AF177" s="373"/>
      <c r="AG177" s="373"/>
    </row>
    <row r="178" spans="1:33" x14ac:dyDescent="0.25">
      <c r="A178" s="373"/>
      <c r="B178" s="373"/>
      <c r="C178" s="373"/>
      <c r="D178" s="373"/>
      <c r="E178" s="373"/>
      <c r="F178" s="373"/>
      <c r="G178" s="373"/>
      <c r="H178" s="373"/>
      <c r="I178" s="373"/>
      <c r="J178" s="373"/>
      <c r="K178" s="373"/>
      <c r="L178" s="373"/>
      <c r="M178" s="373"/>
      <c r="N178" s="373"/>
      <c r="O178" s="373"/>
      <c r="P178" s="373"/>
      <c r="Q178" s="373"/>
      <c r="R178" s="373"/>
      <c r="S178" s="373"/>
      <c r="T178" s="373"/>
      <c r="U178" s="373"/>
      <c r="V178" s="373"/>
      <c r="W178" s="373"/>
      <c r="X178" s="373"/>
      <c r="Y178" s="373"/>
      <c r="Z178" s="373"/>
      <c r="AA178" s="373"/>
      <c r="AB178" s="373"/>
      <c r="AC178" s="373"/>
      <c r="AD178" s="373"/>
      <c r="AE178" s="373"/>
      <c r="AF178" s="373"/>
      <c r="AG178" s="373"/>
    </row>
    <row r="179" spans="1:33" x14ac:dyDescent="0.25">
      <c r="A179" s="373"/>
      <c r="B179" s="373"/>
      <c r="C179" s="373"/>
      <c r="D179" s="373"/>
      <c r="E179" s="373"/>
      <c r="F179" s="373"/>
      <c r="G179" s="373"/>
      <c r="H179" s="373"/>
      <c r="I179" s="373"/>
      <c r="J179" s="373"/>
      <c r="K179" s="373"/>
      <c r="L179" s="373"/>
      <c r="M179" s="373"/>
      <c r="N179" s="373"/>
      <c r="O179" s="373"/>
      <c r="P179" s="373"/>
      <c r="Q179" s="373"/>
      <c r="R179" s="373"/>
      <c r="S179" s="373"/>
      <c r="T179" s="373"/>
      <c r="U179" s="373"/>
      <c r="V179" s="373"/>
      <c r="W179" s="373"/>
      <c r="X179" s="373"/>
      <c r="Y179" s="373"/>
      <c r="Z179" s="373"/>
      <c r="AA179" s="373"/>
      <c r="AB179" s="373"/>
      <c r="AC179" s="373"/>
      <c r="AD179" s="373"/>
      <c r="AE179" s="373"/>
      <c r="AF179" s="373"/>
      <c r="AG179" s="373"/>
    </row>
    <row r="180" spans="1:33" x14ac:dyDescent="0.25">
      <c r="A180" s="373"/>
      <c r="B180" s="373"/>
      <c r="C180" s="373"/>
      <c r="D180" s="373"/>
      <c r="E180" s="373"/>
      <c r="F180" s="373"/>
      <c r="G180" s="373"/>
      <c r="H180" s="373"/>
      <c r="I180" s="373"/>
      <c r="J180" s="373"/>
      <c r="K180" s="373"/>
      <c r="L180" s="373"/>
      <c r="M180" s="373"/>
      <c r="N180" s="373"/>
      <c r="O180" s="373"/>
      <c r="P180" s="373"/>
      <c r="Q180" s="373"/>
      <c r="R180" s="373"/>
      <c r="S180" s="373"/>
      <c r="T180" s="373"/>
      <c r="U180" s="373"/>
      <c r="V180" s="373"/>
      <c r="W180" s="373"/>
      <c r="X180" s="373"/>
      <c r="Y180" s="373"/>
      <c r="Z180" s="373"/>
      <c r="AA180" s="373"/>
      <c r="AB180" s="373"/>
      <c r="AC180" s="373"/>
      <c r="AD180" s="373"/>
      <c r="AE180" s="373"/>
      <c r="AF180" s="373"/>
      <c r="AG180" s="373"/>
    </row>
    <row r="181" spans="1:33" x14ac:dyDescent="0.25">
      <c r="A181" s="373"/>
      <c r="B181" s="373"/>
      <c r="C181" s="373"/>
      <c r="D181" s="373"/>
      <c r="E181" s="373"/>
      <c r="F181" s="373"/>
      <c r="G181" s="373"/>
      <c r="H181" s="373"/>
      <c r="I181" s="373"/>
      <c r="J181" s="373"/>
      <c r="K181" s="373"/>
      <c r="L181" s="373"/>
      <c r="M181" s="373"/>
      <c r="N181" s="373"/>
      <c r="O181" s="373"/>
      <c r="P181" s="373"/>
      <c r="Q181" s="373"/>
      <c r="R181" s="373"/>
      <c r="S181" s="373"/>
      <c r="T181" s="373"/>
      <c r="U181" s="373"/>
      <c r="V181" s="373"/>
      <c r="W181" s="373"/>
      <c r="X181" s="373"/>
      <c r="Y181" s="373"/>
      <c r="Z181" s="373"/>
      <c r="AA181" s="373"/>
      <c r="AB181" s="373"/>
      <c r="AC181" s="373"/>
      <c r="AD181" s="373"/>
      <c r="AE181" s="373"/>
      <c r="AF181" s="373"/>
      <c r="AG181" s="373"/>
    </row>
    <row r="182" spans="1:33" x14ac:dyDescent="0.25">
      <c r="A182" s="373"/>
      <c r="B182" s="373"/>
      <c r="C182" s="373"/>
      <c r="D182" s="373"/>
      <c r="E182" s="373"/>
      <c r="F182" s="373"/>
      <c r="G182" s="373"/>
      <c r="H182" s="373"/>
      <c r="I182" s="373"/>
      <c r="J182" s="373"/>
      <c r="K182" s="373"/>
      <c r="L182" s="373"/>
      <c r="M182" s="373"/>
      <c r="N182" s="373"/>
      <c r="O182" s="373"/>
      <c r="P182" s="373"/>
      <c r="Q182" s="373"/>
      <c r="R182" s="373"/>
      <c r="S182" s="373"/>
      <c r="T182" s="373"/>
      <c r="U182" s="373"/>
      <c r="V182" s="373"/>
      <c r="W182" s="373"/>
      <c r="X182" s="373"/>
      <c r="Y182" s="373"/>
      <c r="Z182" s="373"/>
      <c r="AA182" s="373"/>
      <c r="AB182" s="373"/>
      <c r="AC182" s="373"/>
      <c r="AD182" s="373"/>
      <c r="AE182" s="373"/>
      <c r="AF182" s="373"/>
      <c r="AG182" s="373"/>
    </row>
    <row r="183" spans="1:33" x14ac:dyDescent="0.25">
      <c r="A183" s="373"/>
      <c r="B183" s="373"/>
      <c r="C183" s="373"/>
      <c r="D183" s="373"/>
      <c r="E183" s="373"/>
      <c r="F183" s="373"/>
      <c r="G183" s="373"/>
      <c r="H183" s="373"/>
      <c r="I183" s="373"/>
      <c r="J183" s="373"/>
      <c r="K183" s="373"/>
      <c r="L183" s="373"/>
      <c r="M183" s="373"/>
      <c r="N183" s="373"/>
      <c r="O183" s="373"/>
      <c r="P183" s="373"/>
      <c r="Q183" s="373"/>
      <c r="R183" s="373"/>
      <c r="S183" s="373"/>
      <c r="T183" s="373"/>
      <c r="U183" s="373"/>
      <c r="V183" s="373"/>
      <c r="W183" s="373"/>
      <c r="X183" s="373"/>
      <c r="Y183" s="373"/>
      <c r="Z183" s="373"/>
      <c r="AA183" s="373"/>
      <c r="AB183" s="373"/>
      <c r="AC183" s="373"/>
      <c r="AD183" s="373"/>
      <c r="AE183" s="373"/>
      <c r="AF183" s="373"/>
      <c r="AG183" s="373"/>
    </row>
    <row r="184" spans="1:33" x14ac:dyDescent="0.25">
      <c r="A184" s="373"/>
      <c r="B184" s="373"/>
      <c r="C184" s="373"/>
      <c r="D184" s="373"/>
      <c r="E184" s="373"/>
      <c r="F184" s="373"/>
      <c r="G184" s="373"/>
      <c r="H184" s="373"/>
      <c r="I184" s="373"/>
      <c r="J184" s="373"/>
      <c r="K184" s="373"/>
      <c r="L184" s="373"/>
      <c r="M184" s="373"/>
      <c r="N184" s="373"/>
      <c r="O184" s="373"/>
      <c r="P184" s="373"/>
      <c r="Q184" s="373"/>
      <c r="R184" s="373"/>
      <c r="S184" s="373"/>
      <c r="T184" s="373"/>
      <c r="U184" s="373"/>
      <c r="V184" s="373"/>
      <c r="W184" s="373"/>
      <c r="X184" s="373"/>
      <c r="Y184" s="373"/>
      <c r="Z184" s="373"/>
      <c r="AA184" s="373"/>
      <c r="AB184" s="373"/>
      <c r="AC184" s="373"/>
      <c r="AD184" s="373"/>
      <c r="AE184" s="373"/>
      <c r="AF184" s="373"/>
      <c r="AG184" s="373"/>
    </row>
    <row r="185" spans="1:33" x14ac:dyDescent="0.25">
      <c r="A185" s="373"/>
      <c r="B185" s="373"/>
      <c r="C185" s="373"/>
      <c r="D185" s="373"/>
      <c r="E185" s="373"/>
      <c r="F185" s="373"/>
      <c r="G185" s="373"/>
      <c r="H185" s="373"/>
      <c r="I185" s="373"/>
      <c r="J185" s="373"/>
      <c r="K185" s="373"/>
      <c r="L185" s="373"/>
      <c r="M185" s="373"/>
      <c r="N185" s="373"/>
      <c r="O185" s="373"/>
      <c r="P185" s="373"/>
      <c r="Q185" s="373"/>
      <c r="R185" s="373"/>
      <c r="S185" s="373"/>
      <c r="T185" s="373"/>
      <c r="U185" s="373"/>
      <c r="V185" s="373"/>
      <c r="W185" s="373"/>
      <c r="X185" s="373"/>
      <c r="Y185" s="373"/>
      <c r="Z185" s="373"/>
      <c r="AA185" s="373"/>
      <c r="AB185" s="373"/>
      <c r="AC185" s="373"/>
      <c r="AD185" s="373"/>
      <c r="AE185" s="373"/>
      <c r="AF185" s="373"/>
      <c r="AG185" s="373"/>
    </row>
    <row r="186" spans="1:33" x14ac:dyDescent="0.25">
      <c r="A186" s="373"/>
      <c r="B186" s="373"/>
      <c r="C186" s="373"/>
      <c r="D186" s="373"/>
      <c r="E186" s="373"/>
      <c r="F186" s="373"/>
      <c r="G186" s="373"/>
      <c r="H186" s="373"/>
      <c r="I186" s="373"/>
      <c r="J186" s="373"/>
      <c r="K186" s="373"/>
      <c r="L186" s="373"/>
      <c r="M186" s="373"/>
      <c r="N186" s="373"/>
      <c r="O186" s="373"/>
      <c r="P186" s="373"/>
      <c r="Q186" s="373"/>
      <c r="R186" s="373"/>
      <c r="S186" s="373"/>
      <c r="T186" s="373"/>
      <c r="U186" s="373"/>
      <c r="V186" s="373"/>
      <c r="W186" s="373"/>
      <c r="X186" s="373"/>
      <c r="Y186" s="373"/>
      <c r="Z186" s="373"/>
      <c r="AA186" s="373"/>
      <c r="AB186" s="373"/>
      <c r="AC186" s="373"/>
      <c r="AD186" s="373"/>
      <c r="AE186" s="373"/>
      <c r="AF186" s="373"/>
      <c r="AG186" s="373"/>
    </row>
    <row r="187" spans="1:33" x14ac:dyDescent="0.25">
      <c r="A187" s="373"/>
      <c r="B187" s="373"/>
      <c r="C187" s="373"/>
      <c r="D187" s="373"/>
      <c r="E187" s="373"/>
      <c r="F187" s="373"/>
      <c r="G187" s="373"/>
      <c r="H187" s="373"/>
      <c r="I187" s="373"/>
      <c r="J187" s="373"/>
      <c r="K187" s="373"/>
      <c r="L187" s="373"/>
      <c r="M187" s="373"/>
      <c r="N187" s="373"/>
      <c r="O187" s="373"/>
      <c r="P187" s="373"/>
      <c r="Q187" s="373"/>
      <c r="R187" s="373"/>
      <c r="S187" s="373"/>
      <c r="T187" s="373"/>
      <c r="U187" s="373"/>
      <c r="V187" s="373"/>
      <c r="W187" s="373"/>
      <c r="X187" s="373"/>
      <c r="Y187" s="373"/>
      <c r="Z187" s="373"/>
      <c r="AA187" s="373"/>
      <c r="AB187" s="373"/>
      <c r="AC187" s="373"/>
      <c r="AD187" s="373"/>
      <c r="AE187" s="373"/>
      <c r="AF187" s="373"/>
      <c r="AG187" s="373"/>
    </row>
    <row r="188" spans="1:33" x14ac:dyDescent="0.25">
      <c r="A188" s="373"/>
      <c r="B188" s="373"/>
      <c r="C188" s="373"/>
      <c r="D188" s="373"/>
      <c r="E188" s="373"/>
      <c r="F188" s="373"/>
      <c r="G188" s="373"/>
      <c r="H188" s="373"/>
      <c r="I188" s="373"/>
      <c r="J188" s="373"/>
      <c r="K188" s="373"/>
      <c r="L188" s="373"/>
      <c r="M188" s="373"/>
      <c r="N188" s="373"/>
      <c r="O188" s="373"/>
      <c r="P188" s="373"/>
      <c r="Q188" s="373"/>
      <c r="R188" s="373"/>
      <c r="S188" s="373"/>
      <c r="T188" s="373"/>
      <c r="U188" s="373"/>
      <c r="V188" s="373"/>
      <c r="W188" s="373"/>
      <c r="X188" s="373"/>
      <c r="Y188" s="373"/>
      <c r="Z188" s="373"/>
      <c r="AA188" s="373"/>
      <c r="AB188" s="373"/>
      <c r="AC188" s="373"/>
      <c r="AD188" s="373"/>
      <c r="AE188" s="373"/>
      <c r="AF188" s="373"/>
      <c r="AG188" s="373"/>
    </row>
    <row r="189" spans="1:33" x14ac:dyDescent="0.25">
      <c r="A189" s="373"/>
      <c r="B189" s="373"/>
      <c r="C189" s="373"/>
      <c r="D189" s="373"/>
      <c r="E189" s="373"/>
      <c r="F189" s="373"/>
      <c r="G189" s="373"/>
      <c r="H189" s="373"/>
      <c r="I189" s="373"/>
      <c r="J189" s="373"/>
      <c r="K189" s="373"/>
      <c r="L189" s="373"/>
      <c r="M189" s="373"/>
      <c r="N189" s="373"/>
      <c r="O189" s="373"/>
      <c r="P189" s="373"/>
      <c r="Q189" s="373"/>
      <c r="R189" s="373"/>
      <c r="S189" s="373"/>
      <c r="T189" s="373"/>
      <c r="U189" s="373"/>
      <c r="V189" s="373"/>
      <c r="W189" s="373"/>
      <c r="X189" s="373"/>
      <c r="Y189" s="373"/>
      <c r="Z189" s="373"/>
      <c r="AA189" s="373"/>
      <c r="AB189" s="373"/>
      <c r="AC189" s="373"/>
      <c r="AD189" s="373"/>
      <c r="AE189" s="373"/>
      <c r="AF189" s="373"/>
      <c r="AG189" s="373"/>
    </row>
    <row r="190" spans="1:33" x14ac:dyDescent="0.25">
      <c r="A190" s="373"/>
      <c r="B190" s="373"/>
      <c r="C190" s="373"/>
      <c r="D190" s="373"/>
      <c r="E190" s="373"/>
      <c r="F190" s="373"/>
      <c r="G190" s="373"/>
      <c r="H190" s="373"/>
      <c r="I190" s="373"/>
      <c r="J190" s="373"/>
      <c r="K190" s="373"/>
      <c r="L190" s="373"/>
      <c r="M190" s="373"/>
      <c r="N190" s="373"/>
      <c r="O190" s="373"/>
      <c r="P190" s="373"/>
      <c r="Q190" s="373"/>
      <c r="R190" s="373"/>
      <c r="S190" s="373"/>
      <c r="T190" s="373"/>
      <c r="U190" s="373"/>
      <c r="V190" s="373"/>
      <c r="W190" s="373"/>
      <c r="X190" s="373"/>
      <c r="Y190" s="373"/>
      <c r="Z190" s="373"/>
      <c r="AA190" s="373"/>
      <c r="AB190" s="373"/>
      <c r="AC190" s="373"/>
      <c r="AD190" s="373"/>
      <c r="AE190" s="373"/>
      <c r="AF190" s="373"/>
      <c r="AG190" s="373"/>
    </row>
    <row r="191" spans="1:33" x14ac:dyDescent="0.25">
      <c r="A191" s="373"/>
      <c r="B191" s="373"/>
      <c r="C191" s="373"/>
      <c r="D191" s="373"/>
      <c r="E191" s="373"/>
      <c r="F191" s="373"/>
      <c r="G191" s="373"/>
      <c r="H191" s="373"/>
      <c r="I191" s="373"/>
      <c r="J191" s="373"/>
      <c r="K191" s="373"/>
      <c r="L191" s="373"/>
      <c r="M191" s="373"/>
      <c r="N191" s="373"/>
      <c r="O191" s="373"/>
      <c r="P191" s="373"/>
      <c r="Q191" s="373"/>
      <c r="R191" s="373"/>
      <c r="S191" s="373"/>
      <c r="T191" s="373"/>
      <c r="U191" s="373"/>
      <c r="V191" s="373"/>
      <c r="W191" s="373"/>
      <c r="X191" s="373"/>
      <c r="Y191" s="373"/>
      <c r="Z191" s="373"/>
      <c r="AA191" s="373"/>
      <c r="AB191" s="373"/>
      <c r="AC191" s="373"/>
      <c r="AD191" s="373"/>
      <c r="AE191" s="373"/>
      <c r="AF191" s="373"/>
      <c r="AG191" s="373"/>
    </row>
    <row r="192" spans="1:33" x14ac:dyDescent="0.25">
      <c r="A192" s="373"/>
      <c r="B192" s="373"/>
      <c r="C192" s="373"/>
      <c r="D192" s="373"/>
      <c r="E192" s="373"/>
      <c r="F192" s="373"/>
      <c r="G192" s="373"/>
      <c r="H192" s="373"/>
      <c r="I192" s="373"/>
      <c r="J192" s="373"/>
      <c r="K192" s="373"/>
      <c r="L192" s="373"/>
      <c r="M192" s="373"/>
      <c r="N192" s="373"/>
      <c r="O192" s="373"/>
      <c r="P192" s="373"/>
      <c r="Q192" s="373"/>
      <c r="R192" s="373"/>
      <c r="S192" s="373"/>
      <c r="T192" s="373"/>
      <c r="U192" s="373"/>
      <c r="V192" s="373"/>
      <c r="W192" s="373"/>
      <c r="X192" s="373"/>
      <c r="Y192" s="373"/>
      <c r="Z192" s="373"/>
      <c r="AA192" s="373"/>
      <c r="AB192" s="373"/>
      <c r="AC192" s="373"/>
      <c r="AD192" s="373"/>
      <c r="AE192" s="373"/>
      <c r="AF192" s="373"/>
      <c r="AG192" s="373"/>
    </row>
    <row r="193" spans="1:33" x14ac:dyDescent="0.25">
      <c r="A193" s="373"/>
      <c r="B193" s="373"/>
      <c r="C193" s="373"/>
      <c r="D193" s="373"/>
      <c r="E193" s="373"/>
      <c r="F193" s="373"/>
      <c r="G193" s="373"/>
      <c r="H193" s="373"/>
      <c r="I193" s="373"/>
      <c r="J193" s="373"/>
      <c r="K193" s="373"/>
      <c r="L193" s="373"/>
      <c r="M193" s="373"/>
      <c r="N193" s="373"/>
      <c r="O193" s="373"/>
      <c r="P193" s="373"/>
      <c r="Q193" s="373"/>
      <c r="R193" s="373"/>
      <c r="S193" s="373"/>
      <c r="T193" s="373"/>
      <c r="U193" s="373"/>
      <c r="V193" s="373"/>
      <c r="W193" s="373"/>
      <c r="X193" s="373"/>
      <c r="Y193" s="373"/>
      <c r="Z193" s="373"/>
      <c r="AA193" s="373"/>
      <c r="AB193" s="373"/>
      <c r="AC193" s="373"/>
      <c r="AD193" s="373"/>
      <c r="AE193" s="373"/>
      <c r="AF193" s="373"/>
      <c r="AG193" s="373"/>
    </row>
    <row r="194" spans="1:33" x14ac:dyDescent="0.25">
      <c r="A194" s="373"/>
      <c r="B194" s="373"/>
      <c r="C194" s="373"/>
      <c r="D194" s="373"/>
      <c r="E194" s="373"/>
      <c r="F194" s="373"/>
      <c r="G194" s="373"/>
      <c r="H194" s="373"/>
      <c r="I194" s="373"/>
      <c r="J194" s="373"/>
      <c r="K194" s="373"/>
      <c r="L194" s="373"/>
      <c r="M194" s="373"/>
      <c r="N194" s="373"/>
      <c r="O194" s="373"/>
      <c r="P194" s="373"/>
      <c r="Q194" s="373"/>
      <c r="R194" s="373"/>
      <c r="S194" s="373"/>
      <c r="T194" s="373"/>
      <c r="U194" s="373"/>
      <c r="V194" s="373"/>
      <c r="W194" s="373"/>
      <c r="X194" s="373"/>
      <c r="Y194" s="373"/>
      <c r="Z194" s="373"/>
      <c r="AA194" s="373"/>
      <c r="AB194" s="373"/>
      <c r="AC194" s="373"/>
      <c r="AD194" s="373"/>
      <c r="AE194" s="373"/>
      <c r="AF194" s="373"/>
      <c r="AG194" s="373"/>
    </row>
    <row r="195" spans="1:33" x14ac:dyDescent="0.25">
      <c r="A195" s="373"/>
      <c r="B195" s="373"/>
      <c r="C195" s="373"/>
      <c r="D195" s="373"/>
      <c r="E195" s="373"/>
      <c r="F195" s="373"/>
      <c r="G195" s="373"/>
      <c r="H195" s="373"/>
      <c r="I195" s="373"/>
      <c r="J195" s="373"/>
      <c r="K195" s="373"/>
      <c r="L195" s="373"/>
      <c r="M195" s="373"/>
      <c r="N195" s="373"/>
      <c r="O195" s="373"/>
      <c r="P195" s="373"/>
      <c r="Q195" s="373"/>
      <c r="R195" s="373"/>
      <c r="S195" s="373"/>
      <c r="T195" s="373"/>
      <c r="U195" s="373"/>
      <c r="V195" s="373"/>
      <c r="W195" s="373"/>
      <c r="X195" s="373"/>
      <c r="Y195" s="373"/>
      <c r="Z195" s="373"/>
      <c r="AA195" s="373"/>
      <c r="AB195" s="373"/>
      <c r="AC195" s="373"/>
      <c r="AD195" s="373"/>
      <c r="AE195" s="373"/>
      <c r="AF195" s="373"/>
      <c r="AG195" s="373"/>
    </row>
    <row r="196" spans="1:33" x14ac:dyDescent="0.25">
      <c r="A196" s="373"/>
      <c r="B196" s="373"/>
      <c r="C196" s="373"/>
      <c r="D196" s="373"/>
      <c r="E196" s="373"/>
      <c r="F196" s="373"/>
      <c r="G196" s="373"/>
      <c r="H196" s="373"/>
      <c r="I196" s="373"/>
      <c r="J196" s="373"/>
      <c r="K196" s="373"/>
      <c r="L196" s="373"/>
      <c r="M196" s="373"/>
      <c r="N196" s="373"/>
      <c r="O196" s="373"/>
      <c r="P196" s="373"/>
      <c r="Q196" s="373"/>
      <c r="R196" s="373"/>
      <c r="S196" s="373"/>
      <c r="T196" s="373"/>
      <c r="U196" s="373"/>
      <c r="V196" s="373"/>
      <c r="W196" s="373"/>
      <c r="X196" s="373"/>
      <c r="Y196" s="373"/>
      <c r="Z196" s="373"/>
      <c r="AA196" s="373"/>
      <c r="AB196" s="373"/>
      <c r="AC196" s="373"/>
      <c r="AD196" s="373"/>
      <c r="AE196" s="373"/>
      <c r="AF196" s="373"/>
      <c r="AG196" s="373"/>
    </row>
    <row r="197" spans="1:33" x14ac:dyDescent="0.25">
      <c r="A197" s="373"/>
      <c r="B197" s="373"/>
      <c r="C197" s="373"/>
      <c r="D197" s="373"/>
      <c r="E197" s="373"/>
      <c r="F197" s="373"/>
      <c r="G197" s="373"/>
      <c r="H197" s="373"/>
      <c r="I197" s="373"/>
      <c r="J197" s="373"/>
      <c r="K197" s="373"/>
      <c r="L197" s="373"/>
      <c r="M197" s="373"/>
      <c r="N197" s="373"/>
      <c r="O197" s="373"/>
      <c r="P197" s="373"/>
      <c r="Q197" s="373"/>
      <c r="R197" s="373"/>
      <c r="S197" s="373"/>
      <c r="T197" s="373"/>
      <c r="U197" s="373"/>
      <c r="V197" s="373"/>
      <c r="W197" s="373"/>
      <c r="X197" s="373"/>
      <c r="Y197" s="373"/>
      <c r="Z197" s="373"/>
      <c r="AA197" s="373"/>
      <c r="AB197" s="373"/>
      <c r="AC197" s="373"/>
      <c r="AD197" s="373"/>
      <c r="AE197" s="373"/>
      <c r="AF197" s="373"/>
      <c r="AG197" s="373"/>
    </row>
    <row r="198" spans="1:33" x14ac:dyDescent="0.25">
      <c r="A198" s="373"/>
      <c r="B198" s="373"/>
      <c r="C198" s="373"/>
      <c r="D198" s="373"/>
      <c r="E198" s="373"/>
      <c r="F198" s="373"/>
      <c r="G198" s="373"/>
      <c r="H198" s="373"/>
      <c r="I198" s="373"/>
      <c r="J198" s="373"/>
      <c r="K198" s="373"/>
      <c r="L198" s="373"/>
      <c r="M198" s="373"/>
      <c r="N198" s="373"/>
      <c r="O198" s="373"/>
      <c r="P198" s="373"/>
      <c r="Q198" s="373"/>
      <c r="R198" s="373"/>
      <c r="S198" s="373"/>
      <c r="T198" s="373"/>
      <c r="U198" s="373"/>
      <c r="V198" s="373"/>
      <c r="W198" s="373"/>
      <c r="X198" s="373"/>
      <c r="Y198" s="373"/>
      <c r="Z198" s="373"/>
      <c r="AA198" s="373"/>
      <c r="AB198" s="373"/>
      <c r="AC198" s="373"/>
      <c r="AD198" s="373"/>
      <c r="AE198" s="373"/>
      <c r="AF198" s="373"/>
      <c r="AG198" s="373"/>
    </row>
    <row r="199" spans="1:33" x14ac:dyDescent="0.25">
      <c r="A199" s="373"/>
      <c r="B199" s="373"/>
      <c r="C199" s="373"/>
      <c r="D199" s="373"/>
      <c r="E199" s="373"/>
      <c r="F199" s="373"/>
      <c r="G199" s="373"/>
      <c r="H199" s="373"/>
      <c r="I199" s="373"/>
      <c r="J199" s="373"/>
      <c r="K199" s="373"/>
      <c r="L199" s="373"/>
      <c r="M199" s="373"/>
      <c r="N199" s="373"/>
      <c r="O199" s="373"/>
      <c r="P199" s="373"/>
      <c r="Q199" s="373"/>
      <c r="R199" s="373"/>
      <c r="S199" s="373"/>
      <c r="T199" s="373"/>
      <c r="U199" s="373"/>
      <c r="V199" s="373"/>
      <c r="W199" s="373"/>
      <c r="X199" s="373"/>
      <c r="Y199" s="373"/>
      <c r="Z199" s="373"/>
      <c r="AA199" s="373"/>
      <c r="AB199" s="373"/>
      <c r="AC199" s="373"/>
      <c r="AD199" s="373"/>
      <c r="AE199" s="373"/>
      <c r="AF199" s="373"/>
      <c r="AG199" s="373"/>
    </row>
    <row r="200" spans="1:33" x14ac:dyDescent="0.25">
      <c r="A200" s="373"/>
      <c r="B200" s="373"/>
      <c r="C200" s="373"/>
      <c r="D200" s="373"/>
      <c r="E200" s="373"/>
      <c r="F200" s="373"/>
      <c r="G200" s="373"/>
      <c r="H200" s="373"/>
      <c r="I200" s="373"/>
      <c r="J200" s="373"/>
      <c r="K200" s="373"/>
      <c r="L200" s="373"/>
      <c r="M200" s="373"/>
      <c r="N200" s="373"/>
      <c r="O200" s="373"/>
      <c r="P200" s="373"/>
      <c r="Q200" s="373"/>
      <c r="R200" s="373"/>
      <c r="S200" s="373"/>
      <c r="T200" s="373"/>
      <c r="U200" s="373"/>
      <c r="V200" s="373"/>
      <c r="W200" s="373"/>
      <c r="X200" s="373"/>
      <c r="Y200" s="373"/>
      <c r="Z200" s="373"/>
      <c r="AA200" s="373"/>
      <c r="AB200" s="373"/>
      <c r="AC200" s="373"/>
      <c r="AD200" s="373"/>
      <c r="AE200" s="373"/>
      <c r="AF200" s="373"/>
      <c r="AG200" s="373"/>
    </row>
    <row r="201" spans="1:33" x14ac:dyDescent="0.25">
      <c r="A201" s="373"/>
      <c r="B201" s="373"/>
      <c r="C201" s="373"/>
      <c r="D201" s="373"/>
      <c r="E201" s="373"/>
      <c r="F201" s="373"/>
      <c r="G201" s="373"/>
      <c r="H201" s="373"/>
      <c r="I201" s="373"/>
      <c r="J201" s="373"/>
      <c r="K201" s="373"/>
      <c r="L201" s="373"/>
      <c r="M201" s="373"/>
      <c r="N201" s="373"/>
      <c r="O201" s="373"/>
      <c r="P201" s="373"/>
      <c r="Q201" s="373"/>
      <c r="R201" s="373"/>
      <c r="S201" s="373"/>
      <c r="T201" s="373"/>
      <c r="U201" s="373"/>
      <c r="V201" s="373"/>
      <c r="W201" s="373"/>
      <c r="X201" s="373"/>
      <c r="Y201" s="373"/>
      <c r="Z201" s="373"/>
      <c r="AA201" s="373"/>
      <c r="AB201" s="373"/>
      <c r="AC201" s="373"/>
      <c r="AD201" s="373"/>
      <c r="AE201" s="373"/>
      <c r="AF201" s="373"/>
      <c r="AG201" s="373"/>
    </row>
    <row r="202" spans="1:33" x14ac:dyDescent="0.25">
      <c r="A202" s="373"/>
      <c r="B202" s="373"/>
      <c r="C202" s="373"/>
      <c r="D202" s="373"/>
      <c r="E202" s="373"/>
      <c r="F202" s="373"/>
      <c r="G202" s="373"/>
      <c r="H202" s="373"/>
      <c r="I202" s="373"/>
      <c r="J202" s="373"/>
      <c r="K202" s="373"/>
      <c r="L202" s="373"/>
      <c r="M202" s="373"/>
      <c r="N202" s="373"/>
      <c r="O202" s="373"/>
      <c r="P202" s="373"/>
      <c r="Q202" s="373"/>
      <c r="R202" s="373"/>
      <c r="S202" s="373"/>
      <c r="T202" s="373"/>
      <c r="U202" s="373"/>
      <c r="V202" s="373"/>
      <c r="W202" s="373"/>
      <c r="X202" s="373"/>
      <c r="Y202" s="373"/>
      <c r="Z202" s="373"/>
      <c r="AA202" s="373"/>
      <c r="AB202" s="373"/>
      <c r="AC202" s="373"/>
      <c r="AD202" s="373"/>
      <c r="AE202" s="373"/>
      <c r="AF202" s="373"/>
      <c r="AG202" s="373"/>
    </row>
    <row r="203" spans="1:33" x14ac:dyDescent="0.25">
      <c r="A203" s="373"/>
      <c r="B203" s="373"/>
      <c r="C203" s="373"/>
      <c r="D203" s="373"/>
      <c r="E203" s="373"/>
      <c r="F203" s="373"/>
      <c r="G203" s="373"/>
      <c r="H203" s="373"/>
      <c r="I203" s="373"/>
      <c r="J203" s="373"/>
      <c r="K203" s="373"/>
      <c r="L203" s="373"/>
      <c r="M203" s="373"/>
      <c r="N203" s="373"/>
      <c r="O203" s="373"/>
      <c r="P203" s="373"/>
      <c r="Q203" s="373"/>
      <c r="R203" s="373"/>
      <c r="S203" s="373"/>
      <c r="T203" s="373"/>
      <c r="U203" s="373"/>
      <c r="V203" s="373"/>
      <c r="W203" s="373"/>
      <c r="X203" s="373"/>
      <c r="Y203" s="373"/>
      <c r="Z203" s="373"/>
      <c r="AA203" s="373"/>
      <c r="AB203" s="373"/>
      <c r="AC203" s="373"/>
      <c r="AD203" s="373"/>
      <c r="AE203" s="373"/>
      <c r="AF203" s="373"/>
      <c r="AG203" s="373"/>
    </row>
    <row r="204" spans="1:33" x14ac:dyDescent="0.25">
      <c r="A204" s="373"/>
      <c r="B204" s="373"/>
      <c r="C204" s="373"/>
      <c r="D204" s="373"/>
      <c r="E204" s="373"/>
      <c r="F204" s="373"/>
      <c r="G204" s="373"/>
      <c r="H204" s="373"/>
      <c r="I204" s="373"/>
      <c r="J204" s="373"/>
      <c r="K204" s="373"/>
      <c r="L204" s="373"/>
      <c r="M204" s="373"/>
      <c r="N204" s="373"/>
      <c r="O204" s="373"/>
      <c r="P204" s="373"/>
      <c r="Q204" s="373"/>
      <c r="R204" s="373"/>
      <c r="S204" s="373"/>
      <c r="T204" s="373"/>
      <c r="U204" s="373"/>
      <c r="V204" s="373"/>
      <c r="W204" s="373"/>
      <c r="X204" s="373"/>
      <c r="Y204" s="373"/>
      <c r="Z204" s="373"/>
      <c r="AA204" s="373"/>
      <c r="AB204" s="373"/>
      <c r="AC204" s="373"/>
      <c r="AD204" s="373"/>
      <c r="AE204" s="373"/>
      <c r="AF204" s="373"/>
      <c r="AG204" s="373"/>
    </row>
    <row r="205" spans="1:33" x14ac:dyDescent="0.25">
      <c r="A205" s="373"/>
      <c r="B205" s="373"/>
      <c r="C205" s="373"/>
      <c r="D205" s="373"/>
      <c r="E205" s="373"/>
      <c r="F205" s="373"/>
      <c r="G205" s="373"/>
      <c r="H205" s="373"/>
      <c r="I205" s="373"/>
      <c r="J205" s="373"/>
      <c r="K205" s="373"/>
      <c r="L205" s="373"/>
      <c r="M205" s="373"/>
      <c r="N205" s="373"/>
      <c r="O205" s="373"/>
      <c r="P205" s="373"/>
      <c r="Q205" s="373"/>
      <c r="R205" s="373"/>
      <c r="S205" s="373"/>
      <c r="T205" s="373"/>
      <c r="U205" s="373"/>
      <c r="V205" s="373"/>
      <c r="W205" s="373"/>
      <c r="X205" s="373"/>
      <c r="Y205" s="373"/>
      <c r="Z205" s="373"/>
      <c r="AA205" s="373"/>
      <c r="AB205" s="373"/>
      <c r="AC205" s="373"/>
      <c r="AD205" s="373"/>
      <c r="AE205" s="373"/>
      <c r="AF205" s="373"/>
      <c r="AG205" s="373"/>
    </row>
    <row r="206" spans="1:33" x14ac:dyDescent="0.25">
      <c r="A206" s="373"/>
      <c r="B206" s="373"/>
      <c r="C206" s="373"/>
      <c r="D206" s="373"/>
      <c r="E206" s="373"/>
      <c r="F206" s="373"/>
      <c r="G206" s="373"/>
      <c r="H206" s="373"/>
      <c r="I206" s="373"/>
      <c r="J206" s="373"/>
      <c r="K206" s="373"/>
      <c r="L206" s="373"/>
      <c r="M206" s="373"/>
      <c r="N206" s="373"/>
      <c r="O206" s="373"/>
      <c r="P206" s="373"/>
      <c r="Q206" s="373"/>
      <c r="R206" s="373"/>
      <c r="S206" s="373"/>
      <c r="T206" s="373"/>
      <c r="U206" s="373"/>
      <c r="V206" s="373"/>
      <c r="W206" s="373"/>
      <c r="X206" s="373"/>
      <c r="Y206" s="373"/>
      <c r="Z206" s="373"/>
      <c r="AA206" s="373"/>
      <c r="AB206" s="373"/>
      <c r="AC206" s="373"/>
      <c r="AD206" s="373"/>
      <c r="AE206" s="373"/>
      <c r="AF206" s="373"/>
      <c r="AG206" s="373"/>
    </row>
    <row r="207" spans="1:33" x14ac:dyDescent="0.25">
      <c r="A207" s="373"/>
      <c r="B207" s="373"/>
      <c r="C207" s="373"/>
      <c r="D207" s="373"/>
      <c r="E207" s="373"/>
      <c r="F207" s="373"/>
      <c r="G207" s="373"/>
      <c r="H207" s="373"/>
      <c r="I207" s="373"/>
      <c r="J207" s="373"/>
      <c r="K207" s="373"/>
      <c r="L207" s="373"/>
      <c r="M207" s="373"/>
      <c r="N207" s="373"/>
      <c r="O207" s="373"/>
      <c r="P207" s="373"/>
      <c r="Q207" s="373"/>
      <c r="R207" s="373"/>
      <c r="S207" s="373"/>
      <c r="T207" s="373"/>
      <c r="U207" s="373"/>
      <c r="V207" s="373"/>
      <c r="W207" s="373"/>
      <c r="X207" s="373"/>
      <c r="Y207" s="373"/>
      <c r="Z207" s="373"/>
      <c r="AA207" s="373"/>
      <c r="AB207" s="373"/>
      <c r="AC207" s="373"/>
      <c r="AD207" s="373"/>
      <c r="AE207" s="373"/>
      <c r="AF207" s="373"/>
      <c r="AG207" s="373"/>
    </row>
    <row r="208" spans="1:33" x14ac:dyDescent="0.25">
      <c r="A208" s="373"/>
      <c r="B208" s="373"/>
      <c r="C208" s="373"/>
      <c r="D208" s="373"/>
      <c r="E208" s="373"/>
      <c r="F208" s="373"/>
      <c r="G208" s="373"/>
      <c r="H208" s="373"/>
      <c r="I208" s="373"/>
      <c r="J208" s="373"/>
      <c r="K208" s="373"/>
      <c r="L208" s="373"/>
      <c r="M208" s="373"/>
      <c r="N208" s="373"/>
      <c r="O208" s="373"/>
      <c r="P208" s="373"/>
      <c r="Q208" s="373"/>
      <c r="R208" s="373"/>
      <c r="S208" s="373"/>
      <c r="T208" s="373"/>
      <c r="U208" s="373"/>
      <c r="V208" s="373"/>
      <c r="W208" s="373"/>
      <c r="X208" s="373"/>
      <c r="Y208" s="373"/>
      <c r="Z208" s="373"/>
      <c r="AA208" s="373"/>
      <c r="AB208" s="373"/>
      <c r="AC208" s="373"/>
      <c r="AD208" s="373"/>
      <c r="AE208" s="373"/>
      <c r="AF208" s="373"/>
      <c r="AG208" s="373"/>
    </row>
    <row r="209" spans="1:33" x14ac:dyDescent="0.25">
      <c r="A209" s="373"/>
      <c r="B209" s="373"/>
      <c r="C209" s="373"/>
      <c r="D209" s="373"/>
      <c r="E209" s="373"/>
      <c r="F209" s="373"/>
      <c r="G209" s="373"/>
      <c r="H209" s="373"/>
      <c r="I209" s="373"/>
      <c r="J209" s="373"/>
      <c r="K209" s="373"/>
      <c r="L209" s="373"/>
      <c r="M209" s="373"/>
      <c r="N209" s="373"/>
      <c r="O209" s="373"/>
      <c r="P209" s="373"/>
      <c r="Q209" s="373"/>
      <c r="R209" s="373"/>
      <c r="S209" s="373"/>
      <c r="T209" s="373"/>
      <c r="U209" s="373"/>
      <c r="V209" s="373"/>
      <c r="W209" s="373"/>
      <c r="X209" s="373"/>
      <c r="Y209" s="373"/>
      <c r="Z209" s="373"/>
      <c r="AA209" s="373"/>
      <c r="AB209" s="373"/>
      <c r="AC209" s="373"/>
      <c r="AD209" s="373"/>
      <c r="AE209" s="373"/>
      <c r="AF209" s="373"/>
      <c r="AG209" s="373"/>
    </row>
    <row r="210" spans="1:33" x14ac:dyDescent="0.25">
      <c r="A210" s="373"/>
      <c r="B210" s="373"/>
      <c r="C210" s="373"/>
      <c r="D210" s="373"/>
      <c r="E210" s="373"/>
      <c r="F210" s="373"/>
      <c r="G210" s="373"/>
      <c r="H210" s="373"/>
      <c r="I210" s="373"/>
      <c r="J210" s="373"/>
      <c r="K210" s="373"/>
      <c r="L210" s="373"/>
      <c r="M210" s="373"/>
      <c r="N210" s="373"/>
      <c r="O210" s="373"/>
      <c r="P210" s="373"/>
      <c r="Q210" s="373"/>
      <c r="R210" s="373"/>
      <c r="S210" s="373"/>
      <c r="T210" s="373"/>
      <c r="U210" s="373"/>
      <c r="V210" s="373"/>
      <c r="W210" s="373"/>
      <c r="X210" s="373"/>
      <c r="Y210" s="373"/>
      <c r="Z210" s="373"/>
      <c r="AA210" s="373"/>
      <c r="AB210" s="373"/>
      <c r="AC210" s="373"/>
      <c r="AD210" s="373"/>
      <c r="AE210" s="373"/>
      <c r="AF210" s="373"/>
      <c r="AG210" s="373"/>
    </row>
    <row r="211" spans="1:33" x14ac:dyDescent="0.25">
      <c r="A211" s="373"/>
      <c r="B211" s="373"/>
      <c r="C211" s="373"/>
      <c r="D211" s="373"/>
      <c r="E211" s="373"/>
      <c r="F211" s="373"/>
      <c r="G211" s="373"/>
      <c r="H211" s="373"/>
      <c r="I211" s="373"/>
      <c r="J211" s="373"/>
      <c r="K211" s="373"/>
      <c r="L211" s="373"/>
      <c r="M211" s="373"/>
      <c r="N211" s="373"/>
      <c r="O211" s="373"/>
      <c r="P211" s="373"/>
      <c r="Q211" s="373"/>
      <c r="R211" s="373"/>
      <c r="S211" s="373"/>
      <c r="T211" s="373"/>
      <c r="U211" s="373"/>
      <c r="V211" s="373"/>
      <c r="W211" s="373"/>
      <c r="X211" s="373"/>
      <c r="Y211" s="373"/>
      <c r="Z211" s="373"/>
      <c r="AA211" s="373"/>
      <c r="AB211" s="373"/>
      <c r="AC211" s="373"/>
      <c r="AD211" s="373"/>
      <c r="AE211" s="373"/>
      <c r="AF211" s="373"/>
      <c r="AG211" s="373"/>
    </row>
    <row r="212" spans="1:33" x14ac:dyDescent="0.25">
      <c r="A212" s="373"/>
      <c r="B212" s="373"/>
      <c r="C212" s="373"/>
      <c r="D212" s="373"/>
      <c r="E212" s="373"/>
      <c r="F212" s="373"/>
      <c r="G212" s="373"/>
      <c r="H212" s="373"/>
      <c r="I212" s="373"/>
      <c r="J212" s="373"/>
      <c r="K212" s="373"/>
      <c r="L212" s="373"/>
      <c r="M212" s="373"/>
      <c r="N212" s="373"/>
      <c r="O212" s="373"/>
      <c r="P212" s="373"/>
      <c r="Q212" s="373"/>
      <c r="R212" s="373"/>
      <c r="S212" s="373"/>
      <c r="T212" s="373"/>
      <c r="U212" s="373"/>
      <c r="V212" s="373"/>
      <c r="W212" s="373"/>
      <c r="X212" s="373"/>
      <c r="Y212" s="373"/>
      <c r="Z212" s="373"/>
      <c r="AA212" s="373"/>
      <c r="AB212" s="373"/>
      <c r="AC212" s="373"/>
      <c r="AD212" s="373"/>
      <c r="AE212" s="373"/>
      <c r="AF212" s="373"/>
      <c r="AG212" s="373"/>
    </row>
    <row r="213" spans="1:33" x14ac:dyDescent="0.25">
      <c r="A213" s="373"/>
      <c r="B213" s="373"/>
      <c r="C213" s="373"/>
      <c r="D213" s="373"/>
      <c r="E213" s="373"/>
      <c r="F213" s="373"/>
      <c r="G213" s="373"/>
      <c r="H213" s="373"/>
      <c r="I213" s="373"/>
      <c r="J213" s="373"/>
      <c r="K213" s="373"/>
      <c r="L213" s="373"/>
      <c r="M213" s="373"/>
      <c r="N213" s="373"/>
      <c r="O213" s="373"/>
      <c r="P213" s="373"/>
      <c r="Q213" s="373"/>
      <c r="R213" s="373"/>
      <c r="S213" s="373"/>
      <c r="T213" s="373"/>
      <c r="U213" s="373"/>
      <c r="V213" s="373"/>
      <c r="W213" s="373"/>
      <c r="X213" s="373"/>
      <c r="Y213" s="373"/>
      <c r="Z213" s="373"/>
      <c r="AA213" s="373"/>
      <c r="AB213" s="373"/>
      <c r="AC213" s="373"/>
      <c r="AD213" s="373"/>
      <c r="AE213" s="373"/>
      <c r="AF213" s="373"/>
      <c r="AG213" s="373"/>
    </row>
    <row r="214" spans="1:33" x14ac:dyDescent="0.25">
      <c r="A214" s="373"/>
      <c r="B214" s="373"/>
      <c r="C214" s="373"/>
      <c r="D214" s="373"/>
      <c r="E214" s="373"/>
      <c r="F214" s="373"/>
      <c r="G214" s="373"/>
      <c r="H214" s="373"/>
      <c r="I214" s="373"/>
      <c r="J214" s="373"/>
      <c r="K214" s="373"/>
      <c r="L214" s="373"/>
      <c r="M214" s="373"/>
      <c r="N214" s="373"/>
      <c r="O214" s="373"/>
      <c r="P214" s="373"/>
      <c r="Q214" s="373"/>
      <c r="R214" s="373"/>
      <c r="S214" s="373"/>
      <c r="T214" s="373"/>
      <c r="U214" s="373"/>
      <c r="V214" s="373"/>
      <c r="W214" s="373"/>
      <c r="X214" s="373"/>
      <c r="Y214" s="373"/>
      <c r="Z214" s="373"/>
      <c r="AA214" s="373"/>
      <c r="AB214" s="373"/>
      <c r="AC214" s="373"/>
      <c r="AD214" s="373"/>
      <c r="AE214" s="373"/>
      <c r="AF214" s="373"/>
      <c r="AG214" s="373"/>
    </row>
    <row r="215" spans="1:33" x14ac:dyDescent="0.25">
      <c r="A215" s="373"/>
      <c r="B215" s="373"/>
      <c r="C215" s="373"/>
      <c r="D215" s="373"/>
      <c r="E215" s="373"/>
      <c r="F215" s="373"/>
      <c r="G215" s="373"/>
      <c r="H215" s="373"/>
      <c r="I215" s="373"/>
      <c r="J215" s="373"/>
      <c r="K215" s="373"/>
      <c r="L215" s="373"/>
      <c r="M215" s="373"/>
      <c r="N215" s="373"/>
      <c r="O215" s="373"/>
      <c r="P215" s="373"/>
      <c r="Q215" s="373"/>
      <c r="R215" s="373"/>
      <c r="S215" s="373"/>
      <c r="T215" s="373"/>
      <c r="U215" s="373"/>
      <c r="V215" s="373"/>
      <c r="W215" s="373"/>
      <c r="X215" s="373"/>
      <c r="Y215" s="373"/>
      <c r="Z215" s="373"/>
      <c r="AA215" s="373"/>
      <c r="AB215" s="373"/>
      <c r="AC215" s="373"/>
      <c r="AD215" s="373"/>
      <c r="AE215" s="373"/>
      <c r="AF215" s="373"/>
      <c r="AG215" s="373"/>
    </row>
    <row r="216" spans="1:33" x14ac:dyDescent="0.25">
      <c r="A216" s="373"/>
      <c r="B216" s="373"/>
      <c r="C216" s="373"/>
      <c r="D216" s="373"/>
      <c r="E216" s="373"/>
      <c r="F216" s="373"/>
      <c r="G216" s="373"/>
      <c r="H216" s="373"/>
      <c r="I216" s="373"/>
      <c r="J216" s="373"/>
      <c r="K216" s="373"/>
      <c r="L216" s="373"/>
      <c r="M216" s="373"/>
      <c r="N216" s="373"/>
      <c r="O216" s="373"/>
      <c r="P216" s="373"/>
      <c r="Q216" s="373"/>
      <c r="R216" s="373"/>
      <c r="S216" s="373"/>
      <c r="T216" s="373"/>
      <c r="U216" s="373"/>
      <c r="V216" s="373"/>
      <c r="W216" s="373"/>
      <c r="X216" s="373"/>
      <c r="Y216" s="373"/>
      <c r="Z216" s="373"/>
      <c r="AA216" s="373"/>
      <c r="AB216" s="373"/>
      <c r="AC216" s="373"/>
      <c r="AD216" s="373"/>
      <c r="AE216" s="373"/>
      <c r="AF216" s="373"/>
      <c r="AG216" s="373"/>
    </row>
    <row r="217" spans="1:33" x14ac:dyDescent="0.25">
      <c r="A217" s="373"/>
      <c r="B217" s="373"/>
      <c r="C217" s="373"/>
      <c r="D217" s="373"/>
      <c r="E217" s="373"/>
      <c r="F217" s="373"/>
      <c r="G217" s="373"/>
      <c r="H217" s="373"/>
      <c r="I217" s="373"/>
      <c r="J217" s="373"/>
      <c r="K217" s="373"/>
      <c r="L217" s="373"/>
      <c r="M217" s="373"/>
      <c r="N217" s="373"/>
      <c r="O217" s="373"/>
      <c r="P217" s="373"/>
      <c r="Q217" s="373"/>
      <c r="R217" s="373"/>
      <c r="S217" s="373"/>
      <c r="T217" s="373"/>
      <c r="U217" s="373"/>
      <c r="V217" s="373"/>
      <c r="W217" s="373"/>
      <c r="X217" s="373"/>
      <c r="Y217" s="373"/>
      <c r="Z217" s="373"/>
      <c r="AA217" s="373"/>
      <c r="AB217" s="373"/>
      <c r="AC217" s="373"/>
      <c r="AD217" s="373"/>
      <c r="AE217" s="373"/>
      <c r="AF217" s="373"/>
      <c r="AG217" s="373"/>
    </row>
    <row r="218" spans="1:33" x14ac:dyDescent="0.25">
      <c r="A218" s="373"/>
      <c r="B218" s="373"/>
      <c r="C218" s="373"/>
      <c r="D218" s="373"/>
      <c r="E218" s="373"/>
      <c r="F218" s="373"/>
      <c r="G218" s="373"/>
      <c r="H218" s="373"/>
      <c r="I218" s="373"/>
      <c r="J218" s="373"/>
      <c r="K218" s="373"/>
      <c r="L218" s="373"/>
      <c r="M218" s="373"/>
      <c r="N218" s="373"/>
      <c r="O218" s="373"/>
      <c r="P218" s="373"/>
      <c r="Q218" s="373"/>
      <c r="R218" s="373"/>
      <c r="S218" s="373"/>
      <c r="T218" s="373"/>
      <c r="U218" s="373"/>
      <c r="V218" s="373"/>
      <c r="W218" s="373"/>
      <c r="X218" s="373"/>
      <c r="Y218" s="373"/>
      <c r="Z218" s="373"/>
      <c r="AA218" s="373"/>
      <c r="AB218" s="373"/>
      <c r="AC218" s="373"/>
      <c r="AD218" s="373"/>
      <c r="AE218" s="373"/>
      <c r="AF218" s="373"/>
      <c r="AG218" s="373"/>
    </row>
    <row r="219" spans="1:33" x14ac:dyDescent="0.25">
      <c r="A219" s="373"/>
      <c r="B219" s="373"/>
      <c r="C219" s="373"/>
      <c r="D219" s="373"/>
      <c r="E219" s="373"/>
      <c r="F219" s="373"/>
      <c r="G219" s="373"/>
      <c r="H219" s="373"/>
      <c r="I219" s="373"/>
      <c r="J219" s="373"/>
      <c r="K219" s="373"/>
      <c r="L219" s="373"/>
      <c r="M219" s="373"/>
      <c r="N219" s="373"/>
      <c r="O219" s="373"/>
      <c r="P219" s="373"/>
      <c r="Q219" s="373"/>
      <c r="R219" s="373"/>
      <c r="S219" s="373"/>
      <c r="T219" s="373"/>
      <c r="U219" s="373"/>
      <c r="V219" s="373"/>
      <c r="W219" s="373"/>
      <c r="X219" s="373"/>
      <c r="Y219" s="373"/>
      <c r="Z219" s="373"/>
      <c r="AA219" s="373"/>
      <c r="AB219" s="373"/>
      <c r="AC219" s="373"/>
      <c r="AD219" s="373"/>
      <c r="AE219" s="373"/>
      <c r="AF219" s="373"/>
      <c r="AG219" s="373"/>
    </row>
    <row r="220" spans="1:33" x14ac:dyDescent="0.25">
      <c r="A220" s="373"/>
      <c r="B220" s="373"/>
      <c r="C220" s="373"/>
      <c r="D220" s="373"/>
      <c r="E220" s="373"/>
      <c r="F220" s="373"/>
      <c r="G220" s="373"/>
      <c r="H220" s="373"/>
      <c r="I220" s="373"/>
      <c r="J220" s="373"/>
      <c r="K220" s="373"/>
      <c r="L220" s="373"/>
      <c r="M220" s="373"/>
      <c r="N220" s="373"/>
      <c r="O220" s="373"/>
      <c r="P220" s="373"/>
      <c r="Q220" s="373"/>
      <c r="R220" s="373"/>
      <c r="S220" s="373"/>
      <c r="T220" s="373"/>
      <c r="U220" s="373"/>
      <c r="V220" s="373"/>
      <c r="W220" s="373"/>
      <c r="X220" s="373"/>
      <c r="Y220" s="373"/>
      <c r="Z220" s="373"/>
      <c r="AA220" s="373"/>
      <c r="AB220" s="373"/>
      <c r="AC220" s="373"/>
      <c r="AD220" s="373"/>
      <c r="AE220" s="373"/>
      <c r="AF220" s="373"/>
      <c r="AG220" s="373"/>
    </row>
    <row r="221" spans="1:33" x14ac:dyDescent="0.25">
      <c r="A221" s="373"/>
      <c r="B221" s="373"/>
      <c r="C221" s="373"/>
      <c r="D221" s="373"/>
      <c r="E221" s="373"/>
      <c r="F221" s="373"/>
      <c r="G221" s="373"/>
      <c r="H221" s="373"/>
      <c r="I221" s="373"/>
      <c r="J221" s="373"/>
      <c r="K221" s="373"/>
      <c r="L221" s="373"/>
      <c r="M221" s="373"/>
      <c r="N221" s="373"/>
      <c r="O221" s="373"/>
      <c r="P221" s="373"/>
      <c r="Q221" s="373"/>
      <c r="R221" s="373"/>
      <c r="S221" s="373"/>
      <c r="T221" s="373"/>
      <c r="U221" s="373"/>
      <c r="V221" s="373"/>
      <c r="W221" s="373"/>
      <c r="X221" s="373"/>
      <c r="Y221" s="373"/>
      <c r="Z221" s="373"/>
      <c r="AA221" s="373"/>
      <c r="AB221" s="373"/>
      <c r="AC221" s="373"/>
      <c r="AD221" s="373"/>
      <c r="AE221" s="373"/>
      <c r="AF221" s="373"/>
      <c r="AG221" s="373"/>
    </row>
    <row r="222" spans="1:33" x14ac:dyDescent="0.25">
      <c r="A222" s="373"/>
      <c r="B222" s="373"/>
      <c r="C222" s="373"/>
      <c r="D222" s="373"/>
      <c r="E222" s="373"/>
      <c r="F222" s="373"/>
      <c r="G222" s="373"/>
      <c r="H222" s="373"/>
      <c r="I222" s="373"/>
      <c r="J222" s="373"/>
      <c r="K222" s="373"/>
      <c r="L222" s="373"/>
      <c r="M222" s="373"/>
      <c r="N222" s="373"/>
      <c r="O222" s="373"/>
      <c r="P222" s="373"/>
      <c r="Q222" s="373"/>
      <c r="R222" s="373"/>
      <c r="S222" s="373"/>
      <c r="T222" s="373"/>
      <c r="U222" s="373"/>
      <c r="V222" s="373"/>
      <c r="W222" s="373"/>
      <c r="X222" s="373"/>
      <c r="Y222" s="373"/>
      <c r="Z222" s="373"/>
      <c r="AA222" s="373"/>
      <c r="AB222" s="373"/>
      <c r="AC222" s="373"/>
      <c r="AD222" s="373"/>
      <c r="AE222" s="373"/>
      <c r="AF222" s="373"/>
      <c r="AG222" s="373"/>
    </row>
    <row r="223" spans="1:33" x14ac:dyDescent="0.25">
      <c r="A223" s="373"/>
      <c r="B223" s="373"/>
      <c r="C223" s="373"/>
      <c r="D223" s="373"/>
      <c r="E223" s="373"/>
      <c r="F223" s="373"/>
      <c r="G223" s="373"/>
      <c r="H223" s="373"/>
      <c r="I223" s="373"/>
      <c r="J223" s="373"/>
      <c r="K223" s="373"/>
      <c r="L223" s="373"/>
      <c r="M223" s="373"/>
      <c r="N223" s="373"/>
      <c r="O223" s="373"/>
      <c r="P223" s="373"/>
      <c r="Q223" s="373"/>
      <c r="R223" s="373"/>
      <c r="S223" s="373"/>
      <c r="T223" s="373"/>
      <c r="U223" s="373"/>
      <c r="V223" s="373"/>
      <c r="W223" s="373"/>
      <c r="X223" s="373"/>
      <c r="Y223" s="373"/>
      <c r="Z223" s="373"/>
      <c r="AA223" s="373"/>
      <c r="AB223" s="373"/>
      <c r="AC223" s="373"/>
      <c r="AD223" s="373"/>
      <c r="AE223" s="373"/>
      <c r="AF223" s="373"/>
      <c r="AG223" s="373"/>
    </row>
    <row r="224" spans="1:33" x14ac:dyDescent="0.25">
      <c r="A224" s="373"/>
      <c r="B224" s="373"/>
      <c r="C224" s="373"/>
      <c r="D224" s="373"/>
      <c r="E224" s="373"/>
      <c r="F224" s="373"/>
      <c r="G224" s="373"/>
      <c r="H224" s="373"/>
      <c r="I224" s="373"/>
      <c r="J224" s="373"/>
      <c r="K224" s="373"/>
      <c r="L224" s="373"/>
      <c r="M224" s="373"/>
      <c r="N224" s="373"/>
      <c r="O224" s="373"/>
      <c r="P224" s="373"/>
      <c r="Q224" s="373"/>
      <c r="R224" s="373"/>
      <c r="S224" s="373"/>
      <c r="T224" s="373"/>
      <c r="U224" s="373"/>
      <c r="V224" s="373"/>
      <c r="W224" s="373"/>
      <c r="X224" s="373"/>
      <c r="Y224" s="373"/>
      <c r="Z224" s="373"/>
      <c r="AA224" s="373"/>
      <c r="AB224" s="373"/>
      <c r="AC224" s="373"/>
      <c r="AD224" s="373"/>
      <c r="AE224" s="373"/>
      <c r="AF224" s="373"/>
      <c r="AG224" s="373"/>
    </row>
    <row r="225" spans="1:33" x14ac:dyDescent="0.25">
      <c r="A225" s="373"/>
      <c r="B225" s="373"/>
      <c r="C225" s="373"/>
      <c r="D225" s="373"/>
      <c r="E225" s="373"/>
      <c r="F225" s="373"/>
      <c r="G225" s="373"/>
      <c r="H225" s="373"/>
      <c r="I225" s="373"/>
      <c r="J225" s="373"/>
      <c r="K225" s="373"/>
      <c r="L225" s="373"/>
      <c r="M225" s="373"/>
      <c r="N225" s="373"/>
      <c r="O225" s="373"/>
      <c r="P225" s="373"/>
      <c r="Q225" s="373"/>
      <c r="R225" s="373"/>
      <c r="S225" s="373"/>
      <c r="T225" s="373"/>
      <c r="U225" s="373"/>
      <c r="V225" s="373"/>
      <c r="W225" s="373"/>
      <c r="X225" s="373"/>
      <c r="Y225" s="373"/>
      <c r="Z225" s="373"/>
      <c r="AA225" s="373"/>
      <c r="AB225" s="373"/>
      <c r="AC225" s="373"/>
      <c r="AD225" s="373"/>
      <c r="AE225" s="373"/>
      <c r="AF225" s="373"/>
      <c r="AG225" s="373"/>
    </row>
    <row r="226" spans="1:33" x14ac:dyDescent="0.25">
      <c r="A226" s="373"/>
      <c r="B226" s="373"/>
      <c r="C226" s="373"/>
      <c r="D226" s="373"/>
      <c r="E226" s="373"/>
      <c r="F226" s="373"/>
      <c r="G226" s="373"/>
      <c r="H226" s="373"/>
      <c r="I226" s="373"/>
      <c r="J226" s="373"/>
      <c r="K226" s="373"/>
      <c r="L226" s="373"/>
      <c r="M226" s="373"/>
      <c r="N226" s="373"/>
      <c r="O226" s="373"/>
      <c r="P226" s="373"/>
      <c r="Q226" s="373"/>
      <c r="R226" s="373"/>
      <c r="S226" s="373"/>
      <c r="T226" s="373"/>
      <c r="U226" s="373"/>
      <c r="V226" s="373"/>
      <c r="W226" s="373"/>
      <c r="X226" s="373"/>
      <c r="Y226" s="373"/>
      <c r="Z226" s="373"/>
      <c r="AA226" s="373"/>
      <c r="AB226" s="373"/>
      <c r="AC226" s="373"/>
      <c r="AD226" s="373"/>
      <c r="AE226" s="373"/>
      <c r="AF226" s="373"/>
      <c r="AG226" s="373"/>
    </row>
    <row r="227" spans="1:33" x14ac:dyDescent="0.25">
      <c r="A227" s="373"/>
      <c r="B227" s="373"/>
      <c r="C227" s="373"/>
      <c r="D227" s="373"/>
      <c r="E227" s="373"/>
      <c r="F227" s="373"/>
      <c r="G227" s="373"/>
      <c r="H227" s="373"/>
      <c r="I227" s="373"/>
      <c r="J227" s="373"/>
      <c r="K227" s="373"/>
      <c r="L227" s="373"/>
      <c r="M227" s="373"/>
      <c r="N227" s="373"/>
      <c r="O227" s="373"/>
      <c r="P227" s="373"/>
      <c r="Q227" s="373"/>
      <c r="R227" s="373"/>
      <c r="S227" s="373"/>
      <c r="T227" s="373"/>
      <c r="U227" s="373"/>
      <c r="V227" s="373"/>
      <c r="W227" s="373"/>
      <c r="X227" s="373"/>
      <c r="Y227" s="373"/>
      <c r="Z227" s="373"/>
      <c r="AA227" s="373"/>
      <c r="AB227" s="373"/>
      <c r="AC227" s="373"/>
      <c r="AD227" s="373"/>
      <c r="AE227" s="373"/>
      <c r="AF227" s="373"/>
      <c r="AG227" s="373"/>
    </row>
    <row r="228" spans="1:33" x14ac:dyDescent="0.25">
      <c r="A228" s="373"/>
      <c r="B228" s="373"/>
      <c r="C228" s="373"/>
      <c r="D228" s="373"/>
      <c r="E228" s="373"/>
      <c r="F228" s="373"/>
      <c r="G228" s="373"/>
      <c r="H228" s="373"/>
      <c r="I228" s="373"/>
      <c r="J228" s="373"/>
      <c r="K228" s="373"/>
      <c r="L228" s="373"/>
      <c r="M228" s="373"/>
      <c r="N228" s="373"/>
      <c r="O228" s="373"/>
      <c r="P228" s="373"/>
      <c r="Q228" s="373"/>
      <c r="R228" s="373"/>
      <c r="S228" s="373"/>
      <c r="T228" s="373"/>
      <c r="U228" s="373"/>
      <c r="V228" s="373"/>
      <c r="W228" s="373"/>
      <c r="X228" s="373"/>
      <c r="Y228" s="373"/>
      <c r="Z228" s="373"/>
      <c r="AA228" s="373"/>
      <c r="AB228" s="373"/>
      <c r="AC228" s="373"/>
      <c r="AD228" s="373"/>
      <c r="AE228" s="373"/>
      <c r="AF228" s="373"/>
      <c r="AG228" s="373"/>
    </row>
    <row r="229" spans="1:33" x14ac:dyDescent="0.25">
      <c r="A229" s="373"/>
      <c r="B229" s="373"/>
      <c r="C229" s="373"/>
      <c r="D229" s="373"/>
      <c r="E229" s="373"/>
      <c r="F229" s="373"/>
      <c r="G229" s="373"/>
      <c r="H229" s="373"/>
      <c r="I229" s="373"/>
      <c r="J229" s="373"/>
      <c r="K229" s="373"/>
      <c r="L229" s="373"/>
      <c r="M229" s="373"/>
      <c r="N229" s="373"/>
      <c r="O229" s="373"/>
      <c r="P229" s="373"/>
      <c r="Q229" s="373"/>
      <c r="R229" s="373"/>
      <c r="S229" s="373"/>
      <c r="T229" s="373"/>
      <c r="U229" s="373"/>
      <c r="V229" s="373"/>
      <c r="W229" s="373"/>
      <c r="X229" s="373"/>
      <c r="Y229" s="373"/>
      <c r="Z229" s="373"/>
      <c r="AA229" s="373"/>
      <c r="AB229" s="373"/>
      <c r="AC229" s="373"/>
      <c r="AD229" s="373"/>
      <c r="AE229" s="373"/>
      <c r="AF229" s="373"/>
      <c r="AG229" s="373"/>
    </row>
    <row r="230" spans="1:33" x14ac:dyDescent="0.25">
      <c r="A230" s="373"/>
      <c r="B230" s="373"/>
      <c r="C230" s="373"/>
      <c r="D230" s="373"/>
      <c r="E230" s="373"/>
      <c r="F230" s="373"/>
      <c r="G230" s="373"/>
      <c r="H230" s="373"/>
      <c r="I230" s="373"/>
      <c r="J230" s="373"/>
      <c r="K230" s="373"/>
      <c r="L230" s="373"/>
      <c r="M230" s="373"/>
      <c r="N230" s="373"/>
      <c r="O230" s="373"/>
      <c r="P230" s="373"/>
      <c r="Q230" s="373"/>
      <c r="R230" s="373"/>
      <c r="S230" s="373"/>
      <c r="T230" s="373"/>
      <c r="U230" s="373"/>
      <c r="V230" s="373"/>
      <c r="W230" s="373"/>
      <c r="X230" s="373"/>
      <c r="Y230" s="373"/>
      <c r="Z230" s="373"/>
      <c r="AA230" s="373"/>
      <c r="AB230" s="373"/>
      <c r="AC230" s="373"/>
      <c r="AD230" s="373"/>
      <c r="AE230" s="373"/>
      <c r="AF230" s="373"/>
      <c r="AG230" s="373"/>
    </row>
    <row r="231" spans="1:33" x14ac:dyDescent="0.25">
      <c r="A231" s="373"/>
      <c r="B231" s="373"/>
      <c r="C231" s="373"/>
      <c r="D231" s="373"/>
      <c r="E231" s="373"/>
      <c r="F231" s="373"/>
      <c r="G231" s="373"/>
      <c r="H231" s="373"/>
      <c r="I231" s="373"/>
      <c r="J231" s="373"/>
      <c r="K231" s="373"/>
      <c r="L231" s="373"/>
      <c r="M231" s="373"/>
      <c r="N231" s="373"/>
      <c r="O231" s="373"/>
      <c r="P231" s="373"/>
      <c r="Q231" s="373"/>
      <c r="R231" s="373"/>
      <c r="S231" s="373"/>
      <c r="T231" s="373"/>
      <c r="U231" s="373"/>
      <c r="V231" s="373"/>
      <c r="W231" s="373"/>
      <c r="X231" s="373"/>
      <c r="Y231" s="373"/>
      <c r="Z231" s="373"/>
      <c r="AA231" s="373"/>
      <c r="AB231" s="373"/>
      <c r="AC231" s="373"/>
      <c r="AD231" s="373"/>
      <c r="AE231" s="373"/>
      <c r="AF231" s="373"/>
      <c r="AG231" s="373"/>
    </row>
    <row r="232" spans="1:33" x14ac:dyDescent="0.25">
      <c r="A232" s="373"/>
      <c r="B232" s="373"/>
      <c r="C232" s="373"/>
      <c r="D232" s="373"/>
      <c r="E232" s="373"/>
      <c r="F232" s="373"/>
      <c r="G232" s="373"/>
      <c r="H232" s="373"/>
      <c r="I232" s="373"/>
      <c r="J232" s="373"/>
      <c r="K232" s="373"/>
      <c r="L232" s="373"/>
      <c r="M232" s="373"/>
      <c r="N232" s="373"/>
      <c r="O232" s="373"/>
      <c r="P232" s="373"/>
      <c r="Q232" s="373"/>
      <c r="R232" s="373"/>
      <c r="S232" s="373"/>
      <c r="T232" s="373"/>
      <c r="U232" s="373"/>
      <c r="V232" s="373"/>
      <c r="W232" s="373"/>
      <c r="X232" s="373"/>
      <c r="Y232" s="373"/>
      <c r="Z232" s="373"/>
      <c r="AA232" s="373"/>
      <c r="AB232" s="373"/>
      <c r="AC232" s="373"/>
      <c r="AD232" s="373"/>
      <c r="AE232" s="373"/>
      <c r="AF232" s="373"/>
      <c r="AG232" s="373"/>
    </row>
    <row r="233" spans="1:33" x14ac:dyDescent="0.25">
      <c r="A233" s="373"/>
      <c r="B233" s="373"/>
      <c r="C233" s="373"/>
      <c r="D233" s="373"/>
      <c r="E233" s="373"/>
      <c r="F233" s="373"/>
      <c r="G233" s="373"/>
      <c r="H233" s="373"/>
      <c r="I233" s="373"/>
      <c r="J233" s="373"/>
      <c r="K233" s="373"/>
      <c r="L233" s="373"/>
      <c r="M233" s="373"/>
      <c r="N233" s="373"/>
      <c r="O233" s="373"/>
      <c r="P233" s="373"/>
      <c r="Q233" s="373"/>
      <c r="R233" s="373"/>
      <c r="S233" s="373"/>
      <c r="T233" s="373"/>
      <c r="U233" s="373"/>
      <c r="V233" s="373"/>
      <c r="W233" s="373"/>
      <c r="X233" s="373"/>
      <c r="Y233" s="373"/>
      <c r="Z233" s="373"/>
      <c r="AA233" s="373"/>
      <c r="AB233" s="373"/>
      <c r="AC233" s="373"/>
      <c r="AD233" s="373"/>
      <c r="AE233" s="373"/>
      <c r="AF233" s="373"/>
      <c r="AG233" s="373"/>
    </row>
    <row r="234" spans="1:33" x14ac:dyDescent="0.25">
      <c r="A234" s="373"/>
      <c r="B234" s="373"/>
      <c r="C234" s="373"/>
      <c r="D234" s="373"/>
      <c r="E234" s="373"/>
      <c r="F234" s="373"/>
      <c r="G234" s="373"/>
      <c r="H234" s="373"/>
      <c r="I234" s="373"/>
      <c r="J234" s="373"/>
      <c r="K234" s="373"/>
      <c r="L234" s="373"/>
      <c r="M234" s="373"/>
      <c r="N234" s="373"/>
      <c r="O234" s="373"/>
      <c r="P234" s="373"/>
      <c r="Q234" s="373"/>
      <c r="R234" s="373"/>
      <c r="S234" s="373"/>
      <c r="T234" s="373"/>
      <c r="U234" s="373"/>
      <c r="V234" s="373"/>
      <c r="W234" s="373"/>
      <c r="X234" s="373"/>
      <c r="Y234" s="373"/>
      <c r="Z234" s="373"/>
      <c r="AA234" s="373"/>
      <c r="AB234" s="373"/>
      <c r="AC234" s="373"/>
      <c r="AD234" s="373"/>
      <c r="AE234" s="373"/>
      <c r="AF234" s="373"/>
      <c r="AG234" s="373"/>
    </row>
    <row r="235" spans="1:33" x14ac:dyDescent="0.25">
      <c r="A235" s="373"/>
      <c r="B235" s="373"/>
      <c r="C235" s="373"/>
      <c r="D235" s="373"/>
      <c r="E235" s="373"/>
      <c r="F235" s="373"/>
      <c r="G235" s="373"/>
      <c r="H235" s="373"/>
      <c r="I235" s="373"/>
      <c r="J235" s="373"/>
      <c r="K235" s="373"/>
      <c r="L235" s="373"/>
      <c r="M235" s="373"/>
      <c r="N235" s="373"/>
      <c r="O235" s="373"/>
      <c r="P235" s="373"/>
      <c r="Q235" s="373"/>
      <c r="R235" s="373"/>
      <c r="S235" s="373"/>
      <c r="T235" s="373"/>
      <c r="U235" s="373"/>
      <c r="V235" s="373"/>
      <c r="W235" s="373"/>
      <c r="X235" s="373"/>
      <c r="Y235" s="373"/>
      <c r="Z235" s="373"/>
      <c r="AA235" s="373"/>
      <c r="AB235" s="373"/>
      <c r="AC235" s="373"/>
      <c r="AD235" s="373"/>
      <c r="AE235" s="373"/>
      <c r="AF235" s="373"/>
      <c r="AG235" s="373"/>
    </row>
    <row r="236" spans="1:33" x14ac:dyDescent="0.25">
      <c r="A236" s="373"/>
      <c r="B236" s="373"/>
      <c r="C236" s="373"/>
      <c r="D236" s="373"/>
      <c r="E236" s="373"/>
      <c r="F236" s="373"/>
      <c r="G236" s="373"/>
      <c r="H236" s="373"/>
      <c r="I236" s="373"/>
      <c r="J236" s="373"/>
      <c r="K236" s="373"/>
      <c r="L236" s="373"/>
      <c r="M236" s="373"/>
      <c r="N236" s="373"/>
      <c r="O236" s="373"/>
      <c r="P236" s="373"/>
      <c r="Q236" s="373"/>
      <c r="R236" s="373"/>
      <c r="S236" s="373"/>
      <c r="T236" s="373"/>
      <c r="U236" s="373"/>
      <c r="V236" s="373"/>
      <c r="W236" s="373"/>
      <c r="X236" s="373"/>
      <c r="Y236" s="373"/>
      <c r="Z236" s="373"/>
      <c r="AA236" s="373"/>
      <c r="AB236" s="373"/>
      <c r="AC236" s="373"/>
      <c r="AD236" s="373"/>
      <c r="AE236" s="373"/>
      <c r="AF236" s="373"/>
      <c r="AG236" s="373"/>
    </row>
    <row r="237" spans="1:33" x14ac:dyDescent="0.25">
      <c r="A237" s="373"/>
      <c r="B237" s="373"/>
      <c r="C237" s="373"/>
      <c r="D237" s="373"/>
      <c r="E237" s="373"/>
      <c r="F237" s="373"/>
      <c r="G237" s="373"/>
      <c r="H237" s="373"/>
      <c r="I237" s="373"/>
      <c r="J237" s="373"/>
      <c r="K237" s="373"/>
      <c r="L237" s="373"/>
      <c r="M237" s="373"/>
      <c r="N237" s="373"/>
      <c r="O237" s="373"/>
      <c r="P237" s="373"/>
      <c r="Q237" s="373"/>
      <c r="R237" s="373"/>
      <c r="S237" s="373"/>
      <c r="T237" s="373"/>
      <c r="U237" s="373"/>
      <c r="V237" s="373"/>
      <c r="W237" s="373"/>
      <c r="X237" s="373"/>
      <c r="Y237" s="373"/>
      <c r="Z237" s="373"/>
      <c r="AA237" s="373"/>
      <c r="AB237" s="373"/>
      <c r="AC237" s="373"/>
      <c r="AD237" s="373"/>
      <c r="AE237" s="373"/>
      <c r="AF237" s="373"/>
      <c r="AG237" s="373"/>
    </row>
    <row r="238" spans="1:33" x14ac:dyDescent="0.25">
      <c r="A238" s="373"/>
      <c r="B238" s="373"/>
      <c r="C238" s="373"/>
      <c r="D238" s="373"/>
      <c r="E238" s="373"/>
      <c r="F238" s="373"/>
      <c r="G238" s="373"/>
      <c r="H238" s="373"/>
      <c r="I238" s="373"/>
      <c r="J238" s="373"/>
      <c r="K238" s="373"/>
      <c r="L238" s="373"/>
      <c r="M238" s="373"/>
      <c r="N238" s="373"/>
      <c r="O238" s="373"/>
      <c r="P238" s="373"/>
      <c r="Q238" s="373"/>
      <c r="R238" s="373"/>
      <c r="S238" s="373"/>
      <c r="T238" s="373"/>
      <c r="U238" s="373"/>
      <c r="V238" s="373"/>
      <c r="W238" s="373"/>
      <c r="X238" s="373"/>
      <c r="Y238" s="373"/>
      <c r="Z238" s="373"/>
      <c r="AA238" s="373"/>
      <c r="AB238" s="373"/>
      <c r="AC238" s="373"/>
      <c r="AD238" s="373"/>
      <c r="AE238" s="373"/>
      <c r="AF238" s="373"/>
      <c r="AG238" s="373"/>
    </row>
    <row r="239" spans="1:33" x14ac:dyDescent="0.25">
      <c r="A239" s="373"/>
      <c r="B239" s="373"/>
      <c r="C239" s="373"/>
      <c r="D239" s="373"/>
      <c r="E239" s="373"/>
      <c r="F239" s="373"/>
      <c r="G239" s="373"/>
      <c r="H239" s="373"/>
      <c r="I239" s="373"/>
      <c r="J239" s="373"/>
      <c r="K239" s="373"/>
      <c r="L239" s="373"/>
      <c r="M239" s="373"/>
      <c r="N239" s="373"/>
      <c r="O239" s="373"/>
      <c r="P239" s="373"/>
      <c r="Q239" s="373"/>
      <c r="R239" s="373"/>
      <c r="S239" s="373"/>
      <c r="T239" s="373"/>
      <c r="U239" s="373"/>
      <c r="V239" s="373"/>
      <c r="W239" s="373"/>
      <c r="X239" s="373"/>
      <c r="Y239" s="373"/>
      <c r="Z239" s="373"/>
      <c r="AA239" s="373"/>
      <c r="AB239" s="373"/>
      <c r="AC239" s="373"/>
      <c r="AD239" s="373"/>
      <c r="AE239" s="373"/>
      <c r="AF239" s="373"/>
      <c r="AG239" s="373"/>
    </row>
    <row r="240" spans="1:33" x14ac:dyDescent="0.25">
      <c r="A240" s="373"/>
      <c r="B240" s="373"/>
      <c r="C240" s="373"/>
      <c r="D240" s="373"/>
      <c r="E240" s="373"/>
      <c r="F240" s="373"/>
      <c r="G240" s="373"/>
      <c r="H240" s="373"/>
      <c r="I240" s="373"/>
      <c r="J240" s="373"/>
      <c r="K240" s="373"/>
      <c r="L240" s="373"/>
      <c r="M240" s="373"/>
      <c r="N240" s="373"/>
      <c r="O240" s="373"/>
      <c r="P240" s="373"/>
      <c r="Q240" s="373"/>
      <c r="R240" s="373"/>
      <c r="S240" s="373"/>
      <c r="T240" s="373"/>
      <c r="U240" s="373"/>
      <c r="V240" s="373"/>
      <c r="W240" s="373"/>
      <c r="X240" s="373"/>
      <c r="Y240" s="373"/>
      <c r="Z240" s="373"/>
      <c r="AA240" s="373"/>
      <c r="AB240" s="373"/>
      <c r="AC240" s="373"/>
      <c r="AD240" s="373"/>
      <c r="AE240" s="373"/>
      <c r="AF240" s="373"/>
      <c r="AG240" s="373"/>
    </row>
    <row r="241" spans="1:33" x14ac:dyDescent="0.25">
      <c r="A241" s="373"/>
      <c r="B241" s="373"/>
      <c r="C241" s="373"/>
      <c r="D241" s="373"/>
      <c r="E241" s="373"/>
      <c r="F241" s="373"/>
      <c r="G241" s="373"/>
      <c r="H241" s="373"/>
      <c r="I241" s="373"/>
      <c r="J241" s="373"/>
      <c r="K241" s="373"/>
      <c r="L241" s="373"/>
      <c r="M241" s="373"/>
      <c r="N241" s="373"/>
      <c r="O241" s="373"/>
      <c r="P241" s="373"/>
      <c r="Q241" s="373"/>
      <c r="R241" s="373"/>
      <c r="S241" s="373"/>
      <c r="T241" s="373"/>
      <c r="U241" s="373"/>
      <c r="V241" s="373"/>
      <c r="W241" s="373"/>
      <c r="X241" s="373"/>
      <c r="Y241" s="373"/>
      <c r="Z241" s="373"/>
      <c r="AA241" s="373"/>
      <c r="AB241" s="373"/>
      <c r="AC241" s="373"/>
      <c r="AD241" s="373"/>
      <c r="AE241" s="373"/>
      <c r="AF241" s="373"/>
      <c r="AG241" s="373"/>
    </row>
    <row r="242" spans="1:33" x14ac:dyDescent="0.25">
      <c r="A242" s="373"/>
      <c r="B242" s="373"/>
      <c r="C242" s="373"/>
      <c r="D242" s="373"/>
      <c r="E242" s="373"/>
      <c r="F242" s="373"/>
      <c r="G242" s="373"/>
      <c r="H242" s="373"/>
      <c r="I242" s="373"/>
      <c r="J242" s="373"/>
      <c r="K242" s="373"/>
      <c r="L242" s="373"/>
      <c r="M242" s="373"/>
      <c r="N242" s="373"/>
      <c r="O242" s="373"/>
      <c r="P242" s="373"/>
      <c r="Q242" s="373"/>
      <c r="R242" s="373"/>
      <c r="S242" s="373"/>
      <c r="T242" s="373"/>
      <c r="U242" s="373"/>
      <c r="V242" s="373"/>
      <c r="W242" s="373"/>
      <c r="X242" s="373"/>
      <c r="Y242" s="373"/>
      <c r="Z242" s="373"/>
      <c r="AA242" s="373"/>
      <c r="AB242" s="373"/>
      <c r="AC242" s="373"/>
      <c r="AD242" s="373"/>
      <c r="AE242" s="373"/>
      <c r="AF242" s="373"/>
      <c r="AG242" s="373"/>
    </row>
    <row r="243" spans="1:33" x14ac:dyDescent="0.25">
      <c r="A243" s="373"/>
      <c r="B243" s="373"/>
      <c r="C243" s="373"/>
      <c r="D243" s="373"/>
      <c r="E243" s="373"/>
      <c r="F243" s="373"/>
      <c r="G243" s="373"/>
      <c r="H243" s="373"/>
      <c r="I243" s="373"/>
      <c r="J243" s="373"/>
      <c r="K243" s="373"/>
      <c r="L243" s="373"/>
      <c r="M243" s="373"/>
      <c r="N243" s="373"/>
      <c r="O243" s="373"/>
      <c r="P243" s="373"/>
      <c r="Q243" s="373"/>
      <c r="R243" s="373"/>
      <c r="S243" s="373"/>
      <c r="T243" s="373"/>
      <c r="U243" s="373"/>
      <c r="V243" s="373"/>
      <c r="W243" s="373"/>
      <c r="X243" s="373"/>
      <c r="Y243" s="373"/>
      <c r="Z243" s="373"/>
      <c r="AA243" s="373"/>
      <c r="AB243" s="373"/>
      <c r="AC243" s="373"/>
      <c r="AD243" s="373"/>
      <c r="AE243" s="373"/>
      <c r="AF243" s="373"/>
      <c r="AG243" s="373"/>
    </row>
    <row r="244" spans="1:33" x14ac:dyDescent="0.25">
      <c r="A244" s="373"/>
      <c r="B244" s="373"/>
      <c r="C244" s="373"/>
      <c r="D244" s="373"/>
      <c r="E244" s="373"/>
      <c r="F244" s="373"/>
      <c r="G244" s="373"/>
      <c r="H244" s="373"/>
      <c r="I244" s="373"/>
      <c r="J244" s="373"/>
      <c r="K244" s="373"/>
      <c r="L244" s="373"/>
      <c r="M244" s="373"/>
      <c r="N244" s="373"/>
      <c r="O244" s="373"/>
      <c r="P244" s="373"/>
      <c r="Q244" s="373"/>
      <c r="R244" s="373"/>
      <c r="S244" s="373"/>
      <c r="T244" s="373"/>
      <c r="U244" s="373"/>
      <c r="V244" s="373"/>
      <c r="W244" s="373"/>
      <c r="X244" s="373"/>
      <c r="Y244" s="373"/>
      <c r="Z244" s="373"/>
      <c r="AA244" s="373"/>
      <c r="AB244" s="373"/>
      <c r="AC244" s="373"/>
      <c r="AD244" s="373"/>
      <c r="AE244" s="373"/>
      <c r="AF244" s="373"/>
      <c r="AG244" s="373"/>
    </row>
    <row r="245" spans="1:33" x14ac:dyDescent="0.25">
      <c r="A245" s="373"/>
      <c r="B245" s="373"/>
      <c r="C245" s="373"/>
      <c r="D245" s="373"/>
      <c r="E245" s="373"/>
      <c r="F245" s="373"/>
      <c r="G245" s="373"/>
      <c r="H245" s="373"/>
      <c r="I245" s="373"/>
      <c r="J245" s="373"/>
      <c r="K245" s="373"/>
      <c r="L245" s="373"/>
      <c r="M245" s="373"/>
      <c r="N245" s="373"/>
      <c r="O245" s="373"/>
      <c r="P245" s="373"/>
      <c r="Q245" s="373"/>
      <c r="R245" s="373"/>
      <c r="S245" s="373"/>
      <c r="T245" s="373"/>
      <c r="U245" s="373"/>
      <c r="V245" s="373"/>
      <c r="W245" s="373"/>
      <c r="X245" s="373"/>
      <c r="Y245" s="373"/>
      <c r="Z245" s="373"/>
      <c r="AA245" s="373"/>
      <c r="AB245" s="373"/>
      <c r="AC245" s="373"/>
      <c r="AD245" s="373"/>
      <c r="AE245" s="373"/>
      <c r="AF245" s="373"/>
      <c r="AG245" s="373"/>
    </row>
    <row r="246" spans="1:33" x14ac:dyDescent="0.25">
      <c r="A246" s="373"/>
      <c r="B246" s="373"/>
      <c r="C246" s="373"/>
      <c r="D246" s="373"/>
      <c r="E246" s="373"/>
      <c r="F246" s="373"/>
      <c r="G246" s="373"/>
      <c r="H246" s="373"/>
      <c r="I246" s="373"/>
      <c r="J246" s="373"/>
      <c r="K246" s="373"/>
      <c r="L246" s="373"/>
      <c r="M246" s="373"/>
      <c r="N246" s="373"/>
      <c r="O246" s="373"/>
      <c r="P246" s="373"/>
      <c r="Q246" s="373"/>
      <c r="R246" s="373"/>
      <c r="S246" s="373"/>
      <c r="T246" s="373"/>
      <c r="U246" s="373"/>
      <c r="V246" s="373"/>
      <c r="W246" s="373"/>
      <c r="X246" s="373"/>
      <c r="Y246" s="373"/>
      <c r="Z246" s="373"/>
      <c r="AA246" s="373"/>
      <c r="AB246" s="373"/>
      <c r="AC246" s="373"/>
      <c r="AD246" s="373"/>
      <c r="AE246" s="373"/>
      <c r="AF246" s="373"/>
      <c r="AG246" s="373"/>
    </row>
    <row r="247" spans="1:33" x14ac:dyDescent="0.25">
      <c r="A247" s="373"/>
      <c r="B247" s="373"/>
      <c r="C247" s="373"/>
      <c r="D247" s="373"/>
      <c r="E247" s="373"/>
      <c r="F247" s="373"/>
      <c r="G247" s="373"/>
      <c r="H247" s="373"/>
      <c r="I247" s="373"/>
      <c r="J247" s="373"/>
      <c r="K247" s="373"/>
      <c r="L247" s="373"/>
      <c r="M247" s="373"/>
      <c r="N247" s="373"/>
      <c r="O247" s="373"/>
      <c r="P247" s="373"/>
      <c r="Q247" s="373"/>
      <c r="R247" s="373"/>
      <c r="S247" s="373"/>
      <c r="T247" s="373"/>
      <c r="U247" s="373"/>
      <c r="V247" s="373"/>
      <c r="W247" s="373"/>
      <c r="X247" s="373"/>
      <c r="Y247" s="373"/>
      <c r="Z247" s="373"/>
      <c r="AA247" s="373"/>
      <c r="AB247" s="373"/>
      <c r="AC247" s="373"/>
      <c r="AD247" s="373"/>
      <c r="AE247" s="373"/>
      <c r="AF247" s="373"/>
      <c r="AG247" s="373"/>
    </row>
    <row r="248" spans="1:33" x14ac:dyDescent="0.25">
      <c r="A248" s="373"/>
      <c r="B248" s="373"/>
      <c r="C248" s="373"/>
      <c r="D248" s="373"/>
      <c r="E248" s="373"/>
      <c r="F248" s="373"/>
      <c r="G248" s="373"/>
      <c r="H248" s="373"/>
      <c r="I248" s="373"/>
      <c r="J248" s="373"/>
      <c r="K248" s="373"/>
      <c r="L248" s="373"/>
      <c r="M248" s="373"/>
      <c r="N248" s="373"/>
      <c r="O248" s="373"/>
      <c r="P248" s="373"/>
      <c r="Q248" s="373"/>
      <c r="R248" s="373"/>
      <c r="S248" s="373"/>
      <c r="T248" s="373"/>
      <c r="U248" s="373"/>
      <c r="V248" s="373"/>
      <c r="W248" s="373"/>
      <c r="X248" s="373"/>
      <c r="Y248" s="373"/>
      <c r="Z248" s="373"/>
      <c r="AA248" s="373"/>
      <c r="AB248" s="373"/>
      <c r="AC248" s="373"/>
      <c r="AD248" s="373"/>
      <c r="AE248" s="373"/>
      <c r="AF248" s="373"/>
      <c r="AG248" s="373"/>
    </row>
    <row r="249" spans="1:33" x14ac:dyDescent="0.25">
      <c r="A249" s="373"/>
      <c r="B249" s="373"/>
      <c r="C249" s="373"/>
      <c r="D249" s="373"/>
      <c r="E249" s="373"/>
      <c r="F249" s="373"/>
      <c r="G249" s="373"/>
      <c r="H249" s="373"/>
      <c r="I249" s="373"/>
      <c r="J249" s="373"/>
      <c r="K249" s="373"/>
      <c r="L249" s="373"/>
      <c r="M249" s="373"/>
      <c r="N249" s="373"/>
      <c r="O249" s="373"/>
      <c r="P249" s="373"/>
      <c r="Q249" s="373"/>
      <c r="R249" s="373"/>
      <c r="S249" s="373"/>
      <c r="T249" s="373"/>
      <c r="U249" s="373"/>
      <c r="V249" s="373"/>
      <c r="W249" s="373"/>
      <c r="X249" s="373"/>
      <c r="Y249" s="373"/>
      <c r="Z249" s="373"/>
      <c r="AA249" s="373"/>
      <c r="AB249" s="373"/>
      <c r="AC249" s="373"/>
      <c r="AD249" s="373"/>
      <c r="AE249" s="373"/>
      <c r="AF249" s="373"/>
      <c r="AG249" s="373"/>
    </row>
    <row r="250" spans="1:33" x14ac:dyDescent="0.25">
      <c r="A250" s="373"/>
      <c r="B250" s="373"/>
      <c r="C250" s="373"/>
      <c r="D250" s="373"/>
      <c r="E250" s="373"/>
      <c r="F250" s="373"/>
      <c r="G250" s="373"/>
      <c r="H250" s="373"/>
      <c r="I250" s="373"/>
      <c r="J250" s="373"/>
      <c r="K250" s="373"/>
      <c r="L250" s="373"/>
      <c r="M250" s="373"/>
      <c r="N250" s="373"/>
      <c r="O250" s="373"/>
      <c r="P250" s="373"/>
      <c r="Q250" s="373"/>
      <c r="R250" s="373"/>
      <c r="S250" s="373"/>
      <c r="T250" s="373"/>
      <c r="U250" s="373"/>
      <c r="V250" s="373"/>
      <c r="W250" s="373"/>
      <c r="X250" s="373"/>
      <c r="Y250" s="373"/>
      <c r="Z250" s="373"/>
      <c r="AA250" s="373"/>
      <c r="AB250" s="373"/>
      <c r="AC250" s="373"/>
      <c r="AD250" s="373"/>
      <c r="AE250" s="373"/>
      <c r="AF250" s="373"/>
      <c r="AG250" s="373"/>
    </row>
    <row r="251" spans="1:33" x14ac:dyDescent="0.25">
      <c r="A251" s="373"/>
      <c r="B251" s="373"/>
      <c r="C251" s="373"/>
      <c r="D251" s="373"/>
      <c r="E251" s="373"/>
      <c r="F251" s="373"/>
      <c r="G251" s="373"/>
      <c r="H251" s="373"/>
      <c r="I251" s="373"/>
      <c r="J251" s="373"/>
      <c r="K251" s="373"/>
      <c r="L251" s="373"/>
      <c r="M251" s="373"/>
      <c r="N251" s="373"/>
      <c r="O251" s="373"/>
      <c r="P251" s="373"/>
      <c r="Q251" s="373"/>
      <c r="R251" s="373"/>
      <c r="S251" s="373"/>
      <c r="T251" s="373"/>
      <c r="U251" s="373"/>
      <c r="V251" s="373"/>
      <c r="W251" s="373"/>
      <c r="X251" s="373"/>
      <c r="Y251" s="373"/>
      <c r="Z251" s="373"/>
      <c r="AA251" s="373"/>
      <c r="AB251" s="373"/>
      <c r="AC251" s="373"/>
      <c r="AD251" s="373"/>
      <c r="AE251" s="373"/>
      <c r="AF251" s="373"/>
      <c r="AG251" s="373"/>
    </row>
    <row r="252" spans="1:33" x14ac:dyDescent="0.25">
      <c r="A252" s="373"/>
      <c r="B252" s="373"/>
      <c r="C252" s="373"/>
      <c r="D252" s="373"/>
      <c r="E252" s="373"/>
      <c r="F252" s="373"/>
      <c r="G252" s="373"/>
      <c r="H252" s="373"/>
      <c r="I252" s="373"/>
      <c r="J252" s="373"/>
      <c r="K252" s="373"/>
      <c r="L252" s="373"/>
      <c r="M252" s="373"/>
      <c r="N252" s="373"/>
      <c r="O252" s="373"/>
      <c r="P252" s="373"/>
      <c r="Q252" s="373"/>
      <c r="R252" s="373"/>
      <c r="S252" s="373"/>
      <c r="T252" s="373"/>
      <c r="U252" s="373"/>
      <c r="V252" s="373"/>
      <c r="W252" s="373"/>
      <c r="X252" s="373"/>
      <c r="Y252" s="373"/>
      <c r="Z252" s="373"/>
      <c r="AA252" s="373"/>
      <c r="AB252" s="373"/>
      <c r="AC252" s="373"/>
      <c r="AD252" s="373"/>
      <c r="AE252" s="373"/>
      <c r="AF252" s="373"/>
      <c r="AG252" s="373"/>
    </row>
    <row r="253" spans="1:33" x14ac:dyDescent="0.25">
      <c r="A253" s="373"/>
      <c r="B253" s="373"/>
      <c r="C253" s="373"/>
      <c r="D253" s="373"/>
      <c r="E253" s="373"/>
      <c r="F253" s="373"/>
      <c r="G253" s="373"/>
      <c r="H253" s="373"/>
      <c r="I253" s="373"/>
      <c r="J253" s="373"/>
      <c r="K253" s="373"/>
      <c r="L253" s="373"/>
      <c r="M253" s="373"/>
      <c r="N253" s="373"/>
      <c r="O253" s="373"/>
      <c r="P253" s="373"/>
      <c r="Q253" s="373"/>
      <c r="R253" s="373"/>
      <c r="S253" s="373"/>
      <c r="T253" s="373"/>
      <c r="U253" s="373"/>
      <c r="V253" s="373"/>
      <c r="W253" s="373"/>
      <c r="X253" s="373"/>
      <c r="Y253" s="373"/>
      <c r="Z253" s="373"/>
      <c r="AA253" s="373"/>
      <c r="AB253" s="373"/>
      <c r="AC253" s="373"/>
      <c r="AD253" s="373"/>
      <c r="AE253" s="373"/>
      <c r="AF253" s="373"/>
      <c r="AG253" s="373"/>
    </row>
    <row r="254" spans="1:33" x14ac:dyDescent="0.25">
      <c r="A254" s="373"/>
      <c r="B254" s="373"/>
      <c r="C254" s="373"/>
      <c r="D254" s="373"/>
      <c r="E254" s="373"/>
      <c r="F254" s="373"/>
      <c r="G254" s="373"/>
      <c r="H254" s="373"/>
      <c r="I254" s="373"/>
      <c r="J254" s="373"/>
      <c r="K254" s="373"/>
      <c r="L254" s="373"/>
      <c r="M254" s="373"/>
      <c r="N254" s="373"/>
      <c r="O254" s="373"/>
      <c r="P254" s="373"/>
      <c r="Q254" s="373"/>
      <c r="R254" s="373"/>
      <c r="S254" s="373"/>
      <c r="T254" s="373"/>
      <c r="U254" s="373"/>
      <c r="V254" s="373"/>
      <c r="W254" s="373"/>
      <c r="X254" s="373"/>
      <c r="Y254" s="373"/>
      <c r="Z254" s="373"/>
      <c r="AA254" s="373"/>
      <c r="AB254" s="373"/>
      <c r="AC254" s="373"/>
      <c r="AD254" s="373"/>
      <c r="AE254" s="373"/>
      <c r="AF254" s="373"/>
      <c r="AG254" s="373"/>
    </row>
    <row r="255" spans="1:33" x14ac:dyDescent="0.25">
      <c r="A255" s="373"/>
      <c r="B255" s="373"/>
      <c r="C255" s="373"/>
      <c r="D255" s="373"/>
      <c r="E255" s="373"/>
      <c r="F255" s="373"/>
      <c r="G255" s="373"/>
      <c r="H255" s="373"/>
      <c r="I255" s="373"/>
      <c r="J255" s="373"/>
      <c r="K255" s="373"/>
      <c r="L255" s="373"/>
      <c r="M255" s="373"/>
      <c r="N255" s="373"/>
      <c r="O255" s="373"/>
      <c r="P255" s="373"/>
      <c r="Q255" s="373"/>
      <c r="R255" s="373"/>
      <c r="S255" s="373"/>
      <c r="T255" s="373"/>
      <c r="U255" s="373"/>
      <c r="V255" s="373"/>
      <c r="W255" s="373"/>
      <c r="X255" s="373"/>
      <c r="Y255" s="373"/>
      <c r="Z255" s="373"/>
      <c r="AA255" s="373"/>
      <c r="AB255" s="373"/>
      <c r="AC255" s="373"/>
      <c r="AD255" s="373"/>
      <c r="AE255" s="373"/>
      <c r="AF255" s="373"/>
      <c r="AG255" s="373"/>
    </row>
    <row r="256" spans="1:33" x14ac:dyDescent="0.25">
      <c r="A256" s="373"/>
      <c r="B256" s="373"/>
      <c r="C256" s="373"/>
      <c r="D256" s="373"/>
      <c r="E256" s="373"/>
      <c r="F256" s="373"/>
      <c r="G256" s="373"/>
      <c r="H256" s="373"/>
      <c r="I256" s="373"/>
      <c r="J256" s="373"/>
      <c r="K256" s="373"/>
      <c r="L256" s="373"/>
      <c r="M256" s="373"/>
      <c r="N256" s="373"/>
      <c r="O256" s="373"/>
      <c r="P256" s="373"/>
      <c r="Q256" s="373"/>
      <c r="R256" s="373"/>
      <c r="S256" s="373"/>
      <c r="T256" s="373"/>
      <c r="U256" s="373"/>
      <c r="V256" s="373"/>
      <c r="W256" s="373"/>
      <c r="X256" s="373"/>
      <c r="Y256" s="373"/>
      <c r="Z256" s="373"/>
      <c r="AA256" s="373"/>
      <c r="AB256" s="373"/>
      <c r="AC256" s="373"/>
      <c r="AD256" s="373"/>
      <c r="AE256" s="373"/>
      <c r="AF256" s="373"/>
      <c r="AG256" s="373"/>
    </row>
    <row r="257" spans="1:33" x14ac:dyDescent="0.25">
      <c r="A257" s="373"/>
      <c r="B257" s="373"/>
      <c r="C257" s="373"/>
      <c r="D257" s="373"/>
      <c r="E257" s="373"/>
      <c r="F257" s="373"/>
      <c r="G257" s="373"/>
      <c r="H257" s="373"/>
      <c r="I257" s="373"/>
      <c r="J257" s="373"/>
      <c r="K257" s="373"/>
      <c r="L257" s="373"/>
      <c r="M257" s="373"/>
      <c r="N257" s="373"/>
      <c r="O257" s="373"/>
      <c r="P257" s="373"/>
      <c r="Q257" s="373"/>
      <c r="R257" s="373"/>
      <c r="S257" s="373"/>
      <c r="T257" s="373"/>
      <c r="U257" s="373"/>
      <c r="V257" s="373"/>
      <c r="W257" s="373"/>
      <c r="X257" s="373"/>
      <c r="Y257" s="373"/>
      <c r="Z257" s="373"/>
      <c r="AA257" s="373"/>
      <c r="AB257" s="373"/>
      <c r="AC257" s="373"/>
      <c r="AD257" s="373"/>
      <c r="AE257" s="373"/>
      <c r="AF257" s="373"/>
      <c r="AG257" s="373"/>
    </row>
    <row r="258" spans="1:33" x14ac:dyDescent="0.25">
      <c r="A258" s="373"/>
      <c r="B258" s="373"/>
      <c r="C258" s="373"/>
      <c r="D258" s="373"/>
      <c r="E258" s="373"/>
      <c r="F258" s="373"/>
      <c r="G258" s="373"/>
      <c r="H258" s="373"/>
      <c r="I258" s="373"/>
      <c r="J258" s="373"/>
      <c r="K258" s="373"/>
      <c r="L258" s="373"/>
      <c r="M258" s="373"/>
      <c r="N258" s="373"/>
      <c r="O258" s="373"/>
      <c r="P258" s="373"/>
      <c r="Q258" s="373"/>
      <c r="R258" s="373"/>
      <c r="S258" s="373"/>
      <c r="T258" s="373"/>
      <c r="U258" s="373"/>
      <c r="V258" s="373"/>
      <c r="W258" s="373"/>
      <c r="X258" s="373"/>
      <c r="Y258" s="373"/>
      <c r="Z258" s="373"/>
      <c r="AA258" s="373"/>
      <c r="AB258" s="373"/>
      <c r="AC258" s="373"/>
      <c r="AD258" s="373"/>
      <c r="AE258" s="373"/>
      <c r="AF258" s="373"/>
      <c r="AG258" s="373"/>
    </row>
    <row r="259" spans="1:33" x14ac:dyDescent="0.25">
      <c r="A259" s="373"/>
      <c r="B259" s="373"/>
      <c r="C259" s="373"/>
      <c r="D259" s="373"/>
      <c r="E259" s="373"/>
      <c r="F259" s="373"/>
      <c r="G259" s="373"/>
      <c r="H259" s="373"/>
      <c r="I259" s="373"/>
      <c r="J259" s="373"/>
      <c r="K259" s="373"/>
      <c r="L259" s="373"/>
      <c r="M259" s="373"/>
      <c r="N259" s="373"/>
      <c r="O259" s="373"/>
      <c r="P259" s="373"/>
      <c r="Q259" s="373"/>
      <c r="R259" s="373"/>
      <c r="S259" s="373"/>
      <c r="T259" s="373"/>
      <c r="U259" s="373"/>
      <c r="V259" s="373"/>
      <c r="W259" s="373"/>
      <c r="X259" s="373"/>
      <c r="Y259" s="373"/>
      <c r="Z259" s="373"/>
      <c r="AA259" s="373"/>
      <c r="AB259" s="373"/>
      <c r="AC259" s="373"/>
      <c r="AD259" s="373"/>
      <c r="AE259" s="373"/>
      <c r="AF259" s="373"/>
      <c r="AG259" s="373"/>
    </row>
    <row r="260" spans="1:33" x14ac:dyDescent="0.25">
      <c r="A260" s="373"/>
      <c r="B260" s="373"/>
      <c r="C260" s="373"/>
      <c r="D260" s="373"/>
      <c r="E260" s="373"/>
      <c r="F260" s="373"/>
      <c r="G260" s="373"/>
      <c r="H260" s="373"/>
      <c r="I260" s="373"/>
      <c r="J260" s="373"/>
      <c r="K260" s="373"/>
      <c r="L260" s="373"/>
      <c r="M260" s="373"/>
      <c r="N260" s="373"/>
      <c r="O260" s="373"/>
      <c r="P260" s="373"/>
      <c r="Q260" s="373"/>
      <c r="R260" s="373"/>
      <c r="S260" s="373"/>
      <c r="T260" s="373"/>
      <c r="U260" s="373"/>
      <c r="V260" s="373"/>
      <c r="W260" s="373"/>
      <c r="X260" s="373"/>
      <c r="Y260" s="373"/>
      <c r="Z260" s="373"/>
      <c r="AA260" s="373"/>
      <c r="AB260" s="373"/>
      <c r="AC260" s="373"/>
      <c r="AD260" s="373"/>
      <c r="AE260" s="373"/>
      <c r="AF260" s="373"/>
      <c r="AG260" s="373"/>
    </row>
    <row r="261" spans="1:33" x14ac:dyDescent="0.25">
      <c r="A261" s="373"/>
      <c r="B261" s="373"/>
      <c r="C261" s="373"/>
      <c r="D261" s="373"/>
      <c r="E261" s="373"/>
      <c r="F261" s="373"/>
      <c r="G261" s="373"/>
      <c r="H261" s="373"/>
      <c r="I261" s="373"/>
      <c r="J261" s="373"/>
      <c r="K261" s="373"/>
      <c r="L261" s="373"/>
      <c r="M261" s="373"/>
      <c r="N261" s="373"/>
      <c r="O261" s="373"/>
      <c r="P261" s="373"/>
      <c r="Q261" s="373"/>
      <c r="R261" s="373"/>
      <c r="S261" s="373"/>
      <c r="T261" s="373"/>
      <c r="U261" s="373"/>
      <c r="V261" s="373"/>
      <c r="W261" s="373"/>
      <c r="X261" s="373"/>
      <c r="Y261" s="373"/>
      <c r="Z261" s="373"/>
      <c r="AA261" s="373"/>
      <c r="AB261" s="373"/>
      <c r="AC261" s="373"/>
      <c r="AD261" s="373"/>
      <c r="AE261" s="373"/>
      <c r="AF261" s="373"/>
      <c r="AG261" s="373"/>
    </row>
    <row r="262" spans="1:33" x14ac:dyDescent="0.25">
      <c r="A262" s="373"/>
      <c r="B262" s="373"/>
      <c r="C262" s="373"/>
      <c r="D262" s="373"/>
      <c r="E262" s="373"/>
      <c r="F262" s="373"/>
      <c r="G262" s="373"/>
      <c r="H262" s="373"/>
      <c r="I262" s="373"/>
      <c r="J262" s="373"/>
      <c r="K262" s="373"/>
      <c r="L262" s="373"/>
      <c r="M262" s="373"/>
      <c r="N262" s="373"/>
      <c r="O262" s="373"/>
      <c r="P262" s="373"/>
      <c r="Q262" s="373"/>
      <c r="R262" s="373"/>
      <c r="S262" s="373"/>
      <c r="T262" s="373"/>
      <c r="U262" s="373"/>
      <c r="V262" s="373"/>
      <c r="W262" s="373"/>
      <c r="X262" s="373"/>
      <c r="Y262" s="373"/>
      <c r="Z262" s="373"/>
      <c r="AA262" s="373"/>
      <c r="AB262" s="373"/>
      <c r="AC262" s="373"/>
      <c r="AD262" s="373"/>
      <c r="AE262" s="373"/>
      <c r="AF262" s="373"/>
      <c r="AG262" s="373"/>
    </row>
    <row r="263" spans="1:33" x14ac:dyDescent="0.25">
      <c r="A263" s="373"/>
      <c r="B263" s="373"/>
      <c r="C263" s="373"/>
      <c r="D263" s="373"/>
      <c r="E263" s="373"/>
      <c r="F263" s="373"/>
      <c r="G263" s="373"/>
      <c r="H263" s="373"/>
      <c r="I263" s="373"/>
      <c r="J263" s="373"/>
      <c r="K263" s="373"/>
      <c r="L263" s="373"/>
      <c r="M263" s="373"/>
      <c r="N263" s="373"/>
      <c r="O263" s="373"/>
      <c r="P263" s="373"/>
      <c r="Q263" s="373"/>
      <c r="R263" s="373"/>
      <c r="S263" s="373"/>
      <c r="T263" s="373"/>
      <c r="U263" s="373"/>
      <c r="V263" s="373"/>
      <c r="W263" s="373"/>
      <c r="X263" s="373"/>
      <c r="Y263" s="373"/>
      <c r="Z263" s="373"/>
      <c r="AA263" s="373"/>
      <c r="AB263" s="373"/>
      <c r="AC263" s="373"/>
      <c r="AD263" s="373"/>
      <c r="AE263" s="373"/>
      <c r="AF263" s="373"/>
      <c r="AG263" s="373"/>
    </row>
    <row r="264" spans="1:33" x14ac:dyDescent="0.25">
      <c r="A264" s="373"/>
      <c r="B264" s="373"/>
      <c r="C264" s="373"/>
      <c r="D264" s="373"/>
      <c r="E264" s="373"/>
      <c r="F264" s="373"/>
      <c r="G264" s="373"/>
      <c r="H264" s="373"/>
      <c r="I264" s="373"/>
      <c r="J264" s="373"/>
      <c r="K264" s="373"/>
      <c r="L264" s="373"/>
      <c r="M264" s="373"/>
      <c r="N264" s="373"/>
      <c r="O264" s="373"/>
      <c r="P264" s="373"/>
      <c r="Q264" s="373"/>
      <c r="R264" s="373"/>
      <c r="S264" s="373"/>
      <c r="T264" s="373"/>
      <c r="U264" s="373"/>
      <c r="V264" s="373"/>
      <c r="W264" s="373"/>
      <c r="X264" s="373"/>
      <c r="Y264" s="373"/>
      <c r="Z264" s="373"/>
      <c r="AA264" s="373"/>
      <c r="AB264" s="373"/>
      <c r="AC264" s="373"/>
      <c r="AD264" s="373"/>
      <c r="AE264" s="373"/>
      <c r="AF264" s="373"/>
      <c r="AG264" s="373"/>
    </row>
    <row r="265" spans="1:33" x14ac:dyDescent="0.25">
      <c r="A265" s="373"/>
      <c r="B265" s="373"/>
      <c r="C265" s="373"/>
      <c r="D265" s="373"/>
      <c r="E265" s="373"/>
      <c r="F265" s="373"/>
      <c r="G265" s="373"/>
      <c r="H265" s="373"/>
      <c r="I265" s="373"/>
      <c r="J265" s="373"/>
      <c r="K265" s="373"/>
      <c r="L265" s="373"/>
      <c r="M265" s="373"/>
      <c r="N265" s="373"/>
      <c r="O265" s="373"/>
      <c r="P265" s="373"/>
      <c r="Q265" s="373"/>
      <c r="R265" s="373"/>
      <c r="S265" s="373"/>
      <c r="T265" s="373"/>
      <c r="U265" s="373"/>
      <c r="V265" s="373"/>
      <c r="W265" s="373"/>
      <c r="X265" s="373"/>
      <c r="Y265" s="373"/>
      <c r="Z265" s="373"/>
      <c r="AA265" s="373"/>
      <c r="AB265" s="373"/>
      <c r="AC265" s="373"/>
      <c r="AD265" s="373"/>
      <c r="AE265" s="373"/>
      <c r="AF265" s="373"/>
      <c r="AG265" s="373"/>
    </row>
    <row r="266" spans="1:33" x14ac:dyDescent="0.25">
      <c r="A266" s="373"/>
      <c r="B266" s="373"/>
      <c r="C266" s="373"/>
      <c r="D266" s="373"/>
      <c r="E266" s="373"/>
      <c r="F266" s="373"/>
      <c r="G266" s="373"/>
      <c r="H266" s="373"/>
      <c r="I266" s="373"/>
      <c r="J266" s="373"/>
      <c r="K266" s="373"/>
      <c r="L266" s="373"/>
      <c r="M266" s="373"/>
      <c r="N266" s="373"/>
      <c r="O266" s="373"/>
      <c r="P266" s="373"/>
      <c r="Q266" s="373"/>
      <c r="R266" s="373"/>
      <c r="S266" s="373"/>
      <c r="T266" s="373"/>
      <c r="U266" s="373"/>
      <c r="V266" s="373"/>
      <c r="W266" s="373"/>
      <c r="X266" s="373"/>
      <c r="Y266" s="373"/>
      <c r="Z266" s="373"/>
      <c r="AA266" s="373"/>
      <c r="AB266" s="373"/>
      <c r="AC266" s="373"/>
      <c r="AD266" s="373"/>
      <c r="AE266" s="373"/>
      <c r="AF266" s="373"/>
      <c r="AG266" s="373"/>
    </row>
    <row r="267" spans="1:33" x14ac:dyDescent="0.25">
      <c r="A267" s="373"/>
      <c r="B267" s="373"/>
      <c r="C267" s="373"/>
      <c r="D267" s="373"/>
      <c r="E267" s="373"/>
      <c r="F267" s="373"/>
      <c r="G267" s="373"/>
      <c r="H267" s="373"/>
      <c r="I267" s="373"/>
      <c r="J267" s="373"/>
      <c r="K267" s="373"/>
      <c r="L267" s="373"/>
      <c r="M267" s="373"/>
      <c r="N267" s="373"/>
      <c r="O267" s="373"/>
      <c r="P267" s="373"/>
      <c r="Q267" s="373"/>
      <c r="R267" s="373"/>
      <c r="S267" s="373"/>
      <c r="T267" s="373"/>
      <c r="U267" s="373"/>
      <c r="V267" s="373"/>
      <c r="W267" s="373"/>
      <c r="X267" s="373"/>
      <c r="Y267" s="373"/>
      <c r="Z267" s="373"/>
      <c r="AA267" s="373"/>
      <c r="AB267" s="373"/>
      <c r="AC267" s="373"/>
      <c r="AD267" s="373"/>
      <c r="AE267" s="373"/>
      <c r="AF267" s="373"/>
      <c r="AG267" s="373"/>
    </row>
    <row r="268" spans="1:33" x14ac:dyDescent="0.25">
      <c r="A268" s="373"/>
      <c r="B268" s="373"/>
      <c r="C268" s="373"/>
      <c r="D268" s="373"/>
      <c r="E268" s="373"/>
      <c r="F268" s="373"/>
      <c r="G268" s="373"/>
      <c r="H268" s="373"/>
      <c r="I268" s="373"/>
      <c r="J268" s="373"/>
      <c r="K268" s="373"/>
      <c r="L268" s="373"/>
      <c r="M268" s="373"/>
      <c r="N268" s="373"/>
      <c r="O268" s="373"/>
      <c r="P268" s="373"/>
      <c r="Q268" s="373"/>
      <c r="R268" s="373"/>
      <c r="S268" s="373"/>
      <c r="T268" s="373"/>
      <c r="U268" s="373"/>
      <c r="V268" s="373"/>
      <c r="W268" s="373"/>
      <c r="X268" s="373"/>
      <c r="Y268" s="373"/>
      <c r="Z268" s="373"/>
      <c r="AA268" s="373"/>
      <c r="AB268" s="373"/>
      <c r="AC268" s="373"/>
      <c r="AD268" s="373"/>
      <c r="AE268" s="373"/>
      <c r="AF268" s="373"/>
      <c r="AG268" s="373"/>
    </row>
    <row r="269" spans="1:33" x14ac:dyDescent="0.25">
      <c r="A269" s="373"/>
      <c r="B269" s="373"/>
      <c r="C269" s="373"/>
      <c r="D269" s="373"/>
      <c r="E269" s="373"/>
      <c r="F269" s="373"/>
      <c r="G269" s="373"/>
      <c r="H269" s="373"/>
      <c r="I269" s="373"/>
      <c r="J269" s="373"/>
      <c r="K269" s="373"/>
      <c r="L269" s="373"/>
      <c r="M269" s="373"/>
      <c r="N269" s="373"/>
      <c r="O269" s="373"/>
      <c r="P269" s="373"/>
      <c r="Q269" s="373"/>
      <c r="R269" s="373"/>
      <c r="S269" s="373"/>
      <c r="T269" s="373"/>
      <c r="U269" s="373"/>
      <c r="V269" s="373"/>
      <c r="W269" s="373"/>
      <c r="X269" s="373"/>
      <c r="Y269" s="373"/>
      <c r="Z269" s="373"/>
      <c r="AA269" s="373"/>
      <c r="AB269" s="373"/>
      <c r="AC269" s="373"/>
      <c r="AD269" s="373"/>
      <c r="AE269" s="373"/>
      <c r="AF269" s="373"/>
      <c r="AG269" s="373"/>
    </row>
    <row r="270" spans="1:33" x14ac:dyDescent="0.25">
      <c r="A270" s="373"/>
      <c r="B270" s="373"/>
      <c r="C270" s="373"/>
      <c r="D270" s="373"/>
      <c r="E270" s="373"/>
      <c r="F270" s="373"/>
      <c r="G270" s="373"/>
      <c r="H270" s="373"/>
      <c r="I270" s="373"/>
      <c r="J270" s="373"/>
      <c r="K270" s="373"/>
      <c r="L270" s="373"/>
      <c r="M270" s="373"/>
      <c r="N270" s="373"/>
      <c r="O270" s="373"/>
      <c r="P270" s="373"/>
      <c r="Q270" s="373"/>
      <c r="R270" s="373"/>
      <c r="S270" s="373"/>
      <c r="T270" s="373"/>
      <c r="U270" s="373"/>
      <c r="V270" s="373"/>
      <c r="W270" s="373"/>
      <c r="X270" s="373"/>
      <c r="Y270" s="373"/>
      <c r="Z270" s="373"/>
      <c r="AA270" s="373"/>
      <c r="AB270" s="373"/>
      <c r="AC270" s="373"/>
      <c r="AD270" s="373"/>
      <c r="AE270" s="373"/>
      <c r="AF270" s="373"/>
      <c r="AG270" s="373"/>
    </row>
    <row r="271" spans="1:33" x14ac:dyDescent="0.25">
      <c r="A271" s="373"/>
      <c r="B271" s="373"/>
      <c r="C271" s="373"/>
      <c r="D271" s="373"/>
      <c r="E271" s="373"/>
      <c r="F271" s="373"/>
      <c r="G271" s="373"/>
      <c r="H271" s="373"/>
      <c r="I271" s="373"/>
      <c r="J271" s="373"/>
      <c r="K271" s="373"/>
      <c r="L271" s="373"/>
      <c r="M271" s="373"/>
      <c r="N271" s="373"/>
      <c r="O271" s="373"/>
      <c r="P271" s="373"/>
      <c r="Q271" s="373"/>
      <c r="R271" s="373"/>
      <c r="S271" s="373"/>
      <c r="T271" s="373"/>
      <c r="U271" s="373"/>
      <c r="V271" s="373"/>
      <c r="W271" s="373"/>
      <c r="X271" s="373"/>
      <c r="Y271" s="373"/>
      <c r="Z271" s="373"/>
      <c r="AA271" s="373"/>
      <c r="AB271" s="373"/>
      <c r="AC271" s="373"/>
      <c r="AD271" s="373"/>
      <c r="AE271" s="373"/>
      <c r="AF271" s="373"/>
      <c r="AG271" s="373"/>
    </row>
    <row r="272" spans="1:33" x14ac:dyDescent="0.25">
      <c r="A272" s="373"/>
      <c r="B272" s="373"/>
      <c r="C272" s="373"/>
      <c r="D272" s="373"/>
      <c r="E272" s="373"/>
      <c r="F272" s="373"/>
      <c r="G272" s="373"/>
      <c r="H272" s="373"/>
      <c r="I272" s="373"/>
      <c r="J272" s="373"/>
      <c r="K272" s="373"/>
      <c r="L272" s="373"/>
      <c r="M272" s="373"/>
      <c r="N272" s="373"/>
      <c r="O272" s="373"/>
      <c r="P272" s="373"/>
      <c r="Q272" s="373"/>
      <c r="R272" s="373"/>
      <c r="S272" s="373"/>
      <c r="T272" s="373"/>
      <c r="U272" s="373"/>
      <c r="V272" s="373"/>
      <c r="W272" s="373"/>
      <c r="X272" s="373"/>
      <c r="Y272" s="373"/>
      <c r="Z272" s="373"/>
      <c r="AA272" s="373"/>
      <c r="AB272" s="373"/>
      <c r="AC272" s="373"/>
      <c r="AD272" s="373"/>
      <c r="AE272" s="373"/>
      <c r="AF272" s="373"/>
      <c r="AG272" s="373"/>
    </row>
    <row r="273" spans="1:33" x14ac:dyDescent="0.25">
      <c r="A273" s="373"/>
      <c r="B273" s="373"/>
      <c r="C273" s="373"/>
      <c r="D273" s="373"/>
      <c r="E273" s="373"/>
      <c r="F273" s="373"/>
      <c r="G273" s="373"/>
      <c r="H273" s="373"/>
      <c r="I273" s="373"/>
      <c r="J273" s="373"/>
      <c r="K273" s="373"/>
      <c r="L273" s="373"/>
      <c r="M273" s="373"/>
      <c r="N273" s="373"/>
      <c r="O273" s="373"/>
      <c r="P273" s="373"/>
      <c r="Q273" s="373"/>
      <c r="R273" s="373"/>
      <c r="S273" s="373"/>
      <c r="T273" s="373"/>
      <c r="U273" s="373"/>
      <c r="V273" s="373"/>
      <c r="W273" s="373"/>
      <c r="X273" s="373"/>
      <c r="Y273" s="373"/>
      <c r="Z273" s="373"/>
      <c r="AA273" s="373"/>
      <c r="AB273" s="373"/>
      <c r="AC273" s="373"/>
      <c r="AD273" s="373"/>
      <c r="AE273" s="373"/>
      <c r="AF273" s="373"/>
      <c r="AG273" s="373"/>
    </row>
    <row r="274" spans="1:33" x14ac:dyDescent="0.25">
      <c r="A274" s="373"/>
      <c r="B274" s="373"/>
      <c r="C274" s="373"/>
      <c r="D274" s="373"/>
      <c r="E274" s="373"/>
      <c r="F274" s="373"/>
      <c r="G274" s="373"/>
      <c r="H274" s="373"/>
      <c r="I274" s="373"/>
      <c r="J274" s="373"/>
      <c r="K274" s="373"/>
      <c r="L274" s="373"/>
      <c r="M274" s="373"/>
      <c r="N274" s="373"/>
      <c r="O274" s="373"/>
      <c r="P274" s="373"/>
      <c r="Q274" s="373"/>
      <c r="R274" s="373"/>
      <c r="S274" s="373"/>
      <c r="T274" s="373"/>
      <c r="U274" s="373"/>
      <c r="V274" s="373"/>
      <c r="W274" s="373"/>
      <c r="X274" s="373"/>
      <c r="Y274" s="373"/>
      <c r="Z274" s="373"/>
      <c r="AA274" s="373"/>
      <c r="AB274" s="373"/>
      <c r="AC274" s="373"/>
      <c r="AD274" s="373"/>
      <c r="AE274" s="373"/>
      <c r="AF274" s="373"/>
      <c r="AG274" s="373"/>
    </row>
    <row r="275" spans="1:33" x14ac:dyDescent="0.25">
      <c r="A275" s="373"/>
      <c r="B275" s="373"/>
      <c r="C275" s="373"/>
      <c r="D275" s="373"/>
      <c r="E275" s="373"/>
      <c r="F275" s="373"/>
      <c r="G275" s="373"/>
      <c r="H275" s="373"/>
      <c r="I275" s="373"/>
      <c r="J275" s="373"/>
      <c r="K275" s="373"/>
      <c r="L275" s="373"/>
      <c r="M275" s="373"/>
      <c r="N275" s="373"/>
      <c r="O275" s="373"/>
      <c r="P275" s="373"/>
      <c r="Q275" s="373"/>
      <c r="R275" s="373"/>
      <c r="S275" s="373"/>
      <c r="T275" s="373"/>
      <c r="U275" s="373"/>
      <c r="V275" s="373"/>
      <c r="W275" s="373"/>
      <c r="X275" s="373"/>
      <c r="Y275" s="373"/>
      <c r="Z275" s="373"/>
      <c r="AA275" s="373"/>
      <c r="AB275" s="373"/>
      <c r="AC275" s="373"/>
      <c r="AD275" s="373"/>
      <c r="AE275" s="373"/>
      <c r="AF275" s="373"/>
      <c r="AG275" s="373"/>
    </row>
    <row r="276" spans="1:33" x14ac:dyDescent="0.25">
      <c r="A276" s="373"/>
      <c r="B276" s="373"/>
      <c r="C276" s="373"/>
      <c r="D276" s="373"/>
      <c r="E276" s="373"/>
      <c r="F276" s="373"/>
      <c r="G276" s="373"/>
      <c r="H276" s="373"/>
      <c r="I276" s="373"/>
      <c r="J276" s="373"/>
      <c r="K276" s="373"/>
      <c r="L276" s="373"/>
      <c r="M276" s="373"/>
      <c r="N276" s="373"/>
      <c r="O276" s="373"/>
      <c r="P276" s="373"/>
      <c r="Q276" s="373"/>
      <c r="R276" s="373"/>
      <c r="S276" s="373"/>
      <c r="T276" s="373"/>
      <c r="U276" s="373"/>
      <c r="V276" s="373"/>
      <c r="W276" s="373"/>
      <c r="X276" s="373"/>
      <c r="Y276" s="373"/>
      <c r="Z276" s="373"/>
      <c r="AA276" s="373"/>
      <c r="AB276" s="373"/>
      <c r="AC276" s="373"/>
      <c r="AD276" s="373"/>
      <c r="AE276" s="373"/>
      <c r="AF276" s="373"/>
      <c r="AG276" s="373"/>
    </row>
    <row r="277" spans="1:33" x14ac:dyDescent="0.25">
      <c r="A277" s="373"/>
      <c r="B277" s="373"/>
      <c r="C277" s="373"/>
      <c r="D277" s="373"/>
      <c r="E277" s="373"/>
      <c r="F277" s="373"/>
      <c r="G277" s="373"/>
      <c r="H277" s="373"/>
      <c r="I277" s="373"/>
      <c r="J277" s="373"/>
      <c r="K277" s="373"/>
      <c r="L277" s="373"/>
      <c r="M277" s="373"/>
      <c r="N277" s="373"/>
      <c r="O277" s="373"/>
      <c r="P277" s="373"/>
      <c r="Q277" s="373"/>
      <c r="R277" s="373"/>
      <c r="S277" s="373"/>
      <c r="T277" s="373"/>
      <c r="U277" s="373"/>
      <c r="V277" s="373"/>
      <c r="W277" s="373"/>
      <c r="X277" s="373"/>
      <c r="Y277" s="373"/>
      <c r="Z277" s="373"/>
      <c r="AA277" s="373"/>
      <c r="AB277" s="373"/>
      <c r="AC277" s="373"/>
      <c r="AD277" s="373"/>
      <c r="AE277" s="373"/>
      <c r="AF277" s="373"/>
      <c r="AG277" s="373"/>
    </row>
    <row r="278" spans="1:33" x14ac:dyDescent="0.25">
      <c r="A278" s="373"/>
      <c r="B278" s="373"/>
      <c r="C278" s="373"/>
      <c r="D278" s="373"/>
      <c r="E278" s="373"/>
      <c r="F278" s="373"/>
      <c r="G278" s="373"/>
      <c r="H278" s="373"/>
      <c r="I278" s="373"/>
      <c r="J278" s="373"/>
      <c r="K278" s="373"/>
      <c r="L278" s="373"/>
      <c r="M278" s="373"/>
      <c r="N278" s="373"/>
      <c r="O278" s="373"/>
      <c r="P278" s="373"/>
      <c r="Q278" s="373"/>
      <c r="R278" s="373"/>
      <c r="S278" s="373"/>
      <c r="T278" s="373"/>
      <c r="U278" s="373"/>
      <c r="V278" s="373"/>
      <c r="W278" s="373"/>
      <c r="X278" s="373"/>
      <c r="Y278" s="373"/>
      <c r="Z278" s="373"/>
      <c r="AA278" s="373"/>
      <c r="AB278" s="373"/>
      <c r="AC278" s="373"/>
      <c r="AD278" s="373"/>
      <c r="AE278" s="373"/>
      <c r="AF278" s="373"/>
      <c r="AG278" s="373"/>
    </row>
    <row r="279" spans="1:33" x14ac:dyDescent="0.25">
      <c r="A279" s="373"/>
      <c r="B279" s="373"/>
      <c r="C279" s="373"/>
      <c r="D279" s="373"/>
      <c r="E279" s="373"/>
      <c r="F279" s="373"/>
      <c r="G279" s="373"/>
      <c r="H279" s="373"/>
      <c r="I279" s="373"/>
      <c r="J279" s="373"/>
      <c r="K279" s="373"/>
      <c r="L279" s="373"/>
      <c r="M279" s="373"/>
      <c r="N279" s="373"/>
      <c r="O279" s="373"/>
      <c r="P279" s="373"/>
      <c r="Q279" s="373"/>
      <c r="R279" s="373"/>
      <c r="S279" s="373"/>
      <c r="T279" s="373"/>
      <c r="U279" s="373"/>
      <c r="V279" s="373"/>
      <c r="W279" s="373"/>
      <c r="X279" s="373"/>
      <c r="Y279" s="373"/>
      <c r="Z279" s="373"/>
      <c r="AA279" s="373"/>
      <c r="AB279" s="373"/>
      <c r="AC279" s="373"/>
      <c r="AD279" s="373"/>
      <c r="AE279" s="373"/>
      <c r="AF279" s="373"/>
      <c r="AG279" s="373"/>
    </row>
    <row r="280" spans="1:33" x14ac:dyDescent="0.25">
      <c r="A280" s="373"/>
      <c r="B280" s="373"/>
      <c r="C280" s="373"/>
      <c r="D280" s="373"/>
      <c r="E280" s="373"/>
      <c r="F280" s="373"/>
      <c r="G280" s="373"/>
      <c r="H280" s="373"/>
      <c r="I280" s="373"/>
      <c r="J280" s="373"/>
      <c r="K280" s="373"/>
      <c r="L280" s="373"/>
      <c r="M280" s="373"/>
      <c r="N280" s="373"/>
      <c r="O280" s="373"/>
      <c r="P280" s="373"/>
      <c r="Q280" s="373"/>
      <c r="R280" s="373"/>
      <c r="S280" s="373"/>
      <c r="T280" s="373"/>
      <c r="U280" s="373"/>
      <c r="V280" s="373"/>
      <c r="W280" s="373"/>
      <c r="X280" s="373"/>
      <c r="Y280" s="373"/>
      <c r="Z280" s="373"/>
      <c r="AA280" s="373"/>
      <c r="AB280" s="373"/>
      <c r="AC280" s="373"/>
      <c r="AD280" s="373"/>
      <c r="AE280" s="373"/>
      <c r="AF280" s="373"/>
      <c r="AG280" s="373"/>
    </row>
    <row r="281" spans="1:33" x14ac:dyDescent="0.25">
      <c r="A281" s="373"/>
      <c r="B281" s="373"/>
      <c r="C281" s="373"/>
      <c r="D281" s="373"/>
      <c r="E281" s="373"/>
      <c r="F281" s="373"/>
      <c r="G281" s="373"/>
      <c r="H281" s="373"/>
      <c r="I281" s="373"/>
      <c r="J281" s="373"/>
      <c r="K281" s="373"/>
      <c r="L281" s="373"/>
      <c r="M281" s="373"/>
      <c r="N281" s="373"/>
      <c r="O281" s="373"/>
      <c r="P281" s="373"/>
      <c r="Q281" s="373"/>
      <c r="R281" s="373"/>
      <c r="S281" s="373"/>
      <c r="T281" s="373"/>
      <c r="U281" s="373"/>
      <c r="V281" s="373"/>
      <c r="W281" s="373"/>
      <c r="X281" s="373"/>
      <c r="Y281" s="373"/>
      <c r="Z281" s="373"/>
      <c r="AA281" s="373"/>
      <c r="AB281" s="373"/>
      <c r="AC281" s="373"/>
      <c r="AD281" s="373"/>
      <c r="AE281" s="373"/>
      <c r="AF281" s="373"/>
      <c r="AG281" s="373"/>
    </row>
    <row r="282" spans="1:33" x14ac:dyDescent="0.25">
      <c r="A282" s="373"/>
      <c r="B282" s="373"/>
      <c r="C282" s="373"/>
      <c r="D282" s="373"/>
      <c r="E282" s="373"/>
      <c r="F282" s="373"/>
      <c r="G282" s="373"/>
      <c r="H282" s="373"/>
      <c r="I282" s="373"/>
      <c r="J282" s="373"/>
      <c r="K282" s="373"/>
      <c r="L282" s="373"/>
      <c r="M282" s="373"/>
      <c r="N282" s="373"/>
      <c r="O282" s="373"/>
      <c r="P282" s="373"/>
      <c r="Q282" s="373"/>
      <c r="R282" s="373"/>
      <c r="S282" s="373"/>
      <c r="T282" s="373"/>
      <c r="U282" s="373"/>
      <c r="V282" s="373"/>
      <c r="W282" s="373"/>
      <c r="X282" s="373"/>
      <c r="Y282" s="373"/>
      <c r="Z282" s="373"/>
      <c r="AA282" s="373"/>
      <c r="AB282" s="373"/>
      <c r="AC282" s="373"/>
      <c r="AD282" s="373"/>
      <c r="AE282" s="373"/>
      <c r="AF282" s="373"/>
      <c r="AG282" s="373"/>
    </row>
    <row r="283" spans="1:33" x14ac:dyDescent="0.25">
      <c r="A283" s="373"/>
      <c r="B283" s="373"/>
      <c r="C283" s="373"/>
      <c r="D283" s="373"/>
      <c r="E283" s="373"/>
      <c r="F283" s="373"/>
      <c r="G283" s="373"/>
      <c r="H283" s="373"/>
      <c r="I283" s="373"/>
      <c r="J283" s="373"/>
      <c r="K283" s="373"/>
      <c r="L283" s="373"/>
      <c r="M283" s="373"/>
      <c r="N283" s="373"/>
      <c r="O283" s="373"/>
      <c r="P283" s="373"/>
      <c r="Q283" s="373"/>
      <c r="R283" s="373"/>
      <c r="S283" s="373"/>
      <c r="T283" s="373"/>
      <c r="U283" s="373"/>
      <c r="V283" s="373"/>
      <c r="W283" s="373"/>
      <c r="X283" s="373"/>
      <c r="Y283" s="373"/>
      <c r="Z283" s="373"/>
      <c r="AA283" s="373"/>
      <c r="AB283" s="373"/>
      <c r="AC283" s="373"/>
      <c r="AD283" s="373"/>
      <c r="AE283" s="373"/>
      <c r="AF283" s="373"/>
      <c r="AG283" s="373"/>
    </row>
    <row r="284" spans="1:33" x14ac:dyDescent="0.25">
      <c r="A284" s="373"/>
      <c r="B284" s="373"/>
      <c r="C284" s="373"/>
      <c r="D284" s="373"/>
      <c r="E284" s="373"/>
      <c r="F284" s="373"/>
      <c r="G284" s="373"/>
      <c r="H284" s="373"/>
      <c r="I284" s="373"/>
      <c r="J284" s="373"/>
      <c r="K284" s="373"/>
      <c r="L284" s="373"/>
      <c r="M284" s="373"/>
      <c r="N284" s="373"/>
      <c r="O284" s="373"/>
      <c r="P284" s="373"/>
      <c r="Q284" s="373"/>
      <c r="R284" s="373"/>
      <c r="S284" s="373"/>
      <c r="T284" s="373"/>
      <c r="U284" s="373"/>
      <c r="V284" s="373"/>
      <c r="W284" s="373"/>
      <c r="X284" s="373"/>
      <c r="Y284" s="373"/>
      <c r="Z284" s="373"/>
      <c r="AA284" s="373"/>
      <c r="AB284" s="373"/>
      <c r="AC284" s="373"/>
      <c r="AD284" s="373"/>
      <c r="AE284" s="373"/>
      <c r="AF284" s="373"/>
      <c r="AG284" s="373"/>
    </row>
    <row r="285" spans="1:33" x14ac:dyDescent="0.25">
      <c r="A285" s="373"/>
      <c r="B285" s="373"/>
      <c r="C285" s="373"/>
      <c r="D285" s="373"/>
      <c r="E285" s="373"/>
      <c r="F285" s="373"/>
      <c r="G285" s="373"/>
      <c r="H285" s="373"/>
      <c r="I285" s="373"/>
      <c r="J285" s="373"/>
      <c r="K285" s="373"/>
      <c r="L285" s="373"/>
      <c r="M285" s="373"/>
      <c r="N285" s="373"/>
      <c r="O285" s="373"/>
      <c r="P285" s="373"/>
      <c r="Q285" s="373"/>
      <c r="R285" s="373"/>
      <c r="S285" s="373"/>
      <c r="T285" s="373"/>
      <c r="U285" s="373"/>
      <c r="V285" s="373"/>
      <c r="W285" s="373"/>
      <c r="X285" s="373"/>
      <c r="Y285" s="373"/>
      <c r="Z285" s="373"/>
      <c r="AA285" s="373"/>
      <c r="AB285" s="373"/>
      <c r="AC285" s="373"/>
      <c r="AD285" s="373"/>
      <c r="AE285" s="373"/>
      <c r="AF285" s="373"/>
      <c r="AG285" s="373"/>
    </row>
    <row r="286" spans="1:33" x14ac:dyDescent="0.25">
      <c r="A286" s="373"/>
      <c r="B286" s="373"/>
      <c r="C286" s="373"/>
      <c r="D286" s="373"/>
      <c r="E286" s="373"/>
      <c r="F286" s="373"/>
      <c r="G286" s="373"/>
      <c r="H286" s="373"/>
      <c r="I286" s="373"/>
      <c r="J286" s="373"/>
      <c r="K286" s="373"/>
      <c r="L286" s="373"/>
      <c r="M286" s="373"/>
      <c r="N286" s="373"/>
      <c r="O286" s="373"/>
      <c r="P286" s="373"/>
      <c r="Q286" s="373"/>
      <c r="R286" s="373"/>
      <c r="S286" s="373"/>
      <c r="T286" s="373"/>
      <c r="U286" s="373"/>
      <c r="V286" s="373"/>
      <c r="W286" s="373"/>
      <c r="X286" s="373"/>
      <c r="Y286" s="373"/>
      <c r="Z286" s="373"/>
      <c r="AA286" s="373"/>
      <c r="AB286" s="373"/>
      <c r="AC286" s="373"/>
      <c r="AD286" s="373"/>
      <c r="AE286" s="373"/>
      <c r="AF286" s="373"/>
      <c r="AG286" s="373"/>
    </row>
    <row r="287" spans="1:33" x14ac:dyDescent="0.25">
      <c r="A287" s="373"/>
      <c r="B287" s="373"/>
      <c r="C287" s="373"/>
      <c r="D287" s="373"/>
      <c r="E287" s="373"/>
      <c r="F287" s="373"/>
      <c r="G287" s="373"/>
      <c r="H287" s="373"/>
      <c r="I287" s="373"/>
      <c r="J287" s="373"/>
      <c r="K287" s="373"/>
      <c r="L287" s="373"/>
      <c r="M287" s="373"/>
      <c r="N287" s="373"/>
      <c r="O287" s="373"/>
      <c r="P287" s="373"/>
      <c r="Q287" s="373"/>
      <c r="R287" s="373"/>
      <c r="S287" s="373"/>
      <c r="T287" s="373"/>
      <c r="U287" s="373"/>
      <c r="V287" s="373"/>
      <c r="W287" s="373"/>
      <c r="X287" s="373"/>
      <c r="Y287" s="373"/>
      <c r="Z287" s="373"/>
      <c r="AA287" s="373"/>
      <c r="AB287" s="373"/>
      <c r="AC287" s="373"/>
      <c r="AD287" s="373"/>
      <c r="AE287" s="373"/>
      <c r="AF287" s="373"/>
      <c r="AG287" s="373"/>
    </row>
    <row r="288" spans="1:33" x14ac:dyDescent="0.25">
      <c r="A288" s="373"/>
      <c r="B288" s="373"/>
      <c r="C288" s="373"/>
      <c r="D288" s="373"/>
      <c r="E288" s="373"/>
      <c r="F288" s="373"/>
      <c r="G288" s="373"/>
      <c r="H288" s="373"/>
      <c r="I288" s="373"/>
      <c r="J288" s="373"/>
      <c r="K288" s="373"/>
      <c r="L288" s="373"/>
      <c r="M288" s="373"/>
      <c r="N288" s="373"/>
      <c r="O288" s="373"/>
      <c r="P288" s="373"/>
      <c r="Q288" s="373"/>
      <c r="R288" s="373"/>
      <c r="S288" s="373"/>
      <c r="T288" s="373"/>
      <c r="U288" s="373"/>
      <c r="V288" s="373"/>
      <c r="W288" s="373"/>
      <c r="X288" s="373"/>
      <c r="Y288" s="373"/>
      <c r="Z288" s="373"/>
      <c r="AA288" s="373"/>
      <c r="AB288" s="373"/>
      <c r="AC288" s="373"/>
      <c r="AD288" s="373"/>
      <c r="AE288" s="373"/>
      <c r="AF288" s="373"/>
      <c r="AG288" s="373"/>
    </row>
    <row r="289" spans="1:33" x14ac:dyDescent="0.25">
      <c r="A289" s="373"/>
      <c r="B289" s="373"/>
      <c r="C289" s="373"/>
      <c r="D289" s="373"/>
      <c r="E289" s="373"/>
      <c r="F289" s="373"/>
      <c r="G289" s="373"/>
      <c r="H289" s="373"/>
      <c r="I289" s="373"/>
      <c r="J289" s="373"/>
      <c r="K289" s="373"/>
      <c r="L289" s="373"/>
      <c r="M289" s="373"/>
      <c r="N289" s="373"/>
      <c r="O289" s="373"/>
      <c r="P289" s="373"/>
      <c r="Q289" s="373"/>
      <c r="R289" s="373"/>
      <c r="S289" s="373"/>
      <c r="T289" s="373"/>
      <c r="U289" s="373"/>
      <c r="V289" s="373"/>
      <c r="W289" s="373"/>
      <c r="X289" s="373"/>
      <c r="Y289" s="373"/>
      <c r="Z289" s="373"/>
      <c r="AA289" s="373"/>
      <c r="AB289" s="373"/>
      <c r="AC289" s="373"/>
      <c r="AD289" s="373"/>
      <c r="AE289" s="373"/>
      <c r="AF289" s="373"/>
      <c r="AG289" s="373"/>
    </row>
    <row r="290" spans="1:33" x14ac:dyDescent="0.25">
      <c r="A290" s="373"/>
      <c r="B290" s="373"/>
      <c r="C290" s="373"/>
      <c r="D290" s="373"/>
      <c r="E290" s="373"/>
      <c r="F290" s="373"/>
      <c r="G290" s="373"/>
      <c r="H290" s="373"/>
      <c r="I290" s="373"/>
      <c r="J290" s="373"/>
      <c r="K290" s="373"/>
      <c r="L290" s="373"/>
      <c r="M290" s="373"/>
      <c r="N290" s="373"/>
      <c r="O290" s="373"/>
      <c r="P290" s="373"/>
      <c r="Q290" s="373"/>
      <c r="R290" s="373"/>
      <c r="S290" s="373"/>
      <c r="T290" s="373"/>
      <c r="U290" s="373"/>
      <c r="V290" s="373"/>
      <c r="W290" s="373"/>
      <c r="X290" s="373"/>
      <c r="Y290" s="373"/>
      <c r="Z290" s="373"/>
      <c r="AA290" s="373"/>
      <c r="AB290" s="373"/>
      <c r="AC290" s="373"/>
      <c r="AD290" s="373"/>
      <c r="AE290" s="373"/>
      <c r="AF290" s="373"/>
      <c r="AG290" s="373"/>
    </row>
    <row r="291" spans="1:33" x14ac:dyDescent="0.25">
      <c r="A291" s="373"/>
      <c r="B291" s="373"/>
      <c r="C291" s="373"/>
      <c r="D291" s="373"/>
      <c r="E291" s="373"/>
      <c r="F291" s="373"/>
      <c r="G291" s="373"/>
      <c r="H291" s="373"/>
      <c r="I291" s="373"/>
      <c r="J291" s="373"/>
      <c r="K291" s="373"/>
      <c r="L291" s="373"/>
      <c r="M291" s="373"/>
      <c r="N291" s="373"/>
      <c r="O291" s="373"/>
      <c r="P291" s="373"/>
      <c r="Q291" s="373"/>
      <c r="R291" s="373"/>
      <c r="S291" s="373"/>
      <c r="T291" s="373"/>
      <c r="U291" s="373"/>
      <c r="V291" s="373"/>
      <c r="W291" s="373"/>
      <c r="X291" s="373"/>
      <c r="Y291" s="373"/>
      <c r="Z291" s="373"/>
      <c r="AA291" s="373"/>
      <c r="AB291" s="373"/>
      <c r="AC291" s="373"/>
      <c r="AD291" s="373"/>
      <c r="AE291" s="373"/>
      <c r="AF291" s="373"/>
      <c r="AG291" s="373"/>
    </row>
    <row r="292" spans="1:33" x14ac:dyDescent="0.25">
      <c r="A292" s="373"/>
      <c r="B292" s="373"/>
      <c r="C292" s="373"/>
      <c r="D292" s="373"/>
      <c r="E292" s="373"/>
      <c r="F292" s="373"/>
      <c r="G292" s="373"/>
      <c r="H292" s="373"/>
      <c r="I292" s="373"/>
      <c r="J292" s="373"/>
      <c r="K292" s="373"/>
      <c r="L292" s="373"/>
      <c r="M292" s="373"/>
      <c r="N292" s="373"/>
      <c r="O292" s="373"/>
      <c r="P292" s="373"/>
      <c r="Q292" s="373"/>
      <c r="R292" s="373"/>
      <c r="S292" s="373"/>
      <c r="T292" s="373"/>
      <c r="U292" s="373"/>
      <c r="V292" s="373"/>
      <c r="W292" s="373"/>
      <c r="X292" s="373"/>
      <c r="Y292" s="373"/>
      <c r="Z292" s="373"/>
      <c r="AA292" s="373"/>
      <c r="AB292" s="373"/>
      <c r="AC292" s="373"/>
      <c r="AD292" s="373"/>
      <c r="AE292" s="373"/>
      <c r="AF292" s="373"/>
      <c r="AG292" s="373"/>
    </row>
    <row r="293" spans="1:33" x14ac:dyDescent="0.25">
      <c r="A293" s="373"/>
      <c r="B293" s="373"/>
      <c r="C293" s="373"/>
      <c r="D293" s="373"/>
      <c r="E293" s="373"/>
      <c r="F293" s="373"/>
      <c r="G293" s="373"/>
      <c r="H293" s="373"/>
      <c r="I293" s="373"/>
      <c r="J293" s="373"/>
      <c r="K293" s="373"/>
      <c r="L293" s="373"/>
      <c r="M293" s="373"/>
      <c r="N293" s="373"/>
      <c r="O293" s="373"/>
      <c r="P293" s="373"/>
      <c r="Q293" s="373"/>
      <c r="R293" s="373"/>
      <c r="S293" s="373"/>
      <c r="T293" s="373"/>
      <c r="U293" s="373"/>
      <c r="V293" s="373"/>
      <c r="W293" s="373"/>
      <c r="X293" s="373"/>
      <c r="Y293" s="373"/>
      <c r="Z293" s="373"/>
      <c r="AA293" s="373"/>
      <c r="AB293" s="373"/>
      <c r="AC293" s="373"/>
      <c r="AD293" s="373"/>
      <c r="AE293" s="373"/>
      <c r="AF293" s="373"/>
      <c r="AG293" s="373"/>
    </row>
    <row r="294" spans="1:33" x14ac:dyDescent="0.25">
      <c r="A294" s="373"/>
      <c r="B294" s="373"/>
      <c r="C294" s="373"/>
      <c r="D294" s="373"/>
      <c r="E294" s="373"/>
      <c r="F294" s="373"/>
      <c r="G294" s="373"/>
      <c r="H294" s="373"/>
      <c r="I294" s="373"/>
      <c r="J294" s="373"/>
      <c r="K294" s="373"/>
      <c r="L294" s="373"/>
      <c r="M294" s="373"/>
      <c r="N294" s="373"/>
      <c r="O294" s="373"/>
      <c r="P294" s="373"/>
      <c r="Q294" s="373"/>
      <c r="R294" s="373"/>
      <c r="S294" s="373"/>
      <c r="T294" s="373"/>
      <c r="U294" s="373"/>
      <c r="V294" s="373"/>
      <c r="W294" s="373"/>
      <c r="X294" s="373"/>
      <c r="Y294" s="373"/>
      <c r="Z294" s="373"/>
      <c r="AA294" s="373"/>
      <c r="AB294" s="373"/>
      <c r="AC294" s="373"/>
      <c r="AD294" s="373"/>
      <c r="AE294" s="373"/>
      <c r="AF294" s="373"/>
      <c r="AG294" s="373"/>
    </row>
    <row r="295" spans="1:33" x14ac:dyDescent="0.25">
      <c r="A295" s="373"/>
      <c r="B295" s="373"/>
      <c r="C295" s="373"/>
      <c r="D295" s="373"/>
      <c r="E295" s="373"/>
      <c r="F295" s="373"/>
      <c r="G295" s="373"/>
      <c r="H295" s="373"/>
      <c r="I295" s="373"/>
      <c r="J295" s="373"/>
      <c r="K295" s="373"/>
      <c r="L295" s="373"/>
      <c r="M295" s="373"/>
      <c r="N295" s="373"/>
      <c r="O295" s="373"/>
      <c r="P295" s="373"/>
      <c r="Q295" s="373"/>
      <c r="R295" s="373"/>
      <c r="S295" s="373"/>
      <c r="T295" s="373"/>
      <c r="U295" s="373"/>
      <c r="V295" s="373"/>
      <c r="W295" s="373"/>
      <c r="X295" s="373"/>
      <c r="Y295" s="373"/>
      <c r="Z295" s="373"/>
      <c r="AA295" s="373"/>
      <c r="AB295" s="373"/>
      <c r="AC295" s="373"/>
      <c r="AD295" s="373"/>
      <c r="AE295" s="373"/>
      <c r="AF295" s="373"/>
      <c r="AG295" s="373"/>
    </row>
    <row r="296" spans="1:33" x14ac:dyDescent="0.25">
      <c r="A296" s="373"/>
      <c r="B296" s="373"/>
      <c r="C296" s="373"/>
      <c r="D296" s="373"/>
      <c r="E296" s="373"/>
      <c r="F296" s="373"/>
      <c r="G296" s="373"/>
      <c r="H296" s="373"/>
      <c r="I296" s="373"/>
      <c r="J296" s="373"/>
      <c r="K296" s="373"/>
      <c r="L296" s="373"/>
      <c r="M296" s="373"/>
      <c r="N296" s="373"/>
      <c r="O296" s="373"/>
      <c r="P296" s="373"/>
      <c r="Q296" s="373"/>
      <c r="R296" s="373"/>
      <c r="S296" s="373"/>
      <c r="T296" s="373"/>
      <c r="U296" s="373"/>
      <c r="V296" s="373"/>
      <c r="W296" s="373"/>
      <c r="X296" s="373"/>
      <c r="Y296" s="373"/>
      <c r="Z296" s="373"/>
      <c r="AA296" s="373"/>
      <c r="AB296" s="373"/>
      <c r="AC296" s="373"/>
      <c r="AD296" s="373"/>
      <c r="AE296" s="373"/>
      <c r="AF296" s="373"/>
      <c r="AG296" s="373"/>
    </row>
    <row r="297" spans="1:33" x14ac:dyDescent="0.25">
      <c r="A297" s="373"/>
      <c r="B297" s="373"/>
      <c r="C297" s="373"/>
      <c r="D297" s="373"/>
      <c r="E297" s="373"/>
      <c r="F297" s="373"/>
      <c r="G297" s="373"/>
      <c r="H297" s="373"/>
      <c r="I297" s="373"/>
      <c r="J297" s="373"/>
      <c r="K297" s="373"/>
      <c r="L297" s="373"/>
      <c r="M297" s="373"/>
      <c r="N297" s="373"/>
      <c r="O297" s="373"/>
      <c r="P297" s="373"/>
      <c r="Q297" s="373"/>
      <c r="R297" s="373"/>
      <c r="S297" s="373"/>
      <c r="T297" s="373"/>
      <c r="U297" s="373"/>
      <c r="V297" s="373"/>
      <c r="W297" s="373"/>
      <c r="X297" s="373"/>
      <c r="Y297" s="373"/>
      <c r="Z297" s="373"/>
      <c r="AA297" s="373"/>
      <c r="AB297" s="373"/>
      <c r="AC297" s="373"/>
      <c r="AD297" s="373"/>
      <c r="AE297" s="373"/>
      <c r="AF297" s="373"/>
      <c r="AG297" s="373"/>
    </row>
    <row r="298" spans="1:33" x14ac:dyDescent="0.25">
      <c r="A298" s="373"/>
      <c r="B298" s="373"/>
      <c r="C298" s="373"/>
      <c r="D298" s="373"/>
      <c r="E298" s="373"/>
      <c r="F298" s="373"/>
      <c r="G298" s="373"/>
      <c r="H298" s="373"/>
      <c r="I298" s="373"/>
      <c r="J298" s="373"/>
      <c r="K298" s="373"/>
      <c r="L298" s="373"/>
      <c r="M298" s="373"/>
      <c r="N298" s="373"/>
      <c r="O298" s="373"/>
      <c r="P298" s="373"/>
      <c r="Q298" s="373"/>
      <c r="R298" s="373"/>
      <c r="S298" s="373"/>
      <c r="T298" s="373"/>
      <c r="U298" s="373"/>
      <c r="V298" s="373"/>
      <c r="W298" s="373"/>
      <c r="X298" s="373"/>
      <c r="Y298" s="373"/>
      <c r="Z298" s="373"/>
      <c r="AA298" s="373"/>
      <c r="AB298" s="373"/>
      <c r="AC298" s="373"/>
      <c r="AD298" s="373"/>
      <c r="AE298" s="373"/>
      <c r="AF298" s="373"/>
      <c r="AG298" s="373"/>
    </row>
    <row r="299" spans="1:33" x14ac:dyDescent="0.25">
      <c r="A299" s="373"/>
      <c r="B299" s="373"/>
      <c r="C299" s="373"/>
      <c r="D299" s="373"/>
      <c r="E299" s="373"/>
      <c r="F299" s="373"/>
      <c r="G299" s="373"/>
      <c r="H299" s="373"/>
      <c r="I299" s="373"/>
      <c r="J299" s="373"/>
      <c r="K299" s="373"/>
      <c r="L299" s="373"/>
      <c r="M299" s="373"/>
      <c r="N299" s="373"/>
      <c r="O299" s="373"/>
      <c r="P299" s="373"/>
      <c r="Q299" s="373"/>
      <c r="R299" s="373"/>
      <c r="S299" s="373"/>
      <c r="T299" s="373"/>
      <c r="U299" s="373"/>
      <c r="V299" s="373"/>
      <c r="W299" s="373"/>
      <c r="X299" s="373"/>
      <c r="Y299" s="373"/>
      <c r="Z299" s="373"/>
      <c r="AA299" s="373"/>
      <c r="AB299" s="373"/>
      <c r="AC299" s="373"/>
      <c r="AD299" s="373"/>
      <c r="AE299" s="373"/>
      <c r="AF299" s="373"/>
      <c r="AG299" s="373"/>
    </row>
    <row r="300" spans="1:33" x14ac:dyDescent="0.25">
      <c r="A300" s="373"/>
      <c r="B300" s="373"/>
      <c r="C300" s="373"/>
      <c r="D300" s="373"/>
      <c r="E300" s="373"/>
      <c r="F300" s="373"/>
      <c r="G300" s="373"/>
      <c r="H300" s="373"/>
      <c r="I300" s="373"/>
      <c r="J300" s="373"/>
      <c r="K300" s="373"/>
      <c r="L300" s="373"/>
      <c r="M300" s="373"/>
      <c r="N300" s="373"/>
      <c r="O300" s="373"/>
      <c r="P300" s="373"/>
      <c r="Q300" s="373"/>
      <c r="R300" s="373"/>
      <c r="S300" s="373"/>
      <c r="T300" s="373"/>
      <c r="U300" s="373"/>
      <c r="V300" s="373"/>
      <c r="W300" s="373"/>
      <c r="X300" s="373"/>
      <c r="Y300" s="373"/>
      <c r="Z300" s="373"/>
      <c r="AA300" s="373"/>
      <c r="AB300" s="373"/>
      <c r="AC300" s="373"/>
      <c r="AD300" s="373"/>
      <c r="AE300" s="373"/>
      <c r="AF300" s="373"/>
      <c r="AG300" s="373"/>
    </row>
    <row r="301" spans="1:33" x14ac:dyDescent="0.25">
      <c r="A301" s="373"/>
      <c r="B301" s="373"/>
      <c r="C301" s="373"/>
      <c r="D301" s="373"/>
      <c r="E301" s="373"/>
      <c r="F301" s="373"/>
      <c r="G301" s="373"/>
      <c r="H301" s="373"/>
      <c r="I301" s="373"/>
      <c r="J301" s="373"/>
      <c r="K301" s="373"/>
      <c r="L301" s="373"/>
      <c r="M301" s="373"/>
      <c r="N301" s="373"/>
      <c r="O301" s="373"/>
      <c r="P301" s="373"/>
      <c r="Q301" s="373"/>
      <c r="R301" s="373"/>
      <c r="S301" s="373"/>
      <c r="T301" s="373"/>
      <c r="U301" s="373"/>
      <c r="V301" s="373"/>
      <c r="W301" s="373"/>
      <c r="X301" s="373"/>
      <c r="Y301" s="373"/>
      <c r="Z301" s="373"/>
      <c r="AA301" s="373"/>
      <c r="AB301" s="373"/>
      <c r="AC301" s="373"/>
      <c r="AD301" s="373"/>
      <c r="AE301" s="373"/>
      <c r="AF301" s="373"/>
      <c r="AG301" s="373"/>
    </row>
    <row r="302" spans="1:33" x14ac:dyDescent="0.25">
      <c r="A302" s="373"/>
      <c r="B302" s="373"/>
      <c r="C302" s="373"/>
      <c r="D302" s="373"/>
      <c r="E302" s="373"/>
      <c r="F302" s="373"/>
      <c r="G302" s="373"/>
      <c r="H302" s="373"/>
      <c r="I302" s="373"/>
      <c r="J302" s="373"/>
      <c r="K302" s="373"/>
      <c r="L302" s="373"/>
      <c r="M302" s="373"/>
      <c r="N302" s="373"/>
      <c r="O302" s="373"/>
      <c r="P302" s="373"/>
      <c r="Q302" s="373"/>
      <c r="R302" s="373"/>
      <c r="S302" s="373"/>
      <c r="T302" s="373"/>
      <c r="U302" s="373"/>
      <c r="V302" s="373"/>
      <c r="W302" s="373"/>
      <c r="X302" s="373"/>
      <c r="Y302" s="373"/>
      <c r="Z302" s="373"/>
      <c r="AA302" s="373"/>
      <c r="AB302" s="373"/>
      <c r="AC302" s="373"/>
      <c r="AD302" s="373"/>
      <c r="AE302" s="373"/>
      <c r="AF302" s="373"/>
      <c r="AG302" s="373"/>
    </row>
    <row r="303" spans="1:33" x14ac:dyDescent="0.25">
      <c r="A303" s="373"/>
      <c r="B303" s="373"/>
      <c r="C303" s="373"/>
      <c r="D303" s="373"/>
      <c r="E303" s="373"/>
      <c r="F303" s="373"/>
      <c r="G303" s="373"/>
      <c r="H303" s="373"/>
      <c r="I303" s="373"/>
      <c r="J303" s="373"/>
      <c r="K303" s="373"/>
      <c r="L303" s="373"/>
      <c r="M303" s="373"/>
      <c r="N303" s="373"/>
      <c r="O303" s="373"/>
      <c r="P303" s="373"/>
      <c r="Q303" s="373"/>
      <c r="R303" s="373"/>
      <c r="S303" s="373"/>
      <c r="T303" s="373"/>
      <c r="U303" s="373"/>
      <c r="V303" s="373"/>
      <c r="W303" s="373"/>
      <c r="X303" s="373"/>
      <c r="Y303" s="373"/>
      <c r="Z303" s="373"/>
      <c r="AA303" s="373"/>
      <c r="AB303" s="373"/>
      <c r="AC303" s="373"/>
      <c r="AD303" s="373"/>
      <c r="AE303" s="373"/>
      <c r="AF303" s="373"/>
      <c r="AG303" s="373"/>
    </row>
    <row r="304" spans="1:33" x14ac:dyDescent="0.25">
      <c r="A304" s="373"/>
      <c r="B304" s="373"/>
      <c r="C304" s="373"/>
      <c r="D304" s="373"/>
      <c r="E304" s="373"/>
      <c r="F304" s="373"/>
      <c r="G304" s="373"/>
      <c r="H304" s="373"/>
      <c r="I304" s="373"/>
      <c r="J304" s="373"/>
      <c r="K304" s="373"/>
      <c r="L304" s="373"/>
      <c r="M304" s="373"/>
      <c r="N304" s="373"/>
      <c r="O304" s="373"/>
      <c r="P304" s="373"/>
      <c r="Q304" s="373"/>
      <c r="R304" s="373"/>
      <c r="S304" s="373"/>
      <c r="T304" s="373"/>
      <c r="U304" s="373"/>
      <c r="V304" s="373"/>
      <c r="W304" s="373"/>
      <c r="X304" s="373"/>
      <c r="Y304" s="373"/>
      <c r="Z304" s="373"/>
      <c r="AA304" s="373"/>
      <c r="AB304" s="373"/>
      <c r="AC304" s="373"/>
      <c r="AD304" s="373"/>
      <c r="AE304" s="373"/>
      <c r="AF304" s="373"/>
      <c r="AG304" s="373"/>
    </row>
    <row r="305" spans="1:33" x14ac:dyDescent="0.25">
      <c r="A305" s="373"/>
      <c r="B305" s="373"/>
      <c r="C305" s="373"/>
      <c r="D305" s="373"/>
      <c r="E305" s="373"/>
      <c r="F305" s="373"/>
      <c r="G305" s="373"/>
      <c r="H305" s="373"/>
      <c r="I305" s="373"/>
      <c r="J305" s="373"/>
      <c r="K305" s="373"/>
      <c r="L305" s="373"/>
      <c r="M305" s="373"/>
      <c r="N305" s="373"/>
      <c r="O305" s="373"/>
      <c r="P305" s="373"/>
      <c r="Q305" s="373"/>
      <c r="R305" s="373"/>
      <c r="S305" s="373"/>
      <c r="T305" s="373"/>
      <c r="U305" s="373"/>
      <c r="V305" s="373"/>
      <c r="W305" s="373"/>
      <c r="X305" s="373"/>
      <c r="Y305" s="373"/>
      <c r="Z305" s="373"/>
      <c r="AA305" s="373"/>
      <c r="AB305" s="373"/>
      <c r="AC305" s="373"/>
      <c r="AD305" s="373"/>
      <c r="AE305" s="373"/>
      <c r="AF305" s="373"/>
      <c r="AG305" s="373"/>
    </row>
    <row r="306" spans="1:33" x14ac:dyDescent="0.25">
      <c r="A306" s="373"/>
      <c r="B306" s="373"/>
      <c r="C306" s="373"/>
      <c r="D306" s="373"/>
      <c r="E306" s="373"/>
      <c r="F306" s="373"/>
      <c r="G306" s="373"/>
      <c r="H306" s="373"/>
      <c r="I306" s="373"/>
      <c r="J306" s="373"/>
      <c r="K306" s="373"/>
      <c r="L306" s="373"/>
      <c r="M306" s="373"/>
      <c r="N306" s="373"/>
      <c r="O306" s="373"/>
      <c r="P306" s="373"/>
      <c r="Q306" s="373"/>
      <c r="R306" s="373"/>
      <c r="S306" s="373"/>
      <c r="T306" s="373"/>
      <c r="U306" s="373"/>
      <c r="V306" s="373"/>
      <c r="W306" s="373"/>
      <c r="X306" s="373"/>
      <c r="Y306" s="373"/>
      <c r="Z306" s="373"/>
      <c r="AA306" s="373"/>
      <c r="AB306" s="373"/>
      <c r="AC306" s="373"/>
      <c r="AD306" s="373"/>
      <c r="AE306" s="373"/>
      <c r="AF306" s="373"/>
      <c r="AG306" s="373"/>
    </row>
    <row r="307" spans="1:33" x14ac:dyDescent="0.25">
      <c r="A307" s="373"/>
      <c r="B307" s="373"/>
      <c r="C307" s="373"/>
      <c r="D307" s="373"/>
      <c r="E307" s="373"/>
      <c r="F307" s="373"/>
      <c r="G307" s="373"/>
      <c r="H307" s="373"/>
      <c r="I307" s="373"/>
      <c r="J307" s="373"/>
      <c r="K307" s="373"/>
      <c r="L307" s="373"/>
      <c r="M307" s="373"/>
      <c r="N307" s="373"/>
      <c r="O307" s="373"/>
      <c r="P307" s="373"/>
      <c r="Q307" s="373"/>
      <c r="R307" s="373"/>
      <c r="S307" s="373"/>
      <c r="T307" s="373"/>
      <c r="U307" s="373"/>
      <c r="V307" s="373"/>
      <c r="W307" s="373"/>
      <c r="X307" s="373"/>
      <c r="Y307" s="373"/>
      <c r="Z307" s="373"/>
      <c r="AA307" s="373"/>
      <c r="AB307" s="373"/>
      <c r="AC307" s="373"/>
      <c r="AD307" s="373"/>
      <c r="AE307" s="373"/>
      <c r="AF307" s="373"/>
      <c r="AG307" s="373"/>
    </row>
    <row r="308" spans="1:33" x14ac:dyDescent="0.25">
      <c r="A308" s="373"/>
      <c r="B308" s="373"/>
      <c r="C308" s="373"/>
      <c r="D308" s="373"/>
      <c r="E308" s="373"/>
      <c r="F308" s="373"/>
      <c r="G308" s="373"/>
      <c r="H308" s="373"/>
      <c r="I308" s="373"/>
      <c r="J308" s="373"/>
      <c r="K308" s="373"/>
      <c r="L308" s="373"/>
      <c r="M308" s="373"/>
      <c r="N308" s="373"/>
      <c r="O308" s="373"/>
      <c r="P308" s="373"/>
      <c r="Q308" s="373"/>
      <c r="R308" s="373"/>
      <c r="S308" s="373"/>
      <c r="T308" s="373"/>
      <c r="U308" s="373"/>
      <c r="V308" s="373"/>
      <c r="W308" s="373"/>
      <c r="X308" s="373"/>
      <c r="Y308" s="373"/>
      <c r="Z308" s="373"/>
      <c r="AA308" s="373"/>
      <c r="AB308" s="373"/>
      <c r="AC308" s="373"/>
      <c r="AD308" s="373"/>
      <c r="AE308" s="373"/>
      <c r="AF308" s="373"/>
      <c r="AG308" s="373"/>
    </row>
    <row r="309" spans="1:33" x14ac:dyDescent="0.25">
      <c r="A309" s="373"/>
      <c r="B309" s="373"/>
      <c r="C309" s="373"/>
      <c r="D309" s="373"/>
      <c r="E309" s="373"/>
      <c r="F309" s="373"/>
      <c r="G309" s="373"/>
      <c r="H309" s="373"/>
      <c r="I309" s="373"/>
      <c r="J309" s="373"/>
      <c r="K309" s="373"/>
      <c r="L309" s="373"/>
      <c r="M309" s="373"/>
      <c r="N309" s="373"/>
      <c r="O309" s="373"/>
      <c r="P309" s="373"/>
      <c r="Q309" s="373"/>
      <c r="R309" s="373"/>
      <c r="S309" s="373"/>
      <c r="T309" s="373"/>
      <c r="U309" s="373"/>
      <c r="V309" s="373"/>
      <c r="W309" s="373"/>
      <c r="X309" s="373"/>
      <c r="Y309" s="373"/>
      <c r="Z309" s="373"/>
      <c r="AA309" s="373"/>
      <c r="AB309" s="373"/>
      <c r="AC309" s="373"/>
      <c r="AD309" s="373"/>
      <c r="AE309" s="373"/>
      <c r="AF309" s="373"/>
      <c r="AG309" s="373"/>
    </row>
    <row r="310" spans="1:33" x14ac:dyDescent="0.25">
      <c r="A310" s="373"/>
      <c r="B310" s="373"/>
      <c r="C310" s="373"/>
      <c r="D310" s="373"/>
      <c r="E310" s="373"/>
      <c r="F310" s="373"/>
      <c r="G310" s="373"/>
      <c r="H310" s="373"/>
      <c r="I310" s="373"/>
      <c r="J310" s="373"/>
      <c r="K310" s="373"/>
      <c r="L310" s="373"/>
      <c r="M310" s="373"/>
      <c r="N310" s="373"/>
      <c r="O310" s="373"/>
      <c r="P310" s="373"/>
      <c r="Q310" s="373"/>
      <c r="R310" s="373"/>
      <c r="S310" s="373"/>
      <c r="T310" s="373"/>
      <c r="U310" s="373"/>
      <c r="V310" s="373"/>
      <c r="W310" s="373"/>
      <c r="X310" s="373"/>
      <c r="Y310" s="373"/>
      <c r="Z310" s="373"/>
      <c r="AA310" s="373"/>
      <c r="AB310" s="373"/>
      <c r="AC310" s="373"/>
      <c r="AD310" s="373"/>
      <c r="AE310" s="373"/>
      <c r="AF310" s="373"/>
      <c r="AG310" s="373"/>
    </row>
    <row r="311" spans="1:33" x14ac:dyDescent="0.25">
      <c r="A311" s="373"/>
      <c r="B311" s="373"/>
      <c r="C311" s="373"/>
      <c r="D311" s="373"/>
      <c r="E311" s="373"/>
      <c r="F311" s="373"/>
      <c r="G311" s="373"/>
      <c r="H311" s="373"/>
      <c r="I311" s="373"/>
      <c r="J311" s="373"/>
      <c r="K311" s="373"/>
      <c r="L311" s="373"/>
      <c r="M311" s="373"/>
      <c r="N311" s="373"/>
      <c r="O311" s="373"/>
      <c r="P311" s="373"/>
      <c r="Q311" s="373"/>
      <c r="R311" s="373"/>
      <c r="S311" s="373"/>
      <c r="T311" s="373"/>
      <c r="U311" s="373"/>
      <c r="V311" s="373"/>
      <c r="W311" s="373"/>
      <c r="X311" s="373"/>
      <c r="Y311" s="373"/>
      <c r="Z311" s="373"/>
      <c r="AA311" s="373"/>
      <c r="AB311" s="373"/>
      <c r="AC311" s="373"/>
      <c r="AD311" s="373"/>
      <c r="AE311" s="373"/>
      <c r="AF311" s="373"/>
      <c r="AG311" s="373"/>
    </row>
    <row r="312" spans="1:33" x14ac:dyDescent="0.25">
      <c r="A312" s="373"/>
      <c r="B312" s="373"/>
      <c r="C312" s="373"/>
      <c r="D312" s="373"/>
      <c r="E312" s="373"/>
      <c r="F312" s="373"/>
      <c r="G312" s="373"/>
      <c r="H312" s="373"/>
      <c r="I312" s="373"/>
      <c r="J312" s="373"/>
      <c r="K312" s="373"/>
      <c r="L312" s="373"/>
      <c r="M312" s="373"/>
      <c r="N312" s="373"/>
      <c r="O312" s="373"/>
      <c r="P312" s="373"/>
      <c r="Q312" s="373"/>
      <c r="R312" s="373"/>
      <c r="S312" s="373"/>
      <c r="T312" s="373"/>
      <c r="U312" s="373"/>
      <c r="V312" s="373"/>
      <c r="W312" s="373"/>
      <c r="X312" s="373"/>
      <c r="Y312" s="373"/>
      <c r="Z312" s="373"/>
      <c r="AA312" s="373"/>
      <c r="AB312" s="373"/>
      <c r="AC312" s="373"/>
      <c r="AD312" s="373"/>
      <c r="AE312" s="373"/>
      <c r="AF312" s="373"/>
      <c r="AG312" s="373"/>
    </row>
    <row r="313" spans="1:33" x14ac:dyDescent="0.25">
      <c r="A313" s="373"/>
      <c r="B313" s="373"/>
      <c r="C313" s="373"/>
      <c r="D313" s="373"/>
      <c r="E313" s="373"/>
      <c r="F313" s="373"/>
      <c r="G313" s="373"/>
      <c r="H313" s="373"/>
      <c r="I313" s="373"/>
      <c r="J313" s="373"/>
      <c r="K313" s="373"/>
      <c r="L313" s="373"/>
      <c r="M313" s="373"/>
      <c r="N313" s="373"/>
      <c r="O313" s="373"/>
      <c r="P313" s="373"/>
      <c r="Q313" s="373"/>
      <c r="R313" s="373"/>
      <c r="S313" s="373"/>
      <c r="T313" s="373"/>
      <c r="U313" s="373"/>
      <c r="V313" s="373"/>
      <c r="W313" s="373"/>
      <c r="X313" s="373"/>
      <c r="Y313" s="373"/>
      <c r="Z313" s="373"/>
      <c r="AA313" s="373"/>
      <c r="AB313" s="373"/>
      <c r="AC313" s="373"/>
      <c r="AD313" s="373"/>
      <c r="AE313" s="373"/>
      <c r="AF313" s="373"/>
      <c r="AG313" s="373"/>
    </row>
    <row r="314" spans="1:33" x14ac:dyDescent="0.25">
      <c r="A314" s="373"/>
      <c r="B314" s="373"/>
      <c r="C314" s="373"/>
      <c r="D314" s="373"/>
      <c r="E314" s="373"/>
      <c r="F314" s="373"/>
      <c r="G314" s="373"/>
      <c r="H314" s="373"/>
      <c r="I314" s="373"/>
      <c r="J314" s="373"/>
      <c r="K314" s="373"/>
      <c r="L314" s="373"/>
      <c r="M314" s="373"/>
      <c r="N314" s="373"/>
      <c r="O314" s="373"/>
      <c r="P314" s="373"/>
      <c r="Q314" s="373"/>
      <c r="R314" s="373"/>
      <c r="S314" s="373"/>
      <c r="T314" s="373"/>
      <c r="U314" s="373"/>
      <c r="V314" s="373"/>
      <c r="W314" s="373"/>
      <c r="X314" s="373"/>
      <c r="Y314" s="373"/>
      <c r="Z314" s="373"/>
      <c r="AA314" s="373"/>
      <c r="AB314" s="373"/>
      <c r="AC314" s="373"/>
      <c r="AD314" s="373"/>
      <c r="AE314" s="373"/>
      <c r="AF314" s="373"/>
      <c r="AG314" s="373"/>
    </row>
    <row r="315" spans="1:33" x14ac:dyDescent="0.25">
      <c r="A315" s="373"/>
      <c r="B315" s="373"/>
      <c r="C315" s="373"/>
      <c r="D315" s="373"/>
      <c r="E315" s="373"/>
      <c r="F315" s="373"/>
      <c r="G315" s="373"/>
      <c r="H315" s="373"/>
      <c r="I315" s="373"/>
      <c r="J315" s="373"/>
      <c r="K315" s="373"/>
      <c r="L315" s="373"/>
      <c r="M315" s="373"/>
      <c r="N315" s="373"/>
      <c r="O315" s="373"/>
      <c r="P315" s="373"/>
      <c r="Q315" s="373"/>
      <c r="R315" s="373"/>
      <c r="S315" s="373"/>
      <c r="T315" s="373"/>
      <c r="U315" s="373"/>
      <c r="V315" s="373"/>
      <c r="W315" s="373"/>
      <c r="X315" s="373"/>
      <c r="Y315" s="373"/>
      <c r="Z315" s="373"/>
      <c r="AA315" s="373"/>
      <c r="AB315" s="373"/>
      <c r="AC315" s="373"/>
      <c r="AD315" s="373"/>
      <c r="AE315" s="373"/>
      <c r="AF315" s="373"/>
      <c r="AG315" s="373"/>
    </row>
    <row r="316" spans="1:33" x14ac:dyDescent="0.25">
      <c r="A316" s="373"/>
      <c r="B316" s="373"/>
      <c r="C316" s="373"/>
      <c r="D316" s="373"/>
      <c r="E316" s="373"/>
      <c r="F316" s="373"/>
      <c r="G316" s="373"/>
      <c r="H316" s="373"/>
      <c r="I316" s="373"/>
      <c r="J316" s="373"/>
      <c r="K316" s="373"/>
      <c r="L316" s="373"/>
      <c r="M316" s="373"/>
      <c r="N316" s="373"/>
      <c r="O316" s="373"/>
      <c r="P316" s="373"/>
      <c r="Q316" s="373"/>
      <c r="R316" s="373"/>
      <c r="S316" s="373"/>
      <c r="T316" s="373"/>
      <c r="U316" s="373"/>
      <c r="V316" s="373"/>
      <c r="W316" s="373"/>
      <c r="X316" s="373"/>
      <c r="Y316" s="373"/>
      <c r="Z316" s="373"/>
      <c r="AA316" s="373"/>
      <c r="AB316" s="373"/>
      <c r="AC316" s="373"/>
      <c r="AD316" s="373"/>
      <c r="AE316" s="373"/>
      <c r="AF316" s="373"/>
      <c r="AG316" s="373"/>
    </row>
    <row r="317" spans="1:33" x14ac:dyDescent="0.25">
      <c r="A317" s="373"/>
      <c r="B317" s="373"/>
      <c r="C317" s="373"/>
      <c r="D317" s="373"/>
      <c r="E317" s="373"/>
      <c r="F317" s="373"/>
      <c r="G317" s="373"/>
      <c r="H317" s="373"/>
      <c r="I317" s="373"/>
      <c r="J317" s="373"/>
      <c r="K317" s="373"/>
      <c r="L317" s="373"/>
      <c r="M317" s="373"/>
      <c r="N317" s="373"/>
      <c r="O317" s="373"/>
      <c r="P317" s="373"/>
      <c r="Q317" s="373"/>
      <c r="R317" s="373"/>
      <c r="S317" s="373"/>
      <c r="T317" s="373"/>
      <c r="U317" s="373"/>
      <c r="V317" s="373"/>
      <c r="W317" s="373"/>
      <c r="X317" s="373"/>
      <c r="Y317" s="373"/>
      <c r="Z317" s="373"/>
      <c r="AA317" s="373"/>
      <c r="AB317" s="373"/>
      <c r="AC317" s="373"/>
      <c r="AD317" s="373"/>
      <c r="AE317" s="373"/>
      <c r="AF317" s="373"/>
      <c r="AG317" s="373"/>
    </row>
    <row r="318" spans="1:33" x14ac:dyDescent="0.25">
      <c r="A318" s="373"/>
      <c r="B318" s="373"/>
      <c r="C318" s="373"/>
      <c r="D318" s="373"/>
      <c r="E318" s="373"/>
      <c r="F318" s="373"/>
      <c r="G318" s="373"/>
      <c r="H318" s="373"/>
      <c r="I318" s="373"/>
      <c r="J318" s="373"/>
      <c r="K318" s="373"/>
      <c r="L318" s="373"/>
      <c r="M318" s="373"/>
      <c r="N318" s="373"/>
      <c r="O318" s="373"/>
      <c r="P318" s="373"/>
      <c r="Q318" s="373"/>
      <c r="R318" s="373"/>
      <c r="S318" s="373"/>
      <c r="T318" s="373"/>
      <c r="U318" s="373"/>
      <c r="V318" s="373"/>
      <c r="W318" s="373"/>
      <c r="X318" s="373"/>
      <c r="Y318" s="373"/>
      <c r="Z318" s="373"/>
      <c r="AA318" s="373"/>
      <c r="AB318" s="373"/>
      <c r="AC318" s="373"/>
      <c r="AD318" s="373"/>
      <c r="AE318" s="373"/>
      <c r="AF318" s="373"/>
      <c r="AG318" s="373"/>
    </row>
    <row r="319" spans="1:33" x14ac:dyDescent="0.25">
      <c r="A319" s="373"/>
      <c r="B319" s="373"/>
      <c r="C319" s="373"/>
      <c r="D319" s="373"/>
      <c r="E319" s="373"/>
      <c r="F319" s="373"/>
      <c r="G319" s="373"/>
      <c r="H319" s="373"/>
      <c r="I319" s="373"/>
      <c r="J319" s="373"/>
      <c r="K319" s="373"/>
      <c r="L319" s="373"/>
      <c r="M319" s="373"/>
      <c r="N319" s="373"/>
      <c r="O319" s="373"/>
      <c r="P319" s="373"/>
      <c r="Q319" s="373"/>
      <c r="R319" s="373"/>
      <c r="S319" s="373"/>
      <c r="T319" s="373"/>
      <c r="U319" s="373"/>
      <c r="V319" s="373"/>
      <c r="W319" s="373"/>
      <c r="X319" s="373"/>
      <c r="Y319" s="373"/>
      <c r="Z319" s="373"/>
      <c r="AA319" s="373"/>
      <c r="AB319" s="373"/>
      <c r="AC319" s="373"/>
      <c r="AD319" s="373"/>
      <c r="AE319" s="373"/>
      <c r="AF319" s="373"/>
      <c r="AG319" s="373"/>
    </row>
    <row r="320" spans="1:33" x14ac:dyDescent="0.25">
      <c r="A320" s="373"/>
      <c r="B320" s="373"/>
      <c r="C320" s="373"/>
      <c r="D320" s="373"/>
      <c r="E320" s="373"/>
      <c r="F320" s="373"/>
      <c r="G320" s="373"/>
      <c r="H320" s="373"/>
      <c r="I320" s="373"/>
      <c r="J320" s="373"/>
      <c r="K320" s="373"/>
      <c r="L320" s="373"/>
      <c r="M320" s="373"/>
      <c r="N320" s="373"/>
      <c r="O320" s="373"/>
      <c r="P320" s="373"/>
      <c r="Q320" s="373"/>
      <c r="R320" s="373"/>
      <c r="S320" s="373"/>
      <c r="T320" s="373"/>
      <c r="U320" s="373"/>
      <c r="V320" s="373"/>
      <c r="W320" s="373"/>
      <c r="X320" s="373"/>
      <c r="Y320" s="373"/>
      <c r="Z320" s="373"/>
      <c r="AA320" s="373"/>
      <c r="AB320" s="373"/>
      <c r="AC320" s="373"/>
      <c r="AD320" s="373"/>
      <c r="AE320" s="373"/>
      <c r="AF320" s="373"/>
      <c r="AG320" s="373"/>
    </row>
    <row r="321" spans="1:33" x14ac:dyDescent="0.25">
      <c r="A321" s="373"/>
      <c r="B321" s="373"/>
      <c r="C321" s="373"/>
      <c r="D321" s="373"/>
      <c r="E321" s="373"/>
      <c r="F321" s="373"/>
      <c r="G321" s="373"/>
      <c r="H321" s="373"/>
      <c r="I321" s="373"/>
      <c r="J321" s="373"/>
      <c r="K321" s="373"/>
      <c r="L321" s="373"/>
      <c r="M321" s="373"/>
      <c r="N321" s="373"/>
      <c r="O321" s="373"/>
      <c r="P321" s="373"/>
      <c r="Q321" s="373"/>
      <c r="R321" s="373"/>
      <c r="S321" s="373"/>
      <c r="T321" s="373"/>
      <c r="U321" s="373"/>
      <c r="V321" s="373"/>
      <c r="W321" s="373"/>
      <c r="X321" s="373"/>
      <c r="Y321" s="373"/>
      <c r="Z321" s="373"/>
      <c r="AA321" s="373"/>
      <c r="AB321" s="373"/>
      <c r="AC321" s="373"/>
      <c r="AD321" s="373"/>
      <c r="AE321" s="373"/>
      <c r="AF321" s="373"/>
      <c r="AG321" s="373"/>
    </row>
    <row r="322" spans="1:33" x14ac:dyDescent="0.25">
      <c r="A322" s="373"/>
      <c r="B322" s="373"/>
      <c r="C322" s="373"/>
      <c r="D322" s="373"/>
      <c r="E322" s="373"/>
      <c r="F322" s="373"/>
      <c r="G322" s="373"/>
      <c r="H322" s="373"/>
      <c r="I322" s="373"/>
      <c r="J322" s="373"/>
      <c r="K322" s="373"/>
      <c r="L322" s="373"/>
      <c r="M322" s="373"/>
      <c r="N322" s="373"/>
      <c r="O322" s="373"/>
      <c r="P322" s="373"/>
      <c r="Q322" s="373"/>
      <c r="R322" s="373"/>
      <c r="S322" s="373"/>
      <c r="T322" s="373"/>
      <c r="U322" s="373"/>
      <c r="V322" s="373"/>
      <c r="W322" s="373"/>
      <c r="X322" s="373"/>
      <c r="Y322" s="373"/>
      <c r="Z322" s="373"/>
      <c r="AA322" s="373"/>
      <c r="AB322" s="373"/>
      <c r="AC322" s="373"/>
      <c r="AD322" s="373"/>
      <c r="AE322" s="373"/>
      <c r="AF322" s="373"/>
      <c r="AG322" s="373"/>
    </row>
    <row r="323" spans="1:33" x14ac:dyDescent="0.25">
      <c r="A323" s="373"/>
      <c r="B323" s="373"/>
      <c r="C323" s="373"/>
      <c r="D323" s="373"/>
      <c r="E323" s="373"/>
      <c r="F323" s="373"/>
      <c r="G323" s="373"/>
      <c r="H323" s="373"/>
      <c r="I323" s="373"/>
      <c r="J323" s="373"/>
      <c r="K323" s="373"/>
      <c r="L323" s="373"/>
      <c r="M323" s="373"/>
      <c r="N323" s="373"/>
      <c r="O323" s="373"/>
      <c r="P323" s="373"/>
      <c r="Q323" s="373"/>
      <c r="R323" s="373"/>
      <c r="S323" s="373"/>
      <c r="T323" s="373"/>
      <c r="U323" s="373"/>
      <c r="V323" s="373"/>
      <c r="W323" s="373"/>
      <c r="X323" s="373"/>
      <c r="Y323" s="373"/>
      <c r="Z323" s="373"/>
      <c r="AA323" s="373"/>
      <c r="AB323" s="373"/>
      <c r="AC323" s="373"/>
      <c r="AD323" s="373"/>
      <c r="AE323" s="373"/>
      <c r="AF323" s="373"/>
      <c r="AG323" s="373"/>
    </row>
    <row r="324" spans="1:33" x14ac:dyDescent="0.25">
      <c r="A324" s="373"/>
      <c r="B324" s="373"/>
      <c r="C324" s="373"/>
      <c r="D324" s="373"/>
      <c r="E324" s="373"/>
      <c r="F324" s="373"/>
      <c r="G324" s="373"/>
      <c r="H324" s="373"/>
      <c r="I324" s="373"/>
      <c r="J324" s="373"/>
      <c r="K324" s="373"/>
      <c r="L324" s="373"/>
      <c r="M324" s="373"/>
      <c r="N324" s="373"/>
      <c r="O324" s="373"/>
      <c r="P324" s="373"/>
      <c r="Q324" s="373"/>
      <c r="R324" s="373"/>
      <c r="S324" s="373"/>
      <c r="T324" s="373"/>
      <c r="U324" s="373"/>
      <c r="V324" s="373"/>
      <c r="W324" s="373"/>
      <c r="X324" s="373"/>
      <c r="Y324" s="373"/>
      <c r="Z324" s="373"/>
      <c r="AA324" s="373"/>
      <c r="AB324" s="373"/>
      <c r="AC324" s="373"/>
      <c r="AD324" s="373"/>
      <c r="AE324" s="373"/>
      <c r="AF324" s="373"/>
      <c r="AG324" s="373"/>
    </row>
    <row r="325" spans="1:33" x14ac:dyDescent="0.25">
      <c r="A325" s="373"/>
      <c r="B325" s="373"/>
      <c r="C325" s="373"/>
      <c r="D325" s="373"/>
      <c r="E325" s="373"/>
      <c r="F325" s="373"/>
      <c r="G325" s="373"/>
      <c r="H325" s="373"/>
      <c r="I325" s="373"/>
      <c r="J325" s="373"/>
      <c r="K325" s="373"/>
      <c r="L325" s="373"/>
      <c r="M325" s="373"/>
      <c r="N325" s="373"/>
      <c r="O325" s="373"/>
      <c r="P325" s="373"/>
      <c r="Q325" s="373"/>
      <c r="R325" s="373"/>
      <c r="S325" s="373"/>
      <c r="T325" s="373"/>
      <c r="U325" s="373"/>
      <c r="V325" s="373"/>
      <c r="W325" s="373"/>
      <c r="X325" s="373"/>
      <c r="Y325" s="373"/>
      <c r="Z325" s="373"/>
      <c r="AA325" s="373"/>
      <c r="AB325" s="373"/>
      <c r="AC325" s="373"/>
      <c r="AD325" s="373"/>
      <c r="AE325" s="373"/>
      <c r="AF325" s="373"/>
      <c r="AG325" s="373"/>
    </row>
    <row r="326" spans="1:33" x14ac:dyDescent="0.25">
      <c r="A326" s="373"/>
      <c r="B326" s="373"/>
      <c r="C326" s="373"/>
      <c r="D326" s="373"/>
      <c r="E326" s="373"/>
      <c r="F326" s="373"/>
      <c r="G326" s="373"/>
      <c r="H326" s="373"/>
      <c r="I326" s="373"/>
      <c r="J326" s="373"/>
      <c r="K326" s="373"/>
      <c r="L326" s="373"/>
      <c r="M326" s="373"/>
      <c r="N326" s="373"/>
      <c r="O326" s="373"/>
      <c r="P326" s="373"/>
      <c r="Q326" s="373"/>
      <c r="R326" s="373"/>
      <c r="S326" s="373"/>
      <c r="T326" s="373"/>
      <c r="U326" s="373"/>
      <c r="V326" s="373"/>
      <c r="W326" s="373"/>
      <c r="X326" s="373"/>
      <c r="Y326" s="373"/>
      <c r="Z326" s="373"/>
      <c r="AA326" s="373"/>
      <c r="AB326" s="373"/>
      <c r="AC326" s="373"/>
      <c r="AD326" s="373"/>
      <c r="AE326" s="373"/>
      <c r="AF326" s="373"/>
      <c r="AG326" s="373"/>
    </row>
    <row r="327" spans="1:33" x14ac:dyDescent="0.25">
      <c r="A327" s="373"/>
      <c r="B327" s="373"/>
      <c r="C327" s="373"/>
      <c r="D327" s="373"/>
      <c r="E327" s="373"/>
      <c r="F327" s="373"/>
      <c r="G327" s="373"/>
      <c r="H327" s="373"/>
      <c r="I327" s="373"/>
      <c r="J327" s="373"/>
      <c r="K327" s="373"/>
      <c r="L327" s="373"/>
      <c r="M327" s="373"/>
      <c r="N327" s="373"/>
      <c r="O327" s="373"/>
      <c r="P327" s="373"/>
      <c r="Q327" s="373"/>
      <c r="R327" s="373"/>
      <c r="S327" s="373"/>
      <c r="T327" s="373"/>
      <c r="U327" s="373"/>
      <c r="V327" s="373"/>
      <c r="W327" s="373"/>
      <c r="X327" s="373"/>
      <c r="Y327" s="373"/>
      <c r="Z327" s="373"/>
      <c r="AA327" s="373"/>
      <c r="AB327" s="373"/>
      <c r="AC327" s="373"/>
      <c r="AD327" s="373"/>
      <c r="AE327" s="373"/>
      <c r="AF327" s="373"/>
      <c r="AG327" s="373"/>
    </row>
    <row r="328" spans="1:33" x14ac:dyDescent="0.25">
      <c r="A328" s="373"/>
      <c r="B328" s="373"/>
      <c r="C328" s="373"/>
      <c r="D328" s="373"/>
      <c r="E328" s="373"/>
      <c r="F328" s="373"/>
      <c r="G328" s="373"/>
      <c r="H328" s="373"/>
      <c r="I328" s="373"/>
      <c r="J328" s="373"/>
      <c r="K328" s="373"/>
      <c r="L328" s="373"/>
      <c r="M328" s="373"/>
      <c r="N328" s="373"/>
      <c r="O328" s="373"/>
      <c r="P328" s="373"/>
      <c r="Q328" s="373"/>
      <c r="R328" s="373"/>
      <c r="S328" s="373"/>
      <c r="T328" s="373"/>
      <c r="U328" s="373"/>
      <c r="V328" s="373"/>
      <c r="W328" s="373"/>
      <c r="X328" s="373"/>
      <c r="Y328" s="373"/>
      <c r="Z328" s="373"/>
      <c r="AA328" s="373"/>
      <c r="AB328" s="373"/>
      <c r="AC328" s="373"/>
      <c r="AD328" s="373"/>
      <c r="AE328" s="373"/>
      <c r="AF328" s="373"/>
      <c r="AG328" s="373"/>
    </row>
    <row r="329" spans="1:33" x14ac:dyDescent="0.25">
      <c r="A329" s="373"/>
      <c r="B329" s="373"/>
      <c r="C329" s="373"/>
      <c r="D329" s="373"/>
      <c r="E329" s="373"/>
      <c r="F329" s="373"/>
      <c r="G329" s="373"/>
      <c r="H329" s="373"/>
      <c r="I329" s="373"/>
      <c r="J329" s="373"/>
      <c r="K329" s="373"/>
      <c r="L329" s="373"/>
      <c r="M329" s="373"/>
      <c r="N329" s="373"/>
      <c r="O329" s="373"/>
      <c r="P329" s="373"/>
      <c r="Q329" s="373"/>
      <c r="R329" s="373"/>
      <c r="S329" s="373"/>
      <c r="T329" s="373"/>
      <c r="U329" s="373"/>
      <c r="V329" s="373"/>
      <c r="W329" s="373"/>
      <c r="X329" s="373"/>
      <c r="Y329" s="373"/>
      <c r="Z329" s="373"/>
      <c r="AA329" s="373"/>
      <c r="AB329" s="373"/>
      <c r="AC329" s="373"/>
      <c r="AD329" s="373"/>
      <c r="AE329" s="373"/>
      <c r="AF329" s="373"/>
      <c r="AG329" s="373"/>
    </row>
    <row r="330" spans="1:33" x14ac:dyDescent="0.25">
      <c r="A330" s="373"/>
      <c r="B330" s="373"/>
      <c r="C330" s="373"/>
      <c r="D330" s="373"/>
      <c r="E330" s="373"/>
      <c r="F330" s="373"/>
      <c r="G330" s="373"/>
      <c r="H330" s="373"/>
      <c r="I330" s="373"/>
      <c r="J330" s="373"/>
      <c r="K330" s="373"/>
      <c r="L330" s="373"/>
      <c r="M330" s="373"/>
      <c r="N330" s="373"/>
      <c r="O330" s="373"/>
      <c r="P330" s="373"/>
      <c r="Q330" s="373"/>
      <c r="R330" s="373"/>
      <c r="S330" s="373"/>
      <c r="T330" s="373"/>
      <c r="U330" s="373"/>
      <c r="V330" s="373"/>
      <c r="W330" s="373"/>
      <c r="X330" s="373"/>
      <c r="Y330" s="373"/>
      <c r="Z330" s="373"/>
      <c r="AA330" s="373"/>
      <c r="AB330" s="373"/>
      <c r="AC330" s="373"/>
      <c r="AD330" s="373"/>
      <c r="AE330" s="373"/>
      <c r="AF330" s="373"/>
      <c r="AG330" s="373"/>
    </row>
    <row r="331" spans="1:33" x14ac:dyDescent="0.25">
      <c r="A331" s="373"/>
      <c r="B331" s="373"/>
      <c r="C331" s="373"/>
      <c r="D331" s="373"/>
      <c r="E331" s="373"/>
      <c r="F331" s="373"/>
      <c r="G331" s="373"/>
      <c r="H331" s="373"/>
      <c r="I331" s="373"/>
      <c r="J331" s="373"/>
      <c r="K331" s="373"/>
      <c r="L331" s="373"/>
      <c r="M331" s="373"/>
      <c r="N331" s="373"/>
      <c r="O331" s="373"/>
      <c r="P331" s="373"/>
      <c r="Q331" s="373"/>
      <c r="R331" s="373"/>
      <c r="S331" s="373"/>
      <c r="T331" s="373"/>
      <c r="U331" s="373"/>
      <c r="V331" s="373"/>
      <c r="W331" s="373"/>
      <c r="X331" s="373"/>
      <c r="Y331" s="373"/>
      <c r="Z331" s="373"/>
      <c r="AA331" s="373"/>
      <c r="AB331" s="373"/>
      <c r="AC331" s="373"/>
      <c r="AD331" s="373"/>
      <c r="AE331" s="373"/>
      <c r="AF331" s="373"/>
      <c r="AG331" s="373"/>
    </row>
    <row r="332" spans="1:33" x14ac:dyDescent="0.25">
      <c r="A332" s="373"/>
      <c r="B332" s="373"/>
      <c r="C332" s="373"/>
      <c r="D332" s="373"/>
      <c r="E332" s="373"/>
      <c r="F332" s="373"/>
      <c r="G332" s="373"/>
      <c r="H332" s="373"/>
      <c r="I332" s="373"/>
      <c r="J332" s="373"/>
      <c r="K332" s="373"/>
      <c r="L332" s="373"/>
      <c r="M332" s="373"/>
      <c r="N332" s="373"/>
      <c r="O332" s="373"/>
      <c r="P332" s="373"/>
      <c r="Q332" s="373"/>
      <c r="R332" s="373"/>
      <c r="S332" s="373"/>
      <c r="T332" s="373"/>
      <c r="U332" s="373"/>
      <c r="V332" s="373"/>
      <c r="W332" s="373"/>
      <c r="X332" s="373"/>
      <c r="Y332" s="373"/>
      <c r="Z332" s="373"/>
      <c r="AA332" s="373"/>
      <c r="AB332" s="373"/>
      <c r="AC332" s="373"/>
      <c r="AD332" s="373"/>
      <c r="AE332" s="373"/>
      <c r="AF332" s="373"/>
      <c r="AG332" s="373"/>
    </row>
    <row r="333" spans="1:33" x14ac:dyDescent="0.25">
      <c r="A333" s="373"/>
      <c r="B333" s="373"/>
      <c r="C333" s="373"/>
      <c r="D333" s="373"/>
      <c r="E333" s="373"/>
      <c r="F333" s="373"/>
      <c r="G333" s="373"/>
      <c r="H333" s="373"/>
      <c r="I333" s="373"/>
      <c r="J333" s="373"/>
      <c r="K333" s="373"/>
      <c r="L333" s="373"/>
      <c r="M333" s="373"/>
      <c r="N333" s="373"/>
      <c r="O333" s="373"/>
      <c r="P333" s="373"/>
      <c r="Q333" s="373"/>
      <c r="R333" s="373"/>
      <c r="S333" s="373"/>
      <c r="T333" s="373"/>
      <c r="U333" s="373"/>
      <c r="V333" s="373"/>
      <c r="W333" s="373"/>
      <c r="X333" s="373"/>
      <c r="Y333" s="373"/>
      <c r="Z333" s="373"/>
      <c r="AA333" s="373"/>
      <c r="AB333" s="373"/>
      <c r="AC333" s="373"/>
      <c r="AD333" s="373"/>
      <c r="AE333" s="373"/>
      <c r="AF333" s="373"/>
      <c r="AG333" s="373"/>
    </row>
    <row r="334" spans="1:33" x14ac:dyDescent="0.25">
      <c r="A334" s="373"/>
      <c r="B334" s="373"/>
      <c r="C334" s="373"/>
      <c r="D334" s="373"/>
      <c r="E334" s="373"/>
      <c r="F334" s="373"/>
      <c r="G334" s="373"/>
      <c r="H334" s="373"/>
      <c r="I334" s="373"/>
      <c r="J334" s="373"/>
      <c r="K334" s="373"/>
      <c r="L334" s="373"/>
      <c r="M334" s="373"/>
      <c r="N334" s="373"/>
      <c r="O334" s="373"/>
      <c r="P334" s="373"/>
      <c r="Q334" s="373"/>
      <c r="R334" s="373"/>
      <c r="S334" s="373"/>
      <c r="T334" s="373"/>
      <c r="U334" s="373"/>
      <c r="V334" s="373"/>
      <c r="W334" s="373"/>
      <c r="X334" s="373"/>
      <c r="Y334" s="373"/>
      <c r="Z334" s="373"/>
      <c r="AA334" s="373"/>
      <c r="AB334" s="373"/>
      <c r="AC334" s="373"/>
      <c r="AD334" s="373"/>
      <c r="AE334" s="373"/>
      <c r="AF334" s="373"/>
      <c r="AG334" s="373"/>
    </row>
    <row r="335" spans="1:33" x14ac:dyDescent="0.25">
      <c r="A335" s="373"/>
      <c r="B335" s="373"/>
      <c r="C335" s="373"/>
      <c r="D335" s="373"/>
      <c r="E335" s="373"/>
      <c r="F335" s="373"/>
      <c r="G335" s="373"/>
      <c r="H335" s="373"/>
      <c r="I335" s="373"/>
      <c r="J335" s="373"/>
      <c r="K335" s="373"/>
      <c r="L335" s="373"/>
      <c r="M335" s="373"/>
      <c r="N335" s="373"/>
      <c r="O335" s="373"/>
      <c r="P335" s="373"/>
      <c r="Q335" s="373"/>
      <c r="R335" s="373"/>
      <c r="S335" s="373"/>
      <c r="T335" s="373"/>
      <c r="U335" s="373"/>
      <c r="V335" s="373"/>
      <c r="W335" s="373"/>
      <c r="X335" s="373"/>
      <c r="Y335" s="373"/>
      <c r="Z335" s="373"/>
      <c r="AA335" s="373"/>
      <c r="AB335" s="373"/>
      <c r="AC335" s="373"/>
      <c r="AD335" s="373"/>
      <c r="AE335" s="373"/>
      <c r="AF335" s="373"/>
      <c r="AG335" s="373"/>
    </row>
    <row r="336" spans="1:33" x14ac:dyDescent="0.25">
      <c r="A336" s="373"/>
      <c r="B336" s="373"/>
      <c r="C336" s="373"/>
      <c r="D336" s="373"/>
      <c r="E336" s="373"/>
      <c r="F336" s="373"/>
      <c r="G336" s="373"/>
      <c r="H336" s="373"/>
      <c r="I336" s="373"/>
      <c r="J336" s="373"/>
      <c r="K336" s="373"/>
      <c r="L336" s="373"/>
      <c r="M336" s="373"/>
      <c r="N336" s="373"/>
      <c r="O336" s="373"/>
      <c r="P336" s="373"/>
      <c r="Q336" s="373"/>
      <c r="R336" s="373"/>
      <c r="S336" s="373"/>
      <c r="T336" s="373"/>
      <c r="U336" s="373"/>
      <c r="V336" s="373"/>
      <c r="W336" s="373"/>
      <c r="X336" s="373"/>
      <c r="Y336" s="373"/>
      <c r="Z336" s="373"/>
      <c r="AA336" s="373"/>
      <c r="AB336" s="373"/>
      <c r="AC336" s="373"/>
      <c r="AD336" s="373"/>
      <c r="AE336" s="373"/>
      <c r="AF336" s="373"/>
      <c r="AG336" s="373"/>
    </row>
    <row r="337" spans="1:33" x14ac:dyDescent="0.25">
      <c r="A337" s="373"/>
      <c r="B337" s="373"/>
      <c r="C337" s="373"/>
      <c r="D337" s="373"/>
      <c r="E337" s="373"/>
      <c r="F337" s="373"/>
      <c r="G337" s="373"/>
      <c r="H337" s="373"/>
      <c r="I337" s="373"/>
      <c r="J337" s="373"/>
      <c r="K337" s="373"/>
      <c r="L337" s="373"/>
      <c r="M337" s="373"/>
      <c r="N337" s="373"/>
      <c r="O337" s="373"/>
      <c r="P337" s="373"/>
      <c r="Q337" s="373"/>
      <c r="R337" s="373"/>
      <c r="S337" s="373"/>
      <c r="T337" s="373"/>
      <c r="U337" s="373"/>
      <c r="V337" s="373"/>
      <c r="W337" s="373"/>
      <c r="X337" s="373"/>
      <c r="Y337" s="373"/>
      <c r="Z337" s="373"/>
      <c r="AA337" s="373"/>
      <c r="AB337" s="373"/>
      <c r="AC337" s="373"/>
      <c r="AD337" s="373"/>
      <c r="AE337" s="373"/>
      <c r="AF337" s="373"/>
      <c r="AG337" s="373"/>
    </row>
    <row r="338" spans="1:33" x14ac:dyDescent="0.25">
      <c r="A338" s="373"/>
      <c r="B338" s="373"/>
      <c r="C338" s="373"/>
      <c r="D338" s="373"/>
      <c r="E338" s="373"/>
      <c r="F338" s="373"/>
      <c r="G338" s="373"/>
      <c r="H338" s="373"/>
      <c r="I338" s="373"/>
      <c r="J338" s="373"/>
      <c r="K338" s="373"/>
      <c r="L338" s="373"/>
      <c r="M338" s="373"/>
      <c r="N338" s="373"/>
      <c r="O338" s="373"/>
      <c r="P338" s="373"/>
      <c r="Q338" s="373"/>
      <c r="R338" s="373"/>
      <c r="S338" s="373"/>
      <c r="T338" s="373"/>
      <c r="U338" s="373"/>
      <c r="V338" s="373"/>
      <c r="W338" s="373"/>
      <c r="X338" s="373"/>
      <c r="Y338" s="373"/>
      <c r="Z338" s="373"/>
      <c r="AA338" s="373"/>
      <c r="AB338" s="373"/>
      <c r="AC338" s="373"/>
      <c r="AD338" s="373"/>
      <c r="AE338" s="373"/>
      <c r="AF338" s="373"/>
      <c r="AG338" s="373"/>
    </row>
    <row r="339" spans="1:33" x14ac:dyDescent="0.25">
      <c r="A339" s="373"/>
      <c r="B339" s="373"/>
      <c r="C339" s="373"/>
      <c r="D339" s="373"/>
      <c r="E339" s="373"/>
      <c r="F339" s="373"/>
      <c r="G339" s="373"/>
      <c r="H339" s="373"/>
      <c r="I339" s="373"/>
      <c r="J339" s="373"/>
      <c r="K339" s="373"/>
      <c r="L339" s="373"/>
      <c r="M339" s="373"/>
      <c r="N339" s="373"/>
      <c r="O339" s="373"/>
      <c r="P339" s="373"/>
      <c r="Q339" s="373"/>
      <c r="R339" s="373"/>
      <c r="S339" s="373"/>
      <c r="T339" s="373"/>
      <c r="U339" s="373"/>
      <c r="V339" s="373"/>
      <c r="W339" s="373"/>
      <c r="X339" s="373"/>
      <c r="Y339" s="373"/>
      <c r="Z339" s="373"/>
      <c r="AA339" s="373"/>
      <c r="AB339" s="373"/>
      <c r="AC339" s="373"/>
      <c r="AD339" s="373"/>
      <c r="AE339" s="373"/>
      <c r="AF339" s="373"/>
      <c r="AG339" s="373"/>
    </row>
    <row r="340" spans="1:33" x14ac:dyDescent="0.25">
      <c r="A340" s="373"/>
      <c r="B340" s="373"/>
      <c r="C340" s="373"/>
      <c r="D340" s="373"/>
      <c r="E340" s="373"/>
      <c r="F340" s="373"/>
      <c r="G340" s="373"/>
      <c r="H340" s="373"/>
      <c r="I340" s="373"/>
      <c r="J340" s="373"/>
      <c r="K340" s="373"/>
      <c r="L340" s="373"/>
      <c r="M340" s="373"/>
      <c r="N340" s="373"/>
      <c r="O340" s="373"/>
      <c r="P340" s="373"/>
      <c r="Q340" s="373"/>
      <c r="R340" s="373"/>
      <c r="S340" s="373"/>
      <c r="T340" s="373"/>
      <c r="U340" s="373"/>
      <c r="V340" s="373"/>
      <c r="W340" s="373"/>
      <c r="X340" s="373"/>
      <c r="Y340" s="373"/>
      <c r="Z340" s="373"/>
      <c r="AA340" s="373"/>
      <c r="AB340" s="373"/>
      <c r="AC340" s="373"/>
      <c r="AD340" s="373"/>
      <c r="AE340" s="373"/>
      <c r="AF340" s="373"/>
      <c r="AG340" s="373"/>
    </row>
    <row r="341" spans="1:33" x14ac:dyDescent="0.25">
      <c r="A341" s="373"/>
      <c r="B341" s="373"/>
      <c r="C341" s="373"/>
      <c r="D341" s="373"/>
      <c r="E341" s="373"/>
      <c r="F341" s="373"/>
      <c r="G341" s="373"/>
      <c r="H341" s="373"/>
      <c r="I341" s="373"/>
      <c r="J341" s="373"/>
      <c r="K341" s="373"/>
      <c r="L341" s="373"/>
      <c r="M341" s="373"/>
      <c r="N341" s="373"/>
      <c r="O341" s="373"/>
      <c r="P341" s="373"/>
      <c r="Q341" s="373"/>
      <c r="R341" s="373"/>
      <c r="S341" s="373"/>
      <c r="T341" s="373"/>
      <c r="U341" s="373"/>
      <c r="V341" s="373"/>
      <c r="W341" s="373"/>
      <c r="X341" s="373"/>
      <c r="Y341" s="373"/>
      <c r="Z341" s="373"/>
      <c r="AA341" s="373"/>
      <c r="AB341" s="373"/>
      <c r="AC341" s="373"/>
      <c r="AD341" s="373"/>
      <c r="AE341" s="373"/>
      <c r="AF341" s="373"/>
      <c r="AG341" s="373"/>
    </row>
    <row r="342" spans="1:33" x14ac:dyDescent="0.25">
      <c r="A342" s="373"/>
      <c r="B342" s="373"/>
      <c r="C342" s="373"/>
      <c r="D342" s="373"/>
      <c r="E342" s="373"/>
      <c r="F342" s="373"/>
      <c r="G342" s="373"/>
      <c r="H342" s="373"/>
      <c r="I342" s="373"/>
      <c r="J342" s="373"/>
      <c r="K342" s="373"/>
      <c r="L342" s="373"/>
      <c r="M342" s="373"/>
      <c r="N342" s="373"/>
      <c r="O342" s="373"/>
      <c r="P342" s="373"/>
      <c r="Q342" s="373"/>
      <c r="R342" s="373"/>
      <c r="S342" s="373"/>
      <c r="T342" s="373"/>
      <c r="U342" s="373"/>
      <c r="V342" s="373"/>
      <c r="W342" s="373"/>
      <c r="X342" s="373"/>
      <c r="Y342" s="373"/>
      <c r="Z342" s="373"/>
      <c r="AA342" s="373"/>
      <c r="AB342" s="373"/>
      <c r="AC342" s="373"/>
      <c r="AD342" s="373"/>
      <c r="AE342" s="373"/>
      <c r="AF342" s="373"/>
      <c r="AG342" s="373"/>
    </row>
    <row r="343" spans="1:33" x14ac:dyDescent="0.25">
      <c r="A343" s="373"/>
      <c r="B343" s="373"/>
      <c r="C343" s="373"/>
      <c r="D343" s="373"/>
      <c r="E343" s="373"/>
      <c r="F343" s="373"/>
      <c r="G343" s="373"/>
      <c r="H343" s="373"/>
      <c r="I343" s="373"/>
      <c r="J343" s="373"/>
      <c r="K343" s="373"/>
      <c r="L343" s="373"/>
      <c r="M343" s="373"/>
      <c r="N343" s="373"/>
      <c r="O343" s="373"/>
      <c r="P343" s="373"/>
      <c r="Q343" s="373"/>
      <c r="R343" s="373"/>
      <c r="S343" s="373"/>
      <c r="T343" s="373"/>
      <c r="U343" s="373"/>
      <c r="V343" s="373"/>
      <c r="W343" s="373"/>
      <c r="X343" s="373"/>
      <c r="Y343" s="373"/>
      <c r="Z343" s="373"/>
      <c r="AA343" s="373"/>
      <c r="AB343" s="373"/>
      <c r="AC343" s="373"/>
      <c r="AD343" s="373"/>
      <c r="AE343" s="373"/>
      <c r="AF343" s="373"/>
      <c r="AG343" s="373"/>
    </row>
    <row r="344" spans="1:33" x14ac:dyDescent="0.25">
      <c r="A344" s="373"/>
      <c r="B344" s="373"/>
      <c r="C344" s="373"/>
      <c r="D344" s="373"/>
      <c r="E344" s="373"/>
      <c r="F344" s="373"/>
      <c r="G344" s="373"/>
      <c r="H344" s="373"/>
      <c r="I344" s="373"/>
      <c r="J344" s="373"/>
      <c r="K344" s="373"/>
      <c r="L344" s="373"/>
      <c r="M344" s="373"/>
      <c r="N344" s="373"/>
      <c r="O344" s="373"/>
      <c r="P344" s="373"/>
      <c r="Q344" s="373"/>
      <c r="R344" s="373"/>
      <c r="S344" s="373"/>
      <c r="T344" s="373"/>
      <c r="U344" s="373"/>
      <c r="V344" s="373"/>
      <c r="W344" s="373"/>
      <c r="X344" s="373"/>
      <c r="Y344" s="373"/>
      <c r="Z344" s="373"/>
      <c r="AA344" s="373"/>
      <c r="AB344" s="373"/>
      <c r="AC344" s="373"/>
      <c r="AD344" s="373"/>
      <c r="AE344" s="373"/>
      <c r="AF344" s="373"/>
      <c r="AG344" s="373"/>
    </row>
    <row r="345" spans="1:33" x14ac:dyDescent="0.25">
      <c r="A345" s="373"/>
      <c r="B345" s="373"/>
      <c r="C345" s="373"/>
      <c r="D345" s="373"/>
      <c r="E345" s="373"/>
      <c r="F345" s="373"/>
      <c r="G345" s="373"/>
      <c r="H345" s="373"/>
      <c r="I345" s="373"/>
      <c r="J345" s="373"/>
      <c r="K345" s="373"/>
      <c r="L345" s="373"/>
      <c r="M345" s="373"/>
      <c r="N345" s="373"/>
      <c r="O345" s="373"/>
      <c r="P345" s="373"/>
      <c r="Q345" s="373"/>
      <c r="R345" s="373"/>
      <c r="S345" s="373"/>
      <c r="T345" s="373"/>
      <c r="U345" s="373"/>
      <c r="V345" s="373"/>
      <c r="W345" s="373"/>
      <c r="X345" s="373"/>
      <c r="Y345" s="373"/>
      <c r="Z345" s="373"/>
      <c r="AA345" s="373"/>
      <c r="AB345" s="373"/>
      <c r="AC345" s="373"/>
      <c r="AD345" s="373"/>
      <c r="AE345" s="373"/>
      <c r="AF345" s="373"/>
      <c r="AG345" s="373"/>
    </row>
    <row r="346" spans="1:33" x14ac:dyDescent="0.25">
      <c r="A346" s="373"/>
      <c r="B346" s="373"/>
      <c r="C346" s="373"/>
      <c r="D346" s="373"/>
      <c r="E346" s="373"/>
      <c r="F346" s="373"/>
      <c r="G346" s="373"/>
      <c r="H346" s="373"/>
      <c r="I346" s="373"/>
      <c r="J346" s="373"/>
      <c r="K346" s="373"/>
      <c r="L346" s="373"/>
      <c r="M346" s="373"/>
      <c r="N346" s="373"/>
      <c r="O346" s="373"/>
      <c r="P346" s="373"/>
      <c r="Q346" s="373"/>
      <c r="R346" s="373"/>
      <c r="S346" s="373"/>
      <c r="T346" s="373"/>
      <c r="U346" s="373"/>
      <c r="V346" s="373"/>
      <c r="W346" s="373"/>
      <c r="X346" s="373"/>
      <c r="Y346" s="373"/>
      <c r="Z346" s="373"/>
      <c r="AA346" s="373"/>
      <c r="AB346" s="373"/>
      <c r="AC346" s="373"/>
      <c r="AD346" s="373"/>
      <c r="AE346" s="373"/>
      <c r="AF346" s="373"/>
      <c r="AG346" s="373"/>
    </row>
    <row r="347" spans="1:33" x14ac:dyDescent="0.25">
      <c r="A347" s="373"/>
      <c r="B347" s="373"/>
      <c r="C347" s="373"/>
      <c r="D347" s="373"/>
      <c r="E347" s="373"/>
      <c r="F347" s="373"/>
      <c r="G347" s="373"/>
      <c r="H347" s="373"/>
      <c r="I347" s="373"/>
      <c r="J347" s="373"/>
      <c r="K347" s="373"/>
      <c r="L347" s="373"/>
      <c r="M347" s="373"/>
      <c r="N347" s="373"/>
      <c r="O347" s="373"/>
      <c r="P347" s="373"/>
      <c r="Q347" s="373"/>
      <c r="R347" s="373"/>
      <c r="S347" s="373"/>
      <c r="T347" s="373"/>
      <c r="U347" s="373"/>
      <c r="V347" s="373"/>
      <c r="W347" s="373"/>
      <c r="X347" s="373"/>
      <c r="Y347" s="373"/>
      <c r="Z347" s="373"/>
      <c r="AA347" s="373"/>
      <c r="AB347" s="373"/>
      <c r="AC347" s="373"/>
      <c r="AD347" s="373"/>
      <c r="AE347" s="373"/>
      <c r="AF347" s="373"/>
      <c r="AG347" s="373"/>
    </row>
    <row r="348" spans="1:33" x14ac:dyDescent="0.25">
      <c r="A348" s="373"/>
      <c r="B348" s="373"/>
      <c r="C348" s="373"/>
      <c r="D348" s="373"/>
      <c r="E348" s="373"/>
      <c r="F348" s="373"/>
      <c r="G348" s="373"/>
      <c r="H348" s="373"/>
      <c r="I348" s="373"/>
      <c r="J348" s="373"/>
      <c r="K348" s="373"/>
      <c r="L348" s="373"/>
      <c r="M348" s="373"/>
      <c r="N348" s="373"/>
      <c r="O348" s="373"/>
      <c r="P348" s="373"/>
      <c r="Q348" s="373"/>
      <c r="R348" s="373"/>
      <c r="S348" s="373"/>
      <c r="T348" s="373"/>
      <c r="U348" s="373"/>
      <c r="V348" s="373"/>
      <c r="W348" s="373"/>
      <c r="X348" s="373"/>
      <c r="Y348" s="373"/>
      <c r="Z348" s="373"/>
      <c r="AA348" s="373"/>
      <c r="AB348" s="373"/>
      <c r="AC348" s="373"/>
      <c r="AD348" s="373"/>
      <c r="AE348" s="373"/>
      <c r="AF348" s="373"/>
      <c r="AG348" s="373"/>
    </row>
    <row r="349" spans="1:33" x14ac:dyDescent="0.25">
      <c r="A349" s="373"/>
      <c r="B349" s="373"/>
      <c r="C349" s="373"/>
      <c r="D349" s="373"/>
      <c r="E349" s="373"/>
      <c r="F349" s="373"/>
      <c r="G349" s="373"/>
      <c r="H349" s="373"/>
      <c r="I349" s="373"/>
      <c r="J349" s="373"/>
      <c r="K349" s="373"/>
      <c r="L349" s="373"/>
      <c r="M349" s="373"/>
      <c r="N349" s="373"/>
      <c r="O349" s="373"/>
      <c r="P349" s="373"/>
      <c r="Q349" s="373"/>
      <c r="R349" s="373"/>
      <c r="S349" s="373"/>
      <c r="T349" s="373"/>
      <c r="U349" s="373"/>
      <c r="V349" s="373"/>
      <c r="W349" s="373"/>
      <c r="X349" s="373"/>
      <c r="Y349" s="373"/>
      <c r="Z349" s="373"/>
      <c r="AA349" s="373"/>
      <c r="AB349" s="373"/>
      <c r="AC349" s="373"/>
      <c r="AD349" s="373"/>
      <c r="AE349" s="373"/>
      <c r="AF349" s="373"/>
      <c r="AG349" s="373"/>
    </row>
    <row r="350" spans="1:33" x14ac:dyDescent="0.25">
      <c r="A350" s="373"/>
      <c r="B350" s="373"/>
      <c r="C350" s="373"/>
      <c r="D350" s="373"/>
      <c r="E350" s="373"/>
      <c r="F350" s="373"/>
      <c r="G350" s="373"/>
      <c r="H350" s="373"/>
      <c r="I350" s="373"/>
      <c r="J350" s="373"/>
      <c r="K350" s="373"/>
      <c r="L350" s="373"/>
      <c r="M350" s="373"/>
      <c r="N350" s="373"/>
      <c r="O350" s="373"/>
      <c r="P350" s="373"/>
      <c r="Q350" s="373"/>
      <c r="R350" s="373"/>
      <c r="S350" s="373"/>
      <c r="T350" s="373"/>
      <c r="U350" s="373"/>
      <c r="V350" s="373"/>
      <c r="W350" s="373"/>
      <c r="X350" s="373"/>
      <c r="Y350" s="373"/>
      <c r="Z350" s="373"/>
      <c r="AA350" s="373"/>
      <c r="AB350" s="373"/>
      <c r="AC350" s="373"/>
      <c r="AD350" s="373"/>
      <c r="AE350" s="373"/>
      <c r="AF350" s="373"/>
      <c r="AG350" s="373"/>
    </row>
    <row r="351" spans="1:33" x14ac:dyDescent="0.25">
      <c r="A351" s="373"/>
      <c r="B351" s="373"/>
      <c r="C351" s="373"/>
      <c r="D351" s="373"/>
      <c r="E351" s="373"/>
      <c r="F351" s="373"/>
      <c r="G351" s="373"/>
      <c r="H351" s="373"/>
      <c r="I351" s="373"/>
      <c r="J351" s="373"/>
      <c r="K351" s="373"/>
      <c r="L351" s="373"/>
      <c r="M351" s="373"/>
      <c r="N351" s="373"/>
      <c r="O351" s="373"/>
      <c r="P351" s="373"/>
      <c r="Q351" s="373"/>
      <c r="R351" s="373"/>
      <c r="S351" s="373"/>
      <c r="T351" s="373"/>
      <c r="U351" s="373"/>
      <c r="V351" s="373"/>
      <c r="W351" s="373"/>
      <c r="X351" s="373"/>
      <c r="Y351" s="373"/>
      <c r="Z351" s="373"/>
      <c r="AA351" s="373"/>
      <c r="AB351" s="373"/>
      <c r="AC351" s="373"/>
      <c r="AD351" s="373"/>
      <c r="AE351" s="373"/>
      <c r="AF351" s="373"/>
      <c r="AG351" s="373"/>
    </row>
    <row r="352" spans="1:33" x14ac:dyDescent="0.25">
      <c r="A352" s="373"/>
      <c r="B352" s="373"/>
      <c r="C352" s="373"/>
      <c r="D352" s="373"/>
      <c r="E352" s="373"/>
      <c r="F352" s="373"/>
      <c r="G352" s="373"/>
      <c r="H352" s="373"/>
      <c r="I352" s="373"/>
      <c r="J352" s="373"/>
      <c r="K352" s="373"/>
      <c r="L352" s="373"/>
      <c r="M352" s="373"/>
      <c r="N352" s="373"/>
      <c r="O352" s="373"/>
      <c r="P352" s="373"/>
      <c r="Q352" s="373"/>
      <c r="R352" s="373"/>
      <c r="S352" s="373"/>
      <c r="T352" s="373"/>
      <c r="U352" s="373"/>
      <c r="V352" s="373"/>
      <c r="W352" s="373"/>
      <c r="X352" s="373"/>
      <c r="Y352" s="373"/>
      <c r="Z352" s="373"/>
      <c r="AA352" s="373"/>
      <c r="AB352" s="373"/>
      <c r="AC352" s="373"/>
      <c r="AD352" s="373"/>
      <c r="AE352" s="373"/>
      <c r="AF352" s="373"/>
      <c r="AG352" s="373"/>
    </row>
    <row r="353" spans="1:33" x14ac:dyDescent="0.25">
      <c r="A353" s="373"/>
      <c r="B353" s="373"/>
      <c r="C353" s="373"/>
      <c r="D353" s="373"/>
      <c r="E353" s="373"/>
      <c r="F353" s="373"/>
      <c r="G353" s="373"/>
      <c r="H353" s="373"/>
      <c r="I353" s="373"/>
      <c r="J353" s="373"/>
      <c r="K353" s="373"/>
      <c r="L353" s="373"/>
      <c r="M353" s="373"/>
      <c r="N353" s="373"/>
      <c r="O353" s="373"/>
      <c r="P353" s="373"/>
      <c r="Q353" s="373"/>
      <c r="R353" s="373"/>
      <c r="S353" s="373"/>
      <c r="T353" s="373"/>
      <c r="U353" s="373"/>
      <c r="V353" s="373"/>
      <c r="W353" s="373"/>
      <c r="X353" s="373"/>
      <c r="Y353" s="373"/>
      <c r="Z353" s="373"/>
      <c r="AA353" s="373"/>
      <c r="AB353" s="373"/>
      <c r="AC353" s="373"/>
      <c r="AD353" s="373"/>
      <c r="AE353" s="373"/>
      <c r="AF353" s="373"/>
      <c r="AG353" s="373"/>
    </row>
    <row r="354" spans="1:33" x14ac:dyDescent="0.25">
      <c r="A354" s="373"/>
      <c r="B354" s="373"/>
      <c r="C354" s="373"/>
      <c r="D354" s="373"/>
      <c r="E354" s="373"/>
      <c r="F354" s="373"/>
      <c r="G354" s="373"/>
      <c r="H354" s="373"/>
      <c r="I354" s="373"/>
      <c r="J354" s="373"/>
      <c r="K354" s="373"/>
      <c r="L354" s="373"/>
      <c r="M354" s="373"/>
      <c r="N354" s="373"/>
      <c r="O354" s="373"/>
      <c r="P354" s="373"/>
      <c r="Q354" s="373"/>
      <c r="R354" s="373"/>
      <c r="S354" s="373"/>
      <c r="T354" s="373"/>
      <c r="U354" s="373"/>
      <c r="V354" s="373"/>
      <c r="W354" s="373"/>
      <c r="X354" s="373"/>
      <c r="Y354" s="373"/>
      <c r="Z354" s="373"/>
      <c r="AA354" s="373"/>
      <c r="AB354" s="373"/>
      <c r="AC354" s="373"/>
      <c r="AD354" s="373"/>
      <c r="AE354" s="373"/>
      <c r="AF354" s="373"/>
      <c r="AG354" s="373"/>
    </row>
    <row r="355" spans="1:33" x14ac:dyDescent="0.25">
      <c r="A355" s="373"/>
      <c r="B355" s="373"/>
      <c r="C355" s="373"/>
      <c r="D355" s="373"/>
      <c r="E355" s="373"/>
      <c r="F355" s="373"/>
      <c r="G355" s="373"/>
      <c r="H355" s="373"/>
      <c r="I355" s="373"/>
      <c r="J355" s="373"/>
      <c r="K355" s="373"/>
      <c r="L355" s="373"/>
      <c r="M355" s="373"/>
      <c r="N355" s="373"/>
      <c r="O355" s="373"/>
      <c r="P355" s="373"/>
      <c r="Q355" s="373"/>
      <c r="R355" s="373"/>
      <c r="S355" s="373"/>
      <c r="T355" s="373"/>
      <c r="U355" s="373"/>
      <c r="V355" s="373"/>
      <c r="W355" s="373"/>
      <c r="X355" s="373"/>
      <c r="Y355" s="373"/>
      <c r="Z355" s="373"/>
      <c r="AA355" s="373"/>
      <c r="AB355" s="373"/>
      <c r="AC355" s="373"/>
      <c r="AD355" s="373"/>
      <c r="AE355" s="373"/>
      <c r="AF355" s="373"/>
      <c r="AG355" s="373"/>
    </row>
    <row r="356" spans="1:33" x14ac:dyDescent="0.25">
      <c r="A356" s="373"/>
      <c r="B356" s="373"/>
      <c r="C356" s="373"/>
      <c r="D356" s="373"/>
      <c r="E356" s="373"/>
      <c r="F356" s="373"/>
      <c r="G356" s="373"/>
      <c r="H356" s="373"/>
      <c r="I356" s="373"/>
      <c r="J356" s="373"/>
      <c r="K356" s="373"/>
      <c r="L356" s="373"/>
      <c r="M356" s="373"/>
      <c r="N356" s="373"/>
      <c r="O356" s="373"/>
      <c r="P356" s="373"/>
      <c r="Q356" s="373"/>
      <c r="R356" s="373"/>
      <c r="S356" s="373"/>
      <c r="T356" s="373"/>
      <c r="U356" s="373"/>
      <c r="V356" s="373"/>
      <c r="W356" s="373"/>
      <c r="X356" s="373"/>
      <c r="Y356" s="373"/>
      <c r="Z356" s="373"/>
      <c r="AA356" s="373"/>
      <c r="AB356" s="373"/>
      <c r="AC356" s="373"/>
      <c r="AD356" s="373"/>
      <c r="AE356" s="373"/>
      <c r="AF356" s="373"/>
      <c r="AG356" s="373"/>
    </row>
    <row r="357" spans="1:33" x14ac:dyDescent="0.25">
      <c r="A357" s="373"/>
      <c r="B357" s="373"/>
      <c r="C357" s="373"/>
      <c r="D357" s="373"/>
      <c r="E357" s="373"/>
      <c r="F357" s="373"/>
      <c r="G357" s="373"/>
      <c r="H357" s="373"/>
      <c r="I357" s="373"/>
      <c r="J357" s="373"/>
      <c r="K357" s="373"/>
      <c r="L357" s="373"/>
      <c r="M357" s="373"/>
      <c r="N357" s="373"/>
      <c r="O357" s="373"/>
      <c r="P357" s="373"/>
      <c r="Q357" s="373"/>
      <c r="R357" s="373"/>
      <c r="S357" s="373"/>
      <c r="T357" s="373"/>
      <c r="U357" s="373"/>
      <c r="V357" s="373"/>
      <c r="W357" s="373"/>
      <c r="X357" s="373"/>
      <c r="Y357" s="373"/>
      <c r="Z357" s="373"/>
      <c r="AA357" s="373"/>
      <c r="AB357" s="373"/>
      <c r="AC357" s="373"/>
      <c r="AD357" s="373"/>
      <c r="AE357" s="373"/>
      <c r="AF357" s="373"/>
      <c r="AG357" s="373"/>
    </row>
    <row r="358" spans="1:33" x14ac:dyDescent="0.25">
      <c r="A358" s="373"/>
      <c r="B358" s="373"/>
      <c r="C358" s="373"/>
      <c r="D358" s="373"/>
      <c r="E358" s="373"/>
      <c r="F358" s="373"/>
      <c r="G358" s="373"/>
      <c r="H358" s="373"/>
      <c r="I358" s="373"/>
      <c r="J358" s="373"/>
      <c r="K358" s="373"/>
      <c r="L358" s="373"/>
      <c r="M358" s="373"/>
      <c r="N358" s="373"/>
      <c r="O358" s="373"/>
      <c r="P358" s="373"/>
      <c r="Q358" s="373"/>
      <c r="R358" s="373"/>
      <c r="S358" s="373"/>
      <c r="T358" s="373"/>
      <c r="U358" s="373"/>
      <c r="V358" s="373"/>
      <c r="W358" s="373"/>
      <c r="X358" s="373"/>
      <c r="Y358" s="373"/>
      <c r="Z358" s="373"/>
      <c r="AA358" s="373"/>
      <c r="AB358" s="373"/>
      <c r="AC358" s="373"/>
      <c r="AD358" s="373"/>
      <c r="AE358" s="373"/>
      <c r="AF358" s="373"/>
      <c r="AG358" s="373"/>
    </row>
    <row r="359" spans="1:33" x14ac:dyDescent="0.25">
      <c r="A359" s="373"/>
      <c r="B359" s="373"/>
      <c r="C359" s="373"/>
      <c r="D359" s="373"/>
      <c r="E359" s="373"/>
      <c r="F359" s="373"/>
      <c r="G359" s="373"/>
      <c r="H359" s="373"/>
      <c r="I359" s="373"/>
      <c r="J359" s="373"/>
      <c r="K359" s="373"/>
      <c r="L359" s="373"/>
      <c r="M359" s="373"/>
      <c r="N359" s="373"/>
      <c r="O359" s="373"/>
      <c r="P359" s="373"/>
      <c r="Q359" s="373"/>
      <c r="R359" s="373"/>
      <c r="S359" s="373"/>
      <c r="T359" s="373"/>
      <c r="U359" s="373"/>
      <c r="V359" s="373"/>
      <c r="W359" s="373"/>
      <c r="X359" s="373"/>
      <c r="Y359" s="373"/>
      <c r="Z359" s="373"/>
      <c r="AA359" s="373"/>
      <c r="AB359" s="373"/>
      <c r="AC359" s="373"/>
      <c r="AD359" s="373"/>
      <c r="AE359" s="373"/>
      <c r="AF359" s="373"/>
      <c r="AG359" s="373"/>
    </row>
    <row r="360" spans="1:33" x14ac:dyDescent="0.25">
      <c r="A360" s="373"/>
      <c r="B360" s="373"/>
      <c r="C360" s="373"/>
      <c r="D360" s="373"/>
      <c r="E360" s="373"/>
      <c r="F360" s="373"/>
      <c r="G360" s="373"/>
      <c r="H360" s="373"/>
      <c r="I360" s="373"/>
      <c r="J360" s="373"/>
      <c r="K360" s="373"/>
      <c r="L360" s="373"/>
      <c r="M360" s="373"/>
      <c r="N360" s="373"/>
      <c r="O360" s="373"/>
      <c r="P360" s="373"/>
      <c r="Q360" s="373"/>
      <c r="R360" s="373"/>
      <c r="S360" s="373"/>
      <c r="T360" s="373"/>
      <c r="U360" s="373"/>
      <c r="V360" s="373"/>
      <c r="W360" s="373"/>
      <c r="X360" s="373"/>
      <c r="Y360" s="373"/>
      <c r="Z360" s="373"/>
      <c r="AA360" s="373"/>
      <c r="AB360" s="373"/>
      <c r="AC360" s="373"/>
      <c r="AD360" s="373"/>
      <c r="AE360" s="373"/>
      <c r="AF360" s="373"/>
      <c r="AG360" s="373"/>
    </row>
    <row r="361" spans="1:33" x14ac:dyDescent="0.25">
      <c r="A361" s="373"/>
      <c r="B361" s="373"/>
      <c r="C361" s="373"/>
      <c r="D361" s="373"/>
      <c r="E361" s="373"/>
      <c r="F361" s="373"/>
      <c r="G361" s="373"/>
      <c r="H361" s="373"/>
      <c r="I361" s="373"/>
      <c r="J361" s="373"/>
      <c r="K361" s="373"/>
      <c r="L361" s="373"/>
      <c r="M361" s="373"/>
      <c r="N361" s="373"/>
      <c r="O361" s="373"/>
      <c r="P361" s="373"/>
      <c r="Q361" s="373"/>
      <c r="R361" s="373"/>
      <c r="S361" s="373"/>
      <c r="T361" s="373"/>
      <c r="U361" s="373"/>
      <c r="V361" s="373"/>
      <c r="W361" s="373"/>
      <c r="X361" s="373"/>
      <c r="Y361" s="373"/>
      <c r="Z361" s="373"/>
      <c r="AA361" s="373"/>
      <c r="AB361" s="373"/>
      <c r="AC361" s="373"/>
      <c r="AD361" s="373"/>
      <c r="AE361" s="373"/>
      <c r="AF361" s="373"/>
      <c r="AG361" s="373"/>
    </row>
    <row r="362" spans="1:33" x14ac:dyDescent="0.25">
      <c r="A362" s="373"/>
      <c r="B362" s="373"/>
      <c r="C362" s="373"/>
      <c r="D362" s="373"/>
      <c r="E362" s="373"/>
      <c r="F362" s="373"/>
      <c r="G362" s="373"/>
      <c r="H362" s="373"/>
      <c r="I362" s="373"/>
      <c r="J362" s="373"/>
      <c r="K362" s="373"/>
      <c r="L362" s="373"/>
      <c r="M362" s="373"/>
      <c r="N362" s="373"/>
      <c r="O362" s="373"/>
      <c r="P362" s="373"/>
      <c r="Q362" s="373"/>
      <c r="R362" s="373"/>
      <c r="S362" s="373"/>
      <c r="T362" s="373"/>
      <c r="U362" s="373"/>
      <c r="V362" s="373"/>
      <c r="W362" s="373"/>
      <c r="X362" s="373"/>
      <c r="Y362" s="373"/>
      <c r="Z362" s="373"/>
      <c r="AA362" s="373"/>
      <c r="AB362" s="373"/>
      <c r="AC362" s="373"/>
      <c r="AD362" s="373"/>
      <c r="AE362" s="373"/>
      <c r="AF362" s="373"/>
      <c r="AG362" s="373"/>
    </row>
    <row r="363" spans="1:33" x14ac:dyDescent="0.25">
      <c r="A363" s="373"/>
      <c r="B363" s="373"/>
      <c r="C363" s="373"/>
      <c r="D363" s="373"/>
      <c r="E363" s="373"/>
      <c r="F363" s="373"/>
      <c r="G363" s="373"/>
      <c r="H363" s="373"/>
      <c r="I363" s="373"/>
      <c r="J363" s="373"/>
      <c r="K363" s="373"/>
      <c r="L363" s="373"/>
      <c r="M363" s="373"/>
      <c r="N363" s="373"/>
      <c r="O363" s="373"/>
      <c r="P363" s="373"/>
      <c r="Q363" s="373"/>
      <c r="R363" s="373"/>
      <c r="S363" s="373"/>
      <c r="T363" s="373"/>
      <c r="U363" s="373"/>
      <c r="V363" s="373"/>
      <c r="W363" s="373"/>
      <c r="X363" s="373"/>
      <c r="Y363" s="373"/>
      <c r="Z363" s="373"/>
      <c r="AA363" s="373"/>
      <c r="AB363" s="373"/>
      <c r="AC363" s="373"/>
      <c r="AD363" s="373"/>
      <c r="AE363" s="373"/>
      <c r="AF363" s="373"/>
      <c r="AG363" s="373"/>
    </row>
    <row r="364" spans="1:33" x14ac:dyDescent="0.25">
      <c r="A364" s="373"/>
      <c r="B364" s="373"/>
      <c r="C364" s="373"/>
      <c r="D364" s="373"/>
      <c r="E364" s="373"/>
      <c r="F364" s="373"/>
      <c r="G364" s="373"/>
      <c r="H364" s="373"/>
      <c r="I364" s="373"/>
      <c r="J364" s="373"/>
      <c r="K364" s="373"/>
      <c r="L364" s="373"/>
      <c r="M364" s="373"/>
      <c r="N364" s="373"/>
      <c r="O364" s="373"/>
      <c r="P364" s="373"/>
      <c r="Q364" s="373"/>
      <c r="R364" s="373"/>
      <c r="S364" s="373"/>
      <c r="T364" s="373"/>
      <c r="U364" s="373"/>
      <c r="V364" s="373"/>
      <c r="W364" s="373"/>
      <c r="X364" s="373"/>
      <c r="Y364" s="373"/>
      <c r="Z364" s="373"/>
      <c r="AA364" s="373"/>
      <c r="AB364" s="373"/>
      <c r="AC364" s="373"/>
      <c r="AD364" s="373"/>
      <c r="AE364" s="373"/>
      <c r="AF364" s="373"/>
      <c r="AG364" s="373"/>
    </row>
    <row r="365" spans="1:33" x14ac:dyDescent="0.25">
      <c r="A365" s="373"/>
      <c r="B365" s="373"/>
      <c r="C365" s="373"/>
      <c r="D365" s="373"/>
      <c r="E365" s="373"/>
      <c r="F365" s="373"/>
      <c r="G365" s="373"/>
      <c r="H365" s="373"/>
      <c r="I365" s="373"/>
      <c r="J365" s="373"/>
      <c r="K365" s="373"/>
      <c r="L365" s="373"/>
      <c r="M365" s="373"/>
      <c r="N365" s="373"/>
      <c r="O365" s="373"/>
      <c r="P365" s="373"/>
      <c r="Q365" s="373"/>
      <c r="R365" s="373"/>
      <c r="S365" s="373"/>
      <c r="T365" s="373"/>
      <c r="U365" s="373"/>
      <c r="V365" s="373"/>
      <c r="W365" s="373"/>
      <c r="X365" s="373"/>
      <c r="Y365" s="373"/>
      <c r="Z365" s="373"/>
      <c r="AA365" s="373"/>
      <c r="AB365" s="373"/>
      <c r="AC365" s="373"/>
      <c r="AD365" s="373"/>
      <c r="AE365" s="373"/>
      <c r="AF365" s="373"/>
      <c r="AG365" s="373"/>
    </row>
    <row r="366" spans="1:33" x14ac:dyDescent="0.25">
      <c r="A366" s="373"/>
      <c r="B366" s="373"/>
      <c r="C366" s="373"/>
      <c r="D366" s="373"/>
      <c r="E366" s="373"/>
      <c r="F366" s="373"/>
      <c r="G366" s="373"/>
      <c r="H366" s="373"/>
      <c r="I366" s="373"/>
      <c r="J366" s="373"/>
      <c r="K366" s="373"/>
      <c r="L366" s="373"/>
      <c r="M366" s="373"/>
      <c r="N366" s="373"/>
      <c r="O366" s="373"/>
      <c r="P366" s="373"/>
      <c r="Q366" s="373"/>
      <c r="R366" s="373"/>
      <c r="S366" s="373"/>
      <c r="T366" s="373"/>
      <c r="U366" s="373"/>
      <c r="V366" s="373"/>
      <c r="W366" s="373"/>
      <c r="X366" s="373"/>
      <c r="Y366" s="373"/>
      <c r="Z366" s="373"/>
      <c r="AA366" s="373"/>
      <c r="AB366" s="373"/>
      <c r="AC366" s="373"/>
      <c r="AD366" s="373"/>
      <c r="AE366" s="373"/>
      <c r="AF366" s="373"/>
      <c r="AG366" s="373"/>
    </row>
    <row r="367" spans="1:33" x14ac:dyDescent="0.25">
      <c r="A367" s="373"/>
      <c r="B367" s="373"/>
      <c r="C367" s="373"/>
      <c r="D367" s="373"/>
      <c r="E367" s="373"/>
      <c r="F367" s="373"/>
      <c r="G367" s="373"/>
      <c r="H367" s="373"/>
      <c r="I367" s="373"/>
      <c r="J367" s="373"/>
      <c r="K367" s="373"/>
      <c r="L367" s="373"/>
      <c r="M367" s="373"/>
      <c r="N367" s="373"/>
      <c r="O367" s="373"/>
      <c r="P367" s="373"/>
      <c r="Q367" s="373"/>
      <c r="R367" s="373"/>
      <c r="S367" s="373"/>
      <c r="T367" s="373"/>
      <c r="U367" s="373"/>
      <c r="V367" s="373"/>
      <c r="W367" s="373"/>
      <c r="X367" s="373"/>
      <c r="Y367" s="373"/>
      <c r="Z367" s="373"/>
      <c r="AA367" s="373"/>
      <c r="AB367" s="373"/>
      <c r="AC367" s="373"/>
      <c r="AD367" s="373"/>
      <c r="AE367" s="373"/>
      <c r="AF367" s="373"/>
      <c r="AG367" s="373"/>
    </row>
    <row r="368" spans="1:33" x14ac:dyDescent="0.25">
      <c r="A368" s="373"/>
      <c r="B368" s="373"/>
      <c r="C368" s="373"/>
      <c r="D368" s="373"/>
      <c r="E368" s="373"/>
      <c r="F368" s="373"/>
      <c r="G368" s="373"/>
      <c r="H368" s="373"/>
      <c r="I368" s="373"/>
      <c r="J368" s="373"/>
      <c r="K368" s="373"/>
      <c r="L368" s="373"/>
      <c r="M368" s="373"/>
      <c r="N368" s="373"/>
      <c r="O368" s="373"/>
      <c r="P368" s="373"/>
      <c r="Q368" s="373"/>
      <c r="R368" s="373"/>
      <c r="S368" s="373"/>
      <c r="T368" s="373"/>
      <c r="U368" s="373"/>
      <c r="V368" s="373"/>
      <c r="W368" s="373"/>
      <c r="X368" s="373"/>
      <c r="Y368" s="373"/>
      <c r="Z368" s="373"/>
      <c r="AA368" s="373"/>
      <c r="AB368" s="373"/>
      <c r="AC368" s="373"/>
      <c r="AD368" s="373"/>
      <c r="AE368" s="373"/>
      <c r="AF368" s="373"/>
      <c r="AG368" s="373"/>
    </row>
    <row r="369" spans="1:33" x14ac:dyDescent="0.25">
      <c r="A369" s="373"/>
      <c r="B369" s="373"/>
      <c r="C369" s="373"/>
      <c r="D369" s="373"/>
      <c r="E369" s="373"/>
      <c r="F369" s="373"/>
      <c r="G369" s="373"/>
      <c r="H369" s="373"/>
      <c r="I369" s="373"/>
      <c r="J369" s="373"/>
      <c r="K369" s="373"/>
      <c r="L369" s="373"/>
      <c r="M369" s="373"/>
      <c r="N369" s="373"/>
      <c r="O369" s="373"/>
      <c r="P369" s="373"/>
      <c r="Q369" s="373"/>
      <c r="R369" s="373"/>
      <c r="S369" s="373"/>
      <c r="T369" s="373"/>
      <c r="U369" s="373"/>
      <c r="V369" s="373"/>
      <c r="W369" s="373"/>
      <c r="X369" s="373"/>
      <c r="Y369" s="373"/>
      <c r="Z369" s="373"/>
      <c r="AA369" s="373"/>
      <c r="AB369" s="373"/>
      <c r="AC369" s="373"/>
      <c r="AD369" s="373"/>
      <c r="AE369" s="373"/>
      <c r="AF369" s="373"/>
      <c r="AG369" s="373"/>
    </row>
    <row r="370" spans="1:33" x14ac:dyDescent="0.25">
      <c r="A370" s="373"/>
      <c r="B370" s="373"/>
      <c r="C370" s="373"/>
      <c r="D370" s="373"/>
      <c r="E370" s="373"/>
      <c r="F370" s="373"/>
      <c r="G370" s="373"/>
      <c r="H370" s="373"/>
      <c r="I370" s="373"/>
      <c r="J370" s="373"/>
      <c r="K370" s="373"/>
      <c r="L370" s="373"/>
      <c r="M370" s="373"/>
      <c r="N370" s="373"/>
      <c r="O370" s="373"/>
      <c r="P370" s="373"/>
      <c r="Q370" s="373"/>
      <c r="R370" s="373"/>
      <c r="S370" s="373"/>
      <c r="T370" s="373"/>
      <c r="U370" s="373"/>
      <c r="V370" s="373"/>
      <c r="W370" s="373"/>
      <c r="X370" s="373"/>
      <c r="Y370" s="373"/>
      <c r="Z370" s="373"/>
      <c r="AA370" s="373"/>
      <c r="AB370" s="373"/>
      <c r="AC370" s="373"/>
      <c r="AD370" s="373"/>
      <c r="AE370" s="373"/>
      <c r="AF370" s="373"/>
      <c r="AG370" s="373"/>
    </row>
    <row r="371" spans="1:33" x14ac:dyDescent="0.25">
      <c r="A371" s="373"/>
      <c r="B371" s="373"/>
      <c r="C371" s="373"/>
      <c r="D371" s="373"/>
      <c r="E371" s="373"/>
      <c r="F371" s="373"/>
      <c r="G371" s="373"/>
      <c r="H371" s="373"/>
      <c r="I371" s="373"/>
      <c r="J371" s="373"/>
      <c r="K371" s="373"/>
      <c r="L371" s="373"/>
      <c r="M371" s="373"/>
      <c r="N371" s="373"/>
      <c r="O371" s="373"/>
      <c r="P371" s="373"/>
      <c r="Q371" s="373"/>
      <c r="R371" s="373"/>
      <c r="S371" s="373"/>
      <c r="T371" s="373"/>
      <c r="U371" s="373"/>
      <c r="V371" s="373"/>
      <c r="W371" s="373"/>
      <c r="X371" s="373"/>
      <c r="Y371" s="373"/>
      <c r="Z371" s="373"/>
      <c r="AA371" s="373"/>
      <c r="AB371" s="373"/>
      <c r="AC371" s="373"/>
      <c r="AD371" s="373"/>
      <c r="AE371" s="373"/>
      <c r="AF371" s="373"/>
      <c r="AG371" s="373"/>
    </row>
    <row r="372" spans="1:33" x14ac:dyDescent="0.25">
      <c r="A372" s="373"/>
      <c r="B372" s="373"/>
      <c r="C372" s="373"/>
      <c r="D372" s="373"/>
      <c r="E372" s="373"/>
      <c r="F372" s="373"/>
      <c r="G372" s="373"/>
      <c r="H372" s="373"/>
      <c r="I372" s="373"/>
      <c r="J372" s="373"/>
      <c r="K372" s="373"/>
      <c r="L372" s="373"/>
      <c r="M372" s="373"/>
      <c r="N372" s="373"/>
      <c r="O372" s="373"/>
      <c r="P372" s="373"/>
      <c r="Q372" s="373"/>
      <c r="R372" s="373"/>
      <c r="S372" s="373"/>
      <c r="T372" s="373"/>
      <c r="U372" s="373"/>
      <c r="V372" s="373"/>
      <c r="W372" s="373"/>
      <c r="X372" s="373"/>
      <c r="Y372" s="373"/>
      <c r="Z372" s="373"/>
      <c r="AA372" s="373"/>
      <c r="AB372" s="373"/>
      <c r="AC372" s="373"/>
      <c r="AD372" s="373"/>
      <c r="AE372" s="373"/>
      <c r="AF372" s="373"/>
      <c r="AG372" s="373"/>
    </row>
    <row r="373" spans="1:33" x14ac:dyDescent="0.25">
      <c r="A373" s="373"/>
      <c r="B373" s="373"/>
      <c r="C373" s="373"/>
      <c r="D373" s="373"/>
      <c r="E373" s="373"/>
      <c r="F373" s="373"/>
      <c r="G373" s="373"/>
      <c r="H373" s="373"/>
      <c r="I373" s="373"/>
      <c r="J373" s="373"/>
      <c r="K373" s="373"/>
      <c r="L373" s="373"/>
      <c r="M373" s="373"/>
      <c r="N373" s="373"/>
      <c r="O373" s="373"/>
      <c r="P373" s="373"/>
      <c r="Q373" s="373"/>
      <c r="R373" s="373"/>
      <c r="S373" s="373"/>
      <c r="T373" s="373"/>
      <c r="U373" s="373"/>
      <c r="V373" s="373"/>
      <c r="W373" s="373"/>
      <c r="X373" s="373"/>
      <c r="Y373" s="373"/>
      <c r="Z373" s="373"/>
      <c r="AA373" s="373"/>
      <c r="AB373" s="373"/>
      <c r="AC373" s="373"/>
      <c r="AD373" s="373"/>
      <c r="AE373" s="373"/>
      <c r="AF373" s="373"/>
      <c r="AG373" s="373"/>
    </row>
    <row r="374" spans="1:33" x14ac:dyDescent="0.25">
      <c r="A374" s="373"/>
      <c r="B374" s="373"/>
      <c r="C374" s="373"/>
      <c r="D374" s="373"/>
      <c r="E374" s="373"/>
      <c r="F374" s="373"/>
      <c r="G374" s="373"/>
      <c r="H374" s="373"/>
      <c r="I374" s="373"/>
      <c r="J374" s="373"/>
      <c r="K374" s="373"/>
      <c r="L374" s="373"/>
      <c r="M374" s="373"/>
      <c r="N374" s="373"/>
      <c r="O374" s="373"/>
      <c r="P374" s="373"/>
      <c r="Q374" s="373"/>
      <c r="R374" s="373"/>
      <c r="S374" s="373"/>
      <c r="T374" s="373"/>
      <c r="U374" s="373"/>
      <c r="V374" s="373"/>
      <c r="W374" s="373"/>
      <c r="X374" s="373"/>
      <c r="Y374" s="373"/>
      <c r="Z374" s="373"/>
      <c r="AA374" s="373"/>
      <c r="AB374" s="373"/>
      <c r="AC374" s="373"/>
      <c r="AD374" s="373"/>
      <c r="AE374" s="373"/>
      <c r="AF374" s="373"/>
      <c r="AG374" s="373"/>
    </row>
    <row r="375" spans="1:33" x14ac:dyDescent="0.25">
      <c r="A375" s="373"/>
      <c r="B375" s="373"/>
      <c r="C375" s="373"/>
      <c r="D375" s="373"/>
      <c r="E375" s="373"/>
      <c r="F375" s="373"/>
      <c r="G375" s="373"/>
      <c r="H375" s="373"/>
      <c r="I375" s="373"/>
      <c r="J375" s="373"/>
      <c r="K375" s="373"/>
      <c r="L375" s="373"/>
      <c r="M375" s="373"/>
      <c r="N375" s="373"/>
      <c r="O375" s="373"/>
      <c r="P375" s="373"/>
      <c r="Q375" s="373"/>
      <c r="R375" s="373"/>
      <c r="S375" s="373"/>
      <c r="T375" s="373"/>
      <c r="U375" s="373"/>
      <c r="V375" s="373"/>
      <c r="W375" s="373"/>
      <c r="X375" s="373"/>
      <c r="Y375" s="373"/>
      <c r="Z375" s="373"/>
      <c r="AA375" s="373"/>
      <c r="AB375" s="373"/>
      <c r="AC375" s="373"/>
      <c r="AD375" s="373"/>
      <c r="AE375" s="373"/>
      <c r="AF375" s="373"/>
      <c r="AG375" s="373"/>
    </row>
    <row r="376" spans="1:33" x14ac:dyDescent="0.25">
      <c r="A376" s="373"/>
      <c r="B376" s="373"/>
      <c r="C376" s="373"/>
      <c r="D376" s="373"/>
      <c r="E376" s="373"/>
      <c r="F376" s="373"/>
      <c r="G376" s="373"/>
      <c r="H376" s="373"/>
      <c r="I376" s="373"/>
      <c r="J376" s="373"/>
      <c r="K376" s="373"/>
      <c r="L376" s="373"/>
      <c r="M376" s="373"/>
      <c r="N376" s="373"/>
      <c r="O376" s="373"/>
      <c r="P376" s="373"/>
      <c r="Q376" s="373"/>
      <c r="R376" s="373"/>
      <c r="S376" s="373"/>
      <c r="T376" s="373"/>
      <c r="U376" s="373"/>
      <c r="V376" s="373"/>
      <c r="W376" s="373"/>
      <c r="X376" s="373"/>
      <c r="Y376" s="373"/>
      <c r="Z376" s="373"/>
      <c r="AA376" s="373"/>
      <c r="AB376" s="373"/>
      <c r="AC376" s="373"/>
      <c r="AD376" s="373"/>
      <c r="AE376" s="373"/>
      <c r="AF376" s="373"/>
      <c r="AG376" s="373"/>
    </row>
    <row r="377" spans="1:33" x14ac:dyDescent="0.25">
      <c r="A377" s="373"/>
      <c r="B377" s="373"/>
      <c r="C377" s="373"/>
      <c r="D377" s="373"/>
      <c r="E377" s="373"/>
      <c r="F377" s="373"/>
      <c r="G377" s="373"/>
      <c r="H377" s="373"/>
      <c r="I377" s="373"/>
      <c r="J377" s="373"/>
      <c r="K377" s="373"/>
      <c r="L377" s="373"/>
      <c r="M377" s="373"/>
      <c r="N377" s="373"/>
      <c r="O377" s="373"/>
      <c r="P377" s="373"/>
      <c r="Q377" s="373"/>
      <c r="R377" s="373"/>
      <c r="S377" s="373"/>
      <c r="T377" s="373"/>
      <c r="U377" s="373"/>
      <c r="V377" s="373"/>
      <c r="W377" s="373"/>
      <c r="X377" s="373"/>
      <c r="Y377" s="373"/>
      <c r="Z377" s="373"/>
      <c r="AA377" s="373"/>
      <c r="AB377" s="373"/>
      <c r="AC377" s="373"/>
      <c r="AD377" s="373"/>
      <c r="AE377" s="373"/>
      <c r="AF377" s="373"/>
      <c r="AG377" s="373"/>
    </row>
    <row r="378" spans="1:33" x14ac:dyDescent="0.25">
      <c r="A378" s="373"/>
      <c r="B378" s="373"/>
      <c r="C378" s="373"/>
      <c r="D378" s="373"/>
      <c r="E378" s="373"/>
      <c r="F378" s="373"/>
      <c r="G378" s="373"/>
      <c r="H378" s="373"/>
      <c r="I378" s="373"/>
      <c r="J378" s="373"/>
      <c r="K378" s="373"/>
      <c r="L378" s="373"/>
      <c r="M378" s="373"/>
      <c r="N378" s="373"/>
      <c r="O378" s="373"/>
      <c r="P378" s="373"/>
      <c r="Q378" s="373"/>
      <c r="R378" s="373"/>
      <c r="S378" s="373"/>
      <c r="T378" s="373"/>
      <c r="U378" s="373"/>
      <c r="V378" s="373"/>
      <c r="W378" s="373"/>
      <c r="X378" s="373"/>
      <c r="Y378" s="373"/>
      <c r="Z378" s="373"/>
      <c r="AA378" s="373"/>
      <c r="AB378" s="373"/>
      <c r="AC378" s="373"/>
      <c r="AD378" s="373"/>
      <c r="AE378" s="373"/>
      <c r="AF378" s="373"/>
      <c r="AG378" s="373"/>
    </row>
    <row r="379" spans="1:33" x14ac:dyDescent="0.25">
      <c r="A379" s="373"/>
      <c r="B379" s="373"/>
      <c r="C379" s="373"/>
      <c r="D379" s="373"/>
      <c r="E379" s="373"/>
      <c r="F379" s="373"/>
      <c r="G379" s="373"/>
      <c r="H379" s="373"/>
      <c r="I379" s="373"/>
      <c r="J379" s="373"/>
      <c r="K379" s="373"/>
      <c r="L379" s="373"/>
      <c r="M379" s="373"/>
      <c r="N379" s="373"/>
      <c r="O379" s="373"/>
      <c r="P379" s="373"/>
      <c r="Q379" s="373"/>
      <c r="R379" s="373"/>
      <c r="S379" s="373"/>
      <c r="T379" s="373"/>
      <c r="U379" s="373"/>
      <c r="V379" s="373"/>
      <c r="W379" s="373"/>
      <c r="X379" s="373"/>
      <c r="Y379" s="373"/>
      <c r="Z379" s="373"/>
      <c r="AA379" s="373"/>
      <c r="AB379" s="373"/>
      <c r="AC379" s="373"/>
      <c r="AD379" s="373"/>
      <c r="AE379" s="373"/>
      <c r="AF379" s="373"/>
      <c r="AG379" s="373"/>
    </row>
    <row r="380" spans="1:33" x14ac:dyDescent="0.25">
      <c r="A380" s="373"/>
      <c r="B380" s="373"/>
      <c r="C380" s="373"/>
      <c r="D380" s="373"/>
      <c r="E380" s="373"/>
      <c r="F380" s="373"/>
      <c r="G380" s="373"/>
      <c r="H380" s="373"/>
      <c r="I380" s="373"/>
      <c r="J380" s="373"/>
      <c r="K380" s="373"/>
      <c r="L380" s="373"/>
      <c r="M380" s="373"/>
      <c r="N380" s="373"/>
      <c r="O380" s="373"/>
      <c r="P380" s="373"/>
      <c r="Q380" s="373"/>
      <c r="R380" s="373"/>
      <c r="S380" s="373"/>
      <c r="T380" s="373"/>
      <c r="U380" s="373"/>
      <c r="V380" s="373"/>
      <c r="W380" s="373"/>
      <c r="X380" s="373"/>
      <c r="Y380" s="373"/>
      <c r="Z380" s="373"/>
      <c r="AA380" s="373"/>
      <c r="AB380" s="373"/>
      <c r="AC380" s="373"/>
      <c r="AD380" s="373"/>
      <c r="AE380" s="373"/>
      <c r="AF380" s="373"/>
      <c r="AG380" s="373"/>
    </row>
    <row r="381" spans="1:33" x14ac:dyDescent="0.25">
      <c r="A381" s="373"/>
      <c r="B381" s="373"/>
      <c r="C381" s="373"/>
      <c r="D381" s="373"/>
      <c r="E381" s="373"/>
      <c r="F381" s="373"/>
      <c r="G381" s="373"/>
      <c r="H381" s="373"/>
      <c r="I381" s="373"/>
      <c r="J381" s="373"/>
      <c r="K381" s="373"/>
      <c r="L381" s="373"/>
      <c r="M381" s="373"/>
      <c r="N381" s="373"/>
      <c r="O381" s="373"/>
      <c r="P381" s="373"/>
      <c r="Q381" s="373"/>
      <c r="R381" s="373"/>
      <c r="S381" s="373"/>
      <c r="T381" s="373"/>
      <c r="U381" s="373"/>
      <c r="V381" s="373"/>
      <c r="W381" s="373"/>
      <c r="X381" s="373"/>
      <c r="Y381" s="373"/>
      <c r="Z381" s="373"/>
      <c r="AA381" s="373"/>
      <c r="AB381" s="373"/>
      <c r="AC381" s="373"/>
      <c r="AD381" s="373"/>
      <c r="AE381" s="373"/>
      <c r="AF381" s="373"/>
      <c r="AG381" s="373"/>
    </row>
    <row r="382" spans="1:33" x14ac:dyDescent="0.25">
      <c r="A382" s="373"/>
      <c r="B382" s="373"/>
      <c r="C382" s="373"/>
      <c r="D382" s="373"/>
      <c r="E382" s="373"/>
      <c r="F382" s="373"/>
      <c r="G382" s="373"/>
      <c r="H382" s="373"/>
      <c r="I382" s="373"/>
      <c r="J382" s="373"/>
      <c r="K382" s="373"/>
      <c r="L382" s="373"/>
      <c r="M382" s="373"/>
      <c r="N382" s="373"/>
      <c r="O382" s="373"/>
      <c r="P382" s="373"/>
      <c r="Q382" s="373"/>
      <c r="R382" s="373"/>
      <c r="S382" s="373"/>
      <c r="T382" s="373"/>
      <c r="U382" s="373"/>
      <c r="V382" s="373"/>
      <c r="W382" s="373"/>
      <c r="X382" s="373"/>
      <c r="Y382" s="373"/>
      <c r="Z382" s="373"/>
      <c r="AA382" s="373"/>
      <c r="AB382" s="373"/>
      <c r="AC382" s="373"/>
      <c r="AD382" s="373"/>
      <c r="AE382" s="373"/>
      <c r="AF382" s="373"/>
      <c r="AG382" s="373"/>
    </row>
    <row r="383" spans="1:33" x14ac:dyDescent="0.25">
      <c r="A383" s="373"/>
      <c r="B383" s="373"/>
      <c r="C383" s="373"/>
      <c r="D383" s="373"/>
      <c r="E383" s="373"/>
      <c r="F383" s="373"/>
      <c r="G383" s="373"/>
      <c r="H383" s="373"/>
      <c r="I383" s="373"/>
      <c r="J383" s="373"/>
      <c r="K383" s="373"/>
      <c r="L383" s="373"/>
      <c r="M383" s="373"/>
      <c r="N383" s="373"/>
      <c r="O383" s="373"/>
      <c r="P383" s="373"/>
      <c r="Q383" s="373"/>
      <c r="R383" s="373"/>
      <c r="S383" s="373"/>
      <c r="T383" s="373"/>
      <c r="U383" s="373"/>
      <c r="V383" s="373"/>
      <c r="W383" s="373"/>
      <c r="X383" s="373"/>
      <c r="Y383" s="373"/>
      <c r="Z383" s="373"/>
      <c r="AA383" s="373"/>
      <c r="AB383" s="373"/>
      <c r="AC383" s="373"/>
      <c r="AD383" s="373"/>
      <c r="AE383" s="373"/>
      <c r="AF383" s="373"/>
      <c r="AG383" s="373"/>
    </row>
    <row r="384" spans="1:33" x14ac:dyDescent="0.25">
      <c r="A384" s="373"/>
      <c r="B384" s="373"/>
      <c r="C384" s="373"/>
      <c r="D384" s="373"/>
      <c r="E384" s="373"/>
      <c r="F384" s="373"/>
      <c r="G384" s="373"/>
      <c r="H384" s="373"/>
      <c r="I384" s="373"/>
      <c r="J384" s="373"/>
      <c r="K384" s="373"/>
      <c r="L384" s="373"/>
      <c r="M384" s="373"/>
      <c r="N384" s="373"/>
      <c r="O384" s="373"/>
      <c r="P384" s="373"/>
      <c r="Q384" s="373"/>
      <c r="R384" s="373"/>
      <c r="S384" s="373"/>
      <c r="T384" s="373"/>
      <c r="U384" s="373"/>
      <c r="V384" s="373"/>
      <c r="W384" s="373"/>
      <c r="X384" s="373"/>
      <c r="Y384" s="373"/>
      <c r="Z384" s="373"/>
      <c r="AA384" s="373"/>
      <c r="AB384" s="373"/>
      <c r="AC384" s="373"/>
      <c r="AD384" s="373"/>
      <c r="AE384" s="373"/>
      <c r="AF384" s="373"/>
      <c r="AG384" s="373"/>
    </row>
    <row r="385" spans="1:33" x14ac:dyDescent="0.25">
      <c r="A385" s="373"/>
      <c r="B385" s="373"/>
      <c r="C385" s="373"/>
      <c r="D385" s="373"/>
      <c r="E385" s="373"/>
      <c r="F385" s="373"/>
      <c r="G385" s="373"/>
      <c r="H385" s="373"/>
      <c r="I385" s="373"/>
      <c r="J385" s="373"/>
      <c r="K385" s="373"/>
      <c r="L385" s="373"/>
      <c r="M385" s="373"/>
      <c r="N385" s="373"/>
      <c r="O385" s="373"/>
      <c r="P385" s="373"/>
      <c r="Q385" s="373"/>
      <c r="R385" s="373"/>
      <c r="S385" s="373"/>
      <c r="T385" s="373"/>
      <c r="U385" s="373"/>
      <c r="V385" s="373"/>
      <c r="W385" s="373"/>
      <c r="X385" s="373"/>
      <c r="Y385" s="373"/>
      <c r="Z385" s="373"/>
      <c r="AA385" s="373"/>
      <c r="AB385" s="373"/>
      <c r="AC385" s="373"/>
      <c r="AD385" s="373"/>
      <c r="AE385" s="373"/>
      <c r="AF385" s="373"/>
      <c r="AG385" s="373"/>
    </row>
    <row r="386" spans="1:33" x14ac:dyDescent="0.25">
      <c r="A386" s="373"/>
      <c r="B386" s="373"/>
      <c r="C386" s="373"/>
      <c r="D386" s="373"/>
      <c r="E386" s="373"/>
      <c r="F386" s="373"/>
      <c r="G386" s="373"/>
      <c r="H386" s="373"/>
      <c r="I386" s="373"/>
      <c r="J386" s="373"/>
      <c r="K386" s="373"/>
      <c r="L386" s="373"/>
      <c r="M386" s="373"/>
      <c r="N386" s="373"/>
      <c r="O386" s="373"/>
      <c r="P386" s="373"/>
      <c r="Q386" s="373"/>
      <c r="R386" s="373"/>
      <c r="S386" s="373"/>
      <c r="T386" s="373"/>
      <c r="U386" s="373"/>
      <c r="V386" s="373"/>
      <c r="W386" s="373"/>
      <c r="X386" s="373"/>
      <c r="Y386" s="373"/>
      <c r="Z386" s="373"/>
      <c r="AA386" s="373"/>
      <c r="AB386" s="373"/>
      <c r="AC386" s="373"/>
      <c r="AD386" s="373"/>
      <c r="AE386" s="373"/>
      <c r="AF386" s="373"/>
      <c r="AG386" s="373"/>
    </row>
    <row r="387" spans="1:33" x14ac:dyDescent="0.25">
      <c r="A387" s="373"/>
      <c r="B387" s="373"/>
      <c r="C387" s="373"/>
      <c r="D387" s="373"/>
      <c r="E387" s="373"/>
      <c r="F387" s="373"/>
      <c r="G387" s="373"/>
      <c r="H387" s="373"/>
      <c r="I387" s="373"/>
      <c r="J387" s="373"/>
      <c r="K387" s="373"/>
      <c r="L387" s="373"/>
      <c r="M387" s="373"/>
      <c r="N387" s="373"/>
      <c r="O387" s="373"/>
      <c r="P387" s="373"/>
      <c r="Q387" s="373"/>
      <c r="R387" s="373"/>
      <c r="S387" s="373"/>
      <c r="T387" s="373"/>
      <c r="U387" s="373"/>
      <c r="V387" s="373"/>
      <c r="W387" s="373"/>
      <c r="X387" s="373"/>
      <c r="Y387" s="373"/>
      <c r="Z387" s="373"/>
      <c r="AA387" s="373"/>
      <c r="AB387" s="373"/>
      <c r="AC387" s="373"/>
      <c r="AD387" s="373"/>
      <c r="AE387" s="373"/>
      <c r="AF387" s="373"/>
      <c r="AG387" s="373"/>
    </row>
    <row r="388" spans="1:33" x14ac:dyDescent="0.25">
      <c r="A388" s="373"/>
      <c r="B388" s="373"/>
      <c r="C388" s="373"/>
      <c r="D388" s="373"/>
      <c r="E388" s="373"/>
      <c r="F388" s="373"/>
      <c r="G388" s="373"/>
      <c r="H388" s="373"/>
      <c r="I388" s="373"/>
      <c r="J388" s="373"/>
      <c r="K388" s="373"/>
      <c r="L388" s="373"/>
      <c r="M388" s="373"/>
      <c r="N388" s="373"/>
      <c r="O388" s="373"/>
      <c r="P388" s="373"/>
      <c r="Q388" s="373"/>
      <c r="R388" s="373"/>
      <c r="S388" s="373"/>
      <c r="T388" s="373"/>
      <c r="U388" s="373"/>
      <c r="V388" s="373"/>
      <c r="W388" s="373"/>
      <c r="X388" s="373"/>
      <c r="Y388" s="373"/>
      <c r="Z388" s="373"/>
      <c r="AA388" s="373"/>
      <c r="AB388" s="373"/>
      <c r="AC388" s="373"/>
      <c r="AD388" s="373"/>
      <c r="AE388" s="373"/>
      <c r="AF388" s="373"/>
      <c r="AG388" s="373"/>
    </row>
    <row r="389" spans="1:33" x14ac:dyDescent="0.25">
      <c r="A389" s="373"/>
      <c r="B389" s="373"/>
      <c r="C389" s="373"/>
      <c r="D389" s="373"/>
      <c r="E389" s="373"/>
      <c r="F389" s="373"/>
      <c r="G389" s="373"/>
      <c r="H389" s="373"/>
      <c r="I389" s="373"/>
      <c r="J389" s="373"/>
      <c r="K389" s="373"/>
      <c r="L389" s="373"/>
      <c r="M389" s="373"/>
      <c r="N389" s="373"/>
      <c r="O389" s="373"/>
      <c r="P389" s="373"/>
      <c r="Q389" s="373"/>
      <c r="R389" s="373"/>
      <c r="S389" s="373"/>
      <c r="T389" s="373"/>
      <c r="U389" s="373"/>
      <c r="V389" s="373"/>
      <c r="W389" s="373"/>
      <c r="X389" s="373"/>
      <c r="Y389" s="373"/>
      <c r="Z389" s="373"/>
      <c r="AA389" s="373"/>
      <c r="AB389" s="373"/>
      <c r="AC389" s="373"/>
      <c r="AD389" s="373"/>
      <c r="AE389" s="373"/>
      <c r="AF389" s="373"/>
      <c r="AG389" s="373"/>
    </row>
    <row r="390" spans="1:33" x14ac:dyDescent="0.25">
      <c r="A390" s="373"/>
      <c r="B390" s="373"/>
      <c r="C390" s="373"/>
      <c r="D390" s="373"/>
      <c r="E390" s="373"/>
      <c r="F390" s="373"/>
      <c r="G390" s="373"/>
      <c r="H390" s="373"/>
      <c r="I390" s="373"/>
      <c r="J390" s="373"/>
      <c r="K390" s="373"/>
      <c r="L390" s="373"/>
      <c r="M390" s="373"/>
      <c r="N390" s="373"/>
      <c r="O390" s="373"/>
      <c r="P390" s="373"/>
      <c r="Q390" s="373"/>
      <c r="R390" s="373"/>
      <c r="S390" s="373"/>
      <c r="T390" s="373"/>
      <c r="U390" s="373"/>
      <c r="V390" s="373"/>
      <c r="W390" s="373"/>
      <c r="X390" s="373"/>
      <c r="Y390" s="373"/>
      <c r="Z390" s="373"/>
      <c r="AA390" s="373"/>
      <c r="AB390" s="373"/>
      <c r="AC390" s="373"/>
      <c r="AD390" s="373"/>
      <c r="AE390" s="373"/>
      <c r="AF390" s="373"/>
      <c r="AG390" s="373"/>
    </row>
    <row r="391" spans="1:33" x14ac:dyDescent="0.25">
      <c r="A391" s="373"/>
      <c r="B391" s="373"/>
      <c r="C391" s="373"/>
      <c r="D391" s="373"/>
      <c r="E391" s="373"/>
      <c r="F391" s="373"/>
      <c r="G391" s="373"/>
      <c r="H391" s="373"/>
      <c r="I391" s="373"/>
      <c r="J391" s="373"/>
      <c r="K391" s="373"/>
      <c r="L391" s="373"/>
      <c r="M391" s="373"/>
      <c r="N391" s="373"/>
      <c r="O391" s="373"/>
      <c r="P391" s="373"/>
      <c r="Q391" s="373"/>
      <c r="R391" s="373"/>
      <c r="S391" s="373"/>
      <c r="T391" s="373"/>
      <c r="U391" s="373"/>
      <c r="V391" s="373"/>
      <c r="W391" s="373"/>
      <c r="X391" s="373"/>
      <c r="Y391" s="373"/>
      <c r="Z391" s="373"/>
      <c r="AA391" s="373"/>
      <c r="AB391" s="373"/>
      <c r="AC391" s="373"/>
      <c r="AD391" s="373"/>
      <c r="AE391" s="373"/>
      <c r="AF391" s="373"/>
      <c r="AG391" s="373"/>
    </row>
    <row r="392" spans="1:33" x14ac:dyDescent="0.25">
      <c r="A392" s="373"/>
      <c r="B392" s="373"/>
      <c r="C392" s="373"/>
      <c r="D392" s="373"/>
      <c r="E392" s="373"/>
      <c r="F392" s="373"/>
      <c r="G392" s="373"/>
      <c r="H392" s="373"/>
      <c r="I392" s="373"/>
      <c r="J392" s="373"/>
      <c r="K392" s="373"/>
      <c r="L392" s="373"/>
      <c r="M392" s="373"/>
      <c r="N392" s="373"/>
      <c r="O392" s="373"/>
      <c r="P392" s="373"/>
      <c r="Q392" s="373"/>
      <c r="R392" s="373"/>
      <c r="S392" s="373"/>
      <c r="T392" s="373"/>
      <c r="U392" s="373"/>
      <c r="V392" s="373"/>
      <c r="W392" s="373"/>
      <c r="X392" s="373"/>
      <c r="Y392" s="373"/>
      <c r="Z392" s="373"/>
      <c r="AA392" s="373"/>
      <c r="AB392" s="373"/>
      <c r="AC392" s="373"/>
      <c r="AD392" s="373"/>
      <c r="AE392" s="373"/>
      <c r="AF392" s="373"/>
      <c r="AG392" s="373"/>
    </row>
    <row r="393" spans="1:33" x14ac:dyDescent="0.25">
      <c r="A393" s="373"/>
      <c r="B393" s="373"/>
      <c r="C393" s="373"/>
      <c r="D393" s="373"/>
      <c r="E393" s="373"/>
      <c r="F393" s="373"/>
      <c r="G393" s="373"/>
      <c r="H393" s="373"/>
      <c r="I393" s="373"/>
      <c r="J393" s="373"/>
      <c r="K393" s="373"/>
      <c r="L393" s="373"/>
      <c r="M393" s="373"/>
      <c r="N393" s="373"/>
      <c r="O393" s="373"/>
      <c r="P393" s="373"/>
      <c r="Q393" s="373"/>
      <c r="R393" s="373"/>
      <c r="S393" s="373"/>
      <c r="T393" s="373"/>
      <c r="U393" s="373"/>
      <c r="V393" s="373"/>
      <c r="W393" s="373"/>
      <c r="X393" s="373"/>
      <c r="Y393" s="373"/>
      <c r="Z393" s="373"/>
      <c r="AA393" s="373"/>
      <c r="AB393" s="373"/>
      <c r="AC393" s="373"/>
      <c r="AD393" s="373"/>
      <c r="AE393" s="373"/>
      <c r="AF393" s="373"/>
      <c r="AG393" s="373"/>
    </row>
    <row r="394" spans="1:33" x14ac:dyDescent="0.25">
      <c r="A394" s="373"/>
      <c r="B394" s="373"/>
      <c r="C394" s="373"/>
      <c r="D394" s="373"/>
      <c r="E394" s="373"/>
      <c r="F394" s="373"/>
      <c r="G394" s="373"/>
      <c r="H394" s="373"/>
      <c r="I394" s="373"/>
      <c r="J394" s="373"/>
      <c r="K394" s="373"/>
      <c r="L394" s="373"/>
      <c r="M394" s="373"/>
      <c r="N394" s="373"/>
      <c r="O394" s="373"/>
      <c r="P394" s="373"/>
      <c r="Q394" s="373"/>
      <c r="R394" s="373"/>
      <c r="S394" s="373"/>
      <c r="T394" s="373"/>
      <c r="U394" s="373"/>
      <c r="V394" s="373"/>
      <c r="W394" s="373"/>
      <c r="X394" s="373"/>
      <c r="Y394" s="373"/>
      <c r="Z394" s="373"/>
      <c r="AA394" s="373"/>
      <c r="AB394" s="373"/>
      <c r="AC394" s="373"/>
      <c r="AD394" s="373"/>
      <c r="AE394" s="373"/>
      <c r="AF394" s="373"/>
      <c r="AG394" s="373"/>
    </row>
    <row r="395" spans="1:33" x14ac:dyDescent="0.25">
      <c r="A395" s="373"/>
      <c r="B395" s="373"/>
      <c r="C395" s="373"/>
      <c r="D395" s="373"/>
      <c r="E395" s="373"/>
      <c r="F395" s="373"/>
      <c r="G395" s="373"/>
      <c r="H395" s="373"/>
      <c r="I395" s="373"/>
      <c r="J395" s="373"/>
      <c r="K395" s="373"/>
      <c r="L395" s="373"/>
      <c r="M395" s="373"/>
      <c r="N395" s="373"/>
      <c r="O395" s="373"/>
      <c r="P395" s="373"/>
      <c r="Q395" s="373"/>
      <c r="R395" s="373"/>
      <c r="S395" s="373"/>
      <c r="T395" s="373"/>
      <c r="U395" s="373"/>
      <c r="V395" s="373"/>
      <c r="W395" s="373"/>
      <c r="X395" s="373"/>
      <c r="Y395" s="373"/>
      <c r="Z395" s="373"/>
      <c r="AA395" s="373"/>
      <c r="AB395" s="373"/>
      <c r="AC395" s="373"/>
      <c r="AD395" s="373"/>
      <c r="AE395" s="373"/>
      <c r="AF395" s="373"/>
      <c r="AG395" s="373"/>
    </row>
    <row r="396" spans="1:33" x14ac:dyDescent="0.25">
      <c r="A396" s="373"/>
      <c r="B396" s="373"/>
      <c r="C396" s="373"/>
      <c r="D396" s="373"/>
      <c r="E396" s="373"/>
      <c r="F396" s="373"/>
      <c r="G396" s="373"/>
      <c r="H396" s="373"/>
      <c r="I396" s="373"/>
      <c r="J396" s="373"/>
      <c r="K396" s="373"/>
      <c r="L396" s="373"/>
      <c r="M396" s="373"/>
      <c r="N396" s="373"/>
      <c r="O396" s="373"/>
      <c r="P396" s="373"/>
      <c r="Q396" s="373"/>
      <c r="R396" s="373"/>
      <c r="S396" s="373"/>
      <c r="T396" s="373"/>
      <c r="U396" s="373"/>
      <c r="V396" s="373"/>
      <c r="W396" s="373"/>
      <c r="X396" s="373"/>
      <c r="Y396" s="373"/>
      <c r="Z396" s="373"/>
      <c r="AA396" s="373"/>
      <c r="AB396" s="373"/>
      <c r="AC396" s="373"/>
      <c r="AD396" s="373"/>
      <c r="AE396" s="373"/>
      <c r="AF396" s="373"/>
      <c r="AG396" s="373"/>
    </row>
    <row r="397" spans="1:33" x14ac:dyDescent="0.25">
      <c r="A397" s="373"/>
      <c r="B397" s="373"/>
      <c r="C397" s="373"/>
      <c r="D397" s="373"/>
      <c r="E397" s="373"/>
      <c r="F397" s="373"/>
      <c r="G397" s="373"/>
      <c r="H397" s="373"/>
      <c r="I397" s="373"/>
      <c r="J397" s="373"/>
      <c r="K397" s="373"/>
      <c r="L397" s="373"/>
      <c r="M397" s="373"/>
      <c r="N397" s="373"/>
      <c r="O397" s="373"/>
      <c r="P397" s="373"/>
      <c r="Q397" s="373"/>
      <c r="R397" s="373"/>
      <c r="S397" s="373"/>
      <c r="T397" s="373"/>
      <c r="U397" s="373"/>
      <c r="V397" s="373"/>
      <c r="W397" s="373"/>
      <c r="X397" s="373"/>
      <c r="Y397" s="373"/>
      <c r="Z397" s="373"/>
      <c r="AA397" s="373"/>
      <c r="AB397" s="373"/>
      <c r="AC397" s="373"/>
      <c r="AD397" s="373"/>
      <c r="AE397" s="373"/>
      <c r="AF397" s="373"/>
      <c r="AG397" s="373"/>
    </row>
    <row r="398" spans="1:33" x14ac:dyDescent="0.25">
      <c r="A398" s="373"/>
      <c r="B398" s="373"/>
      <c r="C398" s="373"/>
      <c r="D398" s="373"/>
      <c r="E398" s="373"/>
      <c r="F398" s="373"/>
      <c r="G398" s="373"/>
      <c r="H398" s="373"/>
      <c r="I398" s="373"/>
      <c r="J398" s="373"/>
      <c r="K398" s="373"/>
      <c r="L398" s="373"/>
      <c r="M398" s="373"/>
      <c r="N398" s="373"/>
      <c r="O398" s="373"/>
      <c r="P398" s="373"/>
      <c r="Q398" s="373"/>
      <c r="R398" s="373"/>
      <c r="S398" s="373"/>
      <c r="T398" s="373"/>
      <c r="U398" s="373"/>
      <c r="V398" s="373"/>
      <c r="W398" s="373"/>
      <c r="X398" s="373"/>
      <c r="Y398" s="373"/>
      <c r="Z398" s="373"/>
      <c r="AA398" s="373"/>
      <c r="AB398" s="373"/>
      <c r="AC398" s="373"/>
      <c r="AD398" s="373"/>
      <c r="AE398" s="373"/>
      <c r="AF398" s="373"/>
      <c r="AG398" s="373"/>
    </row>
    <row r="399" spans="1:33" x14ac:dyDescent="0.25">
      <c r="A399" s="373"/>
      <c r="B399" s="373"/>
      <c r="C399" s="373"/>
      <c r="D399" s="373"/>
      <c r="E399" s="373"/>
      <c r="F399" s="373"/>
      <c r="G399" s="373"/>
      <c r="H399" s="373"/>
      <c r="I399" s="373"/>
      <c r="J399" s="373"/>
      <c r="K399" s="373"/>
      <c r="L399" s="373"/>
      <c r="M399" s="373"/>
      <c r="N399" s="373"/>
      <c r="O399" s="373"/>
      <c r="P399" s="373"/>
      <c r="Q399" s="373"/>
      <c r="R399" s="373"/>
      <c r="S399" s="373"/>
      <c r="T399" s="373"/>
      <c r="U399" s="373"/>
      <c r="V399" s="373"/>
      <c r="W399" s="373"/>
      <c r="X399" s="373"/>
      <c r="Y399" s="373"/>
      <c r="Z399" s="373"/>
      <c r="AA399" s="373"/>
      <c r="AB399" s="373"/>
      <c r="AC399" s="373"/>
      <c r="AD399" s="373"/>
      <c r="AE399" s="373"/>
      <c r="AF399" s="373"/>
      <c r="AG399" s="373"/>
    </row>
    <row r="400" spans="1:33" x14ac:dyDescent="0.25">
      <c r="A400" s="373"/>
      <c r="B400" s="373"/>
      <c r="C400" s="373"/>
      <c r="D400" s="373"/>
      <c r="E400" s="373"/>
      <c r="F400" s="373"/>
      <c r="G400" s="373"/>
      <c r="H400" s="373"/>
      <c r="I400" s="373"/>
      <c r="J400" s="373"/>
      <c r="K400" s="373"/>
      <c r="L400" s="373"/>
      <c r="M400" s="373"/>
      <c r="N400" s="373"/>
      <c r="O400" s="373"/>
      <c r="P400" s="373"/>
      <c r="Q400" s="373"/>
      <c r="R400" s="373"/>
      <c r="S400" s="373"/>
      <c r="T400" s="373"/>
      <c r="U400" s="373"/>
      <c r="V400" s="373"/>
      <c r="W400" s="373"/>
      <c r="X400" s="373"/>
      <c r="Y400" s="373"/>
      <c r="Z400" s="373"/>
      <c r="AA400" s="373"/>
      <c r="AB400" s="373"/>
      <c r="AC400" s="373"/>
      <c r="AD400" s="373"/>
      <c r="AE400" s="373"/>
      <c r="AF400" s="373"/>
      <c r="AG400" s="373"/>
    </row>
    <row r="401" spans="1:33" x14ac:dyDescent="0.25">
      <c r="A401" s="373"/>
      <c r="B401" s="373"/>
      <c r="C401" s="373"/>
      <c r="D401" s="373"/>
      <c r="E401" s="373"/>
      <c r="F401" s="373"/>
      <c r="G401" s="373"/>
      <c r="H401" s="373"/>
      <c r="I401" s="373"/>
      <c r="J401" s="373"/>
      <c r="K401" s="373"/>
      <c r="L401" s="373"/>
      <c r="M401" s="373"/>
      <c r="N401" s="373"/>
      <c r="O401" s="373"/>
      <c r="P401" s="373"/>
      <c r="Q401" s="373"/>
      <c r="R401" s="373"/>
      <c r="S401" s="373"/>
      <c r="T401" s="373"/>
      <c r="U401" s="373"/>
      <c r="V401" s="373"/>
      <c r="W401" s="373"/>
      <c r="X401" s="373"/>
      <c r="Y401" s="373"/>
      <c r="Z401" s="373"/>
      <c r="AA401" s="373"/>
      <c r="AB401" s="373"/>
      <c r="AC401" s="373"/>
      <c r="AD401" s="373"/>
      <c r="AE401" s="373"/>
      <c r="AF401" s="373"/>
      <c r="AG401" s="373"/>
    </row>
    <row r="402" spans="1:33" x14ac:dyDescent="0.25">
      <c r="A402" s="373"/>
      <c r="B402" s="373"/>
      <c r="C402" s="373"/>
      <c r="D402" s="373"/>
      <c r="E402" s="373"/>
      <c r="F402" s="373"/>
      <c r="G402" s="373"/>
      <c r="H402" s="373"/>
      <c r="I402" s="373"/>
      <c r="J402" s="373"/>
      <c r="K402" s="373"/>
      <c r="L402" s="373"/>
      <c r="M402" s="373"/>
      <c r="N402" s="373"/>
      <c r="O402" s="373"/>
      <c r="P402" s="373"/>
      <c r="Q402" s="373"/>
      <c r="R402" s="373"/>
      <c r="S402" s="373"/>
      <c r="T402" s="373"/>
      <c r="U402" s="373"/>
      <c r="V402" s="373"/>
      <c r="W402" s="373"/>
      <c r="X402" s="373"/>
      <c r="Y402" s="373"/>
      <c r="Z402" s="373"/>
      <c r="AA402" s="373"/>
      <c r="AB402" s="373"/>
      <c r="AC402" s="373"/>
      <c r="AD402" s="373"/>
      <c r="AE402" s="373"/>
      <c r="AF402" s="373"/>
      <c r="AG402" s="373"/>
    </row>
    <row r="403" spans="1:33" x14ac:dyDescent="0.25">
      <c r="A403" s="373"/>
      <c r="B403" s="373"/>
      <c r="C403" s="373"/>
      <c r="D403" s="373"/>
      <c r="E403" s="373"/>
      <c r="F403" s="373"/>
      <c r="G403" s="373"/>
      <c r="H403" s="373"/>
      <c r="I403" s="373"/>
      <c r="J403" s="373"/>
      <c r="K403" s="373"/>
      <c r="L403" s="373"/>
      <c r="M403" s="373"/>
      <c r="N403" s="373"/>
      <c r="O403" s="373"/>
      <c r="P403" s="373"/>
      <c r="Q403" s="373"/>
      <c r="R403" s="373"/>
      <c r="S403" s="373"/>
      <c r="T403" s="373"/>
      <c r="U403" s="373"/>
      <c r="V403" s="373"/>
      <c r="W403" s="373"/>
      <c r="X403" s="373"/>
      <c r="Y403" s="373"/>
      <c r="Z403" s="373"/>
      <c r="AA403" s="373"/>
      <c r="AB403" s="373"/>
      <c r="AC403" s="373"/>
      <c r="AD403" s="373"/>
      <c r="AE403" s="373"/>
      <c r="AF403" s="373"/>
      <c r="AG403" s="373"/>
    </row>
    <row r="404" spans="1:33" x14ac:dyDescent="0.25">
      <c r="A404" s="373"/>
      <c r="B404" s="373"/>
      <c r="C404" s="373"/>
      <c r="D404" s="373"/>
      <c r="E404" s="373"/>
      <c r="F404" s="373"/>
      <c r="G404" s="373"/>
      <c r="H404" s="373"/>
      <c r="I404" s="373"/>
      <c r="J404" s="373"/>
      <c r="K404" s="373"/>
      <c r="L404" s="373"/>
      <c r="M404" s="373"/>
      <c r="N404" s="373"/>
      <c r="O404" s="373"/>
      <c r="P404" s="373"/>
      <c r="Q404" s="373"/>
      <c r="R404" s="373"/>
      <c r="S404" s="373"/>
      <c r="T404" s="373"/>
      <c r="U404" s="373"/>
      <c r="V404" s="373"/>
      <c r="W404" s="373"/>
      <c r="X404" s="373"/>
      <c r="Y404" s="373"/>
      <c r="Z404" s="373"/>
      <c r="AA404" s="373"/>
      <c r="AB404" s="373"/>
      <c r="AC404" s="373"/>
      <c r="AD404" s="373"/>
      <c r="AE404" s="373"/>
      <c r="AF404" s="373"/>
      <c r="AG404" s="373"/>
    </row>
    <row r="405" spans="1:33" x14ac:dyDescent="0.25">
      <c r="A405" s="373"/>
      <c r="B405" s="373"/>
      <c r="C405" s="373"/>
      <c r="D405" s="373"/>
      <c r="E405" s="373"/>
      <c r="F405" s="373"/>
      <c r="G405" s="373"/>
      <c r="H405" s="373"/>
      <c r="I405" s="373"/>
      <c r="J405" s="373"/>
      <c r="K405" s="373"/>
      <c r="L405" s="373"/>
      <c r="M405" s="373"/>
      <c r="N405" s="373"/>
      <c r="O405" s="373"/>
      <c r="P405" s="373"/>
      <c r="Q405" s="373"/>
      <c r="R405" s="373"/>
      <c r="S405" s="373"/>
      <c r="T405" s="373"/>
      <c r="U405" s="373"/>
      <c r="V405" s="373"/>
      <c r="W405" s="373"/>
      <c r="X405" s="373"/>
      <c r="Y405" s="373"/>
      <c r="Z405" s="373"/>
      <c r="AA405" s="373"/>
      <c r="AB405" s="373"/>
      <c r="AC405" s="373"/>
      <c r="AD405" s="373"/>
      <c r="AE405" s="373"/>
      <c r="AF405" s="373"/>
      <c r="AG405" s="373"/>
    </row>
    <row r="406" spans="1:33" x14ac:dyDescent="0.25">
      <c r="A406" s="373"/>
      <c r="B406" s="373"/>
      <c r="C406" s="373"/>
      <c r="D406" s="373"/>
      <c r="E406" s="373"/>
      <c r="F406" s="373"/>
      <c r="G406" s="373"/>
      <c r="H406" s="373"/>
      <c r="I406" s="373"/>
      <c r="J406" s="373"/>
      <c r="K406" s="373"/>
      <c r="L406" s="373"/>
      <c r="M406" s="373"/>
      <c r="N406" s="373"/>
      <c r="O406" s="373"/>
      <c r="P406" s="373"/>
      <c r="Q406" s="373"/>
      <c r="R406" s="373"/>
      <c r="S406" s="373"/>
      <c r="T406" s="373"/>
      <c r="U406" s="373"/>
      <c r="V406" s="373"/>
      <c r="W406" s="373"/>
      <c r="X406" s="373"/>
      <c r="Y406" s="373"/>
      <c r="Z406" s="373"/>
      <c r="AA406" s="373"/>
      <c r="AB406" s="373"/>
      <c r="AC406" s="373"/>
      <c r="AD406" s="373"/>
      <c r="AE406" s="373"/>
      <c r="AF406" s="373"/>
      <c r="AG406" s="373"/>
    </row>
    <row r="407" spans="1:33" x14ac:dyDescent="0.25">
      <c r="A407" s="373"/>
      <c r="B407" s="373"/>
      <c r="C407" s="373"/>
      <c r="D407" s="373"/>
      <c r="E407" s="373"/>
      <c r="F407" s="373"/>
      <c r="G407" s="373"/>
      <c r="H407" s="373"/>
      <c r="I407" s="373"/>
      <c r="J407" s="373"/>
      <c r="K407" s="373"/>
      <c r="L407" s="373"/>
      <c r="M407" s="373"/>
      <c r="N407" s="373"/>
      <c r="O407" s="373"/>
      <c r="P407" s="373"/>
      <c r="Q407" s="373"/>
      <c r="R407" s="373"/>
      <c r="S407" s="373"/>
      <c r="T407" s="373"/>
      <c r="U407" s="373"/>
      <c r="V407" s="373"/>
      <c r="W407" s="373"/>
      <c r="X407" s="373"/>
      <c r="Y407" s="373"/>
      <c r="Z407" s="373"/>
      <c r="AA407" s="373"/>
      <c r="AB407" s="373"/>
      <c r="AC407" s="373"/>
      <c r="AD407" s="373"/>
      <c r="AE407" s="373"/>
      <c r="AF407" s="373"/>
      <c r="AG407" s="373"/>
    </row>
    <row r="408" spans="1:33" x14ac:dyDescent="0.25">
      <c r="A408" s="373"/>
      <c r="B408" s="373"/>
      <c r="C408" s="373"/>
      <c r="D408" s="373"/>
      <c r="E408" s="373"/>
      <c r="F408" s="373"/>
      <c r="G408" s="373"/>
      <c r="H408" s="373"/>
      <c r="I408" s="373"/>
      <c r="J408" s="373"/>
      <c r="K408" s="373"/>
      <c r="L408" s="373"/>
      <c r="M408" s="373"/>
      <c r="N408" s="373"/>
      <c r="O408" s="373"/>
      <c r="P408" s="373"/>
      <c r="Q408" s="373"/>
      <c r="R408" s="373"/>
      <c r="S408" s="373"/>
      <c r="T408" s="373"/>
      <c r="U408" s="373"/>
      <c r="V408" s="373"/>
      <c r="W408" s="373"/>
      <c r="X408" s="373"/>
      <c r="Y408" s="373"/>
      <c r="Z408" s="373"/>
      <c r="AA408" s="373"/>
      <c r="AB408" s="373"/>
      <c r="AC408" s="373"/>
      <c r="AD408" s="373"/>
      <c r="AE408" s="373"/>
      <c r="AF408" s="373"/>
      <c r="AG408" s="373"/>
    </row>
    <row r="409" spans="1:33" x14ac:dyDescent="0.25">
      <c r="A409" s="373"/>
      <c r="B409" s="373"/>
      <c r="C409" s="373"/>
      <c r="D409" s="373"/>
      <c r="E409" s="373"/>
      <c r="F409" s="373"/>
      <c r="G409" s="373"/>
      <c r="H409" s="373"/>
      <c r="I409" s="373"/>
      <c r="J409" s="373"/>
      <c r="K409" s="373"/>
      <c r="L409" s="373"/>
      <c r="M409" s="373"/>
      <c r="N409" s="373"/>
      <c r="O409" s="373"/>
      <c r="P409" s="373"/>
      <c r="Q409" s="373"/>
      <c r="R409" s="373"/>
      <c r="S409" s="373"/>
      <c r="T409" s="373"/>
      <c r="U409" s="373"/>
      <c r="V409" s="373"/>
      <c r="W409" s="373"/>
      <c r="X409" s="373"/>
      <c r="Y409" s="373"/>
      <c r="Z409" s="373"/>
      <c r="AA409" s="373"/>
      <c r="AB409" s="373"/>
      <c r="AC409" s="373"/>
      <c r="AD409" s="373"/>
      <c r="AE409" s="373"/>
      <c r="AF409" s="373"/>
      <c r="AG409" s="373"/>
    </row>
    <row r="410" spans="1:33" x14ac:dyDescent="0.25">
      <c r="A410" s="373"/>
      <c r="B410" s="373"/>
      <c r="C410" s="373"/>
      <c r="D410" s="373"/>
      <c r="E410" s="373"/>
      <c r="F410" s="373"/>
      <c r="G410" s="373"/>
      <c r="H410" s="373"/>
      <c r="I410" s="373"/>
      <c r="J410" s="373"/>
      <c r="K410" s="373"/>
      <c r="L410" s="373"/>
      <c r="M410" s="373"/>
      <c r="N410" s="373"/>
      <c r="O410" s="373"/>
      <c r="P410" s="373"/>
      <c r="Q410" s="373"/>
      <c r="R410" s="373"/>
      <c r="S410" s="373"/>
      <c r="T410" s="373"/>
      <c r="U410" s="373"/>
      <c r="V410" s="373"/>
      <c r="W410" s="373"/>
      <c r="X410" s="373"/>
      <c r="Y410" s="373"/>
      <c r="Z410" s="373"/>
      <c r="AA410" s="373"/>
      <c r="AB410" s="373"/>
      <c r="AC410" s="373"/>
      <c r="AD410" s="373"/>
      <c r="AE410" s="373"/>
      <c r="AF410" s="373"/>
      <c r="AG410" s="373"/>
    </row>
    <row r="411" spans="1:33" x14ac:dyDescent="0.25">
      <c r="A411" s="373"/>
      <c r="B411" s="373"/>
      <c r="C411" s="373"/>
      <c r="D411" s="373"/>
      <c r="E411" s="373"/>
      <c r="F411" s="373"/>
      <c r="G411" s="373"/>
      <c r="H411" s="373"/>
      <c r="I411" s="373"/>
      <c r="J411" s="373"/>
      <c r="K411" s="373"/>
      <c r="L411" s="373"/>
      <c r="M411" s="373"/>
      <c r="N411" s="373"/>
      <c r="O411" s="373"/>
      <c r="P411" s="373"/>
      <c r="Q411" s="373"/>
      <c r="R411" s="373"/>
      <c r="S411" s="373"/>
      <c r="T411" s="373"/>
      <c r="U411" s="373"/>
      <c r="V411" s="373"/>
      <c r="W411" s="373"/>
      <c r="X411" s="373"/>
      <c r="Y411" s="373"/>
      <c r="Z411" s="373"/>
      <c r="AA411" s="373"/>
      <c r="AB411" s="373"/>
      <c r="AC411" s="373"/>
      <c r="AD411" s="373"/>
      <c r="AE411" s="373"/>
      <c r="AF411" s="373"/>
      <c r="AG411" s="373"/>
    </row>
    <row r="412" spans="1:33" x14ac:dyDescent="0.25">
      <c r="A412" s="373"/>
      <c r="B412" s="373"/>
      <c r="C412" s="373"/>
      <c r="D412" s="373"/>
      <c r="E412" s="373"/>
      <c r="F412" s="373"/>
      <c r="G412" s="373"/>
      <c r="H412" s="373"/>
      <c r="I412" s="373"/>
      <c r="J412" s="373"/>
      <c r="K412" s="373"/>
      <c r="L412" s="373"/>
      <c r="M412" s="373"/>
      <c r="N412" s="373"/>
      <c r="O412" s="373"/>
      <c r="P412" s="373"/>
      <c r="Q412" s="373"/>
      <c r="R412" s="373"/>
      <c r="S412" s="373"/>
      <c r="T412" s="373"/>
      <c r="U412" s="373"/>
      <c r="V412" s="373"/>
      <c r="W412" s="373"/>
      <c r="X412" s="373"/>
      <c r="Y412" s="373"/>
      <c r="Z412" s="373"/>
      <c r="AA412" s="373"/>
      <c r="AB412" s="373"/>
      <c r="AC412" s="373"/>
      <c r="AD412" s="373"/>
      <c r="AE412" s="373"/>
      <c r="AF412" s="373"/>
      <c r="AG412" s="373"/>
    </row>
    <row r="413" spans="1:33" x14ac:dyDescent="0.25">
      <c r="A413" s="373"/>
      <c r="B413" s="373"/>
      <c r="C413" s="373"/>
      <c r="D413" s="373"/>
      <c r="E413" s="373"/>
      <c r="F413" s="373"/>
      <c r="G413" s="373"/>
      <c r="H413" s="373"/>
      <c r="I413" s="373"/>
      <c r="J413" s="373"/>
      <c r="K413" s="373"/>
      <c r="L413" s="373"/>
      <c r="M413" s="373"/>
      <c r="N413" s="373"/>
      <c r="O413" s="373"/>
      <c r="P413" s="373"/>
      <c r="Q413" s="373"/>
      <c r="R413" s="373"/>
      <c r="S413" s="373"/>
      <c r="T413" s="373"/>
      <c r="U413" s="373"/>
      <c r="V413" s="373"/>
      <c r="W413" s="373"/>
      <c r="X413" s="373"/>
      <c r="Y413" s="373"/>
      <c r="Z413" s="373"/>
      <c r="AA413" s="373"/>
      <c r="AB413" s="373"/>
      <c r="AC413" s="373"/>
      <c r="AD413" s="373"/>
      <c r="AE413" s="373"/>
      <c r="AF413" s="373"/>
      <c r="AG413" s="373"/>
    </row>
    <row r="414" spans="1:33" x14ac:dyDescent="0.25">
      <c r="A414" s="373"/>
      <c r="B414" s="373"/>
      <c r="C414" s="373"/>
      <c r="D414" s="373"/>
      <c r="E414" s="373"/>
      <c r="F414" s="373"/>
      <c r="G414" s="373"/>
      <c r="H414" s="373"/>
      <c r="I414" s="373"/>
      <c r="J414" s="373"/>
      <c r="K414" s="373"/>
      <c r="L414" s="373"/>
      <c r="M414" s="373"/>
      <c r="N414" s="373"/>
      <c r="O414" s="373"/>
      <c r="P414" s="373"/>
      <c r="Q414" s="373"/>
      <c r="R414" s="373"/>
      <c r="S414" s="373"/>
      <c r="T414" s="373"/>
      <c r="U414" s="373"/>
      <c r="V414" s="373"/>
      <c r="W414" s="373"/>
      <c r="X414" s="373"/>
      <c r="Y414" s="373"/>
      <c r="Z414" s="373"/>
      <c r="AA414" s="373"/>
      <c r="AB414" s="373"/>
      <c r="AC414" s="373"/>
      <c r="AD414" s="373"/>
      <c r="AE414" s="373"/>
      <c r="AF414" s="373"/>
      <c r="AG414" s="373"/>
    </row>
    <row r="415" spans="1:33" x14ac:dyDescent="0.25">
      <c r="A415" s="373"/>
      <c r="B415" s="373"/>
      <c r="C415" s="373"/>
      <c r="D415" s="373"/>
      <c r="E415" s="373"/>
      <c r="F415" s="373"/>
      <c r="G415" s="373"/>
      <c r="H415" s="373"/>
      <c r="I415" s="373"/>
      <c r="J415" s="373"/>
      <c r="K415" s="373"/>
      <c r="L415" s="373"/>
      <c r="M415" s="373"/>
      <c r="N415" s="373"/>
      <c r="O415" s="373"/>
      <c r="P415" s="373"/>
      <c r="Q415" s="373"/>
      <c r="R415" s="373"/>
      <c r="S415" s="373"/>
      <c r="T415" s="373"/>
      <c r="U415" s="373"/>
      <c r="V415" s="373"/>
      <c r="W415" s="373"/>
      <c r="X415" s="373"/>
      <c r="Y415" s="373"/>
      <c r="Z415" s="373"/>
      <c r="AA415" s="373"/>
      <c r="AB415" s="373"/>
      <c r="AC415" s="373"/>
      <c r="AD415" s="373"/>
      <c r="AE415" s="373"/>
      <c r="AF415" s="373"/>
      <c r="AG415" s="373"/>
    </row>
    <row r="416" spans="1:33" x14ac:dyDescent="0.25">
      <c r="A416" s="373"/>
      <c r="B416" s="373"/>
      <c r="C416" s="373"/>
      <c r="D416" s="373"/>
      <c r="E416" s="373"/>
      <c r="F416" s="373"/>
      <c r="G416" s="373"/>
      <c r="H416" s="373"/>
      <c r="I416" s="373"/>
      <c r="J416" s="373"/>
      <c r="K416" s="373"/>
      <c r="L416" s="373"/>
      <c r="M416" s="373"/>
      <c r="N416" s="373"/>
      <c r="O416" s="373"/>
      <c r="P416" s="373"/>
      <c r="Q416" s="373"/>
      <c r="R416" s="373"/>
      <c r="S416" s="373"/>
      <c r="T416" s="373"/>
      <c r="U416" s="373"/>
      <c r="V416" s="373"/>
      <c r="W416" s="373"/>
      <c r="X416" s="373"/>
      <c r="Y416" s="373"/>
      <c r="Z416" s="373"/>
      <c r="AA416" s="373"/>
      <c r="AB416" s="373"/>
      <c r="AC416" s="373"/>
      <c r="AD416" s="373"/>
      <c r="AE416" s="373"/>
      <c r="AF416" s="373"/>
      <c r="AG416" s="373"/>
    </row>
    <row r="417" spans="1:33" x14ac:dyDescent="0.25">
      <c r="A417" s="373"/>
      <c r="B417" s="373"/>
      <c r="C417" s="373"/>
      <c r="D417" s="373"/>
      <c r="E417" s="373"/>
      <c r="F417" s="373"/>
      <c r="G417" s="373"/>
      <c r="H417" s="373"/>
      <c r="I417" s="373"/>
      <c r="J417" s="373"/>
      <c r="K417" s="373"/>
      <c r="L417" s="373"/>
      <c r="M417" s="373"/>
      <c r="N417" s="373"/>
      <c r="O417" s="373"/>
      <c r="P417" s="373"/>
      <c r="Q417" s="373"/>
      <c r="R417" s="373"/>
      <c r="S417" s="373"/>
      <c r="T417" s="373"/>
      <c r="U417" s="373"/>
      <c r="V417" s="373"/>
      <c r="W417" s="373"/>
      <c r="X417" s="373"/>
      <c r="Y417" s="373"/>
      <c r="Z417" s="373"/>
      <c r="AA417" s="373"/>
      <c r="AB417" s="373"/>
      <c r="AC417" s="373"/>
      <c r="AD417" s="373"/>
      <c r="AE417" s="373"/>
      <c r="AF417" s="373"/>
      <c r="AG417" s="373"/>
    </row>
    <row r="418" spans="1:33" x14ac:dyDescent="0.25">
      <c r="A418" s="373"/>
      <c r="B418" s="373"/>
      <c r="C418" s="373"/>
      <c r="D418" s="373"/>
      <c r="E418" s="373"/>
      <c r="F418" s="373"/>
      <c r="G418" s="373"/>
      <c r="H418" s="373"/>
      <c r="I418" s="373"/>
      <c r="J418" s="373"/>
      <c r="K418" s="373"/>
      <c r="L418" s="373"/>
      <c r="M418" s="373"/>
      <c r="N418" s="373"/>
      <c r="O418" s="373"/>
      <c r="P418" s="373"/>
      <c r="Q418" s="373"/>
      <c r="R418" s="373"/>
      <c r="S418" s="373"/>
      <c r="T418" s="373"/>
      <c r="U418" s="373"/>
      <c r="V418" s="373"/>
      <c r="W418" s="373"/>
      <c r="X418" s="373"/>
      <c r="Y418" s="373"/>
      <c r="Z418" s="373"/>
      <c r="AA418" s="373"/>
      <c r="AB418" s="373"/>
      <c r="AC418" s="373"/>
      <c r="AD418" s="373"/>
      <c r="AE418" s="373"/>
      <c r="AF418" s="373"/>
      <c r="AG418" s="373"/>
    </row>
    <row r="419" spans="1:33" x14ac:dyDescent="0.25">
      <c r="A419" s="373"/>
      <c r="B419" s="373"/>
      <c r="C419" s="373"/>
      <c r="D419" s="373"/>
      <c r="E419" s="373"/>
      <c r="F419" s="373"/>
      <c r="G419" s="373"/>
      <c r="H419" s="373"/>
      <c r="I419" s="373"/>
      <c r="J419" s="373"/>
      <c r="K419" s="373"/>
      <c r="L419" s="373"/>
      <c r="M419" s="373"/>
      <c r="N419" s="373"/>
      <c r="O419" s="373"/>
      <c r="P419" s="373"/>
      <c r="Q419" s="373"/>
      <c r="R419" s="373"/>
      <c r="S419" s="373"/>
      <c r="T419" s="373"/>
      <c r="U419" s="373"/>
      <c r="V419" s="373"/>
      <c r="W419" s="373"/>
      <c r="X419" s="373"/>
      <c r="Y419" s="373"/>
      <c r="Z419" s="373"/>
      <c r="AA419" s="373"/>
      <c r="AB419" s="373"/>
      <c r="AC419" s="373"/>
      <c r="AD419" s="373"/>
      <c r="AE419" s="373"/>
      <c r="AF419" s="373"/>
      <c r="AG419" s="373"/>
    </row>
    <row r="420" spans="1:33" x14ac:dyDescent="0.25">
      <c r="A420" s="373"/>
      <c r="B420" s="373"/>
      <c r="C420" s="373"/>
      <c r="D420" s="373"/>
      <c r="E420" s="373"/>
      <c r="F420" s="373"/>
      <c r="G420" s="373"/>
      <c r="H420" s="373"/>
      <c r="I420" s="373"/>
      <c r="J420" s="373"/>
      <c r="K420" s="373"/>
      <c r="L420" s="373"/>
      <c r="M420" s="373"/>
      <c r="N420" s="373"/>
      <c r="O420" s="373"/>
      <c r="P420" s="373"/>
      <c r="Q420" s="373"/>
      <c r="R420" s="373"/>
      <c r="S420" s="373"/>
      <c r="T420" s="373"/>
      <c r="U420" s="373"/>
      <c r="V420" s="373"/>
      <c r="W420" s="373"/>
      <c r="X420" s="373"/>
      <c r="Y420" s="373"/>
      <c r="Z420" s="373"/>
      <c r="AA420" s="373"/>
      <c r="AB420" s="373"/>
      <c r="AC420" s="373"/>
      <c r="AD420" s="373"/>
      <c r="AE420" s="373"/>
      <c r="AF420" s="373"/>
      <c r="AG420" s="373"/>
    </row>
    <row r="421" spans="1:33" x14ac:dyDescent="0.25">
      <c r="A421" s="373"/>
      <c r="B421" s="373"/>
      <c r="C421" s="373"/>
      <c r="D421" s="373"/>
      <c r="E421" s="373"/>
      <c r="F421" s="373"/>
      <c r="G421" s="373"/>
      <c r="H421" s="373"/>
      <c r="I421" s="373"/>
      <c r="J421" s="373"/>
      <c r="K421" s="373"/>
      <c r="L421" s="373"/>
      <c r="M421" s="373"/>
      <c r="N421" s="373"/>
      <c r="O421" s="373"/>
      <c r="P421" s="373"/>
      <c r="Q421" s="373"/>
      <c r="R421" s="373"/>
      <c r="S421" s="373"/>
      <c r="T421" s="373"/>
      <c r="U421" s="373"/>
      <c r="V421" s="373"/>
      <c r="W421" s="373"/>
      <c r="X421" s="373"/>
      <c r="Y421" s="373"/>
      <c r="Z421" s="373"/>
      <c r="AA421" s="373"/>
      <c r="AB421" s="373"/>
      <c r="AC421" s="373"/>
      <c r="AD421" s="373"/>
      <c r="AE421" s="373"/>
      <c r="AF421" s="373"/>
      <c r="AG421" s="373"/>
    </row>
    <row r="422" spans="1:33" x14ac:dyDescent="0.25">
      <c r="A422" s="373"/>
      <c r="B422" s="373"/>
      <c r="C422" s="373"/>
      <c r="D422" s="373"/>
      <c r="E422" s="373"/>
      <c r="F422" s="373"/>
      <c r="G422" s="373"/>
      <c r="H422" s="373"/>
      <c r="I422" s="373"/>
      <c r="J422" s="373"/>
      <c r="K422" s="373"/>
      <c r="L422" s="373"/>
      <c r="M422" s="373"/>
      <c r="N422" s="373"/>
      <c r="O422" s="373"/>
      <c r="P422" s="373"/>
      <c r="Q422" s="373"/>
      <c r="R422" s="373"/>
      <c r="S422" s="373"/>
      <c r="T422" s="373"/>
      <c r="U422" s="373"/>
      <c r="V422" s="373"/>
      <c r="W422" s="373"/>
      <c r="X422" s="373"/>
      <c r="Y422" s="373"/>
      <c r="Z422" s="373"/>
      <c r="AA422" s="373"/>
      <c r="AB422" s="373"/>
      <c r="AC422" s="373"/>
      <c r="AD422" s="373"/>
      <c r="AE422" s="373"/>
      <c r="AF422" s="373"/>
      <c r="AG422" s="373"/>
    </row>
    <row r="423" spans="1:33" x14ac:dyDescent="0.25">
      <c r="A423" s="373"/>
      <c r="B423" s="373"/>
      <c r="C423" s="373"/>
      <c r="D423" s="373"/>
      <c r="E423" s="373"/>
      <c r="F423" s="373"/>
      <c r="G423" s="373"/>
      <c r="H423" s="373"/>
      <c r="I423" s="373"/>
      <c r="J423" s="373"/>
      <c r="K423" s="373"/>
      <c r="L423" s="373"/>
      <c r="M423" s="373"/>
      <c r="N423" s="373"/>
      <c r="O423" s="373"/>
      <c r="P423" s="373"/>
      <c r="Q423" s="373"/>
      <c r="R423" s="373"/>
      <c r="S423" s="373"/>
      <c r="T423" s="373"/>
      <c r="U423" s="373"/>
      <c r="V423" s="373"/>
      <c r="W423" s="373"/>
      <c r="X423" s="373"/>
      <c r="Y423" s="373"/>
      <c r="Z423" s="373"/>
      <c r="AA423" s="373"/>
      <c r="AB423" s="373"/>
      <c r="AC423" s="373"/>
      <c r="AD423" s="373"/>
      <c r="AE423" s="373"/>
      <c r="AF423" s="373"/>
      <c r="AG423" s="373"/>
    </row>
    <row r="424" spans="1:33" x14ac:dyDescent="0.25">
      <c r="A424" s="373"/>
      <c r="B424" s="373"/>
      <c r="C424" s="373"/>
      <c r="D424" s="373"/>
      <c r="E424" s="373"/>
      <c r="F424" s="373"/>
      <c r="G424" s="373"/>
      <c r="H424" s="373"/>
      <c r="I424" s="373"/>
      <c r="J424" s="373"/>
      <c r="K424" s="373"/>
      <c r="L424" s="373"/>
      <c r="M424" s="373"/>
      <c r="N424" s="373"/>
      <c r="O424" s="373"/>
      <c r="P424" s="373"/>
      <c r="Q424" s="373"/>
      <c r="R424" s="373"/>
      <c r="S424" s="373"/>
      <c r="T424" s="373"/>
      <c r="U424" s="373"/>
      <c r="V424" s="373"/>
      <c r="W424" s="373"/>
      <c r="X424" s="373"/>
      <c r="Y424" s="373"/>
      <c r="Z424" s="373"/>
      <c r="AA424" s="373"/>
      <c r="AB424" s="373"/>
      <c r="AC424" s="373"/>
      <c r="AD424" s="373"/>
      <c r="AE424" s="373"/>
      <c r="AF424" s="373"/>
      <c r="AG424" s="373"/>
    </row>
    <row r="425" spans="1:33" x14ac:dyDescent="0.25">
      <c r="A425" s="373"/>
      <c r="B425" s="373"/>
      <c r="C425" s="373"/>
      <c r="D425" s="373"/>
      <c r="E425" s="373"/>
      <c r="F425" s="373"/>
      <c r="G425" s="373"/>
      <c r="H425" s="373"/>
      <c r="I425" s="373"/>
      <c r="J425" s="373"/>
      <c r="K425" s="373"/>
      <c r="L425" s="373"/>
      <c r="M425" s="373"/>
      <c r="N425" s="373"/>
      <c r="O425" s="373"/>
      <c r="P425" s="373"/>
      <c r="Q425" s="373"/>
      <c r="R425" s="373"/>
      <c r="S425" s="373"/>
      <c r="T425" s="373"/>
      <c r="U425" s="373"/>
      <c r="V425" s="373"/>
      <c r="W425" s="373"/>
      <c r="X425" s="373"/>
      <c r="Y425" s="373"/>
      <c r="Z425" s="373"/>
      <c r="AA425" s="373"/>
      <c r="AB425" s="373"/>
      <c r="AC425" s="373"/>
      <c r="AD425" s="373"/>
      <c r="AE425" s="373"/>
      <c r="AF425" s="373"/>
      <c r="AG425" s="373"/>
    </row>
    <row r="426" spans="1:33" x14ac:dyDescent="0.25">
      <c r="A426" s="373"/>
      <c r="B426" s="373"/>
      <c r="C426" s="373"/>
      <c r="D426" s="373"/>
      <c r="E426" s="373"/>
      <c r="F426" s="373"/>
      <c r="G426" s="373"/>
      <c r="H426" s="373"/>
      <c r="I426" s="373"/>
      <c r="J426" s="373"/>
      <c r="K426" s="373"/>
      <c r="L426" s="373"/>
      <c r="M426" s="373"/>
      <c r="N426" s="373"/>
      <c r="O426" s="373"/>
      <c r="P426" s="373"/>
      <c r="Q426" s="373"/>
      <c r="R426" s="373"/>
      <c r="S426" s="373"/>
      <c r="T426" s="373"/>
      <c r="U426" s="373"/>
      <c r="V426" s="373"/>
      <c r="W426" s="373"/>
      <c r="X426" s="373"/>
      <c r="Y426" s="373"/>
      <c r="Z426" s="373"/>
      <c r="AA426" s="373"/>
      <c r="AB426" s="373"/>
      <c r="AC426" s="373"/>
      <c r="AD426" s="373"/>
      <c r="AE426" s="373"/>
      <c r="AF426" s="373"/>
      <c r="AG426" s="373"/>
    </row>
    <row r="427" spans="1:33" x14ac:dyDescent="0.25">
      <c r="A427" s="373"/>
      <c r="B427" s="373"/>
      <c r="C427" s="373"/>
      <c r="D427" s="373"/>
      <c r="E427" s="373"/>
      <c r="F427" s="373"/>
      <c r="G427" s="373"/>
      <c r="H427" s="373"/>
      <c r="I427" s="373"/>
      <c r="J427" s="373"/>
      <c r="K427" s="373"/>
      <c r="L427" s="373"/>
      <c r="M427" s="373"/>
      <c r="N427" s="373"/>
      <c r="O427" s="373"/>
      <c r="P427" s="373"/>
      <c r="Q427" s="373"/>
      <c r="R427" s="373"/>
      <c r="S427" s="373"/>
      <c r="T427" s="373"/>
      <c r="U427" s="373"/>
      <c r="V427" s="373"/>
      <c r="W427" s="373"/>
      <c r="X427" s="373"/>
      <c r="Y427" s="373"/>
      <c r="Z427" s="373"/>
      <c r="AA427" s="373"/>
      <c r="AB427" s="373"/>
      <c r="AC427" s="373"/>
      <c r="AD427" s="373"/>
      <c r="AE427" s="373"/>
      <c r="AF427" s="373"/>
      <c r="AG427" s="373"/>
    </row>
    <row r="428" spans="1:33" x14ac:dyDescent="0.25">
      <c r="A428" s="373"/>
      <c r="B428" s="373"/>
      <c r="C428" s="373"/>
      <c r="D428" s="373"/>
      <c r="E428" s="373"/>
      <c r="F428" s="373"/>
      <c r="G428" s="373"/>
      <c r="H428" s="373"/>
      <c r="I428" s="373"/>
      <c r="J428" s="373"/>
      <c r="K428" s="373"/>
      <c r="L428" s="373"/>
      <c r="M428" s="373"/>
      <c r="N428" s="373"/>
      <c r="O428" s="373"/>
      <c r="P428" s="373"/>
      <c r="Q428" s="373"/>
      <c r="R428" s="373"/>
      <c r="S428" s="373"/>
      <c r="T428" s="373"/>
      <c r="U428" s="373"/>
      <c r="V428" s="373"/>
      <c r="W428" s="373"/>
      <c r="X428" s="373"/>
      <c r="Y428" s="373"/>
      <c r="Z428" s="373"/>
      <c r="AA428" s="373"/>
      <c r="AB428" s="373"/>
      <c r="AC428" s="373"/>
      <c r="AD428" s="373"/>
      <c r="AE428" s="373"/>
      <c r="AF428" s="373"/>
      <c r="AG428" s="373"/>
    </row>
    <row r="429" spans="1:33" x14ac:dyDescent="0.25">
      <c r="A429" s="373"/>
      <c r="B429" s="373"/>
      <c r="C429" s="373"/>
      <c r="D429" s="373"/>
      <c r="E429" s="373"/>
      <c r="F429" s="373"/>
      <c r="G429" s="373"/>
      <c r="H429" s="373"/>
      <c r="I429" s="373"/>
      <c r="J429" s="373"/>
      <c r="K429" s="373"/>
      <c r="L429" s="373"/>
      <c r="M429" s="373"/>
      <c r="N429" s="373"/>
      <c r="O429" s="373"/>
      <c r="P429" s="373"/>
      <c r="Q429" s="373"/>
      <c r="R429" s="373"/>
      <c r="S429" s="373"/>
      <c r="T429" s="373"/>
      <c r="U429" s="373"/>
      <c r="V429" s="373"/>
      <c r="W429" s="373"/>
      <c r="X429" s="373"/>
      <c r="Y429" s="373"/>
      <c r="Z429" s="373"/>
      <c r="AA429" s="373"/>
      <c r="AB429" s="373"/>
      <c r="AC429" s="373"/>
      <c r="AD429" s="373"/>
      <c r="AE429" s="373"/>
      <c r="AF429" s="373"/>
      <c r="AG429" s="373"/>
    </row>
    <row r="430" spans="1:33" x14ac:dyDescent="0.25">
      <c r="A430" s="373"/>
      <c r="B430" s="373"/>
      <c r="C430" s="373"/>
      <c r="D430" s="373"/>
      <c r="E430" s="373"/>
      <c r="F430" s="373"/>
      <c r="G430" s="373"/>
      <c r="H430" s="373"/>
      <c r="I430" s="373"/>
      <c r="J430" s="373"/>
      <c r="K430" s="373"/>
      <c r="L430" s="373"/>
      <c r="M430" s="373"/>
      <c r="N430" s="373"/>
      <c r="O430" s="373"/>
      <c r="P430" s="373"/>
      <c r="Q430" s="373"/>
      <c r="R430" s="373"/>
      <c r="S430" s="373"/>
      <c r="T430" s="373"/>
      <c r="U430" s="373"/>
      <c r="V430" s="373"/>
      <c r="W430" s="373"/>
      <c r="X430" s="373"/>
      <c r="Y430" s="373"/>
      <c r="Z430" s="373"/>
      <c r="AA430" s="373"/>
      <c r="AB430" s="373"/>
      <c r="AC430" s="373"/>
      <c r="AD430" s="373"/>
      <c r="AE430" s="373"/>
      <c r="AF430" s="373"/>
      <c r="AG430" s="373"/>
    </row>
    <row r="431" spans="1:33" x14ac:dyDescent="0.25">
      <c r="A431" s="373"/>
      <c r="B431" s="373"/>
      <c r="C431" s="373"/>
      <c r="D431" s="373"/>
      <c r="E431" s="373"/>
      <c r="F431" s="373"/>
      <c r="G431" s="373"/>
      <c r="H431" s="373"/>
      <c r="I431" s="373"/>
      <c r="J431" s="373"/>
      <c r="K431" s="373"/>
      <c r="L431" s="373"/>
      <c r="M431" s="373"/>
      <c r="N431" s="373"/>
      <c r="O431" s="373"/>
      <c r="P431" s="373"/>
      <c r="Q431" s="373"/>
      <c r="R431" s="373"/>
      <c r="S431" s="373"/>
      <c r="T431" s="373"/>
      <c r="U431" s="373"/>
      <c r="V431" s="373"/>
      <c r="W431" s="373"/>
      <c r="X431" s="373"/>
      <c r="Y431" s="373"/>
      <c r="Z431" s="373"/>
      <c r="AA431" s="373"/>
      <c r="AB431" s="373"/>
      <c r="AC431" s="373"/>
      <c r="AD431" s="373"/>
      <c r="AE431" s="373"/>
      <c r="AF431" s="373"/>
      <c r="AG431" s="373"/>
    </row>
    <row r="432" spans="1:33" x14ac:dyDescent="0.25">
      <c r="A432" s="373"/>
      <c r="B432" s="373"/>
      <c r="C432" s="373"/>
      <c r="D432" s="373"/>
      <c r="E432" s="373"/>
      <c r="F432" s="373"/>
      <c r="G432" s="373"/>
      <c r="H432" s="373"/>
      <c r="I432" s="373"/>
      <c r="J432" s="373"/>
      <c r="K432" s="373"/>
      <c r="L432" s="373"/>
      <c r="M432" s="373"/>
      <c r="N432" s="373"/>
      <c r="O432" s="373"/>
      <c r="P432" s="373"/>
      <c r="Q432" s="373"/>
      <c r="R432" s="373"/>
      <c r="S432" s="373"/>
      <c r="T432" s="373"/>
      <c r="U432" s="373"/>
      <c r="V432" s="373"/>
      <c r="W432" s="373"/>
      <c r="X432" s="373"/>
      <c r="Y432" s="373"/>
      <c r="Z432" s="373"/>
      <c r="AA432" s="373"/>
      <c r="AB432" s="373"/>
      <c r="AC432" s="373"/>
      <c r="AD432" s="373"/>
      <c r="AE432" s="373"/>
      <c r="AF432" s="373"/>
      <c r="AG432" s="373"/>
    </row>
    <row r="433" spans="1:33" x14ac:dyDescent="0.25">
      <c r="A433" s="373"/>
      <c r="B433" s="373"/>
      <c r="C433" s="373"/>
      <c r="D433" s="373"/>
      <c r="E433" s="373"/>
      <c r="F433" s="373"/>
      <c r="G433" s="373"/>
      <c r="H433" s="373"/>
      <c r="I433" s="373"/>
      <c r="J433" s="373"/>
      <c r="K433" s="373"/>
      <c r="L433" s="373"/>
      <c r="M433" s="373"/>
      <c r="N433" s="373"/>
      <c r="O433" s="373"/>
      <c r="P433" s="373"/>
      <c r="Q433" s="373"/>
      <c r="R433" s="373"/>
      <c r="S433" s="373"/>
      <c r="T433" s="373"/>
      <c r="U433" s="373"/>
      <c r="V433" s="373"/>
      <c r="W433" s="373"/>
      <c r="X433" s="373"/>
      <c r="Y433" s="373"/>
      <c r="Z433" s="373"/>
      <c r="AA433" s="373"/>
      <c r="AB433" s="373"/>
      <c r="AC433" s="373"/>
      <c r="AD433" s="373"/>
      <c r="AE433" s="373"/>
      <c r="AF433" s="373"/>
      <c r="AG433" s="373"/>
    </row>
    <row r="434" spans="1:33" x14ac:dyDescent="0.25">
      <c r="A434" s="373"/>
      <c r="B434" s="373"/>
      <c r="C434" s="373"/>
      <c r="D434" s="373"/>
      <c r="E434" s="373"/>
      <c r="F434" s="373"/>
      <c r="G434" s="373"/>
      <c r="H434" s="373"/>
      <c r="I434" s="373"/>
      <c r="J434" s="373"/>
      <c r="K434" s="373"/>
      <c r="L434" s="373"/>
      <c r="M434" s="373"/>
      <c r="N434" s="373"/>
      <c r="O434" s="373"/>
      <c r="P434" s="373"/>
      <c r="Q434" s="373"/>
      <c r="R434" s="373"/>
      <c r="S434" s="373"/>
      <c r="T434" s="373"/>
      <c r="U434" s="373"/>
      <c r="V434" s="373"/>
      <c r="W434" s="373"/>
      <c r="X434" s="373"/>
      <c r="Y434" s="373"/>
      <c r="Z434" s="373"/>
      <c r="AA434" s="373"/>
      <c r="AB434" s="373"/>
      <c r="AC434" s="373"/>
      <c r="AD434" s="373"/>
      <c r="AE434" s="373"/>
      <c r="AF434" s="373"/>
      <c r="AG434" s="373"/>
    </row>
    <row r="435" spans="1:33" x14ac:dyDescent="0.25">
      <c r="A435" s="373"/>
      <c r="B435" s="373"/>
      <c r="C435" s="373"/>
      <c r="D435" s="373"/>
      <c r="E435" s="373"/>
      <c r="F435" s="373"/>
      <c r="G435" s="373"/>
      <c r="H435" s="373"/>
      <c r="I435" s="373"/>
      <c r="J435" s="373"/>
      <c r="K435" s="373"/>
      <c r="L435" s="373"/>
      <c r="M435" s="373"/>
      <c r="N435" s="373"/>
      <c r="O435" s="373"/>
      <c r="P435" s="373"/>
      <c r="Q435" s="373"/>
      <c r="R435" s="373"/>
      <c r="S435" s="373"/>
      <c r="T435" s="373"/>
      <c r="U435" s="373"/>
      <c r="V435" s="373"/>
      <c r="W435" s="373"/>
      <c r="X435" s="373"/>
      <c r="Y435" s="373"/>
      <c r="Z435" s="373"/>
      <c r="AA435" s="373"/>
      <c r="AB435" s="373"/>
      <c r="AC435" s="373"/>
      <c r="AD435" s="373"/>
      <c r="AE435" s="373"/>
      <c r="AF435" s="373"/>
      <c r="AG435" s="373"/>
    </row>
    <row r="436" spans="1:33" x14ac:dyDescent="0.25">
      <c r="A436" s="373"/>
      <c r="B436" s="373"/>
      <c r="C436" s="373"/>
      <c r="D436" s="373"/>
      <c r="E436" s="373"/>
      <c r="F436" s="373"/>
      <c r="G436" s="373"/>
      <c r="H436" s="373"/>
      <c r="I436" s="373"/>
      <c r="J436" s="373"/>
      <c r="K436" s="373"/>
      <c r="L436" s="373"/>
      <c r="M436" s="373"/>
      <c r="N436" s="373"/>
      <c r="O436" s="373"/>
      <c r="P436" s="373"/>
      <c r="Q436" s="373"/>
      <c r="R436" s="373"/>
      <c r="S436" s="373"/>
      <c r="T436" s="373"/>
      <c r="U436" s="373"/>
      <c r="V436" s="373"/>
      <c r="W436" s="373"/>
      <c r="X436" s="373"/>
      <c r="Y436" s="373"/>
      <c r="Z436" s="373"/>
      <c r="AA436" s="373"/>
      <c r="AB436" s="373"/>
      <c r="AC436" s="373"/>
      <c r="AD436" s="373"/>
      <c r="AE436" s="373"/>
      <c r="AF436" s="373"/>
      <c r="AG436" s="373"/>
    </row>
    <row r="437" spans="1:33" x14ac:dyDescent="0.25">
      <c r="A437" s="373"/>
      <c r="B437" s="373"/>
      <c r="C437" s="373"/>
      <c r="D437" s="373"/>
      <c r="E437" s="373"/>
      <c r="F437" s="373"/>
      <c r="G437" s="373"/>
      <c r="H437" s="373"/>
      <c r="I437" s="373"/>
      <c r="J437" s="373"/>
      <c r="K437" s="373"/>
      <c r="L437" s="373"/>
      <c r="M437" s="373"/>
      <c r="N437" s="373"/>
      <c r="O437" s="373"/>
      <c r="P437" s="373"/>
      <c r="Q437" s="373"/>
      <c r="R437" s="373"/>
      <c r="S437" s="373"/>
      <c r="T437" s="373"/>
      <c r="U437" s="373"/>
      <c r="V437" s="373"/>
      <c r="W437" s="373"/>
      <c r="X437" s="373"/>
      <c r="Y437" s="373"/>
      <c r="Z437" s="373"/>
      <c r="AA437" s="373"/>
      <c r="AB437" s="373"/>
      <c r="AC437" s="373"/>
      <c r="AD437" s="373"/>
      <c r="AE437" s="373"/>
      <c r="AF437" s="373"/>
      <c r="AG437" s="373"/>
    </row>
    <row r="438" spans="1:33" x14ac:dyDescent="0.25">
      <c r="A438" s="373"/>
      <c r="B438" s="373"/>
      <c r="C438" s="373"/>
      <c r="D438" s="373"/>
      <c r="E438" s="373"/>
      <c r="F438" s="373"/>
      <c r="G438" s="373"/>
      <c r="H438" s="373"/>
      <c r="I438" s="373"/>
      <c r="J438" s="373"/>
      <c r="K438" s="373"/>
      <c r="L438" s="373"/>
      <c r="M438" s="373"/>
      <c r="N438" s="373"/>
      <c r="O438" s="373"/>
      <c r="P438" s="373"/>
      <c r="Q438" s="373"/>
      <c r="R438" s="373"/>
      <c r="S438" s="373"/>
      <c r="T438" s="373"/>
      <c r="U438" s="373"/>
      <c r="V438" s="373"/>
      <c r="W438" s="373"/>
      <c r="X438" s="373"/>
      <c r="Y438" s="373"/>
      <c r="Z438" s="373"/>
      <c r="AA438" s="373"/>
      <c r="AB438" s="373"/>
      <c r="AC438" s="373"/>
      <c r="AD438" s="373"/>
      <c r="AE438" s="373"/>
      <c r="AF438" s="373"/>
      <c r="AG438" s="373"/>
    </row>
    <row r="439" spans="1:33" x14ac:dyDescent="0.25">
      <c r="A439" s="373"/>
      <c r="B439" s="373"/>
      <c r="C439" s="373"/>
      <c r="D439" s="373"/>
      <c r="E439" s="373"/>
      <c r="F439" s="373"/>
      <c r="G439" s="373"/>
      <c r="H439" s="373"/>
      <c r="I439" s="373"/>
      <c r="J439" s="373"/>
      <c r="K439" s="373"/>
      <c r="L439" s="373"/>
      <c r="M439" s="373"/>
      <c r="N439" s="373"/>
      <c r="O439" s="373"/>
      <c r="P439" s="373"/>
      <c r="Q439" s="373"/>
      <c r="R439" s="373"/>
      <c r="S439" s="373"/>
      <c r="T439" s="373"/>
      <c r="U439" s="373"/>
      <c r="V439" s="373"/>
      <c r="W439" s="373"/>
      <c r="X439" s="373"/>
      <c r="Y439" s="373"/>
      <c r="Z439" s="373"/>
      <c r="AA439" s="373"/>
      <c r="AB439" s="373"/>
      <c r="AC439" s="373"/>
      <c r="AD439" s="373"/>
      <c r="AE439" s="373"/>
      <c r="AF439" s="373"/>
      <c r="AG439" s="373"/>
    </row>
    <row r="440" spans="1:33" x14ac:dyDescent="0.25">
      <c r="A440" s="373"/>
      <c r="B440" s="373"/>
      <c r="C440" s="373"/>
      <c r="D440" s="373"/>
      <c r="E440" s="373"/>
      <c r="F440" s="373"/>
      <c r="G440" s="373"/>
      <c r="H440" s="373"/>
      <c r="I440" s="373"/>
      <c r="J440" s="373"/>
      <c r="K440" s="373"/>
      <c r="L440" s="373"/>
      <c r="M440" s="373"/>
      <c r="N440" s="373"/>
      <c r="O440" s="373"/>
      <c r="P440" s="373"/>
      <c r="Q440" s="373"/>
      <c r="R440" s="373"/>
      <c r="S440" s="373"/>
      <c r="T440" s="373"/>
      <c r="U440" s="373"/>
      <c r="V440" s="373"/>
      <c r="W440" s="373"/>
      <c r="X440" s="373"/>
      <c r="Y440" s="373"/>
      <c r="Z440" s="373"/>
      <c r="AA440" s="373"/>
      <c r="AB440" s="373"/>
      <c r="AC440" s="373"/>
      <c r="AD440" s="373"/>
      <c r="AE440" s="373"/>
      <c r="AF440" s="373"/>
      <c r="AG440" s="373"/>
    </row>
    <row r="441" spans="1:33" x14ac:dyDescent="0.25">
      <c r="A441" s="373"/>
      <c r="B441" s="373"/>
      <c r="C441" s="373"/>
      <c r="D441" s="373"/>
      <c r="E441" s="373"/>
      <c r="F441" s="373"/>
      <c r="G441" s="373"/>
      <c r="H441" s="373"/>
      <c r="I441" s="373"/>
      <c r="J441" s="373"/>
      <c r="K441" s="373"/>
      <c r="L441" s="373"/>
      <c r="M441" s="373"/>
      <c r="N441" s="373"/>
      <c r="O441" s="373"/>
      <c r="P441" s="373"/>
      <c r="Q441" s="373"/>
      <c r="R441" s="373"/>
      <c r="S441" s="373"/>
      <c r="T441" s="373"/>
      <c r="U441" s="373"/>
      <c r="V441" s="373"/>
      <c r="W441" s="373"/>
      <c r="X441" s="373"/>
      <c r="Y441" s="373"/>
      <c r="Z441" s="373"/>
      <c r="AA441" s="373"/>
      <c r="AB441" s="373"/>
      <c r="AC441" s="373"/>
      <c r="AD441" s="373"/>
      <c r="AE441" s="373"/>
      <c r="AF441" s="373"/>
      <c r="AG441" s="373"/>
    </row>
    <row r="442" spans="1:33" x14ac:dyDescent="0.25">
      <c r="A442" s="373"/>
      <c r="B442" s="373"/>
      <c r="C442" s="373"/>
      <c r="D442" s="373"/>
      <c r="E442" s="373"/>
      <c r="F442" s="373"/>
      <c r="G442" s="373"/>
      <c r="H442" s="373"/>
      <c r="I442" s="373"/>
      <c r="J442" s="373"/>
      <c r="K442" s="373"/>
      <c r="L442" s="373"/>
      <c r="M442" s="373"/>
      <c r="N442" s="373"/>
      <c r="O442" s="373"/>
      <c r="P442" s="373"/>
      <c r="Q442" s="373"/>
      <c r="R442" s="373"/>
      <c r="S442" s="373"/>
      <c r="T442" s="373"/>
      <c r="U442" s="373"/>
      <c r="V442" s="373"/>
      <c r="W442" s="373"/>
      <c r="X442" s="373"/>
      <c r="Y442" s="373"/>
      <c r="Z442" s="373"/>
      <c r="AA442" s="373"/>
      <c r="AB442" s="373"/>
      <c r="AC442" s="373"/>
      <c r="AD442" s="373"/>
      <c r="AE442" s="373"/>
      <c r="AF442" s="373"/>
      <c r="AG442" s="373"/>
    </row>
    <row r="443" spans="1:33" x14ac:dyDescent="0.25">
      <c r="A443" s="373"/>
      <c r="B443" s="373"/>
      <c r="C443" s="373"/>
      <c r="D443" s="373"/>
      <c r="E443" s="373"/>
      <c r="F443" s="373"/>
      <c r="G443" s="373"/>
      <c r="H443" s="373"/>
      <c r="I443" s="373"/>
      <c r="J443" s="373"/>
      <c r="K443" s="373"/>
      <c r="L443" s="373"/>
      <c r="M443" s="373"/>
      <c r="N443" s="373"/>
      <c r="O443" s="373"/>
      <c r="P443" s="373"/>
      <c r="Q443" s="373"/>
      <c r="R443" s="373"/>
      <c r="S443" s="373"/>
      <c r="T443" s="373"/>
      <c r="U443" s="373"/>
      <c r="V443" s="373"/>
      <c r="W443" s="373"/>
      <c r="X443" s="373"/>
      <c r="Y443" s="373"/>
      <c r="Z443" s="373"/>
      <c r="AA443" s="373"/>
      <c r="AB443" s="373"/>
      <c r="AC443" s="373"/>
      <c r="AD443" s="373"/>
      <c r="AE443" s="373"/>
      <c r="AF443" s="373"/>
      <c r="AG443" s="373"/>
    </row>
    <row r="444" spans="1:33" x14ac:dyDescent="0.25">
      <c r="A444" s="373"/>
      <c r="B444" s="373"/>
      <c r="C444" s="373"/>
      <c r="D444" s="373"/>
      <c r="E444" s="373"/>
      <c r="F444" s="373"/>
      <c r="G444" s="373"/>
      <c r="H444" s="373"/>
      <c r="I444" s="373"/>
      <c r="J444" s="373"/>
      <c r="K444" s="373"/>
      <c r="L444" s="373"/>
      <c r="M444" s="373"/>
      <c r="N444" s="373"/>
      <c r="O444" s="373"/>
      <c r="P444" s="373"/>
      <c r="Q444" s="373"/>
      <c r="R444" s="373"/>
      <c r="S444" s="373"/>
      <c r="T444" s="373"/>
      <c r="U444" s="373"/>
      <c r="V444" s="373"/>
      <c r="W444" s="373"/>
      <c r="X444" s="373"/>
      <c r="Y444" s="373"/>
      <c r="Z444" s="373"/>
      <c r="AA444" s="373"/>
      <c r="AB444" s="373"/>
      <c r="AC444" s="373"/>
      <c r="AD444" s="373"/>
      <c r="AE444" s="373"/>
      <c r="AF444" s="373"/>
      <c r="AG444" s="373"/>
    </row>
    <row r="445" spans="1:33" x14ac:dyDescent="0.25">
      <c r="A445" s="373"/>
      <c r="B445" s="373"/>
      <c r="C445" s="373"/>
      <c r="D445" s="373"/>
      <c r="E445" s="373"/>
      <c r="F445" s="373"/>
      <c r="G445" s="373"/>
      <c r="H445" s="373"/>
      <c r="I445" s="373"/>
      <c r="J445" s="373"/>
      <c r="K445" s="373"/>
      <c r="L445" s="373"/>
      <c r="M445" s="373"/>
      <c r="N445" s="373"/>
      <c r="O445" s="373"/>
      <c r="P445" s="373"/>
      <c r="Q445" s="373"/>
      <c r="R445" s="373"/>
      <c r="S445" s="373"/>
      <c r="T445" s="373"/>
      <c r="U445" s="373"/>
      <c r="V445" s="373"/>
      <c r="W445" s="373"/>
      <c r="X445" s="373"/>
      <c r="Y445" s="373"/>
      <c r="Z445" s="373"/>
      <c r="AA445" s="373"/>
      <c r="AB445" s="373"/>
      <c r="AC445" s="373"/>
      <c r="AD445" s="373"/>
      <c r="AE445" s="373"/>
      <c r="AF445" s="373"/>
      <c r="AG445" s="373"/>
    </row>
    <row r="446" spans="1:33" x14ac:dyDescent="0.25">
      <c r="A446" s="373"/>
      <c r="B446" s="373"/>
      <c r="C446" s="373"/>
      <c r="D446" s="373"/>
      <c r="E446" s="373"/>
      <c r="F446" s="373"/>
      <c r="G446" s="373"/>
      <c r="H446" s="373"/>
      <c r="I446" s="373"/>
      <c r="J446" s="373"/>
      <c r="K446" s="373"/>
      <c r="L446" s="373"/>
      <c r="M446" s="373"/>
      <c r="N446" s="373"/>
      <c r="O446" s="373"/>
      <c r="P446" s="373"/>
      <c r="Q446" s="373"/>
      <c r="R446" s="373"/>
      <c r="S446" s="373"/>
      <c r="T446" s="373"/>
      <c r="U446" s="373"/>
      <c r="V446" s="373"/>
      <c r="W446" s="373"/>
      <c r="X446" s="373"/>
      <c r="Y446" s="373"/>
      <c r="Z446" s="373"/>
      <c r="AA446" s="373"/>
      <c r="AB446" s="373"/>
      <c r="AC446" s="373"/>
      <c r="AD446" s="373"/>
      <c r="AE446" s="373"/>
      <c r="AF446" s="373"/>
      <c r="AG446" s="373"/>
    </row>
    <row r="447" spans="1:33" x14ac:dyDescent="0.25">
      <c r="A447" s="373"/>
      <c r="B447" s="373"/>
      <c r="C447" s="373"/>
      <c r="D447" s="373"/>
      <c r="E447" s="373"/>
      <c r="F447" s="373"/>
      <c r="G447" s="373"/>
      <c r="H447" s="373"/>
      <c r="I447" s="373"/>
      <c r="J447" s="373"/>
      <c r="K447" s="373"/>
      <c r="L447" s="373"/>
      <c r="M447" s="373"/>
      <c r="N447" s="373"/>
      <c r="O447" s="373"/>
      <c r="P447" s="373"/>
      <c r="Q447" s="373"/>
      <c r="R447" s="373"/>
      <c r="S447" s="373"/>
      <c r="T447" s="373"/>
      <c r="U447" s="373"/>
      <c r="V447" s="373"/>
      <c r="W447" s="373"/>
      <c r="X447" s="373"/>
      <c r="Y447" s="373"/>
      <c r="Z447" s="373"/>
      <c r="AA447" s="373"/>
      <c r="AB447" s="373"/>
      <c r="AC447" s="373"/>
      <c r="AD447" s="373"/>
      <c r="AE447" s="373"/>
      <c r="AF447" s="373"/>
      <c r="AG447" s="373"/>
    </row>
    <row r="448" spans="1:33" x14ac:dyDescent="0.25">
      <c r="A448" s="373"/>
      <c r="B448" s="373"/>
      <c r="C448" s="373"/>
      <c r="D448" s="373"/>
      <c r="E448" s="373"/>
      <c r="F448" s="373"/>
      <c r="G448" s="373"/>
      <c r="H448" s="373"/>
      <c r="I448" s="373"/>
      <c r="J448" s="373"/>
      <c r="K448" s="373"/>
      <c r="L448" s="373"/>
      <c r="M448" s="373"/>
      <c r="N448" s="373"/>
      <c r="O448" s="373"/>
      <c r="P448" s="373"/>
      <c r="Q448" s="373"/>
      <c r="R448" s="373"/>
      <c r="S448" s="373"/>
      <c r="T448" s="373"/>
      <c r="U448" s="373"/>
      <c r="V448" s="373"/>
      <c r="W448" s="373"/>
      <c r="X448" s="373"/>
      <c r="Y448" s="373"/>
      <c r="Z448" s="373"/>
      <c r="AA448" s="373"/>
      <c r="AB448" s="373"/>
      <c r="AC448" s="373"/>
      <c r="AD448" s="373"/>
      <c r="AE448" s="373"/>
      <c r="AF448" s="373"/>
      <c r="AG448" s="373"/>
    </row>
    <row r="449" spans="1:33" x14ac:dyDescent="0.25">
      <c r="A449" s="373"/>
      <c r="B449" s="373"/>
      <c r="C449" s="373"/>
      <c r="D449" s="373"/>
      <c r="E449" s="373"/>
      <c r="F449" s="373"/>
      <c r="G449" s="373"/>
      <c r="H449" s="373"/>
      <c r="I449" s="373"/>
      <c r="J449" s="373"/>
      <c r="K449" s="373"/>
      <c r="L449" s="373"/>
      <c r="M449" s="373"/>
      <c r="N449" s="373"/>
      <c r="O449" s="373"/>
      <c r="P449" s="373"/>
      <c r="Q449" s="373"/>
      <c r="R449" s="373"/>
      <c r="S449" s="373"/>
      <c r="T449" s="373"/>
      <c r="U449" s="373"/>
      <c r="V449" s="373"/>
      <c r="W449" s="373"/>
      <c r="X449" s="373"/>
      <c r="Y449" s="373"/>
      <c r="Z449" s="373"/>
      <c r="AA449" s="373"/>
      <c r="AB449" s="373"/>
      <c r="AC449" s="373"/>
      <c r="AD449" s="373"/>
      <c r="AE449" s="373"/>
      <c r="AF449" s="373"/>
      <c r="AG449" s="373"/>
    </row>
    <row r="450" spans="1:33" x14ac:dyDescent="0.25">
      <c r="A450" s="373"/>
      <c r="B450" s="373"/>
      <c r="C450" s="373"/>
      <c r="D450" s="373"/>
      <c r="E450" s="373"/>
      <c r="F450" s="373"/>
      <c r="G450" s="373"/>
      <c r="H450" s="373"/>
      <c r="I450" s="373"/>
      <c r="J450" s="373"/>
      <c r="K450" s="373"/>
      <c r="L450" s="373"/>
      <c r="M450" s="373"/>
      <c r="N450" s="373"/>
      <c r="O450" s="373"/>
      <c r="P450" s="373"/>
      <c r="Q450" s="373"/>
      <c r="R450" s="373"/>
      <c r="S450" s="373"/>
      <c r="T450" s="373"/>
      <c r="U450" s="373"/>
      <c r="V450" s="373"/>
      <c r="W450" s="373"/>
      <c r="X450" s="373"/>
      <c r="Y450" s="373"/>
      <c r="Z450" s="373"/>
      <c r="AA450" s="373"/>
      <c r="AB450" s="373"/>
      <c r="AC450" s="373"/>
      <c r="AD450" s="373"/>
      <c r="AE450" s="373"/>
      <c r="AF450" s="373"/>
      <c r="AG450" s="373"/>
    </row>
    <row r="451" spans="1:33" x14ac:dyDescent="0.25">
      <c r="A451" s="373"/>
      <c r="B451" s="373"/>
      <c r="C451" s="373"/>
      <c r="D451" s="373"/>
      <c r="E451" s="373"/>
      <c r="F451" s="373"/>
      <c r="G451" s="373"/>
      <c r="H451" s="373"/>
      <c r="I451" s="373"/>
      <c r="J451" s="373"/>
      <c r="K451" s="373"/>
      <c r="L451" s="373"/>
      <c r="M451" s="373"/>
      <c r="N451" s="373"/>
      <c r="O451" s="373"/>
      <c r="P451" s="373"/>
      <c r="Q451" s="373"/>
      <c r="R451" s="373"/>
      <c r="S451" s="373"/>
      <c r="T451" s="373"/>
      <c r="U451" s="373"/>
      <c r="V451" s="373"/>
      <c r="W451" s="373"/>
      <c r="X451" s="373"/>
      <c r="Y451" s="373"/>
      <c r="Z451" s="373"/>
      <c r="AA451" s="373"/>
      <c r="AB451" s="373"/>
      <c r="AC451" s="373"/>
      <c r="AD451" s="373"/>
      <c r="AE451" s="373"/>
      <c r="AF451" s="373"/>
      <c r="AG451" s="373"/>
    </row>
    <row r="452" spans="1:33" x14ac:dyDescent="0.25">
      <c r="A452" s="373"/>
      <c r="B452" s="373"/>
      <c r="C452" s="373"/>
      <c r="D452" s="373"/>
      <c r="E452" s="373"/>
      <c r="F452" s="373"/>
      <c r="G452" s="373"/>
      <c r="H452" s="373"/>
      <c r="I452" s="373"/>
      <c r="J452" s="373"/>
      <c r="K452" s="373"/>
      <c r="L452" s="373"/>
      <c r="M452" s="373"/>
      <c r="N452" s="373"/>
      <c r="O452" s="373"/>
      <c r="P452" s="373"/>
      <c r="Q452" s="373"/>
      <c r="R452" s="373"/>
      <c r="S452" s="373"/>
      <c r="T452" s="373"/>
      <c r="U452" s="373"/>
      <c r="V452" s="373"/>
      <c r="W452" s="373"/>
      <c r="X452" s="373"/>
      <c r="Y452" s="373"/>
      <c r="Z452" s="373"/>
      <c r="AA452" s="373"/>
      <c r="AB452" s="373"/>
      <c r="AC452" s="373"/>
      <c r="AD452" s="373"/>
      <c r="AE452" s="373"/>
      <c r="AF452" s="373"/>
      <c r="AG452" s="373"/>
    </row>
    <row r="453" spans="1:33" x14ac:dyDescent="0.25">
      <c r="A453" s="373"/>
      <c r="B453" s="373"/>
      <c r="C453" s="373"/>
      <c r="D453" s="373"/>
      <c r="E453" s="373"/>
      <c r="F453" s="373"/>
      <c r="G453" s="373"/>
      <c r="H453" s="373"/>
      <c r="I453" s="373"/>
      <c r="J453" s="373"/>
      <c r="K453" s="373"/>
      <c r="L453" s="373"/>
      <c r="M453" s="373"/>
      <c r="N453" s="373"/>
      <c r="O453" s="373"/>
      <c r="P453" s="373"/>
      <c r="Q453" s="373"/>
      <c r="R453" s="373"/>
      <c r="S453" s="373"/>
      <c r="T453" s="373"/>
      <c r="U453" s="373"/>
      <c r="V453" s="373"/>
      <c r="W453" s="373"/>
      <c r="X453" s="373"/>
      <c r="Y453" s="373"/>
      <c r="Z453" s="373"/>
      <c r="AA453" s="373"/>
      <c r="AB453" s="373"/>
      <c r="AC453" s="373"/>
      <c r="AD453" s="373"/>
      <c r="AE453" s="373"/>
      <c r="AF453" s="373"/>
      <c r="AG453" s="373"/>
    </row>
    <row r="454" spans="1:33" x14ac:dyDescent="0.25">
      <c r="A454" s="373"/>
      <c r="B454" s="373"/>
      <c r="C454" s="373"/>
      <c r="D454" s="373"/>
      <c r="E454" s="373"/>
      <c r="F454" s="373"/>
      <c r="G454" s="373"/>
      <c r="H454" s="373"/>
      <c r="I454" s="373"/>
      <c r="J454" s="373"/>
      <c r="K454" s="373"/>
      <c r="L454" s="373"/>
      <c r="M454" s="373"/>
      <c r="N454" s="373"/>
      <c r="O454" s="373"/>
      <c r="P454" s="373"/>
      <c r="Q454" s="373"/>
      <c r="R454" s="373"/>
      <c r="S454" s="373"/>
      <c r="T454" s="373"/>
      <c r="U454" s="373"/>
      <c r="V454" s="373"/>
      <c r="W454" s="373"/>
      <c r="X454" s="373"/>
      <c r="Y454" s="373"/>
      <c r="Z454" s="373"/>
      <c r="AA454" s="373"/>
      <c r="AB454" s="373"/>
      <c r="AC454" s="373"/>
      <c r="AD454" s="373"/>
      <c r="AE454" s="373"/>
      <c r="AF454" s="373"/>
      <c r="AG454" s="373"/>
    </row>
    <row r="455" spans="1:33" x14ac:dyDescent="0.25">
      <c r="A455" s="373"/>
      <c r="B455" s="373"/>
      <c r="C455" s="373"/>
      <c r="D455" s="373"/>
      <c r="E455" s="373"/>
      <c r="F455" s="373"/>
      <c r="G455" s="373"/>
      <c r="H455" s="373"/>
      <c r="I455" s="373"/>
      <c r="J455" s="373"/>
      <c r="K455" s="373"/>
      <c r="L455" s="373"/>
      <c r="M455" s="373"/>
      <c r="N455" s="373"/>
      <c r="O455" s="373"/>
      <c r="P455" s="373"/>
      <c r="Q455" s="373"/>
      <c r="R455" s="373"/>
      <c r="S455" s="373"/>
      <c r="T455" s="373"/>
      <c r="U455" s="373"/>
      <c r="V455" s="373"/>
      <c r="W455" s="373"/>
      <c r="X455" s="373"/>
      <c r="Y455" s="373"/>
      <c r="Z455" s="373"/>
      <c r="AA455" s="373"/>
      <c r="AB455" s="373"/>
      <c r="AC455" s="373"/>
      <c r="AD455" s="373"/>
      <c r="AE455" s="373"/>
      <c r="AF455" s="373"/>
      <c r="AG455" s="373"/>
    </row>
    <row r="456" spans="1:33" x14ac:dyDescent="0.25">
      <c r="A456" s="373"/>
      <c r="B456" s="373"/>
      <c r="C456" s="373"/>
      <c r="D456" s="373"/>
      <c r="E456" s="373"/>
      <c r="F456" s="373"/>
      <c r="G456" s="373"/>
      <c r="H456" s="373"/>
      <c r="I456" s="373"/>
      <c r="J456" s="373"/>
      <c r="K456" s="373"/>
      <c r="L456" s="373"/>
      <c r="M456" s="373"/>
      <c r="N456" s="373"/>
      <c r="O456" s="373"/>
      <c r="P456" s="373"/>
      <c r="Q456" s="373"/>
      <c r="R456" s="373"/>
      <c r="S456" s="373"/>
      <c r="T456" s="373"/>
      <c r="U456" s="373"/>
      <c r="V456" s="373"/>
      <c r="W456" s="373"/>
      <c r="X456" s="373"/>
      <c r="Y456" s="373"/>
      <c r="Z456" s="373"/>
      <c r="AA456" s="373"/>
      <c r="AB456" s="373"/>
      <c r="AC456" s="373"/>
      <c r="AD456" s="373"/>
      <c r="AE456" s="373"/>
      <c r="AF456" s="373"/>
      <c r="AG456" s="373"/>
    </row>
    <row r="457" spans="1:33" x14ac:dyDescent="0.25">
      <c r="A457" s="373"/>
      <c r="B457" s="373"/>
      <c r="C457" s="373"/>
      <c r="D457" s="373"/>
      <c r="E457" s="373"/>
      <c r="F457" s="373"/>
      <c r="G457" s="373"/>
      <c r="H457" s="373"/>
      <c r="I457" s="373"/>
      <c r="J457" s="373"/>
      <c r="K457" s="373"/>
      <c r="L457" s="373"/>
      <c r="M457" s="373"/>
      <c r="N457" s="373"/>
      <c r="O457" s="373"/>
      <c r="P457" s="373"/>
      <c r="Q457" s="373"/>
      <c r="R457" s="373"/>
      <c r="S457" s="373"/>
      <c r="T457" s="373"/>
      <c r="U457" s="373"/>
      <c r="V457" s="373"/>
      <c r="W457" s="373"/>
      <c r="X457" s="373"/>
      <c r="Y457" s="373"/>
      <c r="Z457" s="373"/>
      <c r="AA457" s="373"/>
      <c r="AB457" s="373"/>
      <c r="AC457" s="373"/>
      <c r="AD457" s="373"/>
      <c r="AE457" s="373"/>
      <c r="AF457" s="373"/>
      <c r="AG457" s="373"/>
    </row>
    <row r="458" spans="1:33" x14ac:dyDescent="0.25">
      <c r="A458" s="373"/>
      <c r="B458" s="373"/>
      <c r="C458" s="373"/>
      <c r="D458" s="373"/>
      <c r="E458" s="373"/>
      <c r="F458" s="373"/>
      <c r="G458" s="373"/>
      <c r="H458" s="373"/>
      <c r="I458" s="373"/>
      <c r="J458" s="373"/>
      <c r="K458" s="373"/>
      <c r="L458" s="373"/>
      <c r="M458" s="373"/>
      <c r="N458" s="373"/>
      <c r="O458" s="373"/>
      <c r="P458" s="373"/>
      <c r="Q458" s="373"/>
      <c r="R458" s="373"/>
      <c r="S458" s="373"/>
      <c r="T458" s="373"/>
      <c r="U458" s="373"/>
      <c r="V458" s="373"/>
      <c r="W458" s="373"/>
      <c r="X458" s="373"/>
      <c r="Y458" s="373"/>
      <c r="Z458" s="373"/>
      <c r="AA458" s="373"/>
      <c r="AB458" s="373"/>
      <c r="AC458" s="373"/>
      <c r="AD458" s="373"/>
      <c r="AE458" s="373"/>
      <c r="AF458" s="373"/>
      <c r="AG458" s="373"/>
    </row>
    <row r="459" spans="1:33" x14ac:dyDescent="0.25">
      <c r="A459" s="373"/>
      <c r="B459" s="373"/>
      <c r="C459" s="373"/>
      <c r="D459" s="373"/>
      <c r="E459" s="373"/>
      <c r="F459" s="373"/>
      <c r="G459" s="373"/>
      <c r="H459" s="373"/>
      <c r="I459" s="373"/>
      <c r="J459" s="373"/>
      <c r="K459" s="373"/>
      <c r="L459" s="373"/>
      <c r="M459" s="373"/>
      <c r="N459" s="373"/>
      <c r="O459" s="373"/>
      <c r="P459" s="373"/>
      <c r="Q459" s="373"/>
      <c r="R459" s="373"/>
      <c r="S459" s="373"/>
      <c r="T459" s="373"/>
      <c r="U459" s="373"/>
      <c r="V459" s="373"/>
      <c r="W459" s="373"/>
      <c r="X459" s="373"/>
      <c r="Y459" s="373"/>
      <c r="Z459" s="373"/>
      <c r="AA459" s="373"/>
      <c r="AB459" s="373"/>
      <c r="AC459" s="373"/>
      <c r="AD459" s="373"/>
      <c r="AE459" s="373"/>
      <c r="AF459" s="373"/>
      <c r="AG459" s="373"/>
    </row>
    <row r="460" spans="1:33" x14ac:dyDescent="0.25">
      <c r="A460" s="373"/>
      <c r="B460" s="373"/>
      <c r="C460" s="373"/>
      <c r="D460" s="373"/>
      <c r="E460" s="373"/>
      <c r="F460" s="373"/>
      <c r="G460" s="373"/>
      <c r="H460" s="373"/>
      <c r="I460" s="373"/>
      <c r="J460" s="373"/>
      <c r="K460" s="373"/>
      <c r="L460" s="373"/>
      <c r="M460" s="373"/>
      <c r="N460" s="373"/>
      <c r="O460" s="373"/>
      <c r="P460" s="373"/>
      <c r="Q460" s="373"/>
      <c r="R460" s="373"/>
      <c r="S460" s="373"/>
      <c r="T460" s="373"/>
      <c r="U460" s="373"/>
      <c r="V460" s="373"/>
      <c r="W460" s="373"/>
      <c r="X460" s="373"/>
      <c r="Y460" s="373"/>
      <c r="Z460" s="373"/>
      <c r="AA460" s="373"/>
      <c r="AB460" s="373"/>
      <c r="AC460" s="373"/>
      <c r="AD460" s="373"/>
      <c r="AE460" s="373"/>
      <c r="AF460" s="373"/>
      <c r="AG460" s="373"/>
    </row>
    <row r="461" spans="1:33" x14ac:dyDescent="0.25">
      <c r="A461" s="373"/>
      <c r="B461" s="373"/>
      <c r="C461" s="373"/>
      <c r="D461" s="373"/>
      <c r="E461" s="373"/>
      <c r="F461" s="373"/>
      <c r="G461" s="373"/>
      <c r="H461" s="373"/>
      <c r="I461" s="373"/>
      <c r="J461" s="373"/>
      <c r="K461" s="373"/>
      <c r="L461" s="373"/>
      <c r="M461" s="373"/>
      <c r="N461" s="373"/>
      <c r="O461" s="373"/>
      <c r="P461" s="373"/>
      <c r="Q461" s="373"/>
      <c r="R461" s="373"/>
      <c r="S461" s="373"/>
      <c r="T461" s="373"/>
      <c r="U461" s="373"/>
      <c r="V461" s="373"/>
      <c r="W461" s="373"/>
      <c r="X461" s="373"/>
      <c r="Y461" s="373"/>
      <c r="Z461" s="373"/>
      <c r="AA461" s="373"/>
      <c r="AB461" s="373"/>
      <c r="AC461" s="373"/>
      <c r="AD461" s="373"/>
      <c r="AE461" s="373"/>
      <c r="AF461" s="373"/>
      <c r="AG461" s="373"/>
    </row>
    <row r="462" spans="1:33" x14ac:dyDescent="0.25">
      <c r="A462" s="373"/>
      <c r="B462" s="373"/>
      <c r="C462" s="373"/>
      <c r="D462" s="373"/>
      <c r="E462" s="373"/>
      <c r="F462" s="373"/>
      <c r="G462" s="373"/>
      <c r="H462" s="373"/>
      <c r="I462" s="373"/>
      <c r="J462" s="373"/>
      <c r="K462" s="373"/>
      <c r="L462" s="373"/>
      <c r="M462" s="373"/>
      <c r="N462" s="373"/>
      <c r="O462" s="373"/>
      <c r="P462" s="373"/>
      <c r="Q462" s="373"/>
      <c r="R462" s="373"/>
      <c r="S462" s="373"/>
      <c r="T462" s="373"/>
      <c r="U462" s="373"/>
      <c r="V462" s="373"/>
      <c r="W462" s="373"/>
      <c r="X462" s="373"/>
      <c r="Y462" s="373"/>
      <c r="Z462" s="373"/>
      <c r="AA462" s="373"/>
      <c r="AB462" s="373"/>
      <c r="AC462" s="373"/>
      <c r="AD462" s="373"/>
      <c r="AE462" s="373"/>
      <c r="AF462" s="373"/>
      <c r="AG462" s="373"/>
    </row>
    <row r="463" spans="1:33" x14ac:dyDescent="0.25">
      <c r="A463" s="373"/>
      <c r="B463" s="373"/>
      <c r="C463" s="373"/>
      <c r="D463" s="373"/>
      <c r="E463" s="373"/>
      <c r="F463" s="373"/>
      <c r="G463" s="373"/>
      <c r="H463" s="373"/>
      <c r="I463" s="373"/>
      <c r="J463" s="373"/>
      <c r="K463" s="373"/>
      <c r="L463" s="373"/>
      <c r="M463" s="373"/>
      <c r="N463" s="373"/>
      <c r="O463" s="373"/>
      <c r="P463" s="373"/>
      <c r="Q463" s="373"/>
      <c r="R463" s="373"/>
      <c r="S463" s="373"/>
      <c r="T463" s="373"/>
      <c r="U463" s="373"/>
      <c r="V463" s="373"/>
      <c r="W463" s="373"/>
      <c r="X463" s="373"/>
      <c r="Y463" s="373"/>
      <c r="Z463" s="373"/>
      <c r="AA463" s="373"/>
      <c r="AB463" s="373"/>
      <c r="AC463" s="373"/>
      <c r="AD463" s="373"/>
      <c r="AE463" s="373"/>
      <c r="AF463" s="373"/>
      <c r="AG463" s="373"/>
    </row>
    <row r="464" spans="1:33" x14ac:dyDescent="0.25">
      <c r="A464" s="373"/>
      <c r="B464" s="373"/>
      <c r="C464" s="373"/>
      <c r="D464" s="373"/>
      <c r="E464" s="373"/>
      <c r="F464" s="373"/>
      <c r="G464" s="373"/>
      <c r="H464" s="373"/>
      <c r="I464" s="373"/>
      <c r="J464" s="373"/>
      <c r="K464" s="373"/>
      <c r="L464" s="373"/>
      <c r="M464" s="373"/>
      <c r="N464" s="373"/>
      <c r="O464" s="373"/>
      <c r="P464" s="373"/>
      <c r="Q464" s="373"/>
      <c r="R464" s="373"/>
      <c r="S464" s="373"/>
      <c r="T464" s="373"/>
      <c r="U464" s="373"/>
      <c r="V464" s="373"/>
      <c r="W464" s="373"/>
      <c r="X464" s="373"/>
      <c r="Y464" s="373"/>
      <c r="Z464" s="373"/>
      <c r="AA464" s="373"/>
      <c r="AB464" s="373"/>
      <c r="AC464" s="373"/>
      <c r="AD464" s="373"/>
      <c r="AE464" s="373"/>
      <c r="AF464" s="373"/>
      <c r="AG464" s="373"/>
    </row>
    <row r="465" spans="1:33" x14ac:dyDescent="0.25">
      <c r="A465" s="373"/>
      <c r="B465" s="373"/>
      <c r="C465" s="373"/>
      <c r="D465" s="373"/>
      <c r="E465" s="373"/>
      <c r="F465" s="373"/>
      <c r="G465" s="373"/>
      <c r="H465" s="373"/>
      <c r="I465" s="373"/>
      <c r="J465" s="373"/>
      <c r="K465" s="373"/>
      <c r="L465" s="373"/>
      <c r="M465" s="373"/>
      <c r="N465" s="373"/>
      <c r="O465" s="373"/>
      <c r="P465" s="373"/>
      <c r="Q465" s="373"/>
      <c r="R465" s="373"/>
      <c r="S465" s="373"/>
      <c r="T465" s="373"/>
      <c r="U465" s="373"/>
      <c r="V465" s="373"/>
      <c r="W465" s="373"/>
      <c r="X465" s="373"/>
      <c r="Y465" s="373"/>
      <c r="Z465" s="373"/>
      <c r="AA465" s="373"/>
      <c r="AB465" s="373"/>
      <c r="AC465" s="373"/>
      <c r="AD465" s="373"/>
      <c r="AE465" s="373"/>
      <c r="AF465" s="373"/>
      <c r="AG465" s="373"/>
    </row>
    <row r="466" spans="1:33" x14ac:dyDescent="0.25">
      <c r="A466" s="373"/>
      <c r="B466" s="373"/>
      <c r="C466" s="373"/>
      <c r="D466" s="373"/>
      <c r="E466" s="373"/>
      <c r="F466" s="373"/>
      <c r="G466" s="373"/>
      <c r="H466" s="373"/>
      <c r="I466" s="373"/>
      <c r="J466" s="373"/>
      <c r="K466" s="373"/>
      <c r="L466" s="373"/>
      <c r="M466" s="373"/>
      <c r="N466" s="373"/>
      <c r="O466" s="373"/>
      <c r="P466" s="373"/>
      <c r="Q466" s="373"/>
      <c r="R466" s="373"/>
      <c r="S466" s="373"/>
      <c r="T466" s="373"/>
      <c r="U466" s="373"/>
      <c r="V466" s="373"/>
      <c r="W466" s="373"/>
      <c r="X466" s="373"/>
      <c r="Y466" s="373"/>
      <c r="Z466" s="373"/>
      <c r="AA466" s="373"/>
      <c r="AB466" s="373"/>
      <c r="AC466" s="373"/>
      <c r="AD466" s="373"/>
      <c r="AE466" s="373"/>
      <c r="AF466" s="373"/>
      <c r="AG466" s="373"/>
    </row>
    <row r="467" spans="1:33" x14ac:dyDescent="0.25">
      <c r="A467" s="373"/>
      <c r="B467" s="373"/>
      <c r="C467" s="373"/>
      <c r="D467" s="373"/>
      <c r="E467" s="373"/>
      <c r="F467" s="373"/>
      <c r="G467" s="373"/>
      <c r="H467" s="373"/>
      <c r="I467" s="373"/>
      <c r="J467" s="373"/>
      <c r="K467" s="373"/>
      <c r="L467" s="373"/>
      <c r="M467" s="373"/>
      <c r="N467" s="373"/>
      <c r="O467" s="373"/>
      <c r="P467" s="373"/>
      <c r="Q467" s="373"/>
      <c r="R467" s="373"/>
      <c r="S467" s="373"/>
      <c r="T467" s="373"/>
      <c r="U467" s="373"/>
      <c r="V467" s="373"/>
      <c r="W467" s="373"/>
      <c r="X467" s="373"/>
      <c r="Y467" s="373"/>
      <c r="Z467" s="373"/>
      <c r="AA467" s="373"/>
      <c r="AB467" s="373"/>
      <c r="AC467" s="373"/>
      <c r="AD467" s="373"/>
      <c r="AE467" s="373"/>
      <c r="AF467" s="373"/>
      <c r="AG467" s="373"/>
    </row>
    <row r="468" spans="1:33" x14ac:dyDescent="0.25">
      <c r="A468" s="373"/>
      <c r="B468" s="373"/>
      <c r="C468" s="373"/>
      <c r="D468" s="373"/>
      <c r="E468" s="373"/>
      <c r="F468" s="373"/>
      <c r="G468" s="373"/>
      <c r="H468" s="373"/>
      <c r="I468" s="373"/>
      <c r="J468" s="373"/>
      <c r="K468" s="373"/>
      <c r="L468" s="373"/>
      <c r="M468" s="373"/>
      <c r="N468" s="373"/>
      <c r="O468" s="373"/>
      <c r="P468" s="373"/>
      <c r="Q468" s="373"/>
      <c r="R468" s="373"/>
      <c r="S468" s="373"/>
      <c r="T468" s="373"/>
      <c r="U468" s="373"/>
      <c r="V468" s="373"/>
      <c r="W468" s="373"/>
      <c r="X468" s="373"/>
      <c r="Y468" s="373"/>
      <c r="Z468" s="373"/>
      <c r="AA468" s="373"/>
      <c r="AB468" s="373"/>
      <c r="AC468" s="373"/>
      <c r="AD468" s="373"/>
      <c r="AE468" s="373"/>
      <c r="AF468" s="373"/>
      <c r="AG468" s="373"/>
    </row>
    <row r="469" spans="1:33" x14ac:dyDescent="0.25">
      <c r="A469" s="373"/>
      <c r="B469" s="373"/>
      <c r="C469" s="373"/>
      <c r="D469" s="373"/>
      <c r="E469" s="373"/>
      <c r="F469" s="373"/>
      <c r="G469" s="373"/>
      <c r="H469" s="373"/>
      <c r="I469" s="373"/>
      <c r="J469" s="373"/>
      <c r="K469" s="373"/>
      <c r="L469" s="373"/>
      <c r="M469" s="373"/>
      <c r="N469" s="373"/>
      <c r="O469" s="373"/>
      <c r="P469" s="373"/>
      <c r="Q469" s="373"/>
      <c r="R469" s="373"/>
      <c r="S469" s="373"/>
      <c r="T469" s="373"/>
      <c r="U469" s="373"/>
      <c r="V469" s="373"/>
      <c r="W469" s="373"/>
      <c r="X469" s="373"/>
      <c r="Y469" s="373"/>
      <c r="Z469" s="373"/>
      <c r="AA469" s="373"/>
      <c r="AB469" s="373"/>
      <c r="AC469" s="373"/>
      <c r="AD469" s="373"/>
      <c r="AE469" s="373"/>
      <c r="AF469" s="373"/>
      <c r="AG469" s="373"/>
    </row>
    <row r="470" spans="1:33" x14ac:dyDescent="0.25">
      <c r="A470" s="373"/>
      <c r="B470" s="373"/>
      <c r="C470" s="373"/>
      <c r="D470" s="373"/>
      <c r="E470" s="373"/>
      <c r="F470" s="373"/>
      <c r="G470" s="373"/>
      <c r="H470" s="373"/>
      <c r="I470" s="373"/>
      <c r="J470" s="373"/>
      <c r="K470" s="373"/>
      <c r="L470" s="373"/>
      <c r="M470" s="373"/>
      <c r="N470" s="373"/>
      <c r="O470" s="373"/>
      <c r="P470" s="373"/>
      <c r="Q470" s="373"/>
      <c r="R470" s="373"/>
      <c r="S470" s="373"/>
      <c r="T470" s="373"/>
      <c r="U470" s="373"/>
      <c r="V470" s="373"/>
      <c r="W470" s="373"/>
      <c r="X470" s="373"/>
      <c r="Y470" s="373"/>
      <c r="Z470" s="373"/>
      <c r="AA470" s="373"/>
      <c r="AB470" s="373"/>
      <c r="AC470" s="373"/>
      <c r="AD470" s="373"/>
      <c r="AE470" s="373"/>
      <c r="AF470" s="373"/>
      <c r="AG470" s="373"/>
    </row>
    <row r="471" spans="1:33" x14ac:dyDescent="0.25">
      <c r="A471" s="373"/>
      <c r="B471" s="373"/>
      <c r="C471" s="373"/>
      <c r="D471" s="373"/>
      <c r="E471" s="373"/>
      <c r="F471" s="373"/>
      <c r="G471" s="373"/>
      <c r="H471" s="373"/>
      <c r="I471" s="373"/>
      <c r="J471" s="373"/>
      <c r="K471" s="373"/>
      <c r="L471" s="373"/>
      <c r="M471" s="373"/>
      <c r="N471" s="373"/>
      <c r="O471" s="373"/>
      <c r="P471" s="373"/>
      <c r="Q471" s="373"/>
      <c r="R471" s="373"/>
      <c r="S471" s="373"/>
      <c r="T471" s="373"/>
      <c r="U471" s="373"/>
      <c r="V471" s="373"/>
      <c r="W471" s="373"/>
      <c r="X471" s="373"/>
      <c r="Y471" s="373"/>
      <c r="Z471" s="373"/>
      <c r="AA471" s="373"/>
      <c r="AB471" s="373"/>
      <c r="AC471" s="373"/>
      <c r="AD471" s="373"/>
      <c r="AE471" s="373"/>
      <c r="AF471" s="373"/>
      <c r="AG471" s="373"/>
    </row>
    <row r="472" spans="1:33" x14ac:dyDescent="0.25">
      <c r="A472" s="373"/>
      <c r="B472" s="373"/>
      <c r="C472" s="373"/>
      <c r="D472" s="373"/>
      <c r="E472" s="373"/>
      <c r="F472" s="373"/>
      <c r="G472" s="373"/>
      <c r="H472" s="373"/>
      <c r="I472" s="373"/>
      <c r="J472" s="373"/>
      <c r="K472" s="373"/>
      <c r="L472" s="373"/>
      <c r="M472" s="373"/>
      <c r="N472" s="373"/>
      <c r="O472" s="373"/>
      <c r="P472" s="373"/>
      <c r="Q472" s="373"/>
      <c r="R472" s="373"/>
      <c r="S472" s="373"/>
      <c r="T472" s="373"/>
      <c r="U472" s="373"/>
      <c r="V472" s="373"/>
      <c r="W472" s="373"/>
      <c r="X472" s="373"/>
      <c r="Y472" s="373"/>
      <c r="Z472" s="373"/>
      <c r="AA472" s="373"/>
      <c r="AB472" s="373"/>
      <c r="AC472" s="373"/>
      <c r="AD472" s="373"/>
      <c r="AE472" s="373"/>
      <c r="AF472" s="373"/>
      <c r="AG472" s="373"/>
    </row>
    <row r="473" spans="1:33" x14ac:dyDescent="0.25">
      <c r="A473" s="373"/>
      <c r="B473" s="373"/>
      <c r="C473" s="373"/>
      <c r="D473" s="373"/>
      <c r="E473" s="373"/>
      <c r="F473" s="373"/>
      <c r="G473" s="373"/>
      <c r="H473" s="373"/>
      <c r="I473" s="373"/>
      <c r="J473" s="373"/>
      <c r="K473" s="373"/>
      <c r="L473" s="373"/>
      <c r="M473" s="373"/>
      <c r="N473" s="373"/>
      <c r="O473" s="373"/>
      <c r="P473" s="373"/>
      <c r="Q473" s="373"/>
      <c r="R473" s="373"/>
      <c r="S473" s="373"/>
      <c r="T473" s="373"/>
      <c r="U473" s="373"/>
      <c r="V473" s="373"/>
      <c r="W473" s="373"/>
      <c r="X473" s="373"/>
      <c r="Y473" s="373"/>
      <c r="Z473" s="373"/>
      <c r="AA473" s="373"/>
      <c r="AB473" s="373"/>
      <c r="AC473" s="373"/>
      <c r="AD473" s="373"/>
      <c r="AE473" s="373"/>
      <c r="AF473" s="373"/>
      <c r="AG473" s="373"/>
    </row>
    <row r="474" spans="1:33" x14ac:dyDescent="0.25">
      <c r="A474" s="373"/>
      <c r="B474" s="373"/>
      <c r="C474" s="373"/>
      <c r="D474" s="373"/>
      <c r="E474" s="373"/>
      <c r="F474" s="373"/>
      <c r="G474" s="373"/>
      <c r="H474" s="373"/>
      <c r="I474" s="373"/>
      <c r="J474" s="373"/>
      <c r="K474" s="373"/>
      <c r="L474" s="373"/>
      <c r="M474" s="373"/>
      <c r="N474" s="373"/>
      <c r="O474" s="373"/>
      <c r="P474" s="373"/>
      <c r="Q474" s="373"/>
      <c r="R474" s="373"/>
      <c r="S474" s="373"/>
      <c r="T474" s="373"/>
      <c r="U474" s="373"/>
      <c r="V474" s="373"/>
      <c r="W474" s="373"/>
      <c r="X474" s="373"/>
      <c r="Y474" s="373"/>
      <c r="Z474" s="373"/>
      <c r="AA474" s="373"/>
      <c r="AB474" s="373"/>
      <c r="AC474" s="373"/>
      <c r="AD474" s="373"/>
      <c r="AE474" s="373"/>
      <c r="AF474" s="373"/>
      <c r="AG474" s="373"/>
    </row>
    <row r="475" spans="1:33" x14ac:dyDescent="0.25">
      <c r="A475" s="373"/>
      <c r="B475" s="373"/>
      <c r="C475" s="373"/>
      <c r="D475" s="373"/>
      <c r="E475" s="373"/>
      <c r="F475" s="373"/>
      <c r="G475" s="373"/>
      <c r="H475" s="373"/>
      <c r="I475" s="373"/>
      <c r="J475" s="373"/>
      <c r="K475" s="373"/>
      <c r="L475" s="373"/>
      <c r="M475" s="373"/>
      <c r="N475" s="373"/>
      <c r="O475" s="373"/>
      <c r="P475" s="373"/>
      <c r="Q475" s="373"/>
      <c r="R475" s="373"/>
      <c r="S475" s="373"/>
      <c r="T475" s="373"/>
      <c r="U475" s="373"/>
      <c r="V475" s="373"/>
      <c r="W475" s="373"/>
      <c r="X475" s="373"/>
      <c r="Y475" s="373"/>
      <c r="Z475" s="373"/>
      <c r="AA475" s="373"/>
      <c r="AB475" s="373"/>
      <c r="AC475" s="373"/>
      <c r="AD475" s="373"/>
      <c r="AE475" s="373"/>
      <c r="AF475" s="373"/>
      <c r="AG475" s="373"/>
    </row>
    <row r="476" spans="1:33" x14ac:dyDescent="0.25">
      <c r="A476" s="373"/>
      <c r="B476" s="373"/>
      <c r="C476" s="373"/>
      <c r="D476" s="373"/>
      <c r="E476" s="373"/>
      <c r="F476" s="373"/>
      <c r="G476" s="373"/>
      <c r="H476" s="373"/>
      <c r="I476" s="373"/>
      <c r="J476" s="373"/>
      <c r="K476" s="373"/>
      <c r="L476" s="373"/>
      <c r="M476" s="373"/>
      <c r="N476" s="373"/>
      <c r="O476" s="373"/>
      <c r="P476" s="373"/>
      <c r="Q476" s="373"/>
      <c r="R476" s="373"/>
      <c r="S476" s="373"/>
      <c r="T476" s="373"/>
      <c r="U476" s="373"/>
      <c r="V476" s="373"/>
      <c r="W476" s="373"/>
      <c r="X476" s="373"/>
      <c r="Y476" s="373"/>
      <c r="Z476" s="373"/>
      <c r="AA476" s="373"/>
      <c r="AB476" s="373"/>
      <c r="AC476" s="373"/>
      <c r="AD476" s="373"/>
      <c r="AE476" s="373"/>
      <c r="AF476" s="373"/>
      <c r="AG476" s="373"/>
    </row>
    <row r="477" spans="1:33" x14ac:dyDescent="0.25">
      <c r="A477" s="373"/>
      <c r="B477" s="373"/>
      <c r="C477" s="373"/>
      <c r="D477" s="373"/>
      <c r="E477" s="373"/>
      <c r="F477" s="373"/>
      <c r="G477" s="373"/>
      <c r="H477" s="373"/>
      <c r="I477" s="373"/>
      <c r="J477" s="373"/>
      <c r="K477" s="373"/>
      <c r="L477" s="373"/>
      <c r="M477" s="373"/>
      <c r="N477" s="373"/>
      <c r="O477" s="373"/>
      <c r="P477" s="373"/>
      <c r="Q477" s="373"/>
      <c r="R477" s="373"/>
      <c r="S477" s="373"/>
      <c r="T477" s="373"/>
      <c r="U477" s="373"/>
      <c r="V477" s="373"/>
      <c r="W477" s="373"/>
      <c r="X477" s="373"/>
      <c r="Y477" s="373"/>
      <c r="Z477" s="373"/>
      <c r="AA477" s="373"/>
      <c r="AB477" s="373"/>
      <c r="AC477" s="373"/>
      <c r="AD477" s="373"/>
      <c r="AE477" s="373"/>
      <c r="AF477" s="373"/>
      <c r="AG477" s="373"/>
    </row>
    <row r="478" spans="1:33" x14ac:dyDescent="0.25">
      <c r="A478" s="373"/>
      <c r="B478" s="373"/>
      <c r="C478" s="373"/>
      <c r="D478" s="373"/>
      <c r="E478" s="373"/>
      <c r="F478" s="373"/>
      <c r="G478" s="373"/>
      <c r="H478" s="373"/>
      <c r="I478" s="373"/>
      <c r="J478" s="373"/>
      <c r="K478" s="373"/>
      <c r="L478" s="373"/>
      <c r="M478" s="373"/>
      <c r="N478" s="373"/>
      <c r="O478" s="373"/>
      <c r="P478" s="373"/>
      <c r="Q478" s="373"/>
      <c r="R478" s="373"/>
      <c r="S478" s="373"/>
      <c r="T478" s="373"/>
      <c r="U478" s="373"/>
      <c r="V478" s="373"/>
      <c r="W478" s="373"/>
      <c r="X478" s="373"/>
      <c r="Y478" s="373"/>
      <c r="Z478" s="373"/>
      <c r="AA478" s="373"/>
      <c r="AB478" s="373"/>
      <c r="AC478" s="373"/>
      <c r="AD478" s="373"/>
      <c r="AE478" s="373"/>
      <c r="AF478" s="373"/>
      <c r="AG478" s="373"/>
    </row>
    <row r="479" spans="1:33" x14ac:dyDescent="0.25">
      <c r="A479" s="373"/>
      <c r="B479" s="373"/>
      <c r="C479" s="373"/>
      <c r="D479" s="373"/>
      <c r="E479" s="373"/>
      <c r="F479" s="373"/>
      <c r="G479" s="373"/>
      <c r="H479" s="373"/>
      <c r="I479" s="373"/>
      <c r="J479" s="373"/>
      <c r="K479" s="373"/>
      <c r="L479" s="373"/>
      <c r="M479" s="373"/>
      <c r="N479" s="373"/>
      <c r="O479" s="373"/>
      <c r="P479" s="373"/>
      <c r="Q479" s="373"/>
      <c r="R479" s="373"/>
      <c r="S479" s="373"/>
      <c r="T479" s="373"/>
      <c r="U479" s="373"/>
      <c r="V479" s="373"/>
      <c r="W479" s="373"/>
      <c r="X479" s="373"/>
      <c r="Y479" s="373"/>
      <c r="Z479" s="373"/>
      <c r="AA479" s="373"/>
      <c r="AB479" s="373"/>
      <c r="AC479" s="373"/>
      <c r="AD479" s="373"/>
      <c r="AE479" s="373"/>
      <c r="AF479" s="373"/>
      <c r="AG479" s="373"/>
    </row>
    <row r="480" spans="1:33" x14ac:dyDescent="0.25">
      <c r="A480" s="373"/>
      <c r="B480" s="373"/>
      <c r="C480" s="373"/>
      <c r="D480" s="373"/>
      <c r="E480" s="373"/>
      <c r="F480" s="373"/>
      <c r="G480" s="373"/>
      <c r="H480" s="373"/>
      <c r="I480" s="373"/>
      <c r="J480" s="373"/>
      <c r="K480" s="373"/>
      <c r="L480" s="373"/>
      <c r="M480" s="373"/>
      <c r="N480" s="373"/>
      <c r="O480" s="373"/>
      <c r="P480" s="373"/>
      <c r="Q480" s="373"/>
      <c r="R480" s="373"/>
      <c r="S480" s="373"/>
      <c r="T480" s="373"/>
      <c r="U480" s="373"/>
      <c r="V480" s="373"/>
      <c r="W480" s="373"/>
      <c r="X480" s="373"/>
      <c r="Y480" s="373"/>
      <c r="Z480" s="373"/>
      <c r="AA480" s="373"/>
      <c r="AB480" s="373"/>
      <c r="AC480" s="373"/>
      <c r="AD480" s="373"/>
      <c r="AE480" s="373"/>
      <c r="AF480" s="373"/>
      <c r="AG480" s="373"/>
    </row>
    <row r="481" spans="1:33" x14ac:dyDescent="0.25">
      <c r="A481" s="373"/>
      <c r="B481" s="373"/>
      <c r="C481" s="373"/>
      <c r="D481" s="373"/>
      <c r="E481" s="373"/>
      <c r="F481" s="373"/>
      <c r="G481" s="373"/>
      <c r="H481" s="373"/>
      <c r="I481" s="373"/>
      <c r="J481" s="373"/>
      <c r="K481" s="373"/>
      <c r="L481" s="373"/>
      <c r="M481" s="373"/>
      <c r="N481" s="373"/>
      <c r="O481" s="373"/>
      <c r="P481" s="373"/>
      <c r="Q481" s="373"/>
      <c r="R481" s="373"/>
      <c r="S481" s="373"/>
      <c r="T481" s="373"/>
      <c r="U481" s="373"/>
      <c r="V481" s="373"/>
      <c r="W481" s="373"/>
      <c r="X481" s="373"/>
      <c r="Y481" s="373"/>
      <c r="Z481" s="373"/>
      <c r="AA481" s="373"/>
      <c r="AB481" s="373"/>
      <c r="AC481" s="373"/>
      <c r="AD481" s="373"/>
      <c r="AE481" s="373"/>
      <c r="AF481" s="373"/>
      <c r="AG481" s="373"/>
    </row>
    <row r="482" spans="1:33" x14ac:dyDescent="0.25">
      <c r="A482" s="373"/>
      <c r="B482" s="373"/>
      <c r="C482" s="373"/>
      <c r="D482" s="373"/>
      <c r="E482" s="373"/>
      <c r="F482" s="373"/>
      <c r="G482" s="373"/>
      <c r="H482" s="373"/>
      <c r="I482" s="373"/>
      <c r="J482" s="373"/>
      <c r="K482" s="373"/>
      <c r="L482" s="373"/>
      <c r="M482" s="373"/>
      <c r="N482" s="373"/>
      <c r="O482" s="373"/>
      <c r="P482" s="373"/>
      <c r="Q482" s="373"/>
      <c r="R482" s="373"/>
      <c r="S482" s="373"/>
      <c r="T482" s="373"/>
      <c r="U482" s="373"/>
      <c r="V482" s="373"/>
      <c r="W482" s="373"/>
      <c r="X482" s="373"/>
      <c r="Y482" s="373"/>
      <c r="Z482" s="373"/>
      <c r="AA482" s="373"/>
      <c r="AB482" s="373"/>
      <c r="AC482" s="373"/>
      <c r="AD482" s="373"/>
      <c r="AE482" s="373"/>
      <c r="AF482" s="373"/>
      <c r="AG482" s="373"/>
    </row>
    <row r="483" spans="1:33" x14ac:dyDescent="0.25">
      <c r="A483" s="373"/>
      <c r="B483" s="373"/>
      <c r="C483" s="373"/>
      <c r="D483" s="373"/>
      <c r="E483" s="373"/>
      <c r="F483" s="373"/>
      <c r="G483" s="373"/>
      <c r="H483" s="373"/>
      <c r="I483" s="373"/>
      <c r="J483" s="373"/>
      <c r="K483" s="373"/>
      <c r="L483" s="373"/>
      <c r="M483" s="373"/>
      <c r="N483" s="373"/>
      <c r="O483" s="373"/>
      <c r="P483" s="373"/>
      <c r="Q483" s="373"/>
      <c r="R483" s="373"/>
      <c r="S483" s="373"/>
      <c r="T483" s="373"/>
      <c r="U483" s="373"/>
      <c r="V483" s="373"/>
      <c r="W483" s="373"/>
      <c r="X483" s="373"/>
      <c r="Y483" s="373"/>
      <c r="Z483" s="373"/>
      <c r="AA483" s="373"/>
      <c r="AB483" s="373"/>
      <c r="AC483" s="373"/>
      <c r="AD483" s="373"/>
      <c r="AE483" s="373"/>
      <c r="AF483" s="373"/>
      <c r="AG483" s="373"/>
    </row>
    <row r="484" spans="1:33" x14ac:dyDescent="0.25">
      <c r="A484" s="373"/>
      <c r="B484" s="373"/>
      <c r="C484" s="373"/>
      <c r="D484" s="373"/>
      <c r="E484" s="373"/>
      <c r="F484" s="373"/>
      <c r="G484" s="373"/>
      <c r="H484" s="373"/>
      <c r="I484" s="373"/>
      <c r="J484" s="373"/>
      <c r="K484" s="373"/>
      <c r="L484" s="373"/>
      <c r="M484" s="373"/>
      <c r="N484" s="373"/>
      <c r="O484" s="373"/>
      <c r="P484" s="373"/>
      <c r="Q484" s="373"/>
      <c r="R484" s="373"/>
      <c r="S484" s="373"/>
      <c r="T484" s="373"/>
      <c r="U484" s="373"/>
      <c r="V484" s="373"/>
      <c r="W484" s="373"/>
      <c r="X484" s="373"/>
      <c r="Y484" s="373"/>
      <c r="Z484" s="373"/>
      <c r="AA484" s="373"/>
      <c r="AB484" s="373"/>
      <c r="AC484" s="373"/>
      <c r="AD484" s="373"/>
      <c r="AE484" s="373"/>
      <c r="AF484" s="373"/>
      <c r="AG484" s="373"/>
    </row>
    <row r="485" spans="1:33" x14ac:dyDescent="0.25">
      <c r="A485" s="373"/>
      <c r="B485" s="373"/>
      <c r="C485" s="373"/>
      <c r="D485" s="373"/>
      <c r="E485" s="373"/>
      <c r="F485" s="373"/>
      <c r="G485" s="373"/>
      <c r="H485" s="373"/>
      <c r="I485" s="373"/>
      <c r="J485" s="373"/>
      <c r="K485" s="373"/>
      <c r="L485" s="373"/>
      <c r="M485" s="373"/>
      <c r="N485" s="373"/>
      <c r="O485" s="373"/>
      <c r="P485" s="373"/>
      <c r="Q485" s="373"/>
      <c r="R485" s="373"/>
      <c r="S485" s="373"/>
      <c r="T485" s="373"/>
      <c r="U485" s="373"/>
      <c r="V485" s="373"/>
      <c r="W485" s="373"/>
      <c r="X485" s="373"/>
      <c r="Y485" s="373"/>
      <c r="Z485" s="373"/>
      <c r="AA485" s="373"/>
      <c r="AB485" s="373"/>
      <c r="AC485" s="373"/>
      <c r="AD485" s="373"/>
      <c r="AE485" s="373"/>
      <c r="AF485" s="373"/>
      <c r="AG485" s="373"/>
    </row>
    <row r="486" spans="1:33" x14ac:dyDescent="0.25">
      <c r="A486" s="373"/>
      <c r="B486" s="373"/>
      <c r="C486" s="373"/>
      <c r="D486" s="373"/>
      <c r="E486" s="373"/>
      <c r="F486" s="373"/>
      <c r="G486" s="373"/>
      <c r="H486" s="373"/>
      <c r="I486" s="373"/>
      <c r="J486" s="373"/>
      <c r="K486" s="373"/>
      <c r="L486" s="373"/>
      <c r="M486" s="373"/>
      <c r="N486" s="373"/>
      <c r="O486" s="373"/>
      <c r="P486" s="373"/>
      <c r="Q486" s="373"/>
      <c r="R486" s="373"/>
      <c r="S486" s="373"/>
      <c r="T486" s="373"/>
      <c r="U486" s="373"/>
      <c r="V486" s="373"/>
      <c r="W486" s="373"/>
      <c r="X486" s="373"/>
      <c r="Y486" s="373"/>
      <c r="Z486" s="373"/>
      <c r="AA486" s="373"/>
      <c r="AB486" s="373"/>
      <c r="AC486" s="373"/>
      <c r="AD486" s="373"/>
      <c r="AE486" s="373"/>
      <c r="AF486" s="373"/>
      <c r="AG486" s="373"/>
    </row>
    <row r="487" spans="1:33" x14ac:dyDescent="0.25">
      <c r="A487" s="373"/>
      <c r="B487" s="373"/>
      <c r="C487" s="373"/>
      <c r="D487" s="373"/>
      <c r="E487" s="373"/>
      <c r="F487" s="373"/>
      <c r="G487" s="373"/>
      <c r="H487" s="373"/>
      <c r="I487" s="373"/>
      <c r="J487" s="373"/>
      <c r="K487" s="373"/>
      <c r="L487" s="373"/>
      <c r="M487" s="373"/>
      <c r="N487" s="373"/>
      <c r="O487" s="373"/>
      <c r="P487" s="373"/>
      <c r="Q487" s="373"/>
      <c r="R487" s="373"/>
      <c r="S487" s="373"/>
      <c r="T487" s="373"/>
      <c r="U487" s="373"/>
      <c r="V487" s="373"/>
      <c r="W487" s="373"/>
      <c r="X487" s="373"/>
      <c r="Y487" s="373"/>
      <c r="Z487" s="373"/>
      <c r="AA487" s="373"/>
      <c r="AB487" s="373"/>
      <c r="AC487" s="373"/>
      <c r="AD487" s="373"/>
      <c r="AE487" s="373"/>
      <c r="AF487" s="373"/>
      <c r="AG487" s="373"/>
    </row>
    <row r="488" spans="1:33" x14ac:dyDescent="0.25">
      <c r="A488" s="373"/>
      <c r="B488" s="373"/>
      <c r="C488" s="373"/>
      <c r="D488" s="373"/>
      <c r="E488" s="373"/>
      <c r="F488" s="373"/>
      <c r="G488" s="373"/>
      <c r="H488" s="373"/>
      <c r="I488" s="373"/>
      <c r="J488" s="373"/>
      <c r="K488" s="373"/>
      <c r="L488" s="373"/>
      <c r="M488" s="373"/>
      <c r="N488" s="373"/>
      <c r="O488" s="373"/>
      <c r="P488" s="373"/>
      <c r="Q488" s="373"/>
      <c r="R488" s="373"/>
      <c r="S488" s="373"/>
      <c r="T488" s="373"/>
      <c r="U488" s="373"/>
      <c r="V488" s="373"/>
      <c r="W488" s="373"/>
      <c r="X488" s="373"/>
      <c r="Y488" s="373"/>
      <c r="Z488" s="373"/>
      <c r="AA488" s="373"/>
      <c r="AB488" s="373"/>
      <c r="AC488" s="373"/>
      <c r="AD488" s="373"/>
      <c r="AE488" s="373"/>
      <c r="AF488" s="373"/>
      <c r="AG488" s="373"/>
    </row>
    <row r="489" spans="1:33" x14ac:dyDescent="0.25">
      <c r="A489" s="373"/>
      <c r="B489" s="373"/>
      <c r="C489" s="373"/>
      <c r="D489" s="373"/>
      <c r="E489" s="373"/>
      <c r="F489" s="373"/>
      <c r="G489" s="373"/>
      <c r="H489" s="373"/>
      <c r="I489" s="373"/>
      <c r="J489" s="373"/>
      <c r="K489" s="373"/>
      <c r="L489" s="373"/>
      <c r="M489" s="373"/>
      <c r="N489" s="373"/>
      <c r="O489" s="373"/>
      <c r="P489" s="373"/>
      <c r="Q489" s="373"/>
      <c r="R489" s="373"/>
      <c r="S489" s="373"/>
      <c r="T489" s="373"/>
      <c r="U489" s="373"/>
      <c r="V489" s="373"/>
      <c r="W489" s="373"/>
      <c r="X489" s="373"/>
      <c r="Y489" s="373"/>
      <c r="Z489" s="373"/>
      <c r="AA489" s="373"/>
      <c r="AB489" s="373"/>
      <c r="AC489" s="373"/>
      <c r="AD489" s="373"/>
      <c r="AE489" s="373"/>
      <c r="AF489" s="373"/>
      <c r="AG489" s="373"/>
    </row>
    <row r="490" spans="1:33" x14ac:dyDescent="0.25">
      <c r="A490" s="373"/>
      <c r="B490" s="373"/>
      <c r="C490" s="373"/>
      <c r="D490" s="373"/>
      <c r="E490" s="373"/>
      <c r="F490" s="373"/>
      <c r="G490" s="373"/>
      <c r="H490" s="373"/>
      <c r="I490" s="373"/>
      <c r="J490" s="373"/>
      <c r="K490" s="373"/>
      <c r="L490" s="373"/>
      <c r="M490" s="373"/>
      <c r="N490" s="373"/>
      <c r="O490" s="373"/>
      <c r="P490" s="373"/>
      <c r="Q490" s="373"/>
      <c r="R490" s="373"/>
      <c r="S490" s="373"/>
      <c r="T490" s="373"/>
      <c r="U490" s="373"/>
      <c r="V490" s="373"/>
      <c r="W490" s="373"/>
      <c r="X490" s="373"/>
      <c r="Y490" s="373"/>
      <c r="Z490" s="373"/>
      <c r="AA490" s="373"/>
      <c r="AB490" s="373"/>
      <c r="AC490" s="373"/>
      <c r="AD490" s="373"/>
      <c r="AE490" s="373"/>
      <c r="AF490" s="373"/>
      <c r="AG490" s="373"/>
    </row>
    <row r="491" spans="1:33" x14ac:dyDescent="0.25">
      <c r="A491" s="373"/>
      <c r="B491" s="373"/>
      <c r="C491" s="373"/>
      <c r="D491" s="373"/>
      <c r="E491" s="373"/>
      <c r="F491" s="373"/>
      <c r="G491" s="373"/>
      <c r="H491" s="373"/>
      <c r="I491" s="373"/>
      <c r="J491" s="373"/>
      <c r="K491" s="373"/>
      <c r="L491" s="373"/>
      <c r="M491" s="373"/>
      <c r="N491" s="373"/>
      <c r="O491" s="373"/>
      <c r="P491" s="373"/>
      <c r="Q491" s="373"/>
      <c r="R491" s="373"/>
      <c r="S491" s="373"/>
      <c r="T491" s="373"/>
      <c r="U491" s="373"/>
      <c r="V491" s="373"/>
      <c r="W491" s="373"/>
      <c r="X491" s="373"/>
      <c r="Y491" s="373"/>
      <c r="Z491" s="373"/>
      <c r="AA491" s="373"/>
      <c r="AB491" s="373"/>
      <c r="AC491" s="373"/>
      <c r="AD491" s="373"/>
      <c r="AE491" s="373"/>
      <c r="AF491" s="373"/>
      <c r="AG491" s="373"/>
    </row>
    <row r="492" spans="1:33" x14ac:dyDescent="0.25">
      <c r="A492" s="373"/>
      <c r="B492" s="373"/>
      <c r="C492" s="373"/>
      <c r="D492" s="373"/>
      <c r="E492" s="373"/>
      <c r="F492" s="373"/>
      <c r="G492" s="373"/>
      <c r="H492" s="373"/>
      <c r="I492" s="373"/>
      <c r="J492" s="373"/>
      <c r="K492" s="373"/>
      <c r="L492" s="373"/>
      <c r="M492" s="373"/>
      <c r="N492" s="373"/>
      <c r="O492" s="373"/>
      <c r="P492" s="373"/>
      <c r="Q492" s="373"/>
      <c r="R492" s="373"/>
      <c r="S492" s="373"/>
      <c r="T492" s="373"/>
      <c r="U492" s="373"/>
      <c r="V492" s="373"/>
      <c r="W492" s="373"/>
      <c r="X492" s="373"/>
      <c r="Y492" s="373"/>
      <c r="Z492" s="373"/>
      <c r="AA492" s="373"/>
      <c r="AB492" s="373"/>
      <c r="AC492" s="373"/>
      <c r="AD492" s="373"/>
      <c r="AE492" s="373"/>
      <c r="AF492" s="373"/>
      <c r="AG492" s="373"/>
    </row>
    <row r="493" spans="1:33" x14ac:dyDescent="0.25">
      <c r="A493" s="373"/>
      <c r="B493" s="373"/>
      <c r="C493" s="373"/>
      <c r="D493" s="373"/>
      <c r="E493" s="373"/>
      <c r="F493" s="373"/>
      <c r="G493" s="373"/>
      <c r="H493" s="373"/>
      <c r="I493" s="373"/>
      <c r="J493" s="373"/>
      <c r="K493" s="373"/>
      <c r="L493" s="373"/>
      <c r="M493" s="373"/>
      <c r="N493" s="373"/>
      <c r="O493" s="373"/>
      <c r="P493" s="373"/>
      <c r="Q493" s="373"/>
      <c r="R493" s="373"/>
      <c r="S493" s="373"/>
      <c r="T493" s="373"/>
      <c r="U493" s="373"/>
      <c r="V493" s="373"/>
      <c r="W493" s="373"/>
      <c r="X493" s="373"/>
      <c r="Y493" s="373"/>
      <c r="Z493" s="373"/>
      <c r="AA493" s="373"/>
      <c r="AB493" s="373"/>
      <c r="AC493" s="373"/>
      <c r="AD493" s="373"/>
      <c r="AE493" s="373"/>
      <c r="AF493" s="373"/>
      <c r="AG493" s="373"/>
    </row>
    <row r="494" spans="1:33" x14ac:dyDescent="0.25">
      <c r="A494" s="373"/>
      <c r="B494" s="373"/>
      <c r="C494" s="373"/>
      <c r="D494" s="373"/>
      <c r="E494" s="373"/>
      <c r="F494" s="373"/>
      <c r="G494" s="373"/>
      <c r="H494" s="373"/>
      <c r="I494" s="373"/>
      <c r="J494" s="373"/>
      <c r="K494" s="373"/>
      <c r="L494" s="373"/>
      <c r="M494" s="373"/>
      <c r="N494" s="373"/>
      <c r="O494" s="373"/>
      <c r="P494" s="373"/>
      <c r="Q494" s="373"/>
      <c r="R494" s="373"/>
      <c r="S494" s="373"/>
      <c r="T494" s="373"/>
      <c r="U494" s="373"/>
      <c r="V494" s="373"/>
      <c r="W494" s="373"/>
      <c r="X494" s="373"/>
      <c r="Y494" s="373"/>
      <c r="Z494" s="373"/>
      <c r="AA494" s="373"/>
      <c r="AB494" s="373"/>
      <c r="AC494" s="373"/>
      <c r="AD494" s="373"/>
      <c r="AE494" s="373"/>
      <c r="AF494" s="373"/>
      <c r="AG494" s="373"/>
    </row>
    <row r="495" spans="1:33" x14ac:dyDescent="0.25">
      <c r="A495" s="373"/>
      <c r="B495" s="373"/>
      <c r="C495" s="373"/>
      <c r="D495" s="373"/>
      <c r="E495" s="373"/>
      <c r="F495" s="373"/>
      <c r="G495" s="373"/>
      <c r="H495" s="373"/>
      <c r="I495" s="373"/>
      <c r="J495" s="373"/>
      <c r="K495" s="373"/>
      <c r="L495" s="373"/>
      <c r="M495" s="373"/>
      <c r="N495" s="373"/>
      <c r="O495" s="373"/>
      <c r="P495" s="373"/>
      <c r="Q495" s="373"/>
      <c r="R495" s="373"/>
      <c r="S495" s="373"/>
      <c r="T495" s="373"/>
      <c r="U495" s="373"/>
      <c r="V495" s="373"/>
      <c r="W495" s="373"/>
      <c r="X495" s="373"/>
      <c r="Y495" s="373"/>
      <c r="Z495" s="373"/>
      <c r="AA495" s="373"/>
      <c r="AB495" s="373"/>
      <c r="AC495" s="373"/>
      <c r="AD495" s="373"/>
      <c r="AE495" s="373"/>
      <c r="AF495" s="373"/>
      <c r="AG495" s="373"/>
    </row>
    <row r="496" spans="1:33" x14ac:dyDescent="0.25">
      <c r="A496" s="373"/>
      <c r="B496" s="373"/>
      <c r="C496" s="373"/>
      <c r="D496" s="373"/>
      <c r="E496" s="373"/>
      <c r="F496" s="373"/>
      <c r="G496" s="373"/>
      <c r="H496" s="373"/>
      <c r="I496" s="373"/>
      <c r="J496" s="373"/>
      <c r="K496" s="373"/>
      <c r="L496" s="373"/>
      <c r="M496" s="373"/>
      <c r="N496" s="373"/>
      <c r="O496" s="373"/>
      <c r="P496" s="373"/>
      <c r="Q496" s="373"/>
      <c r="R496" s="373"/>
      <c r="S496" s="373"/>
      <c r="T496" s="373"/>
      <c r="U496" s="373"/>
      <c r="V496" s="373"/>
      <c r="W496" s="373"/>
      <c r="X496" s="373"/>
      <c r="Y496" s="373"/>
      <c r="Z496" s="373"/>
      <c r="AA496" s="373"/>
      <c r="AB496" s="373"/>
      <c r="AC496" s="373"/>
      <c r="AD496" s="373"/>
      <c r="AE496" s="373"/>
      <c r="AF496" s="373"/>
      <c r="AG496" s="373"/>
    </row>
    <row r="497" spans="1:33" x14ac:dyDescent="0.25">
      <c r="A497" s="373"/>
      <c r="B497" s="373"/>
      <c r="C497" s="373"/>
      <c r="D497" s="373"/>
      <c r="E497" s="373"/>
      <c r="F497" s="373"/>
      <c r="G497" s="373"/>
      <c r="H497" s="373"/>
      <c r="I497" s="373"/>
      <c r="J497" s="373"/>
      <c r="K497" s="373"/>
      <c r="L497" s="373"/>
      <c r="M497" s="373"/>
      <c r="N497" s="373"/>
      <c r="O497" s="373"/>
      <c r="P497" s="373"/>
      <c r="Q497" s="373"/>
      <c r="R497" s="373"/>
      <c r="S497" s="373"/>
      <c r="T497" s="373"/>
      <c r="U497" s="373"/>
      <c r="V497" s="373"/>
      <c r="W497" s="373"/>
      <c r="X497" s="373"/>
      <c r="Y497" s="373"/>
      <c r="Z497" s="373"/>
      <c r="AA497" s="373"/>
      <c r="AB497" s="373"/>
      <c r="AC497" s="373"/>
      <c r="AD497" s="373"/>
      <c r="AE497" s="373"/>
      <c r="AF497" s="373"/>
      <c r="AG497" s="373"/>
    </row>
    <row r="498" spans="1:33" x14ac:dyDescent="0.25">
      <c r="A498" s="373"/>
      <c r="B498" s="373"/>
      <c r="C498" s="373"/>
      <c r="D498" s="373"/>
      <c r="E498" s="373"/>
      <c r="F498" s="373"/>
      <c r="G498" s="373"/>
      <c r="H498" s="373"/>
      <c r="I498" s="373"/>
      <c r="J498" s="373"/>
      <c r="K498" s="373"/>
      <c r="L498" s="373"/>
      <c r="M498" s="373"/>
      <c r="N498" s="373"/>
      <c r="O498" s="373"/>
      <c r="P498" s="373"/>
      <c r="Q498" s="373"/>
      <c r="R498" s="373"/>
      <c r="S498" s="373"/>
      <c r="T498" s="373"/>
      <c r="U498" s="373"/>
      <c r="V498" s="373"/>
      <c r="W498" s="373"/>
      <c r="X498" s="373"/>
      <c r="Y498" s="373"/>
      <c r="Z498" s="373"/>
      <c r="AA498" s="373"/>
      <c r="AB498" s="373"/>
      <c r="AC498" s="373"/>
      <c r="AD498" s="373"/>
      <c r="AE498" s="373"/>
      <c r="AF498" s="373"/>
      <c r="AG498" s="373"/>
    </row>
    <row r="499" spans="1:33" x14ac:dyDescent="0.25">
      <c r="A499" s="373"/>
      <c r="B499" s="373"/>
      <c r="C499" s="373"/>
      <c r="D499" s="373"/>
      <c r="E499" s="373"/>
      <c r="F499" s="373"/>
      <c r="G499" s="373"/>
      <c r="H499" s="373"/>
      <c r="I499" s="373"/>
      <c r="J499" s="373"/>
      <c r="K499" s="373"/>
      <c r="L499" s="373"/>
      <c r="M499" s="373"/>
      <c r="N499" s="373"/>
      <c r="O499" s="373"/>
      <c r="P499" s="373"/>
      <c r="Q499" s="373"/>
      <c r="R499" s="373"/>
      <c r="S499" s="373"/>
      <c r="T499" s="373"/>
      <c r="U499" s="373"/>
      <c r="V499" s="373"/>
      <c r="W499" s="373"/>
      <c r="X499" s="373"/>
      <c r="Y499" s="373"/>
      <c r="Z499" s="373"/>
      <c r="AA499" s="373"/>
      <c r="AB499" s="373"/>
      <c r="AC499" s="373"/>
      <c r="AD499" s="373"/>
      <c r="AE499" s="373"/>
      <c r="AF499" s="373"/>
      <c r="AG499" s="373"/>
    </row>
    <row r="500" spans="1:33" x14ac:dyDescent="0.25">
      <c r="A500" s="373"/>
      <c r="B500" s="373"/>
      <c r="C500" s="373"/>
      <c r="D500" s="373"/>
      <c r="E500" s="373"/>
      <c r="F500" s="373"/>
      <c r="G500" s="373"/>
      <c r="H500" s="373"/>
      <c r="I500" s="373"/>
      <c r="J500" s="373"/>
      <c r="K500" s="373"/>
      <c r="L500" s="373"/>
      <c r="M500" s="373"/>
      <c r="N500" s="373"/>
      <c r="O500" s="373"/>
      <c r="P500" s="373"/>
      <c r="Q500" s="373"/>
      <c r="R500" s="373"/>
      <c r="S500" s="373"/>
      <c r="T500" s="373"/>
      <c r="U500" s="373"/>
      <c r="V500" s="373"/>
      <c r="W500" s="373"/>
      <c r="X500" s="373"/>
      <c r="Y500" s="373"/>
      <c r="Z500" s="373"/>
      <c r="AA500" s="373"/>
      <c r="AB500" s="373"/>
      <c r="AC500" s="373"/>
      <c r="AD500" s="373"/>
      <c r="AE500" s="373"/>
      <c r="AF500" s="373"/>
      <c r="AG500" s="373"/>
    </row>
    <row r="501" spans="1:33" x14ac:dyDescent="0.25">
      <c r="A501" s="373"/>
      <c r="B501" s="373"/>
      <c r="C501" s="373"/>
      <c r="D501" s="373"/>
      <c r="E501" s="373"/>
      <c r="F501" s="373"/>
      <c r="G501" s="373"/>
      <c r="H501" s="373"/>
      <c r="I501" s="373"/>
      <c r="J501" s="373"/>
      <c r="K501" s="373"/>
      <c r="L501" s="373"/>
      <c r="M501" s="373"/>
      <c r="N501" s="373"/>
      <c r="O501" s="373"/>
      <c r="P501" s="373"/>
      <c r="Q501" s="373"/>
      <c r="R501" s="373"/>
      <c r="S501" s="373"/>
      <c r="T501" s="373"/>
      <c r="U501" s="373"/>
      <c r="V501" s="373"/>
      <c r="W501" s="373"/>
      <c r="X501" s="373"/>
      <c r="Y501" s="373"/>
      <c r="Z501" s="373"/>
      <c r="AA501" s="373"/>
      <c r="AB501" s="373"/>
      <c r="AC501" s="373"/>
      <c r="AD501" s="373"/>
      <c r="AE501" s="373"/>
      <c r="AF501" s="373"/>
      <c r="AG501" s="373"/>
    </row>
    <row r="502" spans="1:33" x14ac:dyDescent="0.25">
      <c r="A502" s="373"/>
      <c r="B502" s="373"/>
      <c r="C502" s="373"/>
      <c r="D502" s="373"/>
      <c r="E502" s="373"/>
      <c r="F502" s="373"/>
      <c r="G502" s="373"/>
      <c r="H502" s="373"/>
      <c r="I502" s="373"/>
      <c r="J502" s="373"/>
      <c r="K502" s="373"/>
      <c r="L502" s="373"/>
      <c r="M502" s="373"/>
      <c r="N502" s="373"/>
      <c r="O502" s="373"/>
      <c r="P502" s="373"/>
      <c r="Q502" s="373"/>
      <c r="R502" s="373"/>
      <c r="S502" s="373"/>
      <c r="T502" s="373"/>
      <c r="U502" s="373"/>
      <c r="V502" s="373"/>
      <c r="W502" s="373"/>
      <c r="X502" s="373"/>
      <c r="Y502" s="373"/>
      <c r="Z502" s="373"/>
      <c r="AA502" s="373"/>
      <c r="AB502" s="373"/>
      <c r="AC502" s="373"/>
      <c r="AD502" s="373"/>
      <c r="AE502" s="373"/>
      <c r="AF502" s="373"/>
      <c r="AG502" s="373"/>
    </row>
    <row r="503" spans="1:33" x14ac:dyDescent="0.25">
      <c r="A503" s="373"/>
      <c r="B503" s="373"/>
      <c r="C503" s="373"/>
      <c r="D503" s="373"/>
      <c r="E503" s="373"/>
      <c r="F503" s="373"/>
      <c r="G503" s="373"/>
      <c r="H503" s="373"/>
      <c r="I503" s="373"/>
      <c r="J503" s="373"/>
      <c r="K503" s="373"/>
      <c r="L503" s="373"/>
      <c r="M503" s="373"/>
      <c r="N503" s="373"/>
      <c r="O503" s="373"/>
      <c r="P503" s="373"/>
      <c r="Q503" s="373"/>
      <c r="R503" s="373"/>
      <c r="S503" s="373"/>
      <c r="T503" s="373"/>
      <c r="U503" s="373"/>
      <c r="V503" s="373"/>
      <c r="W503" s="373"/>
      <c r="X503" s="373"/>
      <c r="Y503" s="373"/>
      <c r="Z503" s="373"/>
      <c r="AA503" s="373"/>
      <c r="AB503" s="373"/>
      <c r="AC503" s="373"/>
      <c r="AD503" s="373"/>
      <c r="AE503" s="373"/>
      <c r="AF503" s="373"/>
      <c r="AG503" s="373"/>
    </row>
    <row r="504" spans="1:33" x14ac:dyDescent="0.25">
      <c r="A504" s="373"/>
      <c r="B504" s="373"/>
      <c r="C504" s="373"/>
      <c r="D504" s="373"/>
      <c r="E504" s="373"/>
      <c r="F504" s="373"/>
      <c r="G504" s="373"/>
      <c r="H504" s="373"/>
      <c r="I504" s="373"/>
      <c r="J504" s="373"/>
      <c r="K504" s="373"/>
      <c r="L504" s="373"/>
      <c r="M504" s="373"/>
      <c r="N504" s="373"/>
      <c r="O504" s="373"/>
      <c r="P504" s="373"/>
      <c r="Q504" s="373"/>
      <c r="R504" s="373"/>
      <c r="S504" s="373"/>
      <c r="T504" s="373"/>
      <c r="U504" s="373"/>
      <c r="V504" s="373"/>
      <c r="W504" s="373"/>
      <c r="X504" s="373"/>
      <c r="Y504" s="373"/>
      <c r="Z504" s="373"/>
      <c r="AA504" s="373"/>
      <c r="AB504" s="373"/>
      <c r="AC504" s="373"/>
      <c r="AD504" s="373"/>
      <c r="AE504" s="373"/>
      <c r="AF504" s="373"/>
      <c r="AG504" s="373"/>
    </row>
    <row r="505" spans="1:33" x14ac:dyDescent="0.25">
      <c r="A505" s="373"/>
      <c r="B505" s="373"/>
      <c r="C505" s="373"/>
      <c r="D505" s="373"/>
      <c r="E505" s="373"/>
      <c r="F505" s="373"/>
      <c r="G505" s="373"/>
      <c r="H505" s="373"/>
      <c r="I505" s="373"/>
      <c r="J505" s="373"/>
      <c r="K505" s="373"/>
      <c r="L505" s="373"/>
      <c r="M505" s="373"/>
      <c r="N505" s="373"/>
      <c r="O505" s="373"/>
      <c r="P505" s="373"/>
      <c r="Q505" s="373"/>
      <c r="R505" s="373"/>
      <c r="S505" s="373"/>
      <c r="T505" s="373"/>
      <c r="U505" s="373"/>
      <c r="V505" s="373"/>
      <c r="W505" s="373"/>
      <c r="X505" s="373"/>
      <c r="Y505" s="373"/>
      <c r="Z505" s="373"/>
      <c r="AA505" s="373"/>
      <c r="AB505" s="373"/>
      <c r="AC505" s="373"/>
      <c r="AD505" s="373"/>
      <c r="AE505" s="373"/>
      <c r="AF505" s="373"/>
      <c r="AG505" s="373"/>
    </row>
    <row r="506" spans="1:33" x14ac:dyDescent="0.25">
      <c r="A506" s="373"/>
      <c r="B506" s="373"/>
      <c r="C506" s="373"/>
      <c r="D506" s="373"/>
      <c r="E506" s="373"/>
      <c r="F506" s="373"/>
      <c r="G506" s="373"/>
      <c r="H506" s="373"/>
      <c r="I506" s="373"/>
      <c r="J506" s="373"/>
      <c r="K506" s="373"/>
      <c r="L506" s="373"/>
      <c r="M506" s="373"/>
      <c r="N506" s="373"/>
      <c r="O506" s="373"/>
      <c r="P506" s="373"/>
      <c r="Q506" s="373"/>
      <c r="R506" s="373"/>
      <c r="S506" s="373"/>
      <c r="T506" s="373"/>
      <c r="U506" s="373"/>
      <c r="V506" s="373"/>
      <c r="W506" s="373"/>
      <c r="X506" s="373"/>
      <c r="Y506" s="373"/>
      <c r="Z506" s="373"/>
      <c r="AA506" s="373"/>
      <c r="AB506" s="373"/>
      <c r="AC506" s="373"/>
      <c r="AD506" s="373"/>
      <c r="AE506" s="373"/>
      <c r="AF506" s="373"/>
      <c r="AG506" s="373"/>
    </row>
    <row r="507" spans="1:33" x14ac:dyDescent="0.25">
      <c r="A507" s="373"/>
      <c r="B507" s="373"/>
      <c r="C507" s="373"/>
      <c r="D507" s="373"/>
      <c r="E507" s="373"/>
      <c r="F507" s="373"/>
      <c r="G507" s="373"/>
      <c r="H507" s="373"/>
      <c r="I507" s="373"/>
      <c r="J507" s="373"/>
      <c r="K507" s="373"/>
      <c r="L507" s="373"/>
      <c r="M507" s="373"/>
      <c r="N507" s="373"/>
      <c r="O507" s="373"/>
      <c r="P507" s="373"/>
      <c r="Q507" s="373"/>
      <c r="R507" s="373"/>
      <c r="S507" s="373"/>
      <c r="T507" s="373"/>
      <c r="U507" s="373"/>
      <c r="V507" s="373"/>
      <c r="W507" s="373"/>
      <c r="X507" s="373"/>
      <c r="Y507" s="373"/>
      <c r="Z507" s="373"/>
      <c r="AA507" s="373"/>
      <c r="AB507" s="373"/>
      <c r="AC507" s="373"/>
      <c r="AD507" s="373"/>
      <c r="AE507" s="373"/>
      <c r="AF507" s="373"/>
      <c r="AG507" s="373"/>
    </row>
    <row r="508" spans="1:33" x14ac:dyDescent="0.25">
      <c r="A508" s="373"/>
      <c r="B508" s="373"/>
      <c r="C508" s="373"/>
      <c r="D508" s="373"/>
      <c r="E508" s="373"/>
      <c r="F508" s="373"/>
      <c r="G508" s="373"/>
      <c r="H508" s="373"/>
      <c r="I508" s="373"/>
      <c r="J508" s="373"/>
      <c r="K508" s="373"/>
      <c r="L508" s="373"/>
      <c r="M508" s="373"/>
      <c r="N508" s="373"/>
      <c r="O508" s="373"/>
      <c r="P508" s="373"/>
      <c r="Q508" s="373"/>
      <c r="R508" s="373"/>
      <c r="S508" s="373"/>
      <c r="T508" s="373"/>
      <c r="U508" s="373"/>
      <c r="V508" s="373"/>
      <c r="W508" s="373"/>
      <c r="X508" s="373"/>
      <c r="Y508" s="373"/>
      <c r="Z508" s="373"/>
      <c r="AA508" s="373"/>
      <c r="AB508" s="373"/>
      <c r="AC508" s="373"/>
      <c r="AD508" s="373"/>
      <c r="AE508" s="373"/>
      <c r="AF508" s="373"/>
      <c r="AG508" s="373"/>
    </row>
  </sheetData>
  <sheetProtection pivotTables="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168D-0D05-4EAB-B323-1B61BEAF1D32}">
  <sheetPr codeName="Sheet21">
    <tabColor theme="3" tint="0.59999389629810485"/>
  </sheetPr>
  <dimension ref="A1:EH70"/>
  <sheetViews>
    <sheetView showGridLines="0" zoomScale="70" zoomScaleNormal="70" workbookViewId="0">
      <pane ySplit="1" topLeftCell="A2" activePane="bottomLeft" state="frozen"/>
      <selection pane="bottomLeft" activeCell="A2" sqref="A2"/>
    </sheetView>
  </sheetViews>
  <sheetFormatPr defaultColWidth="9.140625" defaultRowHeight="15" outlineLevelCol="1" x14ac:dyDescent="0.25"/>
  <cols>
    <col min="1" max="1" width="2.7109375" style="62" customWidth="1"/>
    <col min="2" max="2" width="21.42578125" style="599" bestFit="1" customWidth="1"/>
    <col min="3" max="3" width="7" style="599" customWidth="1"/>
    <col min="4" max="6" width="8.7109375" style="599" hidden="1" customWidth="1" outlineLevel="1"/>
    <col min="7" max="7" width="2.7109375" style="449" hidden="1" customWidth="1" outlineLevel="1"/>
    <col min="8" max="10" width="8.7109375" style="599" hidden="1" customWidth="1" outlineLevel="1"/>
    <col min="11" max="11" width="2.7109375" style="449" hidden="1" customWidth="1" outlineLevel="1"/>
    <col min="12" max="14" width="8.7109375" style="599" hidden="1" customWidth="1" outlineLevel="1"/>
    <col min="15" max="15" width="2.7109375" style="449" hidden="1" customWidth="1" outlineLevel="1"/>
    <col min="16" max="18" width="8.7109375" style="599" hidden="1" customWidth="1" outlineLevel="1"/>
    <col min="19" max="19" width="2.7109375" style="449" hidden="1" customWidth="1" outlineLevel="1"/>
    <col min="20" max="20" width="7.7109375" style="449" customWidth="1" collapsed="1"/>
    <col min="21" max="22" width="7.7109375" style="449" customWidth="1"/>
    <col min="23" max="23" width="4.42578125" style="449" customWidth="1"/>
    <col min="24" max="26" width="7.7109375" style="449" customWidth="1"/>
    <col min="27" max="27" width="3.7109375" style="449" customWidth="1"/>
    <col min="28" max="30" width="7.7109375" style="449" customWidth="1"/>
    <col min="31" max="31" width="3.7109375" style="449" customWidth="1"/>
    <col min="32" max="34" width="7.7109375" style="449" customWidth="1"/>
    <col min="35" max="35" width="2.7109375" style="449" customWidth="1"/>
    <col min="36" max="36" width="22.85546875" style="449" bestFit="1" customWidth="1"/>
    <col min="37" max="39" width="10.140625" style="449" bestFit="1" customWidth="1"/>
    <col min="40" max="40" width="2.7109375" style="449" customWidth="1"/>
    <col min="41" max="43" width="10.140625" style="449" bestFit="1" customWidth="1"/>
    <col min="44" max="44" width="2.7109375" style="449" customWidth="1"/>
    <col min="45" max="46" width="10.140625" style="449" bestFit="1" customWidth="1"/>
    <col min="47" max="47" width="9.7109375" style="449" bestFit="1" customWidth="1"/>
    <col min="48" max="48" width="2.7109375" style="449" customWidth="1"/>
    <col min="49" max="51" width="8.7109375" style="449" customWidth="1"/>
    <col min="52" max="52" width="2.7109375" style="449" customWidth="1"/>
    <col min="53" max="53" width="20.42578125" style="599" customWidth="1"/>
    <col min="54" max="55" width="7.7109375" style="599" customWidth="1"/>
    <col min="56" max="56" width="7.7109375" style="204" customWidth="1"/>
    <col min="57" max="57" width="3.7109375" style="204" customWidth="1"/>
    <col min="58" max="58" width="7.7109375" style="204" customWidth="1"/>
    <col min="59" max="60" width="7.7109375" style="205" customWidth="1"/>
    <col min="61" max="61" width="3.7109375" style="205" customWidth="1"/>
    <col min="62" max="64" width="7.7109375" style="205" customWidth="1"/>
    <col min="65" max="65" width="3.7109375" style="204" customWidth="1"/>
    <col min="66" max="66" width="7.7109375" style="204" customWidth="1"/>
    <col min="67" max="67" width="7.7109375" style="205" customWidth="1"/>
    <col min="68" max="68" width="7.7109375" style="204" customWidth="1"/>
    <col min="69" max="69" width="2.7109375" style="204" customWidth="1"/>
    <col min="70" max="70" width="21.42578125" style="204" customWidth="1"/>
    <col min="71" max="71" width="7.7109375" style="636" customWidth="1"/>
    <col min="72" max="72" width="8.140625" style="637" customWidth="1"/>
    <col min="73" max="73" width="7.7109375" style="637" customWidth="1"/>
    <col min="74" max="74" width="3.7109375" style="637" customWidth="1"/>
    <col min="75" max="77" width="7.7109375" style="61" customWidth="1"/>
    <col min="78" max="78" width="3.7109375" style="61" customWidth="1"/>
    <col min="79" max="81" width="7.7109375" style="61" customWidth="1"/>
    <col min="82" max="82" width="3.7109375" style="61" customWidth="1"/>
    <col min="83" max="85" width="7.7109375" style="61" customWidth="1"/>
    <col min="86" max="86" width="10.7109375" style="61" customWidth="1"/>
    <col min="87" max="87" width="21.42578125" style="599" customWidth="1"/>
    <col min="88" max="88" width="10.28515625" style="599" customWidth="1"/>
    <col min="89" max="90" width="9.7109375" style="599" customWidth="1"/>
    <col min="91" max="91" width="2.28515625" style="599" customWidth="1"/>
    <col min="92" max="93" width="10" style="599" customWidth="1"/>
    <col min="94" max="94" width="9.7109375" style="599" customWidth="1"/>
    <col min="95" max="95" width="2.28515625" style="599" customWidth="1"/>
    <col min="96" max="97" width="10" style="599" customWidth="1"/>
    <col min="98" max="98" width="9.7109375" style="599" customWidth="1"/>
    <col min="99" max="99" width="2.28515625" style="599" customWidth="1"/>
    <col min="100" max="100" width="10" style="599" customWidth="1"/>
    <col min="101" max="101" width="10.140625" style="599" customWidth="1"/>
    <col min="102" max="103" width="9.7109375" style="599" customWidth="1"/>
    <col min="104" max="104" width="21.42578125" style="599" bestFit="1" customWidth="1"/>
    <col min="105" max="107" width="9.140625" style="599" customWidth="1"/>
    <col min="108" max="108" width="2.140625" style="599" customWidth="1"/>
    <col min="109" max="111" width="9.140625" style="599" customWidth="1"/>
    <col min="112" max="112" width="2" style="599" customWidth="1"/>
    <col min="113" max="115" width="9.140625" style="599" customWidth="1"/>
    <col min="116" max="116" width="2.5703125" style="599" customWidth="1"/>
    <col min="117" max="119" width="9.140625" style="599" customWidth="1"/>
    <col min="120" max="120" width="9.140625" style="599"/>
    <col min="121" max="121" width="22.85546875" style="599" bestFit="1" customWidth="1"/>
    <col min="122" max="123" width="8.85546875" style="599" hidden="1" customWidth="1"/>
    <col min="124" max="126" width="9.140625" style="599"/>
    <col min="127" max="127" width="3" style="599" customWidth="1"/>
    <col min="128" max="130" width="9.140625" style="599"/>
    <col min="131" max="131" width="3.42578125" style="599" customWidth="1"/>
    <col min="132" max="134" width="9.140625" style="599"/>
    <col min="135" max="135" width="2.140625" style="599" customWidth="1"/>
    <col min="136" max="16384" width="9.140625" style="599"/>
  </cols>
  <sheetData>
    <row r="1" spans="1:138" s="809" customFormat="1" ht="21" x14ac:dyDescent="0.35">
      <c r="A1" s="804"/>
      <c r="B1" s="811"/>
      <c r="C1" s="811"/>
      <c r="D1" s="811"/>
      <c r="E1" s="811"/>
      <c r="F1" s="811"/>
      <c r="G1" s="811"/>
      <c r="H1" s="811"/>
      <c r="I1" s="811"/>
      <c r="J1" s="811"/>
      <c r="K1" s="811"/>
      <c r="L1" s="811"/>
      <c r="M1" s="811"/>
      <c r="N1" s="811"/>
      <c r="O1" s="811"/>
      <c r="P1" s="811"/>
      <c r="Q1" s="811"/>
      <c r="R1" s="811"/>
      <c r="S1" s="811"/>
      <c r="T1" s="812" t="str">
        <f>'NWC_FC_NON-NOOS'!B1</f>
        <v>VM</v>
      </c>
      <c r="U1" s="811"/>
      <c r="V1" s="813" t="str">
        <f ca="1">'NWC_FC_NON-NOOS'!D1</f>
        <v>18/19</v>
      </c>
      <c r="W1" s="948" t="str">
        <f ca="1">'NWC_FC_NON-NOOS'!E1</f>
        <v>Apr</v>
      </c>
      <c r="X1" s="948"/>
      <c r="Y1" s="814" t="str">
        <f ca="1">P5&amp;"      "&amp;PLANNING_FC!R7</f>
        <v>19/20      Jan</v>
      </c>
      <c r="Z1" s="811"/>
      <c r="AA1" s="811"/>
      <c r="AB1" s="811"/>
      <c r="AC1" s="811"/>
      <c r="AD1" s="811"/>
      <c r="AE1" s="946" t="s">
        <v>242</v>
      </c>
      <c r="AF1" s="946"/>
      <c r="AG1" s="946"/>
      <c r="AH1" s="946"/>
      <c r="AI1" s="946"/>
      <c r="AJ1" s="946"/>
      <c r="AK1" s="946"/>
      <c r="AL1" s="946"/>
      <c r="AM1" s="946"/>
      <c r="AN1" s="946"/>
      <c r="AO1" s="946"/>
      <c r="AP1" s="946"/>
      <c r="AQ1" s="946"/>
      <c r="AR1" s="946"/>
      <c r="AS1" s="946"/>
      <c r="AT1" s="946"/>
      <c r="AU1" s="946"/>
      <c r="AV1" s="946"/>
      <c r="AW1" s="946"/>
      <c r="AX1" s="946"/>
      <c r="AY1" s="946"/>
      <c r="AZ1" s="946"/>
      <c r="BA1" s="946"/>
      <c r="BB1" s="946"/>
      <c r="BC1" s="811"/>
      <c r="BD1" s="811"/>
      <c r="BE1" s="811"/>
      <c r="BF1" s="811"/>
      <c r="BG1" s="811"/>
      <c r="BH1" s="811"/>
      <c r="BI1" s="815"/>
      <c r="BJ1" s="811"/>
      <c r="BK1" s="811"/>
      <c r="BL1" s="947" t="s">
        <v>202</v>
      </c>
      <c r="BM1" s="947"/>
      <c r="BN1" s="947"/>
      <c r="BO1" s="947"/>
      <c r="BP1" s="947"/>
      <c r="BQ1" s="811"/>
      <c r="BR1" s="811"/>
      <c r="BS1" s="811"/>
      <c r="BT1" s="811"/>
      <c r="BU1" s="811"/>
      <c r="BV1" s="811"/>
      <c r="BW1" s="811"/>
      <c r="BX1" s="811"/>
      <c r="BY1" s="811"/>
      <c r="BZ1" s="811"/>
      <c r="CA1" s="811"/>
      <c r="CB1" s="811"/>
      <c r="CC1" s="811"/>
      <c r="CD1" s="811"/>
      <c r="CE1" s="811"/>
      <c r="CF1" s="811"/>
      <c r="CG1" s="811"/>
      <c r="CH1" s="808"/>
      <c r="CJ1" s="804" t="str">
        <f ca="1">VLOOKUP($CJ$2,TIME!$D$13:$K$47,8,FALSE)</f>
        <v>2019-01</v>
      </c>
      <c r="CK1" s="804" t="str">
        <f ca="1">VLOOKUP($CJ$5,TIME!$L$12:$M$16,2,FALSE)</f>
        <v>17/18</v>
      </c>
      <c r="CL1" s="804" t="str">
        <f ca="1">VLOOKUP($CJ$7,TIME!$S$28:$T$39,2,FALSE)</f>
        <v>Jan</v>
      </c>
      <c r="CZ1" s="949" t="s">
        <v>389</v>
      </c>
      <c r="DA1" s="949"/>
      <c r="DB1" s="949"/>
      <c r="DC1" s="949"/>
      <c r="DD1" s="949"/>
      <c r="DE1" s="949"/>
      <c r="DF1" s="949"/>
      <c r="DG1" s="949"/>
      <c r="DH1" s="949"/>
      <c r="DI1" s="949"/>
      <c r="DJ1" s="949"/>
      <c r="DK1" s="949"/>
      <c r="DL1" s="949"/>
      <c r="DM1" s="949"/>
      <c r="DN1" s="949"/>
      <c r="DO1" s="949"/>
      <c r="DP1" s="949"/>
      <c r="DQ1" s="949"/>
      <c r="DR1" s="949"/>
      <c r="DS1" s="949"/>
      <c r="DT1" s="949"/>
      <c r="DU1" s="949"/>
      <c r="DV1" s="949"/>
      <c r="DW1" s="949"/>
      <c r="DX1" s="949"/>
      <c r="DY1" s="949"/>
      <c r="DZ1" s="949"/>
      <c r="EA1" s="949"/>
      <c r="EB1" s="949"/>
      <c r="EC1" s="949"/>
      <c r="ED1" s="949"/>
      <c r="EE1" s="949"/>
      <c r="EF1" s="949"/>
      <c r="EG1" s="949"/>
      <c r="EH1" s="949"/>
    </row>
    <row r="2" spans="1:138" s="127" customFormat="1" ht="17.25" x14ac:dyDescent="0.3">
      <c r="D2" s="695"/>
      <c r="E2" s="695"/>
      <c r="F2" s="695"/>
      <c r="G2" s="695"/>
      <c r="H2" s="695"/>
      <c r="I2" s="695"/>
      <c r="J2" s="695"/>
      <c r="K2" s="695"/>
      <c r="L2" s="695"/>
      <c r="M2" s="695"/>
      <c r="N2" s="695"/>
      <c r="O2" s="695"/>
      <c r="P2" s="695"/>
      <c r="Q2" s="695"/>
      <c r="R2" s="695"/>
      <c r="S2" s="696"/>
      <c r="T2" s="696"/>
      <c r="U2" s="696"/>
      <c r="V2" s="696"/>
      <c r="W2" s="696"/>
      <c r="X2" s="696"/>
      <c r="Y2" s="696"/>
      <c r="Z2" s="696"/>
      <c r="AA2" s="696"/>
      <c r="AB2" s="696"/>
      <c r="AC2" s="696"/>
      <c r="AD2" s="696"/>
      <c r="AE2" s="696"/>
      <c r="AF2" s="696"/>
      <c r="AG2" s="696"/>
      <c r="AH2" s="696"/>
      <c r="AI2" s="696"/>
      <c r="AJ2" s="696"/>
      <c r="AK2" s="696"/>
      <c r="AL2" s="696"/>
      <c r="AM2" s="696"/>
      <c r="AN2" s="696"/>
      <c r="AO2" s="696"/>
      <c r="AP2" s="696"/>
      <c r="AQ2" s="696"/>
      <c r="AR2" s="696"/>
      <c r="AS2" s="696"/>
      <c r="AT2" s="696"/>
      <c r="AU2" s="696"/>
      <c r="AV2" s="696"/>
      <c r="AW2" s="696"/>
      <c r="AX2" s="825"/>
      <c r="AY2" s="696"/>
      <c r="AZ2" s="696"/>
      <c r="BA2" s="695" t="s">
        <v>197</v>
      </c>
      <c r="BB2" s="695" t="str">
        <f ca="1">VLOOKUP(BB$4,TIME!$A$12:$D$47,4,FALSE)</f>
        <v>2019-02</v>
      </c>
      <c r="BC2" s="695" t="str">
        <f ca="1">VLOOKUP(BC$4,TIME!$A$12:$D$47,4,FALSE)</f>
        <v>2019-03</v>
      </c>
      <c r="BD2" s="695" t="str">
        <f ca="1">VLOOKUP(BD$4,TIME!$A$12:$D$47,4,FALSE)</f>
        <v>2019-04</v>
      </c>
      <c r="BE2" s="695"/>
      <c r="BF2" s="695" t="str">
        <f ca="1">VLOOKUP(BF$4,TIME!$A$12:$D$47,4,FALSE)</f>
        <v>2019-05</v>
      </c>
      <c r="BG2" s="695" t="str">
        <f ca="1">VLOOKUP(BG$4,TIME!$A$12:$D$47,4,FALSE)</f>
        <v>2019-06</v>
      </c>
      <c r="BH2" s="695" t="str">
        <f ca="1">VLOOKUP(BH$4,TIME!$A$12:$D$47,4,FALSE)</f>
        <v>2019-07</v>
      </c>
      <c r="BI2" s="695"/>
      <c r="BJ2" s="695" t="str">
        <f ca="1">VLOOKUP(BJ$4,TIME!$A$12:$D$47,4,FALSE)</f>
        <v>2019-08</v>
      </c>
      <c r="BK2" s="695" t="str">
        <f ca="1">VLOOKUP(BK$4,TIME!$A$12:$D$47,4,FALSE)</f>
        <v>2019-09</v>
      </c>
      <c r="BL2" s="695" t="str">
        <f ca="1">VLOOKUP(BL$4,TIME!$A$12:$D$47,4,FALSE)</f>
        <v>2019-10</v>
      </c>
      <c r="BM2" s="695"/>
      <c r="BN2" s="695" t="str">
        <f ca="1">VLOOKUP(BN$4,TIME!$A$12:$D$47,4,FALSE)</f>
        <v>2019-11</v>
      </c>
      <c r="BO2" s="695" t="str">
        <f ca="1">VLOOKUP(BO$4,TIME!$A$12:$D$47,4,FALSE)</f>
        <v>2019-12</v>
      </c>
      <c r="BP2" s="695" t="str">
        <f ca="1">VLOOKUP(BP$4,TIME!$A$12:$D$47,4,FALSE)</f>
        <v>2020-01</v>
      </c>
      <c r="BS2" s="695" t="str">
        <f ca="1">VLOOKUP(BS$4,TIME!$A$12:$D$47,4,FALSE)</f>
        <v>2019-02</v>
      </c>
      <c r="BT2" s="695" t="str">
        <f ca="1">VLOOKUP(BT$4,TIME!$A$12:$D$47,4,FALSE)</f>
        <v>2019-03</v>
      </c>
      <c r="BU2" s="695" t="str">
        <f ca="1">VLOOKUP(BU$4,TIME!$A$12:$D$47,4,FALSE)</f>
        <v>2019-04</v>
      </c>
      <c r="BV2" s="695"/>
      <c r="BW2" s="695" t="str">
        <f ca="1">VLOOKUP(BW$4,TIME!$A$12:$D$47,4,FALSE)</f>
        <v>2019-05</v>
      </c>
      <c r="BX2" s="695" t="str">
        <f ca="1">VLOOKUP(BX$4,TIME!$A$12:$D$47,4,FALSE)</f>
        <v>2019-06</v>
      </c>
      <c r="BY2" s="695" t="str">
        <f ca="1">VLOOKUP(BY$4,TIME!$A$12:$D$47,4,FALSE)</f>
        <v>2019-07</v>
      </c>
      <c r="BZ2" s="695"/>
      <c r="CA2" s="695" t="str">
        <f ca="1">VLOOKUP(CA$4,TIME!$A$12:$D$47,4,FALSE)</f>
        <v>2019-08</v>
      </c>
      <c r="CB2" s="695" t="str">
        <f ca="1">VLOOKUP(CB$4,TIME!$A$12:$D$47,4,FALSE)</f>
        <v>2019-09</v>
      </c>
      <c r="CC2" s="695" t="str">
        <f ca="1">VLOOKUP(CC$4,TIME!$A$12:$D$47,4,FALSE)</f>
        <v>2019-10</v>
      </c>
      <c r="CD2" s="695"/>
      <c r="CE2" s="695" t="str">
        <f ca="1">VLOOKUP(CE$4,TIME!$A$12:$D$47,4,FALSE)</f>
        <v>2019-11</v>
      </c>
      <c r="CF2" s="695" t="str">
        <f ca="1">VLOOKUP(CF$4,TIME!$A$12:$D$47,4,FALSE)</f>
        <v>2019-12</v>
      </c>
      <c r="CG2" s="695" t="str">
        <f ca="1">VLOOKUP(CG$4,TIME!$A$12:$D$47,4,FALSE)</f>
        <v>2020-01</v>
      </c>
      <c r="CJ2" s="695" t="str">
        <f ca="1">VLOOKUP(CJ$4,TIME!$A$12:$D$47,4,FALSE)</f>
        <v>2019-02</v>
      </c>
      <c r="CK2" s="695"/>
      <c r="CL2" s="695" t="str">
        <f ca="1">VLOOKUP(CL$4,TIME!$A$12:$D$47,4,FALSE)</f>
        <v>2019-04</v>
      </c>
      <c r="CM2" s="695"/>
      <c r="CN2" s="695" t="str">
        <f ca="1">VLOOKUP(CN$4,TIME!$A$12:$D$47,4,FALSE)</f>
        <v>2019-05</v>
      </c>
      <c r="CO2" s="695" t="str">
        <f ca="1">VLOOKUP(CO$4,TIME!$A$12:$D$47,4,FALSE)</f>
        <v>2019-06</v>
      </c>
      <c r="CP2" s="695" t="str">
        <f ca="1">VLOOKUP(CP$4,TIME!$A$12:$D$47,4,FALSE)</f>
        <v>2019-07</v>
      </c>
      <c r="CQ2" s="695"/>
      <c r="CR2" s="695" t="str">
        <f ca="1">VLOOKUP(CR$4,TIME!$A$12:$D$47,4,FALSE)</f>
        <v>2019-08</v>
      </c>
      <c r="CS2" s="695" t="str">
        <f ca="1">VLOOKUP(CS$4,TIME!$A$12:$D$47,4,FALSE)</f>
        <v>2019-09</v>
      </c>
      <c r="CT2" s="695" t="str">
        <f ca="1">VLOOKUP(CT$4,TIME!$A$12:$D$47,4,FALSE)</f>
        <v>2019-10</v>
      </c>
      <c r="CU2" s="695"/>
      <c r="CV2" s="695" t="str">
        <f ca="1">VLOOKUP(CV$4,TIME!$A$12:$D$47,4,FALSE)</f>
        <v>2019-11</v>
      </c>
      <c r="CW2" s="695" t="str">
        <f ca="1">VLOOKUP(CW$4,TIME!$A$12:$D$47,4,FALSE)</f>
        <v>2019-12</v>
      </c>
      <c r="CX2" s="695" t="str">
        <f ca="1">VLOOKUP(CX$4,TIME!$A$12:$D$47,4,FALSE)</f>
        <v>2020-01</v>
      </c>
      <c r="DA2" s="127" t="s">
        <v>28</v>
      </c>
      <c r="DB2" s="127" t="s">
        <v>29</v>
      </c>
      <c r="DC2" s="127" t="s">
        <v>30</v>
      </c>
      <c r="DE2" s="127" t="s">
        <v>31</v>
      </c>
      <c r="DF2" s="127" t="s">
        <v>32</v>
      </c>
      <c r="DG2" s="127" t="s">
        <v>33</v>
      </c>
      <c r="DI2" s="127" t="s">
        <v>34</v>
      </c>
      <c r="DJ2" s="127" t="s">
        <v>35</v>
      </c>
      <c r="DK2" s="127" t="s">
        <v>36</v>
      </c>
      <c r="DM2" s="127" t="s">
        <v>37</v>
      </c>
      <c r="DN2" s="127" t="s">
        <v>38</v>
      </c>
      <c r="DO2" s="127" t="s">
        <v>39</v>
      </c>
    </row>
    <row r="3" spans="1:138" s="809" customFormat="1" ht="18" customHeight="1" thickBot="1" x14ac:dyDescent="0.4">
      <c r="A3" s="804"/>
      <c r="B3" s="805"/>
      <c r="C3" s="805"/>
      <c r="D3" s="805"/>
      <c r="E3" s="805"/>
      <c r="F3" s="805"/>
      <c r="G3" s="805"/>
      <c r="H3" s="805"/>
      <c r="I3" s="805" t="s">
        <v>276</v>
      </c>
      <c r="J3" s="805"/>
      <c r="K3" s="805"/>
      <c r="L3" s="805"/>
      <c r="M3" s="805"/>
      <c r="N3" s="805"/>
      <c r="O3" s="805"/>
      <c r="P3" s="805"/>
      <c r="Q3" s="805"/>
      <c r="R3" s="805"/>
      <c r="S3" s="806"/>
      <c r="T3" s="945" t="s">
        <v>265</v>
      </c>
      <c r="U3" s="945"/>
      <c r="V3" s="945"/>
      <c r="W3" s="945"/>
      <c r="X3" s="945"/>
      <c r="Y3" s="945"/>
      <c r="Z3" s="945"/>
      <c r="AA3" s="945"/>
      <c r="AB3" s="945"/>
      <c r="AC3" s="945"/>
      <c r="AD3" s="945"/>
      <c r="AE3" s="945"/>
      <c r="AF3" s="945"/>
      <c r="AG3" s="945"/>
      <c r="AH3" s="945"/>
      <c r="AI3" s="824"/>
      <c r="AJ3" s="945" t="s">
        <v>399</v>
      </c>
      <c r="AK3" s="945"/>
      <c r="AL3" s="945"/>
      <c r="AM3" s="945"/>
      <c r="AN3" s="945"/>
      <c r="AO3" s="945"/>
      <c r="AP3" s="945"/>
      <c r="AQ3" s="945"/>
      <c r="AR3" s="945"/>
      <c r="AS3" s="945"/>
      <c r="AT3" s="945"/>
      <c r="AU3" s="945"/>
      <c r="AV3" s="945"/>
      <c r="AW3" s="945"/>
      <c r="AX3" s="945"/>
      <c r="AY3" s="945"/>
      <c r="AZ3" s="806"/>
      <c r="BA3" s="944" t="s">
        <v>270</v>
      </c>
      <c r="BB3" s="944"/>
      <c r="BC3" s="944"/>
      <c r="BD3" s="944"/>
      <c r="BE3" s="944"/>
      <c r="BF3" s="944"/>
      <c r="BG3" s="944"/>
      <c r="BH3" s="944"/>
      <c r="BI3" s="944"/>
      <c r="BJ3" s="944"/>
      <c r="BK3" s="944"/>
      <c r="BL3" s="944"/>
      <c r="BM3" s="944"/>
      <c r="BN3" s="944"/>
      <c r="BO3" s="944"/>
      <c r="BP3" s="944"/>
      <c r="BQ3" s="807"/>
      <c r="BR3" s="944" t="s">
        <v>277</v>
      </c>
      <c r="BS3" s="944"/>
      <c r="BT3" s="944"/>
      <c r="BU3" s="944"/>
      <c r="BV3" s="944"/>
      <c r="BW3" s="944"/>
      <c r="BX3" s="944"/>
      <c r="BY3" s="944"/>
      <c r="BZ3" s="944"/>
      <c r="CA3" s="944"/>
      <c r="CB3" s="944"/>
      <c r="CC3" s="944"/>
      <c r="CD3" s="944"/>
      <c r="CE3" s="944"/>
      <c r="CF3" s="944"/>
      <c r="CG3" s="944"/>
      <c r="CH3" s="808"/>
      <c r="CI3" s="944" t="s">
        <v>268</v>
      </c>
      <c r="CJ3" s="944"/>
      <c r="CK3" s="944"/>
      <c r="CL3" s="944"/>
      <c r="CM3" s="944"/>
      <c r="CN3" s="944"/>
      <c r="CO3" s="944"/>
      <c r="CP3" s="944"/>
      <c r="CQ3" s="944"/>
      <c r="CR3" s="944"/>
      <c r="CS3" s="944"/>
      <c r="CT3" s="944"/>
      <c r="CU3" s="944"/>
      <c r="CV3" s="944"/>
      <c r="CW3" s="944"/>
      <c r="CX3" s="944"/>
      <c r="CZ3" s="944" t="s">
        <v>267</v>
      </c>
      <c r="DA3" s="944"/>
      <c r="DB3" s="944"/>
      <c r="DC3" s="944"/>
      <c r="DD3" s="944"/>
      <c r="DE3" s="944"/>
      <c r="DF3" s="944"/>
      <c r="DG3" s="944"/>
      <c r="DH3" s="944"/>
      <c r="DI3" s="944"/>
      <c r="DJ3" s="944"/>
      <c r="DK3" s="944"/>
      <c r="DL3" s="944"/>
      <c r="DM3" s="944"/>
      <c r="DN3" s="944"/>
      <c r="DO3" s="944"/>
      <c r="DQ3" s="944" t="s">
        <v>386</v>
      </c>
      <c r="DR3" s="944"/>
      <c r="DS3" s="944"/>
      <c r="DT3" s="944"/>
      <c r="DU3" s="944"/>
      <c r="DV3" s="944"/>
      <c r="DW3" s="944"/>
      <c r="DX3" s="944"/>
      <c r="DY3" s="944"/>
      <c r="DZ3" s="944"/>
      <c r="EA3" s="944"/>
      <c r="EB3" s="944"/>
      <c r="EC3" s="944"/>
      <c r="ED3" s="944"/>
      <c r="EE3" s="944"/>
      <c r="EF3" s="944"/>
      <c r="EG3" s="944"/>
      <c r="EH3" s="944"/>
    </row>
    <row r="4" spans="1:138" s="597" customFormat="1" ht="17.25" hidden="1" customHeight="1" x14ac:dyDescent="0.3">
      <c r="D4" s="22" t="str">
        <f ca="1">$D$5&amp;D7</f>
        <v>18/19Feb</v>
      </c>
      <c r="E4" s="22" t="str">
        <f t="shared" ref="E4:F4" ca="1" si="0">$D$5&amp;E7</f>
        <v>18/19Mar</v>
      </c>
      <c r="F4" s="22" t="str">
        <f t="shared" ca="1" si="0"/>
        <v>18/19Apr</v>
      </c>
      <c r="G4" s="328"/>
      <c r="H4" s="22" t="str">
        <f ca="1">$H$5&amp;H7</f>
        <v>18/19May</v>
      </c>
      <c r="I4" s="22" t="str">
        <f t="shared" ref="I4:J4" ca="1" si="1">$H$5&amp;I7</f>
        <v>18/19Jun</v>
      </c>
      <c r="J4" s="22" t="str">
        <f t="shared" ca="1" si="1"/>
        <v>18/19Jul</v>
      </c>
      <c r="K4" s="328"/>
      <c r="L4" s="22" t="str">
        <f ca="1">$L$5&amp;L7</f>
        <v>19/20Aug</v>
      </c>
      <c r="M4" s="22" t="str">
        <f t="shared" ref="M4:N4" ca="1" si="2">$L$5&amp;M7</f>
        <v>19/20Sep</v>
      </c>
      <c r="N4" s="22" t="str">
        <f t="shared" ca="1" si="2"/>
        <v>19/20Oct</v>
      </c>
      <c r="O4" s="328"/>
      <c r="P4" s="22" t="str">
        <f ca="1">$P$5&amp;P7</f>
        <v>19/20Nov</v>
      </c>
      <c r="Q4" s="22" t="str">
        <f t="shared" ref="Q4:R4" ca="1" si="3">$P$5&amp;Q7</f>
        <v>19/20Dec</v>
      </c>
      <c r="R4" s="22" t="str">
        <f t="shared" ca="1" si="3"/>
        <v>19/20Jan</v>
      </c>
      <c r="S4" s="673"/>
      <c r="T4" s="22" t="str">
        <f ca="1">$T$5&amp;T7</f>
        <v>18/19Feb</v>
      </c>
      <c r="U4" s="22" t="str">
        <f t="shared" ref="U4:V4" ca="1" si="4">$D$5&amp;U7</f>
        <v>18/19Mar</v>
      </c>
      <c r="V4" s="22" t="str">
        <f t="shared" ca="1" si="4"/>
        <v>18/19Apr</v>
      </c>
      <c r="W4" s="328"/>
      <c r="X4" s="22" t="str">
        <f ca="1">$H$5&amp;X7</f>
        <v>18/19May</v>
      </c>
      <c r="Y4" s="22" t="str">
        <f t="shared" ref="Y4:Z4" ca="1" si="5">$H$5&amp;Y7</f>
        <v>18/19Jun</v>
      </c>
      <c r="Z4" s="22" t="str">
        <f t="shared" ca="1" si="5"/>
        <v>18/19Jul</v>
      </c>
      <c r="AA4" s="328"/>
      <c r="AB4" s="22" t="str">
        <f ca="1">$L$5&amp;AB7</f>
        <v>19/20Aug</v>
      </c>
      <c r="AC4" s="22" t="str">
        <f t="shared" ref="AC4:AD4" ca="1" si="6">$L$5&amp;AC7</f>
        <v>19/20Sep</v>
      </c>
      <c r="AD4" s="22" t="str">
        <f t="shared" ca="1" si="6"/>
        <v>19/20Oct</v>
      </c>
      <c r="AE4" s="328"/>
      <c r="AF4" s="22" t="str">
        <f ca="1">$P$5&amp;AF7</f>
        <v>19/20Nov</v>
      </c>
      <c r="AG4" s="22" t="str">
        <f t="shared" ref="AG4:AH4" ca="1" si="7">$P$5&amp;AG7</f>
        <v>19/20Dec</v>
      </c>
      <c r="AH4" s="22" t="str">
        <f t="shared" ca="1" si="7"/>
        <v>19/20Jan</v>
      </c>
      <c r="AI4" s="22"/>
      <c r="AK4" s="22" t="str">
        <f ca="1">$AK$5&amp;AK7</f>
        <v>18/19Feb</v>
      </c>
      <c r="AL4" s="22" t="str">
        <f t="shared" ref="AL4:AM4" ca="1" si="8">$AK$5&amp;AL7</f>
        <v>18/19Mar</v>
      </c>
      <c r="AM4" s="22" t="str">
        <f t="shared" ca="1" si="8"/>
        <v>18/19Apr</v>
      </c>
      <c r="AN4" s="328"/>
      <c r="AO4" s="22" t="str">
        <f ca="1">$AO$5&amp;AO7</f>
        <v>18/19May</v>
      </c>
      <c r="AP4" s="22" t="str">
        <f t="shared" ref="AP4:AQ4" ca="1" si="9">$AO$5&amp;AP7</f>
        <v>18/19Jun</v>
      </c>
      <c r="AQ4" s="22" t="str">
        <f t="shared" ca="1" si="9"/>
        <v>18/19Jul</v>
      </c>
      <c r="AR4" s="328"/>
      <c r="AS4" s="22" t="str">
        <f ca="1">$AS$5&amp;AS7</f>
        <v>19/20Aug</v>
      </c>
      <c r="AT4" s="22" t="str">
        <f t="shared" ref="AT4:AU4" ca="1" si="10">$AS$5&amp;AT7</f>
        <v>19/20Sep</v>
      </c>
      <c r="AU4" s="22" t="str">
        <f t="shared" ca="1" si="10"/>
        <v>19/20Oct</v>
      </c>
      <c r="AV4" s="328"/>
      <c r="AW4" s="22" t="str">
        <f ca="1">$AW$5&amp;AW7</f>
        <v>19/20Nov</v>
      </c>
      <c r="AX4" s="22" t="str">
        <f t="shared" ref="AX4:AY4" ca="1" si="11">$AW$5&amp;AX7</f>
        <v>19/20Dec</v>
      </c>
      <c r="AY4" s="22" t="str">
        <f t="shared" ca="1" si="11"/>
        <v>19/20Jan</v>
      </c>
      <c r="AZ4" s="673"/>
      <c r="BA4" s="672"/>
      <c r="BB4" s="22" t="str">
        <f ca="1">$D$5&amp;BB7</f>
        <v>18/19Feb</v>
      </c>
      <c r="BC4" s="22" t="str">
        <f t="shared" ref="BC4:BD4" ca="1" si="12">$D$5&amp;BC7</f>
        <v>18/19Mar</v>
      </c>
      <c r="BD4" s="22" t="str">
        <f t="shared" ca="1" si="12"/>
        <v>18/19Apr</v>
      </c>
      <c r="BE4" s="328"/>
      <c r="BF4" s="22" t="str">
        <f ca="1">$H$5&amp;BF7</f>
        <v>18/19May</v>
      </c>
      <c r="BG4" s="22" t="str">
        <f t="shared" ref="BG4:BH4" ca="1" si="13">$H$5&amp;BG7</f>
        <v>18/19Jun</v>
      </c>
      <c r="BH4" s="22" t="str">
        <f t="shared" ca="1" si="13"/>
        <v>18/19Jul</v>
      </c>
      <c r="BI4" s="328"/>
      <c r="BJ4" s="22" t="str">
        <f ca="1">$L$5&amp;BJ7</f>
        <v>19/20Aug</v>
      </c>
      <c r="BK4" s="22" t="str">
        <f t="shared" ref="BK4:BL4" ca="1" si="14">$L$5&amp;BK7</f>
        <v>19/20Sep</v>
      </c>
      <c r="BL4" s="22" t="str">
        <f t="shared" ca="1" si="14"/>
        <v>19/20Oct</v>
      </c>
      <c r="BM4" s="328"/>
      <c r="BN4" s="22" t="str">
        <f ca="1">$P$5&amp;BN7</f>
        <v>19/20Nov</v>
      </c>
      <c r="BO4" s="22" t="str">
        <f t="shared" ref="BO4:BP4" ca="1" si="15">$P$5&amp;BO7</f>
        <v>19/20Dec</v>
      </c>
      <c r="BP4" s="22" t="str">
        <f t="shared" ca="1" si="15"/>
        <v>19/20Jan</v>
      </c>
      <c r="BR4" s="672"/>
      <c r="BS4" s="22" t="str">
        <f ca="1">$D$5&amp;BS7</f>
        <v>18/19Feb</v>
      </c>
      <c r="BT4" s="22" t="str">
        <f t="shared" ref="BT4:BU4" ca="1" si="16">$D$5&amp;BT7</f>
        <v>18/19Mar</v>
      </c>
      <c r="BU4" s="22" t="str">
        <f t="shared" ca="1" si="16"/>
        <v>18/19Apr</v>
      </c>
      <c r="BV4" s="328"/>
      <c r="BW4" s="22" t="str">
        <f ca="1">$H$5&amp;BW7</f>
        <v>18/19May</v>
      </c>
      <c r="BX4" s="22" t="str">
        <f t="shared" ref="BX4:BY4" ca="1" si="17">$H$5&amp;BX7</f>
        <v>18/19Jun</v>
      </c>
      <c r="BY4" s="22" t="str">
        <f t="shared" ca="1" si="17"/>
        <v>18/19Jul</v>
      </c>
      <c r="BZ4" s="328"/>
      <c r="CA4" s="22" t="str">
        <f ca="1">$L$5&amp;CA7</f>
        <v>19/20Aug</v>
      </c>
      <c r="CB4" s="22" t="str">
        <f t="shared" ref="CB4:CC4" ca="1" si="18">$L$5&amp;CB7</f>
        <v>19/20Sep</v>
      </c>
      <c r="CC4" s="22" t="str">
        <f t="shared" ca="1" si="18"/>
        <v>19/20Oct</v>
      </c>
      <c r="CD4" s="328"/>
      <c r="CE4" s="22" t="str">
        <f ca="1">$P$5&amp;CE7</f>
        <v>19/20Nov</v>
      </c>
      <c r="CF4" s="22" t="str">
        <f t="shared" ref="CF4:CG4" ca="1" si="19">$P$5&amp;CF7</f>
        <v>19/20Dec</v>
      </c>
      <c r="CG4" s="22" t="str">
        <f t="shared" ca="1" si="19"/>
        <v>19/20Jan</v>
      </c>
      <c r="CI4" s="672"/>
      <c r="CJ4" s="22" t="str">
        <f ca="1">$D$5&amp;CJ7</f>
        <v>18/19Feb</v>
      </c>
      <c r="CK4" s="22" t="str">
        <f t="shared" ref="CK4:CL4" ca="1" si="20">$D$5&amp;CK7</f>
        <v>18/19Mar</v>
      </c>
      <c r="CL4" s="22" t="str">
        <f t="shared" ca="1" si="20"/>
        <v>18/19Apr</v>
      </c>
      <c r="CM4" s="328"/>
      <c r="CN4" s="22" t="str">
        <f ca="1">$H$5&amp;CN7</f>
        <v>18/19May</v>
      </c>
      <c r="CO4" s="22" t="str">
        <f t="shared" ref="CO4:CP4" ca="1" si="21">$H$5&amp;CO7</f>
        <v>18/19Jun</v>
      </c>
      <c r="CP4" s="22" t="str">
        <f t="shared" ca="1" si="21"/>
        <v>18/19Jul</v>
      </c>
      <c r="CQ4" s="328"/>
      <c r="CR4" s="22" t="str">
        <f ca="1">$L$5&amp;CR7</f>
        <v>19/20Aug</v>
      </c>
      <c r="CS4" s="22" t="str">
        <f t="shared" ref="CS4:CT4" ca="1" si="22">$L$5&amp;CS7</f>
        <v>19/20Sep</v>
      </c>
      <c r="CT4" s="22" t="str">
        <f t="shared" ca="1" si="22"/>
        <v>19/20Oct</v>
      </c>
      <c r="CU4" s="328"/>
      <c r="CV4" s="22" t="str">
        <f ca="1">$P$5&amp;CV7</f>
        <v>19/20Nov</v>
      </c>
      <c r="CW4" s="22" t="str">
        <f t="shared" ref="CW4:CX4" ca="1" si="23">$P$5&amp;CW7</f>
        <v>19/20Dec</v>
      </c>
      <c r="CX4" s="22" t="str">
        <f t="shared" ca="1" si="23"/>
        <v>19/20Jan</v>
      </c>
      <c r="CZ4" s="672"/>
      <c r="DA4" s="22" t="str">
        <f ca="1">$D$5&amp;DA7</f>
        <v>18/19Feb</v>
      </c>
      <c r="DB4" s="22" t="str">
        <f t="shared" ref="DB4:DC4" ca="1" si="24">$D$5&amp;DB7</f>
        <v>18/19Mar</v>
      </c>
      <c r="DC4" s="22" t="str">
        <f t="shared" ca="1" si="24"/>
        <v>18/19Apr</v>
      </c>
      <c r="DD4" s="328"/>
      <c r="DE4" s="22" t="str">
        <f ca="1">$H$5&amp;DE7</f>
        <v>18/19May</v>
      </c>
      <c r="DF4" s="22" t="str">
        <f t="shared" ref="DF4:DG4" ca="1" si="25">$H$5&amp;DF7</f>
        <v>18/19Jun</v>
      </c>
      <c r="DG4" s="22" t="str">
        <f t="shared" ca="1" si="25"/>
        <v>18/19Jul</v>
      </c>
      <c r="DH4" s="328"/>
      <c r="DI4" s="22" t="str">
        <f ca="1">$L$5&amp;DI7</f>
        <v>19/20Aug</v>
      </c>
      <c r="DJ4" s="22" t="str">
        <f t="shared" ref="DJ4:DK4" ca="1" si="26">$L$5&amp;DJ7</f>
        <v>19/20Sep</v>
      </c>
      <c r="DK4" s="22" t="str">
        <f t="shared" ca="1" si="26"/>
        <v>19/20Oct</v>
      </c>
      <c r="DL4" s="328"/>
      <c r="DM4" s="22" t="str">
        <f ca="1">$P$5&amp;DM7</f>
        <v>19/20Nov</v>
      </c>
      <c r="DN4" s="22" t="str">
        <f t="shared" ref="DN4:DO4" ca="1" si="27">$P$5&amp;DN7</f>
        <v>19/20Dec</v>
      </c>
      <c r="DO4" s="22" t="str">
        <f t="shared" ca="1" si="27"/>
        <v>19/20Jan</v>
      </c>
      <c r="DQ4" s="672"/>
      <c r="DR4" s="378" t="str">
        <f ca="1">VLOOKUP($DT$5,TIME!$L$12:$M$17,2,FALSE)</f>
        <v>17/18</v>
      </c>
      <c r="DS4" s="378"/>
      <c r="DT4" s="576" t="str">
        <f ca="1">DT5&amp;DT7</f>
        <v>18/19Feb</v>
      </c>
      <c r="DU4" s="328"/>
      <c r="DV4" s="22"/>
      <c r="DW4" s="328"/>
      <c r="DX4" s="22"/>
      <c r="DY4" s="22"/>
      <c r="DZ4" s="22"/>
      <c r="EA4" s="328"/>
      <c r="EB4" s="22"/>
      <c r="EC4" s="22"/>
      <c r="ED4" s="22"/>
      <c r="EE4" s="328"/>
      <c r="EF4" s="22"/>
      <c r="EG4" s="22"/>
      <c r="EH4" s="22"/>
    </row>
    <row r="5" spans="1:138" s="600" customFormat="1" x14ac:dyDescent="0.25">
      <c r="A5" s="21"/>
      <c r="B5" s="798"/>
      <c r="C5" s="798"/>
      <c r="D5" s="894" t="str">
        <f ca="1">'NWC_FC_NON-NOOS'!C5</f>
        <v>18/19</v>
      </c>
      <c r="E5" s="894"/>
      <c r="F5" s="894"/>
      <c r="G5" s="289"/>
      <c r="H5" s="894" t="str">
        <f ca="1">'NWC_FC_NON-NOOS'!G5</f>
        <v>18/19</v>
      </c>
      <c r="I5" s="894"/>
      <c r="J5" s="894"/>
      <c r="K5" s="289"/>
      <c r="L5" s="894" t="str">
        <f ca="1">'NWC_FC_NON-NOOS'!K5</f>
        <v>19/20</v>
      </c>
      <c r="M5" s="894"/>
      <c r="N5" s="894"/>
      <c r="O5" s="289"/>
      <c r="P5" s="894" t="str">
        <f ca="1">'NWC_FC_NON-NOOS'!O5</f>
        <v>19/20</v>
      </c>
      <c r="Q5" s="894"/>
      <c r="R5" s="894"/>
      <c r="S5" s="601"/>
      <c r="T5" s="894" t="str">
        <f t="shared" ref="T5:V7" ca="1" si="28">D5</f>
        <v>18/19</v>
      </c>
      <c r="U5" s="894">
        <f t="shared" si="28"/>
        <v>0</v>
      </c>
      <c r="V5" s="894">
        <f t="shared" si="28"/>
        <v>0</v>
      </c>
      <c r="W5" s="289"/>
      <c r="X5" s="894" t="str">
        <f t="shared" ref="X5:Z7" ca="1" si="29">H5</f>
        <v>18/19</v>
      </c>
      <c r="Y5" s="894">
        <f t="shared" si="29"/>
        <v>0</v>
      </c>
      <c r="Z5" s="894">
        <f t="shared" si="29"/>
        <v>0</v>
      </c>
      <c r="AA5" s="289"/>
      <c r="AB5" s="894" t="str">
        <f t="shared" ref="AB5:AD7" ca="1" si="30">L5</f>
        <v>19/20</v>
      </c>
      <c r="AC5" s="894">
        <f t="shared" si="30"/>
        <v>0</v>
      </c>
      <c r="AD5" s="894">
        <f t="shared" si="30"/>
        <v>0</v>
      </c>
      <c r="AE5" s="289"/>
      <c r="AF5" s="894" t="str">
        <f t="shared" ref="AF5:AH7" ca="1" si="31">P5</f>
        <v>19/20</v>
      </c>
      <c r="AG5" s="894">
        <f t="shared" si="31"/>
        <v>0</v>
      </c>
      <c r="AH5" s="894">
        <f t="shared" si="31"/>
        <v>0</v>
      </c>
      <c r="AI5" s="822"/>
      <c r="AJ5" s="798"/>
      <c r="AK5" s="894" t="str">
        <f ca="1">T5</f>
        <v>18/19</v>
      </c>
      <c r="AL5" s="894"/>
      <c r="AM5" s="894"/>
      <c r="AN5" s="289"/>
      <c r="AO5" s="894" t="str">
        <f ca="1">X5</f>
        <v>18/19</v>
      </c>
      <c r="AP5" s="894"/>
      <c r="AQ5" s="894"/>
      <c r="AR5" s="289"/>
      <c r="AS5" s="894" t="str">
        <f ca="1">AB5</f>
        <v>19/20</v>
      </c>
      <c r="AT5" s="894"/>
      <c r="AU5" s="894"/>
      <c r="AV5" s="289"/>
      <c r="AW5" s="894" t="str">
        <f ca="1">AF5</f>
        <v>19/20</v>
      </c>
      <c r="AX5" s="894"/>
      <c r="AY5" s="894"/>
      <c r="AZ5" s="601"/>
      <c r="BA5" s="378"/>
      <c r="BB5" s="894" t="str">
        <f ca="1">D5</f>
        <v>18/19</v>
      </c>
      <c r="BC5" s="894"/>
      <c r="BD5" s="894"/>
      <c r="BE5" s="289"/>
      <c r="BF5" s="894" t="str">
        <f ca="1">H5</f>
        <v>18/19</v>
      </c>
      <c r="BG5" s="894"/>
      <c r="BH5" s="894"/>
      <c r="BI5" s="289"/>
      <c r="BJ5" s="894" t="str">
        <f ca="1">L5</f>
        <v>19/20</v>
      </c>
      <c r="BK5" s="894"/>
      <c r="BL5" s="894"/>
      <c r="BM5" s="289"/>
      <c r="BN5" s="894" t="str">
        <f ca="1">P5</f>
        <v>19/20</v>
      </c>
      <c r="BO5" s="894"/>
      <c r="BP5" s="894"/>
      <c r="BQ5" s="205"/>
      <c r="BR5" s="378"/>
      <c r="BS5" s="894" t="str">
        <f ca="1">BB5</f>
        <v>18/19</v>
      </c>
      <c r="BT5" s="894"/>
      <c r="BU5" s="894"/>
      <c r="BV5" s="289"/>
      <c r="BW5" s="894" t="str">
        <f ca="1">BF5</f>
        <v>18/19</v>
      </c>
      <c r="BX5" s="894"/>
      <c r="BY5" s="894"/>
      <c r="BZ5" s="289"/>
      <c r="CA5" s="894" t="str">
        <f ca="1">BJ5</f>
        <v>19/20</v>
      </c>
      <c r="CB5" s="894"/>
      <c r="CC5" s="894"/>
      <c r="CD5" s="289"/>
      <c r="CE5" s="894" t="str">
        <f ca="1">BN5</f>
        <v>19/20</v>
      </c>
      <c r="CF5" s="894"/>
      <c r="CG5" s="894"/>
      <c r="CH5" s="61"/>
      <c r="CI5" s="378"/>
      <c r="CJ5" s="894" t="str">
        <f ca="1">BS5</f>
        <v>18/19</v>
      </c>
      <c r="CK5" s="894"/>
      <c r="CL5" s="894"/>
      <c r="CM5" s="289"/>
      <c r="CN5" s="894" t="str">
        <f ca="1">BW5</f>
        <v>18/19</v>
      </c>
      <c r="CO5" s="894"/>
      <c r="CP5" s="894"/>
      <c r="CQ5" s="289"/>
      <c r="CR5" s="894" t="str">
        <f ca="1">CA5</f>
        <v>19/20</v>
      </c>
      <c r="CS5" s="894"/>
      <c r="CT5" s="894"/>
      <c r="CU5" s="289"/>
      <c r="CV5" s="894" t="str">
        <f ca="1">CE5</f>
        <v>19/20</v>
      </c>
      <c r="CW5" s="894"/>
      <c r="CX5" s="894"/>
      <c r="CZ5" s="378"/>
      <c r="DA5" s="894" t="str">
        <f ca="1">CJ5</f>
        <v>18/19</v>
      </c>
      <c r="DB5" s="894"/>
      <c r="DC5" s="894"/>
      <c r="DD5" s="289"/>
      <c r="DE5" s="894" t="str">
        <f ca="1">CN5</f>
        <v>18/19</v>
      </c>
      <c r="DF5" s="894"/>
      <c r="DG5" s="894"/>
      <c r="DH5" s="289"/>
      <c r="DI5" s="894" t="str">
        <f ca="1">CR5</f>
        <v>19/20</v>
      </c>
      <c r="DJ5" s="894"/>
      <c r="DK5" s="894"/>
      <c r="DL5" s="289"/>
      <c r="DM5" s="894" t="str">
        <f ca="1">CV5</f>
        <v>19/20</v>
      </c>
      <c r="DN5" s="894"/>
      <c r="DO5" s="894"/>
      <c r="DQ5" s="378"/>
      <c r="DR5" s="378" t="str">
        <f ca="1">DT5</f>
        <v>18/19</v>
      </c>
      <c r="DS5" s="378"/>
      <c r="DT5" s="894" t="str">
        <f ca="1">DA5</f>
        <v>18/19</v>
      </c>
      <c r="DU5" s="894"/>
      <c r="DV5" s="894"/>
      <c r="DW5" s="289"/>
      <c r="DX5" s="894" t="str">
        <f ca="1">DE5</f>
        <v>18/19</v>
      </c>
      <c r="DY5" s="894"/>
      <c r="DZ5" s="894"/>
      <c r="EA5" s="289"/>
      <c r="EB5" s="894" t="str">
        <f ca="1">DI5</f>
        <v>19/20</v>
      </c>
      <c r="EC5" s="894"/>
      <c r="ED5" s="894"/>
      <c r="EE5" s="289"/>
      <c r="EF5" s="894" t="str">
        <f ca="1">DM5</f>
        <v>19/20</v>
      </c>
      <c r="EG5" s="894"/>
      <c r="EH5" s="894"/>
    </row>
    <row r="6" spans="1:138" x14ac:dyDescent="0.25">
      <c r="B6" s="1"/>
      <c r="C6" s="1"/>
      <c r="D6" s="942" t="str">
        <f ca="1">'NWC_FC_NON-NOOS'!C6</f>
        <v>Q3</v>
      </c>
      <c r="E6" s="942"/>
      <c r="F6" s="942"/>
      <c r="G6" s="289"/>
      <c r="H6" s="942" t="str">
        <f ca="1">'NWC_FC_NON-NOOS'!G6</f>
        <v>Q4</v>
      </c>
      <c r="I6" s="942"/>
      <c r="J6" s="942"/>
      <c r="K6" s="289"/>
      <c r="L6" s="942" t="str">
        <f ca="1">'NWC_FC_NON-NOOS'!K6</f>
        <v>Q1</v>
      </c>
      <c r="M6" s="942"/>
      <c r="N6" s="942"/>
      <c r="O6" s="289"/>
      <c r="P6" s="942" t="str">
        <f ca="1">'NWC_FC_NON-NOOS'!O6</f>
        <v>Q2</v>
      </c>
      <c r="Q6" s="942"/>
      <c r="R6" s="942"/>
      <c r="S6" s="601"/>
      <c r="T6" s="942" t="str">
        <f t="shared" ca="1" si="28"/>
        <v>Q3</v>
      </c>
      <c r="U6" s="942">
        <f t="shared" si="28"/>
        <v>0</v>
      </c>
      <c r="V6" s="942">
        <f t="shared" si="28"/>
        <v>0</v>
      </c>
      <c r="W6" s="289"/>
      <c r="X6" s="942" t="str">
        <f t="shared" ca="1" si="29"/>
        <v>Q4</v>
      </c>
      <c r="Y6" s="942">
        <f t="shared" si="29"/>
        <v>0</v>
      </c>
      <c r="Z6" s="942">
        <f t="shared" si="29"/>
        <v>0</v>
      </c>
      <c r="AA6" s="289"/>
      <c r="AB6" s="942" t="str">
        <f t="shared" ca="1" si="30"/>
        <v>Q1</v>
      </c>
      <c r="AC6" s="942">
        <f t="shared" si="30"/>
        <v>0</v>
      </c>
      <c r="AD6" s="942">
        <f t="shared" si="30"/>
        <v>0</v>
      </c>
      <c r="AE6" s="289"/>
      <c r="AF6" s="942" t="str">
        <f t="shared" ca="1" si="31"/>
        <v>Q2</v>
      </c>
      <c r="AG6" s="942">
        <f t="shared" si="31"/>
        <v>0</v>
      </c>
      <c r="AH6" s="942">
        <f t="shared" si="31"/>
        <v>0</v>
      </c>
      <c r="AI6" s="823"/>
      <c r="AJ6" s="1"/>
      <c r="AK6" s="942" t="str">
        <f ca="1">T6</f>
        <v>Q3</v>
      </c>
      <c r="AL6" s="942"/>
      <c r="AM6" s="942"/>
      <c r="AN6" s="289"/>
      <c r="AO6" s="942" t="str">
        <f ca="1">X6</f>
        <v>Q4</v>
      </c>
      <c r="AP6" s="942"/>
      <c r="AQ6" s="942"/>
      <c r="AR6" s="289"/>
      <c r="AS6" s="942" t="str">
        <f ca="1">AB6</f>
        <v>Q1</v>
      </c>
      <c r="AT6" s="942"/>
      <c r="AU6" s="942"/>
      <c r="AV6" s="289"/>
      <c r="AW6" s="942" t="str">
        <f ca="1">AF6</f>
        <v>Q2</v>
      </c>
      <c r="AX6" s="942"/>
      <c r="AY6" s="942"/>
      <c r="AZ6" s="601"/>
      <c r="BA6" s="1"/>
      <c r="BB6" s="942" t="str">
        <f ca="1">D6</f>
        <v>Q3</v>
      </c>
      <c r="BC6" s="942"/>
      <c r="BD6" s="942"/>
      <c r="BE6" s="289"/>
      <c r="BF6" s="942" t="str">
        <f ca="1">H6</f>
        <v>Q4</v>
      </c>
      <c r="BG6" s="942"/>
      <c r="BH6" s="942"/>
      <c r="BI6" s="289"/>
      <c r="BJ6" s="942" t="str">
        <f ca="1">L6</f>
        <v>Q1</v>
      </c>
      <c r="BK6" s="942"/>
      <c r="BL6" s="942"/>
      <c r="BM6" s="289"/>
      <c r="BN6" s="942" t="str">
        <f ca="1">P6</f>
        <v>Q2</v>
      </c>
      <c r="BO6" s="942"/>
      <c r="BP6" s="942"/>
      <c r="BR6" s="1"/>
      <c r="BS6" s="894" t="str">
        <f ca="1">BB6</f>
        <v>Q3</v>
      </c>
      <c r="BT6" s="894"/>
      <c r="BU6" s="894"/>
      <c r="BV6" s="289"/>
      <c r="BW6" s="894" t="str">
        <f ca="1">BF6</f>
        <v>Q4</v>
      </c>
      <c r="BX6" s="894"/>
      <c r="BY6" s="894"/>
      <c r="BZ6" s="289"/>
      <c r="CA6" s="894" t="str">
        <f ca="1">BJ6</f>
        <v>Q1</v>
      </c>
      <c r="CB6" s="894"/>
      <c r="CC6" s="894"/>
      <c r="CD6" s="289"/>
      <c r="CE6" s="894" t="str">
        <f ca="1">BN6</f>
        <v>Q2</v>
      </c>
      <c r="CF6" s="894"/>
      <c r="CG6" s="894"/>
      <c r="CI6" s="1"/>
      <c r="CJ6" s="894" t="str">
        <f ca="1">BS6</f>
        <v>Q3</v>
      </c>
      <c r="CK6" s="894"/>
      <c r="CL6" s="894"/>
      <c r="CM6" s="289"/>
      <c r="CN6" s="894" t="str">
        <f ca="1">BW6</f>
        <v>Q4</v>
      </c>
      <c r="CO6" s="894"/>
      <c r="CP6" s="894"/>
      <c r="CQ6" s="289"/>
      <c r="CR6" s="894" t="str">
        <f ca="1">CA6</f>
        <v>Q1</v>
      </c>
      <c r="CS6" s="894"/>
      <c r="CT6" s="894"/>
      <c r="CU6" s="289"/>
      <c r="CV6" s="894" t="str">
        <f ca="1">CE6</f>
        <v>Q2</v>
      </c>
      <c r="CW6" s="894"/>
      <c r="CX6" s="894"/>
      <c r="CZ6" s="1"/>
      <c r="DA6" s="894" t="str">
        <f ca="1">CJ6</f>
        <v>Q3</v>
      </c>
      <c r="DB6" s="894"/>
      <c r="DC6" s="894"/>
      <c r="DD6" s="289"/>
      <c r="DE6" s="894" t="str">
        <f ca="1">CN6</f>
        <v>Q4</v>
      </c>
      <c r="DF6" s="894"/>
      <c r="DG6" s="894"/>
      <c r="DH6" s="289"/>
      <c r="DI6" s="894" t="str">
        <f ca="1">CR6</f>
        <v>Q1</v>
      </c>
      <c r="DJ6" s="894"/>
      <c r="DK6" s="894"/>
      <c r="DL6" s="289"/>
      <c r="DM6" s="894" t="str">
        <f ca="1">CV6</f>
        <v>Q2</v>
      </c>
      <c r="DN6" s="894"/>
      <c r="DO6" s="894"/>
      <c r="DQ6" s="1"/>
      <c r="DR6" s="1"/>
      <c r="DS6" s="1"/>
      <c r="DT6" s="894" t="str">
        <f ca="1">DA6</f>
        <v>Q3</v>
      </c>
      <c r="DU6" s="894"/>
      <c r="DV6" s="894"/>
      <c r="DW6" s="289"/>
      <c r="DX6" s="894" t="str">
        <f ca="1">DE6</f>
        <v>Q4</v>
      </c>
      <c r="DY6" s="894"/>
      <c r="DZ6" s="894"/>
      <c r="EA6" s="289"/>
      <c r="EB6" s="894" t="str">
        <f ca="1">DI6</f>
        <v>Q1</v>
      </c>
      <c r="EC6" s="894"/>
      <c r="ED6" s="894"/>
      <c r="EE6" s="289"/>
      <c r="EF6" s="894" t="str">
        <f ca="1">DM6</f>
        <v>Q2</v>
      </c>
      <c r="EG6" s="894"/>
      <c r="EH6" s="894"/>
    </row>
    <row r="7" spans="1:138" x14ac:dyDescent="0.25">
      <c r="B7" s="379"/>
      <c r="C7" s="379"/>
      <c r="D7" s="380" t="str">
        <f ca="1">'NWC_FC_NON-NOOS'!C7</f>
        <v>Feb</v>
      </c>
      <c r="E7" s="380" t="str">
        <f ca="1">'NWC_FC_NON-NOOS'!D7</f>
        <v>Mar</v>
      </c>
      <c r="F7" s="380" t="str">
        <f ca="1">'NWC_FC_NON-NOOS'!E7</f>
        <v>Apr</v>
      </c>
      <c r="G7" s="289"/>
      <c r="H7" s="380" t="str">
        <f ca="1">'NWC_FC_NON-NOOS'!G7</f>
        <v>May</v>
      </c>
      <c r="I7" s="380" t="str">
        <f ca="1">'NWC_FC_NON-NOOS'!H7</f>
        <v>Jun</v>
      </c>
      <c r="J7" s="380" t="str">
        <f ca="1">'NWC_FC_NON-NOOS'!I7</f>
        <v>Jul</v>
      </c>
      <c r="K7" s="289"/>
      <c r="L7" s="380" t="str">
        <f ca="1">'NWC_FC_NON-NOOS'!K7</f>
        <v>Aug</v>
      </c>
      <c r="M7" s="380" t="str">
        <f ca="1">'NWC_FC_NON-NOOS'!L7</f>
        <v>Sep</v>
      </c>
      <c r="N7" s="380" t="str">
        <f ca="1">'NWC_FC_NON-NOOS'!M7</f>
        <v>Oct</v>
      </c>
      <c r="O7" s="289"/>
      <c r="P7" s="380" t="str">
        <f ca="1">'NWC_FC_NON-NOOS'!O7</f>
        <v>Nov</v>
      </c>
      <c r="Q7" s="380" t="str">
        <f ca="1">'NWC_FC_NON-NOOS'!P7</f>
        <v>Dec</v>
      </c>
      <c r="R7" s="380" t="str">
        <f ca="1">'NWC_FC_NON-NOOS'!Q7</f>
        <v>Jan</v>
      </c>
      <c r="T7" s="380" t="str">
        <f t="shared" ca="1" si="28"/>
        <v>Feb</v>
      </c>
      <c r="U7" s="380" t="str">
        <f t="shared" ca="1" si="28"/>
        <v>Mar</v>
      </c>
      <c r="V7" s="380" t="str">
        <f t="shared" ca="1" si="28"/>
        <v>Apr</v>
      </c>
      <c r="W7" s="289"/>
      <c r="X7" s="380" t="str">
        <f t="shared" ca="1" si="29"/>
        <v>May</v>
      </c>
      <c r="Y7" s="380" t="str">
        <f t="shared" ca="1" si="29"/>
        <v>Jun</v>
      </c>
      <c r="Z7" s="380" t="str">
        <f t="shared" ca="1" si="29"/>
        <v>Jul</v>
      </c>
      <c r="AA7" s="289"/>
      <c r="AB7" s="380" t="str">
        <f t="shared" ca="1" si="30"/>
        <v>Aug</v>
      </c>
      <c r="AC7" s="380" t="str">
        <f t="shared" ca="1" si="30"/>
        <v>Sep</v>
      </c>
      <c r="AD7" s="380" t="str">
        <f t="shared" ca="1" si="30"/>
        <v>Oct</v>
      </c>
      <c r="AE7" s="289"/>
      <c r="AF7" s="380" t="str">
        <f t="shared" ca="1" si="31"/>
        <v>Nov</v>
      </c>
      <c r="AG7" s="380" t="str">
        <f t="shared" ca="1" si="31"/>
        <v>Dec</v>
      </c>
      <c r="AH7" s="380" t="str">
        <f t="shared" ca="1" si="31"/>
        <v>Jan</v>
      </c>
      <c r="AI7" s="822"/>
      <c r="AJ7" s="379"/>
      <c r="AK7" s="380" t="str">
        <f ca="1">T7</f>
        <v>Feb</v>
      </c>
      <c r="AL7" s="380" t="str">
        <f t="shared" ref="AL7:AY7" ca="1" si="32">U7</f>
        <v>Mar</v>
      </c>
      <c r="AM7" s="380" t="str">
        <f t="shared" ca="1" si="32"/>
        <v>Apr</v>
      </c>
      <c r="AN7" s="289"/>
      <c r="AO7" s="380" t="str">
        <f t="shared" ca="1" si="32"/>
        <v>May</v>
      </c>
      <c r="AP7" s="380" t="str">
        <f t="shared" ca="1" si="32"/>
        <v>Jun</v>
      </c>
      <c r="AQ7" s="380" t="str">
        <f t="shared" ca="1" si="32"/>
        <v>Jul</v>
      </c>
      <c r="AR7" s="289"/>
      <c r="AS7" s="380" t="str">
        <f t="shared" ca="1" si="32"/>
        <v>Aug</v>
      </c>
      <c r="AT7" s="380" t="str">
        <f t="shared" ca="1" si="32"/>
        <v>Sep</v>
      </c>
      <c r="AU7" s="380" t="str">
        <f t="shared" ca="1" si="32"/>
        <v>Oct</v>
      </c>
      <c r="AV7" s="289"/>
      <c r="AW7" s="380" t="str">
        <f t="shared" ca="1" si="32"/>
        <v>Nov</v>
      </c>
      <c r="AX7" s="380" t="str">
        <f t="shared" ca="1" si="32"/>
        <v>Dec</v>
      </c>
      <c r="AY7" s="380" t="str">
        <f t="shared" ca="1" si="32"/>
        <v>Jan</v>
      </c>
      <c r="BA7" s="379"/>
      <c r="BB7" s="380" t="str">
        <f ca="1">D7</f>
        <v>Feb</v>
      </c>
      <c r="BC7" s="380" t="str">
        <f ca="1">E7</f>
        <v>Mar</v>
      </c>
      <c r="BD7" s="380" t="str">
        <f ca="1">F7</f>
        <v>Apr</v>
      </c>
      <c r="BE7" s="289"/>
      <c r="BF7" s="380" t="str">
        <f ca="1">H7</f>
        <v>May</v>
      </c>
      <c r="BG7" s="380" t="str">
        <f ca="1">I7</f>
        <v>Jun</v>
      </c>
      <c r="BH7" s="380" t="str">
        <f ca="1">J7</f>
        <v>Jul</v>
      </c>
      <c r="BI7" s="289"/>
      <c r="BJ7" s="380" t="str">
        <f ca="1">L7</f>
        <v>Aug</v>
      </c>
      <c r="BK7" s="380" t="str">
        <f ca="1">M7</f>
        <v>Sep</v>
      </c>
      <c r="BL7" s="380" t="str">
        <f ca="1">N7</f>
        <v>Oct</v>
      </c>
      <c r="BM7" s="289"/>
      <c r="BN7" s="380" t="str">
        <f ca="1">P7</f>
        <v>Nov</v>
      </c>
      <c r="BO7" s="380" t="str">
        <f ca="1">Q7</f>
        <v>Dec</v>
      </c>
      <c r="BP7" s="380" t="str">
        <f ca="1">R7</f>
        <v>Jan</v>
      </c>
      <c r="BR7" s="379"/>
      <c r="BS7" s="380" t="str">
        <f ca="1">BB7</f>
        <v>Feb</v>
      </c>
      <c r="BT7" s="380" t="str">
        <f t="shared" ref="BT7:CG7" ca="1" si="33">BC7</f>
        <v>Mar</v>
      </c>
      <c r="BU7" s="380" t="str">
        <f t="shared" ca="1" si="33"/>
        <v>Apr</v>
      </c>
      <c r="BV7" s="289"/>
      <c r="BW7" s="380" t="str">
        <f t="shared" ca="1" si="33"/>
        <v>May</v>
      </c>
      <c r="BX7" s="380" t="str">
        <f t="shared" ca="1" si="33"/>
        <v>Jun</v>
      </c>
      <c r="BY7" s="380" t="str">
        <f t="shared" ca="1" si="33"/>
        <v>Jul</v>
      </c>
      <c r="BZ7" s="289"/>
      <c r="CA7" s="380" t="str">
        <f t="shared" ca="1" si="33"/>
        <v>Aug</v>
      </c>
      <c r="CB7" s="380" t="str">
        <f t="shared" ca="1" si="33"/>
        <v>Sep</v>
      </c>
      <c r="CC7" s="380" t="str">
        <f t="shared" ca="1" si="33"/>
        <v>Oct</v>
      </c>
      <c r="CD7" s="289"/>
      <c r="CE7" s="380" t="str">
        <f t="shared" ca="1" si="33"/>
        <v>Nov</v>
      </c>
      <c r="CF7" s="380" t="str">
        <f t="shared" ca="1" si="33"/>
        <v>Dec</v>
      </c>
      <c r="CG7" s="380" t="str">
        <f t="shared" ca="1" si="33"/>
        <v>Jan</v>
      </c>
      <c r="CI7" s="379"/>
      <c r="CJ7" s="380" t="str">
        <f ca="1">BS7</f>
        <v>Feb</v>
      </c>
      <c r="CK7" s="380" t="str">
        <f t="shared" ref="CK7" ca="1" si="34">BT7</f>
        <v>Mar</v>
      </c>
      <c r="CL7" s="380" t="str">
        <f t="shared" ref="CL7" ca="1" si="35">BU7</f>
        <v>Apr</v>
      </c>
      <c r="CM7" s="289">
        <f t="shared" ref="CM7" si="36">BV7</f>
        <v>0</v>
      </c>
      <c r="CN7" s="380" t="str">
        <f t="shared" ref="CN7" ca="1" si="37">BW7</f>
        <v>May</v>
      </c>
      <c r="CO7" s="380" t="str">
        <f t="shared" ref="CO7" ca="1" si="38">BX7</f>
        <v>Jun</v>
      </c>
      <c r="CP7" s="380" t="str">
        <f t="shared" ref="CP7" ca="1" si="39">BY7</f>
        <v>Jul</v>
      </c>
      <c r="CQ7" s="289">
        <f t="shared" ref="CQ7" si="40">BZ7</f>
        <v>0</v>
      </c>
      <c r="CR7" s="380" t="str">
        <f t="shared" ref="CR7" ca="1" si="41">CA7</f>
        <v>Aug</v>
      </c>
      <c r="CS7" s="380" t="str">
        <f t="shared" ref="CS7" ca="1" si="42">CB7</f>
        <v>Sep</v>
      </c>
      <c r="CT7" s="380" t="str">
        <f t="shared" ref="CT7" ca="1" si="43">CC7</f>
        <v>Oct</v>
      </c>
      <c r="CU7" s="289">
        <f t="shared" ref="CU7" si="44">CD7</f>
        <v>0</v>
      </c>
      <c r="CV7" s="380" t="str">
        <f t="shared" ref="CV7" ca="1" si="45">CE7</f>
        <v>Nov</v>
      </c>
      <c r="CW7" s="380" t="str">
        <f t="shared" ref="CW7" ca="1" si="46">CF7</f>
        <v>Dec</v>
      </c>
      <c r="CX7" s="380" t="str">
        <f t="shared" ref="CX7" ca="1" si="47">CG7</f>
        <v>Jan</v>
      </c>
      <c r="CZ7" s="379"/>
      <c r="DA7" s="380" t="str">
        <f ca="1">CJ7</f>
        <v>Feb</v>
      </c>
      <c r="DB7" s="380" t="str">
        <f t="shared" ref="DB7" ca="1" si="48">CK7</f>
        <v>Mar</v>
      </c>
      <c r="DC7" s="380" t="str">
        <f t="shared" ref="DC7" ca="1" si="49">CL7</f>
        <v>Apr</v>
      </c>
      <c r="DD7" s="289"/>
      <c r="DE7" s="380" t="str">
        <f t="shared" ref="DE7" ca="1" si="50">CN7</f>
        <v>May</v>
      </c>
      <c r="DF7" s="380" t="str">
        <f t="shared" ref="DF7" ca="1" si="51">CO7</f>
        <v>Jun</v>
      </c>
      <c r="DG7" s="380" t="str">
        <f t="shared" ref="DG7" ca="1" si="52">CP7</f>
        <v>Jul</v>
      </c>
      <c r="DH7" s="289"/>
      <c r="DI7" s="380" t="str">
        <f t="shared" ref="DI7" ca="1" si="53">CR7</f>
        <v>Aug</v>
      </c>
      <c r="DJ7" s="380" t="str">
        <f t="shared" ref="DJ7" ca="1" si="54">CS7</f>
        <v>Sep</v>
      </c>
      <c r="DK7" s="380" t="str">
        <f t="shared" ref="DK7" ca="1" si="55">CT7</f>
        <v>Oct</v>
      </c>
      <c r="DL7" s="289"/>
      <c r="DM7" s="380" t="str">
        <f t="shared" ref="DM7" ca="1" si="56">CV7</f>
        <v>Nov</v>
      </c>
      <c r="DN7" s="380" t="str">
        <f t="shared" ref="DN7" ca="1" si="57">CW7</f>
        <v>Dec</v>
      </c>
      <c r="DO7" s="380" t="str">
        <f t="shared" ref="DO7" ca="1" si="58">CX7</f>
        <v>Jan</v>
      </c>
      <c r="DQ7" s="379"/>
      <c r="DR7" s="379" t="str">
        <f ca="1">VLOOKUP($DT$7,TIME!$S$28:$T$39,2,FALSE)</f>
        <v>Jan</v>
      </c>
      <c r="DS7" s="379"/>
      <c r="DT7" s="380" t="str">
        <f ca="1">DA7</f>
        <v>Feb</v>
      </c>
      <c r="DU7" s="380" t="str">
        <f t="shared" ref="DU7" ca="1" si="59">DB7</f>
        <v>Mar</v>
      </c>
      <c r="DV7" s="380" t="str">
        <f t="shared" ref="DV7" ca="1" si="60">DC7</f>
        <v>Apr</v>
      </c>
      <c r="DW7" s="289"/>
      <c r="DX7" s="380" t="str">
        <f t="shared" ref="DX7" ca="1" si="61">DE7</f>
        <v>May</v>
      </c>
      <c r="DY7" s="380" t="str">
        <f t="shared" ref="DY7" ca="1" si="62">DF7</f>
        <v>Jun</v>
      </c>
      <c r="DZ7" s="380" t="str">
        <f t="shared" ref="DZ7" ca="1" si="63">DG7</f>
        <v>Jul</v>
      </c>
      <c r="EA7" s="289"/>
      <c r="EB7" s="380" t="str">
        <f t="shared" ref="EB7" ca="1" si="64">DI7</f>
        <v>Aug</v>
      </c>
      <c r="EC7" s="380" t="str">
        <f t="shared" ref="EC7" ca="1" si="65">DJ7</f>
        <v>Sep</v>
      </c>
      <c r="ED7" s="380" t="str">
        <f t="shared" ref="ED7" ca="1" si="66">DK7</f>
        <v>Oct</v>
      </c>
      <c r="EE7" s="289"/>
      <c r="EF7" s="380" t="str">
        <f t="shared" ref="EF7" ca="1" si="67">DM7</f>
        <v>Nov</v>
      </c>
      <c r="EG7" s="380" t="str">
        <f t="shared" ref="EG7" ca="1" si="68">DN7</f>
        <v>Dec</v>
      </c>
      <c r="EH7" s="380" t="str">
        <f t="shared" ref="EH7" ca="1" si="69">DO7</f>
        <v>Jan</v>
      </c>
    </row>
    <row r="8" spans="1:138" x14ac:dyDescent="0.25">
      <c r="B8" s="575" t="str">
        <f>IF(ISTEXT('NWC_FC_NON-NOOS'!B8),'NWC_FC_NON-NOOS'!B8,"")</f>
        <v>ACCESSORIES</v>
      </c>
      <c r="C8" s="801"/>
      <c r="D8" s="761"/>
      <c r="E8" s="761"/>
      <c r="F8" s="761"/>
      <c r="G8" s="613"/>
      <c r="H8" s="761"/>
      <c r="I8" s="761"/>
      <c r="J8" s="761"/>
      <c r="K8" s="613"/>
      <c r="L8" s="761"/>
      <c r="M8" s="761"/>
      <c r="N8" s="761"/>
      <c r="O8" s="613"/>
      <c r="P8" s="761"/>
      <c r="Q8" s="761"/>
      <c r="R8" s="761"/>
      <c r="T8" s="675">
        <f t="shared" ref="T8:T23" ca="1" si="70">IF(D8="",$C8*OFFSET(DT8,0,-2),D8*1000)</f>
        <v>0</v>
      </c>
      <c r="U8" s="675">
        <f t="shared" ref="U8:U23" ca="1" si="71">IF(E8="",$C8*OFFSET(DU8,0,-1),E8*1000)</f>
        <v>0</v>
      </c>
      <c r="V8" s="675">
        <f t="shared" ref="V8:V23" ca="1" si="72">IF(F8="",$C8*OFFSET(DV8,0,-1),F8*1000)</f>
        <v>0</v>
      </c>
      <c r="W8" s="675"/>
      <c r="X8" s="675">
        <f t="shared" ref="X8:X23" ca="1" si="73">IF(H8="",$C8*OFFSET(DX8,0,-2),H8*1000)</f>
        <v>0</v>
      </c>
      <c r="Y8" s="675">
        <f t="shared" ref="Y8:Y23" ca="1" si="74">IF(I8="",$C8*OFFSET(DY8,0,-1),I8*1000)</f>
        <v>0</v>
      </c>
      <c r="Z8" s="675">
        <f t="shared" ref="Z8:Z23" ca="1" si="75">IF(J8="",$C8*OFFSET(DZ8,0,-1),J8*1000)</f>
        <v>0</v>
      </c>
      <c r="AA8" s="675"/>
      <c r="AB8" s="675">
        <f t="shared" ref="AB8:AB23" ca="1" si="76">IF(L8="",$C8*OFFSET(EB8,0,-2),L8*1000)</f>
        <v>0</v>
      </c>
      <c r="AC8" s="675">
        <f t="shared" ref="AC8:AC23" ca="1" si="77">IF(M8="",$C8*OFFSET(EC8,0,-1),M8*1000)</f>
        <v>0</v>
      </c>
      <c r="AD8" s="675">
        <f t="shared" ref="AD8:AD23" ca="1" si="78">IF(N8="",$C8*OFFSET(ED8,0,-1),N8*1000)</f>
        <v>0</v>
      </c>
      <c r="AE8" s="675"/>
      <c r="AF8" s="675">
        <f t="shared" ref="AF8:AF23" ca="1" si="79">IF(P8="",$C8*OFFSET(EF8,0,-2),P8*1000)</f>
        <v>0</v>
      </c>
      <c r="AG8" s="675">
        <f t="shared" ref="AG8:AG23" ca="1" si="80">IF(Q8="",$C8*OFFSET(EG8,0,-1),Q8*1000)</f>
        <v>0</v>
      </c>
      <c r="AH8" s="675">
        <f t="shared" ref="AH8:AH23" ca="1" si="81">IF(R8="",$C8*OFFSET(EH8,0,-1),R8*1000)</f>
        <v>0</v>
      </c>
      <c r="AI8" s="675"/>
      <c r="AJ8" s="575" t="str">
        <f>B8</f>
        <v>ACCESSORIES</v>
      </c>
      <c r="AK8" s="761"/>
      <c r="AL8" s="761"/>
      <c r="AM8" s="761"/>
      <c r="AN8" s="613"/>
      <c r="AO8" s="761"/>
      <c r="AP8" s="761"/>
      <c r="AQ8" s="761"/>
      <c r="AR8" s="613"/>
      <c r="AS8" s="761"/>
      <c r="AT8" s="761"/>
      <c r="AU8" s="761"/>
      <c r="AV8" s="613"/>
      <c r="AW8" s="761"/>
      <c r="AX8" s="761"/>
      <c r="AY8" s="761"/>
      <c r="BA8" s="575" t="str">
        <f t="shared" ref="BA8:BA23" si="82">B8</f>
        <v>ACCESSORIES</v>
      </c>
      <c r="BB8" s="677">
        <f ca="1">MAX(IF(ISNA(VLOOKUP($BB$4,TIME!$M$40:$M$42,1,FALSE)),0,HLOOKUP(BB$4,'NWC_FC_NON-NOOS'!$S$4:$AH$23,MATCH($BA8,'NWC_FC_NON-NOOS'!$S$4:$S$23,0),FALSE)-CJ8),0)</f>
        <v>0</v>
      </c>
      <c r="BC8" s="677">
        <f ca="1">IF(ISNA(VLOOKUP(BC$4,TIME!$M$40:$M$42,1,FALSE)),0,IF(HLOOKUP(BC$4,'NWC_FC_NON-NOOS'!$S$4:$AH$23,MATCH($BA8,'NWC_FC_NON-NOOS'!$S$4:$S$23,0),FALSE)-CK8-SUM($BB8:BB8)&gt;0,HLOOKUP(BC$4,'NWC_FC_NON-NOOS'!$S$4:$AH$23,MATCH($BA8,'NWC_FC_NON-NOOS'!$S$4:$S$23,0),FALSE)-CK8-SUM($BB8:BB8),0))</f>
        <v>0</v>
      </c>
      <c r="BD8" s="677">
        <f ca="1">IF(ISNA(VLOOKUP(BD$4,TIME!$M$40:$M$42,1,FALSE)),0,IF(HLOOKUP(BD$4,'NWC_FC_NON-NOOS'!$S$4:$AH$23,MATCH($BA8,'NWC_FC_NON-NOOS'!$S$4:$S$23,0),FALSE)-CL8-SUM($BB8:BC8)&gt;0,HLOOKUP(BD$4,'NWC_FC_NON-NOOS'!$S$4:$AH$23,MATCH($BA8,'NWC_FC_NON-NOOS'!$S$4:$S$23,0),FALSE)-CL8-SUM($BB8:BC8),0))</f>
        <v>0</v>
      </c>
      <c r="BE8" s="678"/>
      <c r="BF8" s="677">
        <f ca="1">IF(HLOOKUP(BF$4,'NWC_FC_NON-NOOS'!$S$4:$AH$23,MATCH($BA8,'NWC_FC_NON-NOOS'!$S$4:$S$23,0),FALSE)-CN8-SUM($BB8:BE8)&gt;0,HLOOKUP(BF$4,'NWC_FC_NON-NOOS'!$S$4:$AH$23,MATCH($BA8,'NWC_FC_NON-NOOS'!$S$4:$S$23,0),FALSE)-CN8-SUM($BB8:BE8),0)</f>
        <v>0</v>
      </c>
      <c r="BG8" s="677">
        <f ca="1">IF(HLOOKUP(BG$4,'NWC_FC_NON-NOOS'!$S$4:$AH$23,MATCH($BA8,'NWC_FC_NON-NOOS'!$S$4:$S$23,0),FALSE)-CO8-SUM($BB8:BF8)&gt;0,HLOOKUP(BG$4,'NWC_FC_NON-NOOS'!$S$4:$AH$23,MATCH($BA8,'NWC_FC_NON-NOOS'!$S$4:$S$23,0),FALSE)-CO8-SUM($BB8:BF8),0)</f>
        <v>0</v>
      </c>
      <c r="BH8" s="677">
        <f ca="1">IF(HLOOKUP(BH$4,'NWC_FC_NON-NOOS'!$S$4:$AH$23,MATCH($BA8,'NWC_FC_NON-NOOS'!$S$4:$S$23,0),FALSE)-CP8-SUM($BB8:BG8)&gt;0,HLOOKUP(BH$4,'NWC_FC_NON-NOOS'!$S$4:$AH$23,MATCH($BA8,'NWC_FC_NON-NOOS'!$S$4:$S$23,0),FALSE)-CP8-SUM($BB8:BG8),0)</f>
        <v>0</v>
      </c>
      <c r="BI8" s="678"/>
      <c r="BJ8" s="677">
        <f ca="1">IF(HLOOKUP(BJ$4,'NWC_FC_NON-NOOS'!$S$4:$AH$23,MATCH($BA8,'NWC_FC_NON-NOOS'!$S$4:$S$23,0),FALSE)-CR8-SUM($BB8:BI8)&gt;0,HLOOKUP(BJ$4,'NWC_FC_NON-NOOS'!$S$4:$AH$23,MATCH($BA8,'NWC_FC_NON-NOOS'!$S$4:$S$23,0),FALSE)-CR8-SUM($BB8:BI8),0)</f>
        <v>0</v>
      </c>
      <c r="BK8" s="677">
        <f ca="1">IF(HLOOKUP(BK$4,'NWC_FC_NON-NOOS'!$S$4:$AH$23,MATCH($BA8,'NWC_FC_NON-NOOS'!$S$4:$S$23,0),FALSE)-CS8-SUM($BB8:BJ8)&gt;0,HLOOKUP(BK$4,'NWC_FC_NON-NOOS'!$S$4:$AH$23,MATCH($BA8,'NWC_FC_NON-NOOS'!$S$4:$S$23,0),FALSE)-CS8-SUM($BB8:BJ8),0)</f>
        <v>0</v>
      </c>
      <c r="BL8" s="677">
        <f ca="1">IF(HLOOKUP(BL$4,'NWC_FC_NON-NOOS'!$S$4:$AH$23,MATCH($BA8,'NWC_FC_NON-NOOS'!$S$4:$S$23,0),FALSE)-CT8-SUM($BB8:BK8)&gt;0,HLOOKUP(BL$4,'NWC_FC_NON-NOOS'!$S$4:$AH$23,MATCH($BA8,'NWC_FC_NON-NOOS'!$S$4:$S$23,0),FALSE)-CT8-SUM($BB8:BK8),0)</f>
        <v>0</v>
      </c>
      <c r="BM8" s="678"/>
      <c r="BN8" s="677">
        <f ca="1">IF(HLOOKUP(BN$4,'NWC_FC_NON-NOOS'!$S$4:$AH$23,MATCH($BA8,'NWC_FC_NON-NOOS'!$S$4:$S$23,0),FALSE)-CV8-SUM($BB8:BM8)&gt;0,HLOOKUP(BN$4,'NWC_FC_NON-NOOS'!$S$4:$AH$23,MATCH($BA8,'NWC_FC_NON-NOOS'!$S$4:$S$23,0),FALSE)-CV8-SUM($BB8:BM8),0)</f>
        <v>0</v>
      </c>
      <c r="BO8" s="677">
        <f ca="1">IF(HLOOKUP(BO$4,'NWC_FC_NON-NOOS'!$S$4:$AH$23,MATCH($BA8,'NWC_FC_NON-NOOS'!$S$4:$S$23,0),FALSE)-CW8-SUM($BB8:BN8)&gt;0,HLOOKUP(BO$4,'NWC_FC_NON-NOOS'!$S$4:$AH$23,MATCH($BA8,'NWC_FC_NON-NOOS'!$S$4:$S$23,0),FALSE)-CW8-SUM($BB8:BN8),0)</f>
        <v>0</v>
      </c>
      <c r="BP8" s="677">
        <f ca="1">IF(HLOOKUP(BP$4,'NWC_FC_NON-NOOS'!$S$4:$AH$23,MATCH($BA8,'NWC_FC_NON-NOOS'!$S$4:$S$23,0),FALSE)-CX8-SUM($BB8:BO8)&gt;0,HLOOKUP(BP$4,'NWC_FC_NON-NOOS'!$S$4:$AH$23,MATCH($BA8,'NWC_FC_NON-NOOS'!$S$4:$S$23,0),FALSE)-CX8-SUM($BB8:BO8),0)</f>
        <v>0</v>
      </c>
      <c r="BR8" s="575" t="str">
        <f>BA8</f>
        <v>ACCESSORIES</v>
      </c>
      <c r="BS8" s="786">
        <f ca="1">IF(BS$2=TIME!$E$5,SUMIFS(OPEN_ORDERS!$E:$E,OPEN_ORDERS!$B:$B,"&lt;="&amp;BS$2,OPEN_ORDERS!$C:$C,$BA8,OPEN_ORDERS!$D:$D,$BA$2)+SUMIFS(OPEN_ORDERS!$E:$E,OPEN_ORDERS!$B:$B,"IMMEDIATELY",OPEN_ORDERS!$C:$C,$BA8,OPEN_ORDERS!$D:$D,$BA$2),SUMIFS(OPEN_ORDERS!$E:$E,OPEN_ORDERS!$B:$B,BS$2,OPEN_ORDERS!$C:$C,$BA8,OPEN_ORDERS!$D:$D,$BA$2))</f>
        <v>10647</v>
      </c>
      <c r="BT8" s="677">
        <f ca="1">IF(BT$2=TIME!$E$5,SUMIFS(OPEN_ORDERS!$E:$E,OPEN_ORDERS!$B:$B,"&lt;="&amp;BT$2,OPEN_ORDERS!$C:$C,$BA8,OPEN_ORDERS!$D:$D,$BA$2)+SUMIFS(OPEN_ORDERS!$E:$E,OPEN_ORDERS!$B:$B,"IMMEDIATELY",OPEN_ORDERS!$C:$C,$BA8,OPEN_ORDERS!$D:$D,$BA$2),SUMIFS(OPEN_ORDERS!$E:$E,OPEN_ORDERS!$B:$B,BT$2,OPEN_ORDERS!$C:$C,$BA8,OPEN_ORDERS!$D:$D,$BA$2))</f>
        <v>8299</v>
      </c>
      <c r="BU8" s="677">
        <f ca="1">IF(BU$2=TIME!$E$5,SUMIFS(OPEN_ORDERS!$E:$E,OPEN_ORDERS!$B:$B,"&lt;="&amp;BU$2,OPEN_ORDERS!$C:$C,$BA8,OPEN_ORDERS!$D:$D,$BA$2)+SUMIFS(OPEN_ORDERS!$E:$E,OPEN_ORDERS!$B:$B,"IMMEDIATELY",OPEN_ORDERS!$C:$C,$BA8,OPEN_ORDERS!$D:$D,$BA$2),SUMIFS(OPEN_ORDERS!$E:$E,OPEN_ORDERS!$B:$B,BU$2,OPEN_ORDERS!$C:$C,$BA8,OPEN_ORDERS!$D:$D,$BA$2))</f>
        <v>24545</v>
      </c>
      <c r="BV8" s="678"/>
      <c r="BW8" s="677">
        <f ca="1">SUMIFS(OPEN_ORDERS!$E:$E,OPEN_ORDERS!$B:$B,BW$2,OPEN_ORDERS!$C:$C,$BA8,OPEN_ORDERS!$D:$D,$BA$2)</f>
        <v>1217</v>
      </c>
      <c r="BX8" s="677">
        <f ca="1">SUMIFS(OPEN_ORDERS!$E:$E,OPEN_ORDERS!$B:$B,BX$2,OPEN_ORDERS!$C:$C,$BA8,OPEN_ORDERS!$D:$D,$BA$2)</f>
        <v>0</v>
      </c>
      <c r="BY8" s="677">
        <f ca="1">SUMIFS(OPEN_ORDERS!$E:$E,OPEN_ORDERS!$B:$B,BY$2,OPEN_ORDERS!$C:$C,$BA8,OPEN_ORDERS!$D:$D,$BA$2)</f>
        <v>0</v>
      </c>
      <c r="BZ8" s="678"/>
      <c r="CA8" s="677">
        <f ca="1">SUMIFS(OPEN_ORDERS!$E:$E,OPEN_ORDERS!$B:$B,CA$2,OPEN_ORDERS!$C:$C,$BA8,OPEN_ORDERS!$D:$D,$BA$2)</f>
        <v>0</v>
      </c>
      <c r="CB8" s="677">
        <f ca="1">SUMIFS(OPEN_ORDERS!$E:$E,OPEN_ORDERS!$B:$B,CB$2,OPEN_ORDERS!$C:$C,$BA8,OPEN_ORDERS!$D:$D,$BA$2)</f>
        <v>0</v>
      </c>
      <c r="CC8" s="677">
        <f ca="1">SUMIFS(OPEN_ORDERS!$E:$E,OPEN_ORDERS!$B:$B,CC$2,OPEN_ORDERS!$C:$C,$BA8,OPEN_ORDERS!$D:$D,$BA$2)</f>
        <v>0</v>
      </c>
      <c r="CD8" s="678"/>
      <c r="CE8" s="677">
        <f ca="1">SUMIFS(OPEN_ORDERS!$E:$E,OPEN_ORDERS!$B:$B,CE$2,OPEN_ORDERS!$C:$C,$BA8,OPEN_ORDERS!$D:$D,$BA$2)</f>
        <v>0</v>
      </c>
      <c r="CF8" s="677">
        <f ca="1">SUMIFS(OPEN_ORDERS!$E:$E,OPEN_ORDERS!$B:$B,CF$2,OPEN_ORDERS!$C:$C,$BA8,OPEN_ORDERS!$D:$D,$BA$2)</f>
        <v>0</v>
      </c>
      <c r="CG8" s="677">
        <f ca="1">SUMIFS(OPEN_ORDERS!$E:$E,OPEN_ORDERS!$B:$B,CG$2,OPEN_ORDERS!$C:$C,$BA8,OPEN_ORDERS!$D:$D,$BA$2)</f>
        <v>0</v>
      </c>
      <c r="CI8" s="1" t="str">
        <f>BR8</f>
        <v>ACCESSORIES</v>
      </c>
      <c r="CJ8" s="677">
        <f ca="1">IF($CJ$7="Aug",SUMIFS(HIS_STOCK!$F:$F,HIS_STOCK!$A:$A,$BA$2,HIS_STOCK!$C:$C,$CI8,HIS_STOCK!$D:$D,$CK$1,HIS_STOCK!$E:$E,$CL$1)+BS8-(AK8*1000)-T8-HLOOKUP($CJ$4,'NWC_FC_NON-NOOS'!$C$50:$U$69,MATCH($CI8,'NWC_FC_NON-NOOS'!$B$50:$B$69,0),FALSE),IF($CJ$2=TIME!$E$5,SUMIFS(HIS_STOCK!$F:$F,HIS_STOCK!$A:$A,$BA$2,HIS_STOCK!$C:$C,$CI8,HIS_STOCK!$D:$D,$CJ$5,HIS_STOCK!$E:$E,$CL$1)+BS8-(AK8*1000)-T8-HLOOKUP($CJ$4,'NWC_FC_NON-NOOS'!$C$50:$U$69,MATCH($CI8,'NWC_FC_NON-NOOS'!$B$50:$B$69,0),FALSE),SUMIFS(HIS_STOCK!$F:$F,HIS_STOCK!$A:$A,$BA$2,HIS_STOCK!$C:$C,$CI8,HIS_STOCK!$D:$D,$CJ$5,HIS_STOCK!$E:$E,CJ$7)))</f>
        <v>0</v>
      </c>
      <c r="CK8" s="677">
        <f ca="1">IF(SUMIFS(HIS_STOCK!$F:$F,HIS_STOCK!$A:$A,$BA$2,HIS_STOCK!$C:$C,$CI8,HIS_STOCK!$D:$D,$CJ$5,HIS_STOCK!$E:$E,CK$7)&lt;&gt;0,SUMIFS(HIS_STOCK!$F:$F,HIS_STOCK!$A:$A,$BA$2,HIS_STOCK!$C:$C,$CI8,HIS_STOCK!$D:$D,$CJ$5,HIS_STOCK!$E:$E,CK$7)-(AL8*1000),CJ8+BT8+((AK8-AL8)*1000)-U8-HLOOKUP(BT$4,'NWC_FC_NON-NOOS'!$C$50:$U$69,MATCH(PLANNING_FC!$BR8,'NWC_FC_NON-NOOS'!$B$50:$B$69,0),FALSE))</f>
        <v>8299</v>
      </c>
      <c r="CL8" s="677">
        <f ca="1">IF(SUMIFS(HIS_STOCK!$F:$F,HIS_STOCK!$A:$A,$BA$2,HIS_STOCK!$C:$C,$CI8,HIS_STOCK!$D:$D,$CJ$5,HIS_STOCK!$E:$E,CL$7)&lt;&gt;0,SUMIFS(HIS_STOCK!$F:$F,HIS_STOCK!$A:$A,$BA$2,HIS_STOCK!$C:$C,$CI8,HIS_STOCK!$D:$D,$CJ$5,HIS_STOCK!$E:$E,CL$7)-(AM8*1000),CK8+BU8+((AL8-AM8)*1000)-V8-HLOOKUP(BU$4,'NWC_FC_NON-NOOS'!$C$50:$U$69,MATCH(PLANNING_FC!$BR8,'NWC_FC_NON-NOOS'!$B$50:$B$69,0),FALSE))</f>
        <v>32844</v>
      </c>
      <c r="CM8" s="678"/>
      <c r="CN8" s="677">
        <f ca="1">CL8+BW8+((AM8-AO8)*1000)-X8-HLOOKUP(CN$4,'NWC_FC_NON-NOOS'!$C$50:$U$69,MATCH(PLANNING_FC!$BR8,'NWC_FC_NON-NOOS'!$B$50:$B$69,0),FALSE)</f>
        <v>34061</v>
      </c>
      <c r="CO8" s="677">
        <f ca="1">CN8+BX8+((AO8-AP8)*1000)-Y8-HLOOKUP(CO$4,'NWC_FC_NON-NOOS'!$C$50:$U$69,MATCH(PLANNING_FC!$BR8,'NWC_FC_NON-NOOS'!$B$50:$B$69,0),FALSE)</f>
        <v>34061</v>
      </c>
      <c r="CP8" s="677">
        <f ca="1">CO8+BY8+((AP8-AQ8)*1000)-Z8-HLOOKUP(CP$4,'NWC_FC_NON-NOOS'!$C$50:$U$69,MATCH(PLANNING_FC!$BR8,'NWC_FC_NON-NOOS'!$B$50:$B$69,0),FALSE)</f>
        <v>34061</v>
      </c>
      <c r="CQ8" s="678"/>
      <c r="CR8" s="677">
        <f ca="1">CP8+CA8+((AQ8-AS8)*1000)-AB8-HLOOKUP(CR$4,'NWC_FC_NON-NOOS'!$C$50:$U$69,MATCH(PLANNING_FC!$BR8,'NWC_FC_NON-NOOS'!$B$50:$B$69,0),FALSE)</f>
        <v>34061</v>
      </c>
      <c r="CS8" s="677">
        <f ca="1">CR8+CB8+((AS8-AT8)*1000)-AC8-HLOOKUP(CS$4,'NWC_FC_NON-NOOS'!$C$50:$U$69,MATCH(PLANNING_FC!$BR8,'NWC_FC_NON-NOOS'!$B$50:$B$69,0),FALSE)</f>
        <v>34061</v>
      </c>
      <c r="CT8" s="677">
        <f ca="1">CS8+CC8+((AT8-AU8)*1000)-AD8-HLOOKUP(CT$4,'NWC_FC_NON-NOOS'!$C$50:$U$69,MATCH(PLANNING_FC!$BR8,'NWC_FC_NON-NOOS'!$B$50:$B$69,0),FALSE)</f>
        <v>34061</v>
      </c>
      <c r="CU8" s="678"/>
      <c r="CV8" s="677">
        <f ca="1">CT8+CE8+((AU8-AW8)*1000)-AF8-HLOOKUP(CV$4,'NWC_FC_NON-NOOS'!$C$50:$U$69,MATCH(PLANNING_FC!$BR8,'NWC_FC_NON-NOOS'!$B$50:$B$69,0),FALSE)</f>
        <v>34061</v>
      </c>
      <c r="CW8" s="677">
        <f ca="1">CV8+CF8+((AW8-AX8)*1000)-AG8-HLOOKUP(CW$4,'NWC_FC_NON-NOOS'!$C$50:$U$69,MATCH(PLANNING_FC!$BR8,'NWC_FC_NON-NOOS'!$B$50:$B$69,0),FALSE)</f>
        <v>34061</v>
      </c>
      <c r="CX8" s="677">
        <f ca="1">CW8+CG8+((AX8-AY8)*1000)-AH8-HLOOKUP(CX$4,'NWC_FC_NON-NOOS'!$C$50:$U$69,MATCH(PLANNING_FC!$BR8,'NWC_FC_NON-NOOS'!$B$50:$B$69,0),FALSE)</f>
        <v>34061</v>
      </c>
      <c r="CY8" s="746"/>
      <c r="CZ8" s="575" t="str">
        <f>CI8</f>
        <v>ACCESSORIES</v>
      </c>
      <c r="DA8" s="677">
        <f ca="1">IF(STOCK_OVERVIEW!C$41="ACT",SUMIFS(HIS_STOCK!$F:$F,HIS_STOCK!$A:$A,PLANNING_FC!$BA$2,HIS_STOCK!$C:$C,PLANNING_FC!$CZ8,HIS_STOCK!$D:$D,PLANNING_FC!$DA$5,HIS_STOCK!$E:$E,PLANNING_FC!DA$7),CJ8+SUM($BB8:BB8))</f>
        <v>0</v>
      </c>
      <c r="DB8" s="677">
        <f ca="1">IF(STOCK_OVERVIEW!D$41="ACT",SUMIFS(HIS_STOCK!$F:$F,HIS_STOCK!$A:$A,PLANNING_FC!$BA$2,HIS_STOCK!$C:$C,PLANNING_FC!$CZ8,HIS_STOCK!$D:$D,PLANNING_FC!$DA$5,HIS_STOCK!$E:$E,PLANNING_FC!DB$7),CK8+SUM($BB8:BC8))</f>
        <v>0</v>
      </c>
      <c r="DC8" s="677">
        <f ca="1">CL8+SUM($BB8:BD8)</f>
        <v>32844</v>
      </c>
      <c r="DD8" s="678"/>
      <c r="DE8" s="677">
        <f ca="1">CN8+SUM($BB8:BF8)</f>
        <v>34061</v>
      </c>
      <c r="DF8" s="677">
        <f ca="1">CO8+SUM($BB8:BG8)</f>
        <v>34061</v>
      </c>
      <c r="DG8" s="677">
        <f ca="1">CP8+SUM($BB8:BH8)</f>
        <v>34061</v>
      </c>
      <c r="DH8" s="678"/>
      <c r="DI8" s="677">
        <f ca="1">CR8+SUM($BB8:BJ8)</f>
        <v>34061</v>
      </c>
      <c r="DJ8" s="677">
        <f ca="1">CS8+SUM($BB8:BK8)</f>
        <v>34061</v>
      </c>
      <c r="DK8" s="677">
        <f ca="1">CT8+SUM($BB8:BL8)</f>
        <v>34061</v>
      </c>
      <c r="DL8" s="678"/>
      <c r="DM8" s="677">
        <f ca="1">CV8+SUM($BB8:BN8)</f>
        <v>34061</v>
      </c>
      <c r="DN8" s="677">
        <f ca="1">CW8+SUM($BB8:BO8)</f>
        <v>34061</v>
      </c>
      <c r="DO8" s="677">
        <f ca="1">CX8+SUM($BB8:BP8)</f>
        <v>34061</v>
      </c>
      <c r="DQ8" s="575" t="str">
        <f>CZ8</f>
        <v>ACCESSORIES</v>
      </c>
      <c r="DR8" s="677">
        <f ca="1">IF($DT$7="Aug",SUMIFS(HIS_STOCK!$F:$F,HIS_STOCK!$A:$A,$BA$2,HIS_STOCK!$C:$C,$DQ8,HIS_STOCK!$D:$D,$DR$4,HIS_STOCK!$E:$E,$DR$7),SUMIFS(HIS_STOCK!$F:$F,HIS_STOCK!$A:$A,$BA$2,HIS_STOCK!$C:$C,$DQ8,HIS_STOCK!$D:$D,$DR$5,HIS_STOCK!$E:$E,$DR$7))</f>
        <v>0</v>
      </c>
      <c r="DS8" s="677"/>
      <c r="DT8" s="677">
        <f ca="1">'NWC_FC_NON-NOOS'!T8</f>
        <v>0</v>
      </c>
      <c r="DU8" s="677">
        <f ca="1">'NWC_FC_NON-NOOS'!U8</f>
        <v>0</v>
      </c>
      <c r="DV8" s="677">
        <f ca="1">'NWC_FC_NON-NOOS'!V8</f>
        <v>0</v>
      </c>
      <c r="DW8" s="678"/>
      <c r="DX8" s="677">
        <f ca="1">'NWC_FC_NON-NOOS'!X8</f>
        <v>0</v>
      </c>
      <c r="DY8" s="677">
        <f ca="1">'NWC_FC_NON-NOOS'!Y8</f>
        <v>0</v>
      </c>
      <c r="DZ8" s="677">
        <f ca="1">'NWC_FC_NON-NOOS'!Z8</f>
        <v>0</v>
      </c>
      <c r="EA8" s="678"/>
      <c r="EB8" s="677">
        <f ca="1">'NWC_FC_NON-NOOS'!AB8</f>
        <v>0</v>
      </c>
      <c r="EC8" s="677">
        <f ca="1">'NWC_FC_NON-NOOS'!AC8</f>
        <v>0</v>
      </c>
      <c r="ED8" s="677">
        <f ca="1">'NWC_FC_NON-NOOS'!AD8</f>
        <v>0</v>
      </c>
      <c r="EE8" s="678"/>
      <c r="EF8" s="677">
        <f ca="1">'NWC_FC_NON-NOOS'!AF8</f>
        <v>0</v>
      </c>
      <c r="EG8" s="677">
        <f ca="1">'NWC_FC_NON-NOOS'!AG8</f>
        <v>0</v>
      </c>
      <c r="EH8" s="677">
        <f ca="1">'NWC_FC_NON-NOOS'!AH8</f>
        <v>0</v>
      </c>
    </row>
    <row r="9" spans="1:138" x14ac:dyDescent="0.25">
      <c r="B9" s="575" t="str">
        <f>'NWC_FC_NON-NOOS'!B9</f>
        <v>DRESSES</v>
      </c>
      <c r="C9" s="802"/>
      <c r="D9" s="761"/>
      <c r="E9" s="761"/>
      <c r="F9" s="761"/>
      <c r="G9" s="613"/>
      <c r="H9" s="761"/>
      <c r="I9" s="761"/>
      <c r="J9" s="761"/>
      <c r="K9" s="613"/>
      <c r="L9" s="761"/>
      <c r="M9" s="761"/>
      <c r="N9" s="761"/>
      <c r="O9" s="613"/>
      <c r="P9" s="761"/>
      <c r="Q9" s="761"/>
      <c r="R9" s="761"/>
      <c r="T9" s="675">
        <f t="shared" ca="1" si="70"/>
        <v>0</v>
      </c>
      <c r="U9" s="675">
        <f t="shared" ca="1" si="71"/>
        <v>0</v>
      </c>
      <c r="V9" s="675">
        <f t="shared" ca="1" si="72"/>
        <v>0</v>
      </c>
      <c r="W9" s="675"/>
      <c r="X9" s="675">
        <f t="shared" ca="1" si="73"/>
        <v>0</v>
      </c>
      <c r="Y9" s="675">
        <f t="shared" ca="1" si="74"/>
        <v>0</v>
      </c>
      <c r="Z9" s="675">
        <f t="shared" ca="1" si="75"/>
        <v>0</v>
      </c>
      <c r="AA9" s="675"/>
      <c r="AB9" s="675">
        <f t="shared" ca="1" si="76"/>
        <v>0</v>
      </c>
      <c r="AC9" s="675">
        <f t="shared" ca="1" si="77"/>
        <v>0</v>
      </c>
      <c r="AD9" s="675">
        <f t="shared" ca="1" si="78"/>
        <v>0</v>
      </c>
      <c r="AE9" s="675"/>
      <c r="AF9" s="675">
        <f t="shared" ca="1" si="79"/>
        <v>0</v>
      </c>
      <c r="AG9" s="675">
        <f t="shared" ca="1" si="80"/>
        <v>0</v>
      </c>
      <c r="AH9" s="675">
        <f t="shared" ca="1" si="81"/>
        <v>0</v>
      </c>
      <c r="AI9" s="675"/>
      <c r="AJ9" s="575" t="str">
        <f t="shared" ref="AJ9:AJ24" si="83">B9</f>
        <v>DRESSES</v>
      </c>
      <c r="AK9" s="761"/>
      <c r="AL9" s="761"/>
      <c r="AM9" s="761"/>
      <c r="AN9" s="613"/>
      <c r="AO9" s="761"/>
      <c r="AP9" s="761"/>
      <c r="AQ9" s="761"/>
      <c r="AR9" s="613"/>
      <c r="AS9" s="761"/>
      <c r="AT9" s="761"/>
      <c r="AU9" s="761"/>
      <c r="AV9" s="613"/>
      <c r="AW9" s="761"/>
      <c r="AX9" s="761"/>
      <c r="AY9" s="761"/>
      <c r="BA9" s="575" t="str">
        <f t="shared" si="82"/>
        <v>DRESSES</v>
      </c>
      <c r="BB9" s="677">
        <f ca="1">MAX(IF(ISNA(VLOOKUP($BB$4,TIME!$M$40:$M$42,1,FALSE)),0,HLOOKUP(BB$4,'NWC_FC_NON-NOOS'!$S$4:$AH$23,MATCH($BA9,'NWC_FC_NON-NOOS'!$S$4:$S$23,0),FALSE)-CJ9),0)</f>
        <v>0</v>
      </c>
      <c r="BC9" s="677">
        <f ca="1">IF(ISNA(VLOOKUP(BC$4,TIME!$M$40:$M$42,1,FALSE)),0,IF(HLOOKUP(BC$4,'NWC_FC_NON-NOOS'!$S$4:$AH$23,MATCH($BA9,'NWC_FC_NON-NOOS'!$S$4:$S$23,0),FALSE)-CK9-SUM($BB9:BB9)&gt;0,HLOOKUP(BC$4,'NWC_FC_NON-NOOS'!$S$4:$AH$23,MATCH($BA9,'NWC_FC_NON-NOOS'!$S$4:$S$23,0),FALSE)-CK9-SUM($BB9:BB9),0))</f>
        <v>0</v>
      </c>
      <c r="BD9" s="677">
        <f ca="1">IF(ISNA(VLOOKUP(BD$4,TIME!$M$40:$M$42,1,FALSE)),0,IF(HLOOKUP(BD$4,'NWC_FC_NON-NOOS'!$S$4:$AH$23,MATCH($BA9,'NWC_FC_NON-NOOS'!$S$4:$S$23,0),FALSE)-CL9-SUM($BB9:BC9)&gt;0,HLOOKUP(BD$4,'NWC_FC_NON-NOOS'!$S$4:$AH$23,MATCH($BA9,'NWC_FC_NON-NOOS'!$S$4:$S$23,0),FALSE)-CL9-SUM($BB9:BC9),0))</f>
        <v>0</v>
      </c>
      <c r="BE9" s="678"/>
      <c r="BF9" s="677">
        <f ca="1">IF(HLOOKUP(BF$4,'NWC_FC_NON-NOOS'!$S$4:$AH$23,MATCH($BA9,'NWC_FC_NON-NOOS'!$S$4:$S$23,0),FALSE)-CN9-SUM($BB9:BE9)&gt;0,HLOOKUP(BF$4,'NWC_FC_NON-NOOS'!$S$4:$AH$23,MATCH($BA9,'NWC_FC_NON-NOOS'!$S$4:$S$23,0),FALSE)-CN9-SUM($BB9:BE9),0)</f>
        <v>0</v>
      </c>
      <c r="BG9" s="677">
        <f ca="1">IF(HLOOKUP(BG$4,'NWC_FC_NON-NOOS'!$S$4:$AH$23,MATCH($BA9,'NWC_FC_NON-NOOS'!$S$4:$S$23,0),FALSE)-CO9-SUM($BB9:BF9)&gt;0,HLOOKUP(BG$4,'NWC_FC_NON-NOOS'!$S$4:$AH$23,MATCH($BA9,'NWC_FC_NON-NOOS'!$S$4:$S$23,0),FALSE)-CO9-SUM($BB9:BF9),0)</f>
        <v>0</v>
      </c>
      <c r="BH9" s="677">
        <f ca="1">IF(HLOOKUP(BH$4,'NWC_FC_NON-NOOS'!$S$4:$AH$23,MATCH($BA9,'NWC_FC_NON-NOOS'!$S$4:$S$23,0),FALSE)-CP9-SUM($BB9:BG9)&gt;0,HLOOKUP(BH$4,'NWC_FC_NON-NOOS'!$S$4:$AH$23,MATCH($BA9,'NWC_FC_NON-NOOS'!$S$4:$S$23,0),FALSE)-CP9-SUM($BB9:BG9),0)</f>
        <v>0</v>
      </c>
      <c r="BI9" s="678"/>
      <c r="BJ9" s="677">
        <f ca="1">IF(HLOOKUP(BJ$4,'NWC_FC_NON-NOOS'!$S$4:$AH$23,MATCH($BA9,'NWC_FC_NON-NOOS'!$S$4:$S$23,0),FALSE)-CR9-SUM($BB9:BI9)&gt;0,HLOOKUP(BJ$4,'NWC_FC_NON-NOOS'!$S$4:$AH$23,MATCH($BA9,'NWC_FC_NON-NOOS'!$S$4:$S$23,0),FALSE)-CR9-SUM($BB9:BI9),0)</f>
        <v>0</v>
      </c>
      <c r="BK9" s="677">
        <f ca="1">IF(HLOOKUP(BK$4,'NWC_FC_NON-NOOS'!$S$4:$AH$23,MATCH($BA9,'NWC_FC_NON-NOOS'!$S$4:$S$23,0),FALSE)-CS9-SUM($BB9:BJ9)&gt;0,HLOOKUP(BK$4,'NWC_FC_NON-NOOS'!$S$4:$AH$23,MATCH($BA9,'NWC_FC_NON-NOOS'!$S$4:$S$23,0),FALSE)-CS9-SUM($BB9:BJ9),0)</f>
        <v>0</v>
      </c>
      <c r="BL9" s="677">
        <f ca="1">IF(HLOOKUP(BL$4,'NWC_FC_NON-NOOS'!$S$4:$AH$23,MATCH($BA9,'NWC_FC_NON-NOOS'!$S$4:$S$23,0),FALSE)-CT9-SUM($BB9:BK9)&gt;0,HLOOKUP(BL$4,'NWC_FC_NON-NOOS'!$S$4:$AH$23,MATCH($BA9,'NWC_FC_NON-NOOS'!$S$4:$S$23,0),FALSE)-CT9-SUM($BB9:BK9),0)</f>
        <v>0</v>
      </c>
      <c r="BM9" s="678"/>
      <c r="BN9" s="677">
        <f ca="1">IF(HLOOKUP(BN$4,'NWC_FC_NON-NOOS'!$S$4:$AH$23,MATCH($BA9,'NWC_FC_NON-NOOS'!$S$4:$S$23,0),FALSE)-CV9-SUM($BB9:BM9)&gt;0,HLOOKUP(BN$4,'NWC_FC_NON-NOOS'!$S$4:$AH$23,MATCH($BA9,'NWC_FC_NON-NOOS'!$S$4:$S$23,0),FALSE)-CV9-SUM($BB9:BM9),0)</f>
        <v>0</v>
      </c>
      <c r="BO9" s="677">
        <f ca="1">IF(HLOOKUP(BO$4,'NWC_FC_NON-NOOS'!$S$4:$AH$23,MATCH($BA9,'NWC_FC_NON-NOOS'!$S$4:$S$23,0),FALSE)-CW9-SUM($BB9:BN9)&gt;0,HLOOKUP(BO$4,'NWC_FC_NON-NOOS'!$S$4:$AH$23,MATCH($BA9,'NWC_FC_NON-NOOS'!$S$4:$S$23,0),FALSE)-CW9-SUM($BB9:BN9),0)</f>
        <v>0</v>
      </c>
      <c r="BP9" s="677">
        <f ca="1">IF(HLOOKUP(BP$4,'NWC_FC_NON-NOOS'!$S$4:$AH$23,MATCH($BA9,'NWC_FC_NON-NOOS'!$S$4:$S$23,0),FALSE)-CX9-SUM($BB9:BO9)&gt;0,HLOOKUP(BP$4,'NWC_FC_NON-NOOS'!$S$4:$AH$23,MATCH($BA9,'NWC_FC_NON-NOOS'!$S$4:$S$23,0),FALSE)-CX9-SUM($BB9:BO9),0)</f>
        <v>0</v>
      </c>
      <c r="BR9" s="575" t="str">
        <f t="shared" ref="BR9:BR23" si="84">BA9</f>
        <v>DRESSES</v>
      </c>
      <c r="BS9" s="678">
        <f ca="1">IF(BS$2=TIME!$E$5,SUMIFS(OPEN_ORDERS!$E:$E,OPEN_ORDERS!$B:$B,"&lt;="&amp;BS$2,OPEN_ORDERS!$C:$C,$BA9,OPEN_ORDERS!$D:$D,$BA$2)+SUMIFS(OPEN_ORDERS!$E:$E,OPEN_ORDERS!$B:$B,"IMMEDIATELY",OPEN_ORDERS!$C:$C,$BA9,OPEN_ORDERS!$D:$D,$BA$2),SUMIFS(OPEN_ORDERS!$E:$E,OPEN_ORDERS!$B:$B,BS$2,OPEN_ORDERS!$C:$C,$BA9,OPEN_ORDERS!$D:$D,$BA$2))</f>
        <v>157847</v>
      </c>
      <c r="BT9" s="677">
        <f ca="1">IF(BT$2=TIME!$E$5,SUMIFS(OPEN_ORDERS!$E:$E,OPEN_ORDERS!$B:$B,"&lt;="&amp;BT$2,OPEN_ORDERS!$C:$C,$BA9,OPEN_ORDERS!$D:$D,$BA$2)+SUMIFS(OPEN_ORDERS!$E:$E,OPEN_ORDERS!$B:$B,"IMMEDIATELY",OPEN_ORDERS!$C:$C,$BA9,OPEN_ORDERS!$D:$D,$BA$2),SUMIFS(OPEN_ORDERS!$E:$E,OPEN_ORDERS!$B:$B,BT$2,OPEN_ORDERS!$C:$C,$BA9,OPEN_ORDERS!$D:$D,$BA$2))</f>
        <v>212757</v>
      </c>
      <c r="BU9" s="677">
        <f ca="1">IF(BU$2=TIME!$E$5,SUMIFS(OPEN_ORDERS!$E:$E,OPEN_ORDERS!$B:$B,"&lt;="&amp;BU$2,OPEN_ORDERS!$C:$C,$BA9,OPEN_ORDERS!$D:$D,$BA$2)+SUMIFS(OPEN_ORDERS!$E:$E,OPEN_ORDERS!$B:$B,"IMMEDIATELY",OPEN_ORDERS!$C:$C,$BA9,OPEN_ORDERS!$D:$D,$BA$2),SUMIFS(OPEN_ORDERS!$E:$E,OPEN_ORDERS!$B:$B,BU$2,OPEN_ORDERS!$C:$C,$BA9,OPEN_ORDERS!$D:$D,$BA$2))</f>
        <v>596038</v>
      </c>
      <c r="BV9" s="678"/>
      <c r="BW9" s="677">
        <f ca="1">SUMIFS(OPEN_ORDERS!$E:$E,OPEN_ORDERS!$B:$B,BW$2,OPEN_ORDERS!$C:$C,$BA9,OPEN_ORDERS!$D:$D,$BA$2)</f>
        <v>92806</v>
      </c>
      <c r="BX9" s="677">
        <f ca="1">SUMIFS(OPEN_ORDERS!$E:$E,OPEN_ORDERS!$B:$B,BX$2,OPEN_ORDERS!$C:$C,$BA9,OPEN_ORDERS!$D:$D,$BA$2)</f>
        <v>14965</v>
      </c>
      <c r="BY9" s="677">
        <f ca="1">SUMIFS(OPEN_ORDERS!$E:$E,OPEN_ORDERS!$B:$B,BY$2,OPEN_ORDERS!$C:$C,$BA9,OPEN_ORDERS!$D:$D,$BA$2)</f>
        <v>3391</v>
      </c>
      <c r="BZ9" s="678"/>
      <c r="CA9" s="677">
        <f ca="1">SUMIFS(OPEN_ORDERS!$E:$E,OPEN_ORDERS!$B:$B,CA$2,OPEN_ORDERS!$C:$C,$BA9,OPEN_ORDERS!$D:$D,$BA$2)</f>
        <v>0</v>
      </c>
      <c r="CB9" s="677">
        <f ca="1">SUMIFS(OPEN_ORDERS!$E:$E,OPEN_ORDERS!$B:$B,CB$2,OPEN_ORDERS!$C:$C,$BA9,OPEN_ORDERS!$D:$D,$BA$2)</f>
        <v>0</v>
      </c>
      <c r="CC9" s="677">
        <f ca="1">SUMIFS(OPEN_ORDERS!$E:$E,OPEN_ORDERS!$B:$B,CC$2,OPEN_ORDERS!$C:$C,$BA9,OPEN_ORDERS!$D:$D,$BA$2)</f>
        <v>0</v>
      </c>
      <c r="CD9" s="678"/>
      <c r="CE9" s="677">
        <f ca="1">SUMIFS(OPEN_ORDERS!$E:$E,OPEN_ORDERS!$B:$B,CE$2,OPEN_ORDERS!$C:$C,$BA9,OPEN_ORDERS!$D:$D,$BA$2)</f>
        <v>0</v>
      </c>
      <c r="CF9" s="677">
        <f ca="1">SUMIFS(OPEN_ORDERS!$E:$E,OPEN_ORDERS!$B:$B,CF$2,OPEN_ORDERS!$C:$C,$BA9,OPEN_ORDERS!$D:$D,$BA$2)</f>
        <v>0</v>
      </c>
      <c r="CG9" s="677">
        <f ca="1">SUMIFS(OPEN_ORDERS!$E:$E,OPEN_ORDERS!$B:$B,CG$2,OPEN_ORDERS!$C:$C,$BA9,OPEN_ORDERS!$D:$D,$BA$2)</f>
        <v>0</v>
      </c>
      <c r="CI9" s="1" t="str">
        <f t="shared" ref="CI9:CI23" si="85">BR9</f>
        <v>DRESSES</v>
      </c>
      <c r="CJ9" s="677">
        <f ca="1">IF($CJ$7="Aug",SUMIFS(HIS_STOCK!$F:$F,HIS_STOCK!$A:$A,$BA$2,HIS_STOCK!$C:$C,$CI9,HIS_STOCK!$D:$D,$CK$1,HIS_STOCK!$E:$E,$CL$1)+BS9-(AK9*1000)-T9-HLOOKUP($CJ$4,'NWC_FC_NON-NOOS'!$C$50:$U$69,MATCH($CI9,'NWC_FC_NON-NOOS'!$B$50:$B$69,0),FALSE),IF($CJ$2=TIME!$E$5,SUMIFS(HIS_STOCK!$F:$F,HIS_STOCK!$A:$A,$BA$2,HIS_STOCK!$C:$C,$CI9,HIS_STOCK!$D:$D,$CJ$5,HIS_STOCK!$E:$E,$CL$1)+BS9-(AK9*1000)-T9-HLOOKUP($CJ$4,'NWC_FC_NON-NOOS'!$C$50:$U$69,MATCH($CI9,'NWC_FC_NON-NOOS'!$B$50:$B$69,0),FALSE),SUMIFS(HIS_STOCK!$F:$F,HIS_STOCK!$A:$A,$BA$2,HIS_STOCK!$C:$C,$CI9,HIS_STOCK!$D:$D,$CJ$5,HIS_STOCK!$E:$E,CJ$7)))</f>
        <v>0</v>
      </c>
      <c r="CK9" s="677">
        <f ca="1">IF(SUMIFS(HIS_STOCK!$F:$F,HIS_STOCK!$A:$A,$BA$2,HIS_STOCK!$C:$C,$CI9,HIS_STOCK!$D:$D,$CJ$5,HIS_STOCK!$E:$E,CK$7)&lt;&gt;0,SUMIFS(HIS_STOCK!$F:$F,HIS_STOCK!$A:$A,$BA$2,HIS_STOCK!$C:$C,$CI9,HIS_STOCK!$D:$D,$CJ$5,HIS_STOCK!$E:$E,CK$7)-(AL9*1000),CJ9+BT9+((AK9-AL9)*1000)-U9-HLOOKUP(BT$4,'NWC_FC_NON-NOOS'!$C$50:$U$69,MATCH(PLANNING_FC!$BR9,'NWC_FC_NON-NOOS'!$B$50:$B$69,0),FALSE))</f>
        <v>212757</v>
      </c>
      <c r="CL9" s="677">
        <f ca="1">IF(SUMIFS(HIS_STOCK!$F:$F,HIS_STOCK!$A:$A,$BA$2,HIS_STOCK!$C:$C,$CI9,HIS_STOCK!$D:$D,$CJ$5,HIS_STOCK!$E:$E,CL$7)&lt;&gt;0,SUMIFS(HIS_STOCK!$F:$F,HIS_STOCK!$A:$A,$BA$2,HIS_STOCK!$C:$C,$CI9,HIS_STOCK!$D:$D,$CJ$5,HIS_STOCK!$E:$E,CL$7)-(AM9*1000),CK9+BU9+((AL9-AM9)*1000)-V9-HLOOKUP(BU$4,'NWC_FC_NON-NOOS'!$C$50:$U$69,MATCH(PLANNING_FC!$BR9,'NWC_FC_NON-NOOS'!$B$50:$B$69,0),FALSE))</f>
        <v>808795</v>
      </c>
      <c r="CM9" s="678"/>
      <c r="CN9" s="677">
        <f ca="1">CL9+BW9+((AM9-AO9)*1000)-X9-HLOOKUP(CN$4,'NWC_FC_NON-NOOS'!$C$50:$U$69,MATCH(PLANNING_FC!$BR9,'NWC_FC_NON-NOOS'!$B$50:$B$69,0),FALSE)</f>
        <v>901601</v>
      </c>
      <c r="CO9" s="677">
        <f ca="1">CN9+BX9+((AO9-AP9)*1000)-Y9-HLOOKUP(CO$4,'NWC_FC_NON-NOOS'!$C$50:$U$69,MATCH(PLANNING_FC!$BR9,'NWC_FC_NON-NOOS'!$B$50:$B$69,0),FALSE)</f>
        <v>916566</v>
      </c>
      <c r="CP9" s="677">
        <f ca="1">CO9+BY9+((AP9-AQ9)*1000)-Z9-HLOOKUP(CP$4,'NWC_FC_NON-NOOS'!$C$50:$U$69,MATCH(PLANNING_FC!$BR9,'NWC_FC_NON-NOOS'!$B$50:$B$69,0),FALSE)</f>
        <v>919957</v>
      </c>
      <c r="CQ9" s="678"/>
      <c r="CR9" s="677">
        <f ca="1">CP9+CA9+((AQ9-AS9)*1000)-AB9-HLOOKUP(CR$4,'NWC_FC_NON-NOOS'!$C$50:$U$69,MATCH(PLANNING_FC!$BR9,'NWC_FC_NON-NOOS'!$B$50:$B$69,0),FALSE)</f>
        <v>919957</v>
      </c>
      <c r="CS9" s="677">
        <f ca="1">CR9+CB9+((AS9-AT9)*1000)-AC9-HLOOKUP(CS$4,'NWC_FC_NON-NOOS'!$C$50:$U$69,MATCH(PLANNING_FC!$BR9,'NWC_FC_NON-NOOS'!$B$50:$B$69,0),FALSE)</f>
        <v>919957</v>
      </c>
      <c r="CT9" s="677">
        <f ca="1">CS9+CC9+((AT9-AU9)*1000)-AD9-HLOOKUP(CT$4,'NWC_FC_NON-NOOS'!$C$50:$U$69,MATCH(PLANNING_FC!$BR9,'NWC_FC_NON-NOOS'!$B$50:$B$69,0),FALSE)</f>
        <v>919957</v>
      </c>
      <c r="CU9" s="678"/>
      <c r="CV9" s="677">
        <f ca="1">CT9+CE9+((AU9-AW9)*1000)-AF9-HLOOKUP(CV$4,'NWC_FC_NON-NOOS'!$C$50:$U$69,MATCH(PLANNING_FC!$BR9,'NWC_FC_NON-NOOS'!$B$50:$B$69,0),FALSE)</f>
        <v>919957</v>
      </c>
      <c r="CW9" s="677">
        <f ca="1">CV9+CF9+((AW9-AX9)*1000)-AG9-HLOOKUP(CW$4,'NWC_FC_NON-NOOS'!$C$50:$U$69,MATCH(PLANNING_FC!$BR9,'NWC_FC_NON-NOOS'!$B$50:$B$69,0),FALSE)</f>
        <v>919957</v>
      </c>
      <c r="CX9" s="677">
        <f ca="1">CW9+CG9+((AX9-AY9)*1000)-AH9-HLOOKUP(CX$4,'NWC_FC_NON-NOOS'!$C$50:$U$69,MATCH(PLANNING_FC!$BR9,'NWC_FC_NON-NOOS'!$B$50:$B$69,0),FALSE)</f>
        <v>919957</v>
      </c>
      <c r="CY9" s="746"/>
      <c r="CZ9" s="575" t="str">
        <f t="shared" ref="CZ9:CZ23" si="86">CI9</f>
        <v>DRESSES</v>
      </c>
      <c r="DA9" s="677">
        <f ca="1">IF(STOCK_OVERVIEW!C$41="ACT",SUMIFS(HIS_STOCK!$F:$F,HIS_STOCK!$A:$A,PLANNING_FC!$BA$2,HIS_STOCK!$C:$C,PLANNING_FC!$CZ9,HIS_STOCK!$D:$D,PLANNING_FC!$DA$5,HIS_STOCK!$E:$E,PLANNING_FC!DA$7),CJ9+SUM($BB9:BB9))</f>
        <v>0</v>
      </c>
      <c r="DB9" s="677">
        <f ca="1">IF(STOCK_OVERVIEW!D$41="ACT",SUMIFS(HIS_STOCK!$F:$F,HIS_STOCK!$A:$A,PLANNING_FC!$BA$2,HIS_STOCK!$C:$C,PLANNING_FC!$CZ9,HIS_STOCK!$D:$D,PLANNING_FC!$DA$5,HIS_STOCK!$E:$E,PLANNING_FC!DB$7),CK9+SUM($BB9:BC9))</f>
        <v>0</v>
      </c>
      <c r="DC9" s="677">
        <f ca="1">CL9+SUM($BB9:BD9)</f>
        <v>808795</v>
      </c>
      <c r="DD9" s="678"/>
      <c r="DE9" s="677">
        <f ca="1">CN9+SUM($BB9:BF9)</f>
        <v>901601</v>
      </c>
      <c r="DF9" s="677">
        <f ca="1">CO9+SUM($BB9:BG9)</f>
        <v>916566</v>
      </c>
      <c r="DG9" s="677">
        <f ca="1">CP9+SUM($BB9:BH9)</f>
        <v>919957</v>
      </c>
      <c r="DH9" s="678"/>
      <c r="DI9" s="677">
        <f ca="1">CR9+SUM($BB9:BJ9)</f>
        <v>919957</v>
      </c>
      <c r="DJ9" s="677">
        <f ca="1">CS9+SUM($BB9:BK9)</f>
        <v>919957</v>
      </c>
      <c r="DK9" s="677">
        <f ca="1">CT9+SUM($BB9:BL9)</f>
        <v>919957</v>
      </c>
      <c r="DL9" s="678"/>
      <c r="DM9" s="677">
        <f ca="1">CV9+SUM($BB9:BN9)</f>
        <v>919957</v>
      </c>
      <c r="DN9" s="677">
        <f ca="1">CW9+SUM($BB9:BO9)</f>
        <v>919957</v>
      </c>
      <c r="DO9" s="677">
        <f ca="1">CX9+SUM($BB9:BP9)</f>
        <v>919957</v>
      </c>
      <c r="DQ9" s="575" t="str">
        <f t="shared" ref="DQ9:DQ23" si="87">CZ9</f>
        <v>DRESSES</v>
      </c>
      <c r="DR9" s="677">
        <f ca="1">IF($DT$7="Aug",SUMIFS(HIS_STOCK!$F:$F,HIS_STOCK!$A:$A,$BA$2,HIS_STOCK!$C:$C,$DQ9,HIS_STOCK!$D:$D,$DR$4,HIS_STOCK!$E:$E,$DR$7),SUMIFS(HIS_STOCK!$F:$F,HIS_STOCK!$A:$A,$BA$2,HIS_STOCK!$C:$C,$DQ9,HIS_STOCK!$D:$D,$DR$5,HIS_STOCK!$E:$E,$DR$7))</f>
        <v>0</v>
      </c>
      <c r="DS9" s="677"/>
      <c r="DT9" s="677">
        <f ca="1">'NWC_FC_NON-NOOS'!T9</f>
        <v>0</v>
      </c>
      <c r="DU9" s="677">
        <f ca="1">'NWC_FC_NON-NOOS'!U9</f>
        <v>0</v>
      </c>
      <c r="DV9" s="677">
        <f ca="1">'NWC_FC_NON-NOOS'!V9</f>
        <v>0</v>
      </c>
      <c r="DW9" s="678"/>
      <c r="DX9" s="677">
        <f ca="1">'NWC_FC_NON-NOOS'!X9</f>
        <v>0</v>
      </c>
      <c r="DY9" s="677">
        <f ca="1">'NWC_FC_NON-NOOS'!Y9</f>
        <v>0</v>
      </c>
      <c r="DZ9" s="677">
        <f ca="1">'NWC_FC_NON-NOOS'!Z9</f>
        <v>0</v>
      </c>
      <c r="EA9" s="678"/>
      <c r="EB9" s="677">
        <f ca="1">'NWC_FC_NON-NOOS'!AB9</f>
        <v>0</v>
      </c>
      <c r="EC9" s="677">
        <f ca="1">'NWC_FC_NON-NOOS'!AC9</f>
        <v>0</v>
      </c>
      <c r="ED9" s="677">
        <f ca="1">'NWC_FC_NON-NOOS'!AD9</f>
        <v>0</v>
      </c>
      <c r="EE9" s="678"/>
      <c r="EF9" s="677">
        <f ca="1">'NWC_FC_NON-NOOS'!AF9</f>
        <v>0</v>
      </c>
      <c r="EG9" s="677">
        <f ca="1">'NWC_FC_NON-NOOS'!AG9</f>
        <v>0</v>
      </c>
      <c r="EH9" s="677">
        <f ca="1">'NWC_FC_NON-NOOS'!AH9</f>
        <v>0</v>
      </c>
    </row>
    <row r="10" spans="1:138" x14ac:dyDescent="0.25">
      <c r="B10" s="575" t="str">
        <f>'NWC_FC_NON-NOOS'!B10</f>
        <v>JEANS</v>
      </c>
      <c r="C10" s="802"/>
      <c r="D10" s="761"/>
      <c r="E10" s="761"/>
      <c r="F10" s="761"/>
      <c r="G10" s="613"/>
      <c r="H10" s="761"/>
      <c r="I10" s="761"/>
      <c r="J10" s="761"/>
      <c r="K10" s="613"/>
      <c r="L10" s="761"/>
      <c r="M10" s="761"/>
      <c r="N10" s="761"/>
      <c r="O10" s="613"/>
      <c r="P10" s="761"/>
      <c r="Q10" s="761"/>
      <c r="R10" s="761"/>
      <c r="T10" s="675">
        <f t="shared" ca="1" si="70"/>
        <v>0</v>
      </c>
      <c r="U10" s="675">
        <f t="shared" ca="1" si="71"/>
        <v>0</v>
      </c>
      <c r="V10" s="675">
        <f t="shared" ca="1" si="72"/>
        <v>0</v>
      </c>
      <c r="W10" s="675"/>
      <c r="X10" s="675">
        <f t="shared" ca="1" si="73"/>
        <v>0</v>
      </c>
      <c r="Y10" s="675">
        <f t="shared" ca="1" si="74"/>
        <v>0</v>
      </c>
      <c r="Z10" s="675">
        <f t="shared" ca="1" si="75"/>
        <v>0</v>
      </c>
      <c r="AA10" s="675"/>
      <c r="AB10" s="675">
        <f t="shared" ca="1" si="76"/>
        <v>0</v>
      </c>
      <c r="AC10" s="675">
        <f t="shared" ca="1" si="77"/>
        <v>0</v>
      </c>
      <c r="AD10" s="675">
        <f t="shared" ca="1" si="78"/>
        <v>0</v>
      </c>
      <c r="AE10" s="675"/>
      <c r="AF10" s="675">
        <f t="shared" ca="1" si="79"/>
        <v>0</v>
      </c>
      <c r="AG10" s="675">
        <f t="shared" ca="1" si="80"/>
        <v>0</v>
      </c>
      <c r="AH10" s="675">
        <f t="shared" ca="1" si="81"/>
        <v>0</v>
      </c>
      <c r="AI10" s="675"/>
      <c r="AJ10" s="575" t="str">
        <f t="shared" si="83"/>
        <v>JEANS</v>
      </c>
      <c r="AK10" s="761"/>
      <c r="AL10" s="761"/>
      <c r="AM10" s="761"/>
      <c r="AN10" s="613"/>
      <c r="AO10" s="761"/>
      <c r="AP10" s="761"/>
      <c r="AQ10" s="761"/>
      <c r="AR10" s="613"/>
      <c r="AS10" s="761"/>
      <c r="AT10" s="761"/>
      <c r="AU10" s="761"/>
      <c r="AV10" s="613"/>
      <c r="AW10" s="761"/>
      <c r="AX10" s="761"/>
      <c r="AY10" s="761"/>
      <c r="BA10" s="575" t="str">
        <f t="shared" si="82"/>
        <v>JEANS</v>
      </c>
      <c r="BB10" s="677">
        <f ca="1">MAX(IF(ISNA(VLOOKUP($BB$4,TIME!$M$40:$M$42,1,FALSE)),0,HLOOKUP(BB$4,'NWC_FC_NON-NOOS'!$S$4:$AH$23,MATCH($BA10,'NWC_FC_NON-NOOS'!$S$4:$S$23,0),FALSE)-CJ10),0)</f>
        <v>0</v>
      </c>
      <c r="BC10" s="677">
        <f ca="1">IF(ISNA(VLOOKUP(BC$4,TIME!$M$40:$M$42,1,FALSE)),0,IF(HLOOKUP(BC$4,'NWC_FC_NON-NOOS'!$S$4:$AH$23,MATCH($BA10,'NWC_FC_NON-NOOS'!$S$4:$S$23,0),FALSE)-CK10-SUM($BB10:BB10)&gt;0,HLOOKUP(BC$4,'NWC_FC_NON-NOOS'!$S$4:$AH$23,MATCH($BA10,'NWC_FC_NON-NOOS'!$S$4:$S$23,0),FALSE)-CK10-SUM($BB10:BB10),0))</f>
        <v>0</v>
      </c>
      <c r="BD10" s="677">
        <f ca="1">IF(ISNA(VLOOKUP(BD$4,TIME!$M$40:$M$42,1,FALSE)),0,IF(HLOOKUP(BD$4,'NWC_FC_NON-NOOS'!$S$4:$AH$23,MATCH($BA10,'NWC_FC_NON-NOOS'!$S$4:$S$23,0),FALSE)-CL10-SUM($BB10:BC10)&gt;0,HLOOKUP(BD$4,'NWC_FC_NON-NOOS'!$S$4:$AH$23,MATCH($BA10,'NWC_FC_NON-NOOS'!$S$4:$S$23,0),FALSE)-CL10-SUM($BB10:BC10),0))</f>
        <v>0</v>
      </c>
      <c r="BE10" s="678"/>
      <c r="BF10" s="677">
        <f ca="1">IF(HLOOKUP(BF$4,'NWC_FC_NON-NOOS'!$S$4:$AH$23,MATCH($BA10,'NWC_FC_NON-NOOS'!$S$4:$S$23,0),FALSE)-CN10-SUM($BB10:BE10)&gt;0,HLOOKUP(BF$4,'NWC_FC_NON-NOOS'!$S$4:$AH$23,MATCH($BA10,'NWC_FC_NON-NOOS'!$S$4:$S$23,0),FALSE)-CN10-SUM($BB10:BE10),0)</f>
        <v>0</v>
      </c>
      <c r="BG10" s="677">
        <f ca="1">IF(HLOOKUP(BG$4,'NWC_FC_NON-NOOS'!$S$4:$AH$23,MATCH($BA10,'NWC_FC_NON-NOOS'!$S$4:$S$23,0),FALSE)-CO10-SUM($BB10:BF10)&gt;0,HLOOKUP(BG$4,'NWC_FC_NON-NOOS'!$S$4:$AH$23,MATCH($BA10,'NWC_FC_NON-NOOS'!$S$4:$S$23,0),FALSE)-CO10-SUM($BB10:BF10),0)</f>
        <v>0</v>
      </c>
      <c r="BH10" s="677">
        <f ca="1">IF(HLOOKUP(BH$4,'NWC_FC_NON-NOOS'!$S$4:$AH$23,MATCH($BA10,'NWC_FC_NON-NOOS'!$S$4:$S$23,0),FALSE)-CP10-SUM($BB10:BG10)&gt;0,HLOOKUP(BH$4,'NWC_FC_NON-NOOS'!$S$4:$AH$23,MATCH($BA10,'NWC_FC_NON-NOOS'!$S$4:$S$23,0),FALSE)-CP10-SUM($BB10:BG10),0)</f>
        <v>0</v>
      </c>
      <c r="BI10" s="678"/>
      <c r="BJ10" s="677">
        <f ca="1">IF(HLOOKUP(BJ$4,'NWC_FC_NON-NOOS'!$S$4:$AH$23,MATCH($BA10,'NWC_FC_NON-NOOS'!$S$4:$S$23,0),FALSE)-CR10-SUM($BB10:BI10)&gt;0,HLOOKUP(BJ$4,'NWC_FC_NON-NOOS'!$S$4:$AH$23,MATCH($BA10,'NWC_FC_NON-NOOS'!$S$4:$S$23,0),FALSE)-CR10-SUM($BB10:BI10),0)</f>
        <v>0</v>
      </c>
      <c r="BK10" s="677">
        <f ca="1">IF(HLOOKUP(BK$4,'NWC_FC_NON-NOOS'!$S$4:$AH$23,MATCH($BA10,'NWC_FC_NON-NOOS'!$S$4:$S$23,0),FALSE)-CS10-SUM($BB10:BJ10)&gt;0,HLOOKUP(BK$4,'NWC_FC_NON-NOOS'!$S$4:$AH$23,MATCH($BA10,'NWC_FC_NON-NOOS'!$S$4:$S$23,0),FALSE)-CS10-SUM($BB10:BJ10),0)</f>
        <v>0</v>
      </c>
      <c r="BL10" s="677">
        <f ca="1">IF(HLOOKUP(BL$4,'NWC_FC_NON-NOOS'!$S$4:$AH$23,MATCH($BA10,'NWC_FC_NON-NOOS'!$S$4:$S$23,0),FALSE)-CT10-SUM($BB10:BK10)&gt;0,HLOOKUP(BL$4,'NWC_FC_NON-NOOS'!$S$4:$AH$23,MATCH($BA10,'NWC_FC_NON-NOOS'!$S$4:$S$23,0),FALSE)-CT10-SUM($BB10:BK10),0)</f>
        <v>0</v>
      </c>
      <c r="BM10" s="678"/>
      <c r="BN10" s="677">
        <f ca="1">IF(HLOOKUP(BN$4,'NWC_FC_NON-NOOS'!$S$4:$AH$23,MATCH($BA10,'NWC_FC_NON-NOOS'!$S$4:$S$23,0),FALSE)-CV10-SUM($BB10:BM10)&gt;0,HLOOKUP(BN$4,'NWC_FC_NON-NOOS'!$S$4:$AH$23,MATCH($BA10,'NWC_FC_NON-NOOS'!$S$4:$S$23,0),FALSE)-CV10-SUM($BB10:BM10),0)</f>
        <v>0</v>
      </c>
      <c r="BO10" s="677">
        <f ca="1">IF(HLOOKUP(BO$4,'NWC_FC_NON-NOOS'!$S$4:$AH$23,MATCH($BA10,'NWC_FC_NON-NOOS'!$S$4:$S$23,0),FALSE)-CW10-SUM($BB10:BN10)&gt;0,HLOOKUP(BO$4,'NWC_FC_NON-NOOS'!$S$4:$AH$23,MATCH($BA10,'NWC_FC_NON-NOOS'!$S$4:$S$23,0),FALSE)-CW10-SUM($BB10:BN10),0)</f>
        <v>0</v>
      </c>
      <c r="BP10" s="677">
        <f ca="1">IF(HLOOKUP(BP$4,'NWC_FC_NON-NOOS'!$S$4:$AH$23,MATCH($BA10,'NWC_FC_NON-NOOS'!$S$4:$S$23,0),FALSE)-CX10-SUM($BB10:BO10)&gt;0,HLOOKUP(BP$4,'NWC_FC_NON-NOOS'!$S$4:$AH$23,MATCH($BA10,'NWC_FC_NON-NOOS'!$S$4:$S$23,0),FALSE)-CX10-SUM($BB10:BO10),0)</f>
        <v>0</v>
      </c>
      <c r="BR10" s="575" t="str">
        <f t="shared" si="84"/>
        <v>JEANS</v>
      </c>
      <c r="BS10" s="678">
        <f ca="1">IF(BS$2=TIME!$E$5,SUMIFS(OPEN_ORDERS!$E:$E,OPEN_ORDERS!$B:$B,"&lt;="&amp;BS$2,OPEN_ORDERS!$C:$C,$BA10,OPEN_ORDERS!$D:$D,$BA$2)+SUMIFS(OPEN_ORDERS!$E:$E,OPEN_ORDERS!$B:$B,"IMMEDIATELY",OPEN_ORDERS!$C:$C,$BA10,OPEN_ORDERS!$D:$D,$BA$2),SUMIFS(OPEN_ORDERS!$E:$E,OPEN_ORDERS!$B:$B,BS$2,OPEN_ORDERS!$C:$C,$BA10,OPEN_ORDERS!$D:$D,$BA$2))</f>
        <v>34533</v>
      </c>
      <c r="BT10" s="677">
        <f ca="1">IF(BT$2=TIME!$E$5,SUMIFS(OPEN_ORDERS!$E:$E,OPEN_ORDERS!$B:$B,"&lt;="&amp;BT$2,OPEN_ORDERS!$C:$C,$BA10,OPEN_ORDERS!$D:$D,$BA$2)+SUMIFS(OPEN_ORDERS!$E:$E,OPEN_ORDERS!$B:$B,"IMMEDIATELY",OPEN_ORDERS!$C:$C,$BA10,OPEN_ORDERS!$D:$D,$BA$2),SUMIFS(OPEN_ORDERS!$E:$E,OPEN_ORDERS!$B:$B,BT$2,OPEN_ORDERS!$C:$C,$BA10,OPEN_ORDERS!$D:$D,$BA$2))</f>
        <v>36457</v>
      </c>
      <c r="BU10" s="677">
        <f ca="1">IF(BU$2=TIME!$E$5,SUMIFS(OPEN_ORDERS!$E:$E,OPEN_ORDERS!$B:$B,"&lt;="&amp;BU$2,OPEN_ORDERS!$C:$C,$BA10,OPEN_ORDERS!$D:$D,$BA$2)+SUMIFS(OPEN_ORDERS!$E:$E,OPEN_ORDERS!$B:$B,"IMMEDIATELY",OPEN_ORDERS!$C:$C,$BA10,OPEN_ORDERS!$D:$D,$BA$2),SUMIFS(OPEN_ORDERS!$E:$E,OPEN_ORDERS!$B:$B,BU$2,OPEN_ORDERS!$C:$C,$BA10,OPEN_ORDERS!$D:$D,$BA$2))</f>
        <v>145537</v>
      </c>
      <c r="BV10" s="678"/>
      <c r="BW10" s="677">
        <f ca="1">SUMIFS(OPEN_ORDERS!$E:$E,OPEN_ORDERS!$B:$B,BW$2,OPEN_ORDERS!$C:$C,$BA10,OPEN_ORDERS!$D:$D,$BA$2)</f>
        <v>0</v>
      </c>
      <c r="BX10" s="677">
        <f ca="1">SUMIFS(OPEN_ORDERS!$E:$E,OPEN_ORDERS!$B:$B,BX$2,OPEN_ORDERS!$C:$C,$BA10,OPEN_ORDERS!$D:$D,$BA$2)</f>
        <v>0</v>
      </c>
      <c r="BY10" s="677">
        <f ca="1">SUMIFS(OPEN_ORDERS!$E:$E,OPEN_ORDERS!$B:$B,BY$2,OPEN_ORDERS!$C:$C,$BA10,OPEN_ORDERS!$D:$D,$BA$2)</f>
        <v>0</v>
      </c>
      <c r="BZ10" s="678"/>
      <c r="CA10" s="677">
        <f ca="1">SUMIFS(OPEN_ORDERS!$E:$E,OPEN_ORDERS!$B:$B,CA$2,OPEN_ORDERS!$C:$C,$BA10,OPEN_ORDERS!$D:$D,$BA$2)</f>
        <v>0</v>
      </c>
      <c r="CB10" s="677">
        <f ca="1">SUMIFS(OPEN_ORDERS!$E:$E,OPEN_ORDERS!$B:$B,CB$2,OPEN_ORDERS!$C:$C,$BA10,OPEN_ORDERS!$D:$D,$BA$2)</f>
        <v>0</v>
      </c>
      <c r="CC10" s="677">
        <f ca="1">SUMIFS(OPEN_ORDERS!$E:$E,OPEN_ORDERS!$B:$B,CC$2,OPEN_ORDERS!$C:$C,$BA10,OPEN_ORDERS!$D:$D,$BA$2)</f>
        <v>0</v>
      </c>
      <c r="CD10" s="678"/>
      <c r="CE10" s="677">
        <f ca="1">SUMIFS(OPEN_ORDERS!$E:$E,OPEN_ORDERS!$B:$B,CE$2,OPEN_ORDERS!$C:$C,$BA10,OPEN_ORDERS!$D:$D,$BA$2)</f>
        <v>0</v>
      </c>
      <c r="CF10" s="677">
        <f ca="1">SUMIFS(OPEN_ORDERS!$E:$E,OPEN_ORDERS!$B:$B,CF$2,OPEN_ORDERS!$C:$C,$BA10,OPEN_ORDERS!$D:$D,$BA$2)</f>
        <v>0</v>
      </c>
      <c r="CG10" s="677">
        <f ca="1">SUMIFS(OPEN_ORDERS!$E:$E,OPEN_ORDERS!$B:$B,CG$2,OPEN_ORDERS!$C:$C,$BA10,OPEN_ORDERS!$D:$D,$BA$2)</f>
        <v>0</v>
      </c>
      <c r="CI10" s="1" t="str">
        <f t="shared" si="85"/>
        <v>JEANS</v>
      </c>
      <c r="CJ10" s="677">
        <f ca="1">IF($CJ$7="Aug",SUMIFS(HIS_STOCK!$F:$F,HIS_STOCK!$A:$A,$BA$2,HIS_STOCK!$C:$C,$CI10,HIS_STOCK!$D:$D,$CK$1,HIS_STOCK!$E:$E,$CL$1)+BS10-(AK10*1000)-T10-HLOOKUP($CJ$4,'NWC_FC_NON-NOOS'!$C$50:$U$69,MATCH($CI10,'NWC_FC_NON-NOOS'!$B$50:$B$69,0),FALSE),IF($CJ$2=TIME!$E$5,SUMIFS(HIS_STOCK!$F:$F,HIS_STOCK!$A:$A,$BA$2,HIS_STOCK!$C:$C,$CI10,HIS_STOCK!$D:$D,$CJ$5,HIS_STOCK!$E:$E,$CL$1)+BS10-(AK10*1000)-T10-HLOOKUP($CJ$4,'NWC_FC_NON-NOOS'!$C$50:$U$69,MATCH($CI10,'NWC_FC_NON-NOOS'!$B$50:$B$69,0),FALSE),SUMIFS(HIS_STOCK!$F:$F,HIS_STOCK!$A:$A,$BA$2,HIS_STOCK!$C:$C,$CI10,HIS_STOCK!$D:$D,$CJ$5,HIS_STOCK!$E:$E,CJ$7)))</f>
        <v>0</v>
      </c>
      <c r="CK10" s="677">
        <f ca="1">IF(SUMIFS(HIS_STOCK!$F:$F,HIS_STOCK!$A:$A,$BA$2,HIS_STOCK!$C:$C,$CI10,HIS_STOCK!$D:$D,$CJ$5,HIS_STOCK!$E:$E,CK$7)&lt;&gt;0,SUMIFS(HIS_STOCK!$F:$F,HIS_STOCK!$A:$A,$BA$2,HIS_STOCK!$C:$C,$CI10,HIS_STOCK!$D:$D,$CJ$5,HIS_STOCK!$E:$E,CK$7)-(AL10*1000),CJ10+BT10+((AK10-AL10)*1000)-U10-HLOOKUP(BT$4,'NWC_FC_NON-NOOS'!$C$50:$U$69,MATCH(PLANNING_FC!$BR10,'NWC_FC_NON-NOOS'!$B$50:$B$69,0),FALSE))</f>
        <v>36457</v>
      </c>
      <c r="CL10" s="677">
        <f ca="1">IF(SUMIFS(HIS_STOCK!$F:$F,HIS_STOCK!$A:$A,$BA$2,HIS_STOCK!$C:$C,$CI10,HIS_STOCK!$D:$D,$CJ$5,HIS_STOCK!$E:$E,CL$7)&lt;&gt;0,SUMIFS(HIS_STOCK!$F:$F,HIS_STOCK!$A:$A,$BA$2,HIS_STOCK!$C:$C,$CI10,HIS_STOCK!$D:$D,$CJ$5,HIS_STOCK!$E:$E,CL$7)-(AM10*1000),CK10+BU10+((AL10-AM10)*1000)-V10-HLOOKUP(BU$4,'NWC_FC_NON-NOOS'!$C$50:$U$69,MATCH(PLANNING_FC!$BR10,'NWC_FC_NON-NOOS'!$B$50:$B$69,0),FALSE))</f>
        <v>181994</v>
      </c>
      <c r="CM10" s="678"/>
      <c r="CN10" s="677">
        <f ca="1">CL10+BW10+((AM10-AO10)*1000)-X10-HLOOKUP(CN$4,'NWC_FC_NON-NOOS'!$C$50:$U$69,MATCH(PLANNING_FC!$BR10,'NWC_FC_NON-NOOS'!$B$50:$B$69,0),FALSE)</f>
        <v>181994</v>
      </c>
      <c r="CO10" s="677">
        <f ca="1">CN10+BX10+((AO10-AP10)*1000)-Y10-HLOOKUP(CO$4,'NWC_FC_NON-NOOS'!$C$50:$U$69,MATCH(PLANNING_FC!$BR10,'NWC_FC_NON-NOOS'!$B$50:$B$69,0),FALSE)</f>
        <v>181994</v>
      </c>
      <c r="CP10" s="677">
        <f ca="1">CO10+BY10+((AP10-AQ10)*1000)-Z10-HLOOKUP(CP$4,'NWC_FC_NON-NOOS'!$C$50:$U$69,MATCH(PLANNING_FC!$BR10,'NWC_FC_NON-NOOS'!$B$50:$B$69,0),FALSE)</f>
        <v>181994</v>
      </c>
      <c r="CQ10" s="678"/>
      <c r="CR10" s="677">
        <f ca="1">CP10+CA10+((AQ10-AS10)*1000)-AB10-HLOOKUP(CR$4,'NWC_FC_NON-NOOS'!$C$50:$U$69,MATCH(PLANNING_FC!$BR10,'NWC_FC_NON-NOOS'!$B$50:$B$69,0),FALSE)</f>
        <v>181994</v>
      </c>
      <c r="CS10" s="677">
        <f ca="1">CR10+CB10+((AS10-AT10)*1000)-AC10-HLOOKUP(CS$4,'NWC_FC_NON-NOOS'!$C$50:$U$69,MATCH(PLANNING_FC!$BR10,'NWC_FC_NON-NOOS'!$B$50:$B$69,0),FALSE)</f>
        <v>181994</v>
      </c>
      <c r="CT10" s="677">
        <f ca="1">CS10+CC10+((AT10-AU10)*1000)-AD10-HLOOKUP(CT$4,'NWC_FC_NON-NOOS'!$C$50:$U$69,MATCH(PLANNING_FC!$BR10,'NWC_FC_NON-NOOS'!$B$50:$B$69,0),FALSE)</f>
        <v>181994</v>
      </c>
      <c r="CU10" s="678"/>
      <c r="CV10" s="677">
        <f ca="1">CT10+CE10+((AU10-AW10)*1000)-AF10-HLOOKUP(CV$4,'NWC_FC_NON-NOOS'!$C$50:$U$69,MATCH(PLANNING_FC!$BR10,'NWC_FC_NON-NOOS'!$B$50:$B$69,0),FALSE)</f>
        <v>181994</v>
      </c>
      <c r="CW10" s="677">
        <f ca="1">CV10+CF10+((AW10-AX10)*1000)-AG10-HLOOKUP(CW$4,'NWC_FC_NON-NOOS'!$C$50:$U$69,MATCH(PLANNING_FC!$BR10,'NWC_FC_NON-NOOS'!$B$50:$B$69,0),FALSE)</f>
        <v>181994</v>
      </c>
      <c r="CX10" s="677">
        <f ca="1">CW10+CG10+((AX10-AY10)*1000)-AH10-HLOOKUP(CX$4,'NWC_FC_NON-NOOS'!$C$50:$U$69,MATCH(PLANNING_FC!$BR10,'NWC_FC_NON-NOOS'!$B$50:$B$69,0),FALSE)</f>
        <v>181994</v>
      </c>
      <c r="CY10" s="746"/>
      <c r="CZ10" s="575" t="str">
        <f t="shared" si="86"/>
        <v>JEANS</v>
      </c>
      <c r="DA10" s="677">
        <f ca="1">IF(STOCK_OVERVIEW!C$41="ACT",SUMIFS(HIS_STOCK!$F:$F,HIS_STOCK!$A:$A,PLANNING_FC!$BA$2,HIS_STOCK!$C:$C,PLANNING_FC!$CZ10,HIS_STOCK!$D:$D,PLANNING_FC!$DA$5,HIS_STOCK!$E:$E,PLANNING_FC!DA$7),CJ10+SUM($BB10:BB10))</f>
        <v>0</v>
      </c>
      <c r="DB10" s="677">
        <f ca="1">IF(STOCK_OVERVIEW!D$41="ACT",SUMIFS(HIS_STOCK!$F:$F,HIS_STOCK!$A:$A,PLANNING_FC!$BA$2,HIS_STOCK!$C:$C,PLANNING_FC!$CZ10,HIS_STOCK!$D:$D,PLANNING_FC!$DA$5,HIS_STOCK!$E:$E,PLANNING_FC!DB$7),CK10+SUM($BB10:BC10))</f>
        <v>0</v>
      </c>
      <c r="DC10" s="677">
        <f ca="1">CL10+SUM($BB10:BD10)</f>
        <v>181994</v>
      </c>
      <c r="DD10" s="678"/>
      <c r="DE10" s="677">
        <f ca="1">CN10+SUM($BB10:BF10)</f>
        <v>181994</v>
      </c>
      <c r="DF10" s="677">
        <f ca="1">CO10+SUM($BB10:BG10)</f>
        <v>181994</v>
      </c>
      <c r="DG10" s="677">
        <f ca="1">CP10+SUM($BB10:BH10)</f>
        <v>181994</v>
      </c>
      <c r="DH10" s="678"/>
      <c r="DI10" s="677">
        <f ca="1">CR10+SUM($BB10:BJ10)</f>
        <v>181994</v>
      </c>
      <c r="DJ10" s="677">
        <f ca="1">CS10+SUM($BB10:BK10)</f>
        <v>181994</v>
      </c>
      <c r="DK10" s="677">
        <f ca="1">CT10+SUM($BB10:BL10)</f>
        <v>181994</v>
      </c>
      <c r="DL10" s="678"/>
      <c r="DM10" s="677">
        <f ca="1">CV10+SUM($BB10:BN10)</f>
        <v>181994</v>
      </c>
      <c r="DN10" s="677">
        <f ca="1">CW10+SUM($BB10:BO10)</f>
        <v>181994</v>
      </c>
      <c r="DO10" s="677">
        <f ca="1">CX10+SUM($BB10:BP10)</f>
        <v>181994</v>
      </c>
      <c r="DQ10" s="575" t="str">
        <f t="shared" si="87"/>
        <v>JEANS</v>
      </c>
      <c r="DR10" s="677">
        <f ca="1">IF($DT$7="Aug",SUMIFS(HIS_STOCK!$F:$F,HIS_STOCK!$A:$A,$BA$2,HIS_STOCK!$C:$C,$DQ10,HIS_STOCK!$D:$D,$DR$4,HIS_STOCK!$E:$E,$DR$7),SUMIFS(HIS_STOCK!$F:$F,HIS_STOCK!$A:$A,$BA$2,HIS_STOCK!$C:$C,$DQ10,HIS_STOCK!$D:$D,$DR$5,HIS_STOCK!$E:$E,$DR$7))</f>
        <v>0</v>
      </c>
      <c r="DS10" s="677"/>
      <c r="DT10" s="677">
        <f ca="1">'NWC_FC_NON-NOOS'!T10</f>
        <v>0</v>
      </c>
      <c r="DU10" s="677">
        <f ca="1">'NWC_FC_NON-NOOS'!U10</f>
        <v>0</v>
      </c>
      <c r="DV10" s="677">
        <f ca="1">'NWC_FC_NON-NOOS'!V10</f>
        <v>0</v>
      </c>
      <c r="DW10" s="678"/>
      <c r="DX10" s="677">
        <f ca="1">'NWC_FC_NON-NOOS'!X10</f>
        <v>0</v>
      </c>
      <c r="DY10" s="677">
        <f ca="1">'NWC_FC_NON-NOOS'!Y10</f>
        <v>0</v>
      </c>
      <c r="DZ10" s="677">
        <f ca="1">'NWC_FC_NON-NOOS'!Z10</f>
        <v>0</v>
      </c>
      <c r="EA10" s="678"/>
      <c r="EB10" s="677">
        <f ca="1">'NWC_FC_NON-NOOS'!AB10</f>
        <v>0</v>
      </c>
      <c r="EC10" s="677">
        <f ca="1">'NWC_FC_NON-NOOS'!AC10</f>
        <v>0</v>
      </c>
      <c r="ED10" s="677">
        <f ca="1">'NWC_FC_NON-NOOS'!AD10</f>
        <v>0</v>
      </c>
      <c r="EE10" s="678"/>
      <c r="EF10" s="677">
        <f ca="1">'NWC_FC_NON-NOOS'!AF10</f>
        <v>0</v>
      </c>
      <c r="EG10" s="677">
        <f ca="1">'NWC_FC_NON-NOOS'!AG10</f>
        <v>0</v>
      </c>
      <c r="EH10" s="677">
        <f ca="1">'NWC_FC_NON-NOOS'!AH10</f>
        <v>0</v>
      </c>
    </row>
    <row r="11" spans="1:138" x14ac:dyDescent="0.25">
      <c r="B11" s="575" t="str">
        <f>'NWC_FC_NON-NOOS'!B11</f>
        <v>KNIT</v>
      </c>
      <c r="C11" s="802"/>
      <c r="D11" s="761"/>
      <c r="E11" s="761"/>
      <c r="F11" s="761"/>
      <c r="G11" s="613"/>
      <c r="H11" s="761"/>
      <c r="I11" s="761"/>
      <c r="J11" s="761"/>
      <c r="K11" s="613"/>
      <c r="L11" s="761"/>
      <c r="M11" s="761"/>
      <c r="N11" s="761"/>
      <c r="O11" s="613"/>
      <c r="P11" s="761"/>
      <c r="Q11" s="761"/>
      <c r="R11" s="761"/>
      <c r="T11" s="675">
        <f t="shared" ca="1" si="70"/>
        <v>0</v>
      </c>
      <c r="U11" s="675">
        <f t="shared" ca="1" si="71"/>
        <v>0</v>
      </c>
      <c r="V11" s="675">
        <f t="shared" ca="1" si="72"/>
        <v>0</v>
      </c>
      <c r="W11" s="675"/>
      <c r="X11" s="675">
        <f t="shared" ca="1" si="73"/>
        <v>0</v>
      </c>
      <c r="Y11" s="675">
        <f t="shared" ca="1" si="74"/>
        <v>0</v>
      </c>
      <c r="Z11" s="675">
        <f t="shared" ca="1" si="75"/>
        <v>0</v>
      </c>
      <c r="AA11" s="675"/>
      <c r="AB11" s="675">
        <f t="shared" ca="1" si="76"/>
        <v>0</v>
      </c>
      <c r="AC11" s="675">
        <f t="shared" ca="1" si="77"/>
        <v>0</v>
      </c>
      <c r="AD11" s="675">
        <f t="shared" ca="1" si="78"/>
        <v>0</v>
      </c>
      <c r="AE11" s="675"/>
      <c r="AF11" s="675">
        <f t="shared" ca="1" si="79"/>
        <v>0</v>
      </c>
      <c r="AG11" s="675">
        <f t="shared" ca="1" si="80"/>
        <v>0</v>
      </c>
      <c r="AH11" s="675">
        <f t="shared" ca="1" si="81"/>
        <v>0</v>
      </c>
      <c r="AI11" s="675"/>
      <c r="AJ11" s="575" t="str">
        <f t="shared" si="83"/>
        <v>KNIT</v>
      </c>
      <c r="AK11" s="761"/>
      <c r="AL11" s="761"/>
      <c r="AM11" s="761"/>
      <c r="AN11" s="613"/>
      <c r="AO11" s="761"/>
      <c r="AP11" s="761"/>
      <c r="AQ11" s="761"/>
      <c r="AR11" s="613"/>
      <c r="AS11" s="761"/>
      <c r="AT11" s="761"/>
      <c r="AU11" s="761"/>
      <c r="AV11" s="613"/>
      <c r="AW11" s="761"/>
      <c r="AX11" s="761"/>
      <c r="AY11" s="761"/>
      <c r="BA11" s="575" t="str">
        <f t="shared" si="82"/>
        <v>KNIT</v>
      </c>
      <c r="BB11" s="677">
        <f ca="1">MAX(IF(ISNA(VLOOKUP($BB$4,TIME!$M$40:$M$42,1,FALSE)),0,HLOOKUP(BB$4,'NWC_FC_NON-NOOS'!$S$4:$AH$23,MATCH($BA11,'NWC_FC_NON-NOOS'!$S$4:$S$23,0),FALSE)-CJ11),0)</f>
        <v>0</v>
      </c>
      <c r="BC11" s="677">
        <f ca="1">IF(ISNA(VLOOKUP(BC$4,TIME!$M$40:$M$42,1,FALSE)),0,IF(HLOOKUP(BC$4,'NWC_FC_NON-NOOS'!$S$4:$AH$23,MATCH($BA11,'NWC_FC_NON-NOOS'!$S$4:$S$23,0),FALSE)-CK11-SUM($BB11:BB11)&gt;0,HLOOKUP(BC$4,'NWC_FC_NON-NOOS'!$S$4:$AH$23,MATCH($BA11,'NWC_FC_NON-NOOS'!$S$4:$S$23,0),FALSE)-CK11-SUM($BB11:BB11),0))</f>
        <v>0</v>
      </c>
      <c r="BD11" s="677">
        <f ca="1">IF(ISNA(VLOOKUP(BD$4,TIME!$M$40:$M$42,1,FALSE)),0,IF(HLOOKUP(BD$4,'NWC_FC_NON-NOOS'!$S$4:$AH$23,MATCH($BA11,'NWC_FC_NON-NOOS'!$S$4:$S$23,0),FALSE)-CL11-SUM($BB11:BC11)&gt;0,HLOOKUP(BD$4,'NWC_FC_NON-NOOS'!$S$4:$AH$23,MATCH($BA11,'NWC_FC_NON-NOOS'!$S$4:$S$23,0),FALSE)-CL11-SUM($BB11:BC11),0))</f>
        <v>0</v>
      </c>
      <c r="BE11" s="678"/>
      <c r="BF11" s="677">
        <f ca="1">IF(HLOOKUP(BF$4,'NWC_FC_NON-NOOS'!$S$4:$AH$23,MATCH($BA11,'NWC_FC_NON-NOOS'!$S$4:$S$23,0),FALSE)-CN11-SUM($BB11:BE11)&gt;0,HLOOKUP(BF$4,'NWC_FC_NON-NOOS'!$S$4:$AH$23,MATCH($BA11,'NWC_FC_NON-NOOS'!$S$4:$S$23,0),FALSE)-CN11-SUM($BB11:BE11),0)</f>
        <v>0</v>
      </c>
      <c r="BG11" s="677">
        <f ca="1">IF(HLOOKUP(BG$4,'NWC_FC_NON-NOOS'!$S$4:$AH$23,MATCH($BA11,'NWC_FC_NON-NOOS'!$S$4:$S$23,0),FALSE)-CO11-SUM($BB11:BF11)&gt;0,HLOOKUP(BG$4,'NWC_FC_NON-NOOS'!$S$4:$AH$23,MATCH($BA11,'NWC_FC_NON-NOOS'!$S$4:$S$23,0),FALSE)-CO11-SUM($BB11:BF11),0)</f>
        <v>0</v>
      </c>
      <c r="BH11" s="677">
        <f ca="1">IF(HLOOKUP(BH$4,'NWC_FC_NON-NOOS'!$S$4:$AH$23,MATCH($BA11,'NWC_FC_NON-NOOS'!$S$4:$S$23,0),FALSE)-CP11-SUM($BB11:BG11)&gt;0,HLOOKUP(BH$4,'NWC_FC_NON-NOOS'!$S$4:$AH$23,MATCH($BA11,'NWC_FC_NON-NOOS'!$S$4:$S$23,0),FALSE)-CP11-SUM($BB11:BG11),0)</f>
        <v>0</v>
      </c>
      <c r="BI11" s="678"/>
      <c r="BJ11" s="677">
        <f ca="1">IF(HLOOKUP(BJ$4,'NWC_FC_NON-NOOS'!$S$4:$AH$23,MATCH($BA11,'NWC_FC_NON-NOOS'!$S$4:$S$23,0),FALSE)-CR11-SUM($BB11:BI11)&gt;0,HLOOKUP(BJ$4,'NWC_FC_NON-NOOS'!$S$4:$AH$23,MATCH($BA11,'NWC_FC_NON-NOOS'!$S$4:$S$23,0),FALSE)-CR11-SUM($BB11:BI11),0)</f>
        <v>0</v>
      </c>
      <c r="BK11" s="677">
        <f ca="1">IF(HLOOKUP(BK$4,'NWC_FC_NON-NOOS'!$S$4:$AH$23,MATCH($BA11,'NWC_FC_NON-NOOS'!$S$4:$S$23,0),FALSE)-CS11-SUM($BB11:BJ11)&gt;0,HLOOKUP(BK$4,'NWC_FC_NON-NOOS'!$S$4:$AH$23,MATCH($BA11,'NWC_FC_NON-NOOS'!$S$4:$S$23,0),FALSE)-CS11-SUM($BB11:BJ11),0)</f>
        <v>0</v>
      </c>
      <c r="BL11" s="677">
        <f ca="1">IF(HLOOKUP(BL$4,'NWC_FC_NON-NOOS'!$S$4:$AH$23,MATCH($BA11,'NWC_FC_NON-NOOS'!$S$4:$S$23,0),FALSE)-CT11-SUM($BB11:BK11)&gt;0,HLOOKUP(BL$4,'NWC_FC_NON-NOOS'!$S$4:$AH$23,MATCH($BA11,'NWC_FC_NON-NOOS'!$S$4:$S$23,0),FALSE)-CT11-SUM($BB11:BK11),0)</f>
        <v>0</v>
      </c>
      <c r="BM11" s="678"/>
      <c r="BN11" s="677">
        <f ca="1">IF(HLOOKUP(BN$4,'NWC_FC_NON-NOOS'!$S$4:$AH$23,MATCH($BA11,'NWC_FC_NON-NOOS'!$S$4:$S$23,0),FALSE)-CV11-SUM($BB11:BM11)&gt;0,HLOOKUP(BN$4,'NWC_FC_NON-NOOS'!$S$4:$AH$23,MATCH($BA11,'NWC_FC_NON-NOOS'!$S$4:$S$23,0),FALSE)-CV11-SUM($BB11:BM11),0)</f>
        <v>0</v>
      </c>
      <c r="BO11" s="677">
        <f ca="1">IF(HLOOKUP(BO$4,'NWC_FC_NON-NOOS'!$S$4:$AH$23,MATCH($BA11,'NWC_FC_NON-NOOS'!$S$4:$S$23,0),FALSE)-CW11-SUM($BB11:BN11)&gt;0,HLOOKUP(BO$4,'NWC_FC_NON-NOOS'!$S$4:$AH$23,MATCH($BA11,'NWC_FC_NON-NOOS'!$S$4:$S$23,0),FALSE)-CW11-SUM($BB11:BN11),0)</f>
        <v>0</v>
      </c>
      <c r="BP11" s="677">
        <f ca="1">IF(HLOOKUP(BP$4,'NWC_FC_NON-NOOS'!$S$4:$AH$23,MATCH($BA11,'NWC_FC_NON-NOOS'!$S$4:$S$23,0),FALSE)-CX11-SUM($BB11:BO11)&gt;0,HLOOKUP(BP$4,'NWC_FC_NON-NOOS'!$S$4:$AH$23,MATCH($BA11,'NWC_FC_NON-NOOS'!$S$4:$S$23,0),FALSE)-CX11-SUM($BB11:BO11),0)</f>
        <v>0</v>
      </c>
      <c r="BR11" s="575" t="str">
        <f t="shared" si="84"/>
        <v>KNIT</v>
      </c>
      <c r="BS11" s="678">
        <f ca="1">IF(BS$2=TIME!$E$5,SUMIFS(OPEN_ORDERS!$E:$E,OPEN_ORDERS!$B:$B,"&lt;="&amp;BS$2,OPEN_ORDERS!$C:$C,$BA11,OPEN_ORDERS!$D:$D,$BA$2)+SUMIFS(OPEN_ORDERS!$E:$E,OPEN_ORDERS!$B:$B,"IMMEDIATELY",OPEN_ORDERS!$C:$C,$BA11,OPEN_ORDERS!$D:$D,$BA$2),SUMIFS(OPEN_ORDERS!$E:$E,OPEN_ORDERS!$B:$B,BS$2,OPEN_ORDERS!$C:$C,$BA11,OPEN_ORDERS!$D:$D,$BA$2))</f>
        <v>65540</v>
      </c>
      <c r="BT11" s="677">
        <f ca="1">IF(BT$2=TIME!$E$5,SUMIFS(OPEN_ORDERS!$E:$E,OPEN_ORDERS!$B:$B,"&lt;="&amp;BT$2,OPEN_ORDERS!$C:$C,$BA11,OPEN_ORDERS!$D:$D,$BA$2)+SUMIFS(OPEN_ORDERS!$E:$E,OPEN_ORDERS!$B:$B,"IMMEDIATELY",OPEN_ORDERS!$C:$C,$BA11,OPEN_ORDERS!$D:$D,$BA$2),SUMIFS(OPEN_ORDERS!$E:$E,OPEN_ORDERS!$B:$B,BT$2,OPEN_ORDERS!$C:$C,$BA11,OPEN_ORDERS!$D:$D,$BA$2))</f>
        <v>7798</v>
      </c>
      <c r="BU11" s="677">
        <f ca="1">IF(BU$2=TIME!$E$5,SUMIFS(OPEN_ORDERS!$E:$E,OPEN_ORDERS!$B:$B,"&lt;="&amp;BU$2,OPEN_ORDERS!$C:$C,$BA11,OPEN_ORDERS!$D:$D,$BA$2)+SUMIFS(OPEN_ORDERS!$E:$E,OPEN_ORDERS!$B:$B,"IMMEDIATELY",OPEN_ORDERS!$C:$C,$BA11,OPEN_ORDERS!$D:$D,$BA$2),SUMIFS(OPEN_ORDERS!$E:$E,OPEN_ORDERS!$B:$B,BU$2,OPEN_ORDERS!$C:$C,$BA11,OPEN_ORDERS!$D:$D,$BA$2))</f>
        <v>238620</v>
      </c>
      <c r="BV11" s="678"/>
      <c r="BW11" s="677">
        <f ca="1">SUMIFS(OPEN_ORDERS!$E:$E,OPEN_ORDERS!$B:$B,BW$2,OPEN_ORDERS!$C:$C,$BA11,OPEN_ORDERS!$D:$D,$BA$2)</f>
        <v>3720</v>
      </c>
      <c r="BX11" s="677">
        <f ca="1">SUMIFS(OPEN_ORDERS!$E:$E,OPEN_ORDERS!$B:$B,BX$2,OPEN_ORDERS!$C:$C,$BA11,OPEN_ORDERS!$D:$D,$BA$2)</f>
        <v>1434</v>
      </c>
      <c r="BY11" s="677">
        <f ca="1">SUMIFS(OPEN_ORDERS!$E:$E,OPEN_ORDERS!$B:$B,BY$2,OPEN_ORDERS!$C:$C,$BA11,OPEN_ORDERS!$D:$D,$BA$2)</f>
        <v>0</v>
      </c>
      <c r="BZ11" s="678"/>
      <c r="CA11" s="677">
        <f ca="1">SUMIFS(OPEN_ORDERS!$E:$E,OPEN_ORDERS!$B:$B,CA$2,OPEN_ORDERS!$C:$C,$BA11,OPEN_ORDERS!$D:$D,$BA$2)</f>
        <v>0</v>
      </c>
      <c r="CB11" s="677">
        <f ca="1">SUMIFS(OPEN_ORDERS!$E:$E,OPEN_ORDERS!$B:$B,CB$2,OPEN_ORDERS!$C:$C,$BA11,OPEN_ORDERS!$D:$D,$BA$2)</f>
        <v>0</v>
      </c>
      <c r="CC11" s="677">
        <f ca="1">SUMIFS(OPEN_ORDERS!$E:$E,OPEN_ORDERS!$B:$B,CC$2,OPEN_ORDERS!$C:$C,$BA11,OPEN_ORDERS!$D:$D,$BA$2)</f>
        <v>0</v>
      </c>
      <c r="CD11" s="678"/>
      <c r="CE11" s="677">
        <f ca="1">SUMIFS(OPEN_ORDERS!$E:$E,OPEN_ORDERS!$B:$B,CE$2,OPEN_ORDERS!$C:$C,$BA11,OPEN_ORDERS!$D:$D,$BA$2)</f>
        <v>0</v>
      </c>
      <c r="CF11" s="677">
        <f ca="1">SUMIFS(OPEN_ORDERS!$E:$E,OPEN_ORDERS!$B:$B,CF$2,OPEN_ORDERS!$C:$C,$BA11,OPEN_ORDERS!$D:$D,$BA$2)</f>
        <v>0</v>
      </c>
      <c r="CG11" s="677">
        <f ca="1">SUMIFS(OPEN_ORDERS!$E:$E,OPEN_ORDERS!$B:$B,CG$2,OPEN_ORDERS!$C:$C,$BA11,OPEN_ORDERS!$D:$D,$BA$2)</f>
        <v>0</v>
      </c>
      <c r="CI11" s="1" t="str">
        <f t="shared" si="85"/>
        <v>KNIT</v>
      </c>
      <c r="CJ11" s="677">
        <f ca="1">IF($CJ$7="Aug",SUMIFS(HIS_STOCK!$F:$F,HIS_STOCK!$A:$A,$BA$2,HIS_STOCK!$C:$C,$CI11,HIS_STOCK!$D:$D,$CK$1,HIS_STOCK!$E:$E,$CL$1)+BS11-(AK11*1000)-T11-HLOOKUP($CJ$4,'NWC_FC_NON-NOOS'!$C$50:$U$69,MATCH($CI11,'NWC_FC_NON-NOOS'!$B$50:$B$69,0),FALSE),IF($CJ$2=TIME!$E$5,SUMIFS(HIS_STOCK!$F:$F,HIS_STOCK!$A:$A,$BA$2,HIS_STOCK!$C:$C,$CI11,HIS_STOCK!$D:$D,$CJ$5,HIS_STOCK!$E:$E,$CL$1)+BS11-(AK11*1000)-T11-HLOOKUP($CJ$4,'NWC_FC_NON-NOOS'!$C$50:$U$69,MATCH($CI11,'NWC_FC_NON-NOOS'!$B$50:$B$69,0),FALSE),SUMIFS(HIS_STOCK!$F:$F,HIS_STOCK!$A:$A,$BA$2,HIS_STOCK!$C:$C,$CI11,HIS_STOCK!$D:$D,$CJ$5,HIS_STOCK!$E:$E,CJ$7)))</f>
        <v>0</v>
      </c>
      <c r="CK11" s="677">
        <f ca="1">IF(SUMIFS(HIS_STOCK!$F:$F,HIS_STOCK!$A:$A,$BA$2,HIS_STOCK!$C:$C,$CI11,HIS_STOCK!$D:$D,$CJ$5,HIS_STOCK!$E:$E,CK$7)&lt;&gt;0,SUMIFS(HIS_STOCK!$F:$F,HIS_STOCK!$A:$A,$BA$2,HIS_STOCK!$C:$C,$CI11,HIS_STOCK!$D:$D,$CJ$5,HIS_STOCK!$E:$E,CK$7)-(AL11*1000),CJ11+BT11+((AK11-AL11)*1000)-U11-HLOOKUP(BT$4,'NWC_FC_NON-NOOS'!$C$50:$U$69,MATCH(PLANNING_FC!$BR11,'NWC_FC_NON-NOOS'!$B$50:$B$69,0),FALSE))</f>
        <v>7798</v>
      </c>
      <c r="CL11" s="677">
        <f ca="1">IF(SUMIFS(HIS_STOCK!$F:$F,HIS_STOCK!$A:$A,$BA$2,HIS_STOCK!$C:$C,$CI11,HIS_STOCK!$D:$D,$CJ$5,HIS_STOCK!$E:$E,CL$7)&lt;&gt;0,SUMIFS(HIS_STOCK!$F:$F,HIS_STOCK!$A:$A,$BA$2,HIS_STOCK!$C:$C,$CI11,HIS_STOCK!$D:$D,$CJ$5,HIS_STOCK!$E:$E,CL$7)-(AM11*1000),CK11+BU11+((AL11-AM11)*1000)-V11-HLOOKUP(BU$4,'NWC_FC_NON-NOOS'!$C$50:$U$69,MATCH(PLANNING_FC!$BR11,'NWC_FC_NON-NOOS'!$B$50:$B$69,0),FALSE))</f>
        <v>246418</v>
      </c>
      <c r="CM11" s="678"/>
      <c r="CN11" s="677">
        <f ca="1">CL11+BW11+((AM11-AO11)*1000)-X11-HLOOKUP(CN$4,'NWC_FC_NON-NOOS'!$C$50:$U$69,MATCH(PLANNING_FC!$BR11,'NWC_FC_NON-NOOS'!$B$50:$B$69,0),FALSE)</f>
        <v>250138</v>
      </c>
      <c r="CO11" s="677">
        <f ca="1">CN11+BX11+((AO11-AP11)*1000)-Y11-HLOOKUP(CO$4,'NWC_FC_NON-NOOS'!$C$50:$U$69,MATCH(PLANNING_FC!$BR11,'NWC_FC_NON-NOOS'!$B$50:$B$69,0),FALSE)</f>
        <v>251572</v>
      </c>
      <c r="CP11" s="677">
        <f ca="1">CO11+BY11+((AP11-AQ11)*1000)-Z11-HLOOKUP(CP$4,'NWC_FC_NON-NOOS'!$C$50:$U$69,MATCH(PLANNING_FC!$BR11,'NWC_FC_NON-NOOS'!$B$50:$B$69,0),FALSE)</f>
        <v>251572</v>
      </c>
      <c r="CQ11" s="678"/>
      <c r="CR11" s="677">
        <f ca="1">CP11+CA11+((AQ11-AS11)*1000)-AB11-HLOOKUP(CR$4,'NWC_FC_NON-NOOS'!$C$50:$U$69,MATCH(PLANNING_FC!$BR11,'NWC_FC_NON-NOOS'!$B$50:$B$69,0),FALSE)</f>
        <v>251572</v>
      </c>
      <c r="CS11" s="677">
        <f ca="1">CR11+CB11+((AS11-AT11)*1000)-AC11-HLOOKUP(CS$4,'NWC_FC_NON-NOOS'!$C$50:$U$69,MATCH(PLANNING_FC!$BR11,'NWC_FC_NON-NOOS'!$B$50:$B$69,0),FALSE)</f>
        <v>251572</v>
      </c>
      <c r="CT11" s="677">
        <f ca="1">CS11+CC11+((AT11-AU11)*1000)-AD11-HLOOKUP(CT$4,'NWC_FC_NON-NOOS'!$C$50:$U$69,MATCH(PLANNING_FC!$BR11,'NWC_FC_NON-NOOS'!$B$50:$B$69,0),FALSE)</f>
        <v>251572</v>
      </c>
      <c r="CU11" s="678"/>
      <c r="CV11" s="677">
        <f ca="1">CT11+CE11+((AU11-AW11)*1000)-AF11-HLOOKUP(CV$4,'NWC_FC_NON-NOOS'!$C$50:$U$69,MATCH(PLANNING_FC!$BR11,'NWC_FC_NON-NOOS'!$B$50:$B$69,0),FALSE)</f>
        <v>251572</v>
      </c>
      <c r="CW11" s="677">
        <f ca="1">CV11+CF11+((AW11-AX11)*1000)-AG11-HLOOKUP(CW$4,'NWC_FC_NON-NOOS'!$C$50:$U$69,MATCH(PLANNING_FC!$BR11,'NWC_FC_NON-NOOS'!$B$50:$B$69,0),FALSE)</f>
        <v>251572</v>
      </c>
      <c r="CX11" s="677">
        <f ca="1">CW11+CG11+((AX11-AY11)*1000)-AH11-HLOOKUP(CX$4,'NWC_FC_NON-NOOS'!$C$50:$U$69,MATCH(PLANNING_FC!$BR11,'NWC_FC_NON-NOOS'!$B$50:$B$69,0),FALSE)</f>
        <v>251572</v>
      </c>
      <c r="CY11" s="746"/>
      <c r="CZ11" s="575" t="str">
        <f t="shared" si="86"/>
        <v>KNIT</v>
      </c>
      <c r="DA11" s="677">
        <f ca="1">IF(STOCK_OVERVIEW!C$41="ACT",SUMIFS(HIS_STOCK!$F:$F,HIS_STOCK!$A:$A,PLANNING_FC!$BA$2,HIS_STOCK!$C:$C,PLANNING_FC!$CZ11,HIS_STOCK!$D:$D,PLANNING_FC!$DA$5,HIS_STOCK!$E:$E,PLANNING_FC!DA$7),CJ11+SUM($BB11:BB11))</f>
        <v>0</v>
      </c>
      <c r="DB11" s="677">
        <f ca="1">IF(STOCK_OVERVIEW!D$41="ACT",SUMIFS(HIS_STOCK!$F:$F,HIS_STOCK!$A:$A,PLANNING_FC!$BA$2,HIS_STOCK!$C:$C,PLANNING_FC!$CZ11,HIS_STOCK!$D:$D,PLANNING_FC!$DA$5,HIS_STOCK!$E:$E,PLANNING_FC!DB$7),CK11+SUM($BB11:BC11))</f>
        <v>0</v>
      </c>
      <c r="DC11" s="677">
        <f ca="1">CL11+SUM($BB11:BD11)</f>
        <v>246418</v>
      </c>
      <c r="DD11" s="678"/>
      <c r="DE11" s="677">
        <f ca="1">CN11+SUM($BB11:BF11)</f>
        <v>250138</v>
      </c>
      <c r="DF11" s="677">
        <f ca="1">CO11+SUM($BB11:BG11)</f>
        <v>251572</v>
      </c>
      <c r="DG11" s="677">
        <f ca="1">CP11+SUM($BB11:BH11)</f>
        <v>251572</v>
      </c>
      <c r="DH11" s="678"/>
      <c r="DI11" s="677">
        <f ca="1">CR11+SUM($BB11:BJ11)</f>
        <v>251572</v>
      </c>
      <c r="DJ11" s="677">
        <f ca="1">CS11+SUM($BB11:BK11)</f>
        <v>251572</v>
      </c>
      <c r="DK11" s="677">
        <f ca="1">CT11+SUM($BB11:BL11)</f>
        <v>251572</v>
      </c>
      <c r="DL11" s="678"/>
      <c r="DM11" s="677">
        <f ca="1">CV11+SUM($BB11:BN11)</f>
        <v>251572</v>
      </c>
      <c r="DN11" s="677">
        <f ca="1">CW11+SUM($BB11:BO11)</f>
        <v>251572</v>
      </c>
      <c r="DO11" s="677">
        <f ca="1">CX11+SUM($BB11:BP11)</f>
        <v>251572</v>
      </c>
      <c r="DQ11" s="575" t="str">
        <f t="shared" si="87"/>
        <v>KNIT</v>
      </c>
      <c r="DR11" s="677">
        <f ca="1">IF($DT$7="Aug",SUMIFS(HIS_STOCK!$F:$F,HIS_STOCK!$A:$A,$BA$2,HIS_STOCK!$C:$C,$DQ11,HIS_STOCK!$D:$D,$DR$4,HIS_STOCK!$E:$E,$DR$7),SUMIFS(HIS_STOCK!$F:$F,HIS_STOCK!$A:$A,$BA$2,HIS_STOCK!$C:$C,$DQ11,HIS_STOCK!$D:$D,$DR$5,HIS_STOCK!$E:$E,$DR$7))</f>
        <v>0</v>
      </c>
      <c r="DS11" s="677"/>
      <c r="DT11" s="677">
        <f ca="1">'NWC_FC_NON-NOOS'!T11</f>
        <v>0</v>
      </c>
      <c r="DU11" s="677">
        <f ca="1">'NWC_FC_NON-NOOS'!U11</f>
        <v>0</v>
      </c>
      <c r="DV11" s="677">
        <f ca="1">'NWC_FC_NON-NOOS'!V11</f>
        <v>0</v>
      </c>
      <c r="DW11" s="678"/>
      <c r="DX11" s="677">
        <f ca="1">'NWC_FC_NON-NOOS'!X11</f>
        <v>0</v>
      </c>
      <c r="DY11" s="677">
        <f ca="1">'NWC_FC_NON-NOOS'!Y11</f>
        <v>0</v>
      </c>
      <c r="DZ11" s="677">
        <f ca="1">'NWC_FC_NON-NOOS'!Z11</f>
        <v>0</v>
      </c>
      <c r="EA11" s="678"/>
      <c r="EB11" s="677">
        <f ca="1">'NWC_FC_NON-NOOS'!AB11</f>
        <v>0</v>
      </c>
      <c r="EC11" s="677">
        <f ca="1">'NWC_FC_NON-NOOS'!AC11</f>
        <v>0</v>
      </c>
      <c r="ED11" s="677">
        <f ca="1">'NWC_FC_NON-NOOS'!AD11</f>
        <v>0</v>
      </c>
      <c r="EE11" s="678"/>
      <c r="EF11" s="677">
        <f ca="1">'NWC_FC_NON-NOOS'!AF11</f>
        <v>0</v>
      </c>
      <c r="EG11" s="677">
        <f ca="1">'NWC_FC_NON-NOOS'!AG11</f>
        <v>0</v>
      </c>
      <c r="EH11" s="677">
        <f ca="1">'NWC_FC_NON-NOOS'!AH11</f>
        <v>0</v>
      </c>
    </row>
    <row r="12" spans="1:138" x14ac:dyDescent="0.25">
      <c r="B12" s="575" t="str">
        <f>'NWC_FC_NON-NOOS'!B12</f>
        <v>OUTERWEAR</v>
      </c>
      <c r="C12" s="802"/>
      <c r="D12" s="761"/>
      <c r="E12" s="761"/>
      <c r="F12" s="761"/>
      <c r="G12" s="613"/>
      <c r="H12" s="761"/>
      <c r="I12" s="761"/>
      <c r="J12" s="761"/>
      <c r="K12" s="613"/>
      <c r="L12" s="761"/>
      <c r="M12" s="761"/>
      <c r="N12" s="761"/>
      <c r="O12" s="613"/>
      <c r="P12" s="761"/>
      <c r="Q12" s="761"/>
      <c r="R12" s="761"/>
      <c r="T12" s="675">
        <f t="shared" ca="1" si="70"/>
        <v>0</v>
      </c>
      <c r="U12" s="675">
        <f t="shared" ca="1" si="71"/>
        <v>0</v>
      </c>
      <c r="V12" s="675">
        <f t="shared" ca="1" si="72"/>
        <v>0</v>
      </c>
      <c r="W12" s="675"/>
      <c r="X12" s="675">
        <f t="shared" ca="1" si="73"/>
        <v>0</v>
      </c>
      <c r="Y12" s="675">
        <f t="shared" ca="1" si="74"/>
        <v>0</v>
      </c>
      <c r="Z12" s="675">
        <f t="shared" ca="1" si="75"/>
        <v>0</v>
      </c>
      <c r="AA12" s="675"/>
      <c r="AB12" s="675">
        <f t="shared" ca="1" si="76"/>
        <v>0</v>
      </c>
      <c r="AC12" s="675">
        <f t="shared" ca="1" si="77"/>
        <v>0</v>
      </c>
      <c r="AD12" s="675">
        <f t="shared" ca="1" si="78"/>
        <v>0</v>
      </c>
      <c r="AE12" s="675"/>
      <c r="AF12" s="675">
        <f t="shared" ca="1" si="79"/>
        <v>0</v>
      </c>
      <c r="AG12" s="675">
        <f t="shared" ca="1" si="80"/>
        <v>0</v>
      </c>
      <c r="AH12" s="675">
        <f t="shared" ca="1" si="81"/>
        <v>0</v>
      </c>
      <c r="AI12" s="675"/>
      <c r="AJ12" s="575" t="str">
        <f t="shared" si="83"/>
        <v>OUTERWEAR</v>
      </c>
      <c r="AK12" s="761"/>
      <c r="AL12" s="761"/>
      <c r="AM12" s="761"/>
      <c r="AN12" s="613"/>
      <c r="AO12" s="761"/>
      <c r="AP12" s="761"/>
      <c r="AQ12" s="761"/>
      <c r="AR12" s="613"/>
      <c r="AS12" s="761"/>
      <c r="AT12" s="761"/>
      <c r="AU12" s="761"/>
      <c r="AV12" s="613"/>
      <c r="AW12" s="761"/>
      <c r="AX12" s="761"/>
      <c r="AY12" s="761"/>
      <c r="BA12" s="575" t="str">
        <f t="shared" si="82"/>
        <v>OUTERWEAR</v>
      </c>
      <c r="BB12" s="677">
        <f ca="1">MAX(IF(ISNA(VLOOKUP($BB$4,TIME!$M$40:$M$42,1,FALSE)),0,HLOOKUP(BB$4,'NWC_FC_NON-NOOS'!$S$4:$AH$23,MATCH($BA12,'NWC_FC_NON-NOOS'!$S$4:$S$23,0),FALSE)-CJ12),0)</f>
        <v>0</v>
      </c>
      <c r="BC12" s="677">
        <f ca="1">IF(ISNA(VLOOKUP(BC$4,TIME!$M$40:$M$42,1,FALSE)),0,IF(HLOOKUP(BC$4,'NWC_FC_NON-NOOS'!$S$4:$AH$23,MATCH($BA12,'NWC_FC_NON-NOOS'!$S$4:$S$23,0),FALSE)-CK12-SUM($BB12:BB12)&gt;0,HLOOKUP(BC$4,'NWC_FC_NON-NOOS'!$S$4:$AH$23,MATCH($BA12,'NWC_FC_NON-NOOS'!$S$4:$S$23,0),FALSE)-CK12-SUM($BB12:BB12),0))</f>
        <v>0</v>
      </c>
      <c r="BD12" s="677">
        <f ca="1">IF(ISNA(VLOOKUP(BD$4,TIME!$M$40:$M$42,1,FALSE)),0,IF(HLOOKUP(BD$4,'NWC_FC_NON-NOOS'!$S$4:$AH$23,MATCH($BA12,'NWC_FC_NON-NOOS'!$S$4:$S$23,0),FALSE)-CL12-SUM($BB12:BC12)&gt;0,HLOOKUP(BD$4,'NWC_FC_NON-NOOS'!$S$4:$AH$23,MATCH($BA12,'NWC_FC_NON-NOOS'!$S$4:$S$23,0),FALSE)-CL12-SUM($BB12:BC12),0))</f>
        <v>0</v>
      </c>
      <c r="BE12" s="678"/>
      <c r="BF12" s="677">
        <f ca="1">IF(HLOOKUP(BF$4,'NWC_FC_NON-NOOS'!$S$4:$AH$23,MATCH($BA12,'NWC_FC_NON-NOOS'!$S$4:$S$23,0),FALSE)-CN12-SUM($BB12:BE12)&gt;0,HLOOKUP(BF$4,'NWC_FC_NON-NOOS'!$S$4:$AH$23,MATCH($BA12,'NWC_FC_NON-NOOS'!$S$4:$S$23,0),FALSE)-CN12-SUM($BB12:BE12),0)</f>
        <v>0</v>
      </c>
      <c r="BG12" s="677">
        <f ca="1">IF(HLOOKUP(BG$4,'NWC_FC_NON-NOOS'!$S$4:$AH$23,MATCH($BA12,'NWC_FC_NON-NOOS'!$S$4:$S$23,0),FALSE)-CO12-SUM($BB12:BF12)&gt;0,HLOOKUP(BG$4,'NWC_FC_NON-NOOS'!$S$4:$AH$23,MATCH($BA12,'NWC_FC_NON-NOOS'!$S$4:$S$23,0),FALSE)-CO12-SUM($BB12:BF12),0)</f>
        <v>0</v>
      </c>
      <c r="BH12" s="677">
        <f ca="1">IF(HLOOKUP(BH$4,'NWC_FC_NON-NOOS'!$S$4:$AH$23,MATCH($BA12,'NWC_FC_NON-NOOS'!$S$4:$S$23,0),FALSE)-CP12-SUM($BB12:BG12)&gt;0,HLOOKUP(BH$4,'NWC_FC_NON-NOOS'!$S$4:$AH$23,MATCH($BA12,'NWC_FC_NON-NOOS'!$S$4:$S$23,0),FALSE)-CP12-SUM($BB12:BG12),0)</f>
        <v>0</v>
      </c>
      <c r="BI12" s="678"/>
      <c r="BJ12" s="677">
        <f ca="1">IF(HLOOKUP(BJ$4,'NWC_FC_NON-NOOS'!$S$4:$AH$23,MATCH($BA12,'NWC_FC_NON-NOOS'!$S$4:$S$23,0),FALSE)-CR12-SUM($BB12:BI12)&gt;0,HLOOKUP(BJ$4,'NWC_FC_NON-NOOS'!$S$4:$AH$23,MATCH($BA12,'NWC_FC_NON-NOOS'!$S$4:$S$23,0),FALSE)-CR12-SUM($BB12:BI12),0)</f>
        <v>0</v>
      </c>
      <c r="BK12" s="677">
        <f ca="1">IF(HLOOKUP(BK$4,'NWC_FC_NON-NOOS'!$S$4:$AH$23,MATCH($BA12,'NWC_FC_NON-NOOS'!$S$4:$S$23,0),FALSE)-CS12-SUM($BB12:BJ12)&gt;0,HLOOKUP(BK$4,'NWC_FC_NON-NOOS'!$S$4:$AH$23,MATCH($BA12,'NWC_FC_NON-NOOS'!$S$4:$S$23,0),FALSE)-CS12-SUM($BB12:BJ12),0)</f>
        <v>0</v>
      </c>
      <c r="BL12" s="677">
        <f ca="1">IF(HLOOKUP(BL$4,'NWC_FC_NON-NOOS'!$S$4:$AH$23,MATCH($BA12,'NWC_FC_NON-NOOS'!$S$4:$S$23,0),FALSE)-CT12-SUM($BB12:BK12)&gt;0,HLOOKUP(BL$4,'NWC_FC_NON-NOOS'!$S$4:$AH$23,MATCH($BA12,'NWC_FC_NON-NOOS'!$S$4:$S$23,0),FALSE)-CT12-SUM($BB12:BK12),0)</f>
        <v>0</v>
      </c>
      <c r="BM12" s="678"/>
      <c r="BN12" s="677">
        <f ca="1">IF(HLOOKUP(BN$4,'NWC_FC_NON-NOOS'!$S$4:$AH$23,MATCH($BA12,'NWC_FC_NON-NOOS'!$S$4:$S$23,0),FALSE)-CV12-SUM($BB12:BM12)&gt;0,HLOOKUP(BN$4,'NWC_FC_NON-NOOS'!$S$4:$AH$23,MATCH($BA12,'NWC_FC_NON-NOOS'!$S$4:$S$23,0),FALSE)-CV12-SUM($BB12:BM12),0)</f>
        <v>0</v>
      </c>
      <c r="BO12" s="677">
        <f ca="1">IF(HLOOKUP(BO$4,'NWC_FC_NON-NOOS'!$S$4:$AH$23,MATCH($BA12,'NWC_FC_NON-NOOS'!$S$4:$S$23,0),FALSE)-CW12-SUM($BB12:BN12)&gt;0,HLOOKUP(BO$4,'NWC_FC_NON-NOOS'!$S$4:$AH$23,MATCH($BA12,'NWC_FC_NON-NOOS'!$S$4:$S$23,0),FALSE)-CW12-SUM($BB12:BN12),0)</f>
        <v>0</v>
      </c>
      <c r="BP12" s="677">
        <f ca="1">IF(HLOOKUP(BP$4,'NWC_FC_NON-NOOS'!$S$4:$AH$23,MATCH($BA12,'NWC_FC_NON-NOOS'!$S$4:$S$23,0),FALSE)-CX12-SUM($BB12:BO12)&gt;0,HLOOKUP(BP$4,'NWC_FC_NON-NOOS'!$S$4:$AH$23,MATCH($BA12,'NWC_FC_NON-NOOS'!$S$4:$S$23,0),FALSE)-CX12-SUM($BB12:BO12),0)</f>
        <v>0</v>
      </c>
      <c r="BR12" s="575" t="str">
        <f t="shared" si="84"/>
        <v>OUTERWEAR</v>
      </c>
      <c r="BS12" s="678">
        <f ca="1">IF(BS$2=TIME!$E$5,SUMIFS(OPEN_ORDERS!$E:$E,OPEN_ORDERS!$B:$B,"&lt;="&amp;BS$2,OPEN_ORDERS!$C:$C,$BA12,OPEN_ORDERS!$D:$D,$BA$2)+SUMIFS(OPEN_ORDERS!$E:$E,OPEN_ORDERS!$B:$B,"IMMEDIATELY",OPEN_ORDERS!$C:$C,$BA12,OPEN_ORDERS!$D:$D,$BA$2),SUMIFS(OPEN_ORDERS!$E:$E,OPEN_ORDERS!$B:$B,BS$2,OPEN_ORDERS!$C:$C,$BA12,OPEN_ORDERS!$D:$D,$BA$2))</f>
        <v>264115</v>
      </c>
      <c r="BT12" s="677">
        <f ca="1">IF(BT$2=TIME!$E$5,SUMIFS(OPEN_ORDERS!$E:$E,OPEN_ORDERS!$B:$B,"&lt;="&amp;BT$2,OPEN_ORDERS!$C:$C,$BA12,OPEN_ORDERS!$D:$D,$BA$2)+SUMIFS(OPEN_ORDERS!$E:$E,OPEN_ORDERS!$B:$B,"IMMEDIATELY",OPEN_ORDERS!$C:$C,$BA12,OPEN_ORDERS!$D:$D,$BA$2),SUMIFS(OPEN_ORDERS!$E:$E,OPEN_ORDERS!$B:$B,BT$2,OPEN_ORDERS!$C:$C,$BA12,OPEN_ORDERS!$D:$D,$BA$2))</f>
        <v>32515</v>
      </c>
      <c r="BU12" s="677">
        <f ca="1">IF(BU$2=TIME!$E$5,SUMIFS(OPEN_ORDERS!$E:$E,OPEN_ORDERS!$B:$B,"&lt;="&amp;BU$2,OPEN_ORDERS!$C:$C,$BA12,OPEN_ORDERS!$D:$D,$BA$2)+SUMIFS(OPEN_ORDERS!$E:$E,OPEN_ORDERS!$B:$B,"IMMEDIATELY",OPEN_ORDERS!$C:$C,$BA12,OPEN_ORDERS!$D:$D,$BA$2),SUMIFS(OPEN_ORDERS!$E:$E,OPEN_ORDERS!$B:$B,BU$2,OPEN_ORDERS!$C:$C,$BA12,OPEN_ORDERS!$D:$D,$BA$2))</f>
        <v>490695</v>
      </c>
      <c r="BV12" s="678"/>
      <c r="BW12" s="677">
        <f ca="1">SUMIFS(OPEN_ORDERS!$E:$E,OPEN_ORDERS!$B:$B,BW$2,OPEN_ORDERS!$C:$C,$BA12,OPEN_ORDERS!$D:$D,$BA$2)</f>
        <v>964</v>
      </c>
      <c r="BX12" s="677">
        <f ca="1">SUMIFS(OPEN_ORDERS!$E:$E,OPEN_ORDERS!$B:$B,BX$2,OPEN_ORDERS!$C:$C,$BA12,OPEN_ORDERS!$D:$D,$BA$2)</f>
        <v>29309</v>
      </c>
      <c r="BY12" s="677">
        <f ca="1">SUMIFS(OPEN_ORDERS!$E:$E,OPEN_ORDERS!$B:$B,BY$2,OPEN_ORDERS!$C:$C,$BA12,OPEN_ORDERS!$D:$D,$BA$2)</f>
        <v>4635</v>
      </c>
      <c r="BZ12" s="678"/>
      <c r="CA12" s="677">
        <f ca="1">SUMIFS(OPEN_ORDERS!$E:$E,OPEN_ORDERS!$B:$B,CA$2,OPEN_ORDERS!$C:$C,$BA12,OPEN_ORDERS!$D:$D,$BA$2)</f>
        <v>283683</v>
      </c>
      <c r="CB12" s="677">
        <f ca="1">SUMIFS(OPEN_ORDERS!$E:$E,OPEN_ORDERS!$B:$B,CB$2,OPEN_ORDERS!$C:$C,$BA12,OPEN_ORDERS!$D:$D,$BA$2)</f>
        <v>114241</v>
      </c>
      <c r="CC12" s="677">
        <f ca="1">SUMIFS(OPEN_ORDERS!$E:$E,OPEN_ORDERS!$B:$B,CC$2,OPEN_ORDERS!$C:$C,$BA12,OPEN_ORDERS!$D:$D,$BA$2)</f>
        <v>2678</v>
      </c>
      <c r="CD12" s="678"/>
      <c r="CE12" s="677">
        <f ca="1">SUMIFS(OPEN_ORDERS!$E:$E,OPEN_ORDERS!$B:$B,CE$2,OPEN_ORDERS!$C:$C,$BA12,OPEN_ORDERS!$D:$D,$BA$2)</f>
        <v>0</v>
      </c>
      <c r="CF12" s="677">
        <f ca="1">SUMIFS(OPEN_ORDERS!$E:$E,OPEN_ORDERS!$B:$B,CF$2,OPEN_ORDERS!$C:$C,$BA12,OPEN_ORDERS!$D:$D,$BA$2)</f>
        <v>0</v>
      </c>
      <c r="CG12" s="677">
        <f ca="1">SUMIFS(OPEN_ORDERS!$E:$E,OPEN_ORDERS!$B:$B,CG$2,OPEN_ORDERS!$C:$C,$BA12,OPEN_ORDERS!$D:$D,$BA$2)</f>
        <v>0</v>
      </c>
      <c r="CI12" s="1" t="str">
        <f t="shared" si="85"/>
        <v>OUTERWEAR</v>
      </c>
      <c r="CJ12" s="677">
        <f ca="1">IF($CJ$7="Aug",SUMIFS(HIS_STOCK!$F:$F,HIS_STOCK!$A:$A,$BA$2,HIS_STOCK!$C:$C,$CI12,HIS_STOCK!$D:$D,$CK$1,HIS_STOCK!$E:$E,$CL$1)+BS12-(AK12*1000)-T12-HLOOKUP($CJ$4,'NWC_FC_NON-NOOS'!$C$50:$U$69,MATCH($CI12,'NWC_FC_NON-NOOS'!$B$50:$B$69,0),FALSE),IF($CJ$2=TIME!$E$5,SUMIFS(HIS_STOCK!$F:$F,HIS_STOCK!$A:$A,$BA$2,HIS_STOCK!$C:$C,$CI12,HIS_STOCK!$D:$D,$CJ$5,HIS_STOCK!$E:$E,$CL$1)+BS12-(AK12*1000)-T12-HLOOKUP($CJ$4,'NWC_FC_NON-NOOS'!$C$50:$U$69,MATCH($CI12,'NWC_FC_NON-NOOS'!$B$50:$B$69,0),FALSE),SUMIFS(HIS_STOCK!$F:$F,HIS_STOCK!$A:$A,$BA$2,HIS_STOCK!$C:$C,$CI12,HIS_STOCK!$D:$D,$CJ$5,HIS_STOCK!$E:$E,CJ$7)))</f>
        <v>0</v>
      </c>
      <c r="CK12" s="677">
        <f ca="1">IF(SUMIFS(HIS_STOCK!$F:$F,HIS_STOCK!$A:$A,$BA$2,HIS_STOCK!$C:$C,$CI12,HIS_STOCK!$D:$D,$CJ$5,HIS_STOCK!$E:$E,CK$7)&lt;&gt;0,SUMIFS(HIS_STOCK!$F:$F,HIS_STOCK!$A:$A,$BA$2,HIS_STOCK!$C:$C,$CI12,HIS_STOCK!$D:$D,$CJ$5,HIS_STOCK!$E:$E,CK$7)-(AL12*1000),CJ12+BT12+((AK12-AL12)*1000)-U12-HLOOKUP(BT$4,'NWC_FC_NON-NOOS'!$C$50:$U$69,MATCH(PLANNING_FC!$BR12,'NWC_FC_NON-NOOS'!$B$50:$B$69,0),FALSE))</f>
        <v>32515</v>
      </c>
      <c r="CL12" s="677">
        <f ca="1">IF(SUMIFS(HIS_STOCK!$F:$F,HIS_STOCK!$A:$A,$BA$2,HIS_STOCK!$C:$C,$CI12,HIS_STOCK!$D:$D,$CJ$5,HIS_STOCK!$E:$E,CL$7)&lt;&gt;0,SUMIFS(HIS_STOCK!$F:$F,HIS_STOCK!$A:$A,$BA$2,HIS_STOCK!$C:$C,$CI12,HIS_STOCK!$D:$D,$CJ$5,HIS_STOCK!$E:$E,CL$7)-(AM12*1000),CK12+BU12+((AL12-AM12)*1000)-V12-HLOOKUP(BU$4,'NWC_FC_NON-NOOS'!$C$50:$U$69,MATCH(PLANNING_FC!$BR12,'NWC_FC_NON-NOOS'!$B$50:$B$69,0),FALSE))</f>
        <v>523210</v>
      </c>
      <c r="CM12" s="678"/>
      <c r="CN12" s="677">
        <f ca="1">CL12+BW12+((AM12-AO12)*1000)-X12-HLOOKUP(CN$4,'NWC_FC_NON-NOOS'!$C$50:$U$69,MATCH(PLANNING_FC!$BR12,'NWC_FC_NON-NOOS'!$B$50:$B$69,0),FALSE)</f>
        <v>524174</v>
      </c>
      <c r="CO12" s="677">
        <f ca="1">CN12+BX12+((AO12-AP12)*1000)-Y12-HLOOKUP(CO$4,'NWC_FC_NON-NOOS'!$C$50:$U$69,MATCH(PLANNING_FC!$BR12,'NWC_FC_NON-NOOS'!$B$50:$B$69,0),FALSE)</f>
        <v>553483</v>
      </c>
      <c r="CP12" s="677">
        <f ca="1">CO12+BY12+((AP12-AQ12)*1000)-Z12-HLOOKUP(CP$4,'NWC_FC_NON-NOOS'!$C$50:$U$69,MATCH(PLANNING_FC!$BR12,'NWC_FC_NON-NOOS'!$B$50:$B$69,0),FALSE)</f>
        <v>558118</v>
      </c>
      <c r="CQ12" s="678"/>
      <c r="CR12" s="677">
        <f ca="1">CP12+CA12+((AQ12-AS12)*1000)-AB12-HLOOKUP(CR$4,'NWC_FC_NON-NOOS'!$C$50:$U$69,MATCH(PLANNING_FC!$BR12,'NWC_FC_NON-NOOS'!$B$50:$B$69,0),FALSE)</f>
        <v>841801</v>
      </c>
      <c r="CS12" s="677">
        <f ca="1">CR12+CB12+((AS12-AT12)*1000)-AC12-HLOOKUP(CS$4,'NWC_FC_NON-NOOS'!$C$50:$U$69,MATCH(PLANNING_FC!$BR12,'NWC_FC_NON-NOOS'!$B$50:$B$69,0),FALSE)</f>
        <v>956042</v>
      </c>
      <c r="CT12" s="677">
        <f ca="1">CS12+CC12+((AT12-AU12)*1000)-AD12-HLOOKUP(CT$4,'NWC_FC_NON-NOOS'!$C$50:$U$69,MATCH(PLANNING_FC!$BR12,'NWC_FC_NON-NOOS'!$B$50:$B$69,0),FALSE)</f>
        <v>958720</v>
      </c>
      <c r="CU12" s="678"/>
      <c r="CV12" s="677">
        <f ca="1">CT12+CE12+((AU12-AW12)*1000)-AF12-HLOOKUP(CV$4,'NWC_FC_NON-NOOS'!$C$50:$U$69,MATCH(PLANNING_FC!$BR12,'NWC_FC_NON-NOOS'!$B$50:$B$69,0),FALSE)</f>
        <v>958720</v>
      </c>
      <c r="CW12" s="677">
        <f ca="1">CV12+CF12+((AW12-AX12)*1000)-AG12-HLOOKUP(CW$4,'NWC_FC_NON-NOOS'!$C$50:$U$69,MATCH(PLANNING_FC!$BR12,'NWC_FC_NON-NOOS'!$B$50:$B$69,0),FALSE)</f>
        <v>958720</v>
      </c>
      <c r="CX12" s="677">
        <f ca="1">CW12+CG12+((AX12-AY12)*1000)-AH12-HLOOKUP(CX$4,'NWC_FC_NON-NOOS'!$C$50:$U$69,MATCH(PLANNING_FC!$BR12,'NWC_FC_NON-NOOS'!$B$50:$B$69,0),FALSE)</f>
        <v>958720</v>
      </c>
      <c r="CY12" s="746"/>
      <c r="CZ12" s="575" t="str">
        <f t="shared" si="86"/>
        <v>OUTERWEAR</v>
      </c>
      <c r="DA12" s="677">
        <f ca="1">IF(STOCK_OVERVIEW!C$41="ACT",SUMIFS(HIS_STOCK!$F:$F,HIS_STOCK!$A:$A,PLANNING_FC!$BA$2,HIS_STOCK!$C:$C,PLANNING_FC!$CZ12,HIS_STOCK!$D:$D,PLANNING_FC!$DA$5,HIS_STOCK!$E:$E,PLANNING_FC!DA$7),CJ12+SUM($BB12:BB12))</f>
        <v>0</v>
      </c>
      <c r="DB12" s="677">
        <f ca="1">IF(STOCK_OVERVIEW!D$41="ACT",SUMIFS(HIS_STOCK!$F:$F,HIS_STOCK!$A:$A,PLANNING_FC!$BA$2,HIS_STOCK!$C:$C,PLANNING_FC!$CZ12,HIS_STOCK!$D:$D,PLANNING_FC!$DA$5,HIS_STOCK!$E:$E,PLANNING_FC!DB$7),CK12+SUM($BB12:BC12))</f>
        <v>0</v>
      </c>
      <c r="DC12" s="677">
        <f ca="1">CL12+SUM($BB12:BD12)</f>
        <v>523210</v>
      </c>
      <c r="DD12" s="678"/>
      <c r="DE12" s="677">
        <f ca="1">CN12+SUM($BB12:BF12)</f>
        <v>524174</v>
      </c>
      <c r="DF12" s="677">
        <f ca="1">CO12+SUM($BB12:BG12)</f>
        <v>553483</v>
      </c>
      <c r="DG12" s="677">
        <f ca="1">CP12+SUM($BB12:BH12)</f>
        <v>558118</v>
      </c>
      <c r="DH12" s="678"/>
      <c r="DI12" s="677">
        <f ca="1">CR12+SUM($BB12:BJ12)</f>
        <v>841801</v>
      </c>
      <c r="DJ12" s="677">
        <f ca="1">CS12+SUM($BB12:BK12)</f>
        <v>956042</v>
      </c>
      <c r="DK12" s="677">
        <f ca="1">CT12+SUM($BB12:BL12)</f>
        <v>958720</v>
      </c>
      <c r="DL12" s="678"/>
      <c r="DM12" s="677">
        <f ca="1">CV12+SUM($BB12:BN12)</f>
        <v>958720</v>
      </c>
      <c r="DN12" s="677">
        <f ca="1">CW12+SUM($BB12:BO12)</f>
        <v>958720</v>
      </c>
      <c r="DO12" s="677">
        <f ca="1">CX12+SUM($BB12:BP12)</f>
        <v>958720</v>
      </c>
      <c r="DQ12" s="575" t="str">
        <f t="shared" si="87"/>
        <v>OUTERWEAR</v>
      </c>
      <c r="DR12" s="677">
        <f ca="1">IF($DT$7="Aug",SUMIFS(HIS_STOCK!$F:$F,HIS_STOCK!$A:$A,$BA$2,HIS_STOCK!$C:$C,$DQ12,HIS_STOCK!$D:$D,$DR$4,HIS_STOCK!$E:$E,$DR$7),SUMIFS(HIS_STOCK!$F:$F,HIS_STOCK!$A:$A,$BA$2,HIS_STOCK!$C:$C,$DQ12,HIS_STOCK!$D:$D,$DR$5,HIS_STOCK!$E:$E,$DR$7))</f>
        <v>0</v>
      </c>
      <c r="DS12" s="677"/>
      <c r="DT12" s="677">
        <f ca="1">'NWC_FC_NON-NOOS'!T12</f>
        <v>0</v>
      </c>
      <c r="DU12" s="677">
        <f ca="1">'NWC_FC_NON-NOOS'!U12</f>
        <v>0</v>
      </c>
      <c r="DV12" s="677">
        <f ca="1">'NWC_FC_NON-NOOS'!V12</f>
        <v>0</v>
      </c>
      <c r="DW12" s="678"/>
      <c r="DX12" s="677">
        <f ca="1">'NWC_FC_NON-NOOS'!X12</f>
        <v>0</v>
      </c>
      <c r="DY12" s="677">
        <f ca="1">'NWC_FC_NON-NOOS'!Y12</f>
        <v>0</v>
      </c>
      <c r="DZ12" s="677">
        <f ca="1">'NWC_FC_NON-NOOS'!Z12</f>
        <v>0</v>
      </c>
      <c r="EA12" s="678"/>
      <c r="EB12" s="677">
        <f ca="1">'NWC_FC_NON-NOOS'!AB12</f>
        <v>0</v>
      </c>
      <c r="EC12" s="677">
        <f ca="1">'NWC_FC_NON-NOOS'!AC12</f>
        <v>0</v>
      </c>
      <c r="ED12" s="677">
        <f ca="1">'NWC_FC_NON-NOOS'!AD12</f>
        <v>0</v>
      </c>
      <c r="EE12" s="678"/>
      <c r="EF12" s="677">
        <f ca="1">'NWC_FC_NON-NOOS'!AF12</f>
        <v>0</v>
      </c>
      <c r="EG12" s="677">
        <f ca="1">'NWC_FC_NON-NOOS'!AG12</f>
        <v>0</v>
      </c>
      <c r="EH12" s="677">
        <f ca="1">'NWC_FC_NON-NOOS'!AH12</f>
        <v>0</v>
      </c>
    </row>
    <row r="13" spans="1:138" x14ac:dyDescent="0.25">
      <c r="B13" s="575" t="str">
        <f>'NWC_FC_NON-NOOS'!B13</f>
        <v>PANTS</v>
      </c>
      <c r="C13" s="802"/>
      <c r="D13" s="761"/>
      <c r="E13" s="761"/>
      <c r="F13" s="761"/>
      <c r="G13" s="613"/>
      <c r="H13" s="761"/>
      <c r="I13" s="761"/>
      <c r="J13" s="761"/>
      <c r="K13" s="613"/>
      <c r="L13" s="761"/>
      <c r="M13" s="761"/>
      <c r="N13" s="761"/>
      <c r="O13" s="613"/>
      <c r="P13" s="761"/>
      <c r="Q13" s="761"/>
      <c r="R13" s="761"/>
      <c r="T13" s="675">
        <f t="shared" ca="1" si="70"/>
        <v>0</v>
      </c>
      <c r="U13" s="675">
        <f t="shared" ca="1" si="71"/>
        <v>0</v>
      </c>
      <c r="V13" s="675">
        <f t="shared" ca="1" si="72"/>
        <v>0</v>
      </c>
      <c r="W13" s="675"/>
      <c r="X13" s="675">
        <f t="shared" ca="1" si="73"/>
        <v>0</v>
      </c>
      <c r="Y13" s="675">
        <f t="shared" ca="1" si="74"/>
        <v>0</v>
      </c>
      <c r="Z13" s="675">
        <f t="shared" ca="1" si="75"/>
        <v>0</v>
      </c>
      <c r="AA13" s="675"/>
      <c r="AB13" s="675">
        <f t="shared" ca="1" si="76"/>
        <v>0</v>
      </c>
      <c r="AC13" s="675">
        <f t="shared" ca="1" si="77"/>
        <v>0</v>
      </c>
      <c r="AD13" s="675">
        <f t="shared" ca="1" si="78"/>
        <v>0</v>
      </c>
      <c r="AE13" s="675"/>
      <c r="AF13" s="675">
        <f t="shared" ca="1" si="79"/>
        <v>0</v>
      </c>
      <c r="AG13" s="675">
        <f t="shared" ca="1" si="80"/>
        <v>0</v>
      </c>
      <c r="AH13" s="675">
        <f t="shared" ca="1" si="81"/>
        <v>0</v>
      </c>
      <c r="AI13" s="675"/>
      <c r="AJ13" s="575" t="str">
        <f t="shared" si="83"/>
        <v>PANTS</v>
      </c>
      <c r="AK13" s="761"/>
      <c r="AL13" s="761"/>
      <c r="AM13" s="761"/>
      <c r="AN13" s="613"/>
      <c r="AO13" s="761"/>
      <c r="AP13" s="761"/>
      <c r="AQ13" s="761"/>
      <c r="AR13" s="613"/>
      <c r="AS13" s="761"/>
      <c r="AT13" s="761"/>
      <c r="AU13" s="761"/>
      <c r="AV13" s="613"/>
      <c r="AW13" s="761"/>
      <c r="AX13" s="761"/>
      <c r="AY13" s="761"/>
      <c r="BA13" s="575" t="str">
        <f t="shared" si="82"/>
        <v>PANTS</v>
      </c>
      <c r="BB13" s="677">
        <f ca="1">MAX(IF(ISNA(VLOOKUP($BB$4,TIME!$M$40:$M$42,1,FALSE)),0,HLOOKUP(BB$4,'NWC_FC_NON-NOOS'!$S$4:$AH$23,MATCH($BA13,'NWC_FC_NON-NOOS'!$S$4:$S$23,0),FALSE)-CJ13),0)</f>
        <v>0</v>
      </c>
      <c r="BC13" s="677">
        <f ca="1">IF(ISNA(VLOOKUP(BC$4,TIME!$M$40:$M$42,1,FALSE)),0,IF(HLOOKUP(BC$4,'NWC_FC_NON-NOOS'!$S$4:$AH$23,MATCH($BA13,'NWC_FC_NON-NOOS'!$S$4:$S$23,0),FALSE)-CK13-SUM($BB13:BB13)&gt;0,HLOOKUP(BC$4,'NWC_FC_NON-NOOS'!$S$4:$AH$23,MATCH($BA13,'NWC_FC_NON-NOOS'!$S$4:$S$23,0),FALSE)-CK13-SUM($BB13:BB13),0))</f>
        <v>0</v>
      </c>
      <c r="BD13" s="677">
        <f ca="1">IF(ISNA(VLOOKUP(BD$4,TIME!$M$40:$M$42,1,FALSE)),0,IF(HLOOKUP(BD$4,'NWC_FC_NON-NOOS'!$S$4:$AH$23,MATCH($BA13,'NWC_FC_NON-NOOS'!$S$4:$S$23,0),FALSE)-CL13-SUM($BB13:BC13)&gt;0,HLOOKUP(BD$4,'NWC_FC_NON-NOOS'!$S$4:$AH$23,MATCH($BA13,'NWC_FC_NON-NOOS'!$S$4:$S$23,0),FALSE)-CL13-SUM($BB13:BC13),0))</f>
        <v>0</v>
      </c>
      <c r="BE13" s="678"/>
      <c r="BF13" s="677">
        <f ca="1">IF(HLOOKUP(BF$4,'NWC_FC_NON-NOOS'!$S$4:$AH$23,MATCH($BA13,'NWC_FC_NON-NOOS'!$S$4:$S$23,0),FALSE)-CN13-SUM($BB13:BE13)&gt;0,HLOOKUP(BF$4,'NWC_FC_NON-NOOS'!$S$4:$AH$23,MATCH($BA13,'NWC_FC_NON-NOOS'!$S$4:$S$23,0),FALSE)-CN13-SUM($BB13:BE13),0)</f>
        <v>0</v>
      </c>
      <c r="BG13" s="677">
        <f ca="1">IF(HLOOKUP(BG$4,'NWC_FC_NON-NOOS'!$S$4:$AH$23,MATCH($BA13,'NWC_FC_NON-NOOS'!$S$4:$S$23,0),FALSE)-CO13-SUM($BB13:BF13)&gt;0,HLOOKUP(BG$4,'NWC_FC_NON-NOOS'!$S$4:$AH$23,MATCH($BA13,'NWC_FC_NON-NOOS'!$S$4:$S$23,0),FALSE)-CO13-SUM($BB13:BF13),0)</f>
        <v>0</v>
      </c>
      <c r="BH13" s="677">
        <f ca="1">IF(HLOOKUP(BH$4,'NWC_FC_NON-NOOS'!$S$4:$AH$23,MATCH($BA13,'NWC_FC_NON-NOOS'!$S$4:$S$23,0),FALSE)-CP13-SUM($BB13:BG13)&gt;0,HLOOKUP(BH$4,'NWC_FC_NON-NOOS'!$S$4:$AH$23,MATCH($BA13,'NWC_FC_NON-NOOS'!$S$4:$S$23,0),FALSE)-CP13-SUM($BB13:BG13),0)</f>
        <v>0</v>
      </c>
      <c r="BI13" s="678"/>
      <c r="BJ13" s="677">
        <f ca="1">IF(HLOOKUP(BJ$4,'NWC_FC_NON-NOOS'!$S$4:$AH$23,MATCH($BA13,'NWC_FC_NON-NOOS'!$S$4:$S$23,0),FALSE)-CR13-SUM($BB13:BI13)&gt;0,HLOOKUP(BJ$4,'NWC_FC_NON-NOOS'!$S$4:$AH$23,MATCH($BA13,'NWC_FC_NON-NOOS'!$S$4:$S$23,0),FALSE)-CR13-SUM($BB13:BI13),0)</f>
        <v>0</v>
      </c>
      <c r="BK13" s="677">
        <f ca="1">IF(HLOOKUP(BK$4,'NWC_FC_NON-NOOS'!$S$4:$AH$23,MATCH($BA13,'NWC_FC_NON-NOOS'!$S$4:$S$23,0),FALSE)-CS13-SUM($BB13:BJ13)&gt;0,HLOOKUP(BK$4,'NWC_FC_NON-NOOS'!$S$4:$AH$23,MATCH($BA13,'NWC_FC_NON-NOOS'!$S$4:$S$23,0),FALSE)-CS13-SUM($BB13:BJ13),0)</f>
        <v>0</v>
      </c>
      <c r="BL13" s="677">
        <f ca="1">IF(HLOOKUP(BL$4,'NWC_FC_NON-NOOS'!$S$4:$AH$23,MATCH($BA13,'NWC_FC_NON-NOOS'!$S$4:$S$23,0),FALSE)-CT13-SUM($BB13:BK13)&gt;0,HLOOKUP(BL$4,'NWC_FC_NON-NOOS'!$S$4:$AH$23,MATCH($BA13,'NWC_FC_NON-NOOS'!$S$4:$S$23,0),FALSE)-CT13-SUM($BB13:BK13),0)</f>
        <v>0</v>
      </c>
      <c r="BM13" s="678"/>
      <c r="BN13" s="677">
        <f ca="1">IF(HLOOKUP(BN$4,'NWC_FC_NON-NOOS'!$S$4:$AH$23,MATCH($BA13,'NWC_FC_NON-NOOS'!$S$4:$S$23,0),FALSE)-CV13-SUM($BB13:BM13)&gt;0,HLOOKUP(BN$4,'NWC_FC_NON-NOOS'!$S$4:$AH$23,MATCH($BA13,'NWC_FC_NON-NOOS'!$S$4:$S$23,0),FALSE)-CV13-SUM($BB13:BM13),0)</f>
        <v>0</v>
      </c>
      <c r="BO13" s="677">
        <f ca="1">IF(HLOOKUP(BO$4,'NWC_FC_NON-NOOS'!$S$4:$AH$23,MATCH($BA13,'NWC_FC_NON-NOOS'!$S$4:$S$23,0),FALSE)-CW13-SUM($BB13:BN13)&gt;0,HLOOKUP(BO$4,'NWC_FC_NON-NOOS'!$S$4:$AH$23,MATCH($BA13,'NWC_FC_NON-NOOS'!$S$4:$S$23,0),FALSE)-CW13-SUM($BB13:BN13),0)</f>
        <v>0</v>
      </c>
      <c r="BP13" s="677">
        <f ca="1">IF(HLOOKUP(BP$4,'NWC_FC_NON-NOOS'!$S$4:$AH$23,MATCH($BA13,'NWC_FC_NON-NOOS'!$S$4:$S$23,0),FALSE)-CX13-SUM($BB13:BO13)&gt;0,HLOOKUP(BP$4,'NWC_FC_NON-NOOS'!$S$4:$AH$23,MATCH($BA13,'NWC_FC_NON-NOOS'!$S$4:$S$23,0),FALSE)-CX13-SUM($BB13:BO13),0)</f>
        <v>0</v>
      </c>
      <c r="BR13" s="575" t="str">
        <f t="shared" si="84"/>
        <v>PANTS</v>
      </c>
      <c r="BS13" s="678">
        <f ca="1">IF(BS$2=TIME!$E$5,SUMIFS(OPEN_ORDERS!$E:$E,OPEN_ORDERS!$B:$B,"&lt;="&amp;BS$2,OPEN_ORDERS!$C:$C,$BA13,OPEN_ORDERS!$D:$D,$BA$2)+SUMIFS(OPEN_ORDERS!$E:$E,OPEN_ORDERS!$B:$B,"IMMEDIATELY",OPEN_ORDERS!$C:$C,$BA13,OPEN_ORDERS!$D:$D,$BA$2),SUMIFS(OPEN_ORDERS!$E:$E,OPEN_ORDERS!$B:$B,BS$2,OPEN_ORDERS!$C:$C,$BA13,OPEN_ORDERS!$D:$D,$BA$2))</f>
        <v>73730</v>
      </c>
      <c r="BT13" s="677">
        <f ca="1">IF(BT$2=TIME!$E$5,SUMIFS(OPEN_ORDERS!$E:$E,OPEN_ORDERS!$B:$B,"&lt;="&amp;BT$2,OPEN_ORDERS!$C:$C,$BA13,OPEN_ORDERS!$D:$D,$BA$2)+SUMIFS(OPEN_ORDERS!$E:$E,OPEN_ORDERS!$B:$B,"IMMEDIATELY",OPEN_ORDERS!$C:$C,$BA13,OPEN_ORDERS!$D:$D,$BA$2),SUMIFS(OPEN_ORDERS!$E:$E,OPEN_ORDERS!$B:$B,BT$2,OPEN_ORDERS!$C:$C,$BA13,OPEN_ORDERS!$D:$D,$BA$2))</f>
        <v>107418</v>
      </c>
      <c r="BU13" s="677">
        <f ca="1">IF(BU$2=TIME!$E$5,SUMIFS(OPEN_ORDERS!$E:$E,OPEN_ORDERS!$B:$B,"&lt;="&amp;BU$2,OPEN_ORDERS!$C:$C,$BA13,OPEN_ORDERS!$D:$D,$BA$2)+SUMIFS(OPEN_ORDERS!$E:$E,OPEN_ORDERS!$B:$B,"IMMEDIATELY",OPEN_ORDERS!$C:$C,$BA13,OPEN_ORDERS!$D:$D,$BA$2),SUMIFS(OPEN_ORDERS!$E:$E,OPEN_ORDERS!$B:$B,BU$2,OPEN_ORDERS!$C:$C,$BA13,OPEN_ORDERS!$D:$D,$BA$2))</f>
        <v>311840</v>
      </c>
      <c r="BV13" s="678"/>
      <c r="BW13" s="677">
        <f ca="1">SUMIFS(OPEN_ORDERS!$E:$E,OPEN_ORDERS!$B:$B,BW$2,OPEN_ORDERS!$C:$C,$BA13,OPEN_ORDERS!$D:$D,$BA$2)</f>
        <v>14953</v>
      </c>
      <c r="BX13" s="677">
        <f ca="1">SUMIFS(OPEN_ORDERS!$E:$E,OPEN_ORDERS!$B:$B,BX$2,OPEN_ORDERS!$C:$C,$BA13,OPEN_ORDERS!$D:$D,$BA$2)</f>
        <v>1793</v>
      </c>
      <c r="BY13" s="677">
        <f ca="1">SUMIFS(OPEN_ORDERS!$E:$E,OPEN_ORDERS!$B:$B,BY$2,OPEN_ORDERS!$C:$C,$BA13,OPEN_ORDERS!$D:$D,$BA$2)</f>
        <v>0</v>
      </c>
      <c r="BZ13" s="678"/>
      <c r="CA13" s="677">
        <f ca="1">SUMIFS(OPEN_ORDERS!$E:$E,OPEN_ORDERS!$B:$B,CA$2,OPEN_ORDERS!$C:$C,$BA13,OPEN_ORDERS!$D:$D,$BA$2)</f>
        <v>0</v>
      </c>
      <c r="CB13" s="677">
        <f ca="1">SUMIFS(OPEN_ORDERS!$E:$E,OPEN_ORDERS!$B:$B,CB$2,OPEN_ORDERS!$C:$C,$BA13,OPEN_ORDERS!$D:$D,$BA$2)</f>
        <v>0</v>
      </c>
      <c r="CC13" s="677">
        <f ca="1">SUMIFS(OPEN_ORDERS!$E:$E,OPEN_ORDERS!$B:$B,CC$2,OPEN_ORDERS!$C:$C,$BA13,OPEN_ORDERS!$D:$D,$BA$2)</f>
        <v>0</v>
      </c>
      <c r="CD13" s="678"/>
      <c r="CE13" s="677">
        <f ca="1">SUMIFS(OPEN_ORDERS!$E:$E,OPEN_ORDERS!$B:$B,CE$2,OPEN_ORDERS!$C:$C,$BA13,OPEN_ORDERS!$D:$D,$BA$2)</f>
        <v>0</v>
      </c>
      <c r="CF13" s="677">
        <f ca="1">SUMIFS(OPEN_ORDERS!$E:$E,OPEN_ORDERS!$B:$B,CF$2,OPEN_ORDERS!$C:$C,$BA13,OPEN_ORDERS!$D:$D,$BA$2)</f>
        <v>0</v>
      </c>
      <c r="CG13" s="677">
        <f ca="1">SUMIFS(OPEN_ORDERS!$E:$E,OPEN_ORDERS!$B:$B,CG$2,OPEN_ORDERS!$C:$C,$BA13,OPEN_ORDERS!$D:$D,$BA$2)</f>
        <v>0</v>
      </c>
      <c r="CI13" s="1" t="str">
        <f t="shared" si="85"/>
        <v>PANTS</v>
      </c>
      <c r="CJ13" s="677">
        <f ca="1">IF($CJ$7="Aug",SUMIFS(HIS_STOCK!$F:$F,HIS_STOCK!$A:$A,$BA$2,HIS_STOCK!$C:$C,$CI13,HIS_STOCK!$D:$D,$CK$1,HIS_STOCK!$E:$E,$CL$1)+BS13-(AK13*1000)-T13-HLOOKUP($CJ$4,'NWC_FC_NON-NOOS'!$C$50:$U$69,MATCH($CI13,'NWC_FC_NON-NOOS'!$B$50:$B$69,0),FALSE),IF($CJ$2=TIME!$E$5,SUMIFS(HIS_STOCK!$F:$F,HIS_STOCK!$A:$A,$BA$2,HIS_STOCK!$C:$C,$CI13,HIS_STOCK!$D:$D,$CJ$5,HIS_STOCK!$E:$E,$CL$1)+BS13-(AK13*1000)-T13-HLOOKUP($CJ$4,'NWC_FC_NON-NOOS'!$C$50:$U$69,MATCH($CI13,'NWC_FC_NON-NOOS'!$B$50:$B$69,0),FALSE),SUMIFS(HIS_STOCK!$F:$F,HIS_STOCK!$A:$A,$BA$2,HIS_STOCK!$C:$C,$CI13,HIS_STOCK!$D:$D,$CJ$5,HIS_STOCK!$E:$E,CJ$7)))</f>
        <v>0</v>
      </c>
      <c r="CK13" s="677">
        <f ca="1">IF(SUMIFS(HIS_STOCK!$F:$F,HIS_STOCK!$A:$A,$BA$2,HIS_STOCK!$C:$C,$CI13,HIS_STOCK!$D:$D,$CJ$5,HIS_STOCK!$E:$E,CK$7)&lt;&gt;0,SUMIFS(HIS_STOCK!$F:$F,HIS_STOCK!$A:$A,$BA$2,HIS_STOCK!$C:$C,$CI13,HIS_STOCK!$D:$D,$CJ$5,HIS_STOCK!$E:$E,CK$7)-(AL13*1000),CJ13+BT13+((AK13-AL13)*1000)-U13-HLOOKUP(BT$4,'NWC_FC_NON-NOOS'!$C$50:$U$69,MATCH(PLANNING_FC!$BR13,'NWC_FC_NON-NOOS'!$B$50:$B$69,0),FALSE))</f>
        <v>107418</v>
      </c>
      <c r="CL13" s="677">
        <f ca="1">IF(SUMIFS(HIS_STOCK!$F:$F,HIS_STOCK!$A:$A,$BA$2,HIS_STOCK!$C:$C,$CI13,HIS_STOCK!$D:$D,$CJ$5,HIS_STOCK!$E:$E,CL$7)&lt;&gt;0,SUMIFS(HIS_STOCK!$F:$F,HIS_STOCK!$A:$A,$BA$2,HIS_STOCK!$C:$C,$CI13,HIS_STOCK!$D:$D,$CJ$5,HIS_STOCK!$E:$E,CL$7)-(AM13*1000),CK13+BU13+((AL13-AM13)*1000)-V13-HLOOKUP(BU$4,'NWC_FC_NON-NOOS'!$C$50:$U$69,MATCH(PLANNING_FC!$BR13,'NWC_FC_NON-NOOS'!$B$50:$B$69,0),FALSE))</f>
        <v>419258</v>
      </c>
      <c r="CM13" s="678"/>
      <c r="CN13" s="677">
        <f ca="1">CL13+BW13+((AM13-AO13)*1000)-X13-HLOOKUP(CN$4,'NWC_FC_NON-NOOS'!$C$50:$U$69,MATCH(PLANNING_FC!$BR13,'NWC_FC_NON-NOOS'!$B$50:$B$69,0),FALSE)</f>
        <v>434211</v>
      </c>
      <c r="CO13" s="677">
        <f ca="1">CN13+BX13+((AO13-AP13)*1000)-Y13-HLOOKUP(CO$4,'NWC_FC_NON-NOOS'!$C$50:$U$69,MATCH(PLANNING_FC!$BR13,'NWC_FC_NON-NOOS'!$B$50:$B$69,0),FALSE)</f>
        <v>436004</v>
      </c>
      <c r="CP13" s="677">
        <f ca="1">CO13+BY13+((AP13-AQ13)*1000)-Z13-HLOOKUP(CP$4,'NWC_FC_NON-NOOS'!$C$50:$U$69,MATCH(PLANNING_FC!$BR13,'NWC_FC_NON-NOOS'!$B$50:$B$69,0),FALSE)</f>
        <v>436004</v>
      </c>
      <c r="CQ13" s="678"/>
      <c r="CR13" s="677">
        <f ca="1">CP13+CA13+((AQ13-AS13)*1000)-AB13-HLOOKUP(CR$4,'NWC_FC_NON-NOOS'!$C$50:$U$69,MATCH(PLANNING_FC!$BR13,'NWC_FC_NON-NOOS'!$B$50:$B$69,0),FALSE)</f>
        <v>436004</v>
      </c>
      <c r="CS13" s="677">
        <f ca="1">CR13+CB13+((AS13-AT13)*1000)-AC13-HLOOKUP(CS$4,'NWC_FC_NON-NOOS'!$C$50:$U$69,MATCH(PLANNING_FC!$BR13,'NWC_FC_NON-NOOS'!$B$50:$B$69,0),FALSE)</f>
        <v>436004</v>
      </c>
      <c r="CT13" s="677">
        <f ca="1">CS13+CC13+((AT13-AU13)*1000)-AD13-HLOOKUP(CT$4,'NWC_FC_NON-NOOS'!$C$50:$U$69,MATCH(PLANNING_FC!$BR13,'NWC_FC_NON-NOOS'!$B$50:$B$69,0),FALSE)</f>
        <v>436004</v>
      </c>
      <c r="CU13" s="678"/>
      <c r="CV13" s="677">
        <f ca="1">CT13+CE13+((AU13-AW13)*1000)-AF13-HLOOKUP(CV$4,'NWC_FC_NON-NOOS'!$C$50:$U$69,MATCH(PLANNING_FC!$BR13,'NWC_FC_NON-NOOS'!$B$50:$B$69,0),FALSE)</f>
        <v>436004</v>
      </c>
      <c r="CW13" s="677">
        <f ca="1">CV13+CF13+((AW13-AX13)*1000)-AG13-HLOOKUP(CW$4,'NWC_FC_NON-NOOS'!$C$50:$U$69,MATCH(PLANNING_FC!$BR13,'NWC_FC_NON-NOOS'!$B$50:$B$69,0),FALSE)</f>
        <v>436004</v>
      </c>
      <c r="CX13" s="677">
        <f ca="1">CW13+CG13+((AX13-AY13)*1000)-AH13-HLOOKUP(CX$4,'NWC_FC_NON-NOOS'!$C$50:$U$69,MATCH(PLANNING_FC!$BR13,'NWC_FC_NON-NOOS'!$B$50:$B$69,0),FALSE)</f>
        <v>436004</v>
      </c>
      <c r="CY13" s="746"/>
      <c r="CZ13" s="575" t="str">
        <f t="shared" si="86"/>
        <v>PANTS</v>
      </c>
      <c r="DA13" s="677">
        <f ca="1">IF(STOCK_OVERVIEW!C$41="ACT",SUMIFS(HIS_STOCK!$F:$F,HIS_STOCK!$A:$A,PLANNING_FC!$BA$2,HIS_STOCK!$C:$C,PLANNING_FC!$CZ13,HIS_STOCK!$D:$D,PLANNING_FC!$DA$5,HIS_STOCK!$E:$E,PLANNING_FC!DA$7),CJ13+SUM($BB13:BB13))</f>
        <v>0</v>
      </c>
      <c r="DB13" s="677">
        <f ca="1">IF(STOCK_OVERVIEW!D$41="ACT",SUMIFS(HIS_STOCK!$F:$F,HIS_STOCK!$A:$A,PLANNING_FC!$BA$2,HIS_STOCK!$C:$C,PLANNING_FC!$CZ13,HIS_STOCK!$D:$D,PLANNING_FC!$DA$5,HIS_STOCK!$E:$E,PLANNING_FC!DB$7),CK13+SUM($BB13:BC13))</f>
        <v>0</v>
      </c>
      <c r="DC13" s="677">
        <f ca="1">CL13+SUM($BB13:BD13)</f>
        <v>419258</v>
      </c>
      <c r="DD13" s="678"/>
      <c r="DE13" s="677">
        <f ca="1">CN13+SUM($BB13:BF13)</f>
        <v>434211</v>
      </c>
      <c r="DF13" s="677">
        <f ca="1">CO13+SUM($BB13:BG13)</f>
        <v>436004</v>
      </c>
      <c r="DG13" s="677">
        <f ca="1">CP13+SUM($BB13:BH13)</f>
        <v>436004</v>
      </c>
      <c r="DH13" s="678"/>
      <c r="DI13" s="677">
        <f ca="1">CR13+SUM($BB13:BJ13)</f>
        <v>436004</v>
      </c>
      <c r="DJ13" s="677">
        <f ca="1">CS13+SUM($BB13:BK13)</f>
        <v>436004</v>
      </c>
      <c r="DK13" s="677">
        <f ca="1">CT13+SUM($BB13:BL13)</f>
        <v>436004</v>
      </c>
      <c r="DL13" s="678"/>
      <c r="DM13" s="677">
        <f ca="1">CV13+SUM($BB13:BN13)</f>
        <v>436004</v>
      </c>
      <c r="DN13" s="677">
        <f ca="1">CW13+SUM($BB13:BO13)</f>
        <v>436004</v>
      </c>
      <c r="DO13" s="677">
        <f ca="1">CX13+SUM($BB13:BP13)</f>
        <v>436004</v>
      </c>
      <c r="DQ13" s="575" t="str">
        <f t="shared" si="87"/>
        <v>PANTS</v>
      </c>
      <c r="DR13" s="677">
        <f ca="1">IF($DT$7="Aug",SUMIFS(HIS_STOCK!$F:$F,HIS_STOCK!$A:$A,$BA$2,HIS_STOCK!$C:$C,$DQ13,HIS_STOCK!$D:$D,$DR$4,HIS_STOCK!$E:$E,$DR$7),SUMIFS(HIS_STOCK!$F:$F,HIS_STOCK!$A:$A,$BA$2,HIS_STOCK!$C:$C,$DQ13,HIS_STOCK!$D:$D,$DR$5,HIS_STOCK!$E:$E,$DR$7))</f>
        <v>0</v>
      </c>
      <c r="DS13" s="677"/>
      <c r="DT13" s="677">
        <f ca="1">'NWC_FC_NON-NOOS'!T13</f>
        <v>0</v>
      </c>
      <c r="DU13" s="677">
        <f ca="1">'NWC_FC_NON-NOOS'!U13</f>
        <v>0</v>
      </c>
      <c r="DV13" s="677">
        <f ca="1">'NWC_FC_NON-NOOS'!V13</f>
        <v>0</v>
      </c>
      <c r="DW13" s="678"/>
      <c r="DX13" s="677">
        <f ca="1">'NWC_FC_NON-NOOS'!X13</f>
        <v>0</v>
      </c>
      <c r="DY13" s="677">
        <f ca="1">'NWC_FC_NON-NOOS'!Y13</f>
        <v>0</v>
      </c>
      <c r="DZ13" s="677">
        <f ca="1">'NWC_FC_NON-NOOS'!Z13</f>
        <v>0</v>
      </c>
      <c r="EA13" s="678"/>
      <c r="EB13" s="677">
        <f ca="1">'NWC_FC_NON-NOOS'!AB13</f>
        <v>0</v>
      </c>
      <c r="EC13" s="677">
        <f ca="1">'NWC_FC_NON-NOOS'!AC13</f>
        <v>0</v>
      </c>
      <c r="ED13" s="677">
        <f ca="1">'NWC_FC_NON-NOOS'!AD13</f>
        <v>0</v>
      </c>
      <c r="EE13" s="678"/>
      <c r="EF13" s="677">
        <f ca="1">'NWC_FC_NON-NOOS'!AF13</f>
        <v>0</v>
      </c>
      <c r="EG13" s="677">
        <f ca="1">'NWC_FC_NON-NOOS'!AG13</f>
        <v>0</v>
      </c>
      <c r="EH13" s="677">
        <f ca="1">'NWC_FC_NON-NOOS'!AH13</f>
        <v>0</v>
      </c>
    </row>
    <row r="14" spans="1:138" x14ac:dyDescent="0.25">
      <c r="B14" s="575" t="str">
        <f>'NWC_FC_NON-NOOS'!B14</f>
        <v>SHIRTS</v>
      </c>
      <c r="C14" s="802"/>
      <c r="D14" s="761"/>
      <c r="E14" s="761"/>
      <c r="F14" s="761"/>
      <c r="G14" s="613"/>
      <c r="H14" s="761"/>
      <c r="I14" s="761"/>
      <c r="J14" s="761"/>
      <c r="K14" s="613"/>
      <c r="L14" s="761"/>
      <c r="M14" s="761"/>
      <c r="N14" s="761"/>
      <c r="O14" s="613"/>
      <c r="P14" s="761"/>
      <c r="Q14" s="761"/>
      <c r="R14" s="761"/>
      <c r="T14" s="675">
        <f t="shared" ca="1" si="70"/>
        <v>0</v>
      </c>
      <c r="U14" s="675">
        <f t="shared" ca="1" si="71"/>
        <v>0</v>
      </c>
      <c r="V14" s="675">
        <f t="shared" ca="1" si="72"/>
        <v>0</v>
      </c>
      <c r="W14" s="675"/>
      <c r="X14" s="675">
        <f t="shared" ca="1" si="73"/>
        <v>0</v>
      </c>
      <c r="Y14" s="675">
        <f t="shared" ca="1" si="74"/>
        <v>0</v>
      </c>
      <c r="Z14" s="675">
        <f t="shared" ca="1" si="75"/>
        <v>0</v>
      </c>
      <c r="AA14" s="675"/>
      <c r="AB14" s="675">
        <f t="shared" ca="1" si="76"/>
        <v>0</v>
      </c>
      <c r="AC14" s="675">
        <f t="shared" ca="1" si="77"/>
        <v>0</v>
      </c>
      <c r="AD14" s="675">
        <f t="shared" ca="1" si="78"/>
        <v>0</v>
      </c>
      <c r="AE14" s="675"/>
      <c r="AF14" s="675">
        <f t="shared" ca="1" si="79"/>
        <v>0</v>
      </c>
      <c r="AG14" s="675">
        <f t="shared" ca="1" si="80"/>
        <v>0</v>
      </c>
      <c r="AH14" s="675">
        <f t="shared" ca="1" si="81"/>
        <v>0</v>
      </c>
      <c r="AI14" s="675"/>
      <c r="AJ14" s="575" t="str">
        <f t="shared" si="83"/>
        <v>SHIRTS</v>
      </c>
      <c r="AK14" s="761"/>
      <c r="AL14" s="761"/>
      <c r="AM14" s="761"/>
      <c r="AN14" s="613"/>
      <c r="AO14" s="761"/>
      <c r="AP14" s="761"/>
      <c r="AQ14" s="761"/>
      <c r="AR14" s="613"/>
      <c r="AS14" s="761"/>
      <c r="AT14" s="761"/>
      <c r="AU14" s="761"/>
      <c r="AV14" s="613"/>
      <c r="AW14" s="761"/>
      <c r="AX14" s="761"/>
      <c r="AY14" s="761"/>
      <c r="BA14" s="575" t="str">
        <f t="shared" si="82"/>
        <v>SHIRTS</v>
      </c>
      <c r="BB14" s="677">
        <f ca="1">MAX(IF(ISNA(VLOOKUP($BB$4,TIME!$M$40:$M$42,1,FALSE)),0,HLOOKUP(BB$4,'NWC_FC_NON-NOOS'!$S$4:$AH$23,MATCH($BA14,'NWC_FC_NON-NOOS'!$S$4:$S$23,0),FALSE)-CJ14),0)</f>
        <v>0</v>
      </c>
      <c r="BC14" s="677">
        <f ca="1">IF(ISNA(VLOOKUP(BC$4,TIME!$M$40:$M$42,1,FALSE)),0,IF(HLOOKUP(BC$4,'NWC_FC_NON-NOOS'!$S$4:$AH$23,MATCH($BA14,'NWC_FC_NON-NOOS'!$S$4:$S$23,0),FALSE)-CK14-SUM($BB14:BB14)&gt;0,HLOOKUP(BC$4,'NWC_FC_NON-NOOS'!$S$4:$AH$23,MATCH($BA14,'NWC_FC_NON-NOOS'!$S$4:$S$23,0),FALSE)-CK14-SUM($BB14:BB14),0))</f>
        <v>0</v>
      </c>
      <c r="BD14" s="677">
        <f ca="1">IF(ISNA(VLOOKUP(BD$4,TIME!$M$40:$M$42,1,FALSE)),0,IF(HLOOKUP(BD$4,'NWC_FC_NON-NOOS'!$S$4:$AH$23,MATCH($BA14,'NWC_FC_NON-NOOS'!$S$4:$S$23,0),FALSE)-CL14-SUM($BB14:BC14)&gt;0,HLOOKUP(BD$4,'NWC_FC_NON-NOOS'!$S$4:$AH$23,MATCH($BA14,'NWC_FC_NON-NOOS'!$S$4:$S$23,0),FALSE)-CL14-SUM($BB14:BC14),0))</f>
        <v>0</v>
      </c>
      <c r="BE14" s="678"/>
      <c r="BF14" s="677">
        <f ca="1">IF(HLOOKUP(BF$4,'NWC_FC_NON-NOOS'!$S$4:$AH$23,MATCH($BA14,'NWC_FC_NON-NOOS'!$S$4:$S$23,0),FALSE)-CN14-SUM($BB14:BE14)&gt;0,HLOOKUP(BF$4,'NWC_FC_NON-NOOS'!$S$4:$AH$23,MATCH($BA14,'NWC_FC_NON-NOOS'!$S$4:$S$23,0),FALSE)-CN14-SUM($BB14:BE14),0)</f>
        <v>0</v>
      </c>
      <c r="BG14" s="677">
        <f ca="1">IF(HLOOKUP(BG$4,'NWC_FC_NON-NOOS'!$S$4:$AH$23,MATCH($BA14,'NWC_FC_NON-NOOS'!$S$4:$S$23,0),FALSE)-CO14-SUM($BB14:BF14)&gt;0,HLOOKUP(BG$4,'NWC_FC_NON-NOOS'!$S$4:$AH$23,MATCH($BA14,'NWC_FC_NON-NOOS'!$S$4:$S$23,0),FALSE)-CO14-SUM($BB14:BF14),0)</f>
        <v>0</v>
      </c>
      <c r="BH14" s="677">
        <f ca="1">IF(HLOOKUP(BH$4,'NWC_FC_NON-NOOS'!$S$4:$AH$23,MATCH($BA14,'NWC_FC_NON-NOOS'!$S$4:$S$23,0),FALSE)-CP14-SUM($BB14:BG14)&gt;0,HLOOKUP(BH$4,'NWC_FC_NON-NOOS'!$S$4:$AH$23,MATCH($BA14,'NWC_FC_NON-NOOS'!$S$4:$S$23,0),FALSE)-CP14-SUM($BB14:BG14),0)</f>
        <v>0</v>
      </c>
      <c r="BI14" s="678"/>
      <c r="BJ14" s="677">
        <f ca="1">IF(HLOOKUP(BJ$4,'NWC_FC_NON-NOOS'!$S$4:$AH$23,MATCH($BA14,'NWC_FC_NON-NOOS'!$S$4:$S$23,0),FALSE)-CR14-SUM($BB14:BI14)&gt;0,HLOOKUP(BJ$4,'NWC_FC_NON-NOOS'!$S$4:$AH$23,MATCH($BA14,'NWC_FC_NON-NOOS'!$S$4:$S$23,0),FALSE)-CR14-SUM($BB14:BI14),0)</f>
        <v>0</v>
      </c>
      <c r="BK14" s="677">
        <f ca="1">IF(HLOOKUP(BK$4,'NWC_FC_NON-NOOS'!$S$4:$AH$23,MATCH($BA14,'NWC_FC_NON-NOOS'!$S$4:$S$23,0),FALSE)-CS14-SUM($BB14:BJ14)&gt;0,HLOOKUP(BK$4,'NWC_FC_NON-NOOS'!$S$4:$AH$23,MATCH($BA14,'NWC_FC_NON-NOOS'!$S$4:$S$23,0),FALSE)-CS14-SUM($BB14:BJ14),0)</f>
        <v>0</v>
      </c>
      <c r="BL14" s="677">
        <f ca="1">IF(HLOOKUP(BL$4,'NWC_FC_NON-NOOS'!$S$4:$AH$23,MATCH($BA14,'NWC_FC_NON-NOOS'!$S$4:$S$23,0),FALSE)-CT14-SUM($BB14:BK14)&gt;0,HLOOKUP(BL$4,'NWC_FC_NON-NOOS'!$S$4:$AH$23,MATCH($BA14,'NWC_FC_NON-NOOS'!$S$4:$S$23,0),FALSE)-CT14-SUM($BB14:BK14),0)</f>
        <v>0</v>
      </c>
      <c r="BM14" s="678"/>
      <c r="BN14" s="677">
        <f ca="1">IF(HLOOKUP(BN$4,'NWC_FC_NON-NOOS'!$S$4:$AH$23,MATCH($BA14,'NWC_FC_NON-NOOS'!$S$4:$S$23,0),FALSE)-CV14-SUM($BB14:BM14)&gt;0,HLOOKUP(BN$4,'NWC_FC_NON-NOOS'!$S$4:$AH$23,MATCH($BA14,'NWC_FC_NON-NOOS'!$S$4:$S$23,0),FALSE)-CV14-SUM($BB14:BM14),0)</f>
        <v>0</v>
      </c>
      <c r="BO14" s="677">
        <f ca="1">IF(HLOOKUP(BO$4,'NWC_FC_NON-NOOS'!$S$4:$AH$23,MATCH($BA14,'NWC_FC_NON-NOOS'!$S$4:$S$23,0),FALSE)-CW14-SUM($BB14:BN14)&gt;0,HLOOKUP(BO$4,'NWC_FC_NON-NOOS'!$S$4:$AH$23,MATCH($BA14,'NWC_FC_NON-NOOS'!$S$4:$S$23,0),FALSE)-CW14-SUM($BB14:BN14),0)</f>
        <v>0</v>
      </c>
      <c r="BP14" s="677">
        <f ca="1">IF(HLOOKUP(BP$4,'NWC_FC_NON-NOOS'!$S$4:$AH$23,MATCH($BA14,'NWC_FC_NON-NOOS'!$S$4:$S$23,0),FALSE)-CX14-SUM($BB14:BO14)&gt;0,HLOOKUP(BP$4,'NWC_FC_NON-NOOS'!$S$4:$AH$23,MATCH($BA14,'NWC_FC_NON-NOOS'!$S$4:$S$23,0),FALSE)-CX14-SUM($BB14:BO14),0)</f>
        <v>0</v>
      </c>
      <c r="BR14" s="575" t="str">
        <f t="shared" si="84"/>
        <v>SHIRTS</v>
      </c>
      <c r="BS14" s="678">
        <f ca="1">IF(BS$2=TIME!$E$5,SUMIFS(OPEN_ORDERS!$E:$E,OPEN_ORDERS!$B:$B,"&lt;="&amp;BS$2,OPEN_ORDERS!$C:$C,$BA14,OPEN_ORDERS!$D:$D,$BA$2)+SUMIFS(OPEN_ORDERS!$E:$E,OPEN_ORDERS!$B:$B,"IMMEDIATELY",OPEN_ORDERS!$C:$C,$BA14,OPEN_ORDERS!$D:$D,$BA$2),SUMIFS(OPEN_ORDERS!$E:$E,OPEN_ORDERS!$B:$B,BS$2,OPEN_ORDERS!$C:$C,$BA14,OPEN_ORDERS!$D:$D,$BA$2))</f>
        <v>9803</v>
      </c>
      <c r="BT14" s="677">
        <f ca="1">IF(BT$2=TIME!$E$5,SUMIFS(OPEN_ORDERS!$E:$E,OPEN_ORDERS!$B:$B,"&lt;="&amp;BT$2,OPEN_ORDERS!$C:$C,$BA14,OPEN_ORDERS!$D:$D,$BA$2)+SUMIFS(OPEN_ORDERS!$E:$E,OPEN_ORDERS!$B:$B,"IMMEDIATELY",OPEN_ORDERS!$C:$C,$BA14,OPEN_ORDERS!$D:$D,$BA$2),SUMIFS(OPEN_ORDERS!$E:$E,OPEN_ORDERS!$B:$B,BT$2,OPEN_ORDERS!$C:$C,$BA14,OPEN_ORDERS!$D:$D,$BA$2))</f>
        <v>15106</v>
      </c>
      <c r="BU14" s="677">
        <f ca="1">IF(BU$2=TIME!$E$5,SUMIFS(OPEN_ORDERS!$E:$E,OPEN_ORDERS!$B:$B,"&lt;="&amp;BU$2,OPEN_ORDERS!$C:$C,$BA14,OPEN_ORDERS!$D:$D,$BA$2)+SUMIFS(OPEN_ORDERS!$E:$E,OPEN_ORDERS!$B:$B,"IMMEDIATELY",OPEN_ORDERS!$C:$C,$BA14,OPEN_ORDERS!$D:$D,$BA$2),SUMIFS(OPEN_ORDERS!$E:$E,OPEN_ORDERS!$B:$B,BU$2,OPEN_ORDERS!$C:$C,$BA14,OPEN_ORDERS!$D:$D,$BA$2))</f>
        <v>73632</v>
      </c>
      <c r="BV14" s="678"/>
      <c r="BW14" s="677">
        <f ca="1">SUMIFS(OPEN_ORDERS!$E:$E,OPEN_ORDERS!$B:$B,BW$2,OPEN_ORDERS!$C:$C,$BA14,OPEN_ORDERS!$D:$D,$BA$2)</f>
        <v>9947</v>
      </c>
      <c r="BX14" s="677">
        <f ca="1">SUMIFS(OPEN_ORDERS!$E:$E,OPEN_ORDERS!$B:$B,BX$2,OPEN_ORDERS!$C:$C,$BA14,OPEN_ORDERS!$D:$D,$BA$2)</f>
        <v>0</v>
      </c>
      <c r="BY14" s="677">
        <f ca="1">SUMIFS(OPEN_ORDERS!$E:$E,OPEN_ORDERS!$B:$B,BY$2,OPEN_ORDERS!$C:$C,$BA14,OPEN_ORDERS!$D:$D,$BA$2)</f>
        <v>0</v>
      </c>
      <c r="BZ14" s="678"/>
      <c r="CA14" s="677">
        <f ca="1">SUMIFS(OPEN_ORDERS!$E:$E,OPEN_ORDERS!$B:$B,CA$2,OPEN_ORDERS!$C:$C,$BA14,OPEN_ORDERS!$D:$D,$BA$2)</f>
        <v>0</v>
      </c>
      <c r="CB14" s="677">
        <f ca="1">SUMIFS(OPEN_ORDERS!$E:$E,OPEN_ORDERS!$B:$B,CB$2,OPEN_ORDERS!$C:$C,$BA14,OPEN_ORDERS!$D:$D,$BA$2)</f>
        <v>0</v>
      </c>
      <c r="CC14" s="677">
        <f ca="1">SUMIFS(OPEN_ORDERS!$E:$E,OPEN_ORDERS!$B:$B,CC$2,OPEN_ORDERS!$C:$C,$BA14,OPEN_ORDERS!$D:$D,$BA$2)</f>
        <v>0</v>
      </c>
      <c r="CD14" s="678"/>
      <c r="CE14" s="677">
        <f ca="1">SUMIFS(OPEN_ORDERS!$E:$E,OPEN_ORDERS!$B:$B,CE$2,OPEN_ORDERS!$C:$C,$BA14,OPEN_ORDERS!$D:$D,$BA$2)</f>
        <v>0</v>
      </c>
      <c r="CF14" s="677">
        <f ca="1">SUMIFS(OPEN_ORDERS!$E:$E,OPEN_ORDERS!$B:$B,CF$2,OPEN_ORDERS!$C:$C,$BA14,OPEN_ORDERS!$D:$D,$BA$2)</f>
        <v>0</v>
      </c>
      <c r="CG14" s="677">
        <f ca="1">SUMIFS(OPEN_ORDERS!$E:$E,OPEN_ORDERS!$B:$B,CG$2,OPEN_ORDERS!$C:$C,$BA14,OPEN_ORDERS!$D:$D,$BA$2)</f>
        <v>0</v>
      </c>
      <c r="CI14" s="1" t="str">
        <f t="shared" si="85"/>
        <v>SHIRTS</v>
      </c>
      <c r="CJ14" s="677">
        <f ca="1">IF($CJ$7="Aug",SUMIFS(HIS_STOCK!$F:$F,HIS_STOCK!$A:$A,$BA$2,HIS_STOCK!$C:$C,$CI14,HIS_STOCK!$D:$D,$CK$1,HIS_STOCK!$E:$E,$CL$1)+BS14-(AK14*1000)-T14-HLOOKUP($CJ$4,'NWC_FC_NON-NOOS'!$C$50:$U$69,MATCH($CI14,'NWC_FC_NON-NOOS'!$B$50:$B$69,0),FALSE),IF($CJ$2=TIME!$E$5,SUMIFS(HIS_STOCK!$F:$F,HIS_STOCK!$A:$A,$BA$2,HIS_STOCK!$C:$C,$CI14,HIS_STOCK!$D:$D,$CJ$5,HIS_STOCK!$E:$E,$CL$1)+BS14-(AK14*1000)-T14-HLOOKUP($CJ$4,'NWC_FC_NON-NOOS'!$C$50:$U$69,MATCH($CI14,'NWC_FC_NON-NOOS'!$B$50:$B$69,0),FALSE),SUMIFS(HIS_STOCK!$F:$F,HIS_STOCK!$A:$A,$BA$2,HIS_STOCK!$C:$C,$CI14,HIS_STOCK!$D:$D,$CJ$5,HIS_STOCK!$E:$E,CJ$7)))</f>
        <v>0</v>
      </c>
      <c r="CK14" s="677">
        <f ca="1">IF(SUMIFS(HIS_STOCK!$F:$F,HIS_STOCK!$A:$A,$BA$2,HIS_STOCK!$C:$C,$CI14,HIS_STOCK!$D:$D,$CJ$5,HIS_STOCK!$E:$E,CK$7)&lt;&gt;0,SUMIFS(HIS_STOCK!$F:$F,HIS_STOCK!$A:$A,$BA$2,HIS_STOCK!$C:$C,$CI14,HIS_STOCK!$D:$D,$CJ$5,HIS_STOCK!$E:$E,CK$7)-(AL14*1000),CJ14+BT14+((AK14-AL14)*1000)-U14-HLOOKUP(BT$4,'NWC_FC_NON-NOOS'!$C$50:$U$69,MATCH(PLANNING_FC!$BR14,'NWC_FC_NON-NOOS'!$B$50:$B$69,0),FALSE))</f>
        <v>15106</v>
      </c>
      <c r="CL14" s="677">
        <f ca="1">IF(SUMIFS(HIS_STOCK!$F:$F,HIS_STOCK!$A:$A,$BA$2,HIS_STOCK!$C:$C,$CI14,HIS_STOCK!$D:$D,$CJ$5,HIS_STOCK!$E:$E,CL$7)&lt;&gt;0,SUMIFS(HIS_STOCK!$F:$F,HIS_STOCK!$A:$A,$BA$2,HIS_STOCK!$C:$C,$CI14,HIS_STOCK!$D:$D,$CJ$5,HIS_STOCK!$E:$E,CL$7)-(AM14*1000),CK14+BU14+((AL14-AM14)*1000)-V14-HLOOKUP(BU$4,'NWC_FC_NON-NOOS'!$C$50:$U$69,MATCH(PLANNING_FC!$BR14,'NWC_FC_NON-NOOS'!$B$50:$B$69,0),FALSE))</f>
        <v>88738</v>
      </c>
      <c r="CM14" s="678"/>
      <c r="CN14" s="677">
        <f ca="1">CL14+BW14+((AM14-AO14)*1000)-X14-HLOOKUP(CN$4,'NWC_FC_NON-NOOS'!$C$50:$U$69,MATCH(PLANNING_FC!$BR14,'NWC_FC_NON-NOOS'!$B$50:$B$69,0),FALSE)</f>
        <v>98685</v>
      </c>
      <c r="CO14" s="677">
        <f ca="1">CN14+BX14+((AO14-AP14)*1000)-Y14-HLOOKUP(CO$4,'NWC_FC_NON-NOOS'!$C$50:$U$69,MATCH(PLANNING_FC!$BR14,'NWC_FC_NON-NOOS'!$B$50:$B$69,0),FALSE)</f>
        <v>98685</v>
      </c>
      <c r="CP14" s="677">
        <f ca="1">CO14+BY14+((AP14-AQ14)*1000)-Z14-HLOOKUP(CP$4,'NWC_FC_NON-NOOS'!$C$50:$U$69,MATCH(PLANNING_FC!$BR14,'NWC_FC_NON-NOOS'!$B$50:$B$69,0),FALSE)</f>
        <v>98685</v>
      </c>
      <c r="CQ14" s="678"/>
      <c r="CR14" s="677">
        <f ca="1">CP14+CA14+((AQ14-AS14)*1000)-AB14-HLOOKUP(CR$4,'NWC_FC_NON-NOOS'!$C$50:$U$69,MATCH(PLANNING_FC!$BR14,'NWC_FC_NON-NOOS'!$B$50:$B$69,0),FALSE)</f>
        <v>98685</v>
      </c>
      <c r="CS14" s="677">
        <f ca="1">CR14+CB14+((AS14-AT14)*1000)-AC14-HLOOKUP(CS$4,'NWC_FC_NON-NOOS'!$C$50:$U$69,MATCH(PLANNING_FC!$BR14,'NWC_FC_NON-NOOS'!$B$50:$B$69,0),FALSE)</f>
        <v>98685</v>
      </c>
      <c r="CT14" s="677">
        <f ca="1">CS14+CC14+((AT14-AU14)*1000)-AD14-HLOOKUP(CT$4,'NWC_FC_NON-NOOS'!$C$50:$U$69,MATCH(PLANNING_FC!$BR14,'NWC_FC_NON-NOOS'!$B$50:$B$69,0),FALSE)</f>
        <v>98685</v>
      </c>
      <c r="CU14" s="678"/>
      <c r="CV14" s="677">
        <f ca="1">CT14+CE14+((AU14-AW14)*1000)-AF14-HLOOKUP(CV$4,'NWC_FC_NON-NOOS'!$C$50:$U$69,MATCH(PLANNING_FC!$BR14,'NWC_FC_NON-NOOS'!$B$50:$B$69,0),FALSE)</f>
        <v>98685</v>
      </c>
      <c r="CW14" s="677">
        <f ca="1">CV14+CF14+((AW14-AX14)*1000)-AG14-HLOOKUP(CW$4,'NWC_FC_NON-NOOS'!$C$50:$U$69,MATCH(PLANNING_FC!$BR14,'NWC_FC_NON-NOOS'!$B$50:$B$69,0),FALSE)</f>
        <v>98685</v>
      </c>
      <c r="CX14" s="677">
        <f ca="1">CW14+CG14+((AX14-AY14)*1000)-AH14-HLOOKUP(CX$4,'NWC_FC_NON-NOOS'!$C$50:$U$69,MATCH(PLANNING_FC!$BR14,'NWC_FC_NON-NOOS'!$B$50:$B$69,0),FALSE)</f>
        <v>98685</v>
      </c>
      <c r="CY14" s="746"/>
      <c r="CZ14" s="575" t="str">
        <f t="shared" si="86"/>
        <v>SHIRTS</v>
      </c>
      <c r="DA14" s="677">
        <f ca="1">IF(STOCK_OVERVIEW!C$41="ACT",SUMIFS(HIS_STOCK!$F:$F,HIS_STOCK!$A:$A,PLANNING_FC!$BA$2,HIS_STOCK!$C:$C,PLANNING_FC!$CZ14,HIS_STOCK!$D:$D,PLANNING_FC!$DA$5,HIS_STOCK!$E:$E,PLANNING_FC!DA$7),CJ14+SUM($BB14:BB14))</f>
        <v>0</v>
      </c>
      <c r="DB14" s="677">
        <f ca="1">IF(STOCK_OVERVIEW!D$41="ACT",SUMIFS(HIS_STOCK!$F:$F,HIS_STOCK!$A:$A,PLANNING_FC!$BA$2,HIS_STOCK!$C:$C,PLANNING_FC!$CZ14,HIS_STOCK!$D:$D,PLANNING_FC!$DA$5,HIS_STOCK!$E:$E,PLANNING_FC!DB$7),CK14+SUM($BB14:BC14))</f>
        <v>0</v>
      </c>
      <c r="DC14" s="677">
        <f ca="1">CL14+SUM($BB14:BD14)</f>
        <v>88738</v>
      </c>
      <c r="DD14" s="678"/>
      <c r="DE14" s="677">
        <f ca="1">CN14+SUM($BB14:BF14)</f>
        <v>98685</v>
      </c>
      <c r="DF14" s="677">
        <f ca="1">CO14+SUM($BB14:BG14)</f>
        <v>98685</v>
      </c>
      <c r="DG14" s="677">
        <f ca="1">CP14+SUM($BB14:BH14)</f>
        <v>98685</v>
      </c>
      <c r="DH14" s="678"/>
      <c r="DI14" s="677">
        <f ca="1">CR14+SUM($BB14:BJ14)</f>
        <v>98685</v>
      </c>
      <c r="DJ14" s="677">
        <f ca="1">CS14+SUM($BB14:BK14)</f>
        <v>98685</v>
      </c>
      <c r="DK14" s="677">
        <f ca="1">CT14+SUM($BB14:BL14)</f>
        <v>98685</v>
      </c>
      <c r="DL14" s="678"/>
      <c r="DM14" s="677">
        <f ca="1">CV14+SUM($BB14:BN14)</f>
        <v>98685</v>
      </c>
      <c r="DN14" s="677">
        <f ca="1">CW14+SUM($BB14:BO14)</f>
        <v>98685</v>
      </c>
      <c r="DO14" s="677">
        <f ca="1">CX14+SUM($BB14:BP14)</f>
        <v>98685</v>
      </c>
      <c r="DQ14" s="575" t="str">
        <f t="shared" si="87"/>
        <v>SHIRTS</v>
      </c>
      <c r="DR14" s="677">
        <f ca="1">IF($DT$7="Aug",SUMIFS(HIS_STOCK!$F:$F,HIS_STOCK!$A:$A,$BA$2,HIS_STOCK!$C:$C,$DQ14,HIS_STOCK!$D:$D,$DR$4,HIS_STOCK!$E:$E,$DR$7),SUMIFS(HIS_STOCK!$F:$F,HIS_STOCK!$A:$A,$BA$2,HIS_STOCK!$C:$C,$DQ14,HIS_STOCK!$D:$D,$DR$5,HIS_STOCK!$E:$E,$DR$7))</f>
        <v>0</v>
      </c>
      <c r="DS14" s="677"/>
      <c r="DT14" s="677">
        <f ca="1">'NWC_FC_NON-NOOS'!T14</f>
        <v>0</v>
      </c>
      <c r="DU14" s="677">
        <f ca="1">'NWC_FC_NON-NOOS'!U14</f>
        <v>0</v>
      </c>
      <c r="DV14" s="677">
        <f ca="1">'NWC_FC_NON-NOOS'!V14</f>
        <v>0</v>
      </c>
      <c r="DW14" s="678"/>
      <c r="DX14" s="677">
        <f ca="1">'NWC_FC_NON-NOOS'!X14</f>
        <v>0</v>
      </c>
      <c r="DY14" s="677">
        <f ca="1">'NWC_FC_NON-NOOS'!Y14</f>
        <v>0</v>
      </c>
      <c r="DZ14" s="677">
        <f ca="1">'NWC_FC_NON-NOOS'!Z14</f>
        <v>0</v>
      </c>
      <c r="EA14" s="678"/>
      <c r="EB14" s="677">
        <f ca="1">'NWC_FC_NON-NOOS'!AB14</f>
        <v>0</v>
      </c>
      <c r="EC14" s="677">
        <f ca="1">'NWC_FC_NON-NOOS'!AC14</f>
        <v>0</v>
      </c>
      <c r="ED14" s="677">
        <f ca="1">'NWC_FC_NON-NOOS'!AD14</f>
        <v>0</v>
      </c>
      <c r="EE14" s="678"/>
      <c r="EF14" s="677">
        <f ca="1">'NWC_FC_NON-NOOS'!AF14</f>
        <v>0</v>
      </c>
      <c r="EG14" s="677">
        <f ca="1">'NWC_FC_NON-NOOS'!AG14</f>
        <v>0</v>
      </c>
      <c r="EH14" s="677">
        <f ca="1">'NWC_FC_NON-NOOS'!AH14</f>
        <v>0</v>
      </c>
    </row>
    <row r="15" spans="1:138" x14ac:dyDescent="0.25">
      <c r="B15" s="575" t="str">
        <f>'NWC_FC_NON-NOOS'!B15</f>
        <v>SHOES</v>
      </c>
      <c r="C15" s="802"/>
      <c r="D15" s="761"/>
      <c r="E15" s="761"/>
      <c r="F15" s="761"/>
      <c r="G15" s="613"/>
      <c r="H15" s="761"/>
      <c r="I15" s="761"/>
      <c r="J15" s="761"/>
      <c r="K15" s="613"/>
      <c r="L15" s="761"/>
      <c r="M15" s="761"/>
      <c r="N15" s="761"/>
      <c r="O15" s="613"/>
      <c r="P15" s="761"/>
      <c r="Q15" s="761"/>
      <c r="R15" s="761"/>
      <c r="T15" s="675">
        <f t="shared" ca="1" si="70"/>
        <v>0</v>
      </c>
      <c r="U15" s="675">
        <f t="shared" ca="1" si="71"/>
        <v>0</v>
      </c>
      <c r="V15" s="675">
        <f t="shared" ca="1" si="72"/>
        <v>0</v>
      </c>
      <c r="W15" s="675"/>
      <c r="X15" s="675">
        <f t="shared" ca="1" si="73"/>
        <v>0</v>
      </c>
      <c r="Y15" s="675">
        <f t="shared" ca="1" si="74"/>
        <v>0</v>
      </c>
      <c r="Z15" s="675">
        <f t="shared" ca="1" si="75"/>
        <v>0</v>
      </c>
      <c r="AA15" s="675"/>
      <c r="AB15" s="675">
        <f t="shared" ca="1" si="76"/>
        <v>0</v>
      </c>
      <c r="AC15" s="675">
        <f t="shared" ca="1" si="77"/>
        <v>0</v>
      </c>
      <c r="AD15" s="675">
        <f t="shared" ca="1" si="78"/>
        <v>0</v>
      </c>
      <c r="AE15" s="675"/>
      <c r="AF15" s="675">
        <f t="shared" ca="1" si="79"/>
        <v>0</v>
      </c>
      <c r="AG15" s="675">
        <f t="shared" ca="1" si="80"/>
        <v>0</v>
      </c>
      <c r="AH15" s="675">
        <f t="shared" ca="1" si="81"/>
        <v>0</v>
      </c>
      <c r="AI15" s="675"/>
      <c r="AJ15" s="575" t="str">
        <f t="shared" si="83"/>
        <v>SHOES</v>
      </c>
      <c r="AK15" s="761"/>
      <c r="AL15" s="761"/>
      <c r="AM15" s="761"/>
      <c r="AN15" s="613"/>
      <c r="AO15" s="761"/>
      <c r="AP15" s="761"/>
      <c r="AQ15" s="761"/>
      <c r="AR15" s="613"/>
      <c r="AS15" s="761"/>
      <c r="AT15" s="761"/>
      <c r="AU15" s="761"/>
      <c r="AV15" s="613"/>
      <c r="AW15" s="761"/>
      <c r="AX15" s="761"/>
      <c r="AY15" s="761"/>
      <c r="BA15" s="575" t="str">
        <f t="shared" si="82"/>
        <v>SHOES</v>
      </c>
      <c r="BB15" s="677">
        <f ca="1">MAX(IF(ISNA(VLOOKUP($BB$4,TIME!$M$40:$M$42,1,FALSE)),0,HLOOKUP(BB$4,'NWC_FC_NON-NOOS'!$S$4:$AH$23,MATCH($BA15,'NWC_FC_NON-NOOS'!$S$4:$S$23,0),FALSE)-CJ15),0)</f>
        <v>0</v>
      </c>
      <c r="BC15" s="677">
        <f ca="1">IF(ISNA(VLOOKUP(BC$4,TIME!$M$40:$M$42,1,FALSE)),0,IF(HLOOKUP(BC$4,'NWC_FC_NON-NOOS'!$S$4:$AH$23,MATCH($BA15,'NWC_FC_NON-NOOS'!$S$4:$S$23,0),FALSE)-CK15-SUM($BB15:BB15)&gt;0,HLOOKUP(BC$4,'NWC_FC_NON-NOOS'!$S$4:$AH$23,MATCH($BA15,'NWC_FC_NON-NOOS'!$S$4:$S$23,0),FALSE)-CK15-SUM($BB15:BB15),0))</f>
        <v>0</v>
      </c>
      <c r="BD15" s="677">
        <f ca="1">IF(ISNA(VLOOKUP(BD$4,TIME!$M$40:$M$42,1,FALSE)),0,IF(HLOOKUP(BD$4,'NWC_FC_NON-NOOS'!$S$4:$AH$23,MATCH($BA15,'NWC_FC_NON-NOOS'!$S$4:$S$23,0),FALSE)-CL15-SUM($BB15:BC15)&gt;0,HLOOKUP(BD$4,'NWC_FC_NON-NOOS'!$S$4:$AH$23,MATCH($BA15,'NWC_FC_NON-NOOS'!$S$4:$S$23,0),FALSE)-CL15-SUM($BB15:BC15),0))</f>
        <v>0</v>
      </c>
      <c r="BE15" s="678"/>
      <c r="BF15" s="677">
        <f ca="1">IF(HLOOKUP(BF$4,'NWC_FC_NON-NOOS'!$S$4:$AH$23,MATCH($BA15,'NWC_FC_NON-NOOS'!$S$4:$S$23,0),FALSE)-CN15-SUM($BB15:BE15)&gt;0,HLOOKUP(BF$4,'NWC_FC_NON-NOOS'!$S$4:$AH$23,MATCH($BA15,'NWC_FC_NON-NOOS'!$S$4:$S$23,0),FALSE)-CN15-SUM($BB15:BE15),0)</f>
        <v>0</v>
      </c>
      <c r="BG15" s="677">
        <f ca="1">IF(HLOOKUP(BG$4,'NWC_FC_NON-NOOS'!$S$4:$AH$23,MATCH($BA15,'NWC_FC_NON-NOOS'!$S$4:$S$23,0),FALSE)-CO15-SUM($BB15:BF15)&gt;0,HLOOKUP(BG$4,'NWC_FC_NON-NOOS'!$S$4:$AH$23,MATCH($BA15,'NWC_FC_NON-NOOS'!$S$4:$S$23,0),FALSE)-CO15-SUM($BB15:BF15),0)</f>
        <v>0</v>
      </c>
      <c r="BH15" s="677">
        <f ca="1">IF(HLOOKUP(BH$4,'NWC_FC_NON-NOOS'!$S$4:$AH$23,MATCH($BA15,'NWC_FC_NON-NOOS'!$S$4:$S$23,0),FALSE)-CP15-SUM($BB15:BG15)&gt;0,HLOOKUP(BH$4,'NWC_FC_NON-NOOS'!$S$4:$AH$23,MATCH($BA15,'NWC_FC_NON-NOOS'!$S$4:$S$23,0),FALSE)-CP15-SUM($BB15:BG15),0)</f>
        <v>0</v>
      </c>
      <c r="BI15" s="678"/>
      <c r="BJ15" s="677">
        <f ca="1">IF(HLOOKUP(BJ$4,'NWC_FC_NON-NOOS'!$S$4:$AH$23,MATCH($BA15,'NWC_FC_NON-NOOS'!$S$4:$S$23,0),FALSE)-CR15-SUM($BB15:BI15)&gt;0,HLOOKUP(BJ$4,'NWC_FC_NON-NOOS'!$S$4:$AH$23,MATCH($BA15,'NWC_FC_NON-NOOS'!$S$4:$S$23,0),FALSE)-CR15-SUM($BB15:BI15),0)</f>
        <v>0</v>
      </c>
      <c r="BK15" s="677">
        <f ca="1">IF(HLOOKUP(BK$4,'NWC_FC_NON-NOOS'!$S$4:$AH$23,MATCH($BA15,'NWC_FC_NON-NOOS'!$S$4:$S$23,0),FALSE)-CS15-SUM($BB15:BJ15)&gt;0,HLOOKUP(BK$4,'NWC_FC_NON-NOOS'!$S$4:$AH$23,MATCH($BA15,'NWC_FC_NON-NOOS'!$S$4:$S$23,0),FALSE)-CS15-SUM($BB15:BJ15),0)</f>
        <v>0</v>
      </c>
      <c r="BL15" s="677">
        <f ca="1">IF(HLOOKUP(BL$4,'NWC_FC_NON-NOOS'!$S$4:$AH$23,MATCH($BA15,'NWC_FC_NON-NOOS'!$S$4:$S$23,0),FALSE)-CT15-SUM($BB15:BK15)&gt;0,HLOOKUP(BL$4,'NWC_FC_NON-NOOS'!$S$4:$AH$23,MATCH($BA15,'NWC_FC_NON-NOOS'!$S$4:$S$23,0),FALSE)-CT15-SUM($BB15:BK15),0)</f>
        <v>0</v>
      </c>
      <c r="BM15" s="678"/>
      <c r="BN15" s="677">
        <f ca="1">IF(HLOOKUP(BN$4,'NWC_FC_NON-NOOS'!$S$4:$AH$23,MATCH($BA15,'NWC_FC_NON-NOOS'!$S$4:$S$23,0),FALSE)-CV15-SUM($BB15:BM15)&gt;0,HLOOKUP(BN$4,'NWC_FC_NON-NOOS'!$S$4:$AH$23,MATCH($BA15,'NWC_FC_NON-NOOS'!$S$4:$S$23,0),FALSE)-CV15-SUM($BB15:BM15),0)</f>
        <v>0</v>
      </c>
      <c r="BO15" s="677">
        <f ca="1">IF(HLOOKUP(BO$4,'NWC_FC_NON-NOOS'!$S$4:$AH$23,MATCH($BA15,'NWC_FC_NON-NOOS'!$S$4:$S$23,0),FALSE)-CW15-SUM($BB15:BN15)&gt;0,HLOOKUP(BO$4,'NWC_FC_NON-NOOS'!$S$4:$AH$23,MATCH($BA15,'NWC_FC_NON-NOOS'!$S$4:$S$23,0),FALSE)-CW15-SUM($BB15:BN15),0)</f>
        <v>0</v>
      </c>
      <c r="BP15" s="677">
        <f ca="1">IF(HLOOKUP(BP$4,'NWC_FC_NON-NOOS'!$S$4:$AH$23,MATCH($BA15,'NWC_FC_NON-NOOS'!$S$4:$S$23,0),FALSE)-CX15-SUM($BB15:BO15)&gt;0,HLOOKUP(BP$4,'NWC_FC_NON-NOOS'!$S$4:$AH$23,MATCH($BA15,'NWC_FC_NON-NOOS'!$S$4:$S$23,0),FALSE)-CX15-SUM($BB15:BO15),0)</f>
        <v>0</v>
      </c>
      <c r="BR15" s="575" t="str">
        <f t="shared" si="84"/>
        <v>SHOES</v>
      </c>
      <c r="BS15" s="678">
        <f ca="1">IF(BS$2=TIME!$E$5,SUMIFS(OPEN_ORDERS!$E:$E,OPEN_ORDERS!$B:$B,"&lt;="&amp;BS$2,OPEN_ORDERS!$C:$C,$BA15,OPEN_ORDERS!$D:$D,$BA$2)+SUMIFS(OPEN_ORDERS!$E:$E,OPEN_ORDERS!$B:$B,"IMMEDIATELY",OPEN_ORDERS!$C:$C,$BA15,OPEN_ORDERS!$D:$D,$BA$2),SUMIFS(OPEN_ORDERS!$E:$E,OPEN_ORDERS!$B:$B,BS$2,OPEN_ORDERS!$C:$C,$BA15,OPEN_ORDERS!$D:$D,$BA$2))</f>
        <v>1903</v>
      </c>
      <c r="BT15" s="677">
        <f ca="1">IF(BT$2=TIME!$E$5,SUMIFS(OPEN_ORDERS!$E:$E,OPEN_ORDERS!$B:$B,"&lt;="&amp;BT$2,OPEN_ORDERS!$C:$C,$BA15,OPEN_ORDERS!$D:$D,$BA$2)+SUMIFS(OPEN_ORDERS!$E:$E,OPEN_ORDERS!$B:$B,"IMMEDIATELY",OPEN_ORDERS!$C:$C,$BA15,OPEN_ORDERS!$D:$D,$BA$2),SUMIFS(OPEN_ORDERS!$E:$E,OPEN_ORDERS!$B:$B,BT$2,OPEN_ORDERS!$C:$C,$BA15,OPEN_ORDERS!$D:$D,$BA$2))</f>
        <v>2973</v>
      </c>
      <c r="BU15" s="677">
        <f ca="1">IF(BU$2=TIME!$E$5,SUMIFS(OPEN_ORDERS!$E:$E,OPEN_ORDERS!$B:$B,"&lt;="&amp;BU$2,OPEN_ORDERS!$C:$C,$BA15,OPEN_ORDERS!$D:$D,$BA$2)+SUMIFS(OPEN_ORDERS!$E:$E,OPEN_ORDERS!$B:$B,"IMMEDIATELY",OPEN_ORDERS!$C:$C,$BA15,OPEN_ORDERS!$D:$D,$BA$2),SUMIFS(OPEN_ORDERS!$E:$E,OPEN_ORDERS!$B:$B,BU$2,OPEN_ORDERS!$C:$C,$BA15,OPEN_ORDERS!$D:$D,$BA$2))</f>
        <v>25625</v>
      </c>
      <c r="BV15" s="678"/>
      <c r="BW15" s="677">
        <f ca="1">SUMIFS(OPEN_ORDERS!$E:$E,OPEN_ORDERS!$B:$B,BW$2,OPEN_ORDERS!$C:$C,$BA15,OPEN_ORDERS!$D:$D,$BA$2)</f>
        <v>2549</v>
      </c>
      <c r="BX15" s="677">
        <f ca="1">SUMIFS(OPEN_ORDERS!$E:$E,OPEN_ORDERS!$B:$B,BX$2,OPEN_ORDERS!$C:$C,$BA15,OPEN_ORDERS!$D:$D,$BA$2)</f>
        <v>0</v>
      </c>
      <c r="BY15" s="677">
        <f ca="1">SUMIFS(OPEN_ORDERS!$E:$E,OPEN_ORDERS!$B:$B,BY$2,OPEN_ORDERS!$C:$C,$BA15,OPEN_ORDERS!$D:$D,$BA$2)</f>
        <v>0</v>
      </c>
      <c r="BZ15" s="678"/>
      <c r="CA15" s="677">
        <f ca="1">SUMIFS(OPEN_ORDERS!$E:$E,OPEN_ORDERS!$B:$B,CA$2,OPEN_ORDERS!$C:$C,$BA15,OPEN_ORDERS!$D:$D,$BA$2)</f>
        <v>0</v>
      </c>
      <c r="CB15" s="677">
        <f ca="1">SUMIFS(OPEN_ORDERS!$E:$E,OPEN_ORDERS!$B:$B,CB$2,OPEN_ORDERS!$C:$C,$BA15,OPEN_ORDERS!$D:$D,$BA$2)</f>
        <v>0</v>
      </c>
      <c r="CC15" s="677">
        <f ca="1">SUMIFS(OPEN_ORDERS!$E:$E,OPEN_ORDERS!$B:$B,CC$2,OPEN_ORDERS!$C:$C,$BA15,OPEN_ORDERS!$D:$D,$BA$2)</f>
        <v>0</v>
      </c>
      <c r="CD15" s="678"/>
      <c r="CE15" s="677">
        <f ca="1">SUMIFS(OPEN_ORDERS!$E:$E,OPEN_ORDERS!$B:$B,CE$2,OPEN_ORDERS!$C:$C,$BA15,OPEN_ORDERS!$D:$D,$BA$2)</f>
        <v>0</v>
      </c>
      <c r="CF15" s="677">
        <f ca="1">SUMIFS(OPEN_ORDERS!$E:$E,OPEN_ORDERS!$B:$B,CF$2,OPEN_ORDERS!$C:$C,$BA15,OPEN_ORDERS!$D:$D,$BA$2)</f>
        <v>0</v>
      </c>
      <c r="CG15" s="677">
        <f ca="1">SUMIFS(OPEN_ORDERS!$E:$E,OPEN_ORDERS!$B:$B,CG$2,OPEN_ORDERS!$C:$C,$BA15,OPEN_ORDERS!$D:$D,$BA$2)</f>
        <v>0</v>
      </c>
      <c r="CI15" s="1" t="str">
        <f t="shared" si="85"/>
        <v>SHOES</v>
      </c>
      <c r="CJ15" s="677">
        <f ca="1">IF($CJ$7="Aug",SUMIFS(HIS_STOCK!$F:$F,HIS_STOCK!$A:$A,$BA$2,HIS_STOCK!$C:$C,$CI15,HIS_STOCK!$D:$D,$CK$1,HIS_STOCK!$E:$E,$CL$1)+BS15-(AK15*1000)-T15-HLOOKUP($CJ$4,'NWC_FC_NON-NOOS'!$C$50:$U$69,MATCH($CI15,'NWC_FC_NON-NOOS'!$B$50:$B$69,0),FALSE),IF($CJ$2=TIME!$E$5,SUMIFS(HIS_STOCK!$F:$F,HIS_STOCK!$A:$A,$BA$2,HIS_STOCK!$C:$C,$CI15,HIS_STOCK!$D:$D,$CJ$5,HIS_STOCK!$E:$E,$CL$1)+BS15-(AK15*1000)-T15-HLOOKUP($CJ$4,'NWC_FC_NON-NOOS'!$C$50:$U$69,MATCH($CI15,'NWC_FC_NON-NOOS'!$B$50:$B$69,0),FALSE),SUMIFS(HIS_STOCK!$F:$F,HIS_STOCK!$A:$A,$BA$2,HIS_STOCK!$C:$C,$CI15,HIS_STOCK!$D:$D,$CJ$5,HIS_STOCK!$E:$E,CJ$7)))</f>
        <v>0</v>
      </c>
      <c r="CK15" s="677">
        <f ca="1">IF(SUMIFS(HIS_STOCK!$F:$F,HIS_STOCK!$A:$A,$BA$2,HIS_STOCK!$C:$C,$CI15,HIS_STOCK!$D:$D,$CJ$5,HIS_STOCK!$E:$E,CK$7)&lt;&gt;0,SUMIFS(HIS_STOCK!$F:$F,HIS_STOCK!$A:$A,$BA$2,HIS_STOCK!$C:$C,$CI15,HIS_STOCK!$D:$D,$CJ$5,HIS_STOCK!$E:$E,CK$7)-(AL15*1000),CJ15+BT15+((AK15-AL15)*1000)-U15-HLOOKUP(BT$4,'NWC_FC_NON-NOOS'!$C$50:$U$69,MATCH(PLANNING_FC!$BR15,'NWC_FC_NON-NOOS'!$B$50:$B$69,0),FALSE))</f>
        <v>2973</v>
      </c>
      <c r="CL15" s="677">
        <f ca="1">IF(SUMIFS(HIS_STOCK!$F:$F,HIS_STOCK!$A:$A,$BA$2,HIS_STOCK!$C:$C,$CI15,HIS_STOCK!$D:$D,$CJ$5,HIS_STOCK!$E:$E,CL$7)&lt;&gt;0,SUMIFS(HIS_STOCK!$F:$F,HIS_STOCK!$A:$A,$BA$2,HIS_STOCK!$C:$C,$CI15,HIS_STOCK!$D:$D,$CJ$5,HIS_STOCK!$E:$E,CL$7)-(AM15*1000),CK15+BU15+((AL15-AM15)*1000)-V15-HLOOKUP(BU$4,'NWC_FC_NON-NOOS'!$C$50:$U$69,MATCH(PLANNING_FC!$BR15,'NWC_FC_NON-NOOS'!$B$50:$B$69,0),FALSE))</f>
        <v>28598</v>
      </c>
      <c r="CM15" s="678"/>
      <c r="CN15" s="677">
        <f ca="1">CL15+BW15+((AM15-AO15)*1000)-X15-HLOOKUP(CN$4,'NWC_FC_NON-NOOS'!$C$50:$U$69,MATCH(PLANNING_FC!$BR15,'NWC_FC_NON-NOOS'!$B$50:$B$69,0),FALSE)</f>
        <v>31147</v>
      </c>
      <c r="CO15" s="677">
        <f ca="1">CN15+BX15+((AO15-AP15)*1000)-Y15-HLOOKUP(CO$4,'NWC_FC_NON-NOOS'!$C$50:$U$69,MATCH(PLANNING_FC!$BR15,'NWC_FC_NON-NOOS'!$B$50:$B$69,0),FALSE)</f>
        <v>31147</v>
      </c>
      <c r="CP15" s="677">
        <f ca="1">CO15+BY15+((AP15-AQ15)*1000)-Z15-HLOOKUP(CP$4,'NWC_FC_NON-NOOS'!$C$50:$U$69,MATCH(PLANNING_FC!$BR15,'NWC_FC_NON-NOOS'!$B$50:$B$69,0),FALSE)</f>
        <v>31147</v>
      </c>
      <c r="CQ15" s="678"/>
      <c r="CR15" s="677">
        <f ca="1">CP15+CA15+((AQ15-AS15)*1000)-AB15-HLOOKUP(CR$4,'NWC_FC_NON-NOOS'!$C$50:$U$69,MATCH(PLANNING_FC!$BR15,'NWC_FC_NON-NOOS'!$B$50:$B$69,0),FALSE)</f>
        <v>31147</v>
      </c>
      <c r="CS15" s="677">
        <f ca="1">CR15+CB15+((AS15-AT15)*1000)-AC15-HLOOKUP(CS$4,'NWC_FC_NON-NOOS'!$C$50:$U$69,MATCH(PLANNING_FC!$BR15,'NWC_FC_NON-NOOS'!$B$50:$B$69,0),FALSE)</f>
        <v>31147</v>
      </c>
      <c r="CT15" s="677">
        <f ca="1">CS15+CC15+((AT15-AU15)*1000)-AD15-HLOOKUP(CT$4,'NWC_FC_NON-NOOS'!$C$50:$U$69,MATCH(PLANNING_FC!$BR15,'NWC_FC_NON-NOOS'!$B$50:$B$69,0),FALSE)</f>
        <v>31147</v>
      </c>
      <c r="CU15" s="678"/>
      <c r="CV15" s="677">
        <f ca="1">CT15+CE15+((AU15-AW15)*1000)-AF15-HLOOKUP(CV$4,'NWC_FC_NON-NOOS'!$C$50:$U$69,MATCH(PLANNING_FC!$BR15,'NWC_FC_NON-NOOS'!$B$50:$B$69,0),FALSE)</f>
        <v>31147</v>
      </c>
      <c r="CW15" s="677">
        <f ca="1">CV15+CF15+((AW15-AX15)*1000)-AG15-HLOOKUP(CW$4,'NWC_FC_NON-NOOS'!$C$50:$U$69,MATCH(PLANNING_FC!$BR15,'NWC_FC_NON-NOOS'!$B$50:$B$69,0),FALSE)</f>
        <v>31147</v>
      </c>
      <c r="CX15" s="677">
        <f ca="1">CW15+CG15+((AX15-AY15)*1000)-AH15-HLOOKUP(CX$4,'NWC_FC_NON-NOOS'!$C$50:$U$69,MATCH(PLANNING_FC!$BR15,'NWC_FC_NON-NOOS'!$B$50:$B$69,0),FALSE)</f>
        <v>31147</v>
      </c>
      <c r="CY15" s="746"/>
      <c r="CZ15" s="575" t="str">
        <f t="shared" si="86"/>
        <v>SHOES</v>
      </c>
      <c r="DA15" s="677">
        <f ca="1">IF(STOCK_OVERVIEW!C$41="ACT",SUMIFS(HIS_STOCK!$F:$F,HIS_STOCK!$A:$A,PLANNING_FC!$BA$2,HIS_STOCK!$C:$C,PLANNING_FC!$CZ15,HIS_STOCK!$D:$D,PLANNING_FC!$DA$5,HIS_STOCK!$E:$E,PLANNING_FC!DA$7),CJ15+SUM($BB15:BB15))</f>
        <v>0</v>
      </c>
      <c r="DB15" s="677">
        <f ca="1">IF(STOCK_OVERVIEW!D$41="ACT",SUMIFS(HIS_STOCK!$F:$F,HIS_STOCK!$A:$A,PLANNING_FC!$BA$2,HIS_STOCK!$C:$C,PLANNING_FC!$CZ15,HIS_STOCK!$D:$D,PLANNING_FC!$DA$5,HIS_STOCK!$E:$E,PLANNING_FC!DB$7),CK15+SUM($BB15:BC15))</f>
        <v>0</v>
      </c>
      <c r="DC15" s="677">
        <f ca="1">CL15+SUM($BB15:BD15)</f>
        <v>28598</v>
      </c>
      <c r="DD15" s="678"/>
      <c r="DE15" s="677">
        <f ca="1">CN15+SUM($BB15:BF15)</f>
        <v>31147</v>
      </c>
      <c r="DF15" s="677">
        <f ca="1">CO15+SUM($BB15:BG15)</f>
        <v>31147</v>
      </c>
      <c r="DG15" s="677">
        <f ca="1">CP15+SUM($BB15:BH15)</f>
        <v>31147</v>
      </c>
      <c r="DH15" s="678"/>
      <c r="DI15" s="677">
        <f ca="1">CR15+SUM($BB15:BJ15)</f>
        <v>31147</v>
      </c>
      <c r="DJ15" s="677">
        <f ca="1">CS15+SUM($BB15:BK15)</f>
        <v>31147</v>
      </c>
      <c r="DK15" s="677">
        <f ca="1">CT15+SUM($BB15:BL15)</f>
        <v>31147</v>
      </c>
      <c r="DL15" s="678"/>
      <c r="DM15" s="677">
        <f ca="1">CV15+SUM($BB15:BN15)</f>
        <v>31147</v>
      </c>
      <c r="DN15" s="677">
        <f ca="1">CW15+SUM($BB15:BO15)</f>
        <v>31147</v>
      </c>
      <c r="DO15" s="677">
        <f ca="1">CX15+SUM($BB15:BP15)</f>
        <v>31147</v>
      </c>
      <c r="DQ15" s="575" t="str">
        <f t="shared" si="87"/>
        <v>SHOES</v>
      </c>
      <c r="DR15" s="677">
        <f ca="1">IF($DT$7="Aug",SUMIFS(HIS_STOCK!$F:$F,HIS_STOCK!$A:$A,$BA$2,HIS_STOCK!$C:$C,$DQ15,HIS_STOCK!$D:$D,$DR$4,HIS_STOCK!$E:$E,$DR$7),SUMIFS(HIS_STOCK!$F:$F,HIS_STOCK!$A:$A,$BA$2,HIS_STOCK!$C:$C,$DQ15,HIS_STOCK!$D:$D,$DR$5,HIS_STOCK!$E:$E,$DR$7))</f>
        <v>0</v>
      </c>
      <c r="DS15" s="677"/>
      <c r="DT15" s="677">
        <f ca="1">'NWC_FC_NON-NOOS'!T15</f>
        <v>0</v>
      </c>
      <c r="DU15" s="677">
        <f ca="1">'NWC_FC_NON-NOOS'!U15</f>
        <v>0</v>
      </c>
      <c r="DV15" s="677">
        <f ca="1">'NWC_FC_NON-NOOS'!V15</f>
        <v>0</v>
      </c>
      <c r="DW15" s="678"/>
      <c r="DX15" s="677">
        <f ca="1">'NWC_FC_NON-NOOS'!X15</f>
        <v>0</v>
      </c>
      <c r="DY15" s="677">
        <f ca="1">'NWC_FC_NON-NOOS'!Y15</f>
        <v>0</v>
      </c>
      <c r="DZ15" s="677">
        <f ca="1">'NWC_FC_NON-NOOS'!Z15</f>
        <v>0</v>
      </c>
      <c r="EA15" s="678"/>
      <c r="EB15" s="677">
        <f ca="1">'NWC_FC_NON-NOOS'!AB15</f>
        <v>0</v>
      </c>
      <c r="EC15" s="677">
        <f ca="1">'NWC_FC_NON-NOOS'!AC15</f>
        <v>0</v>
      </c>
      <c r="ED15" s="677">
        <f ca="1">'NWC_FC_NON-NOOS'!AD15</f>
        <v>0</v>
      </c>
      <c r="EE15" s="678"/>
      <c r="EF15" s="677">
        <f ca="1">'NWC_FC_NON-NOOS'!AF15</f>
        <v>0</v>
      </c>
      <c r="EG15" s="677">
        <f ca="1">'NWC_FC_NON-NOOS'!AG15</f>
        <v>0</v>
      </c>
      <c r="EH15" s="677">
        <f ca="1">'NWC_FC_NON-NOOS'!AH15</f>
        <v>0</v>
      </c>
    </row>
    <row r="16" spans="1:138" x14ac:dyDescent="0.25">
      <c r="B16" s="575" t="str">
        <f>'NWC_FC_NON-NOOS'!B16</f>
        <v>SHORTS</v>
      </c>
      <c r="C16" s="802"/>
      <c r="D16" s="761"/>
      <c r="E16" s="761"/>
      <c r="F16" s="761"/>
      <c r="G16" s="613"/>
      <c r="H16" s="761"/>
      <c r="I16" s="761"/>
      <c r="J16" s="761"/>
      <c r="K16" s="613"/>
      <c r="L16" s="761"/>
      <c r="M16" s="761"/>
      <c r="N16" s="761"/>
      <c r="O16" s="613"/>
      <c r="P16" s="761"/>
      <c r="Q16" s="761"/>
      <c r="R16" s="761"/>
      <c r="T16" s="675">
        <f t="shared" ca="1" si="70"/>
        <v>0</v>
      </c>
      <c r="U16" s="675">
        <f t="shared" ca="1" si="71"/>
        <v>0</v>
      </c>
      <c r="V16" s="675">
        <f t="shared" ca="1" si="72"/>
        <v>0</v>
      </c>
      <c r="W16" s="675"/>
      <c r="X16" s="675">
        <f t="shared" ca="1" si="73"/>
        <v>0</v>
      </c>
      <c r="Y16" s="675">
        <f t="shared" ca="1" si="74"/>
        <v>0</v>
      </c>
      <c r="Z16" s="675">
        <f t="shared" ca="1" si="75"/>
        <v>0</v>
      </c>
      <c r="AA16" s="675"/>
      <c r="AB16" s="675">
        <f t="shared" ca="1" si="76"/>
        <v>0</v>
      </c>
      <c r="AC16" s="675">
        <f t="shared" ca="1" si="77"/>
        <v>0</v>
      </c>
      <c r="AD16" s="675">
        <f t="shared" ca="1" si="78"/>
        <v>0</v>
      </c>
      <c r="AE16" s="675"/>
      <c r="AF16" s="675">
        <f t="shared" ca="1" si="79"/>
        <v>0</v>
      </c>
      <c r="AG16" s="675">
        <f t="shared" ca="1" si="80"/>
        <v>0</v>
      </c>
      <c r="AH16" s="675">
        <f t="shared" ca="1" si="81"/>
        <v>0</v>
      </c>
      <c r="AI16" s="675"/>
      <c r="AJ16" s="575" t="str">
        <f t="shared" si="83"/>
        <v>SHORTS</v>
      </c>
      <c r="AK16" s="761"/>
      <c r="AL16" s="761"/>
      <c r="AM16" s="761"/>
      <c r="AN16" s="613"/>
      <c r="AO16" s="761"/>
      <c r="AP16" s="761"/>
      <c r="AQ16" s="761"/>
      <c r="AR16" s="613"/>
      <c r="AS16" s="761"/>
      <c r="AT16" s="761"/>
      <c r="AU16" s="761"/>
      <c r="AV16" s="613"/>
      <c r="AW16" s="761"/>
      <c r="AX16" s="761"/>
      <c r="AY16" s="761"/>
      <c r="BA16" s="575" t="str">
        <f t="shared" si="82"/>
        <v>SHORTS</v>
      </c>
      <c r="BB16" s="677">
        <f ca="1">MAX(IF(ISNA(VLOOKUP($BB$4,TIME!$M$40:$M$42,1,FALSE)),0,HLOOKUP(BB$4,'NWC_FC_NON-NOOS'!$S$4:$AH$23,MATCH($BA16,'NWC_FC_NON-NOOS'!$S$4:$S$23,0),FALSE)-CJ16),0)</f>
        <v>0</v>
      </c>
      <c r="BC16" s="677">
        <f ca="1">IF(ISNA(VLOOKUP(BC$4,TIME!$M$40:$M$42,1,FALSE)),0,IF(HLOOKUP(BC$4,'NWC_FC_NON-NOOS'!$S$4:$AH$23,MATCH($BA16,'NWC_FC_NON-NOOS'!$S$4:$S$23,0),FALSE)-CK16-SUM($BB16:BB16)&gt;0,HLOOKUP(BC$4,'NWC_FC_NON-NOOS'!$S$4:$AH$23,MATCH($BA16,'NWC_FC_NON-NOOS'!$S$4:$S$23,0),FALSE)-CK16-SUM($BB16:BB16),0))</f>
        <v>0</v>
      </c>
      <c r="BD16" s="677">
        <f ca="1">IF(ISNA(VLOOKUP(BD$4,TIME!$M$40:$M$42,1,FALSE)),0,IF(HLOOKUP(BD$4,'NWC_FC_NON-NOOS'!$S$4:$AH$23,MATCH($BA16,'NWC_FC_NON-NOOS'!$S$4:$S$23,0),FALSE)-CL16-SUM($BB16:BC16)&gt;0,HLOOKUP(BD$4,'NWC_FC_NON-NOOS'!$S$4:$AH$23,MATCH($BA16,'NWC_FC_NON-NOOS'!$S$4:$S$23,0),FALSE)-CL16-SUM($BB16:BC16),0))</f>
        <v>0</v>
      </c>
      <c r="BE16" s="678"/>
      <c r="BF16" s="677">
        <f ca="1">IF(HLOOKUP(BF$4,'NWC_FC_NON-NOOS'!$S$4:$AH$23,MATCH($BA16,'NWC_FC_NON-NOOS'!$S$4:$S$23,0),FALSE)-CN16-SUM($BB16:BE16)&gt;0,HLOOKUP(BF$4,'NWC_FC_NON-NOOS'!$S$4:$AH$23,MATCH($BA16,'NWC_FC_NON-NOOS'!$S$4:$S$23,0),FALSE)-CN16-SUM($BB16:BE16),0)</f>
        <v>0</v>
      </c>
      <c r="BG16" s="677">
        <f ca="1">IF(HLOOKUP(BG$4,'NWC_FC_NON-NOOS'!$S$4:$AH$23,MATCH($BA16,'NWC_FC_NON-NOOS'!$S$4:$S$23,0),FALSE)-CO16-SUM($BB16:BF16)&gt;0,HLOOKUP(BG$4,'NWC_FC_NON-NOOS'!$S$4:$AH$23,MATCH($BA16,'NWC_FC_NON-NOOS'!$S$4:$S$23,0),FALSE)-CO16-SUM($BB16:BF16),0)</f>
        <v>0</v>
      </c>
      <c r="BH16" s="677">
        <f ca="1">IF(HLOOKUP(BH$4,'NWC_FC_NON-NOOS'!$S$4:$AH$23,MATCH($BA16,'NWC_FC_NON-NOOS'!$S$4:$S$23,0),FALSE)-CP16-SUM($BB16:BG16)&gt;0,HLOOKUP(BH$4,'NWC_FC_NON-NOOS'!$S$4:$AH$23,MATCH($BA16,'NWC_FC_NON-NOOS'!$S$4:$S$23,0),FALSE)-CP16-SUM($BB16:BG16),0)</f>
        <v>0</v>
      </c>
      <c r="BI16" s="678"/>
      <c r="BJ16" s="677">
        <f ca="1">IF(HLOOKUP(BJ$4,'NWC_FC_NON-NOOS'!$S$4:$AH$23,MATCH($BA16,'NWC_FC_NON-NOOS'!$S$4:$S$23,0),FALSE)-CR16-SUM($BB16:BI16)&gt;0,HLOOKUP(BJ$4,'NWC_FC_NON-NOOS'!$S$4:$AH$23,MATCH($BA16,'NWC_FC_NON-NOOS'!$S$4:$S$23,0),FALSE)-CR16-SUM($BB16:BI16),0)</f>
        <v>0</v>
      </c>
      <c r="BK16" s="677">
        <f ca="1">IF(HLOOKUP(BK$4,'NWC_FC_NON-NOOS'!$S$4:$AH$23,MATCH($BA16,'NWC_FC_NON-NOOS'!$S$4:$S$23,0),FALSE)-CS16-SUM($BB16:BJ16)&gt;0,HLOOKUP(BK$4,'NWC_FC_NON-NOOS'!$S$4:$AH$23,MATCH($BA16,'NWC_FC_NON-NOOS'!$S$4:$S$23,0),FALSE)-CS16-SUM($BB16:BJ16),0)</f>
        <v>0</v>
      </c>
      <c r="BL16" s="677">
        <f ca="1">IF(HLOOKUP(BL$4,'NWC_FC_NON-NOOS'!$S$4:$AH$23,MATCH($BA16,'NWC_FC_NON-NOOS'!$S$4:$S$23,0),FALSE)-CT16-SUM($BB16:BK16)&gt;0,HLOOKUP(BL$4,'NWC_FC_NON-NOOS'!$S$4:$AH$23,MATCH($BA16,'NWC_FC_NON-NOOS'!$S$4:$S$23,0),FALSE)-CT16-SUM($BB16:BK16),0)</f>
        <v>0</v>
      </c>
      <c r="BM16" s="678"/>
      <c r="BN16" s="677">
        <f ca="1">IF(HLOOKUP(BN$4,'NWC_FC_NON-NOOS'!$S$4:$AH$23,MATCH($BA16,'NWC_FC_NON-NOOS'!$S$4:$S$23,0),FALSE)-CV16-SUM($BB16:BM16)&gt;0,HLOOKUP(BN$4,'NWC_FC_NON-NOOS'!$S$4:$AH$23,MATCH($BA16,'NWC_FC_NON-NOOS'!$S$4:$S$23,0),FALSE)-CV16-SUM($BB16:BM16),0)</f>
        <v>0</v>
      </c>
      <c r="BO16" s="677">
        <f ca="1">IF(HLOOKUP(BO$4,'NWC_FC_NON-NOOS'!$S$4:$AH$23,MATCH($BA16,'NWC_FC_NON-NOOS'!$S$4:$S$23,0),FALSE)-CW16-SUM($BB16:BN16)&gt;0,HLOOKUP(BO$4,'NWC_FC_NON-NOOS'!$S$4:$AH$23,MATCH($BA16,'NWC_FC_NON-NOOS'!$S$4:$S$23,0),FALSE)-CW16-SUM($BB16:BN16),0)</f>
        <v>0</v>
      </c>
      <c r="BP16" s="677">
        <f ca="1">IF(HLOOKUP(BP$4,'NWC_FC_NON-NOOS'!$S$4:$AH$23,MATCH($BA16,'NWC_FC_NON-NOOS'!$S$4:$S$23,0),FALSE)-CX16-SUM($BB16:BO16)&gt;0,HLOOKUP(BP$4,'NWC_FC_NON-NOOS'!$S$4:$AH$23,MATCH($BA16,'NWC_FC_NON-NOOS'!$S$4:$S$23,0),FALSE)-CX16-SUM($BB16:BO16),0)</f>
        <v>0</v>
      </c>
      <c r="BR16" s="575" t="str">
        <f>BA16</f>
        <v>SHORTS</v>
      </c>
      <c r="BS16" s="678">
        <f ca="1">IF(BS$2=TIME!$E$5,SUMIFS(OPEN_ORDERS!$E:$E,OPEN_ORDERS!$B:$B,"&lt;="&amp;BS$2,OPEN_ORDERS!$C:$C,$BA16,OPEN_ORDERS!$D:$D,$BA$2)+SUMIFS(OPEN_ORDERS!$E:$E,OPEN_ORDERS!$B:$B,"IMMEDIATELY",OPEN_ORDERS!$C:$C,$BA16,OPEN_ORDERS!$D:$D,$BA$2),SUMIFS(OPEN_ORDERS!$E:$E,OPEN_ORDERS!$B:$B,BS$2,OPEN_ORDERS!$C:$C,$BA16,OPEN_ORDERS!$D:$D,$BA$2))</f>
        <v>9253</v>
      </c>
      <c r="BT16" s="677">
        <f ca="1">IF(BT$2=TIME!$E$5,SUMIFS(OPEN_ORDERS!$E:$E,OPEN_ORDERS!$B:$B,"&lt;="&amp;BT$2,OPEN_ORDERS!$C:$C,$BA16,OPEN_ORDERS!$D:$D,$BA$2)+SUMIFS(OPEN_ORDERS!$E:$E,OPEN_ORDERS!$B:$B,"IMMEDIATELY",OPEN_ORDERS!$C:$C,$BA16,OPEN_ORDERS!$D:$D,$BA$2),SUMIFS(OPEN_ORDERS!$E:$E,OPEN_ORDERS!$B:$B,BT$2,OPEN_ORDERS!$C:$C,$BA16,OPEN_ORDERS!$D:$D,$BA$2))</f>
        <v>60586</v>
      </c>
      <c r="BU16" s="677">
        <f ca="1">IF(BU$2=TIME!$E$5,SUMIFS(OPEN_ORDERS!$E:$E,OPEN_ORDERS!$B:$B,"&lt;="&amp;BU$2,OPEN_ORDERS!$C:$C,$BA16,OPEN_ORDERS!$D:$D,$BA$2)+SUMIFS(OPEN_ORDERS!$E:$E,OPEN_ORDERS!$B:$B,"IMMEDIATELY",OPEN_ORDERS!$C:$C,$BA16,OPEN_ORDERS!$D:$D,$BA$2),SUMIFS(OPEN_ORDERS!$E:$E,OPEN_ORDERS!$B:$B,BU$2,OPEN_ORDERS!$C:$C,$BA16,OPEN_ORDERS!$D:$D,$BA$2))</f>
        <v>104524</v>
      </c>
      <c r="BV16" s="678"/>
      <c r="BW16" s="677">
        <f ca="1">SUMIFS(OPEN_ORDERS!$E:$E,OPEN_ORDERS!$B:$B,BW$2,OPEN_ORDERS!$C:$C,$BA16,OPEN_ORDERS!$D:$D,$BA$2)</f>
        <v>22616</v>
      </c>
      <c r="BX16" s="677">
        <f ca="1">SUMIFS(OPEN_ORDERS!$E:$E,OPEN_ORDERS!$B:$B,BX$2,OPEN_ORDERS!$C:$C,$BA16,OPEN_ORDERS!$D:$D,$BA$2)</f>
        <v>0</v>
      </c>
      <c r="BY16" s="677">
        <f ca="1">SUMIFS(OPEN_ORDERS!$E:$E,OPEN_ORDERS!$B:$B,BY$2,OPEN_ORDERS!$C:$C,$BA16,OPEN_ORDERS!$D:$D,$BA$2)</f>
        <v>0</v>
      </c>
      <c r="BZ16" s="678"/>
      <c r="CA16" s="677">
        <f ca="1">SUMIFS(OPEN_ORDERS!$E:$E,OPEN_ORDERS!$B:$B,CA$2,OPEN_ORDERS!$C:$C,$BA16,OPEN_ORDERS!$D:$D,$BA$2)</f>
        <v>0</v>
      </c>
      <c r="CB16" s="677">
        <f ca="1">SUMIFS(OPEN_ORDERS!$E:$E,OPEN_ORDERS!$B:$B,CB$2,OPEN_ORDERS!$C:$C,$BA16,OPEN_ORDERS!$D:$D,$BA$2)</f>
        <v>0</v>
      </c>
      <c r="CC16" s="677">
        <f ca="1">SUMIFS(OPEN_ORDERS!$E:$E,OPEN_ORDERS!$B:$B,CC$2,OPEN_ORDERS!$C:$C,$BA16,OPEN_ORDERS!$D:$D,$BA$2)</f>
        <v>0</v>
      </c>
      <c r="CD16" s="678"/>
      <c r="CE16" s="677">
        <f ca="1">SUMIFS(OPEN_ORDERS!$E:$E,OPEN_ORDERS!$B:$B,CE$2,OPEN_ORDERS!$C:$C,$BA16,OPEN_ORDERS!$D:$D,$BA$2)</f>
        <v>0</v>
      </c>
      <c r="CF16" s="677">
        <f ca="1">SUMIFS(OPEN_ORDERS!$E:$E,OPEN_ORDERS!$B:$B,CF$2,OPEN_ORDERS!$C:$C,$BA16,OPEN_ORDERS!$D:$D,$BA$2)</f>
        <v>0</v>
      </c>
      <c r="CG16" s="677">
        <f ca="1">SUMIFS(OPEN_ORDERS!$E:$E,OPEN_ORDERS!$B:$B,CG$2,OPEN_ORDERS!$C:$C,$BA16,OPEN_ORDERS!$D:$D,$BA$2)</f>
        <v>0</v>
      </c>
      <c r="CI16" s="1" t="str">
        <f t="shared" si="85"/>
        <v>SHORTS</v>
      </c>
      <c r="CJ16" s="677">
        <f ca="1">IF($CJ$7="Aug",SUMIFS(HIS_STOCK!$F:$F,HIS_STOCK!$A:$A,$BA$2,HIS_STOCK!$C:$C,$CI16,HIS_STOCK!$D:$D,$CK$1,HIS_STOCK!$E:$E,$CL$1)+BS16-(AK16*1000)-T16-HLOOKUP($CJ$4,'NWC_FC_NON-NOOS'!$C$50:$U$69,MATCH($CI16,'NWC_FC_NON-NOOS'!$B$50:$B$69,0),FALSE),IF($CJ$2=TIME!$E$5,SUMIFS(HIS_STOCK!$F:$F,HIS_STOCK!$A:$A,$BA$2,HIS_STOCK!$C:$C,$CI16,HIS_STOCK!$D:$D,$CJ$5,HIS_STOCK!$E:$E,$CL$1)+BS16-(AK16*1000)-T16-HLOOKUP($CJ$4,'NWC_FC_NON-NOOS'!$C$50:$U$69,MATCH($CI16,'NWC_FC_NON-NOOS'!$B$50:$B$69,0),FALSE),SUMIFS(HIS_STOCK!$F:$F,HIS_STOCK!$A:$A,$BA$2,HIS_STOCK!$C:$C,$CI16,HIS_STOCK!$D:$D,$CJ$5,HIS_STOCK!$E:$E,CJ$7)))</f>
        <v>0</v>
      </c>
      <c r="CK16" s="677">
        <f ca="1">IF(SUMIFS(HIS_STOCK!$F:$F,HIS_STOCK!$A:$A,$BA$2,HIS_STOCK!$C:$C,$CI16,HIS_STOCK!$D:$D,$CJ$5,HIS_STOCK!$E:$E,CK$7)&lt;&gt;0,SUMIFS(HIS_STOCK!$F:$F,HIS_STOCK!$A:$A,$BA$2,HIS_STOCK!$C:$C,$CI16,HIS_STOCK!$D:$D,$CJ$5,HIS_STOCK!$E:$E,CK$7)-(AL16*1000),CJ16+BT16+((AK16-AL16)*1000)-U16-HLOOKUP(BT$4,'NWC_FC_NON-NOOS'!$C$50:$U$69,MATCH(PLANNING_FC!$BR16,'NWC_FC_NON-NOOS'!$B$50:$B$69,0),FALSE))</f>
        <v>60586</v>
      </c>
      <c r="CL16" s="677">
        <f ca="1">IF(SUMIFS(HIS_STOCK!$F:$F,HIS_STOCK!$A:$A,$BA$2,HIS_STOCK!$C:$C,$CI16,HIS_STOCK!$D:$D,$CJ$5,HIS_STOCK!$E:$E,CL$7)&lt;&gt;0,SUMIFS(HIS_STOCK!$F:$F,HIS_STOCK!$A:$A,$BA$2,HIS_STOCK!$C:$C,$CI16,HIS_STOCK!$D:$D,$CJ$5,HIS_STOCK!$E:$E,CL$7)-(AM16*1000),CK16+BU16+((AL16-AM16)*1000)-V16-HLOOKUP(BU$4,'NWC_FC_NON-NOOS'!$C$50:$U$69,MATCH(PLANNING_FC!$BR16,'NWC_FC_NON-NOOS'!$B$50:$B$69,0),FALSE))</f>
        <v>165110</v>
      </c>
      <c r="CM16" s="678"/>
      <c r="CN16" s="677">
        <f ca="1">CL16+BW16+((AM16-AO16)*1000)-X16-HLOOKUP(CN$4,'NWC_FC_NON-NOOS'!$C$50:$U$69,MATCH(PLANNING_FC!$BR16,'NWC_FC_NON-NOOS'!$B$50:$B$69,0),FALSE)</f>
        <v>187726</v>
      </c>
      <c r="CO16" s="677">
        <f ca="1">CN16+BX16+((AO16-AP16)*1000)-Y16-HLOOKUP(CO$4,'NWC_FC_NON-NOOS'!$C$50:$U$69,MATCH(PLANNING_FC!$BR16,'NWC_FC_NON-NOOS'!$B$50:$B$69,0),FALSE)</f>
        <v>187726</v>
      </c>
      <c r="CP16" s="677">
        <f ca="1">CO16+BY16+((AP16-AQ16)*1000)-Z16-HLOOKUP(CP$4,'NWC_FC_NON-NOOS'!$C$50:$U$69,MATCH(PLANNING_FC!$BR16,'NWC_FC_NON-NOOS'!$B$50:$B$69,0),FALSE)</f>
        <v>187726</v>
      </c>
      <c r="CQ16" s="678"/>
      <c r="CR16" s="677">
        <f ca="1">CP16+CA16+((AQ16-AS16)*1000)-AB16-HLOOKUP(CR$4,'NWC_FC_NON-NOOS'!$C$50:$U$69,MATCH(PLANNING_FC!$BR16,'NWC_FC_NON-NOOS'!$B$50:$B$69,0),FALSE)</f>
        <v>187726</v>
      </c>
      <c r="CS16" s="677">
        <f ca="1">CR16+CB16+((AS16-AT16)*1000)-AC16-HLOOKUP(CS$4,'NWC_FC_NON-NOOS'!$C$50:$U$69,MATCH(PLANNING_FC!$BR16,'NWC_FC_NON-NOOS'!$B$50:$B$69,0),FALSE)</f>
        <v>187726</v>
      </c>
      <c r="CT16" s="677">
        <f ca="1">CS16+CC16+((AT16-AU16)*1000)-AD16-HLOOKUP(CT$4,'NWC_FC_NON-NOOS'!$C$50:$U$69,MATCH(PLANNING_FC!$BR16,'NWC_FC_NON-NOOS'!$B$50:$B$69,0),FALSE)</f>
        <v>187726</v>
      </c>
      <c r="CU16" s="678"/>
      <c r="CV16" s="677">
        <f ca="1">CT16+CE16+((AU16-AW16)*1000)-AF16-HLOOKUP(CV$4,'NWC_FC_NON-NOOS'!$C$50:$U$69,MATCH(PLANNING_FC!$BR16,'NWC_FC_NON-NOOS'!$B$50:$B$69,0),FALSE)</f>
        <v>187726</v>
      </c>
      <c r="CW16" s="677">
        <f ca="1">CV16+CF16+((AW16-AX16)*1000)-AG16-HLOOKUP(CW$4,'NWC_FC_NON-NOOS'!$C$50:$U$69,MATCH(PLANNING_FC!$BR16,'NWC_FC_NON-NOOS'!$B$50:$B$69,0),FALSE)</f>
        <v>187726</v>
      </c>
      <c r="CX16" s="677">
        <f ca="1">CW16+CG16+((AX16-AY16)*1000)-AH16-HLOOKUP(CX$4,'NWC_FC_NON-NOOS'!$C$50:$U$69,MATCH(PLANNING_FC!$BR16,'NWC_FC_NON-NOOS'!$B$50:$B$69,0),FALSE)</f>
        <v>187726</v>
      </c>
      <c r="CY16" s="746"/>
      <c r="CZ16" s="575" t="str">
        <f t="shared" si="86"/>
        <v>SHORTS</v>
      </c>
      <c r="DA16" s="677">
        <f ca="1">IF(STOCK_OVERVIEW!C$41="ACT",SUMIFS(HIS_STOCK!$F:$F,HIS_STOCK!$A:$A,PLANNING_FC!$BA$2,HIS_STOCK!$C:$C,PLANNING_FC!$CZ16,HIS_STOCK!$D:$D,PLANNING_FC!$DA$5,HIS_STOCK!$E:$E,PLANNING_FC!DA$7),CJ16+SUM($BB16:BB16))</f>
        <v>0</v>
      </c>
      <c r="DB16" s="677">
        <f ca="1">IF(STOCK_OVERVIEW!D$41="ACT",SUMIFS(HIS_STOCK!$F:$F,HIS_STOCK!$A:$A,PLANNING_FC!$BA$2,HIS_STOCK!$C:$C,PLANNING_FC!$CZ16,HIS_STOCK!$D:$D,PLANNING_FC!$DA$5,HIS_STOCK!$E:$E,PLANNING_FC!DB$7),CK16+SUM($BB16:BC16))</f>
        <v>0</v>
      </c>
      <c r="DC16" s="677">
        <f ca="1">CL16+SUM($BB16:BD16)</f>
        <v>165110</v>
      </c>
      <c r="DD16" s="678"/>
      <c r="DE16" s="677">
        <f ca="1">CN16+SUM($BB16:BF16)</f>
        <v>187726</v>
      </c>
      <c r="DF16" s="677">
        <f ca="1">CO16+SUM($BB16:BG16)</f>
        <v>187726</v>
      </c>
      <c r="DG16" s="677">
        <f ca="1">CP16+SUM($BB16:BH16)</f>
        <v>187726</v>
      </c>
      <c r="DH16" s="678"/>
      <c r="DI16" s="677">
        <f ca="1">CR16+SUM($BB16:BJ16)</f>
        <v>187726</v>
      </c>
      <c r="DJ16" s="677">
        <f ca="1">CS16+SUM($BB16:BK16)</f>
        <v>187726</v>
      </c>
      <c r="DK16" s="677">
        <f ca="1">CT16+SUM($BB16:BL16)</f>
        <v>187726</v>
      </c>
      <c r="DL16" s="678"/>
      <c r="DM16" s="677">
        <f ca="1">CV16+SUM($BB16:BN16)</f>
        <v>187726</v>
      </c>
      <c r="DN16" s="677">
        <f ca="1">CW16+SUM($BB16:BO16)</f>
        <v>187726</v>
      </c>
      <c r="DO16" s="677">
        <f ca="1">CX16+SUM($BB16:BP16)</f>
        <v>187726</v>
      </c>
      <c r="DQ16" s="575" t="str">
        <f t="shared" si="87"/>
        <v>SHORTS</v>
      </c>
      <c r="DR16" s="677">
        <f ca="1">IF($DT$7="Aug",SUMIFS(HIS_STOCK!$F:$F,HIS_STOCK!$A:$A,$BA$2,HIS_STOCK!$C:$C,$DQ16,HIS_STOCK!$D:$D,$DR$4,HIS_STOCK!$E:$E,$DR$7),SUMIFS(HIS_STOCK!$F:$F,HIS_STOCK!$A:$A,$BA$2,HIS_STOCK!$C:$C,$DQ16,HIS_STOCK!$D:$D,$DR$5,HIS_STOCK!$E:$E,$DR$7))</f>
        <v>0</v>
      </c>
      <c r="DS16" s="677"/>
      <c r="DT16" s="677">
        <f ca="1">'NWC_FC_NON-NOOS'!T16</f>
        <v>0</v>
      </c>
      <c r="DU16" s="677">
        <f ca="1">'NWC_FC_NON-NOOS'!U16</f>
        <v>0</v>
      </c>
      <c r="DV16" s="677">
        <f ca="1">'NWC_FC_NON-NOOS'!V16</f>
        <v>0</v>
      </c>
      <c r="DW16" s="678"/>
      <c r="DX16" s="677">
        <f ca="1">'NWC_FC_NON-NOOS'!X16</f>
        <v>0</v>
      </c>
      <c r="DY16" s="677">
        <f ca="1">'NWC_FC_NON-NOOS'!Y16</f>
        <v>0</v>
      </c>
      <c r="DZ16" s="677">
        <f ca="1">'NWC_FC_NON-NOOS'!Z16</f>
        <v>0</v>
      </c>
      <c r="EA16" s="678"/>
      <c r="EB16" s="677">
        <f ca="1">'NWC_FC_NON-NOOS'!AB16</f>
        <v>0</v>
      </c>
      <c r="EC16" s="677">
        <f ca="1">'NWC_FC_NON-NOOS'!AC16</f>
        <v>0</v>
      </c>
      <c r="ED16" s="677">
        <f ca="1">'NWC_FC_NON-NOOS'!AD16</f>
        <v>0</v>
      </c>
      <c r="EE16" s="678"/>
      <c r="EF16" s="677">
        <f ca="1">'NWC_FC_NON-NOOS'!AF16</f>
        <v>0</v>
      </c>
      <c r="EG16" s="677">
        <f ca="1">'NWC_FC_NON-NOOS'!AG16</f>
        <v>0</v>
      </c>
      <c r="EH16" s="677">
        <f ca="1">'NWC_FC_NON-NOOS'!AH16</f>
        <v>0</v>
      </c>
    </row>
    <row r="17" spans="1:138" x14ac:dyDescent="0.25">
      <c r="B17" s="575" t="str">
        <f>'NWC_FC_NON-NOOS'!B17</f>
        <v>SKIRTS</v>
      </c>
      <c r="C17" s="802"/>
      <c r="D17" s="761"/>
      <c r="E17" s="761"/>
      <c r="F17" s="761"/>
      <c r="G17" s="613"/>
      <c r="H17" s="761"/>
      <c r="I17" s="761"/>
      <c r="J17" s="761"/>
      <c r="K17" s="613"/>
      <c r="L17" s="761"/>
      <c r="M17" s="761"/>
      <c r="N17" s="761"/>
      <c r="O17" s="613"/>
      <c r="P17" s="761"/>
      <c r="Q17" s="761"/>
      <c r="R17" s="761"/>
      <c r="T17" s="675">
        <f t="shared" ca="1" si="70"/>
        <v>0</v>
      </c>
      <c r="U17" s="675">
        <f t="shared" ca="1" si="71"/>
        <v>0</v>
      </c>
      <c r="V17" s="675">
        <f t="shared" ca="1" si="72"/>
        <v>0</v>
      </c>
      <c r="W17" s="675"/>
      <c r="X17" s="675">
        <f t="shared" ca="1" si="73"/>
        <v>0</v>
      </c>
      <c r="Y17" s="675">
        <f t="shared" ca="1" si="74"/>
        <v>0</v>
      </c>
      <c r="Z17" s="675">
        <f t="shared" ca="1" si="75"/>
        <v>0</v>
      </c>
      <c r="AA17" s="675"/>
      <c r="AB17" s="675">
        <f t="shared" ca="1" si="76"/>
        <v>0</v>
      </c>
      <c r="AC17" s="675">
        <f t="shared" ca="1" si="77"/>
        <v>0</v>
      </c>
      <c r="AD17" s="675">
        <f t="shared" ca="1" si="78"/>
        <v>0</v>
      </c>
      <c r="AE17" s="675"/>
      <c r="AF17" s="675">
        <f t="shared" ca="1" si="79"/>
        <v>0</v>
      </c>
      <c r="AG17" s="675">
        <f t="shared" ca="1" si="80"/>
        <v>0</v>
      </c>
      <c r="AH17" s="675">
        <f t="shared" ca="1" si="81"/>
        <v>0</v>
      </c>
      <c r="AI17" s="675"/>
      <c r="AJ17" s="575" t="str">
        <f t="shared" si="83"/>
        <v>SKIRTS</v>
      </c>
      <c r="AK17" s="761"/>
      <c r="AL17" s="761"/>
      <c r="AM17" s="761"/>
      <c r="AN17" s="613"/>
      <c r="AO17" s="761"/>
      <c r="AP17" s="761"/>
      <c r="AQ17" s="761"/>
      <c r="AR17" s="613"/>
      <c r="AS17" s="761"/>
      <c r="AT17" s="761"/>
      <c r="AU17" s="761"/>
      <c r="AV17" s="613"/>
      <c r="AW17" s="761"/>
      <c r="AX17" s="761"/>
      <c r="AY17" s="761"/>
      <c r="BA17" s="575" t="str">
        <f t="shared" si="82"/>
        <v>SKIRTS</v>
      </c>
      <c r="BB17" s="677">
        <f ca="1">MAX(IF(ISNA(VLOOKUP($BB$4,TIME!$M$40:$M$42,1,FALSE)),0,HLOOKUP(BB$4,'NWC_FC_NON-NOOS'!$S$4:$AH$23,MATCH($BA17,'NWC_FC_NON-NOOS'!$S$4:$S$23,0),FALSE)-CJ17),0)</f>
        <v>0</v>
      </c>
      <c r="BC17" s="677">
        <f ca="1">IF(ISNA(VLOOKUP(BC$4,TIME!$M$40:$M$42,1,FALSE)),0,IF(HLOOKUP(BC$4,'NWC_FC_NON-NOOS'!$S$4:$AH$23,MATCH($BA17,'NWC_FC_NON-NOOS'!$S$4:$S$23,0),FALSE)-CK17-SUM($BB17:BB17)&gt;0,HLOOKUP(BC$4,'NWC_FC_NON-NOOS'!$S$4:$AH$23,MATCH($BA17,'NWC_FC_NON-NOOS'!$S$4:$S$23,0),FALSE)-CK17-SUM($BB17:BB17),0))</f>
        <v>0</v>
      </c>
      <c r="BD17" s="677">
        <f ca="1">IF(ISNA(VLOOKUP(BD$4,TIME!$M$40:$M$42,1,FALSE)),0,IF(HLOOKUP(BD$4,'NWC_FC_NON-NOOS'!$S$4:$AH$23,MATCH($BA17,'NWC_FC_NON-NOOS'!$S$4:$S$23,0),FALSE)-CL17-SUM($BB17:BC17)&gt;0,HLOOKUP(BD$4,'NWC_FC_NON-NOOS'!$S$4:$AH$23,MATCH($BA17,'NWC_FC_NON-NOOS'!$S$4:$S$23,0),FALSE)-CL17-SUM($BB17:BC17),0))</f>
        <v>0</v>
      </c>
      <c r="BE17" s="678"/>
      <c r="BF17" s="677">
        <f ca="1">IF(HLOOKUP(BF$4,'NWC_FC_NON-NOOS'!$S$4:$AH$23,MATCH($BA17,'NWC_FC_NON-NOOS'!$S$4:$S$23,0),FALSE)-CN17-SUM($BB17:BE17)&gt;0,HLOOKUP(BF$4,'NWC_FC_NON-NOOS'!$S$4:$AH$23,MATCH($BA17,'NWC_FC_NON-NOOS'!$S$4:$S$23,0),FALSE)-CN17-SUM($BB17:BE17),0)</f>
        <v>0</v>
      </c>
      <c r="BG17" s="677">
        <f ca="1">IF(HLOOKUP(BG$4,'NWC_FC_NON-NOOS'!$S$4:$AH$23,MATCH($BA17,'NWC_FC_NON-NOOS'!$S$4:$S$23,0),FALSE)-CO17-SUM($BB17:BF17)&gt;0,HLOOKUP(BG$4,'NWC_FC_NON-NOOS'!$S$4:$AH$23,MATCH($BA17,'NWC_FC_NON-NOOS'!$S$4:$S$23,0),FALSE)-CO17-SUM($BB17:BF17),0)</f>
        <v>0</v>
      </c>
      <c r="BH17" s="677">
        <f ca="1">IF(HLOOKUP(BH$4,'NWC_FC_NON-NOOS'!$S$4:$AH$23,MATCH($BA17,'NWC_FC_NON-NOOS'!$S$4:$S$23,0),FALSE)-CP17-SUM($BB17:BG17)&gt;0,HLOOKUP(BH$4,'NWC_FC_NON-NOOS'!$S$4:$AH$23,MATCH($BA17,'NWC_FC_NON-NOOS'!$S$4:$S$23,0),FALSE)-CP17-SUM($BB17:BG17),0)</f>
        <v>0</v>
      </c>
      <c r="BI17" s="678"/>
      <c r="BJ17" s="677">
        <f ca="1">IF(HLOOKUP(BJ$4,'NWC_FC_NON-NOOS'!$S$4:$AH$23,MATCH($BA17,'NWC_FC_NON-NOOS'!$S$4:$S$23,0),FALSE)-CR17-SUM($BB17:BI17)&gt;0,HLOOKUP(BJ$4,'NWC_FC_NON-NOOS'!$S$4:$AH$23,MATCH($BA17,'NWC_FC_NON-NOOS'!$S$4:$S$23,0),FALSE)-CR17-SUM($BB17:BI17),0)</f>
        <v>0</v>
      </c>
      <c r="BK17" s="677">
        <f ca="1">IF(HLOOKUP(BK$4,'NWC_FC_NON-NOOS'!$S$4:$AH$23,MATCH($BA17,'NWC_FC_NON-NOOS'!$S$4:$S$23,0),FALSE)-CS17-SUM($BB17:BJ17)&gt;0,HLOOKUP(BK$4,'NWC_FC_NON-NOOS'!$S$4:$AH$23,MATCH($BA17,'NWC_FC_NON-NOOS'!$S$4:$S$23,0),FALSE)-CS17-SUM($BB17:BJ17),0)</f>
        <v>0</v>
      </c>
      <c r="BL17" s="677">
        <f ca="1">IF(HLOOKUP(BL$4,'NWC_FC_NON-NOOS'!$S$4:$AH$23,MATCH($BA17,'NWC_FC_NON-NOOS'!$S$4:$S$23,0),FALSE)-CT17-SUM($BB17:BK17)&gt;0,HLOOKUP(BL$4,'NWC_FC_NON-NOOS'!$S$4:$AH$23,MATCH($BA17,'NWC_FC_NON-NOOS'!$S$4:$S$23,0),FALSE)-CT17-SUM($BB17:BK17),0)</f>
        <v>0</v>
      </c>
      <c r="BM17" s="678"/>
      <c r="BN17" s="677">
        <f ca="1">IF(HLOOKUP(BN$4,'NWC_FC_NON-NOOS'!$S$4:$AH$23,MATCH($BA17,'NWC_FC_NON-NOOS'!$S$4:$S$23,0),FALSE)-CV17-SUM($BB17:BM17)&gt;0,HLOOKUP(BN$4,'NWC_FC_NON-NOOS'!$S$4:$AH$23,MATCH($BA17,'NWC_FC_NON-NOOS'!$S$4:$S$23,0),FALSE)-CV17-SUM($BB17:BM17),0)</f>
        <v>0</v>
      </c>
      <c r="BO17" s="677">
        <f ca="1">IF(HLOOKUP(BO$4,'NWC_FC_NON-NOOS'!$S$4:$AH$23,MATCH($BA17,'NWC_FC_NON-NOOS'!$S$4:$S$23,0),FALSE)-CW17-SUM($BB17:BN17)&gt;0,HLOOKUP(BO$4,'NWC_FC_NON-NOOS'!$S$4:$AH$23,MATCH($BA17,'NWC_FC_NON-NOOS'!$S$4:$S$23,0),FALSE)-CW17-SUM($BB17:BN17),0)</f>
        <v>0</v>
      </c>
      <c r="BP17" s="677">
        <f ca="1">IF(HLOOKUP(BP$4,'NWC_FC_NON-NOOS'!$S$4:$AH$23,MATCH($BA17,'NWC_FC_NON-NOOS'!$S$4:$S$23,0),FALSE)-CX17-SUM($BB17:BO17)&gt;0,HLOOKUP(BP$4,'NWC_FC_NON-NOOS'!$S$4:$AH$23,MATCH($BA17,'NWC_FC_NON-NOOS'!$S$4:$S$23,0),FALSE)-CX17-SUM($BB17:BO17),0)</f>
        <v>0</v>
      </c>
      <c r="BR17" s="575" t="str">
        <f t="shared" si="84"/>
        <v>SKIRTS</v>
      </c>
      <c r="BS17" s="678">
        <f ca="1">IF(BS$2=TIME!$E$5,SUMIFS(OPEN_ORDERS!$E:$E,OPEN_ORDERS!$B:$B,"&lt;="&amp;BS$2,OPEN_ORDERS!$C:$C,$BA17,OPEN_ORDERS!$D:$D,$BA$2)+SUMIFS(OPEN_ORDERS!$E:$E,OPEN_ORDERS!$B:$B,"IMMEDIATELY",OPEN_ORDERS!$C:$C,$BA17,OPEN_ORDERS!$D:$D,$BA$2),SUMIFS(OPEN_ORDERS!$E:$E,OPEN_ORDERS!$B:$B,BS$2,OPEN_ORDERS!$C:$C,$BA17,OPEN_ORDERS!$D:$D,$BA$2))</f>
        <v>29889</v>
      </c>
      <c r="BT17" s="677">
        <f ca="1">IF(BT$2=TIME!$E$5,SUMIFS(OPEN_ORDERS!$E:$E,OPEN_ORDERS!$B:$B,"&lt;="&amp;BT$2,OPEN_ORDERS!$C:$C,$BA17,OPEN_ORDERS!$D:$D,$BA$2)+SUMIFS(OPEN_ORDERS!$E:$E,OPEN_ORDERS!$B:$B,"IMMEDIATELY",OPEN_ORDERS!$C:$C,$BA17,OPEN_ORDERS!$D:$D,$BA$2),SUMIFS(OPEN_ORDERS!$E:$E,OPEN_ORDERS!$B:$B,BT$2,OPEN_ORDERS!$C:$C,$BA17,OPEN_ORDERS!$D:$D,$BA$2))</f>
        <v>54761</v>
      </c>
      <c r="BU17" s="677">
        <f ca="1">IF(BU$2=TIME!$E$5,SUMIFS(OPEN_ORDERS!$E:$E,OPEN_ORDERS!$B:$B,"&lt;="&amp;BU$2,OPEN_ORDERS!$C:$C,$BA17,OPEN_ORDERS!$D:$D,$BA$2)+SUMIFS(OPEN_ORDERS!$E:$E,OPEN_ORDERS!$B:$B,"IMMEDIATELY",OPEN_ORDERS!$C:$C,$BA17,OPEN_ORDERS!$D:$D,$BA$2),SUMIFS(OPEN_ORDERS!$E:$E,OPEN_ORDERS!$B:$B,BU$2,OPEN_ORDERS!$C:$C,$BA17,OPEN_ORDERS!$D:$D,$BA$2))</f>
        <v>146106</v>
      </c>
      <c r="BV17" s="678"/>
      <c r="BW17" s="677">
        <f ca="1">SUMIFS(OPEN_ORDERS!$E:$E,OPEN_ORDERS!$B:$B,BW$2,OPEN_ORDERS!$C:$C,$BA17,OPEN_ORDERS!$D:$D,$BA$2)</f>
        <v>17320</v>
      </c>
      <c r="BX17" s="677">
        <f ca="1">SUMIFS(OPEN_ORDERS!$E:$E,OPEN_ORDERS!$B:$B,BX$2,OPEN_ORDERS!$C:$C,$BA17,OPEN_ORDERS!$D:$D,$BA$2)</f>
        <v>1912</v>
      </c>
      <c r="BY17" s="677">
        <f ca="1">SUMIFS(OPEN_ORDERS!$E:$E,OPEN_ORDERS!$B:$B,BY$2,OPEN_ORDERS!$C:$C,$BA17,OPEN_ORDERS!$D:$D,$BA$2)</f>
        <v>0</v>
      </c>
      <c r="BZ17" s="678"/>
      <c r="CA17" s="677">
        <f ca="1">SUMIFS(OPEN_ORDERS!$E:$E,OPEN_ORDERS!$B:$B,CA$2,OPEN_ORDERS!$C:$C,$BA17,OPEN_ORDERS!$D:$D,$BA$2)</f>
        <v>0</v>
      </c>
      <c r="CB17" s="677">
        <f ca="1">SUMIFS(OPEN_ORDERS!$E:$E,OPEN_ORDERS!$B:$B,CB$2,OPEN_ORDERS!$C:$C,$BA17,OPEN_ORDERS!$D:$D,$BA$2)</f>
        <v>0</v>
      </c>
      <c r="CC17" s="677">
        <f ca="1">SUMIFS(OPEN_ORDERS!$E:$E,OPEN_ORDERS!$B:$B,CC$2,OPEN_ORDERS!$C:$C,$BA17,OPEN_ORDERS!$D:$D,$BA$2)</f>
        <v>0</v>
      </c>
      <c r="CD17" s="678"/>
      <c r="CE17" s="677">
        <f ca="1">SUMIFS(OPEN_ORDERS!$E:$E,OPEN_ORDERS!$B:$B,CE$2,OPEN_ORDERS!$C:$C,$BA17,OPEN_ORDERS!$D:$D,$BA$2)</f>
        <v>0</v>
      </c>
      <c r="CF17" s="677">
        <f ca="1">SUMIFS(OPEN_ORDERS!$E:$E,OPEN_ORDERS!$B:$B,CF$2,OPEN_ORDERS!$C:$C,$BA17,OPEN_ORDERS!$D:$D,$BA$2)</f>
        <v>0</v>
      </c>
      <c r="CG17" s="677">
        <f ca="1">SUMIFS(OPEN_ORDERS!$E:$E,OPEN_ORDERS!$B:$B,CG$2,OPEN_ORDERS!$C:$C,$BA17,OPEN_ORDERS!$D:$D,$BA$2)</f>
        <v>0</v>
      </c>
      <c r="CI17" s="1" t="str">
        <f t="shared" si="85"/>
        <v>SKIRTS</v>
      </c>
      <c r="CJ17" s="677">
        <f ca="1">IF($CJ$7="Aug",SUMIFS(HIS_STOCK!$F:$F,HIS_STOCK!$A:$A,$BA$2,HIS_STOCK!$C:$C,$CI17,HIS_STOCK!$D:$D,$CK$1,HIS_STOCK!$E:$E,$CL$1)+BS17-(AK17*1000)-T17-HLOOKUP($CJ$4,'NWC_FC_NON-NOOS'!$C$50:$U$69,MATCH($CI17,'NWC_FC_NON-NOOS'!$B$50:$B$69,0),FALSE),IF($CJ$2=TIME!$E$5,SUMIFS(HIS_STOCK!$F:$F,HIS_STOCK!$A:$A,$BA$2,HIS_STOCK!$C:$C,$CI17,HIS_STOCK!$D:$D,$CJ$5,HIS_STOCK!$E:$E,$CL$1)+BS17-(AK17*1000)-T17-HLOOKUP($CJ$4,'NWC_FC_NON-NOOS'!$C$50:$U$69,MATCH($CI17,'NWC_FC_NON-NOOS'!$B$50:$B$69,0),FALSE),SUMIFS(HIS_STOCK!$F:$F,HIS_STOCK!$A:$A,$BA$2,HIS_STOCK!$C:$C,$CI17,HIS_STOCK!$D:$D,$CJ$5,HIS_STOCK!$E:$E,CJ$7)))</f>
        <v>0</v>
      </c>
      <c r="CK17" s="677">
        <f ca="1">IF(SUMIFS(HIS_STOCK!$F:$F,HIS_STOCK!$A:$A,$BA$2,HIS_STOCK!$C:$C,$CI17,HIS_STOCK!$D:$D,$CJ$5,HIS_STOCK!$E:$E,CK$7)&lt;&gt;0,SUMIFS(HIS_STOCK!$F:$F,HIS_STOCK!$A:$A,$BA$2,HIS_STOCK!$C:$C,$CI17,HIS_STOCK!$D:$D,$CJ$5,HIS_STOCK!$E:$E,CK$7)-(AL17*1000),CJ17+BT17+((AK17-AL17)*1000)-U17-HLOOKUP(BT$4,'NWC_FC_NON-NOOS'!$C$50:$U$69,MATCH(PLANNING_FC!$BR17,'NWC_FC_NON-NOOS'!$B$50:$B$69,0),FALSE))</f>
        <v>54761</v>
      </c>
      <c r="CL17" s="677">
        <f ca="1">IF(SUMIFS(HIS_STOCK!$F:$F,HIS_STOCK!$A:$A,$BA$2,HIS_STOCK!$C:$C,$CI17,HIS_STOCK!$D:$D,$CJ$5,HIS_STOCK!$E:$E,CL$7)&lt;&gt;0,SUMIFS(HIS_STOCK!$F:$F,HIS_STOCK!$A:$A,$BA$2,HIS_STOCK!$C:$C,$CI17,HIS_STOCK!$D:$D,$CJ$5,HIS_STOCK!$E:$E,CL$7)-(AM17*1000),CK17+BU17+((AL17-AM17)*1000)-V17-HLOOKUP(BU$4,'NWC_FC_NON-NOOS'!$C$50:$U$69,MATCH(PLANNING_FC!$BR17,'NWC_FC_NON-NOOS'!$B$50:$B$69,0),FALSE))</f>
        <v>200867</v>
      </c>
      <c r="CM17" s="678"/>
      <c r="CN17" s="677">
        <f ca="1">CL17+BW17+((AM17-AO17)*1000)-X17-HLOOKUP(CN$4,'NWC_FC_NON-NOOS'!$C$50:$U$69,MATCH(PLANNING_FC!$BR17,'NWC_FC_NON-NOOS'!$B$50:$B$69,0),FALSE)</f>
        <v>218187</v>
      </c>
      <c r="CO17" s="677">
        <f ca="1">CN17+BX17+((AO17-AP17)*1000)-Y17-HLOOKUP(CO$4,'NWC_FC_NON-NOOS'!$C$50:$U$69,MATCH(PLANNING_FC!$BR17,'NWC_FC_NON-NOOS'!$B$50:$B$69,0),FALSE)</f>
        <v>220099</v>
      </c>
      <c r="CP17" s="677">
        <f ca="1">CO17+BY17+((AP17-AQ17)*1000)-Z17-HLOOKUP(CP$4,'NWC_FC_NON-NOOS'!$C$50:$U$69,MATCH(PLANNING_FC!$BR17,'NWC_FC_NON-NOOS'!$B$50:$B$69,0),FALSE)</f>
        <v>220099</v>
      </c>
      <c r="CQ17" s="678"/>
      <c r="CR17" s="677">
        <f ca="1">CP17+CA17+((AQ17-AS17)*1000)-AB17-HLOOKUP(CR$4,'NWC_FC_NON-NOOS'!$C$50:$U$69,MATCH(PLANNING_FC!$BR17,'NWC_FC_NON-NOOS'!$B$50:$B$69,0),FALSE)</f>
        <v>220099</v>
      </c>
      <c r="CS17" s="677">
        <f ca="1">CR17+CB17+((AS17-AT17)*1000)-AC17-HLOOKUP(CS$4,'NWC_FC_NON-NOOS'!$C$50:$U$69,MATCH(PLANNING_FC!$BR17,'NWC_FC_NON-NOOS'!$B$50:$B$69,0),FALSE)</f>
        <v>220099</v>
      </c>
      <c r="CT17" s="677">
        <f ca="1">CS17+CC17+((AT17-AU17)*1000)-AD17-HLOOKUP(CT$4,'NWC_FC_NON-NOOS'!$C$50:$U$69,MATCH(PLANNING_FC!$BR17,'NWC_FC_NON-NOOS'!$B$50:$B$69,0),FALSE)</f>
        <v>220099</v>
      </c>
      <c r="CU17" s="678"/>
      <c r="CV17" s="677">
        <f ca="1">CT17+CE17+((AU17-AW17)*1000)-AF17-HLOOKUP(CV$4,'NWC_FC_NON-NOOS'!$C$50:$U$69,MATCH(PLANNING_FC!$BR17,'NWC_FC_NON-NOOS'!$B$50:$B$69,0),FALSE)</f>
        <v>220099</v>
      </c>
      <c r="CW17" s="677">
        <f ca="1">CV17+CF17+((AW17-AX17)*1000)-AG17-HLOOKUP(CW$4,'NWC_FC_NON-NOOS'!$C$50:$U$69,MATCH(PLANNING_FC!$BR17,'NWC_FC_NON-NOOS'!$B$50:$B$69,0),FALSE)</f>
        <v>220099</v>
      </c>
      <c r="CX17" s="677">
        <f ca="1">CW17+CG17+((AX17-AY17)*1000)-AH17-HLOOKUP(CX$4,'NWC_FC_NON-NOOS'!$C$50:$U$69,MATCH(PLANNING_FC!$BR17,'NWC_FC_NON-NOOS'!$B$50:$B$69,0),FALSE)</f>
        <v>220099</v>
      </c>
      <c r="CY17" s="746"/>
      <c r="CZ17" s="575" t="str">
        <f t="shared" si="86"/>
        <v>SKIRTS</v>
      </c>
      <c r="DA17" s="677">
        <f ca="1">IF(STOCK_OVERVIEW!C$41="ACT",SUMIFS(HIS_STOCK!$F:$F,HIS_STOCK!$A:$A,PLANNING_FC!$BA$2,HIS_STOCK!$C:$C,PLANNING_FC!$CZ17,HIS_STOCK!$D:$D,PLANNING_FC!$DA$5,HIS_STOCK!$E:$E,PLANNING_FC!DA$7),CJ17+SUM($BB17:BB17))</f>
        <v>0</v>
      </c>
      <c r="DB17" s="677">
        <f ca="1">IF(STOCK_OVERVIEW!D$41="ACT",SUMIFS(HIS_STOCK!$F:$F,HIS_STOCK!$A:$A,PLANNING_FC!$BA$2,HIS_STOCK!$C:$C,PLANNING_FC!$CZ17,HIS_STOCK!$D:$D,PLANNING_FC!$DA$5,HIS_STOCK!$E:$E,PLANNING_FC!DB$7),CK17+SUM($BB17:BC17))</f>
        <v>0</v>
      </c>
      <c r="DC17" s="677">
        <f ca="1">CL17+SUM($BB17:BD17)</f>
        <v>200867</v>
      </c>
      <c r="DD17" s="678"/>
      <c r="DE17" s="677">
        <f ca="1">CN17+SUM($BB17:BF17)</f>
        <v>218187</v>
      </c>
      <c r="DF17" s="677">
        <f ca="1">CO17+SUM($BB17:BG17)</f>
        <v>220099</v>
      </c>
      <c r="DG17" s="677">
        <f ca="1">CP17+SUM($BB17:BH17)</f>
        <v>220099</v>
      </c>
      <c r="DH17" s="678"/>
      <c r="DI17" s="677">
        <f ca="1">CR17+SUM($BB17:BJ17)</f>
        <v>220099</v>
      </c>
      <c r="DJ17" s="677">
        <f ca="1">CS17+SUM($BB17:BK17)</f>
        <v>220099</v>
      </c>
      <c r="DK17" s="677">
        <f ca="1">CT17+SUM($BB17:BL17)</f>
        <v>220099</v>
      </c>
      <c r="DL17" s="678"/>
      <c r="DM17" s="677">
        <f ca="1">CV17+SUM($BB17:BN17)</f>
        <v>220099</v>
      </c>
      <c r="DN17" s="677">
        <f ca="1">CW17+SUM($BB17:BO17)</f>
        <v>220099</v>
      </c>
      <c r="DO17" s="677">
        <f ca="1">CX17+SUM($BB17:BP17)</f>
        <v>220099</v>
      </c>
      <c r="DQ17" s="575" t="str">
        <f t="shared" si="87"/>
        <v>SKIRTS</v>
      </c>
      <c r="DR17" s="677">
        <f ca="1">IF($DT$7="Aug",SUMIFS(HIS_STOCK!$F:$F,HIS_STOCK!$A:$A,$BA$2,HIS_STOCK!$C:$C,$DQ17,HIS_STOCK!$D:$D,$DR$4,HIS_STOCK!$E:$E,$DR$7),SUMIFS(HIS_STOCK!$F:$F,HIS_STOCK!$A:$A,$BA$2,HIS_STOCK!$C:$C,$DQ17,HIS_STOCK!$D:$D,$DR$5,HIS_STOCK!$E:$E,$DR$7))</f>
        <v>0</v>
      </c>
      <c r="DS17" s="677"/>
      <c r="DT17" s="677">
        <f ca="1">'NWC_FC_NON-NOOS'!T17</f>
        <v>0</v>
      </c>
      <c r="DU17" s="677">
        <f ca="1">'NWC_FC_NON-NOOS'!U17</f>
        <v>0</v>
      </c>
      <c r="DV17" s="677">
        <f ca="1">'NWC_FC_NON-NOOS'!V17</f>
        <v>0</v>
      </c>
      <c r="DW17" s="678"/>
      <c r="DX17" s="677">
        <f ca="1">'NWC_FC_NON-NOOS'!X17</f>
        <v>0</v>
      </c>
      <c r="DY17" s="677">
        <f ca="1">'NWC_FC_NON-NOOS'!Y17</f>
        <v>0</v>
      </c>
      <c r="DZ17" s="677">
        <f ca="1">'NWC_FC_NON-NOOS'!Z17</f>
        <v>0</v>
      </c>
      <c r="EA17" s="678"/>
      <c r="EB17" s="677">
        <f ca="1">'NWC_FC_NON-NOOS'!AB17</f>
        <v>0</v>
      </c>
      <c r="EC17" s="677">
        <f ca="1">'NWC_FC_NON-NOOS'!AC17</f>
        <v>0</v>
      </c>
      <c r="ED17" s="677">
        <f ca="1">'NWC_FC_NON-NOOS'!AD17</f>
        <v>0</v>
      </c>
      <c r="EE17" s="678"/>
      <c r="EF17" s="677">
        <f ca="1">'NWC_FC_NON-NOOS'!AF17</f>
        <v>0</v>
      </c>
      <c r="EG17" s="677">
        <f ca="1">'NWC_FC_NON-NOOS'!AG17</f>
        <v>0</v>
      </c>
      <c r="EH17" s="677">
        <f ca="1">'NWC_FC_NON-NOOS'!AH17</f>
        <v>0</v>
      </c>
    </row>
    <row r="18" spans="1:138" x14ac:dyDescent="0.25">
      <c r="B18" s="575" t="str">
        <f>'NWC_FC_NON-NOOS'!B18</f>
        <v>SWEAT</v>
      </c>
      <c r="C18" s="802"/>
      <c r="D18" s="761"/>
      <c r="E18" s="761"/>
      <c r="F18" s="761"/>
      <c r="G18" s="613"/>
      <c r="H18" s="761"/>
      <c r="I18" s="761"/>
      <c r="J18" s="761"/>
      <c r="K18" s="613"/>
      <c r="L18" s="761"/>
      <c r="M18" s="761"/>
      <c r="N18" s="761"/>
      <c r="O18" s="613"/>
      <c r="P18" s="761"/>
      <c r="Q18" s="761"/>
      <c r="R18" s="761"/>
      <c r="T18" s="675">
        <f t="shared" ca="1" si="70"/>
        <v>0</v>
      </c>
      <c r="U18" s="675">
        <f t="shared" ca="1" si="71"/>
        <v>0</v>
      </c>
      <c r="V18" s="675">
        <f t="shared" ca="1" si="72"/>
        <v>0</v>
      </c>
      <c r="W18" s="675"/>
      <c r="X18" s="675">
        <f t="shared" ca="1" si="73"/>
        <v>0</v>
      </c>
      <c r="Y18" s="675">
        <f t="shared" ca="1" si="74"/>
        <v>0</v>
      </c>
      <c r="Z18" s="675">
        <f t="shared" ca="1" si="75"/>
        <v>0</v>
      </c>
      <c r="AA18" s="675"/>
      <c r="AB18" s="675">
        <f t="shared" ca="1" si="76"/>
        <v>0</v>
      </c>
      <c r="AC18" s="675">
        <f t="shared" ca="1" si="77"/>
        <v>0</v>
      </c>
      <c r="AD18" s="675">
        <f t="shared" ca="1" si="78"/>
        <v>0</v>
      </c>
      <c r="AE18" s="675"/>
      <c r="AF18" s="675">
        <f t="shared" ca="1" si="79"/>
        <v>0</v>
      </c>
      <c r="AG18" s="675">
        <f t="shared" ca="1" si="80"/>
        <v>0</v>
      </c>
      <c r="AH18" s="675">
        <f t="shared" ca="1" si="81"/>
        <v>0</v>
      </c>
      <c r="AI18" s="675"/>
      <c r="AJ18" s="575" t="str">
        <f t="shared" si="83"/>
        <v>SWEAT</v>
      </c>
      <c r="AK18" s="761"/>
      <c r="AL18" s="761"/>
      <c r="AM18" s="761"/>
      <c r="AN18" s="613"/>
      <c r="AO18" s="761"/>
      <c r="AP18" s="761"/>
      <c r="AQ18" s="761"/>
      <c r="AR18" s="613"/>
      <c r="AS18" s="761"/>
      <c r="AT18" s="761"/>
      <c r="AU18" s="761"/>
      <c r="AV18" s="613"/>
      <c r="AW18" s="761"/>
      <c r="AX18" s="761"/>
      <c r="AY18" s="761"/>
      <c r="BA18" s="575" t="str">
        <f t="shared" si="82"/>
        <v>SWEAT</v>
      </c>
      <c r="BB18" s="677">
        <f ca="1">MAX(IF(ISNA(VLOOKUP($BB$4,TIME!$M$40:$M$42,1,FALSE)),0,HLOOKUP(BB$4,'NWC_FC_NON-NOOS'!$S$4:$AH$23,MATCH($BA18,'NWC_FC_NON-NOOS'!$S$4:$S$23,0),FALSE)-CJ18),0)</f>
        <v>0</v>
      </c>
      <c r="BC18" s="677">
        <f ca="1">IF(ISNA(VLOOKUP(BC$4,TIME!$M$40:$M$42,1,FALSE)),0,IF(HLOOKUP(BC$4,'NWC_FC_NON-NOOS'!$S$4:$AH$23,MATCH($BA18,'NWC_FC_NON-NOOS'!$S$4:$S$23,0),FALSE)-CK18-SUM($BB18:BB18)&gt;0,HLOOKUP(BC$4,'NWC_FC_NON-NOOS'!$S$4:$AH$23,MATCH($BA18,'NWC_FC_NON-NOOS'!$S$4:$S$23,0),FALSE)-CK18-SUM($BB18:BB18),0))</f>
        <v>0</v>
      </c>
      <c r="BD18" s="677">
        <f ca="1">IF(ISNA(VLOOKUP(BD$4,TIME!$M$40:$M$42,1,FALSE)),0,IF(HLOOKUP(BD$4,'NWC_FC_NON-NOOS'!$S$4:$AH$23,MATCH($BA18,'NWC_FC_NON-NOOS'!$S$4:$S$23,0),FALSE)-CL18-SUM($BB18:BC18)&gt;0,HLOOKUP(BD$4,'NWC_FC_NON-NOOS'!$S$4:$AH$23,MATCH($BA18,'NWC_FC_NON-NOOS'!$S$4:$S$23,0),FALSE)-CL18-SUM($BB18:BC18),0))</f>
        <v>0</v>
      </c>
      <c r="BE18" s="678"/>
      <c r="BF18" s="677">
        <f ca="1">IF(HLOOKUP(BF$4,'NWC_FC_NON-NOOS'!$S$4:$AH$23,MATCH($BA18,'NWC_FC_NON-NOOS'!$S$4:$S$23,0),FALSE)-CN18-SUM($BB18:BE18)&gt;0,HLOOKUP(BF$4,'NWC_FC_NON-NOOS'!$S$4:$AH$23,MATCH($BA18,'NWC_FC_NON-NOOS'!$S$4:$S$23,0),FALSE)-CN18-SUM($BB18:BE18),0)</f>
        <v>0</v>
      </c>
      <c r="BG18" s="677">
        <f ca="1">IF(HLOOKUP(BG$4,'NWC_FC_NON-NOOS'!$S$4:$AH$23,MATCH($BA18,'NWC_FC_NON-NOOS'!$S$4:$S$23,0),FALSE)-CO18-SUM($BB18:BF18)&gt;0,HLOOKUP(BG$4,'NWC_FC_NON-NOOS'!$S$4:$AH$23,MATCH($BA18,'NWC_FC_NON-NOOS'!$S$4:$S$23,0),FALSE)-CO18-SUM($BB18:BF18),0)</f>
        <v>0</v>
      </c>
      <c r="BH18" s="677">
        <f ca="1">IF(HLOOKUP(BH$4,'NWC_FC_NON-NOOS'!$S$4:$AH$23,MATCH($BA18,'NWC_FC_NON-NOOS'!$S$4:$S$23,0),FALSE)-CP18-SUM($BB18:BG18)&gt;0,HLOOKUP(BH$4,'NWC_FC_NON-NOOS'!$S$4:$AH$23,MATCH($BA18,'NWC_FC_NON-NOOS'!$S$4:$S$23,0),FALSE)-CP18-SUM($BB18:BG18),0)</f>
        <v>0</v>
      </c>
      <c r="BI18" s="678"/>
      <c r="BJ18" s="677">
        <f ca="1">IF(HLOOKUP(BJ$4,'NWC_FC_NON-NOOS'!$S$4:$AH$23,MATCH($BA18,'NWC_FC_NON-NOOS'!$S$4:$S$23,0),FALSE)-CR18-SUM($BB18:BI18)&gt;0,HLOOKUP(BJ$4,'NWC_FC_NON-NOOS'!$S$4:$AH$23,MATCH($BA18,'NWC_FC_NON-NOOS'!$S$4:$S$23,0),FALSE)-CR18-SUM($BB18:BI18),0)</f>
        <v>0</v>
      </c>
      <c r="BK18" s="677">
        <f ca="1">IF(HLOOKUP(BK$4,'NWC_FC_NON-NOOS'!$S$4:$AH$23,MATCH($BA18,'NWC_FC_NON-NOOS'!$S$4:$S$23,0),FALSE)-CS18-SUM($BB18:BJ18)&gt;0,HLOOKUP(BK$4,'NWC_FC_NON-NOOS'!$S$4:$AH$23,MATCH($BA18,'NWC_FC_NON-NOOS'!$S$4:$S$23,0),FALSE)-CS18-SUM($BB18:BJ18),0)</f>
        <v>0</v>
      </c>
      <c r="BL18" s="677">
        <f ca="1">IF(HLOOKUP(BL$4,'NWC_FC_NON-NOOS'!$S$4:$AH$23,MATCH($BA18,'NWC_FC_NON-NOOS'!$S$4:$S$23,0),FALSE)-CT18-SUM($BB18:BK18)&gt;0,HLOOKUP(BL$4,'NWC_FC_NON-NOOS'!$S$4:$AH$23,MATCH($BA18,'NWC_FC_NON-NOOS'!$S$4:$S$23,0),FALSE)-CT18-SUM($BB18:BK18),0)</f>
        <v>0</v>
      </c>
      <c r="BM18" s="678"/>
      <c r="BN18" s="677">
        <f ca="1">IF(HLOOKUP(BN$4,'NWC_FC_NON-NOOS'!$S$4:$AH$23,MATCH($BA18,'NWC_FC_NON-NOOS'!$S$4:$S$23,0),FALSE)-CV18-SUM($BB18:BM18)&gt;0,HLOOKUP(BN$4,'NWC_FC_NON-NOOS'!$S$4:$AH$23,MATCH($BA18,'NWC_FC_NON-NOOS'!$S$4:$S$23,0),FALSE)-CV18-SUM($BB18:BM18),0)</f>
        <v>0</v>
      </c>
      <c r="BO18" s="677">
        <f ca="1">IF(HLOOKUP(BO$4,'NWC_FC_NON-NOOS'!$S$4:$AH$23,MATCH($BA18,'NWC_FC_NON-NOOS'!$S$4:$S$23,0),FALSE)-CW18-SUM($BB18:BN18)&gt;0,HLOOKUP(BO$4,'NWC_FC_NON-NOOS'!$S$4:$AH$23,MATCH($BA18,'NWC_FC_NON-NOOS'!$S$4:$S$23,0),FALSE)-CW18-SUM($BB18:BN18),0)</f>
        <v>0</v>
      </c>
      <c r="BP18" s="677">
        <f ca="1">IF(HLOOKUP(BP$4,'NWC_FC_NON-NOOS'!$S$4:$AH$23,MATCH($BA18,'NWC_FC_NON-NOOS'!$S$4:$S$23,0),FALSE)-CX18-SUM($BB18:BO18)&gt;0,HLOOKUP(BP$4,'NWC_FC_NON-NOOS'!$S$4:$AH$23,MATCH($BA18,'NWC_FC_NON-NOOS'!$S$4:$S$23,0),FALSE)-CX18-SUM($BB18:BO18),0)</f>
        <v>0</v>
      </c>
      <c r="BR18" s="575" t="str">
        <f t="shared" si="84"/>
        <v>SWEAT</v>
      </c>
      <c r="BS18" s="678">
        <f ca="1">IF(BS$2=TIME!$E$5,SUMIFS(OPEN_ORDERS!$E:$E,OPEN_ORDERS!$B:$B,"&lt;="&amp;BS$2,OPEN_ORDERS!$C:$C,$BA18,OPEN_ORDERS!$D:$D,$BA$2)+SUMIFS(OPEN_ORDERS!$E:$E,OPEN_ORDERS!$B:$B,"IMMEDIATELY",OPEN_ORDERS!$C:$C,$BA18,OPEN_ORDERS!$D:$D,$BA$2),SUMIFS(OPEN_ORDERS!$E:$E,OPEN_ORDERS!$B:$B,BS$2,OPEN_ORDERS!$C:$C,$BA18,OPEN_ORDERS!$D:$D,$BA$2))</f>
        <v>4406</v>
      </c>
      <c r="BT18" s="677">
        <f ca="1">IF(BT$2=TIME!$E$5,SUMIFS(OPEN_ORDERS!$E:$E,OPEN_ORDERS!$B:$B,"&lt;="&amp;BT$2,OPEN_ORDERS!$C:$C,$BA18,OPEN_ORDERS!$D:$D,$BA$2)+SUMIFS(OPEN_ORDERS!$E:$E,OPEN_ORDERS!$B:$B,"IMMEDIATELY",OPEN_ORDERS!$C:$C,$BA18,OPEN_ORDERS!$D:$D,$BA$2),SUMIFS(OPEN_ORDERS!$E:$E,OPEN_ORDERS!$B:$B,BT$2,OPEN_ORDERS!$C:$C,$BA18,OPEN_ORDERS!$D:$D,$BA$2))</f>
        <v>1205</v>
      </c>
      <c r="BU18" s="677">
        <f ca="1">IF(BU$2=TIME!$E$5,SUMIFS(OPEN_ORDERS!$E:$E,OPEN_ORDERS!$B:$B,"&lt;="&amp;BU$2,OPEN_ORDERS!$C:$C,$BA18,OPEN_ORDERS!$D:$D,$BA$2)+SUMIFS(OPEN_ORDERS!$E:$E,OPEN_ORDERS!$B:$B,"IMMEDIATELY",OPEN_ORDERS!$C:$C,$BA18,OPEN_ORDERS!$D:$D,$BA$2),SUMIFS(OPEN_ORDERS!$E:$E,OPEN_ORDERS!$B:$B,BU$2,OPEN_ORDERS!$C:$C,$BA18,OPEN_ORDERS!$D:$D,$BA$2))</f>
        <v>14515</v>
      </c>
      <c r="BV18" s="678"/>
      <c r="BW18" s="677">
        <f ca="1">SUMIFS(OPEN_ORDERS!$E:$E,OPEN_ORDERS!$B:$B,BW$2,OPEN_ORDERS!$C:$C,$BA18,OPEN_ORDERS!$D:$D,$BA$2)</f>
        <v>0</v>
      </c>
      <c r="BX18" s="677">
        <f ca="1">SUMIFS(OPEN_ORDERS!$E:$E,OPEN_ORDERS!$B:$B,BX$2,OPEN_ORDERS!$C:$C,$BA18,OPEN_ORDERS!$D:$D,$BA$2)</f>
        <v>0</v>
      </c>
      <c r="BY18" s="677">
        <f ca="1">SUMIFS(OPEN_ORDERS!$E:$E,OPEN_ORDERS!$B:$B,BY$2,OPEN_ORDERS!$C:$C,$BA18,OPEN_ORDERS!$D:$D,$BA$2)</f>
        <v>0</v>
      </c>
      <c r="BZ18" s="678"/>
      <c r="CA18" s="677">
        <f ca="1">SUMIFS(OPEN_ORDERS!$E:$E,OPEN_ORDERS!$B:$B,CA$2,OPEN_ORDERS!$C:$C,$BA18,OPEN_ORDERS!$D:$D,$BA$2)</f>
        <v>0</v>
      </c>
      <c r="CB18" s="677">
        <f ca="1">SUMIFS(OPEN_ORDERS!$E:$E,OPEN_ORDERS!$B:$B,CB$2,OPEN_ORDERS!$C:$C,$BA18,OPEN_ORDERS!$D:$D,$BA$2)</f>
        <v>0</v>
      </c>
      <c r="CC18" s="677">
        <f ca="1">SUMIFS(OPEN_ORDERS!$E:$E,OPEN_ORDERS!$B:$B,CC$2,OPEN_ORDERS!$C:$C,$BA18,OPEN_ORDERS!$D:$D,$BA$2)</f>
        <v>0</v>
      </c>
      <c r="CD18" s="678"/>
      <c r="CE18" s="677">
        <f ca="1">SUMIFS(OPEN_ORDERS!$E:$E,OPEN_ORDERS!$B:$B,CE$2,OPEN_ORDERS!$C:$C,$BA18,OPEN_ORDERS!$D:$D,$BA$2)</f>
        <v>0</v>
      </c>
      <c r="CF18" s="677">
        <f ca="1">SUMIFS(OPEN_ORDERS!$E:$E,OPEN_ORDERS!$B:$B,CF$2,OPEN_ORDERS!$C:$C,$BA18,OPEN_ORDERS!$D:$D,$BA$2)</f>
        <v>0</v>
      </c>
      <c r="CG18" s="677">
        <f ca="1">SUMIFS(OPEN_ORDERS!$E:$E,OPEN_ORDERS!$B:$B,CG$2,OPEN_ORDERS!$C:$C,$BA18,OPEN_ORDERS!$D:$D,$BA$2)</f>
        <v>0</v>
      </c>
      <c r="CI18" s="1" t="str">
        <f t="shared" si="85"/>
        <v>SWEAT</v>
      </c>
      <c r="CJ18" s="677">
        <f ca="1">IF($CJ$7="Aug",SUMIFS(HIS_STOCK!$F:$F,HIS_STOCK!$A:$A,$BA$2,HIS_STOCK!$C:$C,$CI18,HIS_STOCK!$D:$D,$CK$1,HIS_STOCK!$E:$E,$CL$1)+BS18-(AK18*1000)-T18-HLOOKUP($CJ$4,'NWC_FC_NON-NOOS'!$C$50:$U$69,MATCH($CI18,'NWC_FC_NON-NOOS'!$B$50:$B$69,0),FALSE),IF($CJ$2=TIME!$E$5,SUMIFS(HIS_STOCK!$F:$F,HIS_STOCK!$A:$A,$BA$2,HIS_STOCK!$C:$C,$CI18,HIS_STOCK!$D:$D,$CJ$5,HIS_STOCK!$E:$E,$CL$1)+BS18-(AK18*1000)-T18-HLOOKUP($CJ$4,'NWC_FC_NON-NOOS'!$C$50:$U$69,MATCH($CI18,'NWC_FC_NON-NOOS'!$B$50:$B$69,0),FALSE),SUMIFS(HIS_STOCK!$F:$F,HIS_STOCK!$A:$A,$BA$2,HIS_STOCK!$C:$C,$CI18,HIS_STOCK!$D:$D,$CJ$5,HIS_STOCK!$E:$E,CJ$7)))</f>
        <v>0</v>
      </c>
      <c r="CK18" s="677">
        <f ca="1">IF(SUMIFS(HIS_STOCK!$F:$F,HIS_STOCK!$A:$A,$BA$2,HIS_STOCK!$C:$C,$CI18,HIS_STOCK!$D:$D,$CJ$5,HIS_STOCK!$E:$E,CK$7)&lt;&gt;0,SUMIFS(HIS_STOCK!$F:$F,HIS_STOCK!$A:$A,$BA$2,HIS_STOCK!$C:$C,$CI18,HIS_STOCK!$D:$D,$CJ$5,HIS_STOCK!$E:$E,CK$7)-(AL18*1000),CJ18+BT18+((AK18-AL18)*1000)-U18-HLOOKUP(BT$4,'NWC_FC_NON-NOOS'!$C$50:$U$69,MATCH(PLANNING_FC!$BR18,'NWC_FC_NON-NOOS'!$B$50:$B$69,0),FALSE))</f>
        <v>1205</v>
      </c>
      <c r="CL18" s="677">
        <f ca="1">IF(SUMIFS(HIS_STOCK!$F:$F,HIS_STOCK!$A:$A,$BA$2,HIS_STOCK!$C:$C,$CI18,HIS_STOCK!$D:$D,$CJ$5,HIS_STOCK!$E:$E,CL$7)&lt;&gt;0,SUMIFS(HIS_STOCK!$F:$F,HIS_STOCK!$A:$A,$BA$2,HIS_STOCK!$C:$C,$CI18,HIS_STOCK!$D:$D,$CJ$5,HIS_STOCK!$E:$E,CL$7)-(AM18*1000),CK18+BU18+((AL18-AM18)*1000)-V18-HLOOKUP(BU$4,'NWC_FC_NON-NOOS'!$C$50:$U$69,MATCH(PLANNING_FC!$BR18,'NWC_FC_NON-NOOS'!$B$50:$B$69,0),FALSE))</f>
        <v>15720</v>
      </c>
      <c r="CM18" s="678"/>
      <c r="CN18" s="677">
        <f ca="1">CL18+BW18+((AM18-AO18)*1000)-X18-HLOOKUP(CN$4,'NWC_FC_NON-NOOS'!$C$50:$U$69,MATCH(PLANNING_FC!$BR18,'NWC_FC_NON-NOOS'!$B$50:$B$69,0),FALSE)</f>
        <v>15720</v>
      </c>
      <c r="CO18" s="677">
        <f ca="1">CN18+BX18+((AO18-AP18)*1000)-Y18-HLOOKUP(CO$4,'NWC_FC_NON-NOOS'!$C$50:$U$69,MATCH(PLANNING_FC!$BR18,'NWC_FC_NON-NOOS'!$B$50:$B$69,0),FALSE)</f>
        <v>15720</v>
      </c>
      <c r="CP18" s="677">
        <f ca="1">CO18+BY18+((AP18-AQ18)*1000)-Z18-HLOOKUP(CP$4,'NWC_FC_NON-NOOS'!$C$50:$U$69,MATCH(PLANNING_FC!$BR18,'NWC_FC_NON-NOOS'!$B$50:$B$69,0),FALSE)</f>
        <v>15720</v>
      </c>
      <c r="CQ18" s="678"/>
      <c r="CR18" s="677">
        <f ca="1">CP18+CA18+((AQ18-AS18)*1000)-AB18-HLOOKUP(CR$4,'NWC_FC_NON-NOOS'!$C$50:$U$69,MATCH(PLANNING_FC!$BR18,'NWC_FC_NON-NOOS'!$B$50:$B$69,0),FALSE)</f>
        <v>15720</v>
      </c>
      <c r="CS18" s="677">
        <f ca="1">CR18+CB18+((AS18-AT18)*1000)-AC18-HLOOKUP(CS$4,'NWC_FC_NON-NOOS'!$C$50:$U$69,MATCH(PLANNING_FC!$BR18,'NWC_FC_NON-NOOS'!$B$50:$B$69,0),FALSE)</f>
        <v>15720</v>
      </c>
      <c r="CT18" s="677">
        <f ca="1">CS18+CC18+((AT18-AU18)*1000)-AD18-HLOOKUP(CT$4,'NWC_FC_NON-NOOS'!$C$50:$U$69,MATCH(PLANNING_FC!$BR18,'NWC_FC_NON-NOOS'!$B$50:$B$69,0),FALSE)</f>
        <v>15720</v>
      </c>
      <c r="CU18" s="678"/>
      <c r="CV18" s="677">
        <f ca="1">CT18+CE18+((AU18-AW18)*1000)-AF18-HLOOKUP(CV$4,'NWC_FC_NON-NOOS'!$C$50:$U$69,MATCH(PLANNING_FC!$BR18,'NWC_FC_NON-NOOS'!$B$50:$B$69,0),FALSE)</f>
        <v>15720</v>
      </c>
      <c r="CW18" s="677">
        <f ca="1">CV18+CF18+((AW18-AX18)*1000)-AG18-HLOOKUP(CW$4,'NWC_FC_NON-NOOS'!$C$50:$U$69,MATCH(PLANNING_FC!$BR18,'NWC_FC_NON-NOOS'!$B$50:$B$69,0),FALSE)</f>
        <v>15720</v>
      </c>
      <c r="CX18" s="677">
        <f ca="1">CW18+CG18+((AX18-AY18)*1000)-AH18-HLOOKUP(CX$4,'NWC_FC_NON-NOOS'!$C$50:$U$69,MATCH(PLANNING_FC!$BR18,'NWC_FC_NON-NOOS'!$B$50:$B$69,0),FALSE)</f>
        <v>15720</v>
      </c>
      <c r="CY18" s="746"/>
      <c r="CZ18" s="575" t="str">
        <f t="shared" si="86"/>
        <v>SWEAT</v>
      </c>
      <c r="DA18" s="677">
        <f ca="1">IF(STOCK_OVERVIEW!C$41="ACT",SUMIFS(HIS_STOCK!$F:$F,HIS_STOCK!$A:$A,PLANNING_FC!$BA$2,HIS_STOCK!$C:$C,PLANNING_FC!$CZ18,HIS_STOCK!$D:$D,PLANNING_FC!$DA$5,HIS_STOCK!$E:$E,PLANNING_FC!DA$7),CJ18+SUM($BB18:BB18))</f>
        <v>0</v>
      </c>
      <c r="DB18" s="677">
        <f ca="1">IF(STOCK_OVERVIEW!D$41="ACT",SUMIFS(HIS_STOCK!$F:$F,HIS_STOCK!$A:$A,PLANNING_FC!$BA$2,HIS_STOCK!$C:$C,PLANNING_FC!$CZ18,HIS_STOCK!$D:$D,PLANNING_FC!$DA$5,HIS_STOCK!$E:$E,PLANNING_FC!DB$7),CK18+SUM($BB18:BC18))</f>
        <v>0</v>
      </c>
      <c r="DC18" s="677">
        <f ca="1">CL18+SUM($BB18:BD18)</f>
        <v>15720</v>
      </c>
      <c r="DD18" s="678"/>
      <c r="DE18" s="677">
        <f ca="1">CN18+SUM($BB18:BF18)</f>
        <v>15720</v>
      </c>
      <c r="DF18" s="677">
        <f ca="1">CO18+SUM($BB18:BG18)</f>
        <v>15720</v>
      </c>
      <c r="DG18" s="677">
        <f ca="1">CP18+SUM($BB18:BH18)</f>
        <v>15720</v>
      </c>
      <c r="DH18" s="678"/>
      <c r="DI18" s="677">
        <f ca="1">CR18+SUM($BB18:BJ18)</f>
        <v>15720</v>
      </c>
      <c r="DJ18" s="677">
        <f ca="1">CS18+SUM($BB18:BK18)</f>
        <v>15720</v>
      </c>
      <c r="DK18" s="677">
        <f ca="1">CT18+SUM($BB18:BL18)</f>
        <v>15720</v>
      </c>
      <c r="DL18" s="678"/>
      <c r="DM18" s="677">
        <f ca="1">CV18+SUM($BB18:BN18)</f>
        <v>15720</v>
      </c>
      <c r="DN18" s="677">
        <f ca="1">CW18+SUM($BB18:BO18)</f>
        <v>15720</v>
      </c>
      <c r="DO18" s="677">
        <f ca="1">CX18+SUM($BB18:BP18)</f>
        <v>15720</v>
      </c>
      <c r="DQ18" s="575" t="str">
        <f t="shared" si="87"/>
        <v>SWEAT</v>
      </c>
      <c r="DR18" s="677">
        <f ca="1">IF($DT$7="Aug",SUMIFS(HIS_STOCK!$F:$F,HIS_STOCK!$A:$A,$BA$2,HIS_STOCK!$C:$C,$DQ18,HIS_STOCK!$D:$D,$DR$4,HIS_STOCK!$E:$E,$DR$7),SUMIFS(HIS_STOCK!$F:$F,HIS_STOCK!$A:$A,$BA$2,HIS_STOCK!$C:$C,$DQ18,HIS_STOCK!$D:$D,$DR$5,HIS_STOCK!$E:$E,$DR$7))</f>
        <v>0</v>
      </c>
      <c r="DS18" s="677"/>
      <c r="DT18" s="677">
        <f ca="1">'NWC_FC_NON-NOOS'!T18</f>
        <v>0</v>
      </c>
      <c r="DU18" s="677">
        <f ca="1">'NWC_FC_NON-NOOS'!U18</f>
        <v>0</v>
      </c>
      <c r="DV18" s="677">
        <f ca="1">'NWC_FC_NON-NOOS'!V18</f>
        <v>0</v>
      </c>
      <c r="DW18" s="678"/>
      <c r="DX18" s="677">
        <f ca="1">'NWC_FC_NON-NOOS'!X18</f>
        <v>0</v>
      </c>
      <c r="DY18" s="677">
        <f ca="1">'NWC_FC_NON-NOOS'!Y18</f>
        <v>0</v>
      </c>
      <c r="DZ18" s="677">
        <f ca="1">'NWC_FC_NON-NOOS'!Z18</f>
        <v>0</v>
      </c>
      <c r="EA18" s="678"/>
      <c r="EB18" s="677">
        <f ca="1">'NWC_FC_NON-NOOS'!AB18</f>
        <v>0</v>
      </c>
      <c r="EC18" s="677">
        <f ca="1">'NWC_FC_NON-NOOS'!AC18</f>
        <v>0</v>
      </c>
      <c r="ED18" s="677">
        <f ca="1">'NWC_FC_NON-NOOS'!AD18</f>
        <v>0</v>
      </c>
      <c r="EE18" s="678"/>
      <c r="EF18" s="677">
        <f ca="1">'NWC_FC_NON-NOOS'!AF18</f>
        <v>0</v>
      </c>
      <c r="EG18" s="677">
        <f ca="1">'NWC_FC_NON-NOOS'!AG18</f>
        <v>0</v>
      </c>
      <c r="EH18" s="677">
        <f ca="1">'NWC_FC_NON-NOOS'!AH18</f>
        <v>0</v>
      </c>
    </row>
    <row r="19" spans="1:138" x14ac:dyDescent="0.25">
      <c r="B19" s="575" t="str">
        <f>'NWC_FC_NON-NOOS'!B19</f>
        <v>TAILORING</v>
      </c>
      <c r="C19" s="802"/>
      <c r="D19" s="761"/>
      <c r="E19" s="761"/>
      <c r="F19" s="761"/>
      <c r="G19" s="613"/>
      <c r="H19" s="761"/>
      <c r="I19" s="761"/>
      <c r="J19" s="761"/>
      <c r="K19" s="613"/>
      <c r="L19" s="761"/>
      <c r="M19" s="761"/>
      <c r="N19" s="761"/>
      <c r="O19" s="613"/>
      <c r="P19" s="761"/>
      <c r="Q19" s="761"/>
      <c r="R19" s="761"/>
      <c r="T19" s="675">
        <f t="shared" ca="1" si="70"/>
        <v>0</v>
      </c>
      <c r="U19" s="675">
        <f t="shared" ca="1" si="71"/>
        <v>0</v>
      </c>
      <c r="V19" s="675">
        <f t="shared" ca="1" si="72"/>
        <v>0</v>
      </c>
      <c r="W19" s="675"/>
      <c r="X19" s="675">
        <f t="shared" ca="1" si="73"/>
        <v>0</v>
      </c>
      <c r="Y19" s="675">
        <f t="shared" ca="1" si="74"/>
        <v>0</v>
      </c>
      <c r="Z19" s="675">
        <f t="shared" ca="1" si="75"/>
        <v>0</v>
      </c>
      <c r="AA19" s="675"/>
      <c r="AB19" s="675">
        <f t="shared" ca="1" si="76"/>
        <v>0</v>
      </c>
      <c r="AC19" s="675">
        <f t="shared" ca="1" si="77"/>
        <v>0</v>
      </c>
      <c r="AD19" s="675">
        <f t="shared" ca="1" si="78"/>
        <v>0</v>
      </c>
      <c r="AE19" s="675"/>
      <c r="AF19" s="675">
        <f t="shared" ca="1" si="79"/>
        <v>0</v>
      </c>
      <c r="AG19" s="675">
        <f t="shared" ca="1" si="80"/>
        <v>0</v>
      </c>
      <c r="AH19" s="675">
        <f t="shared" ca="1" si="81"/>
        <v>0</v>
      </c>
      <c r="AI19" s="675"/>
      <c r="AJ19" s="575" t="str">
        <f t="shared" si="83"/>
        <v>TAILORING</v>
      </c>
      <c r="AK19" s="761"/>
      <c r="AL19" s="761"/>
      <c r="AM19" s="761"/>
      <c r="AN19" s="613"/>
      <c r="AO19" s="761"/>
      <c r="AP19" s="761"/>
      <c r="AQ19" s="761"/>
      <c r="AR19" s="613"/>
      <c r="AS19" s="761"/>
      <c r="AT19" s="761"/>
      <c r="AU19" s="761"/>
      <c r="AV19" s="613"/>
      <c r="AW19" s="761"/>
      <c r="AX19" s="761"/>
      <c r="AY19" s="761"/>
      <c r="BA19" s="575" t="str">
        <f t="shared" si="82"/>
        <v>TAILORING</v>
      </c>
      <c r="BB19" s="677">
        <f ca="1">MAX(IF(ISNA(VLOOKUP($BB$4,TIME!$M$40:$M$42,1,FALSE)),0,HLOOKUP(BB$4,'NWC_FC_NON-NOOS'!$S$4:$AH$23,MATCH($BA19,'NWC_FC_NON-NOOS'!$S$4:$S$23,0),FALSE)-CJ19),0)</f>
        <v>0</v>
      </c>
      <c r="BC19" s="678">
        <f ca="1">IF(ISNA(VLOOKUP(BC$4,TIME!$M$40:$M$42,1,FALSE)),0,IF(HLOOKUP(BC$4,'NWC_FC_NON-NOOS'!$S$4:$AH$23,MATCH($BA19,'NWC_FC_NON-NOOS'!$S$4:$S$23,0),FALSE)-CK19-SUM($BB19:BB19)&gt;0,HLOOKUP(BC$4,'NWC_FC_NON-NOOS'!$S$4:$AH$23,MATCH($BA19,'NWC_FC_NON-NOOS'!$S$4:$S$23,0),FALSE)-CK19-SUM($BB19:BB19),0))</f>
        <v>0</v>
      </c>
      <c r="BD19" s="678">
        <f ca="1">IF(ISNA(VLOOKUP(BD$4,TIME!$M$40:$M$42,1,FALSE)),0,IF(HLOOKUP(BD$4,'NWC_FC_NON-NOOS'!$S$4:$AH$23,MATCH($BA19,'NWC_FC_NON-NOOS'!$S$4:$S$23,0),FALSE)-CL19-SUM($BB19:BC19)&gt;0,HLOOKUP(BD$4,'NWC_FC_NON-NOOS'!$S$4:$AH$23,MATCH($BA19,'NWC_FC_NON-NOOS'!$S$4:$S$23,0),FALSE)-CL19-SUM($BB19:BC19),0))</f>
        <v>0</v>
      </c>
      <c r="BE19" s="678"/>
      <c r="BF19" s="677">
        <f ca="1">IF(HLOOKUP(BF$4,'NWC_FC_NON-NOOS'!$S$4:$AH$23,MATCH($BA19,'NWC_FC_NON-NOOS'!$S$4:$S$23,0),FALSE)-CN19-SUM($BB19:BE19)&gt;0,HLOOKUP(BF$4,'NWC_FC_NON-NOOS'!$S$4:$AH$23,MATCH($BA19,'NWC_FC_NON-NOOS'!$S$4:$S$23,0),FALSE)-CN19-SUM($BB19:BE19),0)</f>
        <v>0</v>
      </c>
      <c r="BG19" s="677">
        <f ca="1">IF(HLOOKUP(BG$4,'NWC_FC_NON-NOOS'!$S$4:$AH$23,MATCH($BA19,'NWC_FC_NON-NOOS'!$S$4:$S$23,0),FALSE)-CO19-SUM($BB19:BF19)&gt;0,HLOOKUP(BG$4,'NWC_FC_NON-NOOS'!$S$4:$AH$23,MATCH($BA19,'NWC_FC_NON-NOOS'!$S$4:$S$23,0),FALSE)-CO19-SUM($BB19:BF19),0)</f>
        <v>0</v>
      </c>
      <c r="BH19" s="677">
        <f ca="1">IF(HLOOKUP(BH$4,'NWC_FC_NON-NOOS'!$S$4:$AH$23,MATCH($BA19,'NWC_FC_NON-NOOS'!$S$4:$S$23,0),FALSE)-CP19-SUM($BB19:BG19)&gt;0,HLOOKUP(BH$4,'NWC_FC_NON-NOOS'!$S$4:$AH$23,MATCH($BA19,'NWC_FC_NON-NOOS'!$S$4:$S$23,0),FALSE)-CP19-SUM($BB19:BG19),0)</f>
        <v>0</v>
      </c>
      <c r="BI19" s="678"/>
      <c r="BJ19" s="677">
        <f ca="1">IF(HLOOKUP(BJ$4,'NWC_FC_NON-NOOS'!$S$4:$AH$23,MATCH($BA19,'NWC_FC_NON-NOOS'!$S$4:$S$23,0),FALSE)-CR19-SUM($BB19:BI19)&gt;0,HLOOKUP(BJ$4,'NWC_FC_NON-NOOS'!$S$4:$AH$23,MATCH($BA19,'NWC_FC_NON-NOOS'!$S$4:$S$23,0),FALSE)-CR19-SUM($BB19:BI19),0)</f>
        <v>0</v>
      </c>
      <c r="BK19" s="677">
        <f ca="1">IF(HLOOKUP(BK$4,'NWC_FC_NON-NOOS'!$S$4:$AH$23,MATCH($BA19,'NWC_FC_NON-NOOS'!$S$4:$S$23,0),FALSE)-CS19-SUM($BB19:BJ19)&gt;0,HLOOKUP(BK$4,'NWC_FC_NON-NOOS'!$S$4:$AH$23,MATCH($BA19,'NWC_FC_NON-NOOS'!$S$4:$S$23,0),FALSE)-CS19-SUM($BB19:BJ19),0)</f>
        <v>0</v>
      </c>
      <c r="BL19" s="677">
        <f ca="1">IF(HLOOKUP(BL$4,'NWC_FC_NON-NOOS'!$S$4:$AH$23,MATCH($BA19,'NWC_FC_NON-NOOS'!$S$4:$S$23,0),FALSE)-CT19-SUM($BB19:BK19)&gt;0,HLOOKUP(BL$4,'NWC_FC_NON-NOOS'!$S$4:$AH$23,MATCH($BA19,'NWC_FC_NON-NOOS'!$S$4:$S$23,0),FALSE)-CT19-SUM($BB19:BK19),0)</f>
        <v>0</v>
      </c>
      <c r="BM19" s="678"/>
      <c r="BN19" s="678">
        <f ca="1">IF(HLOOKUP(BN$4,'NWC_FC_NON-NOOS'!$S$4:$AH$23,MATCH($BA19,'NWC_FC_NON-NOOS'!$S$4:$S$23,0),FALSE)-CV19-SUM($BB19:BM19)&gt;0,HLOOKUP(BN$4,'NWC_FC_NON-NOOS'!$S$4:$AH$23,MATCH($BA19,'NWC_FC_NON-NOOS'!$S$4:$S$23,0),FALSE)-CV19-SUM($BB19:BM19),0)</f>
        <v>0</v>
      </c>
      <c r="BO19" s="678">
        <f ca="1">IF(HLOOKUP(BO$4,'NWC_FC_NON-NOOS'!$S$4:$AH$23,MATCH($BA19,'NWC_FC_NON-NOOS'!$S$4:$S$23,0),FALSE)-CW19-SUM($BB19:BN19)&gt;0,HLOOKUP(BO$4,'NWC_FC_NON-NOOS'!$S$4:$AH$23,MATCH($BA19,'NWC_FC_NON-NOOS'!$S$4:$S$23,0),FALSE)-CW19-SUM($BB19:BN19),0)</f>
        <v>0</v>
      </c>
      <c r="BP19" s="678">
        <f ca="1">IF(HLOOKUP(BP$4,'NWC_FC_NON-NOOS'!$S$4:$AH$23,MATCH($BA19,'NWC_FC_NON-NOOS'!$S$4:$S$23,0),FALSE)-CX19-SUM($BB19:BO19)&gt;0,HLOOKUP(BP$4,'NWC_FC_NON-NOOS'!$S$4:$AH$23,MATCH($BA19,'NWC_FC_NON-NOOS'!$S$4:$S$23,0),FALSE)-CX19-SUM($BB19:BO19),0)</f>
        <v>0</v>
      </c>
      <c r="BR19" s="575" t="str">
        <f t="shared" si="84"/>
        <v>TAILORING</v>
      </c>
      <c r="BS19" s="678">
        <f ca="1">IF(BS$2=TIME!$E$5,SUMIFS(OPEN_ORDERS!$E:$E,OPEN_ORDERS!$B:$B,"&lt;="&amp;BS$2,OPEN_ORDERS!$C:$C,$BA19,OPEN_ORDERS!$D:$D,$BA$2)+SUMIFS(OPEN_ORDERS!$E:$E,OPEN_ORDERS!$B:$B,"IMMEDIATELY",OPEN_ORDERS!$C:$C,$BA19,OPEN_ORDERS!$D:$D,$BA$2),SUMIFS(OPEN_ORDERS!$E:$E,OPEN_ORDERS!$B:$B,BS$2,OPEN_ORDERS!$C:$C,$BA19,OPEN_ORDERS!$D:$D,$BA$2))</f>
        <v>129248</v>
      </c>
      <c r="BT19" s="678">
        <f ca="1">IF(BT$2=TIME!$E$5,SUMIFS(OPEN_ORDERS!$E:$E,OPEN_ORDERS!$B:$B,"&lt;="&amp;BT$2,OPEN_ORDERS!$C:$C,$BA19,OPEN_ORDERS!$D:$D,$BA$2)+SUMIFS(OPEN_ORDERS!$E:$E,OPEN_ORDERS!$B:$B,"IMMEDIATELY",OPEN_ORDERS!$C:$C,$BA19,OPEN_ORDERS!$D:$D,$BA$2),SUMIFS(OPEN_ORDERS!$E:$E,OPEN_ORDERS!$B:$B,BT$2,OPEN_ORDERS!$C:$C,$BA19,OPEN_ORDERS!$D:$D,$BA$2))</f>
        <v>94519</v>
      </c>
      <c r="BU19" s="678">
        <f ca="1">IF(BU$2=TIME!$E$5,SUMIFS(OPEN_ORDERS!$E:$E,OPEN_ORDERS!$B:$B,"&lt;="&amp;BU$2,OPEN_ORDERS!$C:$C,$BA19,OPEN_ORDERS!$D:$D,$BA$2)+SUMIFS(OPEN_ORDERS!$E:$E,OPEN_ORDERS!$B:$B,"IMMEDIATELY",OPEN_ORDERS!$C:$C,$BA19,OPEN_ORDERS!$D:$D,$BA$2),SUMIFS(OPEN_ORDERS!$E:$E,OPEN_ORDERS!$B:$B,BU$2,OPEN_ORDERS!$C:$C,$BA19,OPEN_ORDERS!$D:$D,$BA$2))</f>
        <v>321670</v>
      </c>
      <c r="BV19" s="678"/>
      <c r="BW19" s="678">
        <f ca="1">SUMIFS(OPEN_ORDERS!$E:$E,OPEN_ORDERS!$B:$B,BW$2,OPEN_ORDERS!$C:$C,$BA19,OPEN_ORDERS!$D:$D,$BA$2)</f>
        <v>2231</v>
      </c>
      <c r="BX19" s="678">
        <f ca="1">SUMIFS(OPEN_ORDERS!$E:$E,OPEN_ORDERS!$B:$B,BX$2,OPEN_ORDERS!$C:$C,$BA19,OPEN_ORDERS!$D:$D,$BA$2)</f>
        <v>0</v>
      </c>
      <c r="BY19" s="678">
        <f ca="1">SUMIFS(OPEN_ORDERS!$E:$E,OPEN_ORDERS!$B:$B,BY$2,OPEN_ORDERS!$C:$C,$BA19,OPEN_ORDERS!$D:$D,$BA$2)</f>
        <v>0</v>
      </c>
      <c r="BZ19" s="678"/>
      <c r="CA19" s="678">
        <f ca="1">SUMIFS(OPEN_ORDERS!$E:$E,OPEN_ORDERS!$B:$B,CA$2,OPEN_ORDERS!$C:$C,$BA19,OPEN_ORDERS!$D:$D,$BA$2)</f>
        <v>0</v>
      </c>
      <c r="CB19" s="678">
        <f ca="1">SUMIFS(OPEN_ORDERS!$E:$E,OPEN_ORDERS!$B:$B,CB$2,OPEN_ORDERS!$C:$C,$BA19,OPEN_ORDERS!$D:$D,$BA$2)</f>
        <v>0</v>
      </c>
      <c r="CC19" s="678">
        <f ca="1">SUMIFS(OPEN_ORDERS!$E:$E,OPEN_ORDERS!$B:$B,CC$2,OPEN_ORDERS!$C:$C,$BA19,OPEN_ORDERS!$D:$D,$BA$2)</f>
        <v>0</v>
      </c>
      <c r="CD19" s="678"/>
      <c r="CE19" s="678">
        <f ca="1">SUMIFS(OPEN_ORDERS!$E:$E,OPEN_ORDERS!$B:$B,CE$2,OPEN_ORDERS!$C:$C,$BA19,OPEN_ORDERS!$D:$D,$BA$2)</f>
        <v>0</v>
      </c>
      <c r="CF19" s="678">
        <f ca="1">SUMIFS(OPEN_ORDERS!$E:$E,OPEN_ORDERS!$B:$B,CF$2,OPEN_ORDERS!$C:$C,$BA19,OPEN_ORDERS!$D:$D,$BA$2)</f>
        <v>0</v>
      </c>
      <c r="CG19" s="678">
        <f ca="1">SUMIFS(OPEN_ORDERS!$E:$E,OPEN_ORDERS!$B:$B,CG$2,OPEN_ORDERS!$C:$C,$BA19,OPEN_ORDERS!$D:$D,$BA$2)</f>
        <v>0</v>
      </c>
      <c r="CI19" s="1" t="str">
        <f t="shared" si="85"/>
        <v>TAILORING</v>
      </c>
      <c r="CJ19" s="678">
        <f ca="1">IF($CJ$7="Aug",SUMIFS(HIS_STOCK!$F:$F,HIS_STOCK!$A:$A,$BA$2,HIS_STOCK!$C:$C,$CI19,HIS_STOCK!$D:$D,$CK$1,HIS_STOCK!$E:$E,$CL$1)+BS19-(AK19*1000)-T19-HLOOKUP($CJ$4,'NWC_FC_NON-NOOS'!$C$50:$U$69,MATCH($CI19,'NWC_FC_NON-NOOS'!$B$50:$B$69,0),FALSE),IF($CJ$2=TIME!$E$5,SUMIFS(HIS_STOCK!$F:$F,HIS_STOCK!$A:$A,$BA$2,HIS_STOCK!$C:$C,$CI19,HIS_STOCK!$D:$D,$CJ$5,HIS_STOCK!$E:$E,$CL$1)+BS19-(AK19*1000)-T19-HLOOKUP($CJ$4,'NWC_FC_NON-NOOS'!$C$50:$U$69,MATCH($CI19,'NWC_FC_NON-NOOS'!$B$50:$B$69,0),FALSE),SUMIFS(HIS_STOCK!$F:$F,HIS_STOCK!$A:$A,$BA$2,HIS_STOCK!$C:$C,$CI19,HIS_STOCK!$D:$D,$CJ$5,HIS_STOCK!$E:$E,CJ$7)))</f>
        <v>0</v>
      </c>
      <c r="CK19" s="678">
        <f ca="1">IF(SUMIFS(HIS_STOCK!$F:$F,HIS_STOCK!$A:$A,$BA$2,HIS_STOCK!$C:$C,$CI19,HIS_STOCK!$D:$D,$CJ$5,HIS_STOCK!$E:$E,CK$7)&lt;&gt;0,SUMIFS(HIS_STOCK!$F:$F,HIS_STOCK!$A:$A,$BA$2,HIS_STOCK!$C:$C,$CI19,HIS_STOCK!$D:$D,$CJ$5,HIS_STOCK!$E:$E,CK$7)-(AL19*1000),CJ19+BT19+((AK19-AL19)*1000)-U19-HLOOKUP(BT$4,'NWC_FC_NON-NOOS'!$C$50:$U$69,MATCH(PLANNING_FC!$BR19,'NWC_FC_NON-NOOS'!$B$50:$B$69,0),FALSE))</f>
        <v>94519</v>
      </c>
      <c r="CL19" s="678">
        <f ca="1">IF(SUMIFS(HIS_STOCK!$F:$F,HIS_STOCK!$A:$A,$BA$2,HIS_STOCK!$C:$C,$CI19,HIS_STOCK!$D:$D,$CJ$5,HIS_STOCK!$E:$E,CL$7)&lt;&gt;0,SUMIFS(HIS_STOCK!$F:$F,HIS_STOCK!$A:$A,$BA$2,HIS_STOCK!$C:$C,$CI19,HIS_STOCK!$D:$D,$CJ$5,HIS_STOCK!$E:$E,CL$7)-(AM19*1000),CK19+BU19+((AL19-AM19)*1000)-V19-HLOOKUP(BU$4,'NWC_FC_NON-NOOS'!$C$50:$U$69,MATCH(PLANNING_FC!$BR19,'NWC_FC_NON-NOOS'!$B$50:$B$69,0),FALSE))</f>
        <v>416189</v>
      </c>
      <c r="CM19" s="678"/>
      <c r="CN19" s="678">
        <f ca="1">CL19+BW19+((AM19-AO19)*1000)-X19-HLOOKUP(CN$4,'NWC_FC_NON-NOOS'!$C$50:$U$69,MATCH(PLANNING_FC!$BR19,'NWC_FC_NON-NOOS'!$B$50:$B$69,0),FALSE)</f>
        <v>418420</v>
      </c>
      <c r="CO19" s="678">
        <f ca="1">CN19+BX19+((AO19-AP19)*1000)-Y19-HLOOKUP(CO$4,'NWC_FC_NON-NOOS'!$C$50:$U$69,MATCH(PLANNING_FC!$BR19,'NWC_FC_NON-NOOS'!$B$50:$B$69,0),FALSE)</f>
        <v>418420</v>
      </c>
      <c r="CP19" s="678">
        <f ca="1">CO19+BY19+((AP19-AQ19)*1000)-Z19-HLOOKUP(CP$4,'NWC_FC_NON-NOOS'!$C$50:$U$69,MATCH(PLANNING_FC!$BR19,'NWC_FC_NON-NOOS'!$B$50:$B$69,0),FALSE)</f>
        <v>418420</v>
      </c>
      <c r="CQ19" s="678"/>
      <c r="CR19" s="678">
        <f ca="1">CP19+CA19+((AQ19-AS19)*1000)-AB19-HLOOKUP(CR$4,'NWC_FC_NON-NOOS'!$C$50:$U$69,MATCH(PLANNING_FC!$BR19,'NWC_FC_NON-NOOS'!$B$50:$B$69,0),FALSE)</f>
        <v>418420</v>
      </c>
      <c r="CS19" s="678">
        <f ca="1">CR19+CB19+((AS19-AT19)*1000)-AC19-HLOOKUP(CS$4,'NWC_FC_NON-NOOS'!$C$50:$U$69,MATCH(PLANNING_FC!$BR19,'NWC_FC_NON-NOOS'!$B$50:$B$69,0),FALSE)</f>
        <v>418420</v>
      </c>
      <c r="CT19" s="678">
        <f ca="1">CS19+CC19+((AT19-AU19)*1000)-AD19-HLOOKUP(CT$4,'NWC_FC_NON-NOOS'!$C$50:$U$69,MATCH(PLANNING_FC!$BR19,'NWC_FC_NON-NOOS'!$B$50:$B$69,0),FALSE)</f>
        <v>418420</v>
      </c>
      <c r="CU19" s="678"/>
      <c r="CV19" s="678">
        <f ca="1">CT19+CE19+((AU19-AW19)*1000)-AF19-HLOOKUP(CV$4,'NWC_FC_NON-NOOS'!$C$50:$U$69,MATCH(PLANNING_FC!$BR19,'NWC_FC_NON-NOOS'!$B$50:$B$69,0),FALSE)</f>
        <v>418420</v>
      </c>
      <c r="CW19" s="678">
        <f ca="1">CV19+CF19+((AW19-AX19)*1000)-AG19-HLOOKUP(CW$4,'NWC_FC_NON-NOOS'!$C$50:$U$69,MATCH(PLANNING_FC!$BR19,'NWC_FC_NON-NOOS'!$B$50:$B$69,0),FALSE)</f>
        <v>418420</v>
      </c>
      <c r="CX19" s="678">
        <f ca="1">CW19+CG19+((AX19-AY19)*1000)-AH19-HLOOKUP(CX$4,'NWC_FC_NON-NOOS'!$C$50:$U$69,MATCH(PLANNING_FC!$BR19,'NWC_FC_NON-NOOS'!$B$50:$B$69,0),FALSE)</f>
        <v>418420</v>
      </c>
      <c r="CY19" s="746"/>
      <c r="CZ19" s="575" t="str">
        <f t="shared" si="86"/>
        <v>TAILORING</v>
      </c>
      <c r="DA19" s="678">
        <f ca="1">IF(STOCK_OVERVIEW!C$41="ACT",SUMIFS(HIS_STOCK!$F:$F,HIS_STOCK!$A:$A,PLANNING_FC!$BA$2,HIS_STOCK!$C:$C,PLANNING_FC!$CZ19,HIS_STOCK!$D:$D,PLANNING_FC!$DA$5,HIS_STOCK!$E:$E,PLANNING_FC!DA$7),CJ19+SUM($BB19:BB19))</f>
        <v>0</v>
      </c>
      <c r="DB19" s="677">
        <f ca="1">IF(STOCK_OVERVIEW!D$41="ACT",SUMIFS(HIS_STOCK!$F:$F,HIS_STOCK!$A:$A,PLANNING_FC!$BA$2,HIS_STOCK!$C:$C,PLANNING_FC!$CZ19,HIS_STOCK!$D:$D,PLANNING_FC!$DA$5,HIS_STOCK!$E:$E,PLANNING_FC!DB$7),CK19+SUM($BB19:BC19))</f>
        <v>0</v>
      </c>
      <c r="DC19" s="678">
        <f ca="1">CL19+SUM($BB19:BD19)</f>
        <v>416189</v>
      </c>
      <c r="DD19" s="678"/>
      <c r="DE19" s="678">
        <f ca="1">CN19+SUM($BB19:BF19)</f>
        <v>418420</v>
      </c>
      <c r="DF19" s="678">
        <f ca="1">CO19+SUM($BB19:BG19)</f>
        <v>418420</v>
      </c>
      <c r="DG19" s="678">
        <f ca="1">CP19+SUM($BB19:BH19)</f>
        <v>418420</v>
      </c>
      <c r="DH19" s="678"/>
      <c r="DI19" s="678">
        <f ca="1">CR19+SUM($BB19:BJ19)</f>
        <v>418420</v>
      </c>
      <c r="DJ19" s="678">
        <f ca="1">CS19+SUM($BB19:BK19)</f>
        <v>418420</v>
      </c>
      <c r="DK19" s="678">
        <f ca="1">CT19+SUM($BB19:BL19)</f>
        <v>418420</v>
      </c>
      <c r="DL19" s="678"/>
      <c r="DM19" s="678">
        <f ca="1">CV19+SUM($BB19:BN19)</f>
        <v>418420</v>
      </c>
      <c r="DN19" s="678">
        <f ca="1">CW19+SUM($BB19:BO19)</f>
        <v>418420</v>
      </c>
      <c r="DO19" s="678">
        <f ca="1">CX19+SUM($BB19:BP19)</f>
        <v>418420</v>
      </c>
      <c r="DQ19" s="575" t="str">
        <f t="shared" si="87"/>
        <v>TAILORING</v>
      </c>
      <c r="DR19" s="678">
        <f ca="1">IF($DT$7="Aug",SUMIFS(HIS_STOCK!$F:$F,HIS_STOCK!$A:$A,$BA$2,HIS_STOCK!$C:$C,$DQ19,HIS_STOCK!$D:$D,$DR$4,HIS_STOCK!$E:$E,$DR$7),SUMIFS(HIS_STOCK!$F:$F,HIS_STOCK!$A:$A,$BA$2,HIS_STOCK!$C:$C,$DQ19,HIS_STOCK!$D:$D,$DR$5,HIS_STOCK!$E:$E,$DR$7))</f>
        <v>0</v>
      </c>
      <c r="DS19" s="678"/>
      <c r="DT19" s="678">
        <f ca="1">'NWC_FC_NON-NOOS'!T19</f>
        <v>0</v>
      </c>
      <c r="DU19" s="677">
        <f ca="1">'NWC_FC_NON-NOOS'!U19</f>
        <v>0</v>
      </c>
      <c r="DV19" s="678">
        <f ca="1">'NWC_FC_NON-NOOS'!V19</f>
        <v>0</v>
      </c>
      <c r="DW19" s="678"/>
      <c r="DX19" s="678">
        <f ca="1">'NWC_FC_NON-NOOS'!X19</f>
        <v>0</v>
      </c>
      <c r="DY19" s="678">
        <f ca="1">'NWC_FC_NON-NOOS'!Y19</f>
        <v>0</v>
      </c>
      <c r="DZ19" s="678">
        <f ca="1">'NWC_FC_NON-NOOS'!Z19</f>
        <v>0</v>
      </c>
      <c r="EA19" s="678"/>
      <c r="EB19" s="678">
        <f ca="1">'NWC_FC_NON-NOOS'!AB19</f>
        <v>0</v>
      </c>
      <c r="EC19" s="678">
        <f ca="1">'NWC_FC_NON-NOOS'!AC19</f>
        <v>0</v>
      </c>
      <c r="ED19" s="678">
        <f ca="1">'NWC_FC_NON-NOOS'!AD19</f>
        <v>0</v>
      </c>
      <c r="EE19" s="678"/>
      <c r="EF19" s="678">
        <f ca="1">'NWC_FC_NON-NOOS'!AF19</f>
        <v>0</v>
      </c>
      <c r="EG19" s="678">
        <f ca="1">'NWC_FC_NON-NOOS'!AG19</f>
        <v>0</v>
      </c>
      <c r="EH19" s="678">
        <f ca="1">'NWC_FC_NON-NOOS'!AH19</f>
        <v>0</v>
      </c>
    </row>
    <row r="20" spans="1:138" x14ac:dyDescent="0.25">
      <c r="B20" s="575" t="str">
        <f>'NWC_FC_NON-NOOS'!B20</f>
        <v>TOPS</v>
      </c>
      <c r="C20" s="802"/>
      <c r="D20" s="761"/>
      <c r="E20" s="761"/>
      <c r="F20" s="761"/>
      <c r="G20" s="613"/>
      <c r="H20" s="761"/>
      <c r="I20" s="761"/>
      <c r="J20" s="761"/>
      <c r="K20" s="613"/>
      <c r="L20" s="761"/>
      <c r="M20" s="761"/>
      <c r="N20" s="761"/>
      <c r="O20" s="613"/>
      <c r="P20" s="761"/>
      <c r="Q20" s="761"/>
      <c r="R20" s="761"/>
      <c r="T20" s="675">
        <f t="shared" ca="1" si="70"/>
        <v>0</v>
      </c>
      <c r="U20" s="675">
        <f t="shared" ca="1" si="71"/>
        <v>0</v>
      </c>
      <c r="V20" s="675">
        <f t="shared" ca="1" si="72"/>
        <v>0</v>
      </c>
      <c r="W20" s="675"/>
      <c r="X20" s="675">
        <f t="shared" ca="1" si="73"/>
        <v>0</v>
      </c>
      <c r="Y20" s="675">
        <f t="shared" ca="1" si="74"/>
        <v>0</v>
      </c>
      <c r="Z20" s="675">
        <f t="shared" ca="1" si="75"/>
        <v>0</v>
      </c>
      <c r="AA20" s="675"/>
      <c r="AB20" s="675">
        <f t="shared" ca="1" si="76"/>
        <v>0</v>
      </c>
      <c r="AC20" s="675">
        <f t="shared" ca="1" si="77"/>
        <v>0</v>
      </c>
      <c r="AD20" s="675">
        <f t="shared" ca="1" si="78"/>
        <v>0</v>
      </c>
      <c r="AE20" s="675"/>
      <c r="AF20" s="675">
        <f t="shared" ca="1" si="79"/>
        <v>0</v>
      </c>
      <c r="AG20" s="675">
        <f t="shared" ca="1" si="80"/>
        <v>0</v>
      </c>
      <c r="AH20" s="675">
        <f t="shared" ca="1" si="81"/>
        <v>0</v>
      </c>
      <c r="AI20" s="675"/>
      <c r="AJ20" s="575" t="str">
        <f t="shared" si="83"/>
        <v>TOPS</v>
      </c>
      <c r="AK20" s="761"/>
      <c r="AL20" s="761"/>
      <c r="AM20" s="761"/>
      <c r="AN20" s="613"/>
      <c r="AO20" s="761"/>
      <c r="AP20" s="761"/>
      <c r="AQ20" s="761"/>
      <c r="AR20" s="613"/>
      <c r="AS20" s="761"/>
      <c r="AT20" s="761"/>
      <c r="AU20" s="761"/>
      <c r="AV20" s="613"/>
      <c r="AW20" s="761"/>
      <c r="AX20" s="761"/>
      <c r="AY20" s="761"/>
      <c r="BA20" s="575" t="str">
        <f t="shared" si="82"/>
        <v>TOPS</v>
      </c>
      <c r="BB20" s="677">
        <f ca="1">MAX(IF(ISNA(VLOOKUP($BB$4,TIME!$M$40:$M$42,1,FALSE)),0,HLOOKUP(BB$4,'NWC_FC_NON-NOOS'!$S$4:$AH$23,MATCH($BA20,'NWC_FC_NON-NOOS'!$S$4:$S$23,0),FALSE)-CJ20),0)</f>
        <v>0</v>
      </c>
      <c r="BC20" s="677">
        <f ca="1">IF(ISNA(VLOOKUP(BC$4,TIME!$M$40:$M$42,1,FALSE)),0,IF(HLOOKUP(BC$4,'NWC_FC_NON-NOOS'!$S$4:$AH$23,MATCH($BA20,'NWC_FC_NON-NOOS'!$S$4:$S$23,0),FALSE)-CK20-SUM($BB20:BB20)&gt;0,HLOOKUP(BC$4,'NWC_FC_NON-NOOS'!$S$4:$AH$23,MATCH($BA20,'NWC_FC_NON-NOOS'!$S$4:$S$23,0),FALSE)-CK20-SUM($BB20:BB20),0))</f>
        <v>0</v>
      </c>
      <c r="BD20" s="677">
        <f ca="1">IF(ISNA(VLOOKUP(BD$4,TIME!$M$40:$M$42,1,FALSE)),0,IF(HLOOKUP(BD$4,'NWC_FC_NON-NOOS'!$S$4:$AH$23,MATCH($BA20,'NWC_FC_NON-NOOS'!$S$4:$S$23,0),FALSE)-CL20-SUM($BB20:BC20)&gt;0,HLOOKUP(BD$4,'NWC_FC_NON-NOOS'!$S$4:$AH$23,MATCH($BA20,'NWC_FC_NON-NOOS'!$S$4:$S$23,0),FALSE)-CL20-SUM($BB20:BC20),0))</f>
        <v>0</v>
      </c>
      <c r="BE20" s="678"/>
      <c r="BF20" s="677">
        <f ca="1">IF(HLOOKUP(BF$4,'NWC_FC_NON-NOOS'!$S$4:$AH$23,MATCH($BA20,'NWC_FC_NON-NOOS'!$S$4:$S$23,0),FALSE)-CN20-SUM($BB20:BE20)&gt;0,HLOOKUP(BF$4,'NWC_FC_NON-NOOS'!$S$4:$AH$23,MATCH($BA20,'NWC_FC_NON-NOOS'!$S$4:$S$23,0),FALSE)-CN20-SUM($BB20:BE20),0)</f>
        <v>0</v>
      </c>
      <c r="BG20" s="677">
        <f ca="1">IF(HLOOKUP(BG$4,'NWC_FC_NON-NOOS'!$S$4:$AH$23,MATCH($BA20,'NWC_FC_NON-NOOS'!$S$4:$S$23,0),FALSE)-CO20-SUM($BB20:BF20)&gt;0,HLOOKUP(BG$4,'NWC_FC_NON-NOOS'!$S$4:$AH$23,MATCH($BA20,'NWC_FC_NON-NOOS'!$S$4:$S$23,0),FALSE)-CO20-SUM($BB20:BF20),0)</f>
        <v>0</v>
      </c>
      <c r="BH20" s="677">
        <f ca="1">IF(HLOOKUP(BH$4,'NWC_FC_NON-NOOS'!$S$4:$AH$23,MATCH($BA20,'NWC_FC_NON-NOOS'!$S$4:$S$23,0),FALSE)-CP20-SUM($BB20:BG20)&gt;0,HLOOKUP(BH$4,'NWC_FC_NON-NOOS'!$S$4:$AH$23,MATCH($BA20,'NWC_FC_NON-NOOS'!$S$4:$S$23,0),FALSE)-CP20-SUM($BB20:BG20),0)</f>
        <v>0</v>
      </c>
      <c r="BI20" s="678"/>
      <c r="BJ20" s="677">
        <f ca="1">IF(HLOOKUP(BJ$4,'NWC_FC_NON-NOOS'!$S$4:$AH$23,MATCH($BA20,'NWC_FC_NON-NOOS'!$S$4:$S$23,0),FALSE)-CR20-SUM($BB20:BI20)&gt;0,HLOOKUP(BJ$4,'NWC_FC_NON-NOOS'!$S$4:$AH$23,MATCH($BA20,'NWC_FC_NON-NOOS'!$S$4:$S$23,0),FALSE)-CR20-SUM($BB20:BI20),0)</f>
        <v>0</v>
      </c>
      <c r="BK20" s="677">
        <f ca="1">IF(HLOOKUP(BK$4,'NWC_FC_NON-NOOS'!$S$4:$AH$23,MATCH($BA20,'NWC_FC_NON-NOOS'!$S$4:$S$23,0),FALSE)-CS20-SUM($BB20:BJ20)&gt;0,HLOOKUP(BK$4,'NWC_FC_NON-NOOS'!$S$4:$AH$23,MATCH($BA20,'NWC_FC_NON-NOOS'!$S$4:$S$23,0),FALSE)-CS20-SUM($BB20:BJ20),0)</f>
        <v>0</v>
      </c>
      <c r="BL20" s="677">
        <f ca="1">IF(HLOOKUP(BL$4,'NWC_FC_NON-NOOS'!$S$4:$AH$23,MATCH($BA20,'NWC_FC_NON-NOOS'!$S$4:$S$23,0),FALSE)-CT20-SUM($BB20:BK20)&gt;0,HLOOKUP(BL$4,'NWC_FC_NON-NOOS'!$S$4:$AH$23,MATCH($BA20,'NWC_FC_NON-NOOS'!$S$4:$S$23,0),FALSE)-CT20-SUM($BB20:BK20),0)</f>
        <v>0</v>
      </c>
      <c r="BM20" s="678"/>
      <c r="BN20" s="677">
        <f ca="1">IF(HLOOKUP(BN$4,'NWC_FC_NON-NOOS'!$S$4:$AH$23,MATCH($BA20,'NWC_FC_NON-NOOS'!$S$4:$S$23,0),FALSE)-CV20-SUM($BB20:BM20)&gt;0,HLOOKUP(BN$4,'NWC_FC_NON-NOOS'!$S$4:$AH$23,MATCH($BA20,'NWC_FC_NON-NOOS'!$S$4:$S$23,0),FALSE)-CV20-SUM($BB20:BM20),0)</f>
        <v>0</v>
      </c>
      <c r="BO20" s="677">
        <f ca="1">IF(HLOOKUP(BO$4,'NWC_FC_NON-NOOS'!$S$4:$AH$23,MATCH($BA20,'NWC_FC_NON-NOOS'!$S$4:$S$23,0),FALSE)-CW20-SUM($BB20:BN20)&gt;0,HLOOKUP(BO$4,'NWC_FC_NON-NOOS'!$S$4:$AH$23,MATCH($BA20,'NWC_FC_NON-NOOS'!$S$4:$S$23,0),FALSE)-CW20-SUM($BB20:BN20),0)</f>
        <v>0</v>
      </c>
      <c r="BP20" s="677">
        <f ca="1">IF(HLOOKUP(BP$4,'NWC_FC_NON-NOOS'!$S$4:$AH$23,MATCH($BA20,'NWC_FC_NON-NOOS'!$S$4:$S$23,0),FALSE)-CX20-SUM($BB20:BO20)&gt;0,HLOOKUP(BP$4,'NWC_FC_NON-NOOS'!$S$4:$AH$23,MATCH($BA20,'NWC_FC_NON-NOOS'!$S$4:$S$23,0),FALSE)-CX20-SUM($BB20:BO20),0)</f>
        <v>0</v>
      </c>
      <c r="BR20" s="575" t="str">
        <f t="shared" si="84"/>
        <v>TOPS</v>
      </c>
      <c r="BS20" s="678">
        <f ca="1">IF(BS$2=TIME!$E$5,SUMIFS(OPEN_ORDERS!$E:$E,OPEN_ORDERS!$B:$B,"&lt;="&amp;BS$2,OPEN_ORDERS!$C:$C,$BA20,OPEN_ORDERS!$D:$D,$BA$2)+SUMIFS(OPEN_ORDERS!$E:$E,OPEN_ORDERS!$B:$B,"IMMEDIATELY",OPEN_ORDERS!$C:$C,$BA20,OPEN_ORDERS!$D:$D,$BA$2),SUMIFS(OPEN_ORDERS!$E:$E,OPEN_ORDERS!$B:$B,BS$2,OPEN_ORDERS!$C:$C,$BA20,OPEN_ORDERS!$D:$D,$BA$2))</f>
        <v>86078</v>
      </c>
      <c r="BT20" s="677">
        <f ca="1">IF(BT$2=TIME!$E$5,SUMIFS(OPEN_ORDERS!$E:$E,OPEN_ORDERS!$B:$B,"&lt;="&amp;BT$2,OPEN_ORDERS!$C:$C,$BA20,OPEN_ORDERS!$D:$D,$BA$2)+SUMIFS(OPEN_ORDERS!$E:$E,OPEN_ORDERS!$B:$B,"IMMEDIATELY",OPEN_ORDERS!$C:$C,$BA20,OPEN_ORDERS!$D:$D,$BA$2),SUMIFS(OPEN_ORDERS!$E:$E,OPEN_ORDERS!$B:$B,BT$2,OPEN_ORDERS!$C:$C,$BA20,OPEN_ORDERS!$D:$D,$BA$2))</f>
        <v>67661</v>
      </c>
      <c r="BU20" s="677">
        <f ca="1">IF(BU$2=TIME!$E$5,SUMIFS(OPEN_ORDERS!$E:$E,OPEN_ORDERS!$B:$B,"&lt;="&amp;BU$2,OPEN_ORDERS!$C:$C,$BA20,OPEN_ORDERS!$D:$D,$BA$2)+SUMIFS(OPEN_ORDERS!$E:$E,OPEN_ORDERS!$B:$B,"IMMEDIATELY",OPEN_ORDERS!$C:$C,$BA20,OPEN_ORDERS!$D:$D,$BA$2),SUMIFS(OPEN_ORDERS!$E:$E,OPEN_ORDERS!$B:$B,BU$2,OPEN_ORDERS!$C:$C,$BA20,OPEN_ORDERS!$D:$D,$BA$2))</f>
        <v>266706</v>
      </c>
      <c r="BV20" s="678"/>
      <c r="BW20" s="677">
        <f ca="1">SUMIFS(OPEN_ORDERS!$E:$E,OPEN_ORDERS!$B:$B,BW$2,OPEN_ORDERS!$C:$C,$BA20,OPEN_ORDERS!$D:$D,$BA$2)</f>
        <v>44156</v>
      </c>
      <c r="BX20" s="677">
        <f ca="1">SUMIFS(OPEN_ORDERS!$E:$E,OPEN_ORDERS!$B:$B,BX$2,OPEN_ORDERS!$C:$C,$BA20,OPEN_ORDERS!$D:$D,$BA$2)</f>
        <v>20874</v>
      </c>
      <c r="BY20" s="677">
        <f ca="1">SUMIFS(OPEN_ORDERS!$E:$E,OPEN_ORDERS!$B:$B,BY$2,OPEN_ORDERS!$C:$C,$BA20,OPEN_ORDERS!$D:$D,$BA$2)</f>
        <v>0</v>
      </c>
      <c r="BZ20" s="678"/>
      <c r="CA20" s="677">
        <f ca="1">SUMIFS(OPEN_ORDERS!$E:$E,OPEN_ORDERS!$B:$B,CA$2,OPEN_ORDERS!$C:$C,$BA20,OPEN_ORDERS!$D:$D,$BA$2)</f>
        <v>0</v>
      </c>
      <c r="CB20" s="677">
        <f ca="1">SUMIFS(OPEN_ORDERS!$E:$E,OPEN_ORDERS!$B:$B,CB$2,OPEN_ORDERS!$C:$C,$BA20,OPEN_ORDERS!$D:$D,$BA$2)</f>
        <v>0</v>
      </c>
      <c r="CC20" s="677">
        <f ca="1">SUMIFS(OPEN_ORDERS!$E:$E,OPEN_ORDERS!$B:$B,CC$2,OPEN_ORDERS!$C:$C,$BA20,OPEN_ORDERS!$D:$D,$BA$2)</f>
        <v>0</v>
      </c>
      <c r="CD20" s="678"/>
      <c r="CE20" s="677">
        <f ca="1">SUMIFS(OPEN_ORDERS!$E:$E,OPEN_ORDERS!$B:$B,CE$2,OPEN_ORDERS!$C:$C,$BA20,OPEN_ORDERS!$D:$D,$BA$2)</f>
        <v>0</v>
      </c>
      <c r="CF20" s="677">
        <f ca="1">SUMIFS(OPEN_ORDERS!$E:$E,OPEN_ORDERS!$B:$B,CF$2,OPEN_ORDERS!$C:$C,$BA20,OPEN_ORDERS!$D:$D,$BA$2)</f>
        <v>0</v>
      </c>
      <c r="CG20" s="677">
        <f ca="1">SUMIFS(OPEN_ORDERS!$E:$E,OPEN_ORDERS!$B:$B,CG$2,OPEN_ORDERS!$C:$C,$BA20,OPEN_ORDERS!$D:$D,$BA$2)</f>
        <v>0</v>
      </c>
      <c r="CI20" s="1" t="str">
        <f t="shared" si="85"/>
        <v>TOPS</v>
      </c>
      <c r="CJ20" s="677">
        <f ca="1">IF($CJ$7="Aug",SUMIFS(HIS_STOCK!$F:$F,HIS_STOCK!$A:$A,$BA$2,HIS_STOCK!$C:$C,$CI20,HIS_STOCK!$D:$D,$CK$1,HIS_STOCK!$E:$E,$CL$1)+BS20-(AK20*1000)-T20-HLOOKUP($CJ$4,'NWC_FC_NON-NOOS'!$C$50:$U$69,MATCH($CI20,'NWC_FC_NON-NOOS'!$B$50:$B$69,0),FALSE),IF($CJ$2=TIME!$E$5,SUMIFS(HIS_STOCK!$F:$F,HIS_STOCK!$A:$A,$BA$2,HIS_STOCK!$C:$C,$CI20,HIS_STOCK!$D:$D,$CJ$5,HIS_STOCK!$E:$E,$CL$1)+BS20-(AK20*1000)-T20-HLOOKUP($CJ$4,'NWC_FC_NON-NOOS'!$C$50:$U$69,MATCH($CI20,'NWC_FC_NON-NOOS'!$B$50:$B$69,0),FALSE),SUMIFS(HIS_STOCK!$F:$F,HIS_STOCK!$A:$A,$BA$2,HIS_STOCK!$C:$C,$CI20,HIS_STOCK!$D:$D,$CJ$5,HIS_STOCK!$E:$E,CJ$7)))</f>
        <v>0</v>
      </c>
      <c r="CK20" s="677">
        <f ca="1">IF(SUMIFS(HIS_STOCK!$F:$F,HIS_STOCK!$A:$A,$BA$2,HIS_STOCK!$C:$C,$CI20,HIS_STOCK!$D:$D,$CJ$5,HIS_STOCK!$E:$E,CK$7)&lt;&gt;0,SUMIFS(HIS_STOCK!$F:$F,HIS_STOCK!$A:$A,$BA$2,HIS_STOCK!$C:$C,$CI20,HIS_STOCK!$D:$D,$CJ$5,HIS_STOCK!$E:$E,CK$7)-(AL20*1000),CJ20+BT20+((AK20-AL20)*1000)-U20-HLOOKUP(BT$4,'NWC_FC_NON-NOOS'!$C$50:$U$69,MATCH(PLANNING_FC!$BR20,'NWC_FC_NON-NOOS'!$B$50:$B$69,0),FALSE))</f>
        <v>67661</v>
      </c>
      <c r="CL20" s="677">
        <f ca="1">IF(SUMIFS(HIS_STOCK!$F:$F,HIS_STOCK!$A:$A,$BA$2,HIS_STOCK!$C:$C,$CI20,HIS_STOCK!$D:$D,$CJ$5,HIS_STOCK!$E:$E,CL$7)&lt;&gt;0,SUMIFS(HIS_STOCK!$F:$F,HIS_STOCK!$A:$A,$BA$2,HIS_STOCK!$C:$C,$CI20,HIS_STOCK!$D:$D,$CJ$5,HIS_STOCK!$E:$E,CL$7)-(AM20*1000),CK20+BU20+((AL20-AM20)*1000)-V20-HLOOKUP(BU$4,'NWC_FC_NON-NOOS'!$C$50:$U$69,MATCH(PLANNING_FC!$BR20,'NWC_FC_NON-NOOS'!$B$50:$B$69,0),FALSE))</f>
        <v>334367</v>
      </c>
      <c r="CM20" s="678"/>
      <c r="CN20" s="677">
        <f ca="1">CL20+BW20+((AM20-AO20)*1000)-X20-HLOOKUP(CN$4,'NWC_FC_NON-NOOS'!$C$50:$U$69,MATCH(PLANNING_FC!$BR20,'NWC_FC_NON-NOOS'!$B$50:$B$69,0),FALSE)</f>
        <v>378523</v>
      </c>
      <c r="CO20" s="677">
        <f ca="1">CN20+BX20+((AO20-AP20)*1000)-Y20-HLOOKUP(CO$4,'NWC_FC_NON-NOOS'!$C$50:$U$69,MATCH(PLANNING_FC!$BR20,'NWC_FC_NON-NOOS'!$B$50:$B$69,0),FALSE)</f>
        <v>399397</v>
      </c>
      <c r="CP20" s="677">
        <f ca="1">CO20+BY20+((AP20-AQ20)*1000)-Z20-HLOOKUP(CP$4,'NWC_FC_NON-NOOS'!$C$50:$U$69,MATCH(PLANNING_FC!$BR20,'NWC_FC_NON-NOOS'!$B$50:$B$69,0),FALSE)</f>
        <v>399397</v>
      </c>
      <c r="CQ20" s="678"/>
      <c r="CR20" s="677">
        <f ca="1">CP20+CA20+((AQ20-AS20)*1000)-AB20-HLOOKUP(CR$4,'NWC_FC_NON-NOOS'!$C$50:$U$69,MATCH(PLANNING_FC!$BR20,'NWC_FC_NON-NOOS'!$B$50:$B$69,0),FALSE)</f>
        <v>399397</v>
      </c>
      <c r="CS20" s="677">
        <f ca="1">CR20+CB20+((AS20-AT20)*1000)-AC20-HLOOKUP(CS$4,'NWC_FC_NON-NOOS'!$C$50:$U$69,MATCH(PLANNING_FC!$BR20,'NWC_FC_NON-NOOS'!$B$50:$B$69,0),FALSE)</f>
        <v>399397</v>
      </c>
      <c r="CT20" s="677">
        <f ca="1">CS20+CC20+((AT20-AU20)*1000)-AD20-HLOOKUP(CT$4,'NWC_FC_NON-NOOS'!$C$50:$U$69,MATCH(PLANNING_FC!$BR20,'NWC_FC_NON-NOOS'!$B$50:$B$69,0),FALSE)</f>
        <v>399397</v>
      </c>
      <c r="CU20" s="678"/>
      <c r="CV20" s="677">
        <f ca="1">CT20+CE20+((AU20-AW20)*1000)-AF20-HLOOKUP(CV$4,'NWC_FC_NON-NOOS'!$C$50:$U$69,MATCH(PLANNING_FC!$BR20,'NWC_FC_NON-NOOS'!$B$50:$B$69,0),FALSE)</f>
        <v>399397</v>
      </c>
      <c r="CW20" s="677">
        <f ca="1">CV20+CF20+((AW20-AX20)*1000)-AG20-HLOOKUP(CW$4,'NWC_FC_NON-NOOS'!$C$50:$U$69,MATCH(PLANNING_FC!$BR20,'NWC_FC_NON-NOOS'!$B$50:$B$69,0),FALSE)</f>
        <v>399397</v>
      </c>
      <c r="CX20" s="677">
        <f ca="1">CW20+CG20+((AX20-AY20)*1000)-AH20-HLOOKUP(CX$4,'NWC_FC_NON-NOOS'!$C$50:$U$69,MATCH(PLANNING_FC!$BR20,'NWC_FC_NON-NOOS'!$B$50:$B$69,0),FALSE)</f>
        <v>399397</v>
      </c>
      <c r="CY20" s="746"/>
      <c r="CZ20" s="575" t="str">
        <f t="shared" si="86"/>
        <v>TOPS</v>
      </c>
      <c r="DA20" s="677">
        <f ca="1">IF(STOCK_OVERVIEW!C$41="ACT",SUMIFS(HIS_STOCK!$F:$F,HIS_STOCK!$A:$A,PLANNING_FC!$BA$2,HIS_STOCK!$C:$C,PLANNING_FC!$CZ20,HIS_STOCK!$D:$D,PLANNING_FC!$DA$5,HIS_STOCK!$E:$E,PLANNING_FC!DA$7),CJ20+SUM($BB20:BB20))</f>
        <v>0</v>
      </c>
      <c r="DB20" s="677">
        <f ca="1">IF(STOCK_OVERVIEW!D$41="ACT",SUMIFS(HIS_STOCK!$F:$F,HIS_STOCK!$A:$A,PLANNING_FC!$BA$2,HIS_STOCK!$C:$C,PLANNING_FC!$CZ20,HIS_STOCK!$D:$D,PLANNING_FC!$DA$5,HIS_STOCK!$E:$E,PLANNING_FC!DB$7),CK20+SUM($BB20:BC20))</f>
        <v>0</v>
      </c>
      <c r="DC20" s="677">
        <f ca="1">CL20+SUM($BB20:BD20)</f>
        <v>334367</v>
      </c>
      <c r="DD20" s="678"/>
      <c r="DE20" s="677">
        <f ca="1">CN20+SUM($BB20:BF20)</f>
        <v>378523</v>
      </c>
      <c r="DF20" s="677">
        <f ca="1">CO20+SUM($BB20:BG20)</f>
        <v>399397</v>
      </c>
      <c r="DG20" s="677">
        <f ca="1">CP20+SUM($BB20:BH20)</f>
        <v>399397</v>
      </c>
      <c r="DH20" s="678"/>
      <c r="DI20" s="677">
        <f ca="1">CR20+SUM($BB20:BJ20)</f>
        <v>399397</v>
      </c>
      <c r="DJ20" s="677">
        <f ca="1">CS20+SUM($BB20:BK20)</f>
        <v>399397</v>
      </c>
      <c r="DK20" s="677">
        <f ca="1">CT20+SUM($BB20:BL20)</f>
        <v>399397</v>
      </c>
      <c r="DL20" s="678"/>
      <c r="DM20" s="677">
        <f ca="1">CV20+SUM($BB20:BN20)</f>
        <v>399397</v>
      </c>
      <c r="DN20" s="677">
        <f ca="1">CW20+SUM($BB20:BO20)</f>
        <v>399397</v>
      </c>
      <c r="DO20" s="677">
        <f ca="1">CX20+SUM($BB20:BP20)</f>
        <v>399397</v>
      </c>
      <c r="DQ20" s="575" t="str">
        <f t="shared" si="87"/>
        <v>TOPS</v>
      </c>
      <c r="DR20" s="677">
        <f ca="1">IF($DT$7="Aug",SUMIFS(HIS_STOCK!$F:$F,HIS_STOCK!$A:$A,$BA$2,HIS_STOCK!$C:$C,$DQ20,HIS_STOCK!$D:$D,$DR$4,HIS_STOCK!$E:$E,$DR$7),SUMIFS(HIS_STOCK!$F:$F,HIS_STOCK!$A:$A,$BA$2,HIS_STOCK!$C:$C,$DQ20,HIS_STOCK!$D:$D,$DR$5,HIS_STOCK!$E:$E,$DR$7))</f>
        <v>0</v>
      </c>
      <c r="DS20" s="677"/>
      <c r="DT20" s="677">
        <f ca="1">'NWC_FC_NON-NOOS'!T20</f>
        <v>0</v>
      </c>
      <c r="DU20" s="677">
        <f ca="1">'NWC_FC_NON-NOOS'!U20</f>
        <v>0</v>
      </c>
      <c r="DV20" s="677">
        <f ca="1">'NWC_FC_NON-NOOS'!V20</f>
        <v>0</v>
      </c>
      <c r="DW20" s="678"/>
      <c r="DX20" s="677">
        <f ca="1">'NWC_FC_NON-NOOS'!X20</f>
        <v>0</v>
      </c>
      <c r="DY20" s="677">
        <f ca="1">'NWC_FC_NON-NOOS'!Y20</f>
        <v>0</v>
      </c>
      <c r="DZ20" s="677">
        <f ca="1">'NWC_FC_NON-NOOS'!Z20</f>
        <v>0</v>
      </c>
      <c r="EA20" s="678"/>
      <c r="EB20" s="677">
        <f ca="1">'NWC_FC_NON-NOOS'!AB20</f>
        <v>0</v>
      </c>
      <c r="EC20" s="677">
        <f ca="1">'NWC_FC_NON-NOOS'!AC20</f>
        <v>0</v>
      </c>
      <c r="ED20" s="677">
        <f ca="1">'NWC_FC_NON-NOOS'!AD20</f>
        <v>0</v>
      </c>
      <c r="EE20" s="678"/>
      <c r="EF20" s="677">
        <f ca="1">'NWC_FC_NON-NOOS'!AF20</f>
        <v>0</v>
      </c>
      <c r="EG20" s="677">
        <f ca="1">'NWC_FC_NON-NOOS'!AG20</f>
        <v>0</v>
      </c>
      <c r="EH20" s="677">
        <f ca="1">'NWC_FC_NON-NOOS'!AH20</f>
        <v>0</v>
      </c>
    </row>
    <row r="21" spans="1:138" x14ac:dyDescent="0.25">
      <c r="B21" s="575" t="str">
        <f>'NWC_FC_NON-NOOS'!B21</f>
        <v>T-SHIRTS</v>
      </c>
      <c r="C21" s="802"/>
      <c r="D21" s="761"/>
      <c r="E21" s="761"/>
      <c r="F21" s="761"/>
      <c r="G21" s="613"/>
      <c r="H21" s="761"/>
      <c r="I21" s="761"/>
      <c r="J21" s="761"/>
      <c r="K21" s="613"/>
      <c r="L21" s="761"/>
      <c r="M21" s="761"/>
      <c r="N21" s="761"/>
      <c r="O21" s="613"/>
      <c r="P21" s="761"/>
      <c r="Q21" s="761"/>
      <c r="R21" s="761"/>
      <c r="T21" s="675">
        <f t="shared" ca="1" si="70"/>
        <v>0</v>
      </c>
      <c r="U21" s="675">
        <f t="shared" ca="1" si="71"/>
        <v>0</v>
      </c>
      <c r="V21" s="675">
        <f t="shared" ca="1" si="72"/>
        <v>0</v>
      </c>
      <c r="W21" s="675"/>
      <c r="X21" s="675">
        <f t="shared" ca="1" si="73"/>
        <v>0</v>
      </c>
      <c r="Y21" s="675">
        <f t="shared" ca="1" si="74"/>
        <v>0</v>
      </c>
      <c r="Z21" s="675">
        <f t="shared" ca="1" si="75"/>
        <v>0</v>
      </c>
      <c r="AA21" s="675"/>
      <c r="AB21" s="675">
        <f t="shared" ca="1" si="76"/>
        <v>0</v>
      </c>
      <c r="AC21" s="675">
        <f t="shared" ca="1" si="77"/>
        <v>0</v>
      </c>
      <c r="AD21" s="675">
        <f t="shared" ca="1" si="78"/>
        <v>0</v>
      </c>
      <c r="AE21" s="675"/>
      <c r="AF21" s="675">
        <f t="shared" ca="1" si="79"/>
        <v>0</v>
      </c>
      <c r="AG21" s="675">
        <f t="shared" ca="1" si="80"/>
        <v>0</v>
      </c>
      <c r="AH21" s="675">
        <f t="shared" ca="1" si="81"/>
        <v>0</v>
      </c>
      <c r="AI21" s="675"/>
      <c r="AJ21" s="575" t="str">
        <f t="shared" si="83"/>
        <v>T-SHIRTS</v>
      </c>
      <c r="AK21" s="761"/>
      <c r="AL21" s="761"/>
      <c r="AM21" s="761"/>
      <c r="AN21" s="613"/>
      <c r="AO21" s="761"/>
      <c r="AP21" s="761"/>
      <c r="AQ21" s="761"/>
      <c r="AR21" s="613"/>
      <c r="AS21" s="761"/>
      <c r="AT21" s="761"/>
      <c r="AU21" s="761"/>
      <c r="AV21" s="613"/>
      <c r="AW21" s="761"/>
      <c r="AX21" s="761"/>
      <c r="AY21" s="761"/>
      <c r="BA21" s="575" t="str">
        <f t="shared" si="82"/>
        <v>T-SHIRTS</v>
      </c>
      <c r="BB21" s="677">
        <f ca="1">MAX(IF(ISNA(VLOOKUP($BB$4,TIME!$M$40:$M$42,1,FALSE)),0,HLOOKUP(BB$4,'NWC_FC_NON-NOOS'!$S$4:$AH$23,MATCH($BA21,'NWC_FC_NON-NOOS'!$S$4:$S$23,0),FALSE)-CJ21),0)</f>
        <v>0</v>
      </c>
      <c r="BC21" s="677">
        <f ca="1">IF(ISNA(VLOOKUP(BC$4,TIME!$M$40:$M$42,1,FALSE)),0,IF(HLOOKUP(BC$4,'NWC_FC_NON-NOOS'!$S$4:$AH$23,MATCH($BA21,'NWC_FC_NON-NOOS'!$S$4:$S$23,0),FALSE)-CK21-SUM($BB21:BB21)&gt;0,HLOOKUP(BC$4,'NWC_FC_NON-NOOS'!$S$4:$AH$23,MATCH($BA21,'NWC_FC_NON-NOOS'!$S$4:$S$23,0),FALSE)-CK21-SUM($BB21:BB21),0))</f>
        <v>0</v>
      </c>
      <c r="BD21" s="677">
        <f ca="1">IF(ISNA(VLOOKUP(BD$4,TIME!$M$40:$M$42,1,FALSE)),0,IF(HLOOKUP(BD$4,'NWC_FC_NON-NOOS'!$S$4:$AH$23,MATCH($BA21,'NWC_FC_NON-NOOS'!$S$4:$S$23,0),FALSE)-CL21-SUM($BB21:BC21)&gt;0,HLOOKUP(BD$4,'NWC_FC_NON-NOOS'!$S$4:$AH$23,MATCH($BA21,'NWC_FC_NON-NOOS'!$S$4:$S$23,0),FALSE)-CL21-SUM($BB21:BC21),0))</f>
        <v>0</v>
      </c>
      <c r="BE21" s="678"/>
      <c r="BF21" s="677">
        <f ca="1">IF(HLOOKUP(BF$4,'NWC_FC_NON-NOOS'!$S$4:$AH$23,MATCH($BA21,'NWC_FC_NON-NOOS'!$S$4:$S$23,0),FALSE)-CN21-SUM($BB21:BE21)&gt;0,HLOOKUP(BF$4,'NWC_FC_NON-NOOS'!$S$4:$AH$23,MATCH($BA21,'NWC_FC_NON-NOOS'!$S$4:$S$23,0),FALSE)-CN21-SUM($BB21:BE21),0)</f>
        <v>0</v>
      </c>
      <c r="BG21" s="677">
        <f ca="1">IF(HLOOKUP(BG$4,'NWC_FC_NON-NOOS'!$S$4:$AH$23,MATCH($BA21,'NWC_FC_NON-NOOS'!$S$4:$S$23,0),FALSE)-CO21-SUM($BB21:BF21)&gt;0,HLOOKUP(BG$4,'NWC_FC_NON-NOOS'!$S$4:$AH$23,MATCH($BA21,'NWC_FC_NON-NOOS'!$S$4:$S$23,0),FALSE)-CO21-SUM($BB21:BF21),0)</f>
        <v>0</v>
      </c>
      <c r="BH21" s="677">
        <f ca="1">IF(HLOOKUP(BH$4,'NWC_FC_NON-NOOS'!$S$4:$AH$23,MATCH($BA21,'NWC_FC_NON-NOOS'!$S$4:$S$23,0),FALSE)-CP21-SUM($BB21:BG21)&gt;0,HLOOKUP(BH$4,'NWC_FC_NON-NOOS'!$S$4:$AH$23,MATCH($BA21,'NWC_FC_NON-NOOS'!$S$4:$S$23,0),FALSE)-CP21-SUM($BB21:BG21),0)</f>
        <v>0</v>
      </c>
      <c r="BI21" s="678"/>
      <c r="BJ21" s="677">
        <f ca="1">IF(HLOOKUP(BJ$4,'NWC_FC_NON-NOOS'!$S$4:$AH$23,MATCH($BA21,'NWC_FC_NON-NOOS'!$S$4:$S$23,0),FALSE)-CR21-SUM($BB21:BI21)&gt;0,HLOOKUP(BJ$4,'NWC_FC_NON-NOOS'!$S$4:$AH$23,MATCH($BA21,'NWC_FC_NON-NOOS'!$S$4:$S$23,0),FALSE)-CR21-SUM($BB21:BI21),0)</f>
        <v>0</v>
      </c>
      <c r="BK21" s="677">
        <f ca="1">IF(HLOOKUP(BK$4,'NWC_FC_NON-NOOS'!$S$4:$AH$23,MATCH($BA21,'NWC_FC_NON-NOOS'!$S$4:$S$23,0),FALSE)-CS21-SUM($BB21:BJ21)&gt;0,HLOOKUP(BK$4,'NWC_FC_NON-NOOS'!$S$4:$AH$23,MATCH($BA21,'NWC_FC_NON-NOOS'!$S$4:$S$23,0),FALSE)-CS21-SUM($BB21:BJ21),0)</f>
        <v>0</v>
      </c>
      <c r="BL21" s="677">
        <f ca="1">IF(HLOOKUP(BL$4,'NWC_FC_NON-NOOS'!$S$4:$AH$23,MATCH($BA21,'NWC_FC_NON-NOOS'!$S$4:$S$23,0),FALSE)-CT21-SUM($BB21:BK21)&gt;0,HLOOKUP(BL$4,'NWC_FC_NON-NOOS'!$S$4:$AH$23,MATCH($BA21,'NWC_FC_NON-NOOS'!$S$4:$S$23,0),FALSE)-CT21-SUM($BB21:BK21),0)</f>
        <v>0</v>
      </c>
      <c r="BM21" s="678"/>
      <c r="BN21" s="677">
        <f ca="1">IF(HLOOKUP(BN$4,'NWC_FC_NON-NOOS'!$S$4:$AH$23,MATCH($BA21,'NWC_FC_NON-NOOS'!$S$4:$S$23,0),FALSE)-CV21-SUM($BB21:BM21)&gt;0,HLOOKUP(BN$4,'NWC_FC_NON-NOOS'!$S$4:$AH$23,MATCH($BA21,'NWC_FC_NON-NOOS'!$S$4:$S$23,0),FALSE)-CV21-SUM($BB21:BM21),0)</f>
        <v>0</v>
      </c>
      <c r="BO21" s="677">
        <f ca="1">IF(HLOOKUP(BO$4,'NWC_FC_NON-NOOS'!$S$4:$AH$23,MATCH($BA21,'NWC_FC_NON-NOOS'!$S$4:$S$23,0),FALSE)-CW21-SUM($BB21:BN21)&gt;0,HLOOKUP(BO$4,'NWC_FC_NON-NOOS'!$S$4:$AH$23,MATCH($BA21,'NWC_FC_NON-NOOS'!$S$4:$S$23,0),FALSE)-CW21-SUM($BB21:BN21),0)</f>
        <v>0</v>
      </c>
      <c r="BP21" s="677">
        <f ca="1">IF(HLOOKUP(BP$4,'NWC_FC_NON-NOOS'!$S$4:$AH$23,MATCH($BA21,'NWC_FC_NON-NOOS'!$S$4:$S$23,0),FALSE)-CX21-SUM($BB21:BO21)&gt;0,HLOOKUP(BP$4,'NWC_FC_NON-NOOS'!$S$4:$AH$23,MATCH($BA21,'NWC_FC_NON-NOOS'!$S$4:$S$23,0),FALSE)-CX21-SUM($BB21:BO21),0)</f>
        <v>0</v>
      </c>
      <c r="BR21" s="575" t="str">
        <f t="shared" si="84"/>
        <v>T-SHIRTS</v>
      </c>
      <c r="BS21" s="678">
        <f ca="1">IF(BS$2=TIME!$E$5,SUMIFS(OPEN_ORDERS!$E:$E,OPEN_ORDERS!$B:$B,"&lt;="&amp;BS$2,OPEN_ORDERS!$C:$C,$BA21,OPEN_ORDERS!$D:$D,$BA$2)+SUMIFS(OPEN_ORDERS!$E:$E,OPEN_ORDERS!$B:$B,"IMMEDIATELY",OPEN_ORDERS!$C:$C,$BA21,OPEN_ORDERS!$D:$D,$BA$2),SUMIFS(OPEN_ORDERS!$E:$E,OPEN_ORDERS!$B:$B,BS$2,OPEN_ORDERS!$C:$C,$BA21,OPEN_ORDERS!$D:$D,$BA$2))</f>
        <v>17865</v>
      </c>
      <c r="BT21" s="677">
        <f ca="1">IF(BT$2=TIME!$E$5,SUMIFS(OPEN_ORDERS!$E:$E,OPEN_ORDERS!$B:$B,"&lt;="&amp;BT$2,OPEN_ORDERS!$C:$C,$BA21,OPEN_ORDERS!$D:$D,$BA$2)+SUMIFS(OPEN_ORDERS!$E:$E,OPEN_ORDERS!$B:$B,"IMMEDIATELY",OPEN_ORDERS!$C:$C,$BA21,OPEN_ORDERS!$D:$D,$BA$2),SUMIFS(OPEN_ORDERS!$E:$E,OPEN_ORDERS!$B:$B,BT$2,OPEN_ORDERS!$C:$C,$BA21,OPEN_ORDERS!$D:$D,$BA$2))</f>
        <v>23031</v>
      </c>
      <c r="BU21" s="677">
        <f ca="1">IF(BU$2=TIME!$E$5,SUMIFS(OPEN_ORDERS!$E:$E,OPEN_ORDERS!$B:$B,"&lt;="&amp;BU$2,OPEN_ORDERS!$C:$C,$BA21,OPEN_ORDERS!$D:$D,$BA$2)+SUMIFS(OPEN_ORDERS!$E:$E,OPEN_ORDERS!$B:$B,"IMMEDIATELY",OPEN_ORDERS!$C:$C,$BA21,OPEN_ORDERS!$D:$D,$BA$2),SUMIFS(OPEN_ORDERS!$E:$E,OPEN_ORDERS!$B:$B,BU$2,OPEN_ORDERS!$C:$C,$BA21,OPEN_ORDERS!$D:$D,$BA$2))</f>
        <v>107473</v>
      </c>
      <c r="BV21" s="678"/>
      <c r="BW21" s="677">
        <f ca="1">SUMIFS(OPEN_ORDERS!$E:$E,OPEN_ORDERS!$B:$B,BW$2,OPEN_ORDERS!$C:$C,$BA21,OPEN_ORDERS!$D:$D,$BA$2)</f>
        <v>10808</v>
      </c>
      <c r="BX21" s="677">
        <f ca="1">SUMIFS(OPEN_ORDERS!$E:$E,OPEN_ORDERS!$B:$B,BX$2,OPEN_ORDERS!$C:$C,$BA21,OPEN_ORDERS!$D:$D,$BA$2)</f>
        <v>3453</v>
      </c>
      <c r="BY21" s="677">
        <f ca="1">SUMIFS(OPEN_ORDERS!$E:$E,OPEN_ORDERS!$B:$B,BY$2,OPEN_ORDERS!$C:$C,$BA21,OPEN_ORDERS!$D:$D,$BA$2)</f>
        <v>0</v>
      </c>
      <c r="BZ21" s="678"/>
      <c r="CA21" s="677">
        <f ca="1">SUMIFS(OPEN_ORDERS!$E:$E,OPEN_ORDERS!$B:$B,CA$2,OPEN_ORDERS!$C:$C,$BA21,OPEN_ORDERS!$D:$D,$BA$2)</f>
        <v>0</v>
      </c>
      <c r="CB21" s="677">
        <f ca="1">SUMIFS(OPEN_ORDERS!$E:$E,OPEN_ORDERS!$B:$B,CB$2,OPEN_ORDERS!$C:$C,$BA21,OPEN_ORDERS!$D:$D,$BA$2)</f>
        <v>0</v>
      </c>
      <c r="CC21" s="677">
        <f ca="1">SUMIFS(OPEN_ORDERS!$E:$E,OPEN_ORDERS!$B:$B,CC$2,OPEN_ORDERS!$C:$C,$BA21,OPEN_ORDERS!$D:$D,$BA$2)</f>
        <v>0</v>
      </c>
      <c r="CD21" s="678"/>
      <c r="CE21" s="677">
        <f ca="1">SUMIFS(OPEN_ORDERS!$E:$E,OPEN_ORDERS!$B:$B,CE$2,OPEN_ORDERS!$C:$C,$BA21,OPEN_ORDERS!$D:$D,$BA$2)</f>
        <v>0</v>
      </c>
      <c r="CF21" s="677">
        <f ca="1">SUMIFS(OPEN_ORDERS!$E:$E,OPEN_ORDERS!$B:$B,CF$2,OPEN_ORDERS!$C:$C,$BA21,OPEN_ORDERS!$D:$D,$BA$2)</f>
        <v>0</v>
      </c>
      <c r="CG21" s="677">
        <f ca="1">SUMIFS(OPEN_ORDERS!$E:$E,OPEN_ORDERS!$B:$B,CG$2,OPEN_ORDERS!$C:$C,$BA21,OPEN_ORDERS!$D:$D,$BA$2)</f>
        <v>0</v>
      </c>
      <c r="CI21" s="1" t="str">
        <f t="shared" si="85"/>
        <v>T-SHIRTS</v>
      </c>
      <c r="CJ21" s="677">
        <f ca="1">IF($CJ$7="Aug",SUMIFS(HIS_STOCK!$F:$F,HIS_STOCK!$A:$A,$BA$2,HIS_STOCK!$C:$C,$CI21,HIS_STOCK!$D:$D,$CK$1,HIS_STOCK!$E:$E,$CL$1)+BS21-(AK21*1000)-T21-HLOOKUP($CJ$4,'NWC_FC_NON-NOOS'!$C$50:$U$69,MATCH($CI21,'NWC_FC_NON-NOOS'!$B$50:$B$69,0),FALSE),IF($CJ$2=TIME!$E$5,SUMIFS(HIS_STOCK!$F:$F,HIS_STOCK!$A:$A,$BA$2,HIS_STOCK!$C:$C,$CI21,HIS_STOCK!$D:$D,$CJ$5,HIS_STOCK!$E:$E,$CL$1)+BS21-(AK21*1000)-T21-HLOOKUP($CJ$4,'NWC_FC_NON-NOOS'!$C$50:$U$69,MATCH($CI21,'NWC_FC_NON-NOOS'!$B$50:$B$69,0),FALSE),SUMIFS(HIS_STOCK!$F:$F,HIS_STOCK!$A:$A,$BA$2,HIS_STOCK!$C:$C,$CI21,HIS_STOCK!$D:$D,$CJ$5,HIS_STOCK!$E:$E,CJ$7)))</f>
        <v>0</v>
      </c>
      <c r="CK21" s="677">
        <f ca="1">IF(SUMIFS(HIS_STOCK!$F:$F,HIS_STOCK!$A:$A,$BA$2,HIS_STOCK!$C:$C,$CI21,HIS_STOCK!$D:$D,$CJ$5,HIS_STOCK!$E:$E,CK$7)&lt;&gt;0,SUMIFS(HIS_STOCK!$F:$F,HIS_STOCK!$A:$A,$BA$2,HIS_STOCK!$C:$C,$CI21,HIS_STOCK!$D:$D,$CJ$5,HIS_STOCK!$E:$E,CK$7)-(AL21*1000),CJ21+BT21+((AK21-AL21)*1000)-U21-HLOOKUP(BT$4,'NWC_FC_NON-NOOS'!$C$50:$U$69,MATCH(PLANNING_FC!$BR21,'NWC_FC_NON-NOOS'!$B$50:$B$69,0),FALSE))</f>
        <v>23031</v>
      </c>
      <c r="CL21" s="677">
        <f ca="1">IF(SUMIFS(HIS_STOCK!$F:$F,HIS_STOCK!$A:$A,$BA$2,HIS_STOCK!$C:$C,$CI21,HIS_STOCK!$D:$D,$CJ$5,HIS_STOCK!$E:$E,CL$7)&lt;&gt;0,SUMIFS(HIS_STOCK!$F:$F,HIS_STOCK!$A:$A,$BA$2,HIS_STOCK!$C:$C,$CI21,HIS_STOCK!$D:$D,$CJ$5,HIS_STOCK!$E:$E,CL$7)-(AM21*1000),CK21+BU21+((AL21-AM21)*1000)-V21-HLOOKUP(BU$4,'NWC_FC_NON-NOOS'!$C$50:$U$69,MATCH(PLANNING_FC!$BR21,'NWC_FC_NON-NOOS'!$B$50:$B$69,0),FALSE))</f>
        <v>130504</v>
      </c>
      <c r="CM21" s="678"/>
      <c r="CN21" s="677">
        <f ca="1">CL21+BW21+((AM21-AO21)*1000)-X21-HLOOKUP(CN$4,'NWC_FC_NON-NOOS'!$C$50:$U$69,MATCH(PLANNING_FC!$BR21,'NWC_FC_NON-NOOS'!$B$50:$B$69,0),FALSE)</f>
        <v>141312</v>
      </c>
      <c r="CO21" s="677">
        <f ca="1">CN21+BX21+((AO21-AP21)*1000)-Y21-HLOOKUP(CO$4,'NWC_FC_NON-NOOS'!$C$50:$U$69,MATCH(PLANNING_FC!$BR21,'NWC_FC_NON-NOOS'!$B$50:$B$69,0),FALSE)</f>
        <v>144765</v>
      </c>
      <c r="CP21" s="677">
        <f ca="1">CO21+BY21+((AP21-AQ21)*1000)-Z21-HLOOKUP(CP$4,'NWC_FC_NON-NOOS'!$C$50:$U$69,MATCH(PLANNING_FC!$BR21,'NWC_FC_NON-NOOS'!$B$50:$B$69,0),FALSE)</f>
        <v>144765</v>
      </c>
      <c r="CQ21" s="678"/>
      <c r="CR21" s="677">
        <f ca="1">CP21+CA21+((AQ21-AS21)*1000)-AB21-HLOOKUP(CR$4,'NWC_FC_NON-NOOS'!$C$50:$U$69,MATCH(PLANNING_FC!$BR21,'NWC_FC_NON-NOOS'!$B$50:$B$69,0),FALSE)</f>
        <v>144765</v>
      </c>
      <c r="CS21" s="677">
        <f ca="1">CR21+CB21+((AS21-AT21)*1000)-AC21-HLOOKUP(CS$4,'NWC_FC_NON-NOOS'!$C$50:$U$69,MATCH(PLANNING_FC!$BR21,'NWC_FC_NON-NOOS'!$B$50:$B$69,0),FALSE)</f>
        <v>144765</v>
      </c>
      <c r="CT21" s="677">
        <f ca="1">CS21+CC21+((AT21-AU21)*1000)-AD21-HLOOKUP(CT$4,'NWC_FC_NON-NOOS'!$C$50:$U$69,MATCH(PLANNING_FC!$BR21,'NWC_FC_NON-NOOS'!$B$50:$B$69,0),FALSE)</f>
        <v>144765</v>
      </c>
      <c r="CU21" s="678"/>
      <c r="CV21" s="677">
        <f ca="1">CT21+CE21+((AU21-AW21)*1000)-AF21-HLOOKUP(CV$4,'NWC_FC_NON-NOOS'!$C$50:$U$69,MATCH(PLANNING_FC!$BR21,'NWC_FC_NON-NOOS'!$B$50:$B$69,0),FALSE)</f>
        <v>144765</v>
      </c>
      <c r="CW21" s="677">
        <f ca="1">CV21+CF21+((AW21-AX21)*1000)-AG21-HLOOKUP(CW$4,'NWC_FC_NON-NOOS'!$C$50:$U$69,MATCH(PLANNING_FC!$BR21,'NWC_FC_NON-NOOS'!$B$50:$B$69,0),FALSE)</f>
        <v>144765</v>
      </c>
      <c r="CX21" s="677">
        <f ca="1">CW21+CG21+((AX21-AY21)*1000)-AH21-HLOOKUP(CX$4,'NWC_FC_NON-NOOS'!$C$50:$U$69,MATCH(PLANNING_FC!$BR21,'NWC_FC_NON-NOOS'!$B$50:$B$69,0),FALSE)</f>
        <v>144765</v>
      </c>
      <c r="CY21" s="746"/>
      <c r="CZ21" s="575" t="str">
        <f t="shared" si="86"/>
        <v>T-SHIRTS</v>
      </c>
      <c r="DA21" s="677">
        <f ca="1">IF(STOCK_OVERVIEW!C$41="ACT",SUMIFS(HIS_STOCK!$F:$F,HIS_STOCK!$A:$A,PLANNING_FC!$BA$2,HIS_STOCK!$C:$C,PLANNING_FC!$CZ21,HIS_STOCK!$D:$D,PLANNING_FC!$DA$5,HIS_STOCK!$E:$E,PLANNING_FC!DA$7),CJ21+SUM($BB21:BB21))</f>
        <v>0</v>
      </c>
      <c r="DB21" s="677">
        <f ca="1">IF(STOCK_OVERVIEW!D$41="ACT",SUMIFS(HIS_STOCK!$F:$F,HIS_STOCK!$A:$A,PLANNING_FC!$BA$2,HIS_STOCK!$C:$C,PLANNING_FC!$CZ21,HIS_STOCK!$D:$D,PLANNING_FC!$DA$5,HIS_STOCK!$E:$E,PLANNING_FC!DB$7),CK21+SUM($BB21:BC21))</f>
        <v>0</v>
      </c>
      <c r="DC21" s="677">
        <f ca="1">CL21+SUM($BB21:BD21)</f>
        <v>130504</v>
      </c>
      <c r="DD21" s="678"/>
      <c r="DE21" s="677">
        <f ca="1">CN21+SUM($BB21:BF21)</f>
        <v>141312</v>
      </c>
      <c r="DF21" s="677">
        <f ca="1">CO21+SUM($BB21:BG21)</f>
        <v>144765</v>
      </c>
      <c r="DG21" s="677">
        <f ca="1">CP21+SUM($BB21:BH21)</f>
        <v>144765</v>
      </c>
      <c r="DH21" s="678"/>
      <c r="DI21" s="677">
        <f ca="1">CR21+SUM($BB21:BJ21)</f>
        <v>144765</v>
      </c>
      <c r="DJ21" s="677">
        <f ca="1">CS21+SUM($BB21:BK21)</f>
        <v>144765</v>
      </c>
      <c r="DK21" s="677">
        <f ca="1">CT21+SUM($BB21:BL21)</f>
        <v>144765</v>
      </c>
      <c r="DL21" s="678"/>
      <c r="DM21" s="677">
        <f ca="1">CV21+SUM($BB21:BN21)</f>
        <v>144765</v>
      </c>
      <c r="DN21" s="677">
        <f ca="1">CW21+SUM($BB21:BO21)</f>
        <v>144765</v>
      </c>
      <c r="DO21" s="677">
        <f ca="1">CX21+SUM($BB21:BP21)</f>
        <v>144765</v>
      </c>
      <c r="DQ21" s="575" t="str">
        <f t="shared" si="87"/>
        <v>T-SHIRTS</v>
      </c>
      <c r="DR21" s="677">
        <f ca="1">IF($DT$7="Aug",SUMIFS(HIS_STOCK!$F:$F,HIS_STOCK!$A:$A,$BA$2,HIS_STOCK!$C:$C,$DQ21,HIS_STOCK!$D:$D,$DR$4,HIS_STOCK!$E:$E,$DR$7),SUMIFS(HIS_STOCK!$F:$F,HIS_STOCK!$A:$A,$BA$2,HIS_STOCK!$C:$C,$DQ21,HIS_STOCK!$D:$D,$DR$5,HIS_STOCK!$E:$E,$DR$7))</f>
        <v>0</v>
      </c>
      <c r="DS21" s="677"/>
      <c r="DT21" s="677">
        <f ca="1">'NWC_FC_NON-NOOS'!T21</f>
        <v>0</v>
      </c>
      <c r="DU21" s="677">
        <f ca="1">'NWC_FC_NON-NOOS'!U21</f>
        <v>0</v>
      </c>
      <c r="DV21" s="677">
        <f ca="1">'NWC_FC_NON-NOOS'!V21</f>
        <v>0</v>
      </c>
      <c r="DW21" s="678"/>
      <c r="DX21" s="677">
        <f ca="1">'NWC_FC_NON-NOOS'!X21</f>
        <v>0</v>
      </c>
      <c r="DY21" s="677">
        <f ca="1">'NWC_FC_NON-NOOS'!Y21</f>
        <v>0</v>
      </c>
      <c r="DZ21" s="677">
        <f ca="1">'NWC_FC_NON-NOOS'!Z21</f>
        <v>0</v>
      </c>
      <c r="EA21" s="678"/>
      <c r="EB21" s="677">
        <f ca="1">'NWC_FC_NON-NOOS'!AB21</f>
        <v>0</v>
      </c>
      <c r="EC21" s="677">
        <f ca="1">'NWC_FC_NON-NOOS'!AC21</f>
        <v>0</v>
      </c>
      <c r="ED21" s="677">
        <f ca="1">'NWC_FC_NON-NOOS'!AD21</f>
        <v>0</v>
      </c>
      <c r="EE21" s="678"/>
      <c r="EF21" s="677">
        <f ca="1">'NWC_FC_NON-NOOS'!AF21</f>
        <v>0</v>
      </c>
      <c r="EG21" s="677">
        <f ca="1">'NWC_FC_NON-NOOS'!AG21</f>
        <v>0</v>
      </c>
      <c r="EH21" s="677">
        <f ca="1">'NWC_FC_NON-NOOS'!AH21</f>
        <v>0</v>
      </c>
    </row>
    <row r="22" spans="1:138" x14ac:dyDescent="0.25">
      <c r="B22" s="575" t="str">
        <f>'NWC_FC_NON-NOOS'!B22</f>
        <v>T-SHIRTS &amp; TOPS</v>
      </c>
      <c r="C22" s="802"/>
      <c r="D22" s="761"/>
      <c r="E22" s="761"/>
      <c r="F22" s="761"/>
      <c r="G22" s="613"/>
      <c r="H22" s="761"/>
      <c r="I22" s="761"/>
      <c r="J22" s="761"/>
      <c r="K22" s="613"/>
      <c r="L22" s="761"/>
      <c r="M22" s="761"/>
      <c r="N22" s="761"/>
      <c r="O22" s="613"/>
      <c r="P22" s="761"/>
      <c r="Q22" s="761"/>
      <c r="R22" s="761"/>
      <c r="T22" s="675">
        <f t="shared" ca="1" si="70"/>
        <v>0</v>
      </c>
      <c r="U22" s="675">
        <f t="shared" ca="1" si="71"/>
        <v>0</v>
      </c>
      <c r="V22" s="675">
        <f t="shared" ca="1" si="72"/>
        <v>0</v>
      </c>
      <c r="W22" s="675"/>
      <c r="X22" s="675">
        <f t="shared" ca="1" si="73"/>
        <v>0</v>
      </c>
      <c r="Y22" s="675">
        <f t="shared" ca="1" si="74"/>
        <v>0</v>
      </c>
      <c r="Z22" s="675">
        <f t="shared" ca="1" si="75"/>
        <v>0</v>
      </c>
      <c r="AA22" s="675"/>
      <c r="AB22" s="675">
        <f t="shared" ca="1" si="76"/>
        <v>0</v>
      </c>
      <c r="AC22" s="675">
        <f t="shared" ca="1" si="77"/>
        <v>0</v>
      </c>
      <c r="AD22" s="675">
        <f t="shared" ca="1" si="78"/>
        <v>0</v>
      </c>
      <c r="AE22" s="675"/>
      <c r="AF22" s="675">
        <f t="shared" ca="1" si="79"/>
        <v>0</v>
      </c>
      <c r="AG22" s="675">
        <f t="shared" ca="1" si="80"/>
        <v>0</v>
      </c>
      <c r="AH22" s="675">
        <f t="shared" ca="1" si="81"/>
        <v>0</v>
      </c>
      <c r="AI22" s="675"/>
      <c r="AJ22" s="575" t="str">
        <f t="shared" si="83"/>
        <v>T-SHIRTS &amp; TOPS</v>
      </c>
      <c r="AK22" s="761"/>
      <c r="AL22" s="761"/>
      <c r="AM22" s="761"/>
      <c r="AN22" s="613"/>
      <c r="AO22" s="761"/>
      <c r="AP22" s="761"/>
      <c r="AQ22" s="761"/>
      <c r="AR22" s="613"/>
      <c r="AS22" s="761"/>
      <c r="AT22" s="761"/>
      <c r="AU22" s="761"/>
      <c r="AV22" s="613"/>
      <c r="AW22" s="761"/>
      <c r="AX22" s="761"/>
      <c r="AY22" s="761"/>
      <c r="BA22" s="575" t="str">
        <f t="shared" si="82"/>
        <v>T-SHIRTS &amp; TOPS</v>
      </c>
      <c r="BB22" s="677">
        <f ca="1">MAX(IF(ISNA(VLOOKUP($BB$4,TIME!$M$40:$M$42,1,FALSE)),0,HLOOKUP(BB$4,'NWC_FC_NON-NOOS'!$S$4:$AH$23,MATCH($BA22,'NWC_FC_NON-NOOS'!$S$4:$S$23,0),FALSE)-CJ22),0)</f>
        <v>0</v>
      </c>
      <c r="BC22" s="677">
        <f ca="1">IF(ISNA(VLOOKUP(BC$4,TIME!$M$40:$M$42,1,FALSE)),0,IF(HLOOKUP(BC$4,'NWC_FC_NON-NOOS'!$S$4:$AH$23,MATCH($BA22,'NWC_FC_NON-NOOS'!$S$4:$S$23,0),FALSE)-CK22-SUM($BB22:BB22)&gt;0,HLOOKUP(BC$4,'NWC_FC_NON-NOOS'!$S$4:$AH$23,MATCH($BA22,'NWC_FC_NON-NOOS'!$S$4:$S$23,0),FALSE)-CK22-SUM($BB22:BB22),0))</f>
        <v>0</v>
      </c>
      <c r="BD22" s="677">
        <f ca="1">IF(ISNA(VLOOKUP(BD$4,TIME!$M$40:$M$42,1,FALSE)),0,IF(HLOOKUP(BD$4,'NWC_FC_NON-NOOS'!$S$4:$AH$23,MATCH($BA22,'NWC_FC_NON-NOOS'!$S$4:$S$23,0),FALSE)-CL22-SUM($BB22:BC22)&gt;0,HLOOKUP(BD$4,'NWC_FC_NON-NOOS'!$S$4:$AH$23,MATCH($BA22,'NWC_FC_NON-NOOS'!$S$4:$S$23,0),FALSE)-CL22-SUM($BB22:BC22),0))</f>
        <v>0</v>
      </c>
      <c r="BE22" s="678"/>
      <c r="BF22" s="677">
        <f ca="1">IF(HLOOKUP(BF$4,'NWC_FC_NON-NOOS'!$S$4:$AH$23,MATCH($BA22,'NWC_FC_NON-NOOS'!$S$4:$S$23,0),FALSE)-CN22-SUM($BB22:BE22)&gt;0,HLOOKUP(BF$4,'NWC_FC_NON-NOOS'!$S$4:$AH$23,MATCH($BA22,'NWC_FC_NON-NOOS'!$S$4:$S$23,0),FALSE)-CN22-SUM($BB22:BE22),0)</f>
        <v>0</v>
      </c>
      <c r="BG22" s="677">
        <f ca="1">IF(HLOOKUP(BG$4,'NWC_FC_NON-NOOS'!$S$4:$AH$23,MATCH($BA22,'NWC_FC_NON-NOOS'!$S$4:$S$23,0),FALSE)-CO22-SUM($BB22:BF22)&gt;0,HLOOKUP(BG$4,'NWC_FC_NON-NOOS'!$S$4:$AH$23,MATCH($BA22,'NWC_FC_NON-NOOS'!$S$4:$S$23,0),FALSE)-CO22-SUM($BB22:BF22),0)</f>
        <v>0</v>
      </c>
      <c r="BH22" s="677">
        <f ca="1">IF(HLOOKUP(BH$4,'NWC_FC_NON-NOOS'!$S$4:$AH$23,MATCH($BA22,'NWC_FC_NON-NOOS'!$S$4:$S$23,0),FALSE)-CP22-SUM($BB22:BG22)&gt;0,HLOOKUP(BH$4,'NWC_FC_NON-NOOS'!$S$4:$AH$23,MATCH($BA22,'NWC_FC_NON-NOOS'!$S$4:$S$23,0),FALSE)-CP22-SUM($BB22:BG22),0)</f>
        <v>0</v>
      </c>
      <c r="BI22" s="678"/>
      <c r="BJ22" s="677">
        <f ca="1">IF(HLOOKUP(BJ$4,'NWC_FC_NON-NOOS'!$S$4:$AH$23,MATCH($BA22,'NWC_FC_NON-NOOS'!$S$4:$S$23,0),FALSE)-CR22-SUM($BB22:BI22)&gt;0,HLOOKUP(BJ$4,'NWC_FC_NON-NOOS'!$S$4:$AH$23,MATCH($BA22,'NWC_FC_NON-NOOS'!$S$4:$S$23,0),FALSE)-CR22-SUM($BB22:BI22),0)</f>
        <v>0</v>
      </c>
      <c r="BK22" s="677">
        <f ca="1">IF(HLOOKUP(BK$4,'NWC_FC_NON-NOOS'!$S$4:$AH$23,MATCH($BA22,'NWC_FC_NON-NOOS'!$S$4:$S$23,0),FALSE)-CS22-SUM($BB22:BJ22)&gt;0,HLOOKUP(BK$4,'NWC_FC_NON-NOOS'!$S$4:$AH$23,MATCH($BA22,'NWC_FC_NON-NOOS'!$S$4:$S$23,0),FALSE)-CS22-SUM($BB22:BJ22),0)</f>
        <v>0</v>
      </c>
      <c r="BL22" s="677">
        <f ca="1">IF(HLOOKUP(BL$4,'NWC_FC_NON-NOOS'!$S$4:$AH$23,MATCH($BA22,'NWC_FC_NON-NOOS'!$S$4:$S$23,0),FALSE)-CT22-SUM($BB22:BK22)&gt;0,HLOOKUP(BL$4,'NWC_FC_NON-NOOS'!$S$4:$AH$23,MATCH($BA22,'NWC_FC_NON-NOOS'!$S$4:$S$23,0),FALSE)-CT22-SUM($BB22:BK22),0)</f>
        <v>0</v>
      </c>
      <c r="BM22" s="678"/>
      <c r="BN22" s="677">
        <f ca="1">IF(HLOOKUP(BN$4,'NWC_FC_NON-NOOS'!$S$4:$AH$23,MATCH($BA22,'NWC_FC_NON-NOOS'!$S$4:$S$23,0),FALSE)-CV22-SUM($BB22:BM22)&gt;0,HLOOKUP(BN$4,'NWC_FC_NON-NOOS'!$S$4:$AH$23,MATCH($BA22,'NWC_FC_NON-NOOS'!$S$4:$S$23,0),FALSE)-CV22-SUM($BB22:BM22),0)</f>
        <v>0</v>
      </c>
      <c r="BO22" s="677">
        <f ca="1">IF(HLOOKUP(BO$4,'NWC_FC_NON-NOOS'!$S$4:$AH$23,MATCH($BA22,'NWC_FC_NON-NOOS'!$S$4:$S$23,0),FALSE)-CW22-SUM($BB22:BN22)&gt;0,HLOOKUP(BO$4,'NWC_FC_NON-NOOS'!$S$4:$AH$23,MATCH($BA22,'NWC_FC_NON-NOOS'!$S$4:$S$23,0),FALSE)-CW22-SUM($BB22:BN22),0)</f>
        <v>0</v>
      </c>
      <c r="BP22" s="677">
        <f ca="1">IF(HLOOKUP(BP$4,'NWC_FC_NON-NOOS'!$S$4:$AH$23,MATCH($BA22,'NWC_FC_NON-NOOS'!$S$4:$S$23,0),FALSE)-CX22-SUM($BB22:BO22)&gt;0,HLOOKUP(BP$4,'NWC_FC_NON-NOOS'!$S$4:$AH$23,MATCH($BA22,'NWC_FC_NON-NOOS'!$S$4:$S$23,0),FALSE)-CX22-SUM($BB22:BO22),0)</f>
        <v>0</v>
      </c>
      <c r="BR22" s="575" t="str">
        <f t="shared" si="84"/>
        <v>T-SHIRTS &amp; TOPS</v>
      </c>
      <c r="BS22" s="678">
        <f ca="1">IF(BS$2=TIME!$E$5,SUMIFS(OPEN_ORDERS!$E:$E,OPEN_ORDERS!$B:$B,"&lt;="&amp;BS$2,OPEN_ORDERS!$C:$C,$BA22,OPEN_ORDERS!$D:$D,$BA$2)+SUMIFS(OPEN_ORDERS!$E:$E,OPEN_ORDERS!$B:$B,"IMMEDIATELY",OPEN_ORDERS!$C:$C,$BA22,OPEN_ORDERS!$D:$D,$BA$2),SUMIFS(OPEN_ORDERS!$E:$E,OPEN_ORDERS!$B:$B,BS$2,OPEN_ORDERS!$C:$C,$BA22,OPEN_ORDERS!$D:$D,$BA$2))</f>
        <v>8971</v>
      </c>
      <c r="BT22" s="677">
        <f ca="1">IF(BT$2=TIME!$E$5,SUMIFS(OPEN_ORDERS!$E:$E,OPEN_ORDERS!$B:$B,"&lt;="&amp;BT$2,OPEN_ORDERS!$C:$C,$BA22,OPEN_ORDERS!$D:$D,$BA$2)+SUMIFS(OPEN_ORDERS!$E:$E,OPEN_ORDERS!$B:$B,"IMMEDIATELY",OPEN_ORDERS!$C:$C,$BA22,OPEN_ORDERS!$D:$D,$BA$2),SUMIFS(OPEN_ORDERS!$E:$E,OPEN_ORDERS!$B:$B,BT$2,OPEN_ORDERS!$C:$C,$BA22,OPEN_ORDERS!$D:$D,$BA$2))</f>
        <v>14207</v>
      </c>
      <c r="BU22" s="677">
        <f ca="1">IF(BU$2=TIME!$E$5,SUMIFS(OPEN_ORDERS!$E:$E,OPEN_ORDERS!$B:$B,"&lt;="&amp;BU$2,OPEN_ORDERS!$C:$C,$BA22,OPEN_ORDERS!$D:$D,$BA$2)+SUMIFS(OPEN_ORDERS!$E:$E,OPEN_ORDERS!$B:$B,"IMMEDIATELY",OPEN_ORDERS!$C:$C,$BA22,OPEN_ORDERS!$D:$D,$BA$2),SUMIFS(OPEN_ORDERS!$E:$E,OPEN_ORDERS!$B:$B,BU$2,OPEN_ORDERS!$C:$C,$BA22,OPEN_ORDERS!$D:$D,$BA$2))</f>
        <v>48952</v>
      </c>
      <c r="BV22" s="678"/>
      <c r="BW22" s="677">
        <f ca="1">SUMIFS(OPEN_ORDERS!$E:$E,OPEN_ORDERS!$B:$B,BW$2,OPEN_ORDERS!$C:$C,$BA22,OPEN_ORDERS!$D:$D,$BA$2)</f>
        <v>3294</v>
      </c>
      <c r="BX22" s="677">
        <f ca="1">SUMIFS(OPEN_ORDERS!$E:$E,OPEN_ORDERS!$B:$B,BX$2,OPEN_ORDERS!$C:$C,$BA22,OPEN_ORDERS!$D:$D,$BA$2)</f>
        <v>5563</v>
      </c>
      <c r="BY22" s="677">
        <f ca="1">SUMIFS(OPEN_ORDERS!$E:$E,OPEN_ORDERS!$B:$B,BY$2,OPEN_ORDERS!$C:$C,$BA22,OPEN_ORDERS!$D:$D,$BA$2)</f>
        <v>1579</v>
      </c>
      <c r="BZ22" s="678"/>
      <c r="CA22" s="677">
        <f ca="1">SUMIFS(OPEN_ORDERS!$E:$E,OPEN_ORDERS!$B:$B,CA$2,OPEN_ORDERS!$C:$C,$BA22,OPEN_ORDERS!$D:$D,$BA$2)</f>
        <v>0</v>
      </c>
      <c r="CB22" s="677">
        <f ca="1">SUMIFS(OPEN_ORDERS!$E:$E,OPEN_ORDERS!$B:$B,CB$2,OPEN_ORDERS!$C:$C,$BA22,OPEN_ORDERS!$D:$D,$BA$2)</f>
        <v>0</v>
      </c>
      <c r="CC22" s="677">
        <f ca="1">SUMIFS(OPEN_ORDERS!$E:$E,OPEN_ORDERS!$B:$B,CC$2,OPEN_ORDERS!$C:$C,$BA22,OPEN_ORDERS!$D:$D,$BA$2)</f>
        <v>0</v>
      </c>
      <c r="CD22" s="678"/>
      <c r="CE22" s="677">
        <f ca="1">SUMIFS(OPEN_ORDERS!$E:$E,OPEN_ORDERS!$B:$B,CE$2,OPEN_ORDERS!$C:$C,$BA22,OPEN_ORDERS!$D:$D,$BA$2)</f>
        <v>0</v>
      </c>
      <c r="CF22" s="677">
        <f ca="1">SUMIFS(OPEN_ORDERS!$E:$E,OPEN_ORDERS!$B:$B,CF$2,OPEN_ORDERS!$C:$C,$BA22,OPEN_ORDERS!$D:$D,$BA$2)</f>
        <v>0</v>
      </c>
      <c r="CG22" s="677">
        <f ca="1">SUMIFS(OPEN_ORDERS!$E:$E,OPEN_ORDERS!$B:$B,CG$2,OPEN_ORDERS!$C:$C,$BA22,OPEN_ORDERS!$D:$D,$BA$2)</f>
        <v>0</v>
      </c>
      <c r="CI22" s="1" t="str">
        <f t="shared" si="85"/>
        <v>T-SHIRTS &amp; TOPS</v>
      </c>
      <c r="CJ22" s="677">
        <f ca="1">IF($CJ$7="Aug",SUMIFS(HIS_STOCK!$F:$F,HIS_STOCK!$A:$A,$BA$2,HIS_STOCK!$C:$C,$CI22,HIS_STOCK!$D:$D,$CK$1,HIS_STOCK!$E:$E,$CL$1)+BS22-(AK22*1000)-T22-HLOOKUP($CJ$4,'NWC_FC_NON-NOOS'!$C$50:$U$69,MATCH($CI22,'NWC_FC_NON-NOOS'!$B$50:$B$69,0),FALSE),IF($CJ$2=TIME!$E$5,SUMIFS(HIS_STOCK!$F:$F,HIS_STOCK!$A:$A,$BA$2,HIS_STOCK!$C:$C,$CI22,HIS_STOCK!$D:$D,$CJ$5,HIS_STOCK!$E:$E,$CL$1)+BS22-(AK22*1000)-T22-HLOOKUP($CJ$4,'NWC_FC_NON-NOOS'!$C$50:$U$69,MATCH($CI22,'NWC_FC_NON-NOOS'!$B$50:$B$69,0),FALSE),SUMIFS(HIS_STOCK!$F:$F,HIS_STOCK!$A:$A,$BA$2,HIS_STOCK!$C:$C,$CI22,HIS_STOCK!$D:$D,$CJ$5,HIS_STOCK!$E:$E,CJ$7)))</f>
        <v>0</v>
      </c>
      <c r="CK22" s="677">
        <f ca="1">IF(SUMIFS(HIS_STOCK!$F:$F,HIS_STOCK!$A:$A,$BA$2,HIS_STOCK!$C:$C,$CI22,HIS_STOCK!$D:$D,$CJ$5,HIS_STOCK!$E:$E,CK$7)&lt;&gt;0,SUMIFS(HIS_STOCK!$F:$F,HIS_STOCK!$A:$A,$BA$2,HIS_STOCK!$C:$C,$CI22,HIS_STOCK!$D:$D,$CJ$5,HIS_STOCK!$E:$E,CK$7)-(AL22*1000),CJ22+BT22+((AK22-AL22)*1000)-U22-HLOOKUP(BT$4,'NWC_FC_NON-NOOS'!$C$50:$U$69,MATCH(PLANNING_FC!$BR22,'NWC_FC_NON-NOOS'!$B$50:$B$69,0),FALSE))</f>
        <v>14207</v>
      </c>
      <c r="CL22" s="677">
        <f ca="1">IF(SUMIFS(HIS_STOCK!$F:$F,HIS_STOCK!$A:$A,$BA$2,HIS_STOCK!$C:$C,$CI22,HIS_STOCK!$D:$D,$CJ$5,HIS_STOCK!$E:$E,CL$7)&lt;&gt;0,SUMIFS(HIS_STOCK!$F:$F,HIS_STOCK!$A:$A,$BA$2,HIS_STOCK!$C:$C,$CI22,HIS_STOCK!$D:$D,$CJ$5,HIS_STOCK!$E:$E,CL$7)-(AM22*1000),CK22+BU22+((AL22-AM22)*1000)-V22-HLOOKUP(BU$4,'NWC_FC_NON-NOOS'!$C$50:$U$69,MATCH(PLANNING_FC!$BR22,'NWC_FC_NON-NOOS'!$B$50:$B$69,0),FALSE))</f>
        <v>63159</v>
      </c>
      <c r="CM22" s="678"/>
      <c r="CN22" s="677">
        <f ca="1">CL22+BW22+((AM22-AO22)*1000)-X22-HLOOKUP(CN$4,'NWC_FC_NON-NOOS'!$C$50:$U$69,MATCH(PLANNING_FC!$BR22,'NWC_FC_NON-NOOS'!$B$50:$B$69,0),FALSE)</f>
        <v>66453</v>
      </c>
      <c r="CO22" s="677">
        <f ca="1">CN22+BX22+((AO22-AP22)*1000)-Y22-HLOOKUP(CO$4,'NWC_FC_NON-NOOS'!$C$50:$U$69,MATCH(PLANNING_FC!$BR22,'NWC_FC_NON-NOOS'!$B$50:$B$69,0),FALSE)</f>
        <v>72016</v>
      </c>
      <c r="CP22" s="677">
        <f ca="1">CO22+BY22+((AP22-AQ22)*1000)-Z22-HLOOKUP(CP$4,'NWC_FC_NON-NOOS'!$C$50:$U$69,MATCH(PLANNING_FC!$BR22,'NWC_FC_NON-NOOS'!$B$50:$B$69,0),FALSE)</f>
        <v>73595</v>
      </c>
      <c r="CQ22" s="678"/>
      <c r="CR22" s="677">
        <f ca="1">CP22+CA22+((AQ22-AS22)*1000)-AB22-HLOOKUP(CR$4,'NWC_FC_NON-NOOS'!$C$50:$U$69,MATCH(PLANNING_FC!$BR22,'NWC_FC_NON-NOOS'!$B$50:$B$69,0),FALSE)</f>
        <v>73595</v>
      </c>
      <c r="CS22" s="677">
        <f ca="1">CR22+CB22+((AS22-AT22)*1000)-AC22-HLOOKUP(CS$4,'NWC_FC_NON-NOOS'!$C$50:$U$69,MATCH(PLANNING_FC!$BR22,'NWC_FC_NON-NOOS'!$B$50:$B$69,0),FALSE)</f>
        <v>73595</v>
      </c>
      <c r="CT22" s="677">
        <f ca="1">CS22+CC22+((AT22-AU22)*1000)-AD22-HLOOKUP(CT$4,'NWC_FC_NON-NOOS'!$C$50:$U$69,MATCH(PLANNING_FC!$BR22,'NWC_FC_NON-NOOS'!$B$50:$B$69,0),FALSE)</f>
        <v>73595</v>
      </c>
      <c r="CU22" s="678"/>
      <c r="CV22" s="677">
        <f ca="1">CT22+CE22+((AU22-AW22)*1000)-AF22-HLOOKUP(CV$4,'NWC_FC_NON-NOOS'!$C$50:$U$69,MATCH(PLANNING_FC!$BR22,'NWC_FC_NON-NOOS'!$B$50:$B$69,0),FALSE)</f>
        <v>73595</v>
      </c>
      <c r="CW22" s="677">
        <f ca="1">CV22+CF22+((AW22-AX22)*1000)-AG22-HLOOKUP(CW$4,'NWC_FC_NON-NOOS'!$C$50:$U$69,MATCH(PLANNING_FC!$BR22,'NWC_FC_NON-NOOS'!$B$50:$B$69,0),FALSE)</f>
        <v>73595</v>
      </c>
      <c r="CX22" s="677">
        <f ca="1">CW22+CG22+((AX22-AY22)*1000)-AH22-HLOOKUP(CX$4,'NWC_FC_NON-NOOS'!$C$50:$U$69,MATCH(PLANNING_FC!$BR22,'NWC_FC_NON-NOOS'!$B$50:$B$69,0),FALSE)</f>
        <v>73595</v>
      </c>
      <c r="CY22" s="746"/>
      <c r="CZ22" s="575" t="str">
        <f t="shared" si="86"/>
        <v>T-SHIRTS &amp; TOPS</v>
      </c>
      <c r="DA22" s="677">
        <f ca="1">IF(STOCK_OVERVIEW!C$41="ACT",SUMIFS(HIS_STOCK!$F:$F,HIS_STOCK!$A:$A,PLANNING_FC!$BA$2,HIS_STOCK!$C:$C,PLANNING_FC!$CZ22,HIS_STOCK!$D:$D,PLANNING_FC!$DA$5,HIS_STOCK!$E:$E,PLANNING_FC!DA$7),CJ22+SUM($BB22:BB22))</f>
        <v>0</v>
      </c>
      <c r="DB22" s="677">
        <f ca="1">IF(STOCK_OVERVIEW!D$41="ACT",SUMIFS(HIS_STOCK!$F:$F,HIS_STOCK!$A:$A,PLANNING_FC!$BA$2,HIS_STOCK!$C:$C,PLANNING_FC!$CZ22,HIS_STOCK!$D:$D,PLANNING_FC!$DA$5,HIS_STOCK!$E:$E,PLANNING_FC!DB$7),CK22+SUM($BB22:BC22))</f>
        <v>0</v>
      </c>
      <c r="DC22" s="677">
        <f ca="1">CL22+SUM($BB22:BD22)</f>
        <v>63159</v>
      </c>
      <c r="DD22" s="678"/>
      <c r="DE22" s="677">
        <f ca="1">CN22+SUM($BB22:BF22)</f>
        <v>66453</v>
      </c>
      <c r="DF22" s="677">
        <f ca="1">CO22+SUM($BB22:BG22)</f>
        <v>72016</v>
      </c>
      <c r="DG22" s="677">
        <f ca="1">CP22+SUM($BB22:BH22)</f>
        <v>73595</v>
      </c>
      <c r="DH22" s="678"/>
      <c r="DI22" s="677">
        <f ca="1">CR22+SUM($BB22:BJ22)</f>
        <v>73595</v>
      </c>
      <c r="DJ22" s="677">
        <f ca="1">CS22+SUM($BB22:BK22)</f>
        <v>73595</v>
      </c>
      <c r="DK22" s="677">
        <f ca="1">CT22+SUM($BB22:BL22)</f>
        <v>73595</v>
      </c>
      <c r="DL22" s="678"/>
      <c r="DM22" s="677">
        <f ca="1">CV22+SUM($BB22:BN22)</f>
        <v>73595</v>
      </c>
      <c r="DN22" s="677">
        <f ca="1">CW22+SUM($BB22:BO22)</f>
        <v>73595</v>
      </c>
      <c r="DO22" s="677">
        <f ca="1">CX22+SUM($BB22:BP22)</f>
        <v>73595</v>
      </c>
      <c r="DQ22" s="575" t="str">
        <f t="shared" si="87"/>
        <v>T-SHIRTS &amp; TOPS</v>
      </c>
      <c r="DR22" s="677">
        <f ca="1">IF($DT$7="Aug",SUMIFS(HIS_STOCK!$F:$F,HIS_STOCK!$A:$A,$BA$2,HIS_STOCK!$C:$C,$DQ22,HIS_STOCK!$D:$D,$DR$4,HIS_STOCK!$E:$E,$DR$7),SUMIFS(HIS_STOCK!$F:$F,HIS_STOCK!$A:$A,$BA$2,HIS_STOCK!$C:$C,$DQ22,HIS_STOCK!$D:$D,$DR$5,HIS_STOCK!$E:$E,$DR$7))</f>
        <v>0</v>
      </c>
      <c r="DS22" s="677"/>
      <c r="DT22" s="677">
        <f ca="1">'NWC_FC_NON-NOOS'!T22</f>
        <v>0</v>
      </c>
      <c r="DU22" s="677">
        <f ca="1">'NWC_FC_NON-NOOS'!U22</f>
        <v>0</v>
      </c>
      <c r="DV22" s="677">
        <f ca="1">'NWC_FC_NON-NOOS'!V22</f>
        <v>0</v>
      </c>
      <c r="DW22" s="678"/>
      <c r="DX22" s="677">
        <f ca="1">'NWC_FC_NON-NOOS'!X22</f>
        <v>0</v>
      </c>
      <c r="DY22" s="677">
        <f ca="1">'NWC_FC_NON-NOOS'!Y22</f>
        <v>0</v>
      </c>
      <c r="DZ22" s="677">
        <f ca="1">'NWC_FC_NON-NOOS'!Z22</f>
        <v>0</v>
      </c>
      <c r="EA22" s="678"/>
      <c r="EB22" s="677">
        <f ca="1">'NWC_FC_NON-NOOS'!AB22</f>
        <v>0</v>
      </c>
      <c r="EC22" s="677">
        <f ca="1">'NWC_FC_NON-NOOS'!AC22</f>
        <v>0</v>
      </c>
      <c r="ED22" s="677">
        <f ca="1">'NWC_FC_NON-NOOS'!AD22</f>
        <v>0</v>
      </c>
      <c r="EE22" s="678"/>
      <c r="EF22" s="677">
        <f ca="1">'NWC_FC_NON-NOOS'!AF22</f>
        <v>0</v>
      </c>
      <c r="EG22" s="677">
        <f ca="1">'NWC_FC_NON-NOOS'!AG22</f>
        <v>0</v>
      </c>
      <c r="EH22" s="677">
        <f ca="1">'NWC_FC_NON-NOOS'!AH22</f>
        <v>0</v>
      </c>
    </row>
    <row r="23" spans="1:138" s="23" customFormat="1" ht="15" customHeight="1" x14ac:dyDescent="0.25">
      <c r="A23" s="62"/>
      <c r="B23" s="799">
        <f>'NWC_FC_NON-NOOS'!B23</f>
        <v>0</v>
      </c>
      <c r="C23" s="803"/>
      <c r="D23" s="762"/>
      <c r="E23" s="762"/>
      <c r="F23" s="762"/>
      <c r="G23" s="614"/>
      <c r="H23" s="762"/>
      <c r="I23" s="762"/>
      <c r="J23" s="762"/>
      <c r="K23" s="614"/>
      <c r="L23" s="762"/>
      <c r="M23" s="762"/>
      <c r="N23" s="762"/>
      <c r="O23" s="614"/>
      <c r="P23" s="762"/>
      <c r="Q23" s="762"/>
      <c r="R23" s="762"/>
      <c r="S23" s="449"/>
      <c r="T23" s="676">
        <f t="shared" ca="1" si="70"/>
        <v>0</v>
      </c>
      <c r="U23" s="676">
        <f t="shared" ca="1" si="71"/>
        <v>0</v>
      </c>
      <c r="V23" s="676">
        <f t="shared" ca="1" si="72"/>
        <v>0</v>
      </c>
      <c r="W23" s="675"/>
      <c r="X23" s="676">
        <f t="shared" ca="1" si="73"/>
        <v>0</v>
      </c>
      <c r="Y23" s="676">
        <f t="shared" ca="1" si="74"/>
        <v>0</v>
      </c>
      <c r="Z23" s="676">
        <f t="shared" ca="1" si="75"/>
        <v>0</v>
      </c>
      <c r="AA23" s="675"/>
      <c r="AB23" s="675">
        <f t="shared" ca="1" si="76"/>
        <v>0</v>
      </c>
      <c r="AC23" s="675">
        <f t="shared" ca="1" si="77"/>
        <v>0</v>
      </c>
      <c r="AD23" s="675">
        <f t="shared" ca="1" si="78"/>
        <v>0</v>
      </c>
      <c r="AE23" s="675"/>
      <c r="AF23" s="675">
        <f t="shared" ca="1" si="79"/>
        <v>0</v>
      </c>
      <c r="AG23" s="675">
        <f t="shared" ca="1" si="80"/>
        <v>0</v>
      </c>
      <c r="AH23" s="675">
        <f t="shared" ca="1" si="81"/>
        <v>0</v>
      </c>
      <c r="AI23" s="675"/>
      <c r="AJ23" s="799">
        <f t="shared" si="83"/>
        <v>0</v>
      </c>
      <c r="AK23" s="762"/>
      <c r="AL23" s="762"/>
      <c r="AM23" s="762"/>
      <c r="AN23" s="614"/>
      <c r="AO23" s="762"/>
      <c r="AP23" s="762"/>
      <c r="AQ23" s="762"/>
      <c r="AR23" s="614"/>
      <c r="AS23" s="762"/>
      <c r="AT23" s="762"/>
      <c r="AU23" s="762"/>
      <c r="AV23" s="614"/>
      <c r="AW23" s="762"/>
      <c r="AX23" s="762"/>
      <c r="AY23" s="762"/>
      <c r="AZ23" s="449"/>
      <c r="BA23" s="800">
        <f t="shared" si="82"/>
        <v>0</v>
      </c>
      <c r="BB23" s="679">
        <f ca="1">MAX(IF(ISNA(VLOOKUP($BB$4,TIME!$M$40:$M$42,1,FALSE)),0,HLOOKUP(BB$4,'NWC_FC_NON-NOOS'!$S$4:$AH$23,MATCH($BA23,'NWC_FC_NON-NOOS'!$S$4:$S$23,0),FALSE)-CJ23),0)</f>
        <v>0</v>
      </c>
      <c r="BC23" s="679">
        <f ca="1">IF(ISNA(VLOOKUP(BC$4,TIME!$M$40:$M$42,1,FALSE)),0,IF(HLOOKUP(BC$4,'NWC_FC_NON-NOOS'!$S$4:$AH$23,MATCH($BA23,'NWC_FC_NON-NOOS'!$S$4:$S$23,0),FALSE)-CK23-SUM($BB23:BB23)&gt;0,HLOOKUP(BC$4,'NWC_FC_NON-NOOS'!$S$4:$AH$23,MATCH($BA23,'NWC_FC_NON-NOOS'!$S$4:$S$23,0),FALSE)-CK23-SUM($BB23:BB23),0))</f>
        <v>0</v>
      </c>
      <c r="BD23" s="679">
        <f ca="1">IF(ISNA(VLOOKUP(BD$4,TIME!$M$40:$M$42,1,FALSE)),0,IF(HLOOKUP(BD$4,'NWC_FC_NON-NOOS'!$S$4:$AH$23,MATCH($BA23,'NWC_FC_NON-NOOS'!$S$4:$S$23,0),FALSE)-CL23-SUM($BB23:BC23)&gt;0,HLOOKUP(BD$4,'NWC_FC_NON-NOOS'!$S$4:$AH$23,MATCH($BA23,'NWC_FC_NON-NOOS'!$S$4:$S$23,0),FALSE)-CL23-SUM($BB23:BC23),0))</f>
        <v>0</v>
      </c>
      <c r="BE23" s="680"/>
      <c r="BF23" s="679">
        <f ca="1">IF(HLOOKUP(BF$4,'NWC_FC_NON-NOOS'!$S$4:$AH$23,MATCH($BA23,'NWC_FC_NON-NOOS'!$S$4:$S$23,0),FALSE)-CN23-SUM($BB23:BE23)&gt;0,HLOOKUP(BF$4,'NWC_FC_NON-NOOS'!$S$4:$AH$23,MATCH($BA23,'NWC_FC_NON-NOOS'!$S$4:$S$23,0),FALSE)-CN23-SUM($BB23:BE23),0)</f>
        <v>0</v>
      </c>
      <c r="BG23" s="679">
        <f ca="1">IF(HLOOKUP(BG$4,'NWC_FC_NON-NOOS'!$S$4:$AH$23,MATCH($BA23,'NWC_FC_NON-NOOS'!$S$4:$S$23,0),FALSE)-CO23-SUM($BB23:BF23)&gt;0,HLOOKUP(BG$4,'NWC_FC_NON-NOOS'!$S$4:$AH$23,MATCH($BA23,'NWC_FC_NON-NOOS'!$S$4:$S$23,0),FALSE)-CO23-SUM($BB23:BF23),0)</f>
        <v>0</v>
      </c>
      <c r="BH23" s="679">
        <f ca="1">IF(HLOOKUP(BH$4,'NWC_FC_NON-NOOS'!$S$4:$AH$23,MATCH($BA23,'NWC_FC_NON-NOOS'!$S$4:$S$23,0),FALSE)-CP23-SUM($BB23:BG23)&gt;0,HLOOKUP(BH$4,'NWC_FC_NON-NOOS'!$S$4:$AH$23,MATCH($BA23,'NWC_FC_NON-NOOS'!$S$4:$S$23,0),FALSE)-CP23-SUM($BB23:BG23),0)</f>
        <v>0</v>
      </c>
      <c r="BI23" s="680"/>
      <c r="BJ23" s="679">
        <f ca="1">IF(HLOOKUP(BJ$4,'NWC_FC_NON-NOOS'!$S$4:$AH$23,MATCH($BA23,'NWC_FC_NON-NOOS'!$S$4:$S$23,0),FALSE)-CR23-SUM($BB23:BI23)&gt;0,HLOOKUP(BJ$4,'NWC_FC_NON-NOOS'!$S$4:$AH$23,MATCH($BA23,'NWC_FC_NON-NOOS'!$S$4:$S$23,0),FALSE)-CR23-SUM($BB23:BI23),0)</f>
        <v>0</v>
      </c>
      <c r="BK23" s="679">
        <f ca="1">IF(HLOOKUP(BK$4,'NWC_FC_NON-NOOS'!$S$4:$AH$23,MATCH($BA23,'NWC_FC_NON-NOOS'!$S$4:$S$23,0),FALSE)-CS23-SUM($BB23:BJ23)&gt;0,HLOOKUP(BK$4,'NWC_FC_NON-NOOS'!$S$4:$AH$23,MATCH($BA23,'NWC_FC_NON-NOOS'!$S$4:$S$23,0),FALSE)-CS23-SUM($BB23:BJ23),0)</f>
        <v>0</v>
      </c>
      <c r="BL23" s="679">
        <f ca="1">IF(HLOOKUP(BL$4,'NWC_FC_NON-NOOS'!$S$4:$AH$23,MATCH($BA23,'NWC_FC_NON-NOOS'!$S$4:$S$23,0),FALSE)-CT23-SUM($BB23:BK23)&gt;0,HLOOKUP(BL$4,'NWC_FC_NON-NOOS'!$S$4:$AH$23,MATCH($BA23,'NWC_FC_NON-NOOS'!$S$4:$S$23,0),FALSE)-CT23-SUM($BB23:BK23),0)</f>
        <v>0</v>
      </c>
      <c r="BM23" s="680"/>
      <c r="BN23" s="679">
        <f ca="1">IF(HLOOKUP(BN$4,'NWC_FC_NON-NOOS'!$S$4:$AH$23,MATCH($BA23,'NWC_FC_NON-NOOS'!$S$4:$S$23,0),FALSE)-CV23-SUM($BB23:BM23)&gt;0,HLOOKUP(BN$4,'NWC_FC_NON-NOOS'!$S$4:$AH$23,MATCH($BA23,'NWC_FC_NON-NOOS'!$S$4:$S$23,0),FALSE)-CV23-SUM($BB23:BM23),0)</f>
        <v>0</v>
      </c>
      <c r="BO23" s="679">
        <f ca="1">IF(HLOOKUP(BO$4,'NWC_FC_NON-NOOS'!$S$4:$AH$23,MATCH($BA23,'NWC_FC_NON-NOOS'!$S$4:$S$23,0),FALSE)-CW23-SUM($BB23:BN23)&gt;0,HLOOKUP(BO$4,'NWC_FC_NON-NOOS'!$S$4:$AH$23,MATCH($BA23,'NWC_FC_NON-NOOS'!$S$4:$S$23,0),FALSE)-CW23-SUM($BB23:BN23),0)</f>
        <v>0</v>
      </c>
      <c r="BP23" s="679">
        <f ca="1">IF(HLOOKUP(BP$4,'NWC_FC_NON-NOOS'!$S$4:$AH$23,MATCH($BA23,'NWC_FC_NON-NOOS'!$S$4:$S$23,0),FALSE)-CX23-SUM($BB23:BO23)&gt;0,HLOOKUP(BP$4,'NWC_FC_NON-NOOS'!$S$4:$AH$23,MATCH($BA23,'NWC_FC_NON-NOOS'!$S$4:$S$23,0),FALSE)-CX23-SUM($BB23:BO23),0)</f>
        <v>0</v>
      </c>
      <c r="BQ23" s="204"/>
      <c r="BR23" s="800">
        <f t="shared" si="84"/>
        <v>0</v>
      </c>
      <c r="BS23" s="679">
        <f ca="1">IF(BS$2=TIME!$E$5,SUMIFS(OPEN_ORDERS!$E:$E,OPEN_ORDERS!$B:$B,"&lt;="&amp;BS$2,OPEN_ORDERS!$C:$C,$BA23,OPEN_ORDERS!$D:$D,$BA$2)+SUMIFS(OPEN_ORDERS!$E:$E,OPEN_ORDERS!$B:$B,"IMMEDIATELY",OPEN_ORDERS!$C:$C,$BA23,OPEN_ORDERS!$D:$D,$BA$2),SUMIFS(OPEN_ORDERS!$E:$E,OPEN_ORDERS!$B:$B,BS$2,OPEN_ORDERS!$C:$C,$BA23,OPEN_ORDERS!$D:$D,$BA$2))</f>
        <v>0</v>
      </c>
      <c r="BT23" s="679">
        <f ca="1">IF(BT$2=TIME!$E$5,SUMIFS(OPEN_ORDERS!$E:$E,OPEN_ORDERS!$B:$B,"&lt;="&amp;BT$2,OPEN_ORDERS!$C:$C,$BA23,OPEN_ORDERS!$D:$D,$BA$2)+SUMIFS(OPEN_ORDERS!$E:$E,OPEN_ORDERS!$B:$B,"IMMEDIATELY",OPEN_ORDERS!$C:$C,$BA23,OPEN_ORDERS!$D:$D,$BA$2),SUMIFS(OPEN_ORDERS!$E:$E,OPEN_ORDERS!$B:$B,BT$2,OPEN_ORDERS!$C:$C,$BA23,OPEN_ORDERS!$D:$D,$BA$2))</f>
        <v>0</v>
      </c>
      <c r="BU23" s="679">
        <f ca="1">IF(BU$2=TIME!$E$5,SUMIFS(OPEN_ORDERS!$E:$E,OPEN_ORDERS!$B:$B,"&lt;="&amp;BU$2,OPEN_ORDERS!$C:$C,$BA23,OPEN_ORDERS!$D:$D,$BA$2)+SUMIFS(OPEN_ORDERS!$E:$E,OPEN_ORDERS!$B:$B,"IMMEDIATELY",OPEN_ORDERS!$C:$C,$BA23,OPEN_ORDERS!$D:$D,$BA$2),SUMIFS(OPEN_ORDERS!$E:$E,OPEN_ORDERS!$B:$B,BU$2,OPEN_ORDERS!$C:$C,$BA23,OPEN_ORDERS!$D:$D,$BA$2))</f>
        <v>0</v>
      </c>
      <c r="BV23" s="680"/>
      <c r="BW23" s="679">
        <f ca="1">SUMIFS(OPEN_ORDERS!$E:$E,OPEN_ORDERS!$B:$B,BW$2,OPEN_ORDERS!$C:$C,$BA23,OPEN_ORDERS!$D:$D,$BA$2)</f>
        <v>0</v>
      </c>
      <c r="BX23" s="679">
        <f ca="1">SUMIFS(OPEN_ORDERS!$E:$E,OPEN_ORDERS!$B:$B,BX$2,OPEN_ORDERS!$C:$C,$BA23,OPEN_ORDERS!$D:$D,$BA$2)</f>
        <v>0</v>
      </c>
      <c r="BY23" s="679">
        <f ca="1">SUMIFS(OPEN_ORDERS!$E:$E,OPEN_ORDERS!$B:$B,BY$2,OPEN_ORDERS!$C:$C,$BA23,OPEN_ORDERS!$D:$D,$BA$2)</f>
        <v>0</v>
      </c>
      <c r="BZ23" s="680"/>
      <c r="CA23" s="679">
        <f ca="1">SUMIFS(OPEN_ORDERS!$E:$E,OPEN_ORDERS!$B:$B,CA$2,OPEN_ORDERS!$C:$C,$BA23,OPEN_ORDERS!$D:$D,$BA$2)</f>
        <v>0</v>
      </c>
      <c r="CB23" s="679">
        <f ca="1">SUMIFS(OPEN_ORDERS!$E:$E,OPEN_ORDERS!$B:$B,CB$2,OPEN_ORDERS!$C:$C,$BA23,OPEN_ORDERS!$D:$D,$BA$2)</f>
        <v>0</v>
      </c>
      <c r="CC23" s="679">
        <f ca="1">SUMIFS(OPEN_ORDERS!$E:$E,OPEN_ORDERS!$B:$B,CC$2,OPEN_ORDERS!$C:$C,$BA23,OPEN_ORDERS!$D:$D,$BA$2)</f>
        <v>0</v>
      </c>
      <c r="CD23" s="680"/>
      <c r="CE23" s="679">
        <f ca="1">SUMIFS(OPEN_ORDERS!$E:$E,OPEN_ORDERS!$B:$B,CE$2,OPEN_ORDERS!$C:$C,$BA23,OPEN_ORDERS!$D:$D,$BA$2)</f>
        <v>0</v>
      </c>
      <c r="CF23" s="679">
        <f ca="1">SUMIFS(OPEN_ORDERS!$E:$E,OPEN_ORDERS!$B:$B,CF$2,OPEN_ORDERS!$C:$C,$BA23,OPEN_ORDERS!$D:$D,$BA$2)</f>
        <v>0</v>
      </c>
      <c r="CG23" s="679">
        <f ca="1">SUMIFS(OPEN_ORDERS!$E:$E,OPEN_ORDERS!$B:$B,CG$2,OPEN_ORDERS!$C:$C,$BA23,OPEN_ORDERS!$D:$D,$BA$2)</f>
        <v>0</v>
      </c>
      <c r="CH23" s="61"/>
      <c r="CI23" s="1">
        <f t="shared" si="85"/>
        <v>0</v>
      </c>
      <c r="CJ23" s="679">
        <f ca="1">IF($CJ$7="Aug",SUMIFS(HIS_STOCK!$F:$F,HIS_STOCK!$A:$A,$BA$2,HIS_STOCK!$C:$C,$CI23,HIS_STOCK!$D:$D,$CK$1,HIS_STOCK!$E:$E,$CL$1)+BS23-(AK23*1000)-T23-HLOOKUP($CJ$4,'NWC_FC_NON-NOOS'!$C$50:$U$69,MATCH($CI23,'NWC_FC_NON-NOOS'!$B$50:$B$69,0),FALSE),IF($CJ$2=TIME!$E$5,SUMIFS(HIS_STOCK!$F:$F,HIS_STOCK!$A:$A,$BA$2,HIS_STOCK!$C:$C,$CI23,HIS_STOCK!$D:$D,$CJ$5,HIS_STOCK!$E:$E,$CL$1)+BS23-(AK23*1000)-T23-HLOOKUP($CJ$4,'NWC_FC_NON-NOOS'!$C$50:$U$69,MATCH($CI23,'NWC_FC_NON-NOOS'!$B$50:$B$69,0),FALSE),SUMIFS(HIS_STOCK!$F:$F,HIS_STOCK!$A:$A,$BA$2,HIS_STOCK!$C:$C,$CI23,HIS_STOCK!$D:$D,$CJ$5,HIS_STOCK!$E:$E,CJ$7)))</f>
        <v>0</v>
      </c>
      <c r="CK23" s="679">
        <f ca="1">IF(SUMIFS(HIS_STOCK!$F:$F,HIS_STOCK!$A:$A,$BA$2,HIS_STOCK!$C:$C,$CI23,HIS_STOCK!$D:$D,$CJ$5,HIS_STOCK!$E:$E,CK$7)&lt;&gt;0,SUMIFS(HIS_STOCK!$F:$F,HIS_STOCK!$A:$A,$BA$2,HIS_STOCK!$C:$C,$CI23,HIS_STOCK!$D:$D,$CJ$5,HIS_STOCK!$E:$E,CK$7)-(AL23*1000),CJ23+BT23+((AK23-AL23)*1000)-U23-HLOOKUP(BT$4,'NWC_FC_NON-NOOS'!$C$50:$U$69,MATCH(PLANNING_FC!$BR23,'NWC_FC_NON-NOOS'!$B$50:$B$69,0),FALSE))</f>
        <v>0</v>
      </c>
      <c r="CL23" s="679">
        <f ca="1">IF(SUMIFS(HIS_STOCK!$F:$F,HIS_STOCK!$A:$A,$BA$2,HIS_STOCK!$C:$C,$CI23,HIS_STOCK!$D:$D,$CJ$5,HIS_STOCK!$E:$E,CL$7)&lt;&gt;0,SUMIFS(HIS_STOCK!$F:$F,HIS_STOCK!$A:$A,$BA$2,HIS_STOCK!$C:$C,$CI23,HIS_STOCK!$D:$D,$CJ$5,HIS_STOCK!$E:$E,CL$7)-(AM23*1000),CK23+BU23+((AL23-AM23)*1000)-V23-HLOOKUP(BU$4,'NWC_FC_NON-NOOS'!$C$50:$U$69,MATCH(PLANNING_FC!$BR23,'NWC_FC_NON-NOOS'!$B$50:$B$69,0),FALSE))</f>
        <v>0</v>
      </c>
      <c r="CM23" s="680"/>
      <c r="CN23" s="679">
        <f ca="1">CL23+BW23+((AM23-AO23)*1000)-X23-HLOOKUP(CN$4,'NWC_FC_NON-NOOS'!$C$50:$U$69,MATCH(PLANNING_FC!$BR23,'NWC_FC_NON-NOOS'!$B$50:$B$69,0),FALSE)</f>
        <v>0</v>
      </c>
      <c r="CO23" s="679">
        <f ca="1">CN23+BX23+((AO23-AP23)*1000)-Y23-HLOOKUP(CO$4,'NWC_FC_NON-NOOS'!$C$50:$U$69,MATCH(PLANNING_FC!$BR23,'NWC_FC_NON-NOOS'!$B$50:$B$69,0),FALSE)</f>
        <v>0</v>
      </c>
      <c r="CP23" s="679">
        <f ca="1">CO23+BY23+((AP23-AQ23)*1000)-Z23-HLOOKUP(CP$4,'NWC_FC_NON-NOOS'!$C$50:$U$69,MATCH(PLANNING_FC!$BR23,'NWC_FC_NON-NOOS'!$B$50:$B$69,0),FALSE)</f>
        <v>0</v>
      </c>
      <c r="CQ23" s="680"/>
      <c r="CR23" s="679">
        <f ca="1">CP23+CA23+((AQ23-AS23)*1000)-AB23-HLOOKUP(CR$4,'NWC_FC_NON-NOOS'!$C$50:$U$69,MATCH(PLANNING_FC!$BR23,'NWC_FC_NON-NOOS'!$B$50:$B$69,0),FALSE)</f>
        <v>0</v>
      </c>
      <c r="CS23" s="679">
        <f ca="1">CR23+CB23+((AS23-AT23)*1000)-AC23-HLOOKUP(CS$4,'NWC_FC_NON-NOOS'!$C$50:$U$69,MATCH(PLANNING_FC!$BR23,'NWC_FC_NON-NOOS'!$B$50:$B$69,0),FALSE)</f>
        <v>0</v>
      </c>
      <c r="CT23" s="679">
        <f ca="1">CS23+CC23+((AT23-AU23)*1000)-AD23-HLOOKUP(CT$4,'NWC_FC_NON-NOOS'!$C$50:$U$69,MATCH(PLANNING_FC!$BR23,'NWC_FC_NON-NOOS'!$B$50:$B$69,0),FALSE)</f>
        <v>0</v>
      </c>
      <c r="CU23" s="680"/>
      <c r="CV23" s="679">
        <f ca="1">CT23+CE23+((AU23-AW23)*1000)-AF23-HLOOKUP(CV$4,'NWC_FC_NON-NOOS'!$C$50:$U$69,MATCH(PLANNING_FC!$BR23,'NWC_FC_NON-NOOS'!$B$50:$B$69,0),FALSE)</f>
        <v>0</v>
      </c>
      <c r="CW23" s="679">
        <f ca="1">CV23+CF23+((AW23-AX23)*1000)-AG23-HLOOKUP(CW$4,'NWC_FC_NON-NOOS'!$C$50:$U$69,MATCH(PLANNING_FC!$BR23,'NWC_FC_NON-NOOS'!$B$50:$B$69,0),FALSE)</f>
        <v>0</v>
      </c>
      <c r="CX23" s="679">
        <f ca="1">CW23+CG23+((AX23-AY23)*1000)-AH23-HLOOKUP(CX$4,'NWC_FC_NON-NOOS'!$C$50:$U$69,MATCH(PLANNING_FC!$BR23,'NWC_FC_NON-NOOS'!$B$50:$B$69,0),FALSE)</f>
        <v>0</v>
      </c>
      <c r="CY23" s="746"/>
      <c r="CZ23" s="800">
        <f t="shared" si="86"/>
        <v>0</v>
      </c>
      <c r="DA23" s="679">
        <f ca="1">IF(STOCK_OVERVIEW!C$41="ACT",SUMIFS(HIS_STOCK!$F:$F,HIS_STOCK!$A:$A,PLANNING_FC!$BA$2,HIS_STOCK!$C:$C,PLANNING_FC!$CZ23,HIS_STOCK!$D:$D,PLANNING_FC!$DA$5,HIS_STOCK!$E:$E,PLANNING_FC!DA$7),CJ23+SUM($BB23:BB23))</f>
        <v>0</v>
      </c>
      <c r="DB23" s="679">
        <f ca="1">IF(STOCK_OVERVIEW!D$41="ACT",SUMIFS(HIS_STOCK!$F:$F,HIS_STOCK!$A:$A,PLANNING_FC!$BA$2,HIS_STOCK!$C:$C,PLANNING_FC!$CZ23,HIS_STOCK!$D:$D,PLANNING_FC!$DA$5,HIS_STOCK!$E:$E,PLANNING_FC!DB$7),CK23+SUM($BB23:BC23))</f>
        <v>0</v>
      </c>
      <c r="DC23" s="679">
        <f ca="1">CL23+SUM($BB23:BD23)</f>
        <v>0</v>
      </c>
      <c r="DD23" s="680"/>
      <c r="DE23" s="679">
        <f ca="1">CN23+SUM($BB23:BF23)</f>
        <v>0</v>
      </c>
      <c r="DF23" s="679">
        <f ca="1">CO23+SUM($BB23:BG23)</f>
        <v>0</v>
      </c>
      <c r="DG23" s="679">
        <f ca="1">CP23+SUM($BB23:BH23)</f>
        <v>0</v>
      </c>
      <c r="DH23" s="680"/>
      <c r="DI23" s="679">
        <f ca="1">CR23+SUM($BB23:BJ23)</f>
        <v>0</v>
      </c>
      <c r="DJ23" s="679">
        <f ca="1">CS23+SUM($BB23:BK23)</f>
        <v>0</v>
      </c>
      <c r="DK23" s="679">
        <f ca="1">CT23+SUM($BB23:BL23)</f>
        <v>0</v>
      </c>
      <c r="DL23" s="680"/>
      <c r="DM23" s="679">
        <f ca="1">CV23+SUM($BB23:BN23)</f>
        <v>0</v>
      </c>
      <c r="DN23" s="679">
        <f ca="1">CW23+SUM($BB23:BO23)</f>
        <v>0</v>
      </c>
      <c r="DO23" s="679">
        <f ca="1">CX23+SUM($BB23:BP23)</f>
        <v>0</v>
      </c>
      <c r="DQ23" s="800">
        <f t="shared" si="87"/>
        <v>0</v>
      </c>
      <c r="DR23" s="679">
        <f ca="1">IF($DT$7="Aug",SUMIFS(HIS_STOCK!$F:$F,HIS_STOCK!$A:$A,$BA$2,HIS_STOCK!$C:$C,$DQ23,HIS_STOCK!$D:$D,$DR$4,HIS_STOCK!$E:$E,$DR$7),SUMIFS(HIS_STOCK!$F:$F,HIS_STOCK!$A:$A,$BA$2,HIS_STOCK!$C:$C,$DQ23,HIS_STOCK!$D:$D,$DR$5,HIS_STOCK!$E:$E,$DR$7))</f>
        <v>0</v>
      </c>
      <c r="DS23" s="679"/>
      <c r="DT23" s="679">
        <f ca="1">'NWC_FC_NON-NOOS'!T23</f>
        <v>0</v>
      </c>
      <c r="DU23" s="679">
        <f ca="1">'NWC_FC_NON-NOOS'!U23</f>
        <v>0</v>
      </c>
      <c r="DV23" s="679">
        <f ca="1">'NWC_FC_NON-NOOS'!V23</f>
        <v>0</v>
      </c>
      <c r="DW23" s="680"/>
      <c r="DX23" s="679">
        <f ca="1">'NWC_FC_NON-NOOS'!X23</f>
        <v>0</v>
      </c>
      <c r="DY23" s="679">
        <f ca="1">'NWC_FC_NON-NOOS'!Y23</f>
        <v>0</v>
      </c>
      <c r="DZ23" s="679">
        <f ca="1">'NWC_FC_NON-NOOS'!Z23</f>
        <v>0</v>
      </c>
      <c r="EA23" s="680"/>
      <c r="EB23" s="679">
        <f ca="1">'NWC_FC_NON-NOOS'!AB23</f>
        <v>0</v>
      </c>
      <c r="EC23" s="679">
        <f ca="1">'NWC_FC_NON-NOOS'!AC23</f>
        <v>0</v>
      </c>
      <c r="ED23" s="679">
        <f ca="1">'NWC_FC_NON-NOOS'!AD23</f>
        <v>0</v>
      </c>
      <c r="EE23" s="680"/>
      <c r="EF23" s="679">
        <f ca="1">'NWC_FC_NON-NOOS'!AF23</f>
        <v>0</v>
      </c>
      <c r="EG23" s="679">
        <f ca="1">'NWC_FC_NON-NOOS'!AG23</f>
        <v>0</v>
      </c>
      <c r="EH23" s="679">
        <f ca="1">'NWC_FC_NON-NOOS'!AH23</f>
        <v>0</v>
      </c>
    </row>
    <row r="24" spans="1:138" s="23" customFormat="1" ht="15" customHeight="1" thickBot="1" x14ac:dyDescent="0.3">
      <c r="A24" s="62"/>
      <c r="B24" s="674" t="s">
        <v>80</v>
      </c>
      <c r="C24" s="674"/>
      <c r="D24" s="615">
        <f>SUM(D8:D23)</f>
        <v>0</v>
      </c>
      <c r="E24" s="615">
        <f t="shared" ref="E24:R24" si="88">SUM(E8:E23)</f>
        <v>0</v>
      </c>
      <c r="F24" s="615">
        <f t="shared" si="88"/>
        <v>0</v>
      </c>
      <c r="G24" s="616"/>
      <c r="H24" s="615">
        <f t="shared" si="88"/>
        <v>0</v>
      </c>
      <c r="I24" s="615">
        <f t="shared" si="88"/>
        <v>0</v>
      </c>
      <c r="J24" s="615">
        <f t="shared" si="88"/>
        <v>0</v>
      </c>
      <c r="K24" s="616"/>
      <c r="L24" s="615">
        <f t="shared" si="88"/>
        <v>0</v>
      </c>
      <c r="M24" s="615">
        <f t="shared" si="88"/>
        <v>0</v>
      </c>
      <c r="N24" s="615">
        <f t="shared" si="88"/>
        <v>0</v>
      </c>
      <c r="O24" s="616"/>
      <c r="P24" s="615">
        <f t="shared" si="88"/>
        <v>0</v>
      </c>
      <c r="Q24" s="615">
        <f t="shared" si="88"/>
        <v>0</v>
      </c>
      <c r="R24" s="615">
        <f t="shared" si="88"/>
        <v>0</v>
      </c>
      <c r="S24" s="449"/>
      <c r="T24" s="689">
        <f ca="1">SUM(T8:T23)</f>
        <v>0</v>
      </c>
      <c r="U24" s="689">
        <f t="shared" ref="U24:V24" ca="1" si="89">SUM(U8:U23)</f>
        <v>0</v>
      </c>
      <c r="V24" s="689">
        <f t="shared" ca="1" si="89"/>
        <v>0</v>
      </c>
      <c r="W24" s="690"/>
      <c r="X24" s="689">
        <f ca="1">SUM(X8:X23)</f>
        <v>0</v>
      </c>
      <c r="Y24" s="689">
        <f t="shared" ref="Y24" ca="1" si="90">SUM(Y8:Y23)</f>
        <v>0</v>
      </c>
      <c r="Z24" s="689">
        <f t="shared" ref="Z24" ca="1" si="91">SUM(Z8:Z23)</f>
        <v>0</v>
      </c>
      <c r="AA24" s="689"/>
      <c r="AB24" s="691">
        <f ca="1">SUM(AB8:AB23)</f>
        <v>0</v>
      </c>
      <c r="AC24" s="691">
        <f t="shared" ref="AC24" ca="1" si="92">SUM(AC8:AC23)</f>
        <v>0</v>
      </c>
      <c r="AD24" s="691">
        <f t="shared" ref="AD24" ca="1" si="93">SUM(AD8:AD23)</f>
        <v>0</v>
      </c>
      <c r="AE24" s="690"/>
      <c r="AF24" s="691">
        <f ca="1">SUM(AF8:AF23)</f>
        <v>0</v>
      </c>
      <c r="AG24" s="691">
        <f t="shared" ref="AG24" ca="1" si="94">SUM(AG8:AG23)</f>
        <v>0</v>
      </c>
      <c r="AH24" s="691">
        <f t="shared" ref="AH24" ca="1" si="95">SUM(AH8:AH23)</f>
        <v>0</v>
      </c>
      <c r="AI24" s="690"/>
      <c r="AJ24" s="674" t="str">
        <f t="shared" si="83"/>
        <v>TOTAL</v>
      </c>
      <c r="AK24" s="615">
        <f t="shared" ref="AK24:AY24" si="96">SUM(AK8:AK23)</f>
        <v>0</v>
      </c>
      <c r="AL24" s="615">
        <f t="shared" si="96"/>
        <v>0</v>
      </c>
      <c r="AM24" s="615">
        <f t="shared" si="96"/>
        <v>0</v>
      </c>
      <c r="AN24" s="616"/>
      <c r="AO24" s="615">
        <f t="shared" si="96"/>
        <v>0</v>
      </c>
      <c r="AP24" s="615">
        <f t="shared" si="96"/>
        <v>0</v>
      </c>
      <c r="AQ24" s="615">
        <f t="shared" si="96"/>
        <v>0</v>
      </c>
      <c r="AR24" s="616"/>
      <c r="AS24" s="615">
        <f t="shared" si="96"/>
        <v>0</v>
      </c>
      <c r="AT24" s="615">
        <f t="shared" si="96"/>
        <v>0</v>
      </c>
      <c r="AU24" s="615">
        <f t="shared" si="96"/>
        <v>0</v>
      </c>
      <c r="AV24" s="616"/>
      <c r="AW24" s="615">
        <f t="shared" si="96"/>
        <v>0</v>
      </c>
      <c r="AX24" s="615">
        <f t="shared" si="96"/>
        <v>0</v>
      </c>
      <c r="AY24" s="615">
        <f t="shared" si="96"/>
        <v>0</v>
      </c>
      <c r="AZ24" s="449"/>
      <c r="BA24" s="580" t="s">
        <v>80</v>
      </c>
      <c r="BB24" s="687">
        <f ca="1">SUM(BB8:BB23)</f>
        <v>0</v>
      </c>
      <c r="BC24" s="687">
        <f t="shared" ref="BC24:BD24" ca="1" si="97">SUM(BC8:BC23)</f>
        <v>0</v>
      </c>
      <c r="BD24" s="687">
        <f t="shared" ca="1" si="97"/>
        <v>0</v>
      </c>
      <c r="BE24" s="688"/>
      <c r="BF24" s="687">
        <f t="shared" ref="BF24:BH24" ca="1" si="98">SUM(BF8:BF23)</f>
        <v>0</v>
      </c>
      <c r="BG24" s="687">
        <f t="shared" ca="1" si="98"/>
        <v>0</v>
      </c>
      <c r="BH24" s="687">
        <f t="shared" ca="1" si="98"/>
        <v>0</v>
      </c>
      <c r="BI24" s="688"/>
      <c r="BJ24" s="687">
        <f t="shared" ref="BJ24:BL24" ca="1" si="99">SUM(BJ8:BJ23)</f>
        <v>0</v>
      </c>
      <c r="BK24" s="687">
        <f t="shared" ca="1" si="99"/>
        <v>0</v>
      </c>
      <c r="BL24" s="687">
        <f t="shared" ca="1" si="99"/>
        <v>0</v>
      </c>
      <c r="BM24" s="688"/>
      <c r="BN24" s="687">
        <f t="shared" ref="BN24:BP24" ca="1" si="100">SUM(BN8:BN23)</f>
        <v>0</v>
      </c>
      <c r="BO24" s="687">
        <f t="shared" ca="1" si="100"/>
        <v>0</v>
      </c>
      <c r="BP24" s="687">
        <f t="shared" ca="1" si="100"/>
        <v>0</v>
      </c>
      <c r="BQ24" s="204"/>
      <c r="BR24" s="580" t="s">
        <v>80</v>
      </c>
      <c r="BS24" s="687">
        <f ca="1">SUM(BS8:BS23)</f>
        <v>903828</v>
      </c>
      <c r="BT24" s="687">
        <f t="shared" ref="BT24:BU24" ca="1" si="101">SUM(BT8:BT23)</f>
        <v>739293</v>
      </c>
      <c r="BU24" s="687">
        <f t="shared" ca="1" si="101"/>
        <v>2916478</v>
      </c>
      <c r="BV24" s="688"/>
      <c r="BW24" s="687">
        <f t="shared" ref="BW24:BY24" ca="1" si="102">SUM(BW8:BW23)</f>
        <v>226581</v>
      </c>
      <c r="BX24" s="687">
        <f t="shared" ca="1" si="102"/>
        <v>79303</v>
      </c>
      <c r="BY24" s="687">
        <f t="shared" ca="1" si="102"/>
        <v>9605</v>
      </c>
      <c r="BZ24" s="688"/>
      <c r="CA24" s="687">
        <f t="shared" ref="CA24:CC24" ca="1" si="103">SUM(CA8:CA23)</f>
        <v>283683</v>
      </c>
      <c r="CB24" s="687">
        <f t="shared" ca="1" si="103"/>
        <v>114241</v>
      </c>
      <c r="CC24" s="687">
        <f t="shared" ca="1" si="103"/>
        <v>2678</v>
      </c>
      <c r="CD24" s="688"/>
      <c r="CE24" s="687">
        <f t="shared" ref="CE24:CG24" ca="1" si="104">SUM(CE8:CE23)</f>
        <v>0</v>
      </c>
      <c r="CF24" s="687">
        <f t="shared" ca="1" si="104"/>
        <v>0</v>
      </c>
      <c r="CG24" s="687">
        <f t="shared" ca="1" si="104"/>
        <v>0</v>
      </c>
      <c r="CH24" s="61"/>
      <c r="CI24" s="580" t="s">
        <v>80</v>
      </c>
      <c r="CJ24" s="687">
        <f ca="1">SUM(CJ8:CJ23)</f>
        <v>0</v>
      </c>
      <c r="CK24" s="687">
        <f t="shared" ref="CK24:CL24" ca="1" si="105">SUM(CK8:CK23)</f>
        <v>739293</v>
      </c>
      <c r="CL24" s="687">
        <f t="shared" ca="1" si="105"/>
        <v>3655771</v>
      </c>
      <c r="CM24" s="688"/>
      <c r="CN24" s="687">
        <f t="shared" ref="CN24:CP24" ca="1" si="106">SUM(CN8:CN23)</f>
        <v>3882352</v>
      </c>
      <c r="CO24" s="687">
        <f t="shared" ca="1" si="106"/>
        <v>3961655</v>
      </c>
      <c r="CP24" s="687">
        <f t="shared" ca="1" si="106"/>
        <v>3971260</v>
      </c>
      <c r="CQ24" s="688"/>
      <c r="CR24" s="687">
        <f t="shared" ref="CR24:CT24" ca="1" si="107">SUM(CR8:CR23)</f>
        <v>4254943</v>
      </c>
      <c r="CS24" s="687">
        <f t="shared" ca="1" si="107"/>
        <v>4369184</v>
      </c>
      <c r="CT24" s="687">
        <f t="shared" ca="1" si="107"/>
        <v>4371862</v>
      </c>
      <c r="CU24" s="688"/>
      <c r="CV24" s="687">
        <f t="shared" ref="CV24:CX24" ca="1" si="108">SUM(CV8:CV23)</f>
        <v>4371862</v>
      </c>
      <c r="CW24" s="687">
        <f t="shared" ca="1" si="108"/>
        <v>4371862</v>
      </c>
      <c r="CX24" s="687">
        <f t="shared" ca="1" si="108"/>
        <v>4371862</v>
      </c>
      <c r="CZ24" s="580" t="s">
        <v>80</v>
      </c>
      <c r="DA24" s="687">
        <f ca="1">SUM(DA8:DA23)</f>
        <v>0</v>
      </c>
      <c r="DB24" s="687">
        <f t="shared" ref="DB24:DC24" ca="1" si="109">SUM(DB8:DB23)</f>
        <v>0</v>
      </c>
      <c r="DC24" s="687">
        <f t="shared" ca="1" si="109"/>
        <v>3655771</v>
      </c>
      <c r="DD24" s="688"/>
      <c r="DE24" s="687">
        <f t="shared" ref="DE24:DG24" ca="1" si="110">SUM(DE8:DE23)</f>
        <v>3882352</v>
      </c>
      <c r="DF24" s="687">
        <f t="shared" ca="1" si="110"/>
        <v>3961655</v>
      </c>
      <c r="DG24" s="687">
        <f t="shared" ca="1" si="110"/>
        <v>3971260</v>
      </c>
      <c r="DH24" s="688"/>
      <c r="DI24" s="687">
        <f t="shared" ref="DI24:DK24" ca="1" si="111">SUM(DI8:DI23)</f>
        <v>4254943</v>
      </c>
      <c r="DJ24" s="687">
        <f t="shared" ca="1" si="111"/>
        <v>4369184</v>
      </c>
      <c r="DK24" s="687">
        <f t="shared" ca="1" si="111"/>
        <v>4371862</v>
      </c>
      <c r="DL24" s="688"/>
      <c r="DM24" s="687">
        <f t="shared" ref="DM24:DO24" ca="1" si="112">SUM(DM8:DM23)</f>
        <v>4371862</v>
      </c>
      <c r="DN24" s="687">
        <f t="shared" ca="1" si="112"/>
        <v>4371862</v>
      </c>
      <c r="DO24" s="687">
        <f t="shared" ca="1" si="112"/>
        <v>4371862</v>
      </c>
      <c r="DQ24" s="580" t="s">
        <v>80</v>
      </c>
      <c r="DR24" s="687">
        <f ca="1">SUM(DR8:DR23)</f>
        <v>0</v>
      </c>
      <c r="DS24" s="687"/>
      <c r="DT24" s="687">
        <f ca="1">SUM(DT8:DT23)</f>
        <v>0</v>
      </c>
      <c r="DU24" s="687">
        <f t="shared" ref="DU24:DV24" ca="1" si="113">SUM(DU8:DU23)</f>
        <v>0</v>
      </c>
      <c r="DV24" s="687">
        <f t="shared" ca="1" si="113"/>
        <v>0</v>
      </c>
      <c r="DW24" s="688"/>
      <c r="DX24" s="687">
        <f t="shared" ref="DX24:DZ24" ca="1" si="114">SUM(DX8:DX23)</f>
        <v>0</v>
      </c>
      <c r="DY24" s="687">
        <f t="shared" ca="1" si="114"/>
        <v>0</v>
      </c>
      <c r="DZ24" s="687">
        <f t="shared" ca="1" si="114"/>
        <v>0</v>
      </c>
      <c r="EA24" s="688"/>
      <c r="EB24" s="687">
        <f t="shared" ref="EB24:ED24" ca="1" si="115">SUM(EB8:EB23)</f>
        <v>0</v>
      </c>
      <c r="EC24" s="687">
        <f t="shared" ca="1" si="115"/>
        <v>0</v>
      </c>
      <c r="ED24" s="687">
        <f t="shared" ca="1" si="115"/>
        <v>0</v>
      </c>
      <c r="EE24" s="688"/>
      <c r="EF24" s="687">
        <f t="shared" ref="EF24:EH24" ca="1" si="116">SUM(EF8:EF23)</f>
        <v>0</v>
      </c>
      <c r="EG24" s="687">
        <f t="shared" ca="1" si="116"/>
        <v>0</v>
      </c>
      <c r="EH24" s="687">
        <f t="shared" ca="1" si="116"/>
        <v>0</v>
      </c>
    </row>
    <row r="25" spans="1:138" s="62" customFormat="1" x14ac:dyDescent="0.25">
      <c r="B25" s="21"/>
      <c r="C25" s="21"/>
      <c r="D25" s="617"/>
      <c r="E25" s="617"/>
      <c r="F25" s="617"/>
      <c r="G25" s="697"/>
      <c r="H25" s="617"/>
      <c r="I25" s="617"/>
      <c r="J25" s="617"/>
      <c r="K25" s="697"/>
      <c r="L25" s="617"/>
      <c r="M25" s="617"/>
      <c r="N25" s="617"/>
      <c r="O25" s="697"/>
      <c r="P25" s="617"/>
      <c r="Q25" s="617"/>
      <c r="R25" s="617"/>
      <c r="S25" s="697"/>
      <c r="T25" s="617"/>
      <c r="U25" s="617"/>
      <c r="V25" s="617"/>
      <c r="W25" s="697"/>
      <c r="X25" s="617"/>
      <c r="Y25" s="617"/>
      <c r="Z25" s="617"/>
      <c r="AA25" s="697"/>
      <c r="AB25" s="617"/>
      <c r="AC25" s="617"/>
      <c r="AD25" s="617"/>
      <c r="AE25" s="697"/>
      <c r="AF25" s="617"/>
      <c r="AG25" s="617"/>
      <c r="AH25" s="617"/>
      <c r="AI25" s="617"/>
      <c r="AJ25" s="617"/>
      <c r="AK25" s="617"/>
      <c r="AL25" s="617"/>
      <c r="AM25" s="617"/>
      <c r="AN25" s="617"/>
      <c r="AO25" s="617"/>
      <c r="AP25" s="617"/>
      <c r="AQ25" s="617"/>
      <c r="AR25" s="617"/>
      <c r="AS25" s="617"/>
      <c r="AT25" s="617"/>
      <c r="AU25" s="617"/>
      <c r="AV25" s="617"/>
      <c r="AW25" s="617"/>
      <c r="AX25" s="617"/>
      <c r="AY25" s="617"/>
      <c r="AZ25" s="697"/>
      <c r="BA25" s="698" t="s">
        <v>181</v>
      </c>
      <c r="BB25" s="698"/>
      <c r="BC25" s="698"/>
      <c r="BD25" s="698"/>
      <c r="BE25" s="697"/>
      <c r="BF25" s="698"/>
      <c r="BG25" s="698"/>
      <c r="BH25" s="698"/>
      <c r="BI25" s="697"/>
      <c r="BJ25" s="698"/>
      <c r="BK25" s="698"/>
      <c r="BL25" s="698"/>
      <c r="BM25" s="697"/>
      <c r="BN25" s="698"/>
      <c r="BO25" s="698"/>
      <c r="BP25" s="698"/>
      <c r="BQ25" s="669"/>
      <c r="BR25" s="698"/>
      <c r="BS25" s="698"/>
      <c r="BT25" s="698"/>
      <c r="BU25" s="698"/>
      <c r="BV25" s="697"/>
      <c r="BW25" s="698"/>
      <c r="BX25" s="698"/>
      <c r="BY25" s="698"/>
      <c r="BZ25" s="697"/>
      <c r="CA25" s="698"/>
      <c r="CB25" s="698"/>
      <c r="CC25" s="698"/>
      <c r="CD25" s="697"/>
      <c r="CE25" s="698"/>
      <c r="CF25" s="698"/>
      <c r="CG25" s="698"/>
      <c r="CI25" s="698"/>
      <c r="CJ25" s="698"/>
      <c r="CK25" s="698"/>
      <c r="CL25" s="698"/>
      <c r="CM25" s="697"/>
      <c r="CN25" s="698"/>
      <c r="CO25" s="698"/>
      <c r="CP25" s="698"/>
      <c r="CQ25" s="697"/>
      <c r="CR25" s="698"/>
      <c r="CS25" s="698"/>
      <c r="CT25" s="698"/>
      <c r="CU25" s="697"/>
      <c r="CV25" s="698"/>
      <c r="CW25" s="698"/>
      <c r="CX25" s="698"/>
      <c r="CZ25" s="698"/>
      <c r="DA25" s="698"/>
      <c r="DB25" s="698"/>
      <c r="DC25" s="698"/>
      <c r="DD25" s="697"/>
      <c r="DE25" s="698"/>
      <c r="DF25" s="698"/>
      <c r="DG25" s="698"/>
      <c r="DH25" s="697"/>
      <c r="DI25" s="698"/>
      <c r="DJ25" s="698"/>
      <c r="DK25" s="698"/>
      <c r="DL25" s="697"/>
      <c r="DM25" s="698"/>
      <c r="DN25" s="698"/>
      <c r="DO25" s="698"/>
      <c r="DT25" s="24"/>
      <c r="DU25" s="24"/>
      <c r="DV25" s="24"/>
      <c r="DW25" s="24"/>
      <c r="DX25" s="24"/>
      <c r="DY25" s="24"/>
      <c r="DZ25" s="24"/>
      <c r="EA25" s="24"/>
      <c r="EB25" s="24"/>
      <c r="EC25" s="24"/>
      <c r="ED25" s="24"/>
      <c r="EE25" s="24"/>
      <c r="EF25" s="24"/>
      <c r="EG25" s="24"/>
      <c r="EH25" s="24">
        <f t="shared" ref="EH25" ca="1" si="117">EH24*0.03</f>
        <v>0</v>
      </c>
    </row>
    <row r="26" spans="1:138" s="809" customFormat="1" ht="18" customHeight="1" thickBot="1" x14ac:dyDescent="0.4">
      <c r="A26" s="804"/>
      <c r="B26" s="805"/>
      <c r="C26" s="805"/>
      <c r="D26" s="805"/>
      <c r="E26" s="805"/>
      <c r="F26" s="805"/>
      <c r="G26" s="805"/>
      <c r="H26" s="805"/>
      <c r="I26" s="805" t="s">
        <v>276</v>
      </c>
      <c r="J26" s="805"/>
      <c r="K26" s="805"/>
      <c r="L26" s="805"/>
      <c r="M26" s="805"/>
      <c r="N26" s="805"/>
      <c r="O26" s="805"/>
      <c r="P26" s="805"/>
      <c r="Q26" s="805"/>
      <c r="R26" s="805"/>
      <c r="S26" s="810"/>
      <c r="T26" s="945" t="s">
        <v>266</v>
      </c>
      <c r="U26" s="945"/>
      <c r="V26" s="945"/>
      <c r="W26" s="945"/>
      <c r="X26" s="945"/>
      <c r="Y26" s="945"/>
      <c r="Z26" s="945"/>
      <c r="AA26" s="945"/>
      <c r="AB26" s="945"/>
      <c r="AC26" s="945"/>
      <c r="AD26" s="945"/>
      <c r="AE26" s="945"/>
      <c r="AF26" s="945"/>
      <c r="AG26" s="945"/>
      <c r="AH26" s="945"/>
      <c r="AI26" s="824"/>
      <c r="AJ26" s="945" t="s">
        <v>400</v>
      </c>
      <c r="AK26" s="945"/>
      <c r="AL26" s="945"/>
      <c r="AM26" s="945"/>
      <c r="AN26" s="945"/>
      <c r="AO26" s="945"/>
      <c r="AP26" s="945"/>
      <c r="AQ26" s="945"/>
      <c r="AR26" s="945"/>
      <c r="AS26" s="945"/>
      <c r="AT26" s="945"/>
      <c r="AU26" s="945"/>
      <c r="AV26" s="945"/>
      <c r="AW26" s="945"/>
      <c r="AX26" s="945"/>
      <c r="AY26" s="945"/>
      <c r="AZ26" s="810"/>
      <c r="BA26" s="805"/>
      <c r="BB26" s="945" t="s">
        <v>271</v>
      </c>
      <c r="BC26" s="945"/>
      <c r="BD26" s="945"/>
      <c r="BE26" s="945"/>
      <c r="BF26" s="945"/>
      <c r="BG26" s="945"/>
      <c r="BH26" s="945"/>
      <c r="BI26" s="945"/>
      <c r="BJ26" s="945"/>
      <c r="BK26" s="945"/>
      <c r="BL26" s="945"/>
      <c r="BM26" s="945"/>
      <c r="BN26" s="945"/>
      <c r="BO26" s="945"/>
      <c r="BP26" s="805"/>
      <c r="BQ26" s="807"/>
      <c r="BR26" s="944" t="s">
        <v>278</v>
      </c>
      <c r="BS26" s="944"/>
      <c r="BT26" s="944"/>
      <c r="BU26" s="944"/>
      <c r="BV26" s="944"/>
      <c r="BW26" s="944"/>
      <c r="BX26" s="944"/>
      <c r="BY26" s="944"/>
      <c r="BZ26" s="944"/>
      <c r="CA26" s="944"/>
      <c r="CB26" s="944"/>
      <c r="CC26" s="944"/>
      <c r="CD26" s="944"/>
      <c r="CE26" s="944"/>
      <c r="CF26" s="944"/>
      <c r="CG26" s="944"/>
      <c r="CH26" s="808"/>
      <c r="CI26" s="944" t="s">
        <v>269</v>
      </c>
      <c r="CJ26" s="944"/>
      <c r="CK26" s="944"/>
      <c r="CL26" s="944"/>
      <c r="CM26" s="944"/>
      <c r="CN26" s="944"/>
      <c r="CO26" s="944"/>
      <c r="CP26" s="944"/>
      <c r="CQ26" s="944"/>
      <c r="CR26" s="944"/>
      <c r="CS26" s="944"/>
      <c r="CT26" s="944"/>
      <c r="CU26" s="944"/>
      <c r="CV26" s="944"/>
      <c r="CW26" s="944"/>
      <c r="CX26" s="944"/>
      <c r="CZ26" s="944" t="s">
        <v>387</v>
      </c>
      <c r="DA26" s="944"/>
      <c r="DB26" s="944"/>
      <c r="DC26" s="944"/>
      <c r="DD26" s="944"/>
      <c r="DE26" s="944"/>
      <c r="DF26" s="944"/>
      <c r="DG26" s="944"/>
      <c r="DH26" s="944"/>
      <c r="DI26" s="944"/>
      <c r="DJ26" s="944"/>
      <c r="DK26" s="944"/>
      <c r="DL26" s="944"/>
      <c r="DM26" s="944"/>
      <c r="DN26" s="944"/>
      <c r="DO26" s="944"/>
      <c r="DQ26" s="944" t="s">
        <v>388</v>
      </c>
      <c r="DR26" s="944"/>
      <c r="DS26" s="944"/>
      <c r="DT26" s="944"/>
      <c r="DU26" s="944"/>
      <c r="DV26" s="944"/>
      <c r="DW26" s="944"/>
      <c r="DX26" s="944"/>
      <c r="DY26" s="944"/>
      <c r="DZ26" s="944"/>
      <c r="EA26" s="944"/>
      <c r="EB26" s="944"/>
      <c r="EC26" s="944"/>
      <c r="ED26" s="944"/>
      <c r="EE26" s="944"/>
      <c r="EF26" s="944"/>
      <c r="EG26" s="944"/>
      <c r="EH26" s="944"/>
    </row>
    <row r="27" spans="1:138" s="62" customFormat="1" ht="17.25" hidden="1" customHeight="1" x14ac:dyDescent="0.3">
      <c r="B27" s="665"/>
      <c r="C27" s="665"/>
      <c r="D27" s="666" t="str">
        <f t="shared" ref="D27:R27" ca="1" si="118">D4</f>
        <v>18/19Feb</v>
      </c>
      <c r="E27" s="666" t="str">
        <f t="shared" ca="1" si="118"/>
        <v>18/19Mar</v>
      </c>
      <c r="F27" s="666" t="str">
        <f t="shared" ca="1" si="118"/>
        <v>18/19Apr</v>
      </c>
      <c r="G27" s="666">
        <f t="shared" si="118"/>
        <v>0</v>
      </c>
      <c r="H27" s="666" t="str">
        <f t="shared" ca="1" si="118"/>
        <v>18/19May</v>
      </c>
      <c r="I27" s="666" t="str">
        <f t="shared" ca="1" si="118"/>
        <v>18/19Jun</v>
      </c>
      <c r="J27" s="666" t="str">
        <f t="shared" ca="1" si="118"/>
        <v>18/19Jul</v>
      </c>
      <c r="K27" s="666">
        <f t="shared" si="118"/>
        <v>0</v>
      </c>
      <c r="L27" s="666" t="str">
        <f t="shared" ca="1" si="118"/>
        <v>19/20Aug</v>
      </c>
      <c r="M27" s="666" t="str">
        <f t="shared" ca="1" si="118"/>
        <v>19/20Sep</v>
      </c>
      <c r="N27" s="666" t="str">
        <f t="shared" ca="1" si="118"/>
        <v>19/20Oct</v>
      </c>
      <c r="O27" s="666">
        <f t="shared" si="118"/>
        <v>0</v>
      </c>
      <c r="P27" s="666" t="str">
        <f t="shared" ca="1" si="118"/>
        <v>19/20Nov</v>
      </c>
      <c r="Q27" s="666" t="str">
        <f t="shared" ca="1" si="118"/>
        <v>19/20Dec</v>
      </c>
      <c r="R27" s="666" t="str">
        <f t="shared" ca="1" si="118"/>
        <v>19/20Jan</v>
      </c>
      <c r="S27" s="576"/>
      <c r="T27" s="666" t="str">
        <f t="shared" ref="T27:AH27" ca="1" si="119">T4</f>
        <v>18/19Feb</v>
      </c>
      <c r="U27" s="666" t="str">
        <f t="shared" ca="1" si="119"/>
        <v>18/19Mar</v>
      </c>
      <c r="V27" s="666" t="str">
        <f t="shared" ca="1" si="119"/>
        <v>18/19Apr</v>
      </c>
      <c r="W27" s="666">
        <f t="shared" si="119"/>
        <v>0</v>
      </c>
      <c r="X27" s="666" t="str">
        <f t="shared" ca="1" si="119"/>
        <v>18/19May</v>
      </c>
      <c r="Y27" s="666" t="str">
        <f t="shared" ca="1" si="119"/>
        <v>18/19Jun</v>
      </c>
      <c r="Z27" s="666" t="str">
        <f t="shared" ca="1" si="119"/>
        <v>18/19Jul</v>
      </c>
      <c r="AA27" s="666">
        <f t="shared" si="119"/>
        <v>0</v>
      </c>
      <c r="AB27" s="666" t="str">
        <f t="shared" ca="1" si="119"/>
        <v>19/20Aug</v>
      </c>
      <c r="AC27" s="666" t="str">
        <f t="shared" ca="1" si="119"/>
        <v>19/20Sep</v>
      </c>
      <c r="AD27" s="666" t="str">
        <f t="shared" ca="1" si="119"/>
        <v>19/20Oct</v>
      </c>
      <c r="AE27" s="666">
        <f t="shared" si="119"/>
        <v>0</v>
      </c>
      <c r="AF27" s="666" t="str">
        <f t="shared" ca="1" si="119"/>
        <v>19/20Nov</v>
      </c>
      <c r="AG27" s="666" t="str">
        <f t="shared" ca="1" si="119"/>
        <v>19/20Dec</v>
      </c>
      <c r="AH27" s="666" t="str">
        <f t="shared" ca="1" si="119"/>
        <v>19/20Jan</v>
      </c>
      <c r="AI27" s="666"/>
      <c r="AJ27" s="597"/>
      <c r="AK27" s="22" t="str">
        <f ca="1">$AK$5&amp;AK30</f>
        <v>18/19Feb</v>
      </c>
      <c r="AL27" s="22" t="str">
        <f t="shared" ref="AL27:AM27" ca="1" si="120">$AK$5&amp;AL30</f>
        <v>18/19Mar</v>
      </c>
      <c r="AM27" s="22" t="str">
        <f t="shared" ca="1" si="120"/>
        <v>18/19Apr</v>
      </c>
      <c r="AN27" s="328"/>
      <c r="AO27" s="22" t="str">
        <f ca="1">$AO$5&amp;AO30</f>
        <v>18/19May</v>
      </c>
      <c r="AP27" s="22" t="str">
        <f t="shared" ref="AP27:AQ27" ca="1" si="121">$AO$5&amp;AP30</f>
        <v>18/19Jun</v>
      </c>
      <c r="AQ27" s="22" t="str">
        <f t="shared" ca="1" si="121"/>
        <v>18/19Jul</v>
      </c>
      <c r="AR27" s="328"/>
      <c r="AS27" s="22" t="str">
        <f ca="1">$AS$5&amp;AS30</f>
        <v>19/20Aug</v>
      </c>
      <c r="AT27" s="22" t="str">
        <f t="shared" ref="AT27:AU27" ca="1" si="122">$AS$5&amp;AT30</f>
        <v>19/20Sep</v>
      </c>
      <c r="AU27" s="22" t="str">
        <f t="shared" ca="1" si="122"/>
        <v>19/20Oct</v>
      </c>
      <c r="AV27" s="328"/>
      <c r="AW27" s="22" t="str">
        <f ca="1">$AW$5&amp;AW30</f>
        <v>19/20Nov</v>
      </c>
      <c r="AX27" s="22" t="str">
        <f t="shared" ref="AX27:AY27" ca="1" si="123">$AW$5&amp;AX30</f>
        <v>19/20Dec</v>
      </c>
      <c r="AY27" s="22" t="str">
        <f t="shared" ca="1" si="123"/>
        <v>19/20Jan</v>
      </c>
      <c r="AZ27" s="576"/>
      <c r="BA27" s="667"/>
      <c r="BB27" s="666" t="str">
        <f t="shared" ref="BB27:BP27" ca="1" si="124">BB4</f>
        <v>18/19Feb</v>
      </c>
      <c r="BC27" s="666" t="str">
        <f t="shared" ca="1" si="124"/>
        <v>18/19Mar</v>
      </c>
      <c r="BD27" s="666" t="str">
        <f t="shared" ca="1" si="124"/>
        <v>18/19Apr</v>
      </c>
      <c r="BE27" s="666">
        <f t="shared" si="124"/>
        <v>0</v>
      </c>
      <c r="BF27" s="666" t="str">
        <f t="shared" ca="1" si="124"/>
        <v>18/19May</v>
      </c>
      <c r="BG27" s="666" t="str">
        <f t="shared" ca="1" si="124"/>
        <v>18/19Jun</v>
      </c>
      <c r="BH27" s="666" t="str">
        <f t="shared" ca="1" si="124"/>
        <v>18/19Jul</v>
      </c>
      <c r="BI27" s="666">
        <f t="shared" si="124"/>
        <v>0</v>
      </c>
      <c r="BJ27" s="666" t="str">
        <f t="shared" ca="1" si="124"/>
        <v>19/20Aug</v>
      </c>
      <c r="BK27" s="666" t="str">
        <f t="shared" ca="1" si="124"/>
        <v>19/20Sep</v>
      </c>
      <c r="BL27" s="666" t="str">
        <f t="shared" ca="1" si="124"/>
        <v>19/20Oct</v>
      </c>
      <c r="BM27" s="666">
        <f t="shared" si="124"/>
        <v>0</v>
      </c>
      <c r="BN27" s="666" t="str">
        <f t="shared" ca="1" si="124"/>
        <v>19/20Nov</v>
      </c>
      <c r="BO27" s="666" t="str">
        <f t="shared" ca="1" si="124"/>
        <v>19/20Dec</v>
      </c>
      <c r="BP27" s="668" t="str">
        <f t="shared" ca="1" si="124"/>
        <v>19/20Jan</v>
      </c>
      <c r="BQ27" s="669"/>
      <c r="BR27" s="672"/>
      <c r="BS27" s="22" t="str">
        <f ca="1">$D$5&amp;BS30</f>
        <v>18/19Feb</v>
      </c>
      <c r="BT27" s="22" t="str">
        <f t="shared" ref="BT27:BU27" ca="1" si="125">$D$5&amp;BT30</f>
        <v>18/19Mar</v>
      </c>
      <c r="BU27" s="22" t="str">
        <f t="shared" ca="1" si="125"/>
        <v>18/19Apr</v>
      </c>
      <c r="BV27" s="328"/>
      <c r="BW27" s="22" t="str">
        <f ca="1">$H$5&amp;BW30</f>
        <v>18/19May</v>
      </c>
      <c r="BX27" s="22" t="str">
        <f t="shared" ref="BX27:BY27" ca="1" si="126">$H$5&amp;BX30</f>
        <v>18/19Jun</v>
      </c>
      <c r="BY27" s="22" t="str">
        <f t="shared" ca="1" si="126"/>
        <v>18/19Jul</v>
      </c>
      <c r="BZ27" s="328"/>
      <c r="CA27" s="22" t="str">
        <f ca="1">$L$5&amp;CA30</f>
        <v>19/20Aug</v>
      </c>
      <c r="CB27" s="22" t="str">
        <f t="shared" ref="CB27:CC27" ca="1" si="127">$L$5&amp;CB30</f>
        <v>19/20Sep</v>
      </c>
      <c r="CC27" s="22" t="str">
        <f t="shared" ca="1" si="127"/>
        <v>19/20Oct</v>
      </c>
      <c r="CD27" s="328"/>
      <c r="CE27" s="22" t="str">
        <f ca="1">$P$5&amp;CE30</f>
        <v>19/20Nov</v>
      </c>
      <c r="CF27" s="22" t="str">
        <f t="shared" ref="CF27:CG27" ca="1" si="128">$P$5&amp;CF30</f>
        <v>19/20Dec</v>
      </c>
      <c r="CG27" s="22" t="str">
        <f t="shared" ca="1" si="128"/>
        <v>19/20Jan</v>
      </c>
      <c r="CI27" s="672"/>
      <c r="CJ27" s="22" t="str">
        <f ca="1">$D$5&amp;CJ30</f>
        <v>18/19Feb</v>
      </c>
      <c r="CK27" s="22" t="str">
        <f t="shared" ref="CK27:CL27" ca="1" si="129">$D$5&amp;CK30</f>
        <v>18/19Mar</v>
      </c>
      <c r="CL27" s="22" t="str">
        <f t="shared" ca="1" si="129"/>
        <v>18/19Apr</v>
      </c>
      <c r="CM27" s="328"/>
      <c r="CN27" s="22" t="str">
        <f ca="1">$H$5&amp;CN30</f>
        <v>18/19May</v>
      </c>
      <c r="CO27" s="22" t="str">
        <f t="shared" ref="CO27:CP27" ca="1" si="130">$H$5&amp;CO30</f>
        <v>18/19Jun</v>
      </c>
      <c r="CP27" s="22" t="str">
        <f t="shared" ca="1" si="130"/>
        <v>18/19Jul</v>
      </c>
      <c r="CQ27" s="328"/>
      <c r="CR27" s="22" t="str">
        <f ca="1">$L$5&amp;CR30</f>
        <v>19/20Aug</v>
      </c>
      <c r="CS27" s="22" t="str">
        <f t="shared" ref="CS27:CT27" ca="1" si="131">$L$5&amp;CS30</f>
        <v>19/20Sep</v>
      </c>
      <c r="CT27" s="22" t="str">
        <f t="shared" ca="1" si="131"/>
        <v>19/20Oct</v>
      </c>
      <c r="CU27" s="328"/>
      <c r="CV27" s="22" t="str">
        <f ca="1">$P$5&amp;CV30</f>
        <v>19/20Nov</v>
      </c>
      <c r="CW27" s="22" t="str">
        <f t="shared" ref="CW27:CX27" ca="1" si="132">$P$5&amp;CW30</f>
        <v>19/20Dec</v>
      </c>
      <c r="CX27" s="22" t="str">
        <f t="shared" ca="1" si="132"/>
        <v>19/20Jan</v>
      </c>
      <c r="CZ27" s="672"/>
      <c r="DA27" s="22" t="str">
        <f ca="1">$D$5&amp;DA30</f>
        <v>18/19Feb</v>
      </c>
      <c r="DB27" s="22" t="str">
        <f t="shared" ref="DB27:DC27" ca="1" si="133">$D$5&amp;DB30</f>
        <v>18/19Mar</v>
      </c>
      <c r="DC27" s="22" t="str">
        <f t="shared" ca="1" si="133"/>
        <v>18/19Apr</v>
      </c>
      <c r="DD27" s="328"/>
      <c r="DE27" s="22" t="str">
        <f ca="1">$H$5&amp;DE30</f>
        <v>18/19May</v>
      </c>
      <c r="DF27" s="22" t="str">
        <f t="shared" ref="DF27:DG27" ca="1" si="134">$H$5&amp;DF30</f>
        <v>18/19Jun</v>
      </c>
      <c r="DG27" s="22" t="str">
        <f t="shared" ca="1" si="134"/>
        <v>18/19Jul</v>
      </c>
      <c r="DH27" s="328"/>
      <c r="DI27" s="22" t="str">
        <f ca="1">$L$5&amp;DI30</f>
        <v>19/20Aug</v>
      </c>
      <c r="DJ27" s="22" t="str">
        <f t="shared" ref="DJ27:DK27" ca="1" si="135">$L$5&amp;DJ30</f>
        <v>19/20Sep</v>
      </c>
      <c r="DK27" s="22" t="str">
        <f t="shared" ca="1" si="135"/>
        <v>19/20Oct</v>
      </c>
      <c r="DL27" s="328"/>
      <c r="DM27" s="22" t="str">
        <f ca="1">$P$5&amp;DM30</f>
        <v>19/20Nov</v>
      </c>
      <c r="DN27" s="22" t="str">
        <f t="shared" ref="DN27:DO27" ca="1" si="136">$P$5&amp;DN30</f>
        <v>19/20Dec</v>
      </c>
      <c r="DO27" s="22" t="str">
        <f t="shared" ca="1" si="136"/>
        <v>19/20Jan</v>
      </c>
      <c r="DQ27" s="672"/>
      <c r="DR27" s="672"/>
      <c r="DS27" s="672"/>
      <c r="DT27" s="22"/>
      <c r="DU27" s="22"/>
      <c r="DV27" s="22"/>
      <c r="DW27" s="328"/>
      <c r="DX27" s="22"/>
      <c r="DY27" s="22"/>
      <c r="DZ27" s="22"/>
      <c r="EA27" s="328"/>
      <c r="EB27" s="22"/>
      <c r="EC27" s="22"/>
      <c r="ED27" s="22"/>
      <c r="EE27" s="328"/>
      <c r="EF27" s="22"/>
      <c r="EG27" s="22"/>
      <c r="EH27" s="22"/>
    </row>
    <row r="28" spans="1:138" x14ac:dyDescent="0.25">
      <c r="B28" s="378"/>
      <c r="C28" s="378"/>
      <c r="D28" s="894" t="str">
        <f ca="1">D5</f>
        <v>18/19</v>
      </c>
      <c r="E28" s="894"/>
      <c r="F28" s="894"/>
      <c r="G28" s="289"/>
      <c r="H28" s="894" t="str">
        <f ca="1">H5</f>
        <v>18/19</v>
      </c>
      <c r="I28" s="894"/>
      <c r="J28" s="894"/>
      <c r="K28" s="289"/>
      <c r="L28" s="894" t="str">
        <f ca="1">L5</f>
        <v>19/20</v>
      </c>
      <c r="M28" s="894"/>
      <c r="N28" s="894"/>
      <c r="O28" s="289"/>
      <c r="P28" s="894" t="str">
        <f ca="1">P5</f>
        <v>19/20</v>
      </c>
      <c r="Q28" s="894"/>
      <c r="R28" s="894"/>
      <c r="T28" s="894" t="str">
        <f ca="1">T5</f>
        <v>18/19</v>
      </c>
      <c r="U28" s="894"/>
      <c r="V28" s="894"/>
      <c r="W28" s="289"/>
      <c r="X28" s="894" t="str">
        <f ca="1">X5</f>
        <v>18/19</v>
      </c>
      <c r="Y28" s="894"/>
      <c r="Z28" s="894"/>
      <c r="AA28" s="289"/>
      <c r="AB28" s="894" t="str">
        <f ca="1">AB5</f>
        <v>19/20</v>
      </c>
      <c r="AC28" s="894"/>
      <c r="AD28" s="894"/>
      <c r="AE28" s="289"/>
      <c r="AF28" s="894" t="str">
        <f ca="1">AF5</f>
        <v>19/20</v>
      </c>
      <c r="AG28" s="894"/>
      <c r="AH28" s="894"/>
      <c r="AI28" s="822"/>
      <c r="AJ28" s="798"/>
      <c r="AK28" s="894" t="str">
        <f ca="1">T28</f>
        <v>18/19</v>
      </c>
      <c r="AL28" s="894"/>
      <c r="AM28" s="894"/>
      <c r="AN28" s="289"/>
      <c r="AO28" s="894" t="str">
        <f ca="1">X28</f>
        <v>18/19</v>
      </c>
      <c r="AP28" s="894"/>
      <c r="AQ28" s="894"/>
      <c r="AR28" s="289"/>
      <c r="AS28" s="894" t="str">
        <f ca="1">AB28</f>
        <v>19/20</v>
      </c>
      <c r="AT28" s="894"/>
      <c r="AU28" s="894"/>
      <c r="AV28" s="289"/>
      <c r="AW28" s="894" t="str">
        <f ca="1">AF28</f>
        <v>19/20</v>
      </c>
      <c r="AX28" s="894"/>
      <c r="AY28" s="894"/>
      <c r="BA28" s="378"/>
      <c r="BB28" s="894" t="str">
        <f ca="1">BB5</f>
        <v>18/19</v>
      </c>
      <c r="BC28" s="894"/>
      <c r="BD28" s="894"/>
      <c r="BE28" s="289"/>
      <c r="BF28" s="894" t="str">
        <f ca="1">BF5</f>
        <v>18/19</v>
      </c>
      <c r="BG28" s="894"/>
      <c r="BH28" s="894"/>
      <c r="BI28" s="289"/>
      <c r="BJ28" s="894" t="str">
        <f ca="1">BJ5</f>
        <v>19/20</v>
      </c>
      <c r="BK28" s="894"/>
      <c r="BL28" s="894"/>
      <c r="BM28" s="289"/>
      <c r="BN28" s="894" t="str">
        <f ca="1">BN5</f>
        <v>19/20</v>
      </c>
      <c r="BO28" s="894"/>
      <c r="BP28" s="894"/>
      <c r="BR28" s="378"/>
      <c r="BS28" s="894" t="str">
        <f ca="1">BB28</f>
        <v>18/19</v>
      </c>
      <c r="BT28" s="894"/>
      <c r="BU28" s="894"/>
      <c r="BV28" s="289"/>
      <c r="BW28" s="894" t="str">
        <f ca="1">BF28</f>
        <v>18/19</v>
      </c>
      <c r="BX28" s="894"/>
      <c r="BY28" s="894"/>
      <c r="BZ28" s="289"/>
      <c r="CA28" s="894" t="str">
        <f ca="1">BJ28</f>
        <v>19/20</v>
      </c>
      <c r="CB28" s="894"/>
      <c r="CC28" s="894"/>
      <c r="CD28" s="289"/>
      <c r="CE28" s="894" t="str">
        <f ca="1">BN28</f>
        <v>19/20</v>
      </c>
      <c r="CF28" s="894"/>
      <c r="CG28" s="894"/>
      <c r="CI28" s="378"/>
      <c r="CJ28" s="894" t="str">
        <f ca="1">BS28</f>
        <v>18/19</v>
      </c>
      <c r="CK28" s="894"/>
      <c r="CL28" s="894"/>
      <c r="CM28" s="289"/>
      <c r="CN28" s="894" t="str">
        <f ca="1">BW28</f>
        <v>18/19</v>
      </c>
      <c r="CO28" s="894"/>
      <c r="CP28" s="894"/>
      <c r="CQ28" s="289"/>
      <c r="CR28" s="894" t="str">
        <f ca="1">CA28</f>
        <v>19/20</v>
      </c>
      <c r="CS28" s="894"/>
      <c r="CT28" s="894"/>
      <c r="CU28" s="289"/>
      <c r="CV28" s="894" t="str">
        <f ca="1">CE28</f>
        <v>19/20</v>
      </c>
      <c r="CW28" s="894"/>
      <c r="CX28" s="894"/>
      <c r="CZ28" s="378"/>
      <c r="DA28" s="894" t="str">
        <f ca="1">CJ28</f>
        <v>18/19</v>
      </c>
      <c r="DB28" s="894"/>
      <c r="DC28" s="894"/>
      <c r="DD28" s="289"/>
      <c r="DE28" s="894" t="str">
        <f ca="1">CN28</f>
        <v>18/19</v>
      </c>
      <c r="DF28" s="894"/>
      <c r="DG28" s="894"/>
      <c r="DH28" s="289"/>
      <c r="DI28" s="894" t="str">
        <f ca="1">CR28</f>
        <v>19/20</v>
      </c>
      <c r="DJ28" s="894"/>
      <c r="DK28" s="894"/>
      <c r="DL28" s="289"/>
      <c r="DM28" s="894" t="str">
        <f ca="1">CV28</f>
        <v>19/20</v>
      </c>
      <c r="DN28" s="894"/>
      <c r="DO28" s="894"/>
      <c r="DQ28" s="378"/>
      <c r="DR28" s="378"/>
      <c r="DS28" s="378"/>
      <c r="DT28" s="894" t="str">
        <f ca="1">DA28</f>
        <v>18/19</v>
      </c>
      <c r="DU28" s="894"/>
      <c r="DV28" s="894"/>
      <c r="DW28" s="289"/>
      <c r="DX28" s="894" t="str">
        <f ca="1">DE28</f>
        <v>18/19</v>
      </c>
      <c r="DY28" s="894"/>
      <c r="DZ28" s="894"/>
      <c r="EA28" s="289"/>
      <c r="EB28" s="894" t="str">
        <f ca="1">DI28</f>
        <v>19/20</v>
      </c>
      <c r="EC28" s="894"/>
      <c r="ED28" s="894"/>
      <c r="EE28" s="289"/>
      <c r="EF28" s="894" t="str">
        <f ca="1">DM28</f>
        <v>19/20</v>
      </c>
      <c r="EG28" s="894"/>
      <c r="EH28" s="894"/>
    </row>
    <row r="29" spans="1:138" x14ac:dyDescent="0.25">
      <c r="B29" s="1"/>
      <c r="C29" s="1"/>
      <c r="D29" s="942" t="str">
        <f ca="1">D6</f>
        <v>Q3</v>
      </c>
      <c r="E29" s="942"/>
      <c r="F29" s="942"/>
      <c r="G29" s="289"/>
      <c r="H29" s="942" t="str">
        <f ca="1">H6</f>
        <v>Q4</v>
      </c>
      <c r="I29" s="942"/>
      <c r="J29" s="942"/>
      <c r="K29" s="289"/>
      <c r="L29" s="942" t="str">
        <f ca="1">L6</f>
        <v>Q1</v>
      </c>
      <c r="M29" s="942"/>
      <c r="N29" s="942"/>
      <c r="O29" s="289"/>
      <c r="P29" s="942" t="str">
        <f ca="1">P6</f>
        <v>Q2</v>
      </c>
      <c r="Q29" s="942"/>
      <c r="R29" s="942"/>
      <c r="T29" s="942" t="str">
        <f ca="1">T6</f>
        <v>Q3</v>
      </c>
      <c r="U29" s="942"/>
      <c r="V29" s="942"/>
      <c r="W29" s="289"/>
      <c r="X29" s="942" t="str">
        <f ca="1">X6</f>
        <v>Q4</v>
      </c>
      <c r="Y29" s="942"/>
      <c r="Z29" s="942"/>
      <c r="AA29" s="289"/>
      <c r="AB29" s="942" t="str">
        <f ca="1">AB6</f>
        <v>Q1</v>
      </c>
      <c r="AC29" s="942"/>
      <c r="AD29" s="942"/>
      <c r="AE29" s="289"/>
      <c r="AF29" s="942" t="str">
        <f ca="1">AF6</f>
        <v>Q2</v>
      </c>
      <c r="AG29" s="942"/>
      <c r="AH29" s="942"/>
      <c r="AI29" s="823"/>
      <c r="AJ29" s="1"/>
      <c r="AK29" s="942" t="str">
        <f ca="1">T29</f>
        <v>Q3</v>
      </c>
      <c r="AL29" s="942"/>
      <c r="AM29" s="942"/>
      <c r="AN29" s="289"/>
      <c r="AO29" s="942" t="str">
        <f ca="1">X29</f>
        <v>Q4</v>
      </c>
      <c r="AP29" s="942"/>
      <c r="AQ29" s="942"/>
      <c r="AR29" s="289"/>
      <c r="AS29" s="942" t="str">
        <f ca="1">AB29</f>
        <v>Q1</v>
      </c>
      <c r="AT29" s="942"/>
      <c r="AU29" s="942"/>
      <c r="AV29" s="289"/>
      <c r="AW29" s="942" t="str">
        <f ca="1">AF29</f>
        <v>Q2</v>
      </c>
      <c r="AX29" s="942"/>
      <c r="AY29" s="942"/>
      <c r="BA29" s="1"/>
      <c r="BB29" s="942" t="str">
        <f ca="1">BB6</f>
        <v>Q3</v>
      </c>
      <c r="BC29" s="942"/>
      <c r="BD29" s="942"/>
      <c r="BE29" s="289"/>
      <c r="BF29" s="942" t="str">
        <f ca="1">BF6</f>
        <v>Q4</v>
      </c>
      <c r="BG29" s="942"/>
      <c r="BH29" s="942"/>
      <c r="BI29" s="289"/>
      <c r="BJ29" s="942" t="str">
        <f ca="1">BJ6</f>
        <v>Q1</v>
      </c>
      <c r="BK29" s="942"/>
      <c r="BL29" s="942"/>
      <c r="BM29" s="289"/>
      <c r="BN29" s="942" t="str">
        <f ca="1">BN6</f>
        <v>Q2</v>
      </c>
      <c r="BO29" s="942"/>
      <c r="BP29" s="942"/>
      <c r="BR29" s="1"/>
      <c r="BS29" s="894" t="str">
        <f ca="1">BB29</f>
        <v>Q3</v>
      </c>
      <c r="BT29" s="894"/>
      <c r="BU29" s="894"/>
      <c r="BV29" s="289"/>
      <c r="BW29" s="894" t="str">
        <f ca="1">BF29</f>
        <v>Q4</v>
      </c>
      <c r="BX29" s="894"/>
      <c r="BY29" s="894"/>
      <c r="BZ29" s="289"/>
      <c r="CA29" s="894" t="str">
        <f ca="1">BJ29</f>
        <v>Q1</v>
      </c>
      <c r="CB29" s="894"/>
      <c r="CC29" s="894"/>
      <c r="CD29" s="289"/>
      <c r="CE29" s="894" t="str">
        <f ca="1">BN29</f>
        <v>Q2</v>
      </c>
      <c r="CF29" s="894"/>
      <c r="CG29" s="894"/>
      <c r="CI29" s="1"/>
      <c r="CJ29" s="894" t="str">
        <f ca="1">BS29</f>
        <v>Q3</v>
      </c>
      <c r="CK29" s="894"/>
      <c r="CL29" s="894"/>
      <c r="CM29" s="289"/>
      <c r="CN29" s="894" t="str">
        <f ca="1">BW29</f>
        <v>Q4</v>
      </c>
      <c r="CO29" s="894"/>
      <c r="CP29" s="894"/>
      <c r="CQ29" s="289"/>
      <c r="CR29" s="894" t="str">
        <f ca="1">CA29</f>
        <v>Q1</v>
      </c>
      <c r="CS29" s="894"/>
      <c r="CT29" s="894"/>
      <c r="CU29" s="289"/>
      <c r="CV29" s="894" t="str">
        <f ca="1">CE29</f>
        <v>Q2</v>
      </c>
      <c r="CW29" s="894"/>
      <c r="CX29" s="894"/>
      <c r="CZ29" s="1"/>
      <c r="DA29" s="894" t="str">
        <f ca="1">CJ29</f>
        <v>Q3</v>
      </c>
      <c r="DB29" s="894"/>
      <c r="DC29" s="894"/>
      <c r="DD29" s="289"/>
      <c r="DE29" s="894" t="str">
        <f ca="1">CN29</f>
        <v>Q4</v>
      </c>
      <c r="DF29" s="894"/>
      <c r="DG29" s="894"/>
      <c r="DH29" s="289"/>
      <c r="DI29" s="894" t="str">
        <f ca="1">CR29</f>
        <v>Q1</v>
      </c>
      <c r="DJ29" s="894"/>
      <c r="DK29" s="894"/>
      <c r="DL29" s="289"/>
      <c r="DM29" s="894" t="str">
        <f ca="1">CV29</f>
        <v>Q2</v>
      </c>
      <c r="DN29" s="894"/>
      <c r="DO29" s="894"/>
      <c r="DQ29" s="1"/>
      <c r="DR29" s="1"/>
      <c r="DS29" s="1"/>
      <c r="DT29" s="894" t="str">
        <f ca="1">DA29</f>
        <v>Q3</v>
      </c>
      <c r="DU29" s="894"/>
      <c r="DV29" s="894"/>
      <c r="DW29" s="289"/>
      <c r="DX29" s="894" t="str">
        <f ca="1">DE29</f>
        <v>Q4</v>
      </c>
      <c r="DY29" s="894"/>
      <c r="DZ29" s="894"/>
      <c r="EA29" s="289"/>
      <c r="EB29" s="894" t="str">
        <f ca="1">DI29</f>
        <v>Q1</v>
      </c>
      <c r="EC29" s="894"/>
      <c r="ED29" s="894"/>
      <c r="EE29" s="289"/>
      <c r="EF29" s="894" t="str">
        <f ca="1">DM29</f>
        <v>Q2</v>
      </c>
      <c r="EG29" s="894"/>
      <c r="EH29" s="894"/>
    </row>
    <row r="30" spans="1:138" x14ac:dyDescent="0.25">
      <c r="B30" s="379"/>
      <c r="C30" s="379"/>
      <c r="D30" s="380" t="str">
        <f ca="1">D7</f>
        <v>Feb</v>
      </c>
      <c r="E30" s="380" t="str">
        <f ca="1">E7</f>
        <v>Mar</v>
      </c>
      <c r="F30" s="380" t="str">
        <f ca="1">F7</f>
        <v>Apr</v>
      </c>
      <c r="G30" s="289"/>
      <c r="H30" s="380" t="str">
        <f ca="1">H7</f>
        <v>May</v>
      </c>
      <c r="I30" s="380" t="str">
        <f ca="1">I7</f>
        <v>Jun</v>
      </c>
      <c r="J30" s="380" t="str">
        <f ca="1">J7</f>
        <v>Jul</v>
      </c>
      <c r="K30" s="289"/>
      <c r="L30" s="380" t="str">
        <f ca="1">L7</f>
        <v>Aug</v>
      </c>
      <c r="M30" s="380" t="str">
        <f ca="1">M7</f>
        <v>Sep</v>
      </c>
      <c r="N30" s="380" t="str">
        <f ca="1">N7</f>
        <v>Oct</v>
      </c>
      <c r="O30" s="289"/>
      <c r="P30" s="380" t="str">
        <f ca="1">P7</f>
        <v>Nov</v>
      </c>
      <c r="Q30" s="380" t="str">
        <f ca="1">Q7</f>
        <v>Dec</v>
      </c>
      <c r="R30" s="380" t="str">
        <f ca="1">R7</f>
        <v>Jan</v>
      </c>
      <c r="T30" s="380" t="str">
        <f ca="1">T7</f>
        <v>Feb</v>
      </c>
      <c r="U30" s="380" t="str">
        <f ca="1">U7</f>
        <v>Mar</v>
      </c>
      <c r="V30" s="380" t="str">
        <f ca="1">V7</f>
        <v>Apr</v>
      </c>
      <c r="W30" s="289"/>
      <c r="X30" s="380" t="str">
        <f ca="1">X7</f>
        <v>May</v>
      </c>
      <c r="Y30" s="380" t="str">
        <f ca="1">Y7</f>
        <v>Jun</v>
      </c>
      <c r="Z30" s="380" t="str">
        <f ca="1">Z7</f>
        <v>Jul</v>
      </c>
      <c r="AA30" s="289"/>
      <c r="AB30" s="380" t="str">
        <f ca="1">AB7</f>
        <v>Aug</v>
      </c>
      <c r="AC30" s="380" t="str">
        <f ca="1">AC7</f>
        <v>Sep</v>
      </c>
      <c r="AD30" s="380" t="str">
        <f ca="1">AD7</f>
        <v>Oct</v>
      </c>
      <c r="AE30" s="289"/>
      <c r="AF30" s="380" t="str">
        <f ca="1">AF7</f>
        <v>Nov</v>
      </c>
      <c r="AG30" s="380" t="str">
        <f ca="1">AG7</f>
        <v>Dec</v>
      </c>
      <c r="AH30" s="380" t="str">
        <f ca="1">AH7</f>
        <v>Jan</v>
      </c>
      <c r="AI30" s="822"/>
      <c r="AJ30" s="379"/>
      <c r="AK30" s="380" t="str">
        <f ca="1">T30</f>
        <v>Feb</v>
      </c>
      <c r="AL30" s="380" t="str">
        <f t="shared" ref="AL30:AY30" ca="1" si="137">U30</f>
        <v>Mar</v>
      </c>
      <c r="AM30" s="380" t="str">
        <f t="shared" ca="1" si="137"/>
        <v>Apr</v>
      </c>
      <c r="AN30" s="289"/>
      <c r="AO30" s="380" t="str">
        <f t="shared" ca="1" si="137"/>
        <v>May</v>
      </c>
      <c r="AP30" s="380" t="str">
        <f t="shared" ca="1" si="137"/>
        <v>Jun</v>
      </c>
      <c r="AQ30" s="380" t="str">
        <f t="shared" ca="1" si="137"/>
        <v>Jul</v>
      </c>
      <c r="AR30" s="289"/>
      <c r="AS30" s="380" t="str">
        <f t="shared" ca="1" si="137"/>
        <v>Aug</v>
      </c>
      <c r="AT30" s="380" t="str">
        <f t="shared" ca="1" si="137"/>
        <v>Sep</v>
      </c>
      <c r="AU30" s="380" t="str">
        <f t="shared" ca="1" si="137"/>
        <v>Oct</v>
      </c>
      <c r="AV30" s="289"/>
      <c r="AW30" s="380" t="str">
        <f t="shared" ca="1" si="137"/>
        <v>Nov</v>
      </c>
      <c r="AX30" s="380" t="str">
        <f t="shared" ca="1" si="137"/>
        <v>Dec</v>
      </c>
      <c r="AY30" s="380" t="str">
        <f t="shared" ca="1" si="137"/>
        <v>Jan</v>
      </c>
      <c r="BA30" s="379"/>
      <c r="BB30" s="380" t="str">
        <f ca="1">BB7</f>
        <v>Feb</v>
      </c>
      <c r="BC30" s="380" t="str">
        <f ca="1">BC7</f>
        <v>Mar</v>
      </c>
      <c r="BD30" s="380" t="str">
        <f ca="1">BD7</f>
        <v>Apr</v>
      </c>
      <c r="BE30" s="289"/>
      <c r="BF30" s="380" t="str">
        <f ca="1">BF7</f>
        <v>May</v>
      </c>
      <c r="BG30" s="380" t="str">
        <f ca="1">BG7</f>
        <v>Jun</v>
      </c>
      <c r="BH30" s="380" t="str">
        <f ca="1">BH7</f>
        <v>Jul</v>
      </c>
      <c r="BI30" s="289"/>
      <c r="BJ30" s="380" t="str">
        <f ca="1">BJ7</f>
        <v>Aug</v>
      </c>
      <c r="BK30" s="380" t="str">
        <f ca="1">BK7</f>
        <v>Sep</v>
      </c>
      <c r="BL30" s="380" t="str">
        <f ca="1">BL7</f>
        <v>Oct</v>
      </c>
      <c r="BM30" s="289"/>
      <c r="BN30" s="380" t="str">
        <f ca="1">BN7</f>
        <v>Nov</v>
      </c>
      <c r="BO30" s="380" t="str">
        <f ca="1">BO7</f>
        <v>Dec</v>
      </c>
      <c r="BP30" s="380" t="str">
        <f ca="1">BP7</f>
        <v>Jan</v>
      </c>
      <c r="BR30" s="379"/>
      <c r="BS30" s="380" t="str">
        <f ca="1">BB30</f>
        <v>Feb</v>
      </c>
      <c r="BT30" s="380" t="str">
        <f t="shared" ref="BT30" ca="1" si="138">BC30</f>
        <v>Mar</v>
      </c>
      <c r="BU30" s="380" t="str">
        <f t="shared" ref="BU30" ca="1" si="139">BD30</f>
        <v>Apr</v>
      </c>
      <c r="BV30" s="289"/>
      <c r="BW30" s="380" t="str">
        <f t="shared" ref="BW30" ca="1" si="140">BF30</f>
        <v>May</v>
      </c>
      <c r="BX30" s="380" t="str">
        <f t="shared" ref="BX30" ca="1" si="141">BG30</f>
        <v>Jun</v>
      </c>
      <c r="BY30" s="380" t="str">
        <f t="shared" ref="BY30" ca="1" si="142">BH30</f>
        <v>Jul</v>
      </c>
      <c r="BZ30" s="289"/>
      <c r="CA30" s="380" t="str">
        <f t="shared" ref="CA30" ca="1" si="143">BJ30</f>
        <v>Aug</v>
      </c>
      <c r="CB30" s="380" t="str">
        <f t="shared" ref="CB30" ca="1" si="144">BK30</f>
        <v>Sep</v>
      </c>
      <c r="CC30" s="380" t="str">
        <f t="shared" ref="CC30" ca="1" si="145">BL30</f>
        <v>Oct</v>
      </c>
      <c r="CD30" s="289"/>
      <c r="CE30" s="380" t="str">
        <f t="shared" ref="CE30" ca="1" si="146">BN30</f>
        <v>Nov</v>
      </c>
      <c r="CF30" s="380" t="str">
        <f t="shared" ref="CF30" ca="1" si="147">BO30</f>
        <v>Dec</v>
      </c>
      <c r="CG30" s="380" t="str">
        <f t="shared" ref="CG30" ca="1" si="148">BP30</f>
        <v>Jan</v>
      </c>
      <c r="CI30" s="379"/>
      <c r="CJ30" s="380" t="str">
        <f ca="1">BS30</f>
        <v>Feb</v>
      </c>
      <c r="CK30" s="380" t="str">
        <f t="shared" ref="CK30" ca="1" si="149">BT30</f>
        <v>Mar</v>
      </c>
      <c r="CL30" s="380" t="str">
        <f t="shared" ref="CL30" ca="1" si="150">BU30</f>
        <v>Apr</v>
      </c>
      <c r="CM30" s="289"/>
      <c r="CN30" s="380" t="str">
        <f t="shared" ref="CN30" ca="1" si="151">BW30</f>
        <v>May</v>
      </c>
      <c r="CO30" s="380" t="str">
        <f t="shared" ref="CO30" ca="1" si="152">BX30</f>
        <v>Jun</v>
      </c>
      <c r="CP30" s="380" t="str">
        <f t="shared" ref="CP30" ca="1" si="153">BY30</f>
        <v>Jul</v>
      </c>
      <c r="CQ30" s="289"/>
      <c r="CR30" s="380" t="str">
        <f t="shared" ref="CR30" ca="1" si="154">CA30</f>
        <v>Aug</v>
      </c>
      <c r="CS30" s="380" t="str">
        <f t="shared" ref="CS30" ca="1" si="155">CB30</f>
        <v>Sep</v>
      </c>
      <c r="CT30" s="380" t="str">
        <f t="shared" ref="CT30" ca="1" si="156">CC30</f>
        <v>Oct</v>
      </c>
      <c r="CU30" s="289"/>
      <c r="CV30" s="380" t="str">
        <f t="shared" ref="CV30" ca="1" si="157">CE30</f>
        <v>Nov</v>
      </c>
      <c r="CW30" s="380" t="str">
        <f t="shared" ref="CW30" ca="1" si="158">CF30</f>
        <v>Dec</v>
      </c>
      <c r="CX30" s="380" t="str">
        <f t="shared" ref="CX30" ca="1" si="159">CG30</f>
        <v>Jan</v>
      </c>
      <c r="CZ30" s="379"/>
      <c r="DA30" s="380" t="str">
        <f ca="1">CJ30</f>
        <v>Feb</v>
      </c>
      <c r="DB30" s="380" t="str">
        <f t="shared" ref="DB30" ca="1" si="160">CK30</f>
        <v>Mar</v>
      </c>
      <c r="DC30" s="380" t="str">
        <f t="shared" ref="DC30" ca="1" si="161">CL30</f>
        <v>Apr</v>
      </c>
      <c r="DD30" s="289"/>
      <c r="DE30" s="380" t="str">
        <f t="shared" ref="DE30" ca="1" si="162">CN30</f>
        <v>May</v>
      </c>
      <c r="DF30" s="380" t="str">
        <f t="shared" ref="DF30" ca="1" si="163">CO30</f>
        <v>Jun</v>
      </c>
      <c r="DG30" s="380" t="str">
        <f t="shared" ref="DG30" ca="1" si="164">CP30</f>
        <v>Jul</v>
      </c>
      <c r="DH30" s="289"/>
      <c r="DI30" s="380" t="str">
        <f t="shared" ref="DI30" ca="1" si="165">CR30</f>
        <v>Aug</v>
      </c>
      <c r="DJ30" s="380" t="str">
        <f t="shared" ref="DJ30" ca="1" si="166">CS30</f>
        <v>Sep</v>
      </c>
      <c r="DK30" s="380" t="str">
        <f t="shared" ref="DK30" ca="1" si="167">CT30</f>
        <v>Oct</v>
      </c>
      <c r="DL30" s="289"/>
      <c r="DM30" s="380" t="str">
        <f t="shared" ref="DM30" ca="1" si="168">CV30</f>
        <v>Nov</v>
      </c>
      <c r="DN30" s="380" t="str">
        <f t="shared" ref="DN30" ca="1" si="169">CW30</f>
        <v>Dec</v>
      </c>
      <c r="DO30" s="380" t="str">
        <f t="shared" ref="DO30" ca="1" si="170">CX30</f>
        <v>Jan</v>
      </c>
      <c r="DQ30" s="379"/>
      <c r="DR30" s="379" t="str">
        <f ca="1">DR7</f>
        <v>Jan</v>
      </c>
      <c r="DS30" s="379"/>
      <c r="DT30" s="380" t="str">
        <f ca="1">DA30</f>
        <v>Feb</v>
      </c>
      <c r="DU30" s="380" t="str">
        <f t="shared" ref="DU30" ca="1" si="171">DB30</f>
        <v>Mar</v>
      </c>
      <c r="DV30" s="380" t="str">
        <f t="shared" ref="DV30" ca="1" si="172">DC30</f>
        <v>Apr</v>
      </c>
      <c r="DW30" s="289"/>
      <c r="DX30" s="380" t="str">
        <f t="shared" ref="DX30" ca="1" si="173">DE30</f>
        <v>May</v>
      </c>
      <c r="DY30" s="380" t="str">
        <f t="shared" ref="DY30" ca="1" si="174">DF30</f>
        <v>Jun</v>
      </c>
      <c r="DZ30" s="380" t="str">
        <f t="shared" ref="DZ30" ca="1" si="175">DG30</f>
        <v>Jul</v>
      </c>
      <c r="EA30" s="289"/>
      <c r="EB30" s="380" t="str">
        <f t="shared" ref="EB30" ca="1" si="176">DI30</f>
        <v>Aug</v>
      </c>
      <c r="EC30" s="380" t="str">
        <f t="shared" ref="EC30" ca="1" si="177">DJ30</f>
        <v>Sep</v>
      </c>
      <c r="ED30" s="380" t="str">
        <f t="shared" ref="ED30" ca="1" si="178">DK30</f>
        <v>Oct</v>
      </c>
      <c r="EE30" s="289"/>
      <c r="EF30" s="380" t="str">
        <f t="shared" ref="EF30" ca="1" si="179">DM30</f>
        <v>Nov</v>
      </c>
      <c r="EG30" s="380" t="str">
        <f t="shared" ref="EG30" ca="1" si="180">DN30</f>
        <v>Dec</v>
      </c>
      <c r="EH30" s="380" t="str">
        <f t="shared" ref="EH30" ca="1" si="181">DO30</f>
        <v>Jan</v>
      </c>
    </row>
    <row r="31" spans="1:138" x14ac:dyDescent="0.25">
      <c r="B31" s="575" t="str">
        <f t="shared" ref="B31:B46" si="182">B8</f>
        <v>ACCESSORIES</v>
      </c>
      <c r="C31" s="801"/>
      <c r="D31" s="763"/>
      <c r="E31" s="763"/>
      <c r="F31" s="763"/>
      <c r="G31" s="613"/>
      <c r="H31" s="763"/>
      <c r="I31" s="763"/>
      <c r="J31" s="763"/>
      <c r="K31" s="613"/>
      <c r="L31" s="763"/>
      <c r="M31" s="763"/>
      <c r="N31" s="763"/>
      <c r="O31" s="613"/>
      <c r="P31" s="763"/>
      <c r="Q31" s="763"/>
      <c r="R31" s="763"/>
      <c r="T31" s="675">
        <f t="shared" ref="T31:T46" ca="1" si="183">IF(D31="",$C31*OFFSET(DT31,0,-2),D31*1000)</f>
        <v>0</v>
      </c>
      <c r="U31" s="675">
        <f t="shared" ref="U31:U46" ca="1" si="184">IF(E31="",$C31*OFFSET(DU31,0,-1),E31*1000)</f>
        <v>0</v>
      </c>
      <c r="V31" s="675">
        <f t="shared" ref="V31:V46" ca="1" si="185">IF(F31="",$C31*OFFSET(DV31,0,-1),F31*1000)</f>
        <v>0</v>
      </c>
      <c r="W31" s="675"/>
      <c r="X31" s="675">
        <f t="shared" ref="X31:X46" ca="1" si="186">IF(H31="",$C31*OFFSET(DX31,0,-2),H31*1000)</f>
        <v>0</v>
      </c>
      <c r="Y31" s="675">
        <f t="shared" ref="Y31:Y46" ca="1" si="187">IF(I31="",$C31*OFFSET(DY31,0,-1),I31*1000)</f>
        <v>0</v>
      </c>
      <c r="Z31" s="675">
        <f t="shared" ref="Z31:Z46" ca="1" si="188">IF(J31="",$C31*OFFSET(DZ31,0,-1),J31*1000)</f>
        <v>0</v>
      </c>
      <c r="AA31" s="675"/>
      <c r="AB31" s="675">
        <f t="shared" ref="AB31:AB46" ca="1" si="189">IF(L31="",$C31*OFFSET(EB31,0,-2),L31*1000)</f>
        <v>0</v>
      </c>
      <c r="AC31" s="675">
        <f t="shared" ref="AC31:AC46" ca="1" si="190">IF(M31="",$C31*OFFSET(EC31,0,-1),M31*1000)</f>
        <v>0</v>
      </c>
      <c r="AD31" s="675">
        <f t="shared" ref="AD31:AD46" ca="1" si="191">IF(N31="",$C31*OFFSET(ED31,0,-1),N31*1000)</f>
        <v>0</v>
      </c>
      <c r="AE31" s="675"/>
      <c r="AF31" s="675">
        <f t="shared" ref="AF31:AF46" ca="1" si="192">IF(P31="",$C31*OFFSET(EF31,0,-2),P31*1000)</f>
        <v>0</v>
      </c>
      <c r="AG31" s="675">
        <f t="shared" ref="AG31:AG46" ca="1" si="193">IF(Q31="",$C31*OFFSET(EG31,0,-1),Q31*1000)</f>
        <v>0</v>
      </c>
      <c r="AH31" s="675">
        <f t="shared" ref="AH31:AH46" ca="1" si="194">IF(R31="",$C31*OFFSET(EH31,0,-1),R31*1000)</f>
        <v>0</v>
      </c>
      <c r="AI31" s="675"/>
      <c r="AJ31" s="575" t="str">
        <f>B31</f>
        <v>ACCESSORIES</v>
      </c>
      <c r="AK31" s="761"/>
      <c r="AL31" s="761"/>
      <c r="AM31" s="761"/>
      <c r="AN31" s="613"/>
      <c r="AO31" s="761"/>
      <c r="AP31" s="761"/>
      <c r="AQ31" s="761"/>
      <c r="AR31" s="613"/>
      <c r="AS31" s="761"/>
      <c r="AT31" s="761"/>
      <c r="AU31" s="761"/>
      <c r="AV31" s="613"/>
      <c r="AW31" s="761"/>
      <c r="AX31" s="761"/>
      <c r="AY31" s="761"/>
      <c r="BA31" s="575" t="str">
        <f t="shared" ref="BA31:BA46" si="195">BA8</f>
        <v>ACCESSORIES</v>
      </c>
      <c r="BB31" s="677">
        <f ca="1">MAX(IF(ISNA(VLOOKUP($BB$4,TIME!$M$40:$M$42,1,FALSE)),0,HLOOKUP(BB$4,NWC_FC_NOOS!$S$4:$AH$23,MATCH($BA31,NWC_FC_NOOS!$S$4:$S$23,0),FALSE)-CJ31),0)</f>
        <v>0</v>
      </c>
      <c r="BC31" s="677">
        <f ca="1">IF(ISNA(VLOOKUP(BC$4,TIME!$M$40:$M$42,1,FALSE)),0,IF(HLOOKUP(BC$4,NWC_FC_NOOS!$S$4:$AH$23,MATCH($BA31,NWC_FC_NOOS!$S$4:$S$23,0),FALSE)-CK31-SUM($BB31:BB31)&gt;0,HLOOKUP(BC$4,NWC_FC_NOOS!$S$4:$AH$23,MATCH($BA31,NWC_FC_NOOS!$S$4:$S$23,0),FALSE)-CK31-SUM($BB31:BB31),0))</f>
        <v>0</v>
      </c>
      <c r="BD31" s="677">
        <f ca="1">IF(ISNA(VLOOKUP(BD$4,TIME!$M$40:$M$42,1,FALSE)),0,IF(HLOOKUP(BD$4,NWC_FC_NOOS!$S$4:$AH$23,MATCH($BA31,NWC_FC_NOOS!$S$4:$S$23,0),FALSE)-CL31-SUM($BB31:BC31)&gt;0,HLOOKUP(BD$4,NWC_FC_NOOS!$S$4:$AH$23,MATCH($BA31,NWC_FC_NOOS!$S$4:$S$23,0),FALSE)-CL31-SUM($BB31:BC31),0))</f>
        <v>0</v>
      </c>
      <c r="BE31" s="678"/>
      <c r="BF31" s="677">
        <f ca="1">IF(HLOOKUP(BF$4,NWC_FC_NOOS!$S$4:$AH$23,MATCH($BA31,NWC_FC_NOOS!$S$4:$S$23,0),FALSE)-CN31-SUM($BB31:BE31)&gt;0,HLOOKUP(BF$4,NWC_FC_NOOS!$S$4:$AH$23,MATCH($BA31,NWC_FC_NOOS!$S$4:$S$23,0),FALSE)-CN31-SUM($BB31:BE31),0)</f>
        <v>0</v>
      </c>
      <c r="BG31" s="677">
        <f ca="1">IF(HLOOKUP(BG$4,NWC_FC_NOOS!$S$4:$AH$23,MATCH($BA31,NWC_FC_NOOS!$S$4:$S$23,0),FALSE)-CO31-SUM($BB31:BF31)&gt;0,HLOOKUP(BG$4,NWC_FC_NOOS!$S$4:$AH$23,MATCH($BA31,NWC_FC_NOOS!$S$4:$S$23,0),FALSE)-CO31-SUM($BB31:BF31),0)</f>
        <v>0</v>
      </c>
      <c r="BH31" s="677">
        <f ca="1">IF(HLOOKUP(BH$4,NWC_FC_NOOS!$S$4:$AH$23,MATCH($BA31,NWC_FC_NOOS!$S$4:$S$23,0),FALSE)-CP31-SUM($BB31:BG31)&gt;0,HLOOKUP(BH$4,NWC_FC_NOOS!$S$4:$AH$23,MATCH($BA31,NWC_FC_NOOS!$S$4:$S$23,0),FALSE)-CP31-SUM($BB31:BG31),0)</f>
        <v>0</v>
      </c>
      <c r="BI31" s="678"/>
      <c r="BJ31" s="677">
        <f ca="1">IF(HLOOKUP(BJ$4,NWC_FC_NOOS!$S$4:$AH$23,MATCH($BA31,NWC_FC_NOOS!$S$4:$S$23,0),FALSE)-CR31-SUM($BB31:BI31)&gt;0,HLOOKUP(BJ$4,NWC_FC_NOOS!$S$4:$AH$23,MATCH($BA31,NWC_FC_NOOS!$S$4:$S$23,0),FALSE)-CR31-SUM($BB31:BI31),0)</f>
        <v>0</v>
      </c>
      <c r="BK31" s="677">
        <f ca="1">IF(HLOOKUP(BK$4,NWC_FC_NOOS!$S$4:$AH$23,MATCH($BA31,NWC_FC_NOOS!$S$4:$S$23,0),FALSE)-CS31-SUM($BB31:BJ31)&gt;0,HLOOKUP(BK$4,NWC_FC_NOOS!$S$4:$AH$23,MATCH($BA31,NWC_FC_NOOS!$S$4:$S$23,0),FALSE)-CS31-SUM($BB31:BJ31),0)</f>
        <v>0</v>
      </c>
      <c r="BL31" s="677">
        <f ca="1">IF(HLOOKUP(BL$4,NWC_FC_NOOS!$S$4:$AH$23,MATCH($BA31,NWC_FC_NOOS!$S$4:$S$23,0),FALSE)-CT31-SUM($BB31:BK31)&gt;0,HLOOKUP(BL$4,NWC_FC_NOOS!$S$4:$AH$23,MATCH($BA31,NWC_FC_NOOS!$S$4:$S$23,0),FALSE)-CT31-SUM($BB31:BK31),0)</f>
        <v>0</v>
      </c>
      <c r="BM31" s="678"/>
      <c r="BN31" s="677">
        <f ca="1">IF(HLOOKUP(BN$4,NWC_FC_NOOS!$S$4:$AH$23,MATCH($BA31,NWC_FC_NOOS!$S$4:$S$23,0),FALSE)-CV31-SUM($BB31:BM31)&gt;0,HLOOKUP(BN$4,NWC_FC_NOOS!$S$4:$AH$23,MATCH($BA31,NWC_FC_NOOS!$S$4:$S$23,0),FALSE)-CV31-SUM($BB31:BM31),0)</f>
        <v>0</v>
      </c>
      <c r="BO31" s="677">
        <f ca="1">IF(HLOOKUP(BO$4,NWC_FC_NOOS!$S$4:$AH$23,MATCH($BA31,NWC_FC_NOOS!$S$4:$S$23,0),FALSE)-CW31-SUM($BB31:BN31)&gt;0,HLOOKUP(BO$4,NWC_FC_NOOS!$S$4:$AH$23,MATCH($BA31,NWC_FC_NOOS!$S$4:$S$23,0),FALSE)-CW31-SUM($BB31:BN31),0)</f>
        <v>0</v>
      </c>
      <c r="BP31" s="677">
        <f ca="1">IF(HLOOKUP(BP$4,NWC_FC_NOOS!$S$4:$AH$23,MATCH($BA31,NWC_FC_NOOS!$S$4:$S$23,0),FALSE)-CX31-SUM($BB31:BO31)&gt;0,HLOOKUP(BP$4,NWC_FC_NOOS!$S$4:$AH$23,MATCH($BA31,NWC_FC_NOOS!$S$4:$S$23,0),FALSE)-CX31-SUM($BB31:BO31),0)</f>
        <v>0</v>
      </c>
      <c r="BR31" s="575" t="str">
        <f>BA31</f>
        <v>ACCESSORIES</v>
      </c>
      <c r="BS31" s="677">
        <f ca="1">IF(BS$2=TIME!$E$5,SUMIFS(OPEN_ORDERS!$E:$E,OPEN_ORDERS!$B:$B,"&lt;="&amp;BS$2,OPEN_ORDERS!$C:$C,$BA31,OPEN_ORDERS!$D:$D,$BA$25)+SUMIFS(OPEN_ORDERS!$E:$E,OPEN_ORDERS!$B:$B,"IMMEDIATELY",OPEN_ORDERS!$C:$C,$BA31,OPEN_ORDERS!$D:$D,$BA$25),SUMIFS(OPEN_ORDERS!$E:$E,OPEN_ORDERS!$B:$B,BS$2,OPEN_ORDERS!$C:$C,$BA31,OPEN_ORDERS!$D:$D,$BA$25))</f>
        <v>1299</v>
      </c>
      <c r="BT31" s="677">
        <f ca="1">IF(BT$2=TIME!$E$5,SUMIFS(OPEN_ORDERS!$E:$E,OPEN_ORDERS!$B:$B,"&lt;="&amp;BT$2,OPEN_ORDERS!$C:$C,$BA31,OPEN_ORDERS!$D:$D,$BA$25)+SUMIFS(OPEN_ORDERS!$E:$E,OPEN_ORDERS!$B:$B,"IMMEDIATELY",OPEN_ORDERS!$C:$C,$BA31,OPEN_ORDERS!$D:$D,$BA$25),SUMIFS(OPEN_ORDERS!$E:$E,OPEN_ORDERS!$B:$B,BT$2,OPEN_ORDERS!$C:$C,$BA31,OPEN_ORDERS!$D:$D,$BA$25))</f>
        <v>0</v>
      </c>
      <c r="BU31" s="677">
        <f ca="1">IF(BU$2=TIME!$E$5,SUMIFS(OPEN_ORDERS!$E:$E,OPEN_ORDERS!$B:$B,"&lt;="&amp;BU$2,OPEN_ORDERS!$C:$C,$BA31,OPEN_ORDERS!$D:$D,$BA$25)+SUMIFS(OPEN_ORDERS!$E:$E,OPEN_ORDERS!$B:$B,"IMMEDIATELY",OPEN_ORDERS!$C:$C,$BA31,OPEN_ORDERS!$D:$D,$BA$25),SUMIFS(OPEN_ORDERS!$E:$E,OPEN_ORDERS!$B:$B,BU$2,OPEN_ORDERS!$C:$C,$BA31,OPEN_ORDERS!$D:$D,$BA$25))</f>
        <v>3623</v>
      </c>
      <c r="BV31" s="678"/>
      <c r="BW31" s="677">
        <f ca="1">SUMIFS(OPEN_ORDERS!$E:$E,OPEN_ORDERS!$B:$B,BW$2,OPEN_ORDERS!$C:$C,$BA31,OPEN_ORDERS!$D:$D,$BA$25)</f>
        <v>0</v>
      </c>
      <c r="BX31" s="677">
        <f ca="1">SUMIFS(OPEN_ORDERS!$E:$E,OPEN_ORDERS!$B:$B,BX$2,OPEN_ORDERS!$C:$C,$BA31,OPEN_ORDERS!$D:$D,$BA$25)</f>
        <v>0</v>
      </c>
      <c r="BY31" s="677">
        <f ca="1">SUMIFS(OPEN_ORDERS!$E:$E,OPEN_ORDERS!$B:$B,BY$2,OPEN_ORDERS!$C:$C,$BA31,OPEN_ORDERS!$D:$D,$BA$25)</f>
        <v>0</v>
      </c>
      <c r="BZ31" s="678"/>
      <c r="CA31" s="677">
        <f ca="1">SUMIFS(OPEN_ORDERS!$E:$E,OPEN_ORDERS!$B:$B,CA$2,OPEN_ORDERS!$C:$C,$BA31,OPEN_ORDERS!$D:$D,$BA$25)</f>
        <v>0</v>
      </c>
      <c r="CB31" s="677">
        <f ca="1">SUMIFS(OPEN_ORDERS!$E:$E,OPEN_ORDERS!$B:$B,CB$2,OPEN_ORDERS!$C:$C,$BA31,OPEN_ORDERS!$D:$D,$BA$25)</f>
        <v>0</v>
      </c>
      <c r="CC31" s="677">
        <f ca="1">SUMIFS(OPEN_ORDERS!$E:$E,OPEN_ORDERS!$B:$B,CC$2,OPEN_ORDERS!$C:$C,$BA31,OPEN_ORDERS!$D:$D,$BA$25)</f>
        <v>0</v>
      </c>
      <c r="CD31" s="678"/>
      <c r="CE31" s="677">
        <f ca="1">SUMIFS(OPEN_ORDERS!$E:$E,OPEN_ORDERS!$B:$B,CE$2,OPEN_ORDERS!$C:$C,$BA31,OPEN_ORDERS!$D:$D,$BA$25)</f>
        <v>0</v>
      </c>
      <c r="CF31" s="677">
        <f ca="1">SUMIFS(OPEN_ORDERS!$E:$E,OPEN_ORDERS!$B:$B,CF$2,OPEN_ORDERS!$C:$C,$BA31,OPEN_ORDERS!$D:$D,$BA$25)</f>
        <v>0</v>
      </c>
      <c r="CG31" s="677">
        <f ca="1">SUMIFS(OPEN_ORDERS!$E:$E,OPEN_ORDERS!$B:$B,CG$2,OPEN_ORDERS!$C:$C,$BA31,OPEN_ORDERS!$D:$D,$BA$25)</f>
        <v>0</v>
      </c>
      <c r="CI31" s="1" t="str">
        <f>BR31</f>
        <v>ACCESSORIES</v>
      </c>
      <c r="CJ31" s="677">
        <f ca="1">IF($CJ$7="Aug",SUMIFS(HIS_STOCK!$F:$F,HIS_STOCK!$A:$A,$BA$25,HIS_STOCK!$C:$C,$CI31,HIS_STOCK!$D:$D,$CK$1,HIS_STOCK!$E:$E,$CL$1)+BS31-(AK31*1000)-T31-HLOOKUP($CJ$4,NWC_FC_NOOS!$C$50:$U$69,MATCH($CI31,NWC_FC_NOOS!$B$50:$B$69,0),FALSE),IF($CJ$2=TIME!$E$5,SUMIFS(HIS_STOCK!$F:$F,HIS_STOCK!$A:$A,$BA$25,HIS_STOCK!$C:$C,$CI31,HIS_STOCK!$D:$D,$CJ$5,HIS_STOCK!$E:$E,$CL$1)+BS31-(AK31*1000)-T31-HLOOKUP($CJ$4,NWC_FC_NOOS!$C$50:$U$69,MATCH($CI31,NWC_FC_NOOS!$B$50:$B$69,0),FALSE),SUMIFS(HIS_STOCK!$F:$F,HIS_STOCK!$A:$A,$BA$25,HIS_STOCK!$C:$C,$CI31,HIS_STOCK!$D:$D,$CJ$5,HIS_STOCK!$E:$E,CJ$7)))</f>
        <v>0</v>
      </c>
      <c r="CK31" s="677">
        <f ca="1">IF(SUMIFS(HIS_STOCK!$F:$F,HIS_STOCK!$A:$A,$BA$25,HIS_STOCK!$C:$C,$CI31,HIS_STOCK!$D:$D,$CJ$5,HIS_STOCK!$E:$E,CK$7)&lt;&gt;0,SUMIFS(HIS_STOCK!$F:$F,HIS_STOCK!$A:$A,$BA$25,HIS_STOCK!$C:$C,$CI31,HIS_STOCK!$D:$D,$CJ$5,HIS_STOCK!$E:$E,CK$7)-(AL31*1000),CJ31+BT31+((AK31-AL31)*1000)-U31-HLOOKUP(CK$4,NWC_FC_NOOS!$C$50:$U$69,MATCH(PLANNING_FC!$BR31,NWC_FC_NOOS!$B$50:$B$69,0),FALSE))</f>
        <v>0</v>
      </c>
      <c r="CL31" s="677">
        <f ca="1">IF(SUMIFS(HIS_STOCK!$F:$F,HIS_STOCK!$A:$A,$BA$25,HIS_STOCK!$C:$C,$CI31,HIS_STOCK!$D:$D,$CJ$5,HIS_STOCK!$E:$E,CL$7)&lt;&gt;0,SUMIFS(HIS_STOCK!$F:$F,HIS_STOCK!$A:$A,$BA$25,HIS_STOCK!$C:$C,$CI31,HIS_STOCK!$D:$D,$CJ$5,HIS_STOCK!$E:$E,CL$7)-(AM31*1000),CK31+BU31+((AL31-AM31)*1000)-V31-HLOOKUP(CL$4,NWC_FC_NOOS!$C$50:$U$69,MATCH(PLANNING_FC!$BR31,NWC_FC_NOOS!$B$50:$B$69,0),FALSE))</f>
        <v>3623</v>
      </c>
      <c r="CM31" s="678"/>
      <c r="CN31" s="677">
        <f ca="1">CL31+BW31+((AM31-AO31)*1000)-X31-HLOOKUP(CN$4,NWC_FC_NOOS!$C$50:$U$69,MATCH(PLANNING_FC!$BR31,NWC_FC_NOOS!$B$50:$B$69,0),FALSE)</f>
        <v>3623</v>
      </c>
      <c r="CO31" s="677">
        <f ca="1">CN31+BX31+((AO31-AP31)*1000)-Y31-HLOOKUP(CO$4,NWC_FC_NOOS!$C$50:$U$69,MATCH(PLANNING_FC!$BR31,NWC_FC_NOOS!$B$50:$B$69,0),FALSE)</f>
        <v>3623</v>
      </c>
      <c r="CP31" s="677">
        <f ca="1">CO31+BY31+((AP31-AQ31)*1000)-Z31-HLOOKUP(CP$4,NWC_FC_NOOS!$C$50:$U$69,MATCH(PLANNING_FC!$BR31,NWC_FC_NOOS!$B$50:$B$69,0),FALSE)</f>
        <v>3623</v>
      </c>
      <c r="CQ31" s="678"/>
      <c r="CR31" s="677">
        <f ca="1">CP31+CA31+((AQ31-AS31)*1000)-AB31-HLOOKUP(CR$4,NWC_FC_NOOS!$C$50:$U$69,MATCH(PLANNING_FC!$BR31,NWC_FC_NOOS!$B$50:$B$69,0),FALSE)</f>
        <v>3623</v>
      </c>
      <c r="CS31" s="677">
        <f ca="1">CR31+CB31+((AS31-AT31)*1000)-AC31-HLOOKUP(CS$4,NWC_FC_NOOS!$C$50:$U$69,MATCH(PLANNING_FC!$BR31,NWC_FC_NOOS!$B$50:$B$69,0),FALSE)</f>
        <v>3623</v>
      </c>
      <c r="CT31" s="677">
        <f ca="1">CS31+CC31+((AT31-AU31)*1000)-AD31-HLOOKUP(CT$4,NWC_FC_NOOS!$C$50:$U$69,MATCH(PLANNING_FC!$BR31,NWC_FC_NOOS!$B$50:$B$69,0),FALSE)</f>
        <v>3623</v>
      </c>
      <c r="CU31" s="678"/>
      <c r="CV31" s="677">
        <f ca="1">CT31+CE31+((AU31-AW31)*1000)-AF31-HLOOKUP(CV$4,NWC_FC_NOOS!$C$50:$U$69,MATCH(PLANNING_FC!$BR31,NWC_FC_NOOS!$B$50:$B$69,0),FALSE)</f>
        <v>3623</v>
      </c>
      <c r="CW31" s="677">
        <f ca="1">CV31+CF31+((AW31-AX31)*1000)-AG31-HLOOKUP(CW$4,NWC_FC_NOOS!$C$50:$U$69,MATCH(PLANNING_FC!$BR31,NWC_FC_NOOS!$B$50:$B$69,0),FALSE)</f>
        <v>3623</v>
      </c>
      <c r="CX31" s="677">
        <f ca="1">CW31+CG31+((AX31-AY31)*1000)-AH31-HLOOKUP(CX$4,NWC_FC_NOOS!$C$50:$U$69,MATCH(PLANNING_FC!$BR31,NWC_FC_NOOS!$B$50:$B$69,0),FALSE)</f>
        <v>3623</v>
      </c>
      <c r="CZ31" s="575" t="str">
        <f>CI31</f>
        <v>ACCESSORIES</v>
      </c>
      <c r="DA31" s="677">
        <f ca="1">IF(STOCK_OVERVIEW!C$41="ACT",SUMIFS(HIS_STOCK!$F:$F,HIS_STOCK!$A:$A,PLANNING_FC!$BA$25,HIS_STOCK!$C:$C,PLANNING_FC!$CZ8,HIS_STOCK!$D:$D,PLANNING_FC!$DA$5,HIS_STOCK!$E:$E,PLANNING_FC!DA$7),CJ31+SUM($BB31:BB31))</f>
        <v>0</v>
      </c>
      <c r="DB31" s="677">
        <f ca="1">IF(STOCK_OVERVIEW!D$41="ACT",SUMIFS(HIS_STOCK!$F:$F,HIS_STOCK!$A:$A,PLANNING_FC!$BA$25,HIS_STOCK!$C:$C,PLANNING_FC!$CZ8,HIS_STOCK!$D:$D,PLANNING_FC!$DA$5,HIS_STOCK!$E:$E,PLANNING_FC!DB$7),CK31+SUM($BB31:BC31))</f>
        <v>0</v>
      </c>
      <c r="DC31" s="677">
        <f ca="1">CL31+SUM($BB31:BD31)</f>
        <v>3623</v>
      </c>
      <c r="DD31" s="678"/>
      <c r="DE31" s="677">
        <f ca="1">CN31+SUM($BB31:BF31)</f>
        <v>3623</v>
      </c>
      <c r="DF31" s="677">
        <f ca="1">CO31+SUM($BB31:BG31)</f>
        <v>3623</v>
      </c>
      <c r="DG31" s="677">
        <f ca="1">CP31+SUM($BB31:BH31)</f>
        <v>3623</v>
      </c>
      <c r="DH31" s="678"/>
      <c r="DI31" s="677">
        <f ca="1">CR31+SUM($BB31:BJ31)</f>
        <v>3623</v>
      </c>
      <c r="DJ31" s="677">
        <f ca="1">CS31+SUM($BB31:BK31)</f>
        <v>3623</v>
      </c>
      <c r="DK31" s="677">
        <f ca="1">CT31+SUM($BB31:BL31)</f>
        <v>3623</v>
      </c>
      <c r="DL31" s="678"/>
      <c r="DM31" s="677">
        <f ca="1">CV31+SUM($BB31:BN31)</f>
        <v>3623</v>
      </c>
      <c r="DN31" s="677">
        <f ca="1">CW31+SUM($BB31:BO31)</f>
        <v>3623</v>
      </c>
      <c r="DO31" s="677">
        <f ca="1">CX31+SUM($BB31:BP31)</f>
        <v>3623</v>
      </c>
      <c r="DQ31" s="575" t="str">
        <f>CZ31</f>
        <v>ACCESSORIES</v>
      </c>
      <c r="DR31" s="677">
        <f ca="1">IF($DT$7="Aug",SUMIFS(HIS_STOCK!$F:$F,HIS_STOCK!$A:$A,$BA$25,HIS_STOCK!$C:$C,$DQ31,HIS_STOCK!$D:$D,$DR$4,HIS_STOCK!$E:$E,$DR$7),SUMIFS(HIS_STOCK!$F:$F,HIS_STOCK!$A:$A,$BA$25,HIS_STOCK!$C:$C,$DQ31,HIS_STOCK!$D:$D,$DR$5,HIS_STOCK!$E:$E,$DR$7))</f>
        <v>0</v>
      </c>
      <c r="DS31" s="677"/>
      <c r="DT31" s="677">
        <f ca="1">NWC_FC_NOOS!T8</f>
        <v>0</v>
      </c>
      <c r="DU31" s="677">
        <f ca="1">NWC_FC_NOOS!U8</f>
        <v>0</v>
      </c>
      <c r="DV31" s="677">
        <f ca="1">NWC_FC_NOOS!V8</f>
        <v>0</v>
      </c>
      <c r="DW31" s="678"/>
      <c r="DX31" s="677">
        <f ca="1">NWC_FC_NOOS!X8</f>
        <v>0</v>
      </c>
      <c r="DY31" s="677">
        <f ca="1">NWC_FC_NOOS!Y8</f>
        <v>0</v>
      </c>
      <c r="DZ31" s="677">
        <f ca="1">NWC_FC_NOOS!Z8</f>
        <v>0</v>
      </c>
      <c r="EA31" s="678"/>
      <c r="EB31" s="677">
        <f ca="1">NWC_FC_NOOS!AB8</f>
        <v>0</v>
      </c>
      <c r="EC31" s="677">
        <f ca="1">NWC_FC_NOOS!AC8</f>
        <v>0</v>
      </c>
      <c r="ED31" s="677">
        <f ca="1">NWC_FC_NOOS!AD8</f>
        <v>0</v>
      </c>
      <c r="EE31" s="678"/>
      <c r="EF31" s="677">
        <f ca="1">NWC_FC_NOOS!AF8</f>
        <v>0</v>
      </c>
      <c r="EG31" s="677">
        <f ca="1">NWC_FC_NOOS!AG8</f>
        <v>0</v>
      </c>
      <c r="EH31" s="677">
        <f ca="1">NWC_FC_NOOS!AH8</f>
        <v>0</v>
      </c>
    </row>
    <row r="32" spans="1:138" x14ac:dyDescent="0.25">
      <c r="B32" s="575" t="str">
        <f t="shared" si="182"/>
        <v>DRESSES</v>
      </c>
      <c r="C32" s="802"/>
      <c r="D32" s="763"/>
      <c r="E32" s="763"/>
      <c r="F32" s="763"/>
      <c r="G32" s="613"/>
      <c r="H32" s="763"/>
      <c r="I32" s="763"/>
      <c r="J32" s="763"/>
      <c r="K32" s="613"/>
      <c r="L32" s="763"/>
      <c r="M32" s="763"/>
      <c r="N32" s="763"/>
      <c r="O32" s="613"/>
      <c r="P32" s="763"/>
      <c r="Q32" s="763"/>
      <c r="R32" s="763"/>
      <c r="T32" s="675">
        <f t="shared" ca="1" si="183"/>
        <v>0</v>
      </c>
      <c r="U32" s="675">
        <f t="shared" ca="1" si="184"/>
        <v>0</v>
      </c>
      <c r="V32" s="675">
        <f t="shared" ca="1" si="185"/>
        <v>0</v>
      </c>
      <c r="W32" s="675"/>
      <c r="X32" s="675">
        <f t="shared" ca="1" si="186"/>
        <v>0</v>
      </c>
      <c r="Y32" s="675">
        <f t="shared" ca="1" si="187"/>
        <v>0</v>
      </c>
      <c r="Z32" s="675">
        <f t="shared" ca="1" si="188"/>
        <v>0</v>
      </c>
      <c r="AA32" s="675"/>
      <c r="AB32" s="675">
        <f t="shared" ca="1" si="189"/>
        <v>0</v>
      </c>
      <c r="AC32" s="675">
        <f t="shared" ca="1" si="190"/>
        <v>0</v>
      </c>
      <c r="AD32" s="675">
        <f t="shared" ca="1" si="191"/>
        <v>0</v>
      </c>
      <c r="AE32" s="675"/>
      <c r="AF32" s="675">
        <f t="shared" ca="1" si="192"/>
        <v>0</v>
      </c>
      <c r="AG32" s="675">
        <f t="shared" ca="1" si="193"/>
        <v>0</v>
      </c>
      <c r="AH32" s="675">
        <f t="shared" ca="1" si="194"/>
        <v>0</v>
      </c>
      <c r="AI32" s="675"/>
      <c r="AJ32" s="575" t="str">
        <f t="shared" ref="AJ32:AJ47" si="196">B32</f>
        <v>DRESSES</v>
      </c>
      <c r="AK32" s="761"/>
      <c r="AL32" s="761"/>
      <c r="AM32" s="761"/>
      <c r="AN32" s="613"/>
      <c r="AO32" s="761"/>
      <c r="AP32" s="761"/>
      <c r="AQ32" s="761"/>
      <c r="AR32" s="613"/>
      <c r="AS32" s="761"/>
      <c r="AT32" s="761"/>
      <c r="AU32" s="761"/>
      <c r="AV32" s="613"/>
      <c r="AW32" s="761"/>
      <c r="AX32" s="761"/>
      <c r="AY32" s="761"/>
      <c r="BA32" s="575" t="str">
        <f t="shared" si="195"/>
        <v>DRESSES</v>
      </c>
      <c r="BB32" s="677">
        <f ca="1">MAX(IF(ISNA(VLOOKUP($BB$4,TIME!$M$40:$M$42,1,FALSE)),0,HLOOKUP(BB$4,NWC_FC_NOOS!$S$4:$AH$23,MATCH($BA32,NWC_FC_NOOS!$S$4:$S$23,0),FALSE)-CJ32),0)</f>
        <v>0</v>
      </c>
      <c r="BC32" s="677">
        <f ca="1">IF(ISNA(VLOOKUP(BC$4,TIME!$M$40:$M$42,1,FALSE)),0,IF(HLOOKUP(BC$4,NWC_FC_NOOS!$S$4:$AH$23,MATCH($BA32,NWC_FC_NOOS!$S$4:$S$23,0),FALSE)-CK32-SUM($BB32:BB32)&gt;0,HLOOKUP(BC$4,NWC_FC_NOOS!$S$4:$AH$23,MATCH($BA32,NWC_FC_NOOS!$S$4:$S$23,0),FALSE)-CK32-SUM($BB32:BB32),0))</f>
        <v>0</v>
      </c>
      <c r="BD32" s="677">
        <f ca="1">IF(ISNA(VLOOKUP(BD$4,TIME!$M$40:$M$42,1,FALSE)),0,IF(HLOOKUP(BD$4,NWC_FC_NOOS!$S$4:$AH$23,MATCH($BA32,NWC_FC_NOOS!$S$4:$S$23,0),FALSE)-CL32-SUM($BB32:BC32)&gt;0,HLOOKUP(BD$4,NWC_FC_NOOS!$S$4:$AH$23,MATCH($BA32,NWC_FC_NOOS!$S$4:$S$23,0),FALSE)-CL32-SUM($BB32:BC32),0))</f>
        <v>0</v>
      </c>
      <c r="BE32" s="678"/>
      <c r="BF32" s="677">
        <f ca="1">IF(HLOOKUP(BF$4,NWC_FC_NOOS!$S$4:$AH$23,MATCH($BA32,NWC_FC_NOOS!$S$4:$S$23,0),FALSE)-CN32-SUM($BB32:BE32)&gt;0,HLOOKUP(BF$4,NWC_FC_NOOS!$S$4:$AH$23,MATCH($BA32,NWC_FC_NOOS!$S$4:$S$23,0),FALSE)-CN32-SUM($BB32:BE32),0)</f>
        <v>0</v>
      </c>
      <c r="BG32" s="677">
        <f ca="1">IF(HLOOKUP(BG$4,NWC_FC_NOOS!$S$4:$AH$23,MATCH($BA32,NWC_FC_NOOS!$S$4:$S$23,0),FALSE)-CO32-SUM($BB32:BF32)&gt;0,HLOOKUP(BG$4,NWC_FC_NOOS!$S$4:$AH$23,MATCH($BA32,NWC_FC_NOOS!$S$4:$S$23,0),FALSE)-CO32-SUM($BB32:BF32),0)</f>
        <v>0</v>
      </c>
      <c r="BH32" s="677">
        <f ca="1">IF(HLOOKUP(BH$4,NWC_FC_NOOS!$S$4:$AH$23,MATCH($BA32,NWC_FC_NOOS!$S$4:$S$23,0),FALSE)-CP32-SUM($BB32:BG32)&gt;0,HLOOKUP(BH$4,NWC_FC_NOOS!$S$4:$AH$23,MATCH($BA32,NWC_FC_NOOS!$S$4:$S$23,0),FALSE)-CP32-SUM($BB32:BG32),0)</f>
        <v>0</v>
      </c>
      <c r="BI32" s="678"/>
      <c r="BJ32" s="677">
        <f ca="1">IF(HLOOKUP(BJ$4,NWC_FC_NOOS!$S$4:$AH$23,MATCH($BA32,NWC_FC_NOOS!$S$4:$S$23,0),FALSE)-CR32-SUM($BB32:BI32)&gt;0,HLOOKUP(BJ$4,NWC_FC_NOOS!$S$4:$AH$23,MATCH($BA32,NWC_FC_NOOS!$S$4:$S$23,0),FALSE)-CR32-SUM($BB32:BI32),0)</f>
        <v>0</v>
      </c>
      <c r="BK32" s="677">
        <f ca="1">IF(HLOOKUP(BK$4,NWC_FC_NOOS!$S$4:$AH$23,MATCH($BA32,NWC_FC_NOOS!$S$4:$S$23,0),FALSE)-CS32-SUM($BB32:BJ32)&gt;0,HLOOKUP(BK$4,NWC_FC_NOOS!$S$4:$AH$23,MATCH($BA32,NWC_FC_NOOS!$S$4:$S$23,0),FALSE)-CS32-SUM($BB32:BJ32),0)</f>
        <v>0</v>
      </c>
      <c r="BL32" s="677">
        <f ca="1">IF(HLOOKUP(BL$4,NWC_FC_NOOS!$S$4:$AH$23,MATCH($BA32,NWC_FC_NOOS!$S$4:$S$23,0),FALSE)-CT32-SUM($BB32:BK32)&gt;0,HLOOKUP(BL$4,NWC_FC_NOOS!$S$4:$AH$23,MATCH($BA32,NWC_FC_NOOS!$S$4:$S$23,0),FALSE)-CT32-SUM($BB32:BK32),0)</f>
        <v>0</v>
      </c>
      <c r="BM32" s="678"/>
      <c r="BN32" s="677">
        <f ca="1">IF(HLOOKUP(BN$4,NWC_FC_NOOS!$S$4:$AH$23,MATCH($BA32,NWC_FC_NOOS!$S$4:$S$23,0),FALSE)-CV32-SUM($BB32:BM32)&gt;0,HLOOKUP(BN$4,NWC_FC_NOOS!$S$4:$AH$23,MATCH($BA32,NWC_FC_NOOS!$S$4:$S$23,0),FALSE)-CV32-SUM($BB32:BM32),0)</f>
        <v>0</v>
      </c>
      <c r="BO32" s="677">
        <f ca="1">IF(HLOOKUP(BO$4,NWC_FC_NOOS!$S$4:$AH$23,MATCH($BA32,NWC_FC_NOOS!$S$4:$S$23,0),FALSE)-CW32-SUM($BB32:BN32)&gt;0,HLOOKUP(BO$4,NWC_FC_NOOS!$S$4:$AH$23,MATCH($BA32,NWC_FC_NOOS!$S$4:$S$23,0),FALSE)-CW32-SUM($BB32:BN32),0)</f>
        <v>0</v>
      </c>
      <c r="BP32" s="677">
        <f ca="1">IF(HLOOKUP(BP$4,NWC_FC_NOOS!$S$4:$AH$23,MATCH($BA32,NWC_FC_NOOS!$S$4:$S$23,0),FALSE)-CX32-SUM($BB32:BO32)&gt;0,HLOOKUP(BP$4,NWC_FC_NOOS!$S$4:$AH$23,MATCH($BA32,NWC_FC_NOOS!$S$4:$S$23,0),FALSE)-CX32-SUM($BB32:BO32),0)</f>
        <v>0</v>
      </c>
      <c r="BR32" s="575" t="str">
        <f t="shared" ref="BR32:BR46" si="197">BA32</f>
        <v>DRESSES</v>
      </c>
      <c r="BS32" s="677">
        <f ca="1">IF(BS$2=TIME!$E$5,SUMIFS(OPEN_ORDERS!$E:$E,OPEN_ORDERS!$B:$B,"&lt;="&amp;BS$2,OPEN_ORDERS!$C:$C,$BA32,OPEN_ORDERS!$D:$D,$BA$25)+SUMIFS(OPEN_ORDERS!$E:$E,OPEN_ORDERS!$B:$B,"IMMEDIATELY",OPEN_ORDERS!$C:$C,$BA32,OPEN_ORDERS!$D:$D,$BA$25),SUMIFS(OPEN_ORDERS!$E:$E,OPEN_ORDERS!$B:$B,BS$2,OPEN_ORDERS!$C:$C,$BA32,OPEN_ORDERS!$D:$D,$BA$25))</f>
        <v>22297</v>
      </c>
      <c r="BT32" s="677">
        <f ca="1">IF(BT$2=TIME!$E$5,SUMIFS(OPEN_ORDERS!$E:$E,OPEN_ORDERS!$B:$B,"&lt;="&amp;BT$2,OPEN_ORDERS!$C:$C,$BA32,OPEN_ORDERS!$D:$D,$BA$25)+SUMIFS(OPEN_ORDERS!$E:$E,OPEN_ORDERS!$B:$B,"IMMEDIATELY",OPEN_ORDERS!$C:$C,$BA32,OPEN_ORDERS!$D:$D,$BA$25),SUMIFS(OPEN_ORDERS!$E:$E,OPEN_ORDERS!$B:$B,BT$2,OPEN_ORDERS!$C:$C,$BA32,OPEN_ORDERS!$D:$D,$BA$25))</f>
        <v>123220</v>
      </c>
      <c r="BU32" s="677">
        <f ca="1">IF(BU$2=TIME!$E$5,SUMIFS(OPEN_ORDERS!$E:$E,OPEN_ORDERS!$B:$B,"&lt;="&amp;BU$2,OPEN_ORDERS!$C:$C,$BA32,OPEN_ORDERS!$D:$D,$BA$25)+SUMIFS(OPEN_ORDERS!$E:$E,OPEN_ORDERS!$B:$B,"IMMEDIATELY",OPEN_ORDERS!$C:$C,$BA32,OPEN_ORDERS!$D:$D,$BA$25),SUMIFS(OPEN_ORDERS!$E:$E,OPEN_ORDERS!$B:$B,BU$2,OPEN_ORDERS!$C:$C,$BA32,OPEN_ORDERS!$D:$D,$BA$25))</f>
        <v>191472</v>
      </c>
      <c r="BV32" s="678"/>
      <c r="BW32" s="677">
        <f ca="1">SUMIFS(OPEN_ORDERS!$E:$E,OPEN_ORDERS!$B:$B,BW$2,OPEN_ORDERS!$C:$C,$BA32,OPEN_ORDERS!$D:$D,$BA$25)</f>
        <v>0</v>
      </c>
      <c r="BX32" s="677">
        <f ca="1">SUMIFS(OPEN_ORDERS!$E:$E,OPEN_ORDERS!$B:$B,BX$2,OPEN_ORDERS!$C:$C,$BA32,OPEN_ORDERS!$D:$D,$BA$25)</f>
        <v>0</v>
      </c>
      <c r="BY32" s="677">
        <f ca="1">SUMIFS(OPEN_ORDERS!$E:$E,OPEN_ORDERS!$B:$B,BY$2,OPEN_ORDERS!$C:$C,$BA32,OPEN_ORDERS!$D:$D,$BA$25)</f>
        <v>0</v>
      </c>
      <c r="BZ32" s="678"/>
      <c r="CA32" s="677">
        <f ca="1">SUMIFS(OPEN_ORDERS!$E:$E,OPEN_ORDERS!$B:$B,CA$2,OPEN_ORDERS!$C:$C,$BA32,OPEN_ORDERS!$D:$D,$BA$25)</f>
        <v>0</v>
      </c>
      <c r="CB32" s="677">
        <f ca="1">SUMIFS(OPEN_ORDERS!$E:$E,OPEN_ORDERS!$B:$B,CB$2,OPEN_ORDERS!$C:$C,$BA32,OPEN_ORDERS!$D:$D,$BA$25)</f>
        <v>0</v>
      </c>
      <c r="CC32" s="677">
        <f ca="1">SUMIFS(OPEN_ORDERS!$E:$E,OPEN_ORDERS!$B:$B,CC$2,OPEN_ORDERS!$C:$C,$BA32,OPEN_ORDERS!$D:$D,$BA$25)</f>
        <v>0</v>
      </c>
      <c r="CD32" s="678"/>
      <c r="CE32" s="677">
        <f ca="1">SUMIFS(OPEN_ORDERS!$E:$E,OPEN_ORDERS!$B:$B,CE$2,OPEN_ORDERS!$C:$C,$BA32,OPEN_ORDERS!$D:$D,$BA$25)</f>
        <v>0</v>
      </c>
      <c r="CF32" s="677">
        <f ca="1">SUMIFS(OPEN_ORDERS!$E:$E,OPEN_ORDERS!$B:$B,CF$2,OPEN_ORDERS!$C:$C,$BA32,OPEN_ORDERS!$D:$D,$BA$25)</f>
        <v>0</v>
      </c>
      <c r="CG32" s="677">
        <f ca="1">SUMIFS(OPEN_ORDERS!$E:$E,OPEN_ORDERS!$B:$B,CG$2,OPEN_ORDERS!$C:$C,$BA32,OPEN_ORDERS!$D:$D,$BA$25)</f>
        <v>0</v>
      </c>
      <c r="CI32" s="1" t="str">
        <f t="shared" ref="CI32:CI46" si="198">BR32</f>
        <v>DRESSES</v>
      </c>
      <c r="CJ32" s="677">
        <f ca="1">IF($CJ$7="Aug",SUMIFS(HIS_STOCK!$F:$F,HIS_STOCK!$A:$A,$BA$25,HIS_STOCK!$C:$C,$CI32,HIS_STOCK!$D:$D,$CK$1,HIS_STOCK!$E:$E,$CL$1)+BS32-(AK32*1000)-T32-HLOOKUP($CJ$4,NWC_FC_NOOS!$C$50:$U$69,MATCH($CI32,NWC_FC_NOOS!$B$50:$B$69,0),FALSE),IF($CJ$2=TIME!$E$5,SUMIFS(HIS_STOCK!$F:$F,HIS_STOCK!$A:$A,$BA$25,HIS_STOCK!$C:$C,$CI32,HIS_STOCK!$D:$D,$CJ$5,HIS_STOCK!$E:$E,$CL$1)+BS32-(AK32*1000)-T32-HLOOKUP($CJ$4,NWC_FC_NOOS!$C$50:$U$69,MATCH($CI32,NWC_FC_NOOS!$B$50:$B$69,0),FALSE),SUMIFS(HIS_STOCK!$F:$F,HIS_STOCK!$A:$A,$BA$25,HIS_STOCK!$C:$C,$CI32,HIS_STOCK!$D:$D,$CJ$5,HIS_STOCK!$E:$E,CJ$7)))</f>
        <v>0</v>
      </c>
      <c r="CK32" s="677">
        <f ca="1">IF(SUMIFS(HIS_STOCK!$F:$F,HIS_STOCK!$A:$A,$BA$25,HIS_STOCK!$C:$C,$CI32,HIS_STOCK!$D:$D,$CJ$5,HIS_STOCK!$E:$E,CK$7)&lt;&gt;0,SUMIFS(HIS_STOCK!$F:$F,HIS_STOCK!$A:$A,$BA$25,HIS_STOCK!$C:$C,$CI32,HIS_STOCK!$D:$D,$CJ$5,HIS_STOCK!$E:$E,CK$7)-(AL32*1000),CJ32+BT32+((AK32-AL32)*1000)-U32-HLOOKUP(CK$4,NWC_FC_NOOS!$C$50:$U$69,MATCH(PLANNING_FC!$BR32,NWC_FC_NOOS!$B$50:$B$69,0),FALSE))</f>
        <v>123220</v>
      </c>
      <c r="CL32" s="677">
        <f ca="1">IF(SUMIFS(HIS_STOCK!$F:$F,HIS_STOCK!$A:$A,$BA$25,HIS_STOCK!$C:$C,$CI32,HIS_STOCK!$D:$D,$CJ$5,HIS_STOCK!$E:$E,CL$7)&lt;&gt;0,SUMIFS(HIS_STOCK!$F:$F,HIS_STOCK!$A:$A,$BA$25,HIS_STOCK!$C:$C,$CI32,HIS_STOCK!$D:$D,$CJ$5,HIS_STOCK!$E:$E,CL$7)-(AM32*1000),CK32+BU32+((AL32-AM32)*1000)-V32-HLOOKUP(CL$4,NWC_FC_NOOS!$C$50:$U$69,MATCH(PLANNING_FC!$BR32,NWC_FC_NOOS!$B$50:$B$69,0),FALSE))</f>
        <v>314692</v>
      </c>
      <c r="CM32" s="678"/>
      <c r="CN32" s="677">
        <f ca="1">CL32+BW32+((AM32-AO32)*1000)-X32-HLOOKUP(CN$4,NWC_FC_NOOS!$C$50:$U$69,MATCH(PLANNING_FC!$BR32,NWC_FC_NOOS!$B$50:$B$69,0),FALSE)</f>
        <v>314692</v>
      </c>
      <c r="CO32" s="677">
        <f ca="1">CN32+BX32+((AO32-AP32)*1000)-Y32-HLOOKUP(CO$4,NWC_FC_NOOS!$C$50:$U$69,MATCH(PLANNING_FC!$BR32,NWC_FC_NOOS!$B$50:$B$69,0),FALSE)</f>
        <v>314692</v>
      </c>
      <c r="CP32" s="677">
        <f ca="1">CO32+BY32+((AP32-AQ32)*1000)-Z32-HLOOKUP(CP$4,NWC_FC_NOOS!$C$50:$U$69,MATCH(PLANNING_FC!$BR32,NWC_FC_NOOS!$B$50:$B$69,0),FALSE)</f>
        <v>314692</v>
      </c>
      <c r="CQ32" s="678"/>
      <c r="CR32" s="677">
        <f ca="1">CP32+CA32+((AQ32-AS32)*1000)-AB32-HLOOKUP(CR$4,NWC_FC_NOOS!$C$50:$U$69,MATCH(PLANNING_FC!$BR32,NWC_FC_NOOS!$B$50:$B$69,0),FALSE)</f>
        <v>314692</v>
      </c>
      <c r="CS32" s="677">
        <f ca="1">CR32+CB32+((AS32-AT32)*1000)-AC32-HLOOKUP(CS$4,NWC_FC_NOOS!$C$50:$U$69,MATCH(PLANNING_FC!$BR32,NWC_FC_NOOS!$B$50:$B$69,0),FALSE)</f>
        <v>314692</v>
      </c>
      <c r="CT32" s="677">
        <f ca="1">CS32+CC32+((AT32-AU32)*1000)-AD32-HLOOKUP(CT$4,NWC_FC_NOOS!$C$50:$U$69,MATCH(PLANNING_FC!$BR32,NWC_FC_NOOS!$B$50:$B$69,0),FALSE)</f>
        <v>314692</v>
      </c>
      <c r="CU32" s="678"/>
      <c r="CV32" s="677">
        <f ca="1">CT32+CE32+((AU32-AW32)*1000)-AF32-HLOOKUP(CV$4,NWC_FC_NOOS!$C$50:$U$69,MATCH(PLANNING_FC!$BR32,NWC_FC_NOOS!$B$50:$B$69,0),FALSE)</f>
        <v>314692</v>
      </c>
      <c r="CW32" s="677">
        <f ca="1">CV32+CF32+((AW32-AX32)*1000)-AG32-HLOOKUP(CW$4,NWC_FC_NOOS!$C$50:$U$69,MATCH(PLANNING_FC!$BR32,NWC_FC_NOOS!$B$50:$B$69,0),FALSE)</f>
        <v>314692</v>
      </c>
      <c r="CX32" s="677">
        <f ca="1">CW32+CG32+((AX32-AY32)*1000)-AH32-HLOOKUP(CX$4,NWC_FC_NOOS!$C$50:$U$69,MATCH(PLANNING_FC!$BR32,NWC_FC_NOOS!$B$50:$B$69,0),FALSE)</f>
        <v>314692</v>
      </c>
      <c r="CZ32" s="575" t="str">
        <f t="shared" ref="CZ32:CZ46" si="199">CI32</f>
        <v>DRESSES</v>
      </c>
      <c r="DA32" s="677">
        <f ca="1">IF(STOCK_OVERVIEW!C$41="ACT",SUMIFS(HIS_STOCK!$F:$F,HIS_STOCK!$A:$A,PLANNING_FC!$BA$25,HIS_STOCK!$C:$C,PLANNING_FC!$CZ9,HIS_STOCK!$D:$D,PLANNING_FC!$DA$5,HIS_STOCK!$E:$E,PLANNING_FC!DA$7),CJ32+SUM($BB32:BB32))</f>
        <v>0</v>
      </c>
      <c r="DB32" s="677">
        <f ca="1">IF(STOCK_OVERVIEW!D$41="ACT",SUMIFS(HIS_STOCK!$F:$F,HIS_STOCK!$A:$A,PLANNING_FC!$BA$25,HIS_STOCK!$C:$C,PLANNING_FC!$CZ9,HIS_STOCK!$D:$D,PLANNING_FC!$DA$5,HIS_STOCK!$E:$E,PLANNING_FC!DB$7),CK32+SUM($BB32:BC32))</f>
        <v>0</v>
      </c>
      <c r="DC32" s="677">
        <f ca="1">CL32+SUM($BB32:BD32)</f>
        <v>314692</v>
      </c>
      <c r="DD32" s="678"/>
      <c r="DE32" s="677">
        <f ca="1">CN32+SUM($BB32:BF32)</f>
        <v>314692</v>
      </c>
      <c r="DF32" s="677">
        <f ca="1">CO32+SUM($BB32:BG32)</f>
        <v>314692</v>
      </c>
      <c r="DG32" s="677">
        <f ca="1">CP32+SUM($BB32:BH32)</f>
        <v>314692</v>
      </c>
      <c r="DH32" s="678"/>
      <c r="DI32" s="677">
        <f ca="1">CR32+SUM($BB32:BJ32)</f>
        <v>314692</v>
      </c>
      <c r="DJ32" s="677">
        <f ca="1">CS32+SUM($BB32:BK32)</f>
        <v>314692</v>
      </c>
      <c r="DK32" s="677">
        <f ca="1">CT32+SUM($BB32:BL32)</f>
        <v>314692</v>
      </c>
      <c r="DL32" s="678"/>
      <c r="DM32" s="677">
        <f ca="1">CV32+SUM($BB32:BN32)</f>
        <v>314692</v>
      </c>
      <c r="DN32" s="677">
        <f ca="1">CW32+SUM($BB32:BO32)</f>
        <v>314692</v>
      </c>
      <c r="DO32" s="677">
        <f ca="1">CX32+SUM($BB32:BP32)</f>
        <v>314692</v>
      </c>
      <c r="DQ32" s="575" t="str">
        <f t="shared" ref="DQ32:DQ46" si="200">CZ32</f>
        <v>DRESSES</v>
      </c>
      <c r="DR32" s="677">
        <f ca="1">IF($DT$7="Aug",SUMIFS(HIS_STOCK!$F:$F,HIS_STOCK!$A:$A,$BA$25,HIS_STOCK!$C:$C,$DQ32,HIS_STOCK!$D:$D,$DR$4,HIS_STOCK!$E:$E,$DR$7),SUMIFS(HIS_STOCK!$F:$F,HIS_STOCK!$A:$A,$BA$25,HIS_STOCK!$C:$C,$DQ32,HIS_STOCK!$D:$D,$DR$5,HIS_STOCK!$E:$E,$DR$7))</f>
        <v>0</v>
      </c>
      <c r="DS32" s="677"/>
      <c r="DT32" s="677">
        <f ca="1">NWC_FC_NOOS!T9</f>
        <v>0</v>
      </c>
      <c r="DU32" s="677">
        <f ca="1">NWC_FC_NOOS!U9</f>
        <v>0</v>
      </c>
      <c r="DV32" s="677">
        <f ca="1">NWC_FC_NOOS!V9</f>
        <v>0</v>
      </c>
      <c r="DW32" s="678"/>
      <c r="DX32" s="677">
        <f ca="1">NWC_FC_NOOS!X9</f>
        <v>0</v>
      </c>
      <c r="DY32" s="677">
        <f ca="1">NWC_FC_NOOS!Y9</f>
        <v>0</v>
      </c>
      <c r="DZ32" s="677">
        <f ca="1">NWC_FC_NOOS!Z9</f>
        <v>0</v>
      </c>
      <c r="EA32" s="678"/>
      <c r="EB32" s="677">
        <f ca="1">NWC_FC_NOOS!AB9</f>
        <v>0</v>
      </c>
      <c r="EC32" s="677">
        <f ca="1">NWC_FC_NOOS!AC9</f>
        <v>0</v>
      </c>
      <c r="ED32" s="677">
        <f ca="1">NWC_FC_NOOS!AD9</f>
        <v>0</v>
      </c>
      <c r="EE32" s="678"/>
      <c r="EF32" s="677">
        <f ca="1">NWC_FC_NOOS!AF9</f>
        <v>0</v>
      </c>
      <c r="EG32" s="677">
        <f ca="1">NWC_FC_NOOS!AG9</f>
        <v>0</v>
      </c>
      <c r="EH32" s="677">
        <f ca="1">NWC_FC_NOOS!AH9</f>
        <v>0</v>
      </c>
    </row>
    <row r="33" spans="1:138" x14ac:dyDescent="0.25">
      <c r="B33" s="575" t="str">
        <f t="shared" si="182"/>
        <v>JEANS</v>
      </c>
      <c r="C33" s="802"/>
      <c r="D33" s="763"/>
      <c r="E33" s="763"/>
      <c r="F33" s="763"/>
      <c r="G33" s="613"/>
      <c r="H33" s="763"/>
      <c r="I33" s="763"/>
      <c r="J33" s="763"/>
      <c r="K33" s="613"/>
      <c r="L33" s="763"/>
      <c r="M33" s="763"/>
      <c r="N33" s="763"/>
      <c r="O33" s="613"/>
      <c r="P33" s="763"/>
      <c r="Q33" s="763"/>
      <c r="R33" s="763"/>
      <c r="T33" s="675">
        <f t="shared" ca="1" si="183"/>
        <v>0</v>
      </c>
      <c r="U33" s="675">
        <f t="shared" ca="1" si="184"/>
        <v>0</v>
      </c>
      <c r="V33" s="675">
        <f t="shared" ca="1" si="185"/>
        <v>0</v>
      </c>
      <c r="W33" s="675"/>
      <c r="X33" s="675">
        <f t="shared" ca="1" si="186"/>
        <v>0</v>
      </c>
      <c r="Y33" s="675">
        <f t="shared" ca="1" si="187"/>
        <v>0</v>
      </c>
      <c r="Z33" s="675">
        <f t="shared" ca="1" si="188"/>
        <v>0</v>
      </c>
      <c r="AA33" s="675"/>
      <c r="AB33" s="675">
        <f t="shared" ca="1" si="189"/>
        <v>0</v>
      </c>
      <c r="AC33" s="675">
        <f t="shared" ca="1" si="190"/>
        <v>0</v>
      </c>
      <c r="AD33" s="675">
        <f t="shared" ca="1" si="191"/>
        <v>0</v>
      </c>
      <c r="AE33" s="675"/>
      <c r="AF33" s="675">
        <f t="shared" ca="1" si="192"/>
        <v>0</v>
      </c>
      <c r="AG33" s="675">
        <f t="shared" ca="1" si="193"/>
        <v>0</v>
      </c>
      <c r="AH33" s="675">
        <f t="shared" ca="1" si="194"/>
        <v>0</v>
      </c>
      <c r="AI33" s="675"/>
      <c r="AJ33" s="575" t="str">
        <f t="shared" si="196"/>
        <v>JEANS</v>
      </c>
      <c r="AK33" s="761"/>
      <c r="AL33" s="761"/>
      <c r="AM33" s="761"/>
      <c r="AN33" s="613"/>
      <c r="AO33" s="761"/>
      <c r="AP33" s="761"/>
      <c r="AQ33" s="761"/>
      <c r="AR33" s="613"/>
      <c r="AS33" s="761"/>
      <c r="AT33" s="761"/>
      <c r="AU33" s="761"/>
      <c r="AV33" s="613"/>
      <c r="AW33" s="761"/>
      <c r="AX33" s="761"/>
      <c r="AY33" s="761"/>
      <c r="BA33" s="575" t="str">
        <f t="shared" si="195"/>
        <v>JEANS</v>
      </c>
      <c r="BB33" s="677">
        <f ca="1">MAX(IF(ISNA(VLOOKUP($BB$4,TIME!$M$40:$M$42,1,FALSE)),0,HLOOKUP(BB$4,NWC_FC_NOOS!$S$4:$AH$23,MATCH($BA33,NWC_FC_NOOS!$S$4:$S$23,0),FALSE)-CJ33),0)</f>
        <v>0</v>
      </c>
      <c r="BC33" s="677">
        <f ca="1">IF(ISNA(VLOOKUP(BC$4,TIME!$M$40:$M$42,1,FALSE)),0,IF(HLOOKUP(BC$4,NWC_FC_NOOS!$S$4:$AH$23,MATCH($BA33,NWC_FC_NOOS!$S$4:$S$23,0),FALSE)-CK33-SUM($BB33:BB33)&gt;0,HLOOKUP(BC$4,NWC_FC_NOOS!$S$4:$AH$23,MATCH($BA33,NWC_FC_NOOS!$S$4:$S$23,0),FALSE)-CK33-SUM($BB33:BB33),0))</f>
        <v>0</v>
      </c>
      <c r="BD33" s="677">
        <f ca="1">IF(ISNA(VLOOKUP(BD$4,TIME!$M$40:$M$42,1,FALSE)),0,IF(HLOOKUP(BD$4,NWC_FC_NOOS!$S$4:$AH$23,MATCH($BA33,NWC_FC_NOOS!$S$4:$S$23,0),FALSE)-CL33-SUM($BB33:BC33)&gt;0,HLOOKUP(BD$4,NWC_FC_NOOS!$S$4:$AH$23,MATCH($BA33,NWC_FC_NOOS!$S$4:$S$23,0),FALSE)-CL33-SUM($BB33:BC33),0))</f>
        <v>0</v>
      </c>
      <c r="BE33" s="678"/>
      <c r="BF33" s="677">
        <f ca="1">IF(HLOOKUP(BF$4,NWC_FC_NOOS!$S$4:$AH$23,MATCH($BA33,NWC_FC_NOOS!$S$4:$S$23,0),FALSE)-CN33-SUM($BB33:BE33)&gt;0,HLOOKUP(BF$4,NWC_FC_NOOS!$S$4:$AH$23,MATCH($BA33,NWC_FC_NOOS!$S$4:$S$23,0),FALSE)-CN33-SUM($BB33:BE33),0)</f>
        <v>0</v>
      </c>
      <c r="BG33" s="677">
        <f ca="1">IF(HLOOKUP(BG$4,NWC_FC_NOOS!$S$4:$AH$23,MATCH($BA33,NWC_FC_NOOS!$S$4:$S$23,0),FALSE)-CO33-SUM($BB33:BF33)&gt;0,HLOOKUP(BG$4,NWC_FC_NOOS!$S$4:$AH$23,MATCH($BA33,NWC_FC_NOOS!$S$4:$S$23,0),FALSE)-CO33-SUM($BB33:BF33),0)</f>
        <v>0</v>
      </c>
      <c r="BH33" s="677">
        <f ca="1">IF(HLOOKUP(BH$4,NWC_FC_NOOS!$S$4:$AH$23,MATCH($BA33,NWC_FC_NOOS!$S$4:$S$23,0),FALSE)-CP33-SUM($BB33:BG33)&gt;0,HLOOKUP(BH$4,NWC_FC_NOOS!$S$4:$AH$23,MATCH($BA33,NWC_FC_NOOS!$S$4:$S$23,0),FALSE)-CP33-SUM($BB33:BG33),0)</f>
        <v>0</v>
      </c>
      <c r="BI33" s="678"/>
      <c r="BJ33" s="677">
        <f ca="1">IF(HLOOKUP(BJ$4,NWC_FC_NOOS!$S$4:$AH$23,MATCH($BA33,NWC_FC_NOOS!$S$4:$S$23,0),FALSE)-CR33-SUM($BB33:BI33)&gt;0,HLOOKUP(BJ$4,NWC_FC_NOOS!$S$4:$AH$23,MATCH($BA33,NWC_FC_NOOS!$S$4:$S$23,0),FALSE)-CR33-SUM($BB33:BI33),0)</f>
        <v>0</v>
      </c>
      <c r="BK33" s="677">
        <f ca="1">IF(HLOOKUP(BK$4,NWC_FC_NOOS!$S$4:$AH$23,MATCH($BA33,NWC_FC_NOOS!$S$4:$S$23,0),FALSE)-CS33-SUM($BB33:BJ33)&gt;0,HLOOKUP(BK$4,NWC_FC_NOOS!$S$4:$AH$23,MATCH($BA33,NWC_FC_NOOS!$S$4:$S$23,0),FALSE)-CS33-SUM($BB33:BJ33),0)</f>
        <v>0</v>
      </c>
      <c r="BL33" s="677">
        <f ca="1">IF(HLOOKUP(BL$4,NWC_FC_NOOS!$S$4:$AH$23,MATCH($BA33,NWC_FC_NOOS!$S$4:$S$23,0),FALSE)-CT33-SUM($BB33:BK33)&gt;0,HLOOKUP(BL$4,NWC_FC_NOOS!$S$4:$AH$23,MATCH($BA33,NWC_FC_NOOS!$S$4:$S$23,0),FALSE)-CT33-SUM($BB33:BK33),0)</f>
        <v>0</v>
      </c>
      <c r="BM33" s="678"/>
      <c r="BN33" s="677">
        <f ca="1">IF(HLOOKUP(BN$4,NWC_FC_NOOS!$S$4:$AH$23,MATCH($BA33,NWC_FC_NOOS!$S$4:$S$23,0),FALSE)-CV33-SUM($BB33:BM33)&gt;0,HLOOKUP(BN$4,NWC_FC_NOOS!$S$4:$AH$23,MATCH($BA33,NWC_FC_NOOS!$S$4:$S$23,0),FALSE)-CV33-SUM($BB33:BM33),0)</f>
        <v>0</v>
      </c>
      <c r="BO33" s="677">
        <f ca="1">IF(HLOOKUP(BO$4,NWC_FC_NOOS!$S$4:$AH$23,MATCH($BA33,NWC_FC_NOOS!$S$4:$S$23,0),FALSE)-CW33-SUM($BB33:BN33)&gt;0,HLOOKUP(BO$4,NWC_FC_NOOS!$S$4:$AH$23,MATCH($BA33,NWC_FC_NOOS!$S$4:$S$23,0),FALSE)-CW33-SUM($BB33:BN33),0)</f>
        <v>0</v>
      </c>
      <c r="BP33" s="677">
        <f ca="1">IF(HLOOKUP(BP$4,NWC_FC_NOOS!$S$4:$AH$23,MATCH($BA33,NWC_FC_NOOS!$S$4:$S$23,0),FALSE)-CX33-SUM($BB33:BO33)&gt;0,HLOOKUP(BP$4,NWC_FC_NOOS!$S$4:$AH$23,MATCH($BA33,NWC_FC_NOOS!$S$4:$S$23,0),FALSE)-CX33-SUM($BB33:BO33),0)</f>
        <v>0</v>
      </c>
      <c r="BR33" s="575" t="str">
        <f t="shared" si="197"/>
        <v>JEANS</v>
      </c>
      <c r="BS33" s="677">
        <f ca="1">IF(BS$2=TIME!$E$5,SUMIFS(OPEN_ORDERS!$E:$E,OPEN_ORDERS!$B:$B,"&lt;="&amp;BS$2,OPEN_ORDERS!$C:$C,$BA33,OPEN_ORDERS!$D:$D,$BA$25)+SUMIFS(OPEN_ORDERS!$E:$E,OPEN_ORDERS!$B:$B,"IMMEDIATELY",OPEN_ORDERS!$C:$C,$BA33,OPEN_ORDERS!$D:$D,$BA$25),SUMIFS(OPEN_ORDERS!$E:$E,OPEN_ORDERS!$B:$B,BS$2,OPEN_ORDERS!$C:$C,$BA33,OPEN_ORDERS!$D:$D,$BA$25))</f>
        <v>22828</v>
      </c>
      <c r="BT33" s="677">
        <f ca="1">IF(BT$2=TIME!$E$5,SUMIFS(OPEN_ORDERS!$E:$E,OPEN_ORDERS!$B:$B,"&lt;="&amp;BT$2,OPEN_ORDERS!$C:$C,$BA33,OPEN_ORDERS!$D:$D,$BA$25)+SUMIFS(OPEN_ORDERS!$E:$E,OPEN_ORDERS!$B:$B,"IMMEDIATELY",OPEN_ORDERS!$C:$C,$BA33,OPEN_ORDERS!$D:$D,$BA$25),SUMIFS(OPEN_ORDERS!$E:$E,OPEN_ORDERS!$B:$B,BT$2,OPEN_ORDERS!$C:$C,$BA33,OPEN_ORDERS!$D:$D,$BA$25))</f>
        <v>9487</v>
      </c>
      <c r="BU33" s="677">
        <f ca="1">IF(BU$2=TIME!$E$5,SUMIFS(OPEN_ORDERS!$E:$E,OPEN_ORDERS!$B:$B,"&lt;="&amp;BU$2,OPEN_ORDERS!$C:$C,$BA33,OPEN_ORDERS!$D:$D,$BA$25)+SUMIFS(OPEN_ORDERS!$E:$E,OPEN_ORDERS!$B:$B,"IMMEDIATELY",OPEN_ORDERS!$C:$C,$BA33,OPEN_ORDERS!$D:$D,$BA$25),SUMIFS(OPEN_ORDERS!$E:$E,OPEN_ORDERS!$B:$B,BU$2,OPEN_ORDERS!$C:$C,$BA33,OPEN_ORDERS!$D:$D,$BA$25))</f>
        <v>117887</v>
      </c>
      <c r="BV33" s="678"/>
      <c r="BW33" s="677">
        <f ca="1">SUMIFS(OPEN_ORDERS!$E:$E,OPEN_ORDERS!$B:$B,BW$2,OPEN_ORDERS!$C:$C,$BA33,OPEN_ORDERS!$D:$D,$BA$25)</f>
        <v>0</v>
      </c>
      <c r="BX33" s="677">
        <f ca="1">SUMIFS(OPEN_ORDERS!$E:$E,OPEN_ORDERS!$B:$B,BX$2,OPEN_ORDERS!$C:$C,$BA33,OPEN_ORDERS!$D:$D,$BA$25)</f>
        <v>0</v>
      </c>
      <c r="BY33" s="677">
        <f ca="1">SUMIFS(OPEN_ORDERS!$E:$E,OPEN_ORDERS!$B:$B,BY$2,OPEN_ORDERS!$C:$C,$BA33,OPEN_ORDERS!$D:$D,$BA$25)</f>
        <v>0</v>
      </c>
      <c r="BZ33" s="678"/>
      <c r="CA33" s="677">
        <f ca="1">SUMIFS(OPEN_ORDERS!$E:$E,OPEN_ORDERS!$B:$B,CA$2,OPEN_ORDERS!$C:$C,$BA33,OPEN_ORDERS!$D:$D,$BA$25)</f>
        <v>0</v>
      </c>
      <c r="CB33" s="677">
        <f ca="1">SUMIFS(OPEN_ORDERS!$E:$E,OPEN_ORDERS!$B:$B,CB$2,OPEN_ORDERS!$C:$C,$BA33,OPEN_ORDERS!$D:$D,$BA$25)</f>
        <v>0</v>
      </c>
      <c r="CC33" s="677">
        <f ca="1">SUMIFS(OPEN_ORDERS!$E:$E,OPEN_ORDERS!$B:$B,CC$2,OPEN_ORDERS!$C:$C,$BA33,OPEN_ORDERS!$D:$D,$BA$25)</f>
        <v>0</v>
      </c>
      <c r="CD33" s="678"/>
      <c r="CE33" s="677">
        <f ca="1">SUMIFS(OPEN_ORDERS!$E:$E,OPEN_ORDERS!$B:$B,CE$2,OPEN_ORDERS!$C:$C,$BA33,OPEN_ORDERS!$D:$D,$BA$25)</f>
        <v>0</v>
      </c>
      <c r="CF33" s="677">
        <f ca="1">SUMIFS(OPEN_ORDERS!$E:$E,OPEN_ORDERS!$B:$B,CF$2,OPEN_ORDERS!$C:$C,$BA33,OPEN_ORDERS!$D:$D,$BA$25)</f>
        <v>0</v>
      </c>
      <c r="CG33" s="677">
        <f ca="1">SUMIFS(OPEN_ORDERS!$E:$E,OPEN_ORDERS!$B:$B,CG$2,OPEN_ORDERS!$C:$C,$BA33,OPEN_ORDERS!$D:$D,$BA$25)</f>
        <v>0</v>
      </c>
      <c r="CI33" s="1" t="str">
        <f t="shared" si="198"/>
        <v>JEANS</v>
      </c>
      <c r="CJ33" s="677">
        <f ca="1">IF($CJ$7="Aug",SUMIFS(HIS_STOCK!$F:$F,HIS_STOCK!$A:$A,$BA$25,HIS_STOCK!$C:$C,$CI33,HIS_STOCK!$D:$D,$CK$1,HIS_STOCK!$E:$E,$CL$1)+BS33-(AK33*1000)-T33-HLOOKUP($CJ$4,NWC_FC_NOOS!$C$50:$U$69,MATCH($CI33,NWC_FC_NOOS!$B$50:$B$69,0),FALSE),IF($CJ$2=TIME!$E$5,SUMIFS(HIS_STOCK!$F:$F,HIS_STOCK!$A:$A,$BA$25,HIS_STOCK!$C:$C,$CI33,HIS_STOCK!$D:$D,$CJ$5,HIS_STOCK!$E:$E,$CL$1)+BS33-(AK33*1000)-T33-HLOOKUP($CJ$4,NWC_FC_NOOS!$C$50:$U$69,MATCH($CI33,NWC_FC_NOOS!$B$50:$B$69,0),FALSE),SUMIFS(HIS_STOCK!$F:$F,HIS_STOCK!$A:$A,$BA$25,HIS_STOCK!$C:$C,$CI33,HIS_STOCK!$D:$D,$CJ$5,HIS_STOCK!$E:$E,CJ$7)))</f>
        <v>0</v>
      </c>
      <c r="CK33" s="677">
        <f ca="1">IF(SUMIFS(HIS_STOCK!$F:$F,HIS_STOCK!$A:$A,$BA$25,HIS_STOCK!$C:$C,$CI33,HIS_STOCK!$D:$D,$CJ$5,HIS_STOCK!$E:$E,CK$7)&lt;&gt;0,SUMIFS(HIS_STOCK!$F:$F,HIS_STOCK!$A:$A,$BA$25,HIS_STOCK!$C:$C,$CI33,HIS_STOCK!$D:$D,$CJ$5,HIS_STOCK!$E:$E,CK$7)-(AL33*1000),CJ33+BT33+((AK33-AL33)*1000)-U33-HLOOKUP(CK$4,NWC_FC_NOOS!$C$50:$U$69,MATCH(PLANNING_FC!$BR33,NWC_FC_NOOS!$B$50:$B$69,0),FALSE))</f>
        <v>9487</v>
      </c>
      <c r="CL33" s="677">
        <f ca="1">IF(SUMIFS(HIS_STOCK!$F:$F,HIS_STOCK!$A:$A,$BA$25,HIS_STOCK!$C:$C,$CI33,HIS_STOCK!$D:$D,$CJ$5,HIS_STOCK!$E:$E,CL$7)&lt;&gt;0,SUMIFS(HIS_STOCK!$F:$F,HIS_STOCK!$A:$A,$BA$25,HIS_STOCK!$C:$C,$CI33,HIS_STOCK!$D:$D,$CJ$5,HIS_STOCK!$E:$E,CL$7)-(AM33*1000),CK33+BU33+((AL33-AM33)*1000)-V33-HLOOKUP(CL$4,NWC_FC_NOOS!$C$50:$U$69,MATCH(PLANNING_FC!$BR33,NWC_FC_NOOS!$B$50:$B$69,0),FALSE))</f>
        <v>127374</v>
      </c>
      <c r="CM33" s="678"/>
      <c r="CN33" s="677">
        <f ca="1">CL33+BW33+((AM33-AO33)*1000)-X33-HLOOKUP(CN$4,NWC_FC_NOOS!$C$50:$U$69,MATCH(PLANNING_FC!$BR33,NWC_FC_NOOS!$B$50:$B$69,0),FALSE)</f>
        <v>127374</v>
      </c>
      <c r="CO33" s="677">
        <f ca="1">CN33+BX33+((AO33-AP33)*1000)-Y33-HLOOKUP(CO$4,NWC_FC_NOOS!$C$50:$U$69,MATCH(PLANNING_FC!$BR33,NWC_FC_NOOS!$B$50:$B$69,0),FALSE)</f>
        <v>127374</v>
      </c>
      <c r="CP33" s="677">
        <f ca="1">CO33+BY33+((AP33-AQ33)*1000)-Z33-HLOOKUP(CP$4,NWC_FC_NOOS!$C$50:$U$69,MATCH(PLANNING_FC!$BR33,NWC_FC_NOOS!$B$50:$B$69,0),FALSE)</f>
        <v>127374</v>
      </c>
      <c r="CQ33" s="678"/>
      <c r="CR33" s="677">
        <f ca="1">CP33+CA33+((AQ33-AS33)*1000)-AB33-HLOOKUP(CR$4,NWC_FC_NOOS!$C$50:$U$69,MATCH(PLANNING_FC!$BR33,NWC_FC_NOOS!$B$50:$B$69,0),FALSE)</f>
        <v>127374</v>
      </c>
      <c r="CS33" s="677">
        <f ca="1">CR33+CB33+((AS33-AT33)*1000)-AC33-HLOOKUP(CS$4,NWC_FC_NOOS!$C$50:$U$69,MATCH(PLANNING_FC!$BR33,NWC_FC_NOOS!$B$50:$B$69,0),FALSE)</f>
        <v>127374</v>
      </c>
      <c r="CT33" s="677">
        <f ca="1">CS33+CC33+((AT33-AU33)*1000)-AD33-HLOOKUP(CT$4,NWC_FC_NOOS!$C$50:$U$69,MATCH(PLANNING_FC!$BR33,NWC_FC_NOOS!$B$50:$B$69,0),FALSE)</f>
        <v>127374</v>
      </c>
      <c r="CU33" s="678"/>
      <c r="CV33" s="677">
        <f ca="1">CT33+CE33+((AU33-AW33)*1000)-AF33-HLOOKUP(CV$4,NWC_FC_NOOS!$C$50:$U$69,MATCH(PLANNING_FC!$BR33,NWC_FC_NOOS!$B$50:$B$69,0),FALSE)</f>
        <v>127374</v>
      </c>
      <c r="CW33" s="677">
        <f ca="1">CV33+CF33+((AW33-AX33)*1000)-AG33-HLOOKUP(CW$4,NWC_FC_NOOS!$C$50:$U$69,MATCH(PLANNING_FC!$BR33,NWC_FC_NOOS!$B$50:$B$69,0),FALSE)</f>
        <v>127374</v>
      </c>
      <c r="CX33" s="677">
        <f ca="1">CW33+CG33+((AX33-AY33)*1000)-AH33-HLOOKUP(CX$4,NWC_FC_NOOS!$C$50:$U$69,MATCH(PLANNING_FC!$BR33,NWC_FC_NOOS!$B$50:$B$69,0),FALSE)</f>
        <v>127374</v>
      </c>
      <c r="CZ33" s="575" t="str">
        <f t="shared" si="199"/>
        <v>JEANS</v>
      </c>
      <c r="DA33" s="677">
        <f ca="1">IF(STOCK_OVERVIEW!C$41="ACT",SUMIFS(HIS_STOCK!$F:$F,HIS_STOCK!$A:$A,PLANNING_FC!$BA$25,HIS_STOCK!$C:$C,PLANNING_FC!$CZ10,HIS_STOCK!$D:$D,PLANNING_FC!$DA$5,HIS_STOCK!$E:$E,PLANNING_FC!DA$7),CJ33+SUM($BB33:BB33))</f>
        <v>0</v>
      </c>
      <c r="DB33" s="677">
        <f ca="1">IF(STOCK_OVERVIEW!D$41="ACT",SUMIFS(HIS_STOCK!$F:$F,HIS_STOCK!$A:$A,PLANNING_FC!$BA$25,HIS_STOCK!$C:$C,PLANNING_FC!$CZ10,HIS_STOCK!$D:$D,PLANNING_FC!$DA$5,HIS_STOCK!$E:$E,PLANNING_FC!DB$7),CK33+SUM($BB33:BC33))</f>
        <v>0</v>
      </c>
      <c r="DC33" s="677">
        <f ca="1">CL33+SUM($BB33:BD33)</f>
        <v>127374</v>
      </c>
      <c r="DD33" s="678"/>
      <c r="DE33" s="677">
        <f ca="1">CN33+SUM($BB33:BF33)</f>
        <v>127374</v>
      </c>
      <c r="DF33" s="677">
        <f ca="1">CO33+SUM($BB33:BG33)</f>
        <v>127374</v>
      </c>
      <c r="DG33" s="677">
        <f ca="1">CP33+SUM($BB33:BH33)</f>
        <v>127374</v>
      </c>
      <c r="DH33" s="678"/>
      <c r="DI33" s="677">
        <f ca="1">CR33+SUM($BB33:BJ33)</f>
        <v>127374</v>
      </c>
      <c r="DJ33" s="677">
        <f ca="1">CS33+SUM($BB33:BK33)</f>
        <v>127374</v>
      </c>
      <c r="DK33" s="677">
        <f ca="1">CT33+SUM($BB33:BL33)</f>
        <v>127374</v>
      </c>
      <c r="DL33" s="678"/>
      <c r="DM33" s="677">
        <f ca="1">CV33+SUM($BB33:BN33)</f>
        <v>127374</v>
      </c>
      <c r="DN33" s="677">
        <f ca="1">CW33+SUM($BB33:BO33)</f>
        <v>127374</v>
      </c>
      <c r="DO33" s="677">
        <f ca="1">CX33+SUM($BB33:BP33)</f>
        <v>127374</v>
      </c>
      <c r="DQ33" s="575" t="str">
        <f t="shared" si="200"/>
        <v>JEANS</v>
      </c>
      <c r="DR33" s="677">
        <f ca="1">IF($DT$7="Aug",SUMIFS(HIS_STOCK!$F:$F,HIS_STOCK!$A:$A,$BA$25,HIS_STOCK!$C:$C,$DQ33,HIS_STOCK!$D:$D,$DR$4,HIS_STOCK!$E:$E,$DR$7),SUMIFS(HIS_STOCK!$F:$F,HIS_STOCK!$A:$A,$BA$25,HIS_STOCK!$C:$C,$DQ33,HIS_STOCK!$D:$D,$DR$5,HIS_STOCK!$E:$E,$DR$7))</f>
        <v>0</v>
      </c>
      <c r="DS33" s="677"/>
      <c r="DT33" s="677">
        <f ca="1">NWC_FC_NOOS!T10</f>
        <v>0</v>
      </c>
      <c r="DU33" s="677">
        <f ca="1">NWC_FC_NOOS!U10</f>
        <v>0</v>
      </c>
      <c r="DV33" s="677">
        <f ca="1">NWC_FC_NOOS!V10</f>
        <v>0</v>
      </c>
      <c r="DW33" s="678"/>
      <c r="DX33" s="677">
        <f ca="1">NWC_FC_NOOS!X10</f>
        <v>0</v>
      </c>
      <c r="DY33" s="677">
        <f ca="1">NWC_FC_NOOS!Y10</f>
        <v>0</v>
      </c>
      <c r="DZ33" s="677">
        <f ca="1">NWC_FC_NOOS!Z10</f>
        <v>0</v>
      </c>
      <c r="EA33" s="678"/>
      <c r="EB33" s="677">
        <f ca="1">NWC_FC_NOOS!AB10</f>
        <v>0</v>
      </c>
      <c r="EC33" s="677">
        <f ca="1">NWC_FC_NOOS!AC10</f>
        <v>0</v>
      </c>
      <c r="ED33" s="677">
        <f ca="1">NWC_FC_NOOS!AD10</f>
        <v>0</v>
      </c>
      <c r="EE33" s="678"/>
      <c r="EF33" s="677">
        <f ca="1">NWC_FC_NOOS!AF10</f>
        <v>0</v>
      </c>
      <c r="EG33" s="677">
        <f ca="1">NWC_FC_NOOS!AG10</f>
        <v>0</v>
      </c>
      <c r="EH33" s="677">
        <f ca="1">NWC_FC_NOOS!AH10</f>
        <v>0</v>
      </c>
    </row>
    <row r="34" spans="1:138" s="204" customFormat="1" x14ac:dyDescent="0.25">
      <c r="A34" s="62"/>
      <c r="B34" s="575" t="str">
        <f t="shared" si="182"/>
        <v>KNIT</v>
      </c>
      <c r="C34" s="802"/>
      <c r="D34" s="763"/>
      <c r="E34" s="763"/>
      <c r="F34" s="763"/>
      <c r="G34" s="613"/>
      <c r="H34" s="763"/>
      <c r="I34" s="763"/>
      <c r="J34" s="763"/>
      <c r="K34" s="613"/>
      <c r="L34" s="763"/>
      <c r="M34" s="763"/>
      <c r="N34" s="763"/>
      <c r="O34" s="613"/>
      <c r="P34" s="763"/>
      <c r="Q34" s="763"/>
      <c r="R34" s="763"/>
      <c r="S34" s="449"/>
      <c r="T34" s="675">
        <f t="shared" ca="1" si="183"/>
        <v>0</v>
      </c>
      <c r="U34" s="675">
        <f t="shared" ca="1" si="184"/>
        <v>0</v>
      </c>
      <c r="V34" s="675">
        <f t="shared" ca="1" si="185"/>
        <v>0</v>
      </c>
      <c r="W34" s="675"/>
      <c r="X34" s="675">
        <f t="shared" ca="1" si="186"/>
        <v>0</v>
      </c>
      <c r="Y34" s="675">
        <f t="shared" ca="1" si="187"/>
        <v>0</v>
      </c>
      <c r="Z34" s="675">
        <f t="shared" ca="1" si="188"/>
        <v>0</v>
      </c>
      <c r="AA34" s="675"/>
      <c r="AB34" s="675">
        <f t="shared" ca="1" si="189"/>
        <v>0</v>
      </c>
      <c r="AC34" s="675">
        <f t="shared" ca="1" si="190"/>
        <v>0</v>
      </c>
      <c r="AD34" s="675">
        <f t="shared" ca="1" si="191"/>
        <v>0</v>
      </c>
      <c r="AE34" s="675"/>
      <c r="AF34" s="675">
        <f t="shared" ca="1" si="192"/>
        <v>0</v>
      </c>
      <c r="AG34" s="675">
        <f t="shared" ca="1" si="193"/>
        <v>0</v>
      </c>
      <c r="AH34" s="675">
        <f t="shared" ca="1" si="194"/>
        <v>0</v>
      </c>
      <c r="AI34" s="675"/>
      <c r="AJ34" s="575" t="str">
        <f t="shared" si="196"/>
        <v>KNIT</v>
      </c>
      <c r="AK34" s="761"/>
      <c r="AL34" s="761"/>
      <c r="AM34" s="761"/>
      <c r="AN34" s="613"/>
      <c r="AO34" s="761"/>
      <c r="AP34" s="761"/>
      <c r="AQ34" s="761"/>
      <c r="AR34" s="613"/>
      <c r="AS34" s="761"/>
      <c r="AT34" s="761"/>
      <c r="AU34" s="761"/>
      <c r="AV34" s="613"/>
      <c r="AW34" s="761"/>
      <c r="AX34" s="761"/>
      <c r="AY34" s="761"/>
      <c r="AZ34" s="449"/>
      <c r="BA34" s="575" t="str">
        <f t="shared" si="195"/>
        <v>KNIT</v>
      </c>
      <c r="BB34" s="677">
        <f ca="1">MAX(IF(ISNA(VLOOKUP($BB$4,TIME!$M$40:$M$42,1,FALSE)),0,HLOOKUP(BB$4,NWC_FC_NOOS!$S$4:$AH$23,MATCH($BA34,NWC_FC_NOOS!$S$4:$S$23,0),FALSE)-CJ34),0)</f>
        <v>0</v>
      </c>
      <c r="BC34" s="677">
        <f ca="1">IF(ISNA(VLOOKUP(BC$4,TIME!$M$40:$M$42,1,FALSE)),0,IF(HLOOKUP(BC$4,NWC_FC_NOOS!$S$4:$AH$23,MATCH($BA34,NWC_FC_NOOS!$S$4:$S$23,0),FALSE)-CK34-SUM($BB34:BB34)&gt;0,HLOOKUP(BC$4,NWC_FC_NOOS!$S$4:$AH$23,MATCH($BA34,NWC_FC_NOOS!$S$4:$S$23,0),FALSE)-CK34-SUM($BB34:BB34),0))</f>
        <v>0</v>
      </c>
      <c r="BD34" s="677">
        <f ca="1">IF(ISNA(VLOOKUP(BD$4,TIME!$M$40:$M$42,1,FALSE)),0,IF(HLOOKUP(BD$4,NWC_FC_NOOS!$S$4:$AH$23,MATCH($BA34,NWC_FC_NOOS!$S$4:$S$23,0),FALSE)-CL34-SUM($BB34:BC34)&gt;0,HLOOKUP(BD$4,NWC_FC_NOOS!$S$4:$AH$23,MATCH($BA34,NWC_FC_NOOS!$S$4:$S$23,0),FALSE)-CL34-SUM($BB34:BC34),0))</f>
        <v>0</v>
      </c>
      <c r="BE34" s="678"/>
      <c r="BF34" s="677">
        <f ca="1">IF(HLOOKUP(BF$4,NWC_FC_NOOS!$S$4:$AH$23,MATCH($BA34,NWC_FC_NOOS!$S$4:$S$23,0),FALSE)-CN34-SUM($BB34:BE34)&gt;0,HLOOKUP(BF$4,NWC_FC_NOOS!$S$4:$AH$23,MATCH($BA34,NWC_FC_NOOS!$S$4:$S$23,0),FALSE)-CN34-SUM($BB34:BE34),0)</f>
        <v>0</v>
      </c>
      <c r="BG34" s="677">
        <f ca="1">IF(HLOOKUP(BG$4,NWC_FC_NOOS!$S$4:$AH$23,MATCH($BA34,NWC_FC_NOOS!$S$4:$S$23,0),FALSE)-CO34-SUM($BB34:BF34)&gt;0,HLOOKUP(BG$4,NWC_FC_NOOS!$S$4:$AH$23,MATCH($BA34,NWC_FC_NOOS!$S$4:$S$23,0),FALSE)-CO34-SUM($BB34:BF34),0)</f>
        <v>0</v>
      </c>
      <c r="BH34" s="677">
        <f ca="1">IF(HLOOKUP(BH$4,NWC_FC_NOOS!$S$4:$AH$23,MATCH($BA34,NWC_FC_NOOS!$S$4:$S$23,0),FALSE)-CP34-SUM($BB34:BG34)&gt;0,HLOOKUP(BH$4,NWC_FC_NOOS!$S$4:$AH$23,MATCH($BA34,NWC_FC_NOOS!$S$4:$S$23,0),FALSE)-CP34-SUM($BB34:BG34),0)</f>
        <v>0</v>
      </c>
      <c r="BI34" s="678"/>
      <c r="BJ34" s="677">
        <f ca="1">IF(HLOOKUP(BJ$4,NWC_FC_NOOS!$S$4:$AH$23,MATCH($BA34,NWC_FC_NOOS!$S$4:$S$23,0),FALSE)-CR34-SUM($BB34:BI34)&gt;0,HLOOKUP(BJ$4,NWC_FC_NOOS!$S$4:$AH$23,MATCH($BA34,NWC_FC_NOOS!$S$4:$S$23,0),FALSE)-CR34-SUM($BB34:BI34),0)</f>
        <v>0</v>
      </c>
      <c r="BK34" s="677">
        <f ca="1">IF(HLOOKUP(BK$4,NWC_FC_NOOS!$S$4:$AH$23,MATCH($BA34,NWC_FC_NOOS!$S$4:$S$23,0),FALSE)-CS34-SUM($BB34:BJ34)&gt;0,HLOOKUP(BK$4,NWC_FC_NOOS!$S$4:$AH$23,MATCH($BA34,NWC_FC_NOOS!$S$4:$S$23,0),FALSE)-CS34-SUM($BB34:BJ34),0)</f>
        <v>0</v>
      </c>
      <c r="BL34" s="677">
        <f ca="1">IF(HLOOKUP(BL$4,NWC_FC_NOOS!$S$4:$AH$23,MATCH($BA34,NWC_FC_NOOS!$S$4:$S$23,0),FALSE)-CT34-SUM($BB34:BK34)&gt;0,HLOOKUP(BL$4,NWC_FC_NOOS!$S$4:$AH$23,MATCH($BA34,NWC_FC_NOOS!$S$4:$S$23,0),FALSE)-CT34-SUM($BB34:BK34),0)</f>
        <v>0</v>
      </c>
      <c r="BM34" s="678"/>
      <c r="BN34" s="677">
        <f ca="1">IF(HLOOKUP(BN$4,NWC_FC_NOOS!$S$4:$AH$23,MATCH($BA34,NWC_FC_NOOS!$S$4:$S$23,0),FALSE)-CV34-SUM($BB34:BM34)&gt;0,HLOOKUP(BN$4,NWC_FC_NOOS!$S$4:$AH$23,MATCH($BA34,NWC_FC_NOOS!$S$4:$S$23,0),FALSE)-CV34-SUM($BB34:BM34),0)</f>
        <v>0</v>
      </c>
      <c r="BO34" s="677">
        <f ca="1">IF(HLOOKUP(BO$4,NWC_FC_NOOS!$S$4:$AH$23,MATCH($BA34,NWC_FC_NOOS!$S$4:$S$23,0),FALSE)-CW34-SUM($BB34:BN34)&gt;0,HLOOKUP(BO$4,NWC_FC_NOOS!$S$4:$AH$23,MATCH($BA34,NWC_FC_NOOS!$S$4:$S$23,0),FALSE)-CW34-SUM($BB34:BN34),0)</f>
        <v>0</v>
      </c>
      <c r="BP34" s="677">
        <f ca="1">IF(HLOOKUP(BP$4,NWC_FC_NOOS!$S$4:$AH$23,MATCH($BA34,NWC_FC_NOOS!$S$4:$S$23,0),FALSE)-CX34-SUM($BB34:BO34)&gt;0,HLOOKUP(BP$4,NWC_FC_NOOS!$S$4:$AH$23,MATCH($BA34,NWC_FC_NOOS!$S$4:$S$23,0),FALSE)-CX34-SUM($BB34:BO34),0)</f>
        <v>0</v>
      </c>
      <c r="BR34" s="575" t="str">
        <f t="shared" si="197"/>
        <v>KNIT</v>
      </c>
      <c r="BS34" s="677">
        <f ca="1">IF(BS$2=TIME!$E$5,SUMIFS(OPEN_ORDERS!$E:$E,OPEN_ORDERS!$B:$B,"&lt;="&amp;BS$2,OPEN_ORDERS!$C:$C,$BA34,OPEN_ORDERS!$D:$D,$BA$25)+SUMIFS(OPEN_ORDERS!$E:$E,OPEN_ORDERS!$B:$B,"IMMEDIATELY",OPEN_ORDERS!$C:$C,$BA34,OPEN_ORDERS!$D:$D,$BA$25),SUMIFS(OPEN_ORDERS!$E:$E,OPEN_ORDERS!$B:$B,BS$2,OPEN_ORDERS!$C:$C,$BA34,OPEN_ORDERS!$D:$D,$BA$25))</f>
        <v>7458</v>
      </c>
      <c r="BT34" s="677">
        <f ca="1">IF(BT$2=TIME!$E$5,SUMIFS(OPEN_ORDERS!$E:$E,OPEN_ORDERS!$B:$B,"&lt;="&amp;BT$2,OPEN_ORDERS!$C:$C,$BA34,OPEN_ORDERS!$D:$D,$BA$25)+SUMIFS(OPEN_ORDERS!$E:$E,OPEN_ORDERS!$B:$B,"IMMEDIATELY",OPEN_ORDERS!$C:$C,$BA34,OPEN_ORDERS!$D:$D,$BA$25),SUMIFS(OPEN_ORDERS!$E:$E,OPEN_ORDERS!$B:$B,BT$2,OPEN_ORDERS!$C:$C,$BA34,OPEN_ORDERS!$D:$D,$BA$25))</f>
        <v>1488</v>
      </c>
      <c r="BU34" s="677">
        <f ca="1">IF(BU$2=TIME!$E$5,SUMIFS(OPEN_ORDERS!$E:$E,OPEN_ORDERS!$B:$B,"&lt;="&amp;BU$2,OPEN_ORDERS!$C:$C,$BA34,OPEN_ORDERS!$D:$D,$BA$25)+SUMIFS(OPEN_ORDERS!$E:$E,OPEN_ORDERS!$B:$B,"IMMEDIATELY",OPEN_ORDERS!$C:$C,$BA34,OPEN_ORDERS!$D:$D,$BA$25),SUMIFS(OPEN_ORDERS!$E:$E,OPEN_ORDERS!$B:$B,BU$2,OPEN_ORDERS!$C:$C,$BA34,OPEN_ORDERS!$D:$D,$BA$25))</f>
        <v>37229</v>
      </c>
      <c r="BV34" s="678"/>
      <c r="BW34" s="677">
        <f ca="1">SUMIFS(OPEN_ORDERS!$E:$E,OPEN_ORDERS!$B:$B,BW$2,OPEN_ORDERS!$C:$C,$BA34,OPEN_ORDERS!$D:$D,$BA$25)</f>
        <v>0</v>
      </c>
      <c r="BX34" s="677">
        <f ca="1">SUMIFS(OPEN_ORDERS!$E:$E,OPEN_ORDERS!$B:$B,BX$2,OPEN_ORDERS!$C:$C,$BA34,OPEN_ORDERS!$D:$D,$BA$25)</f>
        <v>0</v>
      </c>
      <c r="BY34" s="677">
        <f ca="1">SUMIFS(OPEN_ORDERS!$E:$E,OPEN_ORDERS!$B:$B,BY$2,OPEN_ORDERS!$C:$C,$BA34,OPEN_ORDERS!$D:$D,$BA$25)</f>
        <v>0</v>
      </c>
      <c r="BZ34" s="678"/>
      <c r="CA34" s="677">
        <f ca="1">SUMIFS(OPEN_ORDERS!$E:$E,OPEN_ORDERS!$B:$B,CA$2,OPEN_ORDERS!$C:$C,$BA34,OPEN_ORDERS!$D:$D,$BA$25)</f>
        <v>0</v>
      </c>
      <c r="CB34" s="677">
        <f ca="1">SUMIFS(OPEN_ORDERS!$E:$E,OPEN_ORDERS!$B:$B,CB$2,OPEN_ORDERS!$C:$C,$BA34,OPEN_ORDERS!$D:$D,$BA$25)</f>
        <v>0</v>
      </c>
      <c r="CC34" s="677">
        <f ca="1">SUMIFS(OPEN_ORDERS!$E:$E,OPEN_ORDERS!$B:$B,CC$2,OPEN_ORDERS!$C:$C,$BA34,OPEN_ORDERS!$D:$D,$BA$25)</f>
        <v>0</v>
      </c>
      <c r="CD34" s="678"/>
      <c r="CE34" s="677">
        <f ca="1">SUMIFS(OPEN_ORDERS!$E:$E,OPEN_ORDERS!$B:$B,CE$2,OPEN_ORDERS!$C:$C,$BA34,OPEN_ORDERS!$D:$D,$BA$25)</f>
        <v>0</v>
      </c>
      <c r="CF34" s="677">
        <f ca="1">SUMIFS(OPEN_ORDERS!$E:$E,OPEN_ORDERS!$B:$B,CF$2,OPEN_ORDERS!$C:$C,$BA34,OPEN_ORDERS!$D:$D,$BA$25)</f>
        <v>0</v>
      </c>
      <c r="CG34" s="677">
        <f ca="1">SUMIFS(OPEN_ORDERS!$E:$E,OPEN_ORDERS!$B:$B,CG$2,OPEN_ORDERS!$C:$C,$BA34,OPEN_ORDERS!$D:$D,$BA$25)</f>
        <v>0</v>
      </c>
      <c r="CH34" s="61"/>
      <c r="CI34" s="1" t="str">
        <f t="shared" si="198"/>
        <v>KNIT</v>
      </c>
      <c r="CJ34" s="677">
        <f ca="1">IF($CJ$7="Aug",SUMIFS(HIS_STOCK!$F:$F,HIS_STOCK!$A:$A,$BA$25,HIS_STOCK!$C:$C,$CI34,HIS_STOCK!$D:$D,$CK$1,HIS_STOCK!$E:$E,$CL$1)+BS34-(AK34*1000)-T34-HLOOKUP($CJ$4,NWC_FC_NOOS!$C$50:$U$69,MATCH($CI34,NWC_FC_NOOS!$B$50:$B$69,0),FALSE),IF($CJ$2=TIME!$E$5,SUMIFS(HIS_STOCK!$F:$F,HIS_STOCK!$A:$A,$BA$25,HIS_STOCK!$C:$C,$CI34,HIS_STOCK!$D:$D,$CJ$5,HIS_STOCK!$E:$E,$CL$1)+BS34-(AK34*1000)-T34-HLOOKUP($CJ$4,NWC_FC_NOOS!$C$50:$U$69,MATCH($CI34,NWC_FC_NOOS!$B$50:$B$69,0),FALSE),SUMIFS(HIS_STOCK!$F:$F,HIS_STOCK!$A:$A,$BA$25,HIS_STOCK!$C:$C,$CI34,HIS_STOCK!$D:$D,$CJ$5,HIS_STOCK!$E:$E,CJ$7)))</f>
        <v>0</v>
      </c>
      <c r="CK34" s="677">
        <f ca="1">IF(SUMIFS(HIS_STOCK!$F:$F,HIS_STOCK!$A:$A,$BA$25,HIS_STOCK!$C:$C,$CI34,HIS_STOCK!$D:$D,$CJ$5,HIS_STOCK!$E:$E,CK$7)&lt;&gt;0,SUMIFS(HIS_STOCK!$F:$F,HIS_STOCK!$A:$A,$BA$25,HIS_STOCK!$C:$C,$CI34,HIS_STOCK!$D:$D,$CJ$5,HIS_STOCK!$E:$E,CK$7)-(AL34*1000),CJ34+BT34+((AK34-AL34)*1000)-U34-HLOOKUP(CK$4,NWC_FC_NOOS!$C$50:$U$69,MATCH(PLANNING_FC!$BR34,NWC_FC_NOOS!$B$50:$B$69,0),FALSE))</f>
        <v>1488</v>
      </c>
      <c r="CL34" s="677">
        <f ca="1">IF(SUMIFS(HIS_STOCK!$F:$F,HIS_STOCK!$A:$A,$BA$25,HIS_STOCK!$C:$C,$CI34,HIS_STOCK!$D:$D,$CJ$5,HIS_STOCK!$E:$E,CL$7)&lt;&gt;0,SUMIFS(HIS_STOCK!$F:$F,HIS_STOCK!$A:$A,$BA$25,HIS_STOCK!$C:$C,$CI34,HIS_STOCK!$D:$D,$CJ$5,HIS_STOCK!$E:$E,CL$7)-(AM34*1000),CK34+BU34+((AL34-AM34)*1000)-V34-HLOOKUP(CL$4,NWC_FC_NOOS!$C$50:$U$69,MATCH(PLANNING_FC!$BR34,NWC_FC_NOOS!$B$50:$B$69,0),FALSE))</f>
        <v>38717</v>
      </c>
      <c r="CM34" s="678"/>
      <c r="CN34" s="677">
        <f ca="1">CL34+BW34+((AM34-AO34)*1000)-X34-HLOOKUP(CN$4,NWC_FC_NOOS!$C$50:$U$69,MATCH(PLANNING_FC!$BR34,NWC_FC_NOOS!$B$50:$B$69,0),FALSE)</f>
        <v>38717</v>
      </c>
      <c r="CO34" s="677">
        <f ca="1">CN34+BX34+((AO34-AP34)*1000)-Y34-HLOOKUP(CO$4,NWC_FC_NOOS!$C$50:$U$69,MATCH(PLANNING_FC!$BR34,NWC_FC_NOOS!$B$50:$B$69,0),FALSE)</f>
        <v>38717</v>
      </c>
      <c r="CP34" s="677">
        <f ca="1">CO34+BY34+((AP34-AQ34)*1000)-Z34-HLOOKUP(CP$4,NWC_FC_NOOS!$C$50:$U$69,MATCH(PLANNING_FC!$BR34,NWC_FC_NOOS!$B$50:$B$69,0),FALSE)</f>
        <v>38717</v>
      </c>
      <c r="CQ34" s="678"/>
      <c r="CR34" s="677">
        <f ca="1">CP34+CA34+((AQ34-AS34)*1000)-AB34-HLOOKUP(CR$4,NWC_FC_NOOS!$C$50:$U$69,MATCH(PLANNING_FC!$BR34,NWC_FC_NOOS!$B$50:$B$69,0),FALSE)</f>
        <v>38717</v>
      </c>
      <c r="CS34" s="677">
        <f ca="1">CR34+CB34+((AS34-AT34)*1000)-AC34-HLOOKUP(CS$4,NWC_FC_NOOS!$C$50:$U$69,MATCH(PLANNING_FC!$BR34,NWC_FC_NOOS!$B$50:$B$69,0),FALSE)</f>
        <v>38717</v>
      </c>
      <c r="CT34" s="677">
        <f ca="1">CS34+CC34+((AT34-AU34)*1000)-AD34-HLOOKUP(CT$4,NWC_FC_NOOS!$C$50:$U$69,MATCH(PLANNING_FC!$BR34,NWC_FC_NOOS!$B$50:$B$69,0),FALSE)</f>
        <v>38717</v>
      </c>
      <c r="CU34" s="678"/>
      <c r="CV34" s="677">
        <f ca="1">CT34+CE34+((AU34-AW34)*1000)-AF34-HLOOKUP(CV$4,NWC_FC_NOOS!$C$50:$U$69,MATCH(PLANNING_FC!$BR34,NWC_FC_NOOS!$B$50:$B$69,0),FALSE)</f>
        <v>38717</v>
      </c>
      <c r="CW34" s="677">
        <f ca="1">CV34+CF34+((AW34-AX34)*1000)-AG34-HLOOKUP(CW$4,NWC_FC_NOOS!$C$50:$U$69,MATCH(PLANNING_FC!$BR34,NWC_FC_NOOS!$B$50:$B$69,0),FALSE)</f>
        <v>38717</v>
      </c>
      <c r="CX34" s="677">
        <f ca="1">CW34+CG34+((AX34-AY34)*1000)-AH34-HLOOKUP(CX$4,NWC_FC_NOOS!$C$50:$U$69,MATCH(PLANNING_FC!$BR34,NWC_FC_NOOS!$B$50:$B$69,0),FALSE)</f>
        <v>38717</v>
      </c>
      <c r="CZ34" s="575" t="str">
        <f t="shared" si="199"/>
        <v>KNIT</v>
      </c>
      <c r="DA34" s="677">
        <f ca="1">IF(STOCK_OVERVIEW!C$41="ACT",SUMIFS(HIS_STOCK!$F:$F,HIS_STOCK!$A:$A,PLANNING_FC!$BA$25,HIS_STOCK!$C:$C,PLANNING_FC!$CZ11,HIS_STOCK!$D:$D,PLANNING_FC!$DA$5,HIS_STOCK!$E:$E,PLANNING_FC!DA$7),CJ34+SUM($BB34:BB34))</f>
        <v>0</v>
      </c>
      <c r="DB34" s="677">
        <f ca="1">IF(STOCK_OVERVIEW!D$41="ACT",SUMIFS(HIS_STOCK!$F:$F,HIS_STOCK!$A:$A,PLANNING_FC!$BA$25,HIS_STOCK!$C:$C,PLANNING_FC!$CZ11,HIS_STOCK!$D:$D,PLANNING_FC!$DA$5,HIS_STOCK!$E:$E,PLANNING_FC!DB$7),CK34+SUM($BB34:BC34))</f>
        <v>0</v>
      </c>
      <c r="DC34" s="677">
        <f ca="1">CL34+SUM($BB34:BD34)</f>
        <v>38717</v>
      </c>
      <c r="DD34" s="678"/>
      <c r="DE34" s="677">
        <f ca="1">CN34+SUM($BB34:BF34)</f>
        <v>38717</v>
      </c>
      <c r="DF34" s="677">
        <f ca="1">CO34+SUM($BB34:BG34)</f>
        <v>38717</v>
      </c>
      <c r="DG34" s="677">
        <f ca="1">CP34+SUM($BB34:BH34)</f>
        <v>38717</v>
      </c>
      <c r="DH34" s="678"/>
      <c r="DI34" s="677">
        <f ca="1">CR34+SUM($BB34:BJ34)</f>
        <v>38717</v>
      </c>
      <c r="DJ34" s="677">
        <f ca="1">CS34+SUM($BB34:BK34)</f>
        <v>38717</v>
      </c>
      <c r="DK34" s="677">
        <f ca="1">CT34+SUM($BB34:BL34)</f>
        <v>38717</v>
      </c>
      <c r="DL34" s="678"/>
      <c r="DM34" s="677">
        <f ca="1">CV34+SUM($BB34:BN34)</f>
        <v>38717</v>
      </c>
      <c r="DN34" s="677">
        <f ca="1">CW34+SUM($BB34:BO34)</f>
        <v>38717</v>
      </c>
      <c r="DO34" s="677">
        <f ca="1">CX34+SUM($BB34:BP34)</f>
        <v>38717</v>
      </c>
      <c r="DQ34" s="575" t="str">
        <f t="shared" si="200"/>
        <v>KNIT</v>
      </c>
      <c r="DR34" s="677">
        <f ca="1">IF($DT$7="Aug",SUMIFS(HIS_STOCK!$F:$F,HIS_STOCK!$A:$A,$BA$25,HIS_STOCK!$C:$C,$DQ34,HIS_STOCK!$D:$D,$DR$4,HIS_STOCK!$E:$E,$DR$7),SUMIFS(HIS_STOCK!$F:$F,HIS_STOCK!$A:$A,$BA$25,HIS_STOCK!$C:$C,$DQ34,HIS_STOCK!$D:$D,$DR$5,HIS_STOCK!$E:$E,$DR$7))</f>
        <v>0</v>
      </c>
      <c r="DS34" s="677"/>
      <c r="DT34" s="677">
        <f ca="1">NWC_FC_NOOS!T11</f>
        <v>0</v>
      </c>
      <c r="DU34" s="677">
        <f ca="1">NWC_FC_NOOS!U11</f>
        <v>0</v>
      </c>
      <c r="DV34" s="677">
        <f ca="1">NWC_FC_NOOS!V11</f>
        <v>0</v>
      </c>
      <c r="DW34" s="678"/>
      <c r="DX34" s="677">
        <f ca="1">NWC_FC_NOOS!X11</f>
        <v>0</v>
      </c>
      <c r="DY34" s="677">
        <f ca="1">NWC_FC_NOOS!Y11</f>
        <v>0</v>
      </c>
      <c r="DZ34" s="677">
        <f ca="1">NWC_FC_NOOS!Z11</f>
        <v>0</v>
      </c>
      <c r="EA34" s="678"/>
      <c r="EB34" s="677">
        <f ca="1">NWC_FC_NOOS!AB11</f>
        <v>0</v>
      </c>
      <c r="EC34" s="677">
        <f ca="1">NWC_FC_NOOS!AC11</f>
        <v>0</v>
      </c>
      <c r="ED34" s="677">
        <f ca="1">NWC_FC_NOOS!AD11</f>
        <v>0</v>
      </c>
      <c r="EE34" s="678"/>
      <c r="EF34" s="677">
        <f ca="1">NWC_FC_NOOS!AF11</f>
        <v>0</v>
      </c>
      <c r="EG34" s="677">
        <f ca="1">NWC_FC_NOOS!AG11</f>
        <v>0</v>
      </c>
      <c r="EH34" s="677">
        <f ca="1">NWC_FC_NOOS!AH11</f>
        <v>0</v>
      </c>
    </row>
    <row r="35" spans="1:138" s="204" customFormat="1" x14ac:dyDescent="0.25">
      <c r="A35" s="62"/>
      <c r="B35" s="575" t="str">
        <f t="shared" si="182"/>
        <v>OUTERWEAR</v>
      </c>
      <c r="C35" s="802"/>
      <c r="D35" s="763"/>
      <c r="E35" s="763"/>
      <c r="F35" s="763"/>
      <c r="G35" s="613"/>
      <c r="H35" s="763"/>
      <c r="I35" s="763"/>
      <c r="J35" s="763"/>
      <c r="K35" s="613"/>
      <c r="L35" s="763"/>
      <c r="M35" s="763"/>
      <c r="N35" s="763"/>
      <c r="O35" s="613"/>
      <c r="P35" s="763"/>
      <c r="Q35" s="763"/>
      <c r="R35" s="763"/>
      <c r="S35" s="449"/>
      <c r="T35" s="675">
        <f t="shared" ca="1" si="183"/>
        <v>0</v>
      </c>
      <c r="U35" s="675">
        <f t="shared" ca="1" si="184"/>
        <v>0</v>
      </c>
      <c r="V35" s="675">
        <f t="shared" ca="1" si="185"/>
        <v>0</v>
      </c>
      <c r="W35" s="675"/>
      <c r="X35" s="675">
        <f t="shared" ca="1" si="186"/>
        <v>0</v>
      </c>
      <c r="Y35" s="675">
        <f t="shared" ca="1" si="187"/>
        <v>0</v>
      </c>
      <c r="Z35" s="675">
        <f t="shared" ca="1" si="188"/>
        <v>0</v>
      </c>
      <c r="AA35" s="675"/>
      <c r="AB35" s="675">
        <f t="shared" ca="1" si="189"/>
        <v>0</v>
      </c>
      <c r="AC35" s="675">
        <f t="shared" ca="1" si="190"/>
        <v>0</v>
      </c>
      <c r="AD35" s="675">
        <f t="shared" ca="1" si="191"/>
        <v>0</v>
      </c>
      <c r="AE35" s="675"/>
      <c r="AF35" s="675">
        <f t="shared" ca="1" si="192"/>
        <v>0</v>
      </c>
      <c r="AG35" s="675">
        <f t="shared" ca="1" si="193"/>
        <v>0</v>
      </c>
      <c r="AH35" s="675">
        <f t="shared" ca="1" si="194"/>
        <v>0</v>
      </c>
      <c r="AI35" s="675"/>
      <c r="AJ35" s="575" t="str">
        <f t="shared" si="196"/>
        <v>OUTERWEAR</v>
      </c>
      <c r="AK35" s="761"/>
      <c r="AL35" s="761"/>
      <c r="AM35" s="761"/>
      <c r="AN35" s="613"/>
      <c r="AO35" s="761"/>
      <c r="AP35" s="761"/>
      <c r="AQ35" s="761"/>
      <c r="AR35" s="613"/>
      <c r="AS35" s="761"/>
      <c r="AT35" s="761"/>
      <c r="AU35" s="761"/>
      <c r="AV35" s="613"/>
      <c r="AW35" s="761"/>
      <c r="AX35" s="761"/>
      <c r="AY35" s="761"/>
      <c r="AZ35" s="449"/>
      <c r="BA35" s="575" t="str">
        <f t="shared" si="195"/>
        <v>OUTERWEAR</v>
      </c>
      <c r="BB35" s="677">
        <f ca="1">MAX(IF(ISNA(VLOOKUP($BB$4,TIME!$M$40:$M$42,1,FALSE)),0,HLOOKUP(BB$4,NWC_FC_NOOS!$S$4:$AH$23,MATCH($BA35,NWC_FC_NOOS!$S$4:$S$23,0),FALSE)-CJ35),0)</f>
        <v>0</v>
      </c>
      <c r="BC35" s="677">
        <f ca="1">IF(ISNA(VLOOKUP(BC$4,TIME!$M$40:$M$42,1,FALSE)),0,IF(HLOOKUP(BC$4,NWC_FC_NOOS!$S$4:$AH$23,MATCH($BA35,NWC_FC_NOOS!$S$4:$S$23,0),FALSE)-CK35-SUM($BB35:BB35)&gt;0,HLOOKUP(BC$4,NWC_FC_NOOS!$S$4:$AH$23,MATCH($BA35,NWC_FC_NOOS!$S$4:$S$23,0),FALSE)-CK35-SUM($BB35:BB35),0))</f>
        <v>0</v>
      </c>
      <c r="BD35" s="677">
        <f ca="1">IF(ISNA(VLOOKUP(BD$4,TIME!$M$40:$M$42,1,FALSE)),0,IF(HLOOKUP(BD$4,NWC_FC_NOOS!$S$4:$AH$23,MATCH($BA35,NWC_FC_NOOS!$S$4:$S$23,0),FALSE)-CL35-SUM($BB35:BC35)&gt;0,HLOOKUP(BD$4,NWC_FC_NOOS!$S$4:$AH$23,MATCH($BA35,NWC_FC_NOOS!$S$4:$S$23,0),FALSE)-CL35-SUM($BB35:BC35),0))</f>
        <v>0</v>
      </c>
      <c r="BE35" s="678"/>
      <c r="BF35" s="677">
        <f ca="1">IF(HLOOKUP(BF$4,NWC_FC_NOOS!$S$4:$AH$23,MATCH($BA35,NWC_FC_NOOS!$S$4:$S$23,0),FALSE)-CN35-SUM($BB35:BE35)&gt;0,HLOOKUP(BF$4,NWC_FC_NOOS!$S$4:$AH$23,MATCH($BA35,NWC_FC_NOOS!$S$4:$S$23,0),FALSE)-CN35-SUM($BB35:BE35),0)</f>
        <v>0</v>
      </c>
      <c r="BG35" s="677">
        <f ca="1">IF(HLOOKUP(BG$4,NWC_FC_NOOS!$S$4:$AH$23,MATCH($BA35,NWC_FC_NOOS!$S$4:$S$23,0),FALSE)-CO35-SUM($BB35:BF35)&gt;0,HLOOKUP(BG$4,NWC_FC_NOOS!$S$4:$AH$23,MATCH($BA35,NWC_FC_NOOS!$S$4:$S$23,0),FALSE)-CO35-SUM($BB35:BF35),0)</f>
        <v>0</v>
      </c>
      <c r="BH35" s="677">
        <f ca="1">IF(HLOOKUP(BH$4,NWC_FC_NOOS!$S$4:$AH$23,MATCH($BA35,NWC_FC_NOOS!$S$4:$S$23,0),FALSE)-CP35-SUM($BB35:BG35)&gt;0,HLOOKUP(BH$4,NWC_FC_NOOS!$S$4:$AH$23,MATCH($BA35,NWC_FC_NOOS!$S$4:$S$23,0),FALSE)-CP35-SUM($BB35:BG35),0)</f>
        <v>0</v>
      </c>
      <c r="BI35" s="678"/>
      <c r="BJ35" s="677">
        <f ca="1">IF(HLOOKUP(BJ$4,NWC_FC_NOOS!$S$4:$AH$23,MATCH($BA35,NWC_FC_NOOS!$S$4:$S$23,0),FALSE)-CR35-SUM($BB35:BI35)&gt;0,HLOOKUP(BJ$4,NWC_FC_NOOS!$S$4:$AH$23,MATCH($BA35,NWC_FC_NOOS!$S$4:$S$23,0),FALSE)-CR35-SUM($BB35:BI35),0)</f>
        <v>0</v>
      </c>
      <c r="BK35" s="677">
        <f ca="1">IF(HLOOKUP(BK$4,NWC_FC_NOOS!$S$4:$AH$23,MATCH($BA35,NWC_FC_NOOS!$S$4:$S$23,0),FALSE)-CS35-SUM($BB35:BJ35)&gt;0,HLOOKUP(BK$4,NWC_FC_NOOS!$S$4:$AH$23,MATCH($BA35,NWC_FC_NOOS!$S$4:$S$23,0),FALSE)-CS35-SUM($BB35:BJ35),0)</f>
        <v>0</v>
      </c>
      <c r="BL35" s="677">
        <f ca="1">IF(HLOOKUP(BL$4,NWC_FC_NOOS!$S$4:$AH$23,MATCH($BA35,NWC_FC_NOOS!$S$4:$S$23,0),FALSE)-CT35-SUM($BB35:BK35)&gt;0,HLOOKUP(BL$4,NWC_FC_NOOS!$S$4:$AH$23,MATCH($BA35,NWC_FC_NOOS!$S$4:$S$23,0),FALSE)-CT35-SUM($BB35:BK35),0)</f>
        <v>0</v>
      </c>
      <c r="BM35" s="678"/>
      <c r="BN35" s="677">
        <f ca="1">IF(HLOOKUP(BN$4,NWC_FC_NOOS!$S$4:$AH$23,MATCH($BA35,NWC_FC_NOOS!$S$4:$S$23,0),FALSE)-CV35-SUM($BB35:BM35)&gt;0,HLOOKUP(BN$4,NWC_FC_NOOS!$S$4:$AH$23,MATCH($BA35,NWC_FC_NOOS!$S$4:$S$23,0),FALSE)-CV35-SUM($BB35:BM35),0)</f>
        <v>0</v>
      </c>
      <c r="BO35" s="677">
        <f ca="1">IF(HLOOKUP(BO$4,NWC_FC_NOOS!$S$4:$AH$23,MATCH($BA35,NWC_FC_NOOS!$S$4:$S$23,0),FALSE)-CW35-SUM($BB35:BN35)&gt;0,HLOOKUP(BO$4,NWC_FC_NOOS!$S$4:$AH$23,MATCH($BA35,NWC_FC_NOOS!$S$4:$S$23,0),FALSE)-CW35-SUM($BB35:BN35),0)</f>
        <v>0</v>
      </c>
      <c r="BP35" s="677">
        <f ca="1">IF(HLOOKUP(BP$4,NWC_FC_NOOS!$S$4:$AH$23,MATCH($BA35,NWC_FC_NOOS!$S$4:$S$23,0),FALSE)-CX35-SUM($BB35:BO35)&gt;0,HLOOKUP(BP$4,NWC_FC_NOOS!$S$4:$AH$23,MATCH($BA35,NWC_FC_NOOS!$S$4:$S$23,0),FALSE)-CX35-SUM($BB35:BO35),0)</f>
        <v>0</v>
      </c>
      <c r="BR35" s="575" t="str">
        <f t="shared" si="197"/>
        <v>OUTERWEAR</v>
      </c>
      <c r="BS35" s="677">
        <f ca="1">IF(BS$2=TIME!$E$5,SUMIFS(OPEN_ORDERS!$E:$E,OPEN_ORDERS!$B:$B,"&lt;="&amp;BS$2,OPEN_ORDERS!$C:$C,$BA35,OPEN_ORDERS!$D:$D,$BA$25)+SUMIFS(OPEN_ORDERS!$E:$E,OPEN_ORDERS!$B:$B,"IMMEDIATELY",OPEN_ORDERS!$C:$C,$BA35,OPEN_ORDERS!$D:$D,$BA$25),SUMIFS(OPEN_ORDERS!$E:$E,OPEN_ORDERS!$B:$B,BS$2,OPEN_ORDERS!$C:$C,$BA35,OPEN_ORDERS!$D:$D,$BA$25))</f>
        <v>123663</v>
      </c>
      <c r="BT35" s="677">
        <f ca="1">IF(BT$2=TIME!$E$5,SUMIFS(OPEN_ORDERS!$E:$E,OPEN_ORDERS!$B:$B,"&lt;="&amp;BT$2,OPEN_ORDERS!$C:$C,$BA35,OPEN_ORDERS!$D:$D,$BA$25)+SUMIFS(OPEN_ORDERS!$E:$E,OPEN_ORDERS!$B:$B,"IMMEDIATELY",OPEN_ORDERS!$C:$C,$BA35,OPEN_ORDERS!$D:$D,$BA$25),SUMIFS(OPEN_ORDERS!$E:$E,OPEN_ORDERS!$B:$B,BT$2,OPEN_ORDERS!$C:$C,$BA35,OPEN_ORDERS!$D:$D,$BA$25))</f>
        <v>8033</v>
      </c>
      <c r="BU35" s="677">
        <f ca="1">IF(BU$2=TIME!$E$5,SUMIFS(OPEN_ORDERS!$E:$E,OPEN_ORDERS!$B:$B,"&lt;="&amp;BU$2,OPEN_ORDERS!$C:$C,$BA35,OPEN_ORDERS!$D:$D,$BA$25)+SUMIFS(OPEN_ORDERS!$E:$E,OPEN_ORDERS!$B:$B,"IMMEDIATELY",OPEN_ORDERS!$C:$C,$BA35,OPEN_ORDERS!$D:$D,$BA$25),SUMIFS(OPEN_ORDERS!$E:$E,OPEN_ORDERS!$B:$B,BU$2,OPEN_ORDERS!$C:$C,$BA35,OPEN_ORDERS!$D:$D,$BA$25))</f>
        <v>255332</v>
      </c>
      <c r="BV35" s="678"/>
      <c r="BW35" s="677">
        <f ca="1">SUMIFS(OPEN_ORDERS!$E:$E,OPEN_ORDERS!$B:$B,BW$2,OPEN_ORDERS!$C:$C,$BA35,OPEN_ORDERS!$D:$D,$BA$25)</f>
        <v>0</v>
      </c>
      <c r="BX35" s="677">
        <f ca="1">SUMIFS(OPEN_ORDERS!$E:$E,OPEN_ORDERS!$B:$B,BX$2,OPEN_ORDERS!$C:$C,$BA35,OPEN_ORDERS!$D:$D,$BA$25)</f>
        <v>0</v>
      </c>
      <c r="BY35" s="677">
        <f ca="1">SUMIFS(OPEN_ORDERS!$E:$E,OPEN_ORDERS!$B:$B,BY$2,OPEN_ORDERS!$C:$C,$BA35,OPEN_ORDERS!$D:$D,$BA$25)</f>
        <v>0</v>
      </c>
      <c r="BZ35" s="678"/>
      <c r="CA35" s="677">
        <f ca="1">SUMIFS(OPEN_ORDERS!$E:$E,OPEN_ORDERS!$B:$B,CA$2,OPEN_ORDERS!$C:$C,$BA35,OPEN_ORDERS!$D:$D,$BA$25)</f>
        <v>0</v>
      </c>
      <c r="CB35" s="677">
        <f ca="1">SUMIFS(OPEN_ORDERS!$E:$E,OPEN_ORDERS!$B:$B,CB$2,OPEN_ORDERS!$C:$C,$BA35,OPEN_ORDERS!$D:$D,$BA$25)</f>
        <v>0</v>
      </c>
      <c r="CC35" s="677">
        <f ca="1">SUMIFS(OPEN_ORDERS!$E:$E,OPEN_ORDERS!$B:$B,CC$2,OPEN_ORDERS!$C:$C,$BA35,OPEN_ORDERS!$D:$D,$BA$25)</f>
        <v>0</v>
      </c>
      <c r="CD35" s="678"/>
      <c r="CE35" s="677">
        <f ca="1">SUMIFS(OPEN_ORDERS!$E:$E,OPEN_ORDERS!$B:$B,CE$2,OPEN_ORDERS!$C:$C,$BA35,OPEN_ORDERS!$D:$D,$BA$25)</f>
        <v>0</v>
      </c>
      <c r="CF35" s="677">
        <f ca="1">SUMIFS(OPEN_ORDERS!$E:$E,OPEN_ORDERS!$B:$B,CF$2,OPEN_ORDERS!$C:$C,$BA35,OPEN_ORDERS!$D:$D,$BA$25)</f>
        <v>0</v>
      </c>
      <c r="CG35" s="677">
        <f ca="1">SUMIFS(OPEN_ORDERS!$E:$E,OPEN_ORDERS!$B:$B,CG$2,OPEN_ORDERS!$C:$C,$BA35,OPEN_ORDERS!$D:$D,$BA$25)</f>
        <v>0</v>
      </c>
      <c r="CH35" s="61"/>
      <c r="CI35" s="1" t="str">
        <f t="shared" si="198"/>
        <v>OUTERWEAR</v>
      </c>
      <c r="CJ35" s="677">
        <f ca="1">IF($CJ$7="Aug",SUMIFS(HIS_STOCK!$F:$F,HIS_STOCK!$A:$A,$BA$25,HIS_STOCK!$C:$C,$CI35,HIS_STOCK!$D:$D,$CK$1,HIS_STOCK!$E:$E,$CL$1)+BS35-(AK35*1000)-T35-HLOOKUP($CJ$4,NWC_FC_NOOS!$C$50:$U$69,MATCH($CI35,NWC_FC_NOOS!$B$50:$B$69,0),FALSE),IF($CJ$2=TIME!$E$5,SUMIFS(HIS_STOCK!$F:$F,HIS_STOCK!$A:$A,$BA$25,HIS_STOCK!$C:$C,$CI35,HIS_STOCK!$D:$D,$CJ$5,HIS_STOCK!$E:$E,$CL$1)+BS35-(AK35*1000)-T35-HLOOKUP($CJ$4,NWC_FC_NOOS!$C$50:$U$69,MATCH($CI35,NWC_FC_NOOS!$B$50:$B$69,0),FALSE),SUMIFS(HIS_STOCK!$F:$F,HIS_STOCK!$A:$A,$BA$25,HIS_STOCK!$C:$C,$CI35,HIS_STOCK!$D:$D,$CJ$5,HIS_STOCK!$E:$E,CJ$7)))</f>
        <v>0</v>
      </c>
      <c r="CK35" s="677">
        <f ca="1">IF(SUMIFS(HIS_STOCK!$F:$F,HIS_STOCK!$A:$A,$BA$25,HIS_STOCK!$C:$C,$CI35,HIS_STOCK!$D:$D,$CJ$5,HIS_STOCK!$E:$E,CK$7)&lt;&gt;0,SUMIFS(HIS_STOCK!$F:$F,HIS_STOCK!$A:$A,$BA$25,HIS_STOCK!$C:$C,$CI35,HIS_STOCK!$D:$D,$CJ$5,HIS_STOCK!$E:$E,CK$7)-(AL35*1000),CJ35+BT35+((AK35-AL35)*1000)-U35-HLOOKUP(CK$4,NWC_FC_NOOS!$C$50:$U$69,MATCH(PLANNING_FC!$BR35,NWC_FC_NOOS!$B$50:$B$69,0),FALSE))</f>
        <v>8033</v>
      </c>
      <c r="CL35" s="677">
        <f ca="1">IF(SUMIFS(HIS_STOCK!$F:$F,HIS_STOCK!$A:$A,$BA$25,HIS_STOCK!$C:$C,$CI35,HIS_STOCK!$D:$D,$CJ$5,HIS_STOCK!$E:$E,CL$7)&lt;&gt;0,SUMIFS(HIS_STOCK!$F:$F,HIS_STOCK!$A:$A,$BA$25,HIS_STOCK!$C:$C,$CI35,HIS_STOCK!$D:$D,$CJ$5,HIS_STOCK!$E:$E,CL$7)-(AM35*1000),CK35+BU35+((AL35-AM35)*1000)-V35-HLOOKUP(CL$4,NWC_FC_NOOS!$C$50:$U$69,MATCH(PLANNING_FC!$BR35,NWC_FC_NOOS!$B$50:$B$69,0),FALSE))</f>
        <v>263365</v>
      </c>
      <c r="CM35" s="678"/>
      <c r="CN35" s="677">
        <f ca="1">CL35+BW35+((AM35-AO35)*1000)-X35-HLOOKUP(CN$4,NWC_FC_NOOS!$C$50:$U$69,MATCH(PLANNING_FC!$BR35,NWC_FC_NOOS!$B$50:$B$69,0),FALSE)</f>
        <v>263365</v>
      </c>
      <c r="CO35" s="677">
        <f ca="1">CN35+BX35+((AO35-AP35)*1000)-Y35-HLOOKUP(CO$4,NWC_FC_NOOS!$C$50:$U$69,MATCH(PLANNING_FC!$BR35,NWC_FC_NOOS!$B$50:$B$69,0),FALSE)</f>
        <v>263365</v>
      </c>
      <c r="CP35" s="677">
        <f ca="1">CO35+BY35+((AP35-AQ35)*1000)-Z35-HLOOKUP(CP$4,NWC_FC_NOOS!$C$50:$U$69,MATCH(PLANNING_FC!$BR35,NWC_FC_NOOS!$B$50:$B$69,0),FALSE)</f>
        <v>263365</v>
      </c>
      <c r="CQ35" s="678"/>
      <c r="CR35" s="677">
        <f ca="1">CP35+CA35+((AQ35-AS35)*1000)-AB35-HLOOKUP(CR$4,NWC_FC_NOOS!$C$50:$U$69,MATCH(PLANNING_FC!$BR35,NWC_FC_NOOS!$B$50:$B$69,0),FALSE)</f>
        <v>263365</v>
      </c>
      <c r="CS35" s="677">
        <f ca="1">CR35+CB35+((AS35-AT35)*1000)-AC35-HLOOKUP(CS$4,NWC_FC_NOOS!$C$50:$U$69,MATCH(PLANNING_FC!$BR35,NWC_FC_NOOS!$B$50:$B$69,0),FALSE)</f>
        <v>263365</v>
      </c>
      <c r="CT35" s="677">
        <f ca="1">CS35+CC35+((AT35-AU35)*1000)-AD35-HLOOKUP(CT$4,NWC_FC_NOOS!$C$50:$U$69,MATCH(PLANNING_FC!$BR35,NWC_FC_NOOS!$B$50:$B$69,0),FALSE)</f>
        <v>263365</v>
      </c>
      <c r="CU35" s="678"/>
      <c r="CV35" s="677">
        <f ca="1">CT35+CE35+((AU35-AW35)*1000)-AF35-HLOOKUP(CV$4,NWC_FC_NOOS!$C$50:$U$69,MATCH(PLANNING_FC!$BR35,NWC_FC_NOOS!$B$50:$B$69,0),FALSE)</f>
        <v>263365</v>
      </c>
      <c r="CW35" s="677">
        <f ca="1">CV35+CF35+((AW35-AX35)*1000)-AG35-HLOOKUP(CW$4,NWC_FC_NOOS!$C$50:$U$69,MATCH(PLANNING_FC!$BR35,NWC_FC_NOOS!$B$50:$B$69,0),FALSE)</f>
        <v>263365</v>
      </c>
      <c r="CX35" s="677">
        <f ca="1">CW35+CG35+((AX35-AY35)*1000)-AH35-HLOOKUP(CX$4,NWC_FC_NOOS!$C$50:$U$69,MATCH(PLANNING_FC!$BR35,NWC_FC_NOOS!$B$50:$B$69,0),FALSE)</f>
        <v>263365</v>
      </c>
      <c r="CZ35" s="575" t="str">
        <f t="shared" si="199"/>
        <v>OUTERWEAR</v>
      </c>
      <c r="DA35" s="677">
        <f ca="1">IF(STOCK_OVERVIEW!C$41="ACT",SUMIFS(HIS_STOCK!$F:$F,HIS_STOCK!$A:$A,PLANNING_FC!$BA$25,HIS_STOCK!$C:$C,PLANNING_FC!$CZ12,HIS_STOCK!$D:$D,PLANNING_FC!$DA$5,HIS_STOCK!$E:$E,PLANNING_FC!DA$7),CJ35+SUM($BB35:BB35))</f>
        <v>0</v>
      </c>
      <c r="DB35" s="677">
        <f ca="1">IF(STOCK_OVERVIEW!D$41="ACT",SUMIFS(HIS_STOCK!$F:$F,HIS_STOCK!$A:$A,PLANNING_FC!$BA$25,HIS_STOCK!$C:$C,PLANNING_FC!$CZ12,HIS_STOCK!$D:$D,PLANNING_FC!$DA$5,HIS_STOCK!$E:$E,PLANNING_FC!DB$7),CK35+SUM($BB35:BC35))</f>
        <v>0</v>
      </c>
      <c r="DC35" s="677">
        <f ca="1">CL35+SUM($BB35:BD35)</f>
        <v>263365</v>
      </c>
      <c r="DD35" s="678"/>
      <c r="DE35" s="677">
        <f ca="1">CN35+SUM($BB35:BF35)</f>
        <v>263365</v>
      </c>
      <c r="DF35" s="677">
        <f ca="1">CO35+SUM($BB35:BG35)</f>
        <v>263365</v>
      </c>
      <c r="DG35" s="677">
        <f ca="1">CP35+SUM($BB35:BH35)</f>
        <v>263365</v>
      </c>
      <c r="DH35" s="678"/>
      <c r="DI35" s="677">
        <f ca="1">CR35+SUM($BB35:BJ35)</f>
        <v>263365</v>
      </c>
      <c r="DJ35" s="677">
        <f ca="1">CS35+SUM($BB35:BK35)</f>
        <v>263365</v>
      </c>
      <c r="DK35" s="677">
        <f ca="1">CT35+SUM($BB35:BL35)</f>
        <v>263365</v>
      </c>
      <c r="DL35" s="678"/>
      <c r="DM35" s="677">
        <f ca="1">CV35+SUM($BB35:BN35)</f>
        <v>263365</v>
      </c>
      <c r="DN35" s="677">
        <f ca="1">CW35+SUM($BB35:BO35)</f>
        <v>263365</v>
      </c>
      <c r="DO35" s="677">
        <f ca="1">CX35+SUM($BB35:BP35)</f>
        <v>263365</v>
      </c>
      <c r="DQ35" s="575" t="str">
        <f t="shared" si="200"/>
        <v>OUTERWEAR</v>
      </c>
      <c r="DR35" s="677">
        <f ca="1">IF($DT$7="Aug",SUMIFS(HIS_STOCK!$F:$F,HIS_STOCK!$A:$A,$BA$25,HIS_STOCK!$C:$C,$DQ35,HIS_STOCK!$D:$D,$DR$4,HIS_STOCK!$E:$E,$DR$7),SUMIFS(HIS_STOCK!$F:$F,HIS_STOCK!$A:$A,$BA$25,HIS_STOCK!$C:$C,$DQ35,HIS_STOCK!$D:$D,$DR$5,HIS_STOCK!$E:$E,$DR$7))</f>
        <v>0</v>
      </c>
      <c r="DS35" s="677"/>
      <c r="DT35" s="677">
        <f ca="1">NWC_FC_NOOS!T12</f>
        <v>0</v>
      </c>
      <c r="DU35" s="677">
        <f ca="1">NWC_FC_NOOS!U12</f>
        <v>0</v>
      </c>
      <c r="DV35" s="677">
        <f ca="1">NWC_FC_NOOS!V12</f>
        <v>0</v>
      </c>
      <c r="DW35" s="678"/>
      <c r="DX35" s="677">
        <f ca="1">NWC_FC_NOOS!X12</f>
        <v>0</v>
      </c>
      <c r="DY35" s="677">
        <f ca="1">NWC_FC_NOOS!Y12</f>
        <v>0</v>
      </c>
      <c r="DZ35" s="677">
        <f ca="1">NWC_FC_NOOS!Z12</f>
        <v>0</v>
      </c>
      <c r="EA35" s="678"/>
      <c r="EB35" s="677">
        <f ca="1">NWC_FC_NOOS!AB12</f>
        <v>0</v>
      </c>
      <c r="EC35" s="677">
        <f ca="1">NWC_FC_NOOS!AC12</f>
        <v>0</v>
      </c>
      <c r="ED35" s="677">
        <f ca="1">NWC_FC_NOOS!AD12</f>
        <v>0</v>
      </c>
      <c r="EE35" s="678"/>
      <c r="EF35" s="677">
        <f ca="1">NWC_FC_NOOS!AF12</f>
        <v>0</v>
      </c>
      <c r="EG35" s="677">
        <f ca="1">NWC_FC_NOOS!AG12</f>
        <v>0</v>
      </c>
      <c r="EH35" s="677">
        <f ca="1">NWC_FC_NOOS!AH12</f>
        <v>0</v>
      </c>
    </row>
    <row r="36" spans="1:138" s="204" customFormat="1" x14ac:dyDescent="0.25">
      <c r="A36" s="62"/>
      <c r="B36" s="575" t="str">
        <f t="shared" si="182"/>
        <v>PANTS</v>
      </c>
      <c r="C36" s="802"/>
      <c r="D36" s="763"/>
      <c r="E36" s="763"/>
      <c r="F36" s="763"/>
      <c r="G36" s="613"/>
      <c r="H36" s="763"/>
      <c r="I36" s="763"/>
      <c r="J36" s="763"/>
      <c r="K36" s="613"/>
      <c r="L36" s="763"/>
      <c r="M36" s="763"/>
      <c r="N36" s="763"/>
      <c r="O36" s="613"/>
      <c r="P36" s="763"/>
      <c r="Q36" s="763"/>
      <c r="R36" s="763"/>
      <c r="S36" s="449"/>
      <c r="T36" s="675">
        <f t="shared" ca="1" si="183"/>
        <v>0</v>
      </c>
      <c r="U36" s="675">
        <f t="shared" ca="1" si="184"/>
        <v>0</v>
      </c>
      <c r="V36" s="675">
        <f t="shared" ca="1" si="185"/>
        <v>0</v>
      </c>
      <c r="W36" s="675"/>
      <c r="X36" s="675">
        <f t="shared" ca="1" si="186"/>
        <v>0</v>
      </c>
      <c r="Y36" s="675">
        <f t="shared" ca="1" si="187"/>
        <v>0</v>
      </c>
      <c r="Z36" s="675">
        <f t="shared" ca="1" si="188"/>
        <v>0</v>
      </c>
      <c r="AA36" s="675"/>
      <c r="AB36" s="675">
        <f t="shared" ca="1" si="189"/>
        <v>0</v>
      </c>
      <c r="AC36" s="675">
        <f t="shared" ca="1" si="190"/>
        <v>0</v>
      </c>
      <c r="AD36" s="675">
        <f t="shared" ca="1" si="191"/>
        <v>0</v>
      </c>
      <c r="AE36" s="675"/>
      <c r="AF36" s="675">
        <f t="shared" ca="1" si="192"/>
        <v>0</v>
      </c>
      <c r="AG36" s="675">
        <f t="shared" ca="1" si="193"/>
        <v>0</v>
      </c>
      <c r="AH36" s="675">
        <f t="shared" ca="1" si="194"/>
        <v>0</v>
      </c>
      <c r="AI36" s="675"/>
      <c r="AJ36" s="575" t="str">
        <f t="shared" si="196"/>
        <v>PANTS</v>
      </c>
      <c r="AK36" s="761"/>
      <c r="AL36" s="761"/>
      <c r="AM36" s="761"/>
      <c r="AN36" s="613"/>
      <c r="AO36" s="761"/>
      <c r="AP36" s="761"/>
      <c r="AQ36" s="761"/>
      <c r="AR36" s="613"/>
      <c r="AS36" s="761"/>
      <c r="AT36" s="761"/>
      <c r="AU36" s="761"/>
      <c r="AV36" s="613"/>
      <c r="AW36" s="761"/>
      <c r="AX36" s="761"/>
      <c r="AY36" s="761"/>
      <c r="AZ36" s="449"/>
      <c r="BA36" s="575" t="str">
        <f t="shared" si="195"/>
        <v>PANTS</v>
      </c>
      <c r="BB36" s="677">
        <f ca="1">MAX(IF(ISNA(VLOOKUP($BB$4,TIME!$M$40:$M$42,1,FALSE)),0,HLOOKUP(BB$4,NWC_FC_NOOS!$S$4:$AH$23,MATCH($BA36,NWC_FC_NOOS!$S$4:$S$23,0),FALSE)-CJ36),0)</f>
        <v>0</v>
      </c>
      <c r="BC36" s="677">
        <f ca="1">IF(ISNA(VLOOKUP(BC$4,TIME!$M$40:$M$42,1,FALSE)),0,IF(HLOOKUP(BC$4,NWC_FC_NOOS!$S$4:$AH$23,MATCH($BA36,NWC_FC_NOOS!$S$4:$S$23,0),FALSE)-CK36-SUM($BB36:BB36)&gt;0,HLOOKUP(BC$4,NWC_FC_NOOS!$S$4:$AH$23,MATCH($BA36,NWC_FC_NOOS!$S$4:$S$23,0),FALSE)-CK36-SUM($BB36:BB36),0))</f>
        <v>0</v>
      </c>
      <c r="BD36" s="677">
        <f ca="1">IF(ISNA(VLOOKUP(BD$4,TIME!$M$40:$M$42,1,FALSE)),0,IF(HLOOKUP(BD$4,NWC_FC_NOOS!$S$4:$AH$23,MATCH($BA36,NWC_FC_NOOS!$S$4:$S$23,0),FALSE)-CL36-SUM($BB36:BC36)&gt;0,HLOOKUP(BD$4,NWC_FC_NOOS!$S$4:$AH$23,MATCH($BA36,NWC_FC_NOOS!$S$4:$S$23,0),FALSE)-CL36-SUM($BB36:BC36),0))</f>
        <v>0</v>
      </c>
      <c r="BE36" s="678"/>
      <c r="BF36" s="677">
        <f ca="1">IF(HLOOKUP(BF$4,NWC_FC_NOOS!$S$4:$AH$23,MATCH($BA36,NWC_FC_NOOS!$S$4:$S$23,0),FALSE)-CN36-SUM($BB36:BE36)&gt;0,HLOOKUP(BF$4,NWC_FC_NOOS!$S$4:$AH$23,MATCH($BA36,NWC_FC_NOOS!$S$4:$S$23,0),FALSE)-CN36-SUM($BB36:BE36),0)</f>
        <v>0</v>
      </c>
      <c r="BG36" s="677">
        <f ca="1">IF(HLOOKUP(BG$4,NWC_FC_NOOS!$S$4:$AH$23,MATCH($BA36,NWC_FC_NOOS!$S$4:$S$23,0),FALSE)-CO36-SUM($BB36:BF36)&gt;0,HLOOKUP(BG$4,NWC_FC_NOOS!$S$4:$AH$23,MATCH($BA36,NWC_FC_NOOS!$S$4:$S$23,0),FALSE)-CO36-SUM($BB36:BF36),0)</f>
        <v>0</v>
      </c>
      <c r="BH36" s="677">
        <f ca="1">IF(HLOOKUP(BH$4,NWC_FC_NOOS!$S$4:$AH$23,MATCH($BA36,NWC_FC_NOOS!$S$4:$S$23,0),FALSE)-CP36-SUM($BB36:BG36)&gt;0,HLOOKUP(BH$4,NWC_FC_NOOS!$S$4:$AH$23,MATCH($BA36,NWC_FC_NOOS!$S$4:$S$23,0),FALSE)-CP36-SUM($BB36:BG36),0)</f>
        <v>0</v>
      </c>
      <c r="BI36" s="678"/>
      <c r="BJ36" s="677">
        <f ca="1">IF(HLOOKUP(BJ$4,NWC_FC_NOOS!$S$4:$AH$23,MATCH($BA36,NWC_FC_NOOS!$S$4:$S$23,0),FALSE)-CR36-SUM($BB36:BI36)&gt;0,HLOOKUP(BJ$4,NWC_FC_NOOS!$S$4:$AH$23,MATCH($BA36,NWC_FC_NOOS!$S$4:$S$23,0),FALSE)-CR36-SUM($BB36:BI36),0)</f>
        <v>0</v>
      </c>
      <c r="BK36" s="677">
        <f ca="1">IF(HLOOKUP(BK$4,NWC_FC_NOOS!$S$4:$AH$23,MATCH($BA36,NWC_FC_NOOS!$S$4:$S$23,0),FALSE)-CS36-SUM($BB36:BJ36)&gt;0,HLOOKUP(BK$4,NWC_FC_NOOS!$S$4:$AH$23,MATCH($BA36,NWC_FC_NOOS!$S$4:$S$23,0),FALSE)-CS36-SUM($BB36:BJ36),0)</f>
        <v>0</v>
      </c>
      <c r="BL36" s="677">
        <f ca="1">IF(HLOOKUP(BL$4,NWC_FC_NOOS!$S$4:$AH$23,MATCH($BA36,NWC_FC_NOOS!$S$4:$S$23,0),FALSE)-CT36-SUM($BB36:BK36)&gt;0,HLOOKUP(BL$4,NWC_FC_NOOS!$S$4:$AH$23,MATCH($BA36,NWC_FC_NOOS!$S$4:$S$23,0),FALSE)-CT36-SUM($BB36:BK36),0)</f>
        <v>0</v>
      </c>
      <c r="BM36" s="678"/>
      <c r="BN36" s="677">
        <f ca="1">IF(HLOOKUP(BN$4,NWC_FC_NOOS!$S$4:$AH$23,MATCH($BA36,NWC_FC_NOOS!$S$4:$S$23,0),FALSE)-CV36-SUM($BB36:BM36)&gt;0,HLOOKUP(BN$4,NWC_FC_NOOS!$S$4:$AH$23,MATCH($BA36,NWC_FC_NOOS!$S$4:$S$23,0),FALSE)-CV36-SUM($BB36:BM36),0)</f>
        <v>0</v>
      </c>
      <c r="BO36" s="677">
        <f ca="1">IF(HLOOKUP(BO$4,NWC_FC_NOOS!$S$4:$AH$23,MATCH($BA36,NWC_FC_NOOS!$S$4:$S$23,0),FALSE)-CW36-SUM($BB36:BN36)&gt;0,HLOOKUP(BO$4,NWC_FC_NOOS!$S$4:$AH$23,MATCH($BA36,NWC_FC_NOOS!$S$4:$S$23,0),FALSE)-CW36-SUM($BB36:BN36),0)</f>
        <v>0</v>
      </c>
      <c r="BP36" s="677">
        <f ca="1">IF(HLOOKUP(BP$4,NWC_FC_NOOS!$S$4:$AH$23,MATCH($BA36,NWC_FC_NOOS!$S$4:$S$23,0),FALSE)-CX36-SUM($BB36:BO36)&gt;0,HLOOKUP(BP$4,NWC_FC_NOOS!$S$4:$AH$23,MATCH($BA36,NWC_FC_NOOS!$S$4:$S$23,0),FALSE)-CX36-SUM($BB36:BO36),0)</f>
        <v>0</v>
      </c>
      <c r="BR36" s="575" t="str">
        <f t="shared" si="197"/>
        <v>PANTS</v>
      </c>
      <c r="BS36" s="677">
        <f ca="1">IF(BS$2=TIME!$E$5,SUMIFS(OPEN_ORDERS!$E:$E,OPEN_ORDERS!$B:$B,"&lt;="&amp;BS$2,OPEN_ORDERS!$C:$C,$BA36,OPEN_ORDERS!$D:$D,$BA$25)+SUMIFS(OPEN_ORDERS!$E:$E,OPEN_ORDERS!$B:$B,"IMMEDIATELY",OPEN_ORDERS!$C:$C,$BA36,OPEN_ORDERS!$D:$D,$BA$25),SUMIFS(OPEN_ORDERS!$E:$E,OPEN_ORDERS!$B:$B,BS$2,OPEN_ORDERS!$C:$C,$BA36,OPEN_ORDERS!$D:$D,$BA$25))</f>
        <v>32882</v>
      </c>
      <c r="BT36" s="677">
        <f ca="1">IF(BT$2=TIME!$E$5,SUMIFS(OPEN_ORDERS!$E:$E,OPEN_ORDERS!$B:$B,"&lt;="&amp;BT$2,OPEN_ORDERS!$C:$C,$BA36,OPEN_ORDERS!$D:$D,$BA$25)+SUMIFS(OPEN_ORDERS!$E:$E,OPEN_ORDERS!$B:$B,"IMMEDIATELY",OPEN_ORDERS!$C:$C,$BA36,OPEN_ORDERS!$D:$D,$BA$25),SUMIFS(OPEN_ORDERS!$E:$E,OPEN_ORDERS!$B:$B,BT$2,OPEN_ORDERS!$C:$C,$BA36,OPEN_ORDERS!$D:$D,$BA$25))</f>
        <v>52512</v>
      </c>
      <c r="BU36" s="677">
        <f ca="1">IF(BU$2=TIME!$E$5,SUMIFS(OPEN_ORDERS!$E:$E,OPEN_ORDERS!$B:$B,"&lt;="&amp;BU$2,OPEN_ORDERS!$C:$C,$BA36,OPEN_ORDERS!$D:$D,$BA$25)+SUMIFS(OPEN_ORDERS!$E:$E,OPEN_ORDERS!$B:$B,"IMMEDIATELY",OPEN_ORDERS!$C:$C,$BA36,OPEN_ORDERS!$D:$D,$BA$25),SUMIFS(OPEN_ORDERS!$E:$E,OPEN_ORDERS!$B:$B,BU$2,OPEN_ORDERS!$C:$C,$BA36,OPEN_ORDERS!$D:$D,$BA$25))</f>
        <v>154433</v>
      </c>
      <c r="BV36" s="678"/>
      <c r="BW36" s="677">
        <f ca="1">SUMIFS(OPEN_ORDERS!$E:$E,OPEN_ORDERS!$B:$B,BW$2,OPEN_ORDERS!$C:$C,$BA36,OPEN_ORDERS!$D:$D,$BA$25)</f>
        <v>0</v>
      </c>
      <c r="BX36" s="677">
        <f ca="1">SUMIFS(OPEN_ORDERS!$E:$E,OPEN_ORDERS!$B:$B,BX$2,OPEN_ORDERS!$C:$C,$BA36,OPEN_ORDERS!$D:$D,$BA$25)</f>
        <v>13571</v>
      </c>
      <c r="BY36" s="677">
        <f ca="1">SUMIFS(OPEN_ORDERS!$E:$E,OPEN_ORDERS!$B:$B,BY$2,OPEN_ORDERS!$C:$C,$BA36,OPEN_ORDERS!$D:$D,$BA$25)</f>
        <v>0</v>
      </c>
      <c r="BZ36" s="678"/>
      <c r="CA36" s="677">
        <f ca="1">SUMIFS(OPEN_ORDERS!$E:$E,OPEN_ORDERS!$B:$B,CA$2,OPEN_ORDERS!$C:$C,$BA36,OPEN_ORDERS!$D:$D,$BA$25)</f>
        <v>1488</v>
      </c>
      <c r="CB36" s="677">
        <f ca="1">SUMIFS(OPEN_ORDERS!$E:$E,OPEN_ORDERS!$B:$B,CB$2,OPEN_ORDERS!$C:$C,$BA36,OPEN_ORDERS!$D:$D,$BA$25)</f>
        <v>0</v>
      </c>
      <c r="CC36" s="677">
        <f ca="1">SUMIFS(OPEN_ORDERS!$E:$E,OPEN_ORDERS!$B:$B,CC$2,OPEN_ORDERS!$C:$C,$BA36,OPEN_ORDERS!$D:$D,$BA$25)</f>
        <v>0</v>
      </c>
      <c r="CD36" s="678"/>
      <c r="CE36" s="677">
        <f ca="1">SUMIFS(OPEN_ORDERS!$E:$E,OPEN_ORDERS!$B:$B,CE$2,OPEN_ORDERS!$C:$C,$BA36,OPEN_ORDERS!$D:$D,$BA$25)</f>
        <v>0</v>
      </c>
      <c r="CF36" s="677">
        <f ca="1">SUMIFS(OPEN_ORDERS!$E:$E,OPEN_ORDERS!$B:$B,CF$2,OPEN_ORDERS!$C:$C,$BA36,OPEN_ORDERS!$D:$D,$BA$25)</f>
        <v>0</v>
      </c>
      <c r="CG36" s="677">
        <f ca="1">SUMIFS(OPEN_ORDERS!$E:$E,OPEN_ORDERS!$B:$B,CG$2,OPEN_ORDERS!$C:$C,$BA36,OPEN_ORDERS!$D:$D,$BA$25)</f>
        <v>0</v>
      </c>
      <c r="CH36" s="61"/>
      <c r="CI36" s="1" t="str">
        <f t="shared" si="198"/>
        <v>PANTS</v>
      </c>
      <c r="CJ36" s="677">
        <f ca="1">IF($CJ$7="Aug",SUMIFS(HIS_STOCK!$F:$F,HIS_STOCK!$A:$A,$BA$25,HIS_STOCK!$C:$C,$CI36,HIS_STOCK!$D:$D,$CK$1,HIS_STOCK!$E:$E,$CL$1)+BS36-(AK36*1000)-T36-HLOOKUP($CJ$4,NWC_FC_NOOS!$C$50:$U$69,MATCH($CI36,NWC_FC_NOOS!$B$50:$B$69,0),FALSE),IF($CJ$2=TIME!$E$5,SUMIFS(HIS_STOCK!$F:$F,HIS_STOCK!$A:$A,$BA$25,HIS_STOCK!$C:$C,$CI36,HIS_STOCK!$D:$D,$CJ$5,HIS_STOCK!$E:$E,$CL$1)+BS36-(AK36*1000)-T36-HLOOKUP($CJ$4,NWC_FC_NOOS!$C$50:$U$69,MATCH($CI36,NWC_FC_NOOS!$B$50:$B$69,0),FALSE),SUMIFS(HIS_STOCK!$F:$F,HIS_STOCK!$A:$A,$BA$25,HIS_STOCK!$C:$C,$CI36,HIS_STOCK!$D:$D,$CJ$5,HIS_STOCK!$E:$E,CJ$7)))</f>
        <v>0</v>
      </c>
      <c r="CK36" s="677">
        <f ca="1">IF(SUMIFS(HIS_STOCK!$F:$F,HIS_STOCK!$A:$A,$BA$25,HIS_STOCK!$C:$C,$CI36,HIS_STOCK!$D:$D,$CJ$5,HIS_STOCK!$E:$E,CK$7)&lt;&gt;0,SUMIFS(HIS_STOCK!$F:$F,HIS_STOCK!$A:$A,$BA$25,HIS_STOCK!$C:$C,$CI36,HIS_STOCK!$D:$D,$CJ$5,HIS_STOCK!$E:$E,CK$7)-(AL36*1000),CJ36+BT36+((AK36-AL36)*1000)-U36-HLOOKUP(CK$4,NWC_FC_NOOS!$C$50:$U$69,MATCH(PLANNING_FC!$BR36,NWC_FC_NOOS!$B$50:$B$69,0),FALSE))</f>
        <v>52512</v>
      </c>
      <c r="CL36" s="677">
        <f ca="1">IF(SUMIFS(HIS_STOCK!$F:$F,HIS_STOCK!$A:$A,$BA$25,HIS_STOCK!$C:$C,$CI36,HIS_STOCK!$D:$D,$CJ$5,HIS_STOCK!$E:$E,CL$7)&lt;&gt;0,SUMIFS(HIS_STOCK!$F:$F,HIS_STOCK!$A:$A,$BA$25,HIS_STOCK!$C:$C,$CI36,HIS_STOCK!$D:$D,$CJ$5,HIS_STOCK!$E:$E,CL$7)-(AM36*1000),CK36+BU36+((AL36-AM36)*1000)-V36-HLOOKUP(CL$4,NWC_FC_NOOS!$C$50:$U$69,MATCH(PLANNING_FC!$BR36,NWC_FC_NOOS!$B$50:$B$69,0),FALSE))</f>
        <v>206945</v>
      </c>
      <c r="CM36" s="678"/>
      <c r="CN36" s="677">
        <f ca="1">CL36+BW36+((AM36-AO36)*1000)-X36-HLOOKUP(CN$4,NWC_FC_NOOS!$C$50:$U$69,MATCH(PLANNING_FC!$BR36,NWC_FC_NOOS!$B$50:$B$69,0),FALSE)</f>
        <v>206945</v>
      </c>
      <c r="CO36" s="677">
        <f ca="1">CN36+BX36+((AO36-AP36)*1000)-Y36-HLOOKUP(CO$4,NWC_FC_NOOS!$C$50:$U$69,MATCH(PLANNING_FC!$BR36,NWC_FC_NOOS!$B$50:$B$69,0),FALSE)</f>
        <v>220516</v>
      </c>
      <c r="CP36" s="677">
        <f ca="1">CO36+BY36+((AP36-AQ36)*1000)-Z36-HLOOKUP(CP$4,NWC_FC_NOOS!$C$50:$U$69,MATCH(PLANNING_FC!$BR36,NWC_FC_NOOS!$B$50:$B$69,0),FALSE)</f>
        <v>220516</v>
      </c>
      <c r="CQ36" s="678"/>
      <c r="CR36" s="677">
        <f ca="1">CP36+CA36+((AQ36-AS36)*1000)-AB36-HLOOKUP(CR$4,NWC_FC_NOOS!$C$50:$U$69,MATCH(PLANNING_FC!$BR36,NWC_FC_NOOS!$B$50:$B$69,0),FALSE)</f>
        <v>222004</v>
      </c>
      <c r="CS36" s="677">
        <f ca="1">CR36+CB36+((AS36-AT36)*1000)-AC36-HLOOKUP(CS$4,NWC_FC_NOOS!$C$50:$U$69,MATCH(PLANNING_FC!$BR36,NWC_FC_NOOS!$B$50:$B$69,0),FALSE)</f>
        <v>222004</v>
      </c>
      <c r="CT36" s="677">
        <f ca="1">CS36+CC36+((AT36-AU36)*1000)-AD36-HLOOKUP(CT$4,NWC_FC_NOOS!$C$50:$U$69,MATCH(PLANNING_FC!$BR36,NWC_FC_NOOS!$B$50:$B$69,0),FALSE)</f>
        <v>222004</v>
      </c>
      <c r="CU36" s="678"/>
      <c r="CV36" s="677">
        <f ca="1">CT36+CE36+((AU36-AW36)*1000)-AF36-HLOOKUP(CV$4,NWC_FC_NOOS!$C$50:$U$69,MATCH(PLANNING_FC!$BR36,NWC_FC_NOOS!$B$50:$B$69,0),FALSE)</f>
        <v>222004</v>
      </c>
      <c r="CW36" s="677">
        <f ca="1">CV36+CF36+((AW36-AX36)*1000)-AG36-HLOOKUP(CW$4,NWC_FC_NOOS!$C$50:$U$69,MATCH(PLANNING_FC!$BR36,NWC_FC_NOOS!$B$50:$B$69,0),FALSE)</f>
        <v>222004</v>
      </c>
      <c r="CX36" s="677">
        <f ca="1">CW36+CG36+((AX36-AY36)*1000)-AH36-HLOOKUP(CX$4,NWC_FC_NOOS!$C$50:$U$69,MATCH(PLANNING_FC!$BR36,NWC_FC_NOOS!$B$50:$B$69,0),FALSE)</f>
        <v>222004</v>
      </c>
      <c r="CZ36" s="575" t="str">
        <f t="shared" si="199"/>
        <v>PANTS</v>
      </c>
      <c r="DA36" s="677">
        <f ca="1">IF(STOCK_OVERVIEW!C$41="ACT",SUMIFS(HIS_STOCK!$F:$F,HIS_STOCK!$A:$A,PLANNING_FC!$BA$25,HIS_STOCK!$C:$C,PLANNING_FC!$CZ13,HIS_STOCK!$D:$D,PLANNING_FC!$DA$5,HIS_STOCK!$E:$E,PLANNING_FC!DA$7),CJ36+SUM($BB36:BB36))</f>
        <v>0</v>
      </c>
      <c r="DB36" s="677">
        <f ca="1">IF(STOCK_OVERVIEW!D$41="ACT",SUMIFS(HIS_STOCK!$F:$F,HIS_STOCK!$A:$A,PLANNING_FC!$BA$25,HIS_STOCK!$C:$C,PLANNING_FC!$CZ13,HIS_STOCK!$D:$D,PLANNING_FC!$DA$5,HIS_STOCK!$E:$E,PLANNING_FC!DB$7),CK36+SUM($BB36:BC36))</f>
        <v>0</v>
      </c>
      <c r="DC36" s="677">
        <f ca="1">CL36+SUM($BB36:BD36)</f>
        <v>206945</v>
      </c>
      <c r="DD36" s="678"/>
      <c r="DE36" s="677">
        <f ca="1">CN36+SUM($BB36:BF36)</f>
        <v>206945</v>
      </c>
      <c r="DF36" s="677">
        <f ca="1">CO36+SUM($BB36:BG36)</f>
        <v>220516</v>
      </c>
      <c r="DG36" s="677">
        <f ca="1">CP36+SUM($BB36:BH36)</f>
        <v>220516</v>
      </c>
      <c r="DH36" s="678"/>
      <c r="DI36" s="677">
        <f ca="1">CR36+SUM($BB36:BJ36)</f>
        <v>222004</v>
      </c>
      <c r="DJ36" s="677">
        <f ca="1">CS36+SUM($BB36:BK36)</f>
        <v>222004</v>
      </c>
      <c r="DK36" s="677">
        <f ca="1">CT36+SUM($BB36:BL36)</f>
        <v>222004</v>
      </c>
      <c r="DL36" s="678"/>
      <c r="DM36" s="677">
        <f ca="1">CV36+SUM($BB36:BN36)</f>
        <v>222004</v>
      </c>
      <c r="DN36" s="677">
        <f ca="1">CW36+SUM($BB36:BO36)</f>
        <v>222004</v>
      </c>
      <c r="DO36" s="677">
        <f ca="1">CX36+SUM($BB36:BP36)</f>
        <v>222004</v>
      </c>
      <c r="DQ36" s="575" t="str">
        <f t="shared" si="200"/>
        <v>PANTS</v>
      </c>
      <c r="DR36" s="677">
        <f ca="1">IF($DT$7="Aug",SUMIFS(HIS_STOCK!$F:$F,HIS_STOCK!$A:$A,$BA$25,HIS_STOCK!$C:$C,$DQ36,HIS_STOCK!$D:$D,$DR$4,HIS_STOCK!$E:$E,$DR$7),SUMIFS(HIS_STOCK!$F:$F,HIS_STOCK!$A:$A,$BA$25,HIS_STOCK!$C:$C,$DQ36,HIS_STOCK!$D:$D,$DR$5,HIS_STOCK!$E:$E,$DR$7))</f>
        <v>0</v>
      </c>
      <c r="DS36" s="677"/>
      <c r="DT36" s="677">
        <f ca="1">NWC_FC_NOOS!T13</f>
        <v>0</v>
      </c>
      <c r="DU36" s="677">
        <f ca="1">NWC_FC_NOOS!U13</f>
        <v>0</v>
      </c>
      <c r="DV36" s="677">
        <f ca="1">NWC_FC_NOOS!V13</f>
        <v>0</v>
      </c>
      <c r="DW36" s="678"/>
      <c r="DX36" s="677">
        <f ca="1">NWC_FC_NOOS!X13</f>
        <v>0</v>
      </c>
      <c r="DY36" s="677">
        <f ca="1">NWC_FC_NOOS!Y13</f>
        <v>0</v>
      </c>
      <c r="DZ36" s="677">
        <f ca="1">NWC_FC_NOOS!Z13</f>
        <v>0</v>
      </c>
      <c r="EA36" s="678"/>
      <c r="EB36" s="677">
        <f ca="1">NWC_FC_NOOS!AB13</f>
        <v>0</v>
      </c>
      <c r="EC36" s="677">
        <f ca="1">NWC_FC_NOOS!AC13</f>
        <v>0</v>
      </c>
      <c r="ED36" s="677">
        <f ca="1">NWC_FC_NOOS!AD13</f>
        <v>0</v>
      </c>
      <c r="EE36" s="678"/>
      <c r="EF36" s="677">
        <f ca="1">NWC_FC_NOOS!AF13</f>
        <v>0</v>
      </c>
      <c r="EG36" s="677">
        <f ca="1">NWC_FC_NOOS!AG13</f>
        <v>0</v>
      </c>
      <c r="EH36" s="677">
        <f ca="1">NWC_FC_NOOS!AH13</f>
        <v>0</v>
      </c>
    </row>
    <row r="37" spans="1:138" s="204" customFormat="1" x14ac:dyDescent="0.25">
      <c r="A37" s="62"/>
      <c r="B37" s="575" t="str">
        <f t="shared" si="182"/>
        <v>SHIRTS</v>
      </c>
      <c r="C37" s="802"/>
      <c r="D37" s="763"/>
      <c r="E37" s="763"/>
      <c r="F37" s="763"/>
      <c r="G37" s="613"/>
      <c r="H37" s="763"/>
      <c r="I37" s="763"/>
      <c r="J37" s="763"/>
      <c r="K37" s="613"/>
      <c r="L37" s="763"/>
      <c r="M37" s="763"/>
      <c r="N37" s="763"/>
      <c r="O37" s="613"/>
      <c r="P37" s="763"/>
      <c r="Q37" s="763"/>
      <c r="R37" s="763"/>
      <c r="S37" s="449"/>
      <c r="T37" s="675">
        <f t="shared" ca="1" si="183"/>
        <v>0</v>
      </c>
      <c r="U37" s="675">
        <f t="shared" ca="1" si="184"/>
        <v>0</v>
      </c>
      <c r="V37" s="675">
        <f t="shared" ca="1" si="185"/>
        <v>0</v>
      </c>
      <c r="W37" s="675"/>
      <c r="X37" s="675">
        <f t="shared" ca="1" si="186"/>
        <v>0</v>
      </c>
      <c r="Y37" s="675">
        <f t="shared" ca="1" si="187"/>
        <v>0</v>
      </c>
      <c r="Z37" s="675">
        <f t="shared" ca="1" si="188"/>
        <v>0</v>
      </c>
      <c r="AA37" s="675"/>
      <c r="AB37" s="675">
        <f t="shared" ca="1" si="189"/>
        <v>0</v>
      </c>
      <c r="AC37" s="675">
        <f t="shared" ca="1" si="190"/>
        <v>0</v>
      </c>
      <c r="AD37" s="675">
        <f t="shared" ca="1" si="191"/>
        <v>0</v>
      </c>
      <c r="AE37" s="675"/>
      <c r="AF37" s="675">
        <f t="shared" ca="1" si="192"/>
        <v>0</v>
      </c>
      <c r="AG37" s="675">
        <f t="shared" ca="1" si="193"/>
        <v>0</v>
      </c>
      <c r="AH37" s="675">
        <f t="shared" ca="1" si="194"/>
        <v>0</v>
      </c>
      <c r="AI37" s="675"/>
      <c r="AJ37" s="575" t="str">
        <f t="shared" si="196"/>
        <v>SHIRTS</v>
      </c>
      <c r="AK37" s="761"/>
      <c r="AL37" s="761"/>
      <c r="AM37" s="761"/>
      <c r="AN37" s="613"/>
      <c r="AO37" s="761"/>
      <c r="AP37" s="761"/>
      <c r="AQ37" s="761"/>
      <c r="AR37" s="613"/>
      <c r="AS37" s="761"/>
      <c r="AT37" s="761"/>
      <c r="AU37" s="761"/>
      <c r="AV37" s="613"/>
      <c r="AW37" s="761"/>
      <c r="AX37" s="761"/>
      <c r="AY37" s="761"/>
      <c r="AZ37" s="449"/>
      <c r="BA37" s="575" t="str">
        <f t="shared" si="195"/>
        <v>SHIRTS</v>
      </c>
      <c r="BB37" s="677">
        <f ca="1">MAX(IF(ISNA(VLOOKUP($BB$4,TIME!$M$40:$M$42,1,FALSE)),0,HLOOKUP(BB$4,NWC_FC_NOOS!$S$4:$AH$23,MATCH($BA37,NWC_FC_NOOS!$S$4:$S$23,0),FALSE)-CJ37),0)</f>
        <v>0</v>
      </c>
      <c r="BC37" s="677">
        <f ca="1">IF(ISNA(VLOOKUP(BC$4,TIME!$M$40:$M$42,1,FALSE)),0,IF(HLOOKUP(BC$4,NWC_FC_NOOS!$S$4:$AH$23,MATCH($BA37,NWC_FC_NOOS!$S$4:$S$23,0),FALSE)-CK37-SUM($BB37:BB37)&gt;0,HLOOKUP(BC$4,NWC_FC_NOOS!$S$4:$AH$23,MATCH($BA37,NWC_FC_NOOS!$S$4:$S$23,0),FALSE)-CK37-SUM($BB37:BB37),0))</f>
        <v>0</v>
      </c>
      <c r="BD37" s="677">
        <f ca="1">IF(ISNA(VLOOKUP(BD$4,TIME!$M$40:$M$42,1,FALSE)),0,IF(HLOOKUP(BD$4,NWC_FC_NOOS!$S$4:$AH$23,MATCH($BA37,NWC_FC_NOOS!$S$4:$S$23,0),FALSE)-CL37-SUM($BB37:BC37)&gt;0,HLOOKUP(BD$4,NWC_FC_NOOS!$S$4:$AH$23,MATCH($BA37,NWC_FC_NOOS!$S$4:$S$23,0),FALSE)-CL37-SUM($BB37:BC37),0))</f>
        <v>0</v>
      </c>
      <c r="BE37" s="678"/>
      <c r="BF37" s="677">
        <f ca="1">IF(HLOOKUP(BF$4,NWC_FC_NOOS!$S$4:$AH$23,MATCH($BA37,NWC_FC_NOOS!$S$4:$S$23,0),FALSE)-CN37-SUM($BB37:BE37)&gt;0,HLOOKUP(BF$4,NWC_FC_NOOS!$S$4:$AH$23,MATCH($BA37,NWC_FC_NOOS!$S$4:$S$23,0),FALSE)-CN37-SUM($BB37:BE37),0)</f>
        <v>0</v>
      </c>
      <c r="BG37" s="677">
        <f ca="1">IF(HLOOKUP(BG$4,NWC_FC_NOOS!$S$4:$AH$23,MATCH($BA37,NWC_FC_NOOS!$S$4:$S$23,0),FALSE)-CO37-SUM($BB37:BF37)&gt;0,HLOOKUP(BG$4,NWC_FC_NOOS!$S$4:$AH$23,MATCH($BA37,NWC_FC_NOOS!$S$4:$S$23,0),FALSE)-CO37-SUM($BB37:BF37),0)</f>
        <v>0</v>
      </c>
      <c r="BH37" s="677">
        <f ca="1">IF(HLOOKUP(BH$4,NWC_FC_NOOS!$S$4:$AH$23,MATCH($BA37,NWC_FC_NOOS!$S$4:$S$23,0),FALSE)-CP37-SUM($BB37:BG37)&gt;0,HLOOKUP(BH$4,NWC_FC_NOOS!$S$4:$AH$23,MATCH($BA37,NWC_FC_NOOS!$S$4:$S$23,0),FALSE)-CP37-SUM($BB37:BG37),0)</f>
        <v>0</v>
      </c>
      <c r="BI37" s="678"/>
      <c r="BJ37" s="677">
        <f ca="1">IF(HLOOKUP(BJ$4,NWC_FC_NOOS!$S$4:$AH$23,MATCH($BA37,NWC_FC_NOOS!$S$4:$S$23,0),FALSE)-CR37-SUM($BB37:BI37)&gt;0,HLOOKUP(BJ$4,NWC_FC_NOOS!$S$4:$AH$23,MATCH($BA37,NWC_FC_NOOS!$S$4:$S$23,0),FALSE)-CR37-SUM($BB37:BI37),0)</f>
        <v>0</v>
      </c>
      <c r="BK37" s="677">
        <f ca="1">IF(HLOOKUP(BK$4,NWC_FC_NOOS!$S$4:$AH$23,MATCH($BA37,NWC_FC_NOOS!$S$4:$S$23,0),FALSE)-CS37-SUM($BB37:BJ37)&gt;0,HLOOKUP(BK$4,NWC_FC_NOOS!$S$4:$AH$23,MATCH($BA37,NWC_FC_NOOS!$S$4:$S$23,0),FALSE)-CS37-SUM($BB37:BJ37),0)</f>
        <v>0</v>
      </c>
      <c r="BL37" s="677">
        <f ca="1">IF(HLOOKUP(BL$4,NWC_FC_NOOS!$S$4:$AH$23,MATCH($BA37,NWC_FC_NOOS!$S$4:$S$23,0),FALSE)-CT37-SUM($BB37:BK37)&gt;0,HLOOKUP(BL$4,NWC_FC_NOOS!$S$4:$AH$23,MATCH($BA37,NWC_FC_NOOS!$S$4:$S$23,0),FALSE)-CT37-SUM($BB37:BK37),0)</f>
        <v>0</v>
      </c>
      <c r="BM37" s="678"/>
      <c r="BN37" s="677">
        <f ca="1">IF(HLOOKUP(BN$4,NWC_FC_NOOS!$S$4:$AH$23,MATCH($BA37,NWC_FC_NOOS!$S$4:$S$23,0),FALSE)-CV37-SUM($BB37:BM37)&gt;0,HLOOKUP(BN$4,NWC_FC_NOOS!$S$4:$AH$23,MATCH($BA37,NWC_FC_NOOS!$S$4:$S$23,0),FALSE)-CV37-SUM($BB37:BM37),0)</f>
        <v>0</v>
      </c>
      <c r="BO37" s="677">
        <f ca="1">IF(HLOOKUP(BO$4,NWC_FC_NOOS!$S$4:$AH$23,MATCH($BA37,NWC_FC_NOOS!$S$4:$S$23,0),FALSE)-CW37-SUM($BB37:BN37)&gt;0,HLOOKUP(BO$4,NWC_FC_NOOS!$S$4:$AH$23,MATCH($BA37,NWC_FC_NOOS!$S$4:$S$23,0),FALSE)-CW37-SUM($BB37:BN37),0)</f>
        <v>0</v>
      </c>
      <c r="BP37" s="677">
        <f ca="1">IF(HLOOKUP(BP$4,NWC_FC_NOOS!$S$4:$AH$23,MATCH($BA37,NWC_FC_NOOS!$S$4:$S$23,0),FALSE)-CX37-SUM($BB37:BO37)&gt;0,HLOOKUP(BP$4,NWC_FC_NOOS!$S$4:$AH$23,MATCH($BA37,NWC_FC_NOOS!$S$4:$S$23,0),FALSE)-CX37-SUM($BB37:BO37),0)</f>
        <v>0</v>
      </c>
      <c r="BR37" s="575" t="str">
        <f t="shared" si="197"/>
        <v>SHIRTS</v>
      </c>
      <c r="BS37" s="677">
        <f ca="1">IF(BS$2=TIME!$E$5,SUMIFS(OPEN_ORDERS!$E:$E,OPEN_ORDERS!$B:$B,"&lt;="&amp;BS$2,OPEN_ORDERS!$C:$C,$BA37,OPEN_ORDERS!$D:$D,$BA$25)+SUMIFS(OPEN_ORDERS!$E:$E,OPEN_ORDERS!$B:$B,"IMMEDIATELY",OPEN_ORDERS!$C:$C,$BA37,OPEN_ORDERS!$D:$D,$BA$25),SUMIFS(OPEN_ORDERS!$E:$E,OPEN_ORDERS!$B:$B,BS$2,OPEN_ORDERS!$C:$C,$BA37,OPEN_ORDERS!$D:$D,$BA$25))</f>
        <v>2394</v>
      </c>
      <c r="BT37" s="677">
        <f ca="1">IF(BT$2=TIME!$E$5,SUMIFS(OPEN_ORDERS!$E:$E,OPEN_ORDERS!$B:$B,"&lt;="&amp;BT$2,OPEN_ORDERS!$C:$C,$BA37,OPEN_ORDERS!$D:$D,$BA$25)+SUMIFS(OPEN_ORDERS!$E:$E,OPEN_ORDERS!$B:$B,"IMMEDIATELY",OPEN_ORDERS!$C:$C,$BA37,OPEN_ORDERS!$D:$D,$BA$25),SUMIFS(OPEN_ORDERS!$E:$E,OPEN_ORDERS!$B:$B,BT$2,OPEN_ORDERS!$C:$C,$BA37,OPEN_ORDERS!$D:$D,$BA$25))</f>
        <v>13804</v>
      </c>
      <c r="BU37" s="677">
        <f ca="1">IF(BU$2=TIME!$E$5,SUMIFS(OPEN_ORDERS!$E:$E,OPEN_ORDERS!$B:$B,"&lt;="&amp;BU$2,OPEN_ORDERS!$C:$C,$BA37,OPEN_ORDERS!$D:$D,$BA$25)+SUMIFS(OPEN_ORDERS!$E:$E,OPEN_ORDERS!$B:$B,"IMMEDIATELY",OPEN_ORDERS!$C:$C,$BA37,OPEN_ORDERS!$D:$D,$BA$25),SUMIFS(OPEN_ORDERS!$E:$E,OPEN_ORDERS!$B:$B,BU$2,OPEN_ORDERS!$C:$C,$BA37,OPEN_ORDERS!$D:$D,$BA$25))</f>
        <v>30591</v>
      </c>
      <c r="BV37" s="678"/>
      <c r="BW37" s="677">
        <f ca="1">SUMIFS(OPEN_ORDERS!$E:$E,OPEN_ORDERS!$B:$B,BW$2,OPEN_ORDERS!$C:$C,$BA37,OPEN_ORDERS!$D:$D,$BA$25)</f>
        <v>0</v>
      </c>
      <c r="BX37" s="677">
        <f ca="1">SUMIFS(OPEN_ORDERS!$E:$E,OPEN_ORDERS!$B:$B,BX$2,OPEN_ORDERS!$C:$C,$BA37,OPEN_ORDERS!$D:$D,$BA$25)</f>
        <v>0</v>
      </c>
      <c r="BY37" s="677">
        <f ca="1">SUMIFS(OPEN_ORDERS!$E:$E,OPEN_ORDERS!$B:$B,BY$2,OPEN_ORDERS!$C:$C,$BA37,OPEN_ORDERS!$D:$D,$BA$25)</f>
        <v>0</v>
      </c>
      <c r="BZ37" s="678"/>
      <c r="CA37" s="677">
        <f ca="1">SUMIFS(OPEN_ORDERS!$E:$E,OPEN_ORDERS!$B:$B,CA$2,OPEN_ORDERS!$C:$C,$BA37,OPEN_ORDERS!$D:$D,$BA$25)</f>
        <v>0</v>
      </c>
      <c r="CB37" s="677">
        <f ca="1">SUMIFS(OPEN_ORDERS!$E:$E,OPEN_ORDERS!$B:$B,CB$2,OPEN_ORDERS!$C:$C,$BA37,OPEN_ORDERS!$D:$D,$BA$25)</f>
        <v>0</v>
      </c>
      <c r="CC37" s="677">
        <f ca="1">SUMIFS(OPEN_ORDERS!$E:$E,OPEN_ORDERS!$B:$B,CC$2,OPEN_ORDERS!$C:$C,$BA37,OPEN_ORDERS!$D:$D,$BA$25)</f>
        <v>0</v>
      </c>
      <c r="CD37" s="678"/>
      <c r="CE37" s="677">
        <f ca="1">SUMIFS(OPEN_ORDERS!$E:$E,OPEN_ORDERS!$B:$B,CE$2,OPEN_ORDERS!$C:$C,$BA37,OPEN_ORDERS!$D:$D,$BA$25)</f>
        <v>0</v>
      </c>
      <c r="CF37" s="677">
        <f ca="1">SUMIFS(OPEN_ORDERS!$E:$E,OPEN_ORDERS!$B:$B,CF$2,OPEN_ORDERS!$C:$C,$BA37,OPEN_ORDERS!$D:$D,$BA$25)</f>
        <v>0</v>
      </c>
      <c r="CG37" s="677">
        <f ca="1">SUMIFS(OPEN_ORDERS!$E:$E,OPEN_ORDERS!$B:$B,CG$2,OPEN_ORDERS!$C:$C,$BA37,OPEN_ORDERS!$D:$D,$BA$25)</f>
        <v>0</v>
      </c>
      <c r="CH37" s="61"/>
      <c r="CI37" s="1" t="str">
        <f t="shared" si="198"/>
        <v>SHIRTS</v>
      </c>
      <c r="CJ37" s="677">
        <f ca="1">IF($CJ$7="Aug",SUMIFS(HIS_STOCK!$F:$F,HIS_STOCK!$A:$A,$BA$25,HIS_STOCK!$C:$C,$CI37,HIS_STOCK!$D:$D,$CK$1,HIS_STOCK!$E:$E,$CL$1)+BS37-(AK37*1000)-T37-HLOOKUP($CJ$4,NWC_FC_NOOS!$C$50:$U$69,MATCH($CI37,NWC_FC_NOOS!$B$50:$B$69,0),FALSE),IF($CJ$2=TIME!$E$5,SUMIFS(HIS_STOCK!$F:$F,HIS_STOCK!$A:$A,$BA$25,HIS_STOCK!$C:$C,$CI37,HIS_STOCK!$D:$D,$CJ$5,HIS_STOCK!$E:$E,$CL$1)+BS37-(AK37*1000)-T37-HLOOKUP($CJ$4,NWC_FC_NOOS!$C$50:$U$69,MATCH($CI37,NWC_FC_NOOS!$B$50:$B$69,0),FALSE),SUMIFS(HIS_STOCK!$F:$F,HIS_STOCK!$A:$A,$BA$25,HIS_STOCK!$C:$C,$CI37,HIS_STOCK!$D:$D,$CJ$5,HIS_STOCK!$E:$E,CJ$7)))</f>
        <v>0</v>
      </c>
      <c r="CK37" s="677">
        <f ca="1">IF(SUMIFS(HIS_STOCK!$F:$F,HIS_STOCK!$A:$A,$BA$25,HIS_STOCK!$C:$C,$CI37,HIS_STOCK!$D:$D,$CJ$5,HIS_STOCK!$E:$E,CK$7)&lt;&gt;0,SUMIFS(HIS_STOCK!$F:$F,HIS_STOCK!$A:$A,$BA$25,HIS_STOCK!$C:$C,$CI37,HIS_STOCK!$D:$D,$CJ$5,HIS_STOCK!$E:$E,CK$7)-(AL37*1000),CJ37+BT37+((AK37-AL37)*1000)-U37-HLOOKUP(CK$4,NWC_FC_NOOS!$C$50:$U$69,MATCH(PLANNING_FC!$BR37,NWC_FC_NOOS!$B$50:$B$69,0),FALSE))</f>
        <v>13804</v>
      </c>
      <c r="CL37" s="677">
        <f ca="1">IF(SUMIFS(HIS_STOCK!$F:$F,HIS_STOCK!$A:$A,$BA$25,HIS_STOCK!$C:$C,$CI37,HIS_STOCK!$D:$D,$CJ$5,HIS_STOCK!$E:$E,CL$7)&lt;&gt;0,SUMIFS(HIS_STOCK!$F:$F,HIS_STOCK!$A:$A,$BA$25,HIS_STOCK!$C:$C,$CI37,HIS_STOCK!$D:$D,$CJ$5,HIS_STOCK!$E:$E,CL$7)-(AM37*1000),CK37+BU37+((AL37-AM37)*1000)-V37-HLOOKUP(CL$4,NWC_FC_NOOS!$C$50:$U$69,MATCH(PLANNING_FC!$BR37,NWC_FC_NOOS!$B$50:$B$69,0),FALSE))</f>
        <v>44395</v>
      </c>
      <c r="CM37" s="678"/>
      <c r="CN37" s="677">
        <f ca="1">CL37+BW37+((AM37-AO37)*1000)-X37-HLOOKUP(CN$4,NWC_FC_NOOS!$C$50:$U$69,MATCH(PLANNING_FC!$BR37,NWC_FC_NOOS!$B$50:$B$69,0),FALSE)</f>
        <v>44395</v>
      </c>
      <c r="CO37" s="677">
        <f ca="1">CN37+BX37+((AO37-AP37)*1000)-Y37-HLOOKUP(CO$4,NWC_FC_NOOS!$C$50:$U$69,MATCH(PLANNING_FC!$BR37,NWC_FC_NOOS!$B$50:$B$69,0),FALSE)</f>
        <v>44395</v>
      </c>
      <c r="CP37" s="677">
        <f ca="1">CO37+BY37+((AP37-AQ37)*1000)-Z37-HLOOKUP(CP$4,NWC_FC_NOOS!$C$50:$U$69,MATCH(PLANNING_FC!$BR37,NWC_FC_NOOS!$B$50:$B$69,0),FALSE)</f>
        <v>44395</v>
      </c>
      <c r="CQ37" s="678"/>
      <c r="CR37" s="677">
        <f ca="1">CP37+CA37+((AQ37-AS37)*1000)-AB37-HLOOKUP(CR$4,NWC_FC_NOOS!$C$50:$U$69,MATCH(PLANNING_FC!$BR37,NWC_FC_NOOS!$B$50:$B$69,0),FALSE)</f>
        <v>44395</v>
      </c>
      <c r="CS37" s="677">
        <f ca="1">CR37+CB37+((AS37-AT37)*1000)-AC37-HLOOKUP(CS$4,NWC_FC_NOOS!$C$50:$U$69,MATCH(PLANNING_FC!$BR37,NWC_FC_NOOS!$B$50:$B$69,0),FALSE)</f>
        <v>44395</v>
      </c>
      <c r="CT37" s="677">
        <f ca="1">CS37+CC37+((AT37-AU37)*1000)-AD37-HLOOKUP(CT$4,NWC_FC_NOOS!$C$50:$U$69,MATCH(PLANNING_FC!$BR37,NWC_FC_NOOS!$B$50:$B$69,0),FALSE)</f>
        <v>44395</v>
      </c>
      <c r="CU37" s="678"/>
      <c r="CV37" s="677">
        <f ca="1">CT37+CE37+((AU37-AW37)*1000)-AF37-HLOOKUP(CV$4,NWC_FC_NOOS!$C$50:$U$69,MATCH(PLANNING_FC!$BR37,NWC_FC_NOOS!$B$50:$B$69,0),FALSE)</f>
        <v>44395</v>
      </c>
      <c r="CW37" s="677">
        <f ca="1">CV37+CF37+((AW37-AX37)*1000)-AG37-HLOOKUP(CW$4,NWC_FC_NOOS!$C$50:$U$69,MATCH(PLANNING_FC!$BR37,NWC_FC_NOOS!$B$50:$B$69,0),FALSE)</f>
        <v>44395</v>
      </c>
      <c r="CX37" s="677">
        <f ca="1">CW37+CG37+((AX37-AY37)*1000)-AH37-HLOOKUP(CX$4,NWC_FC_NOOS!$C$50:$U$69,MATCH(PLANNING_FC!$BR37,NWC_FC_NOOS!$B$50:$B$69,0),FALSE)</f>
        <v>44395</v>
      </c>
      <c r="CZ37" s="575" t="str">
        <f t="shared" si="199"/>
        <v>SHIRTS</v>
      </c>
      <c r="DA37" s="677">
        <f ca="1">IF(STOCK_OVERVIEW!C$41="ACT",SUMIFS(HIS_STOCK!$F:$F,HIS_STOCK!$A:$A,PLANNING_FC!$BA$25,HIS_STOCK!$C:$C,PLANNING_FC!$CZ14,HIS_STOCK!$D:$D,PLANNING_FC!$DA$5,HIS_STOCK!$E:$E,PLANNING_FC!DA$7),CJ37+SUM($BB37:BB37))</f>
        <v>0</v>
      </c>
      <c r="DB37" s="677">
        <f ca="1">IF(STOCK_OVERVIEW!D$41="ACT",SUMIFS(HIS_STOCK!$F:$F,HIS_STOCK!$A:$A,PLANNING_FC!$BA$25,HIS_STOCK!$C:$C,PLANNING_FC!$CZ14,HIS_STOCK!$D:$D,PLANNING_FC!$DA$5,HIS_STOCK!$E:$E,PLANNING_FC!DB$7),CK37+SUM($BB37:BC37))</f>
        <v>0</v>
      </c>
      <c r="DC37" s="677">
        <f ca="1">CL37+SUM($BB37:BD37)</f>
        <v>44395</v>
      </c>
      <c r="DD37" s="678"/>
      <c r="DE37" s="677">
        <f ca="1">CN37+SUM($BB37:BF37)</f>
        <v>44395</v>
      </c>
      <c r="DF37" s="677">
        <f ca="1">CO37+SUM($BB37:BG37)</f>
        <v>44395</v>
      </c>
      <c r="DG37" s="677">
        <f ca="1">CP37+SUM($BB37:BH37)</f>
        <v>44395</v>
      </c>
      <c r="DH37" s="678"/>
      <c r="DI37" s="677">
        <f ca="1">CR37+SUM($BB37:BJ37)</f>
        <v>44395</v>
      </c>
      <c r="DJ37" s="677">
        <f ca="1">CS37+SUM($BB37:BK37)</f>
        <v>44395</v>
      </c>
      <c r="DK37" s="677">
        <f ca="1">CT37+SUM($BB37:BL37)</f>
        <v>44395</v>
      </c>
      <c r="DL37" s="678"/>
      <c r="DM37" s="677">
        <f ca="1">CV37+SUM($BB37:BN37)</f>
        <v>44395</v>
      </c>
      <c r="DN37" s="677">
        <f ca="1">CW37+SUM($BB37:BO37)</f>
        <v>44395</v>
      </c>
      <c r="DO37" s="677">
        <f ca="1">CX37+SUM($BB37:BP37)</f>
        <v>44395</v>
      </c>
      <c r="DQ37" s="575" t="str">
        <f t="shared" si="200"/>
        <v>SHIRTS</v>
      </c>
      <c r="DR37" s="677">
        <f ca="1">IF($DT$7="Aug",SUMIFS(HIS_STOCK!$F:$F,HIS_STOCK!$A:$A,$BA$25,HIS_STOCK!$C:$C,$DQ37,HIS_STOCK!$D:$D,$DR$4,HIS_STOCK!$E:$E,$DR$7),SUMIFS(HIS_STOCK!$F:$F,HIS_STOCK!$A:$A,$BA$25,HIS_STOCK!$C:$C,$DQ37,HIS_STOCK!$D:$D,$DR$5,HIS_STOCK!$E:$E,$DR$7))</f>
        <v>0</v>
      </c>
      <c r="DS37" s="677"/>
      <c r="DT37" s="677">
        <f ca="1">NWC_FC_NOOS!T14</f>
        <v>0</v>
      </c>
      <c r="DU37" s="677">
        <f ca="1">NWC_FC_NOOS!U14</f>
        <v>0</v>
      </c>
      <c r="DV37" s="677">
        <f ca="1">NWC_FC_NOOS!V14</f>
        <v>0</v>
      </c>
      <c r="DW37" s="678"/>
      <c r="DX37" s="677">
        <f ca="1">NWC_FC_NOOS!X14</f>
        <v>0</v>
      </c>
      <c r="DY37" s="677">
        <f ca="1">NWC_FC_NOOS!Y14</f>
        <v>0</v>
      </c>
      <c r="DZ37" s="677">
        <f ca="1">NWC_FC_NOOS!Z14</f>
        <v>0</v>
      </c>
      <c r="EA37" s="678"/>
      <c r="EB37" s="677">
        <f ca="1">NWC_FC_NOOS!AB14</f>
        <v>0</v>
      </c>
      <c r="EC37" s="677">
        <f ca="1">NWC_FC_NOOS!AC14</f>
        <v>0</v>
      </c>
      <c r="ED37" s="677">
        <f ca="1">NWC_FC_NOOS!AD14</f>
        <v>0</v>
      </c>
      <c r="EE37" s="678"/>
      <c r="EF37" s="677">
        <f ca="1">NWC_FC_NOOS!AF14</f>
        <v>0</v>
      </c>
      <c r="EG37" s="677">
        <f ca="1">NWC_FC_NOOS!AG14</f>
        <v>0</v>
      </c>
      <c r="EH37" s="677">
        <f ca="1">NWC_FC_NOOS!AH14</f>
        <v>0</v>
      </c>
    </row>
    <row r="38" spans="1:138" s="204" customFormat="1" x14ac:dyDescent="0.25">
      <c r="A38" s="62"/>
      <c r="B38" s="575" t="str">
        <f t="shared" si="182"/>
        <v>SHOES</v>
      </c>
      <c r="C38" s="802"/>
      <c r="D38" s="763"/>
      <c r="E38" s="763"/>
      <c r="F38" s="763"/>
      <c r="G38" s="613"/>
      <c r="H38" s="763"/>
      <c r="I38" s="763"/>
      <c r="J38" s="763"/>
      <c r="K38" s="613"/>
      <c r="L38" s="763"/>
      <c r="M38" s="763"/>
      <c r="N38" s="763"/>
      <c r="O38" s="613"/>
      <c r="P38" s="763"/>
      <c r="Q38" s="763"/>
      <c r="R38" s="763"/>
      <c r="S38" s="449"/>
      <c r="T38" s="675">
        <f t="shared" ca="1" si="183"/>
        <v>0</v>
      </c>
      <c r="U38" s="675">
        <f t="shared" ca="1" si="184"/>
        <v>0</v>
      </c>
      <c r="V38" s="675">
        <f t="shared" ca="1" si="185"/>
        <v>0</v>
      </c>
      <c r="W38" s="675"/>
      <c r="X38" s="675">
        <f t="shared" ca="1" si="186"/>
        <v>0</v>
      </c>
      <c r="Y38" s="675">
        <f t="shared" ca="1" si="187"/>
        <v>0</v>
      </c>
      <c r="Z38" s="675">
        <f t="shared" ca="1" si="188"/>
        <v>0</v>
      </c>
      <c r="AA38" s="675"/>
      <c r="AB38" s="675">
        <f t="shared" ca="1" si="189"/>
        <v>0</v>
      </c>
      <c r="AC38" s="675">
        <f t="shared" ca="1" si="190"/>
        <v>0</v>
      </c>
      <c r="AD38" s="675">
        <f t="shared" ca="1" si="191"/>
        <v>0</v>
      </c>
      <c r="AE38" s="675"/>
      <c r="AF38" s="675">
        <f t="shared" ca="1" si="192"/>
        <v>0</v>
      </c>
      <c r="AG38" s="675">
        <f t="shared" ca="1" si="193"/>
        <v>0</v>
      </c>
      <c r="AH38" s="675">
        <f t="shared" ca="1" si="194"/>
        <v>0</v>
      </c>
      <c r="AI38" s="675"/>
      <c r="AJ38" s="575" t="str">
        <f t="shared" si="196"/>
        <v>SHOES</v>
      </c>
      <c r="AK38" s="761"/>
      <c r="AL38" s="761"/>
      <c r="AM38" s="761"/>
      <c r="AN38" s="613"/>
      <c r="AO38" s="761"/>
      <c r="AP38" s="761"/>
      <c r="AQ38" s="761"/>
      <c r="AR38" s="613"/>
      <c r="AS38" s="761"/>
      <c r="AT38" s="761"/>
      <c r="AU38" s="761"/>
      <c r="AV38" s="613"/>
      <c r="AW38" s="761"/>
      <c r="AX38" s="761"/>
      <c r="AY38" s="761"/>
      <c r="AZ38" s="449"/>
      <c r="BA38" s="575" t="str">
        <f t="shared" si="195"/>
        <v>SHOES</v>
      </c>
      <c r="BB38" s="677">
        <f ca="1">MAX(IF(ISNA(VLOOKUP($BB$4,TIME!$M$40:$M$42,1,FALSE)),0,HLOOKUP(BB$4,NWC_FC_NOOS!$S$4:$AH$23,MATCH($BA38,NWC_FC_NOOS!$S$4:$S$23,0),FALSE)-CJ38),0)</f>
        <v>0</v>
      </c>
      <c r="BC38" s="677">
        <f ca="1">IF(ISNA(VLOOKUP(BC$4,TIME!$M$40:$M$42,1,FALSE)),0,IF(HLOOKUP(BC$4,NWC_FC_NOOS!$S$4:$AH$23,MATCH($BA38,NWC_FC_NOOS!$S$4:$S$23,0),FALSE)-CK38-SUM($BB38:BB38)&gt;0,HLOOKUP(BC$4,NWC_FC_NOOS!$S$4:$AH$23,MATCH($BA38,NWC_FC_NOOS!$S$4:$S$23,0),FALSE)-CK38-SUM($BB38:BB38),0))</f>
        <v>0</v>
      </c>
      <c r="BD38" s="677">
        <f ca="1">IF(ISNA(VLOOKUP(BD$4,TIME!$M$40:$M$42,1,FALSE)),0,IF(HLOOKUP(BD$4,NWC_FC_NOOS!$S$4:$AH$23,MATCH($BA38,NWC_FC_NOOS!$S$4:$S$23,0),FALSE)-CL38-SUM($BB38:BC38)&gt;0,HLOOKUP(BD$4,NWC_FC_NOOS!$S$4:$AH$23,MATCH($BA38,NWC_FC_NOOS!$S$4:$S$23,0),FALSE)-CL38-SUM($BB38:BC38),0))</f>
        <v>0</v>
      </c>
      <c r="BE38" s="678"/>
      <c r="BF38" s="677">
        <f ca="1">IF(HLOOKUP(BF$4,NWC_FC_NOOS!$S$4:$AH$23,MATCH($BA38,NWC_FC_NOOS!$S$4:$S$23,0),FALSE)-CN38-SUM($BB38:BE38)&gt;0,HLOOKUP(BF$4,NWC_FC_NOOS!$S$4:$AH$23,MATCH($BA38,NWC_FC_NOOS!$S$4:$S$23,0),FALSE)-CN38-SUM($BB38:BE38),0)</f>
        <v>0</v>
      </c>
      <c r="BG38" s="677">
        <f ca="1">IF(HLOOKUP(BG$4,NWC_FC_NOOS!$S$4:$AH$23,MATCH($BA38,NWC_FC_NOOS!$S$4:$S$23,0),FALSE)-CO38-SUM($BB38:BF38)&gt;0,HLOOKUP(BG$4,NWC_FC_NOOS!$S$4:$AH$23,MATCH($BA38,NWC_FC_NOOS!$S$4:$S$23,0),FALSE)-CO38-SUM($BB38:BF38),0)</f>
        <v>0</v>
      </c>
      <c r="BH38" s="677">
        <f ca="1">IF(HLOOKUP(BH$4,NWC_FC_NOOS!$S$4:$AH$23,MATCH($BA38,NWC_FC_NOOS!$S$4:$S$23,0),FALSE)-CP38-SUM($BB38:BG38)&gt;0,HLOOKUP(BH$4,NWC_FC_NOOS!$S$4:$AH$23,MATCH($BA38,NWC_FC_NOOS!$S$4:$S$23,0),FALSE)-CP38-SUM($BB38:BG38),0)</f>
        <v>0</v>
      </c>
      <c r="BI38" s="678"/>
      <c r="BJ38" s="677">
        <f ca="1">IF(HLOOKUP(BJ$4,NWC_FC_NOOS!$S$4:$AH$23,MATCH($BA38,NWC_FC_NOOS!$S$4:$S$23,0),FALSE)-CR38-SUM($BB38:BI38)&gt;0,HLOOKUP(BJ$4,NWC_FC_NOOS!$S$4:$AH$23,MATCH($BA38,NWC_FC_NOOS!$S$4:$S$23,0),FALSE)-CR38-SUM($BB38:BI38),0)</f>
        <v>0</v>
      </c>
      <c r="BK38" s="677">
        <f ca="1">IF(HLOOKUP(BK$4,NWC_FC_NOOS!$S$4:$AH$23,MATCH($BA38,NWC_FC_NOOS!$S$4:$S$23,0),FALSE)-CS38-SUM($BB38:BJ38)&gt;0,HLOOKUP(BK$4,NWC_FC_NOOS!$S$4:$AH$23,MATCH($BA38,NWC_FC_NOOS!$S$4:$S$23,0),FALSE)-CS38-SUM($BB38:BJ38),0)</f>
        <v>0</v>
      </c>
      <c r="BL38" s="677">
        <f ca="1">IF(HLOOKUP(BL$4,NWC_FC_NOOS!$S$4:$AH$23,MATCH($BA38,NWC_FC_NOOS!$S$4:$S$23,0),FALSE)-CT38-SUM($BB38:BK38)&gt;0,HLOOKUP(BL$4,NWC_FC_NOOS!$S$4:$AH$23,MATCH($BA38,NWC_FC_NOOS!$S$4:$S$23,0),FALSE)-CT38-SUM($BB38:BK38),0)</f>
        <v>0</v>
      </c>
      <c r="BM38" s="678"/>
      <c r="BN38" s="677">
        <f ca="1">IF(HLOOKUP(BN$4,NWC_FC_NOOS!$S$4:$AH$23,MATCH($BA38,NWC_FC_NOOS!$S$4:$S$23,0),FALSE)-CV38-SUM($BB38:BM38)&gt;0,HLOOKUP(BN$4,NWC_FC_NOOS!$S$4:$AH$23,MATCH($BA38,NWC_FC_NOOS!$S$4:$S$23,0),FALSE)-CV38-SUM($BB38:BM38),0)</f>
        <v>0</v>
      </c>
      <c r="BO38" s="677">
        <f ca="1">IF(HLOOKUP(BO$4,NWC_FC_NOOS!$S$4:$AH$23,MATCH($BA38,NWC_FC_NOOS!$S$4:$S$23,0),FALSE)-CW38-SUM($BB38:BN38)&gt;0,HLOOKUP(BO$4,NWC_FC_NOOS!$S$4:$AH$23,MATCH($BA38,NWC_FC_NOOS!$S$4:$S$23,0),FALSE)-CW38-SUM($BB38:BN38),0)</f>
        <v>0</v>
      </c>
      <c r="BP38" s="677">
        <f ca="1">IF(HLOOKUP(BP$4,NWC_FC_NOOS!$S$4:$AH$23,MATCH($BA38,NWC_FC_NOOS!$S$4:$S$23,0),FALSE)-CX38-SUM($BB38:BO38)&gt;0,HLOOKUP(BP$4,NWC_FC_NOOS!$S$4:$AH$23,MATCH($BA38,NWC_FC_NOOS!$S$4:$S$23,0),FALSE)-CX38-SUM($BB38:BO38),0)</f>
        <v>0</v>
      </c>
      <c r="BR38" s="575" t="str">
        <f t="shared" si="197"/>
        <v>SHOES</v>
      </c>
      <c r="BS38" s="677">
        <f ca="1">IF(BS$2=TIME!$E$5,SUMIFS(OPEN_ORDERS!$E:$E,OPEN_ORDERS!$B:$B,"&lt;="&amp;BS$2,OPEN_ORDERS!$C:$C,$BA38,OPEN_ORDERS!$D:$D,$BA$25)+SUMIFS(OPEN_ORDERS!$E:$E,OPEN_ORDERS!$B:$B,"IMMEDIATELY",OPEN_ORDERS!$C:$C,$BA38,OPEN_ORDERS!$D:$D,$BA$25),SUMIFS(OPEN_ORDERS!$E:$E,OPEN_ORDERS!$B:$B,BS$2,OPEN_ORDERS!$C:$C,$BA38,OPEN_ORDERS!$D:$D,$BA$25))</f>
        <v>0</v>
      </c>
      <c r="BT38" s="677">
        <f ca="1">IF(BT$2=TIME!$E$5,SUMIFS(OPEN_ORDERS!$E:$E,OPEN_ORDERS!$B:$B,"&lt;="&amp;BT$2,OPEN_ORDERS!$C:$C,$BA38,OPEN_ORDERS!$D:$D,$BA$25)+SUMIFS(OPEN_ORDERS!$E:$E,OPEN_ORDERS!$B:$B,"IMMEDIATELY",OPEN_ORDERS!$C:$C,$BA38,OPEN_ORDERS!$D:$D,$BA$25),SUMIFS(OPEN_ORDERS!$E:$E,OPEN_ORDERS!$B:$B,BT$2,OPEN_ORDERS!$C:$C,$BA38,OPEN_ORDERS!$D:$D,$BA$25))</f>
        <v>0</v>
      </c>
      <c r="BU38" s="677">
        <f ca="1">IF(BU$2=TIME!$E$5,SUMIFS(OPEN_ORDERS!$E:$E,OPEN_ORDERS!$B:$B,"&lt;="&amp;BU$2,OPEN_ORDERS!$C:$C,$BA38,OPEN_ORDERS!$D:$D,$BA$25)+SUMIFS(OPEN_ORDERS!$E:$E,OPEN_ORDERS!$B:$B,"IMMEDIATELY",OPEN_ORDERS!$C:$C,$BA38,OPEN_ORDERS!$D:$D,$BA$25),SUMIFS(OPEN_ORDERS!$E:$E,OPEN_ORDERS!$B:$B,BU$2,OPEN_ORDERS!$C:$C,$BA38,OPEN_ORDERS!$D:$D,$BA$25))</f>
        <v>0</v>
      </c>
      <c r="BV38" s="678"/>
      <c r="BW38" s="677">
        <f ca="1">SUMIFS(OPEN_ORDERS!$E:$E,OPEN_ORDERS!$B:$B,BW$2,OPEN_ORDERS!$C:$C,$BA38,OPEN_ORDERS!$D:$D,$BA$25)</f>
        <v>0</v>
      </c>
      <c r="BX38" s="677">
        <f ca="1">SUMIFS(OPEN_ORDERS!$E:$E,OPEN_ORDERS!$B:$B,BX$2,OPEN_ORDERS!$C:$C,$BA38,OPEN_ORDERS!$D:$D,$BA$25)</f>
        <v>0</v>
      </c>
      <c r="BY38" s="677">
        <f ca="1">SUMIFS(OPEN_ORDERS!$E:$E,OPEN_ORDERS!$B:$B,BY$2,OPEN_ORDERS!$C:$C,$BA38,OPEN_ORDERS!$D:$D,$BA$25)</f>
        <v>0</v>
      </c>
      <c r="BZ38" s="678"/>
      <c r="CA38" s="677">
        <f ca="1">SUMIFS(OPEN_ORDERS!$E:$E,OPEN_ORDERS!$B:$B,CA$2,OPEN_ORDERS!$C:$C,$BA38,OPEN_ORDERS!$D:$D,$BA$25)</f>
        <v>0</v>
      </c>
      <c r="CB38" s="677">
        <f ca="1">SUMIFS(OPEN_ORDERS!$E:$E,OPEN_ORDERS!$B:$B,CB$2,OPEN_ORDERS!$C:$C,$BA38,OPEN_ORDERS!$D:$D,$BA$25)</f>
        <v>0</v>
      </c>
      <c r="CC38" s="677">
        <f ca="1">SUMIFS(OPEN_ORDERS!$E:$E,OPEN_ORDERS!$B:$B,CC$2,OPEN_ORDERS!$C:$C,$BA38,OPEN_ORDERS!$D:$D,$BA$25)</f>
        <v>0</v>
      </c>
      <c r="CD38" s="678"/>
      <c r="CE38" s="677">
        <f ca="1">SUMIFS(OPEN_ORDERS!$E:$E,OPEN_ORDERS!$B:$B,CE$2,OPEN_ORDERS!$C:$C,$BA38,OPEN_ORDERS!$D:$D,$BA$25)</f>
        <v>0</v>
      </c>
      <c r="CF38" s="677">
        <f ca="1">SUMIFS(OPEN_ORDERS!$E:$E,OPEN_ORDERS!$B:$B,CF$2,OPEN_ORDERS!$C:$C,$BA38,OPEN_ORDERS!$D:$D,$BA$25)</f>
        <v>0</v>
      </c>
      <c r="CG38" s="677">
        <f ca="1">SUMIFS(OPEN_ORDERS!$E:$E,OPEN_ORDERS!$B:$B,CG$2,OPEN_ORDERS!$C:$C,$BA38,OPEN_ORDERS!$D:$D,$BA$25)</f>
        <v>0</v>
      </c>
      <c r="CH38" s="61"/>
      <c r="CI38" s="1" t="str">
        <f t="shared" si="198"/>
        <v>SHOES</v>
      </c>
      <c r="CJ38" s="677">
        <f ca="1">IF($CJ$7="Aug",SUMIFS(HIS_STOCK!$F:$F,HIS_STOCK!$A:$A,$BA$25,HIS_STOCK!$C:$C,$CI38,HIS_STOCK!$D:$D,$CK$1,HIS_STOCK!$E:$E,$CL$1)+BS38-(AK38*1000)-T38-HLOOKUP($CJ$4,NWC_FC_NOOS!$C$50:$U$69,MATCH($CI38,NWC_FC_NOOS!$B$50:$B$69,0),FALSE),IF($CJ$2=TIME!$E$5,SUMIFS(HIS_STOCK!$F:$F,HIS_STOCK!$A:$A,$BA$25,HIS_STOCK!$C:$C,$CI38,HIS_STOCK!$D:$D,$CJ$5,HIS_STOCK!$E:$E,$CL$1)+BS38-(AK38*1000)-T38-HLOOKUP($CJ$4,NWC_FC_NOOS!$C$50:$U$69,MATCH($CI38,NWC_FC_NOOS!$B$50:$B$69,0),FALSE),SUMIFS(HIS_STOCK!$F:$F,HIS_STOCK!$A:$A,$BA$25,HIS_STOCK!$C:$C,$CI38,HIS_STOCK!$D:$D,$CJ$5,HIS_STOCK!$E:$E,CJ$7)))</f>
        <v>0</v>
      </c>
      <c r="CK38" s="677">
        <f ca="1">IF(SUMIFS(HIS_STOCK!$F:$F,HIS_STOCK!$A:$A,$BA$25,HIS_STOCK!$C:$C,$CI38,HIS_STOCK!$D:$D,$CJ$5,HIS_STOCK!$E:$E,CK$7)&lt;&gt;0,SUMIFS(HIS_STOCK!$F:$F,HIS_STOCK!$A:$A,$BA$25,HIS_STOCK!$C:$C,$CI38,HIS_STOCK!$D:$D,$CJ$5,HIS_STOCK!$E:$E,CK$7)-(AL38*1000),CJ38+BT38+((AK38-AL38)*1000)-U38-HLOOKUP(CK$4,NWC_FC_NOOS!$C$50:$U$69,MATCH(PLANNING_FC!$BR38,NWC_FC_NOOS!$B$50:$B$69,0),FALSE))</f>
        <v>0</v>
      </c>
      <c r="CL38" s="677">
        <f ca="1">IF(SUMIFS(HIS_STOCK!$F:$F,HIS_STOCK!$A:$A,$BA$25,HIS_STOCK!$C:$C,$CI38,HIS_STOCK!$D:$D,$CJ$5,HIS_STOCK!$E:$E,CL$7)&lt;&gt;0,SUMIFS(HIS_STOCK!$F:$F,HIS_STOCK!$A:$A,$BA$25,HIS_STOCK!$C:$C,$CI38,HIS_STOCK!$D:$D,$CJ$5,HIS_STOCK!$E:$E,CL$7)-(AM38*1000),CK38+BU38+((AL38-AM38)*1000)-V38-HLOOKUP(CL$4,NWC_FC_NOOS!$C$50:$U$69,MATCH(PLANNING_FC!$BR38,NWC_FC_NOOS!$B$50:$B$69,0),FALSE))</f>
        <v>0</v>
      </c>
      <c r="CM38" s="678"/>
      <c r="CN38" s="677">
        <f ca="1">CL38+BW38+((AM38-AO38)*1000)-X38-HLOOKUP(CN$4,NWC_FC_NOOS!$C$50:$U$69,MATCH(PLANNING_FC!$BR38,NWC_FC_NOOS!$B$50:$B$69,0),FALSE)</f>
        <v>0</v>
      </c>
      <c r="CO38" s="677">
        <f ca="1">CN38+BX38+((AO38-AP38)*1000)-Y38-HLOOKUP(CO$4,NWC_FC_NOOS!$C$50:$U$69,MATCH(PLANNING_FC!$BR38,NWC_FC_NOOS!$B$50:$B$69,0),FALSE)</f>
        <v>0</v>
      </c>
      <c r="CP38" s="677">
        <f ca="1">CO38+BY38+((AP38-AQ38)*1000)-Z38-HLOOKUP(CP$4,NWC_FC_NOOS!$C$50:$U$69,MATCH(PLANNING_FC!$BR38,NWC_FC_NOOS!$B$50:$B$69,0),FALSE)</f>
        <v>0</v>
      </c>
      <c r="CQ38" s="678"/>
      <c r="CR38" s="677">
        <f ca="1">CP38+CA38+((AQ38-AS38)*1000)-AB38-HLOOKUP(CR$4,NWC_FC_NOOS!$C$50:$U$69,MATCH(PLANNING_FC!$BR38,NWC_FC_NOOS!$B$50:$B$69,0),FALSE)</f>
        <v>0</v>
      </c>
      <c r="CS38" s="677">
        <f ca="1">CR38+CB38+((AS38-AT38)*1000)-AC38-HLOOKUP(CS$4,NWC_FC_NOOS!$C$50:$U$69,MATCH(PLANNING_FC!$BR38,NWC_FC_NOOS!$B$50:$B$69,0),FALSE)</f>
        <v>0</v>
      </c>
      <c r="CT38" s="677">
        <f ca="1">CS38+CC38+((AT38-AU38)*1000)-AD38-HLOOKUP(CT$4,NWC_FC_NOOS!$C$50:$U$69,MATCH(PLANNING_FC!$BR38,NWC_FC_NOOS!$B$50:$B$69,0),FALSE)</f>
        <v>0</v>
      </c>
      <c r="CU38" s="678"/>
      <c r="CV38" s="677">
        <f ca="1">CT38+CE38+((AU38-AW38)*1000)-AF38-HLOOKUP(CV$4,NWC_FC_NOOS!$C$50:$U$69,MATCH(PLANNING_FC!$BR38,NWC_FC_NOOS!$B$50:$B$69,0),FALSE)</f>
        <v>0</v>
      </c>
      <c r="CW38" s="677">
        <f ca="1">CV38+CF38+((AW38-AX38)*1000)-AG38-HLOOKUP(CW$4,NWC_FC_NOOS!$C$50:$U$69,MATCH(PLANNING_FC!$BR38,NWC_FC_NOOS!$B$50:$B$69,0),FALSE)</f>
        <v>0</v>
      </c>
      <c r="CX38" s="677">
        <f ca="1">CW38+CG38+((AX38-AY38)*1000)-AH38-HLOOKUP(CX$4,NWC_FC_NOOS!$C$50:$U$69,MATCH(PLANNING_FC!$BR38,NWC_FC_NOOS!$B$50:$B$69,0),FALSE)</f>
        <v>0</v>
      </c>
      <c r="CZ38" s="575" t="str">
        <f t="shared" si="199"/>
        <v>SHOES</v>
      </c>
      <c r="DA38" s="677">
        <f ca="1">IF(STOCK_OVERVIEW!C$41="ACT",SUMIFS(HIS_STOCK!$F:$F,HIS_STOCK!$A:$A,PLANNING_FC!$BA$25,HIS_STOCK!$C:$C,PLANNING_FC!$CZ15,HIS_STOCK!$D:$D,PLANNING_FC!$DA$5,HIS_STOCK!$E:$E,PLANNING_FC!DA$7),CJ38+SUM($BB38:BB38))</f>
        <v>0</v>
      </c>
      <c r="DB38" s="677">
        <f ca="1">IF(STOCK_OVERVIEW!D$41="ACT",SUMIFS(HIS_STOCK!$F:$F,HIS_STOCK!$A:$A,PLANNING_FC!$BA$25,HIS_STOCK!$C:$C,PLANNING_FC!$CZ15,HIS_STOCK!$D:$D,PLANNING_FC!$DA$5,HIS_STOCK!$E:$E,PLANNING_FC!DB$7),CK38+SUM($BB38:BC38))</f>
        <v>0</v>
      </c>
      <c r="DC38" s="677">
        <f ca="1">CL38+SUM($BB38:BD38)</f>
        <v>0</v>
      </c>
      <c r="DD38" s="678"/>
      <c r="DE38" s="677">
        <f ca="1">CN38+SUM($BB38:BF38)</f>
        <v>0</v>
      </c>
      <c r="DF38" s="677">
        <f ca="1">CO38+SUM($BB38:BG38)</f>
        <v>0</v>
      </c>
      <c r="DG38" s="677">
        <f ca="1">CP38+SUM($BB38:BH38)</f>
        <v>0</v>
      </c>
      <c r="DH38" s="678"/>
      <c r="DI38" s="677">
        <f ca="1">CR38+SUM($BB38:BJ38)</f>
        <v>0</v>
      </c>
      <c r="DJ38" s="677">
        <f ca="1">CS38+SUM($BB38:BK38)</f>
        <v>0</v>
      </c>
      <c r="DK38" s="677">
        <f ca="1">CT38+SUM($BB38:BL38)</f>
        <v>0</v>
      </c>
      <c r="DL38" s="678"/>
      <c r="DM38" s="677">
        <f ca="1">CV38+SUM($BB38:BN38)</f>
        <v>0</v>
      </c>
      <c r="DN38" s="677">
        <f ca="1">CW38+SUM($BB38:BO38)</f>
        <v>0</v>
      </c>
      <c r="DO38" s="677">
        <f ca="1">CX38+SUM($BB38:BP38)</f>
        <v>0</v>
      </c>
      <c r="DQ38" s="575" t="str">
        <f t="shared" si="200"/>
        <v>SHOES</v>
      </c>
      <c r="DR38" s="677">
        <f ca="1">IF($DT$7="Aug",SUMIFS(HIS_STOCK!$F:$F,HIS_STOCK!$A:$A,$BA$25,HIS_STOCK!$C:$C,$DQ38,HIS_STOCK!$D:$D,$DR$4,HIS_STOCK!$E:$E,$DR$7),SUMIFS(HIS_STOCK!$F:$F,HIS_STOCK!$A:$A,$BA$25,HIS_STOCK!$C:$C,$DQ38,HIS_STOCK!$D:$D,$DR$5,HIS_STOCK!$E:$E,$DR$7))</f>
        <v>0</v>
      </c>
      <c r="DS38" s="677"/>
      <c r="DT38" s="677">
        <f ca="1">NWC_FC_NOOS!T15</f>
        <v>0</v>
      </c>
      <c r="DU38" s="677">
        <f ca="1">NWC_FC_NOOS!U15</f>
        <v>0</v>
      </c>
      <c r="DV38" s="677">
        <f ca="1">NWC_FC_NOOS!V15</f>
        <v>0</v>
      </c>
      <c r="DW38" s="678"/>
      <c r="DX38" s="677">
        <f ca="1">NWC_FC_NOOS!X15</f>
        <v>0</v>
      </c>
      <c r="DY38" s="677">
        <f ca="1">NWC_FC_NOOS!Y15</f>
        <v>0</v>
      </c>
      <c r="DZ38" s="677">
        <f ca="1">NWC_FC_NOOS!Z15</f>
        <v>0</v>
      </c>
      <c r="EA38" s="678"/>
      <c r="EB38" s="677">
        <f ca="1">NWC_FC_NOOS!AB15</f>
        <v>0</v>
      </c>
      <c r="EC38" s="677">
        <f ca="1">NWC_FC_NOOS!AC15</f>
        <v>0</v>
      </c>
      <c r="ED38" s="677">
        <f ca="1">NWC_FC_NOOS!AD15</f>
        <v>0</v>
      </c>
      <c r="EE38" s="678"/>
      <c r="EF38" s="677">
        <f ca="1">NWC_FC_NOOS!AF15</f>
        <v>0</v>
      </c>
      <c r="EG38" s="677">
        <f ca="1">NWC_FC_NOOS!AG15</f>
        <v>0</v>
      </c>
      <c r="EH38" s="677">
        <f ca="1">NWC_FC_NOOS!AH15</f>
        <v>0</v>
      </c>
    </row>
    <row r="39" spans="1:138" s="204" customFormat="1" x14ac:dyDescent="0.25">
      <c r="A39" s="62"/>
      <c r="B39" s="575" t="str">
        <f t="shared" si="182"/>
        <v>SHORTS</v>
      </c>
      <c r="C39" s="802"/>
      <c r="D39" s="763"/>
      <c r="E39" s="763"/>
      <c r="F39" s="763"/>
      <c r="G39" s="613"/>
      <c r="H39" s="763"/>
      <c r="I39" s="763"/>
      <c r="J39" s="763"/>
      <c r="K39" s="613"/>
      <c r="L39" s="763"/>
      <c r="M39" s="763"/>
      <c r="N39" s="763"/>
      <c r="O39" s="613"/>
      <c r="P39" s="763"/>
      <c r="Q39" s="763"/>
      <c r="R39" s="763"/>
      <c r="S39" s="449"/>
      <c r="T39" s="675">
        <f t="shared" ca="1" si="183"/>
        <v>0</v>
      </c>
      <c r="U39" s="675">
        <f t="shared" ca="1" si="184"/>
        <v>0</v>
      </c>
      <c r="V39" s="675">
        <f t="shared" ca="1" si="185"/>
        <v>0</v>
      </c>
      <c r="W39" s="675"/>
      <c r="X39" s="675">
        <f t="shared" ca="1" si="186"/>
        <v>0</v>
      </c>
      <c r="Y39" s="675">
        <f t="shared" ca="1" si="187"/>
        <v>0</v>
      </c>
      <c r="Z39" s="675">
        <f t="shared" ca="1" si="188"/>
        <v>0</v>
      </c>
      <c r="AA39" s="675"/>
      <c r="AB39" s="675">
        <f t="shared" ca="1" si="189"/>
        <v>0</v>
      </c>
      <c r="AC39" s="675">
        <f t="shared" ca="1" si="190"/>
        <v>0</v>
      </c>
      <c r="AD39" s="675">
        <f t="shared" ca="1" si="191"/>
        <v>0</v>
      </c>
      <c r="AE39" s="675"/>
      <c r="AF39" s="675">
        <f t="shared" ca="1" si="192"/>
        <v>0</v>
      </c>
      <c r="AG39" s="675">
        <f t="shared" ca="1" si="193"/>
        <v>0</v>
      </c>
      <c r="AH39" s="675">
        <f t="shared" ca="1" si="194"/>
        <v>0</v>
      </c>
      <c r="AI39" s="675"/>
      <c r="AJ39" s="575" t="str">
        <f t="shared" si="196"/>
        <v>SHORTS</v>
      </c>
      <c r="AK39" s="761"/>
      <c r="AL39" s="761"/>
      <c r="AM39" s="761"/>
      <c r="AN39" s="613"/>
      <c r="AO39" s="761"/>
      <c r="AP39" s="761"/>
      <c r="AQ39" s="761"/>
      <c r="AR39" s="613"/>
      <c r="AS39" s="761"/>
      <c r="AT39" s="761"/>
      <c r="AU39" s="761"/>
      <c r="AV39" s="613"/>
      <c r="AW39" s="761"/>
      <c r="AX39" s="761"/>
      <c r="AY39" s="761"/>
      <c r="AZ39" s="449"/>
      <c r="BA39" s="575" t="str">
        <f t="shared" si="195"/>
        <v>SHORTS</v>
      </c>
      <c r="BB39" s="677">
        <f ca="1">MAX(IF(ISNA(VLOOKUP($BB$4,TIME!$M$40:$M$42,1,FALSE)),0,HLOOKUP(BB$4,NWC_FC_NOOS!$S$4:$AH$23,MATCH($BA39,NWC_FC_NOOS!$S$4:$S$23,0),FALSE)-CJ39),0)</f>
        <v>0</v>
      </c>
      <c r="BC39" s="677">
        <f ca="1">IF(ISNA(VLOOKUP(BC$4,TIME!$M$40:$M$42,1,FALSE)),0,IF(HLOOKUP(BC$4,NWC_FC_NOOS!$S$4:$AH$23,MATCH($BA39,NWC_FC_NOOS!$S$4:$S$23,0),FALSE)-CK39-SUM($BB39:BB39)&gt;0,HLOOKUP(BC$4,NWC_FC_NOOS!$S$4:$AH$23,MATCH($BA39,NWC_FC_NOOS!$S$4:$S$23,0),FALSE)-CK39-SUM($BB39:BB39),0))</f>
        <v>0</v>
      </c>
      <c r="BD39" s="677">
        <f ca="1">IF(ISNA(VLOOKUP(BD$4,TIME!$M$40:$M$42,1,FALSE)),0,IF(HLOOKUP(BD$4,NWC_FC_NOOS!$S$4:$AH$23,MATCH($BA39,NWC_FC_NOOS!$S$4:$S$23,0),FALSE)-CL39-SUM($BB39:BC39)&gt;0,HLOOKUP(BD$4,NWC_FC_NOOS!$S$4:$AH$23,MATCH($BA39,NWC_FC_NOOS!$S$4:$S$23,0),FALSE)-CL39-SUM($BB39:BC39),0))</f>
        <v>0</v>
      </c>
      <c r="BE39" s="678"/>
      <c r="BF39" s="677">
        <f ca="1">IF(HLOOKUP(BF$4,NWC_FC_NOOS!$S$4:$AH$23,MATCH($BA39,NWC_FC_NOOS!$S$4:$S$23,0),FALSE)-CN39-SUM($BB39:BE39)&gt;0,HLOOKUP(BF$4,NWC_FC_NOOS!$S$4:$AH$23,MATCH($BA39,NWC_FC_NOOS!$S$4:$S$23,0),FALSE)-CN39-SUM($BB39:BE39),0)</f>
        <v>0</v>
      </c>
      <c r="BG39" s="677">
        <f ca="1">IF(HLOOKUP(BG$4,NWC_FC_NOOS!$S$4:$AH$23,MATCH($BA39,NWC_FC_NOOS!$S$4:$S$23,0),FALSE)-CO39-SUM($BB39:BF39)&gt;0,HLOOKUP(BG$4,NWC_FC_NOOS!$S$4:$AH$23,MATCH($BA39,NWC_FC_NOOS!$S$4:$S$23,0),FALSE)-CO39-SUM($BB39:BF39),0)</f>
        <v>0</v>
      </c>
      <c r="BH39" s="677">
        <f ca="1">IF(HLOOKUP(BH$4,NWC_FC_NOOS!$S$4:$AH$23,MATCH($BA39,NWC_FC_NOOS!$S$4:$S$23,0),FALSE)-CP39-SUM($BB39:BG39)&gt;0,HLOOKUP(BH$4,NWC_FC_NOOS!$S$4:$AH$23,MATCH($BA39,NWC_FC_NOOS!$S$4:$S$23,0),FALSE)-CP39-SUM($BB39:BG39),0)</f>
        <v>0</v>
      </c>
      <c r="BI39" s="678"/>
      <c r="BJ39" s="677">
        <f ca="1">IF(HLOOKUP(BJ$4,NWC_FC_NOOS!$S$4:$AH$23,MATCH($BA39,NWC_FC_NOOS!$S$4:$S$23,0),FALSE)-CR39-SUM($BB39:BI39)&gt;0,HLOOKUP(BJ$4,NWC_FC_NOOS!$S$4:$AH$23,MATCH($BA39,NWC_FC_NOOS!$S$4:$S$23,0),FALSE)-CR39-SUM($BB39:BI39),0)</f>
        <v>0</v>
      </c>
      <c r="BK39" s="677">
        <f ca="1">IF(HLOOKUP(BK$4,NWC_FC_NOOS!$S$4:$AH$23,MATCH($BA39,NWC_FC_NOOS!$S$4:$S$23,0),FALSE)-CS39-SUM($BB39:BJ39)&gt;0,HLOOKUP(BK$4,NWC_FC_NOOS!$S$4:$AH$23,MATCH($BA39,NWC_FC_NOOS!$S$4:$S$23,0),FALSE)-CS39-SUM($BB39:BJ39),0)</f>
        <v>0</v>
      </c>
      <c r="BL39" s="677">
        <f ca="1">IF(HLOOKUP(BL$4,NWC_FC_NOOS!$S$4:$AH$23,MATCH($BA39,NWC_FC_NOOS!$S$4:$S$23,0),FALSE)-CT39-SUM($BB39:BK39)&gt;0,HLOOKUP(BL$4,NWC_FC_NOOS!$S$4:$AH$23,MATCH($BA39,NWC_FC_NOOS!$S$4:$S$23,0),FALSE)-CT39-SUM($BB39:BK39),0)</f>
        <v>0</v>
      </c>
      <c r="BM39" s="678"/>
      <c r="BN39" s="677">
        <f ca="1">IF(HLOOKUP(BN$4,NWC_FC_NOOS!$S$4:$AH$23,MATCH($BA39,NWC_FC_NOOS!$S$4:$S$23,0),FALSE)-CV39-SUM($BB39:BM39)&gt;0,HLOOKUP(BN$4,NWC_FC_NOOS!$S$4:$AH$23,MATCH($BA39,NWC_FC_NOOS!$S$4:$S$23,0),FALSE)-CV39-SUM($BB39:BM39),0)</f>
        <v>0</v>
      </c>
      <c r="BO39" s="677">
        <f ca="1">IF(HLOOKUP(BO$4,NWC_FC_NOOS!$S$4:$AH$23,MATCH($BA39,NWC_FC_NOOS!$S$4:$S$23,0),FALSE)-CW39-SUM($BB39:BN39)&gt;0,HLOOKUP(BO$4,NWC_FC_NOOS!$S$4:$AH$23,MATCH($BA39,NWC_FC_NOOS!$S$4:$S$23,0),FALSE)-CW39-SUM($BB39:BN39),0)</f>
        <v>0</v>
      </c>
      <c r="BP39" s="677">
        <f ca="1">IF(HLOOKUP(BP$4,NWC_FC_NOOS!$S$4:$AH$23,MATCH($BA39,NWC_FC_NOOS!$S$4:$S$23,0),FALSE)-CX39-SUM($BB39:BO39)&gt;0,HLOOKUP(BP$4,NWC_FC_NOOS!$S$4:$AH$23,MATCH($BA39,NWC_FC_NOOS!$S$4:$S$23,0),FALSE)-CX39-SUM($BB39:BO39),0)</f>
        <v>0</v>
      </c>
      <c r="BR39" s="575" t="str">
        <f t="shared" si="197"/>
        <v>SHORTS</v>
      </c>
      <c r="BS39" s="677">
        <f ca="1">IF(BS$2=TIME!$E$5,SUMIFS(OPEN_ORDERS!$E:$E,OPEN_ORDERS!$B:$B,"&lt;="&amp;BS$2,OPEN_ORDERS!$C:$C,$BA39,OPEN_ORDERS!$D:$D,$BA$25)+SUMIFS(OPEN_ORDERS!$E:$E,OPEN_ORDERS!$B:$B,"IMMEDIATELY",OPEN_ORDERS!$C:$C,$BA39,OPEN_ORDERS!$D:$D,$BA$25),SUMIFS(OPEN_ORDERS!$E:$E,OPEN_ORDERS!$B:$B,BS$2,OPEN_ORDERS!$C:$C,$BA39,OPEN_ORDERS!$D:$D,$BA$25))</f>
        <v>398</v>
      </c>
      <c r="BT39" s="677">
        <f ca="1">IF(BT$2=TIME!$E$5,SUMIFS(OPEN_ORDERS!$E:$E,OPEN_ORDERS!$B:$B,"&lt;="&amp;BT$2,OPEN_ORDERS!$C:$C,$BA39,OPEN_ORDERS!$D:$D,$BA$25)+SUMIFS(OPEN_ORDERS!$E:$E,OPEN_ORDERS!$B:$B,"IMMEDIATELY",OPEN_ORDERS!$C:$C,$BA39,OPEN_ORDERS!$D:$D,$BA$25),SUMIFS(OPEN_ORDERS!$E:$E,OPEN_ORDERS!$B:$B,BT$2,OPEN_ORDERS!$C:$C,$BA39,OPEN_ORDERS!$D:$D,$BA$25))</f>
        <v>34571</v>
      </c>
      <c r="BU39" s="677">
        <f ca="1">IF(BU$2=TIME!$E$5,SUMIFS(OPEN_ORDERS!$E:$E,OPEN_ORDERS!$B:$B,"&lt;="&amp;BU$2,OPEN_ORDERS!$C:$C,$BA39,OPEN_ORDERS!$D:$D,$BA$25)+SUMIFS(OPEN_ORDERS!$E:$E,OPEN_ORDERS!$B:$B,"IMMEDIATELY",OPEN_ORDERS!$C:$C,$BA39,OPEN_ORDERS!$D:$D,$BA$25),SUMIFS(OPEN_ORDERS!$E:$E,OPEN_ORDERS!$B:$B,BU$2,OPEN_ORDERS!$C:$C,$BA39,OPEN_ORDERS!$D:$D,$BA$25))</f>
        <v>36131</v>
      </c>
      <c r="BV39" s="678"/>
      <c r="BW39" s="677">
        <f ca="1">SUMIFS(OPEN_ORDERS!$E:$E,OPEN_ORDERS!$B:$B,BW$2,OPEN_ORDERS!$C:$C,$BA39,OPEN_ORDERS!$D:$D,$BA$25)</f>
        <v>6070</v>
      </c>
      <c r="BX39" s="677">
        <f ca="1">SUMIFS(OPEN_ORDERS!$E:$E,OPEN_ORDERS!$B:$B,BX$2,OPEN_ORDERS!$C:$C,$BA39,OPEN_ORDERS!$D:$D,$BA$25)</f>
        <v>0</v>
      </c>
      <c r="BY39" s="677">
        <f ca="1">SUMIFS(OPEN_ORDERS!$E:$E,OPEN_ORDERS!$B:$B,BY$2,OPEN_ORDERS!$C:$C,$BA39,OPEN_ORDERS!$D:$D,$BA$25)</f>
        <v>0</v>
      </c>
      <c r="BZ39" s="678"/>
      <c r="CA39" s="677">
        <f ca="1">SUMIFS(OPEN_ORDERS!$E:$E,OPEN_ORDERS!$B:$B,CA$2,OPEN_ORDERS!$C:$C,$BA39,OPEN_ORDERS!$D:$D,$BA$25)</f>
        <v>0</v>
      </c>
      <c r="CB39" s="677">
        <f ca="1">SUMIFS(OPEN_ORDERS!$E:$E,OPEN_ORDERS!$B:$B,CB$2,OPEN_ORDERS!$C:$C,$BA39,OPEN_ORDERS!$D:$D,$BA$25)</f>
        <v>0</v>
      </c>
      <c r="CC39" s="677">
        <f ca="1">SUMIFS(OPEN_ORDERS!$E:$E,OPEN_ORDERS!$B:$B,CC$2,OPEN_ORDERS!$C:$C,$BA39,OPEN_ORDERS!$D:$D,$BA$25)</f>
        <v>0</v>
      </c>
      <c r="CD39" s="678"/>
      <c r="CE39" s="677">
        <f ca="1">SUMIFS(OPEN_ORDERS!$E:$E,OPEN_ORDERS!$B:$B,CE$2,OPEN_ORDERS!$C:$C,$BA39,OPEN_ORDERS!$D:$D,$BA$25)</f>
        <v>0</v>
      </c>
      <c r="CF39" s="677">
        <f ca="1">SUMIFS(OPEN_ORDERS!$E:$E,OPEN_ORDERS!$B:$B,CF$2,OPEN_ORDERS!$C:$C,$BA39,OPEN_ORDERS!$D:$D,$BA$25)</f>
        <v>0</v>
      </c>
      <c r="CG39" s="677">
        <f ca="1">SUMIFS(OPEN_ORDERS!$E:$E,OPEN_ORDERS!$B:$B,CG$2,OPEN_ORDERS!$C:$C,$BA39,OPEN_ORDERS!$D:$D,$BA$25)</f>
        <v>0</v>
      </c>
      <c r="CH39" s="61"/>
      <c r="CI39" s="1" t="str">
        <f t="shared" si="198"/>
        <v>SHORTS</v>
      </c>
      <c r="CJ39" s="677">
        <f ca="1">IF($CJ$7="Aug",SUMIFS(HIS_STOCK!$F:$F,HIS_STOCK!$A:$A,$BA$25,HIS_STOCK!$C:$C,$CI39,HIS_STOCK!$D:$D,$CK$1,HIS_STOCK!$E:$E,$CL$1)+BS39-(AK39*1000)-T39-HLOOKUP($CJ$4,NWC_FC_NOOS!$C$50:$U$69,MATCH($CI39,NWC_FC_NOOS!$B$50:$B$69,0),FALSE),IF($CJ$2=TIME!$E$5,SUMIFS(HIS_STOCK!$F:$F,HIS_STOCK!$A:$A,$BA$25,HIS_STOCK!$C:$C,$CI39,HIS_STOCK!$D:$D,$CJ$5,HIS_STOCK!$E:$E,$CL$1)+BS39-(AK39*1000)-T39-HLOOKUP($CJ$4,NWC_FC_NOOS!$C$50:$U$69,MATCH($CI39,NWC_FC_NOOS!$B$50:$B$69,0),FALSE),SUMIFS(HIS_STOCK!$F:$F,HIS_STOCK!$A:$A,$BA$25,HIS_STOCK!$C:$C,$CI39,HIS_STOCK!$D:$D,$CJ$5,HIS_STOCK!$E:$E,CJ$7)))</f>
        <v>0</v>
      </c>
      <c r="CK39" s="677">
        <f ca="1">IF(SUMIFS(HIS_STOCK!$F:$F,HIS_STOCK!$A:$A,$BA$25,HIS_STOCK!$C:$C,$CI39,HIS_STOCK!$D:$D,$CJ$5,HIS_STOCK!$E:$E,CK$7)&lt;&gt;0,SUMIFS(HIS_STOCK!$F:$F,HIS_STOCK!$A:$A,$BA$25,HIS_STOCK!$C:$C,$CI39,HIS_STOCK!$D:$D,$CJ$5,HIS_STOCK!$E:$E,CK$7)-(AL39*1000),CJ39+BT39+((AK39-AL39)*1000)-U39-HLOOKUP(CK$4,NWC_FC_NOOS!$C$50:$U$69,MATCH(PLANNING_FC!$BR39,NWC_FC_NOOS!$B$50:$B$69,0),FALSE))</f>
        <v>34571</v>
      </c>
      <c r="CL39" s="677">
        <f ca="1">IF(SUMIFS(HIS_STOCK!$F:$F,HIS_STOCK!$A:$A,$BA$25,HIS_STOCK!$C:$C,$CI39,HIS_STOCK!$D:$D,$CJ$5,HIS_STOCK!$E:$E,CL$7)&lt;&gt;0,SUMIFS(HIS_STOCK!$F:$F,HIS_STOCK!$A:$A,$BA$25,HIS_STOCK!$C:$C,$CI39,HIS_STOCK!$D:$D,$CJ$5,HIS_STOCK!$E:$E,CL$7)-(AM39*1000),CK39+BU39+((AL39-AM39)*1000)-V39-HLOOKUP(CL$4,NWC_FC_NOOS!$C$50:$U$69,MATCH(PLANNING_FC!$BR39,NWC_FC_NOOS!$B$50:$B$69,0),FALSE))</f>
        <v>70702</v>
      </c>
      <c r="CM39" s="678"/>
      <c r="CN39" s="677">
        <f ca="1">CL39+BW39+((AM39-AO39)*1000)-X39-HLOOKUP(CN$4,NWC_FC_NOOS!$C$50:$U$69,MATCH(PLANNING_FC!$BR39,NWC_FC_NOOS!$B$50:$B$69,0),FALSE)</f>
        <v>76772</v>
      </c>
      <c r="CO39" s="677">
        <f ca="1">CN39+BX39+((AO39-AP39)*1000)-Y39-HLOOKUP(CO$4,NWC_FC_NOOS!$C$50:$U$69,MATCH(PLANNING_FC!$BR39,NWC_FC_NOOS!$B$50:$B$69,0),FALSE)</f>
        <v>76772</v>
      </c>
      <c r="CP39" s="677">
        <f ca="1">CO39+BY39+((AP39-AQ39)*1000)-Z39-HLOOKUP(CP$4,NWC_FC_NOOS!$C$50:$U$69,MATCH(PLANNING_FC!$BR39,NWC_FC_NOOS!$B$50:$B$69,0),FALSE)</f>
        <v>76772</v>
      </c>
      <c r="CQ39" s="678"/>
      <c r="CR39" s="677">
        <f ca="1">CP39+CA39+((AQ39-AS39)*1000)-AB39-HLOOKUP(CR$4,NWC_FC_NOOS!$C$50:$U$69,MATCH(PLANNING_FC!$BR39,NWC_FC_NOOS!$B$50:$B$69,0),FALSE)</f>
        <v>76772</v>
      </c>
      <c r="CS39" s="677">
        <f ca="1">CR39+CB39+((AS39-AT39)*1000)-AC39-HLOOKUP(CS$4,NWC_FC_NOOS!$C$50:$U$69,MATCH(PLANNING_FC!$BR39,NWC_FC_NOOS!$B$50:$B$69,0),FALSE)</f>
        <v>76772</v>
      </c>
      <c r="CT39" s="677">
        <f ca="1">CS39+CC39+((AT39-AU39)*1000)-AD39-HLOOKUP(CT$4,NWC_FC_NOOS!$C$50:$U$69,MATCH(PLANNING_FC!$BR39,NWC_FC_NOOS!$B$50:$B$69,0),FALSE)</f>
        <v>76772</v>
      </c>
      <c r="CU39" s="678"/>
      <c r="CV39" s="677">
        <f ca="1">CT39+CE39+((AU39-AW39)*1000)-AF39-HLOOKUP(CV$4,NWC_FC_NOOS!$C$50:$U$69,MATCH(PLANNING_FC!$BR39,NWC_FC_NOOS!$B$50:$B$69,0),FALSE)</f>
        <v>76772</v>
      </c>
      <c r="CW39" s="677">
        <f ca="1">CV39+CF39+((AW39-AX39)*1000)-AG39-HLOOKUP(CW$4,NWC_FC_NOOS!$C$50:$U$69,MATCH(PLANNING_FC!$BR39,NWC_FC_NOOS!$B$50:$B$69,0),FALSE)</f>
        <v>76772</v>
      </c>
      <c r="CX39" s="677">
        <f ca="1">CW39+CG39+((AX39-AY39)*1000)-AH39-HLOOKUP(CX$4,NWC_FC_NOOS!$C$50:$U$69,MATCH(PLANNING_FC!$BR39,NWC_FC_NOOS!$B$50:$B$69,0),FALSE)</f>
        <v>76772</v>
      </c>
      <c r="CZ39" s="575" t="str">
        <f t="shared" si="199"/>
        <v>SHORTS</v>
      </c>
      <c r="DA39" s="677">
        <f ca="1">IF(STOCK_OVERVIEW!C$41="ACT",SUMIFS(HIS_STOCK!$F:$F,HIS_STOCK!$A:$A,PLANNING_FC!$BA$25,HIS_STOCK!$C:$C,PLANNING_FC!$CZ16,HIS_STOCK!$D:$D,PLANNING_FC!$DA$5,HIS_STOCK!$E:$E,PLANNING_FC!DA$7),CJ39+SUM($BB39:BB39))</f>
        <v>0</v>
      </c>
      <c r="DB39" s="677">
        <f ca="1">IF(STOCK_OVERVIEW!D$41="ACT",SUMIFS(HIS_STOCK!$F:$F,HIS_STOCK!$A:$A,PLANNING_FC!$BA$25,HIS_STOCK!$C:$C,PLANNING_FC!$CZ16,HIS_STOCK!$D:$D,PLANNING_FC!$DA$5,HIS_STOCK!$E:$E,PLANNING_FC!DB$7),CK39+SUM($BB39:BC39))</f>
        <v>0</v>
      </c>
      <c r="DC39" s="677">
        <f ca="1">CL39+SUM($BB39:BD39)</f>
        <v>70702</v>
      </c>
      <c r="DD39" s="678"/>
      <c r="DE39" s="677">
        <f ca="1">CN39+SUM($BB39:BF39)</f>
        <v>76772</v>
      </c>
      <c r="DF39" s="677">
        <f ca="1">CO39+SUM($BB39:BG39)</f>
        <v>76772</v>
      </c>
      <c r="DG39" s="677">
        <f ca="1">CP39+SUM($BB39:BH39)</f>
        <v>76772</v>
      </c>
      <c r="DH39" s="678"/>
      <c r="DI39" s="677">
        <f ca="1">CR39+SUM($BB39:BJ39)</f>
        <v>76772</v>
      </c>
      <c r="DJ39" s="677">
        <f ca="1">CS39+SUM($BB39:BK39)</f>
        <v>76772</v>
      </c>
      <c r="DK39" s="677">
        <f ca="1">CT39+SUM($BB39:BL39)</f>
        <v>76772</v>
      </c>
      <c r="DL39" s="678"/>
      <c r="DM39" s="677">
        <f ca="1">CV39+SUM($BB39:BN39)</f>
        <v>76772</v>
      </c>
      <c r="DN39" s="677">
        <f ca="1">CW39+SUM($BB39:BO39)</f>
        <v>76772</v>
      </c>
      <c r="DO39" s="677">
        <f ca="1">CX39+SUM($BB39:BP39)</f>
        <v>76772</v>
      </c>
      <c r="DQ39" s="575" t="str">
        <f t="shared" si="200"/>
        <v>SHORTS</v>
      </c>
      <c r="DR39" s="677">
        <f ca="1">IF($DT$7="Aug",SUMIFS(HIS_STOCK!$F:$F,HIS_STOCK!$A:$A,$BA$25,HIS_STOCK!$C:$C,$DQ39,HIS_STOCK!$D:$D,$DR$4,HIS_STOCK!$E:$E,$DR$7),SUMIFS(HIS_STOCK!$F:$F,HIS_STOCK!$A:$A,$BA$25,HIS_STOCK!$C:$C,$DQ39,HIS_STOCK!$D:$D,$DR$5,HIS_STOCK!$E:$E,$DR$7))</f>
        <v>0</v>
      </c>
      <c r="DS39" s="677"/>
      <c r="DT39" s="677">
        <f ca="1">NWC_FC_NOOS!T16</f>
        <v>0</v>
      </c>
      <c r="DU39" s="677">
        <f ca="1">NWC_FC_NOOS!U16</f>
        <v>0</v>
      </c>
      <c r="DV39" s="677">
        <f ca="1">NWC_FC_NOOS!V16</f>
        <v>0</v>
      </c>
      <c r="DW39" s="678"/>
      <c r="DX39" s="677">
        <f ca="1">NWC_FC_NOOS!X16</f>
        <v>0</v>
      </c>
      <c r="DY39" s="677">
        <f ca="1">NWC_FC_NOOS!Y16</f>
        <v>0</v>
      </c>
      <c r="DZ39" s="677">
        <f ca="1">NWC_FC_NOOS!Z16</f>
        <v>0</v>
      </c>
      <c r="EA39" s="678"/>
      <c r="EB39" s="677">
        <f ca="1">NWC_FC_NOOS!AB16</f>
        <v>0</v>
      </c>
      <c r="EC39" s="677">
        <f ca="1">NWC_FC_NOOS!AC16</f>
        <v>0</v>
      </c>
      <c r="ED39" s="677">
        <f ca="1">NWC_FC_NOOS!AD16</f>
        <v>0</v>
      </c>
      <c r="EE39" s="678"/>
      <c r="EF39" s="677">
        <f ca="1">NWC_FC_NOOS!AF16</f>
        <v>0</v>
      </c>
      <c r="EG39" s="677">
        <f ca="1">NWC_FC_NOOS!AG16</f>
        <v>0</v>
      </c>
      <c r="EH39" s="677">
        <f ca="1">NWC_FC_NOOS!AH16</f>
        <v>0</v>
      </c>
    </row>
    <row r="40" spans="1:138" s="204" customFormat="1" x14ac:dyDescent="0.25">
      <c r="A40" s="62"/>
      <c r="B40" s="575" t="str">
        <f t="shared" si="182"/>
        <v>SKIRTS</v>
      </c>
      <c r="C40" s="802"/>
      <c r="D40" s="763"/>
      <c r="E40" s="763"/>
      <c r="F40" s="763"/>
      <c r="G40" s="613"/>
      <c r="H40" s="763"/>
      <c r="I40" s="763"/>
      <c r="J40" s="763"/>
      <c r="K40" s="613"/>
      <c r="L40" s="763"/>
      <c r="M40" s="763"/>
      <c r="N40" s="763"/>
      <c r="O40" s="613"/>
      <c r="P40" s="763"/>
      <c r="Q40" s="763"/>
      <c r="R40" s="763"/>
      <c r="S40" s="449"/>
      <c r="T40" s="675">
        <f t="shared" ca="1" si="183"/>
        <v>0</v>
      </c>
      <c r="U40" s="675">
        <f t="shared" ca="1" si="184"/>
        <v>0</v>
      </c>
      <c r="V40" s="675">
        <f t="shared" ca="1" si="185"/>
        <v>0</v>
      </c>
      <c r="W40" s="675"/>
      <c r="X40" s="675">
        <f t="shared" ca="1" si="186"/>
        <v>0</v>
      </c>
      <c r="Y40" s="675">
        <f t="shared" ca="1" si="187"/>
        <v>0</v>
      </c>
      <c r="Z40" s="675">
        <f t="shared" ca="1" si="188"/>
        <v>0</v>
      </c>
      <c r="AA40" s="675"/>
      <c r="AB40" s="675">
        <f t="shared" ca="1" si="189"/>
        <v>0</v>
      </c>
      <c r="AC40" s="675">
        <f t="shared" ca="1" si="190"/>
        <v>0</v>
      </c>
      <c r="AD40" s="675">
        <f t="shared" ca="1" si="191"/>
        <v>0</v>
      </c>
      <c r="AE40" s="675"/>
      <c r="AF40" s="675">
        <f t="shared" ca="1" si="192"/>
        <v>0</v>
      </c>
      <c r="AG40" s="675">
        <f t="shared" ca="1" si="193"/>
        <v>0</v>
      </c>
      <c r="AH40" s="675">
        <f t="shared" ca="1" si="194"/>
        <v>0</v>
      </c>
      <c r="AI40" s="675"/>
      <c r="AJ40" s="575" t="str">
        <f t="shared" si="196"/>
        <v>SKIRTS</v>
      </c>
      <c r="AK40" s="761"/>
      <c r="AL40" s="761"/>
      <c r="AM40" s="761"/>
      <c r="AN40" s="613"/>
      <c r="AO40" s="761"/>
      <c r="AP40" s="761"/>
      <c r="AQ40" s="761"/>
      <c r="AR40" s="613"/>
      <c r="AS40" s="761"/>
      <c r="AT40" s="761"/>
      <c r="AU40" s="761"/>
      <c r="AV40" s="613"/>
      <c r="AW40" s="761"/>
      <c r="AX40" s="761"/>
      <c r="AY40" s="761"/>
      <c r="AZ40" s="449"/>
      <c r="BA40" s="575" t="str">
        <f t="shared" si="195"/>
        <v>SKIRTS</v>
      </c>
      <c r="BB40" s="677">
        <f ca="1">MAX(IF(ISNA(VLOOKUP($BB$4,TIME!$M$40:$M$42,1,FALSE)),0,HLOOKUP(BB$4,NWC_FC_NOOS!$S$4:$AH$23,MATCH($BA40,NWC_FC_NOOS!$S$4:$S$23,0),FALSE)-CJ40),0)</f>
        <v>0</v>
      </c>
      <c r="BC40" s="677">
        <f ca="1">IF(ISNA(VLOOKUP(BC$4,TIME!$M$40:$M$42,1,FALSE)),0,IF(HLOOKUP(BC$4,NWC_FC_NOOS!$S$4:$AH$23,MATCH($BA40,NWC_FC_NOOS!$S$4:$S$23,0),FALSE)-CK40-SUM($BB40:BB40)&gt;0,HLOOKUP(BC$4,NWC_FC_NOOS!$S$4:$AH$23,MATCH($BA40,NWC_FC_NOOS!$S$4:$S$23,0),FALSE)-CK40-SUM($BB40:BB40),0))</f>
        <v>0</v>
      </c>
      <c r="BD40" s="677">
        <f ca="1">IF(ISNA(VLOOKUP(BD$4,TIME!$M$40:$M$42,1,FALSE)),0,IF(HLOOKUP(BD$4,NWC_FC_NOOS!$S$4:$AH$23,MATCH($BA40,NWC_FC_NOOS!$S$4:$S$23,0),FALSE)-CL40-SUM($BB40:BC40)&gt;0,HLOOKUP(BD$4,NWC_FC_NOOS!$S$4:$AH$23,MATCH($BA40,NWC_FC_NOOS!$S$4:$S$23,0),FALSE)-CL40-SUM($BB40:BC40),0))</f>
        <v>0</v>
      </c>
      <c r="BE40" s="678"/>
      <c r="BF40" s="677">
        <f ca="1">IF(HLOOKUP(BF$4,NWC_FC_NOOS!$S$4:$AH$23,MATCH($BA40,NWC_FC_NOOS!$S$4:$S$23,0),FALSE)-CN40-SUM($BB40:BE40)&gt;0,HLOOKUP(BF$4,NWC_FC_NOOS!$S$4:$AH$23,MATCH($BA40,NWC_FC_NOOS!$S$4:$S$23,0),FALSE)-CN40-SUM($BB40:BE40),0)</f>
        <v>0</v>
      </c>
      <c r="BG40" s="677">
        <f ca="1">IF(HLOOKUP(BG$4,NWC_FC_NOOS!$S$4:$AH$23,MATCH($BA40,NWC_FC_NOOS!$S$4:$S$23,0),FALSE)-CO40-SUM($BB40:BF40)&gt;0,HLOOKUP(BG$4,NWC_FC_NOOS!$S$4:$AH$23,MATCH($BA40,NWC_FC_NOOS!$S$4:$S$23,0),FALSE)-CO40-SUM($BB40:BF40),0)</f>
        <v>0</v>
      </c>
      <c r="BH40" s="677">
        <f ca="1">IF(HLOOKUP(BH$4,NWC_FC_NOOS!$S$4:$AH$23,MATCH($BA40,NWC_FC_NOOS!$S$4:$S$23,0),FALSE)-CP40-SUM($BB40:BG40)&gt;0,HLOOKUP(BH$4,NWC_FC_NOOS!$S$4:$AH$23,MATCH($BA40,NWC_FC_NOOS!$S$4:$S$23,0),FALSE)-CP40-SUM($BB40:BG40),0)</f>
        <v>0</v>
      </c>
      <c r="BI40" s="678"/>
      <c r="BJ40" s="677">
        <f ca="1">IF(HLOOKUP(BJ$4,NWC_FC_NOOS!$S$4:$AH$23,MATCH($BA40,NWC_FC_NOOS!$S$4:$S$23,0),FALSE)-CR40-SUM($BB40:BI40)&gt;0,HLOOKUP(BJ$4,NWC_FC_NOOS!$S$4:$AH$23,MATCH($BA40,NWC_FC_NOOS!$S$4:$S$23,0),FALSE)-CR40-SUM($BB40:BI40),0)</f>
        <v>0</v>
      </c>
      <c r="BK40" s="677">
        <f ca="1">IF(HLOOKUP(BK$4,NWC_FC_NOOS!$S$4:$AH$23,MATCH($BA40,NWC_FC_NOOS!$S$4:$S$23,0),FALSE)-CS40-SUM($BB40:BJ40)&gt;0,HLOOKUP(BK$4,NWC_FC_NOOS!$S$4:$AH$23,MATCH($BA40,NWC_FC_NOOS!$S$4:$S$23,0),FALSE)-CS40-SUM($BB40:BJ40),0)</f>
        <v>0</v>
      </c>
      <c r="BL40" s="677">
        <f ca="1">IF(HLOOKUP(BL$4,NWC_FC_NOOS!$S$4:$AH$23,MATCH($BA40,NWC_FC_NOOS!$S$4:$S$23,0),FALSE)-CT40-SUM($BB40:BK40)&gt;0,HLOOKUP(BL$4,NWC_FC_NOOS!$S$4:$AH$23,MATCH($BA40,NWC_FC_NOOS!$S$4:$S$23,0),FALSE)-CT40-SUM($BB40:BK40),0)</f>
        <v>0</v>
      </c>
      <c r="BM40" s="678"/>
      <c r="BN40" s="677">
        <f ca="1">IF(HLOOKUP(BN$4,NWC_FC_NOOS!$S$4:$AH$23,MATCH($BA40,NWC_FC_NOOS!$S$4:$S$23,0),FALSE)-CV40-SUM($BB40:BM40)&gt;0,HLOOKUP(BN$4,NWC_FC_NOOS!$S$4:$AH$23,MATCH($BA40,NWC_FC_NOOS!$S$4:$S$23,0),FALSE)-CV40-SUM($BB40:BM40),0)</f>
        <v>0</v>
      </c>
      <c r="BO40" s="677">
        <f ca="1">IF(HLOOKUP(BO$4,NWC_FC_NOOS!$S$4:$AH$23,MATCH($BA40,NWC_FC_NOOS!$S$4:$S$23,0),FALSE)-CW40-SUM($BB40:BN40)&gt;0,HLOOKUP(BO$4,NWC_FC_NOOS!$S$4:$AH$23,MATCH($BA40,NWC_FC_NOOS!$S$4:$S$23,0),FALSE)-CW40-SUM($BB40:BN40),0)</f>
        <v>0</v>
      </c>
      <c r="BP40" s="677">
        <f ca="1">IF(HLOOKUP(BP$4,NWC_FC_NOOS!$S$4:$AH$23,MATCH($BA40,NWC_FC_NOOS!$S$4:$S$23,0),FALSE)-CX40-SUM($BB40:BO40)&gt;0,HLOOKUP(BP$4,NWC_FC_NOOS!$S$4:$AH$23,MATCH($BA40,NWC_FC_NOOS!$S$4:$S$23,0),FALSE)-CX40-SUM($BB40:BO40),0)</f>
        <v>0</v>
      </c>
      <c r="BR40" s="575" t="str">
        <f t="shared" si="197"/>
        <v>SKIRTS</v>
      </c>
      <c r="BS40" s="677">
        <f ca="1">IF(BS$2=TIME!$E$5,SUMIFS(OPEN_ORDERS!$E:$E,OPEN_ORDERS!$B:$B,"&lt;="&amp;BS$2,OPEN_ORDERS!$C:$C,$BA40,OPEN_ORDERS!$D:$D,$BA$25)+SUMIFS(OPEN_ORDERS!$E:$E,OPEN_ORDERS!$B:$B,"IMMEDIATELY",OPEN_ORDERS!$C:$C,$BA40,OPEN_ORDERS!$D:$D,$BA$25),SUMIFS(OPEN_ORDERS!$E:$E,OPEN_ORDERS!$B:$B,BS$2,OPEN_ORDERS!$C:$C,$BA40,OPEN_ORDERS!$D:$D,$BA$25))</f>
        <v>10558</v>
      </c>
      <c r="BT40" s="677">
        <f ca="1">IF(BT$2=TIME!$E$5,SUMIFS(OPEN_ORDERS!$E:$E,OPEN_ORDERS!$B:$B,"&lt;="&amp;BT$2,OPEN_ORDERS!$C:$C,$BA40,OPEN_ORDERS!$D:$D,$BA$25)+SUMIFS(OPEN_ORDERS!$E:$E,OPEN_ORDERS!$B:$B,"IMMEDIATELY",OPEN_ORDERS!$C:$C,$BA40,OPEN_ORDERS!$D:$D,$BA$25),SUMIFS(OPEN_ORDERS!$E:$E,OPEN_ORDERS!$B:$B,BT$2,OPEN_ORDERS!$C:$C,$BA40,OPEN_ORDERS!$D:$D,$BA$25))</f>
        <v>32801</v>
      </c>
      <c r="BU40" s="677">
        <f ca="1">IF(BU$2=TIME!$E$5,SUMIFS(OPEN_ORDERS!$E:$E,OPEN_ORDERS!$B:$B,"&lt;="&amp;BU$2,OPEN_ORDERS!$C:$C,$BA40,OPEN_ORDERS!$D:$D,$BA$25)+SUMIFS(OPEN_ORDERS!$E:$E,OPEN_ORDERS!$B:$B,"IMMEDIATELY",OPEN_ORDERS!$C:$C,$BA40,OPEN_ORDERS!$D:$D,$BA$25),SUMIFS(OPEN_ORDERS!$E:$E,OPEN_ORDERS!$B:$B,BU$2,OPEN_ORDERS!$C:$C,$BA40,OPEN_ORDERS!$D:$D,$BA$25))</f>
        <v>56621</v>
      </c>
      <c r="BV40" s="678"/>
      <c r="BW40" s="677">
        <f ca="1">SUMIFS(OPEN_ORDERS!$E:$E,OPEN_ORDERS!$B:$B,BW$2,OPEN_ORDERS!$C:$C,$BA40,OPEN_ORDERS!$D:$D,$BA$25)</f>
        <v>0</v>
      </c>
      <c r="BX40" s="677">
        <f ca="1">SUMIFS(OPEN_ORDERS!$E:$E,OPEN_ORDERS!$B:$B,BX$2,OPEN_ORDERS!$C:$C,$BA40,OPEN_ORDERS!$D:$D,$BA$25)</f>
        <v>0</v>
      </c>
      <c r="BY40" s="677">
        <f ca="1">SUMIFS(OPEN_ORDERS!$E:$E,OPEN_ORDERS!$B:$B,BY$2,OPEN_ORDERS!$C:$C,$BA40,OPEN_ORDERS!$D:$D,$BA$25)</f>
        <v>0</v>
      </c>
      <c r="BZ40" s="678"/>
      <c r="CA40" s="677">
        <f ca="1">SUMIFS(OPEN_ORDERS!$E:$E,OPEN_ORDERS!$B:$B,CA$2,OPEN_ORDERS!$C:$C,$BA40,OPEN_ORDERS!$D:$D,$BA$25)</f>
        <v>0</v>
      </c>
      <c r="CB40" s="677">
        <f ca="1">SUMIFS(OPEN_ORDERS!$E:$E,OPEN_ORDERS!$B:$B,CB$2,OPEN_ORDERS!$C:$C,$BA40,OPEN_ORDERS!$D:$D,$BA$25)</f>
        <v>0</v>
      </c>
      <c r="CC40" s="677">
        <f ca="1">SUMIFS(OPEN_ORDERS!$E:$E,OPEN_ORDERS!$B:$B,CC$2,OPEN_ORDERS!$C:$C,$BA40,OPEN_ORDERS!$D:$D,$BA$25)</f>
        <v>0</v>
      </c>
      <c r="CD40" s="678"/>
      <c r="CE40" s="677">
        <f ca="1">SUMIFS(OPEN_ORDERS!$E:$E,OPEN_ORDERS!$B:$B,CE$2,OPEN_ORDERS!$C:$C,$BA40,OPEN_ORDERS!$D:$D,$BA$25)</f>
        <v>0</v>
      </c>
      <c r="CF40" s="677">
        <f ca="1">SUMIFS(OPEN_ORDERS!$E:$E,OPEN_ORDERS!$B:$B,CF$2,OPEN_ORDERS!$C:$C,$BA40,OPEN_ORDERS!$D:$D,$BA$25)</f>
        <v>0</v>
      </c>
      <c r="CG40" s="677">
        <f ca="1">SUMIFS(OPEN_ORDERS!$E:$E,OPEN_ORDERS!$B:$B,CG$2,OPEN_ORDERS!$C:$C,$BA40,OPEN_ORDERS!$D:$D,$BA$25)</f>
        <v>0</v>
      </c>
      <c r="CH40" s="61"/>
      <c r="CI40" s="1" t="str">
        <f t="shared" si="198"/>
        <v>SKIRTS</v>
      </c>
      <c r="CJ40" s="677">
        <f ca="1">IF($CJ$7="Aug",SUMIFS(HIS_STOCK!$F:$F,HIS_STOCK!$A:$A,$BA$25,HIS_STOCK!$C:$C,$CI40,HIS_STOCK!$D:$D,$CK$1,HIS_STOCK!$E:$E,$CL$1)+BS40-(AK40*1000)-T40-HLOOKUP($CJ$4,NWC_FC_NOOS!$C$50:$U$69,MATCH($CI40,NWC_FC_NOOS!$B$50:$B$69,0),FALSE),IF($CJ$2=TIME!$E$5,SUMIFS(HIS_STOCK!$F:$F,HIS_STOCK!$A:$A,$BA$25,HIS_STOCK!$C:$C,$CI40,HIS_STOCK!$D:$D,$CJ$5,HIS_STOCK!$E:$E,$CL$1)+BS40-(AK40*1000)-T40-HLOOKUP($CJ$4,NWC_FC_NOOS!$C$50:$U$69,MATCH($CI40,NWC_FC_NOOS!$B$50:$B$69,0),FALSE),SUMIFS(HIS_STOCK!$F:$F,HIS_STOCK!$A:$A,$BA$25,HIS_STOCK!$C:$C,$CI40,HIS_STOCK!$D:$D,$CJ$5,HIS_STOCK!$E:$E,CJ$7)))</f>
        <v>0</v>
      </c>
      <c r="CK40" s="677">
        <f ca="1">IF(SUMIFS(HIS_STOCK!$F:$F,HIS_STOCK!$A:$A,$BA$25,HIS_STOCK!$C:$C,$CI40,HIS_STOCK!$D:$D,$CJ$5,HIS_STOCK!$E:$E,CK$7)&lt;&gt;0,SUMIFS(HIS_STOCK!$F:$F,HIS_STOCK!$A:$A,$BA$25,HIS_STOCK!$C:$C,$CI40,HIS_STOCK!$D:$D,$CJ$5,HIS_STOCK!$E:$E,CK$7)-(AL40*1000),CJ40+BT40+((AK40-AL40)*1000)-U40-HLOOKUP(CK$4,NWC_FC_NOOS!$C$50:$U$69,MATCH(PLANNING_FC!$BR40,NWC_FC_NOOS!$B$50:$B$69,0),FALSE))</f>
        <v>32801</v>
      </c>
      <c r="CL40" s="677">
        <f ca="1">IF(SUMIFS(HIS_STOCK!$F:$F,HIS_STOCK!$A:$A,$BA$25,HIS_STOCK!$C:$C,$CI40,HIS_STOCK!$D:$D,$CJ$5,HIS_STOCK!$E:$E,CL$7)&lt;&gt;0,SUMIFS(HIS_STOCK!$F:$F,HIS_STOCK!$A:$A,$BA$25,HIS_STOCK!$C:$C,$CI40,HIS_STOCK!$D:$D,$CJ$5,HIS_STOCK!$E:$E,CL$7)-(AM40*1000),CK40+BU40+((AL40-AM40)*1000)-V40-HLOOKUP(CL$4,NWC_FC_NOOS!$C$50:$U$69,MATCH(PLANNING_FC!$BR40,NWC_FC_NOOS!$B$50:$B$69,0),FALSE))</f>
        <v>89422</v>
      </c>
      <c r="CM40" s="678"/>
      <c r="CN40" s="677">
        <f ca="1">CL40+BW40+((AM40-AO40)*1000)-X40-HLOOKUP(CN$4,NWC_FC_NOOS!$C$50:$U$69,MATCH(PLANNING_FC!$BR40,NWC_FC_NOOS!$B$50:$B$69,0),FALSE)</f>
        <v>89422</v>
      </c>
      <c r="CO40" s="677">
        <f ca="1">CN40+BX40+((AO40-AP40)*1000)-Y40-HLOOKUP(CO$4,NWC_FC_NOOS!$C$50:$U$69,MATCH(PLANNING_FC!$BR40,NWC_FC_NOOS!$B$50:$B$69,0),FALSE)</f>
        <v>89422</v>
      </c>
      <c r="CP40" s="677">
        <f ca="1">CO40+BY40+((AP40-AQ40)*1000)-Z40-HLOOKUP(CP$4,NWC_FC_NOOS!$C$50:$U$69,MATCH(PLANNING_FC!$BR40,NWC_FC_NOOS!$B$50:$B$69,0),FALSE)</f>
        <v>89422</v>
      </c>
      <c r="CQ40" s="678"/>
      <c r="CR40" s="677">
        <f ca="1">CP40+CA40+((AQ40-AS40)*1000)-AB40-HLOOKUP(CR$4,NWC_FC_NOOS!$C$50:$U$69,MATCH(PLANNING_FC!$BR40,NWC_FC_NOOS!$B$50:$B$69,0),FALSE)</f>
        <v>89422</v>
      </c>
      <c r="CS40" s="677">
        <f ca="1">CR40+CB40+((AS40-AT40)*1000)-AC40-HLOOKUP(CS$4,NWC_FC_NOOS!$C$50:$U$69,MATCH(PLANNING_FC!$BR40,NWC_FC_NOOS!$B$50:$B$69,0),FALSE)</f>
        <v>89422</v>
      </c>
      <c r="CT40" s="677">
        <f ca="1">CS40+CC40+((AT40-AU40)*1000)-AD40-HLOOKUP(CT$4,NWC_FC_NOOS!$C$50:$U$69,MATCH(PLANNING_FC!$BR40,NWC_FC_NOOS!$B$50:$B$69,0),FALSE)</f>
        <v>89422</v>
      </c>
      <c r="CU40" s="678"/>
      <c r="CV40" s="677">
        <f ca="1">CT40+CE40+((AU40-AW40)*1000)-AF40-HLOOKUP(CV$4,NWC_FC_NOOS!$C$50:$U$69,MATCH(PLANNING_FC!$BR40,NWC_FC_NOOS!$B$50:$B$69,0),FALSE)</f>
        <v>89422</v>
      </c>
      <c r="CW40" s="677">
        <f ca="1">CV40+CF40+((AW40-AX40)*1000)-AG40-HLOOKUP(CW$4,NWC_FC_NOOS!$C$50:$U$69,MATCH(PLANNING_FC!$BR40,NWC_FC_NOOS!$B$50:$B$69,0),FALSE)</f>
        <v>89422</v>
      </c>
      <c r="CX40" s="677">
        <f ca="1">CW40+CG40+((AX40-AY40)*1000)-AH40-HLOOKUP(CX$4,NWC_FC_NOOS!$C$50:$U$69,MATCH(PLANNING_FC!$BR40,NWC_FC_NOOS!$B$50:$B$69,0),FALSE)</f>
        <v>89422</v>
      </c>
      <c r="CZ40" s="575" t="str">
        <f t="shared" si="199"/>
        <v>SKIRTS</v>
      </c>
      <c r="DA40" s="677">
        <f ca="1">IF(STOCK_OVERVIEW!C$41="ACT",SUMIFS(HIS_STOCK!$F:$F,HIS_STOCK!$A:$A,PLANNING_FC!$BA$25,HIS_STOCK!$C:$C,PLANNING_FC!$CZ17,HIS_STOCK!$D:$D,PLANNING_FC!$DA$5,HIS_STOCK!$E:$E,PLANNING_FC!DA$7),CJ40+SUM($BB40:BB40))</f>
        <v>0</v>
      </c>
      <c r="DB40" s="677">
        <f ca="1">IF(STOCK_OVERVIEW!D$41="ACT",SUMIFS(HIS_STOCK!$F:$F,HIS_STOCK!$A:$A,PLANNING_FC!$BA$25,HIS_STOCK!$C:$C,PLANNING_FC!$CZ17,HIS_STOCK!$D:$D,PLANNING_FC!$DA$5,HIS_STOCK!$E:$E,PLANNING_FC!DB$7),CK40+SUM($BB40:BC40))</f>
        <v>0</v>
      </c>
      <c r="DC40" s="677">
        <f ca="1">CL40+SUM($BB40:BD40)</f>
        <v>89422</v>
      </c>
      <c r="DD40" s="678"/>
      <c r="DE40" s="677">
        <f ca="1">CN40+SUM($BB40:BF40)</f>
        <v>89422</v>
      </c>
      <c r="DF40" s="677">
        <f ca="1">CO40+SUM($BB40:BG40)</f>
        <v>89422</v>
      </c>
      <c r="DG40" s="677">
        <f ca="1">CP40+SUM($BB40:BH40)</f>
        <v>89422</v>
      </c>
      <c r="DH40" s="678"/>
      <c r="DI40" s="677">
        <f ca="1">CR40+SUM($BB40:BJ40)</f>
        <v>89422</v>
      </c>
      <c r="DJ40" s="677">
        <f ca="1">CS40+SUM($BB40:BK40)</f>
        <v>89422</v>
      </c>
      <c r="DK40" s="677">
        <f ca="1">CT40+SUM($BB40:BL40)</f>
        <v>89422</v>
      </c>
      <c r="DL40" s="678"/>
      <c r="DM40" s="677">
        <f ca="1">CV40+SUM($BB40:BN40)</f>
        <v>89422</v>
      </c>
      <c r="DN40" s="677">
        <f ca="1">CW40+SUM($BB40:BO40)</f>
        <v>89422</v>
      </c>
      <c r="DO40" s="677">
        <f ca="1">CX40+SUM($BB40:BP40)</f>
        <v>89422</v>
      </c>
      <c r="DQ40" s="575" t="str">
        <f t="shared" si="200"/>
        <v>SKIRTS</v>
      </c>
      <c r="DR40" s="677">
        <f ca="1">IF($DT$7="Aug",SUMIFS(HIS_STOCK!$F:$F,HIS_STOCK!$A:$A,$BA$25,HIS_STOCK!$C:$C,$DQ40,HIS_STOCK!$D:$D,$DR$4,HIS_STOCK!$E:$E,$DR$7),SUMIFS(HIS_STOCK!$F:$F,HIS_STOCK!$A:$A,$BA$25,HIS_STOCK!$C:$C,$DQ40,HIS_STOCK!$D:$D,$DR$5,HIS_STOCK!$E:$E,$DR$7))</f>
        <v>0</v>
      </c>
      <c r="DS40" s="677"/>
      <c r="DT40" s="677">
        <f ca="1">NWC_FC_NOOS!T17</f>
        <v>0</v>
      </c>
      <c r="DU40" s="677">
        <f ca="1">NWC_FC_NOOS!U17</f>
        <v>0</v>
      </c>
      <c r="DV40" s="677">
        <f ca="1">NWC_FC_NOOS!V17</f>
        <v>0</v>
      </c>
      <c r="DW40" s="678"/>
      <c r="DX40" s="677">
        <f ca="1">NWC_FC_NOOS!X17</f>
        <v>0</v>
      </c>
      <c r="DY40" s="677">
        <f ca="1">NWC_FC_NOOS!Y17</f>
        <v>0</v>
      </c>
      <c r="DZ40" s="677">
        <f ca="1">NWC_FC_NOOS!Z17</f>
        <v>0</v>
      </c>
      <c r="EA40" s="678"/>
      <c r="EB40" s="677">
        <f ca="1">NWC_FC_NOOS!AB17</f>
        <v>0</v>
      </c>
      <c r="EC40" s="677">
        <f ca="1">NWC_FC_NOOS!AC17</f>
        <v>0</v>
      </c>
      <c r="ED40" s="677">
        <f ca="1">NWC_FC_NOOS!AD17</f>
        <v>0</v>
      </c>
      <c r="EE40" s="678"/>
      <c r="EF40" s="677">
        <f ca="1">NWC_FC_NOOS!AF17</f>
        <v>0</v>
      </c>
      <c r="EG40" s="677">
        <f ca="1">NWC_FC_NOOS!AG17</f>
        <v>0</v>
      </c>
      <c r="EH40" s="677">
        <f ca="1">NWC_FC_NOOS!AH17</f>
        <v>0</v>
      </c>
    </row>
    <row r="41" spans="1:138" s="204" customFormat="1" x14ac:dyDescent="0.25">
      <c r="A41" s="62"/>
      <c r="B41" s="575" t="str">
        <f t="shared" si="182"/>
        <v>SWEAT</v>
      </c>
      <c r="C41" s="802"/>
      <c r="D41" s="763"/>
      <c r="E41" s="763"/>
      <c r="F41" s="763"/>
      <c r="G41" s="613"/>
      <c r="H41" s="763"/>
      <c r="I41" s="763"/>
      <c r="J41" s="763"/>
      <c r="K41" s="613"/>
      <c r="L41" s="763"/>
      <c r="M41" s="763"/>
      <c r="N41" s="763"/>
      <c r="O41" s="613"/>
      <c r="P41" s="763"/>
      <c r="Q41" s="763"/>
      <c r="R41" s="763"/>
      <c r="S41" s="449"/>
      <c r="T41" s="675">
        <f t="shared" ca="1" si="183"/>
        <v>0</v>
      </c>
      <c r="U41" s="675">
        <f t="shared" ca="1" si="184"/>
        <v>0</v>
      </c>
      <c r="V41" s="675">
        <f t="shared" ca="1" si="185"/>
        <v>0</v>
      </c>
      <c r="W41" s="675"/>
      <c r="X41" s="675">
        <f t="shared" ca="1" si="186"/>
        <v>0</v>
      </c>
      <c r="Y41" s="675">
        <f t="shared" ca="1" si="187"/>
        <v>0</v>
      </c>
      <c r="Z41" s="675">
        <f t="shared" ca="1" si="188"/>
        <v>0</v>
      </c>
      <c r="AA41" s="675"/>
      <c r="AB41" s="675">
        <f t="shared" ca="1" si="189"/>
        <v>0</v>
      </c>
      <c r="AC41" s="675">
        <f t="shared" ca="1" si="190"/>
        <v>0</v>
      </c>
      <c r="AD41" s="675">
        <f t="shared" ca="1" si="191"/>
        <v>0</v>
      </c>
      <c r="AE41" s="675"/>
      <c r="AF41" s="675">
        <f t="shared" ca="1" si="192"/>
        <v>0</v>
      </c>
      <c r="AG41" s="675">
        <f t="shared" ca="1" si="193"/>
        <v>0</v>
      </c>
      <c r="AH41" s="675">
        <f t="shared" ca="1" si="194"/>
        <v>0</v>
      </c>
      <c r="AI41" s="675"/>
      <c r="AJ41" s="575" t="str">
        <f t="shared" si="196"/>
        <v>SWEAT</v>
      </c>
      <c r="AK41" s="761"/>
      <c r="AL41" s="761"/>
      <c r="AM41" s="761"/>
      <c r="AN41" s="613"/>
      <c r="AO41" s="761"/>
      <c r="AP41" s="761"/>
      <c r="AQ41" s="761"/>
      <c r="AR41" s="613"/>
      <c r="AS41" s="761"/>
      <c r="AT41" s="761"/>
      <c r="AU41" s="761"/>
      <c r="AV41" s="613"/>
      <c r="AW41" s="761"/>
      <c r="AX41" s="761"/>
      <c r="AY41" s="761"/>
      <c r="AZ41" s="449"/>
      <c r="BA41" s="575" t="str">
        <f t="shared" si="195"/>
        <v>SWEAT</v>
      </c>
      <c r="BB41" s="677">
        <f ca="1">MAX(IF(ISNA(VLOOKUP($BB$4,TIME!$M$40:$M$42,1,FALSE)),0,HLOOKUP(BB$4,NWC_FC_NOOS!$S$4:$AH$23,MATCH($BA41,NWC_FC_NOOS!$S$4:$S$23,0),FALSE)-CJ41),0)</f>
        <v>0</v>
      </c>
      <c r="BC41" s="677">
        <f ca="1">IF(ISNA(VLOOKUP(BC$4,TIME!$M$40:$M$42,1,FALSE)),0,IF(HLOOKUP(BC$4,NWC_FC_NOOS!$S$4:$AH$23,MATCH($BA41,NWC_FC_NOOS!$S$4:$S$23,0),FALSE)-CK41-SUM($BB41:BB41)&gt;0,HLOOKUP(BC$4,NWC_FC_NOOS!$S$4:$AH$23,MATCH($BA41,NWC_FC_NOOS!$S$4:$S$23,0),FALSE)-CK41-SUM($BB41:BB41),0))</f>
        <v>0</v>
      </c>
      <c r="BD41" s="677">
        <f ca="1">IF(ISNA(VLOOKUP(BD$4,TIME!$M$40:$M$42,1,FALSE)),0,IF(HLOOKUP(BD$4,NWC_FC_NOOS!$S$4:$AH$23,MATCH($BA41,NWC_FC_NOOS!$S$4:$S$23,0),FALSE)-CL41-SUM($BB41:BC41)&gt;0,HLOOKUP(BD$4,NWC_FC_NOOS!$S$4:$AH$23,MATCH($BA41,NWC_FC_NOOS!$S$4:$S$23,0),FALSE)-CL41-SUM($BB41:BC41),0))</f>
        <v>0</v>
      </c>
      <c r="BE41" s="678"/>
      <c r="BF41" s="677">
        <f ca="1">IF(HLOOKUP(BF$4,NWC_FC_NOOS!$S$4:$AH$23,MATCH($BA41,NWC_FC_NOOS!$S$4:$S$23,0),FALSE)-CN41-SUM($BB41:BE41)&gt;0,HLOOKUP(BF$4,NWC_FC_NOOS!$S$4:$AH$23,MATCH($BA41,NWC_FC_NOOS!$S$4:$S$23,0),FALSE)-CN41-SUM($BB41:BE41),0)</f>
        <v>0</v>
      </c>
      <c r="BG41" s="677">
        <f ca="1">IF(HLOOKUP(BG$4,NWC_FC_NOOS!$S$4:$AH$23,MATCH($BA41,NWC_FC_NOOS!$S$4:$S$23,0),FALSE)-CO41-SUM($BB41:BF41)&gt;0,HLOOKUP(BG$4,NWC_FC_NOOS!$S$4:$AH$23,MATCH($BA41,NWC_FC_NOOS!$S$4:$S$23,0),FALSE)-CO41-SUM($BB41:BF41),0)</f>
        <v>0</v>
      </c>
      <c r="BH41" s="677">
        <f ca="1">IF(HLOOKUP(BH$4,NWC_FC_NOOS!$S$4:$AH$23,MATCH($BA41,NWC_FC_NOOS!$S$4:$S$23,0),FALSE)-CP41-SUM($BB41:BG41)&gt;0,HLOOKUP(BH$4,NWC_FC_NOOS!$S$4:$AH$23,MATCH($BA41,NWC_FC_NOOS!$S$4:$S$23,0),FALSE)-CP41-SUM($BB41:BG41),0)</f>
        <v>0</v>
      </c>
      <c r="BI41" s="678"/>
      <c r="BJ41" s="677">
        <f ca="1">IF(HLOOKUP(BJ$4,NWC_FC_NOOS!$S$4:$AH$23,MATCH($BA41,NWC_FC_NOOS!$S$4:$S$23,0),FALSE)-CR41-SUM($BB41:BI41)&gt;0,HLOOKUP(BJ$4,NWC_FC_NOOS!$S$4:$AH$23,MATCH($BA41,NWC_FC_NOOS!$S$4:$S$23,0),FALSE)-CR41-SUM($BB41:BI41),0)</f>
        <v>0</v>
      </c>
      <c r="BK41" s="677">
        <f ca="1">IF(HLOOKUP(BK$4,NWC_FC_NOOS!$S$4:$AH$23,MATCH($BA41,NWC_FC_NOOS!$S$4:$S$23,0),FALSE)-CS41-SUM($BB41:BJ41)&gt;0,HLOOKUP(BK$4,NWC_FC_NOOS!$S$4:$AH$23,MATCH($BA41,NWC_FC_NOOS!$S$4:$S$23,0),FALSE)-CS41-SUM($BB41:BJ41),0)</f>
        <v>0</v>
      </c>
      <c r="BL41" s="677">
        <f ca="1">IF(HLOOKUP(BL$4,NWC_FC_NOOS!$S$4:$AH$23,MATCH($BA41,NWC_FC_NOOS!$S$4:$S$23,0),FALSE)-CT41-SUM($BB41:BK41)&gt;0,HLOOKUP(BL$4,NWC_FC_NOOS!$S$4:$AH$23,MATCH($BA41,NWC_FC_NOOS!$S$4:$S$23,0),FALSE)-CT41-SUM($BB41:BK41),0)</f>
        <v>0</v>
      </c>
      <c r="BM41" s="678"/>
      <c r="BN41" s="677">
        <f ca="1">IF(HLOOKUP(BN$4,NWC_FC_NOOS!$S$4:$AH$23,MATCH($BA41,NWC_FC_NOOS!$S$4:$S$23,0),FALSE)-CV41-SUM($BB41:BM41)&gt;0,HLOOKUP(BN$4,NWC_FC_NOOS!$S$4:$AH$23,MATCH($BA41,NWC_FC_NOOS!$S$4:$S$23,0),FALSE)-CV41-SUM($BB41:BM41),0)</f>
        <v>0</v>
      </c>
      <c r="BO41" s="677">
        <f ca="1">IF(HLOOKUP(BO$4,NWC_FC_NOOS!$S$4:$AH$23,MATCH($BA41,NWC_FC_NOOS!$S$4:$S$23,0),FALSE)-CW41-SUM($BB41:BN41)&gt;0,HLOOKUP(BO$4,NWC_FC_NOOS!$S$4:$AH$23,MATCH($BA41,NWC_FC_NOOS!$S$4:$S$23,0),FALSE)-CW41-SUM($BB41:BN41),0)</f>
        <v>0</v>
      </c>
      <c r="BP41" s="677">
        <f ca="1">IF(HLOOKUP(BP$4,NWC_FC_NOOS!$S$4:$AH$23,MATCH($BA41,NWC_FC_NOOS!$S$4:$S$23,0),FALSE)-CX41-SUM($BB41:BO41)&gt;0,HLOOKUP(BP$4,NWC_FC_NOOS!$S$4:$AH$23,MATCH($BA41,NWC_FC_NOOS!$S$4:$S$23,0),FALSE)-CX41-SUM($BB41:BO41),0)</f>
        <v>0</v>
      </c>
      <c r="BR41" s="575" t="str">
        <f t="shared" si="197"/>
        <v>SWEAT</v>
      </c>
      <c r="BS41" s="677">
        <f ca="1">IF(BS$2=TIME!$E$5,SUMIFS(OPEN_ORDERS!$E:$E,OPEN_ORDERS!$B:$B,"&lt;="&amp;BS$2,OPEN_ORDERS!$C:$C,$BA41,OPEN_ORDERS!$D:$D,$BA$25)+SUMIFS(OPEN_ORDERS!$E:$E,OPEN_ORDERS!$B:$B,"IMMEDIATELY",OPEN_ORDERS!$C:$C,$BA41,OPEN_ORDERS!$D:$D,$BA$25),SUMIFS(OPEN_ORDERS!$E:$E,OPEN_ORDERS!$B:$B,BS$2,OPEN_ORDERS!$C:$C,$BA41,OPEN_ORDERS!$D:$D,$BA$25))</f>
        <v>0</v>
      </c>
      <c r="BT41" s="677">
        <f ca="1">IF(BT$2=TIME!$E$5,SUMIFS(OPEN_ORDERS!$E:$E,OPEN_ORDERS!$B:$B,"&lt;="&amp;BT$2,OPEN_ORDERS!$C:$C,$BA41,OPEN_ORDERS!$D:$D,$BA$25)+SUMIFS(OPEN_ORDERS!$E:$E,OPEN_ORDERS!$B:$B,"IMMEDIATELY",OPEN_ORDERS!$C:$C,$BA41,OPEN_ORDERS!$D:$D,$BA$25),SUMIFS(OPEN_ORDERS!$E:$E,OPEN_ORDERS!$B:$B,BT$2,OPEN_ORDERS!$C:$C,$BA41,OPEN_ORDERS!$D:$D,$BA$25))</f>
        <v>0</v>
      </c>
      <c r="BU41" s="677">
        <f ca="1">IF(BU$2=TIME!$E$5,SUMIFS(OPEN_ORDERS!$E:$E,OPEN_ORDERS!$B:$B,"&lt;="&amp;BU$2,OPEN_ORDERS!$C:$C,$BA41,OPEN_ORDERS!$D:$D,$BA$25)+SUMIFS(OPEN_ORDERS!$E:$E,OPEN_ORDERS!$B:$B,"IMMEDIATELY",OPEN_ORDERS!$C:$C,$BA41,OPEN_ORDERS!$D:$D,$BA$25),SUMIFS(OPEN_ORDERS!$E:$E,OPEN_ORDERS!$B:$B,BU$2,OPEN_ORDERS!$C:$C,$BA41,OPEN_ORDERS!$D:$D,$BA$25))</f>
        <v>0</v>
      </c>
      <c r="BV41" s="678"/>
      <c r="BW41" s="677">
        <f ca="1">SUMIFS(OPEN_ORDERS!$E:$E,OPEN_ORDERS!$B:$B,BW$2,OPEN_ORDERS!$C:$C,$BA41,OPEN_ORDERS!$D:$D,$BA$25)</f>
        <v>0</v>
      </c>
      <c r="BX41" s="677">
        <f ca="1">SUMIFS(OPEN_ORDERS!$E:$E,OPEN_ORDERS!$B:$B,BX$2,OPEN_ORDERS!$C:$C,$BA41,OPEN_ORDERS!$D:$D,$BA$25)</f>
        <v>0</v>
      </c>
      <c r="BY41" s="677">
        <f ca="1">SUMIFS(OPEN_ORDERS!$E:$E,OPEN_ORDERS!$B:$B,BY$2,OPEN_ORDERS!$C:$C,$BA41,OPEN_ORDERS!$D:$D,$BA$25)</f>
        <v>0</v>
      </c>
      <c r="BZ41" s="678"/>
      <c r="CA41" s="677">
        <f ca="1">SUMIFS(OPEN_ORDERS!$E:$E,OPEN_ORDERS!$B:$B,CA$2,OPEN_ORDERS!$C:$C,$BA41,OPEN_ORDERS!$D:$D,$BA$25)</f>
        <v>0</v>
      </c>
      <c r="CB41" s="677">
        <f ca="1">SUMIFS(OPEN_ORDERS!$E:$E,OPEN_ORDERS!$B:$B,CB$2,OPEN_ORDERS!$C:$C,$BA41,OPEN_ORDERS!$D:$D,$BA$25)</f>
        <v>0</v>
      </c>
      <c r="CC41" s="677">
        <f ca="1">SUMIFS(OPEN_ORDERS!$E:$E,OPEN_ORDERS!$B:$B,CC$2,OPEN_ORDERS!$C:$C,$BA41,OPEN_ORDERS!$D:$D,$BA$25)</f>
        <v>0</v>
      </c>
      <c r="CD41" s="678"/>
      <c r="CE41" s="677">
        <f ca="1">SUMIFS(OPEN_ORDERS!$E:$E,OPEN_ORDERS!$B:$B,CE$2,OPEN_ORDERS!$C:$C,$BA41,OPEN_ORDERS!$D:$D,$BA$25)</f>
        <v>0</v>
      </c>
      <c r="CF41" s="677">
        <f ca="1">SUMIFS(OPEN_ORDERS!$E:$E,OPEN_ORDERS!$B:$B,CF$2,OPEN_ORDERS!$C:$C,$BA41,OPEN_ORDERS!$D:$D,$BA$25)</f>
        <v>0</v>
      </c>
      <c r="CG41" s="677">
        <f ca="1">SUMIFS(OPEN_ORDERS!$E:$E,OPEN_ORDERS!$B:$B,CG$2,OPEN_ORDERS!$C:$C,$BA41,OPEN_ORDERS!$D:$D,$BA$25)</f>
        <v>0</v>
      </c>
      <c r="CH41" s="61"/>
      <c r="CI41" s="1" t="str">
        <f t="shared" si="198"/>
        <v>SWEAT</v>
      </c>
      <c r="CJ41" s="677">
        <f ca="1">IF($CJ$7="Aug",SUMIFS(HIS_STOCK!$F:$F,HIS_STOCK!$A:$A,$BA$25,HIS_STOCK!$C:$C,$CI41,HIS_STOCK!$D:$D,$CK$1,HIS_STOCK!$E:$E,$CL$1)+BS41-(AK41*1000)-T41-HLOOKUP($CJ$4,NWC_FC_NOOS!$C$50:$U$69,MATCH($CI41,NWC_FC_NOOS!$B$50:$B$69,0),FALSE),IF($CJ$2=TIME!$E$5,SUMIFS(HIS_STOCK!$F:$F,HIS_STOCK!$A:$A,$BA$25,HIS_STOCK!$C:$C,$CI41,HIS_STOCK!$D:$D,$CJ$5,HIS_STOCK!$E:$E,$CL$1)+BS41-(AK41*1000)-T41-HLOOKUP($CJ$4,NWC_FC_NOOS!$C$50:$U$69,MATCH($CI41,NWC_FC_NOOS!$B$50:$B$69,0),FALSE),SUMIFS(HIS_STOCK!$F:$F,HIS_STOCK!$A:$A,$BA$25,HIS_STOCK!$C:$C,$CI41,HIS_STOCK!$D:$D,$CJ$5,HIS_STOCK!$E:$E,CJ$7)))</f>
        <v>0</v>
      </c>
      <c r="CK41" s="677">
        <f ca="1">IF(SUMIFS(HIS_STOCK!$F:$F,HIS_STOCK!$A:$A,$BA$25,HIS_STOCK!$C:$C,$CI41,HIS_STOCK!$D:$D,$CJ$5,HIS_STOCK!$E:$E,CK$7)&lt;&gt;0,SUMIFS(HIS_STOCK!$F:$F,HIS_STOCK!$A:$A,$BA$25,HIS_STOCK!$C:$C,$CI41,HIS_STOCK!$D:$D,$CJ$5,HIS_STOCK!$E:$E,CK$7)-(AL41*1000),CJ41+BT41+((AK41-AL41)*1000)-U41-HLOOKUP(CK$4,NWC_FC_NOOS!$C$50:$U$69,MATCH(PLANNING_FC!$BR41,NWC_FC_NOOS!$B$50:$B$69,0),FALSE))</f>
        <v>0</v>
      </c>
      <c r="CL41" s="677">
        <f ca="1">IF(SUMIFS(HIS_STOCK!$F:$F,HIS_STOCK!$A:$A,$BA$25,HIS_STOCK!$C:$C,$CI41,HIS_STOCK!$D:$D,$CJ$5,HIS_STOCK!$E:$E,CL$7)&lt;&gt;0,SUMIFS(HIS_STOCK!$F:$F,HIS_STOCK!$A:$A,$BA$25,HIS_STOCK!$C:$C,$CI41,HIS_STOCK!$D:$D,$CJ$5,HIS_STOCK!$E:$E,CL$7)-(AM41*1000),CK41+BU41+((AL41-AM41)*1000)-V41-HLOOKUP(CL$4,NWC_FC_NOOS!$C$50:$U$69,MATCH(PLANNING_FC!$BR41,NWC_FC_NOOS!$B$50:$B$69,0),FALSE))</f>
        <v>0</v>
      </c>
      <c r="CM41" s="678"/>
      <c r="CN41" s="677">
        <f ca="1">CL41+BW41+((AM41-AO41)*1000)-X41-HLOOKUP(CN$4,NWC_FC_NOOS!$C$50:$U$69,MATCH(PLANNING_FC!$BR41,NWC_FC_NOOS!$B$50:$B$69,0),FALSE)</f>
        <v>0</v>
      </c>
      <c r="CO41" s="677">
        <f ca="1">CN41+BX41+((AO41-AP41)*1000)-Y41-HLOOKUP(CO$4,NWC_FC_NOOS!$C$50:$U$69,MATCH(PLANNING_FC!$BR41,NWC_FC_NOOS!$B$50:$B$69,0),FALSE)</f>
        <v>0</v>
      </c>
      <c r="CP41" s="677">
        <f ca="1">CO41+BY41+((AP41-AQ41)*1000)-Z41-HLOOKUP(CP$4,NWC_FC_NOOS!$C$50:$U$69,MATCH(PLANNING_FC!$BR41,NWC_FC_NOOS!$B$50:$B$69,0),FALSE)</f>
        <v>0</v>
      </c>
      <c r="CQ41" s="678"/>
      <c r="CR41" s="677">
        <f ca="1">CP41+CA41+((AQ41-AS41)*1000)-AB41-HLOOKUP(CR$4,NWC_FC_NOOS!$C$50:$U$69,MATCH(PLANNING_FC!$BR41,NWC_FC_NOOS!$B$50:$B$69,0),FALSE)</f>
        <v>0</v>
      </c>
      <c r="CS41" s="677">
        <f ca="1">CR41+CB41+((AS41-AT41)*1000)-AC41-HLOOKUP(CS$4,NWC_FC_NOOS!$C$50:$U$69,MATCH(PLANNING_FC!$BR41,NWC_FC_NOOS!$B$50:$B$69,0),FALSE)</f>
        <v>0</v>
      </c>
      <c r="CT41" s="677">
        <f ca="1">CS41+CC41+((AT41-AU41)*1000)-AD41-HLOOKUP(CT$4,NWC_FC_NOOS!$C$50:$U$69,MATCH(PLANNING_FC!$BR41,NWC_FC_NOOS!$B$50:$B$69,0),FALSE)</f>
        <v>0</v>
      </c>
      <c r="CU41" s="678"/>
      <c r="CV41" s="677">
        <f ca="1">CT41+CE41+((AU41-AW41)*1000)-AF41-HLOOKUP(CV$4,NWC_FC_NOOS!$C$50:$U$69,MATCH(PLANNING_FC!$BR41,NWC_FC_NOOS!$B$50:$B$69,0),FALSE)</f>
        <v>0</v>
      </c>
      <c r="CW41" s="677">
        <f ca="1">CV41+CF41+((AW41-AX41)*1000)-AG41-HLOOKUP(CW$4,NWC_FC_NOOS!$C$50:$U$69,MATCH(PLANNING_FC!$BR41,NWC_FC_NOOS!$B$50:$B$69,0),FALSE)</f>
        <v>0</v>
      </c>
      <c r="CX41" s="677">
        <f ca="1">CW41+CG41+((AX41-AY41)*1000)-AH41-HLOOKUP(CX$4,NWC_FC_NOOS!$C$50:$U$69,MATCH(PLANNING_FC!$BR41,NWC_FC_NOOS!$B$50:$B$69,0),FALSE)</f>
        <v>0</v>
      </c>
      <c r="CZ41" s="575" t="str">
        <f t="shared" si="199"/>
        <v>SWEAT</v>
      </c>
      <c r="DA41" s="677">
        <f ca="1">IF(STOCK_OVERVIEW!C$41="ACT",SUMIFS(HIS_STOCK!$F:$F,HIS_STOCK!$A:$A,PLANNING_FC!$BA$25,HIS_STOCK!$C:$C,PLANNING_FC!$CZ18,HIS_STOCK!$D:$D,PLANNING_FC!$DA$5,HIS_STOCK!$E:$E,PLANNING_FC!DA$7),CJ41+SUM($BB41:BB41))</f>
        <v>0</v>
      </c>
      <c r="DB41" s="677">
        <f ca="1">IF(STOCK_OVERVIEW!D$41="ACT",SUMIFS(HIS_STOCK!$F:$F,HIS_STOCK!$A:$A,PLANNING_FC!$BA$25,HIS_STOCK!$C:$C,PLANNING_FC!$CZ18,HIS_STOCK!$D:$D,PLANNING_FC!$DA$5,HIS_STOCK!$E:$E,PLANNING_FC!DB$7),CK41+SUM($BB41:BC41))</f>
        <v>0</v>
      </c>
      <c r="DC41" s="677">
        <f ca="1">CL41+SUM($BB41:BD41)</f>
        <v>0</v>
      </c>
      <c r="DD41" s="678"/>
      <c r="DE41" s="677">
        <f ca="1">CN41+SUM($BB41:BF41)</f>
        <v>0</v>
      </c>
      <c r="DF41" s="677">
        <f ca="1">CO41+SUM($BB41:BG41)</f>
        <v>0</v>
      </c>
      <c r="DG41" s="677">
        <f ca="1">CP41+SUM($BB41:BH41)</f>
        <v>0</v>
      </c>
      <c r="DH41" s="678"/>
      <c r="DI41" s="677">
        <f ca="1">CR41+SUM($BB41:BJ41)</f>
        <v>0</v>
      </c>
      <c r="DJ41" s="677">
        <f ca="1">CS41+SUM($BB41:BK41)</f>
        <v>0</v>
      </c>
      <c r="DK41" s="677">
        <f ca="1">CT41+SUM($BB41:BL41)</f>
        <v>0</v>
      </c>
      <c r="DL41" s="678"/>
      <c r="DM41" s="677">
        <f ca="1">CV41+SUM($BB41:BN41)</f>
        <v>0</v>
      </c>
      <c r="DN41" s="677">
        <f ca="1">CW41+SUM($BB41:BO41)</f>
        <v>0</v>
      </c>
      <c r="DO41" s="677">
        <f ca="1">CX41+SUM($BB41:BP41)</f>
        <v>0</v>
      </c>
      <c r="DQ41" s="575" t="str">
        <f t="shared" si="200"/>
        <v>SWEAT</v>
      </c>
      <c r="DR41" s="677">
        <f ca="1">IF($DT$7="Aug",SUMIFS(HIS_STOCK!$F:$F,HIS_STOCK!$A:$A,$BA$25,HIS_STOCK!$C:$C,$DQ41,HIS_STOCK!$D:$D,$DR$4,HIS_STOCK!$E:$E,$DR$7),SUMIFS(HIS_STOCK!$F:$F,HIS_STOCK!$A:$A,$BA$25,HIS_STOCK!$C:$C,$DQ41,HIS_STOCK!$D:$D,$DR$5,HIS_STOCK!$E:$E,$DR$7))</f>
        <v>0</v>
      </c>
      <c r="DS41" s="677"/>
      <c r="DT41" s="677">
        <f ca="1">NWC_FC_NOOS!T18</f>
        <v>0</v>
      </c>
      <c r="DU41" s="677">
        <f ca="1">NWC_FC_NOOS!U18</f>
        <v>0</v>
      </c>
      <c r="DV41" s="677">
        <f ca="1">NWC_FC_NOOS!V18</f>
        <v>0</v>
      </c>
      <c r="DW41" s="678"/>
      <c r="DX41" s="677">
        <f ca="1">NWC_FC_NOOS!X18</f>
        <v>0</v>
      </c>
      <c r="DY41" s="677">
        <f ca="1">NWC_FC_NOOS!Y18</f>
        <v>0</v>
      </c>
      <c r="DZ41" s="677">
        <f ca="1">NWC_FC_NOOS!Z18</f>
        <v>0</v>
      </c>
      <c r="EA41" s="678"/>
      <c r="EB41" s="677">
        <f ca="1">NWC_FC_NOOS!AB18</f>
        <v>0</v>
      </c>
      <c r="EC41" s="677">
        <f ca="1">NWC_FC_NOOS!AC18</f>
        <v>0</v>
      </c>
      <c r="ED41" s="677">
        <f ca="1">NWC_FC_NOOS!AD18</f>
        <v>0</v>
      </c>
      <c r="EE41" s="678"/>
      <c r="EF41" s="677">
        <f ca="1">NWC_FC_NOOS!AF18</f>
        <v>0</v>
      </c>
      <c r="EG41" s="677">
        <f ca="1">NWC_FC_NOOS!AG18</f>
        <v>0</v>
      </c>
      <c r="EH41" s="677">
        <f ca="1">NWC_FC_NOOS!AH18</f>
        <v>0</v>
      </c>
    </row>
    <row r="42" spans="1:138" s="204" customFormat="1" x14ac:dyDescent="0.25">
      <c r="A42" s="62"/>
      <c r="B42" s="575" t="str">
        <f t="shared" si="182"/>
        <v>TAILORING</v>
      </c>
      <c r="C42" s="802"/>
      <c r="D42" s="763"/>
      <c r="E42" s="763"/>
      <c r="F42" s="763"/>
      <c r="G42" s="613"/>
      <c r="H42" s="763"/>
      <c r="I42" s="763"/>
      <c r="J42" s="763"/>
      <c r="K42" s="613"/>
      <c r="L42" s="763"/>
      <c r="M42" s="763"/>
      <c r="N42" s="763"/>
      <c r="O42" s="613"/>
      <c r="P42" s="763"/>
      <c r="Q42" s="763"/>
      <c r="R42" s="763"/>
      <c r="S42" s="449"/>
      <c r="T42" s="675">
        <f t="shared" ca="1" si="183"/>
        <v>0</v>
      </c>
      <c r="U42" s="675">
        <f t="shared" ca="1" si="184"/>
        <v>0</v>
      </c>
      <c r="V42" s="675">
        <f t="shared" ca="1" si="185"/>
        <v>0</v>
      </c>
      <c r="W42" s="675"/>
      <c r="X42" s="675">
        <f t="shared" ca="1" si="186"/>
        <v>0</v>
      </c>
      <c r="Y42" s="675">
        <f t="shared" ca="1" si="187"/>
        <v>0</v>
      </c>
      <c r="Z42" s="675">
        <f t="shared" ca="1" si="188"/>
        <v>0</v>
      </c>
      <c r="AA42" s="675"/>
      <c r="AB42" s="675">
        <f t="shared" ca="1" si="189"/>
        <v>0</v>
      </c>
      <c r="AC42" s="675">
        <f t="shared" ca="1" si="190"/>
        <v>0</v>
      </c>
      <c r="AD42" s="675">
        <f t="shared" ca="1" si="191"/>
        <v>0</v>
      </c>
      <c r="AE42" s="675"/>
      <c r="AF42" s="675">
        <f t="shared" ca="1" si="192"/>
        <v>0</v>
      </c>
      <c r="AG42" s="675">
        <f t="shared" ca="1" si="193"/>
        <v>0</v>
      </c>
      <c r="AH42" s="675">
        <f t="shared" ca="1" si="194"/>
        <v>0</v>
      </c>
      <c r="AI42" s="675"/>
      <c r="AJ42" s="575" t="str">
        <f t="shared" si="196"/>
        <v>TAILORING</v>
      </c>
      <c r="AK42" s="761"/>
      <c r="AL42" s="761"/>
      <c r="AM42" s="761"/>
      <c r="AN42" s="613"/>
      <c r="AO42" s="761"/>
      <c r="AP42" s="761"/>
      <c r="AQ42" s="761"/>
      <c r="AR42" s="613"/>
      <c r="AS42" s="761"/>
      <c r="AT42" s="761"/>
      <c r="AU42" s="761"/>
      <c r="AV42" s="613"/>
      <c r="AW42" s="761"/>
      <c r="AX42" s="761"/>
      <c r="AY42" s="761"/>
      <c r="AZ42" s="449"/>
      <c r="BA42" s="575" t="str">
        <f t="shared" si="195"/>
        <v>TAILORING</v>
      </c>
      <c r="BB42" s="678">
        <f ca="1">MAX(IF(ISNA(VLOOKUP($BB$4,TIME!$M$40:$M$42,1,FALSE)),0,HLOOKUP(BB$4,NWC_FC_NOOS!$S$4:$AH$23,MATCH($BA42,NWC_FC_NOOS!$S$4:$S$23,0),FALSE)-CJ42),0)</f>
        <v>0</v>
      </c>
      <c r="BC42" s="677">
        <f ca="1">IF(ISNA(VLOOKUP(BC$4,TIME!$M$40:$M$42,1,FALSE)),0,IF(HLOOKUP(BC$4,NWC_FC_NOOS!$S$4:$AH$23,MATCH($BA42,NWC_FC_NOOS!$S$4:$S$23,0),FALSE)-CK42-SUM($BB42:BB42)&gt;0,HLOOKUP(BC$4,NWC_FC_NOOS!$S$4:$AH$23,MATCH($BA42,NWC_FC_NOOS!$S$4:$S$23,0),FALSE)-CK42-SUM($BB42:BB42),0))</f>
        <v>0</v>
      </c>
      <c r="BD42" s="677">
        <f ca="1">IF(ISNA(VLOOKUP(BD$4,TIME!$M$40:$M$42,1,FALSE)),0,IF(HLOOKUP(BD$4,NWC_FC_NOOS!$S$4:$AH$23,MATCH($BA42,NWC_FC_NOOS!$S$4:$S$23,0),FALSE)-CL42-SUM($BB42:BC42)&gt;0,HLOOKUP(BD$4,NWC_FC_NOOS!$S$4:$AH$23,MATCH($BA42,NWC_FC_NOOS!$S$4:$S$23,0),FALSE)-CL42-SUM($BB42:BC42),0))</f>
        <v>0</v>
      </c>
      <c r="BE42" s="678"/>
      <c r="BF42" s="678">
        <f ca="1">IF(HLOOKUP(BF$4,NWC_FC_NOOS!$S$4:$AH$23,MATCH($BA42,NWC_FC_NOOS!$S$4:$S$23,0),FALSE)-CN42-SUM($BB42:BE42)&gt;0,HLOOKUP(BF$4,NWC_FC_NOOS!$S$4:$AH$23,MATCH($BA42,NWC_FC_NOOS!$S$4:$S$23,0),FALSE)-CN42-SUM($BB42:BE42),0)</f>
        <v>0</v>
      </c>
      <c r="BG42" s="678">
        <f ca="1">IF(HLOOKUP(BG$4,NWC_FC_NOOS!$S$4:$AH$23,MATCH($BA42,NWC_FC_NOOS!$S$4:$S$23,0),FALSE)-CO42-SUM($BB42:BF42)&gt;0,HLOOKUP(BG$4,NWC_FC_NOOS!$S$4:$AH$23,MATCH($BA42,NWC_FC_NOOS!$S$4:$S$23,0),FALSE)-CO42-SUM($BB42:BF42),0)</f>
        <v>0</v>
      </c>
      <c r="BH42" s="678">
        <f ca="1">IF(HLOOKUP(BH$4,NWC_FC_NOOS!$S$4:$AH$23,MATCH($BA42,NWC_FC_NOOS!$S$4:$S$23,0),FALSE)-CP42-SUM($BB42:BG42)&gt;0,HLOOKUP(BH$4,NWC_FC_NOOS!$S$4:$AH$23,MATCH($BA42,NWC_FC_NOOS!$S$4:$S$23,0),FALSE)-CP42-SUM($BB42:BG42),0)</f>
        <v>0</v>
      </c>
      <c r="BI42" s="678"/>
      <c r="BJ42" s="678">
        <f ca="1">IF(HLOOKUP(BJ$4,NWC_FC_NOOS!$S$4:$AH$23,MATCH($BA42,NWC_FC_NOOS!$S$4:$S$23,0),FALSE)-CR42-SUM($BB42:BI42)&gt;0,HLOOKUP(BJ$4,NWC_FC_NOOS!$S$4:$AH$23,MATCH($BA42,NWC_FC_NOOS!$S$4:$S$23,0),FALSE)-CR42-SUM($BB42:BI42),0)</f>
        <v>0</v>
      </c>
      <c r="BK42" s="678">
        <f ca="1">IF(HLOOKUP(BK$4,NWC_FC_NOOS!$S$4:$AH$23,MATCH($BA42,NWC_FC_NOOS!$S$4:$S$23,0),FALSE)-CS42-SUM($BB42:BJ42)&gt;0,HLOOKUP(BK$4,NWC_FC_NOOS!$S$4:$AH$23,MATCH($BA42,NWC_FC_NOOS!$S$4:$S$23,0),FALSE)-CS42-SUM($BB42:BJ42),0)</f>
        <v>0</v>
      </c>
      <c r="BL42" s="678">
        <f ca="1">IF(HLOOKUP(BL$4,NWC_FC_NOOS!$S$4:$AH$23,MATCH($BA42,NWC_FC_NOOS!$S$4:$S$23,0),FALSE)-CT42-SUM($BB42:BK42)&gt;0,HLOOKUP(BL$4,NWC_FC_NOOS!$S$4:$AH$23,MATCH($BA42,NWC_FC_NOOS!$S$4:$S$23,0),FALSE)-CT42-SUM($BB42:BK42),0)</f>
        <v>0</v>
      </c>
      <c r="BM42" s="678"/>
      <c r="BN42" s="678">
        <f ca="1">IF(HLOOKUP(BN$4,NWC_FC_NOOS!$S$4:$AH$23,MATCH($BA42,NWC_FC_NOOS!$S$4:$S$23,0),FALSE)-CV42-SUM($BB42:BM42)&gt;0,HLOOKUP(BN$4,NWC_FC_NOOS!$S$4:$AH$23,MATCH($BA42,NWC_FC_NOOS!$S$4:$S$23,0),FALSE)-CV42-SUM($BB42:BM42),0)</f>
        <v>0</v>
      </c>
      <c r="BO42" s="678">
        <f ca="1">IF(HLOOKUP(BO$4,NWC_FC_NOOS!$S$4:$AH$23,MATCH($BA42,NWC_FC_NOOS!$S$4:$S$23,0),FALSE)-CW42-SUM($BB42:BN42)&gt;0,HLOOKUP(BO$4,NWC_FC_NOOS!$S$4:$AH$23,MATCH($BA42,NWC_FC_NOOS!$S$4:$S$23,0),FALSE)-CW42-SUM($BB42:BN42),0)</f>
        <v>0</v>
      </c>
      <c r="BP42" s="678">
        <f ca="1">IF(HLOOKUP(BP$4,NWC_FC_NOOS!$S$4:$AH$23,MATCH($BA42,NWC_FC_NOOS!$S$4:$S$23,0),FALSE)-CX42-SUM($BB42:BO42)&gt;0,HLOOKUP(BP$4,NWC_FC_NOOS!$S$4:$AH$23,MATCH($BA42,NWC_FC_NOOS!$S$4:$S$23,0),FALSE)-CX42-SUM($BB42:BO42),0)</f>
        <v>0</v>
      </c>
      <c r="BR42" s="575" t="str">
        <f t="shared" si="197"/>
        <v>TAILORING</v>
      </c>
      <c r="BS42" s="678">
        <f ca="1">IF(BS$2=TIME!$E$5,SUMIFS(OPEN_ORDERS!$E:$E,OPEN_ORDERS!$B:$B,"&lt;="&amp;BS$2,OPEN_ORDERS!$C:$C,$BA42,OPEN_ORDERS!$D:$D,$BA$25)+SUMIFS(OPEN_ORDERS!$E:$E,OPEN_ORDERS!$B:$B,"IMMEDIATELY",OPEN_ORDERS!$C:$C,$BA42,OPEN_ORDERS!$D:$D,$BA$25),SUMIFS(OPEN_ORDERS!$E:$E,OPEN_ORDERS!$B:$B,BS$2,OPEN_ORDERS!$C:$C,$BA42,OPEN_ORDERS!$D:$D,$BA$25))</f>
        <v>12911</v>
      </c>
      <c r="BT42" s="678">
        <f ca="1">IF(BT$2=TIME!$E$5,SUMIFS(OPEN_ORDERS!$E:$E,OPEN_ORDERS!$B:$B,"&lt;="&amp;BT$2,OPEN_ORDERS!$C:$C,$BA42,OPEN_ORDERS!$D:$D,$BA$25)+SUMIFS(OPEN_ORDERS!$E:$E,OPEN_ORDERS!$B:$B,"IMMEDIATELY",OPEN_ORDERS!$C:$C,$BA42,OPEN_ORDERS!$D:$D,$BA$25),SUMIFS(OPEN_ORDERS!$E:$E,OPEN_ORDERS!$B:$B,BT$2,OPEN_ORDERS!$C:$C,$BA42,OPEN_ORDERS!$D:$D,$BA$25))</f>
        <v>0</v>
      </c>
      <c r="BU42" s="678">
        <f ca="1">IF(BU$2=TIME!$E$5,SUMIFS(OPEN_ORDERS!$E:$E,OPEN_ORDERS!$B:$B,"&lt;="&amp;BU$2,OPEN_ORDERS!$C:$C,$BA42,OPEN_ORDERS!$D:$D,$BA$25)+SUMIFS(OPEN_ORDERS!$E:$E,OPEN_ORDERS!$B:$B,"IMMEDIATELY",OPEN_ORDERS!$C:$C,$BA42,OPEN_ORDERS!$D:$D,$BA$25),SUMIFS(OPEN_ORDERS!$E:$E,OPEN_ORDERS!$B:$B,BU$2,OPEN_ORDERS!$C:$C,$BA42,OPEN_ORDERS!$D:$D,$BA$25))</f>
        <v>29070</v>
      </c>
      <c r="BV42" s="678"/>
      <c r="BW42" s="678">
        <f ca="1">SUMIFS(OPEN_ORDERS!$E:$E,OPEN_ORDERS!$B:$B,BW$2,OPEN_ORDERS!$C:$C,$BA42,OPEN_ORDERS!$D:$D,$BA$25)</f>
        <v>0</v>
      </c>
      <c r="BX42" s="678">
        <f ca="1">SUMIFS(OPEN_ORDERS!$E:$E,OPEN_ORDERS!$B:$B,BX$2,OPEN_ORDERS!$C:$C,$BA42,OPEN_ORDERS!$D:$D,$BA$25)</f>
        <v>0</v>
      </c>
      <c r="BY42" s="678">
        <f ca="1">SUMIFS(OPEN_ORDERS!$E:$E,OPEN_ORDERS!$B:$B,BY$2,OPEN_ORDERS!$C:$C,$BA42,OPEN_ORDERS!$D:$D,$BA$25)</f>
        <v>0</v>
      </c>
      <c r="BZ42" s="678"/>
      <c r="CA42" s="678">
        <f ca="1">SUMIFS(OPEN_ORDERS!$E:$E,OPEN_ORDERS!$B:$B,CA$2,OPEN_ORDERS!$C:$C,$BA42,OPEN_ORDERS!$D:$D,$BA$25)</f>
        <v>0</v>
      </c>
      <c r="CB42" s="678">
        <f ca="1">SUMIFS(OPEN_ORDERS!$E:$E,OPEN_ORDERS!$B:$B,CB$2,OPEN_ORDERS!$C:$C,$BA42,OPEN_ORDERS!$D:$D,$BA$25)</f>
        <v>0</v>
      </c>
      <c r="CC42" s="678">
        <f ca="1">SUMIFS(OPEN_ORDERS!$E:$E,OPEN_ORDERS!$B:$B,CC$2,OPEN_ORDERS!$C:$C,$BA42,OPEN_ORDERS!$D:$D,$BA$25)</f>
        <v>0</v>
      </c>
      <c r="CD42" s="678"/>
      <c r="CE42" s="678">
        <f ca="1">SUMIFS(OPEN_ORDERS!$E:$E,OPEN_ORDERS!$B:$B,CE$2,OPEN_ORDERS!$C:$C,$BA42,OPEN_ORDERS!$D:$D,$BA$25)</f>
        <v>0</v>
      </c>
      <c r="CF42" s="678">
        <f ca="1">SUMIFS(OPEN_ORDERS!$E:$E,OPEN_ORDERS!$B:$B,CF$2,OPEN_ORDERS!$C:$C,$BA42,OPEN_ORDERS!$D:$D,$BA$25)</f>
        <v>0</v>
      </c>
      <c r="CG42" s="678">
        <f ca="1">SUMIFS(OPEN_ORDERS!$E:$E,OPEN_ORDERS!$B:$B,CG$2,OPEN_ORDERS!$C:$C,$BA42,OPEN_ORDERS!$D:$D,$BA$25)</f>
        <v>0</v>
      </c>
      <c r="CH42" s="61"/>
      <c r="CI42" s="378" t="str">
        <f t="shared" si="198"/>
        <v>TAILORING</v>
      </c>
      <c r="CJ42" s="677">
        <f ca="1">IF($CJ$7="Aug",SUMIFS(HIS_STOCK!$F:$F,HIS_STOCK!$A:$A,$BA$25,HIS_STOCK!$C:$C,$CI42,HIS_STOCK!$D:$D,$CK$1,HIS_STOCK!$E:$E,$CL$1)+BS42-(AK42*1000)-T42-HLOOKUP($CJ$4,NWC_FC_NOOS!$C$50:$U$69,MATCH($CI42,NWC_FC_NOOS!$B$50:$B$69,0),FALSE),IF($CJ$2=TIME!$E$5,SUMIFS(HIS_STOCK!$F:$F,HIS_STOCK!$A:$A,$BA$25,HIS_STOCK!$C:$C,$CI42,HIS_STOCK!$D:$D,$CJ$5,HIS_STOCK!$E:$E,$CL$1)+BS42-(AK42*1000)-T42-HLOOKUP($CJ$4,NWC_FC_NOOS!$C$50:$U$69,MATCH($CI42,NWC_FC_NOOS!$B$50:$B$69,0),FALSE),SUMIFS(HIS_STOCK!$F:$F,HIS_STOCK!$A:$A,$BA$25,HIS_STOCK!$C:$C,$CI42,HIS_STOCK!$D:$D,$CJ$5,HIS_STOCK!$E:$E,CJ$7)))</f>
        <v>0</v>
      </c>
      <c r="CK42" s="678">
        <f ca="1">IF(SUMIFS(HIS_STOCK!$F:$F,HIS_STOCK!$A:$A,$BA$25,HIS_STOCK!$C:$C,$CI42,HIS_STOCK!$D:$D,$CJ$5,HIS_STOCK!$E:$E,CK$7)&lt;&gt;0,SUMIFS(HIS_STOCK!$F:$F,HIS_STOCK!$A:$A,$BA$25,HIS_STOCK!$C:$C,$CI42,HIS_STOCK!$D:$D,$CJ$5,HIS_STOCK!$E:$E,CK$7)-(AL42*1000),CJ42+BT42+((AK42-AL42)*1000)-U42-HLOOKUP(CK$4,NWC_FC_NOOS!$C$50:$U$69,MATCH(PLANNING_FC!$BR42,NWC_FC_NOOS!$B$50:$B$69,0),FALSE))</f>
        <v>0</v>
      </c>
      <c r="CL42" s="678">
        <f ca="1">IF(SUMIFS(HIS_STOCK!$F:$F,HIS_STOCK!$A:$A,$BA$25,HIS_STOCK!$C:$C,$CI42,HIS_STOCK!$D:$D,$CJ$5,HIS_STOCK!$E:$E,CL$7)&lt;&gt;0,SUMIFS(HIS_STOCK!$F:$F,HIS_STOCK!$A:$A,$BA$25,HIS_STOCK!$C:$C,$CI42,HIS_STOCK!$D:$D,$CJ$5,HIS_STOCK!$E:$E,CL$7)-(AM42*1000),CK42+BU42+((AL42-AM42)*1000)-V42-HLOOKUP(CL$4,NWC_FC_NOOS!$C$50:$U$69,MATCH(PLANNING_FC!$BR42,NWC_FC_NOOS!$B$50:$B$69,0),FALSE))</f>
        <v>29070</v>
      </c>
      <c r="CM42" s="678"/>
      <c r="CN42" s="678">
        <f ca="1">CL42+BW42+((AM42-AO42)*1000)-X42-HLOOKUP(CN$4,NWC_FC_NOOS!$C$50:$U$69,MATCH(PLANNING_FC!$BR42,NWC_FC_NOOS!$B$50:$B$69,0),FALSE)</f>
        <v>29070</v>
      </c>
      <c r="CO42" s="678">
        <f ca="1">CN42+BX42+((AO42-AP42)*1000)-Y42-HLOOKUP(CO$4,NWC_FC_NOOS!$C$50:$U$69,MATCH(PLANNING_FC!$BR42,NWC_FC_NOOS!$B$50:$B$69,0),FALSE)</f>
        <v>29070</v>
      </c>
      <c r="CP42" s="678">
        <f ca="1">CO42+BY42+((AP42-AQ42)*1000)-Z42-HLOOKUP(CP$4,NWC_FC_NOOS!$C$50:$U$69,MATCH(PLANNING_FC!$BR42,NWC_FC_NOOS!$B$50:$B$69,0),FALSE)</f>
        <v>29070</v>
      </c>
      <c r="CQ42" s="678"/>
      <c r="CR42" s="678">
        <f ca="1">CP42+CA42+((AQ42-AS42)*1000)-AB42-HLOOKUP(CR$4,NWC_FC_NOOS!$C$50:$U$69,MATCH(PLANNING_FC!$BR42,NWC_FC_NOOS!$B$50:$B$69,0),FALSE)</f>
        <v>29070</v>
      </c>
      <c r="CS42" s="678">
        <f ca="1">CR42+CB42+((AS42-AT42)*1000)-AC42-HLOOKUP(CS$4,NWC_FC_NOOS!$C$50:$U$69,MATCH(PLANNING_FC!$BR42,NWC_FC_NOOS!$B$50:$B$69,0),FALSE)</f>
        <v>29070</v>
      </c>
      <c r="CT42" s="678">
        <f ca="1">CS42+CC42+((AT42-AU42)*1000)-AD42-HLOOKUP(CT$4,NWC_FC_NOOS!$C$50:$U$69,MATCH(PLANNING_FC!$BR42,NWC_FC_NOOS!$B$50:$B$69,0),FALSE)</f>
        <v>29070</v>
      </c>
      <c r="CU42" s="678"/>
      <c r="CV42" s="678">
        <f ca="1">CT42+CE42+((AU42-AW42)*1000)-AF42-HLOOKUP(CV$4,NWC_FC_NOOS!$C$50:$U$69,MATCH(PLANNING_FC!$BR42,NWC_FC_NOOS!$B$50:$B$69,0),FALSE)</f>
        <v>29070</v>
      </c>
      <c r="CW42" s="678">
        <f ca="1">CV42+CF42+((AW42-AX42)*1000)-AG42-HLOOKUP(CW$4,NWC_FC_NOOS!$C$50:$U$69,MATCH(PLANNING_FC!$BR42,NWC_FC_NOOS!$B$50:$B$69,0),FALSE)</f>
        <v>29070</v>
      </c>
      <c r="CX42" s="678">
        <f ca="1">CW42+CG42+((AX42-AY42)*1000)-AH42-HLOOKUP(CX$4,NWC_FC_NOOS!$C$50:$U$69,MATCH(PLANNING_FC!$BR42,NWC_FC_NOOS!$B$50:$B$69,0),FALSE)</f>
        <v>29070</v>
      </c>
      <c r="CZ42" s="575" t="str">
        <f t="shared" si="199"/>
        <v>TAILORING</v>
      </c>
      <c r="DA42" s="678">
        <f ca="1">IF(STOCK_OVERVIEW!C$41="ACT",SUMIFS(HIS_STOCK!$F:$F,HIS_STOCK!$A:$A,PLANNING_FC!$BA$25,HIS_STOCK!$C:$C,PLANNING_FC!$CZ19,HIS_STOCK!$D:$D,PLANNING_FC!$DA$5,HIS_STOCK!$E:$E,PLANNING_FC!DA$7),CJ42+SUM($BB42:BB42))</f>
        <v>0</v>
      </c>
      <c r="DB42" s="677">
        <f ca="1">IF(STOCK_OVERVIEW!D$41="ACT",SUMIFS(HIS_STOCK!$F:$F,HIS_STOCK!$A:$A,PLANNING_FC!$BA$25,HIS_STOCK!$C:$C,PLANNING_FC!$CZ19,HIS_STOCK!$D:$D,PLANNING_FC!$DA$5,HIS_STOCK!$E:$E,PLANNING_FC!DB$7),CK42+SUM($BB42:BC42))</f>
        <v>0</v>
      </c>
      <c r="DC42" s="678">
        <f ca="1">CL42+SUM($BB42:BD42)</f>
        <v>29070</v>
      </c>
      <c r="DD42" s="678"/>
      <c r="DE42" s="678">
        <f ca="1">CN42+SUM($BB42:BF42)</f>
        <v>29070</v>
      </c>
      <c r="DF42" s="678">
        <f ca="1">CO42+SUM($BB42:BG42)</f>
        <v>29070</v>
      </c>
      <c r="DG42" s="678">
        <f ca="1">CP42+SUM($BB42:BH42)</f>
        <v>29070</v>
      </c>
      <c r="DH42" s="678"/>
      <c r="DI42" s="678">
        <f ca="1">CR42+SUM($BB42:BJ42)</f>
        <v>29070</v>
      </c>
      <c r="DJ42" s="678">
        <f ca="1">CS42+SUM($BB42:BK42)</f>
        <v>29070</v>
      </c>
      <c r="DK42" s="678">
        <f ca="1">CT42+SUM($BB42:BL42)</f>
        <v>29070</v>
      </c>
      <c r="DL42" s="678"/>
      <c r="DM42" s="678">
        <f ca="1">CV42+SUM($BB42:BN42)</f>
        <v>29070</v>
      </c>
      <c r="DN42" s="678">
        <f ca="1">CW42+SUM($BB42:BO42)</f>
        <v>29070</v>
      </c>
      <c r="DO42" s="678">
        <f ca="1">CX42+SUM($BB42:BP42)</f>
        <v>29070</v>
      </c>
      <c r="DQ42" s="575" t="str">
        <f t="shared" si="200"/>
        <v>TAILORING</v>
      </c>
      <c r="DR42" s="678">
        <f ca="1">IF($DT$7="Aug",SUMIFS(HIS_STOCK!$F:$F,HIS_STOCK!$A:$A,$BA$25,HIS_STOCK!$C:$C,$DQ42,HIS_STOCK!$D:$D,$DR$4,HIS_STOCK!$E:$E,$DR$7),SUMIFS(HIS_STOCK!$F:$F,HIS_STOCK!$A:$A,$BA$25,HIS_STOCK!$C:$C,$DQ42,HIS_STOCK!$D:$D,$DR$5,HIS_STOCK!$E:$E,$DR$7))</f>
        <v>0</v>
      </c>
      <c r="DS42" s="678"/>
      <c r="DT42" s="678">
        <f ca="1">NWC_FC_NOOS!T19</f>
        <v>0</v>
      </c>
      <c r="DU42" s="677">
        <f ca="1">NWC_FC_NOOS!U19</f>
        <v>0</v>
      </c>
      <c r="DV42" s="678">
        <f ca="1">NWC_FC_NOOS!V19</f>
        <v>0</v>
      </c>
      <c r="DW42" s="678"/>
      <c r="DX42" s="678">
        <f ca="1">NWC_FC_NOOS!X19</f>
        <v>0</v>
      </c>
      <c r="DY42" s="678">
        <f ca="1">NWC_FC_NOOS!Y19</f>
        <v>0</v>
      </c>
      <c r="DZ42" s="678">
        <f ca="1">NWC_FC_NOOS!Z19</f>
        <v>0</v>
      </c>
      <c r="EA42" s="678"/>
      <c r="EB42" s="678">
        <f ca="1">NWC_FC_NOOS!AB19</f>
        <v>0</v>
      </c>
      <c r="EC42" s="678">
        <f ca="1">NWC_FC_NOOS!AC19</f>
        <v>0</v>
      </c>
      <c r="ED42" s="678">
        <f ca="1">NWC_FC_NOOS!AD19</f>
        <v>0</v>
      </c>
      <c r="EE42" s="678"/>
      <c r="EF42" s="678">
        <f ca="1">NWC_FC_NOOS!AF19</f>
        <v>0</v>
      </c>
      <c r="EG42" s="678">
        <f ca="1">NWC_FC_NOOS!AG19</f>
        <v>0</v>
      </c>
      <c r="EH42" s="678">
        <f ca="1">NWC_FC_NOOS!AH19</f>
        <v>0</v>
      </c>
    </row>
    <row r="43" spans="1:138" s="204" customFormat="1" x14ac:dyDescent="0.25">
      <c r="A43" s="62"/>
      <c r="B43" s="575" t="str">
        <f t="shared" si="182"/>
        <v>TOPS</v>
      </c>
      <c r="C43" s="802"/>
      <c r="D43" s="763"/>
      <c r="E43" s="763"/>
      <c r="F43" s="763"/>
      <c r="G43" s="613"/>
      <c r="H43" s="763"/>
      <c r="I43" s="763"/>
      <c r="J43" s="763"/>
      <c r="K43" s="613"/>
      <c r="L43" s="763"/>
      <c r="M43" s="763"/>
      <c r="N43" s="763"/>
      <c r="O43" s="613"/>
      <c r="P43" s="763"/>
      <c r="Q43" s="763"/>
      <c r="R43" s="763"/>
      <c r="S43" s="449"/>
      <c r="T43" s="675">
        <f t="shared" ca="1" si="183"/>
        <v>0</v>
      </c>
      <c r="U43" s="675">
        <f t="shared" ca="1" si="184"/>
        <v>0</v>
      </c>
      <c r="V43" s="675">
        <f t="shared" ca="1" si="185"/>
        <v>0</v>
      </c>
      <c r="W43" s="675"/>
      <c r="X43" s="675">
        <f t="shared" ca="1" si="186"/>
        <v>0</v>
      </c>
      <c r="Y43" s="675">
        <f t="shared" ca="1" si="187"/>
        <v>0</v>
      </c>
      <c r="Z43" s="675">
        <f t="shared" ca="1" si="188"/>
        <v>0</v>
      </c>
      <c r="AA43" s="675"/>
      <c r="AB43" s="675">
        <f t="shared" ca="1" si="189"/>
        <v>0</v>
      </c>
      <c r="AC43" s="675">
        <f t="shared" ca="1" si="190"/>
        <v>0</v>
      </c>
      <c r="AD43" s="675">
        <f t="shared" ca="1" si="191"/>
        <v>0</v>
      </c>
      <c r="AE43" s="675"/>
      <c r="AF43" s="675">
        <f t="shared" ca="1" si="192"/>
        <v>0</v>
      </c>
      <c r="AG43" s="675">
        <f t="shared" ca="1" si="193"/>
        <v>0</v>
      </c>
      <c r="AH43" s="675">
        <f t="shared" ca="1" si="194"/>
        <v>0</v>
      </c>
      <c r="AI43" s="675"/>
      <c r="AJ43" s="575" t="str">
        <f t="shared" si="196"/>
        <v>TOPS</v>
      </c>
      <c r="AK43" s="761"/>
      <c r="AL43" s="761"/>
      <c r="AM43" s="761"/>
      <c r="AN43" s="613"/>
      <c r="AO43" s="761"/>
      <c r="AP43" s="761"/>
      <c r="AQ43" s="761"/>
      <c r="AR43" s="613"/>
      <c r="AS43" s="761"/>
      <c r="AT43" s="761"/>
      <c r="AU43" s="761"/>
      <c r="AV43" s="613"/>
      <c r="AW43" s="761"/>
      <c r="AX43" s="761"/>
      <c r="AY43" s="761"/>
      <c r="AZ43" s="449"/>
      <c r="BA43" s="575" t="str">
        <f t="shared" si="195"/>
        <v>TOPS</v>
      </c>
      <c r="BB43" s="677">
        <f ca="1">MAX(IF(ISNA(VLOOKUP($BB$4,TIME!$M$40:$M$42,1,FALSE)),0,HLOOKUP(BB$4,NWC_FC_NOOS!$S$4:$AH$23,MATCH($BA43,NWC_FC_NOOS!$S$4:$S$23,0),FALSE)-CJ43),0)</f>
        <v>0</v>
      </c>
      <c r="BC43" s="677">
        <f ca="1">IF(ISNA(VLOOKUP(BC$4,TIME!$M$40:$M$42,1,FALSE)),0,IF(HLOOKUP(BC$4,NWC_FC_NOOS!$S$4:$AH$23,MATCH($BA43,NWC_FC_NOOS!$S$4:$S$23,0),FALSE)-CK43-SUM($BB43:BB43)&gt;0,HLOOKUP(BC$4,NWC_FC_NOOS!$S$4:$AH$23,MATCH($BA43,NWC_FC_NOOS!$S$4:$S$23,0),FALSE)-CK43-SUM($BB43:BB43),0))</f>
        <v>0</v>
      </c>
      <c r="BD43" s="677">
        <f ca="1">IF(ISNA(VLOOKUP(BD$4,TIME!$M$40:$M$42,1,FALSE)),0,IF(HLOOKUP(BD$4,NWC_FC_NOOS!$S$4:$AH$23,MATCH($BA43,NWC_FC_NOOS!$S$4:$S$23,0),FALSE)-CL43-SUM($BB43:BC43)&gt;0,HLOOKUP(BD$4,NWC_FC_NOOS!$S$4:$AH$23,MATCH($BA43,NWC_FC_NOOS!$S$4:$S$23,0),FALSE)-CL43-SUM($BB43:BC43),0))</f>
        <v>0</v>
      </c>
      <c r="BE43" s="678"/>
      <c r="BF43" s="677">
        <f ca="1">IF(HLOOKUP(BF$4,NWC_FC_NOOS!$S$4:$AH$23,MATCH($BA43,NWC_FC_NOOS!$S$4:$S$23,0),FALSE)-CN43-SUM($BB43:BE43)&gt;0,HLOOKUP(BF$4,NWC_FC_NOOS!$S$4:$AH$23,MATCH($BA43,NWC_FC_NOOS!$S$4:$S$23,0),FALSE)-CN43-SUM($BB43:BE43),0)</f>
        <v>0</v>
      </c>
      <c r="BG43" s="677">
        <f ca="1">IF(HLOOKUP(BG$4,NWC_FC_NOOS!$S$4:$AH$23,MATCH($BA43,NWC_FC_NOOS!$S$4:$S$23,0),FALSE)-CO43-SUM($BB43:BF43)&gt;0,HLOOKUP(BG$4,NWC_FC_NOOS!$S$4:$AH$23,MATCH($BA43,NWC_FC_NOOS!$S$4:$S$23,0),FALSE)-CO43-SUM($BB43:BF43),0)</f>
        <v>0</v>
      </c>
      <c r="BH43" s="677">
        <f ca="1">IF(HLOOKUP(BH$4,NWC_FC_NOOS!$S$4:$AH$23,MATCH($BA43,NWC_FC_NOOS!$S$4:$S$23,0),FALSE)-CP43-SUM($BB43:BG43)&gt;0,HLOOKUP(BH$4,NWC_FC_NOOS!$S$4:$AH$23,MATCH($BA43,NWC_FC_NOOS!$S$4:$S$23,0),FALSE)-CP43-SUM($BB43:BG43),0)</f>
        <v>0</v>
      </c>
      <c r="BI43" s="678"/>
      <c r="BJ43" s="677">
        <f ca="1">IF(HLOOKUP(BJ$4,NWC_FC_NOOS!$S$4:$AH$23,MATCH($BA43,NWC_FC_NOOS!$S$4:$S$23,0),FALSE)-CR43-SUM($BB43:BI43)&gt;0,HLOOKUP(BJ$4,NWC_FC_NOOS!$S$4:$AH$23,MATCH($BA43,NWC_FC_NOOS!$S$4:$S$23,0),FALSE)-CR43-SUM($BB43:BI43),0)</f>
        <v>0</v>
      </c>
      <c r="BK43" s="677">
        <f ca="1">IF(HLOOKUP(BK$4,NWC_FC_NOOS!$S$4:$AH$23,MATCH($BA43,NWC_FC_NOOS!$S$4:$S$23,0),FALSE)-CS43-SUM($BB43:BJ43)&gt;0,HLOOKUP(BK$4,NWC_FC_NOOS!$S$4:$AH$23,MATCH($BA43,NWC_FC_NOOS!$S$4:$S$23,0),FALSE)-CS43-SUM($BB43:BJ43),0)</f>
        <v>0</v>
      </c>
      <c r="BL43" s="677">
        <f ca="1">IF(HLOOKUP(BL$4,NWC_FC_NOOS!$S$4:$AH$23,MATCH($BA43,NWC_FC_NOOS!$S$4:$S$23,0),FALSE)-CT43-SUM($BB43:BK43)&gt;0,HLOOKUP(BL$4,NWC_FC_NOOS!$S$4:$AH$23,MATCH($BA43,NWC_FC_NOOS!$S$4:$S$23,0),FALSE)-CT43-SUM($BB43:BK43),0)</f>
        <v>0</v>
      </c>
      <c r="BM43" s="678"/>
      <c r="BN43" s="677">
        <f ca="1">IF(HLOOKUP(BN$4,NWC_FC_NOOS!$S$4:$AH$23,MATCH($BA43,NWC_FC_NOOS!$S$4:$S$23,0),FALSE)-CV43-SUM($BB43:BM43)&gt;0,HLOOKUP(BN$4,NWC_FC_NOOS!$S$4:$AH$23,MATCH($BA43,NWC_FC_NOOS!$S$4:$S$23,0),FALSE)-CV43-SUM($BB43:BM43),0)</f>
        <v>0</v>
      </c>
      <c r="BO43" s="677">
        <f ca="1">IF(HLOOKUP(BO$4,NWC_FC_NOOS!$S$4:$AH$23,MATCH($BA43,NWC_FC_NOOS!$S$4:$S$23,0),FALSE)-CW43-SUM($BB43:BN43)&gt;0,HLOOKUP(BO$4,NWC_FC_NOOS!$S$4:$AH$23,MATCH($BA43,NWC_FC_NOOS!$S$4:$S$23,0),FALSE)-CW43-SUM($BB43:BN43),0)</f>
        <v>0</v>
      </c>
      <c r="BP43" s="677">
        <f ca="1">IF(HLOOKUP(BP$4,NWC_FC_NOOS!$S$4:$AH$23,MATCH($BA43,NWC_FC_NOOS!$S$4:$S$23,0),FALSE)-CX43-SUM($BB43:BO43)&gt;0,HLOOKUP(BP$4,NWC_FC_NOOS!$S$4:$AH$23,MATCH($BA43,NWC_FC_NOOS!$S$4:$S$23,0),FALSE)-CX43-SUM($BB43:BO43),0)</f>
        <v>0</v>
      </c>
      <c r="BR43" s="575" t="str">
        <f t="shared" si="197"/>
        <v>TOPS</v>
      </c>
      <c r="BS43" s="677">
        <f ca="1">IF(BS$2=TIME!$E$5,SUMIFS(OPEN_ORDERS!$E:$E,OPEN_ORDERS!$B:$B,"&lt;="&amp;BS$2,OPEN_ORDERS!$C:$C,$BA43,OPEN_ORDERS!$D:$D,$BA$25)+SUMIFS(OPEN_ORDERS!$E:$E,OPEN_ORDERS!$B:$B,"IMMEDIATELY",OPEN_ORDERS!$C:$C,$BA43,OPEN_ORDERS!$D:$D,$BA$25),SUMIFS(OPEN_ORDERS!$E:$E,OPEN_ORDERS!$B:$B,BS$2,OPEN_ORDERS!$C:$C,$BA43,OPEN_ORDERS!$D:$D,$BA$25))</f>
        <v>1787</v>
      </c>
      <c r="BT43" s="677">
        <f ca="1">IF(BT$2=TIME!$E$5,SUMIFS(OPEN_ORDERS!$E:$E,OPEN_ORDERS!$B:$B,"&lt;="&amp;BT$2,OPEN_ORDERS!$C:$C,$BA43,OPEN_ORDERS!$D:$D,$BA$25)+SUMIFS(OPEN_ORDERS!$E:$E,OPEN_ORDERS!$B:$B,"IMMEDIATELY",OPEN_ORDERS!$C:$C,$BA43,OPEN_ORDERS!$D:$D,$BA$25),SUMIFS(OPEN_ORDERS!$E:$E,OPEN_ORDERS!$B:$B,BT$2,OPEN_ORDERS!$C:$C,$BA43,OPEN_ORDERS!$D:$D,$BA$25))</f>
        <v>10073</v>
      </c>
      <c r="BU43" s="677">
        <f ca="1">IF(BU$2=TIME!$E$5,SUMIFS(OPEN_ORDERS!$E:$E,OPEN_ORDERS!$B:$B,"&lt;="&amp;BU$2,OPEN_ORDERS!$C:$C,$BA43,OPEN_ORDERS!$D:$D,$BA$25)+SUMIFS(OPEN_ORDERS!$E:$E,OPEN_ORDERS!$B:$B,"IMMEDIATELY",OPEN_ORDERS!$C:$C,$BA43,OPEN_ORDERS!$D:$D,$BA$25),SUMIFS(OPEN_ORDERS!$E:$E,OPEN_ORDERS!$B:$B,BU$2,OPEN_ORDERS!$C:$C,$BA43,OPEN_ORDERS!$D:$D,$BA$25))</f>
        <v>32244</v>
      </c>
      <c r="BV43" s="678"/>
      <c r="BW43" s="677">
        <f ca="1">SUMIFS(OPEN_ORDERS!$E:$E,OPEN_ORDERS!$B:$B,BW$2,OPEN_ORDERS!$C:$C,$BA43,OPEN_ORDERS!$D:$D,$BA$25)</f>
        <v>0</v>
      </c>
      <c r="BX43" s="677">
        <f ca="1">SUMIFS(OPEN_ORDERS!$E:$E,OPEN_ORDERS!$B:$B,BX$2,OPEN_ORDERS!$C:$C,$BA43,OPEN_ORDERS!$D:$D,$BA$25)</f>
        <v>0</v>
      </c>
      <c r="BY43" s="677">
        <f ca="1">SUMIFS(OPEN_ORDERS!$E:$E,OPEN_ORDERS!$B:$B,BY$2,OPEN_ORDERS!$C:$C,$BA43,OPEN_ORDERS!$D:$D,$BA$25)</f>
        <v>0</v>
      </c>
      <c r="BZ43" s="678"/>
      <c r="CA43" s="677">
        <f ca="1">SUMIFS(OPEN_ORDERS!$E:$E,OPEN_ORDERS!$B:$B,CA$2,OPEN_ORDERS!$C:$C,$BA43,OPEN_ORDERS!$D:$D,$BA$25)</f>
        <v>0</v>
      </c>
      <c r="CB43" s="677">
        <f ca="1">SUMIFS(OPEN_ORDERS!$E:$E,OPEN_ORDERS!$B:$B,CB$2,OPEN_ORDERS!$C:$C,$BA43,OPEN_ORDERS!$D:$D,$BA$25)</f>
        <v>0</v>
      </c>
      <c r="CC43" s="677">
        <f ca="1">SUMIFS(OPEN_ORDERS!$E:$E,OPEN_ORDERS!$B:$B,CC$2,OPEN_ORDERS!$C:$C,$BA43,OPEN_ORDERS!$D:$D,$BA$25)</f>
        <v>0</v>
      </c>
      <c r="CD43" s="678"/>
      <c r="CE43" s="677">
        <f ca="1">SUMIFS(OPEN_ORDERS!$E:$E,OPEN_ORDERS!$B:$B,CE$2,OPEN_ORDERS!$C:$C,$BA43,OPEN_ORDERS!$D:$D,$BA$25)</f>
        <v>0</v>
      </c>
      <c r="CF43" s="677">
        <f ca="1">SUMIFS(OPEN_ORDERS!$E:$E,OPEN_ORDERS!$B:$B,CF$2,OPEN_ORDERS!$C:$C,$BA43,OPEN_ORDERS!$D:$D,$BA$25)</f>
        <v>0</v>
      </c>
      <c r="CG43" s="677">
        <f ca="1">SUMIFS(OPEN_ORDERS!$E:$E,OPEN_ORDERS!$B:$B,CG$2,OPEN_ORDERS!$C:$C,$BA43,OPEN_ORDERS!$D:$D,$BA$25)</f>
        <v>0</v>
      </c>
      <c r="CH43" s="61"/>
      <c r="CI43" s="1" t="str">
        <f t="shared" si="198"/>
        <v>TOPS</v>
      </c>
      <c r="CJ43" s="677">
        <f ca="1">IF($CJ$7="Aug",SUMIFS(HIS_STOCK!$F:$F,HIS_STOCK!$A:$A,$BA$25,HIS_STOCK!$C:$C,$CI43,HIS_STOCK!$D:$D,$CK$1,HIS_STOCK!$E:$E,$CL$1)+BS43-(AK43*1000)-T43-HLOOKUP($CJ$4,NWC_FC_NOOS!$C$50:$U$69,MATCH($CI43,NWC_FC_NOOS!$B$50:$B$69,0),FALSE),IF($CJ$2=TIME!$E$5,SUMIFS(HIS_STOCK!$F:$F,HIS_STOCK!$A:$A,$BA$25,HIS_STOCK!$C:$C,$CI43,HIS_STOCK!$D:$D,$CJ$5,HIS_STOCK!$E:$E,$CL$1)+BS43-(AK43*1000)-T43-HLOOKUP($CJ$4,NWC_FC_NOOS!$C$50:$U$69,MATCH($CI43,NWC_FC_NOOS!$B$50:$B$69,0),FALSE),SUMIFS(HIS_STOCK!$F:$F,HIS_STOCK!$A:$A,$BA$25,HIS_STOCK!$C:$C,$CI43,HIS_STOCK!$D:$D,$CJ$5,HIS_STOCK!$E:$E,CJ$7)))</f>
        <v>0</v>
      </c>
      <c r="CK43" s="677">
        <f ca="1">IF(SUMIFS(HIS_STOCK!$F:$F,HIS_STOCK!$A:$A,$BA$25,HIS_STOCK!$C:$C,$CI43,HIS_STOCK!$D:$D,$CJ$5,HIS_STOCK!$E:$E,CK$7)&lt;&gt;0,SUMIFS(HIS_STOCK!$F:$F,HIS_STOCK!$A:$A,$BA$25,HIS_STOCK!$C:$C,$CI43,HIS_STOCK!$D:$D,$CJ$5,HIS_STOCK!$E:$E,CK$7)-(AL43*1000),CJ43+BT43+((AK43-AL43)*1000)-U43-HLOOKUP(CK$4,NWC_FC_NOOS!$C$50:$U$69,MATCH(PLANNING_FC!$BR43,NWC_FC_NOOS!$B$50:$B$69,0),FALSE))</f>
        <v>10073</v>
      </c>
      <c r="CL43" s="677">
        <f ca="1">IF(SUMIFS(HIS_STOCK!$F:$F,HIS_STOCK!$A:$A,$BA$25,HIS_STOCK!$C:$C,$CI43,HIS_STOCK!$D:$D,$CJ$5,HIS_STOCK!$E:$E,CL$7)&lt;&gt;0,SUMIFS(HIS_STOCK!$F:$F,HIS_STOCK!$A:$A,$BA$25,HIS_STOCK!$C:$C,$CI43,HIS_STOCK!$D:$D,$CJ$5,HIS_STOCK!$E:$E,CL$7)-(AM43*1000),CK43+BU43+((AL43-AM43)*1000)-V43-HLOOKUP(CL$4,NWC_FC_NOOS!$C$50:$U$69,MATCH(PLANNING_FC!$BR43,NWC_FC_NOOS!$B$50:$B$69,0),FALSE))</f>
        <v>42317</v>
      </c>
      <c r="CM43" s="678"/>
      <c r="CN43" s="677">
        <f ca="1">CL43+BW43+((AM43-AO43)*1000)-X43-HLOOKUP(CN$4,NWC_FC_NOOS!$C$50:$U$69,MATCH(PLANNING_FC!$BR43,NWC_FC_NOOS!$B$50:$B$69,0),FALSE)</f>
        <v>42317</v>
      </c>
      <c r="CO43" s="677">
        <f ca="1">CN43+BX43+((AO43-AP43)*1000)-Y43-HLOOKUP(CO$4,NWC_FC_NOOS!$C$50:$U$69,MATCH(PLANNING_FC!$BR43,NWC_FC_NOOS!$B$50:$B$69,0),FALSE)</f>
        <v>42317</v>
      </c>
      <c r="CP43" s="677">
        <f ca="1">CO43+BY43+((AP43-AQ43)*1000)-Z43-HLOOKUP(CP$4,NWC_FC_NOOS!$C$50:$U$69,MATCH(PLANNING_FC!$BR43,NWC_FC_NOOS!$B$50:$B$69,0),FALSE)</f>
        <v>42317</v>
      </c>
      <c r="CQ43" s="678"/>
      <c r="CR43" s="677">
        <f ca="1">CP43+CA43+((AQ43-AS43)*1000)-AB43-HLOOKUP(CR$4,NWC_FC_NOOS!$C$50:$U$69,MATCH(PLANNING_FC!$BR43,NWC_FC_NOOS!$B$50:$B$69,0),FALSE)</f>
        <v>42317</v>
      </c>
      <c r="CS43" s="677">
        <f ca="1">CR43+CB43+((AS43-AT43)*1000)-AC43-HLOOKUP(CS$4,NWC_FC_NOOS!$C$50:$U$69,MATCH(PLANNING_FC!$BR43,NWC_FC_NOOS!$B$50:$B$69,0),FALSE)</f>
        <v>42317</v>
      </c>
      <c r="CT43" s="677">
        <f ca="1">CS43+CC43+((AT43-AU43)*1000)-AD43-HLOOKUP(CT$4,NWC_FC_NOOS!$C$50:$U$69,MATCH(PLANNING_FC!$BR43,NWC_FC_NOOS!$B$50:$B$69,0),FALSE)</f>
        <v>42317</v>
      </c>
      <c r="CU43" s="678"/>
      <c r="CV43" s="677">
        <f ca="1">CT43+CE43+((AU43-AW43)*1000)-AF43-HLOOKUP(CV$4,NWC_FC_NOOS!$C$50:$U$69,MATCH(PLANNING_FC!$BR43,NWC_FC_NOOS!$B$50:$B$69,0),FALSE)</f>
        <v>42317</v>
      </c>
      <c r="CW43" s="677">
        <f ca="1">CV43+CF43+((AW43-AX43)*1000)-AG43-HLOOKUP(CW$4,NWC_FC_NOOS!$C$50:$U$69,MATCH(PLANNING_FC!$BR43,NWC_FC_NOOS!$B$50:$B$69,0),FALSE)</f>
        <v>42317</v>
      </c>
      <c r="CX43" s="677">
        <f ca="1">CW43+CG43+((AX43-AY43)*1000)-AH43-HLOOKUP(CX$4,NWC_FC_NOOS!$C$50:$U$69,MATCH(PLANNING_FC!$BR43,NWC_FC_NOOS!$B$50:$B$69,0),FALSE)</f>
        <v>42317</v>
      </c>
      <c r="CZ43" s="575" t="str">
        <f t="shared" si="199"/>
        <v>TOPS</v>
      </c>
      <c r="DA43" s="677">
        <f ca="1">IF(STOCK_OVERVIEW!C$41="ACT",SUMIFS(HIS_STOCK!$F:$F,HIS_STOCK!$A:$A,PLANNING_FC!$BA$25,HIS_STOCK!$C:$C,PLANNING_FC!$CZ20,HIS_STOCK!$D:$D,PLANNING_FC!$DA$5,HIS_STOCK!$E:$E,PLANNING_FC!DA$7),CJ43+SUM($BB43:BB43))</f>
        <v>0</v>
      </c>
      <c r="DB43" s="677">
        <f ca="1">IF(STOCK_OVERVIEW!D$41="ACT",SUMIFS(HIS_STOCK!$F:$F,HIS_STOCK!$A:$A,PLANNING_FC!$BA$25,HIS_STOCK!$C:$C,PLANNING_FC!$CZ20,HIS_STOCK!$D:$D,PLANNING_FC!$DA$5,HIS_STOCK!$E:$E,PLANNING_FC!DB$7),CK43+SUM($BB43:BC43))</f>
        <v>0</v>
      </c>
      <c r="DC43" s="677">
        <f ca="1">CL43+SUM($BB43:BD43)</f>
        <v>42317</v>
      </c>
      <c r="DD43" s="678"/>
      <c r="DE43" s="677">
        <f ca="1">CN43+SUM($BB43:BF43)</f>
        <v>42317</v>
      </c>
      <c r="DF43" s="677">
        <f ca="1">CO43+SUM($BB43:BG43)</f>
        <v>42317</v>
      </c>
      <c r="DG43" s="677">
        <f ca="1">CP43+SUM($BB43:BH43)</f>
        <v>42317</v>
      </c>
      <c r="DH43" s="678"/>
      <c r="DI43" s="677">
        <f ca="1">CR43+SUM($BB43:BJ43)</f>
        <v>42317</v>
      </c>
      <c r="DJ43" s="677">
        <f ca="1">CS43+SUM($BB43:BK43)</f>
        <v>42317</v>
      </c>
      <c r="DK43" s="677">
        <f ca="1">CT43+SUM($BB43:BL43)</f>
        <v>42317</v>
      </c>
      <c r="DL43" s="678"/>
      <c r="DM43" s="677">
        <f ca="1">CV43+SUM($BB43:BN43)</f>
        <v>42317</v>
      </c>
      <c r="DN43" s="677">
        <f ca="1">CW43+SUM($BB43:BO43)</f>
        <v>42317</v>
      </c>
      <c r="DO43" s="677">
        <f ca="1">CX43+SUM($BB43:BP43)</f>
        <v>42317</v>
      </c>
      <c r="DQ43" s="575" t="str">
        <f t="shared" si="200"/>
        <v>TOPS</v>
      </c>
      <c r="DR43" s="677">
        <f ca="1">IF($DT$7="Aug",SUMIFS(HIS_STOCK!$F:$F,HIS_STOCK!$A:$A,$BA$25,HIS_STOCK!$C:$C,$DQ43,HIS_STOCK!$D:$D,$DR$4,HIS_STOCK!$E:$E,$DR$7),SUMIFS(HIS_STOCK!$F:$F,HIS_STOCK!$A:$A,$BA$25,HIS_STOCK!$C:$C,$DQ43,HIS_STOCK!$D:$D,$DR$5,HIS_STOCK!$E:$E,$DR$7))</f>
        <v>0</v>
      </c>
      <c r="DS43" s="677"/>
      <c r="DT43" s="677">
        <f ca="1">NWC_FC_NOOS!T20</f>
        <v>0</v>
      </c>
      <c r="DU43" s="677">
        <f ca="1">NWC_FC_NOOS!U20</f>
        <v>0</v>
      </c>
      <c r="DV43" s="677">
        <f ca="1">NWC_FC_NOOS!V20</f>
        <v>0</v>
      </c>
      <c r="DW43" s="678"/>
      <c r="DX43" s="677">
        <f ca="1">NWC_FC_NOOS!X20</f>
        <v>0</v>
      </c>
      <c r="DY43" s="677">
        <f ca="1">NWC_FC_NOOS!Y20</f>
        <v>0</v>
      </c>
      <c r="DZ43" s="677">
        <f ca="1">NWC_FC_NOOS!Z20</f>
        <v>0</v>
      </c>
      <c r="EA43" s="678"/>
      <c r="EB43" s="677">
        <f ca="1">NWC_FC_NOOS!AB20</f>
        <v>0</v>
      </c>
      <c r="EC43" s="677">
        <f ca="1">NWC_FC_NOOS!AC20</f>
        <v>0</v>
      </c>
      <c r="ED43" s="677">
        <f ca="1">NWC_FC_NOOS!AD20</f>
        <v>0</v>
      </c>
      <c r="EE43" s="678"/>
      <c r="EF43" s="677">
        <f ca="1">NWC_FC_NOOS!AF20</f>
        <v>0</v>
      </c>
      <c r="EG43" s="677">
        <f ca="1">NWC_FC_NOOS!AG20</f>
        <v>0</v>
      </c>
      <c r="EH43" s="677">
        <f ca="1">NWC_FC_NOOS!AH20</f>
        <v>0</v>
      </c>
    </row>
    <row r="44" spans="1:138" s="204" customFormat="1" x14ac:dyDescent="0.25">
      <c r="A44" s="62"/>
      <c r="B44" s="575" t="str">
        <f t="shared" si="182"/>
        <v>T-SHIRTS</v>
      </c>
      <c r="C44" s="802"/>
      <c r="D44" s="763"/>
      <c r="E44" s="763"/>
      <c r="F44" s="763"/>
      <c r="G44" s="613"/>
      <c r="H44" s="763"/>
      <c r="I44" s="763"/>
      <c r="J44" s="763"/>
      <c r="K44" s="613"/>
      <c r="L44" s="763"/>
      <c r="M44" s="763"/>
      <c r="N44" s="763"/>
      <c r="O44" s="613"/>
      <c r="P44" s="763"/>
      <c r="Q44" s="763"/>
      <c r="R44" s="763"/>
      <c r="S44" s="449"/>
      <c r="T44" s="675">
        <f t="shared" ca="1" si="183"/>
        <v>0</v>
      </c>
      <c r="U44" s="675">
        <f t="shared" ca="1" si="184"/>
        <v>0</v>
      </c>
      <c r="V44" s="675">
        <f t="shared" ca="1" si="185"/>
        <v>0</v>
      </c>
      <c r="W44" s="675"/>
      <c r="X44" s="675">
        <f t="shared" ca="1" si="186"/>
        <v>0</v>
      </c>
      <c r="Y44" s="675">
        <f t="shared" ca="1" si="187"/>
        <v>0</v>
      </c>
      <c r="Z44" s="675">
        <f t="shared" ca="1" si="188"/>
        <v>0</v>
      </c>
      <c r="AA44" s="675"/>
      <c r="AB44" s="675">
        <f t="shared" ca="1" si="189"/>
        <v>0</v>
      </c>
      <c r="AC44" s="675">
        <f t="shared" ca="1" si="190"/>
        <v>0</v>
      </c>
      <c r="AD44" s="675">
        <f t="shared" ca="1" si="191"/>
        <v>0</v>
      </c>
      <c r="AE44" s="675"/>
      <c r="AF44" s="675">
        <f t="shared" ca="1" si="192"/>
        <v>0</v>
      </c>
      <c r="AG44" s="675">
        <f t="shared" ca="1" si="193"/>
        <v>0</v>
      </c>
      <c r="AH44" s="675">
        <f t="shared" ca="1" si="194"/>
        <v>0</v>
      </c>
      <c r="AI44" s="675"/>
      <c r="AJ44" s="575" t="str">
        <f t="shared" si="196"/>
        <v>T-SHIRTS</v>
      </c>
      <c r="AK44" s="761"/>
      <c r="AL44" s="761"/>
      <c r="AM44" s="761"/>
      <c r="AN44" s="613"/>
      <c r="AO44" s="761"/>
      <c r="AP44" s="761"/>
      <c r="AQ44" s="761"/>
      <c r="AR44" s="613"/>
      <c r="AS44" s="761"/>
      <c r="AT44" s="761"/>
      <c r="AU44" s="761"/>
      <c r="AV44" s="613"/>
      <c r="AW44" s="761"/>
      <c r="AX44" s="761"/>
      <c r="AY44" s="761"/>
      <c r="AZ44" s="449"/>
      <c r="BA44" s="575" t="str">
        <f t="shared" si="195"/>
        <v>T-SHIRTS</v>
      </c>
      <c r="BB44" s="677">
        <f ca="1">MAX(IF(ISNA(VLOOKUP($BB$4,TIME!$M$40:$M$42,1,FALSE)),0,HLOOKUP(BB$4,NWC_FC_NOOS!$S$4:$AH$23,MATCH($BA44,NWC_FC_NOOS!$S$4:$S$23,0),FALSE)-CJ44),0)</f>
        <v>0</v>
      </c>
      <c r="BC44" s="677">
        <f ca="1">IF(ISNA(VLOOKUP(BC$4,TIME!$M$40:$M$42,1,FALSE)),0,IF(HLOOKUP(BC$4,NWC_FC_NOOS!$S$4:$AH$23,MATCH($BA44,NWC_FC_NOOS!$S$4:$S$23,0),FALSE)-CK44-SUM($BB44:BB44)&gt;0,HLOOKUP(BC$4,NWC_FC_NOOS!$S$4:$AH$23,MATCH($BA44,NWC_FC_NOOS!$S$4:$S$23,0),FALSE)-CK44-SUM($BB44:BB44),0))</f>
        <v>0</v>
      </c>
      <c r="BD44" s="677">
        <f ca="1">IF(ISNA(VLOOKUP(BD$4,TIME!$M$40:$M$42,1,FALSE)),0,IF(HLOOKUP(BD$4,NWC_FC_NOOS!$S$4:$AH$23,MATCH($BA44,NWC_FC_NOOS!$S$4:$S$23,0),FALSE)-CL44-SUM($BB44:BC44)&gt;0,HLOOKUP(BD$4,NWC_FC_NOOS!$S$4:$AH$23,MATCH($BA44,NWC_FC_NOOS!$S$4:$S$23,0),FALSE)-CL44-SUM($BB44:BC44),0))</f>
        <v>0</v>
      </c>
      <c r="BE44" s="678"/>
      <c r="BF44" s="677">
        <f ca="1">IF(HLOOKUP(BF$4,NWC_FC_NOOS!$S$4:$AH$23,MATCH($BA44,NWC_FC_NOOS!$S$4:$S$23,0),FALSE)-CN44-SUM($BB44:BE44)&gt;0,HLOOKUP(BF$4,NWC_FC_NOOS!$S$4:$AH$23,MATCH($BA44,NWC_FC_NOOS!$S$4:$S$23,0),FALSE)-CN44-SUM($BB44:BE44),0)</f>
        <v>0</v>
      </c>
      <c r="BG44" s="677">
        <f ca="1">IF(HLOOKUP(BG$4,NWC_FC_NOOS!$S$4:$AH$23,MATCH($BA44,NWC_FC_NOOS!$S$4:$S$23,0),FALSE)-CO44-SUM($BB44:BF44)&gt;0,HLOOKUP(BG$4,NWC_FC_NOOS!$S$4:$AH$23,MATCH($BA44,NWC_FC_NOOS!$S$4:$S$23,0),FALSE)-CO44-SUM($BB44:BF44),0)</f>
        <v>0</v>
      </c>
      <c r="BH44" s="677">
        <f ca="1">IF(HLOOKUP(BH$4,NWC_FC_NOOS!$S$4:$AH$23,MATCH($BA44,NWC_FC_NOOS!$S$4:$S$23,0),FALSE)-CP44-SUM($BB44:BG44)&gt;0,HLOOKUP(BH$4,NWC_FC_NOOS!$S$4:$AH$23,MATCH($BA44,NWC_FC_NOOS!$S$4:$S$23,0),FALSE)-CP44-SUM($BB44:BG44),0)</f>
        <v>0</v>
      </c>
      <c r="BI44" s="678"/>
      <c r="BJ44" s="677">
        <f ca="1">IF(HLOOKUP(BJ$4,NWC_FC_NOOS!$S$4:$AH$23,MATCH($BA44,NWC_FC_NOOS!$S$4:$S$23,0),FALSE)-CR44-SUM($BB44:BI44)&gt;0,HLOOKUP(BJ$4,NWC_FC_NOOS!$S$4:$AH$23,MATCH($BA44,NWC_FC_NOOS!$S$4:$S$23,0),FALSE)-CR44-SUM($BB44:BI44),0)</f>
        <v>0</v>
      </c>
      <c r="BK44" s="677">
        <f ca="1">IF(HLOOKUP(BK$4,NWC_FC_NOOS!$S$4:$AH$23,MATCH($BA44,NWC_FC_NOOS!$S$4:$S$23,0),FALSE)-CS44-SUM($BB44:BJ44)&gt;0,HLOOKUP(BK$4,NWC_FC_NOOS!$S$4:$AH$23,MATCH($BA44,NWC_FC_NOOS!$S$4:$S$23,0),FALSE)-CS44-SUM($BB44:BJ44),0)</f>
        <v>0</v>
      </c>
      <c r="BL44" s="677">
        <f ca="1">IF(HLOOKUP(BL$4,NWC_FC_NOOS!$S$4:$AH$23,MATCH($BA44,NWC_FC_NOOS!$S$4:$S$23,0),FALSE)-CT44-SUM($BB44:BK44)&gt;0,HLOOKUP(BL$4,NWC_FC_NOOS!$S$4:$AH$23,MATCH($BA44,NWC_FC_NOOS!$S$4:$S$23,0),FALSE)-CT44-SUM($BB44:BK44),0)</f>
        <v>0</v>
      </c>
      <c r="BM44" s="678"/>
      <c r="BN44" s="677">
        <f ca="1">IF(HLOOKUP(BN$4,NWC_FC_NOOS!$S$4:$AH$23,MATCH($BA44,NWC_FC_NOOS!$S$4:$S$23,0),FALSE)-CV44-SUM($BB44:BM44)&gt;0,HLOOKUP(BN$4,NWC_FC_NOOS!$S$4:$AH$23,MATCH($BA44,NWC_FC_NOOS!$S$4:$S$23,0),FALSE)-CV44-SUM($BB44:BM44),0)</f>
        <v>0</v>
      </c>
      <c r="BO44" s="677">
        <f ca="1">IF(HLOOKUP(BO$4,NWC_FC_NOOS!$S$4:$AH$23,MATCH($BA44,NWC_FC_NOOS!$S$4:$S$23,0),FALSE)-CW44-SUM($BB44:BN44)&gt;0,HLOOKUP(BO$4,NWC_FC_NOOS!$S$4:$AH$23,MATCH($BA44,NWC_FC_NOOS!$S$4:$S$23,0),FALSE)-CW44-SUM($BB44:BN44),0)</f>
        <v>0</v>
      </c>
      <c r="BP44" s="677">
        <f ca="1">IF(HLOOKUP(BP$4,NWC_FC_NOOS!$S$4:$AH$23,MATCH($BA44,NWC_FC_NOOS!$S$4:$S$23,0),FALSE)-CX44-SUM($BB44:BO44)&gt;0,HLOOKUP(BP$4,NWC_FC_NOOS!$S$4:$AH$23,MATCH($BA44,NWC_FC_NOOS!$S$4:$S$23,0),FALSE)-CX44-SUM($BB44:BO44),0)</f>
        <v>0</v>
      </c>
      <c r="BR44" s="575" t="str">
        <f t="shared" si="197"/>
        <v>T-SHIRTS</v>
      </c>
      <c r="BS44" s="677">
        <f ca="1">IF(BS$2=TIME!$E$5,SUMIFS(OPEN_ORDERS!$E:$E,OPEN_ORDERS!$B:$B,"&lt;="&amp;BS$2,OPEN_ORDERS!$C:$C,$BA44,OPEN_ORDERS!$D:$D,$BA$25)+SUMIFS(OPEN_ORDERS!$E:$E,OPEN_ORDERS!$B:$B,"IMMEDIATELY",OPEN_ORDERS!$C:$C,$BA44,OPEN_ORDERS!$D:$D,$BA$25),SUMIFS(OPEN_ORDERS!$E:$E,OPEN_ORDERS!$B:$B,BS$2,OPEN_ORDERS!$C:$C,$BA44,OPEN_ORDERS!$D:$D,$BA$25))</f>
        <v>28118</v>
      </c>
      <c r="BT44" s="677">
        <f ca="1">IF(BT$2=TIME!$E$5,SUMIFS(OPEN_ORDERS!$E:$E,OPEN_ORDERS!$B:$B,"&lt;="&amp;BT$2,OPEN_ORDERS!$C:$C,$BA44,OPEN_ORDERS!$D:$D,$BA$25)+SUMIFS(OPEN_ORDERS!$E:$E,OPEN_ORDERS!$B:$B,"IMMEDIATELY",OPEN_ORDERS!$C:$C,$BA44,OPEN_ORDERS!$D:$D,$BA$25),SUMIFS(OPEN_ORDERS!$E:$E,OPEN_ORDERS!$B:$B,BT$2,OPEN_ORDERS!$C:$C,$BA44,OPEN_ORDERS!$D:$D,$BA$25))</f>
        <v>24969</v>
      </c>
      <c r="BU44" s="677">
        <f ca="1">IF(BU$2=TIME!$E$5,SUMIFS(OPEN_ORDERS!$E:$E,OPEN_ORDERS!$B:$B,"&lt;="&amp;BU$2,OPEN_ORDERS!$C:$C,$BA44,OPEN_ORDERS!$D:$D,$BA$25)+SUMIFS(OPEN_ORDERS!$E:$E,OPEN_ORDERS!$B:$B,"IMMEDIATELY",OPEN_ORDERS!$C:$C,$BA44,OPEN_ORDERS!$D:$D,$BA$25),SUMIFS(OPEN_ORDERS!$E:$E,OPEN_ORDERS!$B:$B,BU$2,OPEN_ORDERS!$C:$C,$BA44,OPEN_ORDERS!$D:$D,$BA$25))</f>
        <v>117666</v>
      </c>
      <c r="BV44" s="678"/>
      <c r="BW44" s="677">
        <f ca="1">SUMIFS(OPEN_ORDERS!$E:$E,OPEN_ORDERS!$B:$B,BW$2,OPEN_ORDERS!$C:$C,$BA44,OPEN_ORDERS!$D:$D,$BA$25)</f>
        <v>0</v>
      </c>
      <c r="BX44" s="677">
        <f ca="1">SUMIFS(OPEN_ORDERS!$E:$E,OPEN_ORDERS!$B:$B,BX$2,OPEN_ORDERS!$C:$C,$BA44,OPEN_ORDERS!$D:$D,$BA$25)</f>
        <v>0</v>
      </c>
      <c r="BY44" s="677">
        <f ca="1">SUMIFS(OPEN_ORDERS!$E:$E,OPEN_ORDERS!$B:$B,BY$2,OPEN_ORDERS!$C:$C,$BA44,OPEN_ORDERS!$D:$D,$BA$25)</f>
        <v>0</v>
      </c>
      <c r="BZ44" s="678"/>
      <c r="CA44" s="677">
        <f ca="1">SUMIFS(OPEN_ORDERS!$E:$E,OPEN_ORDERS!$B:$B,CA$2,OPEN_ORDERS!$C:$C,$BA44,OPEN_ORDERS!$D:$D,$BA$25)</f>
        <v>0</v>
      </c>
      <c r="CB44" s="677">
        <f ca="1">SUMIFS(OPEN_ORDERS!$E:$E,OPEN_ORDERS!$B:$B,CB$2,OPEN_ORDERS!$C:$C,$BA44,OPEN_ORDERS!$D:$D,$BA$25)</f>
        <v>0</v>
      </c>
      <c r="CC44" s="677">
        <f ca="1">SUMIFS(OPEN_ORDERS!$E:$E,OPEN_ORDERS!$B:$B,CC$2,OPEN_ORDERS!$C:$C,$BA44,OPEN_ORDERS!$D:$D,$BA$25)</f>
        <v>0</v>
      </c>
      <c r="CD44" s="678"/>
      <c r="CE44" s="677">
        <f ca="1">SUMIFS(OPEN_ORDERS!$E:$E,OPEN_ORDERS!$B:$B,CE$2,OPEN_ORDERS!$C:$C,$BA44,OPEN_ORDERS!$D:$D,$BA$25)</f>
        <v>0</v>
      </c>
      <c r="CF44" s="677">
        <f ca="1">SUMIFS(OPEN_ORDERS!$E:$E,OPEN_ORDERS!$B:$B,CF$2,OPEN_ORDERS!$C:$C,$BA44,OPEN_ORDERS!$D:$D,$BA$25)</f>
        <v>0</v>
      </c>
      <c r="CG44" s="677">
        <f ca="1">SUMIFS(OPEN_ORDERS!$E:$E,OPEN_ORDERS!$B:$B,CG$2,OPEN_ORDERS!$C:$C,$BA44,OPEN_ORDERS!$D:$D,$BA$25)</f>
        <v>0</v>
      </c>
      <c r="CH44" s="61"/>
      <c r="CI44" s="1" t="str">
        <f t="shared" si="198"/>
        <v>T-SHIRTS</v>
      </c>
      <c r="CJ44" s="677">
        <f ca="1">IF($CJ$7="Aug",SUMIFS(HIS_STOCK!$F:$F,HIS_STOCK!$A:$A,$BA$25,HIS_STOCK!$C:$C,$CI44,HIS_STOCK!$D:$D,$CK$1,HIS_STOCK!$E:$E,$CL$1)+BS44-(AK44*1000)-T44-HLOOKUP($CJ$4,NWC_FC_NOOS!$C$50:$U$69,MATCH($CI44,NWC_FC_NOOS!$B$50:$B$69,0),FALSE),IF($CJ$2=TIME!$E$5,SUMIFS(HIS_STOCK!$F:$F,HIS_STOCK!$A:$A,$BA$25,HIS_STOCK!$C:$C,$CI44,HIS_STOCK!$D:$D,$CJ$5,HIS_STOCK!$E:$E,$CL$1)+BS44-(AK44*1000)-T44-HLOOKUP($CJ$4,NWC_FC_NOOS!$C$50:$U$69,MATCH($CI44,NWC_FC_NOOS!$B$50:$B$69,0),FALSE),SUMIFS(HIS_STOCK!$F:$F,HIS_STOCK!$A:$A,$BA$25,HIS_STOCK!$C:$C,$CI44,HIS_STOCK!$D:$D,$CJ$5,HIS_STOCK!$E:$E,CJ$7)))</f>
        <v>0</v>
      </c>
      <c r="CK44" s="677">
        <f ca="1">IF(SUMIFS(HIS_STOCK!$F:$F,HIS_STOCK!$A:$A,$BA$25,HIS_STOCK!$C:$C,$CI44,HIS_STOCK!$D:$D,$CJ$5,HIS_STOCK!$E:$E,CK$7)&lt;&gt;0,SUMIFS(HIS_STOCK!$F:$F,HIS_STOCK!$A:$A,$BA$25,HIS_STOCK!$C:$C,$CI44,HIS_STOCK!$D:$D,$CJ$5,HIS_STOCK!$E:$E,CK$7)-(AL44*1000),CJ44+BT44+((AK44-AL44)*1000)-U44-HLOOKUP(CK$4,NWC_FC_NOOS!$C$50:$U$69,MATCH(PLANNING_FC!$BR44,NWC_FC_NOOS!$B$50:$B$69,0),FALSE))</f>
        <v>24969</v>
      </c>
      <c r="CL44" s="677">
        <f ca="1">IF(SUMIFS(HIS_STOCK!$F:$F,HIS_STOCK!$A:$A,$BA$25,HIS_STOCK!$C:$C,$CI44,HIS_STOCK!$D:$D,$CJ$5,HIS_STOCK!$E:$E,CL$7)&lt;&gt;0,SUMIFS(HIS_STOCK!$F:$F,HIS_STOCK!$A:$A,$BA$25,HIS_STOCK!$C:$C,$CI44,HIS_STOCK!$D:$D,$CJ$5,HIS_STOCK!$E:$E,CL$7)-(AM44*1000),CK44+BU44+((AL44-AM44)*1000)-V44-HLOOKUP(CL$4,NWC_FC_NOOS!$C$50:$U$69,MATCH(PLANNING_FC!$BR44,NWC_FC_NOOS!$B$50:$B$69,0),FALSE))</f>
        <v>142635</v>
      </c>
      <c r="CM44" s="678"/>
      <c r="CN44" s="677">
        <f ca="1">CL44+BW44+((AM44-AO44)*1000)-X44-HLOOKUP(CN$4,NWC_FC_NOOS!$C$50:$U$69,MATCH(PLANNING_FC!$BR44,NWC_FC_NOOS!$B$50:$B$69,0),FALSE)</f>
        <v>142635</v>
      </c>
      <c r="CO44" s="677">
        <f ca="1">CN44+BX44+((AO44-AP44)*1000)-Y44-HLOOKUP(CO$4,NWC_FC_NOOS!$C$50:$U$69,MATCH(PLANNING_FC!$BR44,NWC_FC_NOOS!$B$50:$B$69,0),FALSE)</f>
        <v>142635</v>
      </c>
      <c r="CP44" s="677">
        <f ca="1">CO44+BY44+((AP44-AQ44)*1000)-Z44-HLOOKUP(CP$4,NWC_FC_NOOS!$C$50:$U$69,MATCH(PLANNING_FC!$BR44,NWC_FC_NOOS!$B$50:$B$69,0),FALSE)</f>
        <v>142635</v>
      </c>
      <c r="CQ44" s="678"/>
      <c r="CR44" s="677">
        <f ca="1">CP44+CA44+((AQ44-AS44)*1000)-AB44-HLOOKUP(CR$4,NWC_FC_NOOS!$C$50:$U$69,MATCH(PLANNING_FC!$BR44,NWC_FC_NOOS!$B$50:$B$69,0),FALSE)</f>
        <v>142635</v>
      </c>
      <c r="CS44" s="677">
        <f ca="1">CR44+CB44+((AS44-AT44)*1000)-AC44-HLOOKUP(CS$4,NWC_FC_NOOS!$C$50:$U$69,MATCH(PLANNING_FC!$BR44,NWC_FC_NOOS!$B$50:$B$69,0),FALSE)</f>
        <v>142635</v>
      </c>
      <c r="CT44" s="677">
        <f ca="1">CS44+CC44+((AT44-AU44)*1000)-AD44-HLOOKUP(CT$4,NWC_FC_NOOS!$C$50:$U$69,MATCH(PLANNING_FC!$BR44,NWC_FC_NOOS!$B$50:$B$69,0),FALSE)</f>
        <v>142635</v>
      </c>
      <c r="CU44" s="678"/>
      <c r="CV44" s="677">
        <f ca="1">CT44+CE44+((AU44-AW44)*1000)-AF44-HLOOKUP(CV$4,NWC_FC_NOOS!$C$50:$U$69,MATCH(PLANNING_FC!$BR44,NWC_FC_NOOS!$B$50:$B$69,0),FALSE)</f>
        <v>142635</v>
      </c>
      <c r="CW44" s="677">
        <f ca="1">CV44+CF44+((AW44-AX44)*1000)-AG44-HLOOKUP(CW$4,NWC_FC_NOOS!$C$50:$U$69,MATCH(PLANNING_FC!$BR44,NWC_FC_NOOS!$B$50:$B$69,0),FALSE)</f>
        <v>142635</v>
      </c>
      <c r="CX44" s="677">
        <f ca="1">CW44+CG44+((AX44-AY44)*1000)-AH44-HLOOKUP(CX$4,NWC_FC_NOOS!$C$50:$U$69,MATCH(PLANNING_FC!$BR44,NWC_FC_NOOS!$B$50:$B$69,0),FALSE)</f>
        <v>142635</v>
      </c>
      <c r="CZ44" s="575" t="str">
        <f t="shared" si="199"/>
        <v>T-SHIRTS</v>
      </c>
      <c r="DA44" s="677">
        <f ca="1">IF(STOCK_OVERVIEW!C$41="ACT",SUMIFS(HIS_STOCK!$F:$F,HIS_STOCK!$A:$A,PLANNING_FC!$BA$25,HIS_STOCK!$C:$C,PLANNING_FC!$CZ21,HIS_STOCK!$D:$D,PLANNING_FC!$DA$5,HIS_STOCK!$E:$E,PLANNING_FC!DA$7),CJ44+SUM($BB44:BB44))</f>
        <v>0</v>
      </c>
      <c r="DB44" s="677">
        <f ca="1">IF(STOCK_OVERVIEW!D$41="ACT",SUMIFS(HIS_STOCK!$F:$F,HIS_STOCK!$A:$A,PLANNING_FC!$BA$25,HIS_STOCK!$C:$C,PLANNING_FC!$CZ21,HIS_STOCK!$D:$D,PLANNING_FC!$DA$5,HIS_STOCK!$E:$E,PLANNING_FC!DB$7),CK44+SUM($BB44:BC44))</f>
        <v>0</v>
      </c>
      <c r="DC44" s="677">
        <f ca="1">CL44+SUM($BB44:BD44)</f>
        <v>142635</v>
      </c>
      <c r="DD44" s="678"/>
      <c r="DE44" s="677">
        <f ca="1">CN44+SUM($BB44:BF44)</f>
        <v>142635</v>
      </c>
      <c r="DF44" s="677">
        <f ca="1">CO44+SUM($BB44:BG44)</f>
        <v>142635</v>
      </c>
      <c r="DG44" s="677">
        <f ca="1">CP44+SUM($BB44:BH44)</f>
        <v>142635</v>
      </c>
      <c r="DH44" s="678"/>
      <c r="DI44" s="677">
        <f ca="1">CR44+SUM($BB44:BJ44)</f>
        <v>142635</v>
      </c>
      <c r="DJ44" s="677">
        <f ca="1">CS44+SUM($BB44:BK44)</f>
        <v>142635</v>
      </c>
      <c r="DK44" s="677">
        <f ca="1">CT44+SUM($BB44:BL44)</f>
        <v>142635</v>
      </c>
      <c r="DL44" s="678"/>
      <c r="DM44" s="677">
        <f ca="1">CV44+SUM($BB44:BN44)</f>
        <v>142635</v>
      </c>
      <c r="DN44" s="677">
        <f ca="1">CW44+SUM($BB44:BO44)</f>
        <v>142635</v>
      </c>
      <c r="DO44" s="677">
        <f ca="1">CX44+SUM($BB44:BP44)</f>
        <v>142635</v>
      </c>
      <c r="DQ44" s="575" t="str">
        <f t="shared" si="200"/>
        <v>T-SHIRTS</v>
      </c>
      <c r="DR44" s="677">
        <f ca="1">IF($DT$7="Aug",SUMIFS(HIS_STOCK!$F:$F,HIS_STOCK!$A:$A,$BA$25,HIS_STOCK!$C:$C,$DQ44,HIS_STOCK!$D:$D,$DR$4,HIS_STOCK!$E:$E,$DR$7),SUMIFS(HIS_STOCK!$F:$F,HIS_STOCK!$A:$A,$BA$25,HIS_STOCK!$C:$C,$DQ44,HIS_STOCK!$D:$D,$DR$5,HIS_STOCK!$E:$E,$DR$7))</f>
        <v>0</v>
      </c>
      <c r="DS44" s="677"/>
      <c r="DT44" s="677">
        <f ca="1">NWC_FC_NOOS!T21</f>
        <v>0</v>
      </c>
      <c r="DU44" s="677">
        <f ca="1">NWC_FC_NOOS!U21</f>
        <v>0</v>
      </c>
      <c r="DV44" s="677">
        <f ca="1">NWC_FC_NOOS!V21</f>
        <v>0</v>
      </c>
      <c r="DW44" s="678"/>
      <c r="DX44" s="677">
        <f ca="1">NWC_FC_NOOS!X21</f>
        <v>0</v>
      </c>
      <c r="DY44" s="677">
        <f ca="1">NWC_FC_NOOS!Y21</f>
        <v>0</v>
      </c>
      <c r="DZ44" s="677">
        <f ca="1">NWC_FC_NOOS!Z21</f>
        <v>0</v>
      </c>
      <c r="EA44" s="678"/>
      <c r="EB44" s="677">
        <f ca="1">NWC_FC_NOOS!AB21</f>
        <v>0</v>
      </c>
      <c r="EC44" s="677">
        <f ca="1">NWC_FC_NOOS!AC21</f>
        <v>0</v>
      </c>
      <c r="ED44" s="677">
        <f ca="1">NWC_FC_NOOS!AD21</f>
        <v>0</v>
      </c>
      <c r="EE44" s="678"/>
      <c r="EF44" s="677">
        <f ca="1">NWC_FC_NOOS!AF21</f>
        <v>0</v>
      </c>
      <c r="EG44" s="677">
        <f ca="1">NWC_FC_NOOS!AG21</f>
        <v>0</v>
      </c>
      <c r="EH44" s="677">
        <f ca="1">NWC_FC_NOOS!AH21</f>
        <v>0</v>
      </c>
    </row>
    <row r="45" spans="1:138" s="204" customFormat="1" x14ac:dyDescent="0.25">
      <c r="A45" s="62"/>
      <c r="B45" s="575" t="str">
        <f t="shared" si="182"/>
        <v>T-SHIRTS &amp; TOPS</v>
      </c>
      <c r="C45" s="802"/>
      <c r="D45" s="763"/>
      <c r="E45" s="763"/>
      <c r="F45" s="763"/>
      <c r="G45" s="613"/>
      <c r="H45" s="763"/>
      <c r="I45" s="763"/>
      <c r="J45" s="763"/>
      <c r="K45" s="613"/>
      <c r="L45" s="763"/>
      <c r="M45" s="763"/>
      <c r="N45" s="763"/>
      <c r="O45" s="613"/>
      <c r="P45" s="763"/>
      <c r="Q45" s="763"/>
      <c r="R45" s="763"/>
      <c r="S45" s="449"/>
      <c r="T45" s="675">
        <f t="shared" ca="1" si="183"/>
        <v>0</v>
      </c>
      <c r="U45" s="675">
        <f t="shared" ca="1" si="184"/>
        <v>0</v>
      </c>
      <c r="V45" s="675">
        <f t="shared" ca="1" si="185"/>
        <v>0</v>
      </c>
      <c r="W45" s="675"/>
      <c r="X45" s="675">
        <f t="shared" ca="1" si="186"/>
        <v>0</v>
      </c>
      <c r="Y45" s="675">
        <f t="shared" ca="1" si="187"/>
        <v>0</v>
      </c>
      <c r="Z45" s="675">
        <f t="shared" ca="1" si="188"/>
        <v>0</v>
      </c>
      <c r="AA45" s="675"/>
      <c r="AB45" s="675">
        <f t="shared" ca="1" si="189"/>
        <v>0</v>
      </c>
      <c r="AC45" s="675">
        <f t="shared" ca="1" si="190"/>
        <v>0</v>
      </c>
      <c r="AD45" s="675">
        <f t="shared" ca="1" si="191"/>
        <v>0</v>
      </c>
      <c r="AE45" s="675"/>
      <c r="AF45" s="675">
        <f t="shared" ca="1" si="192"/>
        <v>0</v>
      </c>
      <c r="AG45" s="675">
        <f t="shared" ca="1" si="193"/>
        <v>0</v>
      </c>
      <c r="AH45" s="675">
        <f t="shared" ca="1" si="194"/>
        <v>0</v>
      </c>
      <c r="AI45" s="675"/>
      <c r="AJ45" s="575" t="str">
        <f t="shared" si="196"/>
        <v>T-SHIRTS &amp; TOPS</v>
      </c>
      <c r="AK45" s="761"/>
      <c r="AL45" s="761"/>
      <c r="AM45" s="761"/>
      <c r="AN45" s="613"/>
      <c r="AO45" s="761"/>
      <c r="AP45" s="761"/>
      <c r="AQ45" s="761"/>
      <c r="AR45" s="613"/>
      <c r="AS45" s="761"/>
      <c r="AT45" s="761"/>
      <c r="AU45" s="761"/>
      <c r="AV45" s="613"/>
      <c r="AW45" s="761"/>
      <c r="AX45" s="761"/>
      <c r="AY45" s="761"/>
      <c r="AZ45" s="449"/>
      <c r="BA45" s="575" t="str">
        <f t="shared" si="195"/>
        <v>T-SHIRTS &amp; TOPS</v>
      </c>
      <c r="BB45" s="677">
        <f ca="1">MAX(IF(ISNA(VLOOKUP($BB$4,TIME!$M$40:$M$42,1,FALSE)),0,HLOOKUP(BB$4,NWC_FC_NOOS!$S$4:$AH$23,MATCH($BA45,NWC_FC_NOOS!$S$4:$S$23,0),FALSE)-CJ45),0)</f>
        <v>0</v>
      </c>
      <c r="BC45" s="677">
        <f ca="1">IF(ISNA(VLOOKUP(BC$4,TIME!$M$40:$M$42,1,FALSE)),0,IF(HLOOKUP(BC$4,NWC_FC_NOOS!$S$4:$AH$23,MATCH($BA45,NWC_FC_NOOS!$S$4:$S$23,0),FALSE)-CK45-SUM($BB45:BB45)&gt;0,HLOOKUP(BC$4,NWC_FC_NOOS!$S$4:$AH$23,MATCH($BA45,NWC_FC_NOOS!$S$4:$S$23,0),FALSE)-CK45-SUM($BB45:BB45),0))</f>
        <v>0</v>
      </c>
      <c r="BD45" s="677">
        <f ca="1">IF(ISNA(VLOOKUP(BD$4,TIME!$M$40:$M$42,1,FALSE)),0,IF(HLOOKUP(BD$4,NWC_FC_NOOS!$S$4:$AH$23,MATCH($BA45,NWC_FC_NOOS!$S$4:$S$23,0),FALSE)-CL45-SUM($BB45:BC45)&gt;0,HLOOKUP(BD$4,NWC_FC_NOOS!$S$4:$AH$23,MATCH($BA45,NWC_FC_NOOS!$S$4:$S$23,0),FALSE)-CL45-SUM($BB45:BC45),0))</f>
        <v>0</v>
      </c>
      <c r="BE45" s="678"/>
      <c r="BF45" s="677">
        <f ca="1">IF(HLOOKUP(BF$4,NWC_FC_NOOS!$S$4:$AH$23,MATCH($BA45,NWC_FC_NOOS!$S$4:$S$23,0),FALSE)-CN45-SUM($BB45:BE45)&gt;0,HLOOKUP(BF$4,NWC_FC_NOOS!$S$4:$AH$23,MATCH($BA45,NWC_FC_NOOS!$S$4:$S$23,0),FALSE)-CN45-SUM($BB45:BE45),0)</f>
        <v>0</v>
      </c>
      <c r="BG45" s="677">
        <f ca="1">IF(HLOOKUP(BG$4,NWC_FC_NOOS!$S$4:$AH$23,MATCH($BA45,NWC_FC_NOOS!$S$4:$S$23,0),FALSE)-CO45-SUM($BB45:BF45)&gt;0,HLOOKUP(BG$4,NWC_FC_NOOS!$S$4:$AH$23,MATCH($BA45,NWC_FC_NOOS!$S$4:$S$23,0),FALSE)-CO45-SUM($BB45:BF45),0)</f>
        <v>0</v>
      </c>
      <c r="BH45" s="677">
        <f ca="1">IF(HLOOKUP(BH$4,NWC_FC_NOOS!$S$4:$AH$23,MATCH($BA45,NWC_FC_NOOS!$S$4:$S$23,0),FALSE)-CP45-SUM($BB45:BG45)&gt;0,HLOOKUP(BH$4,NWC_FC_NOOS!$S$4:$AH$23,MATCH($BA45,NWC_FC_NOOS!$S$4:$S$23,0),FALSE)-CP45-SUM($BB45:BG45),0)</f>
        <v>0</v>
      </c>
      <c r="BI45" s="678"/>
      <c r="BJ45" s="677">
        <f ca="1">IF(HLOOKUP(BJ$4,NWC_FC_NOOS!$S$4:$AH$23,MATCH($BA45,NWC_FC_NOOS!$S$4:$S$23,0),FALSE)-CR45-SUM($BB45:BI45)&gt;0,HLOOKUP(BJ$4,NWC_FC_NOOS!$S$4:$AH$23,MATCH($BA45,NWC_FC_NOOS!$S$4:$S$23,0),FALSE)-CR45-SUM($BB45:BI45),0)</f>
        <v>0</v>
      </c>
      <c r="BK45" s="677">
        <f ca="1">IF(HLOOKUP(BK$4,NWC_FC_NOOS!$S$4:$AH$23,MATCH($BA45,NWC_FC_NOOS!$S$4:$S$23,0),FALSE)-CS45-SUM($BB45:BJ45)&gt;0,HLOOKUP(BK$4,NWC_FC_NOOS!$S$4:$AH$23,MATCH($BA45,NWC_FC_NOOS!$S$4:$S$23,0),FALSE)-CS45-SUM($BB45:BJ45),0)</f>
        <v>0</v>
      </c>
      <c r="BL45" s="677">
        <f ca="1">IF(HLOOKUP(BL$4,NWC_FC_NOOS!$S$4:$AH$23,MATCH($BA45,NWC_FC_NOOS!$S$4:$S$23,0),FALSE)-CT45-SUM($BB45:BK45)&gt;0,HLOOKUP(BL$4,NWC_FC_NOOS!$S$4:$AH$23,MATCH($BA45,NWC_FC_NOOS!$S$4:$S$23,0),FALSE)-CT45-SUM($BB45:BK45),0)</f>
        <v>0</v>
      </c>
      <c r="BM45" s="678"/>
      <c r="BN45" s="677">
        <f ca="1">IF(HLOOKUP(BN$4,NWC_FC_NOOS!$S$4:$AH$23,MATCH($BA45,NWC_FC_NOOS!$S$4:$S$23,0),FALSE)-CV45-SUM($BB45:BM45)&gt;0,HLOOKUP(BN$4,NWC_FC_NOOS!$S$4:$AH$23,MATCH($BA45,NWC_FC_NOOS!$S$4:$S$23,0),FALSE)-CV45-SUM($BB45:BM45),0)</f>
        <v>0</v>
      </c>
      <c r="BO45" s="677">
        <f ca="1">IF(HLOOKUP(BO$4,NWC_FC_NOOS!$S$4:$AH$23,MATCH($BA45,NWC_FC_NOOS!$S$4:$S$23,0),FALSE)-CW45-SUM($BB45:BN45)&gt;0,HLOOKUP(BO$4,NWC_FC_NOOS!$S$4:$AH$23,MATCH($BA45,NWC_FC_NOOS!$S$4:$S$23,0),FALSE)-CW45-SUM($BB45:BN45),0)</f>
        <v>0</v>
      </c>
      <c r="BP45" s="677">
        <f ca="1">IF(HLOOKUP(BP$4,NWC_FC_NOOS!$S$4:$AH$23,MATCH($BA45,NWC_FC_NOOS!$S$4:$S$23,0),FALSE)-CX45-SUM($BB45:BO45)&gt;0,HLOOKUP(BP$4,NWC_FC_NOOS!$S$4:$AH$23,MATCH($BA45,NWC_FC_NOOS!$S$4:$S$23,0),FALSE)-CX45-SUM($BB45:BO45),0)</f>
        <v>0</v>
      </c>
      <c r="BR45" s="575" t="str">
        <f t="shared" si="197"/>
        <v>T-SHIRTS &amp; TOPS</v>
      </c>
      <c r="BS45" s="677">
        <f ca="1">IF(BS$2=TIME!$E$5,SUMIFS(OPEN_ORDERS!$E:$E,OPEN_ORDERS!$B:$B,"&lt;="&amp;BS$2,OPEN_ORDERS!$C:$C,$BA45,OPEN_ORDERS!$D:$D,$BA$25)+SUMIFS(OPEN_ORDERS!$E:$E,OPEN_ORDERS!$B:$B,"IMMEDIATELY",OPEN_ORDERS!$C:$C,$BA45,OPEN_ORDERS!$D:$D,$BA$25),SUMIFS(OPEN_ORDERS!$E:$E,OPEN_ORDERS!$B:$B,BS$2,OPEN_ORDERS!$C:$C,$BA45,OPEN_ORDERS!$D:$D,$BA$25))</f>
        <v>0</v>
      </c>
      <c r="BT45" s="677">
        <f ca="1">IF(BT$2=TIME!$E$5,SUMIFS(OPEN_ORDERS!$E:$E,OPEN_ORDERS!$B:$B,"&lt;="&amp;BT$2,OPEN_ORDERS!$C:$C,$BA45,OPEN_ORDERS!$D:$D,$BA$25)+SUMIFS(OPEN_ORDERS!$E:$E,OPEN_ORDERS!$B:$B,"IMMEDIATELY",OPEN_ORDERS!$C:$C,$BA45,OPEN_ORDERS!$D:$D,$BA$25),SUMIFS(OPEN_ORDERS!$E:$E,OPEN_ORDERS!$B:$B,BT$2,OPEN_ORDERS!$C:$C,$BA45,OPEN_ORDERS!$D:$D,$BA$25))</f>
        <v>0</v>
      </c>
      <c r="BU45" s="677">
        <f ca="1">IF(BU$2=TIME!$E$5,SUMIFS(OPEN_ORDERS!$E:$E,OPEN_ORDERS!$B:$B,"&lt;="&amp;BU$2,OPEN_ORDERS!$C:$C,$BA45,OPEN_ORDERS!$D:$D,$BA$25)+SUMIFS(OPEN_ORDERS!$E:$E,OPEN_ORDERS!$B:$B,"IMMEDIATELY",OPEN_ORDERS!$C:$C,$BA45,OPEN_ORDERS!$D:$D,$BA$25),SUMIFS(OPEN_ORDERS!$E:$E,OPEN_ORDERS!$B:$B,BU$2,OPEN_ORDERS!$C:$C,$BA45,OPEN_ORDERS!$D:$D,$BA$25))</f>
        <v>1792</v>
      </c>
      <c r="BV45" s="678"/>
      <c r="BW45" s="677">
        <f ca="1">SUMIFS(OPEN_ORDERS!$E:$E,OPEN_ORDERS!$B:$B,BW$2,OPEN_ORDERS!$C:$C,$BA45,OPEN_ORDERS!$D:$D,$BA$25)</f>
        <v>0</v>
      </c>
      <c r="BX45" s="677">
        <f ca="1">SUMIFS(OPEN_ORDERS!$E:$E,OPEN_ORDERS!$B:$B,BX$2,OPEN_ORDERS!$C:$C,$BA45,OPEN_ORDERS!$D:$D,$BA$25)</f>
        <v>0</v>
      </c>
      <c r="BY45" s="677">
        <f ca="1">SUMIFS(OPEN_ORDERS!$E:$E,OPEN_ORDERS!$B:$B,BY$2,OPEN_ORDERS!$C:$C,$BA45,OPEN_ORDERS!$D:$D,$BA$25)</f>
        <v>0</v>
      </c>
      <c r="BZ45" s="678"/>
      <c r="CA45" s="677">
        <f ca="1">SUMIFS(OPEN_ORDERS!$E:$E,OPEN_ORDERS!$B:$B,CA$2,OPEN_ORDERS!$C:$C,$BA45,OPEN_ORDERS!$D:$D,$BA$25)</f>
        <v>0</v>
      </c>
      <c r="CB45" s="677">
        <f ca="1">SUMIFS(OPEN_ORDERS!$E:$E,OPEN_ORDERS!$B:$B,CB$2,OPEN_ORDERS!$C:$C,$BA45,OPEN_ORDERS!$D:$D,$BA$25)</f>
        <v>0</v>
      </c>
      <c r="CC45" s="677">
        <f ca="1">SUMIFS(OPEN_ORDERS!$E:$E,OPEN_ORDERS!$B:$B,CC$2,OPEN_ORDERS!$C:$C,$BA45,OPEN_ORDERS!$D:$D,$BA$25)</f>
        <v>0</v>
      </c>
      <c r="CD45" s="678"/>
      <c r="CE45" s="677">
        <f ca="1">SUMIFS(OPEN_ORDERS!$E:$E,OPEN_ORDERS!$B:$B,CE$2,OPEN_ORDERS!$C:$C,$BA45,OPEN_ORDERS!$D:$D,$BA$25)</f>
        <v>0</v>
      </c>
      <c r="CF45" s="677">
        <f ca="1">SUMIFS(OPEN_ORDERS!$E:$E,OPEN_ORDERS!$B:$B,CF$2,OPEN_ORDERS!$C:$C,$BA45,OPEN_ORDERS!$D:$D,$BA$25)</f>
        <v>0</v>
      </c>
      <c r="CG45" s="677">
        <f ca="1">SUMIFS(OPEN_ORDERS!$E:$E,OPEN_ORDERS!$B:$B,CG$2,OPEN_ORDERS!$C:$C,$BA45,OPEN_ORDERS!$D:$D,$BA$25)</f>
        <v>0</v>
      </c>
      <c r="CH45" s="61"/>
      <c r="CI45" s="1" t="str">
        <f t="shared" si="198"/>
        <v>T-SHIRTS &amp; TOPS</v>
      </c>
      <c r="CJ45" s="677">
        <f ca="1">IF($CJ$7="Aug",SUMIFS(HIS_STOCK!$F:$F,HIS_STOCK!$A:$A,$BA$25,HIS_STOCK!$C:$C,$CI45,HIS_STOCK!$D:$D,$CK$1,HIS_STOCK!$E:$E,$CL$1)+BS45-(AK45*1000)-T45-HLOOKUP($CJ$4,NWC_FC_NOOS!$C$50:$U$69,MATCH($CI45,NWC_FC_NOOS!$B$50:$B$69,0),FALSE),IF($CJ$2=TIME!$E$5,SUMIFS(HIS_STOCK!$F:$F,HIS_STOCK!$A:$A,$BA$25,HIS_STOCK!$C:$C,$CI45,HIS_STOCK!$D:$D,$CJ$5,HIS_STOCK!$E:$E,$CL$1)+BS45-(AK45*1000)-T45-HLOOKUP($CJ$4,NWC_FC_NOOS!$C$50:$U$69,MATCH($CI45,NWC_FC_NOOS!$B$50:$B$69,0),FALSE),SUMIFS(HIS_STOCK!$F:$F,HIS_STOCK!$A:$A,$BA$25,HIS_STOCK!$C:$C,$CI45,HIS_STOCK!$D:$D,$CJ$5,HIS_STOCK!$E:$E,CJ$7)))</f>
        <v>0</v>
      </c>
      <c r="CK45" s="677">
        <f ca="1">IF(SUMIFS(HIS_STOCK!$F:$F,HIS_STOCK!$A:$A,$BA$25,HIS_STOCK!$C:$C,$CI45,HIS_STOCK!$D:$D,$CJ$5,HIS_STOCK!$E:$E,CK$7)&lt;&gt;0,SUMIFS(HIS_STOCK!$F:$F,HIS_STOCK!$A:$A,$BA$25,HIS_STOCK!$C:$C,$CI45,HIS_STOCK!$D:$D,$CJ$5,HIS_STOCK!$E:$E,CK$7)-(AL45*1000),CJ45+BT45+((AK45-AL45)*1000)-U45-HLOOKUP(CK$4,NWC_FC_NOOS!$C$50:$U$69,MATCH(PLANNING_FC!$BR45,NWC_FC_NOOS!$B$50:$B$69,0),FALSE))</f>
        <v>0</v>
      </c>
      <c r="CL45" s="677">
        <f ca="1">IF(SUMIFS(HIS_STOCK!$F:$F,HIS_STOCK!$A:$A,$BA$25,HIS_STOCK!$C:$C,$CI45,HIS_STOCK!$D:$D,$CJ$5,HIS_STOCK!$E:$E,CL$7)&lt;&gt;0,SUMIFS(HIS_STOCK!$F:$F,HIS_STOCK!$A:$A,$BA$25,HIS_STOCK!$C:$C,$CI45,HIS_STOCK!$D:$D,$CJ$5,HIS_STOCK!$E:$E,CL$7)-(AM45*1000),CK45+BU45+((AL45-AM45)*1000)-V45-HLOOKUP(CL$4,NWC_FC_NOOS!$C$50:$U$69,MATCH(PLANNING_FC!$BR45,NWC_FC_NOOS!$B$50:$B$69,0),FALSE))</f>
        <v>1792</v>
      </c>
      <c r="CM45" s="678"/>
      <c r="CN45" s="677">
        <f ca="1">CL45+BW45+((AM45-AO45)*1000)-X45-HLOOKUP(CN$4,NWC_FC_NOOS!$C$50:$U$69,MATCH(PLANNING_FC!$BR45,NWC_FC_NOOS!$B$50:$B$69,0),FALSE)</f>
        <v>1792</v>
      </c>
      <c r="CO45" s="677">
        <f ca="1">CN45+BX45+((AO45-AP45)*1000)-Y45-HLOOKUP(CO$4,NWC_FC_NOOS!$C$50:$U$69,MATCH(PLANNING_FC!$BR45,NWC_FC_NOOS!$B$50:$B$69,0),FALSE)</f>
        <v>1792</v>
      </c>
      <c r="CP45" s="677">
        <f ca="1">CO45+BY45+((AP45-AQ45)*1000)-Z45-HLOOKUP(CP$4,NWC_FC_NOOS!$C$50:$U$69,MATCH(PLANNING_FC!$BR45,NWC_FC_NOOS!$B$50:$B$69,0),FALSE)</f>
        <v>1792</v>
      </c>
      <c r="CQ45" s="678"/>
      <c r="CR45" s="677">
        <f ca="1">CP45+CA45+((AQ45-AS45)*1000)-AB45-HLOOKUP(CR$4,NWC_FC_NOOS!$C$50:$U$69,MATCH(PLANNING_FC!$BR45,NWC_FC_NOOS!$B$50:$B$69,0),FALSE)</f>
        <v>1792</v>
      </c>
      <c r="CS45" s="677">
        <f ca="1">CR45+CB45+((AS45-AT45)*1000)-AC45-HLOOKUP(CS$4,NWC_FC_NOOS!$C$50:$U$69,MATCH(PLANNING_FC!$BR45,NWC_FC_NOOS!$B$50:$B$69,0),FALSE)</f>
        <v>1792</v>
      </c>
      <c r="CT45" s="677">
        <f ca="1">CS45+CC45+((AT45-AU45)*1000)-AD45-HLOOKUP(CT$4,NWC_FC_NOOS!$C$50:$U$69,MATCH(PLANNING_FC!$BR45,NWC_FC_NOOS!$B$50:$B$69,0),FALSE)</f>
        <v>1792</v>
      </c>
      <c r="CU45" s="678"/>
      <c r="CV45" s="677">
        <f ca="1">CT45+CE45+((AU45-AW45)*1000)-AF45-HLOOKUP(CV$4,NWC_FC_NOOS!$C$50:$U$69,MATCH(PLANNING_FC!$BR45,NWC_FC_NOOS!$B$50:$B$69,0),FALSE)</f>
        <v>1792</v>
      </c>
      <c r="CW45" s="677">
        <f ca="1">CV45+CF45+((AW45-AX45)*1000)-AG45-HLOOKUP(CW$4,NWC_FC_NOOS!$C$50:$U$69,MATCH(PLANNING_FC!$BR45,NWC_FC_NOOS!$B$50:$B$69,0),FALSE)</f>
        <v>1792</v>
      </c>
      <c r="CX45" s="677">
        <f ca="1">CW45+CG45+((AX45-AY45)*1000)-AH45-HLOOKUP(CX$4,NWC_FC_NOOS!$C$50:$U$69,MATCH(PLANNING_FC!$BR45,NWC_FC_NOOS!$B$50:$B$69,0),FALSE)</f>
        <v>1792</v>
      </c>
      <c r="CZ45" s="575" t="str">
        <f t="shared" si="199"/>
        <v>T-SHIRTS &amp; TOPS</v>
      </c>
      <c r="DA45" s="677">
        <f ca="1">IF(STOCK_OVERVIEW!C$41="ACT",SUMIFS(HIS_STOCK!$F:$F,HIS_STOCK!$A:$A,PLANNING_FC!$BA$25,HIS_STOCK!$C:$C,PLANNING_FC!$CZ22,HIS_STOCK!$D:$D,PLANNING_FC!$DA$5,HIS_STOCK!$E:$E,PLANNING_FC!DA$7),CJ45+SUM($BB45:BB45))</f>
        <v>0</v>
      </c>
      <c r="DB45" s="677">
        <f ca="1">IF(STOCK_OVERVIEW!D$41="ACT",SUMIFS(HIS_STOCK!$F:$F,HIS_STOCK!$A:$A,PLANNING_FC!$BA$25,HIS_STOCK!$C:$C,PLANNING_FC!$CZ22,HIS_STOCK!$D:$D,PLANNING_FC!$DA$5,HIS_STOCK!$E:$E,PLANNING_FC!DB$7),CK45+SUM($BB45:BC45))</f>
        <v>0</v>
      </c>
      <c r="DC45" s="677">
        <f ca="1">CL45+SUM($BB45:BD45)</f>
        <v>1792</v>
      </c>
      <c r="DD45" s="678"/>
      <c r="DE45" s="677">
        <f ca="1">CN45+SUM($BB45:BF45)</f>
        <v>1792</v>
      </c>
      <c r="DF45" s="677">
        <f ca="1">CO45+SUM($BB45:BG45)</f>
        <v>1792</v>
      </c>
      <c r="DG45" s="677">
        <f ca="1">CP45+SUM($BB45:BH45)</f>
        <v>1792</v>
      </c>
      <c r="DH45" s="678"/>
      <c r="DI45" s="677">
        <f ca="1">CR45+SUM($BB45:BJ45)</f>
        <v>1792</v>
      </c>
      <c r="DJ45" s="677">
        <f ca="1">CS45+SUM($BB45:BK45)</f>
        <v>1792</v>
      </c>
      <c r="DK45" s="677">
        <f ca="1">CT45+SUM($BB45:BL45)</f>
        <v>1792</v>
      </c>
      <c r="DL45" s="678"/>
      <c r="DM45" s="677">
        <f ca="1">CV45+SUM($BB45:BN45)</f>
        <v>1792</v>
      </c>
      <c r="DN45" s="677">
        <f ca="1">CW45+SUM($BB45:BO45)</f>
        <v>1792</v>
      </c>
      <c r="DO45" s="677">
        <f ca="1">CX45+SUM($BB45:BP45)</f>
        <v>1792</v>
      </c>
      <c r="DQ45" s="575" t="str">
        <f t="shared" si="200"/>
        <v>T-SHIRTS &amp; TOPS</v>
      </c>
      <c r="DR45" s="677">
        <f ca="1">IF($DT$7="Aug",SUMIFS(HIS_STOCK!$F:$F,HIS_STOCK!$A:$A,$BA$25,HIS_STOCK!$C:$C,$DQ45,HIS_STOCK!$D:$D,$DR$4,HIS_STOCK!$E:$E,$DR$7),SUMIFS(HIS_STOCK!$F:$F,HIS_STOCK!$A:$A,$BA$25,HIS_STOCK!$C:$C,$DQ45,HIS_STOCK!$D:$D,$DR$5,HIS_STOCK!$E:$E,$DR$7))</f>
        <v>0</v>
      </c>
      <c r="DS45" s="677"/>
      <c r="DT45" s="677">
        <f ca="1">NWC_FC_NOOS!T22</f>
        <v>0</v>
      </c>
      <c r="DU45" s="677">
        <f ca="1">NWC_FC_NOOS!U22</f>
        <v>0</v>
      </c>
      <c r="DV45" s="677">
        <f ca="1">NWC_FC_NOOS!V22</f>
        <v>0</v>
      </c>
      <c r="DW45" s="678"/>
      <c r="DX45" s="677">
        <f ca="1">NWC_FC_NOOS!X22</f>
        <v>0</v>
      </c>
      <c r="DY45" s="677">
        <f ca="1">NWC_FC_NOOS!Y22</f>
        <v>0</v>
      </c>
      <c r="DZ45" s="677">
        <f ca="1">NWC_FC_NOOS!Z22</f>
        <v>0</v>
      </c>
      <c r="EA45" s="678"/>
      <c r="EB45" s="677">
        <f ca="1">NWC_FC_NOOS!AB22</f>
        <v>0</v>
      </c>
      <c r="EC45" s="677">
        <f ca="1">NWC_FC_NOOS!AC22</f>
        <v>0</v>
      </c>
      <c r="ED45" s="677">
        <f ca="1">NWC_FC_NOOS!AD22</f>
        <v>0</v>
      </c>
      <c r="EE45" s="678"/>
      <c r="EF45" s="677">
        <f ca="1">NWC_FC_NOOS!AF22</f>
        <v>0</v>
      </c>
      <c r="EG45" s="677">
        <f ca="1">NWC_FC_NOOS!AG22</f>
        <v>0</v>
      </c>
      <c r="EH45" s="677">
        <f ca="1">NWC_FC_NOOS!AH22</f>
        <v>0</v>
      </c>
    </row>
    <row r="46" spans="1:138" s="204" customFormat="1" x14ac:dyDescent="0.25">
      <c r="A46" s="62"/>
      <c r="B46" s="800">
        <f t="shared" si="182"/>
        <v>0</v>
      </c>
      <c r="C46" s="803"/>
      <c r="D46" s="762"/>
      <c r="E46" s="762"/>
      <c r="F46" s="762"/>
      <c r="G46" s="614"/>
      <c r="H46" s="762"/>
      <c r="I46" s="762"/>
      <c r="J46" s="762"/>
      <c r="K46" s="614"/>
      <c r="L46" s="762"/>
      <c r="M46" s="762"/>
      <c r="N46" s="762"/>
      <c r="O46" s="614"/>
      <c r="P46" s="762"/>
      <c r="Q46" s="762"/>
      <c r="R46" s="762"/>
      <c r="S46" s="449"/>
      <c r="T46" s="676">
        <f t="shared" ca="1" si="183"/>
        <v>0</v>
      </c>
      <c r="U46" s="676">
        <f t="shared" ca="1" si="184"/>
        <v>0</v>
      </c>
      <c r="V46" s="676">
        <f t="shared" ca="1" si="185"/>
        <v>0</v>
      </c>
      <c r="W46" s="675"/>
      <c r="X46" s="676">
        <f t="shared" ca="1" si="186"/>
        <v>0</v>
      </c>
      <c r="Y46" s="676">
        <f t="shared" ca="1" si="187"/>
        <v>0</v>
      </c>
      <c r="Z46" s="676">
        <f t="shared" ca="1" si="188"/>
        <v>0</v>
      </c>
      <c r="AA46" s="675"/>
      <c r="AB46" s="676">
        <f t="shared" ca="1" si="189"/>
        <v>0</v>
      </c>
      <c r="AC46" s="676">
        <f t="shared" ca="1" si="190"/>
        <v>0</v>
      </c>
      <c r="AD46" s="676">
        <f t="shared" ca="1" si="191"/>
        <v>0</v>
      </c>
      <c r="AE46" s="675"/>
      <c r="AF46" s="676">
        <f t="shared" ca="1" si="192"/>
        <v>0</v>
      </c>
      <c r="AG46" s="676">
        <f t="shared" ca="1" si="193"/>
        <v>0</v>
      </c>
      <c r="AH46" s="676">
        <f t="shared" ca="1" si="194"/>
        <v>0</v>
      </c>
      <c r="AI46" s="675"/>
      <c r="AJ46" s="799">
        <f t="shared" si="196"/>
        <v>0</v>
      </c>
      <c r="AK46" s="762"/>
      <c r="AL46" s="762"/>
      <c r="AM46" s="762"/>
      <c r="AN46" s="614"/>
      <c r="AO46" s="762"/>
      <c r="AP46" s="762"/>
      <c r="AQ46" s="762"/>
      <c r="AR46" s="614"/>
      <c r="AS46" s="762"/>
      <c r="AT46" s="762"/>
      <c r="AU46" s="762"/>
      <c r="AV46" s="614"/>
      <c r="AW46" s="762"/>
      <c r="AX46" s="762"/>
      <c r="AY46" s="762"/>
      <c r="AZ46" s="449"/>
      <c r="BA46" s="800">
        <f t="shared" si="195"/>
        <v>0</v>
      </c>
      <c r="BB46" s="679">
        <f ca="1">MAX(IF(ISNA(VLOOKUP($BB$4,TIME!$M$40:$M$42,1,FALSE)),0,HLOOKUP(BB$4,NWC_FC_NOOS!$S$4:$AH$23,MATCH($BA46,NWC_FC_NOOS!$S$4:$S$23,0),FALSE)-CJ46),0)</f>
        <v>0</v>
      </c>
      <c r="BC46" s="679">
        <f ca="1">IF(ISNA(VLOOKUP(BC$4,TIME!$M$40:$M$42,1,FALSE)),0,IF(HLOOKUP(BC$4,NWC_FC_NOOS!$S$4:$AH$23,MATCH($BA46,NWC_FC_NOOS!$S$4:$S$23,0),FALSE)-CK46-SUM($BB46:BB46)&gt;0,HLOOKUP(BC$4,NWC_FC_NOOS!$S$4:$AH$23,MATCH($BA46,NWC_FC_NOOS!$S$4:$S$23,0),FALSE)-CK46-SUM($BB46:BB46),0))</f>
        <v>0</v>
      </c>
      <c r="BD46" s="679">
        <f ca="1">IF(ISNA(VLOOKUP(BD$4,TIME!$M$40:$M$42,1,FALSE)),0,IF(HLOOKUP(BD$4,NWC_FC_NOOS!$S$4:$AH$23,MATCH($BA46,NWC_FC_NOOS!$S$4:$S$23,0),FALSE)-CL46-SUM($BB46:BC46)&gt;0,HLOOKUP(BD$4,NWC_FC_NOOS!$S$4:$AH$23,MATCH($BA46,NWC_FC_NOOS!$S$4:$S$23,0),FALSE)-CL46-SUM($BB46:BC46),0))</f>
        <v>0</v>
      </c>
      <c r="BE46" s="680"/>
      <c r="BF46" s="679">
        <f ca="1">IF(HLOOKUP(BF$4,NWC_FC_NOOS!$S$4:$AH$23,MATCH($BA46,NWC_FC_NOOS!$S$4:$S$23,0),FALSE)-CN46-SUM($BB46:BE46)&gt;0,HLOOKUP(BF$4,NWC_FC_NOOS!$S$4:$AH$23,MATCH($BA46,NWC_FC_NOOS!$S$4:$S$23,0),FALSE)-CN46-SUM($BB46:BE46),0)</f>
        <v>0</v>
      </c>
      <c r="BG46" s="679">
        <f ca="1">IF(HLOOKUP(BG$4,NWC_FC_NOOS!$S$4:$AH$23,MATCH($BA46,NWC_FC_NOOS!$S$4:$S$23,0),FALSE)-CO46-SUM($BB46:BF46)&gt;0,HLOOKUP(BG$4,NWC_FC_NOOS!$S$4:$AH$23,MATCH($BA46,NWC_FC_NOOS!$S$4:$S$23,0),FALSE)-CO46-SUM($BB46:BF46),0)</f>
        <v>0</v>
      </c>
      <c r="BH46" s="679">
        <f ca="1">IF(HLOOKUP(BH$4,NWC_FC_NOOS!$S$4:$AH$23,MATCH($BA46,NWC_FC_NOOS!$S$4:$S$23,0),FALSE)-CP46-SUM($BB46:BG46)&gt;0,HLOOKUP(BH$4,NWC_FC_NOOS!$S$4:$AH$23,MATCH($BA46,NWC_FC_NOOS!$S$4:$S$23,0),FALSE)-CP46-SUM($BB46:BG46),0)</f>
        <v>0</v>
      </c>
      <c r="BI46" s="680"/>
      <c r="BJ46" s="679">
        <f ca="1">IF(HLOOKUP(BJ$4,NWC_FC_NOOS!$S$4:$AH$23,MATCH($BA46,NWC_FC_NOOS!$S$4:$S$23,0),FALSE)-CR46-SUM($BB46:BI46)&gt;0,HLOOKUP(BJ$4,NWC_FC_NOOS!$S$4:$AH$23,MATCH($BA46,NWC_FC_NOOS!$S$4:$S$23,0),FALSE)-CR46-SUM($BB46:BI46),0)</f>
        <v>0</v>
      </c>
      <c r="BK46" s="679">
        <f ca="1">IF(HLOOKUP(BK$4,NWC_FC_NOOS!$S$4:$AH$23,MATCH($BA46,NWC_FC_NOOS!$S$4:$S$23,0),FALSE)-CS46-SUM($BB46:BJ46)&gt;0,HLOOKUP(BK$4,NWC_FC_NOOS!$S$4:$AH$23,MATCH($BA46,NWC_FC_NOOS!$S$4:$S$23,0),FALSE)-CS46-SUM($BB46:BJ46),0)</f>
        <v>0</v>
      </c>
      <c r="BL46" s="679">
        <f ca="1">IF(HLOOKUP(BL$4,NWC_FC_NOOS!$S$4:$AH$23,MATCH($BA46,NWC_FC_NOOS!$S$4:$S$23,0),FALSE)-CT46-SUM($BB46:BK46)&gt;0,HLOOKUP(BL$4,NWC_FC_NOOS!$S$4:$AH$23,MATCH($BA46,NWC_FC_NOOS!$S$4:$S$23,0),FALSE)-CT46-SUM($BB46:BK46),0)</f>
        <v>0</v>
      </c>
      <c r="BM46" s="680"/>
      <c r="BN46" s="679">
        <f ca="1">IF(HLOOKUP(BN$4,NWC_FC_NOOS!$S$4:$AH$23,MATCH($BA46,NWC_FC_NOOS!$S$4:$S$23,0),FALSE)-CV46-SUM($BB46:BM46)&gt;0,HLOOKUP(BN$4,NWC_FC_NOOS!$S$4:$AH$23,MATCH($BA46,NWC_FC_NOOS!$S$4:$S$23,0),FALSE)-CV46-SUM($BB46:BM46),0)</f>
        <v>0</v>
      </c>
      <c r="BO46" s="679">
        <f ca="1">IF(HLOOKUP(BO$4,NWC_FC_NOOS!$S$4:$AH$23,MATCH($BA46,NWC_FC_NOOS!$S$4:$S$23,0),FALSE)-CW46-SUM($BB46:BN46)&gt;0,HLOOKUP(BO$4,NWC_FC_NOOS!$S$4:$AH$23,MATCH($BA46,NWC_FC_NOOS!$S$4:$S$23,0),FALSE)-CW46-SUM($BB46:BN46),0)</f>
        <v>0</v>
      </c>
      <c r="BP46" s="679">
        <f ca="1">IF(HLOOKUP(BP$4,NWC_FC_NOOS!$S$4:$AH$23,MATCH($BA46,NWC_FC_NOOS!$S$4:$S$23,0),FALSE)-CX46-SUM($BB46:BO46)&gt;0,HLOOKUP(BP$4,NWC_FC_NOOS!$S$4:$AH$23,MATCH($BA46,NWC_FC_NOOS!$S$4:$S$23,0),FALSE)-CX46-SUM($BB46:BO46),0)</f>
        <v>0</v>
      </c>
      <c r="BR46" s="800">
        <f t="shared" si="197"/>
        <v>0</v>
      </c>
      <c r="BS46" s="679">
        <f ca="1">IF(BS$2=TIME!$E$5,SUMIFS(OPEN_ORDERS!$E:$E,OPEN_ORDERS!$B:$B,"&lt;="&amp;BS$2,OPEN_ORDERS!$C:$C,$BA46,OPEN_ORDERS!$D:$D,$BA$25)+SUMIFS(OPEN_ORDERS!$E:$E,OPEN_ORDERS!$B:$B,"IMMEDIATELY",OPEN_ORDERS!$C:$C,$BA46,OPEN_ORDERS!$D:$D,$BA$25),SUMIFS(OPEN_ORDERS!$E:$E,OPEN_ORDERS!$B:$B,BS$2,OPEN_ORDERS!$C:$C,$BA46,OPEN_ORDERS!$D:$D,$BA$25))</f>
        <v>0</v>
      </c>
      <c r="BT46" s="679">
        <f ca="1">IF(BT$2=TIME!$E$5,SUMIFS(OPEN_ORDERS!$E:$E,OPEN_ORDERS!$B:$B,"&lt;="&amp;BT$2,OPEN_ORDERS!$C:$C,$BA46,OPEN_ORDERS!$D:$D,$BA$25)+SUMIFS(OPEN_ORDERS!$E:$E,OPEN_ORDERS!$B:$B,"IMMEDIATELY",OPEN_ORDERS!$C:$C,$BA46,OPEN_ORDERS!$D:$D,$BA$25),SUMIFS(OPEN_ORDERS!$E:$E,OPEN_ORDERS!$B:$B,BT$2,OPEN_ORDERS!$C:$C,$BA46,OPEN_ORDERS!$D:$D,$BA$25))</f>
        <v>0</v>
      </c>
      <c r="BU46" s="679">
        <f ca="1">IF(BU$2=TIME!$E$5,SUMIFS(OPEN_ORDERS!$E:$E,OPEN_ORDERS!$B:$B,"&lt;="&amp;BU$2,OPEN_ORDERS!$C:$C,$BA46,OPEN_ORDERS!$D:$D,$BA$25)+SUMIFS(OPEN_ORDERS!$E:$E,OPEN_ORDERS!$B:$B,"IMMEDIATELY",OPEN_ORDERS!$C:$C,$BA46,OPEN_ORDERS!$D:$D,$BA$25),SUMIFS(OPEN_ORDERS!$E:$E,OPEN_ORDERS!$B:$B,BU$2,OPEN_ORDERS!$C:$C,$BA46,OPEN_ORDERS!$D:$D,$BA$25))</f>
        <v>0</v>
      </c>
      <c r="BV46" s="680"/>
      <c r="BW46" s="679">
        <f ca="1">SUMIFS(OPEN_ORDERS!$E:$E,OPEN_ORDERS!$B:$B,BW$2,OPEN_ORDERS!$C:$C,$BA46,OPEN_ORDERS!$D:$D,$BA$25)</f>
        <v>0</v>
      </c>
      <c r="BX46" s="679">
        <f ca="1">SUMIFS(OPEN_ORDERS!$E:$E,OPEN_ORDERS!$B:$B,BX$2,OPEN_ORDERS!$C:$C,$BA46,OPEN_ORDERS!$D:$D,$BA$25)</f>
        <v>0</v>
      </c>
      <c r="BY46" s="679">
        <f ca="1">SUMIFS(OPEN_ORDERS!$E:$E,OPEN_ORDERS!$B:$B,BY$2,OPEN_ORDERS!$C:$C,$BA46,OPEN_ORDERS!$D:$D,$BA$25)</f>
        <v>0</v>
      </c>
      <c r="BZ46" s="680"/>
      <c r="CA46" s="679">
        <f ca="1">SUMIFS(OPEN_ORDERS!$E:$E,OPEN_ORDERS!$B:$B,CA$2,OPEN_ORDERS!$C:$C,$BA46,OPEN_ORDERS!$D:$D,$BA$25)</f>
        <v>0</v>
      </c>
      <c r="CB46" s="679">
        <f ca="1">SUMIFS(OPEN_ORDERS!$E:$E,OPEN_ORDERS!$B:$B,CB$2,OPEN_ORDERS!$C:$C,$BA46,OPEN_ORDERS!$D:$D,$BA$25)</f>
        <v>0</v>
      </c>
      <c r="CC46" s="679">
        <f ca="1">SUMIFS(OPEN_ORDERS!$E:$E,OPEN_ORDERS!$B:$B,CC$2,OPEN_ORDERS!$C:$C,$BA46,OPEN_ORDERS!$D:$D,$BA$25)</f>
        <v>0</v>
      </c>
      <c r="CD46" s="680"/>
      <c r="CE46" s="679">
        <f ca="1">SUMIFS(OPEN_ORDERS!$E:$E,OPEN_ORDERS!$B:$B,CE$2,OPEN_ORDERS!$C:$C,$BA46,OPEN_ORDERS!$D:$D,$BA$25)</f>
        <v>0</v>
      </c>
      <c r="CF46" s="679">
        <f ca="1">SUMIFS(OPEN_ORDERS!$E:$E,OPEN_ORDERS!$B:$B,CF$2,OPEN_ORDERS!$C:$C,$BA46,OPEN_ORDERS!$D:$D,$BA$25)</f>
        <v>0</v>
      </c>
      <c r="CG46" s="679">
        <f ca="1">SUMIFS(OPEN_ORDERS!$E:$E,OPEN_ORDERS!$B:$B,CG$2,OPEN_ORDERS!$C:$C,$BA46,OPEN_ORDERS!$D:$D,$BA$25)</f>
        <v>0</v>
      </c>
      <c r="CH46" s="61"/>
      <c r="CI46" s="384">
        <f t="shared" si="198"/>
        <v>0</v>
      </c>
      <c r="CJ46" s="679">
        <f ca="1">IF($CJ$7="Aug",SUMIFS(HIS_STOCK!$F:$F,HIS_STOCK!$A:$A,$BA$25,HIS_STOCK!$C:$C,$CI46,HIS_STOCK!$D:$D,$CK$1,HIS_STOCK!$E:$E,$CL$1)+BS46-(AK46*1000)-T46-HLOOKUP($CJ$4,NWC_FC_NOOS!$C$50:$U$69,MATCH($CI46,NWC_FC_NOOS!$B$50:$B$69,0),FALSE),IF($CJ$2=TIME!$E$5,SUMIFS(HIS_STOCK!$F:$F,HIS_STOCK!$A:$A,$BA$25,HIS_STOCK!$C:$C,$CI46,HIS_STOCK!$D:$D,$CJ$5,HIS_STOCK!$E:$E,$CL$1)+BS46-(AK46*1000)-T46-HLOOKUP($CJ$4,NWC_FC_NOOS!$C$50:$U$69,MATCH($CI46,NWC_FC_NOOS!$B$50:$B$69,0),FALSE),SUMIFS(HIS_STOCK!$F:$F,HIS_STOCK!$A:$A,$BA$25,HIS_STOCK!$C:$C,$CI46,HIS_STOCK!$D:$D,$CJ$5,HIS_STOCK!$E:$E,CJ$7)))</f>
        <v>0</v>
      </c>
      <c r="CK46" s="679">
        <f ca="1">IF(SUMIFS(HIS_STOCK!$F:$F,HIS_STOCK!$A:$A,$BA$25,HIS_STOCK!$C:$C,$CI46,HIS_STOCK!$D:$D,$CJ$5,HIS_STOCK!$E:$E,CK$7)&lt;&gt;0,SUMIFS(HIS_STOCK!$F:$F,HIS_STOCK!$A:$A,$BA$25,HIS_STOCK!$C:$C,$CI46,HIS_STOCK!$D:$D,$CJ$5,HIS_STOCK!$E:$E,CK$7)-(AL46*1000),CJ46+BT46+((AK46-AL46)*1000)-U46-HLOOKUP(CK$4,NWC_FC_NOOS!$C$50:$U$69,MATCH(PLANNING_FC!$BR46,NWC_FC_NOOS!$B$50:$B$69,0),FALSE))</f>
        <v>0</v>
      </c>
      <c r="CL46" s="679">
        <f ca="1">IF(SUMIFS(HIS_STOCK!$F:$F,HIS_STOCK!$A:$A,$BA$25,HIS_STOCK!$C:$C,$CI46,HIS_STOCK!$D:$D,$CJ$5,HIS_STOCK!$E:$E,CL$7)&lt;&gt;0,SUMIFS(HIS_STOCK!$F:$F,HIS_STOCK!$A:$A,$BA$25,HIS_STOCK!$C:$C,$CI46,HIS_STOCK!$D:$D,$CJ$5,HIS_STOCK!$E:$E,CL$7)-(AM46*1000),CK46+BU46+((AL46-AM46)*1000)-V46-HLOOKUP(CL$4,NWC_FC_NOOS!$C$50:$U$69,MATCH(PLANNING_FC!$BR46,NWC_FC_NOOS!$B$50:$B$69,0),FALSE))</f>
        <v>0</v>
      </c>
      <c r="CM46" s="680"/>
      <c r="CN46" s="679">
        <f ca="1">CL46+BW46+((AM46-AO46)*1000)-X46-HLOOKUP(CN$4,NWC_FC_NOOS!$C$50:$U$69,MATCH(PLANNING_FC!$BR46,NWC_FC_NOOS!$B$50:$B$69,0),FALSE)</f>
        <v>0</v>
      </c>
      <c r="CO46" s="679">
        <f ca="1">CN46+BX46+((AO46-AP46)*1000)-Y46-HLOOKUP(CO$4,NWC_FC_NOOS!$C$50:$U$69,MATCH(PLANNING_FC!$BR46,NWC_FC_NOOS!$B$50:$B$69,0),FALSE)</f>
        <v>0</v>
      </c>
      <c r="CP46" s="679">
        <f ca="1">CO46+BY46+((AP46-AQ46)*1000)-Z46-HLOOKUP(CP$4,NWC_FC_NOOS!$C$50:$U$69,MATCH(PLANNING_FC!$BR46,NWC_FC_NOOS!$B$50:$B$69,0),FALSE)</f>
        <v>0</v>
      </c>
      <c r="CQ46" s="680"/>
      <c r="CR46" s="679">
        <f ca="1">CP46+CA46+((AQ46-AS46)*1000)-AB46-HLOOKUP(CR$4,NWC_FC_NOOS!$C$50:$U$69,MATCH(PLANNING_FC!$BR46,NWC_FC_NOOS!$B$50:$B$69,0),FALSE)</f>
        <v>0</v>
      </c>
      <c r="CS46" s="679">
        <f ca="1">CR46+CB46+((AS46-AT46)*1000)-AC46-HLOOKUP(CS$4,NWC_FC_NOOS!$C$50:$U$69,MATCH(PLANNING_FC!$BR46,NWC_FC_NOOS!$B$50:$B$69,0),FALSE)</f>
        <v>0</v>
      </c>
      <c r="CT46" s="679">
        <f ca="1">CS46+CC46+((AT46-AU46)*1000)-AD46-HLOOKUP(CT$4,NWC_FC_NOOS!$C$50:$U$69,MATCH(PLANNING_FC!$BR46,NWC_FC_NOOS!$B$50:$B$69,0),FALSE)</f>
        <v>0</v>
      </c>
      <c r="CU46" s="680"/>
      <c r="CV46" s="679">
        <f ca="1">CT46+CE46+((AU46-AW46)*1000)-AF46-HLOOKUP(CV$4,NWC_FC_NOOS!$C$50:$U$69,MATCH(PLANNING_FC!$BR46,NWC_FC_NOOS!$B$50:$B$69,0),FALSE)</f>
        <v>0</v>
      </c>
      <c r="CW46" s="679">
        <f ca="1">CV46+CF46+((AW46-AX46)*1000)-AG46-HLOOKUP(CW$4,NWC_FC_NOOS!$C$50:$U$69,MATCH(PLANNING_FC!$BR46,NWC_FC_NOOS!$B$50:$B$69,0),FALSE)</f>
        <v>0</v>
      </c>
      <c r="CX46" s="679">
        <f ca="1">CW46+CG46+((AX46-AY46)*1000)-AH46-HLOOKUP(CX$4,NWC_FC_NOOS!$C$50:$U$69,MATCH(PLANNING_FC!$BR46,NWC_FC_NOOS!$B$50:$B$69,0),FALSE)</f>
        <v>0</v>
      </c>
      <c r="CZ46" s="800">
        <f t="shared" si="199"/>
        <v>0</v>
      </c>
      <c r="DA46" s="679">
        <f ca="1">IF(STOCK_OVERVIEW!C$41="ACT",SUMIFS(HIS_STOCK!$F:$F,HIS_STOCK!$A:$A,PLANNING_FC!$BA$25,HIS_STOCK!$C:$C,PLANNING_FC!$CZ23,HIS_STOCK!$D:$D,PLANNING_FC!$DA$5,HIS_STOCK!$E:$E,PLANNING_FC!DA$7),CJ46+SUM($BB46:BB46))</f>
        <v>0</v>
      </c>
      <c r="DB46" s="679">
        <f ca="1">IF(STOCK_OVERVIEW!D$41="ACT",SUMIFS(HIS_STOCK!$F:$F,HIS_STOCK!$A:$A,PLANNING_FC!$BA$25,HIS_STOCK!$C:$C,PLANNING_FC!$CZ23,HIS_STOCK!$D:$D,PLANNING_FC!$DA$5,HIS_STOCK!$E:$E,PLANNING_FC!DB$7),CK46+SUM($BB46:BC46))</f>
        <v>0</v>
      </c>
      <c r="DC46" s="679">
        <f ca="1">CL46+SUM($BB46:BD46)</f>
        <v>0</v>
      </c>
      <c r="DD46" s="680"/>
      <c r="DE46" s="679">
        <f ca="1">CN46+SUM($BB46:BF46)</f>
        <v>0</v>
      </c>
      <c r="DF46" s="679">
        <f ca="1">CO46+SUM($BB46:BG46)</f>
        <v>0</v>
      </c>
      <c r="DG46" s="679">
        <f ca="1">CP46+SUM($BB46:BH46)</f>
        <v>0</v>
      </c>
      <c r="DH46" s="680"/>
      <c r="DI46" s="679">
        <f ca="1">CR46+SUM($BB46:BJ46)</f>
        <v>0</v>
      </c>
      <c r="DJ46" s="679">
        <f ca="1">CS46+SUM($BB46:BK46)</f>
        <v>0</v>
      </c>
      <c r="DK46" s="679">
        <f ca="1">CT46+SUM($BB46:BL46)</f>
        <v>0</v>
      </c>
      <c r="DL46" s="680"/>
      <c r="DM46" s="679">
        <f ca="1">CV46+SUM($BB46:BN46)</f>
        <v>0</v>
      </c>
      <c r="DN46" s="679">
        <f ca="1">CW46+SUM($BB46:BO46)</f>
        <v>0</v>
      </c>
      <c r="DO46" s="679">
        <f ca="1">CX46+SUM($BB46:BP46)</f>
        <v>0</v>
      </c>
      <c r="DQ46" s="800">
        <f t="shared" si="200"/>
        <v>0</v>
      </c>
      <c r="DR46" s="679">
        <f ca="1">IF($DT$7="Aug",SUMIFS(HIS_STOCK!$F:$F,HIS_STOCK!$A:$A,$BA$25,HIS_STOCK!$C:$C,$DQ46,HIS_STOCK!$D:$D,$DR$4,HIS_STOCK!$E:$E,$DR$7),SUMIFS(HIS_STOCK!$F:$F,HIS_STOCK!$A:$A,$BA$25,HIS_STOCK!$C:$C,$DQ46,HIS_STOCK!$D:$D,$DR$5,HIS_STOCK!$E:$E,$DR$7))</f>
        <v>0</v>
      </c>
      <c r="DS46" s="679"/>
      <c r="DT46" s="679">
        <f ca="1">NWC_FC_NOOS!T23</f>
        <v>0</v>
      </c>
      <c r="DU46" s="679">
        <f ca="1">NWC_FC_NOOS!U23</f>
        <v>0</v>
      </c>
      <c r="DV46" s="679">
        <f ca="1">NWC_FC_NOOS!V23</f>
        <v>0</v>
      </c>
      <c r="DW46" s="680"/>
      <c r="DX46" s="679">
        <f ca="1">NWC_FC_NOOS!X23</f>
        <v>0</v>
      </c>
      <c r="DY46" s="679">
        <f ca="1">NWC_FC_NOOS!Y23</f>
        <v>0</v>
      </c>
      <c r="DZ46" s="679">
        <f ca="1">NWC_FC_NOOS!Z23</f>
        <v>0</v>
      </c>
      <c r="EA46" s="680"/>
      <c r="EB46" s="679">
        <f ca="1">NWC_FC_NOOS!AB23</f>
        <v>0</v>
      </c>
      <c r="EC46" s="679">
        <f ca="1">NWC_FC_NOOS!AC23</f>
        <v>0</v>
      </c>
      <c r="ED46" s="679">
        <f ca="1">NWC_FC_NOOS!AD23</f>
        <v>0</v>
      </c>
      <c r="EE46" s="680"/>
      <c r="EF46" s="679">
        <f ca="1">NWC_FC_NOOS!AF23</f>
        <v>0</v>
      </c>
      <c r="EG46" s="679">
        <f ca="1">NWC_FC_NOOS!AG23</f>
        <v>0</v>
      </c>
      <c r="EH46" s="679">
        <f ca="1">NWC_FC_NOOS!AH23</f>
        <v>0</v>
      </c>
    </row>
    <row r="47" spans="1:138" s="204" customFormat="1" ht="15.75" thickBot="1" x14ac:dyDescent="0.3">
      <c r="A47" s="62"/>
      <c r="B47" s="580" t="s">
        <v>80</v>
      </c>
      <c r="C47" s="580"/>
      <c r="D47" s="615">
        <f>SUM(D31:D46)</f>
        <v>0</v>
      </c>
      <c r="E47" s="615">
        <f t="shared" ref="E47:F47" si="201">SUM(E31:E46)</f>
        <v>0</v>
      </c>
      <c r="F47" s="615">
        <f t="shared" si="201"/>
        <v>0</v>
      </c>
      <c r="G47" s="616"/>
      <c r="H47" s="615">
        <f t="shared" ref="H47:J47" si="202">SUM(H31:H46)</f>
        <v>0</v>
      </c>
      <c r="I47" s="615">
        <f t="shared" si="202"/>
        <v>0</v>
      </c>
      <c r="J47" s="615">
        <f t="shared" si="202"/>
        <v>0</v>
      </c>
      <c r="K47" s="616"/>
      <c r="L47" s="615">
        <f t="shared" ref="L47:N47" si="203">SUM(L31:L46)</f>
        <v>0</v>
      </c>
      <c r="M47" s="615">
        <f t="shared" si="203"/>
        <v>0</v>
      </c>
      <c r="N47" s="615">
        <f t="shared" si="203"/>
        <v>0</v>
      </c>
      <c r="O47" s="616"/>
      <c r="P47" s="615">
        <f t="shared" ref="P47:R47" si="204">SUM(P31:P46)</f>
        <v>0</v>
      </c>
      <c r="Q47" s="615">
        <f t="shared" si="204"/>
        <v>0</v>
      </c>
      <c r="R47" s="615">
        <f t="shared" si="204"/>
        <v>0</v>
      </c>
      <c r="S47" s="449"/>
      <c r="T47" s="689">
        <f ca="1">SUM(T31:T46)</f>
        <v>0</v>
      </c>
      <c r="U47" s="689">
        <f t="shared" ref="U47:V47" ca="1" si="205">SUM(U31:U46)</f>
        <v>0</v>
      </c>
      <c r="V47" s="689">
        <f t="shared" ca="1" si="205"/>
        <v>0</v>
      </c>
      <c r="W47" s="690"/>
      <c r="X47" s="689">
        <f t="shared" ref="X47:Z47" ca="1" si="206">SUM(X31:X46)</f>
        <v>0</v>
      </c>
      <c r="Y47" s="689">
        <f t="shared" ca="1" si="206"/>
        <v>0</v>
      </c>
      <c r="Z47" s="689">
        <f t="shared" ca="1" si="206"/>
        <v>0</v>
      </c>
      <c r="AA47" s="689"/>
      <c r="AB47" s="691">
        <f t="shared" ref="AB47:AD47" ca="1" si="207">SUM(AB31:AB46)</f>
        <v>0</v>
      </c>
      <c r="AC47" s="691">
        <f t="shared" ca="1" si="207"/>
        <v>0</v>
      </c>
      <c r="AD47" s="691">
        <f t="shared" ca="1" si="207"/>
        <v>0</v>
      </c>
      <c r="AE47" s="690"/>
      <c r="AF47" s="691">
        <f t="shared" ref="AF47:AH47" ca="1" si="208">SUM(AF31:AF46)</f>
        <v>0</v>
      </c>
      <c r="AG47" s="691">
        <f t="shared" ca="1" si="208"/>
        <v>0</v>
      </c>
      <c r="AH47" s="691">
        <f t="shared" ca="1" si="208"/>
        <v>0</v>
      </c>
      <c r="AI47" s="690"/>
      <c r="AJ47" s="674" t="str">
        <f t="shared" si="196"/>
        <v>TOTAL</v>
      </c>
      <c r="AK47" s="615">
        <f t="shared" ref="AK47" si="209">SUM(AK31:AK46)</f>
        <v>0</v>
      </c>
      <c r="AL47" s="615">
        <f t="shared" ref="AL47" si="210">SUM(AL31:AL46)</f>
        <v>0</v>
      </c>
      <c r="AM47" s="615">
        <f t="shared" ref="AM47" si="211">SUM(AM31:AM46)</f>
        <v>0</v>
      </c>
      <c r="AN47" s="616"/>
      <c r="AO47" s="615">
        <f t="shared" ref="AO47" si="212">SUM(AO31:AO46)</f>
        <v>0</v>
      </c>
      <c r="AP47" s="615">
        <f t="shared" ref="AP47" si="213">SUM(AP31:AP46)</f>
        <v>0</v>
      </c>
      <c r="AQ47" s="615">
        <f t="shared" ref="AQ47" si="214">SUM(AQ31:AQ46)</f>
        <v>0</v>
      </c>
      <c r="AR47" s="616"/>
      <c r="AS47" s="615">
        <f t="shared" ref="AS47" si="215">SUM(AS31:AS46)</f>
        <v>0</v>
      </c>
      <c r="AT47" s="615">
        <f t="shared" ref="AT47" si="216">SUM(AT31:AT46)</f>
        <v>0</v>
      </c>
      <c r="AU47" s="615">
        <f t="shared" ref="AU47" si="217">SUM(AU31:AU46)</f>
        <v>0</v>
      </c>
      <c r="AV47" s="616"/>
      <c r="AW47" s="615">
        <f t="shared" ref="AW47" si="218">SUM(AW31:AW46)</f>
        <v>0</v>
      </c>
      <c r="AX47" s="615">
        <f t="shared" ref="AX47" si="219">SUM(AX31:AX46)</f>
        <v>0</v>
      </c>
      <c r="AY47" s="615">
        <f t="shared" ref="AY47" si="220">SUM(AY31:AY46)</f>
        <v>0</v>
      </c>
      <c r="AZ47" s="449"/>
      <c r="BA47" s="580" t="s">
        <v>80</v>
      </c>
      <c r="BB47" s="687">
        <f ca="1">SUM(BB31:BB46)</f>
        <v>0</v>
      </c>
      <c r="BC47" s="687">
        <f t="shared" ref="BC47:BD47" ca="1" si="221">SUM(BC31:BC46)</f>
        <v>0</v>
      </c>
      <c r="BD47" s="687">
        <f t="shared" ca="1" si="221"/>
        <v>0</v>
      </c>
      <c r="BE47" s="678"/>
      <c r="BF47" s="687">
        <f t="shared" ref="BF47:BH47" ca="1" si="222">SUM(BF31:BF46)</f>
        <v>0</v>
      </c>
      <c r="BG47" s="687">
        <f t="shared" ca="1" si="222"/>
        <v>0</v>
      </c>
      <c r="BH47" s="687">
        <f t="shared" ca="1" si="222"/>
        <v>0</v>
      </c>
      <c r="BI47" s="678"/>
      <c r="BJ47" s="687">
        <f t="shared" ref="BJ47:BL47" ca="1" si="223">SUM(BJ31:BJ46)</f>
        <v>0</v>
      </c>
      <c r="BK47" s="687">
        <f t="shared" ca="1" si="223"/>
        <v>0</v>
      </c>
      <c r="BL47" s="687">
        <f t="shared" ca="1" si="223"/>
        <v>0</v>
      </c>
      <c r="BM47" s="678"/>
      <c r="BN47" s="687">
        <f t="shared" ref="BN47:BP47" ca="1" si="224">SUM(BN31:BN46)</f>
        <v>0</v>
      </c>
      <c r="BO47" s="687">
        <f t="shared" ca="1" si="224"/>
        <v>0</v>
      </c>
      <c r="BP47" s="687">
        <f t="shared" ca="1" si="224"/>
        <v>0</v>
      </c>
      <c r="BR47" s="580" t="s">
        <v>80</v>
      </c>
      <c r="BS47" s="687">
        <f ca="1">SUM(BS31:BS46)</f>
        <v>266593</v>
      </c>
      <c r="BT47" s="687">
        <f t="shared" ref="BT47:BU47" ca="1" si="225">SUM(BT31:BT46)</f>
        <v>310958</v>
      </c>
      <c r="BU47" s="687">
        <f t="shared" ca="1" si="225"/>
        <v>1064091</v>
      </c>
      <c r="BV47" s="688"/>
      <c r="BW47" s="687">
        <f t="shared" ref="BW47:BY47" ca="1" si="226">SUM(BW31:BW46)</f>
        <v>6070</v>
      </c>
      <c r="BX47" s="687">
        <f t="shared" ca="1" si="226"/>
        <v>13571</v>
      </c>
      <c r="BY47" s="687">
        <f t="shared" ca="1" si="226"/>
        <v>0</v>
      </c>
      <c r="BZ47" s="688"/>
      <c r="CA47" s="687">
        <f t="shared" ref="CA47:CC47" ca="1" si="227">SUM(CA31:CA46)</f>
        <v>1488</v>
      </c>
      <c r="CB47" s="687">
        <f t="shared" ca="1" si="227"/>
        <v>0</v>
      </c>
      <c r="CC47" s="687">
        <f t="shared" ca="1" si="227"/>
        <v>0</v>
      </c>
      <c r="CD47" s="688"/>
      <c r="CE47" s="687">
        <f t="shared" ref="CE47:CG47" ca="1" si="228">SUM(CE31:CE46)</f>
        <v>0</v>
      </c>
      <c r="CF47" s="687">
        <f t="shared" ca="1" si="228"/>
        <v>0</v>
      </c>
      <c r="CG47" s="687">
        <f t="shared" ca="1" si="228"/>
        <v>0</v>
      </c>
      <c r="CH47" s="61"/>
      <c r="CI47" s="580" t="s">
        <v>80</v>
      </c>
      <c r="CJ47" s="687">
        <f ca="1">SUM(CJ31:CJ46)</f>
        <v>0</v>
      </c>
      <c r="CK47" s="687">
        <f t="shared" ref="CK47:CL47" ca="1" si="229">SUM(CK31:CK46)</f>
        <v>310958</v>
      </c>
      <c r="CL47" s="687">
        <f t="shared" ca="1" si="229"/>
        <v>1375049</v>
      </c>
      <c r="CM47" s="688"/>
      <c r="CN47" s="687">
        <f t="shared" ref="CN47:CP47" ca="1" si="230">SUM(CN31:CN46)</f>
        <v>1381119</v>
      </c>
      <c r="CO47" s="687">
        <f t="shared" ca="1" si="230"/>
        <v>1394690</v>
      </c>
      <c r="CP47" s="687">
        <f t="shared" ca="1" si="230"/>
        <v>1394690</v>
      </c>
      <c r="CQ47" s="688"/>
      <c r="CR47" s="687">
        <f t="shared" ref="CR47:CT47" ca="1" si="231">SUM(CR31:CR46)</f>
        <v>1396178</v>
      </c>
      <c r="CS47" s="687">
        <f t="shared" ca="1" si="231"/>
        <v>1396178</v>
      </c>
      <c r="CT47" s="687">
        <f t="shared" ca="1" si="231"/>
        <v>1396178</v>
      </c>
      <c r="CU47" s="688"/>
      <c r="CV47" s="687">
        <f t="shared" ref="CV47:CX47" ca="1" si="232">SUM(CV31:CV46)</f>
        <v>1396178</v>
      </c>
      <c r="CW47" s="687">
        <f t="shared" ca="1" si="232"/>
        <v>1396178</v>
      </c>
      <c r="CX47" s="687">
        <f t="shared" ca="1" si="232"/>
        <v>1396178</v>
      </c>
      <c r="CZ47" s="580" t="s">
        <v>80</v>
      </c>
      <c r="DA47" s="687">
        <f ca="1">SUM(DA31:DA46)</f>
        <v>0</v>
      </c>
      <c r="DB47" s="687">
        <f t="shared" ref="DB47:DC47" ca="1" si="233">SUM(DB31:DB46)</f>
        <v>0</v>
      </c>
      <c r="DC47" s="687">
        <f t="shared" ca="1" si="233"/>
        <v>1375049</v>
      </c>
      <c r="DD47" s="688"/>
      <c r="DE47" s="687">
        <f t="shared" ref="DE47:DG47" ca="1" si="234">SUM(DE31:DE46)</f>
        <v>1381119</v>
      </c>
      <c r="DF47" s="687">
        <f t="shared" ca="1" si="234"/>
        <v>1394690</v>
      </c>
      <c r="DG47" s="687">
        <f t="shared" ca="1" si="234"/>
        <v>1394690</v>
      </c>
      <c r="DH47" s="688"/>
      <c r="DI47" s="687">
        <f t="shared" ref="DI47:DK47" ca="1" si="235">SUM(DI31:DI46)</f>
        <v>1396178</v>
      </c>
      <c r="DJ47" s="687">
        <f t="shared" ca="1" si="235"/>
        <v>1396178</v>
      </c>
      <c r="DK47" s="687">
        <f t="shared" ca="1" si="235"/>
        <v>1396178</v>
      </c>
      <c r="DL47" s="688"/>
      <c r="DM47" s="687">
        <f t="shared" ref="DM47:DO47" ca="1" si="236">SUM(DM31:DM46)</f>
        <v>1396178</v>
      </c>
      <c r="DN47" s="687">
        <f t="shared" ca="1" si="236"/>
        <v>1396178</v>
      </c>
      <c r="DO47" s="687">
        <f t="shared" ca="1" si="236"/>
        <v>1396178</v>
      </c>
      <c r="DQ47" s="580" t="s">
        <v>80</v>
      </c>
      <c r="DR47" s="687">
        <f ca="1">SUM(DR31:DR46)</f>
        <v>0</v>
      </c>
      <c r="DS47" s="687"/>
      <c r="DT47" s="687">
        <f ca="1">SUM(DT31:DT46)</f>
        <v>0</v>
      </c>
      <c r="DU47" s="687">
        <f t="shared" ref="DU47:DV47" ca="1" si="237">SUM(DU31:DU46)</f>
        <v>0</v>
      </c>
      <c r="DV47" s="687">
        <f t="shared" ca="1" si="237"/>
        <v>0</v>
      </c>
      <c r="DW47" s="688"/>
      <c r="DX47" s="687">
        <f t="shared" ref="DX47:DZ47" ca="1" si="238">SUM(DX31:DX46)</f>
        <v>0</v>
      </c>
      <c r="DY47" s="687">
        <f t="shared" ca="1" si="238"/>
        <v>0</v>
      </c>
      <c r="DZ47" s="687">
        <f t="shared" ca="1" si="238"/>
        <v>0</v>
      </c>
      <c r="EA47" s="688"/>
      <c r="EB47" s="687">
        <f t="shared" ref="EB47:ED47" ca="1" si="239">SUM(EB31:EB46)</f>
        <v>0</v>
      </c>
      <c r="EC47" s="687">
        <f t="shared" ca="1" si="239"/>
        <v>0</v>
      </c>
      <c r="ED47" s="687">
        <f t="shared" ca="1" si="239"/>
        <v>0</v>
      </c>
      <c r="EE47" s="688"/>
      <c r="EF47" s="687">
        <f t="shared" ref="EF47:EH47" ca="1" si="240">SUM(EF31:EF46)</f>
        <v>0</v>
      </c>
      <c r="EG47" s="687">
        <f t="shared" ca="1" si="240"/>
        <v>0</v>
      </c>
      <c r="EH47" s="687">
        <f t="shared" ca="1" si="240"/>
        <v>0</v>
      </c>
    </row>
    <row r="48" spans="1:138" x14ac:dyDescent="0.25">
      <c r="AJ48" s="599"/>
    </row>
    <row r="49" spans="1:138" s="809" customFormat="1" ht="21.75" thickBot="1" x14ac:dyDescent="0.4">
      <c r="A49" s="804"/>
      <c r="B49" s="805"/>
      <c r="C49" s="805"/>
      <c r="D49" s="805"/>
      <c r="E49" s="805"/>
      <c r="F49" s="805"/>
      <c r="G49" s="805"/>
      <c r="H49" s="805"/>
      <c r="I49" s="805" t="s">
        <v>276</v>
      </c>
      <c r="J49" s="805"/>
      <c r="K49" s="805"/>
      <c r="L49" s="805"/>
      <c r="M49" s="805"/>
      <c r="N49" s="805"/>
      <c r="O49" s="805"/>
      <c r="P49" s="805"/>
      <c r="Q49" s="805"/>
      <c r="R49" s="805"/>
      <c r="S49" s="810"/>
      <c r="T49" s="945" t="s">
        <v>390</v>
      </c>
      <c r="U49" s="945"/>
      <c r="V49" s="945"/>
      <c r="W49" s="945"/>
      <c r="X49" s="945"/>
      <c r="Y49" s="945"/>
      <c r="Z49" s="945"/>
      <c r="AA49" s="945"/>
      <c r="AB49" s="945"/>
      <c r="AC49" s="945"/>
      <c r="AD49" s="945"/>
      <c r="AE49" s="945"/>
      <c r="AF49" s="945"/>
      <c r="AG49" s="945"/>
      <c r="AH49" s="945"/>
      <c r="AI49" s="824"/>
      <c r="AJ49" s="805"/>
      <c r="AK49" s="945" t="s">
        <v>401</v>
      </c>
      <c r="AL49" s="945"/>
      <c r="AM49" s="945"/>
      <c r="AN49" s="945"/>
      <c r="AO49" s="945"/>
      <c r="AP49" s="945"/>
      <c r="AQ49" s="945"/>
      <c r="AR49" s="945"/>
      <c r="AS49" s="945"/>
      <c r="AT49" s="945"/>
      <c r="AU49" s="945"/>
      <c r="AV49" s="945"/>
      <c r="AW49" s="945"/>
      <c r="AX49" s="945"/>
      <c r="AY49" s="945"/>
      <c r="AZ49" s="810"/>
      <c r="BA49" s="805"/>
      <c r="BB49" s="945" t="s">
        <v>391</v>
      </c>
      <c r="BC49" s="945"/>
      <c r="BD49" s="945"/>
      <c r="BE49" s="945"/>
      <c r="BF49" s="945"/>
      <c r="BG49" s="945"/>
      <c r="BH49" s="945"/>
      <c r="BI49" s="945"/>
      <c r="BJ49" s="945"/>
      <c r="BK49" s="945"/>
      <c r="BL49" s="945"/>
      <c r="BM49" s="945"/>
      <c r="BN49" s="945"/>
      <c r="BO49" s="945"/>
      <c r="BP49" s="805"/>
      <c r="BQ49" s="807"/>
      <c r="BR49" s="944" t="s">
        <v>392</v>
      </c>
      <c r="BS49" s="944"/>
      <c r="BT49" s="944"/>
      <c r="BU49" s="944"/>
      <c r="BV49" s="944"/>
      <c r="BW49" s="944"/>
      <c r="BX49" s="944"/>
      <c r="BY49" s="944"/>
      <c r="BZ49" s="944"/>
      <c r="CA49" s="944"/>
      <c r="CB49" s="944"/>
      <c r="CC49" s="944"/>
      <c r="CD49" s="944"/>
      <c r="CE49" s="944"/>
      <c r="CF49" s="944"/>
      <c r="CG49" s="944"/>
      <c r="CH49" s="808"/>
      <c r="CZ49" s="944" t="s">
        <v>393</v>
      </c>
      <c r="DA49" s="944"/>
      <c r="DB49" s="944"/>
      <c r="DC49" s="944"/>
      <c r="DD49" s="944"/>
      <c r="DE49" s="944"/>
      <c r="DF49" s="944"/>
      <c r="DG49" s="944"/>
      <c r="DH49" s="944"/>
      <c r="DI49" s="944"/>
      <c r="DJ49" s="944"/>
      <c r="DK49" s="944"/>
      <c r="DL49" s="944"/>
      <c r="DM49" s="944"/>
      <c r="DN49" s="944"/>
      <c r="DO49" s="944"/>
      <c r="DQ49" s="944" t="s">
        <v>394</v>
      </c>
      <c r="DR49" s="944"/>
      <c r="DS49" s="944"/>
      <c r="DT49" s="944"/>
      <c r="DU49" s="944"/>
      <c r="DV49" s="944"/>
      <c r="DW49" s="944"/>
      <c r="DX49" s="944"/>
      <c r="DY49" s="944"/>
      <c r="DZ49" s="944"/>
      <c r="EA49" s="944"/>
      <c r="EB49" s="944"/>
      <c r="EC49" s="944"/>
      <c r="ED49" s="944"/>
      <c r="EE49" s="944"/>
      <c r="EF49" s="944"/>
      <c r="EG49" s="944"/>
      <c r="EH49" s="944"/>
    </row>
    <row r="50" spans="1:138" ht="17.25" hidden="1" customHeight="1" x14ac:dyDescent="0.3">
      <c r="B50" s="665"/>
      <c r="C50" s="665"/>
      <c r="D50" s="666"/>
      <c r="E50" s="666"/>
      <c r="F50" s="666"/>
      <c r="G50" s="666"/>
      <c r="H50" s="666"/>
      <c r="I50" s="666"/>
      <c r="J50" s="666"/>
      <c r="K50" s="666"/>
      <c r="L50" s="666"/>
      <c r="M50" s="666"/>
      <c r="N50" s="666"/>
      <c r="O50" s="666"/>
      <c r="P50" s="666"/>
      <c r="Q50" s="666"/>
      <c r="R50" s="666"/>
      <c r="S50" s="576"/>
      <c r="T50" s="666"/>
      <c r="U50" s="666"/>
      <c r="V50" s="666"/>
      <c r="W50" s="666"/>
      <c r="X50" s="666"/>
      <c r="Y50" s="666"/>
      <c r="Z50" s="666"/>
      <c r="AA50" s="666"/>
      <c r="AB50" s="666"/>
      <c r="AC50" s="666"/>
      <c r="AD50" s="666"/>
      <c r="AE50" s="666"/>
      <c r="AF50" s="666"/>
      <c r="AG50" s="666"/>
      <c r="AH50" s="666"/>
      <c r="AI50" s="666"/>
      <c r="AJ50" s="666"/>
      <c r="AK50" s="666"/>
      <c r="AL50" s="666"/>
      <c r="AM50" s="666"/>
      <c r="AN50" s="666"/>
      <c r="AO50" s="666"/>
      <c r="AP50" s="666"/>
      <c r="AQ50" s="666"/>
      <c r="AR50" s="666"/>
      <c r="AS50" s="666"/>
      <c r="AT50" s="666"/>
      <c r="AU50" s="666"/>
      <c r="AV50" s="666"/>
      <c r="AW50" s="666"/>
      <c r="AX50" s="666"/>
      <c r="AY50" s="666"/>
      <c r="BA50" s="667"/>
      <c r="BB50" s="666"/>
      <c r="BC50" s="666"/>
      <c r="BD50" s="666"/>
      <c r="BE50" s="666"/>
      <c r="BF50" s="666"/>
      <c r="BG50" s="666"/>
      <c r="BH50" s="666"/>
      <c r="BI50" s="666"/>
      <c r="BJ50" s="666"/>
      <c r="BK50" s="666"/>
      <c r="BL50" s="666"/>
      <c r="BM50" s="666"/>
      <c r="BN50" s="666"/>
      <c r="BO50" s="666"/>
      <c r="BP50" s="668"/>
      <c r="BR50" s="672"/>
      <c r="BS50" s="22"/>
      <c r="BT50" s="22"/>
      <c r="BU50" s="22"/>
      <c r="BV50" s="328"/>
      <c r="BW50" s="22"/>
      <c r="BX50" s="22"/>
      <c r="BY50" s="22"/>
      <c r="BZ50" s="328"/>
      <c r="CA50" s="22"/>
      <c r="CB50" s="22"/>
      <c r="CC50" s="22"/>
      <c r="CD50" s="328"/>
      <c r="CE50" s="22"/>
      <c r="CF50" s="22"/>
      <c r="CG50" s="22"/>
      <c r="CZ50" s="672"/>
      <c r="DA50" s="22"/>
      <c r="DB50" s="22"/>
      <c r="DC50" s="22"/>
      <c r="DD50" s="328"/>
      <c r="DE50" s="22"/>
      <c r="DF50" s="22"/>
      <c r="DG50" s="22"/>
      <c r="DH50" s="328"/>
      <c r="DI50" s="22"/>
      <c r="DJ50" s="22"/>
      <c r="DK50" s="22"/>
      <c r="DL50" s="328"/>
      <c r="DM50" s="22"/>
      <c r="DN50" s="22"/>
      <c r="DO50" s="22"/>
      <c r="DQ50" s="672"/>
      <c r="DR50" s="672"/>
      <c r="DS50" s="672"/>
      <c r="DT50" s="22"/>
      <c r="DU50" s="22"/>
      <c r="DV50" s="22"/>
      <c r="DW50" s="328"/>
      <c r="DX50" s="22"/>
      <c r="DY50" s="22"/>
      <c r="DZ50" s="22"/>
      <c r="EA50" s="328"/>
      <c r="EB50" s="22"/>
      <c r="EC50" s="22"/>
      <c r="ED50" s="22"/>
      <c r="EE50" s="328"/>
      <c r="EF50" s="22"/>
      <c r="EG50" s="22"/>
      <c r="EH50" s="22"/>
    </row>
    <row r="51" spans="1:138" x14ac:dyDescent="0.25">
      <c r="B51" s="378"/>
      <c r="C51" s="378"/>
      <c r="D51" s="894" t="str">
        <f ca="1">D28</f>
        <v>18/19</v>
      </c>
      <c r="E51" s="894"/>
      <c r="F51" s="894"/>
      <c r="G51" s="289"/>
      <c r="H51" s="894" t="str">
        <f ca="1">H28</f>
        <v>18/19</v>
      </c>
      <c r="I51" s="894"/>
      <c r="J51" s="894"/>
      <c r="K51" s="289"/>
      <c r="L51" s="894" t="str">
        <f ca="1">L28</f>
        <v>19/20</v>
      </c>
      <c r="M51" s="894"/>
      <c r="N51" s="894"/>
      <c r="O51" s="289"/>
      <c r="P51" s="894" t="str">
        <f ca="1">P28</f>
        <v>19/20</v>
      </c>
      <c r="Q51" s="894"/>
      <c r="R51" s="894"/>
      <c r="T51" s="894" t="str">
        <f ca="1">T28</f>
        <v>18/19</v>
      </c>
      <c r="U51" s="894"/>
      <c r="V51" s="894"/>
      <c r="W51" s="289"/>
      <c r="X51" s="894" t="str">
        <f ca="1">X28</f>
        <v>18/19</v>
      </c>
      <c r="Y51" s="894"/>
      <c r="Z51" s="894"/>
      <c r="AA51" s="289"/>
      <c r="AB51" s="894" t="str">
        <f ca="1">AB28</f>
        <v>19/20</v>
      </c>
      <c r="AC51" s="894"/>
      <c r="AD51" s="894"/>
      <c r="AE51" s="289"/>
      <c r="AF51" s="894" t="str">
        <f ca="1">AF28</f>
        <v>19/20</v>
      </c>
      <c r="AG51" s="894"/>
      <c r="AH51" s="894"/>
      <c r="AI51" s="822"/>
      <c r="AJ51" s="378"/>
      <c r="AK51" s="894" t="str">
        <f ca="1">T51</f>
        <v>18/19</v>
      </c>
      <c r="AL51" s="894"/>
      <c r="AM51" s="894"/>
      <c r="AN51" s="289"/>
      <c r="AO51" s="894" t="str">
        <f ca="1">X51</f>
        <v>18/19</v>
      </c>
      <c r="AP51" s="894"/>
      <c r="AQ51" s="894"/>
      <c r="AR51" s="289"/>
      <c r="AS51" s="894" t="str">
        <f ca="1">AB51</f>
        <v>19/20</v>
      </c>
      <c r="AT51" s="894"/>
      <c r="AU51" s="894"/>
      <c r="AV51" s="289"/>
      <c r="AW51" s="894" t="str">
        <f ca="1">AF51</f>
        <v>19/20</v>
      </c>
      <c r="AX51" s="894"/>
      <c r="AY51" s="894"/>
      <c r="BA51" s="378"/>
      <c r="BB51" s="894" t="str">
        <f ca="1">BB28</f>
        <v>18/19</v>
      </c>
      <c r="BC51" s="894"/>
      <c r="BD51" s="894"/>
      <c r="BE51" s="289"/>
      <c r="BF51" s="894" t="str">
        <f ca="1">BF28</f>
        <v>18/19</v>
      </c>
      <c r="BG51" s="894"/>
      <c r="BH51" s="894"/>
      <c r="BI51" s="289"/>
      <c r="BJ51" s="894" t="str">
        <f ca="1">BJ28</f>
        <v>19/20</v>
      </c>
      <c r="BK51" s="894"/>
      <c r="BL51" s="894"/>
      <c r="BM51" s="289"/>
      <c r="BN51" s="894" t="str">
        <f ca="1">BN28</f>
        <v>19/20</v>
      </c>
      <c r="BO51" s="894"/>
      <c r="BP51" s="894"/>
      <c r="BR51" s="378"/>
      <c r="BS51" s="894" t="str">
        <f ca="1">BB51</f>
        <v>18/19</v>
      </c>
      <c r="BT51" s="894"/>
      <c r="BU51" s="894"/>
      <c r="BV51" s="289"/>
      <c r="BW51" s="894" t="str">
        <f ca="1">BF51</f>
        <v>18/19</v>
      </c>
      <c r="BX51" s="894"/>
      <c r="BY51" s="894"/>
      <c r="BZ51" s="289"/>
      <c r="CA51" s="894" t="str">
        <f ca="1">BJ51</f>
        <v>19/20</v>
      </c>
      <c r="CB51" s="894"/>
      <c r="CC51" s="894"/>
      <c r="CD51" s="289"/>
      <c r="CE51" s="894" t="str">
        <f ca="1">BN51</f>
        <v>19/20</v>
      </c>
      <c r="CF51" s="894"/>
      <c r="CG51" s="894"/>
      <c r="CZ51" s="378"/>
      <c r="DA51" s="894" t="str">
        <f ca="1">BS51</f>
        <v>18/19</v>
      </c>
      <c r="DB51" s="894"/>
      <c r="DC51" s="894"/>
      <c r="DD51" s="289"/>
      <c r="DE51" s="894" t="str">
        <f ca="1">BW51</f>
        <v>18/19</v>
      </c>
      <c r="DF51" s="894"/>
      <c r="DG51" s="894"/>
      <c r="DH51" s="289"/>
      <c r="DI51" s="894" t="str">
        <f ca="1">CA51</f>
        <v>19/20</v>
      </c>
      <c r="DJ51" s="894"/>
      <c r="DK51" s="894"/>
      <c r="DL51" s="289"/>
      <c r="DM51" s="894" t="str">
        <f ca="1">CE51</f>
        <v>19/20</v>
      </c>
      <c r="DN51" s="894"/>
      <c r="DO51" s="894"/>
      <c r="DQ51" s="378"/>
      <c r="DR51" s="378"/>
      <c r="DS51" s="378"/>
      <c r="DT51" s="894" t="str">
        <f ca="1">DA51</f>
        <v>18/19</v>
      </c>
      <c r="DU51" s="894"/>
      <c r="DV51" s="894"/>
      <c r="DW51" s="289"/>
      <c r="DX51" s="894" t="str">
        <f ca="1">DE51</f>
        <v>18/19</v>
      </c>
      <c r="DY51" s="894"/>
      <c r="DZ51" s="894"/>
      <c r="EA51" s="289"/>
      <c r="EB51" s="894" t="str">
        <f ca="1">DI51</f>
        <v>19/20</v>
      </c>
      <c r="EC51" s="894"/>
      <c r="ED51" s="894"/>
      <c r="EE51" s="289"/>
      <c r="EF51" s="894" t="str">
        <f ca="1">DM51</f>
        <v>19/20</v>
      </c>
      <c r="EG51" s="894"/>
      <c r="EH51" s="894"/>
    </row>
    <row r="52" spans="1:138" x14ac:dyDescent="0.25">
      <c r="B52" s="1"/>
      <c r="C52" s="1"/>
      <c r="D52" s="942" t="str">
        <f ca="1">D29</f>
        <v>Q3</v>
      </c>
      <c r="E52" s="942"/>
      <c r="F52" s="942"/>
      <c r="G52" s="289"/>
      <c r="H52" s="942" t="str">
        <f ca="1">H29</f>
        <v>Q4</v>
      </c>
      <c r="I52" s="942"/>
      <c r="J52" s="942"/>
      <c r="K52" s="289"/>
      <c r="L52" s="942" t="str">
        <f ca="1">L29</f>
        <v>Q1</v>
      </c>
      <c r="M52" s="942"/>
      <c r="N52" s="942"/>
      <c r="O52" s="289"/>
      <c r="P52" s="942" t="str">
        <f ca="1">P29</f>
        <v>Q2</v>
      </c>
      <c r="Q52" s="942"/>
      <c r="R52" s="942"/>
      <c r="T52" s="942" t="str">
        <f ca="1">T29</f>
        <v>Q3</v>
      </c>
      <c r="U52" s="942"/>
      <c r="V52" s="942"/>
      <c r="W52" s="289"/>
      <c r="X52" s="942" t="str">
        <f ca="1">X29</f>
        <v>Q4</v>
      </c>
      <c r="Y52" s="942"/>
      <c r="Z52" s="942"/>
      <c r="AA52" s="289"/>
      <c r="AB52" s="942" t="str">
        <f ca="1">AB29</f>
        <v>Q1</v>
      </c>
      <c r="AC52" s="942"/>
      <c r="AD52" s="942"/>
      <c r="AE52" s="289"/>
      <c r="AF52" s="942" t="str">
        <f ca="1">AF29</f>
        <v>Q2</v>
      </c>
      <c r="AG52" s="942"/>
      <c r="AH52" s="942"/>
      <c r="AI52" s="823"/>
      <c r="AJ52" s="1"/>
      <c r="AK52" s="942" t="str">
        <f ca="1">T52</f>
        <v>Q3</v>
      </c>
      <c r="AL52" s="942"/>
      <c r="AM52" s="942"/>
      <c r="AN52" s="289"/>
      <c r="AO52" s="942" t="str">
        <f ca="1">X52</f>
        <v>Q4</v>
      </c>
      <c r="AP52" s="942"/>
      <c r="AQ52" s="942"/>
      <c r="AR52" s="289"/>
      <c r="AS52" s="942" t="str">
        <f ca="1">AB52</f>
        <v>Q1</v>
      </c>
      <c r="AT52" s="942"/>
      <c r="AU52" s="942"/>
      <c r="AV52" s="289"/>
      <c r="AW52" s="942" t="str">
        <f ca="1">AF52</f>
        <v>Q2</v>
      </c>
      <c r="AX52" s="942"/>
      <c r="AY52" s="942"/>
      <c r="BA52" s="1"/>
      <c r="BB52" s="942" t="str">
        <f ca="1">BB29</f>
        <v>Q3</v>
      </c>
      <c r="BC52" s="942"/>
      <c r="BD52" s="942"/>
      <c r="BE52" s="289"/>
      <c r="BF52" s="942" t="str">
        <f ca="1">BF29</f>
        <v>Q4</v>
      </c>
      <c r="BG52" s="942"/>
      <c r="BH52" s="942"/>
      <c r="BI52" s="289"/>
      <c r="BJ52" s="942" t="str">
        <f ca="1">BJ29</f>
        <v>Q1</v>
      </c>
      <c r="BK52" s="942"/>
      <c r="BL52" s="942"/>
      <c r="BM52" s="289"/>
      <c r="BN52" s="942" t="str">
        <f ca="1">BN29</f>
        <v>Q2</v>
      </c>
      <c r="BO52" s="942"/>
      <c r="BP52" s="942"/>
      <c r="BR52" s="1"/>
      <c r="BS52" s="894" t="str">
        <f ca="1">BB52</f>
        <v>Q3</v>
      </c>
      <c r="BT52" s="894"/>
      <c r="BU52" s="894"/>
      <c r="BV52" s="289"/>
      <c r="BW52" s="894" t="str">
        <f ca="1">BF52</f>
        <v>Q4</v>
      </c>
      <c r="BX52" s="894"/>
      <c r="BY52" s="894"/>
      <c r="BZ52" s="289"/>
      <c r="CA52" s="894" t="str">
        <f ca="1">BJ52</f>
        <v>Q1</v>
      </c>
      <c r="CB52" s="894"/>
      <c r="CC52" s="894"/>
      <c r="CD52" s="289"/>
      <c r="CE52" s="894" t="str">
        <f ca="1">BN52</f>
        <v>Q2</v>
      </c>
      <c r="CF52" s="894"/>
      <c r="CG52" s="894"/>
      <c r="CZ52" s="1"/>
      <c r="DA52" s="894" t="str">
        <f t="shared" ref="DA52:DA53" ca="1" si="241">BS52</f>
        <v>Q3</v>
      </c>
      <c r="DB52" s="894"/>
      <c r="DC52" s="894"/>
      <c r="DD52" s="289"/>
      <c r="DE52" s="894" t="str">
        <f t="shared" ref="DE52" ca="1" si="242">BW52</f>
        <v>Q4</v>
      </c>
      <c r="DF52" s="894"/>
      <c r="DG52" s="894"/>
      <c r="DH52" s="289"/>
      <c r="DI52" s="894" t="str">
        <f t="shared" ref="DI52" ca="1" si="243">CA52</f>
        <v>Q1</v>
      </c>
      <c r="DJ52" s="894"/>
      <c r="DK52" s="894"/>
      <c r="DL52" s="289"/>
      <c r="DM52" s="894" t="str">
        <f t="shared" ref="DM52" ca="1" si="244">CE52</f>
        <v>Q2</v>
      </c>
      <c r="DN52" s="894"/>
      <c r="DO52" s="894"/>
      <c r="DQ52" s="1"/>
      <c r="DR52" s="1"/>
      <c r="DS52" s="1"/>
      <c r="DT52" s="894" t="str">
        <f ca="1">DA52</f>
        <v>Q3</v>
      </c>
      <c r="DU52" s="894"/>
      <c r="DV52" s="894"/>
      <c r="DW52" s="289"/>
      <c r="DX52" s="894" t="str">
        <f ca="1">DE52</f>
        <v>Q4</v>
      </c>
      <c r="DY52" s="894"/>
      <c r="DZ52" s="894"/>
      <c r="EA52" s="289"/>
      <c r="EB52" s="894" t="str">
        <f ca="1">DI52</f>
        <v>Q1</v>
      </c>
      <c r="EC52" s="894"/>
      <c r="ED52" s="894"/>
      <c r="EE52" s="289"/>
      <c r="EF52" s="894" t="str">
        <f ca="1">DM52</f>
        <v>Q2</v>
      </c>
      <c r="EG52" s="894"/>
      <c r="EH52" s="894"/>
    </row>
    <row r="53" spans="1:138" x14ac:dyDescent="0.25">
      <c r="B53" s="379"/>
      <c r="C53" s="379"/>
      <c r="D53" s="380" t="str">
        <f ca="1">D30</f>
        <v>Feb</v>
      </c>
      <c r="E53" s="380" t="str">
        <f ca="1">E30</f>
        <v>Mar</v>
      </c>
      <c r="F53" s="380" t="str">
        <f ca="1">F30</f>
        <v>Apr</v>
      </c>
      <c r="G53" s="289"/>
      <c r="H53" s="380" t="str">
        <f ca="1">H30</f>
        <v>May</v>
      </c>
      <c r="I53" s="380" t="str">
        <f ca="1">I30</f>
        <v>Jun</v>
      </c>
      <c r="J53" s="380" t="str">
        <f ca="1">J30</f>
        <v>Jul</v>
      </c>
      <c r="K53" s="289"/>
      <c r="L53" s="380" t="str">
        <f ca="1">L30</f>
        <v>Aug</v>
      </c>
      <c r="M53" s="380" t="str">
        <f ca="1">M30</f>
        <v>Sep</v>
      </c>
      <c r="N53" s="380" t="str">
        <f ca="1">N30</f>
        <v>Oct</v>
      </c>
      <c r="O53" s="289"/>
      <c r="P53" s="380" t="str">
        <f ca="1">P30</f>
        <v>Nov</v>
      </c>
      <c r="Q53" s="380" t="str">
        <f ca="1">Q30</f>
        <v>Dec</v>
      </c>
      <c r="R53" s="380" t="str">
        <f ca="1">R30</f>
        <v>Jan</v>
      </c>
      <c r="T53" s="380" t="str">
        <f ca="1">T30</f>
        <v>Feb</v>
      </c>
      <c r="U53" s="380" t="str">
        <f ca="1">U30</f>
        <v>Mar</v>
      </c>
      <c r="V53" s="380" t="str">
        <f ca="1">V30</f>
        <v>Apr</v>
      </c>
      <c r="W53" s="289"/>
      <c r="X53" s="380" t="str">
        <f ca="1">X30</f>
        <v>May</v>
      </c>
      <c r="Y53" s="380" t="str">
        <f ca="1">Y30</f>
        <v>Jun</v>
      </c>
      <c r="Z53" s="380" t="str">
        <f ca="1">Z30</f>
        <v>Jul</v>
      </c>
      <c r="AA53" s="289"/>
      <c r="AB53" s="380" t="str">
        <f ca="1">AB30</f>
        <v>Aug</v>
      </c>
      <c r="AC53" s="380" t="str">
        <f ca="1">AC30</f>
        <v>Sep</v>
      </c>
      <c r="AD53" s="380" t="str">
        <f ca="1">AD30</f>
        <v>Oct</v>
      </c>
      <c r="AE53" s="289"/>
      <c r="AF53" s="380" t="str">
        <f ca="1">AF30</f>
        <v>Nov</v>
      </c>
      <c r="AG53" s="380" t="str">
        <f ca="1">AG30</f>
        <v>Dec</v>
      </c>
      <c r="AH53" s="380" t="str">
        <f ca="1">AH30</f>
        <v>Jan</v>
      </c>
      <c r="AI53" s="822"/>
      <c r="AJ53" s="379"/>
      <c r="AK53" s="380" t="str">
        <f ca="1">T53</f>
        <v>Feb</v>
      </c>
      <c r="AL53" s="380" t="str">
        <f t="shared" ref="AL53:AY53" ca="1" si="245">U53</f>
        <v>Mar</v>
      </c>
      <c r="AM53" s="380" t="str">
        <f t="shared" ca="1" si="245"/>
        <v>Apr</v>
      </c>
      <c r="AN53" s="289"/>
      <c r="AO53" s="380" t="str">
        <f t="shared" ca="1" si="245"/>
        <v>May</v>
      </c>
      <c r="AP53" s="380" t="str">
        <f t="shared" ca="1" si="245"/>
        <v>Jun</v>
      </c>
      <c r="AQ53" s="380" t="str">
        <f t="shared" ca="1" si="245"/>
        <v>Jul</v>
      </c>
      <c r="AR53" s="289"/>
      <c r="AS53" s="380" t="str">
        <f t="shared" ca="1" si="245"/>
        <v>Aug</v>
      </c>
      <c r="AT53" s="380" t="str">
        <f t="shared" ca="1" si="245"/>
        <v>Sep</v>
      </c>
      <c r="AU53" s="380" t="str">
        <f t="shared" ca="1" si="245"/>
        <v>Oct</v>
      </c>
      <c r="AV53" s="289"/>
      <c r="AW53" s="380" t="str">
        <f t="shared" ca="1" si="245"/>
        <v>Nov</v>
      </c>
      <c r="AX53" s="380" t="str">
        <f t="shared" ca="1" si="245"/>
        <v>Dec</v>
      </c>
      <c r="AY53" s="380" t="str">
        <f t="shared" ca="1" si="245"/>
        <v>Jan</v>
      </c>
      <c r="BA53" s="379"/>
      <c r="BB53" s="380" t="str">
        <f ca="1">BB30</f>
        <v>Feb</v>
      </c>
      <c r="BC53" s="380" t="str">
        <f ca="1">BC30</f>
        <v>Mar</v>
      </c>
      <c r="BD53" s="380" t="str">
        <f ca="1">BD30</f>
        <v>Apr</v>
      </c>
      <c r="BE53" s="289"/>
      <c r="BF53" s="380" t="str">
        <f ca="1">BF30</f>
        <v>May</v>
      </c>
      <c r="BG53" s="380" t="str">
        <f ca="1">BG30</f>
        <v>Jun</v>
      </c>
      <c r="BH53" s="380" t="str">
        <f ca="1">BH30</f>
        <v>Jul</v>
      </c>
      <c r="BI53" s="289"/>
      <c r="BJ53" s="380" t="str">
        <f ca="1">BJ30</f>
        <v>Aug</v>
      </c>
      <c r="BK53" s="380" t="str">
        <f ca="1">BK30</f>
        <v>Sep</v>
      </c>
      <c r="BL53" s="380" t="str">
        <f ca="1">BL30</f>
        <v>Oct</v>
      </c>
      <c r="BM53" s="289"/>
      <c r="BN53" s="380" t="str">
        <f ca="1">BN30</f>
        <v>Nov</v>
      </c>
      <c r="BO53" s="380" t="str">
        <f ca="1">BO30</f>
        <v>Dec</v>
      </c>
      <c r="BP53" s="380" t="str">
        <f ca="1">BP30</f>
        <v>Jan</v>
      </c>
      <c r="BR53" s="379"/>
      <c r="BS53" s="380" t="str">
        <f ca="1">BB53</f>
        <v>Feb</v>
      </c>
      <c r="BT53" s="380" t="str">
        <f t="shared" ref="BT53" ca="1" si="246">BC53</f>
        <v>Mar</v>
      </c>
      <c r="BU53" s="380" t="str">
        <f t="shared" ref="BU53" ca="1" si="247">BD53</f>
        <v>Apr</v>
      </c>
      <c r="BV53" s="289"/>
      <c r="BW53" s="380" t="str">
        <f t="shared" ref="BW53" ca="1" si="248">BF53</f>
        <v>May</v>
      </c>
      <c r="BX53" s="380" t="str">
        <f t="shared" ref="BX53" ca="1" si="249">BG53</f>
        <v>Jun</v>
      </c>
      <c r="BY53" s="380" t="str">
        <f t="shared" ref="BY53" ca="1" si="250">BH53</f>
        <v>Jul</v>
      </c>
      <c r="BZ53" s="289"/>
      <c r="CA53" s="380" t="str">
        <f t="shared" ref="CA53" ca="1" si="251">BJ53</f>
        <v>Aug</v>
      </c>
      <c r="CB53" s="380" t="str">
        <f t="shared" ref="CB53" ca="1" si="252">BK53</f>
        <v>Sep</v>
      </c>
      <c r="CC53" s="380" t="str">
        <f t="shared" ref="CC53" ca="1" si="253">BL53</f>
        <v>Oct</v>
      </c>
      <c r="CD53" s="289"/>
      <c r="CE53" s="380" t="str">
        <f t="shared" ref="CE53" ca="1" si="254">BN53</f>
        <v>Nov</v>
      </c>
      <c r="CF53" s="380" t="str">
        <f t="shared" ref="CF53" ca="1" si="255">BO53</f>
        <v>Dec</v>
      </c>
      <c r="CG53" s="380" t="str">
        <f t="shared" ref="CG53" ca="1" si="256">BP53</f>
        <v>Jan</v>
      </c>
      <c r="CZ53" s="379"/>
      <c r="DA53" s="380" t="str">
        <f t="shared" ca="1" si="241"/>
        <v>Feb</v>
      </c>
      <c r="DB53" s="380" t="str">
        <f t="shared" ref="DB53" ca="1" si="257">BT53</f>
        <v>Mar</v>
      </c>
      <c r="DC53" s="380" t="str">
        <f t="shared" ref="DC53" ca="1" si="258">BU53</f>
        <v>Apr</v>
      </c>
      <c r="DD53" s="289"/>
      <c r="DE53" s="380" t="str">
        <f t="shared" ref="DE53" ca="1" si="259">BW53</f>
        <v>May</v>
      </c>
      <c r="DF53" s="380" t="str">
        <f t="shared" ref="DF53" ca="1" si="260">BX53</f>
        <v>Jun</v>
      </c>
      <c r="DG53" s="380" t="str">
        <f t="shared" ref="DG53" ca="1" si="261">BY53</f>
        <v>Jul</v>
      </c>
      <c r="DH53" s="289"/>
      <c r="DI53" s="380" t="str">
        <f t="shared" ref="DI53" ca="1" si="262">CA53</f>
        <v>Aug</v>
      </c>
      <c r="DJ53" s="380" t="str">
        <f t="shared" ref="DJ53" ca="1" si="263">CB53</f>
        <v>Sep</v>
      </c>
      <c r="DK53" s="380" t="str">
        <f t="shared" ref="DK53" ca="1" si="264">CC53</f>
        <v>Oct</v>
      </c>
      <c r="DL53" s="289"/>
      <c r="DM53" s="380" t="str">
        <f t="shared" ref="DM53" ca="1" si="265">CE53</f>
        <v>Nov</v>
      </c>
      <c r="DN53" s="380" t="str">
        <f t="shared" ref="DN53" ca="1" si="266">CF53</f>
        <v>Dec</v>
      </c>
      <c r="DO53" s="380" t="str">
        <f t="shared" ref="DO53" ca="1" si="267">CG53</f>
        <v>Jan</v>
      </c>
      <c r="DQ53" s="379"/>
      <c r="DR53" s="379" t="str">
        <f ca="1">DR30</f>
        <v>Jan</v>
      </c>
      <c r="DS53" s="379"/>
      <c r="DT53" s="380" t="str">
        <f ca="1">DA53</f>
        <v>Feb</v>
      </c>
      <c r="DU53" s="380" t="str">
        <f t="shared" ref="DU53" ca="1" si="268">DB53</f>
        <v>Mar</v>
      </c>
      <c r="DV53" s="380" t="str">
        <f t="shared" ref="DV53" ca="1" si="269">DC53</f>
        <v>Apr</v>
      </c>
      <c r="DW53" s="289"/>
      <c r="DX53" s="380" t="str">
        <f t="shared" ref="DX53" ca="1" si="270">DE53</f>
        <v>May</v>
      </c>
      <c r="DY53" s="380" t="str">
        <f t="shared" ref="DY53" ca="1" si="271">DF53</f>
        <v>Jun</v>
      </c>
      <c r="DZ53" s="380" t="str">
        <f t="shared" ref="DZ53" ca="1" si="272">DG53</f>
        <v>Jul</v>
      </c>
      <c r="EA53" s="289"/>
      <c r="EB53" s="380" t="str">
        <f t="shared" ref="EB53" ca="1" si="273">DI53</f>
        <v>Aug</v>
      </c>
      <c r="EC53" s="380" t="str">
        <f t="shared" ref="EC53" ca="1" si="274">DJ53</f>
        <v>Sep</v>
      </c>
      <c r="ED53" s="380" t="str">
        <f t="shared" ref="ED53" ca="1" si="275">DK53</f>
        <v>Oct</v>
      </c>
      <c r="EE53" s="289"/>
      <c r="EF53" s="380" t="str">
        <f t="shared" ref="EF53" ca="1" si="276">DM53</f>
        <v>Nov</v>
      </c>
      <c r="EG53" s="380" t="str">
        <f t="shared" ref="EG53" ca="1" si="277">DN53</f>
        <v>Dec</v>
      </c>
      <c r="EH53" s="380" t="str">
        <f t="shared" ref="EH53" ca="1" si="278">DO53</f>
        <v>Jan</v>
      </c>
    </row>
    <row r="54" spans="1:138" x14ac:dyDescent="0.25">
      <c r="B54" s="575" t="str">
        <f t="shared" ref="B54:B69" si="279">B31</f>
        <v>ACCESSORIES</v>
      </c>
      <c r="C54" s="816"/>
      <c r="D54" s="763"/>
      <c r="E54" s="763"/>
      <c r="F54" s="763"/>
      <c r="G54" s="613"/>
      <c r="H54" s="763"/>
      <c r="I54" s="763"/>
      <c r="J54" s="763"/>
      <c r="K54" s="613"/>
      <c r="L54" s="763"/>
      <c r="M54" s="763"/>
      <c r="N54" s="763"/>
      <c r="O54" s="613"/>
      <c r="P54" s="763"/>
      <c r="Q54" s="763"/>
      <c r="R54" s="763"/>
      <c r="T54" s="675">
        <f ca="1">SUM(T31,T8)</f>
        <v>0</v>
      </c>
      <c r="U54" s="675">
        <f t="shared" ref="U54:V54" ca="1" si="280">SUM(U31,U8)</f>
        <v>0</v>
      </c>
      <c r="V54" s="675">
        <f t="shared" ca="1" si="280"/>
        <v>0</v>
      </c>
      <c r="W54" s="675"/>
      <c r="X54" s="675">
        <f ca="1">SUM(X31,X8)</f>
        <v>0</v>
      </c>
      <c r="Y54" s="675">
        <f t="shared" ref="Y54:Z54" ca="1" si="281">SUM(Y31,Y8)</f>
        <v>0</v>
      </c>
      <c r="Z54" s="675">
        <f t="shared" ca="1" si="281"/>
        <v>0</v>
      </c>
      <c r="AA54" s="675"/>
      <c r="AB54" s="675">
        <f ca="1">SUM(AB31,AB8)</f>
        <v>0</v>
      </c>
      <c r="AC54" s="675">
        <f t="shared" ref="AC54:AD54" ca="1" si="282">SUM(AC31,AC8)</f>
        <v>0</v>
      </c>
      <c r="AD54" s="675">
        <f t="shared" ca="1" si="282"/>
        <v>0</v>
      </c>
      <c r="AE54" s="675"/>
      <c r="AF54" s="675">
        <f ca="1">SUM(AF31,AF8)</f>
        <v>0</v>
      </c>
      <c r="AG54" s="675">
        <f t="shared" ref="AG54:AH54" ca="1" si="283">SUM(AG31,AG8)</f>
        <v>0</v>
      </c>
      <c r="AH54" s="675">
        <f t="shared" ca="1" si="283"/>
        <v>0</v>
      </c>
      <c r="AI54" s="675"/>
      <c r="AJ54" s="575" t="str">
        <f t="shared" ref="AJ54:AJ69" si="284">AJ31</f>
        <v>ACCESSORIES</v>
      </c>
      <c r="AK54" s="675">
        <f t="shared" ref="AK54:AY54" si="285">SUM(AK31,AK8)</f>
        <v>0</v>
      </c>
      <c r="AL54" s="675">
        <f t="shared" si="285"/>
        <v>0</v>
      </c>
      <c r="AM54" s="675">
        <f t="shared" si="285"/>
        <v>0</v>
      </c>
      <c r="AN54" s="675"/>
      <c r="AO54" s="675">
        <f t="shared" si="285"/>
        <v>0</v>
      </c>
      <c r="AP54" s="675">
        <f t="shared" si="285"/>
        <v>0</v>
      </c>
      <c r="AQ54" s="675">
        <f t="shared" si="285"/>
        <v>0</v>
      </c>
      <c r="AR54" s="675"/>
      <c r="AS54" s="675">
        <f t="shared" si="285"/>
        <v>0</v>
      </c>
      <c r="AT54" s="675">
        <f t="shared" si="285"/>
        <v>0</v>
      </c>
      <c r="AU54" s="675">
        <f t="shared" si="285"/>
        <v>0</v>
      </c>
      <c r="AV54" s="675"/>
      <c r="AW54" s="675">
        <f t="shared" si="285"/>
        <v>0</v>
      </c>
      <c r="AX54" s="675">
        <f t="shared" si="285"/>
        <v>0</v>
      </c>
      <c r="AY54" s="675">
        <f t="shared" si="285"/>
        <v>0</v>
      </c>
      <c r="BA54" s="1" t="str">
        <f t="shared" ref="BA54:BA69" si="286">BA31</f>
        <v>ACCESSORIES</v>
      </c>
      <c r="BB54" s="677">
        <f ca="1">SUM(BB31,BB8)</f>
        <v>0</v>
      </c>
      <c r="BC54" s="677">
        <f t="shared" ref="BC54:BD54" ca="1" si="287">SUM(BC31,BC8)</f>
        <v>0</v>
      </c>
      <c r="BD54" s="677">
        <f t="shared" ca="1" si="287"/>
        <v>0</v>
      </c>
      <c r="BE54" s="678"/>
      <c r="BF54" s="677">
        <f ca="1">SUM(BF31,BF8)</f>
        <v>0</v>
      </c>
      <c r="BG54" s="677">
        <f t="shared" ref="BG54:BH54" ca="1" si="288">SUM(BG31,BG8)</f>
        <v>0</v>
      </c>
      <c r="BH54" s="677">
        <f t="shared" ca="1" si="288"/>
        <v>0</v>
      </c>
      <c r="BI54" s="678"/>
      <c r="BJ54" s="677">
        <f ca="1">SUM(BJ31,BJ8)</f>
        <v>0</v>
      </c>
      <c r="BK54" s="677">
        <f t="shared" ref="BK54:BL54" ca="1" si="289">SUM(BK31,BK8)</f>
        <v>0</v>
      </c>
      <c r="BL54" s="677">
        <f t="shared" ca="1" si="289"/>
        <v>0</v>
      </c>
      <c r="BM54" s="678"/>
      <c r="BN54" s="677">
        <f ca="1">SUM(BN31,BN8)</f>
        <v>0</v>
      </c>
      <c r="BO54" s="677">
        <f t="shared" ref="BO54:BP54" ca="1" si="290">SUM(BO31,BO8)</f>
        <v>0</v>
      </c>
      <c r="BP54" s="677">
        <f t="shared" ca="1" si="290"/>
        <v>0</v>
      </c>
      <c r="BR54" s="1" t="str">
        <f>BA54</f>
        <v>ACCESSORIES</v>
      </c>
      <c r="BS54" s="677">
        <f ca="1">SUM(BS31,BS8)</f>
        <v>11946</v>
      </c>
      <c r="BT54" s="677">
        <f t="shared" ref="BT54:BU54" ca="1" si="291">SUM(BT31,BT8)</f>
        <v>8299</v>
      </c>
      <c r="BU54" s="677">
        <f t="shared" ca="1" si="291"/>
        <v>28168</v>
      </c>
      <c r="BV54" s="678"/>
      <c r="BW54" s="677">
        <f ca="1">SUM(BW31,BW8)</f>
        <v>1217</v>
      </c>
      <c r="BX54" s="677">
        <f t="shared" ref="BX54:BY54" ca="1" si="292">SUM(BX31,BX8)</f>
        <v>0</v>
      </c>
      <c r="BY54" s="677">
        <f t="shared" ca="1" si="292"/>
        <v>0</v>
      </c>
      <c r="BZ54" s="678"/>
      <c r="CA54" s="677">
        <f ca="1">SUM(CA31,CA8)</f>
        <v>0</v>
      </c>
      <c r="CB54" s="677">
        <f t="shared" ref="CB54:CC54" ca="1" si="293">SUM(CB31,CB8)</f>
        <v>0</v>
      </c>
      <c r="CC54" s="677">
        <f t="shared" ca="1" si="293"/>
        <v>0</v>
      </c>
      <c r="CD54" s="678"/>
      <c r="CE54" s="677">
        <f ca="1">SUM(CE31,CE8)</f>
        <v>0</v>
      </c>
      <c r="CF54" s="677">
        <f t="shared" ref="CF54:CG54" ca="1" si="294">SUM(CF31,CF8)</f>
        <v>0</v>
      </c>
      <c r="CG54" s="677">
        <f t="shared" ca="1" si="294"/>
        <v>0</v>
      </c>
      <c r="CZ54" s="1" t="str">
        <f>CZ31</f>
        <v>ACCESSORIES</v>
      </c>
      <c r="DA54" s="677">
        <f ca="1">SUM(DA31,DA8)</f>
        <v>0</v>
      </c>
      <c r="DB54" s="677">
        <f t="shared" ref="DB54:DC54" ca="1" si="295">SUM(DB31,DB8)</f>
        <v>0</v>
      </c>
      <c r="DC54" s="677">
        <f t="shared" ca="1" si="295"/>
        <v>36467</v>
      </c>
      <c r="DD54" s="678"/>
      <c r="DE54" s="677">
        <f ca="1">SUM(DE31,DE8)</f>
        <v>37684</v>
      </c>
      <c r="DF54" s="677">
        <f t="shared" ref="DF54:DG54" ca="1" si="296">SUM(DF31,DF8)</f>
        <v>37684</v>
      </c>
      <c r="DG54" s="677">
        <f t="shared" ca="1" si="296"/>
        <v>37684</v>
      </c>
      <c r="DH54" s="678"/>
      <c r="DI54" s="677">
        <f ca="1">SUM(DI31,DI8)</f>
        <v>37684</v>
      </c>
      <c r="DJ54" s="677">
        <f t="shared" ref="DJ54:DK54" ca="1" si="297">SUM(DJ31,DJ8)</f>
        <v>37684</v>
      </c>
      <c r="DK54" s="677">
        <f t="shared" ca="1" si="297"/>
        <v>37684</v>
      </c>
      <c r="DL54" s="678"/>
      <c r="DM54" s="677">
        <f ca="1">SUM(DM31,DM8)</f>
        <v>37684</v>
      </c>
      <c r="DN54" s="677">
        <f t="shared" ref="DN54:DO54" ca="1" si="298">SUM(DN31,DN8)</f>
        <v>37684</v>
      </c>
      <c r="DO54" s="677">
        <f t="shared" ca="1" si="298"/>
        <v>37684</v>
      </c>
      <c r="DQ54" s="1" t="str">
        <f>CZ54</f>
        <v>ACCESSORIES</v>
      </c>
      <c r="DR54" s="677">
        <f ca="1">IF($DT$7="Aug",SUMIFS(HIS_STOCK!$F:$F,HIS_STOCK!$A:$A,$BA$25,HIS_STOCK!$C:$C,$DQ54,HIS_STOCK!$D:$D,$DR$4,HIS_STOCK!$E:$E,$DR$7),SUMIFS(HIS_STOCK!$F:$F,HIS_STOCK!$A:$A,$BA$25,HIS_STOCK!$C:$C,$DQ54,HIS_STOCK!$D:$D,$DR$5,HIS_STOCK!$E:$E,$DR$7))</f>
        <v>0</v>
      </c>
      <c r="DS54" s="677"/>
      <c r="DT54" s="677">
        <f ca="1">SUM(DT31,DT8)</f>
        <v>0</v>
      </c>
      <c r="DU54" s="677">
        <f t="shared" ref="DU54:DV54" ca="1" si="299">SUM(DU31,DU8)</f>
        <v>0</v>
      </c>
      <c r="DV54" s="677">
        <f t="shared" ca="1" si="299"/>
        <v>0</v>
      </c>
      <c r="DW54" s="678"/>
      <c r="DX54" s="677">
        <f ca="1">SUM(DX31,DX8)</f>
        <v>0</v>
      </c>
      <c r="DY54" s="677">
        <f t="shared" ref="DY54:DZ54" ca="1" si="300">SUM(DY31,DY8)</f>
        <v>0</v>
      </c>
      <c r="DZ54" s="677">
        <f t="shared" ca="1" si="300"/>
        <v>0</v>
      </c>
      <c r="EA54" s="678"/>
      <c r="EB54" s="677">
        <f ca="1">SUM(EB31,EB8)</f>
        <v>0</v>
      </c>
      <c r="EC54" s="677">
        <f t="shared" ref="EC54:ED54" ca="1" si="301">SUM(EC31,EC8)</f>
        <v>0</v>
      </c>
      <c r="ED54" s="677">
        <f t="shared" ca="1" si="301"/>
        <v>0</v>
      </c>
      <c r="EE54" s="678"/>
      <c r="EF54" s="677">
        <f ca="1">SUM(EF31,EF8)</f>
        <v>0</v>
      </c>
      <c r="EG54" s="677">
        <f t="shared" ref="EG54:EH54" ca="1" si="302">SUM(EG31,EG8)</f>
        <v>0</v>
      </c>
      <c r="EH54" s="677">
        <f t="shared" ca="1" si="302"/>
        <v>0</v>
      </c>
    </row>
    <row r="55" spans="1:138" x14ac:dyDescent="0.25">
      <c r="B55" s="575" t="str">
        <f t="shared" si="279"/>
        <v>DRESSES</v>
      </c>
      <c r="C55" s="817"/>
      <c r="D55" s="763"/>
      <c r="E55" s="763"/>
      <c r="F55" s="763"/>
      <c r="G55" s="613"/>
      <c r="H55" s="763"/>
      <c r="I55" s="763"/>
      <c r="J55" s="763"/>
      <c r="K55" s="613"/>
      <c r="L55" s="763"/>
      <c r="M55" s="763"/>
      <c r="N55" s="763"/>
      <c r="O55" s="613"/>
      <c r="P55" s="763"/>
      <c r="Q55" s="763"/>
      <c r="R55" s="763"/>
      <c r="T55" s="675">
        <f t="shared" ref="T55:V55" ca="1" si="303">SUM(T32,T9)</f>
        <v>0</v>
      </c>
      <c r="U55" s="675">
        <f t="shared" ca="1" si="303"/>
        <v>0</v>
      </c>
      <c r="V55" s="675">
        <f t="shared" ca="1" si="303"/>
        <v>0</v>
      </c>
      <c r="W55" s="675"/>
      <c r="X55" s="675">
        <f t="shared" ref="X55:Z55" ca="1" si="304">SUM(X32,X9)</f>
        <v>0</v>
      </c>
      <c r="Y55" s="675">
        <f t="shared" ca="1" si="304"/>
        <v>0</v>
      </c>
      <c r="Z55" s="675">
        <f t="shared" ca="1" si="304"/>
        <v>0</v>
      </c>
      <c r="AA55" s="675"/>
      <c r="AB55" s="675">
        <f t="shared" ref="AB55:AD55" ca="1" si="305">SUM(AB32,AB9)</f>
        <v>0</v>
      </c>
      <c r="AC55" s="675">
        <f t="shared" ca="1" si="305"/>
        <v>0</v>
      </c>
      <c r="AD55" s="675">
        <f t="shared" ca="1" si="305"/>
        <v>0</v>
      </c>
      <c r="AE55" s="675"/>
      <c r="AF55" s="675">
        <f t="shared" ref="AF55:AH55" ca="1" si="306">SUM(AF32,AF9)</f>
        <v>0</v>
      </c>
      <c r="AG55" s="675">
        <f t="shared" ca="1" si="306"/>
        <v>0</v>
      </c>
      <c r="AH55" s="675">
        <f t="shared" ca="1" si="306"/>
        <v>0</v>
      </c>
      <c r="AI55" s="675"/>
      <c r="AJ55" s="575" t="str">
        <f t="shared" si="284"/>
        <v>DRESSES</v>
      </c>
      <c r="AK55" s="675">
        <f t="shared" ref="AK55:AY55" si="307">SUM(AK32,AK9)</f>
        <v>0</v>
      </c>
      <c r="AL55" s="675">
        <f t="shared" si="307"/>
        <v>0</v>
      </c>
      <c r="AM55" s="675">
        <f t="shared" si="307"/>
        <v>0</v>
      </c>
      <c r="AN55" s="675"/>
      <c r="AO55" s="675">
        <f t="shared" si="307"/>
        <v>0</v>
      </c>
      <c r="AP55" s="675">
        <f t="shared" si="307"/>
        <v>0</v>
      </c>
      <c r="AQ55" s="675">
        <f t="shared" si="307"/>
        <v>0</v>
      </c>
      <c r="AR55" s="675"/>
      <c r="AS55" s="675">
        <f t="shared" si="307"/>
        <v>0</v>
      </c>
      <c r="AT55" s="675">
        <f t="shared" si="307"/>
        <v>0</v>
      </c>
      <c r="AU55" s="675">
        <f t="shared" si="307"/>
        <v>0</v>
      </c>
      <c r="AV55" s="675"/>
      <c r="AW55" s="675">
        <f t="shared" si="307"/>
        <v>0</v>
      </c>
      <c r="AX55" s="675">
        <f t="shared" si="307"/>
        <v>0</v>
      </c>
      <c r="AY55" s="675">
        <f t="shared" si="307"/>
        <v>0</v>
      </c>
      <c r="BA55" s="1" t="str">
        <f t="shared" si="286"/>
        <v>DRESSES</v>
      </c>
      <c r="BB55" s="677">
        <f t="shared" ref="BB55:BD55" ca="1" si="308">SUM(BB32,BB9)</f>
        <v>0</v>
      </c>
      <c r="BC55" s="677">
        <f t="shared" ca="1" si="308"/>
        <v>0</v>
      </c>
      <c r="BD55" s="677">
        <f t="shared" ca="1" si="308"/>
        <v>0</v>
      </c>
      <c r="BE55" s="678"/>
      <c r="BF55" s="677">
        <f t="shared" ref="BF55:BH55" ca="1" si="309">SUM(BF32,BF9)</f>
        <v>0</v>
      </c>
      <c r="BG55" s="677">
        <f t="shared" ca="1" si="309"/>
        <v>0</v>
      </c>
      <c r="BH55" s="677">
        <f t="shared" ca="1" si="309"/>
        <v>0</v>
      </c>
      <c r="BI55" s="678"/>
      <c r="BJ55" s="677">
        <f t="shared" ref="BJ55:BL55" ca="1" si="310">SUM(BJ32,BJ9)</f>
        <v>0</v>
      </c>
      <c r="BK55" s="677">
        <f t="shared" ca="1" si="310"/>
        <v>0</v>
      </c>
      <c r="BL55" s="677">
        <f t="shared" ca="1" si="310"/>
        <v>0</v>
      </c>
      <c r="BM55" s="678"/>
      <c r="BN55" s="677">
        <f t="shared" ref="BN55:BP55" ca="1" si="311">SUM(BN32,BN9)</f>
        <v>0</v>
      </c>
      <c r="BO55" s="677">
        <f t="shared" ca="1" si="311"/>
        <v>0</v>
      </c>
      <c r="BP55" s="677">
        <f t="shared" ca="1" si="311"/>
        <v>0</v>
      </c>
      <c r="BR55" s="1" t="str">
        <f t="shared" ref="BR55:BR69" si="312">BA55</f>
        <v>DRESSES</v>
      </c>
      <c r="BS55" s="677">
        <f t="shared" ref="BS55:BU55" ca="1" si="313">SUM(BS32,BS9)</f>
        <v>180144</v>
      </c>
      <c r="BT55" s="677">
        <f t="shared" ca="1" si="313"/>
        <v>335977</v>
      </c>
      <c r="BU55" s="677">
        <f t="shared" ca="1" si="313"/>
        <v>787510</v>
      </c>
      <c r="BV55" s="678"/>
      <c r="BW55" s="677">
        <f t="shared" ref="BW55:BY55" ca="1" si="314">SUM(BW32,BW9)</f>
        <v>92806</v>
      </c>
      <c r="BX55" s="677">
        <f t="shared" ca="1" si="314"/>
        <v>14965</v>
      </c>
      <c r="BY55" s="677">
        <f t="shared" ca="1" si="314"/>
        <v>3391</v>
      </c>
      <c r="BZ55" s="678"/>
      <c r="CA55" s="677">
        <f t="shared" ref="CA55:CC55" ca="1" si="315">SUM(CA32,CA9)</f>
        <v>0</v>
      </c>
      <c r="CB55" s="677">
        <f t="shared" ca="1" si="315"/>
        <v>0</v>
      </c>
      <c r="CC55" s="677">
        <f t="shared" ca="1" si="315"/>
        <v>0</v>
      </c>
      <c r="CD55" s="678"/>
      <c r="CE55" s="677">
        <f t="shared" ref="CE55:CG55" ca="1" si="316">SUM(CE32,CE9)</f>
        <v>0</v>
      </c>
      <c r="CF55" s="677">
        <f t="shared" ca="1" si="316"/>
        <v>0</v>
      </c>
      <c r="CG55" s="677">
        <f t="shared" ca="1" si="316"/>
        <v>0</v>
      </c>
      <c r="CZ55" s="1" t="str">
        <f t="shared" ref="CZ55:CZ69" si="317">CZ32</f>
        <v>DRESSES</v>
      </c>
      <c r="DA55" s="677">
        <f t="shared" ref="DA55:DC55" ca="1" si="318">SUM(DA32,DA9)</f>
        <v>0</v>
      </c>
      <c r="DB55" s="677">
        <f t="shared" ca="1" si="318"/>
        <v>0</v>
      </c>
      <c r="DC55" s="677">
        <f t="shared" ca="1" si="318"/>
        <v>1123487</v>
      </c>
      <c r="DD55" s="678"/>
      <c r="DE55" s="677">
        <f t="shared" ref="DE55:DG55" ca="1" si="319">SUM(DE32,DE9)</f>
        <v>1216293</v>
      </c>
      <c r="DF55" s="677">
        <f t="shared" ca="1" si="319"/>
        <v>1231258</v>
      </c>
      <c r="DG55" s="677">
        <f t="shared" ca="1" si="319"/>
        <v>1234649</v>
      </c>
      <c r="DH55" s="678"/>
      <c r="DI55" s="677">
        <f t="shared" ref="DI55:DK55" ca="1" si="320">SUM(DI32,DI9)</f>
        <v>1234649</v>
      </c>
      <c r="DJ55" s="677">
        <f t="shared" ca="1" si="320"/>
        <v>1234649</v>
      </c>
      <c r="DK55" s="677">
        <f t="shared" ca="1" si="320"/>
        <v>1234649</v>
      </c>
      <c r="DL55" s="678"/>
      <c r="DM55" s="677">
        <f t="shared" ref="DM55:DO55" ca="1" si="321">SUM(DM32,DM9)</f>
        <v>1234649</v>
      </c>
      <c r="DN55" s="677">
        <f t="shared" ca="1" si="321"/>
        <v>1234649</v>
      </c>
      <c r="DO55" s="677">
        <f t="shared" ca="1" si="321"/>
        <v>1234649</v>
      </c>
      <c r="DQ55" s="1" t="str">
        <f t="shared" ref="DQ55:DQ69" si="322">CZ55</f>
        <v>DRESSES</v>
      </c>
      <c r="DR55" s="677">
        <f ca="1">IF($DT$7="Aug",SUMIFS(HIS_STOCK!$F:$F,HIS_STOCK!$A:$A,$BA$25,HIS_STOCK!$C:$C,$DQ55,HIS_STOCK!$D:$D,$DR$4,HIS_STOCK!$E:$E,$DR$7),SUMIFS(HIS_STOCK!$F:$F,HIS_STOCK!$A:$A,$BA$25,HIS_STOCK!$C:$C,$DQ55,HIS_STOCK!$D:$D,$DR$5,HIS_STOCK!$E:$E,$DR$7))</f>
        <v>0</v>
      </c>
      <c r="DS55" s="677"/>
      <c r="DT55" s="677">
        <f t="shared" ref="DT55:DV55" ca="1" si="323">SUM(DT32,DT9)</f>
        <v>0</v>
      </c>
      <c r="DU55" s="677">
        <f t="shared" ca="1" si="323"/>
        <v>0</v>
      </c>
      <c r="DV55" s="677">
        <f t="shared" ca="1" si="323"/>
        <v>0</v>
      </c>
      <c r="DW55" s="678"/>
      <c r="DX55" s="677">
        <f t="shared" ref="DX55:DZ55" ca="1" si="324">SUM(DX32,DX9)</f>
        <v>0</v>
      </c>
      <c r="DY55" s="677">
        <f t="shared" ca="1" si="324"/>
        <v>0</v>
      </c>
      <c r="DZ55" s="677">
        <f t="shared" ca="1" si="324"/>
        <v>0</v>
      </c>
      <c r="EA55" s="678"/>
      <c r="EB55" s="677">
        <f t="shared" ref="EB55:ED55" ca="1" si="325">SUM(EB32,EB9)</f>
        <v>0</v>
      </c>
      <c r="EC55" s="677">
        <f t="shared" ca="1" si="325"/>
        <v>0</v>
      </c>
      <c r="ED55" s="677">
        <f t="shared" ca="1" si="325"/>
        <v>0</v>
      </c>
      <c r="EE55" s="678"/>
      <c r="EF55" s="677">
        <f t="shared" ref="EF55:EH55" ca="1" si="326">SUM(EF32,EF9)</f>
        <v>0</v>
      </c>
      <c r="EG55" s="677">
        <f t="shared" ca="1" si="326"/>
        <v>0</v>
      </c>
      <c r="EH55" s="677">
        <f t="shared" ca="1" si="326"/>
        <v>0</v>
      </c>
    </row>
    <row r="56" spans="1:138" x14ac:dyDescent="0.25">
      <c r="B56" s="575" t="str">
        <f t="shared" si="279"/>
        <v>JEANS</v>
      </c>
      <c r="C56" s="817"/>
      <c r="D56" s="763"/>
      <c r="E56" s="763"/>
      <c r="F56" s="763"/>
      <c r="G56" s="613"/>
      <c r="H56" s="763"/>
      <c r="I56" s="763"/>
      <c r="J56" s="763"/>
      <c r="K56" s="613"/>
      <c r="L56" s="763"/>
      <c r="M56" s="763"/>
      <c r="N56" s="763"/>
      <c r="O56" s="613"/>
      <c r="P56" s="763"/>
      <c r="Q56" s="763"/>
      <c r="R56" s="763"/>
      <c r="T56" s="675">
        <f t="shared" ref="T56:V56" ca="1" si="327">SUM(T33,T10)</f>
        <v>0</v>
      </c>
      <c r="U56" s="675">
        <f t="shared" ca="1" si="327"/>
        <v>0</v>
      </c>
      <c r="V56" s="675">
        <f t="shared" ca="1" si="327"/>
        <v>0</v>
      </c>
      <c r="W56" s="675"/>
      <c r="X56" s="675">
        <f t="shared" ref="X56:Z56" ca="1" si="328">SUM(X33,X10)</f>
        <v>0</v>
      </c>
      <c r="Y56" s="675">
        <f t="shared" ca="1" si="328"/>
        <v>0</v>
      </c>
      <c r="Z56" s="675">
        <f t="shared" ca="1" si="328"/>
        <v>0</v>
      </c>
      <c r="AA56" s="675"/>
      <c r="AB56" s="675">
        <f t="shared" ref="AB56:AD56" ca="1" si="329">SUM(AB33,AB10)</f>
        <v>0</v>
      </c>
      <c r="AC56" s="675">
        <f t="shared" ca="1" si="329"/>
        <v>0</v>
      </c>
      <c r="AD56" s="675">
        <f t="shared" ca="1" si="329"/>
        <v>0</v>
      </c>
      <c r="AE56" s="675"/>
      <c r="AF56" s="675">
        <f t="shared" ref="AF56:AH56" ca="1" si="330">SUM(AF33,AF10)</f>
        <v>0</v>
      </c>
      <c r="AG56" s="675">
        <f t="shared" ca="1" si="330"/>
        <v>0</v>
      </c>
      <c r="AH56" s="675">
        <f t="shared" ca="1" si="330"/>
        <v>0</v>
      </c>
      <c r="AI56" s="675"/>
      <c r="AJ56" s="575" t="str">
        <f t="shared" si="284"/>
        <v>JEANS</v>
      </c>
      <c r="AK56" s="675">
        <f t="shared" ref="AK56:AY56" si="331">SUM(AK33,AK10)</f>
        <v>0</v>
      </c>
      <c r="AL56" s="675">
        <f t="shared" si="331"/>
        <v>0</v>
      </c>
      <c r="AM56" s="675">
        <f t="shared" si="331"/>
        <v>0</v>
      </c>
      <c r="AN56" s="675"/>
      <c r="AO56" s="675">
        <f t="shared" si="331"/>
        <v>0</v>
      </c>
      <c r="AP56" s="675">
        <f t="shared" si="331"/>
        <v>0</v>
      </c>
      <c r="AQ56" s="675">
        <f t="shared" si="331"/>
        <v>0</v>
      </c>
      <c r="AR56" s="675"/>
      <c r="AS56" s="675">
        <f t="shared" si="331"/>
        <v>0</v>
      </c>
      <c r="AT56" s="675">
        <f t="shared" si="331"/>
        <v>0</v>
      </c>
      <c r="AU56" s="675">
        <f t="shared" si="331"/>
        <v>0</v>
      </c>
      <c r="AV56" s="675"/>
      <c r="AW56" s="675">
        <f t="shared" si="331"/>
        <v>0</v>
      </c>
      <c r="AX56" s="675">
        <f t="shared" si="331"/>
        <v>0</v>
      </c>
      <c r="AY56" s="675">
        <f t="shared" si="331"/>
        <v>0</v>
      </c>
      <c r="BA56" s="1" t="str">
        <f t="shared" si="286"/>
        <v>JEANS</v>
      </c>
      <c r="BB56" s="677">
        <f t="shared" ref="BB56:BD56" ca="1" si="332">SUM(BB33,BB10)</f>
        <v>0</v>
      </c>
      <c r="BC56" s="677">
        <f t="shared" ca="1" si="332"/>
        <v>0</v>
      </c>
      <c r="BD56" s="677">
        <f t="shared" ca="1" si="332"/>
        <v>0</v>
      </c>
      <c r="BE56" s="678"/>
      <c r="BF56" s="677">
        <f t="shared" ref="BF56:BH56" ca="1" si="333">SUM(BF33,BF10)</f>
        <v>0</v>
      </c>
      <c r="BG56" s="677">
        <f t="shared" ca="1" si="333"/>
        <v>0</v>
      </c>
      <c r="BH56" s="677">
        <f t="shared" ca="1" si="333"/>
        <v>0</v>
      </c>
      <c r="BI56" s="678"/>
      <c r="BJ56" s="677">
        <f t="shared" ref="BJ56:BL56" ca="1" si="334">SUM(BJ33,BJ10)</f>
        <v>0</v>
      </c>
      <c r="BK56" s="677">
        <f t="shared" ca="1" si="334"/>
        <v>0</v>
      </c>
      <c r="BL56" s="677">
        <f t="shared" ca="1" si="334"/>
        <v>0</v>
      </c>
      <c r="BM56" s="678"/>
      <c r="BN56" s="677">
        <f t="shared" ref="BN56:BP56" ca="1" si="335">SUM(BN33,BN10)</f>
        <v>0</v>
      </c>
      <c r="BO56" s="677">
        <f t="shared" ca="1" si="335"/>
        <v>0</v>
      </c>
      <c r="BP56" s="677">
        <f t="shared" ca="1" si="335"/>
        <v>0</v>
      </c>
      <c r="BR56" s="1" t="str">
        <f t="shared" si="312"/>
        <v>JEANS</v>
      </c>
      <c r="BS56" s="677">
        <f t="shared" ref="BS56:BU56" ca="1" si="336">SUM(BS33,BS10)</f>
        <v>57361</v>
      </c>
      <c r="BT56" s="677">
        <f t="shared" ca="1" si="336"/>
        <v>45944</v>
      </c>
      <c r="BU56" s="677">
        <f t="shared" ca="1" si="336"/>
        <v>263424</v>
      </c>
      <c r="BV56" s="678"/>
      <c r="BW56" s="677">
        <f t="shared" ref="BW56:BY56" ca="1" si="337">SUM(BW33,BW10)</f>
        <v>0</v>
      </c>
      <c r="BX56" s="677">
        <f t="shared" ca="1" si="337"/>
        <v>0</v>
      </c>
      <c r="BY56" s="677">
        <f t="shared" ca="1" si="337"/>
        <v>0</v>
      </c>
      <c r="BZ56" s="678"/>
      <c r="CA56" s="677">
        <f t="shared" ref="CA56:CC56" ca="1" si="338">SUM(CA33,CA10)</f>
        <v>0</v>
      </c>
      <c r="CB56" s="677">
        <f t="shared" ca="1" si="338"/>
        <v>0</v>
      </c>
      <c r="CC56" s="677">
        <f t="shared" ca="1" si="338"/>
        <v>0</v>
      </c>
      <c r="CD56" s="678"/>
      <c r="CE56" s="677">
        <f t="shared" ref="CE56:CG56" ca="1" si="339">SUM(CE33,CE10)</f>
        <v>0</v>
      </c>
      <c r="CF56" s="677">
        <f t="shared" ca="1" si="339"/>
        <v>0</v>
      </c>
      <c r="CG56" s="677">
        <f t="shared" ca="1" si="339"/>
        <v>0</v>
      </c>
      <c r="CZ56" s="1" t="str">
        <f t="shared" si="317"/>
        <v>JEANS</v>
      </c>
      <c r="DA56" s="677">
        <f t="shared" ref="DA56:DC56" ca="1" si="340">SUM(DA33,DA10)</f>
        <v>0</v>
      </c>
      <c r="DB56" s="677">
        <f t="shared" ca="1" si="340"/>
        <v>0</v>
      </c>
      <c r="DC56" s="677">
        <f t="shared" ca="1" si="340"/>
        <v>309368</v>
      </c>
      <c r="DD56" s="678"/>
      <c r="DE56" s="677">
        <f t="shared" ref="DE56:DG56" ca="1" si="341">SUM(DE33,DE10)</f>
        <v>309368</v>
      </c>
      <c r="DF56" s="677">
        <f t="shared" ca="1" si="341"/>
        <v>309368</v>
      </c>
      <c r="DG56" s="677">
        <f t="shared" ca="1" si="341"/>
        <v>309368</v>
      </c>
      <c r="DH56" s="678"/>
      <c r="DI56" s="677">
        <f t="shared" ref="DI56:DK56" ca="1" si="342">SUM(DI33,DI10)</f>
        <v>309368</v>
      </c>
      <c r="DJ56" s="677">
        <f t="shared" ca="1" si="342"/>
        <v>309368</v>
      </c>
      <c r="DK56" s="677">
        <f t="shared" ca="1" si="342"/>
        <v>309368</v>
      </c>
      <c r="DL56" s="678"/>
      <c r="DM56" s="677">
        <f t="shared" ref="DM56:DO56" ca="1" si="343">SUM(DM33,DM10)</f>
        <v>309368</v>
      </c>
      <c r="DN56" s="677">
        <f t="shared" ca="1" si="343"/>
        <v>309368</v>
      </c>
      <c r="DO56" s="677">
        <f t="shared" ca="1" si="343"/>
        <v>309368</v>
      </c>
      <c r="DQ56" s="1" t="str">
        <f t="shared" si="322"/>
        <v>JEANS</v>
      </c>
      <c r="DR56" s="677">
        <f ca="1">IF($DT$7="Aug",SUMIFS(HIS_STOCK!$F:$F,HIS_STOCK!$A:$A,$BA$25,HIS_STOCK!$C:$C,$DQ56,HIS_STOCK!$D:$D,$DR$4,HIS_STOCK!$E:$E,$DR$7),SUMIFS(HIS_STOCK!$F:$F,HIS_STOCK!$A:$A,$BA$25,HIS_STOCK!$C:$C,$DQ56,HIS_STOCK!$D:$D,$DR$5,HIS_STOCK!$E:$E,$DR$7))</f>
        <v>0</v>
      </c>
      <c r="DS56" s="677"/>
      <c r="DT56" s="677">
        <f t="shared" ref="DT56:DV56" ca="1" si="344">SUM(DT33,DT10)</f>
        <v>0</v>
      </c>
      <c r="DU56" s="677">
        <f t="shared" ca="1" si="344"/>
        <v>0</v>
      </c>
      <c r="DV56" s="677">
        <f t="shared" ca="1" si="344"/>
        <v>0</v>
      </c>
      <c r="DW56" s="678"/>
      <c r="DX56" s="677">
        <f t="shared" ref="DX56:DZ56" ca="1" si="345">SUM(DX33,DX10)</f>
        <v>0</v>
      </c>
      <c r="DY56" s="677">
        <f t="shared" ca="1" si="345"/>
        <v>0</v>
      </c>
      <c r="DZ56" s="677">
        <f t="shared" ca="1" si="345"/>
        <v>0</v>
      </c>
      <c r="EA56" s="678"/>
      <c r="EB56" s="677">
        <f t="shared" ref="EB56:ED56" ca="1" si="346">SUM(EB33,EB10)</f>
        <v>0</v>
      </c>
      <c r="EC56" s="677">
        <f t="shared" ca="1" si="346"/>
        <v>0</v>
      </c>
      <c r="ED56" s="677">
        <f t="shared" ca="1" si="346"/>
        <v>0</v>
      </c>
      <c r="EE56" s="678"/>
      <c r="EF56" s="677">
        <f t="shared" ref="EF56:EH56" ca="1" si="347">SUM(EF33,EF10)</f>
        <v>0</v>
      </c>
      <c r="EG56" s="677">
        <f t="shared" ca="1" si="347"/>
        <v>0</v>
      </c>
      <c r="EH56" s="677">
        <f t="shared" ca="1" si="347"/>
        <v>0</v>
      </c>
    </row>
    <row r="57" spans="1:138" x14ac:dyDescent="0.25">
      <c r="B57" s="575" t="str">
        <f t="shared" si="279"/>
        <v>KNIT</v>
      </c>
      <c r="C57" s="817"/>
      <c r="D57" s="763"/>
      <c r="E57" s="763"/>
      <c r="F57" s="763"/>
      <c r="G57" s="613"/>
      <c r="H57" s="763"/>
      <c r="I57" s="763"/>
      <c r="J57" s="763"/>
      <c r="K57" s="613"/>
      <c r="L57" s="763"/>
      <c r="M57" s="763"/>
      <c r="N57" s="763"/>
      <c r="O57" s="613"/>
      <c r="P57" s="763"/>
      <c r="Q57" s="763"/>
      <c r="R57" s="763"/>
      <c r="T57" s="675">
        <f t="shared" ref="T57:V57" ca="1" si="348">SUM(T34,T11)</f>
        <v>0</v>
      </c>
      <c r="U57" s="675">
        <f t="shared" ca="1" si="348"/>
        <v>0</v>
      </c>
      <c r="V57" s="675">
        <f t="shared" ca="1" si="348"/>
        <v>0</v>
      </c>
      <c r="W57" s="675"/>
      <c r="X57" s="675">
        <f t="shared" ref="X57:Z57" ca="1" si="349">SUM(X34,X11)</f>
        <v>0</v>
      </c>
      <c r="Y57" s="675">
        <f t="shared" ca="1" si="349"/>
        <v>0</v>
      </c>
      <c r="Z57" s="675">
        <f t="shared" ca="1" si="349"/>
        <v>0</v>
      </c>
      <c r="AA57" s="675"/>
      <c r="AB57" s="675">
        <f t="shared" ref="AB57:AD57" ca="1" si="350">SUM(AB34,AB11)</f>
        <v>0</v>
      </c>
      <c r="AC57" s="675">
        <f t="shared" ca="1" si="350"/>
        <v>0</v>
      </c>
      <c r="AD57" s="675">
        <f t="shared" ca="1" si="350"/>
        <v>0</v>
      </c>
      <c r="AE57" s="675"/>
      <c r="AF57" s="675">
        <f t="shared" ref="AF57:AH57" ca="1" si="351">SUM(AF34,AF11)</f>
        <v>0</v>
      </c>
      <c r="AG57" s="675">
        <f t="shared" ca="1" si="351"/>
        <v>0</v>
      </c>
      <c r="AH57" s="675">
        <f t="shared" ca="1" si="351"/>
        <v>0</v>
      </c>
      <c r="AI57" s="675"/>
      <c r="AJ57" s="575" t="str">
        <f t="shared" si="284"/>
        <v>KNIT</v>
      </c>
      <c r="AK57" s="675">
        <f t="shared" ref="AK57:AY57" si="352">SUM(AK34,AK11)</f>
        <v>0</v>
      </c>
      <c r="AL57" s="675">
        <f t="shared" si="352"/>
        <v>0</v>
      </c>
      <c r="AM57" s="675">
        <f t="shared" si="352"/>
        <v>0</v>
      </c>
      <c r="AN57" s="675"/>
      <c r="AO57" s="675">
        <f t="shared" si="352"/>
        <v>0</v>
      </c>
      <c r="AP57" s="675">
        <f t="shared" si="352"/>
        <v>0</v>
      </c>
      <c r="AQ57" s="675">
        <f t="shared" si="352"/>
        <v>0</v>
      </c>
      <c r="AR57" s="675"/>
      <c r="AS57" s="675">
        <f t="shared" si="352"/>
        <v>0</v>
      </c>
      <c r="AT57" s="675">
        <f t="shared" si="352"/>
        <v>0</v>
      </c>
      <c r="AU57" s="675">
        <f t="shared" si="352"/>
        <v>0</v>
      </c>
      <c r="AV57" s="675"/>
      <c r="AW57" s="675">
        <f t="shared" si="352"/>
        <v>0</v>
      </c>
      <c r="AX57" s="675">
        <f t="shared" si="352"/>
        <v>0</v>
      </c>
      <c r="AY57" s="675">
        <f t="shared" si="352"/>
        <v>0</v>
      </c>
      <c r="BA57" s="1" t="str">
        <f t="shared" si="286"/>
        <v>KNIT</v>
      </c>
      <c r="BB57" s="677">
        <f t="shared" ref="BB57:BD57" ca="1" si="353">SUM(BB34,BB11)</f>
        <v>0</v>
      </c>
      <c r="BC57" s="677">
        <f t="shared" ca="1" si="353"/>
        <v>0</v>
      </c>
      <c r="BD57" s="677">
        <f t="shared" ca="1" si="353"/>
        <v>0</v>
      </c>
      <c r="BE57" s="678"/>
      <c r="BF57" s="677">
        <f t="shared" ref="BF57:BH57" ca="1" si="354">SUM(BF34,BF11)</f>
        <v>0</v>
      </c>
      <c r="BG57" s="677">
        <f t="shared" ca="1" si="354"/>
        <v>0</v>
      </c>
      <c r="BH57" s="677">
        <f t="shared" ca="1" si="354"/>
        <v>0</v>
      </c>
      <c r="BI57" s="678"/>
      <c r="BJ57" s="677">
        <f t="shared" ref="BJ57:BL57" ca="1" si="355">SUM(BJ34,BJ11)</f>
        <v>0</v>
      </c>
      <c r="BK57" s="677">
        <f t="shared" ca="1" si="355"/>
        <v>0</v>
      </c>
      <c r="BL57" s="677">
        <f t="shared" ca="1" si="355"/>
        <v>0</v>
      </c>
      <c r="BM57" s="678"/>
      <c r="BN57" s="677">
        <f t="shared" ref="BN57:BP57" ca="1" si="356">SUM(BN34,BN11)</f>
        <v>0</v>
      </c>
      <c r="BO57" s="677">
        <f t="shared" ca="1" si="356"/>
        <v>0</v>
      </c>
      <c r="BP57" s="677">
        <f t="shared" ca="1" si="356"/>
        <v>0</v>
      </c>
      <c r="BR57" s="1" t="str">
        <f t="shared" si="312"/>
        <v>KNIT</v>
      </c>
      <c r="BS57" s="677">
        <f t="shared" ref="BS57:BU57" ca="1" si="357">SUM(BS34,BS11)</f>
        <v>72998</v>
      </c>
      <c r="BT57" s="677">
        <f t="shared" ca="1" si="357"/>
        <v>9286</v>
      </c>
      <c r="BU57" s="677">
        <f t="shared" ca="1" si="357"/>
        <v>275849</v>
      </c>
      <c r="BV57" s="678"/>
      <c r="BW57" s="677">
        <f t="shared" ref="BW57:BY57" ca="1" si="358">SUM(BW34,BW11)</f>
        <v>3720</v>
      </c>
      <c r="BX57" s="677">
        <f t="shared" ca="1" si="358"/>
        <v>1434</v>
      </c>
      <c r="BY57" s="677">
        <f t="shared" ca="1" si="358"/>
        <v>0</v>
      </c>
      <c r="BZ57" s="678"/>
      <c r="CA57" s="677">
        <f t="shared" ref="CA57:CC57" ca="1" si="359">SUM(CA34,CA11)</f>
        <v>0</v>
      </c>
      <c r="CB57" s="677">
        <f t="shared" ca="1" si="359"/>
        <v>0</v>
      </c>
      <c r="CC57" s="677">
        <f t="shared" ca="1" si="359"/>
        <v>0</v>
      </c>
      <c r="CD57" s="678"/>
      <c r="CE57" s="677">
        <f t="shared" ref="CE57:CG57" ca="1" si="360">SUM(CE34,CE11)</f>
        <v>0</v>
      </c>
      <c r="CF57" s="677">
        <f t="shared" ca="1" si="360"/>
        <v>0</v>
      </c>
      <c r="CG57" s="677">
        <f t="shared" ca="1" si="360"/>
        <v>0</v>
      </c>
      <c r="CZ57" s="1" t="str">
        <f t="shared" si="317"/>
        <v>KNIT</v>
      </c>
      <c r="DA57" s="677">
        <f t="shared" ref="DA57:DC57" ca="1" si="361">SUM(DA34,DA11)</f>
        <v>0</v>
      </c>
      <c r="DB57" s="677">
        <f t="shared" ca="1" si="361"/>
        <v>0</v>
      </c>
      <c r="DC57" s="677">
        <f t="shared" ca="1" si="361"/>
        <v>285135</v>
      </c>
      <c r="DD57" s="678"/>
      <c r="DE57" s="677">
        <f t="shared" ref="DE57:DG57" ca="1" si="362">SUM(DE34,DE11)</f>
        <v>288855</v>
      </c>
      <c r="DF57" s="677">
        <f t="shared" ca="1" si="362"/>
        <v>290289</v>
      </c>
      <c r="DG57" s="677">
        <f t="shared" ca="1" si="362"/>
        <v>290289</v>
      </c>
      <c r="DH57" s="678"/>
      <c r="DI57" s="677">
        <f t="shared" ref="DI57:DK57" ca="1" si="363">SUM(DI34,DI11)</f>
        <v>290289</v>
      </c>
      <c r="DJ57" s="677">
        <f t="shared" ca="1" si="363"/>
        <v>290289</v>
      </c>
      <c r="DK57" s="677">
        <f t="shared" ca="1" si="363"/>
        <v>290289</v>
      </c>
      <c r="DL57" s="678"/>
      <c r="DM57" s="677">
        <f t="shared" ref="DM57:DO57" ca="1" si="364">SUM(DM34,DM11)</f>
        <v>290289</v>
      </c>
      <c r="DN57" s="677">
        <f t="shared" ca="1" si="364"/>
        <v>290289</v>
      </c>
      <c r="DO57" s="677">
        <f t="shared" ca="1" si="364"/>
        <v>290289</v>
      </c>
      <c r="DQ57" s="1" t="str">
        <f t="shared" si="322"/>
        <v>KNIT</v>
      </c>
      <c r="DR57" s="677">
        <f ca="1">IF($DT$7="Aug",SUMIFS(HIS_STOCK!$F:$F,HIS_STOCK!$A:$A,$BA$25,HIS_STOCK!$C:$C,$DQ57,HIS_STOCK!$D:$D,$DR$4,HIS_STOCK!$E:$E,$DR$7),SUMIFS(HIS_STOCK!$F:$F,HIS_STOCK!$A:$A,$BA$25,HIS_STOCK!$C:$C,$DQ57,HIS_STOCK!$D:$D,$DR$5,HIS_STOCK!$E:$E,$DR$7))</f>
        <v>0</v>
      </c>
      <c r="DS57" s="677"/>
      <c r="DT57" s="677">
        <f t="shared" ref="DT57:DV57" ca="1" si="365">SUM(DT34,DT11)</f>
        <v>0</v>
      </c>
      <c r="DU57" s="677">
        <f t="shared" ca="1" si="365"/>
        <v>0</v>
      </c>
      <c r="DV57" s="677">
        <f t="shared" ca="1" si="365"/>
        <v>0</v>
      </c>
      <c r="DW57" s="678"/>
      <c r="DX57" s="677">
        <f t="shared" ref="DX57:DZ57" ca="1" si="366">SUM(DX34,DX11)</f>
        <v>0</v>
      </c>
      <c r="DY57" s="677">
        <f t="shared" ca="1" si="366"/>
        <v>0</v>
      </c>
      <c r="DZ57" s="677">
        <f t="shared" ca="1" si="366"/>
        <v>0</v>
      </c>
      <c r="EA57" s="678"/>
      <c r="EB57" s="677">
        <f t="shared" ref="EB57:ED57" ca="1" si="367">SUM(EB34,EB11)</f>
        <v>0</v>
      </c>
      <c r="EC57" s="677">
        <f t="shared" ca="1" si="367"/>
        <v>0</v>
      </c>
      <c r="ED57" s="677">
        <f t="shared" ca="1" si="367"/>
        <v>0</v>
      </c>
      <c r="EE57" s="678"/>
      <c r="EF57" s="677">
        <f t="shared" ref="EF57:EH57" ca="1" si="368">SUM(EF34,EF11)</f>
        <v>0</v>
      </c>
      <c r="EG57" s="677">
        <f t="shared" ca="1" si="368"/>
        <v>0</v>
      </c>
      <c r="EH57" s="677">
        <f t="shared" ca="1" si="368"/>
        <v>0</v>
      </c>
    </row>
    <row r="58" spans="1:138" x14ac:dyDescent="0.25">
      <c r="B58" s="575" t="str">
        <f t="shared" si="279"/>
        <v>OUTERWEAR</v>
      </c>
      <c r="C58" s="817"/>
      <c r="D58" s="763"/>
      <c r="E58" s="763"/>
      <c r="F58" s="763"/>
      <c r="G58" s="613"/>
      <c r="H58" s="763"/>
      <c r="I58" s="763"/>
      <c r="J58" s="763"/>
      <c r="K58" s="613"/>
      <c r="L58" s="763"/>
      <c r="M58" s="763"/>
      <c r="N58" s="763"/>
      <c r="O58" s="613"/>
      <c r="P58" s="763"/>
      <c r="Q58" s="763"/>
      <c r="R58" s="763"/>
      <c r="T58" s="675">
        <f t="shared" ref="T58:V58" ca="1" si="369">SUM(T35,T12)</f>
        <v>0</v>
      </c>
      <c r="U58" s="675">
        <f t="shared" ca="1" si="369"/>
        <v>0</v>
      </c>
      <c r="V58" s="675">
        <f t="shared" ca="1" si="369"/>
        <v>0</v>
      </c>
      <c r="W58" s="675"/>
      <c r="X58" s="675">
        <f t="shared" ref="X58:Z58" ca="1" si="370">SUM(X35,X12)</f>
        <v>0</v>
      </c>
      <c r="Y58" s="675">
        <f t="shared" ca="1" si="370"/>
        <v>0</v>
      </c>
      <c r="Z58" s="675">
        <f t="shared" ca="1" si="370"/>
        <v>0</v>
      </c>
      <c r="AA58" s="675"/>
      <c r="AB58" s="675">
        <f t="shared" ref="AB58:AD58" ca="1" si="371">SUM(AB35,AB12)</f>
        <v>0</v>
      </c>
      <c r="AC58" s="675">
        <f t="shared" ca="1" si="371"/>
        <v>0</v>
      </c>
      <c r="AD58" s="675">
        <f t="shared" ca="1" si="371"/>
        <v>0</v>
      </c>
      <c r="AE58" s="675"/>
      <c r="AF58" s="675">
        <f t="shared" ref="AF58:AH58" ca="1" si="372">SUM(AF35,AF12)</f>
        <v>0</v>
      </c>
      <c r="AG58" s="675">
        <f t="shared" ca="1" si="372"/>
        <v>0</v>
      </c>
      <c r="AH58" s="675">
        <f t="shared" ca="1" si="372"/>
        <v>0</v>
      </c>
      <c r="AI58" s="675"/>
      <c r="AJ58" s="575" t="str">
        <f t="shared" si="284"/>
        <v>OUTERWEAR</v>
      </c>
      <c r="AK58" s="675">
        <f t="shared" ref="AK58:AY58" si="373">SUM(AK35,AK12)</f>
        <v>0</v>
      </c>
      <c r="AL58" s="675">
        <f t="shared" si="373"/>
        <v>0</v>
      </c>
      <c r="AM58" s="675">
        <f t="shared" si="373"/>
        <v>0</v>
      </c>
      <c r="AN58" s="675"/>
      <c r="AO58" s="675">
        <f t="shared" si="373"/>
        <v>0</v>
      </c>
      <c r="AP58" s="675">
        <f t="shared" si="373"/>
        <v>0</v>
      </c>
      <c r="AQ58" s="675">
        <f t="shared" si="373"/>
        <v>0</v>
      </c>
      <c r="AR58" s="675"/>
      <c r="AS58" s="675">
        <f t="shared" si="373"/>
        <v>0</v>
      </c>
      <c r="AT58" s="675">
        <f t="shared" si="373"/>
        <v>0</v>
      </c>
      <c r="AU58" s="675">
        <f t="shared" si="373"/>
        <v>0</v>
      </c>
      <c r="AV58" s="675"/>
      <c r="AW58" s="675">
        <f t="shared" si="373"/>
        <v>0</v>
      </c>
      <c r="AX58" s="675">
        <f t="shared" si="373"/>
        <v>0</v>
      </c>
      <c r="AY58" s="675">
        <f t="shared" si="373"/>
        <v>0</v>
      </c>
      <c r="BA58" s="1" t="str">
        <f t="shared" si="286"/>
        <v>OUTERWEAR</v>
      </c>
      <c r="BB58" s="677">
        <f t="shared" ref="BB58:BD58" ca="1" si="374">SUM(BB35,BB12)</f>
        <v>0</v>
      </c>
      <c r="BC58" s="677">
        <f t="shared" ca="1" si="374"/>
        <v>0</v>
      </c>
      <c r="BD58" s="677">
        <f t="shared" ca="1" si="374"/>
        <v>0</v>
      </c>
      <c r="BE58" s="678"/>
      <c r="BF58" s="677">
        <f t="shared" ref="BF58:BH58" ca="1" si="375">SUM(BF35,BF12)</f>
        <v>0</v>
      </c>
      <c r="BG58" s="677">
        <f t="shared" ca="1" si="375"/>
        <v>0</v>
      </c>
      <c r="BH58" s="677">
        <f t="shared" ca="1" si="375"/>
        <v>0</v>
      </c>
      <c r="BI58" s="678"/>
      <c r="BJ58" s="677">
        <f t="shared" ref="BJ58:BL58" ca="1" si="376">SUM(BJ35,BJ12)</f>
        <v>0</v>
      </c>
      <c r="BK58" s="677">
        <f t="shared" ca="1" si="376"/>
        <v>0</v>
      </c>
      <c r="BL58" s="677">
        <f t="shared" ca="1" si="376"/>
        <v>0</v>
      </c>
      <c r="BM58" s="678"/>
      <c r="BN58" s="677">
        <f t="shared" ref="BN58:BP58" ca="1" si="377">SUM(BN35,BN12)</f>
        <v>0</v>
      </c>
      <c r="BO58" s="677">
        <f t="shared" ca="1" si="377"/>
        <v>0</v>
      </c>
      <c r="BP58" s="677">
        <f t="shared" ca="1" si="377"/>
        <v>0</v>
      </c>
      <c r="BR58" s="1" t="str">
        <f t="shared" si="312"/>
        <v>OUTERWEAR</v>
      </c>
      <c r="BS58" s="677">
        <f t="shared" ref="BS58:BU58" ca="1" si="378">SUM(BS35,BS12)</f>
        <v>387778</v>
      </c>
      <c r="BT58" s="677">
        <f t="shared" ca="1" si="378"/>
        <v>40548</v>
      </c>
      <c r="BU58" s="677">
        <f t="shared" ca="1" si="378"/>
        <v>746027</v>
      </c>
      <c r="BV58" s="678"/>
      <c r="BW58" s="677">
        <f t="shared" ref="BW58:BY58" ca="1" si="379">SUM(BW35,BW12)</f>
        <v>964</v>
      </c>
      <c r="BX58" s="677">
        <f t="shared" ca="1" si="379"/>
        <v>29309</v>
      </c>
      <c r="BY58" s="677">
        <f t="shared" ca="1" si="379"/>
        <v>4635</v>
      </c>
      <c r="BZ58" s="678"/>
      <c r="CA58" s="677">
        <f t="shared" ref="CA58:CC58" ca="1" si="380">SUM(CA35,CA12)</f>
        <v>283683</v>
      </c>
      <c r="CB58" s="677">
        <f t="shared" ca="1" si="380"/>
        <v>114241</v>
      </c>
      <c r="CC58" s="677">
        <f t="shared" ca="1" si="380"/>
        <v>2678</v>
      </c>
      <c r="CD58" s="678"/>
      <c r="CE58" s="677">
        <f t="shared" ref="CE58:CG58" ca="1" si="381">SUM(CE35,CE12)</f>
        <v>0</v>
      </c>
      <c r="CF58" s="677">
        <f t="shared" ca="1" si="381"/>
        <v>0</v>
      </c>
      <c r="CG58" s="677">
        <f t="shared" ca="1" si="381"/>
        <v>0</v>
      </c>
      <c r="CZ58" s="1" t="str">
        <f t="shared" si="317"/>
        <v>OUTERWEAR</v>
      </c>
      <c r="DA58" s="677">
        <f t="shared" ref="DA58:DC58" ca="1" si="382">SUM(DA35,DA12)</f>
        <v>0</v>
      </c>
      <c r="DB58" s="677">
        <f t="shared" ca="1" si="382"/>
        <v>0</v>
      </c>
      <c r="DC58" s="677">
        <f t="shared" ca="1" si="382"/>
        <v>786575</v>
      </c>
      <c r="DD58" s="678"/>
      <c r="DE58" s="677">
        <f t="shared" ref="DE58:DG58" ca="1" si="383">SUM(DE35,DE12)</f>
        <v>787539</v>
      </c>
      <c r="DF58" s="677">
        <f t="shared" ca="1" si="383"/>
        <v>816848</v>
      </c>
      <c r="DG58" s="677">
        <f t="shared" ca="1" si="383"/>
        <v>821483</v>
      </c>
      <c r="DH58" s="678"/>
      <c r="DI58" s="677">
        <f t="shared" ref="DI58:DK58" ca="1" si="384">SUM(DI35,DI12)</f>
        <v>1105166</v>
      </c>
      <c r="DJ58" s="677">
        <f t="shared" ca="1" si="384"/>
        <v>1219407</v>
      </c>
      <c r="DK58" s="677">
        <f t="shared" ca="1" si="384"/>
        <v>1222085</v>
      </c>
      <c r="DL58" s="678"/>
      <c r="DM58" s="677">
        <f t="shared" ref="DM58:DO58" ca="1" si="385">SUM(DM35,DM12)</f>
        <v>1222085</v>
      </c>
      <c r="DN58" s="677">
        <f t="shared" ca="1" si="385"/>
        <v>1222085</v>
      </c>
      <c r="DO58" s="677">
        <f t="shared" ca="1" si="385"/>
        <v>1222085</v>
      </c>
      <c r="DQ58" s="1" t="str">
        <f t="shared" si="322"/>
        <v>OUTERWEAR</v>
      </c>
      <c r="DR58" s="677">
        <f ca="1">IF($DT$7="Aug",SUMIFS(HIS_STOCK!$F:$F,HIS_STOCK!$A:$A,$BA$25,HIS_STOCK!$C:$C,$DQ58,HIS_STOCK!$D:$D,$DR$4,HIS_STOCK!$E:$E,$DR$7),SUMIFS(HIS_STOCK!$F:$F,HIS_STOCK!$A:$A,$BA$25,HIS_STOCK!$C:$C,$DQ58,HIS_STOCK!$D:$D,$DR$5,HIS_STOCK!$E:$E,$DR$7))</f>
        <v>0</v>
      </c>
      <c r="DS58" s="677"/>
      <c r="DT58" s="677">
        <f t="shared" ref="DT58:DV58" ca="1" si="386">SUM(DT35,DT12)</f>
        <v>0</v>
      </c>
      <c r="DU58" s="677">
        <f t="shared" ca="1" si="386"/>
        <v>0</v>
      </c>
      <c r="DV58" s="677">
        <f t="shared" ca="1" si="386"/>
        <v>0</v>
      </c>
      <c r="DW58" s="678"/>
      <c r="DX58" s="677">
        <f t="shared" ref="DX58:DZ58" ca="1" si="387">SUM(DX35,DX12)</f>
        <v>0</v>
      </c>
      <c r="DY58" s="677">
        <f t="shared" ca="1" si="387"/>
        <v>0</v>
      </c>
      <c r="DZ58" s="677">
        <f t="shared" ca="1" si="387"/>
        <v>0</v>
      </c>
      <c r="EA58" s="678"/>
      <c r="EB58" s="677">
        <f t="shared" ref="EB58:ED58" ca="1" si="388">SUM(EB35,EB12)</f>
        <v>0</v>
      </c>
      <c r="EC58" s="677">
        <f t="shared" ca="1" si="388"/>
        <v>0</v>
      </c>
      <c r="ED58" s="677">
        <f t="shared" ca="1" si="388"/>
        <v>0</v>
      </c>
      <c r="EE58" s="678"/>
      <c r="EF58" s="677">
        <f t="shared" ref="EF58:EH58" ca="1" si="389">SUM(EF35,EF12)</f>
        <v>0</v>
      </c>
      <c r="EG58" s="677">
        <f t="shared" ca="1" si="389"/>
        <v>0</v>
      </c>
      <c r="EH58" s="677">
        <f t="shared" ca="1" si="389"/>
        <v>0</v>
      </c>
    </row>
    <row r="59" spans="1:138" x14ac:dyDescent="0.25">
      <c r="B59" s="575" t="str">
        <f t="shared" si="279"/>
        <v>PANTS</v>
      </c>
      <c r="C59" s="817"/>
      <c r="D59" s="763"/>
      <c r="E59" s="763"/>
      <c r="F59" s="763"/>
      <c r="G59" s="613"/>
      <c r="H59" s="763"/>
      <c r="I59" s="763"/>
      <c r="J59" s="763"/>
      <c r="K59" s="613"/>
      <c r="L59" s="763"/>
      <c r="M59" s="763"/>
      <c r="N59" s="763"/>
      <c r="O59" s="613"/>
      <c r="P59" s="763"/>
      <c r="Q59" s="763"/>
      <c r="R59" s="763"/>
      <c r="T59" s="675">
        <f t="shared" ref="T59:V59" ca="1" si="390">SUM(T36,T13)</f>
        <v>0</v>
      </c>
      <c r="U59" s="675">
        <f t="shared" ca="1" si="390"/>
        <v>0</v>
      </c>
      <c r="V59" s="675">
        <f t="shared" ca="1" si="390"/>
        <v>0</v>
      </c>
      <c r="W59" s="675"/>
      <c r="X59" s="675">
        <f t="shared" ref="X59:Z59" ca="1" si="391">SUM(X36,X13)</f>
        <v>0</v>
      </c>
      <c r="Y59" s="675">
        <f t="shared" ca="1" si="391"/>
        <v>0</v>
      </c>
      <c r="Z59" s="675">
        <f t="shared" ca="1" si="391"/>
        <v>0</v>
      </c>
      <c r="AA59" s="675"/>
      <c r="AB59" s="675">
        <f t="shared" ref="AB59:AD59" ca="1" si="392">SUM(AB36,AB13)</f>
        <v>0</v>
      </c>
      <c r="AC59" s="675">
        <f t="shared" ca="1" si="392"/>
        <v>0</v>
      </c>
      <c r="AD59" s="675">
        <f t="shared" ca="1" si="392"/>
        <v>0</v>
      </c>
      <c r="AE59" s="675"/>
      <c r="AF59" s="675">
        <f t="shared" ref="AF59:AH59" ca="1" si="393">SUM(AF36,AF13)</f>
        <v>0</v>
      </c>
      <c r="AG59" s="675">
        <f t="shared" ca="1" si="393"/>
        <v>0</v>
      </c>
      <c r="AH59" s="675">
        <f t="shared" ca="1" si="393"/>
        <v>0</v>
      </c>
      <c r="AI59" s="675"/>
      <c r="AJ59" s="575" t="str">
        <f t="shared" si="284"/>
        <v>PANTS</v>
      </c>
      <c r="AK59" s="675">
        <f t="shared" ref="AK59:AY59" si="394">SUM(AK36,AK13)</f>
        <v>0</v>
      </c>
      <c r="AL59" s="675">
        <f t="shared" si="394"/>
        <v>0</v>
      </c>
      <c r="AM59" s="675">
        <f t="shared" si="394"/>
        <v>0</v>
      </c>
      <c r="AN59" s="675"/>
      <c r="AO59" s="675">
        <f t="shared" si="394"/>
        <v>0</v>
      </c>
      <c r="AP59" s="675">
        <f t="shared" si="394"/>
        <v>0</v>
      </c>
      <c r="AQ59" s="675">
        <f t="shared" si="394"/>
        <v>0</v>
      </c>
      <c r="AR59" s="675"/>
      <c r="AS59" s="675">
        <f t="shared" si="394"/>
        <v>0</v>
      </c>
      <c r="AT59" s="675">
        <f t="shared" si="394"/>
        <v>0</v>
      </c>
      <c r="AU59" s="675">
        <f t="shared" si="394"/>
        <v>0</v>
      </c>
      <c r="AV59" s="675"/>
      <c r="AW59" s="675">
        <f t="shared" si="394"/>
        <v>0</v>
      </c>
      <c r="AX59" s="675">
        <f t="shared" si="394"/>
        <v>0</v>
      </c>
      <c r="AY59" s="675">
        <f t="shared" si="394"/>
        <v>0</v>
      </c>
      <c r="BA59" s="1" t="str">
        <f t="shared" si="286"/>
        <v>PANTS</v>
      </c>
      <c r="BB59" s="677">
        <f t="shared" ref="BB59:BD59" ca="1" si="395">SUM(BB36,BB13)</f>
        <v>0</v>
      </c>
      <c r="BC59" s="677">
        <f t="shared" ca="1" si="395"/>
        <v>0</v>
      </c>
      <c r="BD59" s="677">
        <f t="shared" ca="1" si="395"/>
        <v>0</v>
      </c>
      <c r="BE59" s="678"/>
      <c r="BF59" s="677">
        <f t="shared" ref="BF59:BH59" ca="1" si="396">SUM(BF36,BF13)</f>
        <v>0</v>
      </c>
      <c r="BG59" s="677">
        <f t="shared" ca="1" si="396"/>
        <v>0</v>
      </c>
      <c r="BH59" s="677">
        <f t="shared" ca="1" si="396"/>
        <v>0</v>
      </c>
      <c r="BI59" s="678"/>
      <c r="BJ59" s="677">
        <f t="shared" ref="BJ59:BL59" ca="1" si="397">SUM(BJ36,BJ13)</f>
        <v>0</v>
      </c>
      <c r="BK59" s="677">
        <f t="shared" ca="1" si="397"/>
        <v>0</v>
      </c>
      <c r="BL59" s="677">
        <f t="shared" ca="1" si="397"/>
        <v>0</v>
      </c>
      <c r="BM59" s="678"/>
      <c r="BN59" s="677">
        <f t="shared" ref="BN59:BP59" ca="1" si="398">SUM(BN36,BN13)</f>
        <v>0</v>
      </c>
      <c r="BO59" s="677">
        <f t="shared" ca="1" si="398"/>
        <v>0</v>
      </c>
      <c r="BP59" s="677">
        <f t="shared" ca="1" si="398"/>
        <v>0</v>
      </c>
      <c r="BR59" s="1" t="str">
        <f t="shared" si="312"/>
        <v>PANTS</v>
      </c>
      <c r="BS59" s="677">
        <f t="shared" ref="BS59:BU59" ca="1" si="399">SUM(BS36,BS13)</f>
        <v>106612</v>
      </c>
      <c r="BT59" s="677">
        <f t="shared" ca="1" si="399"/>
        <v>159930</v>
      </c>
      <c r="BU59" s="677">
        <f t="shared" ca="1" si="399"/>
        <v>466273</v>
      </c>
      <c r="BV59" s="678"/>
      <c r="BW59" s="677">
        <f t="shared" ref="BW59:BY59" ca="1" si="400">SUM(BW36,BW13)</f>
        <v>14953</v>
      </c>
      <c r="BX59" s="677">
        <f t="shared" ca="1" si="400"/>
        <v>15364</v>
      </c>
      <c r="BY59" s="677">
        <f t="shared" ca="1" si="400"/>
        <v>0</v>
      </c>
      <c r="BZ59" s="678"/>
      <c r="CA59" s="677">
        <f t="shared" ref="CA59:CC59" ca="1" si="401">SUM(CA36,CA13)</f>
        <v>1488</v>
      </c>
      <c r="CB59" s="677">
        <f t="shared" ca="1" si="401"/>
        <v>0</v>
      </c>
      <c r="CC59" s="677">
        <f t="shared" ca="1" si="401"/>
        <v>0</v>
      </c>
      <c r="CD59" s="678"/>
      <c r="CE59" s="677">
        <f t="shared" ref="CE59:CG59" ca="1" si="402">SUM(CE36,CE13)</f>
        <v>0</v>
      </c>
      <c r="CF59" s="677">
        <f t="shared" ca="1" si="402"/>
        <v>0</v>
      </c>
      <c r="CG59" s="677">
        <f t="shared" ca="1" si="402"/>
        <v>0</v>
      </c>
      <c r="CZ59" s="1" t="str">
        <f t="shared" si="317"/>
        <v>PANTS</v>
      </c>
      <c r="DA59" s="677">
        <f t="shared" ref="DA59:DC59" ca="1" si="403">SUM(DA36,DA13)</f>
        <v>0</v>
      </c>
      <c r="DB59" s="677">
        <f t="shared" ca="1" si="403"/>
        <v>0</v>
      </c>
      <c r="DC59" s="677">
        <f t="shared" ca="1" si="403"/>
        <v>626203</v>
      </c>
      <c r="DD59" s="678"/>
      <c r="DE59" s="677">
        <f t="shared" ref="DE59:DG59" ca="1" si="404">SUM(DE36,DE13)</f>
        <v>641156</v>
      </c>
      <c r="DF59" s="677">
        <f t="shared" ca="1" si="404"/>
        <v>656520</v>
      </c>
      <c r="DG59" s="677">
        <f t="shared" ca="1" si="404"/>
        <v>656520</v>
      </c>
      <c r="DH59" s="678"/>
      <c r="DI59" s="677">
        <f t="shared" ref="DI59:DK59" ca="1" si="405">SUM(DI36,DI13)</f>
        <v>658008</v>
      </c>
      <c r="DJ59" s="677">
        <f t="shared" ca="1" si="405"/>
        <v>658008</v>
      </c>
      <c r="DK59" s="677">
        <f t="shared" ca="1" si="405"/>
        <v>658008</v>
      </c>
      <c r="DL59" s="678"/>
      <c r="DM59" s="677">
        <f t="shared" ref="DM59:DO59" ca="1" si="406">SUM(DM36,DM13)</f>
        <v>658008</v>
      </c>
      <c r="DN59" s="677">
        <f t="shared" ca="1" si="406"/>
        <v>658008</v>
      </c>
      <c r="DO59" s="677">
        <f t="shared" ca="1" si="406"/>
        <v>658008</v>
      </c>
      <c r="DQ59" s="1" t="str">
        <f t="shared" si="322"/>
        <v>PANTS</v>
      </c>
      <c r="DR59" s="677">
        <f ca="1">IF($DT$7="Aug",SUMIFS(HIS_STOCK!$F:$F,HIS_STOCK!$A:$A,$BA$25,HIS_STOCK!$C:$C,$DQ59,HIS_STOCK!$D:$D,$DR$4,HIS_STOCK!$E:$E,$DR$7),SUMIFS(HIS_STOCK!$F:$F,HIS_STOCK!$A:$A,$BA$25,HIS_STOCK!$C:$C,$DQ59,HIS_STOCK!$D:$D,$DR$5,HIS_STOCK!$E:$E,$DR$7))</f>
        <v>0</v>
      </c>
      <c r="DS59" s="677"/>
      <c r="DT59" s="677">
        <f t="shared" ref="DT59:DV59" ca="1" si="407">SUM(DT36,DT13)</f>
        <v>0</v>
      </c>
      <c r="DU59" s="677">
        <f t="shared" ca="1" si="407"/>
        <v>0</v>
      </c>
      <c r="DV59" s="677">
        <f t="shared" ca="1" si="407"/>
        <v>0</v>
      </c>
      <c r="DW59" s="678"/>
      <c r="DX59" s="677">
        <f t="shared" ref="DX59:DZ59" ca="1" si="408">SUM(DX36,DX13)</f>
        <v>0</v>
      </c>
      <c r="DY59" s="677">
        <f t="shared" ca="1" si="408"/>
        <v>0</v>
      </c>
      <c r="DZ59" s="677">
        <f t="shared" ca="1" si="408"/>
        <v>0</v>
      </c>
      <c r="EA59" s="678"/>
      <c r="EB59" s="677">
        <f t="shared" ref="EB59:ED59" ca="1" si="409">SUM(EB36,EB13)</f>
        <v>0</v>
      </c>
      <c r="EC59" s="677">
        <f t="shared" ca="1" si="409"/>
        <v>0</v>
      </c>
      <c r="ED59" s="677">
        <f t="shared" ca="1" si="409"/>
        <v>0</v>
      </c>
      <c r="EE59" s="678"/>
      <c r="EF59" s="677">
        <f t="shared" ref="EF59:EH59" ca="1" si="410">SUM(EF36,EF13)</f>
        <v>0</v>
      </c>
      <c r="EG59" s="677">
        <f t="shared" ca="1" si="410"/>
        <v>0</v>
      </c>
      <c r="EH59" s="677">
        <f t="shared" ca="1" si="410"/>
        <v>0</v>
      </c>
    </row>
    <row r="60" spans="1:138" x14ac:dyDescent="0.25">
      <c r="B60" s="575" t="str">
        <f t="shared" si="279"/>
        <v>SHIRTS</v>
      </c>
      <c r="C60" s="817"/>
      <c r="D60" s="763"/>
      <c r="E60" s="763"/>
      <c r="F60" s="763"/>
      <c r="G60" s="613"/>
      <c r="H60" s="763"/>
      <c r="I60" s="763"/>
      <c r="J60" s="763"/>
      <c r="K60" s="613"/>
      <c r="L60" s="763"/>
      <c r="M60" s="763"/>
      <c r="N60" s="763"/>
      <c r="O60" s="613"/>
      <c r="P60" s="763"/>
      <c r="Q60" s="763"/>
      <c r="R60" s="763"/>
      <c r="T60" s="675">
        <f t="shared" ref="T60:V60" ca="1" si="411">SUM(T37,T14)</f>
        <v>0</v>
      </c>
      <c r="U60" s="675">
        <f t="shared" ca="1" si="411"/>
        <v>0</v>
      </c>
      <c r="V60" s="675">
        <f t="shared" ca="1" si="411"/>
        <v>0</v>
      </c>
      <c r="W60" s="675"/>
      <c r="X60" s="675">
        <f t="shared" ref="X60:Z60" ca="1" si="412">SUM(X37,X14)</f>
        <v>0</v>
      </c>
      <c r="Y60" s="675">
        <f t="shared" ca="1" si="412"/>
        <v>0</v>
      </c>
      <c r="Z60" s="675">
        <f t="shared" ca="1" si="412"/>
        <v>0</v>
      </c>
      <c r="AA60" s="675"/>
      <c r="AB60" s="675">
        <f t="shared" ref="AB60:AD60" ca="1" si="413">SUM(AB37,AB14)</f>
        <v>0</v>
      </c>
      <c r="AC60" s="675">
        <f t="shared" ca="1" si="413"/>
        <v>0</v>
      </c>
      <c r="AD60" s="675">
        <f t="shared" ca="1" si="413"/>
        <v>0</v>
      </c>
      <c r="AE60" s="675"/>
      <c r="AF60" s="675">
        <f t="shared" ref="AF60:AH60" ca="1" si="414">SUM(AF37,AF14)</f>
        <v>0</v>
      </c>
      <c r="AG60" s="675">
        <f t="shared" ca="1" si="414"/>
        <v>0</v>
      </c>
      <c r="AH60" s="675">
        <f t="shared" ca="1" si="414"/>
        <v>0</v>
      </c>
      <c r="AI60" s="675"/>
      <c r="AJ60" s="575" t="str">
        <f t="shared" si="284"/>
        <v>SHIRTS</v>
      </c>
      <c r="AK60" s="675">
        <f t="shared" ref="AK60:AY60" si="415">SUM(AK37,AK14)</f>
        <v>0</v>
      </c>
      <c r="AL60" s="675">
        <f t="shared" si="415"/>
        <v>0</v>
      </c>
      <c r="AM60" s="675">
        <f t="shared" si="415"/>
        <v>0</v>
      </c>
      <c r="AN60" s="675"/>
      <c r="AO60" s="675">
        <f t="shared" si="415"/>
        <v>0</v>
      </c>
      <c r="AP60" s="675">
        <f t="shared" si="415"/>
        <v>0</v>
      </c>
      <c r="AQ60" s="675">
        <f t="shared" si="415"/>
        <v>0</v>
      </c>
      <c r="AR60" s="675"/>
      <c r="AS60" s="675">
        <f t="shared" si="415"/>
        <v>0</v>
      </c>
      <c r="AT60" s="675">
        <f t="shared" si="415"/>
        <v>0</v>
      </c>
      <c r="AU60" s="675">
        <f t="shared" si="415"/>
        <v>0</v>
      </c>
      <c r="AV60" s="675"/>
      <c r="AW60" s="675">
        <f t="shared" si="415"/>
        <v>0</v>
      </c>
      <c r="AX60" s="675">
        <f t="shared" si="415"/>
        <v>0</v>
      </c>
      <c r="AY60" s="675">
        <f t="shared" si="415"/>
        <v>0</v>
      </c>
      <c r="BA60" s="1" t="str">
        <f t="shared" si="286"/>
        <v>SHIRTS</v>
      </c>
      <c r="BB60" s="677">
        <f t="shared" ref="BB60:BD60" ca="1" si="416">SUM(BB37,BB14)</f>
        <v>0</v>
      </c>
      <c r="BC60" s="677">
        <f t="shared" ca="1" si="416"/>
        <v>0</v>
      </c>
      <c r="BD60" s="677">
        <f t="shared" ca="1" si="416"/>
        <v>0</v>
      </c>
      <c r="BE60" s="678"/>
      <c r="BF60" s="677">
        <f t="shared" ref="BF60:BH60" ca="1" si="417">SUM(BF37,BF14)</f>
        <v>0</v>
      </c>
      <c r="BG60" s="677">
        <f t="shared" ca="1" si="417"/>
        <v>0</v>
      </c>
      <c r="BH60" s="677">
        <f t="shared" ca="1" si="417"/>
        <v>0</v>
      </c>
      <c r="BI60" s="678"/>
      <c r="BJ60" s="677">
        <f t="shared" ref="BJ60:BL60" ca="1" si="418">SUM(BJ37,BJ14)</f>
        <v>0</v>
      </c>
      <c r="BK60" s="677">
        <f t="shared" ca="1" si="418"/>
        <v>0</v>
      </c>
      <c r="BL60" s="677">
        <f t="shared" ca="1" si="418"/>
        <v>0</v>
      </c>
      <c r="BM60" s="678"/>
      <c r="BN60" s="677">
        <f t="shared" ref="BN60:BP60" ca="1" si="419">SUM(BN37,BN14)</f>
        <v>0</v>
      </c>
      <c r="BO60" s="677">
        <f t="shared" ca="1" si="419"/>
        <v>0</v>
      </c>
      <c r="BP60" s="677">
        <f t="shared" ca="1" si="419"/>
        <v>0</v>
      </c>
      <c r="BR60" s="1" t="str">
        <f t="shared" si="312"/>
        <v>SHIRTS</v>
      </c>
      <c r="BS60" s="677">
        <f t="shared" ref="BS60:BU60" ca="1" si="420">SUM(BS37,BS14)</f>
        <v>12197</v>
      </c>
      <c r="BT60" s="677">
        <f t="shared" ca="1" si="420"/>
        <v>28910</v>
      </c>
      <c r="BU60" s="677">
        <f t="shared" ca="1" si="420"/>
        <v>104223</v>
      </c>
      <c r="BV60" s="678"/>
      <c r="BW60" s="677">
        <f t="shared" ref="BW60:BY60" ca="1" si="421">SUM(BW37,BW14)</f>
        <v>9947</v>
      </c>
      <c r="BX60" s="677">
        <f t="shared" ca="1" si="421"/>
        <v>0</v>
      </c>
      <c r="BY60" s="677">
        <f t="shared" ca="1" si="421"/>
        <v>0</v>
      </c>
      <c r="BZ60" s="678"/>
      <c r="CA60" s="677">
        <f t="shared" ref="CA60:CC60" ca="1" si="422">SUM(CA37,CA14)</f>
        <v>0</v>
      </c>
      <c r="CB60" s="677">
        <f t="shared" ca="1" si="422"/>
        <v>0</v>
      </c>
      <c r="CC60" s="677">
        <f t="shared" ca="1" si="422"/>
        <v>0</v>
      </c>
      <c r="CD60" s="678"/>
      <c r="CE60" s="677">
        <f t="shared" ref="CE60:CG60" ca="1" si="423">SUM(CE37,CE14)</f>
        <v>0</v>
      </c>
      <c r="CF60" s="677">
        <f t="shared" ca="1" si="423"/>
        <v>0</v>
      </c>
      <c r="CG60" s="677">
        <f t="shared" ca="1" si="423"/>
        <v>0</v>
      </c>
      <c r="CZ60" s="1" t="str">
        <f t="shared" si="317"/>
        <v>SHIRTS</v>
      </c>
      <c r="DA60" s="677">
        <f t="shared" ref="DA60:DC60" ca="1" si="424">SUM(DA37,DA14)</f>
        <v>0</v>
      </c>
      <c r="DB60" s="677">
        <f t="shared" ca="1" si="424"/>
        <v>0</v>
      </c>
      <c r="DC60" s="677">
        <f t="shared" ca="1" si="424"/>
        <v>133133</v>
      </c>
      <c r="DD60" s="678"/>
      <c r="DE60" s="677">
        <f t="shared" ref="DE60:DG60" ca="1" si="425">SUM(DE37,DE14)</f>
        <v>143080</v>
      </c>
      <c r="DF60" s="677">
        <f t="shared" ca="1" si="425"/>
        <v>143080</v>
      </c>
      <c r="DG60" s="677">
        <f t="shared" ca="1" si="425"/>
        <v>143080</v>
      </c>
      <c r="DH60" s="678"/>
      <c r="DI60" s="677">
        <f t="shared" ref="DI60:DK60" ca="1" si="426">SUM(DI37,DI14)</f>
        <v>143080</v>
      </c>
      <c r="DJ60" s="677">
        <f t="shared" ca="1" si="426"/>
        <v>143080</v>
      </c>
      <c r="DK60" s="677">
        <f t="shared" ca="1" si="426"/>
        <v>143080</v>
      </c>
      <c r="DL60" s="678"/>
      <c r="DM60" s="677">
        <f t="shared" ref="DM60:DO60" ca="1" si="427">SUM(DM37,DM14)</f>
        <v>143080</v>
      </c>
      <c r="DN60" s="677">
        <f t="shared" ca="1" si="427"/>
        <v>143080</v>
      </c>
      <c r="DO60" s="677">
        <f t="shared" ca="1" si="427"/>
        <v>143080</v>
      </c>
      <c r="DQ60" s="1" t="str">
        <f t="shared" si="322"/>
        <v>SHIRTS</v>
      </c>
      <c r="DR60" s="677">
        <f ca="1">IF($DT$7="Aug",SUMIFS(HIS_STOCK!$F:$F,HIS_STOCK!$A:$A,$BA$25,HIS_STOCK!$C:$C,$DQ60,HIS_STOCK!$D:$D,$DR$4,HIS_STOCK!$E:$E,$DR$7),SUMIFS(HIS_STOCK!$F:$F,HIS_STOCK!$A:$A,$BA$25,HIS_STOCK!$C:$C,$DQ60,HIS_STOCK!$D:$D,$DR$5,HIS_STOCK!$E:$E,$DR$7))</f>
        <v>0</v>
      </c>
      <c r="DS60" s="677"/>
      <c r="DT60" s="677">
        <f t="shared" ref="DT60:DV60" ca="1" si="428">SUM(DT37,DT14)</f>
        <v>0</v>
      </c>
      <c r="DU60" s="677">
        <f t="shared" ca="1" si="428"/>
        <v>0</v>
      </c>
      <c r="DV60" s="677">
        <f t="shared" ca="1" si="428"/>
        <v>0</v>
      </c>
      <c r="DW60" s="678"/>
      <c r="DX60" s="677">
        <f t="shared" ref="DX60:DZ60" ca="1" si="429">SUM(DX37,DX14)</f>
        <v>0</v>
      </c>
      <c r="DY60" s="677">
        <f t="shared" ca="1" si="429"/>
        <v>0</v>
      </c>
      <c r="DZ60" s="677">
        <f t="shared" ca="1" si="429"/>
        <v>0</v>
      </c>
      <c r="EA60" s="678"/>
      <c r="EB60" s="677">
        <f t="shared" ref="EB60:ED60" ca="1" si="430">SUM(EB37,EB14)</f>
        <v>0</v>
      </c>
      <c r="EC60" s="677">
        <f t="shared" ca="1" si="430"/>
        <v>0</v>
      </c>
      <c r="ED60" s="677">
        <f t="shared" ca="1" si="430"/>
        <v>0</v>
      </c>
      <c r="EE60" s="678"/>
      <c r="EF60" s="677">
        <f t="shared" ref="EF60:EH60" ca="1" si="431">SUM(EF37,EF14)</f>
        <v>0</v>
      </c>
      <c r="EG60" s="677">
        <f t="shared" ca="1" si="431"/>
        <v>0</v>
      </c>
      <c r="EH60" s="677">
        <f t="shared" ca="1" si="431"/>
        <v>0</v>
      </c>
    </row>
    <row r="61" spans="1:138" x14ac:dyDescent="0.25">
      <c r="B61" s="575" t="str">
        <f t="shared" si="279"/>
        <v>SHOES</v>
      </c>
      <c r="C61" s="817"/>
      <c r="D61" s="763"/>
      <c r="E61" s="763"/>
      <c r="F61" s="763"/>
      <c r="G61" s="613"/>
      <c r="H61" s="763"/>
      <c r="I61" s="763"/>
      <c r="J61" s="763"/>
      <c r="K61" s="613"/>
      <c r="L61" s="763"/>
      <c r="M61" s="763"/>
      <c r="N61" s="763"/>
      <c r="O61" s="613"/>
      <c r="P61" s="763"/>
      <c r="Q61" s="763"/>
      <c r="R61" s="763"/>
      <c r="T61" s="675">
        <f t="shared" ref="T61:V61" ca="1" si="432">SUM(T38,T15)</f>
        <v>0</v>
      </c>
      <c r="U61" s="675">
        <f t="shared" ca="1" si="432"/>
        <v>0</v>
      </c>
      <c r="V61" s="675">
        <f t="shared" ca="1" si="432"/>
        <v>0</v>
      </c>
      <c r="W61" s="675"/>
      <c r="X61" s="675">
        <f t="shared" ref="X61:Z61" ca="1" si="433">SUM(X38,X15)</f>
        <v>0</v>
      </c>
      <c r="Y61" s="675">
        <f t="shared" ca="1" si="433"/>
        <v>0</v>
      </c>
      <c r="Z61" s="675">
        <f t="shared" ca="1" si="433"/>
        <v>0</v>
      </c>
      <c r="AA61" s="675"/>
      <c r="AB61" s="675">
        <f t="shared" ref="AB61:AD61" ca="1" si="434">SUM(AB38,AB15)</f>
        <v>0</v>
      </c>
      <c r="AC61" s="675">
        <f t="shared" ca="1" si="434"/>
        <v>0</v>
      </c>
      <c r="AD61" s="675">
        <f t="shared" ca="1" si="434"/>
        <v>0</v>
      </c>
      <c r="AE61" s="675"/>
      <c r="AF61" s="675">
        <f t="shared" ref="AF61:AH61" ca="1" si="435">SUM(AF38,AF15)</f>
        <v>0</v>
      </c>
      <c r="AG61" s="675">
        <f t="shared" ca="1" si="435"/>
        <v>0</v>
      </c>
      <c r="AH61" s="675">
        <f t="shared" ca="1" si="435"/>
        <v>0</v>
      </c>
      <c r="AI61" s="675"/>
      <c r="AJ61" s="575" t="str">
        <f t="shared" si="284"/>
        <v>SHOES</v>
      </c>
      <c r="AK61" s="675">
        <f t="shared" ref="AK61:AY61" si="436">SUM(AK38,AK15)</f>
        <v>0</v>
      </c>
      <c r="AL61" s="675">
        <f t="shared" si="436"/>
        <v>0</v>
      </c>
      <c r="AM61" s="675">
        <f t="shared" si="436"/>
        <v>0</v>
      </c>
      <c r="AN61" s="675"/>
      <c r="AO61" s="675">
        <f t="shared" si="436"/>
        <v>0</v>
      </c>
      <c r="AP61" s="675">
        <f t="shared" si="436"/>
        <v>0</v>
      </c>
      <c r="AQ61" s="675">
        <f t="shared" si="436"/>
        <v>0</v>
      </c>
      <c r="AR61" s="675"/>
      <c r="AS61" s="675">
        <f t="shared" si="436"/>
        <v>0</v>
      </c>
      <c r="AT61" s="675">
        <f t="shared" si="436"/>
        <v>0</v>
      </c>
      <c r="AU61" s="675">
        <f t="shared" si="436"/>
        <v>0</v>
      </c>
      <c r="AV61" s="675"/>
      <c r="AW61" s="675">
        <f t="shared" si="436"/>
        <v>0</v>
      </c>
      <c r="AX61" s="675">
        <f t="shared" si="436"/>
        <v>0</v>
      </c>
      <c r="AY61" s="675">
        <f t="shared" si="436"/>
        <v>0</v>
      </c>
      <c r="BA61" s="1" t="str">
        <f t="shared" si="286"/>
        <v>SHOES</v>
      </c>
      <c r="BB61" s="677">
        <f t="shared" ref="BB61:BD61" ca="1" si="437">SUM(BB38,BB15)</f>
        <v>0</v>
      </c>
      <c r="BC61" s="677">
        <f t="shared" ca="1" si="437"/>
        <v>0</v>
      </c>
      <c r="BD61" s="677">
        <f t="shared" ca="1" si="437"/>
        <v>0</v>
      </c>
      <c r="BE61" s="678"/>
      <c r="BF61" s="677">
        <f t="shared" ref="BF61:BH61" ca="1" si="438">SUM(BF38,BF15)</f>
        <v>0</v>
      </c>
      <c r="BG61" s="677">
        <f t="shared" ca="1" si="438"/>
        <v>0</v>
      </c>
      <c r="BH61" s="677">
        <f t="shared" ca="1" si="438"/>
        <v>0</v>
      </c>
      <c r="BI61" s="678"/>
      <c r="BJ61" s="677">
        <f t="shared" ref="BJ61:BL61" ca="1" si="439">SUM(BJ38,BJ15)</f>
        <v>0</v>
      </c>
      <c r="BK61" s="677">
        <f t="shared" ca="1" si="439"/>
        <v>0</v>
      </c>
      <c r="BL61" s="677">
        <f t="shared" ca="1" si="439"/>
        <v>0</v>
      </c>
      <c r="BM61" s="678"/>
      <c r="BN61" s="677">
        <f t="shared" ref="BN61:BP61" ca="1" si="440">SUM(BN38,BN15)</f>
        <v>0</v>
      </c>
      <c r="BO61" s="677">
        <f t="shared" ca="1" si="440"/>
        <v>0</v>
      </c>
      <c r="BP61" s="677">
        <f t="shared" ca="1" si="440"/>
        <v>0</v>
      </c>
      <c r="BR61" s="1" t="str">
        <f t="shared" si="312"/>
        <v>SHOES</v>
      </c>
      <c r="BS61" s="677">
        <f t="shared" ref="BS61:BU61" ca="1" si="441">SUM(BS38,BS15)</f>
        <v>1903</v>
      </c>
      <c r="BT61" s="677">
        <f t="shared" ca="1" si="441"/>
        <v>2973</v>
      </c>
      <c r="BU61" s="677">
        <f t="shared" ca="1" si="441"/>
        <v>25625</v>
      </c>
      <c r="BV61" s="678"/>
      <c r="BW61" s="677">
        <f t="shared" ref="BW61:BY61" ca="1" si="442">SUM(BW38,BW15)</f>
        <v>2549</v>
      </c>
      <c r="BX61" s="677">
        <f t="shared" ca="1" si="442"/>
        <v>0</v>
      </c>
      <c r="BY61" s="677">
        <f t="shared" ca="1" si="442"/>
        <v>0</v>
      </c>
      <c r="BZ61" s="678"/>
      <c r="CA61" s="677">
        <f t="shared" ref="CA61:CC61" ca="1" si="443">SUM(CA38,CA15)</f>
        <v>0</v>
      </c>
      <c r="CB61" s="677">
        <f t="shared" ca="1" si="443"/>
        <v>0</v>
      </c>
      <c r="CC61" s="677">
        <f t="shared" ca="1" si="443"/>
        <v>0</v>
      </c>
      <c r="CD61" s="678"/>
      <c r="CE61" s="677">
        <f t="shared" ref="CE61:CG61" ca="1" si="444">SUM(CE38,CE15)</f>
        <v>0</v>
      </c>
      <c r="CF61" s="677">
        <f t="shared" ca="1" si="444"/>
        <v>0</v>
      </c>
      <c r="CG61" s="677">
        <f t="shared" ca="1" si="444"/>
        <v>0</v>
      </c>
      <c r="CZ61" s="1" t="str">
        <f t="shared" si="317"/>
        <v>SHOES</v>
      </c>
      <c r="DA61" s="677">
        <f t="shared" ref="DA61:DC61" ca="1" si="445">SUM(DA38,DA15)</f>
        <v>0</v>
      </c>
      <c r="DB61" s="677">
        <f t="shared" ca="1" si="445"/>
        <v>0</v>
      </c>
      <c r="DC61" s="677">
        <f t="shared" ca="1" si="445"/>
        <v>28598</v>
      </c>
      <c r="DD61" s="678"/>
      <c r="DE61" s="677">
        <f t="shared" ref="DE61:DG61" ca="1" si="446">SUM(DE38,DE15)</f>
        <v>31147</v>
      </c>
      <c r="DF61" s="677">
        <f t="shared" ca="1" si="446"/>
        <v>31147</v>
      </c>
      <c r="DG61" s="677">
        <f t="shared" ca="1" si="446"/>
        <v>31147</v>
      </c>
      <c r="DH61" s="678"/>
      <c r="DI61" s="677">
        <f t="shared" ref="DI61:DK61" ca="1" si="447">SUM(DI38,DI15)</f>
        <v>31147</v>
      </c>
      <c r="DJ61" s="677">
        <f t="shared" ca="1" si="447"/>
        <v>31147</v>
      </c>
      <c r="DK61" s="677">
        <f t="shared" ca="1" si="447"/>
        <v>31147</v>
      </c>
      <c r="DL61" s="678"/>
      <c r="DM61" s="677">
        <f t="shared" ref="DM61:DO61" ca="1" si="448">SUM(DM38,DM15)</f>
        <v>31147</v>
      </c>
      <c r="DN61" s="677">
        <f t="shared" ca="1" si="448"/>
        <v>31147</v>
      </c>
      <c r="DO61" s="677">
        <f t="shared" ca="1" si="448"/>
        <v>31147</v>
      </c>
      <c r="DQ61" s="1" t="str">
        <f t="shared" si="322"/>
        <v>SHOES</v>
      </c>
      <c r="DR61" s="677">
        <f ca="1">IF($DT$7="Aug",SUMIFS(HIS_STOCK!$F:$F,HIS_STOCK!$A:$A,$BA$25,HIS_STOCK!$C:$C,$DQ61,HIS_STOCK!$D:$D,$DR$4,HIS_STOCK!$E:$E,$DR$7),SUMIFS(HIS_STOCK!$F:$F,HIS_STOCK!$A:$A,$BA$25,HIS_STOCK!$C:$C,$DQ61,HIS_STOCK!$D:$D,$DR$5,HIS_STOCK!$E:$E,$DR$7))</f>
        <v>0</v>
      </c>
      <c r="DS61" s="677"/>
      <c r="DT61" s="677">
        <f t="shared" ref="DT61:DV61" ca="1" si="449">SUM(DT38,DT15)</f>
        <v>0</v>
      </c>
      <c r="DU61" s="677">
        <f t="shared" ca="1" si="449"/>
        <v>0</v>
      </c>
      <c r="DV61" s="677">
        <f t="shared" ca="1" si="449"/>
        <v>0</v>
      </c>
      <c r="DW61" s="678"/>
      <c r="DX61" s="677">
        <f t="shared" ref="DX61:DZ61" ca="1" si="450">SUM(DX38,DX15)</f>
        <v>0</v>
      </c>
      <c r="DY61" s="677">
        <f t="shared" ca="1" si="450"/>
        <v>0</v>
      </c>
      <c r="DZ61" s="677">
        <f t="shared" ca="1" si="450"/>
        <v>0</v>
      </c>
      <c r="EA61" s="678"/>
      <c r="EB61" s="677">
        <f t="shared" ref="EB61:ED61" ca="1" si="451">SUM(EB38,EB15)</f>
        <v>0</v>
      </c>
      <c r="EC61" s="677">
        <f t="shared" ca="1" si="451"/>
        <v>0</v>
      </c>
      <c r="ED61" s="677">
        <f t="shared" ca="1" si="451"/>
        <v>0</v>
      </c>
      <c r="EE61" s="678"/>
      <c r="EF61" s="677">
        <f t="shared" ref="EF61:EH61" ca="1" si="452">SUM(EF38,EF15)</f>
        <v>0</v>
      </c>
      <c r="EG61" s="677">
        <f t="shared" ca="1" si="452"/>
        <v>0</v>
      </c>
      <c r="EH61" s="677">
        <f t="shared" ca="1" si="452"/>
        <v>0</v>
      </c>
    </row>
    <row r="62" spans="1:138" x14ac:dyDescent="0.25">
      <c r="B62" s="575" t="str">
        <f t="shared" si="279"/>
        <v>SHORTS</v>
      </c>
      <c r="C62" s="817"/>
      <c r="D62" s="763"/>
      <c r="E62" s="763"/>
      <c r="F62" s="763"/>
      <c r="G62" s="613"/>
      <c r="H62" s="763"/>
      <c r="I62" s="763"/>
      <c r="J62" s="763"/>
      <c r="K62" s="613"/>
      <c r="L62" s="763"/>
      <c r="M62" s="763"/>
      <c r="N62" s="763"/>
      <c r="O62" s="613"/>
      <c r="P62" s="763"/>
      <c r="Q62" s="763"/>
      <c r="R62" s="763"/>
      <c r="T62" s="675">
        <f t="shared" ref="T62:V62" ca="1" si="453">SUM(T39,T16)</f>
        <v>0</v>
      </c>
      <c r="U62" s="675">
        <f t="shared" ca="1" si="453"/>
        <v>0</v>
      </c>
      <c r="V62" s="675">
        <f t="shared" ca="1" si="453"/>
        <v>0</v>
      </c>
      <c r="W62" s="675"/>
      <c r="X62" s="675">
        <f t="shared" ref="X62:Z62" ca="1" si="454">SUM(X39,X16)</f>
        <v>0</v>
      </c>
      <c r="Y62" s="675">
        <f t="shared" ca="1" si="454"/>
        <v>0</v>
      </c>
      <c r="Z62" s="675">
        <f t="shared" ca="1" si="454"/>
        <v>0</v>
      </c>
      <c r="AA62" s="675"/>
      <c r="AB62" s="675">
        <f t="shared" ref="AB62:AD62" ca="1" si="455">SUM(AB39,AB16)</f>
        <v>0</v>
      </c>
      <c r="AC62" s="675">
        <f t="shared" ca="1" si="455"/>
        <v>0</v>
      </c>
      <c r="AD62" s="675">
        <f t="shared" ca="1" si="455"/>
        <v>0</v>
      </c>
      <c r="AE62" s="675"/>
      <c r="AF62" s="675">
        <f t="shared" ref="AF62:AH62" ca="1" si="456">SUM(AF39,AF16)</f>
        <v>0</v>
      </c>
      <c r="AG62" s="675">
        <f t="shared" ca="1" si="456"/>
        <v>0</v>
      </c>
      <c r="AH62" s="675">
        <f t="shared" ca="1" si="456"/>
        <v>0</v>
      </c>
      <c r="AI62" s="675"/>
      <c r="AJ62" s="575" t="str">
        <f t="shared" si="284"/>
        <v>SHORTS</v>
      </c>
      <c r="AK62" s="675">
        <f t="shared" ref="AK62:AY62" si="457">SUM(AK39,AK16)</f>
        <v>0</v>
      </c>
      <c r="AL62" s="675">
        <f t="shared" si="457"/>
        <v>0</v>
      </c>
      <c r="AM62" s="675">
        <f t="shared" si="457"/>
        <v>0</v>
      </c>
      <c r="AN62" s="675"/>
      <c r="AO62" s="675">
        <f t="shared" si="457"/>
        <v>0</v>
      </c>
      <c r="AP62" s="675">
        <f t="shared" si="457"/>
        <v>0</v>
      </c>
      <c r="AQ62" s="675">
        <f t="shared" si="457"/>
        <v>0</v>
      </c>
      <c r="AR62" s="675"/>
      <c r="AS62" s="675">
        <f t="shared" si="457"/>
        <v>0</v>
      </c>
      <c r="AT62" s="675">
        <f t="shared" si="457"/>
        <v>0</v>
      </c>
      <c r="AU62" s="675">
        <f t="shared" si="457"/>
        <v>0</v>
      </c>
      <c r="AV62" s="675"/>
      <c r="AW62" s="675">
        <f t="shared" si="457"/>
        <v>0</v>
      </c>
      <c r="AX62" s="675">
        <f t="shared" si="457"/>
        <v>0</v>
      </c>
      <c r="AY62" s="675">
        <f t="shared" si="457"/>
        <v>0</v>
      </c>
      <c r="BA62" s="1" t="str">
        <f t="shared" si="286"/>
        <v>SHORTS</v>
      </c>
      <c r="BB62" s="677">
        <f t="shared" ref="BB62:BD62" ca="1" si="458">SUM(BB39,BB16)</f>
        <v>0</v>
      </c>
      <c r="BC62" s="677">
        <f t="shared" ca="1" si="458"/>
        <v>0</v>
      </c>
      <c r="BD62" s="677">
        <f t="shared" ca="1" si="458"/>
        <v>0</v>
      </c>
      <c r="BE62" s="678"/>
      <c r="BF62" s="677">
        <f t="shared" ref="BF62:BH62" ca="1" si="459">SUM(BF39,BF16)</f>
        <v>0</v>
      </c>
      <c r="BG62" s="677">
        <f t="shared" ca="1" si="459"/>
        <v>0</v>
      </c>
      <c r="BH62" s="677">
        <f t="shared" ca="1" si="459"/>
        <v>0</v>
      </c>
      <c r="BI62" s="678"/>
      <c r="BJ62" s="677">
        <f t="shared" ref="BJ62:BL62" ca="1" si="460">SUM(BJ39,BJ16)</f>
        <v>0</v>
      </c>
      <c r="BK62" s="677">
        <f t="shared" ca="1" si="460"/>
        <v>0</v>
      </c>
      <c r="BL62" s="677">
        <f t="shared" ca="1" si="460"/>
        <v>0</v>
      </c>
      <c r="BM62" s="678"/>
      <c r="BN62" s="677">
        <f t="shared" ref="BN62:BP62" ca="1" si="461">SUM(BN39,BN16)</f>
        <v>0</v>
      </c>
      <c r="BO62" s="677">
        <f t="shared" ca="1" si="461"/>
        <v>0</v>
      </c>
      <c r="BP62" s="677">
        <f t="shared" ca="1" si="461"/>
        <v>0</v>
      </c>
      <c r="BR62" s="1" t="str">
        <f t="shared" si="312"/>
        <v>SHORTS</v>
      </c>
      <c r="BS62" s="677">
        <f t="shared" ref="BS62:BU62" ca="1" si="462">SUM(BS39,BS16)</f>
        <v>9651</v>
      </c>
      <c r="BT62" s="677">
        <f t="shared" ca="1" si="462"/>
        <v>95157</v>
      </c>
      <c r="BU62" s="677">
        <f t="shared" ca="1" si="462"/>
        <v>140655</v>
      </c>
      <c r="BV62" s="678"/>
      <c r="BW62" s="677">
        <f t="shared" ref="BW62:BY62" ca="1" si="463">SUM(BW39,BW16)</f>
        <v>28686</v>
      </c>
      <c r="BX62" s="677">
        <f t="shared" ca="1" si="463"/>
        <v>0</v>
      </c>
      <c r="BY62" s="677">
        <f t="shared" ca="1" si="463"/>
        <v>0</v>
      </c>
      <c r="BZ62" s="678"/>
      <c r="CA62" s="677">
        <f t="shared" ref="CA62:CC62" ca="1" si="464">SUM(CA39,CA16)</f>
        <v>0</v>
      </c>
      <c r="CB62" s="677">
        <f t="shared" ca="1" si="464"/>
        <v>0</v>
      </c>
      <c r="CC62" s="677">
        <f t="shared" ca="1" si="464"/>
        <v>0</v>
      </c>
      <c r="CD62" s="678"/>
      <c r="CE62" s="677">
        <f t="shared" ref="CE62:CG62" ca="1" si="465">SUM(CE39,CE16)</f>
        <v>0</v>
      </c>
      <c r="CF62" s="677">
        <f t="shared" ca="1" si="465"/>
        <v>0</v>
      </c>
      <c r="CG62" s="677">
        <f t="shared" ca="1" si="465"/>
        <v>0</v>
      </c>
      <c r="CZ62" s="1" t="str">
        <f t="shared" si="317"/>
        <v>SHORTS</v>
      </c>
      <c r="DA62" s="677">
        <f t="shared" ref="DA62:DC62" ca="1" si="466">SUM(DA39,DA16)</f>
        <v>0</v>
      </c>
      <c r="DB62" s="677">
        <f t="shared" ca="1" si="466"/>
        <v>0</v>
      </c>
      <c r="DC62" s="677">
        <f t="shared" ca="1" si="466"/>
        <v>235812</v>
      </c>
      <c r="DD62" s="678"/>
      <c r="DE62" s="677">
        <f t="shared" ref="DE62:DG62" ca="1" si="467">SUM(DE39,DE16)</f>
        <v>264498</v>
      </c>
      <c r="DF62" s="677">
        <f t="shared" ca="1" si="467"/>
        <v>264498</v>
      </c>
      <c r="DG62" s="677">
        <f t="shared" ca="1" si="467"/>
        <v>264498</v>
      </c>
      <c r="DH62" s="678"/>
      <c r="DI62" s="677">
        <f t="shared" ref="DI62:DK62" ca="1" si="468">SUM(DI39,DI16)</f>
        <v>264498</v>
      </c>
      <c r="DJ62" s="677">
        <f t="shared" ca="1" si="468"/>
        <v>264498</v>
      </c>
      <c r="DK62" s="677">
        <f t="shared" ca="1" si="468"/>
        <v>264498</v>
      </c>
      <c r="DL62" s="678"/>
      <c r="DM62" s="677">
        <f t="shared" ref="DM62:DO62" ca="1" si="469">SUM(DM39,DM16)</f>
        <v>264498</v>
      </c>
      <c r="DN62" s="677">
        <f t="shared" ca="1" si="469"/>
        <v>264498</v>
      </c>
      <c r="DO62" s="677">
        <f t="shared" ca="1" si="469"/>
        <v>264498</v>
      </c>
      <c r="DQ62" s="1" t="str">
        <f t="shared" si="322"/>
        <v>SHORTS</v>
      </c>
      <c r="DR62" s="677">
        <f ca="1">IF($DT$7="Aug",SUMIFS(HIS_STOCK!$F:$F,HIS_STOCK!$A:$A,$BA$25,HIS_STOCK!$C:$C,$DQ62,HIS_STOCK!$D:$D,$DR$4,HIS_STOCK!$E:$E,$DR$7),SUMIFS(HIS_STOCK!$F:$F,HIS_STOCK!$A:$A,$BA$25,HIS_STOCK!$C:$C,$DQ62,HIS_STOCK!$D:$D,$DR$5,HIS_STOCK!$E:$E,$DR$7))</f>
        <v>0</v>
      </c>
      <c r="DS62" s="677"/>
      <c r="DT62" s="677">
        <f t="shared" ref="DT62:DV62" ca="1" si="470">SUM(DT39,DT16)</f>
        <v>0</v>
      </c>
      <c r="DU62" s="677">
        <f t="shared" ca="1" si="470"/>
        <v>0</v>
      </c>
      <c r="DV62" s="677">
        <f t="shared" ca="1" si="470"/>
        <v>0</v>
      </c>
      <c r="DW62" s="678"/>
      <c r="DX62" s="677">
        <f t="shared" ref="DX62:DZ62" ca="1" si="471">SUM(DX39,DX16)</f>
        <v>0</v>
      </c>
      <c r="DY62" s="677">
        <f t="shared" ca="1" si="471"/>
        <v>0</v>
      </c>
      <c r="DZ62" s="677">
        <f t="shared" ca="1" si="471"/>
        <v>0</v>
      </c>
      <c r="EA62" s="678"/>
      <c r="EB62" s="677">
        <f t="shared" ref="EB62:ED62" ca="1" si="472">SUM(EB39,EB16)</f>
        <v>0</v>
      </c>
      <c r="EC62" s="677">
        <f t="shared" ca="1" si="472"/>
        <v>0</v>
      </c>
      <c r="ED62" s="677">
        <f t="shared" ca="1" si="472"/>
        <v>0</v>
      </c>
      <c r="EE62" s="678"/>
      <c r="EF62" s="677">
        <f t="shared" ref="EF62:EH62" ca="1" si="473">SUM(EF39,EF16)</f>
        <v>0</v>
      </c>
      <c r="EG62" s="677">
        <f t="shared" ca="1" si="473"/>
        <v>0</v>
      </c>
      <c r="EH62" s="677">
        <f t="shared" ca="1" si="473"/>
        <v>0</v>
      </c>
    </row>
    <row r="63" spans="1:138" x14ac:dyDescent="0.25">
      <c r="B63" s="575" t="str">
        <f t="shared" si="279"/>
        <v>SKIRTS</v>
      </c>
      <c r="C63" s="817"/>
      <c r="D63" s="763"/>
      <c r="E63" s="763"/>
      <c r="F63" s="763"/>
      <c r="G63" s="613"/>
      <c r="H63" s="763"/>
      <c r="I63" s="763"/>
      <c r="J63" s="763"/>
      <c r="K63" s="613"/>
      <c r="L63" s="763"/>
      <c r="M63" s="763"/>
      <c r="N63" s="763"/>
      <c r="O63" s="613"/>
      <c r="P63" s="763"/>
      <c r="Q63" s="763"/>
      <c r="R63" s="763"/>
      <c r="T63" s="675">
        <f t="shared" ref="T63:V63" ca="1" si="474">SUM(T40,T17)</f>
        <v>0</v>
      </c>
      <c r="U63" s="675">
        <f t="shared" ca="1" si="474"/>
        <v>0</v>
      </c>
      <c r="V63" s="675">
        <f t="shared" ca="1" si="474"/>
        <v>0</v>
      </c>
      <c r="W63" s="675"/>
      <c r="X63" s="675">
        <f t="shared" ref="X63:Z63" ca="1" si="475">SUM(X40,X17)</f>
        <v>0</v>
      </c>
      <c r="Y63" s="675">
        <f t="shared" ca="1" si="475"/>
        <v>0</v>
      </c>
      <c r="Z63" s="675">
        <f t="shared" ca="1" si="475"/>
        <v>0</v>
      </c>
      <c r="AA63" s="675"/>
      <c r="AB63" s="675">
        <f t="shared" ref="AB63:AD63" ca="1" si="476">SUM(AB40,AB17)</f>
        <v>0</v>
      </c>
      <c r="AC63" s="675">
        <f t="shared" ca="1" si="476"/>
        <v>0</v>
      </c>
      <c r="AD63" s="675">
        <f t="shared" ca="1" si="476"/>
        <v>0</v>
      </c>
      <c r="AE63" s="675"/>
      <c r="AF63" s="675">
        <f t="shared" ref="AF63:AH63" ca="1" si="477">SUM(AF40,AF17)</f>
        <v>0</v>
      </c>
      <c r="AG63" s="675">
        <f t="shared" ca="1" si="477"/>
        <v>0</v>
      </c>
      <c r="AH63" s="675">
        <f t="shared" ca="1" si="477"/>
        <v>0</v>
      </c>
      <c r="AI63" s="675"/>
      <c r="AJ63" s="575" t="str">
        <f t="shared" si="284"/>
        <v>SKIRTS</v>
      </c>
      <c r="AK63" s="675">
        <f t="shared" ref="AK63:AY63" si="478">SUM(AK40,AK17)</f>
        <v>0</v>
      </c>
      <c r="AL63" s="675">
        <f t="shared" si="478"/>
        <v>0</v>
      </c>
      <c r="AM63" s="675">
        <f t="shared" si="478"/>
        <v>0</v>
      </c>
      <c r="AN63" s="675"/>
      <c r="AO63" s="675">
        <f t="shared" si="478"/>
        <v>0</v>
      </c>
      <c r="AP63" s="675">
        <f t="shared" si="478"/>
        <v>0</v>
      </c>
      <c r="AQ63" s="675">
        <f t="shared" si="478"/>
        <v>0</v>
      </c>
      <c r="AR63" s="675"/>
      <c r="AS63" s="675">
        <f t="shared" si="478"/>
        <v>0</v>
      </c>
      <c r="AT63" s="675">
        <f t="shared" si="478"/>
        <v>0</v>
      </c>
      <c r="AU63" s="675">
        <f t="shared" si="478"/>
        <v>0</v>
      </c>
      <c r="AV63" s="675"/>
      <c r="AW63" s="675">
        <f t="shared" si="478"/>
        <v>0</v>
      </c>
      <c r="AX63" s="675">
        <f t="shared" si="478"/>
        <v>0</v>
      </c>
      <c r="AY63" s="675">
        <f t="shared" si="478"/>
        <v>0</v>
      </c>
      <c r="BA63" s="1" t="str">
        <f t="shared" si="286"/>
        <v>SKIRTS</v>
      </c>
      <c r="BB63" s="677">
        <f t="shared" ref="BB63:BD63" ca="1" si="479">SUM(BB40,BB17)</f>
        <v>0</v>
      </c>
      <c r="BC63" s="677">
        <f t="shared" ca="1" si="479"/>
        <v>0</v>
      </c>
      <c r="BD63" s="677">
        <f t="shared" ca="1" si="479"/>
        <v>0</v>
      </c>
      <c r="BE63" s="678"/>
      <c r="BF63" s="677">
        <f t="shared" ref="BF63:BH63" ca="1" si="480">SUM(BF40,BF17)</f>
        <v>0</v>
      </c>
      <c r="BG63" s="677">
        <f t="shared" ca="1" si="480"/>
        <v>0</v>
      </c>
      <c r="BH63" s="677">
        <f t="shared" ca="1" si="480"/>
        <v>0</v>
      </c>
      <c r="BI63" s="678"/>
      <c r="BJ63" s="677">
        <f t="shared" ref="BJ63:BL63" ca="1" si="481">SUM(BJ40,BJ17)</f>
        <v>0</v>
      </c>
      <c r="BK63" s="677">
        <f t="shared" ca="1" si="481"/>
        <v>0</v>
      </c>
      <c r="BL63" s="677">
        <f t="shared" ca="1" si="481"/>
        <v>0</v>
      </c>
      <c r="BM63" s="678"/>
      <c r="BN63" s="677">
        <f t="shared" ref="BN63:BP63" ca="1" si="482">SUM(BN40,BN17)</f>
        <v>0</v>
      </c>
      <c r="BO63" s="677">
        <f t="shared" ca="1" si="482"/>
        <v>0</v>
      </c>
      <c r="BP63" s="677">
        <f t="shared" ca="1" si="482"/>
        <v>0</v>
      </c>
      <c r="BR63" s="1" t="str">
        <f t="shared" si="312"/>
        <v>SKIRTS</v>
      </c>
      <c r="BS63" s="677">
        <f t="shared" ref="BS63:BU63" ca="1" si="483">SUM(BS40,BS17)</f>
        <v>40447</v>
      </c>
      <c r="BT63" s="677">
        <f t="shared" ca="1" si="483"/>
        <v>87562</v>
      </c>
      <c r="BU63" s="677">
        <f t="shared" ca="1" si="483"/>
        <v>202727</v>
      </c>
      <c r="BV63" s="678"/>
      <c r="BW63" s="677">
        <f t="shared" ref="BW63:BY63" ca="1" si="484">SUM(BW40,BW17)</f>
        <v>17320</v>
      </c>
      <c r="BX63" s="677">
        <f t="shared" ca="1" si="484"/>
        <v>1912</v>
      </c>
      <c r="BY63" s="677">
        <f t="shared" ca="1" si="484"/>
        <v>0</v>
      </c>
      <c r="BZ63" s="678"/>
      <c r="CA63" s="677">
        <f t="shared" ref="CA63:CC63" ca="1" si="485">SUM(CA40,CA17)</f>
        <v>0</v>
      </c>
      <c r="CB63" s="677">
        <f t="shared" ca="1" si="485"/>
        <v>0</v>
      </c>
      <c r="CC63" s="677">
        <f t="shared" ca="1" si="485"/>
        <v>0</v>
      </c>
      <c r="CD63" s="678"/>
      <c r="CE63" s="677">
        <f t="shared" ref="CE63:CG63" ca="1" si="486">SUM(CE40,CE17)</f>
        <v>0</v>
      </c>
      <c r="CF63" s="677">
        <f t="shared" ca="1" si="486"/>
        <v>0</v>
      </c>
      <c r="CG63" s="677">
        <f t="shared" ca="1" si="486"/>
        <v>0</v>
      </c>
      <c r="CZ63" s="1" t="str">
        <f t="shared" si="317"/>
        <v>SKIRTS</v>
      </c>
      <c r="DA63" s="677">
        <f t="shared" ref="DA63:DC63" ca="1" si="487">SUM(DA40,DA17)</f>
        <v>0</v>
      </c>
      <c r="DB63" s="677">
        <f t="shared" ca="1" si="487"/>
        <v>0</v>
      </c>
      <c r="DC63" s="677">
        <f t="shared" ca="1" si="487"/>
        <v>290289</v>
      </c>
      <c r="DD63" s="678"/>
      <c r="DE63" s="677">
        <f t="shared" ref="DE63:DG63" ca="1" si="488">SUM(DE40,DE17)</f>
        <v>307609</v>
      </c>
      <c r="DF63" s="677">
        <f t="shared" ca="1" si="488"/>
        <v>309521</v>
      </c>
      <c r="DG63" s="677">
        <f t="shared" ca="1" si="488"/>
        <v>309521</v>
      </c>
      <c r="DH63" s="678"/>
      <c r="DI63" s="677">
        <f t="shared" ref="DI63:DK63" ca="1" si="489">SUM(DI40,DI17)</f>
        <v>309521</v>
      </c>
      <c r="DJ63" s="677">
        <f t="shared" ca="1" si="489"/>
        <v>309521</v>
      </c>
      <c r="DK63" s="677">
        <f t="shared" ca="1" si="489"/>
        <v>309521</v>
      </c>
      <c r="DL63" s="678"/>
      <c r="DM63" s="677">
        <f t="shared" ref="DM63:DO63" ca="1" si="490">SUM(DM40,DM17)</f>
        <v>309521</v>
      </c>
      <c r="DN63" s="677">
        <f t="shared" ca="1" si="490"/>
        <v>309521</v>
      </c>
      <c r="DO63" s="677">
        <f t="shared" ca="1" si="490"/>
        <v>309521</v>
      </c>
      <c r="DQ63" s="1" t="str">
        <f t="shared" si="322"/>
        <v>SKIRTS</v>
      </c>
      <c r="DR63" s="677">
        <f ca="1">IF($DT$7="Aug",SUMIFS(HIS_STOCK!$F:$F,HIS_STOCK!$A:$A,$BA$25,HIS_STOCK!$C:$C,$DQ63,HIS_STOCK!$D:$D,$DR$4,HIS_STOCK!$E:$E,$DR$7),SUMIFS(HIS_STOCK!$F:$F,HIS_STOCK!$A:$A,$BA$25,HIS_STOCK!$C:$C,$DQ63,HIS_STOCK!$D:$D,$DR$5,HIS_STOCK!$E:$E,$DR$7))</f>
        <v>0</v>
      </c>
      <c r="DS63" s="677"/>
      <c r="DT63" s="677">
        <f t="shared" ref="DT63:DV63" ca="1" si="491">SUM(DT40,DT17)</f>
        <v>0</v>
      </c>
      <c r="DU63" s="677">
        <f t="shared" ca="1" si="491"/>
        <v>0</v>
      </c>
      <c r="DV63" s="677">
        <f t="shared" ca="1" si="491"/>
        <v>0</v>
      </c>
      <c r="DW63" s="678"/>
      <c r="DX63" s="677">
        <f t="shared" ref="DX63:DZ63" ca="1" si="492">SUM(DX40,DX17)</f>
        <v>0</v>
      </c>
      <c r="DY63" s="677">
        <f t="shared" ca="1" si="492"/>
        <v>0</v>
      </c>
      <c r="DZ63" s="677">
        <f t="shared" ca="1" si="492"/>
        <v>0</v>
      </c>
      <c r="EA63" s="678"/>
      <c r="EB63" s="677">
        <f t="shared" ref="EB63:ED63" ca="1" si="493">SUM(EB40,EB17)</f>
        <v>0</v>
      </c>
      <c r="EC63" s="677">
        <f t="shared" ca="1" si="493"/>
        <v>0</v>
      </c>
      <c r="ED63" s="677">
        <f t="shared" ca="1" si="493"/>
        <v>0</v>
      </c>
      <c r="EE63" s="678"/>
      <c r="EF63" s="677">
        <f t="shared" ref="EF63:EH63" ca="1" si="494">SUM(EF40,EF17)</f>
        <v>0</v>
      </c>
      <c r="EG63" s="677">
        <f t="shared" ca="1" si="494"/>
        <v>0</v>
      </c>
      <c r="EH63" s="677">
        <f t="shared" ca="1" si="494"/>
        <v>0</v>
      </c>
    </row>
    <row r="64" spans="1:138" x14ac:dyDescent="0.25">
      <c r="B64" s="575" t="str">
        <f t="shared" si="279"/>
        <v>SWEAT</v>
      </c>
      <c r="C64" s="817"/>
      <c r="D64" s="763"/>
      <c r="E64" s="763"/>
      <c r="F64" s="763"/>
      <c r="G64" s="613"/>
      <c r="H64" s="763"/>
      <c r="I64" s="763"/>
      <c r="J64" s="763"/>
      <c r="K64" s="613"/>
      <c r="L64" s="763"/>
      <c r="M64" s="763"/>
      <c r="N64" s="763"/>
      <c r="O64" s="613"/>
      <c r="P64" s="763"/>
      <c r="Q64" s="763"/>
      <c r="R64" s="763"/>
      <c r="T64" s="675">
        <f t="shared" ref="T64:V64" ca="1" si="495">SUM(T41,T18)</f>
        <v>0</v>
      </c>
      <c r="U64" s="675">
        <f t="shared" ca="1" si="495"/>
        <v>0</v>
      </c>
      <c r="V64" s="675">
        <f t="shared" ca="1" si="495"/>
        <v>0</v>
      </c>
      <c r="W64" s="675"/>
      <c r="X64" s="675">
        <f t="shared" ref="X64:Z64" ca="1" si="496">SUM(X41,X18)</f>
        <v>0</v>
      </c>
      <c r="Y64" s="675">
        <f t="shared" ca="1" si="496"/>
        <v>0</v>
      </c>
      <c r="Z64" s="675">
        <f t="shared" ca="1" si="496"/>
        <v>0</v>
      </c>
      <c r="AA64" s="675"/>
      <c r="AB64" s="675">
        <f t="shared" ref="AB64:AD64" ca="1" si="497">SUM(AB41,AB18)</f>
        <v>0</v>
      </c>
      <c r="AC64" s="675">
        <f t="shared" ca="1" si="497"/>
        <v>0</v>
      </c>
      <c r="AD64" s="675">
        <f t="shared" ca="1" si="497"/>
        <v>0</v>
      </c>
      <c r="AE64" s="675"/>
      <c r="AF64" s="675">
        <f t="shared" ref="AF64:AH64" ca="1" si="498">SUM(AF41,AF18)</f>
        <v>0</v>
      </c>
      <c r="AG64" s="675">
        <f t="shared" ca="1" si="498"/>
        <v>0</v>
      </c>
      <c r="AH64" s="675">
        <f t="shared" ca="1" si="498"/>
        <v>0</v>
      </c>
      <c r="AI64" s="675"/>
      <c r="AJ64" s="575" t="str">
        <f t="shared" si="284"/>
        <v>SWEAT</v>
      </c>
      <c r="AK64" s="675">
        <f t="shared" ref="AK64:AY64" si="499">SUM(AK41,AK18)</f>
        <v>0</v>
      </c>
      <c r="AL64" s="675">
        <f t="shared" si="499"/>
        <v>0</v>
      </c>
      <c r="AM64" s="675">
        <f t="shared" si="499"/>
        <v>0</v>
      </c>
      <c r="AN64" s="675"/>
      <c r="AO64" s="675">
        <f t="shared" si="499"/>
        <v>0</v>
      </c>
      <c r="AP64" s="675">
        <f t="shared" si="499"/>
        <v>0</v>
      </c>
      <c r="AQ64" s="675">
        <f t="shared" si="499"/>
        <v>0</v>
      </c>
      <c r="AR64" s="675"/>
      <c r="AS64" s="675">
        <f t="shared" si="499"/>
        <v>0</v>
      </c>
      <c r="AT64" s="675">
        <f t="shared" si="499"/>
        <v>0</v>
      </c>
      <c r="AU64" s="675">
        <f t="shared" si="499"/>
        <v>0</v>
      </c>
      <c r="AV64" s="675"/>
      <c r="AW64" s="675">
        <f t="shared" si="499"/>
        <v>0</v>
      </c>
      <c r="AX64" s="675">
        <f t="shared" si="499"/>
        <v>0</v>
      </c>
      <c r="AY64" s="675">
        <f t="shared" si="499"/>
        <v>0</v>
      </c>
      <c r="BA64" s="1" t="str">
        <f t="shared" si="286"/>
        <v>SWEAT</v>
      </c>
      <c r="BB64" s="677">
        <f t="shared" ref="BB64:BD64" ca="1" si="500">SUM(BB41,BB18)</f>
        <v>0</v>
      </c>
      <c r="BC64" s="677">
        <f t="shared" ca="1" si="500"/>
        <v>0</v>
      </c>
      <c r="BD64" s="677">
        <f t="shared" ca="1" si="500"/>
        <v>0</v>
      </c>
      <c r="BE64" s="678"/>
      <c r="BF64" s="677">
        <f t="shared" ref="BF64:BH64" ca="1" si="501">SUM(BF41,BF18)</f>
        <v>0</v>
      </c>
      <c r="BG64" s="677">
        <f t="shared" ca="1" si="501"/>
        <v>0</v>
      </c>
      <c r="BH64" s="677">
        <f t="shared" ca="1" si="501"/>
        <v>0</v>
      </c>
      <c r="BI64" s="678"/>
      <c r="BJ64" s="677">
        <f t="shared" ref="BJ64:BL64" ca="1" si="502">SUM(BJ41,BJ18)</f>
        <v>0</v>
      </c>
      <c r="BK64" s="677">
        <f t="shared" ca="1" si="502"/>
        <v>0</v>
      </c>
      <c r="BL64" s="677">
        <f t="shared" ca="1" si="502"/>
        <v>0</v>
      </c>
      <c r="BM64" s="678"/>
      <c r="BN64" s="677">
        <f t="shared" ref="BN64:BP64" ca="1" si="503">SUM(BN41,BN18)</f>
        <v>0</v>
      </c>
      <c r="BO64" s="677">
        <f t="shared" ca="1" si="503"/>
        <v>0</v>
      </c>
      <c r="BP64" s="677">
        <f t="shared" ca="1" si="503"/>
        <v>0</v>
      </c>
      <c r="BR64" s="1" t="str">
        <f t="shared" si="312"/>
        <v>SWEAT</v>
      </c>
      <c r="BS64" s="677">
        <f t="shared" ref="BS64:BU64" ca="1" si="504">SUM(BS41,BS18)</f>
        <v>4406</v>
      </c>
      <c r="BT64" s="677">
        <f t="shared" ca="1" si="504"/>
        <v>1205</v>
      </c>
      <c r="BU64" s="677">
        <f t="shared" ca="1" si="504"/>
        <v>14515</v>
      </c>
      <c r="BV64" s="678"/>
      <c r="BW64" s="677">
        <f t="shared" ref="BW64:BY64" ca="1" si="505">SUM(BW41,BW18)</f>
        <v>0</v>
      </c>
      <c r="BX64" s="677">
        <f t="shared" ca="1" si="505"/>
        <v>0</v>
      </c>
      <c r="BY64" s="677">
        <f t="shared" ca="1" si="505"/>
        <v>0</v>
      </c>
      <c r="BZ64" s="678"/>
      <c r="CA64" s="677">
        <f t="shared" ref="CA64:CC64" ca="1" si="506">SUM(CA41,CA18)</f>
        <v>0</v>
      </c>
      <c r="CB64" s="677">
        <f t="shared" ca="1" si="506"/>
        <v>0</v>
      </c>
      <c r="CC64" s="677">
        <f t="shared" ca="1" si="506"/>
        <v>0</v>
      </c>
      <c r="CD64" s="678"/>
      <c r="CE64" s="677">
        <f t="shared" ref="CE64:CG64" ca="1" si="507">SUM(CE41,CE18)</f>
        <v>0</v>
      </c>
      <c r="CF64" s="677">
        <f t="shared" ca="1" si="507"/>
        <v>0</v>
      </c>
      <c r="CG64" s="677">
        <f t="shared" ca="1" si="507"/>
        <v>0</v>
      </c>
      <c r="CZ64" s="1" t="str">
        <f t="shared" si="317"/>
        <v>SWEAT</v>
      </c>
      <c r="DA64" s="677">
        <f t="shared" ref="DA64:DC64" ca="1" si="508">SUM(DA41,DA18)</f>
        <v>0</v>
      </c>
      <c r="DB64" s="677">
        <f t="shared" ca="1" si="508"/>
        <v>0</v>
      </c>
      <c r="DC64" s="677">
        <f t="shared" ca="1" si="508"/>
        <v>15720</v>
      </c>
      <c r="DD64" s="678"/>
      <c r="DE64" s="677">
        <f t="shared" ref="DE64:DG64" ca="1" si="509">SUM(DE41,DE18)</f>
        <v>15720</v>
      </c>
      <c r="DF64" s="677">
        <f t="shared" ca="1" si="509"/>
        <v>15720</v>
      </c>
      <c r="DG64" s="677">
        <f t="shared" ca="1" si="509"/>
        <v>15720</v>
      </c>
      <c r="DH64" s="678"/>
      <c r="DI64" s="677">
        <f t="shared" ref="DI64:DK64" ca="1" si="510">SUM(DI41,DI18)</f>
        <v>15720</v>
      </c>
      <c r="DJ64" s="677">
        <f t="shared" ca="1" si="510"/>
        <v>15720</v>
      </c>
      <c r="DK64" s="677">
        <f t="shared" ca="1" si="510"/>
        <v>15720</v>
      </c>
      <c r="DL64" s="678"/>
      <c r="DM64" s="677">
        <f t="shared" ref="DM64:DO64" ca="1" si="511">SUM(DM41,DM18)</f>
        <v>15720</v>
      </c>
      <c r="DN64" s="677">
        <f t="shared" ca="1" si="511"/>
        <v>15720</v>
      </c>
      <c r="DO64" s="677">
        <f t="shared" ca="1" si="511"/>
        <v>15720</v>
      </c>
      <c r="DQ64" s="1" t="str">
        <f t="shared" si="322"/>
        <v>SWEAT</v>
      </c>
      <c r="DR64" s="677">
        <f ca="1">IF($DT$7="Aug",SUMIFS(HIS_STOCK!$F:$F,HIS_STOCK!$A:$A,$BA$25,HIS_STOCK!$C:$C,$DQ64,HIS_STOCK!$D:$D,$DR$4,HIS_STOCK!$E:$E,$DR$7),SUMIFS(HIS_STOCK!$F:$F,HIS_STOCK!$A:$A,$BA$25,HIS_STOCK!$C:$C,$DQ64,HIS_STOCK!$D:$D,$DR$5,HIS_STOCK!$E:$E,$DR$7))</f>
        <v>0</v>
      </c>
      <c r="DS64" s="677"/>
      <c r="DT64" s="677">
        <f t="shared" ref="DT64:DV64" ca="1" si="512">SUM(DT41,DT18)</f>
        <v>0</v>
      </c>
      <c r="DU64" s="677">
        <f t="shared" ca="1" si="512"/>
        <v>0</v>
      </c>
      <c r="DV64" s="677">
        <f t="shared" ca="1" si="512"/>
        <v>0</v>
      </c>
      <c r="DW64" s="678"/>
      <c r="DX64" s="677">
        <f t="shared" ref="DX64:DZ64" ca="1" si="513">SUM(DX41,DX18)</f>
        <v>0</v>
      </c>
      <c r="DY64" s="677">
        <f t="shared" ca="1" si="513"/>
        <v>0</v>
      </c>
      <c r="DZ64" s="677">
        <f t="shared" ca="1" si="513"/>
        <v>0</v>
      </c>
      <c r="EA64" s="678"/>
      <c r="EB64" s="677">
        <f t="shared" ref="EB64:ED64" ca="1" si="514">SUM(EB41,EB18)</f>
        <v>0</v>
      </c>
      <c r="EC64" s="677">
        <f t="shared" ca="1" si="514"/>
        <v>0</v>
      </c>
      <c r="ED64" s="677">
        <f t="shared" ca="1" si="514"/>
        <v>0</v>
      </c>
      <c r="EE64" s="678"/>
      <c r="EF64" s="677">
        <f t="shared" ref="EF64:EH64" ca="1" si="515">SUM(EF41,EF18)</f>
        <v>0</v>
      </c>
      <c r="EG64" s="677">
        <f t="shared" ca="1" si="515"/>
        <v>0</v>
      </c>
      <c r="EH64" s="677">
        <f t="shared" ca="1" si="515"/>
        <v>0</v>
      </c>
    </row>
    <row r="65" spans="2:138" x14ac:dyDescent="0.25">
      <c r="B65" s="575" t="str">
        <f t="shared" si="279"/>
        <v>TAILORING</v>
      </c>
      <c r="C65" s="817"/>
      <c r="D65" s="763"/>
      <c r="E65" s="763"/>
      <c r="F65" s="763"/>
      <c r="G65" s="613"/>
      <c r="H65" s="763"/>
      <c r="I65" s="763"/>
      <c r="J65" s="763"/>
      <c r="K65" s="613"/>
      <c r="L65" s="763"/>
      <c r="M65" s="763"/>
      <c r="N65" s="763"/>
      <c r="O65" s="613"/>
      <c r="P65" s="763"/>
      <c r="Q65" s="763"/>
      <c r="R65" s="763"/>
      <c r="T65" s="675">
        <f t="shared" ref="T65:V65" ca="1" si="516">SUM(T42,T19)</f>
        <v>0</v>
      </c>
      <c r="U65" s="675">
        <f t="shared" ca="1" si="516"/>
        <v>0</v>
      </c>
      <c r="V65" s="675">
        <f t="shared" ca="1" si="516"/>
        <v>0</v>
      </c>
      <c r="W65" s="675"/>
      <c r="X65" s="675">
        <f t="shared" ref="X65:Z65" ca="1" si="517">SUM(X42,X19)</f>
        <v>0</v>
      </c>
      <c r="Y65" s="675">
        <f t="shared" ca="1" si="517"/>
        <v>0</v>
      </c>
      <c r="Z65" s="675">
        <f t="shared" ca="1" si="517"/>
        <v>0</v>
      </c>
      <c r="AA65" s="675"/>
      <c r="AB65" s="675">
        <f t="shared" ref="AB65:AD65" ca="1" si="518">SUM(AB42,AB19)</f>
        <v>0</v>
      </c>
      <c r="AC65" s="675">
        <f t="shared" ca="1" si="518"/>
        <v>0</v>
      </c>
      <c r="AD65" s="675">
        <f t="shared" ca="1" si="518"/>
        <v>0</v>
      </c>
      <c r="AE65" s="675"/>
      <c r="AF65" s="675">
        <f t="shared" ref="AF65:AH65" ca="1" si="519">SUM(AF42,AF19)</f>
        <v>0</v>
      </c>
      <c r="AG65" s="675">
        <f t="shared" ca="1" si="519"/>
        <v>0</v>
      </c>
      <c r="AH65" s="675">
        <f t="shared" ca="1" si="519"/>
        <v>0</v>
      </c>
      <c r="AI65" s="675"/>
      <c r="AJ65" s="575" t="str">
        <f t="shared" si="284"/>
        <v>TAILORING</v>
      </c>
      <c r="AK65" s="675">
        <f t="shared" ref="AK65:AY65" si="520">SUM(AK42,AK19)</f>
        <v>0</v>
      </c>
      <c r="AL65" s="675">
        <f t="shared" si="520"/>
        <v>0</v>
      </c>
      <c r="AM65" s="675">
        <f t="shared" si="520"/>
        <v>0</v>
      </c>
      <c r="AN65" s="675"/>
      <c r="AO65" s="675">
        <f t="shared" si="520"/>
        <v>0</v>
      </c>
      <c r="AP65" s="675">
        <f t="shared" si="520"/>
        <v>0</v>
      </c>
      <c r="AQ65" s="675">
        <f t="shared" si="520"/>
        <v>0</v>
      </c>
      <c r="AR65" s="675"/>
      <c r="AS65" s="675">
        <f t="shared" si="520"/>
        <v>0</v>
      </c>
      <c r="AT65" s="675">
        <f t="shared" si="520"/>
        <v>0</v>
      </c>
      <c r="AU65" s="675">
        <f t="shared" si="520"/>
        <v>0</v>
      </c>
      <c r="AV65" s="675"/>
      <c r="AW65" s="675">
        <f t="shared" si="520"/>
        <v>0</v>
      </c>
      <c r="AX65" s="675">
        <f t="shared" si="520"/>
        <v>0</v>
      </c>
      <c r="AY65" s="675">
        <f t="shared" si="520"/>
        <v>0</v>
      </c>
      <c r="BA65" s="1" t="str">
        <f t="shared" si="286"/>
        <v>TAILORING</v>
      </c>
      <c r="BB65" s="678">
        <f t="shared" ref="BB65:BD65" ca="1" si="521">SUM(BB42,BB19)</f>
        <v>0</v>
      </c>
      <c r="BC65" s="677">
        <f t="shared" ca="1" si="521"/>
        <v>0</v>
      </c>
      <c r="BD65" s="677">
        <f t="shared" ca="1" si="521"/>
        <v>0</v>
      </c>
      <c r="BE65" s="678"/>
      <c r="BF65" s="678">
        <f t="shared" ref="BF65:BH65" ca="1" si="522">SUM(BF42,BF19)</f>
        <v>0</v>
      </c>
      <c r="BG65" s="678">
        <f t="shared" ca="1" si="522"/>
        <v>0</v>
      </c>
      <c r="BH65" s="678">
        <f t="shared" ca="1" si="522"/>
        <v>0</v>
      </c>
      <c r="BI65" s="678"/>
      <c r="BJ65" s="678">
        <f t="shared" ref="BJ65:BL65" ca="1" si="523">SUM(BJ42,BJ19)</f>
        <v>0</v>
      </c>
      <c r="BK65" s="678">
        <f t="shared" ca="1" si="523"/>
        <v>0</v>
      </c>
      <c r="BL65" s="678">
        <f t="shared" ca="1" si="523"/>
        <v>0</v>
      </c>
      <c r="BM65" s="678"/>
      <c r="BN65" s="678">
        <f t="shared" ref="BN65:BP65" ca="1" si="524">SUM(BN42,BN19)</f>
        <v>0</v>
      </c>
      <c r="BO65" s="678">
        <f t="shared" ca="1" si="524"/>
        <v>0</v>
      </c>
      <c r="BP65" s="678">
        <f t="shared" ca="1" si="524"/>
        <v>0</v>
      </c>
      <c r="BR65" s="378" t="str">
        <f t="shared" si="312"/>
        <v>TAILORING</v>
      </c>
      <c r="BS65" s="678">
        <f t="shared" ref="BS65:BU65" ca="1" si="525">SUM(BS42,BS19)</f>
        <v>142159</v>
      </c>
      <c r="BT65" s="678">
        <f t="shared" ca="1" si="525"/>
        <v>94519</v>
      </c>
      <c r="BU65" s="678">
        <f t="shared" ca="1" si="525"/>
        <v>350740</v>
      </c>
      <c r="BV65" s="678"/>
      <c r="BW65" s="678">
        <f t="shared" ref="BW65:BY65" ca="1" si="526">SUM(BW42,BW19)</f>
        <v>2231</v>
      </c>
      <c r="BX65" s="678">
        <f t="shared" ca="1" si="526"/>
        <v>0</v>
      </c>
      <c r="BY65" s="678">
        <f t="shared" ca="1" si="526"/>
        <v>0</v>
      </c>
      <c r="BZ65" s="678"/>
      <c r="CA65" s="678">
        <f t="shared" ref="CA65:CC65" ca="1" si="527">SUM(CA42,CA19)</f>
        <v>0</v>
      </c>
      <c r="CB65" s="678">
        <f t="shared" ca="1" si="527"/>
        <v>0</v>
      </c>
      <c r="CC65" s="678">
        <f t="shared" ca="1" si="527"/>
        <v>0</v>
      </c>
      <c r="CD65" s="678"/>
      <c r="CE65" s="678">
        <f t="shared" ref="CE65:CG65" ca="1" si="528">SUM(CE42,CE19)</f>
        <v>0</v>
      </c>
      <c r="CF65" s="678">
        <f t="shared" ca="1" si="528"/>
        <v>0</v>
      </c>
      <c r="CG65" s="678">
        <f t="shared" ca="1" si="528"/>
        <v>0</v>
      </c>
      <c r="CZ65" s="378" t="str">
        <f t="shared" si="317"/>
        <v>TAILORING</v>
      </c>
      <c r="DA65" s="678">
        <f t="shared" ref="DA65:DC65" ca="1" si="529">SUM(DA42,DA19)</f>
        <v>0</v>
      </c>
      <c r="DB65" s="677">
        <f t="shared" ca="1" si="529"/>
        <v>0</v>
      </c>
      <c r="DC65" s="678">
        <f t="shared" ca="1" si="529"/>
        <v>445259</v>
      </c>
      <c r="DD65" s="678"/>
      <c r="DE65" s="678">
        <f t="shared" ref="DE65:DG65" ca="1" si="530">SUM(DE42,DE19)</f>
        <v>447490</v>
      </c>
      <c r="DF65" s="678">
        <f t="shared" ca="1" si="530"/>
        <v>447490</v>
      </c>
      <c r="DG65" s="678">
        <f t="shared" ca="1" si="530"/>
        <v>447490</v>
      </c>
      <c r="DH65" s="678"/>
      <c r="DI65" s="678">
        <f t="shared" ref="DI65:DK65" ca="1" si="531">SUM(DI42,DI19)</f>
        <v>447490</v>
      </c>
      <c r="DJ65" s="678">
        <f t="shared" ca="1" si="531"/>
        <v>447490</v>
      </c>
      <c r="DK65" s="678">
        <f t="shared" ca="1" si="531"/>
        <v>447490</v>
      </c>
      <c r="DL65" s="678"/>
      <c r="DM65" s="678">
        <f t="shared" ref="DM65:DO65" ca="1" si="532">SUM(DM42,DM19)</f>
        <v>447490</v>
      </c>
      <c r="DN65" s="678">
        <f t="shared" ca="1" si="532"/>
        <v>447490</v>
      </c>
      <c r="DO65" s="678">
        <f t="shared" ca="1" si="532"/>
        <v>447490</v>
      </c>
      <c r="DQ65" s="378" t="str">
        <f t="shared" si="322"/>
        <v>TAILORING</v>
      </c>
      <c r="DR65" s="678">
        <f ca="1">IF($DT$7="Aug",SUMIFS(HIS_STOCK!$F:$F,HIS_STOCK!$A:$A,$BA$25,HIS_STOCK!$C:$C,$DQ65,HIS_STOCK!$D:$D,$DR$4,HIS_STOCK!$E:$E,$DR$7),SUMIFS(HIS_STOCK!$F:$F,HIS_STOCK!$A:$A,$BA$25,HIS_STOCK!$C:$C,$DQ65,HIS_STOCK!$D:$D,$DR$5,HIS_STOCK!$E:$E,$DR$7))</f>
        <v>0</v>
      </c>
      <c r="DS65" s="678"/>
      <c r="DT65" s="678">
        <f t="shared" ref="DT65:DV65" ca="1" si="533">SUM(DT42,DT19)</f>
        <v>0</v>
      </c>
      <c r="DU65" s="677">
        <f t="shared" ca="1" si="533"/>
        <v>0</v>
      </c>
      <c r="DV65" s="678">
        <f t="shared" ca="1" si="533"/>
        <v>0</v>
      </c>
      <c r="DW65" s="678"/>
      <c r="DX65" s="678">
        <f t="shared" ref="DX65:DZ65" ca="1" si="534">SUM(DX42,DX19)</f>
        <v>0</v>
      </c>
      <c r="DY65" s="678">
        <f t="shared" ca="1" si="534"/>
        <v>0</v>
      </c>
      <c r="DZ65" s="678">
        <f t="shared" ca="1" si="534"/>
        <v>0</v>
      </c>
      <c r="EA65" s="678"/>
      <c r="EB65" s="678">
        <f t="shared" ref="EB65:ED65" ca="1" si="535">SUM(EB42,EB19)</f>
        <v>0</v>
      </c>
      <c r="EC65" s="678">
        <f t="shared" ca="1" si="535"/>
        <v>0</v>
      </c>
      <c r="ED65" s="678">
        <f t="shared" ca="1" si="535"/>
        <v>0</v>
      </c>
      <c r="EE65" s="678"/>
      <c r="EF65" s="678">
        <f t="shared" ref="EF65:EH65" ca="1" si="536">SUM(EF42,EF19)</f>
        <v>0</v>
      </c>
      <c r="EG65" s="678">
        <f t="shared" ca="1" si="536"/>
        <v>0</v>
      </c>
      <c r="EH65" s="678">
        <f t="shared" ca="1" si="536"/>
        <v>0</v>
      </c>
    </row>
    <row r="66" spans="2:138" x14ac:dyDescent="0.25">
      <c r="B66" s="575" t="str">
        <f t="shared" si="279"/>
        <v>TOPS</v>
      </c>
      <c r="C66" s="817"/>
      <c r="D66" s="763"/>
      <c r="E66" s="763"/>
      <c r="F66" s="763"/>
      <c r="G66" s="613"/>
      <c r="H66" s="763"/>
      <c r="I66" s="763"/>
      <c r="J66" s="763"/>
      <c r="K66" s="613"/>
      <c r="L66" s="763"/>
      <c r="M66" s="763"/>
      <c r="N66" s="763"/>
      <c r="O66" s="613"/>
      <c r="P66" s="763"/>
      <c r="Q66" s="763"/>
      <c r="R66" s="763"/>
      <c r="T66" s="675">
        <f t="shared" ref="T66:V66" ca="1" si="537">SUM(T43,T20)</f>
        <v>0</v>
      </c>
      <c r="U66" s="675">
        <f t="shared" ca="1" si="537"/>
        <v>0</v>
      </c>
      <c r="V66" s="675">
        <f t="shared" ca="1" si="537"/>
        <v>0</v>
      </c>
      <c r="W66" s="675"/>
      <c r="X66" s="675">
        <f t="shared" ref="X66:Z66" ca="1" si="538">SUM(X43,X20)</f>
        <v>0</v>
      </c>
      <c r="Y66" s="675">
        <f t="shared" ca="1" si="538"/>
        <v>0</v>
      </c>
      <c r="Z66" s="675">
        <f t="shared" ca="1" si="538"/>
        <v>0</v>
      </c>
      <c r="AA66" s="675"/>
      <c r="AB66" s="675">
        <f t="shared" ref="AB66:AD66" ca="1" si="539">SUM(AB43,AB20)</f>
        <v>0</v>
      </c>
      <c r="AC66" s="675">
        <f t="shared" ca="1" si="539"/>
        <v>0</v>
      </c>
      <c r="AD66" s="675">
        <f t="shared" ca="1" si="539"/>
        <v>0</v>
      </c>
      <c r="AE66" s="675"/>
      <c r="AF66" s="675">
        <f t="shared" ref="AF66:AH66" ca="1" si="540">SUM(AF43,AF20)</f>
        <v>0</v>
      </c>
      <c r="AG66" s="675">
        <f t="shared" ca="1" si="540"/>
        <v>0</v>
      </c>
      <c r="AH66" s="675">
        <f t="shared" ca="1" si="540"/>
        <v>0</v>
      </c>
      <c r="AI66" s="675"/>
      <c r="AJ66" s="575" t="str">
        <f t="shared" si="284"/>
        <v>TOPS</v>
      </c>
      <c r="AK66" s="675">
        <f t="shared" ref="AK66:AY66" si="541">SUM(AK43,AK20)</f>
        <v>0</v>
      </c>
      <c r="AL66" s="675">
        <f t="shared" si="541"/>
        <v>0</v>
      </c>
      <c r="AM66" s="675">
        <f t="shared" si="541"/>
        <v>0</v>
      </c>
      <c r="AN66" s="675"/>
      <c r="AO66" s="675">
        <f t="shared" si="541"/>
        <v>0</v>
      </c>
      <c r="AP66" s="675">
        <f t="shared" si="541"/>
        <v>0</v>
      </c>
      <c r="AQ66" s="675">
        <f t="shared" si="541"/>
        <v>0</v>
      </c>
      <c r="AR66" s="675"/>
      <c r="AS66" s="675">
        <f t="shared" si="541"/>
        <v>0</v>
      </c>
      <c r="AT66" s="675">
        <f t="shared" si="541"/>
        <v>0</v>
      </c>
      <c r="AU66" s="675">
        <f t="shared" si="541"/>
        <v>0</v>
      </c>
      <c r="AV66" s="675"/>
      <c r="AW66" s="675">
        <f t="shared" si="541"/>
        <v>0</v>
      </c>
      <c r="AX66" s="675">
        <f t="shared" si="541"/>
        <v>0</v>
      </c>
      <c r="AY66" s="675">
        <f t="shared" si="541"/>
        <v>0</v>
      </c>
      <c r="BA66" s="1" t="str">
        <f t="shared" si="286"/>
        <v>TOPS</v>
      </c>
      <c r="BB66" s="677">
        <f t="shared" ref="BB66:BD66" ca="1" si="542">SUM(BB43,BB20)</f>
        <v>0</v>
      </c>
      <c r="BC66" s="677">
        <f t="shared" ca="1" si="542"/>
        <v>0</v>
      </c>
      <c r="BD66" s="677">
        <f t="shared" ca="1" si="542"/>
        <v>0</v>
      </c>
      <c r="BE66" s="678"/>
      <c r="BF66" s="677">
        <f t="shared" ref="BF66:BH66" ca="1" si="543">SUM(BF43,BF20)</f>
        <v>0</v>
      </c>
      <c r="BG66" s="677">
        <f t="shared" ca="1" si="543"/>
        <v>0</v>
      </c>
      <c r="BH66" s="677">
        <f t="shared" ca="1" si="543"/>
        <v>0</v>
      </c>
      <c r="BI66" s="678"/>
      <c r="BJ66" s="677">
        <f t="shared" ref="BJ66:BL66" ca="1" si="544">SUM(BJ43,BJ20)</f>
        <v>0</v>
      </c>
      <c r="BK66" s="677">
        <f t="shared" ca="1" si="544"/>
        <v>0</v>
      </c>
      <c r="BL66" s="677">
        <f t="shared" ca="1" si="544"/>
        <v>0</v>
      </c>
      <c r="BM66" s="678"/>
      <c r="BN66" s="677">
        <f t="shared" ref="BN66:BP66" ca="1" si="545">SUM(BN43,BN20)</f>
        <v>0</v>
      </c>
      <c r="BO66" s="677">
        <f t="shared" ca="1" si="545"/>
        <v>0</v>
      </c>
      <c r="BP66" s="677">
        <f t="shared" ca="1" si="545"/>
        <v>0</v>
      </c>
      <c r="BR66" s="1" t="str">
        <f t="shared" si="312"/>
        <v>TOPS</v>
      </c>
      <c r="BS66" s="677">
        <f t="shared" ref="BS66:BU66" ca="1" si="546">SUM(BS43,BS20)</f>
        <v>87865</v>
      </c>
      <c r="BT66" s="677">
        <f t="shared" ca="1" si="546"/>
        <v>77734</v>
      </c>
      <c r="BU66" s="677">
        <f t="shared" ca="1" si="546"/>
        <v>298950</v>
      </c>
      <c r="BV66" s="678"/>
      <c r="BW66" s="677">
        <f t="shared" ref="BW66:BY66" ca="1" si="547">SUM(BW43,BW20)</f>
        <v>44156</v>
      </c>
      <c r="BX66" s="677">
        <f t="shared" ca="1" si="547"/>
        <v>20874</v>
      </c>
      <c r="BY66" s="677">
        <f t="shared" ca="1" si="547"/>
        <v>0</v>
      </c>
      <c r="BZ66" s="678"/>
      <c r="CA66" s="677">
        <f t="shared" ref="CA66:CC66" ca="1" si="548">SUM(CA43,CA20)</f>
        <v>0</v>
      </c>
      <c r="CB66" s="677">
        <f t="shared" ca="1" si="548"/>
        <v>0</v>
      </c>
      <c r="CC66" s="677">
        <f t="shared" ca="1" si="548"/>
        <v>0</v>
      </c>
      <c r="CD66" s="678"/>
      <c r="CE66" s="677">
        <f t="shared" ref="CE66:CG66" ca="1" si="549">SUM(CE43,CE20)</f>
        <v>0</v>
      </c>
      <c r="CF66" s="677">
        <f t="shared" ca="1" si="549"/>
        <v>0</v>
      </c>
      <c r="CG66" s="677">
        <f t="shared" ca="1" si="549"/>
        <v>0</v>
      </c>
      <c r="CZ66" s="1" t="str">
        <f t="shared" si="317"/>
        <v>TOPS</v>
      </c>
      <c r="DA66" s="677">
        <f t="shared" ref="DA66:DC66" ca="1" si="550">SUM(DA43,DA20)</f>
        <v>0</v>
      </c>
      <c r="DB66" s="677">
        <f t="shared" ca="1" si="550"/>
        <v>0</v>
      </c>
      <c r="DC66" s="677">
        <f t="shared" ca="1" si="550"/>
        <v>376684</v>
      </c>
      <c r="DD66" s="678"/>
      <c r="DE66" s="677">
        <f t="shared" ref="DE66:DG66" ca="1" si="551">SUM(DE43,DE20)</f>
        <v>420840</v>
      </c>
      <c r="DF66" s="677">
        <f t="shared" ca="1" si="551"/>
        <v>441714</v>
      </c>
      <c r="DG66" s="677">
        <f t="shared" ca="1" si="551"/>
        <v>441714</v>
      </c>
      <c r="DH66" s="678"/>
      <c r="DI66" s="677">
        <f t="shared" ref="DI66:DK66" ca="1" si="552">SUM(DI43,DI20)</f>
        <v>441714</v>
      </c>
      <c r="DJ66" s="677">
        <f t="shared" ca="1" si="552"/>
        <v>441714</v>
      </c>
      <c r="DK66" s="677">
        <f t="shared" ca="1" si="552"/>
        <v>441714</v>
      </c>
      <c r="DL66" s="678"/>
      <c r="DM66" s="677">
        <f t="shared" ref="DM66:DO66" ca="1" si="553">SUM(DM43,DM20)</f>
        <v>441714</v>
      </c>
      <c r="DN66" s="677">
        <f t="shared" ca="1" si="553"/>
        <v>441714</v>
      </c>
      <c r="DO66" s="677">
        <f t="shared" ca="1" si="553"/>
        <v>441714</v>
      </c>
      <c r="DQ66" s="378" t="str">
        <f t="shared" si="322"/>
        <v>TOPS</v>
      </c>
      <c r="DR66" s="677">
        <f ca="1">IF($DT$7="Aug",SUMIFS(HIS_STOCK!$F:$F,HIS_STOCK!$A:$A,$BA$25,HIS_STOCK!$C:$C,$DQ66,HIS_STOCK!$D:$D,$DR$4,HIS_STOCK!$E:$E,$DR$7),SUMIFS(HIS_STOCK!$F:$F,HIS_STOCK!$A:$A,$BA$25,HIS_STOCK!$C:$C,$DQ66,HIS_STOCK!$D:$D,$DR$5,HIS_STOCK!$E:$E,$DR$7))</f>
        <v>0</v>
      </c>
      <c r="DS66" s="677"/>
      <c r="DT66" s="677">
        <f t="shared" ref="DT66:DV66" ca="1" si="554">SUM(DT43,DT20)</f>
        <v>0</v>
      </c>
      <c r="DU66" s="677">
        <f t="shared" ca="1" si="554"/>
        <v>0</v>
      </c>
      <c r="DV66" s="677">
        <f t="shared" ca="1" si="554"/>
        <v>0</v>
      </c>
      <c r="DW66" s="678"/>
      <c r="DX66" s="677">
        <f t="shared" ref="DX66:DZ66" ca="1" si="555">SUM(DX43,DX20)</f>
        <v>0</v>
      </c>
      <c r="DY66" s="677">
        <f t="shared" ca="1" si="555"/>
        <v>0</v>
      </c>
      <c r="DZ66" s="677">
        <f t="shared" ca="1" si="555"/>
        <v>0</v>
      </c>
      <c r="EA66" s="678"/>
      <c r="EB66" s="677">
        <f t="shared" ref="EB66:ED66" ca="1" si="556">SUM(EB43,EB20)</f>
        <v>0</v>
      </c>
      <c r="EC66" s="677">
        <f t="shared" ca="1" si="556"/>
        <v>0</v>
      </c>
      <c r="ED66" s="677">
        <f t="shared" ca="1" si="556"/>
        <v>0</v>
      </c>
      <c r="EE66" s="678"/>
      <c r="EF66" s="677">
        <f t="shared" ref="EF66:EH66" ca="1" si="557">SUM(EF43,EF20)</f>
        <v>0</v>
      </c>
      <c r="EG66" s="677">
        <f t="shared" ca="1" si="557"/>
        <v>0</v>
      </c>
      <c r="EH66" s="677">
        <f t="shared" ca="1" si="557"/>
        <v>0</v>
      </c>
    </row>
    <row r="67" spans="2:138" x14ac:dyDescent="0.25">
      <c r="B67" s="575" t="str">
        <f t="shared" si="279"/>
        <v>T-SHIRTS</v>
      </c>
      <c r="C67" s="817"/>
      <c r="D67" s="763"/>
      <c r="E67" s="763"/>
      <c r="F67" s="763"/>
      <c r="G67" s="613"/>
      <c r="H67" s="763"/>
      <c r="I67" s="763"/>
      <c r="J67" s="763"/>
      <c r="K67" s="613"/>
      <c r="L67" s="763"/>
      <c r="M67" s="763"/>
      <c r="N67" s="763"/>
      <c r="O67" s="613"/>
      <c r="P67" s="763"/>
      <c r="Q67" s="763"/>
      <c r="R67" s="763"/>
      <c r="T67" s="675">
        <f t="shared" ref="T67:V67" ca="1" si="558">SUM(T44,T21)</f>
        <v>0</v>
      </c>
      <c r="U67" s="675">
        <f t="shared" ca="1" si="558"/>
        <v>0</v>
      </c>
      <c r="V67" s="675">
        <f t="shared" ca="1" si="558"/>
        <v>0</v>
      </c>
      <c r="W67" s="675"/>
      <c r="X67" s="675">
        <f t="shared" ref="X67:Z67" ca="1" si="559">SUM(X44,X21)</f>
        <v>0</v>
      </c>
      <c r="Y67" s="675">
        <f t="shared" ca="1" si="559"/>
        <v>0</v>
      </c>
      <c r="Z67" s="675">
        <f t="shared" ca="1" si="559"/>
        <v>0</v>
      </c>
      <c r="AA67" s="675"/>
      <c r="AB67" s="675">
        <f t="shared" ref="AB67:AD67" ca="1" si="560">SUM(AB44,AB21)</f>
        <v>0</v>
      </c>
      <c r="AC67" s="675">
        <f t="shared" ca="1" si="560"/>
        <v>0</v>
      </c>
      <c r="AD67" s="675">
        <f t="shared" ca="1" si="560"/>
        <v>0</v>
      </c>
      <c r="AE67" s="675"/>
      <c r="AF67" s="675">
        <f t="shared" ref="AF67:AH67" ca="1" si="561">SUM(AF44,AF21)</f>
        <v>0</v>
      </c>
      <c r="AG67" s="675">
        <f t="shared" ca="1" si="561"/>
        <v>0</v>
      </c>
      <c r="AH67" s="675">
        <f t="shared" ca="1" si="561"/>
        <v>0</v>
      </c>
      <c r="AI67" s="675"/>
      <c r="AJ67" s="575" t="str">
        <f t="shared" si="284"/>
        <v>T-SHIRTS</v>
      </c>
      <c r="AK67" s="675">
        <f t="shared" ref="AK67:AY67" si="562">SUM(AK44,AK21)</f>
        <v>0</v>
      </c>
      <c r="AL67" s="675">
        <f t="shared" si="562"/>
        <v>0</v>
      </c>
      <c r="AM67" s="675">
        <f t="shared" si="562"/>
        <v>0</v>
      </c>
      <c r="AN67" s="675"/>
      <c r="AO67" s="675">
        <f t="shared" si="562"/>
        <v>0</v>
      </c>
      <c r="AP67" s="675">
        <f t="shared" si="562"/>
        <v>0</v>
      </c>
      <c r="AQ67" s="675">
        <f t="shared" si="562"/>
        <v>0</v>
      </c>
      <c r="AR67" s="675"/>
      <c r="AS67" s="675">
        <f t="shared" si="562"/>
        <v>0</v>
      </c>
      <c r="AT67" s="675">
        <f t="shared" si="562"/>
        <v>0</v>
      </c>
      <c r="AU67" s="675">
        <f t="shared" si="562"/>
        <v>0</v>
      </c>
      <c r="AV67" s="675"/>
      <c r="AW67" s="675">
        <f t="shared" si="562"/>
        <v>0</v>
      </c>
      <c r="AX67" s="675">
        <f t="shared" si="562"/>
        <v>0</v>
      </c>
      <c r="AY67" s="675">
        <f t="shared" si="562"/>
        <v>0</v>
      </c>
      <c r="BA67" s="1" t="str">
        <f t="shared" si="286"/>
        <v>T-SHIRTS</v>
      </c>
      <c r="BB67" s="677">
        <f t="shared" ref="BB67:BD67" ca="1" si="563">SUM(BB44,BB21)</f>
        <v>0</v>
      </c>
      <c r="BC67" s="677">
        <f t="shared" ca="1" si="563"/>
        <v>0</v>
      </c>
      <c r="BD67" s="677">
        <f t="shared" ca="1" si="563"/>
        <v>0</v>
      </c>
      <c r="BE67" s="678"/>
      <c r="BF67" s="677">
        <f t="shared" ref="BF67:BH67" ca="1" si="564">SUM(BF44,BF21)</f>
        <v>0</v>
      </c>
      <c r="BG67" s="677">
        <f t="shared" ca="1" si="564"/>
        <v>0</v>
      </c>
      <c r="BH67" s="677">
        <f t="shared" ca="1" si="564"/>
        <v>0</v>
      </c>
      <c r="BI67" s="678"/>
      <c r="BJ67" s="677">
        <f t="shared" ref="BJ67:BL67" ca="1" si="565">SUM(BJ44,BJ21)</f>
        <v>0</v>
      </c>
      <c r="BK67" s="677">
        <f t="shared" ca="1" si="565"/>
        <v>0</v>
      </c>
      <c r="BL67" s="677">
        <f t="shared" ca="1" si="565"/>
        <v>0</v>
      </c>
      <c r="BM67" s="678"/>
      <c r="BN67" s="677">
        <f t="shared" ref="BN67:BP67" ca="1" si="566">SUM(BN44,BN21)</f>
        <v>0</v>
      </c>
      <c r="BO67" s="677">
        <f t="shared" ca="1" si="566"/>
        <v>0</v>
      </c>
      <c r="BP67" s="677">
        <f t="shared" ca="1" si="566"/>
        <v>0</v>
      </c>
      <c r="BR67" s="1" t="str">
        <f t="shared" si="312"/>
        <v>T-SHIRTS</v>
      </c>
      <c r="BS67" s="677">
        <f t="shared" ref="BS67:BU67" ca="1" si="567">SUM(BS44,BS21)</f>
        <v>45983</v>
      </c>
      <c r="BT67" s="677">
        <f t="shared" ca="1" si="567"/>
        <v>48000</v>
      </c>
      <c r="BU67" s="677">
        <f t="shared" ca="1" si="567"/>
        <v>225139</v>
      </c>
      <c r="BV67" s="678"/>
      <c r="BW67" s="677">
        <f t="shared" ref="BW67:BY67" ca="1" si="568">SUM(BW44,BW21)</f>
        <v>10808</v>
      </c>
      <c r="BX67" s="677">
        <f t="shared" ca="1" si="568"/>
        <v>3453</v>
      </c>
      <c r="BY67" s="677">
        <f t="shared" ca="1" si="568"/>
        <v>0</v>
      </c>
      <c r="BZ67" s="678"/>
      <c r="CA67" s="677">
        <f t="shared" ref="CA67:CC67" ca="1" si="569">SUM(CA44,CA21)</f>
        <v>0</v>
      </c>
      <c r="CB67" s="677">
        <f t="shared" ca="1" si="569"/>
        <v>0</v>
      </c>
      <c r="CC67" s="677">
        <f t="shared" ca="1" si="569"/>
        <v>0</v>
      </c>
      <c r="CD67" s="678"/>
      <c r="CE67" s="677">
        <f t="shared" ref="CE67:CG67" ca="1" si="570">SUM(CE44,CE21)</f>
        <v>0</v>
      </c>
      <c r="CF67" s="677">
        <f t="shared" ca="1" si="570"/>
        <v>0</v>
      </c>
      <c r="CG67" s="677">
        <f t="shared" ca="1" si="570"/>
        <v>0</v>
      </c>
      <c r="CZ67" s="1" t="str">
        <f t="shared" si="317"/>
        <v>T-SHIRTS</v>
      </c>
      <c r="DA67" s="677">
        <f t="shared" ref="DA67:DC67" ca="1" si="571">SUM(DA44,DA21)</f>
        <v>0</v>
      </c>
      <c r="DB67" s="677">
        <f t="shared" ca="1" si="571"/>
        <v>0</v>
      </c>
      <c r="DC67" s="677">
        <f t="shared" ca="1" si="571"/>
        <v>273139</v>
      </c>
      <c r="DD67" s="678"/>
      <c r="DE67" s="677">
        <f t="shared" ref="DE67:DG67" ca="1" si="572">SUM(DE44,DE21)</f>
        <v>283947</v>
      </c>
      <c r="DF67" s="677">
        <f t="shared" ca="1" si="572"/>
        <v>287400</v>
      </c>
      <c r="DG67" s="677">
        <f t="shared" ca="1" si="572"/>
        <v>287400</v>
      </c>
      <c r="DH67" s="678"/>
      <c r="DI67" s="677">
        <f t="shared" ref="DI67:DK67" ca="1" si="573">SUM(DI44,DI21)</f>
        <v>287400</v>
      </c>
      <c r="DJ67" s="677">
        <f t="shared" ca="1" si="573"/>
        <v>287400</v>
      </c>
      <c r="DK67" s="677">
        <f t="shared" ca="1" si="573"/>
        <v>287400</v>
      </c>
      <c r="DL67" s="678"/>
      <c r="DM67" s="677">
        <f t="shared" ref="DM67:DO67" ca="1" si="574">SUM(DM44,DM21)</f>
        <v>287400</v>
      </c>
      <c r="DN67" s="677">
        <f t="shared" ca="1" si="574"/>
        <v>287400</v>
      </c>
      <c r="DO67" s="677">
        <f t="shared" ca="1" si="574"/>
        <v>287400</v>
      </c>
      <c r="DQ67" s="378" t="str">
        <f t="shared" si="322"/>
        <v>T-SHIRTS</v>
      </c>
      <c r="DR67" s="677">
        <f ca="1">IF($DT$7="Aug",SUMIFS(HIS_STOCK!$F:$F,HIS_STOCK!$A:$A,$BA$25,HIS_STOCK!$C:$C,$DQ67,HIS_STOCK!$D:$D,$DR$4,HIS_STOCK!$E:$E,$DR$7),SUMIFS(HIS_STOCK!$F:$F,HIS_STOCK!$A:$A,$BA$25,HIS_STOCK!$C:$C,$DQ67,HIS_STOCK!$D:$D,$DR$5,HIS_STOCK!$E:$E,$DR$7))</f>
        <v>0</v>
      </c>
      <c r="DS67" s="677"/>
      <c r="DT67" s="677">
        <f t="shared" ref="DT67:DV67" ca="1" si="575">SUM(DT44,DT21)</f>
        <v>0</v>
      </c>
      <c r="DU67" s="677">
        <f t="shared" ca="1" si="575"/>
        <v>0</v>
      </c>
      <c r="DV67" s="677">
        <f t="shared" ca="1" si="575"/>
        <v>0</v>
      </c>
      <c r="DW67" s="678"/>
      <c r="DX67" s="677">
        <f t="shared" ref="DX67:DZ67" ca="1" si="576">SUM(DX44,DX21)</f>
        <v>0</v>
      </c>
      <c r="DY67" s="677">
        <f t="shared" ca="1" si="576"/>
        <v>0</v>
      </c>
      <c r="DZ67" s="677">
        <f t="shared" ca="1" si="576"/>
        <v>0</v>
      </c>
      <c r="EA67" s="678"/>
      <c r="EB67" s="677">
        <f t="shared" ref="EB67:ED67" ca="1" si="577">SUM(EB44,EB21)</f>
        <v>0</v>
      </c>
      <c r="EC67" s="677">
        <f t="shared" ca="1" si="577"/>
        <v>0</v>
      </c>
      <c r="ED67" s="677">
        <f t="shared" ca="1" si="577"/>
        <v>0</v>
      </c>
      <c r="EE67" s="678"/>
      <c r="EF67" s="677">
        <f t="shared" ref="EF67:EH67" ca="1" si="578">SUM(EF44,EF21)</f>
        <v>0</v>
      </c>
      <c r="EG67" s="677">
        <f t="shared" ca="1" si="578"/>
        <v>0</v>
      </c>
      <c r="EH67" s="677">
        <f t="shared" ca="1" si="578"/>
        <v>0</v>
      </c>
    </row>
    <row r="68" spans="2:138" x14ac:dyDescent="0.25">
      <c r="B68" s="575" t="str">
        <f t="shared" si="279"/>
        <v>T-SHIRTS &amp; TOPS</v>
      </c>
      <c r="C68" s="817"/>
      <c r="D68" s="763"/>
      <c r="E68" s="763"/>
      <c r="F68" s="763"/>
      <c r="G68" s="613"/>
      <c r="H68" s="763"/>
      <c r="I68" s="763"/>
      <c r="J68" s="763"/>
      <c r="K68" s="613"/>
      <c r="L68" s="763"/>
      <c r="M68" s="763"/>
      <c r="N68" s="763"/>
      <c r="O68" s="613"/>
      <c r="P68" s="763"/>
      <c r="Q68" s="763"/>
      <c r="R68" s="763"/>
      <c r="T68" s="675">
        <f t="shared" ref="T68:V68" ca="1" si="579">SUM(T45,T22)</f>
        <v>0</v>
      </c>
      <c r="U68" s="675">
        <f t="shared" ca="1" si="579"/>
        <v>0</v>
      </c>
      <c r="V68" s="675">
        <f t="shared" ca="1" si="579"/>
        <v>0</v>
      </c>
      <c r="W68" s="675"/>
      <c r="X68" s="675">
        <f t="shared" ref="X68:Z68" ca="1" si="580">SUM(X45,X22)</f>
        <v>0</v>
      </c>
      <c r="Y68" s="675">
        <f t="shared" ca="1" si="580"/>
        <v>0</v>
      </c>
      <c r="Z68" s="675">
        <f t="shared" ca="1" si="580"/>
        <v>0</v>
      </c>
      <c r="AA68" s="675"/>
      <c r="AB68" s="675">
        <f t="shared" ref="AB68:AD68" ca="1" si="581">SUM(AB45,AB22)</f>
        <v>0</v>
      </c>
      <c r="AC68" s="675">
        <f t="shared" ca="1" si="581"/>
        <v>0</v>
      </c>
      <c r="AD68" s="675">
        <f t="shared" ca="1" si="581"/>
        <v>0</v>
      </c>
      <c r="AE68" s="675"/>
      <c r="AF68" s="675">
        <f t="shared" ref="AF68:AH68" ca="1" si="582">SUM(AF45,AF22)</f>
        <v>0</v>
      </c>
      <c r="AG68" s="675">
        <f t="shared" ca="1" si="582"/>
        <v>0</v>
      </c>
      <c r="AH68" s="675">
        <f t="shared" ca="1" si="582"/>
        <v>0</v>
      </c>
      <c r="AI68" s="675"/>
      <c r="AJ68" s="575" t="str">
        <f t="shared" si="284"/>
        <v>T-SHIRTS &amp; TOPS</v>
      </c>
      <c r="AK68" s="675">
        <f t="shared" ref="AK68:AY68" si="583">SUM(AK45,AK22)</f>
        <v>0</v>
      </c>
      <c r="AL68" s="675">
        <f t="shared" si="583"/>
        <v>0</v>
      </c>
      <c r="AM68" s="675">
        <f t="shared" si="583"/>
        <v>0</v>
      </c>
      <c r="AN68" s="675"/>
      <c r="AO68" s="675">
        <f t="shared" si="583"/>
        <v>0</v>
      </c>
      <c r="AP68" s="675">
        <f t="shared" si="583"/>
        <v>0</v>
      </c>
      <c r="AQ68" s="675">
        <f t="shared" si="583"/>
        <v>0</v>
      </c>
      <c r="AR68" s="675"/>
      <c r="AS68" s="675">
        <f t="shared" si="583"/>
        <v>0</v>
      </c>
      <c r="AT68" s="675">
        <f t="shared" si="583"/>
        <v>0</v>
      </c>
      <c r="AU68" s="675">
        <f t="shared" si="583"/>
        <v>0</v>
      </c>
      <c r="AV68" s="675"/>
      <c r="AW68" s="675">
        <f t="shared" si="583"/>
        <v>0</v>
      </c>
      <c r="AX68" s="675">
        <f t="shared" si="583"/>
        <v>0</v>
      </c>
      <c r="AY68" s="675">
        <f t="shared" si="583"/>
        <v>0</v>
      </c>
      <c r="BA68" s="1" t="str">
        <f t="shared" si="286"/>
        <v>T-SHIRTS &amp; TOPS</v>
      </c>
      <c r="BB68" s="677">
        <f t="shared" ref="BB68:BD68" ca="1" si="584">SUM(BB45,BB22)</f>
        <v>0</v>
      </c>
      <c r="BC68" s="677">
        <f t="shared" ca="1" si="584"/>
        <v>0</v>
      </c>
      <c r="BD68" s="677">
        <f t="shared" ca="1" si="584"/>
        <v>0</v>
      </c>
      <c r="BE68" s="678"/>
      <c r="BF68" s="677">
        <f t="shared" ref="BF68:BH68" ca="1" si="585">SUM(BF45,BF22)</f>
        <v>0</v>
      </c>
      <c r="BG68" s="677">
        <f t="shared" ca="1" si="585"/>
        <v>0</v>
      </c>
      <c r="BH68" s="677">
        <f t="shared" ca="1" si="585"/>
        <v>0</v>
      </c>
      <c r="BI68" s="678"/>
      <c r="BJ68" s="677">
        <f t="shared" ref="BJ68:BL68" ca="1" si="586">SUM(BJ45,BJ22)</f>
        <v>0</v>
      </c>
      <c r="BK68" s="677">
        <f t="shared" ca="1" si="586"/>
        <v>0</v>
      </c>
      <c r="BL68" s="677">
        <f t="shared" ca="1" si="586"/>
        <v>0</v>
      </c>
      <c r="BM68" s="678"/>
      <c r="BN68" s="677">
        <f t="shared" ref="BN68:BP68" ca="1" si="587">SUM(BN45,BN22)</f>
        <v>0</v>
      </c>
      <c r="BO68" s="677">
        <f t="shared" ca="1" si="587"/>
        <v>0</v>
      </c>
      <c r="BP68" s="677">
        <f t="shared" ca="1" si="587"/>
        <v>0</v>
      </c>
      <c r="BR68" s="1" t="str">
        <f t="shared" si="312"/>
        <v>T-SHIRTS &amp; TOPS</v>
      </c>
      <c r="BS68" s="677">
        <f t="shared" ref="BS68:BU68" ca="1" si="588">SUM(BS45,BS22)</f>
        <v>8971</v>
      </c>
      <c r="BT68" s="677">
        <f t="shared" ca="1" si="588"/>
        <v>14207</v>
      </c>
      <c r="BU68" s="677">
        <f t="shared" ca="1" si="588"/>
        <v>50744</v>
      </c>
      <c r="BV68" s="678"/>
      <c r="BW68" s="677">
        <f t="shared" ref="BW68:BY68" ca="1" si="589">SUM(BW45,BW22)</f>
        <v>3294</v>
      </c>
      <c r="BX68" s="677">
        <f t="shared" ca="1" si="589"/>
        <v>5563</v>
      </c>
      <c r="BY68" s="677">
        <f t="shared" ca="1" si="589"/>
        <v>1579</v>
      </c>
      <c r="BZ68" s="678"/>
      <c r="CA68" s="677">
        <f t="shared" ref="CA68:CC68" ca="1" si="590">SUM(CA45,CA22)</f>
        <v>0</v>
      </c>
      <c r="CB68" s="677">
        <f t="shared" ca="1" si="590"/>
        <v>0</v>
      </c>
      <c r="CC68" s="677">
        <f t="shared" ca="1" si="590"/>
        <v>0</v>
      </c>
      <c r="CD68" s="678"/>
      <c r="CE68" s="677">
        <f t="shared" ref="CE68:CG68" ca="1" si="591">SUM(CE45,CE22)</f>
        <v>0</v>
      </c>
      <c r="CF68" s="677">
        <f t="shared" ca="1" si="591"/>
        <v>0</v>
      </c>
      <c r="CG68" s="677">
        <f t="shared" ca="1" si="591"/>
        <v>0</v>
      </c>
      <c r="CZ68" s="1" t="str">
        <f t="shared" si="317"/>
        <v>T-SHIRTS &amp; TOPS</v>
      </c>
      <c r="DA68" s="677">
        <f t="shared" ref="DA68:DC68" ca="1" si="592">SUM(DA45,DA22)</f>
        <v>0</v>
      </c>
      <c r="DB68" s="677">
        <f t="shared" ca="1" si="592"/>
        <v>0</v>
      </c>
      <c r="DC68" s="677">
        <f t="shared" ca="1" si="592"/>
        <v>64951</v>
      </c>
      <c r="DD68" s="678"/>
      <c r="DE68" s="677">
        <f t="shared" ref="DE68:DG68" ca="1" si="593">SUM(DE45,DE22)</f>
        <v>68245</v>
      </c>
      <c r="DF68" s="677">
        <f t="shared" ca="1" si="593"/>
        <v>73808</v>
      </c>
      <c r="DG68" s="677">
        <f t="shared" ca="1" si="593"/>
        <v>75387</v>
      </c>
      <c r="DH68" s="678"/>
      <c r="DI68" s="677">
        <f t="shared" ref="DI68:DK68" ca="1" si="594">SUM(DI45,DI22)</f>
        <v>75387</v>
      </c>
      <c r="DJ68" s="677">
        <f t="shared" ca="1" si="594"/>
        <v>75387</v>
      </c>
      <c r="DK68" s="677">
        <f t="shared" ca="1" si="594"/>
        <v>75387</v>
      </c>
      <c r="DL68" s="678"/>
      <c r="DM68" s="677">
        <f t="shared" ref="DM68:DO68" ca="1" si="595">SUM(DM45,DM22)</f>
        <v>75387</v>
      </c>
      <c r="DN68" s="677">
        <f t="shared" ca="1" si="595"/>
        <v>75387</v>
      </c>
      <c r="DO68" s="677">
        <f t="shared" ca="1" si="595"/>
        <v>75387</v>
      </c>
      <c r="DQ68" s="378" t="str">
        <f t="shared" si="322"/>
        <v>T-SHIRTS &amp; TOPS</v>
      </c>
      <c r="DR68" s="677">
        <f ca="1">IF($DT$7="Aug",SUMIFS(HIS_STOCK!$F:$F,HIS_STOCK!$A:$A,$BA$25,HIS_STOCK!$C:$C,$DQ68,HIS_STOCK!$D:$D,$DR$4,HIS_STOCK!$E:$E,$DR$7),SUMIFS(HIS_STOCK!$F:$F,HIS_STOCK!$A:$A,$BA$25,HIS_STOCK!$C:$C,$DQ68,HIS_STOCK!$D:$D,$DR$5,HIS_STOCK!$E:$E,$DR$7))</f>
        <v>0</v>
      </c>
      <c r="DS68" s="677"/>
      <c r="DT68" s="677">
        <f t="shared" ref="DT68:DV68" ca="1" si="596">SUM(DT45,DT22)</f>
        <v>0</v>
      </c>
      <c r="DU68" s="677">
        <f t="shared" ca="1" si="596"/>
        <v>0</v>
      </c>
      <c r="DV68" s="677">
        <f t="shared" ca="1" si="596"/>
        <v>0</v>
      </c>
      <c r="DW68" s="678"/>
      <c r="DX68" s="677">
        <f t="shared" ref="DX68:DZ68" ca="1" si="597">SUM(DX45,DX22)</f>
        <v>0</v>
      </c>
      <c r="DY68" s="677">
        <f t="shared" ca="1" si="597"/>
        <v>0</v>
      </c>
      <c r="DZ68" s="677">
        <f t="shared" ca="1" si="597"/>
        <v>0</v>
      </c>
      <c r="EA68" s="678"/>
      <c r="EB68" s="677">
        <f t="shared" ref="EB68:ED68" ca="1" si="598">SUM(EB45,EB22)</f>
        <v>0</v>
      </c>
      <c r="EC68" s="677">
        <f t="shared" ca="1" si="598"/>
        <v>0</v>
      </c>
      <c r="ED68" s="677">
        <f t="shared" ca="1" si="598"/>
        <v>0</v>
      </c>
      <c r="EE68" s="678"/>
      <c r="EF68" s="677">
        <f t="shared" ref="EF68:EH68" ca="1" si="599">SUM(EF45,EF22)</f>
        <v>0</v>
      </c>
      <c r="EG68" s="677">
        <f t="shared" ca="1" si="599"/>
        <v>0</v>
      </c>
      <c r="EH68" s="677">
        <f t="shared" ca="1" si="599"/>
        <v>0</v>
      </c>
    </row>
    <row r="69" spans="2:138" x14ac:dyDescent="0.25">
      <c r="B69" s="800">
        <f t="shared" si="279"/>
        <v>0</v>
      </c>
      <c r="C69" s="818"/>
      <c r="D69" s="762"/>
      <c r="E69" s="762"/>
      <c r="F69" s="762"/>
      <c r="G69" s="614"/>
      <c r="H69" s="762"/>
      <c r="I69" s="762"/>
      <c r="J69" s="762"/>
      <c r="K69" s="614"/>
      <c r="L69" s="762"/>
      <c r="M69" s="762"/>
      <c r="N69" s="762"/>
      <c r="O69" s="614"/>
      <c r="P69" s="762"/>
      <c r="Q69" s="762"/>
      <c r="R69" s="762"/>
      <c r="T69" s="676">
        <f t="shared" ref="T69:V69" ca="1" si="600">SUM(T46,T23)</f>
        <v>0</v>
      </c>
      <c r="U69" s="676">
        <f t="shared" ca="1" si="600"/>
        <v>0</v>
      </c>
      <c r="V69" s="676">
        <f t="shared" ca="1" si="600"/>
        <v>0</v>
      </c>
      <c r="W69" s="675"/>
      <c r="X69" s="676">
        <f t="shared" ref="X69:Z69" ca="1" si="601">SUM(X46,X23)</f>
        <v>0</v>
      </c>
      <c r="Y69" s="676">
        <f t="shared" ca="1" si="601"/>
        <v>0</v>
      </c>
      <c r="Z69" s="676">
        <f t="shared" ca="1" si="601"/>
        <v>0</v>
      </c>
      <c r="AA69" s="675"/>
      <c r="AB69" s="676">
        <f t="shared" ref="AB69:AD69" ca="1" si="602">SUM(AB46,AB23)</f>
        <v>0</v>
      </c>
      <c r="AC69" s="676">
        <f t="shared" ca="1" si="602"/>
        <v>0</v>
      </c>
      <c r="AD69" s="676">
        <f t="shared" ca="1" si="602"/>
        <v>0</v>
      </c>
      <c r="AE69" s="675"/>
      <c r="AF69" s="676">
        <f t="shared" ref="AF69:AH69" ca="1" si="603">SUM(AF46,AF23)</f>
        <v>0</v>
      </c>
      <c r="AG69" s="676">
        <f t="shared" ca="1" si="603"/>
        <v>0</v>
      </c>
      <c r="AH69" s="676">
        <f t="shared" ca="1" si="603"/>
        <v>0</v>
      </c>
      <c r="AI69" s="675"/>
      <c r="AJ69" s="800">
        <f t="shared" si="284"/>
        <v>0</v>
      </c>
      <c r="AK69" s="676">
        <f t="shared" ref="AK69:AY69" si="604">SUM(AK46,AK23)</f>
        <v>0</v>
      </c>
      <c r="AL69" s="676">
        <f t="shared" si="604"/>
        <v>0</v>
      </c>
      <c r="AM69" s="676">
        <f t="shared" si="604"/>
        <v>0</v>
      </c>
      <c r="AN69" s="675"/>
      <c r="AO69" s="676">
        <f t="shared" si="604"/>
        <v>0</v>
      </c>
      <c r="AP69" s="676">
        <f t="shared" si="604"/>
        <v>0</v>
      </c>
      <c r="AQ69" s="676">
        <f t="shared" si="604"/>
        <v>0</v>
      </c>
      <c r="AR69" s="675"/>
      <c r="AS69" s="676">
        <f t="shared" si="604"/>
        <v>0</v>
      </c>
      <c r="AT69" s="676">
        <f t="shared" si="604"/>
        <v>0</v>
      </c>
      <c r="AU69" s="676">
        <f t="shared" si="604"/>
        <v>0</v>
      </c>
      <c r="AV69" s="675"/>
      <c r="AW69" s="676">
        <f t="shared" si="604"/>
        <v>0</v>
      </c>
      <c r="AX69" s="676">
        <f t="shared" si="604"/>
        <v>0</v>
      </c>
      <c r="AY69" s="676">
        <f t="shared" si="604"/>
        <v>0</v>
      </c>
      <c r="BA69" s="384">
        <f t="shared" si="286"/>
        <v>0</v>
      </c>
      <c r="BB69" s="679">
        <f t="shared" ref="BB69:BD69" ca="1" si="605">SUM(BB46,BB23)</f>
        <v>0</v>
      </c>
      <c r="BC69" s="679">
        <f t="shared" ca="1" si="605"/>
        <v>0</v>
      </c>
      <c r="BD69" s="679">
        <f t="shared" ca="1" si="605"/>
        <v>0</v>
      </c>
      <c r="BE69" s="680"/>
      <c r="BF69" s="679">
        <f t="shared" ref="BF69:BH69" ca="1" si="606">SUM(BF46,BF23)</f>
        <v>0</v>
      </c>
      <c r="BG69" s="679">
        <f t="shared" ca="1" si="606"/>
        <v>0</v>
      </c>
      <c r="BH69" s="679">
        <f t="shared" ca="1" si="606"/>
        <v>0</v>
      </c>
      <c r="BI69" s="680"/>
      <c r="BJ69" s="679">
        <f t="shared" ref="BJ69:BL69" ca="1" si="607">SUM(BJ46,BJ23)</f>
        <v>0</v>
      </c>
      <c r="BK69" s="679">
        <f t="shared" ca="1" si="607"/>
        <v>0</v>
      </c>
      <c r="BL69" s="679">
        <f t="shared" ca="1" si="607"/>
        <v>0</v>
      </c>
      <c r="BM69" s="680"/>
      <c r="BN69" s="679">
        <f t="shared" ref="BN69:BP69" ca="1" si="608">SUM(BN46,BN23)</f>
        <v>0</v>
      </c>
      <c r="BO69" s="679">
        <f t="shared" ca="1" si="608"/>
        <v>0</v>
      </c>
      <c r="BP69" s="679">
        <f t="shared" ca="1" si="608"/>
        <v>0</v>
      </c>
      <c r="BR69" s="384">
        <f t="shared" si="312"/>
        <v>0</v>
      </c>
      <c r="BS69" s="679">
        <f t="shared" ref="BS69:BU69" ca="1" si="609">SUM(BS46,BS23)</f>
        <v>0</v>
      </c>
      <c r="BT69" s="679">
        <f t="shared" ca="1" si="609"/>
        <v>0</v>
      </c>
      <c r="BU69" s="679">
        <f t="shared" ca="1" si="609"/>
        <v>0</v>
      </c>
      <c r="BV69" s="680"/>
      <c r="BW69" s="679">
        <f t="shared" ref="BW69:BY69" ca="1" si="610">SUM(BW46,BW23)</f>
        <v>0</v>
      </c>
      <c r="BX69" s="679">
        <f t="shared" ca="1" si="610"/>
        <v>0</v>
      </c>
      <c r="BY69" s="679">
        <f t="shared" ca="1" si="610"/>
        <v>0</v>
      </c>
      <c r="BZ69" s="680"/>
      <c r="CA69" s="679">
        <f t="shared" ref="CA69:CC69" ca="1" si="611">SUM(CA46,CA23)</f>
        <v>0</v>
      </c>
      <c r="CB69" s="679">
        <f t="shared" ca="1" si="611"/>
        <v>0</v>
      </c>
      <c r="CC69" s="679">
        <f t="shared" ca="1" si="611"/>
        <v>0</v>
      </c>
      <c r="CD69" s="680"/>
      <c r="CE69" s="679">
        <f t="shared" ref="CE69:CG69" ca="1" si="612">SUM(CE46,CE23)</f>
        <v>0</v>
      </c>
      <c r="CF69" s="679">
        <f t="shared" ca="1" si="612"/>
        <v>0</v>
      </c>
      <c r="CG69" s="679">
        <f t="shared" ca="1" si="612"/>
        <v>0</v>
      </c>
      <c r="CZ69" s="384">
        <f t="shared" si="317"/>
        <v>0</v>
      </c>
      <c r="DA69" s="679">
        <f t="shared" ref="DA69:DC69" ca="1" si="613">SUM(DA46,DA23)</f>
        <v>0</v>
      </c>
      <c r="DB69" s="679">
        <f t="shared" ca="1" si="613"/>
        <v>0</v>
      </c>
      <c r="DC69" s="679">
        <f t="shared" ca="1" si="613"/>
        <v>0</v>
      </c>
      <c r="DD69" s="680"/>
      <c r="DE69" s="679">
        <f t="shared" ref="DE69:DG69" ca="1" si="614">SUM(DE46,DE23)</f>
        <v>0</v>
      </c>
      <c r="DF69" s="679">
        <f t="shared" ca="1" si="614"/>
        <v>0</v>
      </c>
      <c r="DG69" s="679">
        <f t="shared" ca="1" si="614"/>
        <v>0</v>
      </c>
      <c r="DH69" s="680"/>
      <c r="DI69" s="679">
        <f t="shared" ref="DI69:DK69" ca="1" si="615">SUM(DI46,DI23)</f>
        <v>0</v>
      </c>
      <c r="DJ69" s="679">
        <f t="shared" ca="1" si="615"/>
        <v>0</v>
      </c>
      <c r="DK69" s="679">
        <f t="shared" ca="1" si="615"/>
        <v>0</v>
      </c>
      <c r="DL69" s="680"/>
      <c r="DM69" s="679">
        <f t="shared" ref="DM69:DO69" ca="1" si="616">SUM(DM46,DM23)</f>
        <v>0</v>
      </c>
      <c r="DN69" s="679">
        <f t="shared" ca="1" si="616"/>
        <v>0</v>
      </c>
      <c r="DO69" s="679">
        <f t="shared" ca="1" si="616"/>
        <v>0</v>
      </c>
      <c r="DQ69" s="378">
        <f t="shared" si="322"/>
        <v>0</v>
      </c>
      <c r="DR69" s="679">
        <f ca="1">IF($DT$7="Aug",SUMIFS(HIS_STOCK!$F:$F,HIS_STOCK!$A:$A,$BA$25,HIS_STOCK!$C:$C,$DQ69,HIS_STOCK!$D:$D,$DR$4,HIS_STOCK!$E:$E,$DR$7),SUMIFS(HIS_STOCK!$F:$F,HIS_STOCK!$A:$A,$BA$25,HIS_STOCK!$C:$C,$DQ69,HIS_STOCK!$D:$D,$DR$5,HIS_STOCK!$E:$E,$DR$7))</f>
        <v>0</v>
      </c>
      <c r="DS69" s="679"/>
      <c r="DT69" s="679">
        <f t="shared" ref="DT69:DV69" ca="1" si="617">SUM(DT46,DT23)</f>
        <v>0</v>
      </c>
      <c r="DU69" s="679">
        <f t="shared" ca="1" si="617"/>
        <v>0</v>
      </c>
      <c r="DV69" s="679">
        <f t="shared" ca="1" si="617"/>
        <v>0</v>
      </c>
      <c r="DW69" s="680"/>
      <c r="DX69" s="679">
        <f t="shared" ref="DX69:DZ69" ca="1" si="618">SUM(DX46,DX23)</f>
        <v>0</v>
      </c>
      <c r="DY69" s="679">
        <f t="shared" ca="1" si="618"/>
        <v>0</v>
      </c>
      <c r="DZ69" s="679">
        <f t="shared" ca="1" si="618"/>
        <v>0</v>
      </c>
      <c r="EA69" s="680"/>
      <c r="EB69" s="679">
        <f t="shared" ref="EB69:ED69" ca="1" si="619">SUM(EB46,EB23)</f>
        <v>0</v>
      </c>
      <c r="EC69" s="679">
        <f t="shared" ca="1" si="619"/>
        <v>0</v>
      </c>
      <c r="ED69" s="679">
        <f t="shared" ca="1" si="619"/>
        <v>0</v>
      </c>
      <c r="EE69" s="680"/>
      <c r="EF69" s="679">
        <f t="shared" ref="EF69:EH69" ca="1" si="620">SUM(EF46,EF23)</f>
        <v>0</v>
      </c>
      <c r="EG69" s="679">
        <f t="shared" ca="1" si="620"/>
        <v>0</v>
      </c>
      <c r="EH69" s="679">
        <f t="shared" ca="1" si="620"/>
        <v>0</v>
      </c>
    </row>
    <row r="70" spans="2:138" ht="15.75" thickBot="1" x14ac:dyDescent="0.3">
      <c r="B70" s="580" t="s">
        <v>80</v>
      </c>
      <c r="C70" s="580"/>
      <c r="D70" s="615">
        <f>SUM(D54:D69)</f>
        <v>0</v>
      </c>
      <c r="E70" s="615">
        <f t="shared" ref="E70:F70" si="621">SUM(E54:E69)</f>
        <v>0</v>
      </c>
      <c r="F70" s="615">
        <f t="shared" si="621"/>
        <v>0</v>
      </c>
      <c r="G70" s="616"/>
      <c r="H70" s="615">
        <f t="shared" ref="H70:J70" si="622">SUM(H54:H69)</f>
        <v>0</v>
      </c>
      <c r="I70" s="615">
        <f t="shared" si="622"/>
        <v>0</v>
      </c>
      <c r="J70" s="615">
        <f t="shared" si="622"/>
        <v>0</v>
      </c>
      <c r="K70" s="616"/>
      <c r="L70" s="615">
        <f t="shared" ref="L70:N70" si="623">SUM(L54:L69)</f>
        <v>0</v>
      </c>
      <c r="M70" s="615">
        <f t="shared" si="623"/>
        <v>0</v>
      </c>
      <c r="N70" s="615">
        <f t="shared" si="623"/>
        <v>0</v>
      </c>
      <c r="O70" s="616"/>
      <c r="P70" s="615">
        <f t="shared" ref="P70:R70" si="624">SUM(P54:P69)</f>
        <v>0</v>
      </c>
      <c r="Q70" s="615">
        <f t="shared" si="624"/>
        <v>0</v>
      </c>
      <c r="R70" s="615">
        <f t="shared" si="624"/>
        <v>0</v>
      </c>
      <c r="T70" s="689">
        <f ca="1">SUM(T54:T69)</f>
        <v>0</v>
      </c>
      <c r="U70" s="689">
        <f t="shared" ref="U70:V70" ca="1" si="625">SUM(U54:U69)</f>
        <v>0</v>
      </c>
      <c r="V70" s="689">
        <f t="shared" ca="1" si="625"/>
        <v>0</v>
      </c>
      <c r="W70" s="690"/>
      <c r="X70" s="689">
        <f t="shared" ref="X70:Z70" ca="1" si="626">SUM(X54:X69)</f>
        <v>0</v>
      </c>
      <c r="Y70" s="689">
        <f t="shared" ca="1" si="626"/>
        <v>0</v>
      </c>
      <c r="Z70" s="689">
        <f t="shared" ca="1" si="626"/>
        <v>0</v>
      </c>
      <c r="AA70" s="689"/>
      <c r="AB70" s="691">
        <f t="shared" ref="AB70:AD70" ca="1" si="627">SUM(AB54:AB69)</f>
        <v>0</v>
      </c>
      <c r="AC70" s="691">
        <f t="shared" ca="1" si="627"/>
        <v>0</v>
      </c>
      <c r="AD70" s="691">
        <f t="shared" ca="1" si="627"/>
        <v>0</v>
      </c>
      <c r="AE70" s="690"/>
      <c r="AF70" s="691">
        <f t="shared" ref="AF70:AH70" ca="1" si="628">SUM(AF54:AF69)</f>
        <v>0</v>
      </c>
      <c r="AG70" s="691">
        <f t="shared" ca="1" si="628"/>
        <v>0</v>
      </c>
      <c r="AH70" s="691">
        <f t="shared" ca="1" si="628"/>
        <v>0</v>
      </c>
      <c r="AI70" s="690"/>
      <c r="AJ70" s="580" t="s">
        <v>80</v>
      </c>
      <c r="AK70" s="689">
        <f t="shared" ref="AK70" si="629">SUM(AK54:AK69)</f>
        <v>0</v>
      </c>
      <c r="AL70" s="689">
        <f t="shared" ref="AL70" si="630">SUM(AL54:AL69)</f>
        <v>0</v>
      </c>
      <c r="AM70" s="689">
        <f t="shared" ref="AM70" si="631">SUM(AM54:AM69)</f>
        <v>0</v>
      </c>
      <c r="AN70" s="690"/>
      <c r="AO70" s="689">
        <f t="shared" ref="AO70" si="632">SUM(AO54:AO69)</f>
        <v>0</v>
      </c>
      <c r="AP70" s="689">
        <f t="shared" ref="AP70" si="633">SUM(AP54:AP69)</f>
        <v>0</v>
      </c>
      <c r="AQ70" s="689">
        <f t="shared" ref="AQ70" si="634">SUM(AQ54:AQ69)</f>
        <v>0</v>
      </c>
      <c r="AR70" s="689"/>
      <c r="AS70" s="691">
        <f t="shared" ref="AS70" si="635">SUM(AS54:AS69)</f>
        <v>0</v>
      </c>
      <c r="AT70" s="691">
        <f t="shared" ref="AT70" si="636">SUM(AT54:AT69)</f>
        <v>0</v>
      </c>
      <c r="AU70" s="691">
        <f t="shared" ref="AU70" si="637">SUM(AU54:AU69)</f>
        <v>0</v>
      </c>
      <c r="AV70" s="690"/>
      <c r="AW70" s="691">
        <f t="shared" ref="AW70" si="638">SUM(AW54:AW69)</f>
        <v>0</v>
      </c>
      <c r="AX70" s="691">
        <f t="shared" ref="AX70" si="639">SUM(AX54:AX69)</f>
        <v>0</v>
      </c>
      <c r="AY70" s="691">
        <f t="shared" ref="AY70" si="640">SUM(AY54:AY69)</f>
        <v>0</v>
      </c>
      <c r="BA70" s="580" t="s">
        <v>80</v>
      </c>
      <c r="BB70" s="687">
        <f ca="1">SUM(BB54:BB69)</f>
        <v>0</v>
      </c>
      <c r="BC70" s="687">
        <f t="shared" ref="BC70:BD70" ca="1" si="641">SUM(BC54:BC69)</f>
        <v>0</v>
      </c>
      <c r="BD70" s="687">
        <f t="shared" ca="1" si="641"/>
        <v>0</v>
      </c>
      <c r="BE70" s="678"/>
      <c r="BF70" s="687">
        <f t="shared" ref="BF70:BH70" ca="1" si="642">SUM(BF54:BF69)</f>
        <v>0</v>
      </c>
      <c r="BG70" s="687">
        <f t="shared" ca="1" si="642"/>
        <v>0</v>
      </c>
      <c r="BH70" s="687">
        <f t="shared" ca="1" si="642"/>
        <v>0</v>
      </c>
      <c r="BI70" s="678"/>
      <c r="BJ70" s="687">
        <f t="shared" ref="BJ70:BL70" ca="1" si="643">SUM(BJ54:BJ69)</f>
        <v>0</v>
      </c>
      <c r="BK70" s="687">
        <f t="shared" ca="1" si="643"/>
        <v>0</v>
      </c>
      <c r="BL70" s="687">
        <f t="shared" ca="1" si="643"/>
        <v>0</v>
      </c>
      <c r="BM70" s="678"/>
      <c r="BN70" s="687">
        <f t="shared" ref="BN70:BP70" ca="1" si="644">SUM(BN54:BN69)</f>
        <v>0</v>
      </c>
      <c r="BO70" s="687">
        <f t="shared" ca="1" si="644"/>
        <v>0</v>
      </c>
      <c r="BP70" s="687">
        <f t="shared" ca="1" si="644"/>
        <v>0</v>
      </c>
      <c r="BR70" s="580" t="s">
        <v>80</v>
      </c>
      <c r="BS70" s="687">
        <f ca="1">SUM(BS54:BS69)</f>
        <v>1170421</v>
      </c>
      <c r="BT70" s="687">
        <f t="shared" ref="BT70:BU70" ca="1" si="645">SUM(BT54:BT69)</f>
        <v>1050251</v>
      </c>
      <c r="BU70" s="687">
        <f t="shared" ca="1" si="645"/>
        <v>3980569</v>
      </c>
      <c r="BV70" s="688"/>
      <c r="BW70" s="687">
        <f t="shared" ref="BW70:BY70" ca="1" si="646">SUM(BW54:BW69)</f>
        <v>232651</v>
      </c>
      <c r="BX70" s="687">
        <f t="shared" ca="1" si="646"/>
        <v>92874</v>
      </c>
      <c r="BY70" s="687">
        <f t="shared" ca="1" si="646"/>
        <v>9605</v>
      </c>
      <c r="BZ70" s="688"/>
      <c r="CA70" s="687">
        <f t="shared" ref="CA70:CC70" ca="1" si="647">SUM(CA54:CA69)</f>
        <v>285171</v>
      </c>
      <c r="CB70" s="687">
        <f t="shared" ca="1" si="647"/>
        <v>114241</v>
      </c>
      <c r="CC70" s="687">
        <f t="shared" ca="1" si="647"/>
        <v>2678</v>
      </c>
      <c r="CD70" s="688"/>
      <c r="CE70" s="687">
        <f t="shared" ref="CE70:CG70" ca="1" si="648">SUM(CE54:CE69)</f>
        <v>0</v>
      </c>
      <c r="CF70" s="687">
        <f t="shared" ca="1" si="648"/>
        <v>0</v>
      </c>
      <c r="CG70" s="687">
        <f t="shared" ca="1" si="648"/>
        <v>0</v>
      </c>
      <c r="CZ70" s="580" t="s">
        <v>80</v>
      </c>
      <c r="DA70" s="687">
        <f ca="1">SUM(DA54:DA69)</f>
        <v>0</v>
      </c>
      <c r="DB70" s="687">
        <f t="shared" ref="DB70:DC70" ca="1" si="649">SUM(DB54:DB69)</f>
        <v>0</v>
      </c>
      <c r="DC70" s="687">
        <f t="shared" ca="1" si="649"/>
        <v>5030820</v>
      </c>
      <c r="DD70" s="688"/>
      <c r="DE70" s="687">
        <f t="shared" ref="DE70:DG70" ca="1" si="650">SUM(DE54:DE69)</f>
        <v>5263471</v>
      </c>
      <c r="DF70" s="687">
        <f t="shared" ca="1" si="650"/>
        <v>5356345</v>
      </c>
      <c r="DG70" s="687">
        <f t="shared" ca="1" si="650"/>
        <v>5365950</v>
      </c>
      <c r="DH70" s="688"/>
      <c r="DI70" s="687">
        <f t="shared" ref="DI70:DK70" ca="1" si="651">SUM(DI54:DI69)</f>
        <v>5651121</v>
      </c>
      <c r="DJ70" s="687">
        <f t="shared" ca="1" si="651"/>
        <v>5765362</v>
      </c>
      <c r="DK70" s="687">
        <f t="shared" ca="1" si="651"/>
        <v>5768040</v>
      </c>
      <c r="DL70" s="688"/>
      <c r="DM70" s="687">
        <f t="shared" ref="DM70:DO70" ca="1" si="652">SUM(DM54:DM69)</f>
        <v>5768040</v>
      </c>
      <c r="DN70" s="687">
        <f t="shared" ca="1" si="652"/>
        <v>5768040</v>
      </c>
      <c r="DO70" s="687">
        <f t="shared" ca="1" si="652"/>
        <v>5768040</v>
      </c>
      <c r="DQ70" s="580" t="s">
        <v>80</v>
      </c>
      <c r="DR70" s="687">
        <f ca="1">SUM(DR54:DR69)</f>
        <v>0</v>
      </c>
      <c r="DS70" s="687"/>
      <c r="DT70" s="687">
        <f ca="1">SUM(DT54:DT69)</f>
        <v>0</v>
      </c>
      <c r="DU70" s="687">
        <f t="shared" ref="DU70:DV70" ca="1" si="653">SUM(DU54:DU69)</f>
        <v>0</v>
      </c>
      <c r="DV70" s="687">
        <f t="shared" ca="1" si="653"/>
        <v>0</v>
      </c>
      <c r="DW70" s="688"/>
      <c r="DX70" s="687">
        <f t="shared" ref="DX70:DZ70" ca="1" si="654">SUM(DX54:DX69)</f>
        <v>0</v>
      </c>
      <c r="DY70" s="687">
        <f t="shared" ca="1" si="654"/>
        <v>0</v>
      </c>
      <c r="DZ70" s="687">
        <f t="shared" ca="1" si="654"/>
        <v>0</v>
      </c>
      <c r="EA70" s="688"/>
      <c r="EB70" s="687">
        <f t="shared" ref="EB70:ED70" ca="1" si="655">SUM(EB54:EB69)</f>
        <v>0</v>
      </c>
      <c r="EC70" s="687">
        <f t="shared" ca="1" si="655"/>
        <v>0</v>
      </c>
      <c r="ED70" s="687">
        <f t="shared" ca="1" si="655"/>
        <v>0</v>
      </c>
      <c r="EE70" s="688"/>
      <c r="EF70" s="687">
        <f t="shared" ref="EF70:EH70" ca="1" si="656">SUM(EF54:EF69)</f>
        <v>0</v>
      </c>
      <c r="EG70" s="687">
        <f t="shared" ca="1" si="656"/>
        <v>0</v>
      </c>
      <c r="EH70" s="687">
        <f t="shared" ca="1" si="656"/>
        <v>0</v>
      </c>
    </row>
  </sheetData>
  <sheetProtection pivotTables="0"/>
  <protectedRanges>
    <protectedRange sqref="D31:R46 D54:R69" name="Bulk2"/>
    <protectedRange sqref="D8:R23" name="Bulk"/>
  </protectedRanges>
  <mergeCells count="208">
    <mergeCell ref="AJ26:AY26"/>
    <mergeCell ref="AK49:AY49"/>
    <mergeCell ref="AK51:AM51"/>
    <mergeCell ref="AO51:AQ51"/>
    <mergeCell ref="AS51:AU51"/>
    <mergeCell ref="AW51:AY51"/>
    <mergeCell ref="BR49:CG49"/>
    <mergeCell ref="BS51:BU51"/>
    <mergeCell ref="BW51:BY51"/>
    <mergeCell ref="CA51:CC51"/>
    <mergeCell ref="CE51:CG51"/>
    <mergeCell ref="AS28:AU28"/>
    <mergeCell ref="AW28:AY28"/>
    <mergeCell ref="AK29:AM29"/>
    <mergeCell ref="AO29:AQ29"/>
    <mergeCell ref="AS29:AU29"/>
    <mergeCell ref="AW29:AY29"/>
    <mergeCell ref="BB49:BO49"/>
    <mergeCell ref="BB51:BD51"/>
    <mergeCell ref="BF51:BH51"/>
    <mergeCell ref="BJ51:BL51"/>
    <mergeCell ref="BN51:BP51"/>
    <mergeCell ref="BB26:BO26"/>
    <mergeCell ref="BF28:BH28"/>
    <mergeCell ref="BJ28:BL28"/>
    <mergeCell ref="DT52:DV52"/>
    <mergeCell ref="BS52:BU52"/>
    <mergeCell ref="BW52:BY52"/>
    <mergeCell ref="CA52:CC52"/>
    <mergeCell ref="CE52:CG52"/>
    <mergeCell ref="BF52:BH52"/>
    <mergeCell ref="BJ52:BL52"/>
    <mergeCell ref="BN52:BP52"/>
    <mergeCell ref="BN28:BP28"/>
    <mergeCell ref="BN29:BP29"/>
    <mergeCell ref="CJ29:CL29"/>
    <mergeCell ref="CN29:CP29"/>
    <mergeCell ref="CR29:CT29"/>
    <mergeCell ref="CV29:CX29"/>
    <mergeCell ref="DA29:DC29"/>
    <mergeCell ref="DE29:DG29"/>
    <mergeCell ref="DX52:DZ52"/>
    <mergeCell ref="EB52:ED52"/>
    <mergeCell ref="EF52:EH52"/>
    <mergeCell ref="CZ49:DO49"/>
    <mergeCell ref="DA51:DC51"/>
    <mergeCell ref="DE51:DG51"/>
    <mergeCell ref="DI51:DK51"/>
    <mergeCell ref="DM51:DO51"/>
    <mergeCell ref="DA52:DC52"/>
    <mergeCell ref="DE52:DG52"/>
    <mergeCell ref="DI52:DK52"/>
    <mergeCell ref="DM52:DO52"/>
    <mergeCell ref="DQ49:EH49"/>
    <mergeCell ref="DT51:DV51"/>
    <mergeCell ref="DX51:DZ51"/>
    <mergeCell ref="EB51:ED51"/>
    <mergeCell ref="EF51:EH51"/>
    <mergeCell ref="D52:F52"/>
    <mergeCell ref="H52:J52"/>
    <mergeCell ref="L52:N52"/>
    <mergeCell ref="P52:R52"/>
    <mergeCell ref="T52:V52"/>
    <mergeCell ref="X52:Z52"/>
    <mergeCell ref="AB52:AD52"/>
    <mergeCell ref="AF52:AH52"/>
    <mergeCell ref="BB52:BD52"/>
    <mergeCell ref="AK52:AM52"/>
    <mergeCell ref="AO52:AQ52"/>
    <mergeCell ref="AS52:AU52"/>
    <mergeCell ref="AW52:AY52"/>
    <mergeCell ref="T49:AH49"/>
    <mergeCell ref="D51:F51"/>
    <mergeCell ref="H51:J51"/>
    <mergeCell ref="L51:N51"/>
    <mergeCell ref="P51:R51"/>
    <mergeCell ref="T51:V51"/>
    <mergeCell ref="X51:Z51"/>
    <mergeCell ref="AB51:AD51"/>
    <mergeCell ref="AF51:AH51"/>
    <mergeCell ref="CZ1:EH1"/>
    <mergeCell ref="DT29:DV29"/>
    <mergeCell ref="DX29:DZ29"/>
    <mergeCell ref="EB29:ED29"/>
    <mergeCell ref="EF29:EH29"/>
    <mergeCell ref="DQ26:EH26"/>
    <mergeCell ref="DT28:DV28"/>
    <mergeCell ref="DX28:DZ28"/>
    <mergeCell ref="EB28:ED28"/>
    <mergeCell ref="EF28:EH28"/>
    <mergeCell ref="DQ3:EH3"/>
    <mergeCell ref="DT5:DV5"/>
    <mergeCell ref="DX5:DZ5"/>
    <mergeCell ref="EB5:ED5"/>
    <mergeCell ref="EF5:EH5"/>
    <mergeCell ref="DT6:DV6"/>
    <mergeCell ref="DX6:DZ6"/>
    <mergeCell ref="EB6:ED6"/>
    <mergeCell ref="EF6:EH6"/>
    <mergeCell ref="CZ3:DO3"/>
    <mergeCell ref="DA5:DC5"/>
    <mergeCell ref="DE5:DG5"/>
    <mergeCell ref="DI5:DK5"/>
    <mergeCell ref="DM5:DO5"/>
    <mergeCell ref="AE1:BB1"/>
    <mergeCell ref="BA3:BP3"/>
    <mergeCell ref="BL1:BP1"/>
    <mergeCell ref="D5:F5"/>
    <mergeCell ref="H5:J5"/>
    <mergeCell ref="L5:N5"/>
    <mergeCell ref="P5:R5"/>
    <mergeCell ref="BB5:BD5"/>
    <mergeCell ref="BF5:BH5"/>
    <mergeCell ref="BJ5:BL5"/>
    <mergeCell ref="T3:AH3"/>
    <mergeCell ref="T5:V5"/>
    <mergeCell ref="X5:Z5"/>
    <mergeCell ref="AB5:AD5"/>
    <mergeCell ref="AF5:AH5"/>
    <mergeCell ref="AK5:AM5"/>
    <mergeCell ref="AO5:AQ5"/>
    <mergeCell ref="AS5:AU5"/>
    <mergeCell ref="AW5:AY5"/>
    <mergeCell ref="AJ3:AY3"/>
    <mergeCell ref="W1:X1"/>
    <mergeCell ref="D28:F28"/>
    <mergeCell ref="H28:J28"/>
    <mergeCell ref="L28:N28"/>
    <mergeCell ref="P28:R28"/>
    <mergeCell ref="BB28:BD28"/>
    <mergeCell ref="D6:F6"/>
    <mergeCell ref="H6:J6"/>
    <mergeCell ref="L6:N6"/>
    <mergeCell ref="P6:R6"/>
    <mergeCell ref="AF6:AH6"/>
    <mergeCell ref="T6:V6"/>
    <mergeCell ref="X6:Z6"/>
    <mergeCell ref="AB6:AD6"/>
    <mergeCell ref="T26:AH26"/>
    <mergeCell ref="T28:V28"/>
    <mergeCell ref="X28:Z28"/>
    <mergeCell ref="AB28:AD28"/>
    <mergeCell ref="AF28:AH28"/>
    <mergeCell ref="AK6:AM6"/>
    <mergeCell ref="AO6:AQ6"/>
    <mergeCell ref="AS6:AU6"/>
    <mergeCell ref="AW6:AY6"/>
    <mergeCell ref="AK28:AM28"/>
    <mergeCell ref="AO28:AQ28"/>
    <mergeCell ref="D29:F29"/>
    <mergeCell ref="H29:J29"/>
    <mergeCell ref="L29:N29"/>
    <mergeCell ref="P29:R29"/>
    <mergeCell ref="BB29:BD29"/>
    <mergeCell ref="AB29:AD29"/>
    <mergeCell ref="AF29:AH29"/>
    <mergeCell ref="T29:V29"/>
    <mergeCell ref="X29:Z29"/>
    <mergeCell ref="BB6:BD6"/>
    <mergeCell ref="BR3:CG3"/>
    <mergeCell ref="BS5:BU5"/>
    <mergeCell ref="BW5:BY5"/>
    <mergeCell ref="CA5:CC5"/>
    <mergeCell ref="CE5:CG5"/>
    <mergeCell ref="BS6:BU6"/>
    <mergeCell ref="BF29:BH29"/>
    <mergeCell ref="BN5:BP5"/>
    <mergeCell ref="BF6:BH6"/>
    <mergeCell ref="BJ6:BL6"/>
    <mergeCell ref="BN6:BP6"/>
    <mergeCell ref="BJ29:BL29"/>
    <mergeCell ref="BS29:BU29"/>
    <mergeCell ref="BW29:BY29"/>
    <mergeCell ref="CA29:CC29"/>
    <mergeCell ref="CE29:CG29"/>
    <mergeCell ref="BS28:BU28"/>
    <mergeCell ref="BW28:BY28"/>
    <mergeCell ref="CA28:CC28"/>
    <mergeCell ref="CE28:CG28"/>
    <mergeCell ref="BR26:CG26"/>
    <mergeCell ref="BW6:BY6"/>
    <mergeCell ref="CA6:CC6"/>
    <mergeCell ref="CI3:CX3"/>
    <mergeCell ref="CJ5:CL5"/>
    <mergeCell ref="CN5:CP5"/>
    <mergeCell ref="CR5:CT5"/>
    <mergeCell ref="CV5:CX5"/>
    <mergeCell ref="CJ6:CL6"/>
    <mergeCell ref="CN6:CP6"/>
    <mergeCell ref="CJ28:CL28"/>
    <mergeCell ref="CN28:CP28"/>
    <mergeCell ref="CI26:CX26"/>
    <mergeCell ref="CE6:CG6"/>
    <mergeCell ref="CR6:CT6"/>
    <mergeCell ref="CV6:CX6"/>
    <mergeCell ref="CR28:CT28"/>
    <mergeCell ref="CV28:CX28"/>
    <mergeCell ref="DI29:DK29"/>
    <mergeCell ref="DM29:DO29"/>
    <mergeCell ref="CZ26:DO26"/>
    <mergeCell ref="DA28:DC28"/>
    <mergeCell ref="DE28:DG28"/>
    <mergeCell ref="DI28:DK28"/>
    <mergeCell ref="DM28:DO28"/>
    <mergeCell ref="DA6:DC6"/>
    <mergeCell ref="DE6:DG6"/>
    <mergeCell ref="DI6:DK6"/>
    <mergeCell ref="DM6:DO6"/>
  </mergeCells>
  <conditionalFormatting sqref="BC8:BP23">
    <cfRule type="cellIs" dxfId="70" priority="27" operator="lessThan">
      <formula>0</formula>
    </cfRule>
  </conditionalFormatting>
  <conditionalFormatting sqref="BC31:BD46">
    <cfRule type="cellIs" dxfId="69" priority="26" operator="lessThan">
      <formula>0</formula>
    </cfRule>
  </conditionalFormatting>
  <conditionalFormatting sqref="BF32:BH46">
    <cfRule type="cellIs" dxfId="68" priority="23" operator="lessThan">
      <formula>0</formula>
    </cfRule>
  </conditionalFormatting>
  <conditionalFormatting sqref="BJ31:BL46">
    <cfRule type="cellIs" dxfId="67" priority="22" operator="lessThan">
      <formula>0</formula>
    </cfRule>
  </conditionalFormatting>
  <conditionalFormatting sqref="BN31:BP46">
    <cfRule type="cellIs" dxfId="66" priority="21" operator="lessThan">
      <formula>0</formula>
    </cfRule>
  </conditionalFormatting>
  <conditionalFormatting sqref="BT8:CG23">
    <cfRule type="cellIs" dxfId="65" priority="20" operator="lessThan">
      <formula>0</formula>
    </cfRule>
  </conditionalFormatting>
  <conditionalFormatting sqref="BT31:CG46">
    <cfRule type="cellIs" dxfId="64" priority="19" operator="lessThan">
      <formula>0</formula>
    </cfRule>
  </conditionalFormatting>
  <conditionalFormatting sqref="CK9:CX23 CM8 CQ8:CX8">
    <cfRule type="cellIs" dxfId="63" priority="18" operator="lessThan">
      <formula>0</formula>
    </cfRule>
  </conditionalFormatting>
  <conditionalFormatting sqref="CK32:CX46 CM31:CX31">
    <cfRule type="cellIs" dxfId="62" priority="17" operator="lessThan">
      <formula>0</formula>
    </cfRule>
  </conditionalFormatting>
  <conditionalFormatting sqref="DB9:DO23 DD8 DH8:DO8 DA9">
    <cfRule type="cellIs" dxfId="61" priority="16" operator="lessThan">
      <formula>0</formula>
    </cfRule>
  </conditionalFormatting>
  <conditionalFormatting sqref="DB32:DO46 DD31 DH31:DO31">
    <cfRule type="cellIs" dxfId="60" priority="15" operator="lessThan">
      <formula>0</formula>
    </cfRule>
  </conditionalFormatting>
  <conditionalFormatting sqref="BF31:BH31">
    <cfRule type="cellIs" dxfId="59" priority="14" operator="lessThan">
      <formula>0</formula>
    </cfRule>
  </conditionalFormatting>
  <conditionalFormatting sqref="DU9:EH23 DW8 EA8:EH8 DT9">
    <cfRule type="cellIs" dxfId="58" priority="13" operator="lessThan">
      <formula>0</formula>
    </cfRule>
  </conditionalFormatting>
  <conditionalFormatting sqref="DU32:EH46 DW31 EA31:EH31 DT32">
    <cfRule type="cellIs" dxfId="57" priority="12" operator="lessThan">
      <formula>0</formula>
    </cfRule>
  </conditionalFormatting>
  <conditionalFormatting sqref="DR32:DS32">
    <cfRule type="cellIs" dxfId="56" priority="10" operator="lessThan">
      <formula>0</formula>
    </cfRule>
  </conditionalFormatting>
  <conditionalFormatting sqref="DR9:DS9">
    <cfRule type="cellIs" dxfId="55" priority="11" operator="lessThan">
      <formula>0</formula>
    </cfRule>
  </conditionalFormatting>
  <conditionalFormatting sqref="DR55:DS55">
    <cfRule type="cellIs" dxfId="54" priority="1" operator="lessThan">
      <formula>0</formula>
    </cfRule>
  </conditionalFormatting>
  <conditionalFormatting sqref="BC54:BD69">
    <cfRule type="cellIs" dxfId="53" priority="9" operator="lessThan">
      <formula>0</formula>
    </cfRule>
  </conditionalFormatting>
  <conditionalFormatting sqref="BF55:BH69">
    <cfRule type="cellIs" dxfId="52" priority="8" operator="lessThan">
      <formula>0</formula>
    </cfRule>
  </conditionalFormatting>
  <conditionalFormatting sqref="BJ54:BL69">
    <cfRule type="cellIs" dxfId="51" priority="7" operator="lessThan">
      <formula>0</formula>
    </cfRule>
  </conditionalFormatting>
  <conditionalFormatting sqref="BN54:BP69">
    <cfRule type="cellIs" dxfId="50" priority="6" operator="lessThan">
      <formula>0</formula>
    </cfRule>
  </conditionalFormatting>
  <conditionalFormatting sqref="BF54:BH54">
    <cfRule type="cellIs" dxfId="49" priority="5" operator="lessThan">
      <formula>0</formula>
    </cfRule>
  </conditionalFormatting>
  <conditionalFormatting sqref="BT54:CG69">
    <cfRule type="cellIs" dxfId="48" priority="4" operator="lessThan">
      <formula>0</formula>
    </cfRule>
  </conditionalFormatting>
  <conditionalFormatting sqref="DB55:DO69 DD54 DH54:DO54">
    <cfRule type="cellIs" dxfId="47" priority="3" operator="lessThan">
      <formula>0</formula>
    </cfRule>
  </conditionalFormatting>
  <conditionalFormatting sqref="DU55:EH69 DW54 EA54:EH54 DT55">
    <cfRule type="cellIs" dxfId="46" priority="2" operator="lessThan">
      <formula>0</formula>
    </cfRule>
  </conditionalFormatting>
  <hyperlinks>
    <hyperlink ref="BL1" location="FRONT_PAGE!A1" display="BACK TO FRONT PAGE" xr:uid="{D2A23092-53B5-44E5-B97F-EDDAC8749A79}"/>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8C352-EF66-4E0F-A743-87703671F87A}">
  <sheetPr codeName="Sheet19">
    <tabColor theme="3" tint="-0.249977111117893"/>
  </sheetPr>
  <dimension ref="A1:AY483"/>
  <sheetViews>
    <sheetView showGridLines="0" zoomScale="85" zoomScaleNormal="85" workbookViewId="0">
      <pane ySplit="1" topLeftCell="A2" activePane="bottomLeft" state="frozen"/>
      <selection pane="bottomLeft" activeCell="A2" sqref="A2"/>
    </sheetView>
  </sheetViews>
  <sheetFormatPr defaultColWidth="9.140625" defaultRowHeight="15" x14ac:dyDescent="0.25"/>
  <cols>
    <col min="1" max="1" width="2.7109375" style="62" customWidth="1"/>
    <col min="2" max="2" width="25.85546875" style="599" bestFit="1" customWidth="1"/>
    <col min="3" max="5" width="10.7109375" style="599" customWidth="1"/>
    <col min="6" max="6" width="2.7109375" style="449" customWidth="1"/>
    <col min="7" max="9" width="10.7109375" style="599" customWidth="1"/>
    <col min="10" max="10" width="2.7109375" style="449" customWidth="1"/>
    <col min="11" max="13" width="10.7109375" style="599" customWidth="1"/>
    <col min="14" max="14" width="2.7109375" style="449" customWidth="1"/>
    <col min="15" max="17" width="10.7109375" style="599" customWidth="1"/>
    <col min="18" max="18" width="2.7109375" style="449" customWidth="1"/>
    <col min="19" max="20" width="10.7109375" style="204" customWidth="1"/>
    <col min="21" max="21" width="10.7109375" style="205" customWidth="1"/>
    <col min="22" max="22" width="10.7109375" style="204" customWidth="1"/>
    <col min="23" max="23" width="10.7109375" style="637" customWidth="1"/>
    <col min="24" max="24" width="10.7109375" style="205" hidden="1" customWidth="1"/>
    <col min="25" max="25" width="20.42578125" style="25" hidden="1" customWidth="1"/>
    <col min="26" max="26" width="37.140625" style="25" hidden="1" customWidth="1"/>
    <col min="27" max="30" width="10.7109375" style="25" hidden="1" customWidth="1"/>
    <col min="31" max="31" width="17.85546875" style="25" hidden="1" customWidth="1"/>
    <col min="32" max="32" width="14.7109375" style="25" hidden="1" customWidth="1"/>
    <col min="33" max="33" width="10.42578125" style="25" hidden="1" customWidth="1"/>
    <col min="34" max="34" width="13.42578125" style="650" hidden="1" customWidth="1"/>
    <col min="35" max="35" width="10" style="25" hidden="1" customWidth="1"/>
    <col min="36" max="36" width="16.7109375" style="25" hidden="1" customWidth="1"/>
    <col min="37" max="37" width="12" style="25" hidden="1" customWidth="1"/>
    <col min="38" max="38" width="10.28515625" style="638" bestFit="1" customWidth="1"/>
    <col min="39" max="39" width="16.140625" style="638" bestFit="1" customWidth="1"/>
    <col min="40" max="40" width="15.42578125" style="638" bestFit="1" customWidth="1"/>
    <col min="41" max="41" width="25.7109375" style="638" bestFit="1" customWidth="1"/>
    <col min="42" max="42" width="21.5703125" style="638" bestFit="1" customWidth="1"/>
    <col min="43" max="43" width="14" style="638" bestFit="1" customWidth="1"/>
    <col min="44" max="44" width="14" style="638" customWidth="1"/>
    <col min="45" max="45" width="9.85546875" style="638" bestFit="1" customWidth="1"/>
    <col min="46" max="46" width="10.28515625" style="61" bestFit="1" customWidth="1"/>
    <col min="47" max="47" width="16.140625" style="61" bestFit="1" customWidth="1"/>
    <col min="48" max="48" width="15.42578125" style="61" bestFit="1" customWidth="1"/>
    <col min="49" max="49" width="25.7109375" style="61" bestFit="1" customWidth="1"/>
    <col min="50" max="50" width="17.42578125" style="61" bestFit="1" customWidth="1"/>
    <col min="51" max="51" width="14" style="24" bestFit="1" customWidth="1"/>
    <col min="52" max="16384" width="9.140625" style="599"/>
  </cols>
  <sheetData>
    <row r="1" spans="1:51" s="63" customFormat="1" ht="17.25" x14ac:dyDescent="0.3">
      <c r="A1" s="605"/>
      <c r="B1" s="591" t="str">
        <f>'NWC_FC_NON-NOOS'!B1</f>
        <v>VM</v>
      </c>
      <c r="C1" s="65"/>
      <c r="D1" s="199" t="str">
        <f ca="1">'NWC_FC_NON-NOOS'!D1</f>
        <v>18/19</v>
      </c>
      <c r="E1" s="199" t="str">
        <f ca="1">'NWC_FC_NON-NOOS'!E1</f>
        <v>Apr</v>
      </c>
      <c r="F1" s="199" t="str">
        <f ca="1">O38&amp;"      "&amp;STOCK_OVERVIEW!Q40</f>
        <v>19/20      Jan</v>
      </c>
      <c r="G1" s="65"/>
      <c r="H1" s="65"/>
      <c r="I1" s="950" t="s">
        <v>80</v>
      </c>
      <c r="J1" s="950"/>
      <c r="K1" s="950"/>
      <c r="L1" s="65"/>
      <c r="M1" s="950" t="s">
        <v>80</v>
      </c>
      <c r="N1" s="950"/>
      <c r="O1" s="950"/>
      <c r="P1" s="65"/>
      <c r="Q1" s="65"/>
      <c r="R1" s="65"/>
      <c r="S1" s="65"/>
      <c r="T1" s="901" t="s">
        <v>202</v>
      </c>
      <c r="U1" s="901"/>
      <c r="V1" s="901"/>
      <c r="W1" s="635"/>
      <c r="X1" s="644"/>
      <c r="Y1" s="644"/>
      <c r="Z1" s="644"/>
      <c r="AA1" s="644"/>
      <c r="AB1" s="644"/>
      <c r="AC1" s="644"/>
      <c r="AD1" s="644"/>
      <c r="AE1" s="644"/>
      <c r="AF1" s="644"/>
      <c r="AG1" s="644"/>
      <c r="AH1" s="692"/>
      <c r="AI1" s="644"/>
      <c r="AJ1" s="644"/>
      <c r="AK1" s="644"/>
      <c r="AL1" s="634"/>
      <c r="AM1" s="634"/>
      <c r="AN1" s="634"/>
      <c r="AO1" s="634"/>
      <c r="AP1" s="634"/>
      <c r="AQ1" s="634"/>
      <c r="AR1" s="634"/>
      <c r="AS1" s="634"/>
      <c r="AT1" s="635"/>
      <c r="AU1" s="635"/>
      <c r="AV1" s="635"/>
      <c r="AW1" s="635"/>
      <c r="AX1" s="635"/>
      <c r="AY1" s="209"/>
    </row>
    <row r="2" spans="1:51" s="597" customFormat="1" ht="17.25" x14ac:dyDescent="0.3">
      <c r="A2" s="127"/>
      <c r="B2" s="632"/>
      <c r="C2" s="308"/>
      <c r="D2" s="631"/>
      <c r="E2" s="308"/>
      <c r="F2" s="308"/>
      <c r="G2" s="308"/>
      <c r="H2" s="308"/>
      <c r="I2" s="632"/>
      <c r="J2" s="821"/>
      <c r="K2" s="821"/>
      <c r="L2" s="827"/>
      <c r="M2" s="828"/>
      <c r="N2" s="828"/>
      <c r="O2" s="828"/>
      <c r="P2" s="827"/>
      <c r="Q2" s="827"/>
      <c r="R2" s="308"/>
      <c r="S2" s="308"/>
      <c r="T2" s="633"/>
      <c r="U2" s="308"/>
      <c r="V2" s="308"/>
      <c r="W2" s="595"/>
      <c r="X2" s="211"/>
      <c r="Y2" s="211"/>
      <c r="Z2" s="211"/>
      <c r="AA2" s="211"/>
      <c r="AB2" s="25"/>
      <c r="AC2" s="25"/>
      <c r="AD2" s="211"/>
      <c r="AE2" s="211"/>
      <c r="AF2" s="211"/>
      <c r="AG2" s="211"/>
      <c r="AH2" s="693"/>
      <c r="AI2" s="211"/>
      <c r="AJ2" s="211"/>
      <c r="AK2" s="211"/>
      <c r="AL2" s="596"/>
      <c r="AM2" s="596"/>
      <c r="AN2" s="596"/>
      <c r="AO2" s="596"/>
      <c r="AP2" s="596"/>
      <c r="AQ2" s="596"/>
      <c r="AR2" s="596"/>
      <c r="AS2" s="596"/>
      <c r="AT2" s="595"/>
      <c r="AU2" s="595"/>
      <c r="AV2" s="595"/>
      <c r="AW2" s="595"/>
      <c r="AX2" s="595"/>
      <c r="AY2" s="210"/>
    </row>
    <row r="3" spans="1:51" ht="18" customHeight="1" x14ac:dyDescent="0.25">
      <c r="B3" s="931" t="s">
        <v>238</v>
      </c>
      <c r="C3" s="931"/>
      <c r="D3" s="931"/>
      <c r="E3" s="931"/>
      <c r="F3" s="931"/>
      <c r="G3" s="931"/>
      <c r="H3" s="931"/>
      <c r="I3" s="931"/>
      <c r="J3" s="931"/>
      <c r="K3" s="931"/>
      <c r="L3" s="931"/>
      <c r="M3" s="931"/>
      <c r="N3" s="931"/>
      <c r="O3" s="931"/>
      <c r="P3" s="931"/>
      <c r="Q3" s="931"/>
      <c r="R3" s="931"/>
      <c r="S3" s="931"/>
      <c r="T3" s="931"/>
      <c r="U3" s="931"/>
      <c r="V3" s="931"/>
      <c r="X3" s="645" t="s">
        <v>10</v>
      </c>
      <c r="Y3" s="646" t="s">
        <v>77</v>
      </c>
      <c r="Z3" s="646" t="s">
        <v>81</v>
      </c>
      <c r="AA3" s="646" t="s">
        <v>243</v>
      </c>
      <c r="AB3" s="647" t="s">
        <v>7</v>
      </c>
      <c r="AC3" s="647" t="s">
        <v>8</v>
      </c>
      <c r="AD3" s="647" t="s">
        <v>125</v>
      </c>
      <c r="AE3" s="648" t="s">
        <v>245</v>
      </c>
      <c r="AF3" s="647" t="s">
        <v>244</v>
      </c>
      <c r="AG3" s="647" t="s">
        <v>235</v>
      </c>
      <c r="AH3" s="647" t="s">
        <v>273</v>
      </c>
      <c r="AI3" s="647" t="s">
        <v>246</v>
      </c>
      <c r="AJ3" s="826" t="s">
        <v>274</v>
      </c>
      <c r="AK3" s="720" t="s">
        <v>402</v>
      </c>
    </row>
    <row r="4" spans="1:51" s="127" customFormat="1" ht="15" customHeight="1" x14ac:dyDescent="0.3">
      <c r="B4" s="745"/>
      <c r="C4" s="67"/>
      <c r="D4" s="67"/>
      <c r="E4" s="67"/>
      <c r="F4" s="67"/>
      <c r="G4" s="67"/>
      <c r="H4" s="67"/>
      <c r="I4" s="207"/>
      <c r="J4" s="207"/>
      <c r="K4" s="207"/>
      <c r="L4" s="207"/>
      <c r="M4" s="67" t="str">
        <f>IF(I1="TOTAL","*",I1)</f>
        <v>*</v>
      </c>
      <c r="N4" s="67"/>
      <c r="O4" s="67" t="str">
        <f>IF(M1="TOTAL","*",M1)</f>
        <v>*</v>
      </c>
      <c r="P4" s="207"/>
      <c r="Q4" s="207"/>
      <c r="R4" s="208"/>
      <c r="S4" s="210"/>
      <c r="T4" s="210"/>
      <c r="U4" s="211"/>
      <c r="V4" s="210"/>
      <c r="X4" s="200" t="str">
        <f>NWC_FC_NOOS!$B$1</f>
        <v>VM</v>
      </c>
      <c r="Y4" s="25" t="str">
        <f>NWC_FC_NOOS!$B$76</f>
        <v>ACCESSORIES</v>
      </c>
      <c r="Z4" s="25" t="str">
        <f ca="1">X4&amp;Y4&amp;AB4&amp;AD4</f>
        <v>VMACCESSORIES18/19Feb</v>
      </c>
      <c r="AA4" s="25" t="str">
        <f>NWC_FC_NOOS!$I$1</f>
        <v>NOOS</v>
      </c>
      <c r="AB4" s="25" t="str">
        <f ca="1">NWC_FC_NOOS!$C$73</f>
        <v>18/19</v>
      </c>
      <c r="AC4" s="25" t="str">
        <f ca="1">NWC_FC_NOOS!$C$74</f>
        <v>Q3</v>
      </c>
      <c r="AD4" s="25" t="str">
        <f ca="1">NWC_FC_NOOS!$C$75</f>
        <v>Feb</v>
      </c>
      <c r="AE4" s="649">
        <f ca="1">IFERROR(HLOOKUP($AB4&amp;$AD4,NWC_FC_NOOS!$B$4:$Q$24,MATCH($Y4,NWC_FC_NOOS!$B$4:$B$24,0),FALSE),"")</f>
        <v>0</v>
      </c>
      <c r="AF4" s="650">
        <f ca="1">IFERROR(HLOOKUP($AB4&amp;$AD4,NWC_FC_NOOS!$S$4:$AH$24,MATCH($Y4,NWC_FC_NOOS!$S$4:$S$24,0),FALSE),"")</f>
        <v>0</v>
      </c>
      <c r="AG4" s="650">
        <f ca="1">IFERROR(HLOOKUP($AB4&amp;$AD4,NWC_FC_NOOS!$C$50:$U$70,MATCH($Y4,NWC_FC_NOOS!$B$50:$B$70,0),FALSE),"")</f>
        <v>0</v>
      </c>
      <c r="AH4" s="650">
        <f ca="1">IFERROR(IF($AA4="NOOS",HLOOKUP(STOCK_OVERVIEW!$AB4&amp;STOCK_OVERVIEW!$AD4,PLANNING_FC!$BB$27:$BP$46,MATCH(STOCK_OVERVIEW!$Y4,PLANNING_FC!$BA$27:$BA$46,0),FALSE),HLOOKUP($AB4&amp;$AD4,PLANNING_FC!$BB$4:$BP$23,MATCH(STOCK_OVERVIEW!$Y4,PLANNING_FC!$BA$4:$BA$23,0),FALSE)),"")</f>
        <v>0</v>
      </c>
      <c r="AI4" s="650">
        <f ca="1">IFERROR(IF($AA4="NOOS",HLOOKUP(STOCK_OVERVIEW!$AB4&amp;STOCK_OVERVIEW!$AD4,PLANNING_FC!$T$27:$AH$46,MATCH(STOCK_OVERVIEW!$Y4,PLANNING_FC!$B$27:$B$46,0),FALSE),HLOOKUP($AB4&amp;$AD4,PLANNING_FC!$T$4:$AH$23,MATCH(STOCK_OVERVIEW!$Y4,PLANNING_FC!$B$4:$B$23,0),FALSE)),"")</f>
        <v>0</v>
      </c>
      <c r="AJ4" s="650">
        <f ca="1">IFERROR(IF($AA4="NOOS",HLOOKUP(STOCK_OVERVIEW!$AB4&amp;STOCK_OVERVIEW!$AD4,PLANNING_FC!$DA$27:$DO$46,MATCH(STOCK_OVERVIEW!$Y4,PLANNING_FC!$CZ$27:$CZ$46,0),FALSE),HLOOKUP($AB4&amp;$AD4,PLANNING_FC!$DA$4:$DO$23,MATCH(STOCK_OVERVIEW!$Y4,PLANNING_FC!$CZ$4:$CZ$23,0),FALSE)),"")</f>
        <v>0</v>
      </c>
      <c r="AK4" s="651">
        <f ca="1">IFERROR(IF(AA4="NOOS",HLOOKUP(AB4&amp;AD4,PLANNING_FC!$AJ$27:$AY$47,MATCH(STOCK_OVERVIEW!Y4,PLANNING_FC!$AJ$27:$AJ$47,0),FALSE)*1000,HLOOKUP(AB4&amp;AD4,PLANNING_FC!$AJ$4:$AY$24,MATCH(STOCK_OVERVIEW!Y4,PLANNING_FC!$AJ$4:$AJ$24,0),FALSE)*1000),"")</f>
        <v>0</v>
      </c>
      <c r="AL4" s="128"/>
      <c r="AM4" s="128"/>
      <c r="AN4" s="128"/>
      <c r="AO4" s="128"/>
      <c r="AP4" s="128"/>
      <c r="AQ4" s="128"/>
      <c r="AR4" s="128"/>
      <c r="AS4" s="128"/>
    </row>
    <row r="5" spans="1:51" s="600" customFormat="1" ht="15" customHeight="1" x14ac:dyDescent="0.25">
      <c r="A5" s="21"/>
      <c r="B5" s="23" t="s">
        <v>66</v>
      </c>
      <c r="C5" s="721" t="str">
        <f ca="1">VLOOKUP($C$6,TIME!$L$12:$M$17,2,FALSE)</f>
        <v>17/18</v>
      </c>
      <c r="D5" s="721" t="str">
        <f ca="1">VLOOKUP($C$6,TIME!$L$12:$M$17,2,FALSE)</f>
        <v>17/18</v>
      </c>
      <c r="E5" s="721" t="str">
        <f ca="1">VLOOKUP($C$6,TIME!$L$12:$M$17,2,FALSE)</f>
        <v>17/18</v>
      </c>
      <c r="F5" s="722"/>
      <c r="G5" s="721" t="str">
        <f ca="1">VLOOKUP($G$6,TIME!$L$12:$M$17,2,FALSE)</f>
        <v>17/18</v>
      </c>
      <c r="H5" s="721" t="str">
        <f ca="1">VLOOKUP($G$6,TIME!$L$12:$M$17,2,FALSE)</f>
        <v>17/18</v>
      </c>
      <c r="I5" s="721" t="str">
        <f ca="1">VLOOKUP($G$6,TIME!$L$12:$M$17,2,FALSE)</f>
        <v>17/18</v>
      </c>
      <c r="J5" s="722"/>
      <c r="K5" s="721" t="str">
        <f ca="1">VLOOKUP($K$6,TIME!$L$12:$M$17,2,FALSE)</f>
        <v>18/19</v>
      </c>
      <c r="L5" s="721" t="str">
        <f ca="1">VLOOKUP($K$6,TIME!$L$12:$M$17,2,FALSE)</f>
        <v>18/19</v>
      </c>
      <c r="M5" s="721" t="str">
        <f ca="1">VLOOKUP($K$6,TIME!$L$12:$M$17,2,FALSE)</f>
        <v>18/19</v>
      </c>
      <c r="N5" s="722"/>
      <c r="O5" s="721" t="str">
        <f ca="1">VLOOKUP($O$6,TIME!$L$12:$M$17,2,FALSE)</f>
        <v>18/19</v>
      </c>
      <c r="P5" s="721" t="str">
        <f ca="1">VLOOKUP($O$6,TIME!$L$12:$M$17,2,FALSE)</f>
        <v>18/19</v>
      </c>
      <c r="Q5" s="721" t="str">
        <f ca="1">VLOOKUP($O$6,TIME!$L$12:$M$17,2,FALSE)</f>
        <v>18/19</v>
      </c>
      <c r="R5" s="722"/>
      <c r="S5" s="723" t="str">
        <f ca="1">VLOOKUP($S$6,TIME!$L$12:$M$17,2,FALSE)</f>
        <v>18/19</v>
      </c>
      <c r="T5" s="723" t="str">
        <f ca="1">VLOOKUP($S$6,TIME!$L$12:$M$17,2,FALSE)</f>
        <v>18/19</v>
      </c>
      <c r="U5" s="724" t="str">
        <f ca="1">VLOOKUP($S$6,TIME!$L$12:$M$17,2,FALSE)</f>
        <v>18/19</v>
      </c>
      <c r="V5" s="204"/>
      <c r="W5" s="636"/>
      <c r="X5" s="200" t="str">
        <f>NWC_FC_NOOS!$B$1</f>
        <v>VM</v>
      </c>
      <c r="Y5" s="25" t="str">
        <f>NWC_FC_NOOS!$B$76</f>
        <v>ACCESSORIES</v>
      </c>
      <c r="Z5" s="25" t="str">
        <f t="shared" ref="Z5:Z68" ca="1" si="0">X5&amp;Y5&amp;AB5&amp;AD5</f>
        <v>VMACCESSORIES18/19Mar</v>
      </c>
      <c r="AA5" s="25" t="str">
        <f>NWC_FC_NOOS!$I$1</f>
        <v>NOOS</v>
      </c>
      <c r="AB5" s="25" t="str">
        <f ca="1">NWC_FC_NOOS!$C$73</f>
        <v>18/19</v>
      </c>
      <c r="AC5" s="25" t="str">
        <f ca="1">NWC_FC_NOOS!$C$74</f>
        <v>Q3</v>
      </c>
      <c r="AD5" s="25" t="str">
        <f ca="1">NWC_FC_NOOS!$D$75</f>
        <v>Mar</v>
      </c>
      <c r="AE5" s="649">
        <f ca="1">IFERROR(HLOOKUP($AB5&amp;$AD5,NWC_FC_NOOS!$B$4:$Q$24,MATCH($Y5,NWC_FC_NOOS!$B$4:$B$24,0),FALSE),"")</f>
        <v>0</v>
      </c>
      <c r="AF5" s="650">
        <f ca="1">IFERROR(HLOOKUP($AB5&amp;$AD5,NWC_FC_NOOS!$S$4:$AH$24,MATCH($Y5,NWC_FC_NOOS!$S$4:$S$24,0),FALSE),"")</f>
        <v>0</v>
      </c>
      <c r="AG5" s="650">
        <f ca="1">IFERROR(HLOOKUP($AB5&amp;$AD5,NWC_FC_NOOS!$C$50:$U$70,MATCH($Y5,NWC_FC_NOOS!$B$50:$B$70,0),FALSE),"")</f>
        <v>0</v>
      </c>
      <c r="AH5" s="650">
        <f ca="1">IFERROR(IF($AA5="NOOS",HLOOKUP(STOCK_OVERVIEW!$AB5&amp;STOCK_OVERVIEW!$AD5,PLANNING_FC!$BB$27:$BP$46,MATCH(STOCK_OVERVIEW!$Y5,PLANNING_FC!$BA$27:$BA$46,0),FALSE),HLOOKUP($AB5&amp;$AD5,PLANNING_FC!$BB$4:$BP$23,MATCH(STOCK_OVERVIEW!$Y5,PLANNING_FC!$BA$4:$BA$23,0),FALSE)),"")</f>
        <v>0</v>
      </c>
      <c r="AI5" s="650">
        <f ca="1">IFERROR(IF($AA5="NOOS",HLOOKUP(STOCK_OVERVIEW!$AB5&amp;STOCK_OVERVIEW!$AD5,PLANNING_FC!$T$27:$AH$46,MATCH(STOCK_OVERVIEW!$Y5,PLANNING_FC!$B$27:$B$46,0),FALSE),HLOOKUP($AB5&amp;$AD5,PLANNING_FC!$T$4:$AH$23,MATCH(STOCK_OVERVIEW!$Y5,PLANNING_FC!$B$4:$B$23,0),FALSE)),"")</f>
        <v>0</v>
      </c>
      <c r="AJ5" s="650">
        <f ca="1">IFERROR(IF($AA5="NOOS",HLOOKUP(STOCK_OVERVIEW!$AB5&amp;STOCK_OVERVIEW!$AD5,PLANNING_FC!$DA$27:$DO$46,MATCH(STOCK_OVERVIEW!$Y5,PLANNING_FC!$CZ$27:$CZ$46,0),FALSE),HLOOKUP($AB5&amp;$AD5,PLANNING_FC!$DA$4:$DO$23,MATCH(STOCK_OVERVIEW!$Y5,PLANNING_FC!$CZ$4:$CZ$23,0),FALSE)),"")</f>
        <v>0</v>
      </c>
      <c r="AK5" s="651">
        <f ca="1">IFERROR(IF(AA5="NOOS",HLOOKUP(AB5&amp;AD5,PLANNING_FC!$AJ$27:$AY$47,MATCH(STOCK_OVERVIEW!Y5,PLANNING_FC!$AJ$27:$AJ$47,0),FALSE)*1000,HLOOKUP(AB5&amp;AD5,PLANNING_FC!$AJ$4:$AY$24,MATCH(STOCK_OVERVIEW!Y5,PLANNING_FC!$AJ$4:$AJ$24,0),FALSE)*1000),"")</f>
        <v>0</v>
      </c>
      <c r="AL5" s="638"/>
      <c r="AM5" s="638"/>
      <c r="AN5" s="638"/>
      <c r="AO5" s="638"/>
      <c r="AP5" s="638"/>
      <c r="AQ5" s="638"/>
      <c r="AR5" s="638"/>
      <c r="AS5" s="638"/>
      <c r="AT5" s="61"/>
      <c r="AU5" s="61"/>
      <c r="AV5" s="638"/>
      <c r="AW5" s="638"/>
      <c r="AX5" s="638"/>
      <c r="AY5" s="25"/>
    </row>
    <row r="6" spans="1:51" ht="15" customHeight="1" x14ac:dyDescent="0.25">
      <c r="C6" s="951" t="str">
        <f ca="1">NWC_FC_NOOS!$C$51</f>
        <v>18/19</v>
      </c>
      <c r="D6" s="951"/>
      <c r="E6" s="951"/>
      <c r="F6" s="601"/>
      <c r="G6" s="951" t="str">
        <f ca="1">NWC_FC_NOOS!$G$51</f>
        <v>18/19</v>
      </c>
      <c r="H6" s="951"/>
      <c r="I6" s="951"/>
      <c r="J6" s="601"/>
      <c r="K6" s="951" t="str">
        <f ca="1">NWC_FC_NOOS!$K$51</f>
        <v>19/20</v>
      </c>
      <c r="L6" s="951"/>
      <c r="M6" s="951"/>
      <c r="N6" s="601"/>
      <c r="O6" s="951" t="str">
        <f ca="1">NWC_FC_NOOS!$O$51</f>
        <v>19/20</v>
      </c>
      <c r="P6" s="951"/>
      <c r="Q6" s="951"/>
      <c r="R6" s="601"/>
      <c r="S6" s="951" t="str">
        <f ca="1">NWC_FC_NOOS!$S$51</f>
        <v>19/20</v>
      </c>
      <c r="T6" s="951"/>
      <c r="U6" s="951"/>
      <c r="X6" s="200" t="str">
        <f>NWC_FC_NOOS!$B$1</f>
        <v>VM</v>
      </c>
      <c r="Y6" s="25" t="str">
        <f>NWC_FC_NOOS!$B$76</f>
        <v>ACCESSORIES</v>
      </c>
      <c r="Z6" s="25" t="str">
        <f t="shared" ca="1" si="0"/>
        <v>VMACCESSORIES18/19Apr</v>
      </c>
      <c r="AA6" s="25" t="str">
        <f>NWC_FC_NOOS!$I$1</f>
        <v>NOOS</v>
      </c>
      <c r="AB6" s="25" t="str">
        <f ca="1">NWC_FC_NOOS!$C$73</f>
        <v>18/19</v>
      </c>
      <c r="AC6" s="25" t="str">
        <f ca="1">NWC_FC_NOOS!$C$74</f>
        <v>Q3</v>
      </c>
      <c r="AD6" s="25" t="str">
        <f ca="1">NWC_FC_NOOS!$E$75</f>
        <v>Apr</v>
      </c>
      <c r="AE6" s="649">
        <f ca="1">IFERROR(HLOOKUP($AB6&amp;$AD6,NWC_FC_NOOS!$B$4:$Q$24,MATCH($Y6,NWC_FC_NOOS!$B$4:$B$24,0),FALSE),"")</f>
        <v>0</v>
      </c>
      <c r="AF6" s="650">
        <f ca="1">IFERROR(HLOOKUP($AB6&amp;$AD6,NWC_FC_NOOS!$S$4:$AH$24,MATCH($Y6,NWC_FC_NOOS!$S$4:$S$24,0),FALSE),"")</f>
        <v>0</v>
      </c>
      <c r="AG6" s="650">
        <f ca="1">IFERROR(HLOOKUP($AB6&amp;$AD6,NWC_FC_NOOS!$C$50:$U$70,MATCH($Y6,NWC_FC_NOOS!$B$50:$B$70,0),FALSE),"")</f>
        <v>0</v>
      </c>
      <c r="AH6" s="650">
        <f ca="1">IFERROR(IF($AA6="NOOS",HLOOKUP(STOCK_OVERVIEW!$AB6&amp;STOCK_OVERVIEW!$AD6,PLANNING_FC!$BB$27:$BP$46,MATCH(STOCK_OVERVIEW!$Y6,PLANNING_FC!$BA$27:$BA$46,0),FALSE),HLOOKUP($AB6&amp;$AD6,PLANNING_FC!$BB$4:$BP$23,MATCH(STOCK_OVERVIEW!$Y6,PLANNING_FC!$BA$4:$BA$23,0),FALSE)),"")</f>
        <v>0</v>
      </c>
      <c r="AI6" s="650">
        <f ca="1">IFERROR(IF($AA6="NOOS",HLOOKUP(STOCK_OVERVIEW!$AB6&amp;STOCK_OVERVIEW!$AD6,PLANNING_FC!$T$27:$AH$46,MATCH(STOCK_OVERVIEW!$Y6,PLANNING_FC!$B$27:$B$46,0),FALSE),HLOOKUP($AB6&amp;$AD6,PLANNING_FC!$T$4:$AH$23,MATCH(STOCK_OVERVIEW!$Y6,PLANNING_FC!$B$4:$B$23,0),FALSE)),"")</f>
        <v>0</v>
      </c>
      <c r="AJ6" s="650">
        <f ca="1">IFERROR(IF($AA6="NOOS",HLOOKUP(STOCK_OVERVIEW!$AB6&amp;STOCK_OVERVIEW!$AD6,PLANNING_FC!$DA$27:$DO$46,MATCH(STOCK_OVERVIEW!$Y6,PLANNING_FC!$CZ$27:$CZ$46,0),FALSE),HLOOKUP($AB6&amp;$AD6,PLANNING_FC!$DA$4:$DO$23,MATCH(STOCK_OVERVIEW!$Y6,PLANNING_FC!$CZ$4:$CZ$23,0),FALSE)),"")</f>
        <v>3623</v>
      </c>
      <c r="AK6" s="651">
        <f ca="1">IFERROR(IF(AA6="NOOS",HLOOKUP(AB6&amp;AD6,PLANNING_FC!$AJ$27:$AY$47,MATCH(STOCK_OVERVIEW!Y6,PLANNING_FC!$AJ$27:$AJ$47,0),FALSE)*1000,HLOOKUP(AB6&amp;AD6,PLANNING_FC!$AJ$4:$AY$24,MATCH(STOCK_OVERVIEW!Y6,PLANNING_FC!$AJ$4:$AJ$24,0),FALSE)*1000),"")</f>
        <v>0</v>
      </c>
    </row>
    <row r="7" spans="1:51" ht="15" customHeight="1" x14ac:dyDescent="0.25">
      <c r="C7" s="721" t="str">
        <f ca="1">NWC_FC_NOOS!C53</f>
        <v>Feb</v>
      </c>
      <c r="D7" s="721" t="str">
        <f ca="1">NWC_FC_NOOS!D53</f>
        <v>Mar</v>
      </c>
      <c r="E7" s="721" t="str">
        <f ca="1">NWC_FC_NOOS!E53</f>
        <v>Apr</v>
      </c>
      <c r="F7" s="721"/>
      <c r="G7" s="721" t="str">
        <f ca="1">NWC_FC_NOOS!G53</f>
        <v>May</v>
      </c>
      <c r="H7" s="721" t="str">
        <f ca="1">NWC_FC_NOOS!H53</f>
        <v>Jun</v>
      </c>
      <c r="I7" s="721" t="str">
        <f ca="1">NWC_FC_NOOS!I53</f>
        <v>Jul</v>
      </c>
      <c r="J7" s="721"/>
      <c r="K7" s="721" t="str">
        <f ca="1">NWC_FC_NOOS!K53</f>
        <v>Aug</v>
      </c>
      <c r="L7" s="721" t="str">
        <f ca="1">NWC_FC_NOOS!L53</f>
        <v>Sep</v>
      </c>
      <c r="M7" s="721" t="str">
        <f ca="1">NWC_FC_NOOS!M53</f>
        <v>Oct</v>
      </c>
      <c r="N7" s="721"/>
      <c r="O7" s="721" t="str">
        <f ca="1">NWC_FC_NOOS!O53</f>
        <v>Nov</v>
      </c>
      <c r="P7" s="721" t="str">
        <f ca="1">NWC_FC_NOOS!P53</f>
        <v>Dec</v>
      </c>
      <c r="Q7" s="721" t="str">
        <f ca="1">NWC_FC_NOOS!Q53</f>
        <v>Jan</v>
      </c>
      <c r="R7" s="721"/>
      <c r="S7" s="721" t="str">
        <f ca="1">NWC_FC_NOOS!S53</f>
        <v>Feb</v>
      </c>
      <c r="T7" s="721" t="str">
        <f ca="1">NWC_FC_NOOS!T53</f>
        <v>Mar</v>
      </c>
      <c r="U7" s="721" t="str">
        <f ca="1">NWC_FC_NOOS!U53</f>
        <v>Apr</v>
      </c>
      <c r="X7" s="200" t="str">
        <f>NWC_FC_NOOS!$B$1</f>
        <v>VM</v>
      </c>
      <c r="Y7" s="25" t="str">
        <f>NWC_FC_NOOS!$B$76</f>
        <v>ACCESSORIES</v>
      </c>
      <c r="Z7" s="25" t="str">
        <f t="shared" ca="1" si="0"/>
        <v>VMACCESSORIES18/19May</v>
      </c>
      <c r="AA7" s="25" t="str">
        <f>NWC_FC_NOOS!$I$1</f>
        <v>NOOS</v>
      </c>
      <c r="AB7" s="25" t="str">
        <f ca="1">NWC_FC_NOOS!$G$73</f>
        <v>18/19</v>
      </c>
      <c r="AC7" s="25" t="str">
        <f ca="1">NWC_FC_NOOS!$G$74</f>
        <v>Q4</v>
      </c>
      <c r="AD7" s="25" t="str">
        <f ca="1">NWC_FC_NOOS!$G$75</f>
        <v>May</v>
      </c>
      <c r="AE7" s="649">
        <f ca="1">IFERROR(HLOOKUP($AB7&amp;$AD7,NWC_FC_NOOS!$B$4:$Q$24,MATCH($Y7,NWC_FC_NOOS!$B$4:$B$24,0),FALSE),"")</f>
        <v>0</v>
      </c>
      <c r="AF7" s="650">
        <f ca="1">IFERROR(HLOOKUP($AB7&amp;$AD7,NWC_FC_NOOS!$S$4:$AH$24,MATCH($Y7,NWC_FC_NOOS!$S$4:$S$24,0),FALSE),"")</f>
        <v>0</v>
      </c>
      <c r="AG7" s="650">
        <f ca="1">IFERROR(HLOOKUP($AB7&amp;$AD7,NWC_FC_NOOS!$C$50:$U$70,MATCH($Y7,NWC_FC_NOOS!$B$50:$B$70,0),FALSE),"")</f>
        <v>0</v>
      </c>
      <c r="AH7" s="650">
        <f ca="1">IFERROR(IF($AA7="NOOS",HLOOKUP(STOCK_OVERVIEW!$AB7&amp;STOCK_OVERVIEW!$AD7,PLANNING_FC!$BB$27:$BP$46,MATCH(STOCK_OVERVIEW!$Y7,PLANNING_FC!$BA$27:$BA$46,0),FALSE),HLOOKUP($AB7&amp;$AD7,PLANNING_FC!$BB$4:$BP$23,MATCH(STOCK_OVERVIEW!$Y7,PLANNING_FC!$BA$4:$BA$23,0),FALSE)),"")</f>
        <v>0</v>
      </c>
      <c r="AI7" s="650">
        <f ca="1">IFERROR(IF($AA7="NOOS",HLOOKUP(STOCK_OVERVIEW!$AB7&amp;STOCK_OVERVIEW!$AD7,PLANNING_FC!$T$27:$AH$46,MATCH(STOCK_OVERVIEW!$Y7,PLANNING_FC!$B$27:$B$46,0),FALSE),HLOOKUP($AB7&amp;$AD7,PLANNING_FC!$T$4:$AH$23,MATCH(STOCK_OVERVIEW!$Y7,PLANNING_FC!$B$4:$B$23,0),FALSE)),"")</f>
        <v>0</v>
      </c>
      <c r="AJ7" s="650">
        <f ca="1">IFERROR(IF($AA7="NOOS",HLOOKUP(STOCK_OVERVIEW!$AB7&amp;STOCK_OVERVIEW!$AD7,PLANNING_FC!$DA$27:$DO$46,MATCH(STOCK_OVERVIEW!$Y7,PLANNING_FC!$CZ$27:$CZ$46,0),FALSE),HLOOKUP($AB7&amp;$AD7,PLANNING_FC!$DA$4:$DO$23,MATCH(STOCK_OVERVIEW!$Y7,PLANNING_FC!$CZ$4:$CZ$23,0),FALSE)),"")</f>
        <v>3623</v>
      </c>
      <c r="AK7" s="651">
        <f ca="1">IFERROR(IF(AA7="NOOS",HLOOKUP(AB7&amp;AD7,PLANNING_FC!$AJ$27:$AY$47,MATCH(STOCK_OVERVIEW!Y7,PLANNING_FC!$AJ$27:$AJ$47,0),FALSE)*1000,HLOOKUP(AB7&amp;AD7,PLANNING_FC!$AJ$4:$AY$24,MATCH(STOCK_OVERVIEW!Y7,PLANNING_FC!$AJ$4:$AJ$24,0),FALSE)*1000),"")</f>
        <v>0</v>
      </c>
    </row>
    <row r="8" spans="1:51" ht="15" customHeight="1" x14ac:dyDescent="0.25">
      <c r="B8" s="23" t="s">
        <v>258</v>
      </c>
      <c r="C8" s="622">
        <f ca="1">SUMIFS($AG$4:$AG$483,$AD$4:$AD$483,C$7,$AB$4:$AB$483,$C$6,$AA$4:$AA$483,$M$4,$Y$4:$Y$483,$O$4)</f>
        <v>0</v>
      </c>
      <c r="D8" s="622">
        <f ca="1">SUMIFS($AG$4:$AG$483,$AD$4:$AD$483,D$7,$AB$4:$AB$483,$C$6,$AA$4:$AA$483,$M$4,$Y$4:$Y$483,$O$4)</f>
        <v>0</v>
      </c>
      <c r="E8" s="622">
        <f ca="1">SUMIFS($AG$4:$AG$483,$AD$4:$AD$483,E$7,$AB$4:$AB$483,$C$6,$AA$4:$AA$483,$M$4,$Y$4:$Y$483,$O$4)</f>
        <v>0</v>
      </c>
      <c r="F8" s="606"/>
      <c r="G8" s="622">
        <f ca="1">SUMIFS($AG$4:$AG$483,$AD$4:$AD$483,G$7,$AB$4:$AB$483,$G$6,$AA$4:$AA$483,$M$4,$Y$4:$Y$483,$O$4)</f>
        <v>0</v>
      </c>
      <c r="H8" s="622">
        <f ca="1">SUMIFS($AG$4:$AG$483,$AD$4:$AD$483,H$7,$AB$4:$AB$483,$G$6,$AA$4:$AA$483,$M$4,$Y$4:$Y$483,$O$4)</f>
        <v>0</v>
      </c>
      <c r="I8" s="622">
        <f ca="1">SUMIFS($AG$4:$AG$483,$AD$4:$AD$483,I$7,$AB$4:$AB$483,$G$6,$AA$4:$AA$483,$M$4,$Y$4:$Y$483,$O$4)</f>
        <v>0</v>
      </c>
      <c r="J8" s="606"/>
      <c r="K8" s="622">
        <f ca="1">SUMIFS($AG$4:$AG$483,$AD$4:$AD$483,K$7,$AB$4:$AB$483,$K$6,$AA$4:$AA$483,$M$4,$Y$4:$Y$483,$O$4)</f>
        <v>0</v>
      </c>
      <c r="L8" s="622">
        <f ca="1">SUMIFS($AG$4:$AG$483,$AD$4:$AD$483,L$7,$AB$4:$AB$483,$K$6,$AA$4:$AA$483,$M$4,$Y$4:$Y$483,$O$4)</f>
        <v>0</v>
      </c>
      <c r="M8" s="622">
        <f ca="1">SUMIFS($AG$4:$AG$483,$AD$4:$AD$483,M$7,$AB$4:$AB$483,$K$6,$AA$4:$AA$483,$M$4,$Y$4:$Y$483,$O$4)</f>
        <v>0</v>
      </c>
      <c r="N8" s="606"/>
      <c r="O8" s="622">
        <f ca="1">SUMIFS($AG$4:$AG$483,$AD$4:$AD$483,O$7,$AB$4:$AB$483,$O$6,$AA$4:$AA$483,$M$4,$Y$4:$Y$483,$O$4)</f>
        <v>0</v>
      </c>
      <c r="P8" s="622">
        <f ca="1">SUMIFS($AG$4:$AG$483,$AD$4:$AD$483,P$7,$AB$4:$AB$483,$O$6,$AA$4:$AA$483,$M$4,$Y$4:$Y$483,$O$4)</f>
        <v>0</v>
      </c>
      <c r="Q8" s="622">
        <f ca="1">SUMIFS($AG$4:$AG$483,$AD$4:$AD$483,Q$7,$AB$4:$AB$483,$O$6,$AA$4:$AA$483,$M$4,$Y$4:$Y$483,$O$4)</f>
        <v>0</v>
      </c>
      <c r="R8" s="606"/>
      <c r="S8" s="623">
        <f ca="1">SUMIFS($AG$4:$AG$483,$AD$4:$AD$483,S$7,$AB$4:$AB$483,$S$6,$AA$4:$AA$483,$M$4,$Y$4:$Y$483,$O$4)</f>
        <v>0</v>
      </c>
      <c r="T8" s="623">
        <f ca="1">SUMIFS($AG$4:$AG$483,$AD$4:$AD$483,T$7,$AB$4:$AB$483,$S$6,$AA$4:$AA$483,$M$4,$Y$4:$Y$483,$O$4)</f>
        <v>0</v>
      </c>
      <c r="U8" s="624">
        <f ca="1">SUMIFS($AG$4:$AG$483,$AD$4:$AD$483,U$7,$AB$4:$AB$483,$S$6,$AA$4:$AA$483,$M$4,$Y$4:$Y$483,$O$4)</f>
        <v>0</v>
      </c>
      <c r="X8" s="200" t="str">
        <f>NWC_FC_NOOS!$B$1</f>
        <v>VM</v>
      </c>
      <c r="Y8" s="25" t="str">
        <f>NWC_FC_NOOS!$B$76</f>
        <v>ACCESSORIES</v>
      </c>
      <c r="Z8" s="25" t="str">
        <f t="shared" ca="1" si="0"/>
        <v>VMACCESSORIES18/19Jun</v>
      </c>
      <c r="AA8" s="25" t="str">
        <f>NWC_FC_NOOS!$I$1</f>
        <v>NOOS</v>
      </c>
      <c r="AB8" s="25" t="str">
        <f ca="1">NWC_FC_NOOS!$G$73</f>
        <v>18/19</v>
      </c>
      <c r="AC8" s="25" t="str">
        <f ca="1">NWC_FC_NOOS!$G$74</f>
        <v>Q4</v>
      </c>
      <c r="AD8" s="25" t="str">
        <f ca="1">NWC_FC_NOOS!$H$75</f>
        <v>Jun</v>
      </c>
      <c r="AE8" s="649">
        <f ca="1">IFERROR(HLOOKUP($AB8&amp;$AD8,NWC_FC_NOOS!$B$4:$Q$24,MATCH($Y8,NWC_FC_NOOS!$B$4:$B$24,0),FALSE),"")</f>
        <v>0</v>
      </c>
      <c r="AF8" s="650">
        <f ca="1">IFERROR(HLOOKUP($AB8&amp;$AD8,NWC_FC_NOOS!$S$4:$AH$24,MATCH($Y8,NWC_FC_NOOS!$S$4:$S$24,0),FALSE),"")</f>
        <v>0</v>
      </c>
      <c r="AG8" s="650">
        <f ca="1">IFERROR(HLOOKUP($AB8&amp;$AD8,NWC_FC_NOOS!$C$50:$U$70,MATCH($Y8,NWC_FC_NOOS!$B$50:$B$70,0),FALSE),"")</f>
        <v>0</v>
      </c>
      <c r="AH8" s="650">
        <f ca="1">IFERROR(IF($AA8="NOOS",HLOOKUP(STOCK_OVERVIEW!$AB8&amp;STOCK_OVERVIEW!$AD8,PLANNING_FC!$BB$27:$BP$46,MATCH(STOCK_OVERVIEW!$Y8,PLANNING_FC!$BA$27:$BA$46,0),FALSE),HLOOKUP($AB8&amp;$AD8,PLANNING_FC!$BB$4:$BP$23,MATCH(STOCK_OVERVIEW!$Y8,PLANNING_FC!$BA$4:$BA$23,0),FALSE)),"")</f>
        <v>0</v>
      </c>
      <c r="AI8" s="650">
        <f ca="1">IFERROR(IF($AA8="NOOS",HLOOKUP(STOCK_OVERVIEW!$AB8&amp;STOCK_OVERVIEW!$AD8,PLANNING_FC!$T$27:$AH$46,MATCH(STOCK_OVERVIEW!$Y8,PLANNING_FC!$B$27:$B$46,0),FALSE),HLOOKUP($AB8&amp;$AD8,PLANNING_FC!$T$4:$AH$23,MATCH(STOCK_OVERVIEW!$Y8,PLANNING_FC!$B$4:$B$23,0),FALSE)),"")</f>
        <v>0</v>
      </c>
      <c r="AJ8" s="650">
        <f ca="1">IFERROR(IF($AA8="NOOS",HLOOKUP(STOCK_OVERVIEW!$AB8&amp;STOCK_OVERVIEW!$AD8,PLANNING_FC!$DA$27:$DO$46,MATCH(STOCK_OVERVIEW!$Y8,PLANNING_FC!$CZ$27:$CZ$46,0),FALSE),HLOOKUP($AB8&amp;$AD8,PLANNING_FC!$DA$4:$DO$23,MATCH(STOCK_OVERVIEW!$Y8,PLANNING_FC!$CZ$4:$CZ$23,0),FALSE)),"")</f>
        <v>3623</v>
      </c>
      <c r="AK8" s="651">
        <f ca="1">IFERROR(IF(AA8="NOOS",HLOOKUP(AB8&amp;AD8,PLANNING_FC!$AJ$27:$AY$47,MATCH(STOCK_OVERVIEW!Y8,PLANNING_FC!$AJ$27:$AJ$47,0),FALSE)*1000,HLOOKUP(AB8&amp;AD8,PLANNING_FC!$AJ$4:$AY$24,MATCH(STOCK_OVERVIEW!Y8,PLANNING_FC!$AJ$4:$AJ$24,0),FALSE)*1000),"")</f>
        <v>0</v>
      </c>
      <c r="AT8" s="638"/>
      <c r="AU8" s="638"/>
      <c r="AV8" s="638"/>
      <c r="AW8" s="638"/>
      <c r="AX8" s="638"/>
      <c r="AY8" s="25"/>
    </row>
    <row r="9" spans="1:51" ht="15" customHeight="1" x14ac:dyDescent="0.25">
      <c r="B9" s="23" t="s">
        <v>259</v>
      </c>
      <c r="C9" s="622">
        <f ca="1">SUMIFS(HIS_STOCK!$G:$G,HIS_STOCK!$E:$E,STOCK_OVERVIEW!C$7,HIS_STOCK!$D:$D,STOCK_OVERVIEW!C$5,HIS_STOCK!$C:$C,STOCK_OVERVIEW!$O$4,HIS_STOCK!$B:$B,STOCK_OVERVIEW!$B$1,HIS_STOCK!$A:$A,STOCK_OVERVIEW!$M$4)</f>
        <v>840050.96030000004</v>
      </c>
      <c r="D9" s="622">
        <f ca="1">SUMIFS(HIS_STOCK!$G:$G,HIS_STOCK!$E:$E,STOCK_OVERVIEW!D$7,HIS_STOCK!$D:$D,STOCK_OVERVIEW!D$5,HIS_STOCK!$C:$C,STOCK_OVERVIEW!$O$4,HIS_STOCK!$B:$B,STOCK_OVERVIEW!$B$1,HIS_STOCK!$A:$A,STOCK_OVERVIEW!$M$4)</f>
        <v>1285987.6206999999</v>
      </c>
      <c r="E9" s="622">
        <f ca="1">SUMIFS(HIS_STOCK!$G:$G,HIS_STOCK!$E:$E,STOCK_OVERVIEW!E$7,HIS_STOCK!$D:$D,STOCK_OVERVIEW!E$5,HIS_STOCK!$C:$C,STOCK_OVERVIEW!$O$4,HIS_STOCK!$B:$B,STOCK_OVERVIEW!$B$1,HIS_STOCK!$A:$A,STOCK_OVERVIEW!$M$4)</f>
        <v>1468748.5539999998</v>
      </c>
      <c r="F9" s="622"/>
      <c r="G9" s="622">
        <f ca="1">SUMIFS(HIS_STOCK!$G:$G,HIS_STOCK!$E:$E,STOCK_OVERVIEW!G$7,HIS_STOCK!$D:$D,STOCK_OVERVIEW!G$5,HIS_STOCK!$C:$C,STOCK_OVERVIEW!$O$4,HIS_STOCK!$B:$B,STOCK_OVERVIEW!$B$1,HIS_STOCK!$A:$A,STOCK_OVERVIEW!$M$4)</f>
        <v>819969.64660000021</v>
      </c>
      <c r="H9" s="622">
        <f ca="1">SUMIFS(HIS_STOCK!$G:$G,HIS_STOCK!$E:$E,STOCK_OVERVIEW!H$7,HIS_STOCK!$D:$D,STOCK_OVERVIEW!H$5,HIS_STOCK!$C:$C,STOCK_OVERVIEW!$O$4,HIS_STOCK!$B:$B,STOCK_OVERVIEW!$B$1,HIS_STOCK!$A:$A,STOCK_OVERVIEW!$M$4)</f>
        <v>706622.38960000023</v>
      </c>
      <c r="I9" s="622">
        <f ca="1">SUMIFS(HIS_STOCK!$G:$G,HIS_STOCK!$E:$E,STOCK_OVERVIEW!I$7,HIS_STOCK!$D:$D,STOCK_OVERVIEW!I$5,HIS_STOCK!$C:$C,STOCK_OVERVIEW!$O$4,HIS_STOCK!$B:$B,STOCK_OVERVIEW!$B$1,HIS_STOCK!$A:$A,STOCK_OVERVIEW!$M$4)</f>
        <v>751064.87280000024</v>
      </c>
      <c r="J9" s="622"/>
      <c r="K9" s="622">
        <f ca="1">SUMIFS(HIS_STOCK!$G:$G,HIS_STOCK!$E:$E,STOCK_OVERVIEW!K$7,HIS_STOCK!$D:$D,STOCK_OVERVIEW!K$5,HIS_STOCK!$C:$C,STOCK_OVERVIEW!$O$4,HIS_STOCK!$B:$B,STOCK_OVERVIEW!$B$1,HIS_STOCK!$A:$A,STOCK_OVERVIEW!$M$4)</f>
        <v>1046982.2466</v>
      </c>
      <c r="L9" s="622">
        <f ca="1">SUMIFS(HIS_STOCK!$G:$G,HIS_STOCK!$E:$E,STOCK_OVERVIEW!L$7,HIS_STOCK!$D:$D,STOCK_OVERVIEW!L$5,HIS_STOCK!$C:$C,STOCK_OVERVIEW!$O$4,HIS_STOCK!$B:$B,STOCK_OVERVIEW!$B$1,HIS_STOCK!$A:$A,STOCK_OVERVIEW!$M$4)</f>
        <v>1761110.5568000004</v>
      </c>
      <c r="M9" s="622">
        <f ca="1">SUMIFS(HIS_STOCK!$G:$G,HIS_STOCK!$E:$E,STOCK_OVERVIEW!M$7,HIS_STOCK!$D:$D,STOCK_OVERVIEW!M$5,HIS_STOCK!$C:$C,STOCK_OVERVIEW!$O$4,HIS_STOCK!$B:$B,STOCK_OVERVIEW!$B$1,HIS_STOCK!$A:$A,STOCK_OVERVIEW!$M$4)</f>
        <v>1330359.0451000002</v>
      </c>
      <c r="N9" s="622"/>
      <c r="O9" s="622">
        <f ca="1">SUMIFS(HIS_STOCK!$G:$G,HIS_STOCK!$E:$E,STOCK_OVERVIEW!O$7,HIS_STOCK!$D:$D,STOCK_OVERVIEW!O$5,HIS_STOCK!$C:$C,STOCK_OVERVIEW!$O$4,HIS_STOCK!$B:$B,STOCK_OVERVIEW!$B$1,HIS_STOCK!$A:$A,STOCK_OVERVIEW!$M$4)</f>
        <v>1629999.0518</v>
      </c>
      <c r="P9" s="622">
        <f ca="1">SUMIFS(HIS_STOCK!$G:$G,HIS_STOCK!$E:$E,STOCK_OVERVIEW!P$7,HIS_STOCK!$D:$D,STOCK_OVERVIEW!P$5,HIS_STOCK!$C:$C,STOCK_OVERVIEW!$O$4,HIS_STOCK!$B:$B,STOCK_OVERVIEW!$B$1,HIS_STOCK!$A:$A,STOCK_OVERVIEW!$M$4)</f>
        <v>0</v>
      </c>
      <c r="Q9" s="622">
        <f ca="1">SUMIFS(HIS_STOCK!$G:$G,HIS_STOCK!$E:$E,STOCK_OVERVIEW!Q$7,HIS_STOCK!$D:$D,STOCK_OVERVIEW!Q$5,HIS_STOCK!$C:$C,STOCK_OVERVIEW!$O$4,HIS_STOCK!$B:$B,STOCK_OVERVIEW!$B$1,HIS_STOCK!$A:$A,STOCK_OVERVIEW!$M$4)</f>
        <v>0</v>
      </c>
      <c r="R9" s="606"/>
      <c r="S9" s="625">
        <f ca="1">C8</f>
        <v>0</v>
      </c>
      <c r="T9" s="625">
        <f t="shared" ref="T9:U9" ca="1" si="1">D8</f>
        <v>0</v>
      </c>
      <c r="U9" s="626">
        <f t="shared" ca="1" si="1"/>
        <v>0</v>
      </c>
      <c r="X9" s="200" t="str">
        <f>NWC_FC_NOOS!$B$1</f>
        <v>VM</v>
      </c>
      <c r="Y9" s="25" t="str">
        <f>NWC_FC_NOOS!$B$76</f>
        <v>ACCESSORIES</v>
      </c>
      <c r="Z9" s="25" t="str">
        <f t="shared" ca="1" si="0"/>
        <v>VMACCESSORIES18/19Jul</v>
      </c>
      <c r="AA9" s="25" t="str">
        <f>NWC_FC_NOOS!$I$1</f>
        <v>NOOS</v>
      </c>
      <c r="AB9" s="25" t="str">
        <f ca="1">NWC_FC_NOOS!$G$73</f>
        <v>18/19</v>
      </c>
      <c r="AC9" s="25" t="str">
        <f ca="1">NWC_FC_NOOS!$G$74</f>
        <v>Q4</v>
      </c>
      <c r="AD9" s="25" t="str">
        <f ca="1">NWC_FC_NOOS!$I$75</f>
        <v>Jul</v>
      </c>
      <c r="AE9" s="649">
        <f ca="1">IFERROR(HLOOKUP($AB9&amp;$AD9,NWC_FC_NOOS!$B$4:$Q$24,MATCH($Y9,NWC_FC_NOOS!$B$4:$B$24,0),FALSE),"")</f>
        <v>0</v>
      </c>
      <c r="AF9" s="650">
        <f ca="1">IFERROR(HLOOKUP($AB9&amp;$AD9,NWC_FC_NOOS!$S$4:$AH$24,MATCH($Y9,NWC_FC_NOOS!$S$4:$S$24,0),FALSE),"")</f>
        <v>0</v>
      </c>
      <c r="AG9" s="650">
        <f ca="1">IFERROR(HLOOKUP($AB9&amp;$AD9,NWC_FC_NOOS!$C$50:$U$70,MATCH($Y9,NWC_FC_NOOS!$B$50:$B$70,0),FALSE),"")</f>
        <v>0</v>
      </c>
      <c r="AH9" s="650">
        <f ca="1">IFERROR(IF($AA9="NOOS",HLOOKUP(STOCK_OVERVIEW!$AB9&amp;STOCK_OVERVIEW!$AD9,PLANNING_FC!$BB$27:$BP$46,MATCH(STOCK_OVERVIEW!$Y9,PLANNING_FC!$BA$27:$BA$46,0),FALSE),HLOOKUP($AB9&amp;$AD9,PLANNING_FC!$BB$4:$BP$23,MATCH(STOCK_OVERVIEW!$Y9,PLANNING_FC!$BA$4:$BA$23,0),FALSE)),"")</f>
        <v>0</v>
      </c>
      <c r="AI9" s="650">
        <f ca="1">IFERROR(IF($AA9="NOOS",HLOOKUP(STOCK_OVERVIEW!$AB9&amp;STOCK_OVERVIEW!$AD9,PLANNING_FC!$T$27:$AH$46,MATCH(STOCK_OVERVIEW!$Y9,PLANNING_FC!$B$27:$B$46,0),FALSE),HLOOKUP($AB9&amp;$AD9,PLANNING_FC!$T$4:$AH$23,MATCH(STOCK_OVERVIEW!$Y9,PLANNING_FC!$B$4:$B$23,0),FALSE)),"")</f>
        <v>0</v>
      </c>
      <c r="AJ9" s="650">
        <f ca="1">IFERROR(IF($AA9="NOOS",HLOOKUP(STOCK_OVERVIEW!$AB9&amp;STOCK_OVERVIEW!$AD9,PLANNING_FC!$DA$27:$DO$46,MATCH(STOCK_OVERVIEW!$Y9,PLANNING_FC!$CZ$27:$CZ$46,0),FALSE),HLOOKUP($AB9&amp;$AD9,PLANNING_FC!$DA$4:$DO$23,MATCH(STOCK_OVERVIEW!$Y9,PLANNING_FC!$CZ$4:$CZ$23,0),FALSE)),"")</f>
        <v>3623</v>
      </c>
      <c r="AK9" s="651">
        <f ca="1">IFERROR(IF(AA9="NOOS",HLOOKUP(AB9&amp;AD9,PLANNING_FC!$AJ$27:$AY$47,MATCH(STOCK_OVERVIEW!Y9,PLANNING_FC!$AJ$27:$AJ$47,0),FALSE)*1000,HLOOKUP(AB9&amp;AD9,PLANNING_FC!$AJ$4:$AY$24,MATCH(STOCK_OVERVIEW!Y9,PLANNING_FC!$AJ$4:$AJ$24,0),FALSE)*1000),"")</f>
        <v>0</v>
      </c>
      <c r="AS9" s="641"/>
      <c r="AT9" s="642"/>
    </row>
    <row r="10" spans="1:51" ht="15" customHeight="1" x14ac:dyDescent="0.25">
      <c r="C10" s="622"/>
      <c r="D10" s="622"/>
      <c r="E10" s="622"/>
      <c r="F10" s="606"/>
      <c r="G10" s="622"/>
      <c r="H10" s="622"/>
      <c r="I10" s="622"/>
      <c r="J10" s="606"/>
      <c r="K10" s="622"/>
      <c r="L10" s="622"/>
      <c r="M10" s="622"/>
      <c r="N10" s="606"/>
      <c r="O10" s="622"/>
      <c r="P10" s="622"/>
      <c r="Q10" s="622"/>
      <c r="R10" s="606"/>
      <c r="S10" s="623"/>
      <c r="T10" s="623"/>
      <c r="U10" s="624"/>
      <c r="X10" s="200" t="str">
        <f>NWC_FC_NOOS!$B$1</f>
        <v>VM</v>
      </c>
      <c r="Y10" s="25" t="str">
        <f>NWC_FC_NOOS!$B$76</f>
        <v>ACCESSORIES</v>
      </c>
      <c r="Z10" s="25" t="str">
        <f t="shared" ca="1" si="0"/>
        <v>VMACCESSORIES19/20Aug</v>
      </c>
      <c r="AA10" s="25" t="str">
        <f>NWC_FC_NOOS!$I$1</f>
        <v>NOOS</v>
      </c>
      <c r="AB10" s="25" t="str">
        <f ca="1">NWC_FC_NOOS!$K$73</f>
        <v>19/20</v>
      </c>
      <c r="AC10" s="25" t="str">
        <f ca="1">NWC_FC_NOOS!$K$74</f>
        <v>Q1</v>
      </c>
      <c r="AD10" s="25" t="str">
        <f ca="1">NWC_FC_NOOS!$K$75</f>
        <v>Aug</v>
      </c>
      <c r="AE10" s="649">
        <f ca="1">IFERROR(HLOOKUP($AB10&amp;$AD10,NWC_FC_NOOS!$B$4:$Q$24,MATCH($Y10,NWC_FC_NOOS!$B$4:$B$24,0),FALSE),"")</f>
        <v>0</v>
      </c>
      <c r="AF10" s="650">
        <f ca="1">IFERROR(HLOOKUP($AB10&amp;$AD10,NWC_FC_NOOS!$S$4:$AH$24,MATCH($Y10,NWC_FC_NOOS!$S$4:$S$24,0),FALSE),"")</f>
        <v>0</v>
      </c>
      <c r="AG10" s="650">
        <f ca="1">IFERROR(HLOOKUP($AB10&amp;$AD10,NWC_FC_NOOS!$C$50:$U$70,MATCH($Y10,NWC_FC_NOOS!$B$50:$B$70,0),FALSE),"")</f>
        <v>0</v>
      </c>
      <c r="AH10" s="650">
        <f ca="1">IFERROR(IF($AA10="NOOS",HLOOKUP(STOCK_OVERVIEW!$AB10&amp;STOCK_OVERVIEW!$AD10,PLANNING_FC!$BB$27:$BP$46,MATCH(STOCK_OVERVIEW!$Y10,PLANNING_FC!$BA$27:$BA$46,0),FALSE),HLOOKUP($AB10&amp;$AD10,PLANNING_FC!$BB$4:$BP$23,MATCH(STOCK_OVERVIEW!$Y10,PLANNING_FC!$BA$4:$BA$23,0),FALSE)),"")</f>
        <v>0</v>
      </c>
      <c r="AI10" s="650">
        <f ca="1">IFERROR(IF($AA10="NOOS",HLOOKUP(STOCK_OVERVIEW!$AB10&amp;STOCK_OVERVIEW!$AD10,PLANNING_FC!$T$27:$AH$46,MATCH(STOCK_OVERVIEW!$Y10,PLANNING_FC!$B$27:$B$46,0),FALSE),HLOOKUP($AB10&amp;$AD10,PLANNING_FC!$T$4:$AH$23,MATCH(STOCK_OVERVIEW!$Y10,PLANNING_FC!$B$4:$B$23,0),FALSE)),"")</f>
        <v>0</v>
      </c>
      <c r="AJ10" s="650">
        <f ca="1">IFERROR(IF($AA10="NOOS",HLOOKUP(STOCK_OVERVIEW!$AB10&amp;STOCK_OVERVIEW!$AD10,PLANNING_FC!$DA$27:$DO$46,MATCH(STOCK_OVERVIEW!$Y10,PLANNING_FC!$CZ$27:$CZ$46,0),FALSE),HLOOKUP($AB10&amp;$AD10,PLANNING_FC!$DA$4:$DO$23,MATCH(STOCK_OVERVIEW!$Y10,PLANNING_FC!$CZ$4:$CZ$23,0),FALSE)),"")</f>
        <v>3623</v>
      </c>
      <c r="AK10" s="651">
        <f ca="1">IFERROR(IF(AA10="NOOS",HLOOKUP(AB10&amp;AD10,PLANNING_FC!$AJ$27:$AY$47,MATCH(STOCK_OVERVIEW!Y10,PLANNING_FC!$AJ$27:$AJ$47,0),FALSE)*1000,HLOOKUP(AB10&amp;AD10,PLANNING_FC!$AJ$4:$AY$24,MATCH(STOCK_OVERVIEW!Y10,PLANNING_FC!$AJ$4:$AJ$24,0),FALSE)*1000),"")</f>
        <v>0</v>
      </c>
      <c r="AU10" s="642"/>
      <c r="AV10" s="642"/>
    </row>
    <row r="11" spans="1:51" x14ac:dyDescent="0.25">
      <c r="B11" s="23" t="s">
        <v>260</v>
      </c>
      <c r="C11" s="622">
        <f ca="1">C8/4.3</f>
        <v>0</v>
      </c>
      <c r="D11" s="622">
        <f t="shared" ref="D11:U11" ca="1" si="2">D8/4.3</f>
        <v>0</v>
      </c>
      <c r="E11" s="622">
        <f t="shared" ca="1" si="2"/>
        <v>0</v>
      </c>
      <c r="F11" s="606"/>
      <c r="G11" s="622">
        <f t="shared" ca="1" si="2"/>
        <v>0</v>
      </c>
      <c r="H11" s="622">
        <f t="shared" ca="1" si="2"/>
        <v>0</v>
      </c>
      <c r="I11" s="622">
        <f t="shared" ca="1" si="2"/>
        <v>0</v>
      </c>
      <c r="J11" s="606"/>
      <c r="K11" s="622">
        <f t="shared" ca="1" si="2"/>
        <v>0</v>
      </c>
      <c r="L11" s="622">
        <f t="shared" ca="1" si="2"/>
        <v>0</v>
      </c>
      <c r="M11" s="622">
        <f t="shared" ca="1" si="2"/>
        <v>0</v>
      </c>
      <c r="N11" s="606"/>
      <c r="O11" s="622">
        <f t="shared" ca="1" si="2"/>
        <v>0</v>
      </c>
      <c r="P11" s="622">
        <f t="shared" ca="1" si="2"/>
        <v>0</v>
      </c>
      <c r="Q11" s="622">
        <f t="shared" ca="1" si="2"/>
        <v>0</v>
      </c>
      <c r="R11" s="606"/>
      <c r="S11" s="623">
        <f t="shared" ca="1" si="2"/>
        <v>0</v>
      </c>
      <c r="T11" s="623">
        <f t="shared" ca="1" si="2"/>
        <v>0</v>
      </c>
      <c r="U11" s="624">
        <f t="shared" ca="1" si="2"/>
        <v>0</v>
      </c>
      <c r="X11" s="200" t="str">
        <f>NWC_FC_NOOS!$B$1</f>
        <v>VM</v>
      </c>
      <c r="Y11" s="25" t="str">
        <f>NWC_FC_NOOS!$B$76</f>
        <v>ACCESSORIES</v>
      </c>
      <c r="Z11" s="25" t="str">
        <f t="shared" ca="1" si="0"/>
        <v>VMACCESSORIES19/20Sep</v>
      </c>
      <c r="AA11" s="25" t="str">
        <f>NWC_FC_NOOS!$I$1</f>
        <v>NOOS</v>
      </c>
      <c r="AB11" s="25" t="str">
        <f ca="1">NWC_FC_NOOS!$K$73</f>
        <v>19/20</v>
      </c>
      <c r="AC11" s="25" t="str">
        <f ca="1">NWC_FC_NOOS!$K$74</f>
        <v>Q1</v>
      </c>
      <c r="AD11" s="25" t="str">
        <f ca="1">NWC_FC_NOOS!$L$75</f>
        <v>Sep</v>
      </c>
      <c r="AE11" s="649">
        <f ca="1">IFERROR(HLOOKUP($AB11&amp;$AD11,NWC_FC_NOOS!$B$4:$Q$24,MATCH($Y11,NWC_FC_NOOS!$B$4:$B$24,0),FALSE),"")</f>
        <v>0</v>
      </c>
      <c r="AF11" s="650">
        <f ca="1">IFERROR(HLOOKUP($AB11&amp;$AD11,NWC_FC_NOOS!$S$4:$AH$24,MATCH($Y11,NWC_FC_NOOS!$S$4:$S$24,0),FALSE),"")</f>
        <v>0</v>
      </c>
      <c r="AG11" s="650">
        <f ca="1">IFERROR(HLOOKUP($AB11&amp;$AD11,NWC_FC_NOOS!$C$50:$U$70,MATCH($Y11,NWC_FC_NOOS!$B$50:$B$70,0),FALSE),"")</f>
        <v>0</v>
      </c>
      <c r="AH11" s="650">
        <f ca="1">IFERROR(IF($AA11="NOOS",HLOOKUP(STOCK_OVERVIEW!$AB11&amp;STOCK_OVERVIEW!$AD11,PLANNING_FC!$BB$27:$BP$46,MATCH(STOCK_OVERVIEW!$Y11,PLANNING_FC!$BA$27:$BA$46,0),FALSE),HLOOKUP($AB11&amp;$AD11,PLANNING_FC!$BB$4:$BP$23,MATCH(STOCK_OVERVIEW!$Y11,PLANNING_FC!$BA$4:$BA$23,0),FALSE)),"")</f>
        <v>0</v>
      </c>
      <c r="AI11" s="650">
        <f ca="1">IFERROR(IF($AA11="NOOS",HLOOKUP(STOCK_OVERVIEW!$AB11&amp;STOCK_OVERVIEW!$AD11,PLANNING_FC!$T$27:$AH$46,MATCH(STOCK_OVERVIEW!$Y11,PLANNING_FC!$B$27:$B$46,0),FALSE),HLOOKUP($AB11&amp;$AD11,PLANNING_FC!$T$4:$AH$23,MATCH(STOCK_OVERVIEW!$Y11,PLANNING_FC!$B$4:$B$23,0),FALSE)),"")</f>
        <v>0</v>
      </c>
      <c r="AJ11" s="650">
        <f ca="1">IFERROR(IF($AA11="NOOS",HLOOKUP(STOCK_OVERVIEW!$AB11&amp;STOCK_OVERVIEW!$AD11,PLANNING_FC!$DA$27:$DO$46,MATCH(STOCK_OVERVIEW!$Y11,PLANNING_FC!$CZ$27:$CZ$46,0),FALSE),HLOOKUP($AB11&amp;$AD11,PLANNING_FC!$DA$4:$DO$23,MATCH(STOCK_OVERVIEW!$Y11,PLANNING_FC!$CZ$4:$CZ$23,0),FALSE)),"")</f>
        <v>3623</v>
      </c>
      <c r="AK11" s="651">
        <f ca="1">IFERROR(IF(AA11="NOOS",HLOOKUP(AB11&amp;AD11,PLANNING_FC!$AJ$27:$AY$47,MATCH(STOCK_OVERVIEW!Y11,PLANNING_FC!$AJ$27:$AJ$47,0),FALSE)*1000,HLOOKUP(AB11&amp;AD11,PLANNING_FC!$AJ$4:$AY$24,MATCH(STOCK_OVERVIEW!Y11,PLANNING_FC!$AJ$4:$AJ$24,0),FALSE)*1000),"")</f>
        <v>0</v>
      </c>
      <c r="AU11" s="642"/>
      <c r="AW11" s="642"/>
      <c r="AX11" s="642"/>
    </row>
    <row r="12" spans="1:51" x14ac:dyDescent="0.25">
      <c r="B12" s="23" t="s">
        <v>261</v>
      </c>
      <c r="C12" s="622">
        <f t="shared" ref="C12:U12" ca="1" si="3">C9/4.3</f>
        <v>195360.68844186049</v>
      </c>
      <c r="D12" s="622">
        <f t="shared" ca="1" si="3"/>
        <v>299066.88853488368</v>
      </c>
      <c r="E12" s="622">
        <f t="shared" ca="1" si="3"/>
        <v>341569.43116279069</v>
      </c>
      <c r="F12" s="606"/>
      <c r="G12" s="622">
        <f t="shared" ca="1" si="3"/>
        <v>190690.61548837216</v>
      </c>
      <c r="H12" s="622">
        <f t="shared" ca="1" si="3"/>
        <v>164330.78827906982</v>
      </c>
      <c r="I12" s="622">
        <f t="shared" ca="1" si="3"/>
        <v>174666.24948837215</v>
      </c>
      <c r="J12" s="606"/>
      <c r="K12" s="622">
        <f t="shared" ca="1" si="3"/>
        <v>243484.24339534884</v>
      </c>
      <c r="L12" s="622">
        <f t="shared" ca="1" si="3"/>
        <v>409560.59460465127</v>
      </c>
      <c r="M12" s="622">
        <f t="shared" ca="1" si="3"/>
        <v>309385.82444186055</v>
      </c>
      <c r="N12" s="606"/>
      <c r="O12" s="622">
        <f t="shared" ca="1" si="3"/>
        <v>379069.54693023255</v>
      </c>
      <c r="P12" s="622">
        <f t="shared" ca="1" si="3"/>
        <v>0</v>
      </c>
      <c r="Q12" s="622">
        <f t="shared" ca="1" si="3"/>
        <v>0</v>
      </c>
      <c r="R12" s="606"/>
      <c r="S12" s="623">
        <f t="shared" ca="1" si="3"/>
        <v>0</v>
      </c>
      <c r="T12" s="623">
        <f t="shared" ca="1" si="3"/>
        <v>0</v>
      </c>
      <c r="U12" s="624">
        <f t="shared" ca="1" si="3"/>
        <v>0</v>
      </c>
      <c r="X12" s="200" t="str">
        <f>NWC_FC_NOOS!$B$1</f>
        <v>VM</v>
      </c>
      <c r="Y12" s="25" t="str">
        <f>NWC_FC_NOOS!$B$76</f>
        <v>ACCESSORIES</v>
      </c>
      <c r="Z12" s="25" t="str">
        <f t="shared" ca="1" si="0"/>
        <v>VMACCESSORIES19/20Oct</v>
      </c>
      <c r="AA12" s="25" t="str">
        <f>NWC_FC_NOOS!$I$1</f>
        <v>NOOS</v>
      </c>
      <c r="AB12" s="25" t="str">
        <f ca="1">NWC_FC_NOOS!$K$73</f>
        <v>19/20</v>
      </c>
      <c r="AC12" s="25" t="str">
        <f ca="1">NWC_FC_NOOS!$K$74</f>
        <v>Q1</v>
      </c>
      <c r="AD12" s="25" t="str">
        <f ca="1">NWC_FC_NOOS!$M$75</f>
        <v>Oct</v>
      </c>
      <c r="AE12" s="649">
        <f ca="1">IFERROR(HLOOKUP($AB12&amp;$AD12,NWC_FC_NOOS!$B$4:$Q$24,MATCH($Y12,NWC_FC_NOOS!$B$4:$B$24,0),FALSE),"")</f>
        <v>0</v>
      </c>
      <c r="AF12" s="650">
        <f ca="1">IFERROR(HLOOKUP($AB12&amp;$AD12,NWC_FC_NOOS!$S$4:$AH$24,MATCH($Y12,NWC_FC_NOOS!$S$4:$S$24,0),FALSE),"")</f>
        <v>0</v>
      </c>
      <c r="AG12" s="650">
        <f ca="1">IFERROR(HLOOKUP($AB12&amp;$AD12,NWC_FC_NOOS!$C$50:$U$70,MATCH($Y12,NWC_FC_NOOS!$B$50:$B$70,0),FALSE),"")</f>
        <v>0</v>
      </c>
      <c r="AH12" s="650">
        <f ca="1">IFERROR(IF($AA12="NOOS",HLOOKUP(STOCK_OVERVIEW!$AB12&amp;STOCK_OVERVIEW!$AD12,PLANNING_FC!$BB$27:$BP$46,MATCH(STOCK_OVERVIEW!$Y12,PLANNING_FC!$BA$27:$BA$46,0),FALSE),HLOOKUP($AB12&amp;$AD12,PLANNING_FC!$BB$4:$BP$23,MATCH(STOCK_OVERVIEW!$Y12,PLANNING_FC!$BA$4:$BA$23,0),FALSE)),"")</f>
        <v>0</v>
      </c>
      <c r="AI12" s="650">
        <f ca="1">IFERROR(IF($AA12="NOOS",HLOOKUP(STOCK_OVERVIEW!$AB12&amp;STOCK_OVERVIEW!$AD12,PLANNING_FC!$T$27:$AH$46,MATCH(STOCK_OVERVIEW!$Y12,PLANNING_FC!$B$27:$B$46,0),FALSE),HLOOKUP($AB12&amp;$AD12,PLANNING_FC!$T$4:$AH$23,MATCH(STOCK_OVERVIEW!$Y12,PLANNING_FC!$B$4:$B$23,0),FALSE)),"")</f>
        <v>0</v>
      </c>
      <c r="AJ12" s="650">
        <f ca="1">IFERROR(IF($AA12="NOOS",HLOOKUP(STOCK_OVERVIEW!$AB12&amp;STOCK_OVERVIEW!$AD12,PLANNING_FC!$DA$27:$DO$46,MATCH(STOCK_OVERVIEW!$Y12,PLANNING_FC!$CZ$27:$CZ$46,0),FALSE),HLOOKUP($AB12&amp;$AD12,PLANNING_FC!$DA$4:$DO$23,MATCH(STOCK_OVERVIEW!$Y12,PLANNING_FC!$CZ$4:$CZ$23,0),FALSE)),"")</f>
        <v>3623</v>
      </c>
      <c r="AK12" s="651">
        <f ca="1">IFERROR(IF(AA12="NOOS",HLOOKUP(AB12&amp;AD12,PLANNING_FC!$AJ$27:$AY$47,MATCH(STOCK_OVERVIEW!Y12,PLANNING_FC!$AJ$27:$AJ$47,0),FALSE)*1000,HLOOKUP(AB12&amp;AD12,PLANNING_FC!$AJ$4:$AY$24,MATCH(STOCK_OVERVIEW!Y12,PLANNING_FC!$AJ$4:$AJ$24,0),FALSE)*1000),"")</f>
        <v>0</v>
      </c>
      <c r="AR12" s="643"/>
      <c r="AY12" s="630"/>
    </row>
    <row r="13" spans="1:51" x14ac:dyDescent="0.25">
      <c r="X13" s="200" t="str">
        <f>NWC_FC_NOOS!$B$1</f>
        <v>VM</v>
      </c>
      <c r="Y13" s="25" t="str">
        <f>NWC_FC_NOOS!$B$76</f>
        <v>ACCESSORIES</v>
      </c>
      <c r="Z13" s="25" t="str">
        <f t="shared" ca="1" si="0"/>
        <v>VMACCESSORIES19/20Nov</v>
      </c>
      <c r="AA13" s="25" t="str">
        <f>NWC_FC_NOOS!$I$1</f>
        <v>NOOS</v>
      </c>
      <c r="AB13" s="25" t="str">
        <f ca="1">NWC_FC_NOOS!$O$73</f>
        <v>19/20</v>
      </c>
      <c r="AC13" s="25" t="str">
        <f ca="1">NWC_FC_NOOS!$O$74</f>
        <v>Q2</v>
      </c>
      <c r="AD13" s="25" t="str">
        <f ca="1">NWC_FC_NOOS!$O$75</f>
        <v>Nov</v>
      </c>
      <c r="AE13" s="649">
        <f ca="1">IFERROR(HLOOKUP($AB13&amp;$AD13,NWC_FC_NOOS!$B$4:$Q$24,MATCH($Y13,NWC_FC_NOOS!$B$4:$B$24,0),FALSE),"")</f>
        <v>0</v>
      </c>
      <c r="AF13" s="650">
        <f ca="1">IFERROR(HLOOKUP($AB13&amp;$AD13,NWC_FC_NOOS!$S$4:$AH$24,MATCH($Y13,NWC_FC_NOOS!$S$4:$S$24,0),FALSE),"")</f>
        <v>0</v>
      </c>
      <c r="AG13" s="650">
        <f ca="1">IFERROR(HLOOKUP($AB13&amp;$AD13,NWC_FC_NOOS!$C$50:$U$70,MATCH($Y13,NWC_FC_NOOS!$B$50:$B$70,0),FALSE),"")</f>
        <v>0</v>
      </c>
      <c r="AH13" s="650">
        <f ca="1">IFERROR(IF($AA13="NOOS",HLOOKUP(STOCK_OVERVIEW!$AB13&amp;STOCK_OVERVIEW!$AD13,PLANNING_FC!$BB$27:$BP$46,MATCH(STOCK_OVERVIEW!$Y13,PLANNING_FC!$BA$27:$BA$46,0),FALSE),HLOOKUP($AB13&amp;$AD13,PLANNING_FC!$BB$4:$BP$23,MATCH(STOCK_OVERVIEW!$Y13,PLANNING_FC!$BA$4:$BA$23,0),FALSE)),"")</f>
        <v>0</v>
      </c>
      <c r="AI13" s="650">
        <f ca="1">IFERROR(IF($AA13="NOOS",HLOOKUP(STOCK_OVERVIEW!$AB13&amp;STOCK_OVERVIEW!$AD13,PLANNING_FC!$T$27:$AH$46,MATCH(STOCK_OVERVIEW!$Y13,PLANNING_FC!$B$27:$B$46,0),FALSE),HLOOKUP($AB13&amp;$AD13,PLANNING_FC!$T$4:$AH$23,MATCH(STOCK_OVERVIEW!$Y13,PLANNING_FC!$B$4:$B$23,0),FALSE)),"")</f>
        <v>0</v>
      </c>
      <c r="AJ13" s="650">
        <f ca="1">IFERROR(IF($AA13="NOOS",HLOOKUP(STOCK_OVERVIEW!$AB13&amp;STOCK_OVERVIEW!$AD13,PLANNING_FC!$DA$27:$DO$46,MATCH(STOCK_OVERVIEW!$Y13,PLANNING_FC!$CZ$27:$CZ$46,0),FALSE),HLOOKUP($AB13&amp;$AD13,PLANNING_FC!$DA$4:$DO$23,MATCH(STOCK_OVERVIEW!$Y13,PLANNING_FC!$CZ$4:$CZ$23,0),FALSE)),"")</f>
        <v>3623</v>
      </c>
      <c r="AK13" s="651">
        <f ca="1">IFERROR(IF(AA13="NOOS",HLOOKUP(AB13&amp;AD13,PLANNING_FC!$AJ$27:$AY$47,MATCH(STOCK_OVERVIEW!Y13,PLANNING_FC!$AJ$27:$AJ$47,0),FALSE)*1000,HLOOKUP(AB13&amp;AD13,PLANNING_FC!$AJ$4:$AY$24,MATCH(STOCK_OVERVIEW!Y13,PLANNING_FC!$AJ$4:$AJ$24,0),FALSE)*1000),"")</f>
        <v>0</v>
      </c>
    </row>
    <row r="14" spans="1:51" x14ac:dyDescent="0.25">
      <c r="B14" s="23"/>
      <c r="F14" s="599"/>
      <c r="X14" s="200" t="str">
        <f>NWC_FC_NOOS!$B$1</f>
        <v>VM</v>
      </c>
      <c r="Y14" s="25" t="str">
        <f>NWC_FC_NOOS!$B$76</f>
        <v>ACCESSORIES</v>
      </c>
      <c r="Z14" s="25" t="str">
        <f t="shared" ca="1" si="0"/>
        <v>VMACCESSORIES19/20Dec</v>
      </c>
      <c r="AA14" s="25" t="str">
        <f>NWC_FC_NOOS!$I$1</f>
        <v>NOOS</v>
      </c>
      <c r="AB14" s="25" t="str">
        <f ca="1">NWC_FC_NOOS!$O$73</f>
        <v>19/20</v>
      </c>
      <c r="AC14" s="25" t="str">
        <f ca="1">NWC_FC_NOOS!$O$74</f>
        <v>Q2</v>
      </c>
      <c r="AD14" s="25" t="str">
        <f ca="1">NWC_FC_NOOS!$P$75</f>
        <v>Dec</v>
      </c>
      <c r="AE14" s="649">
        <f ca="1">IFERROR(HLOOKUP($AB14&amp;$AD14,NWC_FC_NOOS!$B$4:$Q$24,MATCH($Y14,NWC_FC_NOOS!$B$4:$B$24,0),FALSE),"")</f>
        <v>0</v>
      </c>
      <c r="AF14" s="650">
        <f ca="1">IFERROR(HLOOKUP($AB14&amp;$AD14,NWC_FC_NOOS!$S$4:$AH$24,MATCH($Y14,NWC_FC_NOOS!$S$4:$S$24,0),FALSE),"")</f>
        <v>0</v>
      </c>
      <c r="AG14" s="650">
        <f ca="1">IFERROR(HLOOKUP($AB14&amp;$AD14,NWC_FC_NOOS!$C$50:$U$70,MATCH($Y14,NWC_FC_NOOS!$B$50:$B$70,0),FALSE),"")</f>
        <v>0</v>
      </c>
      <c r="AH14" s="650">
        <f ca="1">IFERROR(IF($AA14="NOOS",HLOOKUP(STOCK_OVERVIEW!$AB14&amp;STOCK_OVERVIEW!$AD14,PLANNING_FC!$BB$27:$BP$46,MATCH(STOCK_OVERVIEW!$Y14,PLANNING_FC!$BA$27:$BA$46,0),FALSE),HLOOKUP($AB14&amp;$AD14,PLANNING_FC!$BB$4:$BP$23,MATCH(STOCK_OVERVIEW!$Y14,PLANNING_FC!$BA$4:$BA$23,0),FALSE)),"")</f>
        <v>0</v>
      </c>
      <c r="AI14" s="650">
        <f ca="1">IFERROR(IF($AA14="NOOS",HLOOKUP(STOCK_OVERVIEW!$AB14&amp;STOCK_OVERVIEW!$AD14,PLANNING_FC!$T$27:$AH$46,MATCH(STOCK_OVERVIEW!$Y14,PLANNING_FC!$B$27:$B$46,0),FALSE),HLOOKUP($AB14&amp;$AD14,PLANNING_FC!$T$4:$AH$23,MATCH(STOCK_OVERVIEW!$Y14,PLANNING_FC!$B$4:$B$23,0),FALSE)),"")</f>
        <v>0</v>
      </c>
      <c r="AJ14" s="650">
        <f ca="1">IFERROR(IF($AA14="NOOS",HLOOKUP(STOCK_OVERVIEW!$AB14&amp;STOCK_OVERVIEW!$AD14,PLANNING_FC!$DA$27:$DO$46,MATCH(STOCK_OVERVIEW!$Y14,PLANNING_FC!$CZ$27:$CZ$46,0),FALSE),HLOOKUP($AB14&amp;$AD14,PLANNING_FC!$DA$4:$DO$23,MATCH(STOCK_OVERVIEW!$Y14,PLANNING_FC!$CZ$4:$CZ$23,0),FALSE)),"")</f>
        <v>3623</v>
      </c>
      <c r="AK14" s="651">
        <f ca="1">IFERROR(IF(AA14="NOOS",HLOOKUP(AB14&amp;AD14,PLANNING_FC!$AJ$27:$AY$47,MATCH(STOCK_OVERVIEW!Y14,PLANNING_FC!$AJ$27:$AJ$47,0),FALSE)*1000,HLOOKUP(AB14&amp;AD14,PLANNING_FC!$AJ$4:$AY$24,MATCH(STOCK_OVERVIEW!Y14,PLANNING_FC!$AJ$4:$AJ$24,0),FALSE)*1000),"")</f>
        <v>0</v>
      </c>
      <c r="AS14" s="641"/>
      <c r="AT14" s="642"/>
    </row>
    <row r="15" spans="1:51" x14ac:dyDescent="0.25">
      <c r="F15" s="599"/>
      <c r="G15" s="23"/>
      <c r="H15" s="23"/>
      <c r="I15" s="23"/>
      <c r="J15" s="23"/>
      <c r="K15" s="23"/>
      <c r="L15" s="23"/>
      <c r="M15" s="23"/>
      <c r="N15" s="23"/>
      <c r="O15" s="23"/>
      <c r="P15" s="23"/>
      <c r="Q15" s="23"/>
      <c r="R15" s="23"/>
      <c r="S15" s="23"/>
      <c r="T15" s="23"/>
      <c r="U15" s="23"/>
      <c r="X15" s="200" t="str">
        <f>NWC_FC_NOOS!$B$1</f>
        <v>VM</v>
      </c>
      <c r="Y15" s="25" t="str">
        <f>NWC_FC_NOOS!$B$76</f>
        <v>ACCESSORIES</v>
      </c>
      <c r="Z15" s="25" t="str">
        <f t="shared" ca="1" si="0"/>
        <v>VMACCESSORIES19/20Jan</v>
      </c>
      <c r="AA15" s="25" t="str">
        <f>NWC_FC_NOOS!$I$1</f>
        <v>NOOS</v>
      </c>
      <c r="AB15" s="25" t="str">
        <f ca="1">NWC_FC_NOOS!$O$73</f>
        <v>19/20</v>
      </c>
      <c r="AC15" s="25" t="str">
        <f ca="1">NWC_FC_NOOS!$O$74</f>
        <v>Q2</v>
      </c>
      <c r="AD15" s="25" t="str">
        <f ca="1">NWC_FC_NOOS!$Q$75</f>
        <v>Jan</v>
      </c>
      <c r="AE15" s="649">
        <f ca="1">IFERROR(HLOOKUP($AB15&amp;$AD15,NWC_FC_NOOS!$B$4:$Q$24,MATCH($Y15,NWC_FC_NOOS!$B$4:$B$24,0),FALSE),"")</f>
        <v>0</v>
      </c>
      <c r="AF15" s="650">
        <f ca="1">IFERROR(HLOOKUP($AB15&amp;$AD15,NWC_FC_NOOS!$S$4:$AH$24,MATCH($Y15,NWC_FC_NOOS!$S$4:$S$24,0),FALSE),"")</f>
        <v>0</v>
      </c>
      <c r="AG15" s="650">
        <f ca="1">IFERROR(HLOOKUP($AB15&amp;$AD15,NWC_FC_NOOS!$C$50:$U$70,MATCH($Y15,NWC_FC_NOOS!$B$50:$B$70,0),FALSE),"")</f>
        <v>0</v>
      </c>
      <c r="AH15" s="650">
        <f ca="1">IFERROR(IF($AA15="NOOS",HLOOKUP(STOCK_OVERVIEW!$AB15&amp;STOCK_OVERVIEW!$AD15,PLANNING_FC!$BB$27:$BP$46,MATCH(STOCK_OVERVIEW!$Y15,PLANNING_FC!$BA$27:$BA$46,0),FALSE),HLOOKUP($AB15&amp;$AD15,PLANNING_FC!$BB$4:$BP$23,MATCH(STOCK_OVERVIEW!$Y15,PLANNING_FC!$BA$4:$BA$23,0),FALSE)),"")</f>
        <v>0</v>
      </c>
      <c r="AI15" s="650">
        <f ca="1">IFERROR(IF($AA15="NOOS",HLOOKUP(STOCK_OVERVIEW!$AB15&amp;STOCK_OVERVIEW!$AD15,PLANNING_FC!$T$27:$AH$46,MATCH(STOCK_OVERVIEW!$Y15,PLANNING_FC!$B$27:$B$46,0),FALSE),HLOOKUP($AB15&amp;$AD15,PLANNING_FC!$T$4:$AH$23,MATCH(STOCK_OVERVIEW!$Y15,PLANNING_FC!$B$4:$B$23,0),FALSE)),"")</f>
        <v>0</v>
      </c>
      <c r="AJ15" s="650">
        <f ca="1">IFERROR(IF($AA15="NOOS",HLOOKUP(STOCK_OVERVIEW!$AB15&amp;STOCK_OVERVIEW!$AD15,PLANNING_FC!$DA$27:$DO$46,MATCH(STOCK_OVERVIEW!$Y15,PLANNING_FC!$CZ$27:$CZ$46,0),FALSE),HLOOKUP($AB15&amp;$AD15,PLANNING_FC!$DA$4:$DO$23,MATCH(STOCK_OVERVIEW!$Y15,PLANNING_FC!$CZ$4:$CZ$23,0),FALSE)),"")</f>
        <v>3623</v>
      </c>
      <c r="AK15" s="651">
        <f ca="1">IFERROR(IF(AA15="NOOS",HLOOKUP(AB15&amp;AD15,PLANNING_FC!$AJ$27:$AY$47,MATCH(STOCK_OVERVIEW!Y15,PLANNING_FC!$AJ$27:$AJ$47,0),FALSE)*1000,HLOOKUP(AB15&amp;AD15,PLANNING_FC!$AJ$4:$AY$24,MATCH(STOCK_OVERVIEW!Y15,PLANNING_FC!$AJ$4:$AJ$24,0),FALSE)*1000),"")</f>
        <v>0</v>
      </c>
      <c r="AU15" s="642"/>
      <c r="AV15" s="642"/>
    </row>
    <row r="16" spans="1:51" x14ac:dyDescent="0.25">
      <c r="F16" s="599"/>
      <c r="X16" s="200" t="str">
        <f>NWC_FC_NOOS!$B$1</f>
        <v>VM</v>
      </c>
      <c r="Y16" s="25" t="str">
        <f>NWC_FC_NOOS!$B$76</f>
        <v>ACCESSORIES</v>
      </c>
      <c r="Z16" s="25" t="str">
        <f t="shared" ca="1" si="0"/>
        <v>VMACCESSORIES19/20Feb</v>
      </c>
      <c r="AA16" s="25" t="str">
        <f>NWC_FC_NOOS!$I$1</f>
        <v>NOOS</v>
      </c>
      <c r="AB16" s="25" t="str">
        <f ca="1">NWC_FC_NOOS!$S$73</f>
        <v>19/20</v>
      </c>
      <c r="AC16" s="25" t="str">
        <f ca="1">NWC_FC_NOOS!$S$74</f>
        <v>Q3</v>
      </c>
      <c r="AD16" s="25" t="str">
        <f ca="1">NWC_FC_NOOS!$S$75</f>
        <v>Feb</v>
      </c>
      <c r="AE16" s="649" t="str">
        <f ca="1">IFERROR(HLOOKUP($AB16&amp;$AD16,NWC_FC_NOOS!$B$4:$Q$24,MATCH($Y16,NWC_FC_NOOS!$B$4:$B$24,0),FALSE),"")</f>
        <v/>
      </c>
      <c r="AF16" s="650" t="str">
        <f ca="1">IFERROR(HLOOKUP($AB16&amp;$AD16,NWC_FC_NOOS!$S$4:$AH$24,MATCH($Y16,NWC_FC_NOOS!$S$4:$S$24,0),FALSE),"")</f>
        <v/>
      </c>
      <c r="AG16" s="650">
        <f ca="1">IFERROR(HLOOKUP($AB16&amp;$AD16,NWC_FC_NOOS!$C$50:$U$70,MATCH($Y16,NWC_FC_NOOS!$B$50:$B$70,0),FALSE),"")</f>
        <v>0</v>
      </c>
      <c r="AH16" s="650" t="str">
        <f ca="1">IFERROR(IF($AA16="NOOS",HLOOKUP(STOCK_OVERVIEW!$AB16&amp;STOCK_OVERVIEW!$AD16,PLANNING_FC!$BB$27:$BP$46,MATCH(STOCK_OVERVIEW!$Y16,PLANNING_FC!$BA$27:$BA$46,0),FALSE),HLOOKUP($AB16&amp;$AD16,PLANNING_FC!$BB$4:$BP$23,MATCH(STOCK_OVERVIEW!$Y16,PLANNING_FC!$BA$4:$BA$23,0),FALSE)),"")</f>
        <v/>
      </c>
      <c r="AI16" s="650" t="str">
        <f ca="1">IFERROR(IF($AA16="NOOS",HLOOKUP(STOCK_OVERVIEW!$AB16&amp;STOCK_OVERVIEW!$AD16,PLANNING_FC!$T$27:$AH$46,MATCH(STOCK_OVERVIEW!$Y16,PLANNING_FC!$B$27:$B$46,0),FALSE),HLOOKUP($AB16&amp;$AD16,PLANNING_FC!$T$4:$AH$23,MATCH(STOCK_OVERVIEW!$Y16,PLANNING_FC!$B$4:$B$23,0),FALSE)),"")</f>
        <v/>
      </c>
      <c r="AJ16" s="650" t="str">
        <f ca="1">IFERROR(IF($AA16="NOOS",HLOOKUP(STOCK_OVERVIEW!$AB16&amp;STOCK_OVERVIEW!$AD16,PLANNING_FC!$DA$27:$DO$46,MATCH(STOCK_OVERVIEW!$Y16,PLANNING_FC!$CZ$27:$CZ$46,0),FALSE),HLOOKUP($AB16&amp;$AD16,PLANNING_FC!$DA$4:$DO$23,MATCH(STOCK_OVERVIEW!$Y16,PLANNING_FC!$CZ$4:$CZ$23,0),FALSE)),"")</f>
        <v/>
      </c>
      <c r="AK16" s="651" t="str">
        <f ca="1">IFERROR(IF(AA16="NOOS",HLOOKUP(AB16&amp;AD16,PLANNING_FC!$AJ$27:$AY$47,MATCH(STOCK_OVERVIEW!Y16,PLANNING_FC!$AJ$27:$AJ$47,0),FALSE)*1000,HLOOKUP(AB16&amp;AD16,PLANNING_FC!$AJ$4:$AY$24,MATCH(STOCK_OVERVIEW!Y16,PLANNING_FC!$AJ$4:$AJ$24,0),FALSE)*1000),"")</f>
        <v/>
      </c>
      <c r="AU16" s="642"/>
      <c r="AW16" s="642"/>
      <c r="AX16" s="642"/>
    </row>
    <row r="17" spans="1:51" x14ac:dyDescent="0.25">
      <c r="B17" s="23"/>
      <c r="C17" s="622"/>
      <c r="D17" s="622"/>
      <c r="E17" s="622"/>
      <c r="F17" s="622"/>
      <c r="G17" s="622"/>
      <c r="X17" s="200" t="str">
        <f>NWC_FC_NOOS!$B$1</f>
        <v>VM</v>
      </c>
      <c r="Y17" s="25" t="str">
        <f>NWC_FC_NOOS!$B$76</f>
        <v>ACCESSORIES</v>
      </c>
      <c r="Z17" s="25" t="str">
        <f t="shared" ca="1" si="0"/>
        <v>VMACCESSORIES19/20Mar</v>
      </c>
      <c r="AA17" s="25" t="str">
        <f>NWC_FC_NOOS!$I$1</f>
        <v>NOOS</v>
      </c>
      <c r="AB17" s="25" t="str">
        <f ca="1">NWC_FC_NOOS!$S$73</f>
        <v>19/20</v>
      </c>
      <c r="AC17" s="25" t="str">
        <f ca="1">NWC_FC_NOOS!$S$74</f>
        <v>Q3</v>
      </c>
      <c r="AD17" s="25" t="str">
        <f ca="1">NWC_FC_NOOS!$T$75</f>
        <v>Mar</v>
      </c>
      <c r="AE17" s="649" t="str">
        <f ca="1">IFERROR(HLOOKUP($AB17&amp;$AD17,NWC_FC_NOOS!$B$4:$Q$24,MATCH($Y17,NWC_FC_NOOS!$B$4:$B$24,0),FALSE),"")</f>
        <v/>
      </c>
      <c r="AF17" s="650" t="str">
        <f ca="1">IFERROR(HLOOKUP($AB17&amp;$AD17,NWC_FC_NOOS!$S$4:$AH$24,MATCH($Y17,NWC_FC_NOOS!$S$4:$S$24,0),FALSE),"")</f>
        <v/>
      </c>
      <c r="AG17" s="650">
        <f ca="1">IFERROR(HLOOKUP($AB17&amp;$AD17,NWC_FC_NOOS!$C$50:$U$70,MATCH($Y17,NWC_FC_NOOS!$B$50:$B$70,0),FALSE),"")</f>
        <v>0</v>
      </c>
      <c r="AH17" s="650" t="str">
        <f ca="1">IFERROR(IF($AA17="NOOS",HLOOKUP(STOCK_OVERVIEW!$AB17&amp;STOCK_OVERVIEW!$AD17,PLANNING_FC!$BB$27:$BP$46,MATCH(STOCK_OVERVIEW!$Y17,PLANNING_FC!$BA$27:$BA$46,0),FALSE),HLOOKUP($AB17&amp;$AD17,PLANNING_FC!$BB$4:$BP$23,MATCH(STOCK_OVERVIEW!$Y17,PLANNING_FC!$BA$4:$BA$23,0),FALSE)),"")</f>
        <v/>
      </c>
      <c r="AI17" s="650" t="str">
        <f ca="1">IFERROR(IF($AA17="NOOS",HLOOKUP(STOCK_OVERVIEW!$AB17&amp;STOCK_OVERVIEW!$AD17,PLANNING_FC!$T$27:$AH$46,MATCH(STOCK_OVERVIEW!$Y17,PLANNING_FC!$B$27:$B$46,0),FALSE),HLOOKUP($AB17&amp;$AD17,PLANNING_FC!$T$4:$AH$23,MATCH(STOCK_OVERVIEW!$Y17,PLANNING_FC!$B$4:$B$23,0),FALSE)),"")</f>
        <v/>
      </c>
      <c r="AJ17" s="650" t="str">
        <f ca="1">IFERROR(IF($AA17="NOOS",HLOOKUP(STOCK_OVERVIEW!$AB17&amp;STOCK_OVERVIEW!$AD17,PLANNING_FC!$DA$27:$DO$46,MATCH(STOCK_OVERVIEW!$Y17,PLANNING_FC!$CZ$27:$CZ$46,0),FALSE),HLOOKUP($AB17&amp;$AD17,PLANNING_FC!$DA$4:$DO$23,MATCH(STOCK_OVERVIEW!$Y17,PLANNING_FC!$CZ$4:$CZ$23,0),FALSE)),"")</f>
        <v/>
      </c>
      <c r="AK17" s="651" t="str">
        <f ca="1">IFERROR(IF(AA17="NOOS",HLOOKUP(AB17&amp;AD17,PLANNING_FC!$AJ$27:$AY$47,MATCH(STOCK_OVERVIEW!Y17,PLANNING_FC!$AJ$27:$AJ$47,0),FALSE)*1000,HLOOKUP(AB17&amp;AD17,PLANNING_FC!$AJ$4:$AY$24,MATCH(STOCK_OVERVIEW!Y17,PLANNING_FC!$AJ$4:$AJ$24,0),FALSE)*1000),"")</f>
        <v/>
      </c>
      <c r="AR17" s="643"/>
      <c r="AY17" s="630"/>
    </row>
    <row r="18" spans="1:51" x14ac:dyDescent="0.25">
      <c r="B18" s="23"/>
      <c r="C18" s="622"/>
      <c r="D18" s="622"/>
      <c r="E18" s="622"/>
      <c r="F18" s="622"/>
      <c r="G18" s="622"/>
      <c r="X18" s="200" t="str">
        <f>NWC_FC_NOOS!$B$1</f>
        <v>VM</v>
      </c>
      <c r="Y18" s="25" t="str">
        <f>NWC_FC_NOOS!$B$76</f>
        <v>ACCESSORIES</v>
      </c>
      <c r="Z18" s="25" t="str">
        <f t="shared" ca="1" si="0"/>
        <v>VMACCESSORIES19/20Apr</v>
      </c>
      <c r="AA18" s="25" t="str">
        <f>NWC_FC_NOOS!$I$1</f>
        <v>NOOS</v>
      </c>
      <c r="AB18" s="25" t="str">
        <f ca="1">NWC_FC_NOOS!$S$73</f>
        <v>19/20</v>
      </c>
      <c r="AC18" s="25" t="str">
        <f ca="1">NWC_FC_NOOS!$S$74</f>
        <v>Q3</v>
      </c>
      <c r="AD18" s="25" t="str">
        <f ca="1">NWC_FC_NOOS!$U$75</f>
        <v>Apr</v>
      </c>
      <c r="AE18" s="649" t="str">
        <f ca="1">IFERROR(HLOOKUP($AB18&amp;$AD18,NWC_FC_NOOS!$B$4:$Q$24,MATCH($Y18,NWC_FC_NOOS!$B$4:$B$24,0),FALSE),"")</f>
        <v/>
      </c>
      <c r="AF18" s="650" t="str">
        <f ca="1">IFERROR(HLOOKUP($AB18&amp;$AD18,NWC_FC_NOOS!$S$4:$AH$24,MATCH($Y18,NWC_FC_NOOS!$S$4:$S$24,0),FALSE),"")</f>
        <v/>
      </c>
      <c r="AG18" s="650">
        <f ca="1">IFERROR(HLOOKUP($AB18&amp;$AD18,NWC_FC_NOOS!$C$50:$U$70,MATCH($Y18,NWC_FC_NOOS!$B$50:$B$70,0),FALSE),"")</f>
        <v>0</v>
      </c>
      <c r="AH18" s="650" t="str">
        <f ca="1">IFERROR(IF($AA18="NOOS",HLOOKUP(STOCK_OVERVIEW!$AB18&amp;STOCK_OVERVIEW!$AD18,PLANNING_FC!$BB$27:$BP$46,MATCH(STOCK_OVERVIEW!$Y18,PLANNING_FC!$BA$27:$BA$46,0),FALSE),HLOOKUP($AB18&amp;$AD18,PLANNING_FC!$BB$4:$BP$23,MATCH(STOCK_OVERVIEW!$Y18,PLANNING_FC!$BA$4:$BA$23,0),FALSE)),"")</f>
        <v/>
      </c>
      <c r="AI18" s="650" t="str">
        <f ca="1">IFERROR(IF($AA18="NOOS",HLOOKUP(STOCK_OVERVIEW!$AB18&amp;STOCK_OVERVIEW!$AD18,PLANNING_FC!$T$27:$AH$46,MATCH(STOCK_OVERVIEW!$Y18,PLANNING_FC!$B$27:$B$46,0),FALSE),HLOOKUP($AB18&amp;$AD18,PLANNING_FC!$T$4:$AH$23,MATCH(STOCK_OVERVIEW!$Y18,PLANNING_FC!$B$4:$B$23,0),FALSE)),"")</f>
        <v/>
      </c>
      <c r="AJ18" s="650" t="str">
        <f ca="1">IFERROR(IF($AA18="NOOS",HLOOKUP(STOCK_OVERVIEW!$AB18&amp;STOCK_OVERVIEW!$AD18,PLANNING_FC!$DA$27:$DO$46,MATCH(STOCK_OVERVIEW!$Y18,PLANNING_FC!$CZ$27:$CZ$46,0),FALSE),HLOOKUP($AB18&amp;$AD18,PLANNING_FC!$DA$4:$DO$23,MATCH(STOCK_OVERVIEW!$Y18,PLANNING_FC!$CZ$4:$CZ$23,0),FALSE)),"")</f>
        <v/>
      </c>
      <c r="AK18" s="651" t="str">
        <f ca="1">IFERROR(IF(AA18="NOOS",HLOOKUP(AB18&amp;AD18,PLANNING_FC!$AJ$27:$AY$47,MATCH(STOCK_OVERVIEW!Y18,PLANNING_FC!$AJ$27:$AJ$47,0),FALSE)*1000,HLOOKUP(AB18&amp;AD18,PLANNING_FC!$AJ$4:$AY$24,MATCH(STOCK_OVERVIEW!Y18,PLANNING_FC!$AJ$4:$AJ$24,0),FALSE)*1000),"")</f>
        <v/>
      </c>
    </row>
    <row r="19" spans="1:51" x14ac:dyDescent="0.25">
      <c r="X19" s="200" t="str">
        <f>NWC_FC_NOOS!$B$1</f>
        <v>VM</v>
      </c>
      <c r="Y19" s="25" t="str">
        <f>NWC_FC_NOOS!$B$77</f>
        <v>DRESSES</v>
      </c>
      <c r="Z19" s="25" t="str">
        <f t="shared" ca="1" si="0"/>
        <v>VMDRESSES18/19Feb</v>
      </c>
      <c r="AA19" s="25" t="str">
        <f>NWC_FC_NOOS!$I$1</f>
        <v>NOOS</v>
      </c>
      <c r="AB19" s="25" t="str">
        <f ca="1">NWC_FC_NOOS!$C$73</f>
        <v>18/19</v>
      </c>
      <c r="AC19" s="25" t="str">
        <f ca="1">NWC_FC_NOOS!$C$74</f>
        <v>Q3</v>
      </c>
      <c r="AD19" s="25" t="str">
        <f ca="1">NWC_FC_NOOS!$C$75</f>
        <v>Feb</v>
      </c>
      <c r="AE19" s="649">
        <f ca="1">IFERROR(HLOOKUP($AB19&amp;$AD19,NWC_FC_NOOS!$B$4:$Q$24,MATCH($Y19,NWC_FC_NOOS!$B$4:$B$24,0),FALSE),"")</f>
        <v>0</v>
      </c>
      <c r="AF19" s="650">
        <f ca="1">IFERROR(HLOOKUP($AB19&amp;$AD19,NWC_FC_NOOS!$S$4:$AH$24,MATCH($Y19,NWC_FC_NOOS!$S$4:$S$24,0),FALSE),"")</f>
        <v>0</v>
      </c>
      <c r="AG19" s="650">
        <f ca="1">IFERROR(HLOOKUP($AB19&amp;$AD19,NWC_FC_NOOS!$C$50:$U$70,MATCH($Y19,NWC_FC_NOOS!$B$50:$B$70,0),FALSE),"")</f>
        <v>0</v>
      </c>
      <c r="AH19" s="650">
        <f ca="1">IFERROR(IF($AA19="NOOS",HLOOKUP(STOCK_OVERVIEW!$AB19&amp;STOCK_OVERVIEW!$AD19,PLANNING_FC!$BB$27:$BP$46,MATCH(STOCK_OVERVIEW!$Y19,PLANNING_FC!$BA$27:$BA$46,0),FALSE),HLOOKUP($AB19&amp;$AD19,PLANNING_FC!$BB$4:$BP$23,MATCH(STOCK_OVERVIEW!$Y19,PLANNING_FC!$BA$4:$BA$23,0),FALSE)),"")</f>
        <v>0</v>
      </c>
      <c r="AI19" s="650">
        <f ca="1">IFERROR(IF($AA19="NOOS",HLOOKUP(STOCK_OVERVIEW!$AB19&amp;STOCK_OVERVIEW!$AD19,PLANNING_FC!$T$27:$AH$46,MATCH(STOCK_OVERVIEW!$Y19,PLANNING_FC!$B$27:$B$46,0),FALSE),HLOOKUP($AB19&amp;$AD19,PLANNING_FC!$T$4:$AH$23,MATCH(STOCK_OVERVIEW!$Y19,PLANNING_FC!$B$4:$B$23,0),FALSE)),"")</f>
        <v>0</v>
      </c>
      <c r="AJ19" s="650">
        <f ca="1">IFERROR(IF($AA19="NOOS",HLOOKUP(STOCK_OVERVIEW!$AB19&amp;STOCK_OVERVIEW!$AD19,PLANNING_FC!$DA$27:$DO$46,MATCH(STOCK_OVERVIEW!$Y19,PLANNING_FC!$CZ$27:$CZ$46,0),FALSE),HLOOKUP($AB19&amp;$AD19,PLANNING_FC!$DA$4:$DO$23,MATCH(STOCK_OVERVIEW!$Y19,PLANNING_FC!$CZ$4:$CZ$23,0),FALSE)),"")</f>
        <v>0</v>
      </c>
      <c r="AK19" s="651">
        <f ca="1">IFERROR(IF(AA19="NOOS",HLOOKUP(AB19&amp;AD19,PLANNING_FC!$AJ$27:$AY$47,MATCH(STOCK_OVERVIEW!Y19,PLANNING_FC!$AJ$27:$AJ$47,0),FALSE)*1000,HLOOKUP(AB19&amp;AD19,PLANNING_FC!$AJ$4:$AY$24,MATCH(STOCK_OVERVIEW!Y19,PLANNING_FC!$AJ$4:$AJ$24,0),FALSE)*1000),"")</f>
        <v>0</v>
      </c>
      <c r="AS19" s="641"/>
      <c r="AT19" s="642"/>
    </row>
    <row r="20" spans="1:51" x14ac:dyDescent="0.25">
      <c r="B20" s="23"/>
      <c r="C20" s="622"/>
      <c r="D20" s="622"/>
      <c r="E20" s="622"/>
      <c r="F20" s="622"/>
      <c r="G20" s="622"/>
      <c r="X20" s="200" t="str">
        <f>NWC_FC_NOOS!$B$1</f>
        <v>VM</v>
      </c>
      <c r="Y20" s="25" t="str">
        <f>NWC_FC_NOOS!$B$77</f>
        <v>DRESSES</v>
      </c>
      <c r="Z20" s="25" t="str">
        <f t="shared" ca="1" si="0"/>
        <v>VMDRESSES18/19Mar</v>
      </c>
      <c r="AA20" s="25" t="str">
        <f>NWC_FC_NOOS!$I$1</f>
        <v>NOOS</v>
      </c>
      <c r="AB20" s="25" t="str">
        <f ca="1">NWC_FC_NOOS!$C$73</f>
        <v>18/19</v>
      </c>
      <c r="AC20" s="25" t="str">
        <f ca="1">NWC_FC_NOOS!$C$74</f>
        <v>Q3</v>
      </c>
      <c r="AD20" s="25" t="str">
        <f ca="1">NWC_FC_NOOS!$D$75</f>
        <v>Mar</v>
      </c>
      <c r="AE20" s="649">
        <f ca="1">IFERROR(HLOOKUP($AB20&amp;$AD20,NWC_FC_NOOS!$B$4:$Q$24,MATCH($Y20,NWC_FC_NOOS!$B$4:$B$24,0),FALSE),"")</f>
        <v>0</v>
      </c>
      <c r="AF20" s="650">
        <f ca="1">IFERROR(HLOOKUP($AB20&amp;$AD20,NWC_FC_NOOS!$S$4:$AH$24,MATCH($Y20,NWC_FC_NOOS!$S$4:$S$24,0),FALSE),"")</f>
        <v>0</v>
      </c>
      <c r="AG20" s="650">
        <f ca="1">IFERROR(HLOOKUP($AB20&amp;$AD20,NWC_FC_NOOS!$C$50:$U$70,MATCH($Y20,NWC_FC_NOOS!$B$50:$B$70,0),FALSE),"")</f>
        <v>0</v>
      </c>
      <c r="AH20" s="650">
        <f ca="1">IFERROR(IF($AA20="NOOS",HLOOKUP(STOCK_OVERVIEW!$AB20&amp;STOCK_OVERVIEW!$AD20,PLANNING_FC!$BB$27:$BP$46,MATCH(STOCK_OVERVIEW!$Y20,PLANNING_FC!$BA$27:$BA$46,0),FALSE),HLOOKUP($AB20&amp;$AD20,PLANNING_FC!$BB$4:$BP$23,MATCH(STOCK_OVERVIEW!$Y20,PLANNING_FC!$BA$4:$BA$23,0),FALSE)),"")</f>
        <v>0</v>
      </c>
      <c r="AI20" s="650">
        <f ca="1">IFERROR(IF($AA20="NOOS",HLOOKUP(STOCK_OVERVIEW!$AB20&amp;STOCK_OVERVIEW!$AD20,PLANNING_FC!$T$27:$AH$46,MATCH(STOCK_OVERVIEW!$Y20,PLANNING_FC!$B$27:$B$46,0),FALSE),HLOOKUP($AB20&amp;$AD20,PLANNING_FC!$T$4:$AH$23,MATCH(STOCK_OVERVIEW!$Y20,PLANNING_FC!$B$4:$B$23,0),FALSE)),"")</f>
        <v>0</v>
      </c>
      <c r="AJ20" s="650">
        <f ca="1">IFERROR(IF($AA20="NOOS",HLOOKUP(STOCK_OVERVIEW!$AB20&amp;STOCK_OVERVIEW!$AD20,PLANNING_FC!$DA$27:$DO$46,MATCH(STOCK_OVERVIEW!$Y20,PLANNING_FC!$CZ$27:$CZ$46,0),FALSE),HLOOKUP($AB20&amp;$AD20,PLANNING_FC!$DA$4:$DO$23,MATCH(STOCK_OVERVIEW!$Y20,PLANNING_FC!$CZ$4:$CZ$23,0),FALSE)),"")</f>
        <v>0</v>
      </c>
      <c r="AK20" s="651">
        <f ca="1">IFERROR(IF(AA20="NOOS",HLOOKUP(AB20&amp;AD20,PLANNING_FC!$AJ$27:$AY$47,MATCH(STOCK_OVERVIEW!Y20,PLANNING_FC!$AJ$27:$AJ$47,0),FALSE)*1000,HLOOKUP(AB20&amp;AD20,PLANNING_FC!$AJ$4:$AY$24,MATCH(STOCK_OVERVIEW!Y20,PLANNING_FC!$AJ$4:$AJ$24,0),FALSE)*1000),"")</f>
        <v>0</v>
      </c>
      <c r="AU20" s="642"/>
      <c r="AV20" s="642"/>
    </row>
    <row r="21" spans="1:51" x14ac:dyDescent="0.25">
      <c r="B21" s="23"/>
      <c r="C21" s="622"/>
      <c r="D21" s="622"/>
      <c r="E21" s="622"/>
      <c r="F21" s="622"/>
      <c r="G21" s="622"/>
      <c r="X21" s="200" t="str">
        <f>NWC_FC_NOOS!$B$1</f>
        <v>VM</v>
      </c>
      <c r="Y21" s="25" t="str">
        <f>NWC_FC_NOOS!$B$77</f>
        <v>DRESSES</v>
      </c>
      <c r="Z21" s="25" t="str">
        <f t="shared" ca="1" si="0"/>
        <v>VMDRESSES18/19Apr</v>
      </c>
      <c r="AA21" s="25" t="str">
        <f>NWC_FC_NOOS!$I$1</f>
        <v>NOOS</v>
      </c>
      <c r="AB21" s="25" t="str">
        <f ca="1">NWC_FC_NOOS!$C$73</f>
        <v>18/19</v>
      </c>
      <c r="AC21" s="25" t="str">
        <f ca="1">NWC_FC_NOOS!$C$74</f>
        <v>Q3</v>
      </c>
      <c r="AD21" s="25" t="str">
        <f ca="1">NWC_FC_NOOS!$E$75</f>
        <v>Apr</v>
      </c>
      <c r="AE21" s="649">
        <f ca="1">IFERROR(HLOOKUP($AB21&amp;$AD21,NWC_FC_NOOS!$B$4:$Q$24,MATCH($Y21,NWC_FC_NOOS!$B$4:$B$24,0),FALSE),"")</f>
        <v>0</v>
      </c>
      <c r="AF21" s="650">
        <f ca="1">IFERROR(HLOOKUP($AB21&amp;$AD21,NWC_FC_NOOS!$S$4:$AH$24,MATCH($Y21,NWC_FC_NOOS!$S$4:$S$24,0),FALSE),"")</f>
        <v>0</v>
      </c>
      <c r="AG21" s="650">
        <f ca="1">IFERROR(HLOOKUP($AB21&amp;$AD21,NWC_FC_NOOS!$C$50:$U$70,MATCH($Y21,NWC_FC_NOOS!$B$50:$B$70,0),FALSE),"")</f>
        <v>0</v>
      </c>
      <c r="AH21" s="650">
        <f ca="1">IFERROR(IF($AA21="NOOS",HLOOKUP(STOCK_OVERVIEW!$AB21&amp;STOCK_OVERVIEW!$AD21,PLANNING_FC!$BB$27:$BP$46,MATCH(STOCK_OVERVIEW!$Y21,PLANNING_FC!$BA$27:$BA$46,0),FALSE),HLOOKUP($AB21&amp;$AD21,PLANNING_FC!$BB$4:$BP$23,MATCH(STOCK_OVERVIEW!$Y21,PLANNING_FC!$BA$4:$BA$23,0),FALSE)),"")</f>
        <v>0</v>
      </c>
      <c r="AI21" s="650">
        <f ca="1">IFERROR(IF($AA21="NOOS",HLOOKUP(STOCK_OVERVIEW!$AB21&amp;STOCK_OVERVIEW!$AD21,PLANNING_FC!$T$27:$AH$46,MATCH(STOCK_OVERVIEW!$Y21,PLANNING_FC!$B$27:$B$46,0),FALSE),HLOOKUP($AB21&amp;$AD21,PLANNING_FC!$T$4:$AH$23,MATCH(STOCK_OVERVIEW!$Y21,PLANNING_FC!$B$4:$B$23,0),FALSE)),"")</f>
        <v>0</v>
      </c>
      <c r="AJ21" s="650">
        <f ca="1">IFERROR(IF($AA21="NOOS",HLOOKUP(STOCK_OVERVIEW!$AB21&amp;STOCK_OVERVIEW!$AD21,PLANNING_FC!$DA$27:$DO$46,MATCH(STOCK_OVERVIEW!$Y21,PLANNING_FC!$CZ$27:$CZ$46,0),FALSE),HLOOKUP($AB21&amp;$AD21,PLANNING_FC!$DA$4:$DO$23,MATCH(STOCK_OVERVIEW!$Y21,PLANNING_FC!$CZ$4:$CZ$23,0),FALSE)),"")</f>
        <v>314692</v>
      </c>
      <c r="AK21" s="651">
        <f ca="1">IFERROR(IF(AA21="NOOS",HLOOKUP(AB21&amp;AD21,PLANNING_FC!$AJ$27:$AY$47,MATCH(STOCK_OVERVIEW!Y21,PLANNING_FC!$AJ$27:$AJ$47,0),FALSE)*1000,HLOOKUP(AB21&amp;AD21,PLANNING_FC!$AJ$4:$AY$24,MATCH(STOCK_OVERVIEW!Y21,PLANNING_FC!$AJ$4:$AJ$24,0),FALSE)*1000),"")</f>
        <v>0</v>
      </c>
      <c r="AU21" s="642"/>
      <c r="AW21" s="642"/>
      <c r="AX21" s="642"/>
    </row>
    <row r="22" spans="1:51" x14ac:dyDescent="0.25">
      <c r="B22" s="23"/>
      <c r="C22" s="622"/>
      <c r="D22" s="622"/>
      <c r="E22" s="622"/>
      <c r="F22" s="622"/>
      <c r="G22" s="622"/>
      <c r="X22" s="200" t="str">
        <f>NWC_FC_NOOS!$B$1</f>
        <v>VM</v>
      </c>
      <c r="Y22" s="25" t="str">
        <f>NWC_FC_NOOS!$B$77</f>
        <v>DRESSES</v>
      </c>
      <c r="Z22" s="25" t="str">
        <f t="shared" ca="1" si="0"/>
        <v>VMDRESSES18/19May</v>
      </c>
      <c r="AA22" s="25" t="str">
        <f>NWC_FC_NOOS!$I$1</f>
        <v>NOOS</v>
      </c>
      <c r="AB22" s="25" t="str">
        <f ca="1">NWC_FC_NOOS!$G$73</f>
        <v>18/19</v>
      </c>
      <c r="AC22" s="25" t="str">
        <f ca="1">NWC_FC_NOOS!$G$74</f>
        <v>Q4</v>
      </c>
      <c r="AD22" s="25" t="str">
        <f ca="1">NWC_FC_NOOS!$G$75</f>
        <v>May</v>
      </c>
      <c r="AE22" s="649">
        <f ca="1">IFERROR(HLOOKUP($AB22&amp;$AD22,NWC_FC_NOOS!$B$4:$Q$24,MATCH($Y22,NWC_FC_NOOS!$B$4:$B$24,0),FALSE),"")</f>
        <v>0</v>
      </c>
      <c r="AF22" s="650">
        <f ca="1">IFERROR(HLOOKUP($AB22&amp;$AD22,NWC_FC_NOOS!$S$4:$AH$24,MATCH($Y22,NWC_FC_NOOS!$S$4:$S$24,0),FALSE),"")</f>
        <v>0</v>
      </c>
      <c r="AG22" s="650">
        <f ca="1">IFERROR(HLOOKUP($AB22&amp;$AD22,NWC_FC_NOOS!$C$50:$U$70,MATCH($Y22,NWC_FC_NOOS!$B$50:$B$70,0),FALSE),"")</f>
        <v>0</v>
      </c>
      <c r="AH22" s="650">
        <f ca="1">IFERROR(IF($AA22="NOOS",HLOOKUP(STOCK_OVERVIEW!$AB22&amp;STOCK_OVERVIEW!$AD22,PLANNING_FC!$BB$27:$BP$46,MATCH(STOCK_OVERVIEW!$Y22,PLANNING_FC!$BA$27:$BA$46,0),FALSE),HLOOKUP($AB22&amp;$AD22,PLANNING_FC!$BB$4:$BP$23,MATCH(STOCK_OVERVIEW!$Y22,PLANNING_FC!$BA$4:$BA$23,0),FALSE)),"")</f>
        <v>0</v>
      </c>
      <c r="AI22" s="650">
        <f ca="1">IFERROR(IF($AA22="NOOS",HLOOKUP(STOCK_OVERVIEW!$AB22&amp;STOCK_OVERVIEW!$AD22,PLANNING_FC!$T$27:$AH$46,MATCH(STOCK_OVERVIEW!$Y22,PLANNING_FC!$B$27:$B$46,0),FALSE),HLOOKUP($AB22&amp;$AD22,PLANNING_FC!$T$4:$AH$23,MATCH(STOCK_OVERVIEW!$Y22,PLANNING_FC!$B$4:$B$23,0),FALSE)),"")</f>
        <v>0</v>
      </c>
      <c r="AJ22" s="650">
        <f ca="1">IFERROR(IF($AA22="NOOS",HLOOKUP(STOCK_OVERVIEW!$AB22&amp;STOCK_OVERVIEW!$AD22,PLANNING_FC!$DA$27:$DO$46,MATCH(STOCK_OVERVIEW!$Y22,PLANNING_FC!$CZ$27:$CZ$46,0),FALSE),HLOOKUP($AB22&amp;$AD22,PLANNING_FC!$DA$4:$DO$23,MATCH(STOCK_OVERVIEW!$Y22,PLANNING_FC!$CZ$4:$CZ$23,0),FALSE)),"")</f>
        <v>314692</v>
      </c>
      <c r="AK22" s="651">
        <f ca="1">IFERROR(IF(AA22="NOOS",HLOOKUP(AB22&amp;AD22,PLANNING_FC!$AJ$27:$AY$47,MATCH(STOCK_OVERVIEW!Y22,PLANNING_FC!$AJ$27:$AJ$47,0),FALSE)*1000,HLOOKUP(AB22&amp;AD22,PLANNING_FC!$AJ$4:$AY$24,MATCH(STOCK_OVERVIEW!Y22,PLANNING_FC!$AJ$4:$AJ$24,0),FALSE)*1000),"")</f>
        <v>0</v>
      </c>
      <c r="AR22" s="643"/>
      <c r="AY22" s="630"/>
    </row>
    <row r="23" spans="1:51" x14ac:dyDescent="0.25">
      <c r="B23" s="23"/>
      <c r="C23" s="622"/>
      <c r="D23" s="622"/>
      <c r="E23" s="622"/>
      <c r="F23" s="622"/>
      <c r="G23" s="622"/>
      <c r="X23" s="200" t="str">
        <f>NWC_FC_NOOS!$B$1</f>
        <v>VM</v>
      </c>
      <c r="Y23" s="25" t="str">
        <f>NWC_FC_NOOS!$B$77</f>
        <v>DRESSES</v>
      </c>
      <c r="Z23" s="25" t="str">
        <f t="shared" ca="1" si="0"/>
        <v>VMDRESSES18/19Jun</v>
      </c>
      <c r="AA23" s="25" t="str">
        <f>NWC_FC_NOOS!$I$1</f>
        <v>NOOS</v>
      </c>
      <c r="AB23" s="25" t="str">
        <f ca="1">NWC_FC_NOOS!$G$73</f>
        <v>18/19</v>
      </c>
      <c r="AC23" s="25" t="str">
        <f ca="1">NWC_FC_NOOS!$G$74</f>
        <v>Q4</v>
      </c>
      <c r="AD23" s="25" t="str">
        <f ca="1">NWC_FC_NOOS!$H$75</f>
        <v>Jun</v>
      </c>
      <c r="AE23" s="649">
        <f ca="1">IFERROR(HLOOKUP($AB23&amp;$AD23,NWC_FC_NOOS!$B$4:$Q$24,MATCH($Y23,NWC_FC_NOOS!$B$4:$B$24,0),FALSE),"")</f>
        <v>0</v>
      </c>
      <c r="AF23" s="650">
        <f ca="1">IFERROR(HLOOKUP($AB23&amp;$AD23,NWC_FC_NOOS!$S$4:$AH$24,MATCH($Y23,NWC_FC_NOOS!$S$4:$S$24,0),FALSE),"")</f>
        <v>0</v>
      </c>
      <c r="AG23" s="650">
        <f ca="1">IFERROR(HLOOKUP($AB23&amp;$AD23,NWC_FC_NOOS!$C$50:$U$70,MATCH($Y23,NWC_FC_NOOS!$B$50:$B$70,0),FALSE),"")</f>
        <v>0</v>
      </c>
      <c r="AH23" s="650">
        <f ca="1">IFERROR(IF($AA23="NOOS",HLOOKUP(STOCK_OVERVIEW!$AB23&amp;STOCK_OVERVIEW!$AD23,PLANNING_FC!$BB$27:$BP$46,MATCH(STOCK_OVERVIEW!$Y23,PLANNING_FC!$BA$27:$BA$46,0),FALSE),HLOOKUP($AB23&amp;$AD23,PLANNING_FC!$BB$4:$BP$23,MATCH(STOCK_OVERVIEW!$Y23,PLANNING_FC!$BA$4:$BA$23,0),FALSE)),"")</f>
        <v>0</v>
      </c>
      <c r="AI23" s="650">
        <f ca="1">IFERROR(IF($AA23="NOOS",HLOOKUP(STOCK_OVERVIEW!$AB23&amp;STOCK_OVERVIEW!$AD23,PLANNING_FC!$T$27:$AH$46,MATCH(STOCK_OVERVIEW!$Y23,PLANNING_FC!$B$27:$B$46,0),FALSE),HLOOKUP($AB23&amp;$AD23,PLANNING_FC!$T$4:$AH$23,MATCH(STOCK_OVERVIEW!$Y23,PLANNING_FC!$B$4:$B$23,0),FALSE)),"")</f>
        <v>0</v>
      </c>
      <c r="AJ23" s="650">
        <f ca="1">IFERROR(IF($AA23="NOOS",HLOOKUP(STOCK_OVERVIEW!$AB23&amp;STOCK_OVERVIEW!$AD23,PLANNING_FC!$DA$27:$DO$46,MATCH(STOCK_OVERVIEW!$Y23,PLANNING_FC!$CZ$27:$CZ$46,0),FALSE),HLOOKUP($AB23&amp;$AD23,PLANNING_FC!$DA$4:$DO$23,MATCH(STOCK_OVERVIEW!$Y23,PLANNING_FC!$CZ$4:$CZ$23,0),FALSE)),"")</f>
        <v>314692</v>
      </c>
      <c r="AK23" s="651">
        <f ca="1">IFERROR(IF(AA23="NOOS",HLOOKUP(AB23&amp;AD23,PLANNING_FC!$AJ$27:$AY$47,MATCH(STOCK_OVERVIEW!Y23,PLANNING_FC!$AJ$27:$AJ$47,0),FALSE)*1000,HLOOKUP(AB23&amp;AD23,PLANNING_FC!$AJ$4:$AY$24,MATCH(STOCK_OVERVIEW!Y23,PLANNING_FC!$AJ$4:$AJ$24,0),FALSE)*1000),"")</f>
        <v>0</v>
      </c>
    </row>
    <row r="24" spans="1:51" s="23" customFormat="1" ht="15" customHeight="1" x14ac:dyDescent="0.25">
      <c r="A24" s="62"/>
      <c r="C24" s="622"/>
      <c r="D24" s="622"/>
      <c r="E24" s="622"/>
      <c r="F24" s="622"/>
      <c r="G24" s="622"/>
      <c r="H24" s="599"/>
      <c r="I24" s="599"/>
      <c r="J24" s="449"/>
      <c r="K24" s="599"/>
      <c r="L24" s="599"/>
      <c r="M24" s="599"/>
      <c r="N24" s="449"/>
      <c r="O24" s="599"/>
      <c r="P24" s="599"/>
      <c r="Q24" s="599"/>
      <c r="R24" s="449"/>
      <c r="S24" s="204"/>
      <c r="T24" s="204"/>
      <c r="U24" s="205"/>
      <c r="V24" s="204"/>
      <c r="W24" s="637"/>
      <c r="X24" s="200" t="str">
        <f>NWC_FC_NOOS!$B$1</f>
        <v>VM</v>
      </c>
      <c r="Y24" s="25" t="str">
        <f>NWC_FC_NOOS!$B$77</f>
        <v>DRESSES</v>
      </c>
      <c r="Z24" s="25" t="str">
        <f t="shared" ca="1" si="0"/>
        <v>VMDRESSES18/19Jul</v>
      </c>
      <c r="AA24" s="25" t="str">
        <f>NWC_FC_NOOS!$I$1</f>
        <v>NOOS</v>
      </c>
      <c r="AB24" s="25" t="str">
        <f ca="1">NWC_FC_NOOS!$G$73</f>
        <v>18/19</v>
      </c>
      <c r="AC24" s="25" t="str">
        <f ca="1">NWC_FC_NOOS!$G$74</f>
        <v>Q4</v>
      </c>
      <c r="AD24" s="25" t="str">
        <f ca="1">NWC_FC_NOOS!$I$75</f>
        <v>Jul</v>
      </c>
      <c r="AE24" s="649">
        <f ca="1">IFERROR(HLOOKUP($AB24&amp;$AD24,NWC_FC_NOOS!$B$4:$Q$24,MATCH($Y24,NWC_FC_NOOS!$B$4:$B$24,0),FALSE),"")</f>
        <v>0</v>
      </c>
      <c r="AF24" s="650">
        <f ca="1">IFERROR(HLOOKUP($AB24&amp;$AD24,NWC_FC_NOOS!$S$4:$AH$24,MATCH($Y24,NWC_FC_NOOS!$S$4:$S$24,0),FALSE),"")</f>
        <v>0</v>
      </c>
      <c r="AG24" s="650">
        <f ca="1">IFERROR(HLOOKUP($AB24&amp;$AD24,NWC_FC_NOOS!$C$50:$U$70,MATCH($Y24,NWC_FC_NOOS!$B$50:$B$70,0),FALSE),"")</f>
        <v>0</v>
      </c>
      <c r="AH24" s="650">
        <f ca="1">IFERROR(IF($AA24="NOOS",HLOOKUP(STOCK_OVERVIEW!$AB24&amp;STOCK_OVERVIEW!$AD24,PLANNING_FC!$BB$27:$BP$46,MATCH(STOCK_OVERVIEW!$Y24,PLANNING_FC!$BA$27:$BA$46,0),FALSE),HLOOKUP($AB24&amp;$AD24,PLANNING_FC!$BB$4:$BP$23,MATCH(STOCK_OVERVIEW!$Y24,PLANNING_FC!$BA$4:$BA$23,0),FALSE)),"")</f>
        <v>0</v>
      </c>
      <c r="AI24" s="650">
        <f ca="1">IFERROR(IF($AA24="NOOS",HLOOKUP(STOCK_OVERVIEW!$AB24&amp;STOCK_OVERVIEW!$AD24,PLANNING_FC!$T$27:$AH$46,MATCH(STOCK_OVERVIEW!$Y24,PLANNING_FC!$B$27:$B$46,0),FALSE),HLOOKUP($AB24&amp;$AD24,PLANNING_FC!$T$4:$AH$23,MATCH(STOCK_OVERVIEW!$Y24,PLANNING_FC!$B$4:$B$23,0),FALSE)),"")</f>
        <v>0</v>
      </c>
      <c r="AJ24" s="650">
        <f ca="1">IFERROR(IF($AA24="NOOS",HLOOKUP(STOCK_OVERVIEW!$AB24&amp;STOCK_OVERVIEW!$AD24,PLANNING_FC!$DA$27:$DO$46,MATCH(STOCK_OVERVIEW!$Y24,PLANNING_FC!$CZ$27:$CZ$46,0),FALSE),HLOOKUP($AB24&amp;$AD24,PLANNING_FC!$DA$4:$DO$23,MATCH(STOCK_OVERVIEW!$Y24,PLANNING_FC!$CZ$4:$CZ$23,0),FALSE)),"")</f>
        <v>314692</v>
      </c>
      <c r="AK24" s="651">
        <f ca="1">IFERROR(IF(AA24="NOOS",HLOOKUP(AB24&amp;AD24,PLANNING_FC!$AJ$27:$AY$47,MATCH(STOCK_OVERVIEW!Y24,PLANNING_FC!$AJ$27:$AJ$47,0),FALSE)*1000,HLOOKUP(AB24&amp;AD24,PLANNING_FC!$AJ$4:$AY$24,MATCH(STOCK_OVERVIEW!Y24,PLANNING_FC!$AJ$4:$AJ$24,0),FALSE)*1000),"")</f>
        <v>0</v>
      </c>
      <c r="AL24" s="61"/>
      <c r="AM24" s="61"/>
      <c r="AN24" s="61"/>
      <c r="AO24" s="61"/>
      <c r="AP24" s="61"/>
      <c r="AQ24" s="61"/>
      <c r="AR24" s="638"/>
      <c r="AS24" s="641"/>
      <c r="AT24" s="642"/>
      <c r="AU24" s="61"/>
      <c r="AV24" s="61"/>
      <c r="AW24" s="61"/>
      <c r="AX24" s="61"/>
      <c r="AY24" s="24"/>
    </row>
    <row r="25" spans="1:51" s="23" customFormat="1" ht="15" customHeight="1" x14ac:dyDescent="0.25">
      <c r="A25" s="62"/>
      <c r="C25" s="622"/>
      <c r="D25" s="622"/>
      <c r="E25" s="622"/>
      <c r="F25" s="622"/>
      <c r="G25" s="622"/>
      <c r="H25" s="599"/>
      <c r="I25" s="599"/>
      <c r="J25" s="449"/>
      <c r="K25" s="599"/>
      <c r="L25" s="599"/>
      <c r="M25" s="599"/>
      <c r="N25" s="449"/>
      <c r="O25" s="599"/>
      <c r="P25" s="599"/>
      <c r="Q25" s="599"/>
      <c r="R25" s="449"/>
      <c r="S25" s="204"/>
      <c r="T25" s="204"/>
      <c r="U25" s="205"/>
      <c r="V25" s="204"/>
      <c r="W25" s="637"/>
      <c r="X25" s="200" t="str">
        <f>NWC_FC_NOOS!$B$1</f>
        <v>VM</v>
      </c>
      <c r="Y25" s="25" t="str">
        <f>NWC_FC_NOOS!$B$77</f>
        <v>DRESSES</v>
      </c>
      <c r="Z25" s="25" t="str">
        <f t="shared" ca="1" si="0"/>
        <v>VMDRESSES19/20Aug</v>
      </c>
      <c r="AA25" s="25" t="str">
        <f>NWC_FC_NOOS!$I$1</f>
        <v>NOOS</v>
      </c>
      <c r="AB25" s="25" t="str">
        <f ca="1">NWC_FC_NOOS!$K$73</f>
        <v>19/20</v>
      </c>
      <c r="AC25" s="25" t="str">
        <f ca="1">NWC_FC_NOOS!$K$74</f>
        <v>Q1</v>
      </c>
      <c r="AD25" s="25" t="str">
        <f ca="1">NWC_FC_NOOS!$K$75</f>
        <v>Aug</v>
      </c>
      <c r="AE25" s="649">
        <f ca="1">IFERROR(HLOOKUP($AB25&amp;$AD25,NWC_FC_NOOS!$B$4:$Q$24,MATCH($Y25,NWC_FC_NOOS!$B$4:$B$24,0),FALSE),"")</f>
        <v>0</v>
      </c>
      <c r="AF25" s="650">
        <f ca="1">IFERROR(HLOOKUP($AB25&amp;$AD25,NWC_FC_NOOS!$S$4:$AH$24,MATCH($Y25,NWC_FC_NOOS!$S$4:$S$24,0),FALSE),"")</f>
        <v>0</v>
      </c>
      <c r="AG25" s="650">
        <f ca="1">IFERROR(HLOOKUP($AB25&amp;$AD25,NWC_FC_NOOS!$C$50:$U$70,MATCH($Y25,NWC_FC_NOOS!$B$50:$B$70,0),FALSE),"")</f>
        <v>0</v>
      </c>
      <c r="AH25" s="650">
        <f ca="1">IFERROR(IF($AA25="NOOS",HLOOKUP(STOCK_OVERVIEW!$AB25&amp;STOCK_OVERVIEW!$AD25,PLANNING_FC!$BB$27:$BP$46,MATCH(STOCK_OVERVIEW!$Y25,PLANNING_FC!$BA$27:$BA$46,0),FALSE),HLOOKUP($AB25&amp;$AD25,PLANNING_FC!$BB$4:$BP$23,MATCH(STOCK_OVERVIEW!$Y25,PLANNING_FC!$BA$4:$BA$23,0),FALSE)),"")</f>
        <v>0</v>
      </c>
      <c r="AI25" s="650">
        <f ca="1">IFERROR(IF($AA25="NOOS",HLOOKUP(STOCK_OVERVIEW!$AB25&amp;STOCK_OVERVIEW!$AD25,PLANNING_FC!$T$27:$AH$46,MATCH(STOCK_OVERVIEW!$Y25,PLANNING_FC!$B$27:$B$46,0),FALSE),HLOOKUP($AB25&amp;$AD25,PLANNING_FC!$T$4:$AH$23,MATCH(STOCK_OVERVIEW!$Y25,PLANNING_FC!$B$4:$B$23,0),FALSE)),"")</f>
        <v>0</v>
      </c>
      <c r="AJ25" s="650">
        <f ca="1">IFERROR(IF($AA25="NOOS",HLOOKUP(STOCK_OVERVIEW!$AB25&amp;STOCK_OVERVIEW!$AD25,PLANNING_FC!$DA$27:$DO$46,MATCH(STOCK_OVERVIEW!$Y25,PLANNING_FC!$CZ$27:$CZ$46,0),FALSE),HLOOKUP($AB25&amp;$AD25,PLANNING_FC!$DA$4:$DO$23,MATCH(STOCK_OVERVIEW!$Y25,PLANNING_FC!$CZ$4:$CZ$23,0),FALSE)),"")</f>
        <v>314692</v>
      </c>
      <c r="AK25" s="651">
        <f ca="1">IFERROR(IF(AA25="NOOS",HLOOKUP(AB25&amp;AD25,PLANNING_FC!$AJ$27:$AY$47,MATCH(STOCK_OVERVIEW!Y25,PLANNING_FC!$AJ$27:$AJ$47,0),FALSE)*1000,HLOOKUP(AB25&amp;AD25,PLANNING_FC!$AJ$4:$AY$24,MATCH(STOCK_OVERVIEW!Y25,PLANNING_FC!$AJ$4:$AJ$24,0),FALSE)*1000),"")</f>
        <v>0</v>
      </c>
      <c r="AL25" s="61"/>
      <c r="AM25" s="61"/>
      <c r="AN25" s="61"/>
      <c r="AO25" s="61"/>
      <c r="AP25" s="61"/>
      <c r="AQ25" s="61"/>
      <c r="AR25" s="638"/>
      <c r="AS25" s="638"/>
      <c r="AT25" s="61"/>
      <c r="AU25" s="642"/>
      <c r="AV25" s="642"/>
      <c r="AW25" s="61"/>
      <c r="AX25" s="61"/>
      <c r="AY25" s="24"/>
    </row>
    <row r="26" spans="1:51" x14ac:dyDescent="0.25">
      <c r="B26" s="23"/>
      <c r="C26" s="622"/>
      <c r="D26" s="622"/>
      <c r="E26" s="622"/>
      <c r="F26" s="622"/>
      <c r="G26" s="622"/>
      <c r="X26" s="200" t="str">
        <f>NWC_FC_NOOS!$B$1</f>
        <v>VM</v>
      </c>
      <c r="Y26" s="25" t="str">
        <f>NWC_FC_NOOS!$B$77</f>
        <v>DRESSES</v>
      </c>
      <c r="Z26" s="25" t="str">
        <f t="shared" ca="1" si="0"/>
        <v>VMDRESSES19/20Sep</v>
      </c>
      <c r="AA26" s="25" t="str">
        <f>NWC_FC_NOOS!$I$1</f>
        <v>NOOS</v>
      </c>
      <c r="AB26" s="25" t="str">
        <f ca="1">NWC_FC_NOOS!$K$73</f>
        <v>19/20</v>
      </c>
      <c r="AC26" s="25" t="str">
        <f ca="1">NWC_FC_NOOS!$K$74</f>
        <v>Q1</v>
      </c>
      <c r="AD26" s="25" t="str">
        <f ca="1">NWC_FC_NOOS!$L$75</f>
        <v>Sep</v>
      </c>
      <c r="AE26" s="649">
        <f ca="1">IFERROR(HLOOKUP($AB26&amp;$AD26,NWC_FC_NOOS!$B$4:$Q$24,MATCH($Y26,NWC_FC_NOOS!$B$4:$B$24,0),FALSE),"")</f>
        <v>0</v>
      </c>
      <c r="AF26" s="650">
        <f ca="1">IFERROR(HLOOKUP($AB26&amp;$AD26,NWC_FC_NOOS!$S$4:$AH$24,MATCH($Y26,NWC_FC_NOOS!$S$4:$S$24,0),FALSE),"")</f>
        <v>0</v>
      </c>
      <c r="AG26" s="650">
        <f ca="1">IFERROR(HLOOKUP($AB26&amp;$AD26,NWC_FC_NOOS!$C$50:$U$70,MATCH($Y26,NWC_FC_NOOS!$B$50:$B$70,0),FALSE),"")</f>
        <v>0</v>
      </c>
      <c r="AH26" s="650">
        <f ca="1">IFERROR(IF($AA26="NOOS",HLOOKUP(STOCK_OVERVIEW!$AB26&amp;STOCK_OVERVIEW!$AD26,PLANNING_FC!$BB$27:$BP$46,MATCH(STOCK_OVERVIEW!$Y26,PLANNING_FC!$BA$27:$BA$46,0),FALSE),HLOOKUP($AB26&amp;$AD26,PLANNING_FC!$BB$4:$BP$23,MATCH(STOCK_OVERVIEW!$Y26,PLANNING_FC!$BA$4:$BA$23,0),FALSE)),"")</f>
        <v>0</v>
      </c>
      <c r="AI26" s="650">
        <f ca="1">IFERROR(IF($AA26="NOOS",HLOOKUP(STOCK_OVERVIEW!$AB26&amp;STOCK_OVERVIEW!$AD26,PLANNING_FC!$T$27:$AH$46,MATCH(STOCK_OVERVIEW!$Y26,PLANNING_FC!$B$27:$B$46,0),FALSE),HLOOKUP($AB26&amp;$AD26,PLANNING_FC!$T$4:$AH$23,MATCH(STOCK_OVERVIEW!$Y26,PLANNING_FC!$B$4:$B$23,0),FALSE)),"")</f>
        <v>0</v>
      </c>
      <c r="AJ26" s="650">
        <f ca="1">IFERROR(IF($AA26="NOOS",HLOOKUP(STOCK_OVERVIEW!$AB26&amp;STOCK_OVERVIEW!$AD26,PLANNING_FC!$DA$27:$DO$46,MATCH(STOCK_OVERVIEW!$Y26,PLANNING_FC!$CZ$27:$CZ$46,0),FALSE),HLOOKUP($AB26&amp;$AD26,PLANNING_FC!$DA$4:$DO$23,MATCH(STOCK_OVERVIEW!$Y26,PLANNING_FC!$CZ$4:$CZ$23,0),FALSE)),"")</f>
        <v>314692</v>
      </c>
      <c r="AK26" s="651">
        <f ca="1">IFERROR(IF(AA26="NOOS",HLOOKUP(AB26&amp;AD26,PLANNING_FC!$AJ$27:$AY$47,MATCH(STOCK_OVERVIEW!Y26,PLANNING_FC!$AJ$27:$AJ$47,0),FALSE)*1000,HLOOKUP(AB26&amp;AD26,PLANNING_FC!$AJ$4:$AY$24,MATCH(STOCK_OVERVIEW!Y26,PLANNING_FC!$AJ$4:$AJ$24,0),FALSE)*1000),"")</f>
        <v>0</v>
      </c>
      <c r="AU26" s="642"/>
      <c r="AW26" s="642"/>
      <c r="AX26" s="642"/>
    </row>
    <row r="27" spans="1:51" x14ac:dyDescent="0.25">
      <c r="B27" s="23"/>
      <c r="C27" s="622"/>
      <c r="D27" s="622"/>
      <c r="E27" s="622"/>
      <c r="F27" s="622"/>
      <c r="G27" s="622"/>
      <c r="X27" s="200" t="str">
        <f>NWC_FC_NOOS!$B$1</f>
        <v>VM</v>
      </c>
      <c r="Y27" s="25" t="str">
        <f>NWC_FC_NOOS!$B$77</f>
        <v>DRESSES</v>
      </c>
      <c r="Z27" s="25" t="str">
        <f t="shared" ca="1" si="0"/>
        <v>VMDRESSES19/20Oct</v>
      </c>
      <c r="AA27" s="25" t="str">
        <f>NWC_FC_NOOS!$I$1</f>
        <v>NOOS</v>
      </c>
      <c r="AB27" s="25" t="str">
        <f ca="1">NWC_FC_NOOS!$K$73</f>
        <v>19/20</v>
      </c>
      <c r="AC27" s="25" t="str">
        <f ca="1">NWC_FC_NOOS!$K$74</f>
        <v>Q1</v>
      </c>
      <c r="AD27" s="25" t="str">
        <f ca="1">NWC_FC_NOOS!$M$75</f>
        <v>Oct</v>
      </c>
      <c r="AE27" s="649">
        <f ca="1">IFERROR(HLOOKUP($AB27&amp;$AD27,NWC_FC_NOOS!$B$4:$Q$24,MATCH($Y27,NWC_FC_NOOS!$B$4:$B$24,0),FALSE),"")</f>
        <v>0</v>
      </c>
      <c r="AF27" s="650">
        <f ca="1">IFERROR(HLOOKUP($AB27&amp;$AD27,NWC_FC_NOOS!$S$4:$AH$24,MATCH($Y27,NWC_FC_NOOS!$S$4:$S$24,0),FALSE),"")</f>
        <v>0</v>
      </c>
      <c r="AG27" s="650">
        <f ca="1">IFERROR(HLOOKUP($AB27&amp;$AD27,NWC_FC_NOOS!$C$50:$U$70,MATCH($Y27,NWC_FC_NOOS!$B$50:$B$70,0),FALSE),"")</f>
        <v>0</v>
      </c>
      <c r="AH27" s="650">
        <f ca="1">IFERROR(IF($AA27="NOOS",HLOOKUP(STOCK_OVERVIEW!$AB27&amp;STOCK_OVERVIEW!$AD27,PLANNING_FC!$BB$27:$BP$46,MATCH(STOCK_OVERVIEW!$Y27,PLANNING_FC!$BA$27:$BA$46,0),FALSE),HLOOKUP($AB27&amp;$AD27,PLANNING_FC!$BB$4:$BP$23,MATCH(STOCK_OVERVIEW!$Y27,PLANNING_FC!$BA$4:$BA$23,0),FALSE)),"")</f>
        <v>0</v>
      </c>
      <c r="AI27" s="650">
        <f ca="1">IFERROR(IF($AA27="NOOS",HLOOKUP(STOCK_OVERVIEW!$AB27&amp;STOCK_OVERVIEW!$AD27,PLANNING_FC!$T$27:$AH$46,MATCH(STOCK_OVERVIEW!$Y27,PLANNING_FC!$B$27:$B$46,0),FALSE),HLOOKUP($AB27&amp;$AD27,PLANNING_FC!$T$4:$AH$23,MATCH(STOCK_OVERVIEW!$Y27,PLANNING_FC!$B$4:$B$23,0),FALSE)),"")</f>
        <v>0</v>
      </c>
      <c r="AJ27" s="650">
        <f ca="1">IFERROR(IF($AA27="NOOS",HLOOKUP(STOCK_OVERVIEW!$AB27&amp;STOCK_OVERVIEW!$AD27,PLANNING_FC!$DA$27:$DO$46,MATCH(STOCK_OVERVIEW!$Y27,PLANNING_FC!$CZ$27:$CZ$46,0),FALSE),HLOOKUP($AB27&amp;$AD27,PLANNING_FC!$DA$4:$DO$23,MATCH(STOCK_OVERVIEW!$Y27,PLANNING_FC!$CZ$4:$CZ$23,0),FALSE)),"")</f>
        <v>314692</v>
      </c>
      <c r="AK27" s="651">
        <f ca="1">IFERROR(IF(AA27="NOOS",HLOOKUP(AB27&amp;AD27,PLANNING_FC!$AJ$27:$AY$47,MATCH(STOCK_OVERVIEW!Y27,PLANNING_FC!$AJ$27:$AJ$47,0),FALSE)*1000,HLOOKUP(AB27&amp;AD27,PLANNING_FC!$AJ$4:$AY$24,MATCH(STOCK_OVERVIEW!Y27,PLANNING_FC!$AJ$4:$AJ$24,0),FALSE)*1000),"")</f>
        <v>0</v>
      </c>
      <c r="AR27" s="643"/>
      <c r="AY27" s="630"/>
    </row>
    <row r="28" spans="1:51" x14ac:dyDescent="0.25">
      <c r="B28" s="23"/>
      <c r="C28" s="622"/>
      <c r="D28" s="622"/>
      <c r="E28" s="622"/>
      <c r="F28" s="622"/>
      <c r="G28" s="622"/>
      <c r="X28" s="200" t="str">
        <f>NWC_FC_NOOS!$B$1</f>
        <v>VM</v>
      </c>
      <c r="Y28" s="25" t="str">
        <f>NWC_FC_NOOS!$B$77</f>
        <v>DRESSES</v>
      </c>
      <c r="Z28" s="25" t="str">
        <f t="shared" ca="1" si="0"/>
        <v>VMDRESSES19/20Nov</v>
      </c>
      <c r="AA28" s="25" t="str">
        <f>NWC_FC_NOOS!$I$1</f>
        <v>NOOS</v>
      </c>
      <c r="AB28" s="25" t="str">
        <f ca="1">NWC_FC_NOOS!$O$73</f>
        <v>19/20</v>
      </c>
      <c r="AC28" s="25" t="str">
        <f ca="1">NWC_FC_NOOS!$O$74</f>
        <v>Q2</v>
      </c>
      <c r="AD28" s="25" t="str">
        <f ca="1">NWC_FC_NOOS!$O$75</f>
        <v>Nov</v>
      </c>
      <c r="AE28" s="649">
        <f ca="1">IFERROR(HLOOKUP($AB28&amp;$AD28,NWC_FC_NOOS!$B$4:$Q$24,MATCH($Y28,NWC_FC_NOOS!$B$4:$B$24,0),FALSE),"")</f>
        <v>0</v>
      </c>
      <c r="AF28" s="650">
        <f ca="1">IFERROR(HLOOKUP($AB28&amp;$AD28,NWC_FC_NOOS!$S$4:$AH$24,MATCH($Y28,NWC_FC_NOOS!$S$4:$S$24,0),FALSE),"")</f>
        <v>0</v>
      </c>
      <c r="AG28" s="650">
        <f ca="1">IFERROR(HLOOKUP($AB28&amp;$AD28,NWC_FC_NOOS!$C$50:$U$70,MATCH($Y28,NWC_FC_NOOS!$B$50:$B$70,0),FALSE),"")</f>
        <v>0</v>
      </c>
      <c r="AH28" s="650">
        <f ca="1">IFERROR(IF($AA28="NOOS",HLOOKUP(STOCK_OVERVIEW!$AB28&amp;STOCK_OVERVIEW!$AD28,PLANNING_FC!$BB$27:$BP$46,MATCH(STOCK_OVERVIEW!$Y28,PLANNING_FC!$BA$27:$BA$46,0),FALSE),HLOOKUP($AB28&amp;$AD28,PLANNING_FC!$BB$4:$BP$23,MATCH(STOCK_OVERVIEW!$Y28,PLANNING_FC!$BA$4:$BA$23,0),FALSE)),"")</f>
        <v>0</v>
      </c>
      <c r="AI28" s="650">
        <f ca="1">IFERROR(IF($AA28="NOOS",HLOOKUP(STOCK_OVERVIEW!$AB28&amp;STOCK_OVERVIEW!$AD28,PLANNING_FC!$T$27:$AH$46,MATCH(STOCK_OVERVIEW!$Y28,PLANNING_FC!$B$27:$B$46,0),FALSE),HLOOKUP($AB28&amp;$AD28,PLANNING_FC!$T$4:$AH$23,MATCH(STOCK_OVERVIEW!$Y28,PLANNING_FC!$B$4:$B$23,0),FALSE)),"")</f>
        <v>0</v>
      </c>
      <c r="AJ28" s="650">
        <f ca="1">IFERROR(IF($AA28="NOOS",HLOOKUP(STOCK_OVERVIEW!$AB28&amp;STOCK_OVERVIEW!$AD28,PLANNING_FC!$DA$27:$DO$46,MATCH(STOCK_OVERVIEW!$Y28,PLANNING_FC!$CZ$27:$CZ$46,0),FALSE),HLOOKUP($AB28&amp;$AD28,PLANNING_FC!$DA$4:$DO$23,MATCH(STOCK_OVERVIEW!$Y28,PLANNING_FC!$CZ$4:$CZ$23,0),FALSE)),"")</f>
        <v>314692</v>
      </c>
      <c r="AK28" s="651">
        <f ca="1">IFERROR(IF(AA28="NOOS",HLOOKUP(AB28&amp;AD28,PLANNING_FC!$AJ$27:$AY$47,MATCH(STOCK_OVERVIEW!Y28,PLANNING_FC!$AJ$27:$AJ$47,0),FALSE)*1000,HLOOKUP(AB28&amp;AD28,PLANNING_FC!$AJ$4:$AY$24,MATCH(STOCK_OVERVIEW!Y28,PLANNING_FC!$AJ$4:$AJ$24,0),FALSE)*1000),"")</f>
        <v>0</v>
      </c>
    </row>
    <row r="29" spans="1:51" x14ac:dyDescent="0.25">
      <c r="B29" s="23"/>
      <c r="C29" s="622"/>
      <c r="D29" s="622"/>
      <c r="E29" s="622"/>
      <c r="F29" s="622"/>
      <c r="G29" s="622"/>
      <c r="X29" s="200" t="str">
        <f>NWC_FC_NOOS!$B$1</f>
        <v>VM</v>
      </c>
      <c r="Y29" s="25" t="str">
        <f>NWC_FC_NOOS!$B$77</f>
        <v>DRESSES</v>
      </c>
      <c r="Z29" s="25" t="str">
        <f t="shared" ca="1" si="0"/>
        <v>VMDRESSES19/20Dec</v>
      </c>
      <c r="AA29" s="25" t="str">
        <f>NWC_FC_NOOS!$I$1</f>
        <v>NOOS</v>
      </c>
      <c r="AB29" s="25" t="str">
        <f ca="1">NWC_FC_NOOS!$O$73</f>
        <v>19/20</v>
      </c>
      <c r="AC29" s="25" t="str">
        <f ca="1">NWC_FC_NOOS!$O$74</f>
        <v>Q2</v>
      </c>
      <c r="AD29" s="25" t="str">
        <f ca="1">NWC_FC_NOOS!$P$75</f>
        <v>Dec</v>
      </c>
      <c r="AE29" s="649">
        <f ca="1">IFERROR(HLOOKUP($AB29&amp;$AD29,NWC_FC_NOOS!$B$4:$Q$24,MATCH($Y29,NWC_FC_NOOS!$B$4:$B$24,0),FALSE),"")</f>
        <v>0</v>
      </c>
      <c r="AF29" s="650">
        <f ca="1">IFERROR(HLOOKUP($AB29&amp;$AD29,NWC_FC_NOOS!$S$4:$AH$24,MATCH($Y29,NWC_FC_NOOS!$S$4:$S$24,0),FALSE),"")</f>
        <v>0</v>
      </c>
      <c r="AG29" s="650">
        <f ca="1">IFERROR(HLOOKUP($AB29&amp;$AD29,NWC_FC_NOOS!$C$50:$U$70,MATCH($Y29,NWC_FC_NOOS!$B$50:$B$70,0),FALSE),"")</f>
        <v>0</v>
      </c>
      <c r="AH29" s="650">
        <f ca="1">IFERROR(IF($AA29="NOOS",HLOOKUP(STOCK_OVERVIEW!$AB29&amp;STOCK_OVERVIEW!$AD29,PLANNING_FC!$BB$27:$BP$46,MATCH(STOCK_OVERVIEW!$Y29,PLANNING_FC!$BA$27:$BA$46,0),FALSE),HLOOKUP($AB29&amp;$AD29,PLANNING_FC!$BB$4:$BP$23,MATCH(STOCK_OVERVIEW!$Y29,PLANNING_FC!$BA$4:$BA$23,0),FALSE)),"")</f>
        <v>0</v>
      </c>
      <c r="AI29" s="650">
        <f ca="1">IFERROR(IF($AA29="NOOS",HLOOKUP(STOCK_OVERVIEW!$AB29&amp;STOCK_OVERVIEW!$AD29,PLANNING_FC!$T$27:$AH$46,MATCH(STOCK_OVERVIEW!$Y29,PLANNING_FC!$B$27:$B$46,0),FALSE),HLOOKUP($AB29&amp;$AD29,PLANNING_FC!$T$4:$AH$23,MATCH(STOCK_OVERVIEW!$Y29,PLANNING_FC!$B$4:$B$23,0),FALSE)),"")</f>
        <v>0</v>
      </c>
      <c r="AJ29" s="650">
        <f ca="1">IFERROR(IF($AA29="NOOS",HLOOKUP(STOCK_OVERVIEW!$AB29&amp;STOCK_OVERVIEW!$AD29,PLANNING_FC!$DA$27:$DO$46,MATCH(STOCK_OVERVIEW!$Y29,PLANNING_FC!$CZ$27:$CZ$46,0),FALSE),HLOOKUP($AB29&amp;$AD29,PLANNING_FC!$DA$4:$DO$23,MATCH(STOCK_OVERVIEW!$Y29,PLANNING_FC!$CZ$4:$CZ$23,0),FALSE)),"")</f>
        <v>314692</v>
      </c>
      <c r="AK29" s="651">
        <f ca="1">IFERROR(IF(AA29="NOOS",HLOOKUP(AB29&amp;AD29,PLANNING_FC!$AJ$27:$AY$47,MATCH(STOCK_OVERVIEW!Y29,PLANNING_FC!$AJ$27:$AJ$47,0),FALSE)*1000,HLOOKUP(AB29&amp;AD29,PLANNING_FC!$AJ$4:$AY$24,MATCH(STOCK_OVERVIEW!Y29,PLANNING_FC!$AJ$4:$AJ$24,0),FALSE)*1000),"")</f>
        <v>0</v>
      </c>
      <c r="AL29" s="61"/>
    </row>
    <row r="30" spans="1:51" x14ac:dyDescent="0.25">
      <c r="B30" s="23"/>
      <c r="C30" s="622"/>
      <c r="D30" s="622"/>
      <c r="E30" s="622"/>
      <c r="F30" s="622"/>
      <c r="G30" s="622"/>
      <c r="X30" s="200" t="str">
        <f>NWC_FC_NOOS!$B$1</f>
        <v>VM</v>
      </c>
      <c r="Y30" s="25" t="str">
        <f>NWC_FC_NOOS!$B$77</f>
        <v>DRESSES</v>
      </c>
      <c r="Z30" s="25" t="str">
        <f t="shared" ca="1" si="0"/>
        <v>VMDRESSES19/20Jan</v>
      </c>
      <c r="AA30" s="25" t="str">
        <f>NWC_FC_NOOS!$I$1</f>
        <v>NOOS</v>
      </c>
      <c r="AB30" s="25" t="str">
        <f ca="1">NWC_FC_NOOS!$O$73</f>
        <v>19/20</v>
      </c>
      <c r="AC30" s="25" t="str">
        <f ca="1">NWC_FC_NOOS!$O$74</f>
        <v>Q2</v>
      </c>
      <c r="AD30" s="25" t="str">
        <f ca="1">NWC_FC_NOOS!$Q$75</f>
        <v>Jan</v>
      </c>
      <c r="AE30" s="649">
        <f ca="1">IFERROR(HLOOKUP($AB30&amp;$AD30,NWC_FC_NOOS!$B$4:$Q$24,MATCH($Y30,NWC_FC_NOOS!$B$4:$B$24,0),FALSE),"")</f>
        <v>0</v>
      </c>
      <c r="AF30" s="650">
        <f ca="1">IFERROR(HLOOKUP($AB30&amp;$AD30,NWC_FC_NOOS!$S$4:$AH$24,MATCH($Y30,NWC_FC_NOOS!$S$4:$S$24,0),FALSE),"")</f>
        <v>0</v>
      </c>
      <c r="AG30" s="650">
        <f ca="1">IFERROR(HLOOKUP($AB30&amp;$AD30,NWC_FC_NOOS!$C$50:$U$70,MATCH($Y30,NWC_FC_NOOS!$B$50:$B$70,0),FALSE),"")</f>
        <v>0</v>
      </c>
      <c r="AH30" s="650">
        <f ca="1">IFERROR(IF($AA30="NOOS",HLOOKUP(STOCK_OVERVIEW!$AB30&amp;STOCK_OVERVIEW!$AD30,PLANNING_FC!$BB$27:$BP$46,MATCH(STOCK_OVERVIEW!$Y30,PLANNING_FC!$BA$27:$BA$46,0),FALSE),HLOOKUP($AB30&amp;$AD30,PLANNING_FC!$BB$4:$BP$23,MATCH(STOCK_OVERVIEW!$Y30,PLANNING_FC!$BA$4:$BA$23,0),FALSE)),"")</f>
        <v>0</v>
      </c>
      <c r="AI30" s="650">
        <f ca="1">IFERROR(IF($AA30="NOOS",HLOOKUP(STOCK_OVERVIEW!$AB30&amp;STOCK_OVERVIEW!$AD30,PLANNING_FC!$T$27:$AH$46,MATCH(STOCK_OVERVIEW!$Y30,PLANNING_FC!$B$27:$B$46,0),FALSE),HLOOKUP($AB30&amp;$AD30,PLANNING_FC!$T$4:$AH$23,MATCH(STOCK_OVERVIEW!$Y30,PLANNING_FC!$B$4:$B$23,0),FALSE)),"")</f>
        <v>0</v>
      </c>
      <c r="AJ30" s="650">
        <f ca="1">IFERROR(IF($AA30="NOOS",HLOOKUP(STOCK_OVERVIEW!$AB30&amp;STOCK_OVERVIEW!$AD30,PLANNING_FC!$DA$27:$DO$46,MATCH(STOCK_OVERVIEW!$Y30,PLANNING_FC!$CZ$27:$CZ$46,0),FALSE),HLOOKUP($AB30&amp;$AD30,PLANNING_FC!$DA$4:$DO$23,MATCH(STOCK_OVERVIEW!$Y30,PLANNING_FC!$CZ$4:$CZ$23,0),FALSE)),"")</f>
        <v>314692</v>
      </c>
      <c r="AK30" s="651">
        <f ca="1">IFERROR(IF(AA30="NOOS",HLOOKUP(AB30&amp;AD30,PLANNING_FC!$AJ$27:$AY$47,MATCH(STOCK_OVERVIEW!Y30,PLANNING_FC!$AJ$27:$AJ$47,0),FALSE)*1000,HLOOKUP(AB30&amp;AD30,PLANNING_FC!$AJ$4:$AY$24,MATCH(STOCK_OVERVIEW!Y30,PLANNING_FC!$AJ$4:$AJ$24,0),FALSE)*1000),"")</f>
        <v>0</v>
      </c>
    </row>
    <row r="31" spans="1:51" x14ac:dyDescent="0.25">
      <c r="B31" s="23"/>
      <c r="C31" s="622"/>
      <c r="D31" s="622"/>
      <c r="E31" s="622"/>
      <c r="F31" s="622"/>
      <c r="G31" s="622"/>
      <c r="X31" s="200" t="str">
        <f>NWC_FC_NOOS!$B$1</f>
        <v>VM</v>
      </c>
      <c r="Y31" s="25" t="str">
        <f>NWC_FC_NOOS!$B$77</f>
        <v>DRESSES</v>
      </c>
      <c r="Z31" s="25" t="str">
        <f t="shared" ca="1" si="0"/>
        <v>VMDRESSES19/20Feb</v>
      </c>
      <c r="AA31" s="25" t="str">
        <f>NWC_FC_NOOS!$I$1</f>
        <v>NOOS</v>
      </c>
      <c r="AB31" s="25" t="str">
        <f ca="1">NWC_FC_NOOS!$S$73</f>
        <v>19/20</v>
      </c>
      <c r="AC31" s="25" t="str">
        <f ca="1">NWC_FC_NOOS!$S$74</f>
        <v>Q3</v>
      </c>
      <c r="AD31" s="25" t="str">
        <f ca="1">NWC_FC_NOOS!$S$75</f>
        <v>Feb</v>
      </c>
      <c r="AE31" s="649" t="str">
        <f ca="1">IFERROR(HLOOKUP($AB31&amp;$AD31,NWC_FC_NOOS!$B$4:$Q$24,MATCH($Y31,NWC_FC_NOOS!$B$4:$B$24,0),FALSE),"")</f>
        <v/>
      </c>
      <c r="AF31" s="650" t="str">
        <f ca="1">IFERROR(HLOOKUP($AB31&amp;$AD31,NWC_FC_NOOS!$S$4:$AH$24,MATCH($Y31,NWC_FC_NOOS!$S$4:$S$24,0),FALSE),"")</f>
        <v/>
      </c>
      <c r="AG31" s="650">
        <f ca="1">IFERROR(HLOOKUP($AB31&amp;$AD31,NWC_FC_NOOS!$C$50:$U$70,MATCH($Y31,NWC_FC_NOOS!$B$50:$B$70,0),FALSE),"")</f>
        <v>0</v>
      </c>
      <c r="AH31" s="650" t="str">
        <f ca="1">IFERROR(IF($AA31="NOOS",HLOOKUP(STOCK_OVERVIEW!$AB31&amp;STOCK_OVERVIEW!$AD31,PLANNING_FC!$BB$27:$BP$46,MATCH(STOCK_OVERVIEW!$Y31,PLANNING_FC!$BA$27:$BA$46,0),FALSE),HLOOKUP($AB31&amp;$AD31,PLANNING_FC!$BB$4:$BP$23,MATCH(STOCK_OVERVIEW!$Y31,PLANNING_FC!$BA$4:$BA$23,0),FALSE)),"")</f>
        <v/>
      </c>
      <c r="AI31" s="650" t="str">
        <f ca="1">IFERROR(IF($AA31="NOOS",HLOOKUP(STOCK_OVERVIEW!$AB31&amp;STOCK_OVERVIEW!$AD31,PLANNING_FC!$T$27:$AH$46,MATCH(STOCK_OVERVIEW!$Y31,PLANNING_FC!$B$27:$B$46,0),FALSE),HLOOKUP($AB31&amp;$AD31,PLANNING_FC!$T$4:$AH$23,MATCH(STOCK_OVERVIEW!$Y31,PLANNING_FC!$B$4:$B$23,0),FALSE)),"")</f>
        <v/>
      </c>
      <c r="AJ31" s="650" t="str">
        <f ca="1">IFERROR(IF($AA31="NOOS",HLOOKUP(STOCK_OVERVIEW!$AB31&amp;STOCK_OVERVIEW!$AD31,PLANNING_FC!$DA$27:$DO$46,MATCH(STOCK_OVERVIEW!$Y31,PLANNING_FC!$CZ$27:$CZ$46,0),FALSE),HLOOKUP($AB31&amp;$AD31,PLANNING_FC!$DA$4:$DO$23,MATCH(STOCK_OVERVIEW!$Y31,PLANNING_FC!$CZ$4:$CZ$23,0),FALSE)),"")</f>
        <v/>
      </c>
      <c r="AK31" s="651" t="str">
        <f ca="1">IFERROR(IF(AA31="NOOS",HLOOKUP(AB31&amp;AD31,PLANNING_FC!$AJ$27:$AY$47,MATCH(STOCK_OVERVIEW!Y31,PLANNING_FC!$AJ$27:$AJ$47,0),FALSE)*1000,HLOOKUP(AB31&amp;AD31,PLANNING_FC!$AJ$4:$AY$24,MATCH(STOCK_OVERVIEW!Y31,PLANNING_FC!$AJ$4:$AJ$24,0),FALSE)*1000),"")</f>
        <v/>
      </c>
    </row>
    <row r="32" spans="1:51" x14ac:dyDescent="0.25">
      <c r="B32" s="23"/>
      <c r="C32" s="622"/>
      <c r="D32" s="622"/>
      <c r="E32" s="622"/>
      <c r="F32" s="622"/>
      <c r="G32" s="622"/>
      <c r="X32" s="200" t="str">
        <f>NWC_FC_NOOS!$B$1</f>
        <v>VM</v>
      </c>
      <c r="Y32" s="25" t="str">
        <f>NWC_FC_NOOS!$B$77</f>
        <v>DRESSES</v>
      </c>
      <c r="Z32" s="25" t="str">
        <f t="shared" ca="1" si="0"/>
        <v>VMDRESSES19/20Mar</v>
      </c>
      <c r="AA32" s="25" t="str">
        <f>NWC_FC_NOOS!$I$1</f>
        <v>NOOS</v>
      </c>
      <c r="AB32" s="25" t="str">
        <f ca="1">NWC_FC_NOOS!$S$73</f>
        <v>19/20</v>
      </c>
      <c r="AC32" s="25" t="str">
        <f ca="1">NWC_FC_NOOS!$S$74</f>
        <v>Q3</v>
      </c>
      <c r="AD32" s="25" t="str">
        <f ca="1">NWC_FC_NOOS!$T$75</f>
        <v>Mar</v>
      </c>
      <c r="AE32" s="649" t="str">
        <f ca="1">IFERROR(HLOOKUP($AB32&amp;$AD32,NWC_FC_NOOS!$B$4:$Q$24,MATCH($Y32,NWC_FC_NOOS!$B$4:$B$24,0),FALSE),"")</f>
        <v/>
      </c>
      <c r="AF32" s="650" t="str">
        <f ca="1">IFERROR(HLOOKUP($AB32&amp;$AD32,NWC_FC_NOOS!$S$4:$AH$24,MATCH($Y32,NWC_FC_NOOS!$S$4:$S$24,0),FALSE),"")</f>
        <v/>
      </c>
      <c r="AG32" s="650">
        <f ca="1">IFERROR(HLOOKUP($AB32&amp;$AD32,NWC_FC_NOOS!$C$50:$U$70,MATCH($Y32,NWC_FC_NOOS!$B$50:$B$70,0),FALSE),"")</f>
        <v>0</v>
      </c>
      <c r="AH32" s="650" t="str">
        <f ca="1">IFERROR(IF($AA32="NOOS",HLOOKUP(STOCK_OVERVIEW!$AB32&amp;STOCK_OVERVIEW!$AD32,PLANNING_FC!$BB$27:$BP$46,MATCH(STOCK_OVERVIEW!$Y32,PLANNING_FC!$BA$27:$BA$46,0),FALSE),HLOOKUP($AB32&amp;$AD32,PLANNING_FC!$BB$4:$BP$23,MATCH(STOCK_OVERVIEW!$Y32,PLANNING_FC!$BA$4:$BA$23,0),FALSE)),"")</f>
        <v/>
      </c>
      <c r="AI32" s="650" t="str">
        <f ca="1">IFERROR(IF($AA32="NOOS",HLOOKUP(STOCK_OVERVIEW!$AB32&amp;STOCK_OVERVIEW!$AD32,PLANNING_FC!$T$27:$AH$46,MATCH(STOCK_OVERVIEW!$Y32,PLANNING_FC!$B$27:$B$46,0),FALSE),HLOOKUP($AB32&amp;$AD32,PLANNING_FC!$T$4:$AH$23,MATCH(STOCK_OVERVIEW!$Y32,PLANNING_FC!$B$4:$B$23,0),FALSE)),"")</f>
        <v/>
      </c>
      <c r="AJ32" s="650" t="str">
        <f ca="1">IFERROR(IF($AA32="NOOS",HLOOKUP(STOCK_OVERVIEW!$AB32&amp;STOCK_OVERVIEW!$AD32,PLANNING_FC!$DA$27:$DO$46,MATCH(STOCK_OVERVIEW!$Y32,PLANNING_FC!$CZ$27:$CZ$46,0),FALSE),HLOOKUP($AB32&amp;$AD32,PLANNING_FC!$DA$4:$DO$23,MATCH(STOCK_OVERVIEW!$Y32,PLANNING_FC!$CZ$4:$CZ$23,0),FALSE)),"")</f>
        <v/>
      </c>
      <c r="AK32" s="651" t="str">
        <f ca="1">IFERROR(IF(AA32="NOOS",HLOOKUP(AB32&amp;AD32,PLANNING_FC!$AJ$27:$AY$47,MATCH(STOCK_OVERVIEW!Y32,PLANNING_FC!$AJ$27:$AJ$47,0),FALSE)*1000,HLOOKUP(AB32&amp;AD32,PLANNING_FC!$AJ$4:$AY$24,MATCH(STOCK_OVERVIEW!Y32,PLANNING_FC!$AJ$4:$AJ$24,0),FALSE)*1000),"")</f>
        <v/>
      </c>
      <c r="AR32" s="643"/>
    </row>
    <row r="33" spans="1:44" ht="17.25" x14ac:dyDescent="0.3">
      <c r="B33" s="931" t="s">
        <v>262</v>
      </c>
      <c r="C33" s="931"/>
      <c r="D33" s="931"/>
      <c r="E33" s="931"/>
      <c r="F33" s="931"/>
      <c r="G33" s="931"/>
      <c r="H33" s="931"/>
      <c r="I33" s="931"/>
      <c r="J33" s="931"/>
      <c r="K33" s="931"/>
      <c r="L33" s="931"/>
      <c r="M33" s="931"/>
      <c r="N33" s="931"/>
      <c r="O33" s="931"/>
      <c r="P33" s="931"/>
      <c r="Q33" s="931"/>
      <c r="R33" s="598"/>
      <c r="S33" s="931" t="s">
        <v>257</v>
      </c>
      <c r="T33" s="931"/>
      <c r="U33" s="931"/>
      <c r="V33" s="931"/>
      <c r="X33" s="200" t="str">
        <f>NWC_FC_NOOS!$B$1</f>
        <v>VM</v>
      </c>
      <c r="Y33" s="25" t="str">
        <f>NWC_FC_NOOS!$B$77</f>
        <v>DRESSES</v>
      </c>
      <c r="Z33" s="25" t="str">
        <f t="shared" ca="1" si="0"/>
        <v>VMDRESSES19/20Apr</v>
      </c>
      <c r="AA33" s="25" t="str">
        <f>NWC_FC_NOOS!$I$1</f>
        <v>NOOS</v>
      </c>
      <c r="AB33" s="25" t="str">
        <f ca="1">NWC_FC_NOOS!$S$73</f>
        <v>19/20</v>
      </c>
      <c r="AC33" s="25" t="str">
        <f ca="1">NWC_FC_NOOS!$S$74</f>
        <v>Q3</v>
      </c>
      <c r="AD33" s="25" t="str">
        <f ca="1">NWC_FC_NOOS!$U$75</f>
        <v>Apr</v>
      </c>
      <c r="AE33" s="649" t="str">
        <f ca="1">IFERROR(HLOOKUP($AB33&amp;$AD33,NWC_FC_NOOS!$B$4:$Q$24,MATCH($Y33,NWC_FC_NOOS!$B$4:$B$24,0),FALSE),"")</f>
        <v/>
      </c>
      <c r="AF33" s="650" t="str">
        <f ca="1">IFERROR(HLOOKUP($AB33&amp;$AD33,NWC_FC_NOOS!$S$4:$AH$24,MATCH($Y33,NWC_FC_NOOS!$S$4:$S$24,0),FALSE),"")</f>
        <v/>
      </c>
      <c r="AG33" s="650">
        <f ca="1">IFERROR(HLOOKUP($AB33&amp;$AD33,NWC_FC_NOOS!$C$50:$U$70,MATCH($Y33,NWC_FC_NOOS!$B$50:$B$70,0),FALSE),"")</f>
        <v>0</v>
      </c>
      <c r="AH33" s="650" t="str">
        <f ca="1">IFERROR(IF($AA33="NOOS",HLOOKUP(STOCK_OVERVIEW!$AB33&amp;STOCK_OVERVIEW!$AD33,PLANNING_FC!$BB$27:$BP$46,MATCH(STOCK_OVERVIEW!$Y33,PLANNING_FC!$BA$27:$BA$46,0),FALSE),HLOOKUP($AB33&amp;$AD33,PLANNING_FC!$BB$4:$BP$23,MATCH(STOCK_OVERVIEW!$Y33,PLANNING_FC!$BA$4:$BA$23,0),FALSE)),"")</f>
        <v/>
      </c>
      <c r="AI33" s="650" t="str">
        <f ca="1">IFERROR(IF($AA33="NOOS",HLOOKUP(STOCK_OVERVIEW!$AB33&amp;STOCK_OVERVIEW!$AD33,PLANNING_FC!$T$27:$AH$46,MATCH(STOCK_OVERVIEW!$Y33,PLANNING_FC!$B$27:$B$46,0),FALSE),HLOOKUP($AB33&amp;$AD33,PLANNING_FC!$T$4:$AH$23,MATCH(STOCK_OVERVIEW!$Y33,PLANNING_FC!$B$4:$B$23,0),FALSE)),"")</f>
        <v/>
      </c>
      <c r="AJ33" s="650" t="str">
        <f ca="1">IFERROR(IF($AA33="NOOS",HLOOKUP(STOCK_OVERVIEW!$AB33&amp;STOCK_OVERVIEW!$AD33,PLANNING_FC!$DA$27:$DO$46,MATCH(STOCK_OVERVIEW!$Y33,PLANNING_FC!$CZ$27:$CZ$46,0),FALSE),HLOOKUP($AB33&amp;$AD33,PLANNING_FC!$DA$4:$DO$23,MATCH(STOCK_OVERVIEW!$Y33,PLANNING_FC!$CZ$4:$CZ$23,0),FALSE)),"")</f>
        <v/>
      </c>
      <c r="AK33" s="651" t="str">
        <f ca="1">IFERROR(IF(AA33="NOOS",HLOOKUP(AB33&amp;AD33,PLANNING_FC!$AJ$27:$AY$47,MATCH(STOCK_OVERVIEW!Y33,PLANNING_FC!$AJ$27:$AJ$47,0),FALSE)*1000,HLOOKUP(AB33&amp;AD33,PLANNING_FC!$AJ$4:$AY$24,MATCH(STOCK_OVERVIEW!Y33,PLANNING_FC!$AJ$4:$AJ$24,0),FALSE)*1000),"")</f>
        <v/>
      </c>
    </row>
    <row r="34" spans="1:44" ht="17.25" hidden="1" x14ac:dyDescent="0.3">
      <c r="B34" s="611" t="s">
        <v>255</v>
      </c>
      <c r="C34" s="409" t="str">
        <f ca="1">TIME!$M$34</f>
        <v>18/19</v>
      </c>
      <c r="D34" s="409" t="str">
        <f ca="1">TIME!$M$34</f>
        <v>18/19</v>
      </c>
      <c r="E34" s="409" t="str">
        <f ca="1">TIME!$M$34</f>
        <v>18/19</v>
      </c>
      <c r="F34" s="409"/>
      <c r="G34" s="409"/>
      <c r="H34" s="409"/>
      <c r="I34" s="409"/>
      <c r="J34" s="409"/>
      <c r="K34" s="409"/>
      <c r="L34" s="409"/>
      <c r="M34" s="409"/>
      <c r="N34" s="409"/>
      <c r="O34" s="409"/>
      <c r="P34" s="409"/>
      <c r="Q34" s="409"/>
      <c r="R34" s="598"/>
      <c r="S34" s="607"/>
      <c r="T34" s="607"/>
      <c r="U34" s="607"/>
      <c r="V34" s="607"/>
      <c r="X34" s="200" t="str">
        <f>NWC_FC_NOOS!$B$1</f>
        <v>VM</v>
      </c>
      <c r="Y34" s="25" t="str">
        <f>NWC_FC_NOOS!$B$56</f>
        <v>JEANS</v>
      </c>
      <c r="Z34" s="25" t="str">
        <f t="shared" ca="1" si="0"/>
        <v>VMJEANS18/19Feb</v>
      </c>
      <c r="AA34" s="25" t="str">
        <f>NWC_FC_NOOS!$I$1</f>
        <v>NOOS</v>
      </c>
      <c r="AB34" s="25" t="str">
        <f ca="1">NWC_FC_NOOS!$C$73</f>
        <v>18/19</v>
      </c>
      <c r="AC34" s="25" t="str">
        <f ca="1">NWC_FC_NOOS!$C$74</f>
        <v>Q3</v>
      </c>
      <c r="AD34" s="25" t="str">
        <f ca="1">NWC_FC_NOOS!$C$75</f>
        <v>Feb</v>
      </c>
      <c r="AE34" s="649">
        <f ca="1">IFERROR(HLOOKUP($AB34&amp;$AD34,NWC_FC_NOOS!$B$4:$Q$24,MATCH($Y34,NWC_FC_NOOS!$B$4:$B$24,0),FALSE),"")</f>
        <v>0</v>
      </c>
      <c r="AF34" s="650">
        <f ca="1">IFERROR(HLOOKUP($AB34&amp;$AD34,NWC_FC_NOOS!$S$4:$AH$24,MATCH($Y34,NWC_FC_NOOS!$S$4:$S$24,0),FALSE),"")</f>
        <v>0</v>
      </c>
      <c r="AG34" s="650">
        <f ca="1">IFERROR(HLOOKUP($AB34&amp;$AD34,NWC_FC_NOOS!$C$50:$U$70,MATCH($Y34,NWC_FC_NOOS!$B$50:$B$70,0),FALSE),"")</f>
        <v>0</v>
      </c>
      <c r="AH34" s="650">
        <f ca="1">IFERROR(IF($AA34="NOOS",HLOOKUP(STOCK_OVERVIEW!$AB34&amp;STOCK_OVERVIEW!$AD34,PLANNING_FC!$BB$27:$BP$46,MATCH(STOCK_OVERVIEW!$Y34,PLANNING_FC!$BA$27:$BA$46,0),FALSE),HLOOKUP($AB34&amp;$AD34,PLANNING_FC!$BB$4:$BP$23,MATCH(STOCK_OVERVIEW!$Y34,PLANNING_FC!$BA$4:$BA$23,0),FALSE)),"")</f>
        <v>0</v>
      </c>
      <c r="AI34" s="650">
        <f ca="1">IFERROR(IF($AA34="NOOS",HLOOKUP(STOCK_OVERVIEW!$AB34&amp;STOCK_OVERVIEW!$AD34,PLANNING_FC!$T$27:$AH$46,MATCH(STOCK_OVERVIEW!$Y34,PLANNING_FC!$B$27:$B$46,0),FALSE),HLOOKUP($AB34&amp;$AD34,PLANNING_FC!$T$4:$AH$23,MATCH(STOCK_OVERVIEW!$Y34,PLANNING_FC!$B$4:$B$23,0),FALSE)),"")</f>
        <v>0</v>
      </c>
      <c r="AJ34" s="650">
        <f ca="1">IFERROR(IF($AA34="NOOS",HLOOKUP(STOCK_OVERVIEW!$AB34&amp;STOCK_OVERVIEW!$AD34,PLANNING_FC!$DA$27:$DO$46,MATCH(STOCK_OVERVIEW!$Y34,PLANNING_FC!$CZ$27:$CZ$46,0),FALSE),HLOOKUP($AB34&amp;$AD34,PLANNING_FC!$DA$4:$DO$23,MATCH(STOCK_OVERVIEW!$Y34,PLANNING_FC!$CZ$4:$CZ$23,0),FALSE)),"")</f>
        <v>0</v>
      </c>
      <c r="AK34" s="651">
        <f ca="1">IFERROR(IF(AA34="NOOS",HLOOKUP(AB34&amp;AD34,PLANNING_FC!$AJ$27:$AY$47,MATCH(STOCK_OVERVIEW!Y34,PLANNING_FC!$AJ$27:$AJ$47,0),FALSE)*1000,HLOOKUP(AB34&amp;AD34,PLANNING_FC!$AJ$4:$AY$24,MATCH(STOCK_OVERVIEW!Y34,PLANNING_FC!$AJ$4:$AJ$24,0),FALSE)*1000),"")</f>
        <v>0</v>
      </c>
    </row>
    <row r="35" spans="1:44" ht="17.25" hidden="1" x14ac:dyDescent="0.3">
      <c r="B35" s="611" t="s">
        <v>255</v>
      </c>
      <c r="C35" s="409" t="str">
        <f ca="1">VLOOKUP(C$40,TIME!$S$28:$T$39,2,FALSE)</f>
        <v>Jan</v>
      </c>
      <c r="D35" s="409" t="str">
        <f ca="1">VLOOKUP(D$40,TIME!$S$28:$T$39,2,FALSE)</f>
        <v>Feb</v>
      </c>
      <c r="E35" s="409" t="str">
        <f ca="1">VLOOKUP(E$40,TIME!$S$28:$T$39,2,FALSE)</f>
        <v>Mar</v>
      </c>
      <c r="F35" s="409"/>
      <c r="G35" s="409"/>
      <c r="H35" s="409"/>
      <c r="I35" s="409"/>
      <c r="J35" s="409"/>
      <c r="K35" s="409"/>
      <c r="L35" s="409"/>
      <c r="M35" s="409"/>
      <c r="N35" s="409"/>
      <c r="O35" s="409"/>
      <c r="P35" s="409"/>
      <c r="Q35" s="409"/>
      <c r="R35" s="598"/>
      <c r="S35" s="607"/>
      <c r="T35" s="607"/>
      <c r="U35" s="607"/>
      <c r="V35" s="607"/>
      <c r="X35" s="200" t="str">
        <f>NWC_FC_NOOS!$B$1</f>
        <v>VM</v>
      </c>
      <c r="Y35" s="25" t="str">
        <f>NWC_FC_NOOS!$B$56</f>
        <v>JEANS</v>
      </c>
      <c r="Z35" s="25" t="str">
        <f t="shared" ca="1" si="0"/>
        <v>VMJEANS18/19Mar</v>
      </c>
      <c r="AA35" s="25" t="str">
        <f>NWC_FC_NOOS!$I$1</f>
        <v>NOOS</v>
      </c>
      <c r="AB35" s="25" t="str">
        <f ca="1">NWC_FC_NOOS!$C$73</f>
        <v>18/19</v>
      </c>
      <c r="AC35" s="25" t="str">
        <f ca="1">NWC_FC_NOOS!$C$74</f>
        <v>Q3</v>
      </c>
      <c r="AD35" s="25" t="str">
        <f ca="1">NWC_FC_NOOS!$D$75</f>
        <v>Mar</v>
      </c>
      <c r="AE35" s="649">
        <f ca="1">IFERROR(HLOOKUP($AB35&amp;$AD35,NWC_FC_NOOS!$B$4:$Q$24,MATCH($Y35,NWC_FC_NOOS!$B$4:$B$24,0),FALSE),"")</f>
        <v>0</v>
      </c>
      <c r="AF35" s="650">
        <f ca="1">IFERROR(HLOOKUP($AB35&amp;$AD35,NWC_FC_NOOS!$S$4:$AH$24,MATCH($Y35,NWC_FC_NOOS!$S$4:$S$24,0),FALSE),"")</f>
        <v>0</v>
      </c>
      <c r="AG35" s="650">
        <f ca="1">IFERROR(HLOOKUP($AB35&amp;$AD35,NWC_FC_NOOS!$C$50:$U$70,MATCH($Y35,NWC_FC_NOOS!$B$50:$B$70,0),FALSE),"")</f>
        <v>0</v>
      </c>
      <c r="AH35" s="650">
        <f ca="1">IFERROR(IF($AA35="NOOS",HLOOKUP(STOCK_OVERVIEW!$AB35&amp;STOCK_OVERVIEW!$AD35,PLANNING_FC!$BB$27:$BP$46,MATCH(STOCK_OVERVIEW!$Y35,PLANNING_FC!$BA$27:$BA$46,0),FALSE),HLOOKUP($AB35&amp;$AD35,PLANNING_FC!$BB$4:$BP$23,MATCH(STOCK_OVERVIEW!$Y35,PLANNING_FC!$BA$4:$BA$23,0),FALSE)),"")</f>
        <v>0</v>
      </c>
      <c r="AI35" s="650">
        <f ca="1">IFERROR(IF($AA35="NOOS",HLOOKUP(STOCK_OVERVIEW!$AB35&amp;STOCK_OVERVIEW!$AD35,PLANNING_FC!$T$27:$AH$46,MATCH(STOCK_OVERVIEW!$Y35,PLANNING_FC!$B$27:$B$46,0),FALSE),HLOOKUP($AB35&amp;$AD35,PLANNING_FC!$T$4:$AH$23,MATCH(STOCK_OVERVIEW!$Y35,PLANNING_FC!$B$4:$B$23,0),FALSE)),"")</f>
        <v>0</v>
      </c>
      <c r="AJ35" s="650">
        <f ca="1">IFERROR(IF($AA35="NOOS",HLOOKUP(STOCK_OVERVIEW!$AB35&amp;STOCK_OVERVIEW!$AD35,PLANNING_FC!$DA$27:$DO$46,MATCH(STOCK_OVERVIEW!$Y35,PLANNING_FC!$CZ$27:$CZ$46,0),FALSE),HLOOKUP($AB35&amp;$AD35,PLANNING_FC!$DA$4:$DO$23,MATCH(STOCK_OVERVIEW!$Y35,PLANNING_FC!$CZ$4:$CZ$23,0),FALSE)),"")</f>
        <v>0</v>
      </c>
      <c r="AK35" s="651">
        <f ca="1">IFERROR(IF(AA35="NOOS",HLOOKUP(AB35&amp;AD35,PLANNING_FC!$AJ$27:$AY$47,MATCH(STOCK_OVERVIEW!Y35,PLANNING_FC!$AJ$27:$AJ$47,0),FALSE)*1000,HLOOKUP(AB35&amp;AD35,PLANNING_FC!$AJ$4:$AY$24,MATCH(STOCK_OVERVIEW!Y35,PLANNING_FC!$AJ$4:$AJ$24,0),FALSE)*1000),"")</f>
        <v>0</v>
      </c>
    </row>
    <row r="36" spans="1:44" ht="17.25" hidden="1" x14ac:dyDescent="0.3">
      <c r="B36" s="611" t="s">
        <v>62</v>
      </c>
      <c r="C36" s="409" t="str">
        <f ca="1">VLOOKUP(C37,TIME!$A$12:$D$47,4,FALSE)</f>
        <v>2019-02</v>
      </c>
      <c r="D36" s="409" t="str">
        <f ca="1">VLOOKUP(D37,TIME!$A$12:$D$47,4,FALSE)</f>
        <v>2019-03</v>
      </c>
      <c r="E36" s="409" t="str">
        <f ca="1">VLOOKUP(E37,TIME!$A$12:$D$47,4,FALSE)</f>
        <v>2019-04</v>
      </c>
      <c r="F36" s="409"/>
      <c r="G36" s="409" t="str">
        <f ca="1">VLOOKUP(G37,TIME!$A$12:$D$47,4,FALSE)</f>
        <v>2019-05</v>
      </c>
      <c r="H36" s="409" t="str">
        <f ca="1">VLOOKUP(H37,TIME!$A$12:$D$47,4,FALSE)</f>
        <v>2019-06</v>
      </c>
      <c r="I36" s="409" t="str">
        <f ca="1">VLOOKUP(I37,TIME!$A$12:$D$47,4,FALSE)</f>
        <v>2019-07</v>
      </c>
      <c r="J36" s="409"/>
      <c r="K36" s="409" t="str">
        <f ca="1">VLOOKUP(K37,TIME!$A$12:$D$47,4,FALSE)</f>
        <v>2019-08</v>
      </c>
      <c r="L36" s="409" t="str">
        <f ca="1">VLOOKUP(L37,TIME!$A$12:$D$47,4,FALSE)</f>
        <v>2019-09</v>
      </c>
      <c r="M36" s="409" t="str">
        <f ca="1">VLOOKUP(M37,TIME!$A$12:$D$47,4,FALSE)</f>
        <v>2019-10</v>
      </c>
      <c r="N36" s="409"/>
      <c r="O36" s="409" t="str">
        <f ca="1">VLOOKUP(O37,TIME!$A$12:$D$47,4,FALSE)</f>
        <v>2019-11</v>
      </c>
      <c r="P36" s="409" t="str">
        <f ca="1">VLOOKUP(P37,TIME!$A$12:$D$47,4,FALSE)</f>
        <v>2019-12</v>
      </c>
      <c r="Q36" s="409" t="str">
        <f ca="1">VLOOKUP(Q37,TIME!$A$12:$D$47,4,FALSE)</f>
        <v>2020-01</v>
      </c>
      <c r="R36" s="598"/>
      <c r="S36" s="607"/>
      <c r="T36" s="607"/>
      <c r="U36" s="607"/>
      <c r="V36" s="607"/>
      <c r="X36" s="200" t="str">
        <f>NWC_FC_NOOS!$B$1</f>
        <v>VM</v>
      </c>
      <c r="Y36" s="25" t="str">
        <f>NWC_FC_NOOS!$B$56</f>
        <v>JEANS</v>
      </c>
      <c r="Z36" s="25" t="str">
        <f t="shared" ca="1" si="0"/>
        <v>VMJEANS18/19Apr</v>
      </c>
      <c r="AA36" s="25" t="str">
        <f>NWC_FC_NOOS!$I$1</f>
        <v>NOOS</v>
      </c>
      <c r="AB36" s="25" t="str">
        <f ca="1">NWC_FC_NOOS!$C$73</f>
        <v>18/19</v>
      </c>
      <c r="AC36" s="25" t="str">
        <f ca="1">NWC_FC_NOOS!$C$74</f>
        <v>Q3</v>
      </c>
      <c r="AD36" s="25" t="str">
        <f ca="1">NWC_FC_NOOS!$E$75</f>
        <v>Apr</v>
      </c>
      <c r="AE36" s="649">
        <f ca="1">IFERROR(HLOOKUP($AB36&amp;$AD36,NWC_FC_NOOS!$B$4:$Q$24,MATCH($Y36,NWC_FC_NOOS!$B$4:$B$24,0),FALSE),"")</f>
        <v>0</v>
      </c>
      <c r="AF36" s="650">
        <f ca="1">IFERROR(HLOOKUP($AB36&amp;$AD36,NWC_FC_NOOS!$S$4:$AH$24,MATCH($Y36,NWC_FC_NOOS!$S$4:$S$24,0),FALSE),"")</f>
        <v>0</v>
      </c>
      <c r="AG36" s="650">
        <f ca="1">IFERROR(HLOOKUP($AB36&amp;$AD36,NWC_FC_NOOS!$C$50:$U$70,MATCH($Y36,NWC_FC_NOOS!$B$50:$B$70,0),FALSE),"")</f>
        <v>0</v>
      </c>
      <c r="AH36" s="650">
        <f ca="1">IFERROR(IF($AA36="NOOS",HLOOKUP(STOCK_OVERVIEW!$AB36&amp;STOCK_OVERVIEW!$AD36,PLANNING_FC!$BB$27:$BP$46,MATCH(STOCK_OVERVIEW!$Y36,PLANNING_FC!$BA$27:$BA$46,0),FALSE),HLOOKUP($AB36&amp;$AD36,PLANNING_FC!$BB$4:$BP$23,MATCH(STOCK_OVERVIEW!$Y36,PLANNING_FC!$BA$4:$BA$23,0),FALSE)),"")</f>
        <v>0</v>
      </c>
      <c r="AI36" s="650">
        <f ca="1">IFERROR(IF($AA36="NOOS",HLOOKUP(STOCK_OVERVIEW!$AB36&amp;STOCK_OVERVIEW!$AD36,PLANNING_FC!$T$27:$AH$46,MATCH(STOCK_OVERVIEW!$Y36,PLANNING_FC!$B$27:$B$46,0),FALSE),HLOOKUP($AB36&amp;$AD36,PLANNING_FC!$T$4:$AH$23,MATCH(STOCK_OVERVIEW!$Y36,PLANNING_FC!$B$4:$B$23,0),FALSE)),"")</f>
        <v>0</v>
      </c>
      <c r="AJ36" s="650">
        <f ca="1">IFERROR(IF($AA36="NOOS",HLOOKUP(STOCK_OVERVIEW!$AB36&amp;STOCK_OVERVIEW!$AD36,PLANNING_FC!$DA$27:$DO$46,MATCH(STOCK_OVERVIEW!$Y36,PLANNING_FC!$CZ$27:$CZ$46,0),FALSE),HLOOKUP($AB36&amp;$AD36,PLANNING_FC!$DA$4:$DO$23,MATCH(STOCK_OVERVIEW!$Y36,PLANNING_FC!$CZ$4:$CZ$23,0),FALSE)),"")</f>
        <v>127374</v>
      </c>
      <c r="AK36" s="651">
        <f ca="1">IFERROR(IF(AA36="NOOS",HLOOKUP(AB36&amp;AD36,PLANNING_FC!$AJ$27:$AY$47,MATCH(STOCK_OVERVIEW!Y36,PLANNING_FC!$AJ$27:$AJ$47,0),FALSE)*1000,HLOOKUP(AB36&amp;AD36,PLANNING_FC!$AJ$4:$AY$24,MATCH(STOCK_OVERVIEW!Y36,PLANNING_FC!$AJ$4:$AJ$24,0),FALSE)*1000),"")</f>
        <v>0</v>
      </c>
    </row>
    <row r="37" spans="1:44" ht="17.25" hidden="1" x14ac:dyDescent="0.3">
      <c r="B37" s="612" t="s">
        <v>254</v>
      </c>
      <c r="C37" s="22" t="str">
        <f ca="1">$C$38&amp;C40</f>
        <v>18/19Feb</v>
      </c>
      <c r="D37" s="22" t="str">
        <f ca="1">$C$38&amp;D40</f>
        <v>18/19Mar</v>
      </c>
      <c r="E37" s="22" t="str">
        <f ca="1">$C$38&amp;E40</f>
        <v>18/19Apr</v>
      </c>
      <c r="F37" s="328"/>
      <c r="G37" s="22" t="str">
        <f ca="1">$G$38&amp;G40</f>
        <v>18/19May</v>
      </c>
      <c r="H37" s="22" t="str">
        <f ca="1">$G$38&amp;H40</f>
        <v>18/19Jun</v>
      </c>
      <c r="I37" s="22" t="str">
        <f ca="1">$G$38&amp;I40</f>
        <v>18/19Jul</v>
      </c>
      <c r="J37" s="328"/>
      <c r="K37" s="22" t="str">
        <f ca="1">$K$38&amp;K40</f>
        <v>19/20Aug</v>
      </c>
      <c r="L37" s="22" t="str">
        <f ca="1">$K$38&amp;L40</f>
        <v>19/20Sep</v>
      </c>
      <c r="M37" s="22" t="str">
        <f ca="1">$K$38&amp;M40</f>
        <v>19/20Oct</v>
      </c>
      <c r="N37" s="328"/>
      <c r="O37" s="22" t="str">
        <f ca="1">$O$38&amp;O40</f>
        <v>19/20Nov</v>
      </c>
      <c r="P37" s="22" t="str">
        <f ca="1">$O$38&amp;P40</f>
        <v>19/20Dec</v>
      </c>
      <c r="Q37" s="22" t="str">
        <f ca="1">$O$38&amp;Q40</f>
        <v>19/20Jan</v>
      </c>
      <c r="R37" s="308"/>
      <c r="S37" s="210"/>
      <c r="T37" s="210"/>
      <c r="U37" s="211"/>
      <c r="V37" s="210"/>
      <c r="X37" s="200" t="str">
        <f>NWC_FC_NOOS!$B$1</f>
        <v>VM</v>
      </c>
      <c r="Y37" s="25" t="str">
        <f>NWC_FC_NOOS!$B$56</f>
        <v>JEANS</v>
      </c>
      <c r="Z37" s="25" t="str">
        <f t="shared" ca="1" si="0"/>
        <v>VMJEANS18/19May</v>
      </c>
      <c r="AA37" s="25" t="str">
        <f>NWC_FC_NOOS!$I$1</f>
        <v>NOOS</v>
      </c>
      <c r="AB37" s="25" t="str">
        <f ca="1">NWC_FC_NOOS!$G$73</f>
        <v>18/19</v>
      </c>
      <c r="AC37" s="25" t="str">
        <f ca="1">NWC_FC_NOOS!$G$74</f>
        <v>Q4</v>
      </c>
      <c r="AD37" s="25" t="str">
        <f ca="1">NWC_FC_NOOS!$G$75</f>
        <v>May</v>
      </c>
      <c r="AE37" s="649">
        <f ca="1">IFERROR(HLOOKUP($AB37&amp;$AD37,NWC_FC_NOOS!$B$4:$Q$24,MATCH($Y37,NWC_FC_NOOS!$B$4:$B$24,0),FALSE),"")</f>
        <v>0</v>
      </c>
      <c r="AF37" s="650">
        <f ca="1">IFERROR(HLOOKUP($AB37&amp;$AD37,NWC_FC_NOOS!$S$4:$AH$24,MATCH($Y37,NWC_FC_NOOS!$S$4:$S$24,0),FALSE),"")</f>
        <v>0</v>
      </c>
      <c r="AG37" s="650">
        <f ca="1">IFERROR(HLOOKUP($AB37&amp;$AD37,NWC_FC_NOOS!$C$50:$U$70,MATCH($Y37,NWC_FC_NOOS!$B$50:$B$70,0),FALSE),"")</f>
        <v>0</v>
      </c>
      <c r="AH37" s="650">
        <f ca="1">IFERROR(IF($AA37="NOOS",HLOOKUP(STOCK_OVERVIEW!$AB37&amp;STOCK_OVERVIEW!$AD37,PLANNING_FC!$BB$27:$BP$46,MATCH(STOCK_OVERVIEW!$Y37,PLANNING_FC!$BA$27:$BA$46,0),FALSE),HLOOKUP($AB37&amp;$AD37,PLANNING_FC!$BB$4:$BP$23,MATCH(STOCK_OVERVIEW!$Y37,PLANNING_FC!$BA$4:$BA$23,0),FALSE)),"")</f>
        <v>0</v>
      </c>
      <c r="AI37" s="650">
        <f ca="1">IFERROR(IF($AA37="NOOS",HLOOKUP(STOCK_OVERVIEW!$AB37&amp;STOCK_OVERVIEW!$AD37,PLANNING_FC!$T$27:$AH$46,MATCH(STOCK_OVERVIEW!$Y37,PLANNING_FC!$B$27:$B$46,0),FALSE),HLOOKUP($AB37&amp;$AD37,PLANNING_FC!$T$4:$AH$23,MATCH(STOCK_OVERVIEW!$Y37,PLANNING_FC!$B$4:$B$23,0),FALSE)),"")</f>
        <v>0</v>
      </c>
      <c r="AJ37" s="650">
        <f ca="1">IFERROR(IF($AA37="NOOS",HLOOKUP(STOCK_OVERVIEW!$AB37&amp;STOCK_OVERVIEW!$AD37,PLANNING_FC!$DA$27:$DO$46,MATCH(STOCK_OVERVIEW!$Y37,PLANNING_FC!$CZ$27:$CZ$46,0),FALSE),HLOOKUP($AB37&amp;$AD37,PLANNING_FC!$DA$4:$DO$23,MATCH(STOCK_OVERVIEW!$Y37,PLANNING_FC!$CZ$4:$CZ$23,0),FALSE)),"")</f>
        <v>127374</v>
      </c>
      <c r="AK37" s="651">
        <f ca="1">IFERROR(IF(AA37="NOOS",HLOOKUP(AB37&amp;AD37,PLANNING_FC!$AJ$27:$AY$47,MATCH(STOCK_OVERVIEW!Y37,PLANNING_FC!$AJ$27:$AJ$47,0),FALSE)*1000,HLOOKUP(AB37&amp;AD37,PLANNING_FC!$AJ$4:$AY$24,MATCH(STOCK_OVERVIEW!Y37,PLANNING_FC!$AJ$4:$AJ$24,0),FALSE)*1000),"")</f>
        <v>0</v>
      </c>
      <c r="AR37" s="643"/>
    </row>
    <row r="38" spans="1:44" x14ac:dyDescent="0.25">
      <c r="A38" s="62" t="str">
        <f ca="1">PLANNING_FC!DR4</f>
        <v>17/18</v>
      </c>
      <c r="B38" s="378"/>
      <c r="C38" s="894" t="str">
        <f ca="1">'NWC_FC_NON-NOOS'!C5</f>
        <v>18/19</v>
      </c>
      <c r="D38" s="894"/>
      <c r="E38" s="894"/>
      <c r="F38" s="289"/>
      <c r="G38" s="894" t="str">
        <f ca="1">'NWC_FC_NON-NOOS'!G5</f>
        <v>18/19</v>
      </c>
      <c r="H38" s="894"/>
      <c r="I38" s="894"/>
      <c r="J38" s="289"/>
      <c r="K38" s="894" t="str">
        <f ca="1">'NWC_FC_NON-NOOS'!K5</f>
        <v>19/20</v>
      </c>
      <c r="L38" s="894"/>
      <c r="M38" s="894"/>
      <c r="N38" s="289"/>
      <c r="O38" s="894" t="str">
        <f ca="1">'NWC_FC_NON-NOOS'!O5</f>
        <v>19/20</v>
      </c>
      <c r="P38" s="894"/>
      <c r="Q38" s="894"/>
      <c r="R38" s="601"/>
      <c r="S38" s="205"/>
      <c r="T38" s="205"/>
      <c r="V38" s="205"/>
      <c r="X38" s="200" t="str">
        <f>NWC_FC_NOOS!$B$1</f>
        <v>VM</v>
      </c>
      <c r="Y38" s="25" t="str">
        <f>NWC_FC_NOOS!$B$56</f>
        <v>JEANS</v>
      </c>
      <c r="Z38" s="25" t="str">
        <f t="shared" ca="1" si="0"/>
        <v>VMJEANS18/19Jun</v>
      </c>
      <c r="AA38" s="25" t="str">
        <f>NWC_FC_NOOS!$I$1</f>
        <v>NOOS</v>
      </c>
      <c r="AB38" s="25" t="str">
        <f ca="1">NWC_FC_NOOS!$G$73</f>
        <v>18/19</v>
      </c>
      <c r="AC38" s="25" t="str">
        <f ca="1">NWC_FC_NOOS!$G$74</f>
        <v>Q4</v>
      </c>
      <c r="AD38" s="25" t="str">
        <f ca="1">NWC_FC_NOOS!$H$75</f>
        <v>Jun</v>
      </c>
      <c r="AE38" s="649">
        <f ca="1">IFERROR(HLOOKUP($AB38&amp;$AD38,NWC_FC_NOOS!$B$4:$Q$24,MATCH($Y38,NWC_FC_NOOS!$B$4:$B$24,0),FALSE),"")</f>
        <v>0</v>
      </c>
      <c r="AF38" s="650">
        <f ca="1">IFERROR(HLOOKUP($AB38&amp;$AD38,NWC_FC_NOOS!$S$4:$AH$24,MATCH($Y38,NWC_FC_NOOS!$S$4:$S$24,0),FALSE),"")</f>
        <v>0</v>
      </c>
      <c r="AG38" s="650">
        <f ca="1">IFERROR(HLOOKUP($AB38&amp;$AD38,NWC_FC_NOOS!$C$50:$U$70,MATCH($Y38,NWC_FC_NOOS!$B$50:$B$70,0),FALSE),"")</f>
        <v>0</v>
      </c>
      <c r="AH38" s="650">
        <f ca="1">IFERROR(IF($AA38="NOOS",HLOOKUP(STOCK_OVERVIEW!$AB38&amp;STOCK_OVERVIEW!$AD38,PLANNING_FC!$BB$27:$BP$46,MATCH(STOCK_OVERVIEW!$Y38,PLANNING_FC!$BA$27:$BA$46,0),FALSE),HLOOKUP($AB38&amp;$AD38,PLANNING_FC!$BB$4:$BP$23,MATCH(STOCK_OVERVIEW!$Y38,PLANNING_FC!$BA$4:$BA$23,0),FALSE)),"")</f>
        <v>0</v>
      </c>
      <c r="AI38" s="650">
        <f ca="1">IFERROR(IF($AA38="NOOS",HLOOKUP(STOCK_OVERVIEW!$AB38&amp;STOCK_OVERVIEW!$AD38,PLANNING_FC!$T$27:$AH$46,MATCH(STOCK_OVERVIEW!$Y38,PLANNING_FC!$B$27:$B$46,0),FALSE),HLOOKUP($AB38&amp;$AD38,PLANNING_FC!$T$4:$AH$23,MATCH(STOCK_OVERVIEW!$Y38,PLANNING_FC!$B$4:$B$23,0),FALSE)),"")</f>
        <v>0</v>
      </c>
      <c r="AJ38" s="650">
        <f ca="1">IFERROR(IF($AA38="NOOS",HLOOKUP(STOCK_OVERVIEW!$AB38&amp;STOCK_OVERVIEW!$AD38,PLANNING_FC!$DA$27:$DO$46,MATCH(STOCK_OVERVIEW!$Y38,PLANNING_FC!$CZ$27:$CZ$46,0),FALSE),HLOOKUP($AB38&amp;$AD38,PLANNING_FC!$DA$4:$DO$23,MATCH(STOCK_OVERVIEW!$Y38,PLANNING_FC!$CZ$4:$CZ$23,0),FALSE)),"")</f>
        <v>127374</v>
      </c>
      <c r="AK38" s="651">
        <f ca="1">IFERROR(IF(AA38="NOOS",HLOOKUP(AB38&amp;AD38,PLANNING_FC!$AJ$27:$AY$47,MATCH(STOCK_OVERVIEW!Y38,PLANNING_FC!$AJ$27:$AJ$47,0),FALSE)*1000,HLOOKUP(AB38&amp;AD38,PLANNING_FC!$AJ$4:$AY$24,MATCH(STOCK_OVERVIEW!Y38,PLANNING_FC!$AJ$4:$AJ$24,0),FALSE)*1000),"")</f>
        <v>0</v>
      </c>
    </row>
    <row r="39" spans="1:44" x14ac:dyDescent="0.25">
      <c r="B39" s="1"/>
      <c r="C39" s="942" t="str">
        <f ca="1">'NWC_FC_NON-NOOS'!C6</f>
        <v>Q3</v>
      </c>
      <c r="D39" s="942"/>
      <c r="E39" s="942"/>
      <c r="F39" s="289"/>
      <c r="G39" s="942" t="str">
        <f ca="1">'NWC_FC_NON-NOOS'!G6</f>
        <v>Q4</v>
      </c>
      <c r="H39" s="942"/>
      <c r="I39" s="942"/>
      <c r="J39" s="289"/>
      <c r="K39" s="942" t="str">
        <f ca="1">'NWC_FC_NON-NOOS'!K6</f>
        <v>Q1</v>
      </c>
      <c r="L39" s="942"/>
      <c r="M39" s="942"/>
      <c r="N39" s="289"/>
      <c r="O39" s="942" t="str">
        <f ca="1">'NWC_FC_NON-NOOS'!O6</f>
        <v>Q2</v>
      </c>
      <c r="P39" s="942"/>
      <c r="Q39" s="942"/>
      <c r="R39" s="601"/>
      <c r="S39" s="619" t="str">
        <f ca="1">C38</f>
        <v>18/19</v>
      </c>
      <c r="T39" s="619" t="str">
        <f ca="1">G38</f>
        <v>18/19</v>
      </c>
      <c r="U39" s="620" t="str">
        <f ca="1">K38</f>
        <v>19/20</v>
      </c>
      <c r="V39" s="619" t="str">
        <f ca="1">O38</f>
        <v>19/20</v>
      </c>
      <c r="X39" s="200" t="str">
        <f>NWC_FC_NOOS!$B$1</f>
        <v>VM</v>
      </c>
      <c r="Y39" s="25" t="str">
        <f>NWC_FC_NOOS!$B$56</f>
        <v>JEANS</v>
      </c>
      <c r="Z39" s="25" t="str">
        <f t="shared" ca="1" si="0"/>
        <v>VMJEANS18/19Jul</v>
      </c>
      <c r="AA39" s="25" t="str">
        <f>NWC_FC_NOOS!$I$1</f>
        <v>NOOS</v>
      </c>
      <c r="AB39" s="25" t="str">
        <f ca="1">NWC_FC_NOOS!$G$73</f>
        <v>18/19</v>
      </c>
      <c r="AC39" s="25" t="str">
        <f ca="1">NWC_FC_NOOS!$G$74</f>
        <v>Q4</v>
      </c>
      <c r="AD39" s="25" t="str">
        <f ca="1">NWC_FC_NOOS!$I$75</f>
        <v>Jul</v>
      </c>
      <c r="AE39" s="649">
        <f ca="1">IFERROR(HLOOKUP($AB39&amp;$AD39,NWC_FC_NOOS!$B$4:$Q$24,MATCH($Y39,NWC_FC_NOOS!$B$4:$B$24,0),FALSE),"")</f>
        <v>0</v>
      </c>
      <c r="AF39" s="650">
        <f ca="1">IFERROR(HLOOKUP($AB39&amp;$AD39,NWC_FC_NOOS!$S$4:$AH$24,MATCH($Y39,NWC_FC_NOOS!$S$4:$S$24,0),FALSE),"")</f>
        <v>0</v>
      </c>
      <c r="AG39" s="650">
        <f ca="1">IFERROR(HLOOKUP($AB39&amp;$AD39,NWC_FC_NOOS!$C$50:$U$70,MATCH($Y39,NWC_FC_NOOS!$B$50:$B$70,0),FALSE),"")</f>
        <v>0</v>
      </c>
      <c r="AH39" s="650">
        <f ca="1">IFERROR(IF($AA39="NOOS",HLOOKUP(STOCK_OVERVIEW!$AB39&amp;STOCK_OVERVIEW!$AD39,PLANNING_FC!$BB$27:$BP$46,MATCH(STOCK_OVERVIEW!$Y39,PLANNING_FC!$BA$27:$BA$46,0),FALSE),HLOOKUP($AB39&amp;$AD39,PLANNING_FC!$BB$4:$BP$23,MATCH(STOCK_OVERVIEW!$Y39,PLANNING_FC!$BA$4:$BA$23,0),FALSE)),"")</f>
        <v>0</v>
      </c>
      <c r="AI39" s="650">
        <f ca="1">IFERROR(IF($AA39="NOOS",HLOOKUP(STOCK_OVERVIEW!$AB39&amp;STOCK_OVERVIEW!$AD39,PLANNING_FC!$T$27:$AH$46,MATCH(STOCK_OVERVIEW!$Y39,PLANNING_FC!$B$27:$B$46,0),FALSE),HLOOKUP($AB39&amp;$AD39,PLANNING_FC!$T$4:$AH$23,MATCH(STOCK_OVERVIEW!$Y39,PLANNING_FC!$B$4:$B$23,0),FALSE)),"")</f>
        <v>0</v>
      </c>
      <c r="AJ39" s="650">
        <f ca="1">IFERROR(IF($AA39="NOOS",HLOOKUP(STOCK_OVERVIEW!$AB39&amp;STOCK_OVERVIEW!$AD39,PLANNING_FC!$DA$27:$DO$46,MATCH(STOCK_OVERVIEW!$Y39,PLANNING_FC!$CZ$27:$CZ$46,0),FALSE),HLOOKUP($AB39&amp;$AD39,PLANNING_FC!$DA$4:$DO$23,MATCH(STOCK_OVERVIEW!$Y39,PLANNING_FC!$CZ$4:$CZ$23,0),FALSE)),"")</f>
        <v>127374</v>
      </c>
      <c r="AK39" s="651">
        <f ca="1">IFERROR(IF(AA39="NOOS",HLOOKUP(AB39&amp;AD39,PLANNING_FC!$AJ$27:$AY$47,MATCH(STOCK_OVERVIEW!Y39,PLANNING_FC!$AJ$27:$AJ$47,0),FALSE)*1000,HLOOKUP(AB39&amp;AD39,PLANNING_FC!$AJ$4:$AY$24,MATCH(STOCK_OVERVIEW!Y39,PLANNING_FC!$AJ$4:$AJ$24,0),FALSE)*1000),"")</f>
        <v>0</v>
      </c>
    </row>
    <row r="40" spans="1:44" x14ac:dyDescent="0.25">
      <c r="A40" s="62" t="str">
        <f ca="1">PLANNING_FC!DR7</f>
        <v>Jan</v>
      </c>
      <c r="B40" s="379"/>
      <c r="C40" s="380" t="str">
        <f ca="1">'NWC_FC_NON-NOOS'!C7</f>
        <v>Feb</v>
      </c>
      <c r="D40" s="380" t="str">
        <f ca="1">'NWC_FC_NON-NOOS'!D7</f>
        <v>Mar</v>
      </c>
      <c r="E40" s="380" t="str">
        <f ca="1">'NWC_FC_NON-NOOS'!E7</f>
        <v>Apr</v>
      </c>
      <c r="F40" s="289"/>
      <c r="G40" s="380" t="str">
        <f ca="1">'NWC_FC_NON-NOOS'!G7</f>
        <v>May</v>
      </c>
      <c r="H40" s="380" t="str">
        <f ca="1">'NWC_FC_NON-NOOS'!H7</f>
        <v>Jun</v>
      </c>
      <c r="I40" s="380" t="str">
        <f ca="1">'NWC_FC_NON-NOOS'!I7</f>
        <v>Jul</v>
      </c>
      <c r="J40" s="289"/>
      <c r="K40" s="380" t="str">
        <f ca="1">'NWC_FC_NON-NOOS'!K7</f>
        <v>Aug</v>
      </c>
      <c r="L40" s="380" t="str">
        <f ca="1">'NWC_FC_NON-NOOS'!L7</f>
        <v>Sep</v>
      </c>
      <c r="M40" s="380" t="str">
        <f ca="1">'NWC_FC_NON-NOOS'!M7</f>
        <v>Oct</v>
      </c>
      <c r="N40" s="289"/>
      <c r="O40" s="380" t="str">
        <f ca="1">'NWC_FC_NON-NOOS'!O7</f>
        <v>Nov</v>
      </c>
      <c r="P40" s="380" t="str">
        <f ca="1">'NWC_FC_NON-NOOS'!P7</f>
        <v>Dec</v>
      </c>
      <c r="Q40" s="380" t="str">
        <f ca="1">'NWC_FC_NON-NOOS'!Q7</f>
        <v>Jan</v>
      </c>
      <c r="S40" s="621" t="str">
        <f ca="1">C39</f>
        <v>Q3</v>
      </c>
      <c r="T40" s="621" t="str">
        <f ca="1">G39</f>
        <v>Q4</v>
      </c>
      <c r="U40" s="621" t="str">
        <f ca="1">K39</f>
        <v>Q1</v>
      </c>
      <c r="V40" s="621" t="str">
        <f ca="1">O39</f>
        <v>Q2</v>
      </c>
      <c r="X40" s="200" t="str">
        <f>NWC_FC_NOOS!$B$1</f>
        <v>VM</v>
      </c>
      <c r="Y40" s="25" t="str">
        <f>NWC_FC_NOOS!$B$56</f>
        <v>JEANS</v>
      </c>
      <c r="Z40" s="25" t="str">
        <f t="shared" ca="1" si="0"/>
        <v>VMJEANS19/20Aug</v>
      </c>
      <c r="AA40" s="25" t="str">
        <f>NWC_FC_NOOS!$I$1</f>
        <v>NOOS</v>
      </c>
      <c r="AB40" s="25" t="str">
        <f ca="1">NWC_FC_NOOS!$K$73</f>
        <v>19/20</v>
      </c>
      <c r="AC40" s="25" t="str">
        <f ca="1">NWC_FC_NOOS!$K$74</f>
        <v>Q1</v>
      </c>
      <c r="AD40" s="25" t="str">
        <f ca="1">NWC_FC_NOOS!$K$75</f>
        <v>Aug</v>
      </c>
      <c r="AE40" s="649">
        <f ca="1">IFERROR(HLOOKUP($AB40&amp;$AD40,NWC_FC_NOOS!$B$4:$Q$24,MATCH($Y40,NWC_FC_NOOS!$B$4:$B$24,0),FALSE),"")</f>
        <v>0</v>
      </c>
      <c r="AF40" s="650">
        <f ca="1">IFERROR(HLOOKUP($AB40&amp;$AD40,NWC_FC_NOOS!$S$4:$AH$24,MATCH($Y40,NWC_FC_NOOS!$S$4:$S$24,0),FALSE),"")</f>
        <v>0</v>
      </c>
      <c r="AG40" s="650">
        <f ca="1">IFERROR(HLOOKUP($AB40&amp;$AD40,NWC_FC_NOOS!$C$50:$U$70,MATCH($Y40,NWC_FC_NOOS!$B$50:$B$70,0),FALSE),"")</f>
        <v>0</v>
      </c>
      <c r="AH40" s="650">
        <f ca="1">IFERROR(IF($AA40="NOOS",HLOOKUP(STOCK_OVERVIEW!$AB40&amp;STOCK_OVERVIEW!$AD40,PLANNING_FC!$BB$27:$BP$46,MATCH(STOCK_OVERVIEW!$Y40,PLANNING_FC!$BA$27:$BA$46,0),FALSE),HLOOKUP($AB40&amp;$AD40,PLANNING_FC!$BB$4:$BP$23,MATCH(STOCK_OVERVIEW!$Y40,PLANNING_FC!$BA$4:$BA$23,0),FALSE)),"")</f>
        <v>0</v>
      </c>
      <c r="AI40" s="650">
        <f ca="1">IFERROR(IF($AA40="NOOS",HLOOKUP(STOCK_OVERVIEW!$AB40&amp;STOCK_OVERVIEW!$AD40,PLANNING_FC!$T$27:$AH$46,MATCH(STOCK_OVERVIEW!$Y40,PLANNING_FC!$B$27:$B$46,0),FALSE),HLOOKUP($AB40&amp;$AD40,PLANNING_FC!$T$4:$AH$23,MATCH(STOCK_OVERVIEW!$Y40,PLANNING_FC!$B$4:$B$23,0),FALSE)),"")</f>
        <v>0</v>
      </c>
      <c r="AJ40" s="650">
        <f ca="1">IFERROR(IF($AA40="NOOS",HLOOKUP(STOCK_OVERVIEW!$AB40&amp;STOCK_OVERVIEW!$AD40,PLANNING_FC!$DA$27:$DO$46,MATCH(STOCK_OVERVIEW!$Y40,PLANNING_FC!$CZ$27:$CZ$46,0),FALSE),HLOOKUP($AB40&amp;$AD40,PLANNING_FC!$DA$4:$DO$23,MATCH(STOCK_OVERVIEW!$Y40,PLANNING_FC!$CZ$4:$CZ$23,0),FALSE)),"")</f>
        <v>127374</v>
      </c>
      <c r="AK40" s="651">
        <f ca="1">IFERROR(IF(AA40="NOOS",HLOOKUP(AB40&amp;AD40,PLANNING_FC!$AJ$27:$AY$47,MATCH(STOCK_OVERVIEW!Y40,PLANNING_FC!$AJ$27:$AJ$47,0),FALSE)*1000,HLOOKUP(AB40&amp;AD40,PLANNING_FC!$AJ$4:$AY$24,MATCH(STOCK_OVERVIEW!Y40,PLANNING_FC!$AJ$4:$AJ$24,0),FALSE)*1000),"")</f>
        <v>0</v>
      </c>
    </row>
    <row r="41" spans="1:44" x14ac:dyDescent="0.25">
      <c r="B41" s="1"/>
      <c r="C41" s="618" t="str">
        <f ca="1">ST_OVERVIEW!C5</f>
        <v>ACT</v>
      </c>
      <c r="D41" s="618" t="str">
        <f ca="1">ST_OVERVIEW!D5</f>
        <v>ACT</v>
      </c>
      <c r="E41" s="618" t="str">
        <f ca="1">ST_OVERVIEW!E5</f>
        <v>FC</v>
      </c>
      <c r="F41" s="604"/>
      <c r="G41" s="603"/>
      <c r="H41" s="603"/>
      <c r="I41" s="603"/>
      <c r="J41" s="604"/>
      <c r="K41" s="603"/>
      <c r="L41" s="603"/>
      <c r="M41" s="603"/>
      <c r="N41" s="604"/>
      <c r="O41" s="603"/>
      <c r="P41" s="603"/>
      <c r="Q41" s="603"/>
      <c r="X41" s="200" t="str">
        <f>NWC_FC_NOOS!$B$1</f>
        <v>VM</v>
      </c>
      <c r="Y41" s="25" t="str">
        <f>NWC_FC_NOOS!$B$56</f>
        <v>JEANS</v>
      </c>
      <c r="Z41" s="25" t="str">
        <f t="shared" ca="1" si="0"/>
        <v>VMJEANS19/20Sep</v>
      </c>
      <c r="AA41" s="25" t="str">
        <f>NWC_FC_NOOS!$I$1</f>
        <v>NOOS</v>
      </c>
      <c r="AB41" s="25" t="str">
        <f ca="1">NWC_FC_NOOS!$K$73</f>
        <v>19/20</v>
      </c>
      <c r="AC41" s="25" t="str">
        <f ca="1">NWC_FC_NOOS!$K$74</f>
        <v>Q1</v>
      </c>
      <c r="AD41" s="25" t="str">
        <f ca="1">NWC_FC_NOOS!$L$75</f>
        <v>Sep</v>
      </c>
      <c r="AE41" s="649">
        <f ca="1">IFERROR(HLOOKUP($AB41&amp;$AD41,NWC_FC_NOOS!$B$4:$Q$24,MATCH($Y41,NWC_FC_NOOS!$B$4:$B$24,0),FALSE),"")</f>
        <v>0</v>
      </c>
      <c r="AF41" s="650">
        <f ca="1">IFERROR(HLOOKUP($AB41&amp;$AD41,NWC_FC_NOOS!$S$4:$AH$24,MATCH($Y41,NWC_FC_NOOS!$S$4:$S$24,0),FALSE),"")</f>
        <v>0</v>
      </c>
      <c r="AG41" s="650">
        <f ca="1">IFERROR(HLOOKUP($AB41&amp;$AD41,NWC_FC_NOOS!$C$50:$U$70,MATCH($Y41,NWC_FC_NOOS!$B$50:$B$70,0),FALSE),"")</f>
        <v>0</v>
      </c>
      <c r="AH41" s="650">
        <f ca="1">IFERROR(IF($AA41="NOOS",HLOOKUP(STOCK_OVERVIEW!$AB41&amp;STOCK_OVERVIEW!$AD41,PLANNING_FC!$BB$27:$BP$46,MATCH(STOCK_OVERVIEW!$Y41,PLANNING_FC!$BA$27:$BA$46,0),FALSE),HLOOKUP($AB41&amp;$AD41,PLANNING_FC!$BB$4:$BP$23,MATCH(STOCK_OVERVIEW!$Y41,PLANNING_FC!$BA$4:$BA$23,0),FALSE)),"")</f>
        <v>0</v>
      </c>
      <c r="AI41" s="650">
        <f ca="1">IFERROR(IF($AA41="NOOS",HLOOKUP(STOCK_OVERVIEW!$AB41&amp;STOCK_OVERVIEW!$AD41,PLANNING_FC!$T$27:$AH$46,MATCH(STOCK_OVERVIEW!$Y41,PLANNING_FC!$B$27:$B$46,0),FALSE),HLOOKUP($AB41&amp;$AD41,PLANNING_FC!$T$4:$AH$23,MATCH(STOCK_OVERVIEW!$Y41,PLANNING_FC!$B$4:$B$23,0),FALSE)),"")</f>
        <v>0</v>
      </c>
      <c r="AJ41" s="650">
        <f ca="1">IFERROR(IF($AA41="NOOS",HLOOKUP(STOCK_OVERVIEW!$AB41&amp;STOCK_OVERVIEW!$AD41,PLANNING_FC!$DA$27:$DO$46,MATCH(STOCK_OVERVIEW!$Y41,PLANNING_FC!$CZ$27:$CZ$46,0),FALSE),HLOOKUP($AB41&amp;$AD41,PLANNING_FC!$DA$4:$DO$23,MATCH(STOCK_OVERVIEW!$Y41,PLANNING_FC!$CZ$4:$CZ$23,0),FALSE)),"")</f>
        <v>127374</v>
      </c>
      <c r="AK41" s="651">
        <f ca="1">IFERROR(IF(AA41="NOOS",HLOOKUP(AB41&amp;AD41,PLANNING_FC!$AJ$27:$AY$47,MATCH(STOCK_OVERVIEW!Y41,PLANNING_FC!$AJ$27:$AJ$47,0),FALSE)*1000,HLOOKUP(AB41&amp;AD41,PLANNING_FC!$AJ$4:$AY$24,MATCH(STOCK_OVERVIEW!Y41,PLANNING_FC!$AJ$4:$AJ$24,0),FALSE)*1000),"")</f>
        <v>0</v>
      </c>
    </row>
    <row r="42" spans="1:44" x14ac:dyDescent="0.25">
      <c r="B42" s="1" t="s">
        <v>235</v>
      </c>
      <c r="C42" s="682">
        <f ca="1">SUMIFS($AG$4:$AG$483,$AD$4:$AD$483,C$40,$AB$4:$AB$483,$C$38,$AA$4:$AA$483,$M$4,$Y$4:$Y$483,$O$4)</f>
        <v>0</v>
      </c>
      <c r="D42" s="682">
        <f ca="1">SUMIFS($AG$4:$AG$483,$AD$4:$AD$483,D$40,$AB$4:$AB$483,$C$38,$AA$4:$AA$483,$M$4,$Y$4:$Y$483,$O$4)</f>
        <v>0</v>
      </c>
      <c r="E42" s="682">
        <f ca="1">SUMIFS($AG$4:$AG$483,$AD$4:$AD$483,E$40,$AB$4:$AB$483,$C$38,$AA$4:$AA$483,$M$4,$Y$4:$Y$483,$O$4)</f>
        <v>0</v>
      </c>
      <c r="F42" s="683"/>
      <c r="G42" s="682">
        <f ca="1">SUMIFS($AG$4:$AG$483,$AD$4:$AD$483,G$40,$AB$4:$AB$483,$G$38,$AA$4:$AA$483,$M$4,$Y$4:$Y$483,$O$4)</f>
        <v>0</v>
      </c>
      <c r="H42" s="682">
        <f ca="1">SUMIFS($AG$4:$AG$483,$AD$4:$AD$483,H$40,$AB$4:$AB$483,$G$38,$AA$4:$AA$483,$M$4,$Y$4:$Y$483,$O$4)</f>
        <v>0</v>
      </c>
      <c r="I42" s="682">
        <f ca="1">SUMIFS($AG$4:$AG$483,$AD$4:$AD$483,I$40,$AB$4:$AB$483,$G$38,$AA$4:$AA$483,$M$4,$Y$4:$Y$483,$O$4)</f>
        <v>0</v>
      </c>
      <c r="J42" s="683"/>
      <c r="K42" s="682">
        <f ca="1">SUMIFS($AG$4:$AG$483,$AD$4:$AD$483,K$40,$AB$4:$AB$483,$K$38,$AA$4:$AA$483,$M$4,$Y$4:$Y$483,$O$4)</f>
        <v>0</v>
      </c>
      <c r="L42" s="682">
        <f ca="1">SUMIFS($AG$4:$AG$483,$AD$4:$AD$483,L$40,$AB$4:$AB$483,$K$38,$AA$4:$AA$483,$M$4,$Y$4:$Y$483,$O$4)</f>
        <v>0</v>
      </c>
      <c r="M42" s="682">
        <f ca="1">SUMIFS($AG$4:$AG$483,$AD$4:$AD$483,M$40,$AB$4:$AB$483,$K$38,$AA$4:$AA$483,$M$4,$Y$4:$Y$483,$O$4)</f>
        <v>0</v>
      </c>
      <c r="N42" s="683"/>
      <c r="O42" s="682">
        <f ca="1">SUMIFS($AG$4:$AG$483,$AD$4:$AD$483,O$40,$AB$4:$AB$483,$O$38,$AA$4:$AA$483,$M$4,$Y$4:$Y$483,$O$4)</f>
        <v>0</v>
      </c>
      <c r="P42" s="682">
        <f ca="1">SUMIFS($AG$4:$AG$483,$AD$4:$AD$483,P$40,$AB$4:$AB$483,$O$38,$AA$4:$AA$483,$M$4,$Y$4:$Y$483,$O$4)</f>
        <v>0</v>
      </c>
      <c r="Q42" s="682">
        <f ca="1">SUMIFS($AG$4:$AG$483,$AD$4:$AD$483,Q$40,$AB$4:$AB$483,$O$38,$AA$4:$AA$483,$M$4,$Y$4:$Y$483,$O$4)</f>
        <v>0</v>
      </c>
      <c r="R42" s="684"/>
      <c r="S42" s="685">
        <f ca="1">SUM(C42:E42)</f>
        <v>0</v>
      </c>
      <c r="T42" s="685">
        <f ca="1">SUM(G42:I42)</f>
        <v>0</v>
      </c>
      <c r="U42" s="685">
        <f ca="1">SUM(K42:M42)</f>
        <v>0</v>
      </c>
      <c r="V42" s="685">
        <f ca="1">SUM(O42:Q42)</f>
        <v>0</v>
      </c>
      <c r="X42" s="200" t="str">
        <f>NWC_FC_NOOS!$B$1</f>
        <v>VM</v>
      </c>
      <c r="Y42" s="25" t="str">
        <f>NWC_FC_NOOS!$B$56</f>
        <v>JEANS</v>
      </c>
      <c r="Z42" s="25" t="str">
        <f t="shared" ca="1" si="0"/>
        <v>VMJEANS19/20Oct</v>
      </c>
      <c r="AA42" s="25" t="str">
        <f>NWC_FC_NOOS!$I$1</f>
        <v>NOOS</v>
      </c>
      <c r="AB42" s="25" t="str">
        <f ca="1">NWC_FC_NOOS!$K$73</f>
        <v>19/20</v>
      </c>
      <c r="AC42" s="25" t="str">
        <f ca="1">NWC_FC_NOOS!$K$74</f>
        <v>Q1</v>
      </c>
      <c r="AD42" s="25" t="str">
        <f ca="1">NWC_FC_NOOS!$M$75</f>
        <v>Oct</v>
      </c>
      <c r="AE42" s="649">
        <f ca="1">IFERROR(HLOOKUP($AB42&amp;$AD42,NWC_FC_NOOS!$B$4:$Q$24,MATCH($Y42,NWC_FC_NOOS!$B$4:$B$24,0),FALSE),"")</f>
        <v>0</v>
      </c>
      <c r="AF42" s="650">
        <f ca="1">IFERROR(HLOOKUP($AB42&amp;$AD42,NWC_FC_NOOS!$S$4:$AH$24,MATCH($Y42,NWC_FC_NOOS!$S$4:$S$24,0),FALSE),"")</f>
        <v>0</v>
      </c>
      <c r="AG42" s="650">
        <f ca="1">IFERROR(HLOOKUP($AB42&amp;$AD42,NWC_FC_NOOS!$C$50:$U$70,MATCH($Y42,NWC_FC_NOOS!$B$50:$B$70,0),FALSE),"")</f>
        <v>0</v>
      </c>
      <c r="AH42" s="650">
        <f ca="1">IFERROR(IF($AA42="NOOS",HLOOKUP(STOCK_OVERVIEW!$AB42&amp;STOCK_OVERVIEW!$AD42,PLANNING_FC!$BB$27:$BP$46,MATCH(STOCK_OVERVIEW!$Y42,PLANNING_FC!$BA$27:$BA$46,0),FALSE),HLOOKUP($AB42&amp;$AD42,PLANNING_FC!$BB$4:$BP$23,MATCH(STOCK_OVERVIEW!$Y42,PLANNING_FC!$BA$4:$BA$23,0),FALSE)),"")</f>
        <v>0</v>
      </c>
      <c r="AI42" s="650">
        <f ca="1">IFERROR(IF($AA42="NOOS",HLOOKUP(STOCK_OVERVIEW!$AB42&amp;STOCK_OVERVIEW!$AD42,PLANNING_FC!$T$27:$AH$46,MATCH(STOCK_OVERVIEW!$Y42,PLANNING_FC!$B$27:$B$46,0),FALSE),HLOOKUP($AB42&amp;$AD42,PLANNING_FC!$T$4:$AH$23,MATCH(STOCK_OVERVIEW!$Y42,PLANNING_FC!$B$4:$B$23,0),FALSE)),"")</f>
        <v>0</v>
      </c>
      <c r="AJ42" s="650">
        <f ca="1">IFERROR(IF($AA42="NOOS",HLOOKUP(STOCK_OVERVIEW!$AB42&amp;STOCK_OVERVIEW!$AD42,PLANNING_FC!$DA$27:$DO$46,MATCH(STOCK_OVERVIEW!$Y42,PLANNING_FC!$CZ$27:$CZ$46,0),FALSE),HLOOKUP($AB42&amp;$AD42,PLANNING_FC!$DA$4:$DO$23,MATCH(STOCK_OVERVIEW!$Y42,PLANNING_FC!$CZ$4:$CZ$23,0),FALSE)),"")</f>
        <v>127374</v>
      </c>
      <c r="AK42" s="651">
        <f ca="1">IFERROR(IF(AA42="NOOS",HLOOKUP(AB42&amp;AD42,PLANNING_FC!$AJ$27:$AY$47,MATCH(STOCK_OVERVIEW!Y42,PLANNING_FC!$AJ$27:$AJ$47,0),FALSE)*1000,HLOOKUP(AB42&amp;AD42,PLANNING_FC!$AJ$4:$AY$24,MATCH(STOCK_OVERVIEW!Y42,PLANNING_FC!$AJ$4:$AJ$24,0),FALSE)*1000),"")</f>
        <v>0</v>
      </c>
      <c r="AR42" s="643"/>
    </row>
    <row r="43" spans="1:44" x14ac:dyDescent="0.25">
      <c r="B43" s="1"/>
      <c r="C43" s="603"/>
      <c r="D43" s="603"/>
      <c r="E43" s="603"/>
      <c r="F43" s="604"/>
      <c r="G43" s="603"/>
      <c r="H43" s="603"/>
      <c r="I43" s="603"/>
      <c r="J43" s="604"/>
      <c r="K43" s="603"/>
      <c r="L43" s="603"/>
      <c r="M43" s="603"/>
      <c r="N43" s="604"/>
      <c r="O43" s="603"/>
      <c r="P43" s="603"/>
      <c r="Q43" s="603"/>
      <c r="X43" s="200" t="str">
        <f>NWC_FC_NOOS!$B$1</f>
        <v>VM</v>
      </c>
      <c r="Y43" s="25" t="str">
        <f>NWC_FC_NOOS!$B$56</f>
        <v>JEANS</v>
      </c>
      <c r="Z43" s="25" t="str">
        <f t="shared" ca="1" si="0"/>
        <v>VMJEANS19/20Nov</v>
      </c>
      <c r="AA43" s="25" t="str">
        <f>NWC_FC_NOOS!$I$1</f>
        <v>NOOS</v>
      </c>
      <c r="AB43" s="25" t="str">
        <f ca="1">NWC_FC_NOOS!$O$73</f>
        <v>19/20</v>
      </c>
      <c r="AC43" s="25" t="str">
        <f ca="1">NWC_FC_NOOS!$O$74</f>
        <v>Q2</v>
      </c>
      <c r="AD43" s="25" t="str">
        <f ca="1">NWC_FC_NOOS!$O$75</f>
        <v>Nov</v>
      </c>
      <c r="AE43" s="649">
        <f ca="1">IFERROR(HLOOKUP($AB43&amp;$AD43,NWC_FC_NOOS!$B$4:$Q$24,MATCH($Y43,NWC_FC_NOOS!$B$4:$B$24,0),FALSE),"")</f>
        <v>0</v>
      </c>
      <c r="AF43" s="650">
        <f ca="1">IFERROR(HLOOKUP($AB43&amp;$AD43,NWC_FC_NOOS!$S$4:$AH$24,MATCH($Y43,NWC_FC_NOOS!$S$4:$S$24,0),FALSE),"")</f>
        <v>0</v>
      </c>
      <c r="AG43" s="650">
        <f ca="1">IFERROR(HLOOKUP($AB43&amp;$AD43,NWC_FC_NOOS!$C$50:$U$70,MATCH($Y43,NWC_FC_NOOS!$B$50:$B$70,0),FALSE),"")</f>
        <v>0</v>
      </c>
      <c r="AH43" s="650">
        <f ca="1">IFERROR(IF($AA43="NOOS",HLOOKUP(STOCK_OVERVIEW!$AB43&amp;STOCK_OVERVIEW!$AD43,PLANNING_FC!$BB$27:$BP$46,MATCH(STOCK_OVERVIEW!$Y43,PLANNING_FC!$BA$27:$BA$46,0),FALSE),HLOOKUP($AB43&amp;$AD43,PLANNING_FC!$BB$4:$BP$23,MATCH(STOCK_OVERVIEW!$Y43,PLANNING_FC!$BA$4:$BA$23,0),FALSE)),"")</f>
        <v>0</v>
      </c>
      <c r="AI43" s="650">
        <f ca="1">IFERROR(IF($AA43="NOOS",HLOOKUP(STOCK_OVERVIEW!$AB43&amp;STOCK_OVERVIEW!$AD43,PLANNING_FC!$T$27:$AH$46,MATCH(STOCK_OVERVIEW!$Y43,PLANNING_FC!$B$27:$B$46,0),FALSE),HLOOKUP($AB43&amp;$AD43,PLANNING_FC!$T$4:$AH$23,MATCH(STOCK_OVERVIEW!$Y43,PLANNING_FC!$B$4:$B$23,0),FALSE)),"")</f>
        <v>0</v>
      </c>
      <c r="AJ43" s="650">
        <f ca="1">IFERROR(IF($AA43="NOOS",HLOOKUP(STOCK_OVERVIEW!$AB43&amp;STOCK_OVERVIEW!$AD43,PLANNING_FC!$DA$27:$DO$46,MATCH(STOCK_OVERVIEW!$Y43,PLANNING_FC!$CZ$27:$CZ$46,0),FALSE),HLOOKUP($AB43&amp;$AD43,PLANNING_FC!$DA$4:$DO$23,MATCH(STOCK_OVERVIEW!$Y43,PLANNING_FC!$CZ$4:$CZ$23,0),FALSE)),"")</f>
        <v>127374</v>
      </c>
      <c r="AK43" s="651">
        <f ca="1">IFERROR(IF(AA43="NOOS",HLOOKUP(AB43&amp;AD43,PLANNING_FC!$AJ$27:$AY$47,MATCH(STOCK_OVERVIEW!Y43,PLANNING_FC!$AJ$27:$AJ$47,0),FALSE)*1000,HLOOKUP(AB43&amp;AD43,PLANNING_FC!$AJ$4:$AY$24,MATCH(STOCK_OVERVIEW!Y43,PLANNING_FC!$AJ$4:$AJ$24,0),FALSE)*1000),"")</f>
        <v>0</v>
      </c>
    </row>
    <row r="44" spans="1:44" x14ac:dyDescent="0.25">
      <c r="B44" s="1" t="s">
        <v>236</v>
      </c>
      <c r="C44" s="681">
        <f ca="1">SUM(C45:C46)</f>
        <v>1170421</v>
      </c>
      <c r="D44" s="681">
        <f ca="1">SUM(D45:D46)</f>
        <v>1050251</v>
      </c>
      <c r="E44" s="681">
        <f ca="1">SUM(E45:E46)</f>
        <v>588494</v>
      </c>
      <c r="F44" s="683"/>
      <c r="G44" s="681">
        <f ca="1">SUM(G45:G46)</f>
        <v>232651</v>
      </c>
      <c r="H44" s="681">
        <f ca="1">SUM(H45:H46)</f>
        <v>92874</v>
      </c>
      <c r="I44" s="681">
        <f ca="1">SUM(I45:I46)</f>
        <v>9605</v>
      </c>
      <c r="J44" s="683"/>
      <c r="K44" s="681">
        <f ca="1">SUM(K45:K46)</f>
        <v>285171</v>
      </c>
      <c r="L44" s="681">
        <f ca="1">SUM(L45:L46)</f>
        <v>114241</v>
      </c>
      <c r="M44" s="681">
        <f ca="1">SUM(M45:M46)</f>
        <v>2678</v>
      </c>
      <c r="N44" s="683"/>
      <c r="O44" s="681">
        <f ca="1">SUM(O45:O46)</f>
        <v>0</v>
      </c>
      <c r="P44" s="681">
        <f ca="1">SUM(P45:P46)</f>
        <v>0</v>
      </c>
      <c r="Q44" s="681">
        <f ca="1">SUM(Q45:Q46)</f>
        <v>0</v>
      </c>
      <c r="R44" s="684"/>
      <c r="S44" s="681">
        <f ca="1">SUM(C44:E44)</f>
        <v>2809166</v>
      </c>
      <c r="T44" s="681">
        <f ca="1">SUM(G44:I44)</f>
        <v>335130</v>
      </c>
      <c r="U44" s="681">
        <f ca="1">SUM(K44:M44)</f>
        <v>402090</v>
      </c>
      <c r="V44" s="681">
        <f ca="1">SUM(O44:Q44)</f>
        <v>0</v>
      </c>
      <c r="X44" s="200" t="str">
        <f>NWC_FC_NOOS!$B$1</f>
        <v>VM</v>
      </c>
      <c r="Y44" s="25" t="str">
        <f>NWC_FC_NOOS!$B$56</f>
        <v>JEANS</v>
      </c>
      <c r="Z44" s="25" t="str">
        <f t="shared" ca="1" si="0"/>
        <v>VMJEANS19/20Dec</v>
      </c>
      <c r="AA44" s="25" t="str">
        <f>NWC_FC_NOOS!$I$1</f>
        <v>NOOS</v>
      </c>
      <c r="AB44" s="25" t="str">
        <f ca="1">NWC_FC_NOOS!$O$73</f>
        <v>19/20</v>
      </c>
      <c r="AC44" s="25" t="str">
        <f ca="1">NWC_FC_NOOS!$O$74</f>
        <v>Q2</v>
      </c>
      <c r="AD44" s="25" t="str">
        <f ca="1">NWC_FC_NOOS!$P$75</f>
        <v>Dec</v>
      </c>
      <c r="AE44" s="649">
        <f ca="1">IFERROR(HLOOKUP($AB44&amp;$AD44,NWC_FC_NOOS!$B$4:$Q$24,MATCH($Y44,NWC_FC_NOOS!$B$4:$B$24,0),FALSE),"")</f>
        <v>0</v>
      </c>
      <c r="AF44" s="650">
        <f ca="1">IFERROR(HLOOKUP($AB44&amp;$AD44,NWC_FC_NOOS!$S$4:$AH$24,MATCH($Y44,NWC_FC_NOOS!$S$4:$S$24,0),FALSE),"")</f>
        <v>0</v>
      </c>
      <c r="AG44" s="650">
        <f ca="1">IFERROR(HLOOKUP($AB44&amp;$AD44,NWC_FC_NOOS!$C$50:$U$70,MATCH($Y44,NWC_FC_NOOS!$B$50:$B$70,0),FALSE),"")</f>
        <v>0</v>
      </c>
      <c r="AH44" s="650">
        <f ca="1">IFERROR(IF($AA44="NOOS",HLOOKUP(STOCK_OVERVIEW!$AB44&amp;STOCK_OVERVIEW!$AD44,PLANNING_FC!$BB$27:$BP$46,MATCH(STOCK_OVERVIEW!$Y44,PLANNING_FC!$BA$27:$BA$46,0),FALSE),HLOOKUP($AB44&amp;$AD44,PLANNING_FC!$BB$4:$BP$23,MATCH(STOCK_OVERVIEW!$Y44,PLANNING_FC!$BA$4:$BA$23,0),FALSE)),"")</f>
        <v>0</v>
      </c>
      <c r="AI44" s="650">
        <f ca="1">IFERROR(IF($AA44="NOOS",HLOOKUP(STOCK_OVERVIEW!$AB44&amp;STOCK_OVERVIEW!$AD44,PLANNING_FC!$T$27:$AH$46,MATCH(STOCK_OVERVIEW!$Y44,PLANNING_FC!$B$27:$B$46,0),FALSE),HLOOKUP($AB44&amp;$AD44,PLANNING_FC!$T$4:$AH$23,MATCH(STOCK_OVERVIEW!$Y44,PLANNING_FC!$B$4:$B$23,0),FALSE)),"")</f>
        <v>0</v>
      </c>
      <c r="AJ44" s="650">
        <f ca="1">IFERROR(IF($AA44="NOOS",HLOOKUP(STOCK_OVERVIEW!$AB44&amp;STOCK_OVERVIEW!$AD44,PLANNING_FC!$DA$27:$DO$46,MATCH(STOCK_OVERVIEW!$Y44,PLANNING_FC!$CZ$27:$CZ$46,0),FALSE),HLOOKUP($AB44&amp;$AD44,PLANNING_FC!$DA$4:$DO$23,MATCH(STOCK_OVERVIEW!$Y44,PLANNING_FC!$CZ$4:$CZ$23,0),FALSE)),"")</f>
        <v>127374</v>
      </c>
      <c r="AK44" s="651">
        <f ca="1">IFERROR(IF(AA44="NOOS",HLOOKUP(AB44&amp;AD44,PLANNING_FC!$AJ$27:$AY$47,MATCH(STOCK_OVERVIEW!Y44,PLANNING_FC!$AJ$27:$AJ$47,0),FALSE)*1000,HLOOKUP(AB44&amp;AD44,PLANNING_FC!$AJ$4:$AY$24,MATCH(STOCK_OVERVIEW!Y44,PLANNING_FC!$AJ$4:$AJ$24,0),FALSE)*1000),"")</f>
        <v>0</v>
      </c>
    </row>
    <row r="45" spans="1:44" x14ac:dyDescent="0.25">
      <c r="B45" s="1" t="s">
        <v>279</v>
      </c>
      <c r="C45" s="682">
        <f ca="1">IF(C36=TIME!$E$5,SUMIFS(OPEN_ORDERS!$E:$E,OPEN_ORDERS!$D:$D,STOCK_OVERVIEW!$M$4,OPEN_ORDERS!$C:$C,STOCK_OVERVIEW!$O$4,OPEN_ORDERS!$B:$B,STOCK_OVERVIEW!C$36)+SUMIFS(OPEN_ORDERS!$E:$E,OPEN_ORDERS!$D:$D,STOCK_OVERVIEW!$M$4,OPEN_ORDERS!$C:$C,STOCK_OVERVIEW!$O$4,OPEN_ORDERS!$B:$B,"IMMEDIATELY"),SUMIFS(OPEN_ORDERS!$E:$E,OPEN_ORDERS!$D:$D,STOCK_OVERVIEW!$M$4,OPEN_ORDERS!$C:$C,STOCK_OVERVIEW!$O$4,OPEN_ORDERS!$B:$B,STOCK_OVERVIEW!C$36))</f>
        <v>1170421</v>
      </c>
      <c r="D45" s="682">
        <f ca="1">IF(D36=TIME!$E$5,SUMIFS(OPEN_ORDERS!$E:$E,OPEN_ORDERS!$D:$D,STOCK_OVERVIEW!$M$4,OPEN_ORDERS!$C:$C,STOCK_OVERVIEW!$O$4,OPEN_ORDERS!$B:$B,STOCK_OVERVIEW!D$36)+SUMIFS(OPEN_ORDERS!$E:$E,OPEN_ORDERS!$D:$D,STOCK_OVERVIEW!$M$4,OPEN_ORDERS!$C:$C,STOCK_OVERVIEW!$O$4,OPEN_ORDERS!$B:$B,"IMMEDIATELY"),SUMIFS(OPEN_ORDERS!$E:$E,OPEN_ORDERS!$D:$D,STOCK_OVERVIEW!$M$4,OPEN_ORDERS!$C:$C,STOCK_OVERVIEW!$O$4,OPEN_ORDERS!$B:$B,STOCK_OVERVIEW!D$36))</f>
        <v>1050251</v>
      </c>
      <c r="E45" s="682">
        <f ca="1">IF(E36=TIME!$E$5,SUMIFS(OPEN_ORDERS!$E:$E,OPEN_ORDERS!$D:$D,STOCK_OVERVIEW!$M$4,OPEN_ORDERS!$C:$C,STOCK_OVERVIEW!$O$4,OPEN_ORDERS!$B:$B,STOCK_OVERVIEW!E$36)+SUMIFS(OPEN_ORDERS!$E:$E,OPEN_ORDERS!$D:$D,STOCK_OVERVIEW!$M$4,OPEN_ORDERS!$C:$C,STOCK_OVERVIEW!$O$4,OPEN_ORDERS!$B:$B,"IMMEDIATELY"),SUMIFS(OPEN_ORDERS!$E:$E,OPEN_ORDERS!$D:$D,STOCK_OVERVIEW!$M$4,OPEN_ORDERS!$C:$C,STOCK_OVERVIEW!$O$4,OPEN_ORDERS!$B:$B,STOCK_OVERVIEW!E$36))</f>
        <v>588494</v>
      </c>
      <c r="F45" s="683"/>
      <c r="G45" s="682">
        <f ca="1">SUMIFS(OPEN_ORDERS!$E:$E,OPEN_ORDERS!$D:$D,STOCK_OVERVIEW!$M$4,OPEN_ORDERS!$C:$C,STOCK_OVERVIEW!$O$4,OPEN_ORDERS!$B:$B,STOCK_OVERVIEW!G$36)</f>
        <v>232651</v>
      </c>
      <c r="H45" s="682">
        <f ca="1">SUMIFS(OPEN_ORDERS!$E:$E,OPEN_ORDERS!$D:$D,STOCK_OVERVIEW!$M$4,OPEN_ORDERS!$C:$C,STOCK_OVERVIEW!$O$4,OPEN_ORDERS!$B:$B,STOCK_OVERVIEW!H$36)</f>
        <v>92874</v>
      </c>
      <c r="I45" s="682">
        <f ca="1">SUMIFS(OPEN_ORDERS!$E:$E,OPEN_ORDERS!$D:$D,STOCK_OVERVIEW!$M$4,OPEN_ORDERS!$C:$C,STOCK_OVERVIEW!$O$4,OPEN_ORDERS!$B:$B,STOCK_OVERVIEW!I$36)</f>
        <v>9605</v>
      </c>
      <c r="J45" s="683"/>
      <c r="K45" s="682">
        <f ca="1">SUMIFS(OPEN_ORDERS!$E:$E,OPEN_ORDERS!$D:$D,STOCK_OVERVIEW!$M$4,OPEN_ORDERS!$C:$C,STOCK_OVERVIEW!$O$4,OPEN_ORDERS!$B:$B,STOCK_OVERVIEW!K$36)</f>
        <v>285171</v>
      </c>
      <c r="L45" s="682">
        <f ca="1">SUMIFS(OPEN_ORDERS!$E:$E,OPEN_ORDERS!$D:$D,STOCK_OVERVIEW!$M$4,OPEN_ORDERS!$C:$C,STOCK_OVERVIEW!$O$4,OPEN_ORDERS!$B:$B,STOCK_OVERVIEW!L$36)</f>
        <v>114241</v>
      </c>
      <c r="M45" s="682">
        <f ca="1">SUMIFS(OPEN_ORDERS!$E:$E,OPEN_ORDERS!$D:$D,STOCK_OVERVIEW!$M$4,OPEN_ORDERS!$C:$C,STOCK_OVERVIEW!$O$4,OPEN_ORDERS!$B:$B,STOCK_OVERVIEW!M$36)</f>
        <v>2678</v>
      </c>
      <c r="N45" s="683"/>
      <c r="O45" s="682">
        <f ca="1">SUMIFS(OPEN_ORDERS!$E:$E,OPEN_ORDERS!$D:$D,STOCK_OVERVIEW!$M$4,OPEN_ORDERS!$C:$C,STOCK_OVERVIEW!$O$4,OPEN_ORDERS!$B:$B,STOCK_OVERVIEW!O$36)</f>
        <v>0</v>
      </c>
      <c r="P45" s="682">
        <f ca="1">SUMIFS(OPEN_ORDERS!$E:$E,OPEN_ORDERS!$D:$D,STOCK_OVERVIEW!$M$4,OPEN_ORDERS!$C:$C,STOCK_OVERVIEW!$O$4,OPEN_ORDERS!$B:$B,STOCK_OVERVIEW!P$36)</f>
        <v>0</v>
      </c>
      <c r="Q45" s="682">
        <f ca="1">SUMIFS(OPEN_ORDERS!$E:$E,OPEN_ORDERS!$D:$D,STOCK_OVERVIEW!$M$4,OPEN_ORDERS!$C:$C,STOCK_OVERVIEW!$O$4,OPEN_ORDERS!$B:$B,STOCK_OVERVIEW!Q$36)</f>
        <v>0</v>
      </c>
      <c r="R45" s="684"/>
      <c r="S45" s="685">
        <f ca="1">SUM(C45:E45)</f>
        <v>2809166</v>
      </c>
      <c r="T45" s="685">
        <f ca="1">SUM(G45:I45)</f>
        <v>335130</v>
      </c>
      <c r="U45" s="685">
        <f ca="1">SUM(K45:M45)</f>
        <v>402090</v>
      </c>
      <c r="V45" s="685">
        <f ca="1">SUM(O45:Q45)</f>
        <v>0</v>
      </c>
      <c r="X45" s="200" t="str">
        <f>NWC_FC_NOOS!$B$1</f>
        <v>VM</v>
      </c>
      <c r="Y45" s="25" t="str">
        <f>NWC_FC_NOOS!$B$56</f>
        <v>JEANS</v>
      </c>
      <c r="Z45" s="25" t="str">
        <f t="shared" ca="1" si="0"/>
        <v>VMJEANS19/20Jan</v>
      </c>
      <c r="AA45" s="25" t="str">
        <f>NWC_FC_NOOS!$I$1</f>
        <v>NOOS</v>
      </c>
      <c r="AB45" s="25" t="str">
        <f ca="1">NWC_FC_NOOS!$O$73</f>
        <v>19/20</v>
      </c>
      <c r="AC45" s="25" t="str">
        <f ca="1">NWC_FC_NOOS!$O$74</f>
        <v>Q2</v>
      </c>
      <c r="AD45" s="25" t="str">
        <f ca="1">NWC_FC_NOOS!$Q$75</f>
        <v>Jan</v>
      </c>
      <c r="AE45" s="649">
        <f ca="1">IFERROR(HLOOKUP($AB45&amp;$AD45,NWC_FC_NOOS!$B$4:$Q$24,MATCH($Y45,NWC_FC_NOOS!$B$4:$B$24,0),FALSE),"")</f>
        <v>0</v>
      </c>
      <c r="AF45" s="650">
        <f ca="1">IFERROR(HLOOKUP($AB45&amp;$AD45,NWC_FC_NOOS!$S$4:$AH$24,MATCH($Y45,NWC_FC_NOOS!$S$4:$S$24,0),FALSE),"")</f>
        <v>0</v>
      </c>
      <c r="AG45" s="650">
        <f ca="1">IFERROR(HLOOKUP($AB45&amp;$AD45,NWC_FC_NOOS!$C$50:$U$70,MATCH($Y45,NWC_FC_NOOS!$B$50:$B$70,0),FALSE),"")</f>
        <v>0</v>
      </c>
      <c r="AH45" s="650">
        <f ca="1">IFERROR(IF($AA45="NOOS",HLOOKUP(STOCK_OVERVIEW!$AB45&amp;STOCK_OVERVIEW!$AD45,PLANNING_FC!$BB$27:$BP$46,MATCH(STOCK_OVERVIEW!$Y45,PLANNING_FC!$BA$27:$BA$46,0),FALSE),HLOOKUP($AB45&amp;$AD45,PLANNING_FC!$BB$4:$BP$23,MATCH(STOCK_OVERVIEW!$Y45,PLANNING_FC!$BA$4:$BA$23,0),FALSE)),"")</f>
        <v>0</v>
      </c>
      <c r="AI45" s="650">
        <f ca="1">IFERROR(IF($AA45="NOOS",HLOOKUP(STOCK_OVERVIEW!$AB45&amp;STOCK_OVERVIEW!$AD45,PLANNING_FC!$T$27:$AH$46,MATCH(STOCK_OVERVIEW!$Y45,PLANNING_FC!$B$27:$B$46,0),FALSE),HLOOKUP($AB45&amp;$AD45,PLANNING_FC!$T$4:$AH$23,MATCH(STOCK_OVERVIEW!$Y45,PLANNING_FC!$B$4:$B$23,0),FALSE)),"")</f>
        <v>0</v>
      </c>
      <c r="AJ45" s="650">
        <f ca="1">IFERROR(IF($AA45="NOOS",HLOOKUP(STOCK_OVERVIEW!$AB45&amp;STOCK_OVERVIEW!$AD45,PLANNING_FC!$DA$27:$DO$46,MATCH(STOCK_OVERVIEW!$Y45,PLANNING_FC!$CZ$27:$CZ$46,0),FALSE),HLOOKUP($AB45&amp;$AD45,PLANNING_FC!$DA$4:$DO$23,MATCH(STOCK_OVERVIEW!$Y45,PLANNING_FC!$CZ$4:$CZ$23,0),FALSE)),"")</f>
        <v>127374</v>
      </c>
      <c r="AK45" s="651">
        <f ca="1">IFERROR(IF(AA45="NOOS",HLOOKUP(AB45&amp;AD45,PLANNING_FC!$AJ$27:$AY$47,MATCH(STOCK_OVERVIEW!Y45,PLANNING_FC!$AJ$27:$AJ$47,0),FALSE)*1000,HLOOKUP(AB45&amp;AD45,PLANNING_FC!$AJ$4:$AY$24,MATCH(STOCK_OVERVIEW!Y45,PLANNING_FC!$AJ$4:$AJ$24,0),FALSE)*1000),"")</f>
        <v>0</v>
      </c>
    </row>
    <row r="46" spans="1:44" x14ac:dyDescent="0.25">
      <c r="B46" s="1" t="s">
        <v>272</v>
      </c>
      <c r="C46" s="682">
        <f ca="1">SUMIFS($AH$4:$AH$483,$AD$4:$AD$483,C$40,$AB$4:$AB$483,$C$38,$AA$4:$AA$483,$M$4,$Y$4:$Y$483,$O$4)</f>
        <v>0</v>
      </c>
      <c r="D46" s="682">
        <f ca="1">SUMIFS($AH$4:$AH$483,$AD$4:$AD$483,D$40,$AB$4:$AB$483,$C$38,$AA$4:$AA$483,$M$4,$Y$4:$Y$483,$O$4)</f>
        <v>0</v>
      </c>
      <c r="E46" s="682">
        <f ca="1">SUMIFS($AH$4:$AH$483,$AD$4:$AD$483,E$40,$AB$4:$AB$483,$C$38,$AA$4:$AA$483,$M$4,$Y$4:$Y$483,$O$4)</f>
        <v>0</v>
      </c>
      <c r="F46" s="683"/>
      <c r="G46" s="682">
        <f ca="1">SUMIFS($AH$4:$AH$483,$AD$4:$AD$483,G$40,$AB$4:$AB$483,$G$38,$AA$4:$AA$483,$M$4,$Y$4:$Y$483,$O$4)</f>
        <v>0</v>
      </c>
      <c r="H46" s="682">
        <f ca="1">SUMIFS($AH$4:$AH$483,$AD$4:$AD$483,H$40,$AB$4:$AB$483,$G$38,$AA$4:$AA$483,$M$4,$Y$4:$Y$483,$O$4)</f>
        <v>0</v>
      </c>
      <c r="I46" s="682">
        <f ca="1">SUMIFS($AH$4:$AH$483,$AD$4:$AD$483,I$40,$AB$4:$AB$483,$G$38,$AA$4:$AA$483,$M$4,$Y$4:$Y$483,$O$4)</f>
        <v>0</v>
      </c>
      <c r="J46" s="682"/>
      <c r="K46" s="682">
        <f ca="1">SUMIFS($AH$4:$AH$483,$AD$4:$AD$483,K$40,$AB$4:$AB$483,$K$38,$AA$4:$AA$483,$M$4,$Y$4:$Y$483,$O$4)</f>
        <v>0</v>
      </c>
      <c r="L46" s="682">
        <f ca="1">SUMIFS($AH$4:$AH$483,$AD$4:$AD$483,L$40,$AB$4:$AB$483,$K$38,$AA$4:$AA$483,$M$4,$Y$4:$Y$483,$O$4)</f>
        <v>0</v>
      </c>
      <c r="M46" s="682">
        <f ca="1">SUMIFS($AH$4:$AH$483,$AD$4:$AD$483,M$40,$AB$4:$AB$483,$K$38,$AA$4:$AA$483,$M$4,$Y$4:$Y$483,$O$4)</f>
        <v>0</v>
      </c>
      <c r="N46" s="682"/>
      <c r="O46" s="682">
        <f ca="1">SUMIFS($AH$4:$AH$483,$AD$4:$AD$483,O$40,$AB$4:$AB$483,$O$38,$AA$4:$AA$483,$M$4,$Y$4:$Y$483,$O$4)</f>
        <v>0</v>
      </c>
      <c r="P46" s="682">
        <f ca="1">SUMIFS($AH$4:$AH$483,$AD$4:$AD$483,P$40,$AB$4:$AB$483,$O$38,$AA$4:$AA$483,$M$4,$Y$4:$Y$483,$O$4)</f>
        <v>0</v>
      </c>
      <c r="Q46" s="682">
        <f ca="1">SUMIFS($AH$4:$AH$483,$AD$4:$AD$483,Q$40,$AB$4:$AB$483,$O$38,$AA$4:$AA$483,$M$4,$Y$4:$Y$483,$O$4)</f>
        <v>0</v>
      </c>
      <c r="R46" s="684"/>
      <c r="S46" s="685">
        <f ca="1">SUM(C46:E46)</f>
        <v>0</v>
      </c>
      <c r="T46" s="685">
        <f ca="1">SUM(G46:I46)</f>
        <v>0</v>
      </c>
      <c r="U46" s="685">
        <f ca="1">SUM(K46:M46)</f>
        <v>0</v>
      </c>
      <c r="V46" s="685">
        <f ca="1">SUM(O46:Q46)</f>
        <v>0</v>
      </c>
      <c r="X46" s="200" t="str">
        <f>NWC_FC_NOOS!$B$1</f>
        <v>VM</v>
      </c>
      <c r="Y46" s="25" t="str">
        <f>NWC_FC_NOOS!$B$56</f>
        <v>JEANS</v>
      </c>
      <c r="Z46" s="25" t="str">
        <f t="shared" ca="1" si="0"/>
        <v>VMJEANS19/20Feb</v>
      </c>
      <c r="AA46" s="25" t="str">
        <f>NWC_FC_NOOS!$I$1</f>
        <v>NOOS</v>
      </c>
      <c r="AB46" s="25" t="str">
        <f ca="1">NWC_FC_NOOS!$S$73</f>
        <v>19/20</v>
      </c>
      <c r="AC46" s="25" t="str">
        <f ca="1">NWC_FC_NOOS!$S$74</f>
        <v>Q3</v>
      </c>
      <c r="AD46" s="25" t="str">
        <f ca="1">NWC_FC_NOOS!$S$75</f>
        <v>Feb</v>
      </c>
      <c r="AE46" s="649" t="str">
        <f ca="1">IFERROR(HLOOKUP($AB46&amp;$AD46,NWC_FC_NOOS!$B$4:$Q$24,MATCH($Y46,NWC_FC_NOOS!$B$4:$B$24,0),FALSE),"")</f>
        <v/>
      </c>
      <c r="AF46" s="650" t="str">
        <f ca="1">IFERROR(HLOOKUP($AB46&amp;$AD46,NWC_FC_NOOS!$S$4:$AH$24,MATCH($Y46,NWC_FC_NOOS!$S$4:$S$24,0),FALSE),"")</f>
        <v/>
      </c>
      <c r="AG46" s="650">
        <f ca="1">IFERROR(HLOOKUP($AB46&amp;$AD46,NWC_FC_NOOS!$C$50:$U$70,MATCH($Y46,NWC_FC_NOOS!$B$50:$B$70,0),FALSE),"")</f>
        <v>0</v>
      </c>
      <c r="AH46" s="650" t="str">
        <f ca="1">IFERROR(IF($AA46="NOOS",HLOOKUP(STOCK_OVERVIEW!$AB46&amp;STOCK_OVERVIEW!$AD46,PLANNING_FC!$BB$27:$BP$46,MATCH(STOCK_OVERVIEW!$Y46,PLANNING_FC!$BA$27:$BA$46,0),FALSE),HLOOKUP($AB46&amp;$AD46,PLANNING_FC!$BB$4:$BP$23,MATCH(STOCK_OVERVIEW!$Y46,PLANNING_FC!$BA$4:$BA$23,0),FALSE)),"")</f>
        <v/>
      </c>
      <c r="AI46" s="650" t="str">
        <f ca="1">IFERROR(IF($AA46="NOOS",HLOOKUP(STOCK_OVERVIEW!$AB46&amp;STOCK_OVERVIEW!$AD46,PLANNING_FC!$T$27:$AH$46,MATCH(STOCK_OVERVIEW!$Y46,PLANNING_FC!$B$27:$B$46,0),FALSE),HLOOKUP($AB46&amp;$AD46,PLANNING_FC!$T$4:$AH$23,MATCH(STOCK_OVERVIEW!$Y46,PLANNING_FC!$B$4:$B$23,0),FALSE)),"")</f>
        <v/>
      </c>
      <c r="AJ46" s="650" t="str">
        <f ca="1">IFERROR(IF($AA46="NOOS",HLOOKUP(STOCK_OVERVIEW!$AB46&amp;STOCK_OVERVIEW!$AD46,PLANNING_FC!$DA$27:$DO$46,MATCH(STOCK_OVERVIEW!$Y46,PLANNING_FC!$CZ$27:$CZ$46,0),FALSE),HLOOKUP($AB46&amp;$AD46,PLANNING_FC!$DA$4:$DO$23,MATCH(STOCK_OVERVIEW!$Y46,PLANNING_FC!$CZ$4:$CZ$23,0),FALSE)),"")</f>
        <v/>
      </c>
      <c r="AK46" s="651" t="str">
        <f ca="1">IFERROR(IF(AA46="NOOS",HLOOKUP(AB46&amp;AD46,PLANNING_FC!$AJ$27:$AY$47,MATCH(STOCK_OVERVIEW!Y46,PLANNING_FC!$AJ$27:$AJ$47,0),FALSE)*1000,HLOOKUP(AB46&amp;AD46,PLANNING_FC!$AJ$4:$AY$24,MATCH(STOCK_OVERVIEW!Y46,PLANNING_FC!$AJ$4:$AJ$24,0),FALSE)*1000),"")</f>
        <v/>
      </c>
    </row>
    <row r="47" spans="1:44" x14ac:dyDescent="0.25">
      <c r="B47" s="1" t="s">
        <v>396</v>
      </c>
      <c r="C47" s="819">
        <f ca="1">IFERROR(C46/C44,"")</f>
        <v>0</v>
      </c>
      <c r="D47" s="819">
        <f t="shared" ref="D47:E47" ca="1" si="4">IFERROR(D46/D44,"")</f>
        <v>0</v>
      </c>
      <c r="E47" s="819">
        <f t="shared" ca="1" si="4"/>
        <v>0</v>
      </c>
      <c r="F47" s="604"/>
      <c r="G47" s="819">
        <f ca="1">G46/G44</f>
        <v>0</v>
      </c>
      <c r="H47" s="819">
        <f t="shared" ref="H47" ca="1" si="5">H46/H44</f>
        <v>0</v>
      </c>
      <c r="I47" s="819">
        <f t="shared" ref="I47" ca="1" si="6">I46/I44</f>
        <v>0</v>
      </c>
      <c r="J47" s="604"/>
      <c r="K47" s="819">
        <f ca="1">K46/K44</f>
        <v>0</v>
      </c>
      <c r="L47" s="819">
        <f t="shared" ref="L47" ca="1" si="7">L46/L44</f>
        <v>0</v>
      </c>
      <c r="M47" s="819">
        <f t="shared" ref="M47" ca="1" si="8">M46/M44</f>
        <v>0</v>
      </c>
      <c r="N47" s="604"/>
      <c r="O47" s="819" t="e">
        <f ca="1">O46/O44</f>
        <v>#DIV/0!</v>
      </c>
      <c r="P47" s="819" t="e">
        <f t="shared" ref="P47" ca="1" si="9">P46/P44</f>
        <v>#DIV/0!</v>
      </c>
      <c r="Q47" s="819" t="e">
        <f t="shared" ref="Q47" ca="1" si="10">Q46/Q44</f>
        <v>#DIV/0!</v>
      </c>
      <c r="X47" s="200" t="str">
        <f>NWC_FC_NOOS!$B$1</f>
        <v>VM</v>
      </c>
      <c r="Y47" s="25" t="str">
        <f>NWC_FC_NOOS!$B$56</f>
        <v>JEANS</v>
      </c>
      <c r="Z47" s="25" t="str">
        <f t="shared" ca="1" si="0"/>
        <v>VMJEANS19/20Mar</v>
      </c>
      <c r="AA47" s="25" t="str">
        <f>NWC_FC_NOOS!$I$1</f>
        <v>NOOS</v>
      </c>
      <c r="AB47" s="25" t="str">
        <f ca="1">NWC_FC_NOOS!$S$73</f>
        <v>19/20</v>
      </c>
      <c r="AC47" s="25" t="str">
        <f ca="1">NWC_FC_NOOS!$S$74</f>
        <v>Q3</v>
      </c>
      <c r="AD47" s="25" t="str">
        <f ca="1">NWC_FC_NOOS!$T$75</f>
        <v>Mar</v>
      </c>
      <c r="AE47" s="649" t="str">
        <f ca="1">IFERROR(HLOOKUP($AB47&amp;$AD47,NWC_FC_NOOS!$B$4:$Q$24,MATCH($Y47,NWC_FC_NOOS!$B$4:$B$24,0),FALSE),"")</f>
        <v/>
      </c>
      <c r="AF47" s="650" t="str">
        <f ca="1">IFERROR(HLOOKUP($AB47&amp;$AD47,NWC_FC_NOOS!$S$4:$AH$24,MATCH($Y47,NWC_FC_NOOS!$S$4:$S$24,0),FALSE),"")</f>
        <v/>
      </c>
      <c r="AG47" s="650">
        <f ca="1">IFERROR(HLOOKUP($AB47&amp;$AD47,NWC_FC_NOOS!$C$50:$U$70,MATCH($Y47,NWC_FC_NOOS!$B$50:$B$70,0),FALSE),"")</f>
        <v>0</v>
      </c>
      <c r="AH47" s="650" t="str">
        <f ca="1">IFERROR(IF($AA47="NOOS",HLOOKUP(STOCK_OVERVIEW!$AB47&amp;STOCK_OVERVIEW!$AD47,PLANNING_FC!$BB$27:$BP$46,MATCH(STOCK_OVERVIEW!$Y47,PLANNING_FC!$BA$27:$BA$46,0),FALSE),HLOOKUP($AB47&amp;$AD47,PLANNING_FC!$BB$4:$BP$23,MATCH(STOCK_OVERVIEW!$Y47,PLANNING_FC!$BA$4:$BA$23,0),FALSE)),"")</f>
        <v/>
      </c>
      <c r="AI47" s="650" t="str">
        <f ca="1">IFERROR(IF($AA47="NOOS",HLOOKUP(STOCK_OVERVIEW!$AB47&amp;STOCK_OVERVIEW!$AD47,PLANNING_FC!$T$27:$AH$46,MATCH(STOCK_OVERVIEW!$Y47,PLANNING_FC!$B$27:$B$46,0),FALSE),HLOOKUP($AB47&amp;$AD47,PLANNING_FC!$T$4:$AH$23,MATCH(STOCK_OVERVIEW!$Y47,PLANNING_FC!$B$4:$B$23,0),FALSE)),"")</f>
        <v/>
      </c>
      <c r="AJ47" s="650" t="str">
        <f ca="1">IFERROR(IF($AA47="NOOS",HLOOKUP(STOCK_OVERVIEW!$AB47&amp;STOCK_OVERVIEW!$AD47,PLANNING_FC!$DA$27:$DO$46,MATCH(STOCK_OVERVIEW!$Y47,PLANNING_FC!$CZ$27:$CZ$46,0),FALSE),HLOOKUP($AB47&amp;$AD47,PLANNING_FC!$DA$4:$DO$23,MATCH(STOCK_OVERVIEW!$Y47,PLANNING_FC!$CZ$4:$CZ$23,0),FALSE)),"")</f>
        <v/>
      </c>
      <c r="AK47" s="651" t="str">
        <f ca="1">IFERROR(IF(AA47="NOOS",HLOOKUP(AB47&amp;AD47,PLANNING_FC!$AJ$27:$AY$47,MATCH(STOCK_OVERVIEW!Y47,PLANNING_FC!$AJ$27:$AJ$47,0),FALSE)*1000,HLOOKUP(AB47&amp;AD47,PLANNING_FC!$AJ$4:$AY$24,MATCH(STOCK_OVERVIEW!Y47,PLANNING_FC!$AJ$4:$AJ$24,0),FALSE)*1000),"")</f>
        <v/>
      </c>
      <c r="AR47" s="643"/>
    </row>
    <row r="48" spans="1:44" x14ac:dyDescent="0.25">
      <c r="X48" s="200" t="str">
        <f>NWC_FC_NOOS!$B$1</f>
        <v>VM</v>
      </c>
      <c r="Y48" s="25" t="str">
        <f>NWC_FC_NOOS!$B$56</f>
        <v>JEANS</v>
      </c>
      <c r="Z48" s="25" t="str">
        <f t="shared" ca="1" si="0"/>
        <v>VMJEANS19/20Apr</v>
      </c>
      <c r="AA48" s="25" t="str">
        <f>NWC_FC_NOOS!$I$1</f>
        <v>NOOS</v>
      </c>
      <c r="AB48" s="25" t="str">
        <f ca="1">NWC_FC_NOOS!$S$73</f>
        <v>19/20</v>
      </c>
      <c r="AC48" s="25" t="str">
        <f ca="1">NWC_FC_NOOS!$S$74</f>
        <v>Q3</v>
      </c>
      <c r="AD48" s="25" t="str">
        <f ca="1">NWC_FC_NOOS!$U$75</f>
        <v>Apr</v>
      </c>
      <c r="AE48" s="649" t="str">
        <f ca="1">IFERROR(HLOOKUP($AB48&amp;$AD48,NWC_FC_NOOS!$B$4:$Q$24,MATCH($Y48,NWC_FC_NOOS!$B$4:$B$24,0),FALSE),"")</f>
        <v/>
      </c>
      <c r="AF48" s="650" t="str">
        <f ca="1">IFERROR(HLOOKUP($AB48&amp;$AD48,NWC_FC_NOOS!$S$4:$AH$24,MATCH($Y48,NWC_FC_NOOS!$S$4:$S$24,0),FALSE),"")</f>
        <v/>
      </c>
      <c r="AG48" s="650">
        <f ca="1">IFERROR(HLOOKUP($AB48&amp;$AD48,NWC_FC_NOOS!$C$50:$U$70,MATCH($Y48,NWC_FC_NOOS!$B$50:$B$70,0),FALSE),"")</f>
        <v>0</v>
      </c>
      <c r="AH48" s="650" t="str">
        <f ca="1">IFERROR(IF($AA48="NOOS",HLOOKUP(STOCK_OVERVIEW!$AB48&amp;STOCK_OVERVIEW!$AD48,PLANNING_FC!$BB$27:$BP$46,MATCH(STOCK_OVERVIEW!$Y48,PLANNING_FC!$BA$27:$BA$46,0),FALSE),HLOOKUP($AB48&amp;$AD48,PLANNING_FC!$BB$4:$BP$23,MATCH(STOCK_OVERVIEW!$Y48,PLANNING_FC!$BA$4:$BA$23,0),FALSE)),"")</f>
        <v/>
      </c>
      <c r="AI48" s="650" t="str">
        <f ca="1">IFERROR(IF($AA48="NOOS",HLOOKUP(STOCK_OVERVIEW!$AB48&amp;STOCK_OVERVIEW!$AD48,PLANNING_FC!$T$27:$AH$46,MATCH(STOCK_OVERVIEW!$Y48,PLANNING_FC!$B$27:$B$46,0),FALSE),HLOOKUP($AB48&amp;$AD48,PLANNING_FC!$T$4:$AH$23,MATCH(STOCK_OVERVIEW!$Y48,PLANNING_FC!$B$4:$B$23,0),FALSE)),"")</f>
        <v/>
      </c>
      <c r="AJ48" s="650" t="str">
        <f ca="1">IFERROR(IF($AA48="NOOS",HLOOKUP(STOCK_OVERVIEW!$AB48&amp;STOCK_OVERVIEW!$AD48,PLANNING_FC!$DA$27:$DO$46,MATCH(STOCK_OVERVIEW!$Y48,PLANNING_FC!$CZ$27:$CZ$46,0),FALSE),HLOOKUP($AB48&amp;$AD48,PLANNING_FC!$DA$4:$DO$23,MATCH(STOCK_OVERVIEW!$Y48,PLANNING_FC!$CZ$4:$CZ$23,0),FALSE)),"")</f>
        <v/>
      </c>
      <c r="AK48" s="651" t="str">
        <f ca="1">IFERROR(IF(AA48="NOOS",HLOOKUP(AB48&amp;AD48,PLANNING_FC!$AJ$27:$AY$47,MATCH(STOCK_OVERVIEW!Y48,PLANNING_FC!$AJ$27:$AJ$47,0),FALSE)*1000,HLOOKUP(AB48&amp;AD48,PLANNING_FC!$AJ$4:$AY$24,MATCH(STOCK_OVERVIEW!Y48,PLANNING_FC!$AJ$4:$AJ$24,0),FALSE)*1000),"")</f>
        <v/>
      </c>
    </row>
    <row r="49" spans="1:45" x14ac:dyDescent="0.25">
      <c r="B49" s="1" t="s">
        <v>237</v>
      </c>
      <c r="C49" s="682">
        <f ca="1">SUMIFS($AI$4:$AI$483,$AD$4:$AD$483,C$40,$AB$4:$AB$483,$C$38,$AA$4:$AA$483,$M$4,$Y$4:$Y$483,$O$4)</f>
        <v>0</v>
      </c>
      <c r="D49" s="682">
        <f ca="1">SUMIFS($AI$4:$AI$483,$AD$4:$AD$483,D$40,$AB$4:$AB$483,$C$38,$AA$4:$AA$483,$M$4,$Y$4:$Y$483,$O$4)</f>
        <v>0</v>
      </c>
      <c r="E49" s="682">
        <f ca="1">SUMIFS($AI$4:$AI$483,$AD$4:$AD$483,E$40,$AB$4:$AB$483,$C$38,$AA$4:$AA$483,$M$4,$Y$4:$Y$483,$O$4)</f>
        <v>0</v>
      </c>
      <c r="F49" s="683"/>
      <c r="G49" s="682">
        <f ca="1">SUMIFS($AI$4:$AI$483,$AD$4:$AD$483,G$40,$AB$4:$AB$483,$G$38,$AA$4:$AA$483,$M$4,$Y$4:$Y$483,$O$4)</f>
        <v>0</v>
      </c>
      <c r="H49" s="682">
        <f ca="1">SUMIFS($AI$4:$AI$483,$AD$4:$AD$483,H$40,$AB$4:$AB$483,$G$38,$AA$4:$AA$483,$M$4,$Y$4:$Y$483,$O$4)</f>
        <v>0</v>
      </c>
      <c r="I49" s="682">
        <f ca="1">SUMIFS($AI$4:$AI$483,$AD$4:$AD$483,I$40,$AB$4:$AB$483,$G$38,$AA$4:$AA$483,$M$4,$Y$4:$Y$483,$O$4)</f>
        <v>0</v>
      </c>
      <c r="J49" s="683"/>
      <c r="K49" s="682">
        <f ca="1">SUMIFS($AI$4:$AI$483,$AD$4:$AD$483,K$40,$AB$4:$AB$483,$K$38,$AA$4:$AA$483,$M$4,$Y$4:$Y$483,$O$4)</f>
        <v>0</v>
      </c>
      <c r="L49" s="682">
        <f ca="1">SUMIFS($AI$4:$AI$483,$AD$4:$AD$483,L$40,$AB$4:$AB$483,$K$38,$AA$4:$AA$483,$M$4,$Y$4:$Y$483,$O$4)</f>
        <v>0</v>
      </c>
      <c r="M49" s="682">
        <f ca="1">SUMIFS($AI$4:$AI$483,$AD$4:$AD$483,M$40,$AB$4:$AB$483,$K$38,$AA$4:$AA$483,$M$4,$Y$4:$Y$483,$O$4)</f>
        <v>0</v>
      </c>
      <c r="N49" s="683"/>
      <c r="O49" s="682">
        <f ca="1">SUMIFS($AI$4:$AI$483,$AD$4:$AD$483,O$40,$AB$4:$AB$483,$O$38,$AA$4:$AA$483,$M$4,$Y$4:$Y$483,$O$4)</f>
        <v>0</v>
      </c>
      <c r="P49" s="682">
        <f ca="1">SUMIFS($AI$4:$AI$483,$AD$4:$AD$483,P$40,$AB$4:$AB$483,$O$38,$AA$4:$AA$483,$M$4,$Y$4:$Y$483,$O$4)</f>
        <v>0</v>
      </c>
      <c r="Q49" s="682">
        <f ca="1">SUMIFS($AI$4:$AI$483,$AD$4:$AD$483,Q$40,$AB$4:$AB$483,$O$38,$AA$4:$AA$483,$M$4,$Y$4:$Y$483,$O$4)</f>
        <v>0</v>
      </c>
      <c r="R49" s="684"/>
      <c r="S49" s="685">
        <f ca="1">SUM(C49:E49)</f>
        <v>0</v>
      </c>
      <c r="T49" s="685">
        <f ca="1">SUM(G49:I49)</f>
        <v>0</v>
      </c>
      <c r="U49" s="685">
        <f ca="1">SUM(K49:M49)</f>
        <v>0</v>
      </c>
      <c r="V49" s="685">
        <f ca="1">SUM(O49:Q49)</f>
        <v>0</v>
      </c>
      <c r="X49" s="200" t="str">
        <f>NWC_FC_NOOS!$B$1</f>
        <v>VM</v>
      </c>
      <c r="Y49" s="25" t="str">
        <f>NWC_FC_NOOS!$B$57</f>
        <v>KNIT</v>
      </c>
      <c r="Z49" s="25" t="str">
        <f t="shared" ca="1" si="0"/>
        <v>VMKNIT18/19Feb</v>
      </c>
      <c r="AA49" s="25" t="str">
        <f>NWC_FC_NOOS!$I$1</f>
        <v>NOOS</v>
      </c>
      <c r="AB49" s="25" t="str">
        <f ca="1">NWC_FC_NOOS!$C$73</f>
        <v>18/19</v>
      </c>
      <c r="AC49" s="25" t="str">
        <f ca="1">NWC_FC_NOOS!$C$74</f>
        <v>Q3</v>
      </c>
      <c r="AD49" s="25" t="str">
        <f ca="1">NWC_FC_NOOS!$C$75</f>
        <v>Feb</v>
      </c>
      <c r="AE49" s="649">
        <f ca="1">IFERROR(HLOOKUP($AB49&amp;$AD49,NWC_FC_NOOS!$B$4:$Q$24,MATCH($Y49,NWC_FC_NOOS!$B$4:$B$24,0),FALSE),"")</f>
        <v>0</v>
      </c>
      <c r="AF49" s="650">
        <f ca="1">IFERROR(HLOOKUP($AB49&amp;$AD49,NWC_FC_NOOS!$S$4:$AH$24,MATCH($Y49,NWC_FC_NOOS!$S$4:$S$24,0),FALSE),"")</f>
        <v>0</v>
      </c>
      <c r="AG49" s="650">
        <f ca="1">IFERROR(HLOOKUP($AB49&amp;$AD49,NWC_FC_NOOS!$C$50:$U$70,MATCH($Y49,NWC_FC_NOOS!$B$50:$B$70,0),FALSE),"")</f>
        <v>0</v>
      </c>
      <c r="AH49" s="650">
        <f ca="1">IFERROR(IF($AA49="NOOS",HLOOKUP(STOCK_OVERVIEW!$AB49&amp;STOCK_OVERVIEW!$AD49,PLANNING_FC!$BB$27:$BP$46,MATCH(STOCK_OVERVIEW!$Y49,PLANNING_FC!$BA$27:$BA$46,0),FALSE),HLOOKUP($AB49&amp;$AD49,PLANNING_FC!$BB$4:$BP$23,MATCH(STOCK_OVERVIEW!$Y49,PLANNING_FC!$BA$4:$BA$23,0),FALSE)),"")</f>
        <v>0</v>
      </c>
      <c r="AI49" s="650">
        <f ca="1">IFERROR(IF($AA49="NOOS",HLOOKUP(STOCK_OVERVIEW!$AB49&amp;STOCK_OVERVIEW!$AD49,PLANNING_FC!$T$27:$AH$46,MATCH(STOCK_OVERVIEW!$Y49,PLANNING_FC!$B$27:$B$46,0),FALSE),HLOOKUP($AB49&amp;$AD49,PLANNING_FC!$T$4:$AH$23,MATCH(STOCK_OVERVIEW!$Y49,PLANNING_FC!$B$4:$B$23,0),FALSE)),"")</f>
        <v>0</v>
      </c>
      <c r="AJ49" s="650">
        <f ca="1">IFERROR(IF($AA49="NOOS",HLOOKUP(STOCK_OVERVIEW!$AB49&amp;STOCK_OVERVIEW!$AD49,PLANNING_FC!$DA$27:$DO$46,MATCH(STOCK_OVERVIEW!$Y49,PLANNING_FC!$CZ$27:$CZ$46,0),FALSE),HLOOKUP($AB49&amp;$AD49,PLANNING_FC!$DA$4:$DO$23,MATCH(STOCK_OVERVIEW!$Y49,PLANNING_FC!$CZ$4:$CZ$23,0),FALSE)),"")</f>
        <v>0</v>
      </c>
      <c r="AK49" s="651">
        <f ca="1">IFERROR(IF(AA49="NOOS",HLOOKUP(AB49&amp;AD49,PLANNING_FC!$AJ$27:$AY$47,MATCH(STOCK_OVERVIEW!Y49,PLANNING_FC!$AJ$27:$AJ$47,0),FALSE)*1000,HLOOKUP(AB49&amp;AD49,PLANNING_FC!$AJ$4:$AY$24,MATCH(STOCK_OVERVIEW!Y49,PLANNING_FC!$AJ$4:$AJ$24,0),FALSE)*1000),"")</f>
        <v>0</v>
      </c>
    </row>
    <row r="50" spans="1:45" x14ac:dyDescent="0.25">
      <c r="B50" s="1" t="s">
        <v>395</v>
      </c>
      <c r="C50" s="671" t="e">
        <f ca="1">C49/OFFSET(C58,0,-2)</f>
        <v>#DIV/0!</v>
      </c>
      <c r="D50" s="671" t="e">
        <f ca="1">D49/OFFSET(D58,0,-1)</f>
        <v>#DIV/0!</v>
      </c>
      <c r="E50" s="671" t="e">
        <f ca="1">E49/OFFSET(E58,0,-1)</f>
        <v>#DIV/0!</v>
      </c>
      <c r="F50" s="604"/>
      <c r="G50" s="671" t="e">
        <f ca="1">G49/OFFSET(G58,0,-2)</f>
        <v>#DIV/0!</v>
      </c>
      <c r="H50" s="671" t="e">
        <f ca="1">H49/OFFSET(H58,0,-1)</f>
        <v>#DIV/0!</v>
      </c>
      <c r="I50" s="671" t="e">
        <f ca="1">I49/OFFSET(I58,0,-1)</f>
        <v>#DIV/0!</v>
      </c>
      <c r="J50" s="604"/>
      <c r="K50" s="671" t="e">
        <f ca="1">K49/OFFSET(K58,0,-2)</f>
        <v>#DIV/0!</v>
      </c>
      <c r="L50" s="671" t="e">
        <f ca="1">L49/OFFSET(L58,0,-1)</f>
        <v>#DIV/0!</v>
      </c>
      <c r="M50" s="671" t="e">
        <f ca="1">M49/OFFSET(M58,0,-1)</f>
        <v>#DIV/0!</v>
      </c>
      <c r="N50" s="604"/>
      <c r="O50" s="671" t="e">
        <f ca="1">O49/OFFSET(O58,0,-2)</f>
        <v>#DIV/0!</v>
      </c>
      <c r="P50" s="671" t="e">
        <f ca="1">P49/OFFSET(P58,0,-1)</f>
        <v>#DIV/0!</v>
      </c>
      <c r="Q50" s="671" t="e">
        <f ca="1">Q49/OFFSET(Q58,0,-1)</f>
        <v>#DIV/0!</v>
      </c>
      <c r="S50" s="610"/>
      <c r="T50" s="610"/>
      <c r="U50" s="610"/>
      <c r="V50" s="610"/>
      <c r="X50" s="200" t="str">
        <f>NWC_FC_NOOS!$B$1</f>
        <v>VM</v>
      </c>
      <c r="Y50" s="25" t="str">
        <f>NWC_FC_NOOS!$B$57</f>
        <v>KNIT</v>
      </c>
      <c r="Z50" s="25" t="str">
        <f t="shared" ca="1" si="0"/>
        <v>VMKNIT18/19Mar</v>
      </c>
      <c r="AA50" s="25" t="str">
        <f>NWC_FC_NOOS!$I$1</f>
        <v>NOOS</v>
      </c>
      <c r="AB50" s="25" t="str">
        <f ca="1">NWC_FC_NOOS!$C$73</f>
        <v>18/19</v>
      </c>
      <c r="AC50" s="25" t="str">
        <f ca="1">NWC_FC_NOOS!$C$74</f>
        <v>Q3</v>
      </c>
      <c r="AD50" s="25" t="str">
        <f ca="1">NWC_FC_NOOS!$D$75</f>
        <v>Mar</v>
      </c>
      <c r="AE50" s="649">
        <f ca="1">IFERROR(HLOOKUP($AB50&amp;$AD50,NWC_FC_NOOS!$B$4:$Q$24,MATCH($Y50,NWC_FC_NOOS!$B$4:$B$24,0),FALSE),"")</f>
        <v>0</v>
      </c>
      <c r="AF50" s="650">
        <f ca="1">IFERROR(HLOOKUP($AB50&amp;$AD50,NWC_FC_NOOS!$S$4:$AH$24,MATCH($Y50,NWC_FC_NOOS!$S$4:$S$24,0),FALSE),"")</f>
        <v>0</v>
      </c>
      <c r="AG50" s="650">
        <f ca="1">IFERROR(HLOOKUP($AB50&amp;$AD50,NWC_FC_NOOS!$C$50:$U$70,MATCH($Y50,NWC_FC_NOOS!$B$50:$B$70,0),FALSE),"")</f>
        <v>0</v>
      </c>
      <c r="AH50" s="650">
        <f ca="1">IFERROR(IF($AA50="NOOS",HLOOKUP(STOCK_OVERVIEW!$AB50&amp;STOCK_OVERVIEW!$AD50,PLANNING_FC!$BB$27:$BP$46,MATCH(STOCK_OVERVIEW!$Y50,PLANNING_FC!$BA$27:$BA$46,0),FALSE),HLOOKUP($AB50&amp;$AD50,PLANNING_FC!$BB$4:$BP$23,MATCH(STOCK_OVERVIEW!$Y50,PLANNING_FC!$BA$4:$BA$23,0),FALSE)),"")</f>
        <v>0</v>
      </c>
      <c r="AI50" s="650">
        <f ca="1">IFERROR(IF($AA50="NOOS",HLOOKUP(STOCK_OVERVIEW!$AB50&amp;STOCK_OVERVIEW!$AD50,PLANNING_FC!$T$27:$AH$46,MATCH(STOCK_OVERVIEW!$Y50,PLANNING_FC!$B$27:$B$46,0),FALSE),HLOOKUP($AB50&amp;$AD50,PLANNING_FC!$T$4:$AH$23,MATCH(STOCK_OVERVIEW!$Y50,PLANNING_FC!$B$4:$B$23,0),FALSE)),"")</f>
        <v>0</v>
      </c>
      <c r="AJ50" s="650">
        <f ca="1">IFERROR(IF($AA50="NOOS",HLOOKUP(STOCK_OVERVIEW!$AB50&amp;STOCK_OVERVIEW!$AD50,PLANNING_FC!$DA$27:$DO$46,MATCH(STOCK_OVERVIEW!$Y50,PLANNING_FC!$CZ$27:$CZ$46,0),FALSE),HLOOKUP($AB50&amp;$AD50,PLANNING_FC!$DA$4:$DO$23,MATCH(STOCK_OVERVIEW!$Y50,PLANNING_FC!$CZ$4:$CZ$23,0),FALSE)),"")</f>
        <v>0</v>
      </c>
      <c r="AK50" s="651">
        <f ca="1">IFERROR(IF(AA50="NOOS",HLOOKUP(AB50&amp;AD50,PLANNING_FC!$AJ$27:$AY$47,MATCH(STOCK_OVERVIEW!Y50,PLANNING_FC!$AJ$27:$AJ$47,0),FALSE)*1000,HLOOKUP(AB50&amp;AD50,PLANNING_FC!$AJ$4:$AY$24,MATCH(STOCK_OVERVIEW!Y50,PLANNING_FC!$AJ$4:$AJ$24,0),FALSE)*1000),"")</f>
        <v>0</v>
      </c>
    </row>
    <row r="51" spans="1:45" x14ac:dyDescent="0.25">
      <c r="B51" s="1"/>
      <c r="C51" s="671"/>
      <c r="D51" s="671"/>
      <c r="E51" s="671"/>
      <c r="F51" s="604"/>
      <c r="G51" s="671"/>
      <c r="H51" s="671"/>
      <c r="I51" s="671"/>
      <c r="J51" s="604"/>
      <c r="K51" s="671"/>
      <c r="L51" s="671"/>
      <c r="M51" s="671"/>
      <c r="N51" s="604"/>
      <c r="O51" s="671"/>
      <c r="P51" s="671"/>
      <c r="Q51" s="671"/>
      <c r="S51" s="610"/>
      <c r="T51" s="610"/>
      <c r="U51" s="610"/>
      <c r="V51" s="610"/>
      <c r="X51" s="200" t="str">
        <f>NWC_FC_NOOS!$B$1</f>
        <v>VM</v>
      </c>
      <c r="Y51" s="25" t="str">
        <f>NWC_FC_NOOS!$B$57</f>
        <v>KNIT</v>
      </c>
      <c r="Z51" s="25" t="str">
        <f t="shared" ca="1" si="0"/>
        <v>VMKNIT18/19Apr</v>
      </c>
      <c r="AA51" s="25" t="str">
        <f>NWC_FC_NOOS!$I$1</f>
        <v>NOOS</v>
      </c>
      <c r="AB51" s="25" t="str">
        <f ca="1">NWC_FC_NOOS!$C$73</f>
        <v>18/19</v>
      </c>
      <c r="AC51" s="25" t="str">
        <f ca="1">NWC_FC_NOOS!$C$74</f>
        <v>Q3</v>
      </c>
      <c r="AD51" s="25" t="str">
        <f ca="1">NWC_FC_NOOS!$E$75</f>
        <v>Apr</v>
      </c>
      <c r="AE51" s="649">
        <f ca="1">IFERROR(HLOOKUP($AB51&amp;$AD51,NWC_FC_NOOS!$B$4:$Q$24,MATCH($Y51,NWC_FC_NOOS!$B$4:$B$24,0),FALSE),"")</f>
        <v>0</v>
      </c>
      <c r="AF51" s="650">
        <f ca="1">IFERROR(HLOOKUP($AB51&amp;$AD51,NWC_FC_NOOS!$S$4:$AH$24,MATCH($Y51,NWC_FC_NOOS!$S$4:$S$24,0),FALSE),"")</f>
        <v>0</v>
      </c>
      <c r="AG51" s="650">
        <f ca="1">IFERROR(HLOOKUP($AB51&amp;$AD51,NWC_FC_NOOS!$C$50:$U$70,MATCH($Y51,NWC_FC_NOOS!$B$50:$B$70,0),FALSE),"")</f>
        <v>0</v>
      </c>
      <c r="AH51" s="650">
        <f ca="1">IFERROR(IF($AA51="NOOS",HLOOKUP(STOCK_OVERVIEW!$AB51&amp;STOCK_OVERVIEW!$AD51,PLANNING_FC!$BB$27:$BP$46,MATCH(STOCK_OVERVIEW!$Y51,PLANNING_FC!$BA$27:$BA$46,0),FALSE),HLOOKUP($AB51&amp;$AD51,PLANNING_FC!$BB$4:$BP$23,MATCH(STOCK_OVERVIEW!$Y51,PLANNING_FC!$BA$4:$BA$23,0),FALSE)),"")</f>
        <v>0</v>
      </c>
      <c r="AI51" s="650">
        <f ca="1">IFERROR(IF($AA51="NOOS",HLOOKUP(STOCK_OVERVIEW!$AB51&amp;STOCK_OVERVIEW!$AD51,PLANNING_FC!$T$27:$AH$46,MATCH(STOCK_OVERVIEW!$Y51,PLANNING_FC!$B$27:$B$46,0),FALSE),HLOOKUP($AB51&amp;$AD51,PLANNING_FC!$T$4:$AH$23,MATCH(STOCK_OVERVIEW!$Y51,PLANNING_FC!$B$4:$B$23,0),FALSE)),"")</f>
        <v>0</v>
      </c>
      <c r="AJ51" s="650">
        <f ca="1">IFERROR(IF($AA51="NOOS",HLOOKUP(STOCK_OVERVIEW!$AB51&amp;STOCK_OVERVIEW!$AD51,PLANNING_FC!$DA$27:$DO$46,MATCH(STOCK_OVERVIEW!$Y51,PLANNING_FC!$CZ$27:$CZ$46,0),FALSE),HLOOKUP($AB51&amp;$AD51,PLANNING_FC!$DA$4:$DO$23,MATCH(STOCK_OVERVIEW!$Y51,PLANNING_FC!$CZ$4:$CZ$23,0),FALSE)),"")</f>
        <v>38717</v>
      </c>
      <c r="AK51" s="651">
        <f ca="1">IFERROR(IF(AA51="NOOS",HLOOKUP(AB51&amp;AD51,PLANNING_FC!$AJ$27:$AY$47,MATCH(STOCK_OVERVIEW!Y51,PLANNING_FC!$AJ$27:$AJ$47,0),FALSE)*1000,HLOOKUP(AB51&amp;AD51,PLANNING_FC!$AJ$4:$AY$24,MATCH(STOCK_OVERVIEW!Y51,PLANNING_FC!$AJ$4:$AJ$24,0),FALSE)*1000),"")</f>
        <v>0</v>
      </c>
    </row>
    <row r="52" spans="1:45" x14ac:dyDescent="0.25">
      <c r="B52" s="1" t="s">
        <v>403</v>
      </c>
      <c r="C52" s="682">
        <f ca="1">SUMIFS($AK$3:$AK$483,$AD$3:$AD$483,C$40,$AB$3:$AB$483,$C$38,$AA$3:$AA$483,$M$4,$Y$3:$Y$483,$O$4)</f>
        <v>0</v>
      </c>
      <c r="D52" s="682">
        <f t="shared" ref="D52:E52" ca="1" si="11">SUMIFS($AK$3:$AK$483,$AD$3:$AD$483,D$40,$AB$3:$AB$483,$C$38,$AA$3:$AA$483,$M$4,$Y$3:$Y$483,$O$4)</f>
        <v>0</v>
      </c>
      <c r="E52" s="682">
        <f t="shared" ca="1" si="11"/>
        <v>0</v>
      </c>
      <c r="F52" s="683"/>
      <c r="G52" s="682">
        <f t="shared" ref="G52:I52" ca="1" si="12">SUMIFS($AK$3:$AK$483,$AD$3:$AD$483,G$40,$AB$3:$AB$483,$C$38,$AA$3:$AA$483,$M$4,$Y$3:$Y$483,$O$4)</f>
        <v>0</v>
      </c>
      <c r="H52" s="682">
        <f t="shared" ca="1" si="12"/>
        <v>0</v>
      </c>
      <c r="I52" s="682">
        <f t="shared" ca="1" si="12"/>
        <v>0</v>
      </c>
      <c r="J52" s="683"/>
      <c r="K52" s="682">
        <f t="shared" ref="K52:Q52" ca="1" si="13">SUMIFS($AK$3:$AK$483,$AD$3:$AD$483,K$40,$AB$3:$AB$483,$C$38,$AA$3:$AA$483,$M$4,$Y$3:$Y$483,$O$4)</f>
        <v>0</v>
      </c>
      <c r="L52" s="682">
        <f t="shared" ca="1" si="13"/>
        <v>0</v>
      </c>
      <c r="M52" s="682">
        <f t="shared" ca="1" si="13"/>
        <v>0</v>
      </c>
      <c r="N52" s="683"/>
      <c r="O52" s="682">
        <f t="shared" ca="1" si="13"/>
        <v>0</v>
      </c>
      <c r="P52" s="682">
        <f t="shared" ca="1" si="13"/>
        <v>0</v>
      </c>
      <c r="Q52" s="682">
        <f t="shared" ca="1" si="13"/>
        <v>0</v>
      </c>
      <c r="S52" s="610"/>
      <c r="T52" s="610"/>
      <c r="U52" s="610"/>
      <c r="V52" s="610"/>
      <c r="X52" s="200" t="str">
        <f>NWC_FC_NOOS!$B$1</f>
        <v>VM</v>
      </c>
      <c r="Y52" s="25" t="str">
        <f>NWC_FC_NOOS!$B$57</f>
        <v>KNIT</v>
      </c>
      <c r="Z52" s="25" t="str">
        <f t="shared" ca="1" si="0"/>
        <v>VMKNIT18/19May</v>
      </c>
      <c r="AA52" s="25" t="str">
        <f>NWC_FC_NOOS!$I$1</f>
        <v>NOOS</v>
      </c>
      <c r="AB52" s="25" t="str">
        <f ca="1">NWC_FC_NOOS!$G$73</f>
        <v>18/19</v>
      </c>
      <c r="AC52" s="25" t="str">
        <f ca="1">NWC_FC_NOOS!$G$74</f>
        <v>Q4</v>
      </c>
      <c r="AD52" s="25" t="str">
        <f ca="1">NWC_FC_NOOS!$G$75</f>
        <v>May</v>
      </c>
      <c r="AE52" s="649">
        <f ca="1">IFERROR(HLOOKUP($AB52&amp;$AD52,NWC_FC_NOOS!$B$4:$Q$24,MATCH($Y52,NWC_FC_NOOS!$B$4:$B$24,0),FALSE),"")</f>
        <v>0</v>
      </c>
      <c r="AF52" s="650">
        <f ca="1">IFERROR(HLOOKUP($AB52&amp;$AD52,NWC_FC_NOOS!$S$4:$AH$24,MATCH($Y52,NWC_FC_NOOS!$S$4:$S$24,0),FALSE),"")</f>
        <v>0</v>
      </c>
      <c r="AG52" s="650">
        <f ca="1">IFERROR(HLOOKUP($AB52&amp;$AD52,NWC_FC_NOOS!$C$50:$U$70,MATCH($Y52,NWC_FC_NOOS!$B$50:$B$70,0),FALSE),"")</f>
        <v>0</v>
      </c>
      <c r="AH52" s="650">
        <f ca="1">IFERROR(IF($AA52="NOOS",HLOOKUP(STOCK_OVERVIEW!$AB52&amp;STOCK_OVERVIEW!$AD52,PLANNING_FC!$BB$27:$BP$46,MATCH(STOCK_OVERVIEW!$Y52,PLANNING_FC!$BA$27:$BA$46,0),FALSE),HLOOKUP($AB52&amp;$AD52,PLANNING_FC!$BB$4:$BP$23,MATCH(STOCK_OVERVIEW!$Y52,PLANNING_FC!$BA$4:$BA$23,0),FALSE)),"")</f>
        <v>0</v>
      </c>
      <c r="AI52" s="650">
        <f ca="1">IFERROR(IF($AA52="NOOS",HLOOKUP(STOCK_OVERVIEW!$AB52&amp;STOCK_OVERVIEW!$AD52,PLANNING_FC!$T$27:$AH$46,MATCH(STOCK_OVERVIEW!$Y52,PLANNING_FC!$B$27:$B$46,0),FALSE),HLOOKUP($AB52&amp;$AD52,PLANNING_FC!$T$4:$AH$23,MATCH(STOCK_OVERVIEW!$Y52,PLANNING_FC!$B$4:$B$23,0),FALSE)),"")</f>
        <v>0</v>
      </c>
      <c r="AJ52" s="650">
        <f ca="1">IFERROR(IF($AA52="NOOS",HLOOKUP(STOCK_OVERVIEW!$AB52&amp;STOCK_OVERVIEW!$AD52,PLANNING_FC!$DA$27:$DO$46,MATCH(STOCK_OVERVIEW!$Y52,PLANNING_FC!$CZ$27:$CZ$46,0),FALSE),HLOOKUP($AB52&amp;$AD52,PLANNING_FC!$DA$4:$DO$23,MATCH(STOCK_OVERVIEW!$Y52,PLANNING_FC!$CZ$4:$CZ$23,0),FALSE)),"")</f>
        <v>38717</v>
      </c>
      <c r="AK52" s="651">
        <f ca="1">IFERROR(IF(AA52="NOOS",HLOOKUP(AB52&amp;AD52,PLANNING_FC!$AJ$27:$AY$47,MATCH(STOCK_OVERVIEW!Y52,PLANNING_FC!$AJ$27:$AJ$47,0),FALSE)*1000,HLOOKUP(AB52&amp;AD52,PLANNING_FC!$AJ$4:$AY$24,MATCH(STOCK_OVERVIEW!Y52,PLANNING_FC!$AJ$4:$AJ$24,0),FALSE)*1000),"")</f>
        <v>0</v>
      </c>
      <c r="AR52" s="643"/>
    </row>
    <row r="53" spans="1:45" x14ac:dyDescent="0.25">
      <c r="B53" s="1" t="s">
        <v>404</v>
      </c>
      <c r="C53" s="819" t="e">
        <f ca="1">C52/(C52+C55)</f>
        <v>#DIV/0!</v>
      </c>
      <c r="D53" s="819" t="e">
        <f t="shared" ref="D53:Q53" ca="1" si="14">D52/(D52+D55)</f>
        <v>#DIV/0!</v>
      </c>
      <c r="E53" s="819">
        <f t="shared" ca="1" si="14"/>
        <v>0</v>
      </c>
      <c r="F53" s="831"/>
      <c r="G53" s="819">
        <f t="shared" ca="1" si="14"/>
        <v>0</v>
      </c>
      <c r="H53" s="819">
        <f t="shared" ca="1" si="14"/>
        <v>0</v>
      </c>
      <c r="I53" s="819">
        <f t="shared" ca="1" si="14"/>
        <v>0</v>
      </c>
      <c r="J53" s="831"/>
      <c r="K53" s="819">
        <f t="shared" ca="1" si="14"/>
        <v>0</v>
      </c>
      <c r="L53" s="819">
        <f t="shared" ca="1" si="14"/>
        <v>0</v>
      </c>
      <c r="M53" s="819">
        <f t="shared" ca="1" si="14"/>
        <v>0</v>
      </c>
      <c r="N53" s="831"/>
      <c r="O53" s="819">
        <f t="shared" ca="1" si="14"/>
        <v>0</v>
      </c>
      <c r="P53" s="819">
        <f t="shared" ca="1" si="14"/>
        <v>0</v>
      </c>
      <c r="Q53" s="819">
        <f t="shared" ca="1" si="14"/>
        <v>0</v>
      </c>
      <c r="S53" s="610"/>
      <c r="T53" s="610"/>
      <c r="U53" s="610"/>
      <c r="V53" s="610"/>
      <c r="X53" s="200" t="str">
        <f>NWC_FC_NOOS!$B$1</f>
        <v>VM</v>
      </c>
      <c r="Y53" s="25" t="str">
        <f>NWC_FC_NOOS!$B$57</f>
        <v>KNIT</v>
      </c>
      <c r="Z53" s="25" t="str">
        <f t="shared" ca="1" si="0"/>
        <v>VMKNIT18/19Jun</v>
      </c>
      <c r="AA53" s="25" t="str">
        <f>NWC_FC_NOOS!$I$1</f>
        <v>NOOS</v>
      </c>
      <c r="AB53" s="25" t="str">
        <f ca="1">NWC_FC_NOOS!$G$73</f>
        <v>18/19</v>
      </c>
      <c r="AC53" s="25" t="str">
        <f ca="1">NWC_FC_NOOS!$G$74</f>
        <v>Q4</v>
      </c>
      <c r="AD53" s="25" t="str">
        <f ca="1">NWC_FC_NOOS!$H$75</f>
        <v>Jun</v>
      </c>
      <c r="AE53" s="649">
        <f ca="1">IFERROR(HLOOKUP($AB53&amp;$AD53,NWC_FC_NOOS!$B$4:$Q$24,MATCH($Y53,NWC_FC_NOOS!$B$4:$B$24,0),FALSE),"")</f>
        <v>0</v>
      </c>
      <c r="AF53" s="650">
        <f ca="1">IFERROR(HLOOKUP($AB53&amp;$AD53,NWC_FC_NOOS!$S$4:$AH$24,MATCH($Y53,NWC_FC_NOOS!$S$4:$S$24,0),FALSE),"")</f>
        <v>0</v>
      </c>
      <c r="AG53" s="650">
        <f ca="1">IFERROR(HLOOKUP($AB53&amp;$AD53,NWC_FC_NOOS!$C$50:$U$70,MATCH($Y53,NWC_FC_NOOS!$B$50:$B$70,0),FALSE),"")</f>
        <v>0</v>
      </c>
      <c r="AH53" s="650">
        <f ca="1">IFERROR(IF($AA53="NOOS",HLOOKUP(STOCK_OVERVIEW!$AB53&amp;STOCK_OVERVIEW!$AD53,PLANNING_FC!$BB$27:$BP$46,MATCH(STOCK_OVERVIEW!$Y53,PLANNING_FC!$BA$27:$BA$46,0),FALSE),HLOOKUP($AB53&amp;$AD53,PLANNING_FC!$BB$4:$BP$23,MATCH(STOCK_OVERVIEW!$Y53,PLANNING_FC!$BA$4:$BA$23,0),FALSE)),"")</f>
        <v>0</v>
      </c>
      <c r="AI53" s="650">
        <f ca="1">IFERROR(IF($AA53="NOOS",HLOOKUP(STOCK_OVERVIEW!$AB53&amp;STOCK_OVERVIEW!$AD53,PLANNING_FC!$T$27:$AH$46,MATCH(STOCK_OVERVIEW!$Y53,PLANNING_FC!$B$27:$B$46,0),FALSE),HLOOKUP($AB53&amp;$AD53,PLANNING_FC!$T$4:$AH$23,MATCH(STOCK_OVERVIEW!$Y53,PLANNING_FC!$B$4:$B$23,0),FALSE)),"")</f>
        <v>0</v>
      </c>
      <c r="AJ53" s="650">
        <f ca="1">IFERROR(IF($AA53="NOOS",HLOOKUP(STOCK_OVERVIEW!$AB53&amp;STOCK_OVERVIEW!$AD53,PLANNING_FC!$DA$27:$DO$46,MATCH(STOCK_OVERVIEW!$Y53,PLANNING_FC!$CZ$27:$CZ$46,0),FALSE),HLOOKUP($AB53&amp;$AD53,PLANNING_FC!$DA$4:$DO$23,MATCH(STOCK_OVERVIEW!$Y53,PLANNING_FC!$CZ$4:$CZ$23,0),FALSE)),"")</f>
        <v>38717</v>
      </c>
      <c r="AK53" s="651">
        <f ca="1">IFERROR(IF(AA53="NOOS",HLOOKUP(AB53&amp;AD53,PLANNING_FC!$AJ$27:$AY$47,MATCH(STOCK_OVERVIEW!Y53,PLANNING_FC!$AJ$27:$AJ$47,0),FALSE)*1000,HLOOKUP(AB53&amp;AD53,PLANNING_FC!$AJ$4:$AY$24,MATCH(STOCK_OVERVIEW!Y53,PLANNING_FC!$AJ$4:$AJ$24,0),FALSE)*1000),"")</f>
        <v>0</v>
      </c>
    </row>
    <row r="54" spans="1:45" x14ac:dyDescent="0.25">
      <c r="X54" s="200" t="str">
        <f>NWC_FC_NOOS!$B$1</f>
        <v>VM</v>
      </c>
      <c r="Y54" s="25" t="str">
        <f>NWC_FC_NOOS!$B$57</f>
        <v>KNIT</v>
      </c>
      <c r="Z54" s="25" t="str">
        <f t="shared" ca="1" si="0"/>
        <v>VMKNIT18/19Jul</v>
      </c>
      <c r="AA54" s="25" t="str">
        <f>NWC_FC_NOOS!$I$1</f>
        <v>NOOS</v>
      </c>
      <c r="AB54" s="25" t="str">
        <f ca="1">NWC_FC_NOOS!$G$73</f>
        <v>18/19</v>
      </c>
      <c r="AC54" s="25" t="str">
        <f ca="1">NWC_FC_NOOS!$G$74</f>
        <v>Q4</v>
      </c>
      <c r="AD54" s="25" t="str">
        <f ca="1">NWC_FC_NOOS!$I$75</f>
        <v>Jul</v>
      </c>
      <c r="AE54" s="649">
        <f ca="1">IFERROR(HLOOKUP($AB54&amp;$AD54,NWC_FC_NOOS!$B$4:$Q$24,MATCH($Y54,NWC_FC_NOOS!$B$4:$B$24,0),FALSE),"")</f>
        <v>0</v>
      </c>
      <c r="AF54" s="650">
        <f ca="1">IFERROR(HLOOKUP($AB54&amp;$AD54,NWC_FC_NOOS!$S$4:$AH$24,MATCH($Y54,NWC_FC_NOOS!$S$4:$S$24,0),FALSE),"")</f>
        <v>0</v>
      </c>
      <c r="AG54" s="650">
        <f ca="1">IFERROR(HLOOKUP($AB54&amp;$AD54,NWC_FC_NOOS!$C$50:$U$70,MATCH($Y54,NWC_FC_NOOS!$B$50:$B$70,0),FALSE),"")</f>
        <v>0</v>
      </c>
      <c r="AH54" s="650">
        <f ca="1">IFERROR(IF($AA54="NOOS",HLOOKUP(STOCK_OVERVIEW!$AB54&amp;STOCK_OVERVIEW!$AD54,PLANNING_FC!$BB$27:$BP$46,MATCH(STOCK_OVERVIEW!$Y54,PLANNING_FC!$BA$27:$BA$46,0),FALSE),HLOOKUP($AB54&amp;$AD54,PLANNING_FC!$BB$4:$BP$23,MATCH(STOCK_OVERVIEW!$Y54,PLANNING_FC!$BA$4:$BA$23,0),FALSE)),"")</f>
        <v>0</v>
      </c>
      <c r="AI54" s="650">
        <f ca="1">IFERROR(IF($AA54="NOOS",HLOOKUP(STOCK_OVERVIEW!$AB54&amp;STOCK_OVERVIEW!$AD54,PLANNING_FC!$T$27:$AH$46,MATCH(STOCK_OVERVIEW!$Y54,PLANNING_FC!$B$27:$B$46,0),FALSE),HLOOKUP($AB54&amp;$AD54,PLANNING_FC!$T$4:$AH$23,MATCH(STOCK_OVERVIEW!$Y54,PLANNING_FC!$B$4:$B$23,0),FALSE)),"")</f>
        <v>0</v>
      </c>
      <c r="AJ54" s="650">
        <f ca="1">IFERROR(IF($AA54="NOOS",HLOOKUP(STOCK_OVERVIEW!$AB54&amp;STOCK_OVERVIEW!$AD54,PLANNING_FC!$DA$27:$DO$46,MATCH(STOCK_OVERVIEW!$Y54,PLANNING_FC!$CZ$27:$CZ$46,0),FALSE),HLOOKUP($AB54&amp;$AD54,PLANNING_FC!$DA$4:$DO$23,MATCH(STOCK_OVERVIEW!$Y54,PLANNING_FC!$CZ$4:$CZ$23,0),FALSE)),"")</f>
        <v>38717</v>
      </c>
      <c r="AK54" s="651">
        <f ca="1">IFERROR(IF(AA54="NOOS",HLOOKUP(AB54&amp;AD54,PLANNING_FC!$AJ$27:$AY$47,MATCH(STOCK_OVERVIEW!Y54,PLANNING_FC!$AJ$27:$AJ$47,0),FALSE)*1000,HLOOKUP(AB54&amp;AD54,PLANNING_FC!$AJ$4:$AY$24,MATCH(STOCK_OVERVIEW!Y54,PLANNING_FC!$AJ$4:$AJ$24,0),FALSE)*1000),"")</f>
        <v>0</v>
      </c>
    </row>
    <row r="55" spans="1:45" x14ac:dyDescent="0.25">
      <c r="B55" s="1" t="s">
        <v>238</v>
      </c>
      <c r="C55" s="682">
        <f ca="1">SUMIFS($AJ$4:$AJ$483,$AD$4:$AD$483,C$40,$AB$4:$AB$483,$C$38,$AA$4:$AA$483,$M$4,$Y$4:$Y$483,$O$4)</f>
        <v>0</v>
      </c>
      <c r="D55" s="682">
        <f ca="1">SUMIFS($AJ$4:$AJ$483,$AD$4:$AD$483,D$40,$AB$4:$AB$483,$C$38,$AA$4:$AA$483,$M$4,$Y$4:$Y$483,$O$4)</f>
        <v>0</v>
      </c>
      <c r="E55" s="682">
        <f ca="1">SUMIFS($AJ$4:$AJ$483,$AD$4:$AD$483,E$40,$AB$4:$AB$483,$C$38,$AA$4:$AA$483,$M$4,$Y$4:$Y$483,$O$4)</f>
        <v>5030820</v>
      </c>
      <c r="F55" s="683"/>
      <c r="G55" s="682">
        <f ca="1">SUMIFS($AJ$4:$AJ$483,$AD$4:$AD$483,G$40,$AB$4:$AB$483,$G$38,$AA$4:$AA$483,$M$4,$Y$4:$Y$483,$O$4)</f>
        <v>5263471</v>
      </c>
      <c r="H55" s="682">
        <f ca="1">SUMIFS($AJ$4:$AJ$483,$AD$4:$AD$483,H$40,$AB$4:$AB$483,$G$38,$AA$4:$AA$483,$M$4,$Y$4:$Y$483,$O$4)</f>
        <v>5356345</v>
      </c>
      <c r="I55" s="682">
        <f ca="1">SUMIFS($AJ$4:$AJ$483,$AD$4:$AD$483,I$40,$AB$4:$AB$483,$G$38,$AA$4:$AA$483,$M$4,$Y$4:$Y$483,$O$4)</f>
        <v>5365950</v>
      </c>
      <c r="J55" s="683"/>
      <c r="K55" s="682">
        <f ca="1">SUMIFS($AJ$4:$AJ$483,$AD$4:$AD$483,K$40,$AB$4:$AB$483,$K$38,$AA$4:$AA$483,$M$4,$Y$4:$Y$483,$O$4)</f>
        <v>5651121</v>
      </c>
      <c r="L55" s="682">
        <f ca="1">SUMIFS($AJ$4:$AJ$483,$AD$4:$AD$483,L$40,$AB$4:$AB$483,$K$38,$AA$4:$AA$483,$M$4,$Y$4:$Y$483,$O$4)</f>
        <v>5765362</v>
      </c>
      <c r="M55" s="682">
        <f ca="1">SUMIFS($AJ$4:$AJ$483,$AD$4:$AD$483,M$40,$AB$4:$AB$483,$K$38,$AA$4:$AA$483,$M$4,$Y$4:$Y$483,$O$4)</f>
        <v>5768040</v>
      </c>
      <c r="N55" s="683"/>
      <c r="O55" s="682">
        <f ca="1">SUMIFS($AJ$4:$AJ$483,$AD$4:$AD$483,O$40,$AB$4:$AB$483,$O$38,$AA$4:$AA$483,$M$4,$Y$4:$Y$483,$O$4)</f>
        <v>5768040</v>
      </c>
      <c r="P55" s="682">
        <f ca="1">SUMIFS($AJ$4:$AJ$483,$AD$4:$AD$483,P$40,$AB$4:$AB$483,$O$38,$AA$4:$AA$483,$M$4,$Y$4:$Y$483,$O$4)</f>
        <v>5768040</v>
      </c>
      <c r="Q55" s="682">
        <f ca="1">SUMIFS($AJ$4:$AJ$483,$AD$4:$AD$483,Q$40,$AB$4:$AB$483,$O$38,$AA$4:$AA$483,$M$4,$Y$4:$Y$483,$O$4)</f>
        <v>5768040</v>
      </c>
      <c r="R55" s="684"/>
      <c r="S55" s="685">
        <f ca="1">AVERAGE(C55:E55)</f>
        <v>1676940</v>
      </c>
      <c r="T55" s="685">
        <f ca="1">AVERAGE(G55:I55)</f>
        <v>5328588.666666667</v>
      </c>
      <c r="U55" s="685">
        <f ca="1">AVERAGE(K55:M55)</f>
        <v>5728174.333333333</v>
      </c>
      <c r="V55" s="685">
        <f ca="1">AVERAGE(O55:Q55)</f>
        <v>5768040</v>
      </c>
      <c r="X55" s="200" t="str">
        <f>NWC_FC_NOOS!$B$1</f>
        <v>VM</v>
      </c>
      <c r="Y55" s="25" t="str">
        <f>NWC_FC_NOOS!$B$57</f>
        <v>KNIT</v>
      </c>
      <c r="Z55" s="25" t="str">
        <f t="shared" ca="1" si="0"/>
        <v>VMKNIT19/20Aug</v>
      </c>
      <c r="AA55" s="25" t="str">
        <f>NWC_FC_NOOS!$I$1</f>
        <v>NOOS</v>
      </c>
      <c r="AB55" s="25" t="str">
        <f ca="1">NWC_FC_NOOS!$K$73</f>
        <v>19/20</v>
      </c>
      <c r="AC55" s="25" t="str">
        <f ca="1">NWC_FC_NOOS!$K$74</f>
        <v>Q1</v>
      </c>
      <c r="AD55" s="25" t="str">
        <f ca="1">NWC_FC_NOOS!$K$75</f>
        <v>Aug</v>
      </c>
      <c r="AE55" s="649">
        <f ca="1">IFERROR(HLOOKUP($AB55&amp;$AD55,NWC_FC_NOOS!$B$4:$Q$24,MATCH($Y55,NWC_FC_NOOS!$B$4:$B$24,0),FALSE),"")</f>
        <v>0</v>
      </c>
      <c r="AF55" s="650">
        <f ca="1">IFERROR(HLOOKUP($AB55&amp;$AD55,NWC_FC_NOOS!$S$4:$AH$24,MATCH($Y55,NWC_FC_NOOS!$S$4:$S$24,0),FALSE),"")</f>
        <v>0</v>
      </c>
      <c r="AG55" s="650">
        <f ca="1">IFERROR(HLOOKUP($AB55&amp;$AD55,NWC_FC_NOOS!$C$50:$U$70,MATCH($Y55,NWC_FC_NOOS!$B$50:$B$70,0),FALSE),"")</f>
        <v>0</v>
      </c>
      <c r="AH55" s="650">
        <f ca="1">IFERROR(IF($AA55="NOOS",HLOOKUP(STOCK_OVERVIEW!$AB55&amp;STOCK_OVERVIEW!$AD55,PLANNING_FC!$BB$27:$BP$46,MATCH(STOCK_OVERVIEW!$Y55,PLANNING_FC!$BA$27:$BA$46,0),FALSE),HLOOKUP($AB55&amp;$AD55,PLANNING_FC!$BB$4:$BP$23,MATCH(STOCK_OVERVIEW!$Y55,PLANNING_FC!$BA$4:$BA$23,0),FALSE)),"")</f>
        <v>0</v>
      </c>
      <c r="AI55" s="650">
        <f ca="1">IFERROR(IF($AA55="NOOS",HLOOKUP(STOCK_OVERVIEW!$AB55&amp;STOCK_OVERVIEW!$AD55,PLANNING_FC!$T$27:$AH$46,MATCH(STOCK_OVERVIEW!$Y55,PLANNING_FC!$B$27:$B$46,0),FALSE),HLOOKUP($AB55&amp;$AD55,PLANNING_FC!$T$4:$AH$23,MATCH(STOCK_OVERVIEW!$Y55,PLANNING_FC!$B$4:$B$23,0),FALSE)),"")</f>
        <v>0</v>
      </c>
      <c r="AJ55" s="650">
        <f ca="1">IFERROR(IF($AA55="NOOS",HLOOKUP(STOCK_OVERVIEW!$AB55&amp;STOCK_OVERVIEW!$AD55,PLANNING_FC!$DA$27:$DO$46,MATCH(STOCK_OVERVIEW!$Y55,PLANNING_FC!$CZ$27:$CZ$46,0),FALSE),HLOOKUP($AB55&amp;$AD55,PLANNING_FC!$DA$4:$DO$23,MATCH(STOCK_OVERVIEW!$Y55,PLANNING_FC!$CZ$4:$CZ$23,0),FALSE)),"")</f>
        <v>38717</v>
      </c>
      <c r="AK55" s="651">
        <f ca="1">IFERROR(IF(AA55="NOOS",HLOOKUP(AB55&amp;AD55,PLANNING_FC!$AJ$27:$AY$47,MATCH(STOCK_OVERVIEW!Y55,PLANNING_FC!$AJ$27:$AJ$47,0),FALSE)*1000,HLOOKUP(AB55&amp;AD55,PLANNING_FC!$AJ$4:$AY$24,MATCH(STOCK_OVERVIEW!Y55,PLANNING_FC!$AJ$4:$AJ$24,0),FALSE)*1000),"")</f>
        <v>0</v>
      </c>
    </row>
    <row r="56" spans="1:45" x14ac:dyDescent="0.25">
      <c r="B56" s="1" t="s">
        <v>182</v>
      </c>
      <c r="C56" s="628" t="str">
        <f ca="1">IF(C55&lt;D$8,C55/D$11,IF(C55&gt;SUM(D$8:$U$8),(C55-SUM(D$8:$U$8))/$U$11+4.3*COUNT(D$8:$U$8),IF(C55&gt;SUM(D$8:$T$8),(C55-SUM(D$8:$T$8))/$U$11+4.3*COUNT(D$8:$T$8),IF(C55&gt;SUM(D$8:$S$8),(C55-SUM(D$8:$S$8))/$T$11+4.3*COUNT(D$8:$S$8),IF(C55&gt;SUM(D$8:$Q$8),(C55-SUM(D$8:$Q$8))/$S$11+4.3*COUNT(D$8:$Q$8),IF(C55&gt;SUM(D$8:$P$8),(C55-SUM(D$8:$P$8))/$Q$11+4.3*COUNT(D$8:$P$8),IF(C55&gt;SUM(D$8:$O$8),(C55-SUM(D$8:$O$8))/$P$11+4.3*COUNT(D$8:$O$8),IF(C55&gt;SUM(D$8:$M$8),(C55-SUM(D$8:$M$8))/$O$11+4.3*COUNT(D$8:$M$8),IF(C55&gt;SUM(D$8:$L$8),(C55-SUM(D$8:$L$8))/$M$11+4.3*COUNT(D$8:$L$8),IF(C55&gt;SUM(D$8:$K$8),(C55-SUM(D$8:$K$8))/$L$11+4.3*COUNT(D$8:$K$8),IF(C55&gt;SUM(D$8:$I$8),(C55-SUM(D$8:$I$8))/$K$11+4.3*COUNT(D$8:$I$8),IF(C55&gt;SUM(D$8:$H$8),(C55-SUM(D$8:$H$8))/$I$11+4.3*COUNT(D$8:$H$8),IF(C55&gt;SUM(D$8:$G$8),(C55-SUM(D$8:$G$8))/$H$11+4.3*COUNT(D$8:$G$8),IF(C55&gt;SUM(D$8:$E$8),(C55-SUM(D$8:$E$8))/$G$11+4.3*COUNT(D$8:$E$8),IF(C55&gt;SUM(D$8:D$8),(C55-SUM(D$8:D$8))/$E$11+4.3*COUNT(D$8:D$8),"")))))))))))))))</f>
        <v/>
      </c>
      <c r="D56" s="628" t="str">
        <f ca="1">IF(D55&lt;E$8,D55/E$11,IF(D55&gt;SUM(E$8:$U$8),(D55-SUM(E$8:$U$8))/$U$11+4.3*COUNT(E$8:$U$8),IF(D55&gt;SUM(E$8:$T$8),(D55-SUM(E$8:$T$8))/$U$11+4.3*COUNT(E$8:$T$8),IF(D55&gt;SUM(E$8:$S$8),(D55-SUM(E$8:$S$8))/$T$11+4.3*COUNT(E$8:$S$8),IF(D55&gt;SUM(E$8:$Q$8),(D55-SUM(E$8:$Q$8))/$S$11+4.3*COUNT(E$8:$Q$8),IF(D55&gt;SUM(E$8:$P$8),(D55-SUM(E$8:$P$8))/$Q$11+4.3*COUNT(E$8:$P$8),IF(D55&gt;SUM(E$8:$O$8),(D55-SUM(E$8:$O$8))/$P$11+4.3*COUNT(E$8:$O$8),IF(D55&gt;SUM(E$8:$M$8),(D55-SUM(E$8:$M$8))/$O$11+4.3*COUNT(E$8:$M$8),IF(D55&gt;SUM(E$8:$L$8),(D55-SUM(E$8:$L$8))/$M$11+4.3*COUNT(E$8:$L$8),IF(D55&gt;SUM(E$8:$K$8),(D55-SUM(E$8:$K$8))/$L$11+4.3*COUNT(E$8:$K$8),IF(D55&gt;SUM(E$8:$I$8),(D55-SUM(E$8:$I$8))/$K$11+4.3*COUNT(E$8:$I$8),IF(D55&gt;SUM(E$8:$H$8),(D55-SUM(E$8:$H$8))/$I$11+4.3*COUNT(E$8:$H$8),IF(D55&gt;SUM(E$8:$G$8),(D55-SUM(E$8:$G$8))/$H$11+4.3*COUNT(E$8:$G$8),IF(D55&gt;SUM(E$8:$E$8),(D55-SUM(E$8:$E$8))/$G$11+4.3*COUNT(E$8:$E$8),IF(D55&gt;SUM(E$8:E$8),(D55-SUM(E$8:E$8))/$E$11+4.3*COUNT(E$8:E$8),"")))))))))))))))</f>
        <v/>
      </c>
      <c r="E56" s="628" t="e">
        <f ca="1">IF(E55&lt;G$8,E55/G$11,IF(E55&gt;SUM(F$8:$U$8),(E55-SUM(F$8:$U$8))/$U$11+4.3*COUNT(F$8:$U$8),IF(E55&gt;SUM(F$8:$T$8),(E55-SUM(F$8:$T$8))/$U$11+4.3*COUNT(F$8:$T$8),IF(E55&gt;SUM(F$8:$S$8),(E55-SUM(F$8:$S$8))/$T$11+4.3*COUNT(F$8:$S$8),IF(E55&gt;SUM(F$8:$Q$8),(E55-SUM(F$8:$Q$8))/$S$11+4.3*COUNT(F$8:$Q$8),IF(E55&gt;SUM(F$8:$P$8),(E55-SUM(F$8:$P$8))/$Q$11+4.3*COUNT(F$8:$P$8),IF(E55&gt;SUM(F$8:$O$8),(E55-SUM(F$8:$O$8))/$P$11+4.3*COUNT(F$8:$O$8),IF(E55&gt;SUM(F$8:$M$8),(E55-SUM(F$8:$M$8))/$O$11+4.3*COUNT(F$8:$M$8),IF(E55&gt;SUM(F$8:$L$8),(E55-SUM(F$8:$L$8))/$M$11+4.3*COUNT(F$8:$L$8),IF(E55&gt;SUM(F$8:$K$8),(E55-SUM(F$8:$K$8))/$L$11+4.3*COUNT(F$8:$K$8),IF(E55&gt;SUM(F$8:$I$8),(E55-SUM(F$8:$I$8))/$K$11+4.3*COUNT(F$8:$I$8),IF(E55&gt;SUM(F$8:$H$8),(E55-SUM(F$8:$H$8))/$I$11+4.3*COUNT(F$8:$H$8),IF(E55&gt;SUM(F$8:$G$8),(E55-SUM(F$8:$G$8))/$H$11+4.3*COUNT(F$8:$G$8),IF(E55&gt;SUM($E$8:F$8),(E55-SUM($E$8:F$8))/$G$11+4.3*COUNT($E$8:F$8),IF(E55&gt;SUM(F$8:F$8),(E55-SUM(F$8:F$8))/$E$11+4.3*COUNT(F$8:F$8),"")))))))))))))))</f>
        <v>#DIV/0!</v>
      </c>
      <c r="F56" s="627" t="str">
        <f ca="1">IF(F55&gt;SUM(G5:$U$8),(F55-SUM(G5:$U$8))/$U$11+4.3*COUNT(G5:$U$8),IF(F55&gt;SUM(G5:$T$8),(F55-SUM(G5:$T$8))/$U$11+4.3*COUNT(G5:$T$8),IF(F55&gt;SUM(G5:$S$8),(F55-SUM(G5:$S$8))/$T$11+4.3*COUNT(G5:$S$8),IF(F55&gt;SUM(G5:$Q$8),(F55-SUM(G5:$Q$8))/$S$11+4.3*COUNT(G5:$Q$8),IF(F55&gt;SUM(G5:$P$8),(F55-SUM(G5:$P$8))/$Q$11+4.3*COUNT(G5:$P$8),IF(F55&gt;SUM(G5:$O$8),(F55-SUM(G5:$O$8))/$P$11+4.3*COUNT(G5:$O$8),IF(F55&gt;SUM(G5:$M$8),(F55-SUM(G5:$M$8))/$O$11+4.3*COUNT(G5:$M$8),IF(F55&gt;SUM(G5:$L$8),(F55-SUM(G5:$L$8))/$M$11+4.3*COUNT(G5:$L$8),IF(F55&gt;SUM(G5:$K$8),(F55-SUM(G5:$K$8))/$L$11+4.3*COUNT(G5:$K$8),IF(F55&gt;SUM(G5:$I$8),(F55-SUM(G5:$I$8))/$K$11+4.3*COUNT(G5:$I$8),IF(F55&gt;SUM(G5:$H$8),(F55-SUM(G5:$H$8))/$I$11+4.3*COUNT(G5:$H$8),IF(F55&gt;SUM(G5:$G$8),(F55-SUM(G5:$G$8))/$H$11+4.3*COUNT(G5:$G$8),IF(F55&gt;SUM($E5:G$8),(F55-SUM($E5:G$8))/$G$11+4.3*COUNT($E5:G$8),IF(F55&gt;SUM($D5:G$8),(F55-SUM($D5:G$8))/$E$11+4.3*COUNT($D5:G$8),IF(F55&gt;SUM($C5:G$8),(F55-SUM($C5:G$8))/$D$11+4.3*COUNT($C5:G$8),"")))))))))))))))</f>
        <v/>
      </c>
      <c r="G56" s="628" t="e">
        <f ca="1">IF(G55&lt;H$8,G55/H$11,IF(G55&gt;SUM(H$8:$U$8),(G55-SUM(H$8:$U$8))/$U$11+4.3*COUNT(H$8:$U$8),IF(G55&gt;SUM(H$8:$T$8),(G55-SUM(H$8:$T$8))/$U$11+4.3*COUNT(H$8:$T$8),IF(G55&gt;SUM(H$8:$S$8),(G55-SUM(H$8:$S$8))/$T$11+4.3*COUNT(H$8:$S$8),IF(G55&gt;SUM(H$8:$Q$8),(G55-SUM(H$8:$Q$8))/$S$11+4.3*COUNT(H$8:$Q$8),IF(G55&gt;SUM(H$8:$P$8),(G55-SUM(H$8:$P$8))/$Q$11+4.3*COUNT(H$8:$P$8),IF(G55&gt;SUM(H$8:$O$8),(G55-SUM(H$8:$O$8))/$P$11+4.3*COUNT(H$8:$O$8),IF(G55&gt;SUM(H$8:$M$8),(G55-SUM(H$8:$M$8))/$O$11+4.3*COUNT(H$8:$M$8),IF(G55&gt;SUM(H$8:$L$8),(G55-SUM(H$8:$L$8))/$M$11+4.3*COUNT(H$8:$L$8),IF(G55&gt;SUM(H$8:$K$8),(G55-SUM(H$8:$K$8))/$L$11+4.3*COUNT(H$8:$K$8),IF(G55&gt;SUM(H$8:$I$8),(G55-SUM(H$8:$I$8))/$K$11+4.3*COUNT(H$8:$I$8),IF(G55&gt;SUM(H$8:$H$8),(G55-SUM(H$8:$H$8))/$I$11+4.3*COUNT(H$8:$H$8),IF(G55&gt;SUM($G$8:H$8),(G55-SUM($G$8:H$8))/$H$11+4.3*COUNT($G$8:H$8),IF(G55&gt;SUM($E$8:H$8),(G55-SUM($E$8:H$8))/$G$11+4.3*COUNT($E$8:H$8),IF(G55&gt;SUM(H$8:H$8),(G55-SUM(H$8:H$8))/$E$11+4.3*COUNT(H$8:H$8),"")))))))))))))))</f>
        <v>#DIV/0!</v>
      </c>
      <c r="H56" s="628" t="e">
        <f ca="1">IF(H55&lt;I$8,H55/I$11,IF(H55&gt;SUM(I$8:$U$8),(H55-SUM(I$8:$U$8))/$U$11+4.3*COUNT(I$8:$U$8),IF(H55&gt;SUM(I$8:$T$8),(H55-SUM(I$8:$T$8))/$U$11+4.3*COUNT(I$8:$T$8),IF(H55&gt;SUM(I$8:$S$8),(H55-SUM(I$8:$S$8))/$T$11+4.3*COUNT(I$8:$S$8),IF(H55&gt;SUM(I$8:$Q$8),(H55-SUM(I$8:$Q$8))/$S$11+4.3*COUNT(I$8:$Q$8),IF(H55&gt;SUM(I$8:$P$8),(H55-SUM(I$8:$P$8))/$Q$11+4.3*COUNT(I$8:$P$8),IF(H55&gt;SUM(I$8:$O$8),(H55-SUM(I$8:$O$8))/$P$11+4.3*COUNT(I$8:$O$8),IF(H55&gt;SUM(I$8:$M$8),(H55-SUM(I$8:$M$8))/$O$11+4.3*COUNT(I$8:$M$8),IF(H55&gt;SUM(I$8:$L$8),(H55-SUM(I$8:$L$8))/$M$11+4.3*COUNT(I$8:$L$8),IF(H55&gt;SUM(I$8:$K$8),(H55-SUM(I$8:$K$8))/$L$11+4.3*COUNT(I$8:$K$8),IF(H55&gt;SUM(I$8:$I$8),(H55-SUM(I$8:$I$8))/$K$11+4.3*COUNT(I$8:$I$8),IF(H55&gt;SUM($H$8:I$8),(H55-SUM($H$8:I$8))/$I$11+4.3*COUNT($H$8:I$8),IF(H55&gt;SUM($G$8:I$8),(H55-SUM($G$8:I$8))/$H$11+4.3*COUNT($G$8:I$8),IF(H55&gt;SUM($E$8:I$8),(H55-SUM($E$8:I$8))/$G$11+4.3*COUNT($E$8:I$8),IF(H55&gt;SUM(I$8:I$8),(H55-SUM(I$8:I$8))/$E$11+4.3*COUNT(I$8:I$8),"")))))))))))))))</f>
        <v>#DIV/0!</v>
      </c>
      <c r="I56" s="628" t="e">
        <f ca="1">IF(I55&lt;K$8,I55/K$11,IF(I55&gt;SUM(J$8:$U$8),(I55-SUM(J$8:$U$8))/$U$11+4.3*COUNT(J$8:$U$8),IF(I55&gt;SUM(J$8:$T$8),(I55-SUM(J$8:$T$8))/$U$11+4.3*COUNT(J$8:$T$8),IF(I55&gt;SUM(J$8:$S$8),(I55-SUM(J$8:$S$8))/$T$11+4.3*COUNT(J$8:$S$8),IF(I55&gt;SUM(J$8:$Q$8),(I55-SUM(J$8:$Q$8))/$S$11+4.3*COUNT(J$8:$Q$8),IF(I55&gt;SUM(J$8:$P$8),(I55-SUM(J$8:$P$8))/$Q$11+4.3*COUNT(J$8:$P$8),IF(I55&gt;SUM(J$8:$O$8),(I55-SUM(J$8:$O$8))/$P$11+4.3*COUNT(J$8:$O$8),IF(I55&gt;SUM(J$8:$M$8),(I55-SUM(J$8:$M$8))/$O$11+4.3*COUNT(J$8:$M$8),IF(I55&gt;SUM(J$8:$L$8),(I55-SUM(J$8:$L$8))/$M$11+4.3*COUNT(J$8:$L$8),IF(I55&gt;SUM(J$8:$K$8),(I55-SUM(J$8:$K$8))/$L$11+4.3*COUNT(J$8:$K$8),IF(I55&gt;SUM($I$8:J$8),(I55-SUM($I$8:J$8))/$K$11+4.3*COUNT($I$8:J$8),IF(I55&gt;SUM($H$8:J$8),(I55-SUM($H$8:J$8))/$I$11+4.3*COUNT($H$8:J$8),IF(I55&gt;SUM($G$8:J$8),(I55-SUM($G$8:J$8))/$H$11+4.3*COUNT($G$8:J$8),IF(I55&gt;SUM($E$8:J$8),(I55-SUM($E$8:J$8))/$G$11+4.3*COUNT($E$8:J$8),IF(I55&gt;SUM(J$8:J$8),(I55-SUM(J$8:J$8))/$E$11+4.3*COUNT(J$8:J$8),"")))))))))))))))</f>
        <v>#DIV/0!</v>
      </c>
      <c r="J56" s="627" t="str">
        <f ca="1">IF(J55&gt;SUM(K5:$U$8),(J55-SUM(K5:$U$8))/$U$11+4.3*COUNT(K5:$U$8),IF(J55&gt;SUM(K5:$T$8),(J55-SUM(K5:$T$8))/$U$11+4.3*COUNT(K5:$T$8),IF(J55&gt;SUM(K5:$S$8),(J55-SUM(K5:$S$8))/$T$11+4.3*COUNT(K5:$S$8),IF(J55&gt;SUM(K5:$Q$8),(J55-SUM(K5:$Q$8))/$S$11+4.3*COUNT(K5:$Q$8),IF(J55&gt;SUM(K5:$P$8),(J55-SUM(K5:$P$8))/$Q$11+4.3*COUNT(K5:$P$8),IF(J55&gt;SUM(K5:$O$8),(J55-SUM(K5:$O$8))/$P$11+4.3*COUNT(K5:$O$8),IF(J55&gt;SUM(K5:$M$8),(J55-SUM(K5:$M$8))/$O$11+4.3*COUNT(K5:$M$8),IF(J55&gt;SUM(K5:$L$8),(J55-SUM(K5:$L$8))/$M$11+4.3*COUNT(K5:$L$8),IF(J55&gt;SUM(K5:$K$8),(J55-SUM(K5:$K$8))/$L$11+4.3*COUNT(K5:$K$8),IF(J55&gt;SUM($I5:K$8),(J55-SUM($I5:K$8))/$K$11+4.3*COUNT($I5:K$8),IF(J55&gt;SUM($H5:K$8),(J55-SUM($H5:K$8))/$I$11+4.3*COUNT($H5:K$8),IF(J55&gt;SUM($G5:K$8),(J55-SUM($G5:K$8))/$H$11+4.3*COUNT($G5:K$8),IF(J55&gt;SUM($E5:K$8),(J55-SUM($E5:K$8))/$G$11+4.3*COUNT($E5:K$8),IF(J55&gt;SUM($D5:K$8),(J55-SUM($D5:K$8))/$E$11+4.3*COUNT($D5:K$8),IF(J55&gt;SUM($C5:K$8),(J55-SUM($C5:K$8))/$D$11+4.3*COUNT($C5:K$8),"")))))))))))))))</f>
        <v/>
      </c>
      <c r="K56" s="628" t="e">
        <f ca="1">IF(K55&lt;L$8,K55/L$11,IF(K55&gt;SUM(L$8:$U$8),(K55-SUM(L$8:$U$8))/$U$11+4.3*COUNT(L$8:$U$8),IF(K55&gt;SUM(L$8:$T$8),(K55-SUM(L$8:$T$8))/$U$11+4.3*COUNT(L$8:$T$8),IF(K55&gt;SUM(L$8:$S$8),(K55-SUM(L$8:$S$8))/$T$11+4.3*COUNT(L$8:$S$8),IF(K55&gt;SUM(L$8:$Q$8),(K55-SUM(L$8:$Q$8))/$S$11+4.3*COUNT(L$8:$Q$8),IF(K55&gt;SUM(L$8:$P$8),(K55-SUM(L$8:$P$8))/$Q$11+4.3*COUNT(L$8:$P$8),IF(K55&gt;SUM(L$8:$O$8),(K55-SUM(L$8:$O$8))/$P$11+4.3*COUNT(L$8:$O$8),IF(K55&gt;SUM(L$8:$M$8),(K55-SUM(L$8:$M$8))/$O$11+4.3*COUNT(L$8:$M$8),IF(K55&gt;SUM(L$8:$L$8),(K55-SUM(L$8:$L$8))/$M$11+4.3*COUNT(L$8:$L$8),IF(K55&gt;SUM($K$8:L$8),(K55-SUM($K$8:L$8))/$L$11+4.3*COUNT($K$8:L$8),IF(K55&gt;SUM($I$8:L$8),(K55-SUM($I$8:L$8))/$K$11+4.3*COUNT($I$8:L$8),IF(K55&gt;SUM($H$8:L$8),(K55-SUM($H$8:L$8))/$I$11+4.3*COUNT($H$8:L$8),IF(K55&gt;SUM($G$8:L$8),(K55-SUM($G$8:L$8))/$H$11+4.3*COUNT($G$8:L$8),IF(K55&gt;SUM($E$8:L$8),(K55-SUM($E$8:L$8))/$G$11+4.3*COUNT($E$8:L$8),IF(K55&gt;SUM(L$8:L$8),(K55-SUM(L$8:L$8))/$E$11+4.3*COUNT(L$8:L$8),"")))))))))))))))</f>
        <v>#DIV/0!</v>
      </c>
      <c r="L56" s="628" t="e">
        <f ca="1">IF(L55&lt;M$8,L55/M$11,IF(L55&gt;SUM(M$8:$U$8),(L55-SUM(M$8:$U$8))/$U$11+4.3*COUNT(M$8:$U$8),IF(L55&gt;SUM(M$8:$T$8),(L55-SUM(M$8:$T$8))/$U$11+4.3*COUNT(M$8:$T$8),IF(L55&gt;SUM(M$8:$S$8),(L55-SUM(M$8:$S$8))/$T$11+4.3*COUNT(M$8:$S$8),IF(L55&gt;SUM(M$8:$Q$8),(L55-SUM(M$8:$Q$8))/$S$11+4.3*COUNT(M$8:$Q$8),IF(L55&gt;SUM(M$8:$P$8),(L55-SUM(M$8:$P$8))/$Q$11+4.3*COUNT(M$8:$P$8),IF(L55&gt;SUM(M$8:$O$8),(L55-SUM(M$8:$O$8))/$P$11+4.3*COUNT(M$8:$O$8),IF(L55&gt;SUM(M$8:$M$8),(L55-SUM(M$8:$M$8))/$O$11+4.3*COUNT(M$8:$M$8),IF(L55&gt;SUM($L$8:M$8),(L55-SUM($L$8:M$8))/$M$11+4.3*COUNT($L$8:M$8),IF(L55&gt;SUM($K$8:M$8),(L55-SUM($K$8:M$8))/$L$11+4.3*COUNT($K$8:M$8),IF(L55&gt;SUM($I$8:M$8),(L55-SUM($I$8:M$8))/$K$11+4.3*COUNT($I$8:M$8),IF(L55&gt;SUM($H$8:M$8),(L55-SUM($H$8:M$8))/$I$11+4.3*COUNT($H$8:M$8),IF(L55&gt;SUM($G$8:M$8),(L55-SUM($G$8:M$8))/$H$11+4.3*COUNT($G$8:M$8),IF(L55&gt;SUM($E$8:M$8),(L55-SUM($E$8:M$8))/$G$11+4.3*COUNT($E$8:M$8),IF(L55&gt;SUM(M$8:M$8),(L55-SUM(M$8:M$8))/$E$11+4.3*COUNT(M$8:M$8),"")))))))))))))))</f>
        <v>#DIV/0!</v>
      </c>
      <c r="M56" s="628" t="e">
        <f ca="1">IF(M55&lt;O$8,M55/O$11,IF(M55&gt;SUM(N$8:$U$8),(M55-SUM(N$8:$U$8))/$U$11+4.3*COUNT(N$8:$U$8),IF(M55&gt;SUM(N$8:$T$8),(M55-SUM(N$8:$T$8))/$U$11+4.3*COUNT(N$8:$T$8),IF(M55&gt;SUM(N$8:$S$8),(M55-SUM(N$8:$S$8))/$T$11+4.3*COUNT(N$8:$S$8),IF(M55&gt;SUM(N$8:$Q$8),(M55-SUM(N$8:$Q$8))/$S$11+4.3*COUNT(N$8:$Q$8),IF(M55&gt;SUM(N$8:$P$8),(M55-SUM(N$8:$P$8))/$Q$11+4.3*COUNT(N$8:$P$8),IF(M55&gt;SUM(N$8:$O$8),(M55-SUM(N$8:$O$8))/$P$11+4.3*COUNT(N$8:$O$8),IF(M55&gt;SUM($M$8:N$8),(M55-SUM($M$8:N$8))/$O$11+4.3*COUNT($M$8:N$8),IF(M55&gt;SUM($L$8:N$8),(M55-SUM($L$8:N$8))/$M$11+4.3*COUNT($L$8:N$8),IF(M55&gt;SUM($K$8:N$8),(M55-SUM($K$8:N$8))/$L$11+4.3*COUNT($K$8:N$8),IF(M55&gt;SUM($I$8:N$8),(M55-SUM($I$8:N$8))/$K$11+4.3*COUNT($I$8:N$8),IF(M55&gt;SUM($H$8:N$8),(M55-SUM($H$8:N$8))/$I$11+4.3*COUNT($H$8:N$8),IF(M55&gt;SUM($G$8:N$8),(M55-SUM($G$8:N$8))/$H$11+4.3*COUNT($G$8:N$8),IF(M55&gt;SUM($E$8:N$8),(M55-SUM($E$8:N$8))/$G$11+4.3*COUNT($E$8:N$8),IF(M55&gt;SUM(N$8:N$8),(M55-SUM(N$8:N$8))/$E$11+4.3*COUNT(N$8:N$8),"")))))))))))))))</f>
        <v>#DIV/0!</v>
      </c>
      <c r="N56" s="627" t="str">
        <f ca="1">IF(N55&gt;SUM(O5:$U$8),(N55-SUM(O5:$U$8))/$U$11+4.3*COUNT(O5:$U$8),IF(N55&gt;SUM(O5:$T$8),(N55-SUM(O5:$T$8))/$U$11+4.3*COUNT(O5:$T$8),IF(N55&gt;SUM(O5:$S$8),(N55-SUM(O5:$S$8))/$T$11+4.3*COUNT(O5:$S$8),IF(N55&gt;SUM(O5:$Q$8),(N55-SUM(O5:$Q$8))/$S$11+4.3*COUNT(O5:$Q$8),IF(N55&gt;SUM(O5:$P$8),(N55-SUM(O5:$P$8))/$Q$11+4.3*COUNT(O5:$P$8),IF(N55&gt;SUM(O5:$O$8),(N55-SUM(O5:$O$8))/$P$11+4.3*COUNT(O5:$O$8),IF(N55&gt;SUM($M5:O$8),(N55-SUM($M5:O$8))/$O$11+4.3*COUNT($M5:O$8),IF(N55&gt;SUM($L5:O$8),(N55-SUM($L5:O$8))/$M$11+4.3*COUNT($L5:O$8),IF(N55&gt;SUM($K5:O$8),(N55-SUM($K5:O$8))/$L$11+4.3*COUNT($K5:O$8),IF(N55&gt;SUM($I5:O$8),(N55-SUM($I5:O$8))/$K$11+4.3*COUNT($I5:O$8),IF(N55&gt;SUM($H5:O$8),(N55-SUM($H5:O$8))/$I$11+4.3*COUNT($H5:O$8),IF(N55&gt;SUM($G5:O$8),(N55-SUM($G5:O$8))/$H$11+4.3*COUNT($G5:O$8),IF(N55&gt;SUM($E5:O$8),(N55-SUM($E5:O$8))/$G$11+4.3*COUNT($E5:O$8),IF(N55&gt;SUM($D5:O$8),(N55-SUM($D5:O$8))/$E$11+4.3*COUNT($D5:O$8),IF(N55&gt;SUM($C5:O$8),(N55-SUM($C5:O$8))/$D$11+4.3*COUNT($C5:O$8),"")))))))))))))))</f>
        <v/>
      </c>
      <c r="O56" s="628" t="e">
        <f ca="1">IF(O55&lt;P$8,O55/P$11,IF(O55&gt;SUM(P$8:$U$8),(O55-SUM(P$8:$U$8))/$U$11+4.3*COUNT(P$8:$U$8),IF(O55&gt;SUM(P$8:$T$8),(O55-SUM(P$8:$T$8))/$U$11+4.3*COUNT(P$8:$T$8),IF(O55&gt;SUM(P$8:$S$8),(O55-SUM(P$8:$S$8))/$T$11+4.3*COUNT(P$8:$S$8),IF(O55&gt;SUM(P$8:$Q$8),(O55-SUM(P$8:$Q$8))/$S$11+4.3*COUNT(P$8:$Q$8),IF(O55&gt;SUM(P$8:$P$8),(O55-SUM(P$8:$P$8))/$Q$11+4.3*COUNT(P$8:$P$8),IF(O55&gt;SUM($O$8:P$8),(O55-SUM($O$8:P$8))/$P$11+4.3*COUNT($O$8:P$8),IF(O55&gt;SUM($M$8:P$8),(O55-SUM($M$8:P$8))/$O$11+4.3*COUNT($M$8:P$8),IF(O55&gt;SUM($L$8:P$8),(O55-SUM($L$8:P$8))/$M$11+4.3*COUNT($L$8:P$8),IF(O55&gt;SUM($K$8:P$8),(O55-SUM($K$8:P$8))/$L$11+4.3*COUNT($K$8:P$8),IF(O55&gt;SUM($I$8:P$8),(O55-SUM($I$8:P$8))/$K$11+4.3*COUNT($I$8:P$8),IF(O55&gt;SUM($H$8:P$8),(O55-SUM($H$8:P$8))/$I$11+4.3*COUNT($H$8:P$8),IF(O55&gt;SUM($G$8:P$8),(O55-SUM($G$8:P$8))/$H$11+4.3*COUNT($G$8:P$8),IF(O55&gt;SUM($E$8:P$8),(O55-SUM($E$8:P$8))/$G$11+4.3*COUNT($E$8:P$8),IF(O55&gt;SUM(P$8:P$8),(O55-SUM(P$8:P$8))/$E$11+4.3*COUNT(P$8:P$8),"")))))))))))))))</f>
        <v>#DIV/0!</v>
      </c>
      <c r="P56" s="628" t="e">
        <f ca="1">IF(P55&lt;Q$8,P55/Q$11,IF(P55&gt;SUM(Q$8:$U$8),(P55-SUM(Q$8:$U$8))/$U$11+4.3*COUNT(Q$8:$U$8),IF(P55&gt;SUM(Q$8:$T$8),(P55-SUM(Q$8:$T$8))/$U$11+4.3*COUNT(Q$8:$T$8),IF(P55&gt;SUM(Q$8:$S$8),(P55-SUM(Q$8:$S$8))/$T$11+4.3*COUNT(Q$8:$S$8),IF(P55&gt;SUM(Q$8:$Q$8),(P55-SUM(Q$8:$Q$8))/$S$11+4.3*COUNT(Q$8:$Q$8),IF(P55&gt;SUM($P$8:Q$8),(P55-SUM($P$8:Q$8))/$Q$11+4.3*COUNT($P$8:Q$8),IF(P55&gt;SUM($O$8:Q$8),(P55-SUM($O$8:Q$8))/$P$11+4.3*COUNT($O$8:Q$8),IF(P55&gt;SUM($M$8:Q$8),(P55-SUM($M$8:Q$8))/$O$11+4.3*COUNT($M$8:Q$8),IF(P55&gt;SUM($L$8:Q$8),(P55-SUM($L$8:Q$8))/$M$11+4.3*COUNT($L$8:Q$8),IF(P55&gt;SUM($K$8:Q$8),(P55-SUM($K$8:Q$8))/$L$11+4.3*COUNT($K$8:Q$8),IF(P55&gt;SUM($I$8:Q$8),(P55-SUM($I$8:Q$8))/$K$11+4.3*COUNT($I$8:Q$8),IF(P55&gt;SUM($H$8:Q$8),(P55-SUM($H$8:Q$8))/$I$11+4.3*COUNT($H$8:Q$8),IF(P55&gt;SUM($G$8:Q$8),(P55-SUM($G$8:Q$8))/$H$11+4.3*COUNT($G$8:Q$8),IF(P55&gt;SUM($E$8:Q$8),(P55-SUM($E$8:Q$8))/$G$11+4.3*COUNT($E$8:Q$8),IF(P55&gt;SUM(Q$8:Q$8),(P55-SUM(Q$8:Q$8))/$E$11+4.3*COUNT(Q$8:Q$8),"")))))))))))))))</f>
        <v>#DIV/0!</v>
      </c>
      <c r="Q56" s="628" t="str">
        <f ca="1">IFERROR(IF(Q55&lt;S$8,Q55/S$11,IF(Q55&gt;SUM(R$8:$U$8),(Q55-SUM(R$8:$U$8))/$U$11+4.3*COUNT(R$8:$U$8),IF(Q55&gt;SUM(R$8:$T$8),(Q55-SUM(R$8:$T$8))/$U$11+4.3*COUNT(R$8:$T$8),IF(Q55&gt;SUM(R$8:$S$8),(Q55-SUM(R$8:$S$8))/$T$11+4.3*COUNT(R$8:$S$8),IF(Q55&gt;SUM($Q$8:R$8),(Q55-SUM($Q$8:R$8))/$S$11+4.3*COUNT($Q$8:R$8),IF(Q55&gt;SUM($P$8:R$8),(Q55-SUM($P$8:R$8))/$Q$11+4.3*COUNT($P$8:R$8),IF(Q55&gt;SUM($O$8:R$8),(Q55-SUM($O$8:R$8))/$P$11+4.3*COUNT($O$8:R$8),IF(Q55&gt;SUM($M$8:R$8),(Q55-SUM($M$8:R$8))/$O$11+4.3*COUNT($M$8:R$8),IF(Q55&gt;SUM($L$8:R$8),(Q55-SUM($L$8:R$8))/$M$11+4.3*COUNT($L$8:R$8),IF(Q55&gt;SUM($K$8:R$8),(Q55-SUM($K$8:R$8))/$L$11+4.3*COUNT($K$8:R$8),IF(Q55&gt;SUM($I$8:R$8),(Q55-SUM($I$8:R$8))/$K$11+4.3*COUNT($I$8:R$8),IF(Q55&gt;SUM($H$8:R$8),(Q55-SUM($H$8:R$8))/$I$11+4.3*COUNT($H$8:R$8),IF(Q55&gt;SUM($G$8:R$8),(Q55-SUM($G$8:R$8))/$H$11+4.3*COUNT($G$8:R$8),IF(Q55&gt;SUM($E$8:R$8),(Q55-SUM($E$8:R$8))/$G$11+4.3*COUNT($E$8:R$8),IF(Q55&gt;SUM(R$8:R$8),(Q55-SUM(R$8:R$8))/$E$11+4.3*COUNT(R$8:R$8),""))))))))))))))),"")</f>
        <v/>
      </c>
      <c r="R56" s="627"/>
      <c r="S56" s="702"/>
      <c r="T56" s="702"/>
      <c r="U56" s="702"/>
      <c r="V56" s="702"/>
      <c r="X56" s="200" t="str">
        <f>NWC_FC_NOOS!$B$1</f>
        <v>VM</v>
      </c>
      <c r="Y56" s="25" t="str">
        <f>NWC_FC_NOOS!$B$57</f>
        <v>KNIT</v>
      </c>
      <c r="Z56" s="25" t="str">
        <f t="shared" ca="1" si="0"/>
        <v>VMKNIT19/20Sep</v>
      </c>
      <c r="AA56" s="25" t="str">
        <f>NWC_FC_NOOS!$I$1</f>
        <v>NOOS</v>
      </c>
      <c r="AB56" s="25" t="str">
        <f ca="1">NWC_FC_NOOS!$K$73</f>
        <v>19/20</v>
      </c>
      <c r="AC56" s="25" t="str">
        <f ca="1">NWC_FC_NOOS!$K$74</f>
        <v>Q1</v>
      </c>
      <c r="AD56" s="25" t="str">
        <f ca="1">NWC_FC_NOOS!$L$75</f>
        <v>Sep</v>
      </c>
      <c r="AE56" s="649">
        <f ca="1">IFERROR(HLOOKUP($AB56&amp;$AD56,NWC_FC_NOOS!$B$4:$Q$24,MATCH($Y56,NWC_FC_NOOS!$B$4:$B$24,0),FALSE),"")</f>
        <v>0</v>
      </c>
      <c r="AF56" s="650">
        <f ca="1">IFERROR(HLOOKUP($AB56&amp;$AD56,NWC_FC_NOOS!$S$4:$AH$24,MATCH($Y56,NWC_FC_NOOS!$S$4:$S$24,0),FALSE),"")</f>
        <v>0</v>
      </c>
      <c r="AG56" s="650">
        <f ca="1">IFERROR(HLOOKUP($AB56&amp;$AD56,NWC_FC_NOOS!$C$50:$U$70,MATCH($Y56,NWC_FC_NOOS!$B$50:$B$70,0),FALSE),"")</f>
        <v>0</v>
      </c>
      <c r="AH56" s="650">
        <f ca="1">IFERROR(IF($AA56="NOOS",HLOOKUP(STOCK_OVERVIEW!$AB56&amp;STOCK_OVERVIEW!$AD56,PLANNING_FC!$BB$27:$BP$46,MATCH(STOCK_OVERVIEW!$Y56,PLANNING_FC!$BA$27:$BA$46,0),FALSE),HLOOKUP($AB56&amp;$AD56,PLANNING_FC!$BB$4:$BP$23,MATCH(STOCK_OVERVIEW!$Y56,PLANNING_FC!$BA$4:$BA$23,0),FALSE)),"")</f>
        <v>0</v>
      </c>
      <c r="AI56" s="650">
        <f ca="1">IFERROR(IF($AA56="NOOS",HLOOKUP(STOCK_OVERVIEW!$AB56&amp;STOCK_OVERVIEW!$AD56,PLANNING_FC!$T$27:$AH$46,MATCH(STOCK_OVERVIEW!$Y56,PLANNING_FC!$B$27:$B$46,0),FALSE),HLOOKUP($AB56&amp;$AD56,PLANNING_FC!$T$4:$AH$23,MATCH(STOCK_OVERVIEW!$Y56,PLANNING_FC!$B$4:$B$23,0),FALSE)),"")</f>
        <v>0</v>
      </c>
      <c r="AJ56" s="650">
        <f ca="1">IFERROR(IF($AA56="NOOS",HLOOKUP(STOCK_OVERVIEW!$AB56&amp;STOCK_OVERVIEW!$AD56,PLANNING_FC!$DA$27:$DO$46,MATCH(STOCK_OVERVIEW!$Y56,PLANNING_FC!$CZ$27:$CZ$46,0),FALSE),HLOOKUP($AB56&amp;$AD56,PLANNING_FC!$DA$4:$DO$23,MATCH(STOCK_OVERVIEW!$Y56,PLANNING_FC!$CZ$4:$CZ$23,0),FALSE)),"")</f>
        <v>38717</v>
      </c>
      <c r="AK56" s="651">
        <f ca="1">IFERROR(IF(AA56="NOOS",HLOOKUP(AB56&amp;AD56,PLANNING_FC!$AJ$27:$AY$47,MATCH(STOCK_OVERVIEW!Y56,PLANNING_FC!$AJ$27:$AJ$47,0),FALSE)*1000,HLOOKUP(AB56&amp;AD56,PLANNING_FC!$AJ$4:$AY$24,MATCH(STOCK_OVERVIEW!Y56,PLANNING_FC!$AJ$4:$AJ$24,0),FALSE)*1000),"")</f>
        <v>0</v>
      </c>
    </row>
    <row r="57" spans="1:45" x14ac:dyDescent="0.25">
      <c r="B57" s="1"/>
      <c r="C57" s="603"/>
      <c r="D57" s="603"/>
      <c r="E57" s="603"/>
      <c r="F57" s="604"/>
      <c r="G57" s="603"/>
      <c r="H57" s="603"/>
      <c r="I57" s="603"/>
      <c r="J57" s="604"/>
      <c r="K57" s="603"/>
      <c r="L57" s="603"/>
      <c r="M57" s="603"/>
      <c r="N57" s="604"/>
      <c r="O57" s="603"/>
      <c r="P57" s="603"/>
      <c r="Q57" s="603"/>
      <c r="X57" s="200" t="str">
        <f>NWC_FC_NOOS!$B$1</f>
        <v>VM</v>
      </c>
      <c r="Y57" s="25" t="str">
        <f>NWC_FC_NOOS!$B$57</f>
        <v>KNIT</v>
      </c>
      <c r="Z57" s="25" t="str">
        <f t="shared" ca="1" si="0"/>
        <v>VMKNIT19/20Oct</v>
      </c>
      <c r="AA57" s="25" t="str">
        <f>NWC_FC_NOOS!$I$1</f>
        <v>NOOS</v>
      </c>
      <c r="AB57" s="25" t="str">
        <f ca="1">NWC_FC_NOOS!$K$73</f>
        <v>19/20</v>
      </c>
      <c r="AC57" s="25" t="str">
        <f ca="1">NWC_FC_NOOS!$K$74</f>
        <v>Q1</v>
      </c>
      <c r="AD57" s="25" t="str">
        <f ca="1">NWC_FC_NOOS!$M$75</f>
        <v>Oct</v>
      </c>
      <c r="AE57" s="649">
        <f ca="1">IFERROR(HLOOKUP($AB57&amp;$AD57,NWC_FC_NOOS!$B$4:$Q$24,MATCH($Y57,NWC_FC_NOOS!$B$4:$B$24,0),FALSE),"")</f>
        <v>0</v>
      </c>
      <c r="AF57" s="650">
        <f ca="1">IFERROR(HLOOKUP($AB57&amp;$AD57,NWC_FC_NOOS!$S$4:$AH$24,MATCH($Y57,NWC_FC_NOOS!$S$4:$S$24,0),FALSE),"")</f>
        <v>0</v>
      </c>
      <c r="AG57" s="650">
        <f ca="1">IFERROR(HLOOKUP($AB57&amp;$AD57,NWC_FC_NOOS!$C$50:$U$70,MATCH($Y57,NWC_FC_NOOS!$B$50:$B$70,0),FALSE),"")</f>
        <v>0</v>
      </c>
      <c r="AH57" s="650">
        <f ca="1">IFERROR(IF($AA57="NOOS",HLOOKUP(STOCK_OVERVIEW!$AB57&amp;STOCK_OVERVIEW!$AD57,PLANNING_FC!$BB$27:$BP$46,MATCH(STOCK_OVERVIEW!$Y57,PLANNING_FC!$BA$27:$BA$46,0),FALSE),HLOOKUP($AB57&amp;$AD57,PLANNING_FC!$BB$4:$BP$23,MATCH(STOCK_OVERVIEW!$Y57,PLANNING_FC!$BA$4:$BA$23,0),FALSE)),"")</f>
        <v>0</v>
      </c>
      <c r="AI57" s="650">
        <f ca="1">IFERROR(IF($AA57="NOOS",HLOOKUP(STOCK_OVERVIEW!$AB57&amp;STOCK_OVERVIEW!$AD57,PLANNING_FC!$T$27:$AH$46,MATCH(STOCK_OVERVIEW!$Y57,PLANNING_FC!$B$27:$B$46,0),FALSE),HLOOKUP($AB57&amp;$AD57,PLANNING_FC!$T$4:$AH$23,MATCH(STOCK_OVERVIEW!$Y57,PLANNING_FC!$B$4:$B$23,0),FALSE)),"")</f>
        <v>0</v>
      </c>
      <c r="AJ57" s="650">
        <f ca="1">IFERROR(IF($AA57="NOOS",HLOOKUP(STOCK_OVERVIEW!$AB57&amp;STOCK_OVERVIEW!$AD57,PLANNING_FC!$DA$27:$DO$46,MATCH(STOCK_OVERVIEW!$Y57,PLANNING_FC!$CZ$27:$CZ$46,0),FALSE),HLOOKUP($AB57&amp;$AD57,PLANNING_FC!$DA$4:$DO$23,MATCH(STOCK_OVERVIEW!$Y57,PLANNING_FC!$CZ$4:$CZ$23,0),FALSE)),"")</f>
        <v>38717</v>
      </c>
      <c r="AK57" s="651">
        <f ca="1">IFERROR(IF(AA57="NOOS",HLOOKUP(AB57&amp;AD57,PLANNING_FC!$AJ$27:$AY$47,MATCH(STOCK_OVERVIEW!Y57,PLANNING_FC!$AJ$27:$AJ$47,0),FALSE)*1000,HLOOKUP(AB57&amp;AD57,PLANNING_FC!$AJ$4:$AY$24,MATCH(STOCK_OVERVIEW!Y57,PLANNING_FC!$AJ$4:$AJ$24,0),FALSE)*1000),"")</f>
        <v>0</v>
      </c>
      <c r="AR57" s="643"/>
    </row>
    <row r="58" spans="1:45" x14ac:dyDescent="0.25">
      <c r="A58" s="830">
        <f ca="1">IF(C40="Aug",SUMIFS(HIS_STOCK!$F:$F,HIS_STOCK!$A:$A,$M$4,HIS_STOCK!$B:$B,$B$1,HIS_STOCK!$C:$C,$O$4,HIS_STOCK!$D:$D,$A$38,HIS_STOCK!$E:$E,$A$40),SUMIFS(HIS_STOCK[month],HIS_STOCK[noos],,HIS_STOCK[product_category],$O$4,HIS_STOCK[fy],$C$38,HIS_STOCK[month],$A$40))</f>
        <v>0</v>
      </c>
      <c r="B58" s="1" t="s">
        <v>239</v>
      </c>
      <c r="C58" s="682">
        <f ca="1">SUMIFS($AF$4:$AF$483,$AD$4:$AD$483,C$40,$AB$4:$AB$483,$C$38,$AA$4:$AA$483,$M$4,$Y$4:$Y$483,$O$4)</f>
        <v>0</v>
      </c>
      <c r="D58" s="682">
        <f ca="1">SUMIFS($AF$4:$AF$483,$AD$4:$AD$483,D$40,$AB$4:$AB$483,$C$38,$AA$4:$AA$483,$M$4,$Y$4:$Y$483,$O$4)</f>
        <v>0</v>
      </c>
      <c r="E58" s="682">
        <f ca="1">SUMIFS($AF$4:$AF$483,$AD$4:$AD$483,E$40,$AB$4:$AB$483,$C$38,$AA$4:$AA$483,$M$4,$Y$4:$Y$483,$O$4)</f>
        <v>0</v>
      </c>
      <c r="F58" s="683"/>
      <c r="G58" s="682">
        <f ca="1">SUMIFS($AF$4:$AF$483,$AD$4:$AD$483,G$40,$AB$4:$AB$483,$G$38,$AA$4:$AA$483,$M$4,$Y$4:$Y$483,$O$4)</f>
        <v>0</v>
      </c>
      <c r="H58" s="682">
        <f ca="1">SUMIFS($AF$4:$AF$483,$AD$4:$AD$483,H$40,$AB$4:$AB$483,$G$38,$AA$4:$AA$483,$M$4,$Y$4:$Y$483,$O$4)</f>
        <v>0</v>
      </c>
      <c r="I58" s="682">
        <f ca="1">SUMIFS($AF$4:$AF$483,$AD$4:$AD$483,I$40,$AB$4:$AB$483,$G$38,$AA$4:$AA$483,$M$4,$Y$4:$Y$483,$O$4)</f>
        <v>0</v>
      </c>
      <c r="J58" s="683"/>
      <c r="K58" s="682">
        <f ca="1">SUMIFS($AF$4:$AF$483,$AD$4:$AD$483,K$40,$AB$4:$AB$483,$K$38,$AA$4:$AA$483,$M$4,$Y$4:$Y$483,$O$4)</f>
        <v>0</v>
      </c>
      <c r="L58" s="682">
        <f ca="1">SUMIFS($AF$4:$AF$483,$AD$4:$AD$483,L$40,$AB$4:$AB$483,$K$38,$AA$4:$AA$483,$M$4,$Y$4:$Y$483,$O$4)</f>
        <v>0</v>
      </c>
      <c r="M58" s="682">
        <f ca="1">SUMIFS($AF$4:$AF$483,$AD$4:$AD$483,M$40,$AB$4:$AB$483,$K$38,$AA$4:$AA$483,$M$4,$Y$4:$Y$483,$O$4)</f>
        <v>0</v>
      </c>
      <c r="N58" s="683"/>
      <c r="O58" s="682">
        <f ca="1">SUMIFS($AF$4:$AF$483,$AD$4:$AD$483,O$40,$AB$4:$AB$483,$O$38,$AA$4:$AA$483,$M$4,$Y$4:$Y$483,$O$4)</f>
        <v>0</v>
      </c>
      <c r="P58" s="682">
        <f ca="1">SUMIFS($AF$4:$AF$483,$AD$4:$AD$483,P$40,$AB$4:$AB$483,$O$38,$AA$4:$AA$483,$M$4,$Y$4:$Y$483,$O$4)</f>
        <v>0</v>
      </c>
      <c r="Q58" s="682">
        <f ca="1">SUMIFS($AF$4:$AF$483,$AD$4:$AD$483,Q$40,$AB$4:$AB$483,$O$38,$AA$4:$AA$483,$M$4,$Y$4:$Y$483,$O$4)</f>
        <v>0</v>
      </c>
      <c r="R58" s="684"/>
      <c r="S58" s="685">
        <f ca="1">AVERAGE(C58:E58)</f>
        <v>0</v>
      </c>
      <c r="T58" s="685">
        <f ca="1">AVERAGE(G58:I58)</f>
        <v>0</v>
      </c>
      <c r="U58" s="685">
        <f ca="1">AVERAGE(K58:M58)</f>
        <v>0</v>
      </c>
      <c r="V58" s="685">
        <f ca="1">AVERAGE(O58:Q58)</f>
        <v>0</v>
      </c>
      <c r="X58" s="200" t="str">
        <f>NWC_FC_NOOS!$B$1</f>
        <v>VM</v>
      </c>
      <c r="Y58" s="25" t="str">
        <f>NWC_FC_NOOS!$B$57</f>
        <v>KNIT</v>
      </c>
      <c r="Z58" s="25" t="str">
        <f t="shared" ca="1" si="0"/>
        <v>VMKNIT19/20Nov</v>
      </c>
      <c r="AA58" s="25" t="str">
        <f>NWC_FC_NOOS!$I$1</f>
        <v>NOOS</v>
      </c>
      <c r="AB58" s="25" t="str">
        <f ca="1">NWC_FC_NOOS!$O$73</f>
        <v>19/20</v>
      </c>
      <c r="AC58" s="25" t="str">
        <f ca="1">NWC_FC_NOOS!$O$74</f>
        <v>Q2</v>
      </c>
      <c r="AD58" s="25" t="str">
        <f ca="1">NWC_FC_NOOS!$O$75</f>
        <v>Nov</v>
      </c>
      <c r="AE58" s="649">
        <f ca="1">IFERROR(HLOOKUP($AB58&amp;$AD58,NWC_FC_NOOS!$B$4:$Q$24,MATCH($Y58,NWC_FC_NOOS!$B$4:$B$24,0),FALSE),"")</f>
        <v>0</v>
      </c>
      <c r="AF58" s="650">
        <f ca="1">IFERROR(HLOOKUP($AB58&amp;$AD58,NWC_FC_NOOS!$S$4:$AH$24,MATCH($Y58,NWC_FC_NOOS!$S$4:$S$24,0),FALSE),"")</f>
        <v>0</v>
      </c>
      <c r="AG58" s="650">
        <f ca="1">IFERROR(HLOOKUP($AB58&amp;$AD58,NWC_FC_NOOS!$C$50:$U$70,MATCH($Y58,NWC_FC_NOOS!$B$50:$B$70,0),FALSE),"")</f>
        <v>0</v>
      </c>
      <c r="AH58" s="650">
        <f ca="1">IFERROR(IF($AA58="NOOS",HLOOKUP(STOCK_OVERVIEW!$AB58&amp;STOCK_OVERVIEW!$AD58,PLANNING_FC!$BB$27:$BP$46,MATCH(STOCK_OVERVIEW!$Y58,PLANNING_FC!$BA$27:$BA$46,0),FALSE),HLOOKUP($AB58&amp;$AD58,PLANNING_FC!$BB$4:$BP$23,MATCH(STOCK_OVERVIEW!$Y58,PLANNING_FC!$BA$4:$BA$23,0),FALSE)),"")</f>
        <v>0</v>
      </c>
      <c r="AI58" s="650">
        <f ca="1">IFERROR(IF($AA58="NOOS",HLOOKUP(STOCK_OVERVIEW!$AB58&amp;STOCK_OVERVIEW!$AD58,PLANNING_FC!$T$27:$AH$46,MATCH(STOCK_OVERVIEW!$Y58,PLANNING_FC!$B$27:$B$46,0),FALSE),HLOOKUP($AB58&amp;$AD58,PLANNING_FC!$T$4:$AH$23,MATCH(STOCK_OVERVIEW!$Y58,PLANNING_FC!$B$4:$B$23,0),FALSE)),"")</f>
        <v>0</v>
      </c>
      <c r="AJ58" s="650">
        <f ca="1">IFERROR(IF($AA58="NOOS",HLOOKUP(STOCK_OVERVIEW!$AB58&amp;STOCK_OVERVIEW!$AD58,PLANNING_FC!$DA$27:$DO$46,MATCH(STOCK_OVERVIEW!$Y58,PLANNING_FC!$CZ$27:$CZ$46,0),FALSE),HLOOKUP($AB58&amp;$AD58,PLANNING_FC!$DA$4:$DO$23,MATCH(STOCK_OVERVIEW!$Y58,PLANNING_FC!$CZ$4:$CZ$23,0),FALSE)),"")</f>
        <v>38717</v>
      </c>
      <c r="AK58" s="651">
        <f ca="1">IFERROR(IF(AA58="NOOS",HLOOKUP(AB58&amp;AD58,PLANNING_FC!$AJ$27:$AY$47,MATCH(STOCK_OVERVIEW!Y58,PLANNING_FC!$AJ$27:$AJ$47,0),FALSE)*1000,HLOOKUP(AB58&amp;AD58,PLANNING_FC!$AJ$4:$AY$24,MATCH(STOCK_OVERVIEW!Y58,PLANNING_FC!$AJ$4:$AJ$24,0),FALSE)*1000),"")</f>
        <v>0</v>
      </c>
    </row>
    <row r="59" spans="1:45" x14ac:dyDescent="0.25">
      <c r="B59" s="1" t="s">
        <v>182</v>
      </c>
      <c r="C59" s="628" t="str">
        <f ca="1">IF(C58&lt;D8,C58/D11,IF(C58&gt;SUM(D$8:$U$8),(C58-SUM(D$8:$U$8))/$U$11+4.3*COUNT(D$8:$U$8),IF(C58&gt;SUM(D$8:$T$8),(C58-SUM(D$8:$T$8))/$U$11+4.3*COUNT(D$8:$T$8),IF(C58&gt;SUM(D$8:$S$8),(C58-SUM(D$8:$S$8))/$T$11+4.3*COUNT(D$8:$S$8),IF(C58&gt;SUM(D$8:$Q$8),(C58-SUM(D$8:$Q$8))/$S$11+4.3*COUNT(D$8:$Q$8),IF(C58&gt;SUM(D$8:$P$8),(C58-SUM(D$8:$P$8))/$Q$11+4.3*COUNT(D$8:$P$8),IF(C58&gt;SUM(D$8:$O$8),(C58-SUM(D$8:$O$8))/$P$11+4.3*COUNT(D$8:$O$8),IF(C58&gt;SUM(D$8:$M$8),(C58-SUM(D$8:$M$8))/$O$11+4.3*COUNT(D$8:$M$8),IF(C58&gt;SUM(D$8:$L$8),(C58-SUM(D$8:$L$8))/$M$11+4.3*COUNT(D$8:$L$8),IF(C58&gt;SUM(D$8:$K$8),(C58-SUM(D$8:$K$8))/$L$11+4.3*COUNT(D$8:$K$8),IF(C58&gt;SUM(D$8:$I$8),(C58-SUM(D$8:$I$8))/$K$11+4.3*COUNT(D$8:$I$8),IF(C58&gt;SUM(D$8:$H$8),(C58-SUM(D$8:$H$8))/$I$11+4.3*COUNT(D$8:$H$8),IF(C58&gt;SUM(D$8:$G$8),(C58-SUM(D$8:$G$8))/$H$11+4.3*COUNT(D$8:$G$8),IF(C58&gt;SUM(D$8:$E$8),(C58-SUM(D$8:$E$8))/$G$11+4.3*COUNT(D$8:$E$8),IF(C58&gt;SUM(D$8:D$8),(C58-SUM(D$8:D$8))/$E$11+4.3*COUNT(D$8:D$8),"")))))))))))))))</f>
        <v/>
      </c>
      <c r="D59" s="628" t="str">
        <f ca="1">IF(D58&lt;E8,D58/E11,IF(D58&gt;SUM(E$8:$U$8),(D58-SUM(E$8:$U$8))/$U$11+4.3*COUNT(E$8:$U$8),IF(D58&gt;SUM(E$8:$T$8),(D58-SUM(E$8:$T$8))/$U$11+4.3*COUNT(E$8:$T$8),IF(D58&gt;SUM(E$8:$S$8),(D58-SUM(E$8:$S$8))/$T$11+4.3*COUNT(E$8:$S$8),IF(D58&gt;SUM(E$8:$Q$8),(D58-SUM(E$8:$Q$8))/$S$11+4.3*COUNT(E$8:$Q$8),IF(D58&gt;SUM(E$8:$P$8),(D58-SUM(E$8:$P$8))/$Q$11+4.3*COUNT(E$8:$P$8),IF(D58&gt;SUM(E$8:$O$8),(D58-SUM(E$8:$O$8))/$P$11+4.3*COUNT(E$8:$O$8),IF(D58&gt;SUM(E$8:$M$8),(D58-SUM(E$8:$M$8))/$O$11+4.3*COUNT(E$8:$M$8),IF(D58&gt;SUM(E$8:$L$8),(D58-SUM(E$8:$L$8))/$M$11+4.3*COUNT(E$8:$L$8),IF(D58&gt;SUM(E$8:$K$8),(D58-SUM(E$8:$K$8))/$L$11+4.3*COUNT(E$8:$K$8),IF(D58&gt;SUM(E$8:$I$8),(D58-SUM(E$8:$I$8))/$K$11+4.3*COUNT(E$8:$I$8),IF(D58&gt;SUM(E$8:$H$8),(D58-SUM(E$8:$H$8))/$I$11+4.3*COUNT(E$8:$H$8),IF(D58&gt;SUM(E$8:$G$8),(D58-SUM(E$8:$G$8))/$H$11+4.3*COUNT(E$8:$G$8),IF(D58&gt;SUM(E$8:$E$8),(D58-SUM(E$8:$E$8))/$G$11+4.3*COUNT(E$8:$E$8),IF(D58&gt;SUM(E$8:E$8),(D58-SUM(E$8:E$8))/$E$11+4.3*COUNT(E$8:E$8),"")))))))))))))))</f>
        <v/>
      </c>
      <c r="E59" s="628" t="str">
        <f ca="1">IF(E58&lt;G8,E58/G11,IF(E58&gt;SUM(F$8:$U$8),(E58-SUM(F$8:$U$8))/$U$11+4.3*COUNT(F$8:$U$8),IF(E58&gt;SUM(F$8:$T$8),(E58-SUM(F$8:$T$8))/$U$11+4.3*COUNT(F$8:$T$8),IF(E58&gt;SUM(F$8:$S$8),(E58-SUM(F$8:$S$8))/$T$11+4.3*COUNT(F$8:$S$8),IF(E58&gt;SUM(F$8:$Q$8),(E58-SUM(F$8:$Q$8))/$S$11+4.3*COUNT(F$8:$Q$8),IF(E58&gt;SUM(F$8:$P$8),(E58-SUM(F$8:$P$8))/$Q$11+4.3*COUNT(F$8:$P$8),IF(E58&gt;SUM(F$8:$O$8),(E58-SUM(F$8:$O$8))/$P$11+4.3*COUNT(F$8:$O$8),IF(E58&gt;SUM(F$8:$M$8),(E58-SUM(F$8:$M$8))/$O$11+4.3*COUNT(F$8:$M$8),IF(E58&gt;SUM(F$8:$L$8),(E58-SUM(F$8:$L$8))/$M$11+4.3*COUNT(F$8:$L$8),IF(E58&gt;SUM(F$8:$K$8),(E58-SUM(F$8:$K$8))/$L$11+4.3*COUNT(F$8:$K$8),IF(E58&gt;SUM(F$8:$I$8),(E58-SUM(F$8:$I$8))/$K$11+4.3*COUNT(F$8:$I$8),IF(E58&gt;SUM(F$8:$H$8),(E58-SUM(F$8:$H$8))/$I$11+4.3*COUNT(F$8:$H$8),IF(E58&gt;SUM(F$8:$G$8),(E58-SUM(F$8:$G$8))/$H$11+4.3*COUNT(F$8:$G$8),IF(E58&gt;SUM($E$8:F$8),(E58-SUM($E$8:F$8))/$G$11+4.3*COUNT($E$8:F$8),IF(E58&gt;SUM(F$8:F$8),(E58-SUM(F$8:F$8))/$E$11+4.3*COUNT(F$8:F$8),"")))))))))))))))</f>
        <v/>
      </c>
      <c r="F59" s="604" t="str">
        <f ca="1">IF(F58&gt;SUM(G8:$U$8),(F58-SUM(G8:$U$8))/$U$11+4.3*COUNT(G8:$U$8),IF(F58&gt;SUM(G8:$T$8),(F58-SUM(G8:$T$8))/$U$11+4.3*COUNT(G8:$T$8),IF(F58&gt;SUM(G8:$S$8),(F58-SUM(G8:$S$8))/$T$11+4.3*COUNT(G8:$S$8),IF(F58&gt;SUM(G8:$Q$8),(F58-SUM(G8:$Q$8))/$S$11+4.3*COUNT(G8:$Q$8),IF(F58&gt;SUM(G8:$P$8),(F58-SUM(G8:$P$8))/$Q$11+4.3*COUNT(G8:$P$8),IF(F58&gt;SUM(G8:$O$8),(F58-SUM(G8:$O$8))/$P$11+4.3*COUNT(G8:$O$8),IF(F58&gt;SUM(G8:$M$8),(F58-SUM(G8:$M$8))/$O$11+4.3*COUNT(G8:$M$8),IF(F58&gt;SUM(G8:$L$8),(F58-SUM(G8:$L$8))/$M$11+4.3*COUNT(G8:$L$8),IF(F58&gt;SUM(G8:$K$8),(F58-SUM(G8:$K$8))/$L$11+4.3*COUNT(G8:$K$8),IF(F58&gt;SUM(G8:$I$8),(F58-SUM(G8:$I$8))/$K$11+4.3*COUNT(G8:$I$8),IF(F58&gt;SUM(G8:$H$8),(F58-SUM(G8:$H$8))/$I$11+4.3*COUNT(G8:$H$8),IF(F58&gt;SUM(G8:$G$8),(F58-SUM(G8:$G$8))/$H$11+4.3*COUNT(G8:$G$8),IF(F58&gt;SUM($E8:G$8),(F58-SUM($E8:G$8))/$G$11+4.3*COUNT($E8:G$8),IF(F58&gt;SUM($D8:G$8),(F58-SUM($D8:G$8))/$E$11+4.3*COUNT($D8:G$8),IF(F58&gt;SUM($C8:G$8),(F58-SUM($C8:G$8))/$D$11+4.3*COUNT($C8:G$8),"")))))))))))))))</f>
        <v/>
      </c>
      <c r="G59" s="628" t="str">
        <f ca="1">IF(G58&lt;H8,G58/H11,IF(G58&gt;SUM(H$8:$U$8),(G58-SUM(H$8:$U$8))/$U$11+4.3*COUNT(H$8:$U$8),IF(G58&gt;SUM(H$8:$T$8),(G58-SUM(H$8:$T$8))/$U$11+4.3*COUNT(H$8:$T$8),IF(G58&gt;SUM(H$8:$S$8),(G58-SUM(H$8:$S$8))/$T$11+4.3*COUNT(H$8:$S$8),IF(G58&gt;SUM(H$8:$Q$8),(G58-SUM(H$8:$Q$8))/$S$11+4.3*COUNT(H$8:$Q$8),IF(G58&gt;SUM(H$8:$P$8),(G58-SUM(H$8:$P$8))/$Q$11+4.3*COUNT(H$8:$P$8),IF(G58&gt;SUM(H$8:$O$8),(G58-SUM(H$8:$O$8))/$P$11+4.3*COUNT(H$8:$O$8),IF(G58&gt;SUM(H$8:$M$8),(G58-SUM(H$8:$M$8))/$O$11+4.3*COUNT(H$8:$M$8),IF(G58&gt;SUM(H$8:$L$8),(G58-SUM(H$8:$L$8))/$M$11+4.3*COUNT(H$8:$L$8),IF(G58&gt;SUM(H$8:$K$8),(G58-SUM(H$8:$K$8))/$L$11+4.3*COUNT(H$8:$K$8),IF(G58&gt;SUM(H$8:$I$8),(G58-SUM(H$8:$I$8))/$K$11+4.3*COUNT(H$8:$I$8),IF(G58&gt;SUM(H$8:$H$8),(G58-SUM(H$8:$H$8))/$I$11+4.3*COUNT(H$8:$H$8),IF(G58&gt;SUM($G$8:H$8),(G58-SUM($G$8:H$8))/$H$11+4.3*COUNT($G$8:H$8),IF(G58&gt;SUM($E$8:H$8),(G58-SUM($E$8:H$8))/$G$11+4.3*COUNT($E$8:H$8),IF(G58&gt;SUM(H$8:H$8),(G58-SUM(H$8:H$8))/$E$11+4.3*COUNT(H$8:H$8),"")))))))))))))))</f>
        <v/>
      </c>
      <c r="H59" s="628" t="str">
        <f ca="1">IF(H58&lt;I8,H58/I11,IF(H58&gt;SUM(I$8:$U$8),(H58-SUM(I$8:$U$8))/$U$11+4.3*COUNT(I$8:$U$8),IF(H58&gt;SUM(I$8:$T$8),(H58-SUM(I$8:$T$8))/$U$11+4.3*COUNT(I$8:$T$8),IF(H58&gt;SUM(I$8:$S$8),(H58-SUM(I$8:$S$8))/$T$11+4.3*COUNT(I$8:$S$8),IF(H58&gt;SUM(I$8:$Q$8),(H58-SUM(I$8:$Q$8))/$S$11+4.3*COUNT(I$8:$Q$8),IF(H58&gt;SUM(I$8:$P$8),(H58-SUM(I$8:$P$8))/$Q$11+4.3*COUNT(I$8:$P$8),IF(H58&gt;SUM(I$8:$O$8),(H58-SUM(I$8:$O$8))/$P$11+4.3*COUNT(I$8:$O$8),IF(H58&gt;SUM(I$8:$M$8),(H58-SUM(I$8:$M$8))/$O$11+4.3*COUNT(I$8:$M$8),IF(H58&gt;SUM(I$8:$L$8),(H58-SUM(I$8:$L$8))/$M$11+4.3*COUNT(I$8:$L$8),IF(H58&gt;SUM(I$8:$K$8),(H58-SUM(I$8:$K$8))/$L$11+4.3*COUNT(I$8:$K$8),IF(H58&gt;SUM(I$8:$I$8),(H58-SUM(I$8:$I$8))/$K$11+4.3*COUNT(I$8:$I$8),IF(H58&gt;SUM($H$8:I$8),(H58-SUM($H$8:I$8))/$I$11+4.3*COUNT($H$8:I$8),IF(H58&gt;SUM($G$8:I$8),(H58-SUM($G$8:I$8))/$H$11+4.3*COUNT($G$8:I$8),IF(H58&gt;SUM($E$8:I$8),(H58-SUM($E$8:I$8))/$G$11+4.3*COUNT($E$8:I$8),IF(H58&gt;SUM(I$8:I$8),(H58-SUM(I$8:I$8))/$E$11+4.3*COUNT(I$8:I$8),"")))))))))))))))</f>
        <v/>
      </c>
      <c r="I59" s="628" t="str">
        <f ca="1">IF(I58&lt;K8,I58/K11,IF(I58&gt;SUM(J$8:$U$8),(I58-SUM(J$8:$U$8))/$U$11+4.3*COUNT(J$8:$U$8),IF(I58&gt;SUM(J$8:$T$8),(I58-SUM(J$8:$T$8))/$U$11+4.3*COUNT(J$8:$T$8),IF(I58&gt;SUM(J$8:$S$8),(I58-SUM(J$8:$S$8))/$T$11+4.3*COUNT(J$8:$S$8),IF(I58&gt;SUM(J$8:$Q$8),(I58-SUM(J$8:$Q$8))/$S$11+4.3*COUNT(J$8:$Q$8),IF(I58&gt;SUM(J$8:$P$8),(I58-SUM(J$8:$P$8))/$Q$11+4.3*COUNT(J$8:$P$8),IF(I58&gt;SUM(J$8:$O$8),(I58-SUM(J$8:$O$8))/$P$11+4.3*COUNT(J$8:$O$8),IF(I58&gt;SUM(J$8:$M$8),(I58-SUM(J$8:$M$8))/$O$11+4.3*COUNT(J$8:$M$8),IF(I58&gt;SUM(J$8:$L$8),(I58-SUM(J$8:$L$8))/$M$11+4.3*COUNT(J$8:$L$8),IF(I58&gt;SUM(J$8:$K$8),(I58-SUM(J$8:$K$8))/$L$11+4.3*COUNT(J$8:$K$8),IF(I58&gt;SUM($I$8:J$8),(I58-SUM($I$8:J$8))/$K$11+4.3*COUNT($I$8:J$8),IF(I58&gt;SUM($H$8:J$8),(I58-SUM($H$8:J$8))/$I$11+4.3*COUNT($H$8:J$8),IF(I58&gt;SUM($G$8:J$8),(I58-SUM($G$8:J$8))/$H$11+4.3*COUNT($G$8:J$8),IF(I58&gt;SUM($E$8:J$8),(I58-SUM($E$8:J$8))/$G$11+4.3*COUNT($E$8:J$8),IF(I58&gt;SUM(J$8:J$8),(I58-SUM(J$8:J$8))/$E$11+4.3*COUNT(J$8:J$8),"")))))))))))))))</f>
        <v/>
      </c>
      <c r="J59" s="604" t="str">
        <f ca="1">IF(J58&gt;SUM(K8:$U$8),(J58-SUM(K8:$U$8))/$U$11+4.3*COUNT(K8:$U$8),IF(J58&gt;SUM(K8:$T$8),(J58-SUM(K8:$T$8))/$U$11+4.3*COUNT(K8:$T$8),IF(J58&gt;SUM(K8:$S$8),(J58-SUM(K8:$S$8))/$T$11+4.3*COUNT(K8:$S$8),IF(J58&gt;SUM(K8:$Q$8),(J58-SUM(K8:$Q$8))/$S$11+4.3*COUNT(K8:$Q$8),IF(J58&gt;SUM(K8:$P$8),(J58-SUM(K8:$P$8))/$Q$11+4.3*COUNT(K8:$P$8),IF(J58&gt;SUM(K8:$O$8),(J58-SUM(K8:$O$8))/$P$11+4.3*COUNT(K8:$O$8),IF(J58&gt;SUM(K8:$M$8),(J58-SUM(K8:$M$8))/$O$11+4.3*COUNT(K8:$M$8),IF(J58&gt;SUM(K8:$L$8),(J58-SUM(K8:$L$8))/$M$11+4.3*COUNT(K8:$L$8),IF(J58&gt;SUM(K8:$K$8),(J58-SUM(K8:$K$8))/$L$11+4.3*COUNT(K8:$K$8),IF(J58&gt;SUM($I8:K$8),(J58-SUM($I8:K$8))/$K$11+4.3*COUNT($I8:K$8),IF(J58&gt;SUM($H8:K$8),(J58-SUM($H8:K$8))/$I$11+4.3*COUNT($H8:K$8),IF(J58&gt;SUM($G8:K$8),(J58-SUM($G8:K$8))/$H$11+4.3*COUNT($G8:K$8),IF(J58&gt;SUM($E8:K$8),(J58-SUM($E8:K$8))/$G$11+4.3*COUNT($E8:K$8),IF(J58&gt;SUM($D8:K$8),(J58-SUM($D8:K$8))/$E$11+4.3*COUNT($D8:K$8),IF(J58&gt;SUM($C8:K$8),(J58-SUM($C8:K$8))/$D$11+4.3*COUNT($C8:K$8),"")))))))))))))))</f>
        <v/>
      </c>
      <c r="K59" s="628" t="str">
        <f ca="1">IF(K58&lt;L8,K58/L11,IF(K58&gt;SUM(L$8:$U$8),(K58-SUM(L$8:$U$8))/$U$11+4.3*COUNT(L$8:$U$8),IF(K58&gt;SUM(L$8:$T$8),(K58-SUM(L$8:$T$8))/$U$11+4.3*COUNT(L$8:$T$8),IF(K58&gt;SUM(L$8:$S$8),(K58-SUM(L$8:$S$8))/$T$11+4.3*COUNT(L$8:$S$8),IF(K58&gt;SUM(L$8:$Q$8),(K58-SUM(L$8:$Q$8))/$S$11+4.3*COUNT(L$8:$Q$8),IF(K58&gt;SUM(L$8:$P$8),(K58-SUM(L$8:$P$8))/$Q$11+4.3*COUNT(L$8:$P$8),IF(K58&gt;SUM(L$8:$O$8),(K58-SUM(L$8:$O$8))/$P$11+4.3*COUNT(L$8:$O$8),IF(K58&gt;SUM(L$8:$M$8),(K58-SUM(L$8:$M$8))/$O$11+4.3*COUNT(L$8:$M$8),IF(K58&gt;SUM(L$8:$L$8),(K58-SUM(L$8:$L$8))/$M$11+4.3*COUNT(L$8:$L$8),IF(K58&gt;SUM($K$8:L$8),(K58-SUM($K$8:L$8))/$L$11+4.3*COUNT($K$8:L$8),IF(K58&gt;SUM($I$8:L$8),(K58-SUM($I$8:L$8))/$K$11+4.3*COUNT($I$8:L$8),IF(K58&gt;SUM($H$8:L$8),(K58-SUM($H$8:L$8))/$I$11+4.3*COUNT($H$8:L$8),IF(K58&gt;SUM($G$8:L$8),(K58-SUM($G$8:L$8))/$H$11+4.3*COUNT($G$8:L$8),IF(K58&gt;SUM($E$8:L$8),(K58-SUM($E$8:L$8))/$G$11+4.3*COUNT($E$8:L$8),IF(K58&gt;SUM(L$8:L$8),(K58-SUM(L$8:L$8))/$E$11+4.3*COUNT(L$8:L$8),"")))))))))))))))</f>
        <v/>
      </c>
      <c r="L59" s="628" t="str">
        <f ca="1">IF(L58&lt;M8,L58/M11,IF(L58&gt;SUM(M$8:$U$8),(L58-SUM(M$8:$U$8))/$U$11+4.3*COUNT(M$8:$U$8),IF(L58&gt;SUM(M$8:$T$8),(L58-SUM(M$8:$T$8))/$U$11+4.3*COUNT(M$8:$T$8),IF(L58&gt;SUM(M$8:$S$8),(L58-SUM(M$8:$S$8))/$T$11+4.3*COUNT(M$8:$S$8),IF(L58&gt;SUM(M$8:$Q$8),(L58-SUM(M$8:$Q$8))/$S$11+4.3*COUNT(M$8:$Q$8),IF(L58&gt;SUM(M$8:$P$8),(L58-SUM(M$8:$P$8))/$Q$11+4.3*COUNT(M$8:$P$8),IF(L58&gt;SUM(M$8:$O$8),(L58-SUM(M$8:$O$8))/$P$11+4.3*COUNT(M$8:$O$8),IF(L58&gt;SUM(M$8:$M$8),(L58-SUM(M$8:$M$8))/$O$11+4.3*COUNT(M$8:$M$8),IF(L58&gt;SUM($L$8:M$8),(L58-SUM($L$8:M$8))/$M$11+4.3*COUNT($L$8:M$8),IF(L58&gt;SUM($K$8:M$8),(L58-SUM($K$8:M$8))/$L$11+4.3*COUNT($K$8:M$8),IF(L58&gt;SUM($I$8:M$8),(L58-SUM($I$8:M$8))/$K$11+4.3*COUNT($I$8:M$8),IF(L58&gt;SUM($H$8:M$8),(L58-SUM($H$8:M$8))/$I$11+4.3*COUNT($H$8:M$8),IF(L58&gt;SUM($G$8:M$8),(L58-SUM($G$8:M$8))/$H$11+4.3*COUNT($G$8:M$8),IF(L58&gt;SUM($E$8:M$8),(L58-SUM($E$8:M$8))/$G$11+4.3*COUNT($E$8:M$8),IF(L58&gt;SUM(M$8:M$8),(L58-SUM(M$8:M$8))/$E$11+4.3*COUNT(M$8:M$8),"")))))))))))))))</f>
        <v/>
      </c>
      <c r="M59" s="628" t="str">
        <f ca="1">IF(M58&lt;O8,M58/O11,IF(M58&gt;SUM(N$8:$U$8),(M58-SUM(N$8:$U$8))/$U$11+4.3*COUNT(N$8:$U$8),IF(M58&gt;SUM(N$8:$T$8),(M58-SUM(N$8:$T$8))/$U$11+4.3*COUNT(N$8:$T$8),IF(M58&gt;SUM(N$8:$S$8),(M58-SUM(N$8:$S$8))/$T$11+4.3*COUNT(N$8:$S$8),IF(M58&gt;SUM(N$8:$Q$8),(M58-SUM(N$8:$Q$8))/$S$11+4.3*COUNT(N$8:$Q$8),IF(M58&gt;SUM(N$8:$P$8),(M58-SUM(N$8:$P$8))/$Q$11+4.3*COUNT(N$8:$P$8),IF(M58&gt;SUM(N$8:$O$8),(M58-SUM(N$8:$O$8))/$P$11+4.3*COUNT(N$8:$O$8),IF(M58&gt;SUM($M$8:N$8),(M58-SUM($M$8:N$8))/$O$11+4.3*COUNT($M$8:N$8),IF(M58&gt;SUM($L$8:N$8),(M58-SUM($L$8:N$8))/$M$11+4.3*COUNT($L$8:N$8),IF(M58&gt;SUM($K$8:N$8),(M58-SUM($K$8:N$8))/$L$11+4.3*COUNT($K$8:N$8),IF(M58&gt;SUM($I$8:N$8),(M58-SUM($I$8:N$8))/$K$11+4.3*COUNT($I$8:N$8),IF(M58&gt;SUM($H$8:N$8),(M58-SUM($H$8:N$8))/$I$11+4.3*COUNT($H$8:N$8),IF(M58&gt;SUM($G$8:N$8),(M58-SUM($G$8:N$8))/$H$11+4.3*COUNT($G$8:N$8),IF(M58&gt;SUM($E$8:N$8),(M58-SUM($E$8:N$8))/$G$11+4.3*COUNT($E$8:N$8),IF(M58&gt;SUM(N$8:N$8),(M58-SUM(N$8:N$8))/$E$11+4.3*COUNT(N$8:N$8),"")))))))))))))))</f>
        <v/>
      </c>
      <c r="N59" s="604" t="str">
        <f ca="1">IF(N58&gt;SUM(O8:$U$8),(N58-SUM(O8:$U$8))/$U$11+4.3*COUNT(O8:$U$8),IF(N58&gt;SUM(O8:$T$8),(N58-SUM(O8:$T$8))/$U$11+4.3*COUNT(O8:$T$8),IF(N58&gt;SUM(O8:$S$8),(N58-SUM(O8:$S$8))/$T$11+4.3*COUNT(O8:$S$8),IF(N58&gt;SUM(O8:$Q$8),(N58-SUM(O8:$Q$8))/$S$11+4.3*COUNT(O8:$Q$8),IF(N58&gt;SUM(O8:$P$8),(N58-SUM(O8:$P$8))/$Q$11+4.3*COUNT(O8:$P$8),IF(N58&gt;SUM(O8:$O$8),(N58-SUM(O8:$O$8))/$P$11+4.3*COUNT(O8:$O$8),IF(N58&gt;SUM($M8:O$8),(N58-SUM($M8:O$8))/$O$11+4.3*COUNT($M8:O$8),IF(N58&gt;SUM($L8:O$8),(N58-SUM($L8:O$8))/$M$11+4.3*COUNT($L8:O$8),IF(N58&gt;SUM($K8:O$8),(N58-SUM($K8:O$8))/$L$11+4.3*COUNT($K8:O$8),IF(N58&gt;SUM($I8:O$8),(N58-SUM($I8:O$8))/$K$11+4.3*COUNT($I8:O$8),IF(N58&gt;SUM($H8:O$8),(N58-SUM($H8:O$8))/$I$11+4.3*COUNT($H8:O$8),IF(N58&gt;SUM($G8:O$8),(N58-SUM($G8:O$8))/$H$11+4.3*COUNT($G8:O$8),IF(N58&gt;SUM($E8:O$8),(N58-SUM($E8:O$8))/$G$11+4.3*COUNT($E8:O$8),IF(N58&gt;SUM($D8:O$8),(N58-SUM($D8:O$8))/$E$11+4.3*COUNT($D8:O$8),IF(N58&gt;SUM($C8:O$8),(N58-SUM($C8:O$8))/$D$11+4.3*COUNT($C8:O$8),"")))))))))))))))</f>
        <v/>
      </c>
      <c r="O59" s="628" t="str">
        <f ca="1">IF(O58&lt;P8,O58/P11,IF(O58&gt;SUM(P$8:$U$8),(O58-SUM(P$8:$U$8))/$U$11+4.3*COUNT(P$8:$U$8),IF(O58&gt;SUM(P$8:$T$8),(O58-SUM(P$8:$T$8))/$U$11+4.3*COUNT(P$8:$T$8),IF(O58&gt;SUM(P$8:$S$8),(O58-SUM(P$8:$S$8))/$T$11+4.3*COUNT(P$8:$S$8),IF(O58&gt;SUM(P$8:$Q$8),(O58-SUM(P$8:$Q$8))/$S$11+4.3*COUNT(P$8:$Q$8),IF(O58&gt;SUM(P$8:$P$8),(O58-SUM(P$8:$P$8))/$Q$11+4.3*COUNT(P$8:$P$8),IF(O58&gt;SUM($O$8:P$8),(O58-SUM($O$8:P$8))/$P$11+4.3*COUNT($O$8:P$8),IF(O58&gt;SUM($M$8:P$8),(O58-SUM($M$8:P$8))/$O$11+4.3*COUNT($M$8:P$8),IF(O58&gt;SUM($L$8:P$8),(O58-SUM($L$8:P$8))/$M$11+4.3*COUNT($L$8:P$8),IF(O58&gt;SUM($K$8:P$8),(O58-SUM($K$8:P$8))/$L$11+4.3*COUNT($K$8:P$8),IF(O58&gt;SUM($I$8:P$8),(O58-SUM($I$8:P$8))/$K$11+4.3*COUNT($I$8:P$8),IF(O58&gt;SUM($H$8:P$8),(O58-SUM($H$8:P$8))/$I$11+4.3*COUNT($H$8:P$8),IF(O58&gt;SUM($G$8:P$8),(O58-SUM($G$8:P$8))/$H$11+4.3*COUNT($G$8:P$8),IF(O58&gt;SUM($E$8:P$8),(O58-SUM($E$8:P$8))/$G$11+4.3*COUNT($E$8:P$8),IF(O58&gt;SUM(P$8:P$8),(O58-SUM(P$8:P$8))/$E$11+4.3*COUNT(P$8:P$8),"")))))))))))))))</f>
        <v/>
      </c>
      <c r="P59" s="628" t="str">
        <f ca="1">IF(P58&lt;Q8,P58/Q11,IF(P58&gt;SUM(Q$8:$U$8),(P58-SUM(Q$8:$U$8))/$U$11+4.3*COUNT(Q$8:$U$8),IF(P58&gt;SUM(Q$8:$T$8),(P58-SUM(Q$8:$T$8))/$U$11+4.3*COUNT(Q$8:$T$8),IF(P58&gt;SUM(Q$8:$S$8),(P58-SUM(Q$8:$S$8))/$T$11+4.3*COUNT(Q$8:$S$8),IF(P58&gt;SUM(Q$8:$Q$8),(P58-SUM(Q$8:$Q$8))/$S$11+4.3*COUNT(Q$8:$Q$8),IF(P58&gt;SUM($P$8:Q$8),(P58-SUM($P$8:Q$8))/$Q$11+4.3*COUNT($P$8:Q$8),IF(P58&gt;SUM($O$8:Q$8),(P58-SUM($O$8:Q$8))/$P$11+4.3*COUNT($O$8:Q$8),IF(P58&gt;SUM($M$8:Q$8),(P58-SUM($M$8:Q$8))/$O$11+4.3*COUNT($M$8:Q$8),IF(P58&gt;SUM($L$8:Q$8),(P58-SUM($L$8:Q$8))/$M$11+4.3*COUNT($L$8:Q$8),IF(P58&gt;SUM($K$8:Q$8),(P58-SUM($K$8:Q$8))/$L$11+4.3*COUNT($K$8:Q$8),IF(P58&gt;SUM($I$8:Q$8),(P58-SUM($I$8:Q$8))/$K$11+4.3*COUNT($I$8:Q$8),IF(P58&gt;SUM($H$8:Q$8),(P58-SUM($H$8:Q$8))/$I$11+4.3*COUNT($H$8:Q$8),IF(P58&gt;SUM($G$8:Q$8),(P58-SUM($G$8:Q$8))/$H$11+4.3*COUNT($G$8:Q$8),IF(P58&gt;SUM($E$8:Q$8),(P58-SUM($E$8:Q$8))/$G$11+4.3*COUNT($E$8:Q$8),IF(P58&gt;SUM(Q$8:Q$8),(P58-SUM(Q$8:Q$8))/$E$11+4.3*COUNT(Q$8:Q$8),"")))))))))))))))</f>
        <v/>
      </c>
      <c r="Q59" s="628" t="str">
        <f ca="1">IF(Q58&lt;S8,Q58/S11,IF(Q58&gt;SUM(R$8:$U$8),(Q58-SUM(R$8:$U$8))/$U$11+4.3*COUNT(R$8:$U$8),IF(Q58&gt;SUM(R$8:$T$8),(Q58-SUM(R$8:$T$8))/$U$11+4.3*COUNT(R$8:$T$8),IF(Q58&gt;SUM(R$8:$S$8),(Q58-SUM(R$8:$S$8))/$T$11+4.3*COUNT(R$8:$S$8),IF(Q58&gt;SUM($Q$8:R$8),(Q58-SUM($Q$8:R$8))/$S$11+4.3*COUNT($Q$8:R$8),IF(Q58&gt;SUM($P$8:R$8),(Q58-SUM($P$8:R$8))/$Q$11+4.3*COUNT($P$8:R$8),IF(Q58&gt;SUM($O$8:R$8),(Q58-SUM($O$8:R$8))/$P$11+4.3*COUNT($O$8:R$8),IF(Q58&gt;SUM($M$8:R$8),(Q58-SUM($M$8:R$8))/$O$11+4.3*COUNT($M$8:R$8),IF(Q58&gt;SUM($L$8:R$8),(Q58-SUM($L$8:R$8))/$M$11+4.3*COUNT($L$8:R$8),IF(Q58&gt;SUM($K$8:R$8),(Q58-SUM($K$8:R$8))/$L$11+4.3*COUNT($K$8:R$8),IF(Q58&gt;SUM($I$8:R$8),(Q58-SUM($I$8:R$8))/$K$11+4.3*COUNT($I$8:R$8),IF(Q58&gt;SUM($H$8:R$8),(Q58-SUM($H$8:R$8))/$I$11+4.3*COUNT($H$8:R$8),IF(Q58&gt;SUM($G$8:R$8),(Q58-SUM($G$8:R$8))/$H$11+4.3*COUNT($G$8:R$8),IF(Q58&gt;SUM($E$8:R$8),(Q58-SUM($E$8:R$8))/$G$11+4.3*COUNT($E$8:R$8),IF(Q58&gt;SUM(R$8:R$8),(Q58-SUM(R$8:R$8))/$E$11+4.3*COUNT(R$8:R$8),"")))))))))))))))</f>
        <v/>
      </c>
      <c r="S59" s="700"/>
      <c r="T59" s="700"/>
      <c r="U59" s="701"/>
      <c r="V59" s="700"/>
      <c r="X59" s="200" t="str">
        <f>NWC_FC_NOOS!$B$1</f>
        <v>VM</v>
      </c>
      <c r="Y59" s="25" t="str">
        <f>NWC_FC_NOOS!$B$57</f>
        <v>KNIT</v>
      </c>
      <c r="Z59" s="25" t="str">
        <f t="shared" ca="1" si="0"/>
        <v>VMKNIT19/20Dec</v>
      </c>
      <c r="AA59" s="25" t="str">
        <f>NWC_FC_NOOS!$I$1</f>
        <v>NOOS</v>
      </c>
      <c r="AB59" s="25" t="str">
        <f ca="1">NWC_FC_NOOS!$O$73</f>
        <v>19/20</v>
      </c>
      <c r="AC59" s="25" t="str">
        <f ca="1">NWC_FC_NOOS!$O$74</f>
        <v>Q2</v>
      </c>
      <c r="AD59" s="25" t="str">
        <f ca="1">NWC_FC_NOOS!$P$75</f>
        <v>Dec</v>
      </c>
      <c r="AE59" s="649">
        <f ca="1">IFERROR(HLOOKUP($AB59&amp;$AD59,NWC_FC_NOOS!$B$4:$Q$24,MATCH($Y59,NWC_FC_NOOS!$B$4:$B$24,0),FALSE),"")</f>
        <v>0</v>
      </c>
      <c r="AF59" s="650">
        <f ca="1">IFERROR(HLOOKUP($AB59&amp;$AD59,NWC_FC_NOOS!$S$4:$AH$24,MATCH($Y59,NWC_FC_NOOS!$S$4:$S$24,0),FALSE),"")</f>
        <v>0</v>
      </c>
      <c r="AG59" s="650">
        <f ca="1">IFERROR(HLOOKUP($AB59&amp;$AD59,NWC_FC_NOOS!$C$50:$U$70,MATCH($Y59,NWC_FC_NOOS!$B$50:$B$70,0),FALSE),"")</f>
        <v>0</v>
      </c>
      <c r="AH59" s="650">
        <f ca="1">IFERROR(IF($AA59="NOOS",HLOOKUP(STOCK_OVERVIEW!$AB59&amp;STOCK_OVERVIEW!$AD59,PLANNING_FC!$BB$27:$BP$46,MATCH(STOCK_OVERVIEW!$Y59,PLANNING_FC!$BA$27:$BA$46,0),FALSE),HLOOKUP($AB59&amp;$AD59,PLANNING_FC!$BB$4:$BP$23,MATCH(STOCK_OVERVIEW!$Y59,PLANNING_FC!$BA$4:$BA$23,0),FALSE)),"")</f>
        <v>0</v>
      </c>
      <c r="AI59" s="650">
        <f ca="1">IFERROR(IF($AA59="NOOS",HLOOKUP(STOCK_OVERVIEW!$AB59&amp;STOCK_OVERVIEW!$AD59,PLANNING_FC!$T$27:$AH$46,MATCH(STOCK_OVERVIEW!$Y59,PLANNING_FC!$B$27:$B$46,0),FALSE),HLOOKUP($AB59&amp;$AD59,PLANNING_FC!$T$4:$AH$23,MATCH(STOCK_OVERVIEW!$Y59,PLANNING_FC!$B$4:$B$23,0),FALSE)),"")</f>
        <v>0</v>
      </c>
      <c r="AJ59" s="650">
        <f ca="1">IFERROR(IF($AA59="NOOS",HLOOKUP(STOCK_OVERVIEW!$AB59&amp;STOCK_OVERVIEW!$AD59,PLANNING_FC!$DA$27:$DO$46,MATCH(STOCK_OVERVIEW!$Y59,PLANNING_FC!$CZ$27:$CZ$46,0),FALSE),HLOOKUP($AB59&amp;$AD59,PLANNING_FC!$DA$4:$DO$23,MATCH(STOCK_OVERVIEW!$Y59,PLANNING_FC!$CZ$4:$CZ$23,0),FALSE)),"")</f>
        <v>38717</v>
      </c>
      <c r="AK59" s="651">
        <f ca="1">IFERROR(IF(AA59="NOOS",HLOOKUP(AB59&amp;AD59,PLANNING_FC!$AJ$27:$AY$47,MATCH(STOCK_OVERVIEW!Y59,PLANNING_FC!$AJ$27:$AJ$47,0),FALSE)*1000,HLOOKUP(AB59&amp;AD59,PLANNING_FC!$AJ$4:$AY$24,MATCH(STOCK_OVERVIEW!Y59,PLANNING_FC!$AJ$4:$AJ$24,0),FALSE)*1000),"")</f>
        <v>0</v>
      </c>
    </row>
    <row r="60" spans="1:45" x14ac:dyDescent="0.25">
      <c r="B60" s="1"/>
      <c r="C60" s="602"/>
      <c r="D60" s="602"/>
      <c r="E60" s="602"/>
      <c r="F60" s="604"/>
      <c r="G60" s="602"/>
      <c r="H60" s="602"/>
      <c r="I60" s="602"/>
      <c r="J60" s="604"/>
      <c r="K60" s="602"/>
      <c r="L60" s="602"/>
      <c r="M60" s="602"/>
      <c r="N60" s="604"/>
      <c r="O60" s="602"/>
      <c r="P60" s="602"/>
      <c r="Q60" s="602"/>
      <c r="X60" s="200" t="str">
        <f>NWC_FC_NOOS!$B$1</f>
        <v>VM</v>
      </c>
      <c r="Y60" s="25" t="str">
        <f>NWC_FC_NOOS!$B$57</f>
        <v>KNIT</v>
      </c>
      <c r="Z60" s="25" t="str">
        <f t="shared" ca="1" si="0"/>
        <v>VMKNIT19/20Jan</v>
      </c>
      <c r="AA60" s="25" t="str">
        <f>NWC_FC_NOOS!$I$1</f>
        <v>NOOS</v>
      </c>
      <c r="AB60" s="25" t="str">
        <f ca="1">NWC_FC_NOOS!$O$73</f>
        <v>19/20</v>
      </c>
      <c r="AC60" s="25" t="str">
        <f ca="1">NWC_FC_NOOS!$O$74</f>
        <v>Q2</v>
      </c>
      <c r="AD60" s="25" t="str">
        <f ca="1">NWC_FC_NOOS!$Q$75</f>
        <v>Jan</v>
      </c>
      <c r="AE60" s="649">
        <f ca="1">IFERROR(HLOOKUP($AB60&amp;$AD60,NWC_FC_NOOS!$B$4:$Q$24,MATCH($Y60,NWC_FC_NOOS!$B$4:$B$24,0),FALSE),"")</f>
        <v>0</v>
      </c>
      <c r="AF60" s="650">
        <f ca="1">IFERROR(HLOOKUP($AB60&amp;$AD60,NWC_FC_NOOS!$S$4:$AH$24,MATCH($Y60,NWC_FC_NOOS!$S$4:$S$24,0),FALSE),"")</f>
        <v>0</v>
      </c>
      <c r="AG60" s="650">
        <f ca="1">IFERROR(HLOOKUP($AB60&amp;$AD60,NWC_FC_NOOS!$C$50:$U$70,MATCH($Y60,NWC_FC_NOOS!$B$50:$B$70,0),FALSE),"")</f>
        <v>0</v>
      </c>
      <c r="AH60" s="650">
        <f ca="1">IFERROR(IF($AA60="NOOS",HLOOKUP(STOCK_OVERVIEW!$AB60&amp;STOCK_OVERVIEW!$AD60,PLANNING_FC!$BB$27:$BP$46,MATCH(STOCK_OVERVIEW!$Y60,PLANNING_FC!$BA$27:$BA$46,0),FALSE),HLOOKUP($AB60&amp;$AD60,PLANNING_FC!$BB$4:$BP$23,MATCH(STOCK_OVERVIEW!$Y60,PLANNING_FC!$BA$4:$BA$23,0),FALSE)),"")</f>
        <v>0</v>
      </c>
      <c r="AI60" s="650">
        <f ca="1">IFERROR(IF($AA60="NOOS",HLOOKUP(STOCK_OVERVIEW!$AB60&amp;STOCK_OVERVIEW!$AD60,PLANNING_FC!$T$27:$AH$46,MATCH(STOCK_OVERVIEW!$Y60,PLANNING_FC!$B$27:$B$46,0),FALSE),HLOOKUP($AB60&amp;$AD60,PLANNING_FC!$T$4:$AH$23,MATCH(STOCK_OVERVIEW!$Y60,PLANNING_FC!$B$4:$B$23,0),FALSE)),"")</f>
        <v>0</v>
      </c>
      <c r="AJ60" s="650">
        <f ca="1">IFERROR(IF($AA60="NOOS",HLOOKUP(STOCK_OVERVIEW!$AB60&amp;STOCK_OVERVIEW!$AD60,PLANNING_FC!$DA$27:$DO$46,MATCH(STOCK_OVERVIEW!$Y60,PLANNING_FC!$CZ$27:$CZ$46,0),FALSE),HLOOKUP($AB60&amp;$AD60,PLANNING_FC!$DA$4:$DO$23,MATCH(STOCK_OVERVIEW!$Y60,PLANNING_FC!$CZ$4:$CZ$23,0),FALSE)),"")</f>
        <v>38717</v>
      </c>
      <c r="AK60" s="651">
        <f ca="1">IFERROR(IF(AA60="NOOS",HLOOKUP(AB60&amp;AD60,PLANNING_FC!$AJ$27:$AY$47,MATCH(STOCK_OVERVIEW!Y60,PLANNING_FC!$AJ$27:$AJ$47,0),FALSE)*1000,HLOOKUP(AB60&amp;AD60,PLANNING_FC!$AJ$4:$AY$24,MATCH(STOCK_OVERVIEW!Y60,PLANNING_FC!$AJ$4:$AJ$24,0),FALSE)*1000),"")</f>
        <v>0</v>
      </c>
    </row>
    <row r="61" spans="1:45" s="61" customFormat="1" x14ac:dyDescent="0.25">
      <c r="A61" s="62"/>
      <c r="B61" s="1" t="s">
        <v>240</v>
      </c>
      <c r="C61" s="686">
        <f ca="1">SUMIFS(HIS_STOCK!$F:$F,HIS_STOCK!$E:$E,STOCK_OVERVIEW!C$40,HIS_STOCK!$D:$D,VLOOKUP($C$38,TIME!$L$12:$M$17,2,FALSE),HIS_STOCK!$C:$C,STOCK_OVERVIEW!$O$4,HIS_STOCK!$A:$A,STOCK_OVERVIEW!$M$4)</f>
        <v>2790643.7552999998</v>
      </c>
      <c r="D61" s="686">
        <f ca="1">SUMIFS(HIS_STOCK!$F:$F,HIS_STOCK!$E:$E,STOCK_OVERVIEW!D$40,HIS_STOCK!$D:$D,VLOOKUP($C$38,TIME!$L$12:$M$17,2,FALSE),HIS_STOCK!$C:$C,STOCK_OVERVIEW!$O$4,HIS_STOCK!$A:$A,STOCK_OVERVIEW!$M$4)</f>
        <v>2530224.4391999999</v>
      </c>
      <c r="E61" s="686">
        <f ca="1">SUMIFS(HIS_STOCK!$F:$F,HIS_STOCK!$E:$E,STOCK_OVERVIEW!E$40,HIS_STOCK!$D:$D,VLOOKUP($C$38,TIME!$L$12:$M$17,2,FALSE),HIS_STOCK!$C:$C,STOCK_OVERVIEW!$O$4,HIS_STOCK!$A:$A,STOCK_OVERVIEW!$M$4)</f>
        <v>2236765.1804999993</v>
      </c>
      <c r="F61" s="683"/>
      <c r="G61" s="686">
        <f ca="1">SUMIFS(HIS_STOCK!$F:$F,HIS_STOCK!$E:$E,STOCK_OVERVIEW!G$40,HIS_STOCK!$D:$D,VLOOKUP($G$38,TIME!$L$12:$M$17,2,FALSE),HIS_STOCK!$C:$C,STOCK_OVERVIEW!$O$4,HIS_STOCK!$A:$A,STOCK_OVERVIEW!$M$4)</f>
        <v>2345813.8928999989</v>
      </c>
      <c r="H61" s="686">
        <f ca="1">SUMIFS(HIS_STOCK!$F:$F,HIS_STOCK!$E:$E,STOCK_OVERVIEW!H$40,HIS_STOCK!$D:$D,VLOOKUP($G$38,TIME!$L$12:$M$17,2,FALSE),HIS_STOCK!$C:$C,STOCK_OVERVIEW!$O$4,HIS_STOCK!$A:$A,STOCK_OVERVIEW!$M$4)</f>
        <v>2579901.5516999997</v>
      </c>
      <c r="I61" s="686">
        <f ca="1">SUMIFS(HIS_STOCK!$F:$F,HIS_STOCK!$E:$E,STOCK_OVERVIEW!I$40,HIS_STOCK!$D:$D,VLOOKUP($G$38,TIME!$L$12:$M$17,2,FALSE),HIS_STOCK!$C:$C,STOCK_OVERVIEW!$O$4,HIS_STOCK!$A:$A,STOCK_OVERVIEW!$M$4)</f>
        <v>2810007.0063000005</v>
      </c>
      <c r="J61" s="683"/>
      <c r="K61" s="686">
        <f ca="1">SUMIFS(HIS_STOCK!$F:$F,HIS_STOCK!$E:$E,STOCK_OVERVIEW!K$40,HIS_STOCK!$D:$D,VLOOKUP($K$38,TIME!$L$12:$M$17,2,FALSE),HIS_STOCK!$C:$C,STOCK_OVERVIEW!$O$4,HIS_STOCK!$A:$A,STOCK_OVERVIEW!$M$4)</f>
        <v>3310757.0526000005</v>
      </c>
      <c r="L61" s="686">
        <f ca="1">SUMIFS(HIS_STOCK!$F:$F,HIS_STOCK!$E:$E,STOCK_OVERVIEW!L$40,HIS_STOCK!$D:$D,VLOOKUP($K$38,TIME!$L$12:$M$17,2,FALSE),HIS_STOCK!$C:$C,STOCK_OVERVIEW!$O$4,HIS_STOCK!$A:$A,STOCK_OVERVIEW!$M$4)</f>
        <v>3511805.0106000002</v>
      </c>
      <c r="M61" s="686">
        <f ca="1">SUMIFS(HIS_STOCK!$F:$F,HIS_STOCK!$E:$E,STOCK_OVERVIEW!M$40,HIS_STOCK!$D:$D,VLOOKUP($K$38,TIME!$L$12:$M$17,2,FALSE),HIS_STOCK!$C:$C,STOCK_OVERVIEW!$O$4,HIS_STOCK!$A:$A,STOCK_OVERVIEW!$M$4)</f>
        <v>3282124.3428000002</v>
      </c>
      <c r="N61" s="683"/>
      <c r="O61" s="686">
        <f ca="1">SUMIFS(HIS_STOCK!$F:$F,HIS_STOCK!$E:$E,STOCK_OVERVIEW!O$40,HIS_STOCK!$D:$D,VLOOKUP($O$38,TIME!$L$12:$M$17,2,FALSE),HIS_STOCK!$C:$C,STOCK_OVERVIEW!$O$4,HIS_STOCK!$A:$A,STOCK_OVERVIEW!$M$4)</f>
        <v>2539484.8398000011</v>
      </c>
      <c r="P61" s="686">
        <f ca="1">SUMIFS(HIS_STOCK!$F:$F,HIS_STOCK!$E:$E,STOCK_OVERVIEW!P$40,HIS_STOCK!$D:$D,VLOOKUP($O$38,TIME!$L$12:$M$17,2,FALSE),HIS_STOCK!$C:$C,STOCK_OVERVIEW!$O$4,HIS_STOCK!$A:$A,STOCK_OVERVIEW!$M$4)</f>
        <v>0</v>
      </c>
      <c r="Q61" s="686">
        <f ca="1">SUMIFS(HIS_STOCK!$F:$F,HIS_STOCK!$E:$E,STOCK_OVERVIEW!Q$40,HIS_STOCK!$D:$D,VLOOKUP($O$38,TIME!$L$12:$M$17,2,FALSE),HIS_STOCK!$C:$C,STOCK_OVERVIEW!$O$4,HIS_STOCK!$A:$A,STOCK_OVERVIEW!$M$4)</f>
        <v>0</v>
      </c>
      <c r="R61" s="684"/>
      <c r="S61" s="685">
        <f ca="1">AVERAGE(C61:E61)</f>
        <v>2519211.1249999995</v>
      </c>
      <c r="T61" s="685">
        <f ca="1">AVERAGE(G61:I61)</f>
        <v>2578574.1502999999</v>
      </c>
      <c r="U61" s="685">
        <f ca="1">AVERAGE(K61:M61)</f>
        <v>3368228.8020000006</v>
      </c>
      <c r="V61" s="685">
        <f ca="1">AVERAGE(O61:Q61)</f>
        <v>846494.94660000037</v>
      </c>
      <c r="W61" s="637"/>
      <c r="X61" s="200" t="str">
        <f>NWC_FC_NOOS!$B$1</f>
        <v>VM</v>
      </c>
      <c r="Y61" s="25" t="str">
        <f>NWC_FC_NOOS!$B$57</f>
        <v>KNIT</v>
      </c>
      <c r="Z61" s="25" t="str">
        <f t="shared" ca="1" si="0"/>
        <v>VMKNIT19/20Feb</v>
      </c>
      <c r="AA61" s="25" t="str">
        <f>NWC_FC_NOOS!$I$1</f>
        <v>NOOS</v>
      </c>
      <c r="AB61" s="25" t="str">
        <f ca="1">NWC_FC_NOOS!$S$73</f>
        <v>19/20</v>
      </c>
      <c r="AC61" s="25" t="str">
        <f ca="1">NWC_FC_NOOS!$S$74</f>
        <v>Q3</v>
      </c>
      <c r="AD61" s="25" t="str">
        <f ca="1">NWC_FC_NOOS!$S$75</f>
        <v>Feb</v>
      </c>
      <c r="AE61" s="649" t="str">
        <f ca="1">IFERROR(HLOOKUP($AB61&amp;$AD61,NWC_FC_NOOS!$B$4:$Q$24,MATCH($Y61,NWC_FC_NOOS!$B$4:$B$24,0),FALSE),"")</f>
        <v/>
      </c>
      <c r="AF61" s="650" t="str">
        <f ca="1">IFERROR(HLOOKUP($AB61&amp;$AD61,NWC_FC_NOOS!$S$4:$AH$24,MATCH($Y61,NWC_FC_NOOS!$S$4:$S$24,0),FALSE),"")</f>
        <v/>
      </c>
      <c r="AG61" s="650">
        <f ca="1">IFERROR(HLOOKUP($AB61&amp;$AD61,NWC_FC_NOOS!$C$50:$U$70,MATCH($Y61,NWC_FC_NOOS!$B$50:$B$70,0),FALSE),"")</f>
        <v>0</v>
      </c>
      <c r="AH61" s="650" t="str">
        <f ca="1">IFERROR(IF($AA61="NOOS",HLOOKUP(STOCK_OVERVIEW!$AB61&amp;STOCK_OVERVIEW!$AD61,PLANNING_FC!$BB$27:$BP$46,MATCH(STOCK_OVERVIEW!$Y61,PLANNING_FC!$BA$27:$BA$46,0),FALSE),HLOOKUP($AB61&amp;$AD61,PLANNING_FC!$BB$4:$BP$23,MATCH(STOCK_OVERVIEW!$Y61,PLANNING_FC!$BA$4:$BA$23,0),FALSE)),"")</f>
        <v/>
      </c>
      <c r="AI61" s="650" t="str">
        <f ca="1">IFERROR(IF($AA61="NOOS",HLOOKUP(STOCK_OVERVIEW!$AB61&amp;STOCK_OVERVIEW!$AD61,PLANNING_FC!$T$27:$AH$46,MATCH(STOCK_OVERVIEW!$Y61,PLANNING_FC!$B$27:$B$46,0),FALSE),HLOOKUP($AB61&amp;$AD61,PLANNING_FC!$T$4:$AH$23,MATCH(STOCK_OVERVIEW!$Y61,PLANNING_FC!$B$4:$B$23,0),FALSE)),"")</f>
        <v/>
      </c>
      <c r="AJ61" s="650" t="str">
        <f ca="1">IFERROR(IF($AA61="NOOS",HLOOKUP(STOCK_OVERVIEW!$AB61&amp;STOCK_OVERVIEW!$AD61,PLANNING_FC!$DA$27:$DO$46,MATCH(STOCK_OVERVIEW!$Y61,PLANNING_FC!$CZ$27:$CZ$46,0),FALSE),HLOOKUP($AB61&amp;$AD61,PLANNING_FC!$DA$4:$DO$23,MATCH(STOCK_OVERVIEW!$Y61,PLANNING_FC!$CZ$4:$CZ$23,0),FALSE)),"")</f>
        <v/>
      </c>
      <c r="AK61" s="651" t="str">
        <f ca="1">IFERROR(IF(AA61="NOOS",HLOOKUP(AB61&amp;AD61,PLANNING_FC!$AJ$27:$AY$47,MATCH(STOCK_OVERVIEW!Y61,PLANNING_FC!$AJ$27:$AJ$47,0),FALSE)*1000,HLOOKUP(AB61&amp;AD61,PLANNING_FC!$AJ$4:$AY$24,MATCH(STOCK_OVERVIEW!Y61,PLANNING_FC!$AJ$4:$AJ$24,0),FALSE)*1000),"")</f>
        <v/>
      </c>
      <c r="AL61" s="638"/>
      <c r="AM61" s="638"/>
      <c r="AN61" s="638"/>
      <c r="AO61" s="638"/>
      <c r="AP61" s="638"/>
      <c r="AQ61" s="638"/>
      <c r="AR61" s="638"/>
      <c r="AS61" s="638"/>
    </row>
    <row r="62" spans="1:45" s="61" customFormat="1" x14ac:dyDescent="0.25">
      <c r="A62" s="62"/>
      <c r="B62" s="379" t="s">
        <v>241</v>
      </c>
      <c r="C62" s="629">
        <f ca="1">IF(C61&lt;D$9,C61/D$12,IF(C61&gt;SUM(D$9:$U$9),(C61-SUM(D$9:$U$9))/$U$12+4.3*COUNT(D$9:$U$9),IF(C61&gt;SUM(D$9:$T$9),(C61-SUM(D$9:$T$9))/$U$12+4.3*COUNT(D$9:$T$9),IF(C61&gt;SUM(D$9:$S$9),(C61-SUM(D$9:$S$9))/$T$12+4.3*COUNT(D$9:$S$9),IF(C61&gt;SUM(D$9:$Q$9),(C61-SUM(D$9:$Q$9))/$S$12+4.3*COUNT(D$9:$Q$9),IF(C61&gt;SUM(D$9:$P$9),(C61-SUM(D$9:$P$9))/$Q$12+4.3*COUNT(D$9:$P$9),IF(C61&gt;SUM(D$9:$O$9),(C61-SUM(D$9:$O$9))/$P$12+4.3*COUNT(D$9:$O$9),IF(C61&gt;SUM(D$9:$M$9),(C61-SUM(D$9:$M$9))/$O$12+4.3*COUNT(D$9:$M$9),IF(C61&gt;SUM(D$9:$L$9),(C61-SUM(D$9:$L$9))/$M$12+4.3*COUNT(D$9:$L$9),IF(C61&gt;SUM(D$9:$K$9),(C61-SUM(D$9:$K$9))/$L$12+4.3*COUNT(D$9:$K$9),IF(C61&gt;SUM(D$9:$I$9),(C61-SUM(D$9:$I$9))/$K$12+4.3*COUNT(D$9:$I$9),IF(C61&gt;SUM(D$9:$H$9),(C61-SUM(D$9:$H$9))/$I$12+4.3*COUNT(D$9:$H$9),IF(C61&gt;SUM(D$9:$G$9),(C61-SUM(D$9:$G$9))/$H$12+4.3*COUNT(D$9:$G$9),IF(C61&gt;SUM(D$9:$E$9),(C61-SUM(D$9:$E$9))/$G$12+4.3*COUNT(D$9:$E$9),IF(C61&gt;SUM(D$9:D$9),(C61-SUM(D$9:D$9))/$E$12+4.3*COUNT(D$9:D$9),"")))))))))))))))</f>
        <v>8.7883028197692816</v>
      </c>
      <c r="D62" s="629">
        <f ca="1">IF(D61&lt;E$9,D61/E$12,IF(D61&gt;SUM(E$9:$U$9),(D61-SUM(E$9:$U$9))/$U$12+4.3*COUNT(E$9:$U$9),IF(D61&gt;SUM(E$9:$T$9),(D61-SUM(E$9:$T$9))/$U$12+4.3*COUNT(E$9:$T$9),IF(D61&gt;SUM(E$9:$S$9),(D61-SUM(E$9:$S$9))/$T$12+4.3*COUNT(E$9:$S$9),IF(D61&gt;SUM(E$9:$Q$9),(D61-SUM(E$9:$Q$9))/$S$12+4.3*COUNT(E$9:$Q$9),IF(D61&gt;SUM(E$9:$P$9),(D61-SUM(E$9:$P$9))/$Q$12+4.3*COUNT(E$9:$P$9),IF(D61&gt;SUM(E$9:$O$9),(D61-SUM(E$9:$O$9))/$P$12+4.3*COUNT(E$9:$O$9),IF(D61&gt;SUM(E$9:$M$9),(D61-SUM(E$9:$M$9))/$O$12+4.3*COUNT(E$9:$M$9),IF(D61&gt;SUM(E$9:$L$9),(D61-SUM(E$9:$L$9))/$M$12+4.3*COUNT(E$9:$L$9),IF(D61&gt;SUM(E$9:$K$9),(D61-SUM(E$9:$K$9))/$L$12+4.3*COUNT(E$9:$K$9),IF(D61&gt;SUM(E$9:$I$9),(D61-SUM(E$9:$I$9))/$K$12+4.3*COUNT(E$9:$I$9),IF(D61&gt;SUM(E$9:$H$9),(D61-SUM(E$9:$H$9))/$I$12+4.3*COUNT(E$9:$H$9),IF(D61&gt;SUM(E$9:$G$9),(D61-SUM(E$9:$G$9))/$H$12+4.3*COUNT(E$9:$G$9),IF(D61&gt;SUM(E$9:$E$9),(D61-SUM(E$9:$E$9))/$G$12+4.3*COUNT(E$9:$E$9),IF(D61&gt;SUM(E$9:E$9),(D61-SUM(E$9:E$9))/$E$12+4.3*COUNT(E$9:E$9),"")))))))))))))))</f>
        <v>10.069634760041856</v>
      </c>
      <c r="E62" s="629">
        <f ca="1">IF(E61&lt;G$9,E61/G$12,IF(E61&gt;SUM(F$9:$U$9),(E61-SUM(F$9:$U$9))/$U$12+4.3*COUNT(F$9:$U$9),IF(E61&gt;SUM(F$9:$T$9),(E61-SUM(F$9:$T$9))/$U$12+4.3*COUNT(F$9:$T$9),IF(E61&gt;SUM(F$9:$S$9),(E61-SUM(F$9:$S$9))/$T$12+4.3*COUNT(F$9:$S$9),IF(E61&gt;SUM(F$9:$Q$9),(E61-SUM(F$9:$Q$9))/$S$12+4.3*COUNT(F$9:$Q$9),IF(E61&gt;SUM(F$9:$P$9),(E61-SUM(F$9:$P$9))/$Q$12+4.3*COUNT(F$9:$P$9),IF(E61&gt;SUM(F$9:$O$9),(E61-SUM(F$9:$O$9))/$P$12+4.3*COUNT(F$9:$O$9),IF(E61&gt;SUM(F$9:$M$9),(E61-SUM(F$9:$M$9))/$O$12+4.3*COUNT(F$9:$M$9),IF(E61&gt;SUM(F$9:$L$9),(E61-SUM(F$9:$L$9))/$M$12+4.3*COUNT(F$9:$L$9),IF(E61&gt;SUM(F$9:$K$9),(E61-SUM(F$9:$K$9))/$L$12+4.3*COUNT(F$9:$K$9),IF(E61&gt;SUM(F$9:$I$9),(E61-SUM(F$9:$I$9))/$K$12+4.3*COUNT(F$9:$I$9),IF(E61&gt;SUM(F$9:$H$9),(E61-SUM(F$9:$H$9))/$I$12+4.3*COUNT(F$9:$H$9),IF(E61&gt;SUM(F$9:$G$9),(E61-SUM(F$9:$G$9))/$H$12+4.3*COUNT(F$9:$G$9),IF(E61&gt;SUM($E$9:F$9),(E61-SUM($E$9:F$9))/$G$12+4.3*COUNT($E$9:F$9),IF(E61&gt;SUM(F$9:F$9),(E61-SUM(F$9:F$9))/$E$12+4.3*COUNT(F$9:F$9),"")))))))))))))))</f>
        <v>12.665886491409871</v>
      </c>
      <c r="F62" s="604"/>
      <c r="G62" s="629">
        <f ca="1">IF(G61&lt;H$9,G61/H$12,IF(G61&gt;SUM(H$9:$U$9),(G61-SUM(H$9:$U$9))/$U$12+4.3*COUNT(H$9:$U$9),IF(G61&gt;SUM(H$9:$T$9),(G61-SUM(H$9:$T$9))/$U$12+4.3*COUNT(H$9:$T$9),IF(G61&gt;SUM(H$9:$S$9),(G61-SUM(H$9:$S$9))/$T$12+4.3*COUNT(H$9:$S$9),IF(G61&gt;SUM(H$9:$Q$9),(G61-SUM(H$9:$Q$9))/$S$12+4.3*COUNT(H$9:$Q$9),IF(G61&gt;SUM(H$9:$P$9),(G61-SUM(H$9:$P$9))/$Q$12+4.3*COUNT(H$9:$P$9),IF(G61&gt;SUM(H$9:$O$9),(G61-SUM(H$9:$O$9))/$P$12+4.3*COUNT(H$9:$O$9),IF(G61&gt;SUM(H$9:$M$9),(G61-SUM(H$9:$M$9))/$O$12+4.3*COUNT(H$9:$M$9),IF(G61&gt;SUM(H$9:$L$9),(G61-SUM(H$9:$L$9))/$M$12+4.3*COUNT(H$9:$L$9),IF(G61&gt;SUM(H$9:$K$9),(G61-SUM(H$9:$K$9))/$L$12+4.3*COUNT(H$9:$K$9),IF(G61&gt;SUM(H$9:$I$9),(G61-SUM(H$9:$I$9))/$K$12+4.3*COUNT(H$9:$I$9),IF(G61&gt;SUM(H$9:$H$9),(G61-SUM(H$9:$H$9))/$I$12+4.3*COUNT(H$9:$H$9),IF(G61&gt;SUM($G$9:H$9),(G61-SUM($G$9:H$9))/$H$12+4.3*COUNT($G$9:H$9),IF(G61&gt;SUM($E$9:H$9),(G61-SUM($E$9:H$9))/$G$12+4.3*COUNT($E$9:H$9),IF(G61&gt;SUM(H$9:H$9),(G61-SUM(H$9:H$9))/$E$12+4.3*COUNT(H$9:H$9),"")))))))))))))))</f>
        <v>12.247573321851199</v>
      </c>
      <c r="H62" s="629">
        <f ca="1">IF(H61&lt;I$9,H61/I$12,IF(H61&gt;SUM(I$9:$U$9),(H61-SUM(I$9:$U$9))/$U$12+4.3*COUNT(I$9:$U$9),IF(H61&gt;SUM(I$9:$T$9),(H61-SUM(I$9:$T$9))/$U$12+4.3*COUNT(I$9:$T$9),IF(H61&gt;SUM(I$9:$S$9),(H61-SUM(I$9:$S$9))/$T$12+4.3*COUNT(I$9:$S$9),IF(H61&gt;SUM(I$9:$Q$9),(H61-SUM(I$9:$Q$9))/$S$12+4.3*COUNT(I$9:$Q$9),IF(H61&gt;SUM(I$9:$P$9),(H61-SUM(I$9:$P$9))/$Q$12+4.3*COUNT(I$9:$P$9),IF(H61&gt;SUM(I$9:$O$9),(H61-SUM(I$9:$O$9))/$P$12+4.3*COUNT(I$9:$O$9),IF(H61&gt;SUM(I$9:$M$9),(H61-SUM(I$9:$M$9))/$O$12+4.3*COUNT(I$9:$M$9),IF(H61&gt;SUM(I$9:$L$9),(H61-SUM(I$9:$L$9))/$M$12+4.3*COUNT(I$9:$L$9),IF(H61&gt;SUM(I$9:$K$9),(H61-SUM(I$9:$K$9))/$L$12+4.3*COUNT(I$9:$K$9),IF(H61&gt;SUM(I$9:$I$9),(H61-SUM(I$9:$I$9))/$K$12+4.3*COUNT(I$9:$I$9),IF(H61&gt;SUM($H$9:I$9),(H61-SUM($H$9:I$9))/$I$12+4.3*COUNT($H$9:I$9),IF(H61&gt;SUM($G$9:I$9),(H61-SUM($G$9:I$9))/$H$12+4.3*COUNT($G$9:I$9),IF(H61&gt;SUM($E$9:I$9),(H61-SUM($E$9:I$9))/$G$12+4.3*COUNT($E$9:I$9),IF(H61&gt;SUM(I$9:I$9),(H61-SUM(I$9:I$9))/$E$12+4.3*COUNT(I$9:I$9),"")))))))))))))))</f>
        <v>10.50900795291286</v>
      </c>
      <c r="I62" s="629">
        <f ca="1">IF(I61&lt;K$9,I61/K$12,IF(I61&gt;SUM(J$9:$U$9),(I61-SUM(J$9:$U$9))/$U$12+4.3*COUNT(J$9:$U$9),IF(I61&gt;SUM(J$9:$T$9),(I61-SUM(J$9:$T$9))/$U$12+4.3*COUNT(J$9:$T$9),IF(I61&gt;SUM(J$9:$S$9),(I61-SUM(J$9:$S$9))/$T$12+4.3*COUNT(J$9:$S$9),IF(I61&gt;SUM(J$9:$Q$9),(I61-SUM(J$9:$Q$9))/$S$12+4.3*COUNT(J$9:$Q$9),IF(I61&gt;SUM(J$9:$P$9),(I61-SUM(J$9:$P$9))/$Q$12+4.3*COUNT(J$9:$P$9),IF(I61&gt;SUM(J$9:$O$9),(I61-SUM(J$9:$O$9))/$P$12+4.3*COUNT(J$9:$O$9),IF(I61&gt;SUM(J$9:$M$9),(I61-SUM(J$9:$M$9))/$O$12+4.3*COUNT(J$9:$M$9),IF(I61&gt;SUM(J$9:$L$9),(I61-SUM(J$9:$L$9))/$M$12+4.3*COUNT(J$9:$L$9),IF(I61&gt;SUM(J$9:$K$9),(I61-SUM(J$9:$K$9))/$L$12+4.3*COUNT(J$9:$K$9),IF(I61&gt;SUM($I$9:J$9),(I61-SUM($I$9:J$9))/$K$12+4.3*COUNT($I$9:J$9),IF(I61&gt;SUM($H$9:J$9),(I61-SUM($H$9:J$9))/$I$12+4.3*COUNT($H$9:J$9),IF(I61&gt;SUM($G$9:J$9),(I61-SUM($G$9:J$9))/$H$12+4.3*COUNT($G$9:J$9),IF(I61&gt;SUM($E$9:J$9),(I61-SUM($E$9:J$9))/$G$12+4.3*COUNT($E$9:J$9),IF(I61&gt;SUM(J$9:J$9),(I61-SUM(J$9:J$9))/$E$12+4.3*COUNT(J$9:J$9),"")))))))))))))))</f>
        <v>8.6061871060299975</v>
      </c>
      <c r="J62" s="604"/>
      <c r="K62" s="629">
        <f ca="1">IF(K61&lt;L$9,K61/L$12,IF(K61&gt;SUM(L$9:$U$9),(K61-SUM(L$9:$U$9))/$U$12+4.3*COUNT(L$9:$U$9),IF(K61&gt;SUM(L$9:$T$9),(K61-SUM(L$9:$T$9))/$U$12+4.3*COUNT(L$9:$T$9),IF(K61&gt;SUM(L$9:$S$9),(K61-SUM(L$9:$S$9))/$T$12+4.3*COUNT(L$9:$S$9),IF(K61&gt;SUM(L$9:$Q$9),(K61-SUM(L$9:$Q$9))/$S$12+4.3*COUNT(L$9:$Q$9),IF(K61&gt;SUM(L$9:$P$9),(K61-SUM(L$9:$P$9))/$Q$12+4.3*COUNT(L$9:$P$9),IF(K61&gt;SUM(L$9:$O$9),(K61-SUM(L$9:$O$9))/$P$12+4.3*COUNT(L$9:$O$9),IF(K61&gt;SUM(L$9:$M$9),(K61-SUM(L$9:$M$9))/$O$12+4.3*COUNT(L$9:$M$9),IF(K61&gt;SUM(L$9:$L$9),(K61-SUM(L$9:$L$9))/$M$12+4.3*COUNT(L$9:$L$9),IF(K61&gt;SUM($K$9:L$9),(K61-SUM($K$9:L$9))/$L$12+4.3*COUNT($K$9:L$9),IF(K61&gt;SUM($I$9:L$9),(K61-SUM($I$9:L$9))/$K$12+4.3*COUNT($I$9:L$9),IF(K61&gt;SUM($H$9:L$9),(K61-SUM($H$9:L$9))/$I$12+4.3*COUNT($H$9:L$9),IF(K61&gt;SUM($G$9:L$9),(K61-SUM($G$9:L$9))/$H$12+4.3*COUNT($G$9:L$9),IF(K61&gt;SUM($E$9:L$9),(K61-SUM($E$9:L$9))/$G$12+4.3*COUNT($E$9:L$9),IF(K61&gt;SUM(L$9:L$9),(K61-SUM(L$9:L$9))/$E$12+4.3*COUNT(L$9:L$9),"")))))))))))))))</f>
        <v>9.1784887033944713</v>
      </c>
      <c r="L62" s="629" t="e">
        <f ca="1">IF(L61&lt;M$9,L61/M$12,IF(L61&gt;SUM(M$9:$U$9),(L61-SUM(M$9:$U$9))/$U$12+4.3*COUNT(M$9:$U$9),IF(L61&gt;SUM(M$9:$T$9),(L61-SUM(M$9:$T$9))/$U$12+4.3*COUNT(M$9:$T$9),IF(L61&gt;SUM(M$9:$S$9),(L61-SUM(M$9:$S$9))/$T$12+4.3*COUNT(M$9:$S$9),IF(L61&gt;SUM(M$9:$Q$9),(L61-SUM(M$9:$Q$9))/$S$12+4.3*COUNT(M$9:$Q$9),IF(L61&gt;SUM(M$9:$P$9),(L61-SUM(M$9:$P$9))/$Q$12+4.3*COUNT(M$9:$P$9),IF(L61&gt;SUM(M$9:$O$9),(L61-SUM(M$9:$O$9))/$P$12+4.3*COUNT(M$9:$O$9),IF(L61&gt;SUM(M$9:$M$9),(L61-SUM(M$9:$M$9))/$O$12+4.3*COUNT(M$9:$M$9),IF(L61&gt;SUM($L$9:M$9),(L61-SUM($L$9:M$9))/$M$12+4.3*COUNT($L$9:M$9),IF(L61&gt;SUM($K$9:M$9),(L61-SUM($K$9:M$9))/$L$12+4.3*COUNT($K$9:M$9),IF(L61&gt;SUM($I$9:M$9),(L61-SUM($I$9:M$9))/$K$12+4.3*COUNT($I$9:M$9),IF(L61&gt;SUM($H$9:M$9),(L61-SUM($H$9:M$9))/$I$12+4.3*COUNT($H$9:M$9),IF(L61&gt;SUM($G$9:M$9),(L61-SUM($G$9:M$9))/$H$12+4.3*COUNT($G$9:M$9),IF(L61&gt;SUM($E$9:M$9),(L61-SUM($E$9:M$9))/$G$12+4.3*COUNT($E$9:M$9),IF(L61&gt;SUM(M$9:M$9),(L61-SUM(M$9:M$9))/$E$12+4.3*COUNT(M$9:M$9),"")))))))))))))))</f>
        <v>#DIV/0!</v>
      </c>
      <c r="M62" s="629" t="e">
        <f ca="1">IF(M61&lt;O$9,M61/O$12,IF(M61&gt;SUM(N$9:$U$9),(M61-SUM(N$9:$U$9))/$U$12+4.3*COUNT(N$9:$U$9),IF(M61&gt;SUM(N$9:$T$9),(M61-SUM(N$9:$T$9))/$U$12+4.3*COUNT(N$9:$T$9),IF(M61&gt;SUM(N$9:$S$9),(M61-SUM(N$9:$S$9))/$T$12+4.3*COUNT(N$9:$S$9),IF(M61&gt;SUM(N$9:$Q$9),(M61-SUM(N$9:$Q$9))/$S$12+4.3*COUNT(N$9:$Q$9),IF(M61&gt;SUM(N$9:$P$9),(M61-SUM(N$9:$P$9))/$Q$12+4.3*COUNT(N$9:$P$9),IF(M61&gt;SUM(N$9:$O$9),(M61-SUM(N$9:$O$9))/$P$12+4.3*COUNT(N$9:$O$9),IF(M61&gt;SUM($M$9:N$9),(M61-SUM($M$9:N$9))/$O$12+4.3*COUNT($M$9:N$9),IF(M61&gt;SUM($L$9:N$9),(M61-SUM($L$9:N$9))/$M$12+4.3*COUNT($L$9:N$9),IF(M61&gt;SUM($K$9:N$9),(M61-SUM($K$9:N$9))/$L$12+4.3*COUNT($K$9:N$9),IF(M61&gt;SUM($I$9:N$9),(M61-SUM($I$9:N$9))/$K$12+4.3*COUNT($I$9:N$9),IF(M61&gt;SUM($H$9:N$9),(M61-SUM($H$9:N$9))/$I$12+4.3*COUNT($H$9:N$9),IF(M61&gt;SUM($G$9:N$9),(M61-SUM($G$9:N$9))/$H$12+4.3*COUNT($G$9:N$9),IF(M61&gt;SUM($E$9:N$9),(M61-SUM($E$9:N$9))/$G$12+4.3*COUNT($E$9:N$9),IF(M61&gt;SUM(N$9:N$9),(M61-SUM(N$9:N$9))/$E$12+4.3*COUNT(N$9:N$9),"")))))))))))))))</f>
        <v>#DIV/0!</v>
      </c>
      <c r="N62" s="604"/>
      <c r="O62" s="629" t="e">
        <f ca="1">IF(O61&lt;P$9,O61/P$12,IF(O61&gt;SUM(P$9:$U$9),(O61-SUM(P$9:$U$9))/$U$12+4.3*COUNT(P$9:$U$9),IF(O61&gt;SUM(P$9:$T$9),(O61-SUM(P$9:$T$9))/$U$12+4.3*COUNT(P$9:$T$9),IF(O61&gt;SUM(P$9:$S$9),(O61-SUM(P$9:$S$9))/$T$12+4.3*COUNT(P$9:$S$9),IF(O61&gt;SUM(P$9:$Q$9),(O61-SUM(P$9:$Q$9))/$S$12+4.3*COUNT(P$9:$Q$9),IF(O61&gt;SUM(P$9:$P$9),(O61-SUM(P$9:$P$9))/$Q$12+4.3*COUNT(P$9:$P$9),IF(O61&gt;SUM($O$9:P$9),(O61-SUM($O$9:P$9))/$P$12+4.3*COUNT($O$9:P$9),IF(O61&gt;SUM($M$9:P$9),(O61-SUM($M$9:P$9))/$O$12+4.3*COUNT($M$9:P$9),IF(O61&gt;SUM($L$9:P$9),(O61-SUM($L$9:P$9))/$M$12+4.3*COUNT($L$9:P$9),IF(O61&gt;SUM($K$9:P$9),(O61-SUM($K$9:P$9))/$L$12+4.3*COUNT($K$9:P$9),IF(O61&gt;SUM($I$9:P$9),(O61-SUM($I$9:P$9))/$K$12+4.3*COUNT($I$9:P$9),IF(O61&gt;SUM($H$9:P$9),(O61-SUM($H$9:P$9))/$I$12+4.3*COUNT($H$9:P$9),IF(O61&gt;SUM($G$9:P$9),(O61-SUM($G$9:P$9))/$H$12+4.3*COUNT($G$9:P$9),IF(O61&gt;SUM($E$9:P$9),(O61-SUM($E$9:P$9))/$G$12+4.3*COUNT($E$9:P$9),IF(O61&gt;SUM(P$9:P$9),(O61-SUM(P$9:P$9))/$E$12+4.3*COUNT(P$9:P$9),"")))))))))))))))</f>
        <v>#DIV/0!</v>
      </c>
      <c r="P62" s="629" t="str">
        <f ca="1">IF(P61&lt;Q$9,P61/Q$12,IF(P61&gt;SUM(Q$9:$U$9),(P61-SUM(Q$9:$U$9))/$U$12+4.3*COUNT(Q$9:$U$9),IF(P61&gt;SUM(Q$9:$T$9),(P61-SUM(Q$9:$T$9))/$U$12+4.3*COUNT(Q$9:$T$9),IF(P61&gt;SUM(Q$9:$S$9),(P61-SUM(Q$9:$S$9))/$T$12+4.3*COUNT(Q$9:$S$9),IF(P61&gt;SUM(Q$9:$Q$9),(P61-SUM(Q$9:$Q$9))/$S$12+4.3*COUNT(Q$9:$Q$9),IF(P61&gt;SUM($P$9:Q$9),(P61-SUM($P$9:Q$9))/$Q$12+4.3*COUNT($P$9:Q$9),IF(P61&gt;SUM($O$9:Q$9),(P61-SUM($O$9:Q$9))/$P$12+4.3*COUNT($O$9:Q$9),IF(P61&gt;SUM($M$9:Q$9),(P61-SUM($M$9:Q$9))/$O$12+4.3*COUNT($M$9:Q$9),IF(P61&gt;SUM($L$9:Q$9),(P61-SUM($L$9:Q$9))/$M$12+4.3*COUNT($L$9:Q$9),IF(P61&gt;SUM($K$9:Q$9),(P61-SUM($K$9:Q$9))/$L$12+4.3*COUNT($K$9:Q$9),IF(P61&gt;SUM($I$9:Q$9),(P61-SUM($I$9:Q$9))/$K$12+4.3*COUNT($I$9:Q$9),IF(P61&gt;SUM($H$9:Q$9),(P61-SUM($H$9:Q$9))/$I$12+4.3*COUNT($H$9:Q$9),IF(P61&gt;SUM($G$9:Q$9),(P61-SUM($G$9:Q$9))/$H$12+4.3*COUNT($G$9:Q$9),IF(P61&gt;SUM($E$9:Q$9),(P61-SUM($E$9:Q$9))/$G$12+4.3*COUNT($E$9:Q$9),IF(P61&gt;SUM(Q$9:Q$9),(P61-SUM(Q$9:Q$9))/$E$12+4.3*COUNT(Q$9:Q$9),"")))))))))))))))</f>
        <v/>
      </c>
      <c r="Q62" s="629" t="str">
        <f ca="1">IF(Q61&lt;S$9,Q61/S$12,IF(Q61&gt;SUM(R$9:$U$9),(Q61-SUM(R$9:$U$9))/$U$12+4.3*COUNT(R$9:$U$9),IF(Q61&gt;SUM(R$9:$T$9),(Q61-SUM(R$9:$T$9))/$U$12+4.3*COUNT(R$9:$T$9),IF(Q61&gt;SUM(R$9:$S$9),(Q61-SUM(R$9:$S$9))/$T$12+4.3*COUNT(R$9:$S$9),IF(Q61&gt;SUM($Q$9:R$9),(Q61-SUM($Q$9:R$9))/$S$12+4.3*COUNT($Q$9:R$9),IF(Q61&gt;SUM($P$9:R$9),(Q61-SUM($P$9:R$9))/$Q$12+4.3*COUNT($P$9:R$9),IF(Q61&gt;SUM($O$9:R$9),(Q61-SUM($O$9:R$9))/$P$12+4.3*COUNT($O$9:R$9),IF(Q61&gt;SUM($M$9:R$9),(Q61-SUM($M$9:R$9))/$O$12+4.3*COUNT($M$9:R$9),IF(Q61&gt;SUM($L$9:R$9),(Q61-SUM($L$9:R$9))/$M$12+4.3*COUNT($L$9:R$9),IF(Q61&gt;SUM($K$9:R$9),(Q61-SUM($K$9:R$9))/$L$12+4.3*COUNT($K$9:R$9),IF(Q61&gt;SUM($I$9:R$9),(Q61-SUM($I$9:R$9))/$K$12+4.3*COUNT($I$9:R$9),IF(Q61&gt;SUM($H$9:R$9),(Q61-SUM($H$9:R$9))/$I$12+4.3*COUNT($H$9:R$9),IF(Q61&gt;SUM($G$9:R$9),(Q61-SUM($G$9:R$9))/$H$12+4.3*COUNT($G$9:R$9),IF(Q61&gt;SUM($E$9:R$9),(Q61-SUM($E$9:R$9))/$G$12+4.3*COUNT($E$9:R$9),IF(Q61&gt;SUM(R$9:R$9),(Q61-SUM(R$9:R$9))/$E$12+4.3*COUNT(R$9:R$9),"")))))))))))))))</f>
        <v/>
      </c>
      <c r="R62" s="449"/>
      <c r="S62" s="699"/>
      <c r="T62" s="699"/>
      <c r="U62" s="699"/>
      <c r="V62" s="699"/>
      <c r="W62" s="637"/>
      <c r="X62" s="200" t="str">
        <f>NWC_FC_NOOS!$B$1</f>
        <v>VM</v>
      </c>
      <c r="Y62" s="25" t="str">
        <f>NWC_FC_NOOS!$B$57</f>
        <v>KNIT</v>
      </c>
      <c r="Z62" s="25" t="str">
        <f t="shared" ca="1" si="0"/>
        <v>VMKNIT19/20Mar</v>
      </c>
      <c r="AA62" s="25" t="str">
        <f>NWC_FC_NOOS!$I$1</f>
        <v>NOOS</v>
      </c>
      <c r="AB62" s="25" t="str">
        <f ca="1">NWC_FC_NOOS!$S$73</f>
        <v>19/20</v>
      </c>
      <c r="AC62" s="25" t="str">
        <f ca="1">NWC_FC_NOOS!$S$74</f>
        <v>Q3</v>
      </c>
      <c r="AD62" s="25" t="str">
        <f ca="1">NWC_FC_NOOS!$T$75</f>
        <v>Mar</v>
      </c>
      <c r="AE62" s="649" t="str">
        <f ca="1">IFERROR(HLOOKUP($AB62&amp;$AD62,NWC_FC_NOOS!$B$4:$Q$24,MATCH($Y62,NWC_FC_NOOS!$B$4:$B$24,0),FALSE),"")</f>
        <v/>
      </c>
      <c r="AF62" s="650" t="str">
        <f ca="1">IFERROR(HLOOKUP($AB62&amp;$AD62,NWC_FC_NOOS!$S$4:$AH$24,MATCH($Y62,NWC_FC_NOOS!$S$4:$S$24,0),FALSE),"")</f>
        <v/>
      </c>
      <c r="AG62" s="650">
        <f ca="1">IFERROR(HLOOKUP($AB62&amp;$AD62,NWC_FC_NOOS!$C$50:$U$70,MATCH($Y62,NWC_FC_NOOS!$B$50:$B$70,0),FALSE),"")</f>
        <v>0</v>
      </c>
      <c r="AH62" s="650" t="str">
        <f ca="1">IFERROR(IF($AA62="NOOS",HLOOKUP(STOCK_OVERVIEW!$AB62&amp;STOCK_OVERVIEW!$AD62,PLANNING_FC!$BB$27:$BP$46,MATCH(STOCK_OVERVIEW!$Y62,PLANNING_FC!$BA$27:$BA$46,0),FALSE),HLOOKUP($AB62&amp;$AD62,PLANNING_FC!$BB$4:$BP$23,MATCH(STOCK_OVERVIEW!$Y62,PLANNING_FC!$BA$4:$BA$23,0),FALSE)),"")</f>
        <v/>
      </c>
      <c r="AI62" s="650" t="str">
        <f ca="1">IFERROR(IF($AA62="NOOS",HLOOKUP(STOCK_OVERVIEW!$AB62&amp;STOCK_OVERVIEW!$AD62,PLANNING_FC!$T$27:$AH$46,MATCH(STOCK_OVERVIEW!$Y62,PLANNING_FC!$B$27:$B$46,0),FALSE),HLOOKUP($AB62&amp;$AD62,PLANNING_FC!$T$4:$AH$23,MATCH(STOCK_OVERVIEW!$Y62,PLANNING_FC!$B$4:$B$23,0),FALSE)),"")</f>
        <v/>
      </c>
      <c r="AJ62" s="650" t="str">
        <f ca="1">IFERROR(IF($AA62="NOOS",HLOOKUP(STOCK_OVERVIEW!$AB62&amp;STOCK_OVERVIEW!$AD62,PLANNING_FC!$DA$27:$DO$46,MATCH(STOCK_OVERVIEW!$Y62,PLANNING_FC!$CZ$27:$CZ$46,0),FALSE),HLOOKUP($AB62&amp;$AD62,PLANNING_FC!$DA$4:$DO$23,MATCH(STOCK_OVERVIEW!$Y62,PLANNING_FC!$CZ$4:$CZ$23,0),FALSE)),"")</f>
        <v/>
      </c>
      <c r="AK62" s="651" t="str">
        <f ca="1">IFERROR(IF(AA62="NOOS",HLOOKUP(AB62&amp;AD62,PLANNING_FC!$AJ$27:$AY$47,MATCH(STOCK_OVERVIEW!Y62,PLANNING_FC!$AJ$27:$AJ$47,0),FALSE)*1000,HLOOKUP(AB62&amp;AD62,PLANNING_FC!$AJ$4:$AY$24,MATCH(STOCK_OVERVIEW!Y62,PLANNING_FC!$AJ$4:$AJ$24,0),FALSE)*1000),"")</f>
        <v/>
      </c>
      <c r="AL62" s="638"/>
      <c r="AM62" s="638"/>
      <c r="AN62" s="638"/>
      <c r="AO62" s="638"/>
      <c r="AP62" s="638"/>
      <c r="AQ62" s="638"/>
      <c r="AR62" s="643"/>
      <c r="AS62" s="638"/>
    </row>
    <row r="63" spans="1:45" s="61" customFormat="1" x14ac:dyDescent="0.25">
      <c r="A63" s="62"/>
      <c r="B63" s="599"/>
      <c r="C63" s="599"/>
      <c r="D63" s="599"/>
      <c r="E63" s="599"/>
      <c r="F63" s="449"/>
      <c r="G63" s="599"/>
      <c r="H63" s="599"/>
      <c r="I63" s="599"/>
      <c r="J63" s="94"/>
      <c r="K63" s="820"/>
      <c r="L63" s="820"/>
      <c r="M63" s="820"/>
      <c r="N63" s="94"/>
      <c r="O63" s="820"/>
      <c r="P63" s="820"/>
      <c r="Q63" s="820"/>
      <c r="R63" s="206"/>
      <c r="S63" s="204"/>
      <c r="T63" s="204"/>
      <c r="U63" s="205"/>
      <c r="V63" s="204"/>
      <c r="W63" s="637"/>
      <c r="X63" s="200" t="str">
        <f>NWC_FC_NOOS!$B$1</f>
        <v>VM</v>
      </c>
      <c r="Y63" s="25" t="str">
        <f>NWC_FC_NOOS!$B$57</f>
        <v>KNIT</v>
      </c>
      <c r="Z63" s="25" t="str">
        <f t="shared" ca="1" si="0"/>
        <v>VMKNIT19/20Apr</v>
      </c>
      <c r="AA63" s="25" t="str">
        <f>NWC_FC_NOOS!$I$1</f>
        <v>NOOS</v>
      </c>
      <c r="AB63" s="25" t="str">
        <f ca="1">NWC_FC_NOOS!$S$73</f>
        <v>19/20</v>
      </c>
      <c r="AC63" s="25" t="str">
        <f ca="1">NWC_FC_NOOS!$S$74</f>
        <v>Q3</v>
      </c>
      <c r="AD63" s="25" t="str">
        <f ca="1">NWC_FC_NOOS!$U$75</f>
        <v>Apr</v>
      </c>
      <c r="AE63" s="649" t="str">
        <f ca="1">IFERROR(HLOOKUP($AB63&amp;$AD63,NWC_FC_NOOS!$B$4:$Q$24,MATCH($Y63,NWC_FC_NOOS!$B$4:$B$24,0),FALSE),"")</f>
        <v/>
      </c>
      <c r="AF63" s="650" t="str">
        <f ca="1">IFERROR(HLOOKUP($AB63&amp;$AD63,NWC_FC_NOOS!$S$4:$AH$24,MATCH($Y63,NWC_FC_NOOS!$S$4:$S$24,0),FALSE),"")</f>
        <v/>
      </c>
      <c r="AG63" s="650">
        <f ca="1">IFERROR(HLOOKUP($AB63&amp;$AD63,NWC_FC_NOOS!$C$50:$U$70,MATCH($Y63,NWC_FC_NOOS!$B$50:$B$70,0),FALSE),"")</f>
        <v>0</v>
      </c>
      <c r="AH63" s="650" t="str">
        <f ca="1">IFERROR(IF($AA63="NOOS",HLOOKUP(STOCK_OVERVIEW!$AB63&amp;STOCK_OVERVIEW!$AD63,PLANNING_FC!$BB$27:$BP$46,MATCH(STOCK_OVERVIEW!$Y63,PLANNING_FC!$BA$27:$BA$46,0),FALSE),HLOOKUP($AB63&amp;$AD63,PLANNING_FC!$BB$4:$BP$23,MATCH(STOCK_OVERVIEW!$Y63,PLANNING_FC!$BA$4:$BA$23,0),FALSE)),"")</f>
        <v/>
      </c>
      <c r="AI63" s="650" t="str">
        <f ca="1">IFERROR(IF($AA63="NOOS",HLOOKUP(STOCK_OVERVIEW!$AB63&amp;STOCK_OVERVIEW!$AD63,PLANNING_FC!$T$27:$AH$46,MATCH(STOCK_OVERVIEW!$Y63,PLANNING_FC!$B$27:$B$46,0),FALSE),HLOOKUP($AB63&amp;$AD63,PLANNING_FC!$T$4:$AH$23,MATCH(STOCK_OVERVIEW!$Y63,PLANNING_FC!$B$4:$B$23,0),FALSE)),"")</f>
        <v/>
      </c>
      <c r="AJ63" s="650" t="str">
        <f ca="1">IFERROR(IF($AA63="NOOS",HLOOKUP(STOCK_OVERVIEW!$AB63&amp;STOCK_OVERVIEW!$AD63,PLANNING_FC!$DA$27:$DO$46,MATCH(STOCK_OVERVIEW!$Y63,PLANNING_FC!$CZ$27:$CZ$46,0),FALSE),HLOOKUP($AB63&amp;$AD63,PLANNING_FC!$DA$4:$DO$23,MATCH(STOCK_OVERVIEW!$Y63,PLANNING_FC!$CZ$4:$CZ$23,0),FALSE)),"")</f>
        <v/>
      </c>
      <c r="AK63" s="651" t="str">
        <f ca="1">IFERROR(IF(AA63="NOOS",HLOOKUP(AB63&amp;AD63,PLANNING_FC!$AJ$27:$AY$47,MATCH(STOCK_OVERVIEW!Y63,PLANNING_FC!$AJ$27:$AJ$47,0),FALSE)*1000,HLOOKUP(AB63&amp;AD63,PLANNING_FC!$AJ$4:$AY$24,MATCH(STOCK_OVERVIEW!Y63,PLANNING_FC!$AJ$4:$AJ$24,0),FALSE)*1000),"")</f>
        <v/>
      </c>
      <c r="AL63" s="638"/>
      <c r="AM63" s="638"/>
      <c r="AN63" s="638"/>
      <c r="AO63" s="638"/>
      <c r="AP63" s="638"/>
      <c r="AQ63" s="638"/>
      <c r="AR63" s="638"/>
      <c r="AS63" s="638"/>
    </row>
    <row r="64" spans="1:45" s="61" customFormat="1" x14ac:dyDescent="0.25">
      <c r="A64" s="62"/>
      <c r="D64" s="829"/>
      <c r="F64" s="19"/>
      <c r="J64" s="19"/>
      <c r="N64" s="19"/>
      <c r="R64" s="19"/>
      <c r="S64" s="637"/>
      <c r="T64" s="637"/>
      <c r="U64" s="636"/>
      <c r="V64" s="637"/>
      <c r="W64" s="637"/>
      <c r="X64" s="200" t="str">
        <f>NWC_FC_NOOS!$B$1</f>
        <v>VM</v>
      </c>
      <c r="Y64" s="25" t="str">
        <f>NWC_FC_NOOS!$B$58</f>
        <v>OUTERWEAR</v>
      </c>
      <c r="Z64" s="25" t="str">
        <f t="shared" ca="1" si="0"/>
        <v>VMOUTERWEAR18/19Feb</v>
      </c>
      <c r="AA64" s="25" t="str">
        <f>NWC_FC_NOOS!$I$1</f>
        <v>NOOS</v>
      </c>
      <c r="AB64" s="25" t="str">
        <f ca="1">NWC_FC_NOOS!$C$73</f>
        <v>18/19</v>
      </c>
      <c r="AC64" s="25" t="str">
        <f ca="1">NWC_FC_NOOS!$C$74</f>
        <v>Q3</v>
      </c>
      <c r="AD64" s="25" t="str">
        <f ca="1">NWC_FC_NOOS!$C$75</f>
        <v>Feb</v>
      </c>
      <c r="AE64" s="649">
        <f ca="1">IFERROR(HLOOKUP($AB64&amp;$AD64,NWC_FC_NOOS!$B$4:$Q$24,MATCH($Y64,NWC_FC_NOOS!$B$4:$B$24,0),FALSE),"")</f>
        <v>0</v>
      </c>
      <c r="AF64" s="650">
        <f ca="1">IFERROR(HLOOKUP($AB64&amp;$AD64,NWC_FC_NOOS!$S$4:$AH$24,MATCH($Y64,NWC_FC_NOOS!$S$4:$S$24,0),FALSE),"")</f>
        <v>0</v>
      </c>
      <c r="AG64" s="650">
        <f ca="1">IFERROR(HLOOKUP($AB64&amp;$AD64,NWC_FC_NOOS!$C$50:$U$70,MATCH($Y64,NWC_FC_NOOS!$B$50:$B$70,0),FALSE),"")</f>
        <v>0</v>
      </c>
      <c r="AH64" s="650">
        <f ca="1">IFERROR(IF($AA64="NOOS",HLOOKUP(STOCK_OVERVIEW!$AB64&amp;STOCK_OVERVIEW!$AD64,PLANNING_FC!$BB$27:$BP$46,MATCH(STOCK_OVERVIEW!$Y64,PLANNING_FC!$BA$27:$BA$46,0),FALSE),HLOOKUP($AB64&amp;$AD64,PLANNING_FC!$BB$4:$BP$23,MATCH(STOCK_OVERVIEW!$Y64,PLANNING_FC!$BA$4:$BA$23,0),FALSE)),"")</f>
        <v>0</v>
      </c>
      <c r="AI64" s="650">
        <f ca="1">IFERROR(IF($AA64="NOOS",HLOOKUP(STOCK_OVERVIEW!$AB64&amp;STOCK_OVERVIEW!$AD64,PLANNING_FC!$T$27:$AH$46,MATCH(STOCK_OVERVIEW!$Y64,PLANNING_FC!$B$27:$B$46,0),FALSE),HLOOKUP($AB64&amp;$AD64,PLANNING_FC!$T$4:$AH$23,MATCH(STOCK_OVERVIEW!$Y64,PLANNING_FC!$B$4:$B$23,0),FALSE)),"")</f>
        <v>0</v>
      </c>
      <c r="AJ64" s="650">
        <f ca="1">IFERROR(IF($AA64="NOOS",HLOOKUP(STOCK_OVERVIEW!$AB64&amp;STOCK_OVERVIEW!$AD64,PLANNING_FC!$DA$27:$DO$46,MATCH(STOCK_OVERVIEW!$Y64,PLANNING_FC!$CZ$27:$CZ$46,0),FALSE),HLOOKUP($AB64&amp;$AD64,PLANNING_FC!$DA$4:$DO$23,MATCH(STOCK_OVERVIEW!$Y64,PLANNING_FC!$CZ$4:$CZ$23,0),FALSE)),"")</f>
        <v>0</v>
      </c>
      <c r="AK64" s="651">
        <f ca="1">IFERROR(IF(AA64="NOOS",HLOOKUP(AB64&amp;AD64,PLANNING_FC!$AJ$27:$AY$47,MATCH(STOCK_OVERVIEW!Y64,PLANNING_FC!$AJ$27:$AJ$47,0),FALSE)*1000,HLOOKUP(AB64&amp;AD64,PLANNING_FC!$AJ$4:$AY$24,MATCH(STOCK_OVERVIEW!Y64,PLANNING_FC!$AJ$4:$AJ$24,0),FALSE)*1000),"")</f>
        <v>0</v>
      </c>
      <c r="AL64" s="638"/>
      <c r="AM64" s="638"/>
      <c r="AN64" s="638"/>
      <c r="AO64" s="638"/>
      <c r="AP64" s="638"/>
      <c r="AQ64" s="638"/>
      <c r="AR64" s="638"/>
      <c r="AS64" s="638"/>
    </row>
    <row r="65" spans="1:45" s="61" customFormat="1" x14ac:dyDescent="0.25">
      <c r="A65" s="62"/>
      <c r="F65" s="19"/>
      <c r="J65" s="19"/>
      <c r="N65" s="19"/>
      <c r="R65" s="19"/>
      <c r="S65" s="637"/>
      <c r="T65" s="637"/>
      <c r="U65" s="636"/>
      <c r="V65" s="637"/>
      <c r="W65" s="637"/>
      <c r="X65" s="200" t="str">
        <f>NWC_FC_NOOS!$B$1</f>
        <v>VM</v>
      </c>
      <c r="Y65" s="25" t="str">
        <f>NWC_FC_NOOS!$B$58</f>
        <v>OUTERWEAR</v>
      </c>
      <c r="Z65" s="25" t="str">
        <f t="shared" ca="1" si="0"/>
        <v>VMOUTERWEAR18/19Mar</v>
      </c>
      <c r="AA65" s="25" t="str">
        <f>NWC_FC_NOOS!$I$1</f>
        <v>NOOS</v>
      </c>
      <c r="AB65" s="25" t="str">
        <f ca="1">NWC_FC_NOOS!$C$73</f>
        <v>18/19</v>
      </c>
      <c r="AC65" s="25" t="str">
        <f ca="1">NWC_FC_NOOS!$C$74</f>
        <v>Q3</v>
      </c>
      <c r="AD65" s="25" t="str">
        <f ca="1">NWC_FC_NOOS!$D$75</f>
        <v>Mar</v>
      </c>
      <c r="AE65" s="649">
        <f ca="1">IFERROR(HLOOKUP($AB65&amp;$AD65,NWC_FC_NOOS!$B$4:$Q$24,MATCH($Y65,NWC_FC_NOOS!$B$4:$B$24,0),FALSE),"")</f>
        <v>0</v>
      </c>
      <c r="AF65" s="650">
        <f ca="1">IFERROR(HLOOKUP($AB65&amp;$AD65,NWC_FC_NOOS!$S$4:$AH$24,MATCH($Y65,NWC_FC_NOOS!$S$4:$S$24,0),FALSE),"")</f>
        <v>0</v>
      </c>
      <c r="AG65" s="650">
        <f ca="1">IFERROR(HLOOKUP($AB65&amp;$AD65,NWC_FC_NOOS!$C$50:$U$70,MATCH($Y65,NWC_FC_NOOS!$B$50:$B$70,0),FALSE),"")</f>
        <v>0</v>
      </c>
      <c r="AH65" s="650">
        <f ca="1">IFERROR(IF($AA65="NOOS",HLOOKUP(STOCK_OVERVIEW!$AB65&amp;STOCK_OVERVIEW!$AD65,PLANNING_FC!$BB$27:$BP$46,MATCH(STOCK_OVERVIEW!$Y65,PLANNING_FC!$BA$27:$BA$46,0),FALSE),HLOOKUP($AB65&amp;$AD65,PLANNING_FC!$BB$4:$BP$23,MATCH(STOCK_OVERVIEW!$Y65,PLANNING_FC!$BA$4:$BA$23,0),FALSE)),"")</f>
        <v>0</v>
      </c>
      <c r="AI65" s="650">
        <f ca="1">IFERROR(IF($AA65="NOOS",HLOOKUP(STOCK_OVERVIEW!$AB65&amp;STOCK_OVERVIEW!$AD65,PLANNING_FC!$T$27:$AH$46,MATCH(STOCK_OVERVIEW!$Y65,PLANNING_FC!$B$27:$B$46,0),FALSE),HLOOKUP($AB65&amp;$AD65,PLANNING_FC!$T$4:$AH$23,MATCH(STOCK_OVERVIEW!$Y65,PLANNING_FC!$B$4:$B$23,0),FALSE)),"")</f>
        <v>0</v>
      </c>
      <c r="AJ65" s="650">
        <f ca="1">IFERROR(IF($AA65="NOOS",HLOOKUP(STOCK_OVERVIEW!$AB65&amp;STOCK_OVERVIEW!$AD65,PLANNING_FC!$DA$27:$DO$46,MATCH(STOCK_OVERVIEW!$Y65,PLANNING_FC!$CZ$27:$CZ$46,0),FALSE),HLOOKUP($AB65&amp;$AD65,PLANNING_FC!$DA$4:$DO$23,MATCH(STOCK_OVERVIEW!$Y65,PLANNING_FC!$CZ$4:$CZ$23,0),FALSE)),"")</f>
        <v>0</v>
      </c>
      <c r="AK65" s="651">
        <f ca="1">IFERROR(IF(AA65="NOOS",HLOOKUP(AB65&amp;AD65,PLANNING_FC!$AJ$27:$AY$47,MATCH(STOCK_OVERVIEW!Y65,PLANNING_FC!$AJ$27:$AJ$47,0),FALSE)*1000,HLOOKUP(AB65&amp;AD65,PLANNING_FC!$AJ$4:$AY$24,MATCH(STOCK_OVERVIEW!Y65,PLANNING_FC!$AJ$4:$AJ$24,0),FALSE)*1000),"")</f>
        <v>0</v>
      </c>
      <c r="AL65" s="638"/>
      <c r="AM65" s="638"/>
      <c r="AN65" s="638"/>
      <c r="AO65" s="638"/>
      <c r="AP65" s="638"/>
      <c r="AQ65" s="638"/>
      <c r="AR65" s="638"/>
      <c r="AS65" s="638"/>
    </row>
    <row r="66" spans="1:45" s="61" customFormat="1" x14ac:dyDescent="0.25">
      <c r="A66" s="62"/>
      <c r="F66" s="19"/>
      <c r="J66" s="19"/>
      <c r="N66" s="19"/>
      <c r="R66" s="19"/>
      <c r="S66" s="637"/>
      <c r="T66" s="637"/>
      <c r="U66" s="636"/>
      <c r="V66" s="637"/>
      <c r="W66" s="637"/>
      <c r="X66" s="200" t="str">
        <f>NWC_FC_NOOS!$B$1</f>
        <v>VM</v>
      </c>
      <c r="Y66" s="25" t="str">
        <f>NWC_FC_NOOS!$B$58</f>
        <v>OUTERWEAR</v>
      </c>
      <c r="Z66" s="25" t="str">
        <f t="shared" ca="1" si="0"/>
        <v>VMOUTERWEAR18/19Apr</v>
      </c>
      <c r="AA66" s="25" t="str">
        <f>NWC_FC_NOOS!$I$1</f>
        <v>NOOS</v>
      </c>
      <c r="AB66" s="25" t="str">
        <f ca="1">NWC_FC_NOOS!$C$73</f>
        <v>18/19</v>
      </c>
      <c r="AC66" s="25" t="str">
        <f ca="1">NWC_FC_NOOS!$C$74</f>
        <v>Q3</v>
      </c>
      <c r="AD66" s="25" t="str">
        <f ca="1">NWC_FC_NOOS!$E$75</f>
        <v>Apr</v>
      </c>
      <c r="AE66" s="649">
        <f ca="1">IFERROR(HLOOKUP($AB66&amp;$AD66,NWC_FC_NOOS!$B$4:$Q$24,MATCH($Y66,NWC_FC_NOOS!$B$4:$B$24,0),FALSE),"")</f>
        <v>0</v>
      </c>
      <c r="AF66" s="650">
        <f ca="1">IFERROR(HLOOKUP($AB66&amp;$AD66,NWC_FC_NOOS!$S$4:$AH$24,MATCH($Y66,NWC_FC_NOOS!$S$4:$S$24,0),FALSE),"")</f>
        <v>0</v>
      </c>
      <c r="AG66" s="650">
        <f ca="1">IFERROR(HLOOKUP($AB66&amp;$AD66,NWC_FC_NOOS!$C$50:$U$70,MATCH($Y66,NWC_FC_NOOS!$B$50:$B$70,0),FALSE),"")</f>
        <v>0</v>
      </c>
      <c r="AH66" s="650">
        <f ca="1">IFERROR(IF($AA66="NOOS",HLOOKUP(STOCK_OVERVIEW!$AB66&amp;STOCK_OVERVIEW!$AD66,PLANNING_FC!$BB$27:$BP$46,MATCH(STOCK_OVERVIEW!$Y66,PLANNING_FC!$BA$27:$BA$46,0),FALSE),HLOOKUP($AB66&amp;$AD66,PLANNING_FC!$BB$4:$BP$23,MATCH(STOCK_OVERVIEW!$Y66,PLANNING_FC!$BA$4:$BA$23,0),FALSE)),"")</f>
        <v>0</v>
      </c>
      <c r="AI66" s="650">
        <f ca="1">IFERROR(IF($AA66="NOOS",HLOOKUP(STOCK_OVERVIEW!$AB66&amp;STOCK_OVERVIEW!$AD66,PLANNING_FC!$T$27:$AH$46,MATCH(STOCK_OVERVIEW!$Y66,PLANNING_FC!$B$27:$B$46,0),FALSE),HLOOKUP($AB66&amp;$AD66,PLANNING_FC!$T$4:$AH$23,MATCH(STOCK_OVERVIEW!$Y66,PLANNING_FC!$B$4:$B$23,0),FALSE)),"")</f>
        <v>0</v>
      </c>
      <c r="AJ66" s="650">
        <f ca="1">IFERROR(IF($AA66="NOOS",HLOOKUP(STOCK_OVERVIEW!$AB66&amp;STOCK_OVERVIEW!$AD66,PLANNING_FC!$DA$27:$DO$46,MATCH(STOCK_OVERVIEW!$Y66,PLANNING_FC!$CZ$27:$CZ$46,0),FALSE),HLOOKUP($AB66&amp;$AD66,PLANNING_FC!$DA$4:$DO$23,MATCH(STOCK_OVERVIEW!$Y66,PLANNING_FC!$CZ$4:$CZ$23,0),FALSE)),"")</f>
        <v>263365</v>
      </c>
      <c r="AK66" s="651">
        <f ca="1">IFERROR(IF(AA66="NOOS",HLOOKUP(AB66&amp;AD66,PLANNING_FC!$AJ$27:$AY$47,MATCH(STOCK_OVERVIEW!Y66,PLANNING_FC!$AJ$27:$AJ$47,0),FALSE)*1000,HLOOKUP(AB66&amp;AD66,PLANNING_FC!$AJ$4:$AY$24,MATCH(STOCK_OVERVIEW!Y66,PLANNING_FC!$AJ$4:$AJ$24,0),FALSE)*1000),"")</f>
        <v>0</v>
      </c>
      <c r="AL66" s="638"/>
      <c r="AM66" s="638"/>
      <c r="AN66" s="638"/>
      <c r="AO66" s="638"/>
      <c r="AP66" s="638"/>
      <c r="AQ66" s="638"/>
      <c r="AR66" s="638"/>
      <c r="AS66" s="638"/>
    </row>
    <row r="67" spans="1:45" s="61" customFormat="1" x14ac:dyDescent="0.25">
      <c r="A67" s="62"/>
      <c r="F67" s="19"/>
      <c r="I67" s="24"/>
      <c r="J67" s="19"/>
      <c r="N67" s="19"/>
      <c r="R67" s="19"/>
      <c r="S67" s="637"/>
      <c r="T67" s="637"/>
      <c r="U67" s="636"/>
      <c r="V67" s="637"/>
      <c r="W67" s="637"/>
      <c r="X67" s="200" t="str">
        <f>NWC_FC_NOOS!$B$1</f>
        <v>VM</v>
      </c>
      <c r="Y67" s="25" t="str">
        <f>NWC_FC_NOOS!$B$58</f>
        <v>OUTERWEAR</v>
      </c>
      <c r="Z67" s="25" t="str">
        <f t="shared" ca="1" si="0"/>
        <v>VMOUTERWEAR18/19May</v>
      </c>
      <c r="AA67" s="25" t="str">
        <f>NWC_FC_NOOS!$I$1</f>
        <v>NOOS</v>
      </c>
      <c r="AB67" s="25" t="str">
        <f ca="1">NWC_FC_NOOS!$G$73</f>
        <v>18/19</v>
      </c>
      <c r="AC67" s="25" t="str">
        <f ca="1">NWC_FC_NOOS!$G$74</f>
        <v>Q4</v>
      </c>
      <c r="AD67" s="25" t="str">
        <f ca="1">NWC_FC_NOOS!$G$75</f>
        <v>May</v>
      </c>
      <c r="AE67" s="649">
        <f ca="1">IFERROR(HLOOKUP($AB67&amp;$AD67,NWC_FC_NOOS!$B$4:$Q$24,MATCH($Y67,NWC_FC_NOOS!$B$4:$B$24,0),FALSE),"")</f>
        <v>0</v>
      </c>
      <c r="AF67" s="650">
        <f ca="1">IFERROR(HLOOKUP($AB67&amp;$AD67,NWC_FC_NOOS!$S$4:$AH$24,MATCH($Y67,NWC_FC_NOOS!$S$4:$S$24,0),FALSE),"")</f>
        <v>0</v>
      </c>
      <c r="AG67" s="650">
        <f ca="1">IFERROR(HLOOKUP($AB67&amp;$AD67,NWC_FC_NOOS!$C$50:$U$70,MATCH($Y67,NWC_FC_NOOS!$B$50:$B$70,0),FALSE),"")</f>
        <v>0</v>
      </c>
      <c r="AH67" s="650">
        <f ca="1">IFERROR(IF($AA67="NOOS",HLOOKUP(STOCK_OVERVIEW!$AB67&amp;STOCK_OVERVIEW!$AD67,PLANNING_FC!$BB$27:$BP$46,MATCH(STOCK_OVERVIEW!$Y67,PLANNING_FC!$BA$27:$BA$46,0),FALSE),HLOOKUP($AB67&amp;$AD67,PLANNING_FC!$BB$4:$BP$23,MATCH(STOCK_OVERVIEW!$Y67,PLANNING_FC!$BA$4:$BA$23,0),FALSE)),"")</f>
        <v>0</v>
      </c>
      <c r="AI67" s="650">
        <f ca="1">IFERROR(IF($AA67="NOOS",HLOOKUP(STOCK_OVERVIEW!$AB67&amp;STOCK_OVERVIEW!$AD67,PLANNING_FC!$T$27:$AH$46,MATCH(STOCK_OVERVIEW!$Y67,PLANNING_FC!$B$27:$B$46,0),FALSE),HLOOKUP($AB67&amp;$AD67,PLANNING_FC!$T$4:$AH$23,MATCH(STOCK_OVERVIEW!$Y67,PLANNING_FC!$B$4:$B$23,0),FALSE)),"")</f>
        <v>0</v>
      </c>
      <c r="AJ67" s="650">
        <f ca="1">IFERROR(IF($AA67="NOOS",HLOOKUP(STOCK_OVERVIEW!$AB67&amp;STOCK_OVERVIEW!$AD67,PLANNING_FC!$DA$27:$DO$46,MATCH(STOCK_OVERVIEW!$Y67,PLANNING_FC!$CZ$27:$CZ$46,0),FALSE),HLOOKUP($AB67&amp;$AD67,PLANNING_FC!$DA$4:$DO$23,MATCH(STOCK_OVERVIEW!$Y67,PLANNING_FC!$CZ$4:$CZ$23,0),FALSE)),"")</f>
        <v>263365</v>
      </c>
      <c r="AK67" s="651">
        <f ca="1">IFERROR(IF(AA67="NOOS",HLOOKUP(AB67&amp;AD67,PLANNING_FC!$AJ$27:$AY$47,MATCH(STOCK_OVERVIEW!Y67,PLANNING_FC!$AJ$27:$AJ$47,0),FALSE)*1000,HLOOKUP(AB67&amp;AD67,PLANNING_FC!$AJ$4:$AY$24,MATCH(STOCK_OVERVIEW!Y67,PLANNING_FC!$AJ$4:$AJ$24,0),FALSE)*1000),"")</f>
        <v>0</v>
      </c>
      <c r="AL67" s="638"/>
      <c r="AM67" s="638"/>
      <c r="AN67" s="638"/>
      <c r="AO67" s="638"/>
      <c r="AP67" s="638"/>
      <c r="AQ67" s="638"/>
      <c r="AR67" s="643"/>
      <c r="AS67" s="638"/>
    </row>
    <row r="68" spans="1:45" s="61" customFormat="1" x14ac:dyDescent="0.25">
      <c r="A68" s="62"/>
      <c r="J68" s="206"/>
      <c r="N68" s="19"/>
      <c r="R68" s="19"/>
      <c r="S68" s="637"/>
      <c r="T68" s="637"/>
      <c r="U68" s="636"/>
      <c r="V68" s="637"/>
      <c r="W68" s="637"/>
      <c r="X68" s="200" t="str">
        <f>NWC_FC_NOOS!$B$1</f>
        <v>VM</v>
      </c>
      <c r="Y68" s="25" t="str">
        <f>NWC_FC_NOOS!$B$58</f>
        <v>OUTERWEAR</v>
      </c>
      <c r="Z68" s="25" t="str">
        <f t="shared" ca="1" si="0"/>
        <v>VMOUTERWEAR18/19Jun</v>
      </c>
      <c r="AA68" s="25" t="str">
        <f>NWC_FC_NOOS!$I$1</f>
        <v>NOOS</v>
      </c>
      <c r="AB68" s="25" t="str">
        <f ca="1">NWC_FC_NOOS!$G$73</f>
        <v>18/19</v>
      </c>
      <c r="AC68" s="25" t="str">
        <f ca="1">NWC_FC_NOOS!$G$74</f>
        <v>Q4</v>
      </c>
      <c r="AD68" s="25" t="str">
        <f ca="1">NWC_FC_NOOS!$H$75</f>
        <v>Jun</v>
      </c>
      <c r="AE68" s="649">
        <f ca="1">IFERROR(HLOOKUP($AB68&amp;$AD68,NWC_FC_NOOS!$B$4:$Q$24,MATCH($Y68,NWC_FC_NOOS!$B$4:$B$24,0),FALSE),"")</f>
        <v>0</v>
      </c>
      <c r="AF68" s="650">
        <f ca="1">IFERROR(HLOOKUP($AB68&amp;$AD68,NWC_FC_NOOS!$S$4:$AH$24,MATCH($Y68,NWC_FC_NOOS!$S$4:$S$24,0),FALSE),"")</f>
        <v>0</v>
      </c>
      <c r="AG68" s="650">
        <f ca="1">IFERROR(HLOOKUP($AB68&amp;$AD68,NWC_FC_NOOS!$C$50:$U$70,MATCH($Y68,NWC_FC_NOOS!$B$50:$B$70,0),FALSE),"")</f>
        <v>0</v>
      </c>
      <c r="AH68" s="650">
        <f ca="1">IFERROR(IF($AA68="NOOS",HLOOKUP(STOCK_OVERVIEW!$AB68&amp;STOCK_OVERVIEW!$AD68,PLANNING_FC!$BB$27:$BP$46,MATCH(STOCK_OVERVIEW!$Y68,PLANNING_FC!$BA$27:$BA$46,0),FALSE),HLOOKUP($AB68&amp;$AD68,PLANNING_FC!$BB$4:$BP$23,MATCH(STOCK_OVERVIEW!$Y68,PLANNING_FC!$BA$4:$BA$23,0),FALSE)),"")</f>
        <v>0</v>
      </c>
      <c r="AI68" s="650">
        <f ca="1">IFERROR(IF($AA68="NOOS",HLOOKUP(STOCK_OVERVIEW!$AB68&amp;STOCK_OVERVIEW!$AD68,PLANNING_FC!$T$27:$AH$46,MATCH(STOCK_OVERVIEW!$Y68,PLANNING_FC!$B$27:$B$46,0),FALSE),HLOOKUP($AB68&amp;$AD68,PLANNING_FC!$T$4:$AH$23,MATCH(STOCK_OVERVIEW!$Y68,PLANNING_FC!$B$4:$B$23,0),FALSE)),"")</f>
        <v>0</v>
      </c>
      <c r="AJ68" s="650">
        <f ca="1">IFERROR(IF($AA68="NOOS",HLOOKUP(STOCK_OVERVIEW!$AB68&amp;STOCK_OVERVIEW!$AD68,PLANNING_FC!$DA$27:$DO$46,MATCH(STOCK_OVERVIEW!$Y68,PLANNING_FC!$CZ$27:$CZ$46,0),FALSE),HLOOKUP($AB68&amp;$AD68,PLANNING_FC!$DA$4:$DO$23,MATCH(STOCK_OVERVIEW!$Y68,PLANNING_FC!$CZ$4:$CZ$23,0),FALSE)),"")</f>
        <v>263365</v>
      </c>
      <c r="AK68" s="651">
        <f ca="1">IFERROR(IF(AA68="NOOS",HLOOKUP(AB68&amp;AD68,PLANNING_FC!$AJ$27:$AY$47,MATCH(STOCK_OVERVIEW!Y68,PLANNING_FC!$AJ$27:$AJ$47,0),FALSE)*1000,HLOOKUP(AB68&amp;AD68,PLANNING_FC!$AJ$4:$AY$24,MATCH(STOCK_OVERVIEW!Y68,PLANNING_FC!$AJ$4:$AJ$24,0),FALSE)*1000),"")</f>
        <v>0</v>
      </c>
      <c r="AL68" s="638"/>
      <c r="AM68" s="638"/>
      <c r="AN68" s="638"/>
      <c r="AO68" s="638"/>
      <c r="AP68" s="638"/>
      <c r="AQ68" s="638"/>
      <c r="AR68" s="638"/>
      <c r="AS68" s="638"/>
    </row>
    <row r="69" spans="1:45" s="61" customFormat="1" x14ac:dyDescent="0.25">
      <c r="A69" s="62"/>
      <c r="J69" s="19"/>
      <c r="N69" s="19"/>
      <c r="R69" s="19"/>
      <c r="S69" s="637"/>
      <c r="T69" s="637"/>
      <c r="U69" s="636"/>
      <c r="V69" s="637"/>
      <c r="W69" s="637"/>
      <c r="X69" s="200" t="str">
        <f>NWC_FC_NOOS!$B$1</f>
        <v>VM</v>
      </c>
      <c r="Y69" s="25" t="str">
        <f>NWC_FC_NOOS!$B$58</f>
        <v>OUTERWEAR</v>
      </c>
      <c r="Z69" s="25" t="str">
        <f t="shared" ref="Z69:Z132" ca="1" si="15">X69&amp;Y69&amp;AB69&amp;AD69</f>
        <v>VMOUTERWEAR18/19Jul</v>
      </c>
      <c r="AA69" s="25" t="str">
        <f>NWC_FC_NOOS!$I$1</f>
        <v>NOOS</v>
      </c>
      <c r="AB69" s="25" t="str">
        <f ca="1">NWC_FC_NOOS!$G$73</f>
        <v>18/19</v>
      </c>
      <c r="AC69" s="25" t="str">
        <f ca="1">NWC_FC_NOOS!$G$74</f>
        <v>Q4</v>
      </c>
      <c r="AD69" s="25" t="str">
        <f ca="1">NWC_FC_NOOS!$I$75</f>
        <v>Jul</v>
      </c>
      <c r="AE69" s="649">
        <f ca="1">IFERROR(HLOOKUP($AB69&amp;$AD69,NWC_FC_NOOS!$B$4:$Q$24,MATCH($Y69,NWC_FC_NOOS!$B$4:$B$24,0),FALSE),"")</f>
        <v>0</v>
      </c>
      <c r="AF69" s="650">
        <f ca="1">IFERROR(HLOOKUP($AB69&amp;$AD69,NWC_FC_NOOS!$S$4:$AH$24,MATCH($Y69,NWC_FC_NOOS!$S$4:$S$24,0),FALSE),"")</f>
        <v>0</v>
      </c>
      <c r="AG69" s="650">
        <f ca="1">IFERROR(HLOOKUP($AB69&amp;$AD69,NWC_FC_NOOS!$C$50:$U$70,MATCH($Y69,NWC_FC_NOOS!$B$50:$B$70,0),FALSE),"")</f>
        <v>0</v>
      </c>
      <c r="AH69" s="650">
        <f ca="1">IFERROR(IF($AA69="NOOS",HLOOKUP(STOCK_OVERVIEW!$AB69&amp;STOCK_OVERVIEW!$AD69,PLANNING_FC!$BB$27:$BP$46,MATCH(STOCK_OVERVIEW!$Y69,PLANNING_FC!$BA$27:$BA$46,0),FALSE),HLOOKUP($AB69&amp;$AD69,PLANNING_FC!$BB$4:$BP$23,MATCH(STOCK_OVERVIEW!$Y69,PLANNING_FC!$BA$4:$BA$23,0),FALSE)),"")</f>
        <v>0</v>
      </c>
      <c r="AI69" s="650">
        <f ca="1">IFERROR(IF($AA69="NOOS",HLOOKUP(STOCK_OVERVIEW!$AB69&amp;STOCK_OVERVIEW!$AD69,PLANNING_FC!$T$27:$AH$46,MATCH(STOCK_OVERVIEW!$Y69,PLANNING_FC!$B$27:$B$46,0),FALSE),HLOOKUP($AB69&amp;$AD69,PLANNING_FC!$T$4:$AH$23,MATCH(STOCK_OVERVIEW!$Y69,PLANNING_FC!$B$4:$B$23,0),FALSE)),"")</f>
        <v>0</v>
      </c>
      <c r="AJ69" s="650">
        <f ca="1">IFERROR(IF($AA69="NOOS",HLOOKUP(STOCK_OVERVIEW!$AB69&amp;STOCK_OVERVIEW!$AD69,PLANNING_FC!$DA$27:$DO$46,MATCH(STOCK_OVERVIEW!$Y69,PLANNING_FC!$CZ$27:$CZ$46,0),FALSE),HLOOKUP($AB69&amp;$AD69,PLANNING_FC!$DA$4:$DO$23,MATCH(STOCK_OVERVIEW!$Y69,PLANNING_FC!$CZ$4:$CZ$23,0),FALSE)),"")</f>
        <v>263365</v>
      </c>
      <c r="AK69" s="651">
        <f ca="1">IFERROR(IF(AA69="NOOS",HLOOKUP(AB69&amp;AD69,PLANNING_FC!$AJ$27:$AY$47,MATCH(STOCK_OVERVIEW!Y69,PLANNING_FC!$AJ$27:$AJ$47,0),FALSE)*1000,HLOOKUP(AB69&amp;AD69,PLANNING_FC!$AJ$4:$AY$24,MATCH(STOCK_OVERVIEW!Y69,PLANNING_FC!$AJ$4:$AJ$24,0),FALSE)*1000),"")</f>
        <v>0</v>
      </c>
      <c r="AL69" s="638"/>
      <c r="AM69" s="638"/>
      <c r="AN69" s="638"/>
      <c r="AO69" s="638"/>
      <c r="AP69" s="638"/>
      <c r="AQ69" s="638"/>
      <c r="AR69" s="638"/>
      <c r="AS69" s="638"/>
    </row>
    <row r="70" spans="1:45" s="61" customFormat="1" x14ac:dyDescent="0.25">
      <c r="A70" s="62"/>
      <c r="J70" s="19"/>
      <c r="N70" s="19"/>
      <c r="R70" s="19"/>
      <c r="S70" s="637"/>
      <c r="T70" s="637"/>
      <c r="U70" s="636"/>
      <c r="V70" s="637"/>
      <c r="W70" s="637"/>
      <c r="X70" s="200" t="str">
        <f>NWC_FC_NOOS!$B$1</f>
        <v>VM</v>
      </c>
      <c r="Y70" s="25" t="str">
        <f>NWC_FC_NOOS!$B$58</f>
        <v>OUTERWEAR</v>
      </c>
      <c r="Z70" s="25" t="str">
        <f t="shared" ca="1" si="15"/>
        <v>VMOUTERWEAR19/20Aug</v>
      </c>
      <c r="AA70" s="25" t="str">
        <f>NWC_FC_NOOS!$I$1</f>
        <v>NOOS</v>
      </c>
      <c r="AB70" s="25" t="str">
        <f ca="1">NWC_FC_NOOS!$K$73</f>
        <v>19/20</v>
      </c>
      <c r="AC70" s="25" t="str">
        <f ca="1">NWC_FC_NOOS!$K$74</f>
        <v>Q1</v>
      </c>
      <c r="AD70" s="25" t="str">
        <f ca="1">NWC_FC_NOOS!$K$75</f>
        <v>Aug</v>
      </c>
      <c r="AE70" s="649">
        <f ca="1">IFERROR(HLOOKUP($AB70&amp;$AD70,NWC_FC_NOOS!$B$4:$Q$24,MATCH($Y70,NWC_FC_NOOS!$B$4:$B$24,0),FALSE),"")</f>
        <v>0</v>
      </c>
      <c r="AF70" s="650">
        <f ca="1">IFERROR(HLOOKUP($AB70&amp;$AD70,NWC_FC_NOOS!$S$4:$AH$24,MATCH($Y70,NWC_FC_NOOS!$S$4:$S$24,0),FALSE),"")</f>
        <v>0</v>
      </c>
      <c r="AG70" s="650">
        <f ca="1">IFERROR(HLOOKUP($AB70&amp;$AD70,NWC_FC_NOOS!$C$50:$U$70,MATCH($Y70,NWC_FC_NOOS!$B$50:$B$70,0),FALSE),"")</f>
        <v>0</v>
      </c>
      <c r="AH70" s="650">
        <f ca="1">IFERROR(IF($AA70="NOOS",HLOOKUP(STOCK_OVERVIEW!$AB70&amp;STOCK_OVERVIEW!$AD70,PLANNING_FC!$BB$27:$BP$46,MATCH(STOCK_OVERVIEW!$Y70,PLANNING_FC!$BA$27:$BA$46,0),FALSE),HLOOKUP($AB70&amp;$AD70,PLANNING_FC!$BB$4:$BP$23,MATCH(STOCK_OVERVIEW!$Y70,PLANNING_FC!$BA$4:$BA$23,0),FALSE)),"")</f>
        <v>0</v>
      </c>
      <c r="AI70" s="650">
        <f ca="1">IFERROR(IF($AA70="NOOS",HLOOKUP(STOCK_OVERVIEW!$AB70&amp;STOCK_OVERVIEW!$AD70,PLANNING_FC!$T$27:$AH$46,MATCH(STOCK_OVERVIEW!$Y70,PLANNING_FC!$B$27:$B$46,0),FALSE),HLOOKUP($AB70&amp;$AD70,PLANNING_FC!$T$4:$AH$23,MATCH(STOCK_OVERVIEW!$Y70,PLANNING_FC!$B$4:$B$23,0),FALSE)),"")</f>
        <v>0</v>
      </c>
      <c r="AJ70" s="650">
        <f ca="1">IFERROR(IF($AA70="NOOS",HLOOKUP(STOCK_OVERVIEW!$AB70&amp;STOCK_OVERVIEW!$AD70,PLANNING_FC!$DA$27:$DO$46,MATCH(STOCK_OVERVIEW!$Y70,PLANNING_FC!$CZ$27:$CZ$46,0),FALSE),HLOOKUP($AB70&amp;$AD70,PLANNING_FC!$DA$4:$DO$23,MATCH(STOCK_OVERVIEW!$Y70,PLANNING_FC!$CZ$4:$CZ$23,0),FALSE)),"")</f>
        <v>263365</v>
      </c>
      <c r="AK70" s="651">
        <f ca="1">IFERROR(IF(AA70="NOOS",HLOOKUP(AB70&amp;AD70,PLANNING_FC!$AJ$27:$AY$47,MATCH(STOCK_OVERVIEW!Y70,PLANNING_FC!$AJ$27:$AJ$47,0),FALSE)*1000,HLOOKUP(AB70&amp;AD70,PLANNING_FC!$AJ$4:$AY$24,MATCH(STOCK_OVERVIEW!Y70,PLANNING_FC!$AJ$4:$AJ$24,0),FALSE)*1000),"")</f>
        <v>0</v>
      </c>
      <c r="AL70" s="638"/>
      <c r="AM70" s="638"/>
      <c r="AN70" s="638"/>
      <c r="AO70" s="638"/>
      <c r="AP70" s="638"/>
      <c r="AQ70" s="638"/>
      <c r="AR70" s="638"/>
      <c r="AS70" s="638"/>
    </row>
    <row r="71" spans="1:45" s="61" customFormat="1" x14ac:dyDescent="0.25">
      <c r="A71" s="62"/>
      <c r="J71" s="19"/>
      <c r="N71" s="19"/>
      <c r="R71" s="19"/>
      <c r="S71" s="637"/>
      <c r="T71" s="637"/>
      <c r="U71" s="636"/>
      <c r="V71" s="637"/>
      <c r="W71" s="637"/>
      <c r="X71" s="200" t="str">
        <f>NWC_FC_NOOS!$B$1</f>
        <v>VM</v>
      </c>
      <c r="Y71" s="25" t="str">
        <f>NWC_FC_NOOS!$B$58</f>
        <v>OUTERWEAR</v>
      </c>
      <c r="Z71" s="25" t="str">
        <f t="shared" ca="1" si="15"/>
        <v>VMOUTERWEAR19/20Sep</v>
      </c>
      <c r="AA71" s="25" t="str">
        <f>NWC_FC_NOOS!$I$1</f>
        <v>NOOS</v>
      </c>
      <c r="AB71" s="25" t="str">
        <f ca="1">NWC_FC_NOOS!$K$73</f>
        <v>19/20</v>
      </c>
      <c r="AC71" s="25" t="str">
        <f ca="1">NWC_FC_NOOS!$K$74</f>
        <v>Q1</v>
      </c>
      <c r="AD71" s="25" t="str">
        <f ca="1">NWC_FC_NOOS!$L$75</f>
        <v>Sep</v>
      </c>
      <c r="AE71" s="649">
        <f ca="1">IFERROR(HLOOKUP($AB71&amp;$AD71,NWC_FC_NOOS!$B$4:$Q$24,MATCH($Y71,NWC_FC_NOOS!$B$4:$B$24,0),FALSE),"")</f>
        <v>0</v>
      </c>
      <c r="AF71" s="650">
        <f ca="1">IFERROR(HLOOKUP($AB71&amp;$AD71,NWC_FC_NOOS!$S$4:$AH$24,MATCH($Y71,NWC_FC_NOOS!$S$4:$S$24,0),FALSE),"")</f>
        <v>0</v>
      </c>
      <c r="AG71" s="650">
        <f ca="1">IFERROR(HLOOKUP($AB71&amp;$AD71,NWC_FC_NOOS!$C$50:$U$70,MATCH($Y71,NWC_FC_NOOS!$B$50:$B$70,0),FALSE),"")</f>
        <v>0</v>
      </c>
      <c r="AH71" s="650">
        <f ca="1">IFERROR(IF($AA71="NOOS",HLOOKUP(STOCK_OVERVIEW!$AB71&amp;STOCK_OVERVIEW!$AD71,PLANNING_FC!$BB$27:$BP$46,MATCH(STOCK_OVERVIEW!$Y71,PLANNING_FC!$BA$27:$BA$46,0),FALSE),HLOOKUP($AB71&amp;$AD71,PLANNING_FC!$BB$4:$BP$23,MATCH(STOCK_OVERVIEW!$Y71,PLANNING_FC!$BA$4:$BA$23,0),FALSE)),"")</f>
        <v>0</v>
      </c>
      <c r="AI71" s="650">
        <f ca="1">IFERROR(IF($AA71="NOOS",HLOOKUP(STOCK_OVERVIEW!$AB71&amp;STOCK_OVERVIEW!$AD71,PLANNING_FC!$T$27:$AH$46,MATCH(STOCK_OVERVIEW!$Y71,PLANNING_FC!$B$27:$B$46,0),FALSE),HLOOKUP($AB71&amp;$AD71,PLANNING_FC!$T$4:$AH$23,MATCH(STOCK_OVERVIEW!$Y71,PLANNING_FC!$B$4:$B$23,0),FALSE)),"")</f>
        <v>0</v>
      </c>
      <c r="AJ71" s="650">
        <f ca="1">IFERROR(IF($AA71="NOOS",HLOOKUP(STOCK_OVERVIEW!$AB71&amp;STOCK_OVERVIEW!$AD71,PLANNING_FC!$DA$27:$DO$46,MATCH(STOCK_OVERVIEW!$Y71,PLANNING_FC!$CZ$27:$CZ$46,0),FALSE),HLOOKUP($AB71&amp;$AD71,PLANNING_FC!$DA$4:$DO$23,MATCH(STOCK_OVERVIEW!$Y71,PLANNING_FC!$CZ$4:$CZ$23,0),FALSE)),"")</f>
        <v>263365</v>
      </c>
      <c r="AK71" s="651">
        <f ca="1">IFERROR(IF(AA71="NOOS",HLOOKUP(AB71&amp;AD71,PLANNING_FC!$AJ$27:$AY$47,MATCH(STOCK_OVERVIEW!Y71,PLANNING_FC!$AJ$27:$AJ$47,0),FALSE)*1000,HLOOKUP(AB71&amp;AD71,PLANNING_FC!$AJ$4:$AY$24,MATCH(STOCK_OVERVIEW!Y71,PLANNING_FC!$AJ$4:$AJ$24,0),FALSE)*1000),"")</f>
        <v>0</v>
      </c>
      <c r="AL71" s="638"/>
      <c r="AM71" s="638"/>
      <c r="AN71" s="638"/>
      <c r="AO71" s="638"/>
      <c r="AP71" s="638"/>
      <c r="AQ71" s="638"/>
      <c r="AR71" s="638"/>
      <c r="AS71" s="638"/>
    </row>
    <row r="72" spans="1:45" s="61" customFormat="1" x14ac:dyDescent="0.25">
      <c r="A72" s="62"/>
      <c r="J72" s="19"/>
      <c r="N72" s="19"/>
      <c r="R72" s="19"/>
      <c r="S72" s="637"/>
      <c r="T72" s="637"/>
      <c r="U72" s="636"/>
      <c r="V72" s="637"/>
      <c r="W72" s="637"/>
      <c r="X72" s="200" t="str">
        <f>NWC_FC_NOOS!$B$1</f>
        <v>VM</v>
      </c>
      <c r="Y72" s="25" t="str">
        <f>NWC_FC_NOOS!$B$58</f>
        <v>OUTERWEAR</v>
      </c>
      <c r="Z72" s="25" t="str">
        <f t="shared" ca="1" si="15"/>
        <v>VMOUTERWEAR19/20Oct</v>
      </c>
      <c r="AA72" s="25" t="str">
        <f>NWC_FC_NOOS!$I$1</f>
        <v>NOOS</v>
      </c>
      <c r="AB72" s="25" t="str">
        <f ca="1">NWC_FC_NOOS!$K$73</f>
        <v>19/20</v>
      </c>
      <c r="AC72" s="25" t="str">
        <f ca="1">NWC_FC_NOOS!$K$74</f>
        <v>Q1</v>
      </c>
      <c r="AD72" s="25" t="str">
        <f ca="1">NWC_FC_NOOS!$M$75</f>
        <v>Oct</v>
      </c>
      <c r="AE72" s="649">
        <f ca="1">IFERROR(HLOOKUP($AB72&amp;$AD72,NWC_FC_NOOS!$B$4:$Q$24,MATCH($Y72,NWC_FC_NOOS!$B$4:$B$24,0),FALSE),"")</f>
        <v>0</v>
      </c>
      <c r="AF72" s="650">
        <f ca="1">IFERROR(HLOOKUP($AB72&amp;$AD72,NWC_FC_NOOS!$S$4:$AH$24,MATCH($Y72,NWC_FC_NOOS!$S$4:$S$24,0),FALSE),"")</f>
        <v>0</v>
      </c>
      <c r="AG72" s="650">
        <f ca="1">IFERROR(HLOOKUP($AB72&amp;$AD72,NWC_FC_NOOS!$C$50:$U$70,MATCH($Y72,NWC_FC_NOOS!$B$50:$B$70,0),FALSE),"")</f>
        <v>0</v>
      </c>
      <c r="AH72" s="650">
        <f ca="1">IFERROR(IF($AA72="NOOS",HLOOKUP(STOCK_OVERVIEW!$AB72&amp;STOCK_OVERVIEW!$AD72,PLANNING_FC!$BB$27:$BP$46,MATCH(STOCK_OVERVIEW!$Y72,PLANNING_FC!$BA$27:$BA$46,0),FALSE),HLOOKUP($AB72&amp;$AD72,PLANNING_FC!$BB$4:$BP$23,MATCH(STOCK_OVERVIEW!$Y72,PLANNING_FC!$BA$4:$BA$23,0),FALSE)),"")</f>
        <v>0</v>
      </c>
      <c r="AI72" s="650">
        <f ca="1">IFERROR(IF($AA72="NOOS",HLOOKUP(STOCK_OVERVIEW!$AB72&amp;STOCK_OVERVIEW!$AD72,PLANNING_FC!$T$27:$AH$46,MATCH(STOCK_OVERVIEW!$Y72,PLANNING_FC!$B$27:$B$46,0),FALSE),HLOOKUP($AB72&amp;$AD72,PLANNING_FC!$T$4:$AH$23,MATCH(STOCK_OVERVIEW!$Y72,PLANNING_FC!$B$4:$B$23,0),FALSE)),"")</f>
        <v>0</v>
      </c>
      <c r="AJ72" s="650">
        <f ca="1">IFERROR(IF($AA72="NOOS",HLOOKUP(STOCK_OVERVIEW!$AB72&amp;STOCK_OVERVIEW!$AD72,PLANNING_FC!$DA$27:$DO$46,MATCH(STOCK_OVERVIEW!$Y72,PLANNING_FC!$CZ$27:$CZ$46,0),FALSE),HLOOKUP($AB72&amp;$AD72,PLANNING_FC!$DA$4:$DO$23,MATCH(STOCK_OVERVIEW!$Y72,PLANNING_FC!$CZ$4:$CZ$23,0),FALSE)),"")</f>
        <v>263365</v>
      </c>
      <c r="AK72" s="651">
        <f ca="1">IFERROR(IF(AA72="NOOS",HLOOKUP(AB72&amp;AD72,PLANNING_FC!$AJ$27:$AY$47,MATCH(STOCK_OVERVIEW!Y72,PLANNING_FC!$AJ$27:$AJ$47,0),FALSE)*1000,HLOOKUP(AB72&amp;AD72,PLANNING_FC!$AJ$4:$AY$24,MATCH(STOCK_OVERVIEW!Y72,PLANNING_FC!$AJ$4:$AJ$24,0),FALSE)*1000),"")</f>
        <v>0</v>
      </c>
      <c r="AL72" s="638"/>
      <c r="AM72" s="638"/>
      <c r="AN72" s="638"/>
      <c r="AO72" s="638"/>
      <c r="AP72" s="638"/>
      <c r="AQ72" s="638"/>
      <c r="AR72" s="638"/>
      <c r="AS72" s="638"/>
    </row>
    <row r="73" spans="1:45" s="61" customFormat="1" x14ac:dyDescent="0.25">
      <c r="A73" s="62"/>
      <c r="J73" s="19"/>
      <c r="N73" s="19"/>
      <c r="R73" s="19"/>
      <c r="S73" s="637"/>
      <c r="T73" s="637"/>
      <c r="U73" s="636"/>
      <c r="W73" s="637"/>
      <c r="X73" s="200" t="str">
        <f>NWC_FC_NOOS!$B$1</f>
        <v>VM</v>
      </c>
      <c r="Y73" s="25" t="str">
        <f>NWC_FC_NOOS!$B$58</f>
        <v>OUTERWEAR</v>
      </c>
      <c r="Z73" s="25" t="str">
        <f t="shared" ca="1" si="15"/>
        <v>VMOUTERWEAR19/20Nov</v>
      </c>
      <c r="AA73" s="25" t="str">
        <f>NWC_FC_NOOS!$I$1</f>
        <v>NOOS</v>
      </c>
      <c r="AB73" s="25" t="str">
        <f ca="1">NWC_FC_NOOS!$O$73</f>
        <v>19/20</v>
      </c>
      <c r="AC73" s="25" t="str">
        <f ca="1">NWC_FC_NOOS!$O$74</f>
        <v>Q2</v>
      </c>
      <c r="AD73" s="25" t="str">
        <f ca="1">NWC_FC_NOOS!$O$75</f>
        <v>Nov</v>
      </c>
      <c r="AE73" s="649">
        <f ca="1">IFERROR(HLOOKUP($AB73&amp;$AD73,NWC_FC_NOOS!$B$4:$Q$24,MATCH($Y73,NWC_FC_NOOS!$B$4:$B$24,0),FALSE),"")</f>
        <v>0</v>
      </c>
      <c r="AF73" s="650">
        <f ca="1">IFERROR(HLOOKUP($AB73&amp;$AD73,NWC_FC_NOOS!$S$4:$AH$24,MATCH($Y73,NWC_FC_NOOS!$S$4:$S$24,0),FALSE),"")</f>
        <v>0</v>
      </c>
      <c r="AG73" s="650">
        <f ca="1">IFERROR(HLOOKUP($AB73&amp;$AD73,NWC_FC_NOOS!$C$50:$U$70,MATCH($Y73,NWC_FC_NOOS!$B$50:$B$70,0),FALSE),"")</f>
        <v>0</v>
      </c>
      <c r="AH73" s="650">
        <f ca="1">IFERROR(IF($AA73="NOOS",HLOOKUP(STOCK_OVERVIEW!$AB73&amp;STOCK_OVERVIEW!$AD73,PLANNING_FC!$BB$27:$BP$46,MATCH(STOCK_OVERVIEW!$Y73,PLANNING_FC!$BA$27:$BA$46,0),FALSE),HLOOKUP($AB73&amp;$AD73,PLANNING_FC!$BB$4:$BP$23,MATCH(STOCK_OVERVIEW!$Y73,PLANNING_FC!$BA$4:$BA$23,0),FALSE)),"")</f>
        <v>0</v>
      </c>
      <c r="AI73" s="650">
        <f ca="1">IFERROR(IF($AA73="NOOS",HLOOKUP(STOCK_OVERVIEW!$AB73&amp;STOCK_OVERVIEW!$AD73,PLANNING_FC!$T$27:$AH$46,MATCH(STOCK_OVERVIEW!$Y73,PLANNING_FC!$B$27:$B$46,0),FALSE),HLOOKUP($AB73&amp;$AD73,PLANNING_FC!$T$4:$AH$23,MATCH(STOCK_OVERVIEW!$Y73,PLANNING_FC!$B$4:$B$23,0),FALSE)),"")</f>
        <v>0</v>
      </c>
      <c r="AJ73" s="650">
        <f ca="1">IFERROR(IF($AA73="NOOS",HLOOKUP(STOCK_OVERVIEW!$AB73&amp;STOCK_OVERVIEW!$AD73,PLANNING_FC!$DA$27:$DO$46,MATCH(STOCK_OVERVIEW!$Y73,PLANNING_FC!$CZ$27:$CZ$46,0),FALSE),HLOOKUP($AB73&amp;$AD73,PLANNING_FC!$DA$4:$DO$23,MATCH(STOCK_OVERVIEW!$Y73,PLANNING_FC!$CZ$4:$CZ$23,0),FALSE)),"")</f>
        <v>263365</v>
      </c>
      <c r="AK73" s="651">
        <f ca="1">IFERROR(IF(AA73="NOOS",HLOOKUP(AB73&amp;AD73,PLANNING_FC!$AJ$27:$AY$47,MATCH(STOCK_OVERVIEW!Y73,PLANNING_FC!$AJ$27:$AJ$47,0),FALSE)*1000,HLOOKUP(AB73&amp;AD73,PLANNING_FC!$AJ$4:$AY$24,MATCH(STOCK_OVERVIEW!Y73,PLANNING_FC!$AJ$4:$AJ$24,0),FALSE)*1000),"")</f>
        <v>0</v>
      </c>
      <c r="AL73" s="638"/>
      <c r="AM73" s="638"/>
      <c r="AN73" s="638"/>
      <c r="AO73" s="638"/>
      <c r="AP73" s="638"/>
      <c r="AQ73" s="638"/>
      <c r="AR73" s="638"/>
      <c r="AS73" s="638"/>
    </row>
    <row r="74" spans="1:45" s="61" customFormat="1" x14ac:dyDescent="0.25">
      <c r="A74" s="62"/>
      <c r="J74" s="19"/>
      <c r="N74" s="19"/>
      <c r="R74" s="19"/>
      <c r="S74" s="637"/>
      <c r="T74" s="637"/>
      <c r="U74" s="636"/>
      <c r="V74" s="637"/>
      <c r="W74" s="637"/>
      <c r="X74" s="200" t="str">
        <f>NWC_FC_NOOS!$B$1</f>
        <v>VM</v>
      </c>
      <c r="Y74" s="25" t="str">
        <f>NWC_FC_NOOS!$B$58</f>
        <v>OUTERWEAR</v>
      </c>
      <c r="Z74" s="25" t="str">
        <f t="shared" ca="1" si="15"/>
        <v>VMOUTERWEAR19/20Dec</v>
      </c>
      <c r="AA74" s="25" t="str">
        <f>NWC_FC_NOOS!$I$1</f>
        <v>NOOS</v>
      </c>
      <c r="AB74" s="25" t="str">
        <f ca="1">NWC_FC_NOOS!$O$73</f>
        <v>19/20</v>
      </c>
      <c r="AC74" s="25" t="str">
        <f ca="1">NWC_FC_NOOS!$O$74</f>
        <v>Q2</v>
      </c>
      <c r="AD74" s="25" t="str">
        <f ca="1">NWC_FC_NOOS!$P$75</f>
        <v>Dec</v>
      </c>
      <c r="AE74" s="649">
        <f ca="1">IFERROR(HLOOKUP($AB74&amp;$AD74,NWC_FC_NOOS!$B$4:$Q$24,MATCH($Y74,NWC_FC_NOOS!$B$4:$B$24,0),FALSE),"")</f>
        <v>0</v>
      </c>
      <c r="AF74" s="650">
        <f ca="1">IFERROR(HLOOKUP($AB74&amp;$AD74,NWC_FC_NOOS!$S$4:$AH$24,MATCH($Y74,NWC_FC_NOOS!$S$4:$S$24,0),FALSE),"")</f>
        <v>0</v>
      </c>
      <c r="AG74" s="650">
        <f ca="1">IFERROR(HLOOKUP($AB74&amp;$AD74,NWC_FC_NOOS!$C$50:$U$70,MATCH($Y74,NWC_FC_NOOS!$B$50:$B$70,0),FALSE),"")</f>
        <v>0</v>
      </c>
      <c r="AH74" s="650">
        <f ca="1">IFERROR(IF($AA74="NOOS",HLOOKUP(STOCK_OVERVIEW!$AB74&amp;STOCK_OVERVIEW!$AD74,PLANNING_FC!$BB$27:$BP$46,MATCH(STOCK_OVERVIEW!$Y74,PLANNING_FC!$BA$27:$BA$46,0),FALSE),HLOOKUP($AB74&amp;$AD74,PLANNING_FC!$BB$4:$BP$23,MATCH(STOCK_OVERVIEW!$Y74,PLANNING_FC!$BA$4:$BA$23,0),FALSE)),"")</f>
        <v>0</v>
      </c>
      <c r="AI74" s="650">
        <f ca="1">IFERROR(IF($AA74="NOOS",HLOOKUP(STOCK_OVERVIEW!$AB74&amp;STOCK_OVERVIEW!$AD74,PLANNING_FC!$T$27:$AH$46,MATCH(STOCK_OVERVIEW!$Y74,PLANNING_FC!$B$27:$B$46,0),FALSE),HLOOKUP($AB74&amp;$AD74,PLANNING_FC!$T$4:$AH$23,MATCH(STOCK_OVERVIEW!$Y74,PLANNING_FC!$B$4:$B$23,0),FALSE)),"")</f>
        <v>0</v>
      </c>
      <c r="AJ74" s="650">
        <f ca="1">IFERROR(IF($AA74="NOOS",HLOOKUP(STOCK_OVERVIEW!$AB74&amp;STOCK_OVERVIEW!$AD74,PLANNING_FC!$DA$27:$DO$46,MATCH(STOCK_OVERVIEW!$Y74,PLANNING_FC!$CZ$27:$CZ$46,0),FALSE),HLOOKUP($AB74&amp;$AD74,PLANNING_FC!$DA$4:$DO$23,MATCH(STOCK_OVERVIEW!$Y74,PLANNING_FC!$CZ$4:$CZ$23,0),FALSE)),"")</f>
        <v>263365</v>
      </c>
      <c r="AK74" s="651">
        <f ca="1">IFERROR(IF(AA74="NOOS",HLOOKUP(AB74&amp;AD74,PLANNING_FC!$AJ$27:$AY$47,MATCH(STOCK_OVERVIEW!Y74,PLANNING_FC!$AJ$27:$AJ$47,0),FALSE)*1000,HLOOKUP(AB74&amp;AD74,PLANNING_FC!$AJ$4:$AY$24,MATCH(STOCK_OVERVIEW!Y74,PLANNING_FC!$AJ$4:$AJ$24,0),FALSE)*1000),"")</f>
        <v>0</v>
      </c>
      <c r="AL74" s="638"/>
      <c r="AM74" s="638"/>
      <c r="AN74" s="638"/>
      <c r="AO74" s="638"/>
      <c r="AP74" s="638"/>
      <c r="AQ74" s="638"/>
      <c r="AR74" s="638"/>
      <c r="AS74" s="638"/>
    </row>
    <row r="75" spans="1:45" s="61" customFormat="1" x14ac:dyDescent="0.25">
      <c r="A75" s="62"/>
      <c r="J75" s="19"/>
      <c r="N75" s="19"/>
      <c r="R75" s="19"/>
      <c r="S75" s="637"/>
      <c r="T75" s="637"/>
      <c r="U75" s="636"/>
      <c r="V75" s="637"/>
      <c r="W75" s="637"/>
      <c r="X75" s="200" t="str">
        <f>NWC_FC_NOOS!$B$1</f>
        <v>VM</v>
      </c>
      <c r="Y75" s="25" t="str">
        <f>NWC_FC_NOOS!$B$58</f>
        <v>OUTERWEAR</v>
      </c>
      <c r="Z75" s="25" t="str">
        <f t="shared" ca="1" si="15"/>
        <v>VMOUTERWEAR19/20Jan</v>
      </c>
      <c r="AA75" s="25" t="str">
        <f>NWC_FC_NOOS!$I$1</f>
        <v>NOOS</v>
      </c>
      <c r="AB75" s="25" t="str">
        <f ca="1">NWC_FC_NOOS!$O$73</f>
        <v>19/20</v>
      </c>
      <c r="AC75" s="25" t="str">
        <f ca="1">NWC_FC_NOOS!$O$74</f>
        <v>Q2</v>
      </c>
      <c r="AD75" s="25" t="str">
        <f ca="1">NWC_FC_NOOS!$Q$75</f>
        <v>Jan</v>
      </c>
      <c r="AE75" s="649">
        <f ca="1">IFERROR(HLOOKUP($AB75&amp;$AD75,NWC_FC_NOOS!$B$4:$Q$24,MATCH($Y75,NWC_FC_NOOS!$B$4:$B$24,0),FALSE),"")</f>
        <v>0</v>
      </c>
      <c r="AF75" s="650">
        <f ca="1">IFERROR(HLOOKUP($AB75&amp;$AD75,NWC_FC_NOOS!$S$4:$AH$24,MATCH($Y75,NWC_FC_NOOS!$S$4:$S$24,0),FALSE),"")</f>
        <v>0</v>
      </c>
      <c r="AG75" s="650">
        <f ca="1">IFERROR(HLOOKUP($AB75&amp;$AD75,NWC_FC_NOOS!$C$50:$U$70,MATCH($Y75,NWC_FC_NOOS!$B$50:$B$70,0),FALSE),"")</f>
        <v>0</v>
      </c>
      <c r="AH75" s="650">
        <f ca="1">IFERROR(IF($AA75="NOOS",HLOOKUP(STOCK_OVERVIEW!$AB75&amp;STOCK_OVERVIEW!$AD75,PLANNING_FC!$BB$27:$BP$46,MATCH(STOCK_OVERVIEW!$Y75,PLANNING_FC!$BA$27:$BA$46,0),FALSE),HLOOKUP($AB75&amp;$AD75,PLANNING_FC!$BB$4:$BP$23,MATCH(STOCK_OVERVIEW!$Y75,PLANNING_FC!$BA$4:$BA$23,0),FALSE)),"")</f>
        <v>0</v>
      </c>
      <c r="AI75" s="650">
        <f ca="1">IFERROR(IF($AA75="NOOS",HLOOKUP(STOCK_OVERVIEW!$AB75&amp;STOCK_OVERVIEW!$AD75,PLANNING_FC!$T$27:$AH$46,MATCH(STOCK_OVERVIEW!$Y75,PLANNING_FC!$B$27:$B$46,0),FALSE),HLOOKUP($AB75&amp;$AD75,PLANNING_FC!$T$4:$AH$23,MATCH(STOCK_OVERVIEW!$Y75,PLANNING_FC!$B$4:$B$23,0),FALSE)),"")</f>
        <v>0</v>
      </c>
      <c r="AJ75" s="650">
        <f ca="1">IFERROR(IF($AA75="NOOS",HLOOKUP(STOCK_OVERVIEW!$AB75&amp;STOCK_OVERVIEW!$AD75,PLANNING_FC!$DA$27:$DO$46,MATCH(STOCK_OVERVIEW!$Y75,PLANNING_FC!$CZ$27:$CZ$46,0),FALSE),HLOOKUP($AB75&amp;$AD75,PLANNING_FC!$DA$4:$DO$23,MATCH(STOCK_OVERVIEW!$Y75,PLANNING_FC!$CZ$4:$CZ$23,0),FALSE)),"")</f>
        <v>263365</v>
      </c>
      <c r="AK75" s="651">
        <f ca="1">IFERROR(IF(AA75="NOOS",HLOOKUP(AB75&amp;AD75,PLANNING_FC!$AJ$27:$AY$47,MATCH(STOCK_OVERVIEW!Y75,PLANNING_FC!$AJ$27:$AJ$47,0),FALSE)*1000,HLOOKUP(AB75&amp;AD75,PLANNING_FC!$AJ$4:$AY$24,MATCH(STOCK_OVERVIEW!Y75,PLANNING_FC!$AJ$4:$AJ$24,0),FALSE)*1000),"")</f>
        <v>0</v>
      </c>
      <c r="AL75" s="638"/>
      <c r="AM75" s="638"/>
      <c r="AN75" s="638"/>
      <c r="AO75" s="638"/>
      <c r="AP75" s="638"/>
      <c r="AQ75" s="638"/>
      <c r="AR75" s="638"/>
      <c r="AS75" s="638"/>
    </row>
    <row r="76" spans="1:45" s="61" customFormat="1" x14ac:dyDescent="0.25">
      <c r="A76" s="62"/>
      <c r="J76" s="19"/>
      <c r="N76" s="19"/>
      <c r="R76" s="19"/>
      <c r="S76" s="637"/>
      <c r="T76" s="637"/>
      <c r="U76" s="636"/>
      <c r="V76" s="637"/>
      <c r="W76" s="637"/>
      <c r="X76" s="200" t="str">
        <f>NWC_FC_NOOS!$B$1</f>
        <v>VM</v>
      </c>
      <c r="Y76" s="25" t="str">
        <f>NWC_FC_NOOS!$B$58</f>
        <v>OUTERWEAR</v>
      </c>
      <c r="Z76" s="25" t="str">
        <f t="shared" ca="1" si="15"/>
        <v>VMOUTERWEAR19/20Feb</v>
      </c>
      <c r="AA76" s="25" t="str">
        <f>NWC_FC_NOOS!$I$1</f>
        <v>NOOS</v>
      </c>
      <c r="AB76" s="25" t="str">
        <f ca="1">NWC_FC_NOOS!$S$73</f>
        <v>19/20</v>
      </c>
      <c r="AC76" s="25" t="str">
        <f ca="1">NWC_FC_NOOS!$S$74</f>
        <v>Q3</v>
      </c>
      <c r="AD76" s="25" t="str">
        <f ca="1">NWC_FC_NOOS!$S$75</f>
        <v>Feb</v>
      </c>
      <c r="AE76" s="649" t="str">
        <f ca="1">IFERROR(HLOOKUP($AB76&amp;$AD76,NWC_FC_NOOS!$B$4:$Q$24,MATCH($Y76,NWC_FC_NOOS!$B$4:$B$24,0),FALSE),"")</f>
        <v/>
      </c>
      <c r="AF76" s="650" t="str">
        <f ca="1">IFERROR(HLOOKUP($AB76&amp;$AD76,NWC_FC_NOOS!$S$4:$AH$24,MATCH($Y76,NWC_FC_NOOS!$S$4:$S$24,0),FALSE),"")</f>
        <v/>
      </c>
      <c r="AG76" s="650">
        <f ca="1">IFERROR(HLOOKUP($AB76&amp;$AD76,NWC_FC_NOOS!$C$50:$U$70,MATCH($Y76,NWC_FC_NOOS!$B$50:$B$70,0),FALSE),"")</f>
        <v>0</v>
      </c>
      <c r="AH76" s="650" t="str">
        <f ca="1">IFERROR(IF($AA76="NOOS",HLOOKUP(STOCK_OVERVIEW!$AB76&amp;STOCK_OVERVIEW!$AD76,PLANNING_FC!$BB$27:$BP$46,MATCH(STOCK_OVERVIEW!$Y76,PLANNING_FC!$BA$27:$BA$46,0),FALSE),HLOOKUP($AB76&amp;$AD76,PLANNING_FC!$BB$4:$BP$23,MATCH(STOCK_OVERVIEW!$Y76,PLANNING_FC!$BA$4:$BA$23,0),FALSE)),"")</f>
        <v/>
      </c>
      <c r="AI76" s="650" t="str">
        <f ca="1">IFERROR(IF($AA76="NOOS",HLOOKUP(STOCK_OVERVIEW!$AB76&amp;STOCK_OVERVIEW!$AD76,PLANNING_FC!$T$27:$AH$46,MATCH(STOCK_OVERVIEW!$Y76,PLANNING_FC!$B$27:$B$46,0),FALSE),HLOOKUP($AB76&amp;$AD76,PLANNING_FC!$T$4:$AH$23,MATCH(STOCK_OVERVIEW!$Y76,PLANNING_FC!$B$4:$B$23,0),FALSE)),"")</f>
        <v/>
      </c>
      <c r="AJ76" s="650" t="str">
        <f ca="1">IFERROR(IF($AA76="NOOS",HLOOKUP(STOCK_OVERVIEW!$AB76&amp;STOCK_OVERVIEW!$AD76,PLANNING_FC!$DA$27:$DO$46,MATCH(STOCK_OVERVIEW!$Y76,PLANNING_FC!$CZ$27:$CZ$46,0),FALSE),HLOOKUP($AB76&amp;$AD76,PLANNING_FC!$DA$4:$DO$23,MATCH(STOCK_OVERVIEW!$Y76,PLANNING_FC!$CZ$4:$CZ$23,0),FALSE)),"")</f>
        <v/>
      </c>
      <c r="AK76" s="651" t="str">
        <f ca="1">IFERROR(IF(AA76="NOOS",HLOOKUP(AB76&amp;AD76,PLANNING_FC!$AJ$27:$AY$47,MATCH(STOCK_OVERVIEW!Y76,PLANNING_FC!$AJ$27:$AJ$47,0),FALSE)*1000,HLOOKUP(AB76&amp;AD76,PLANNING_FC!$AJ$4:$AY$24,MATCH(STOCK_OVERVIEW!Y76,PLANNING_FC!$AJ$4:$AJ$24,0),FALSE)*1000),"")</f>
        <v/>
      </c>
      <c r="AL76" s="638"/>
      <c r="AM76" s="638"/>
      <c r="AN76" s="638"/>
      <c r="AO76" s="638"/>
      <c r="AP76" s="638"/>
      <c r="AQ76" s="638"/>
      <c r="AR76" s="638"/>
      <c r="AS76" s="638"/>
    </row>
    <row r="77" spans="1:45" s="61" customFormat="1" x14ac:dyDescent="0.25">
      <c r="A77" s="62"/>
      <c r="J77" s="19"/>
      <c r="N77" s="19"/>
      <c r="R77" s="19"/>
      <c r="S77" s="637"/>
      <c r="T77" s="637"/>
      <c r="U77" s="636"/>
      <c r="V77" s="637"/>
      <c r="W77" s="637"/>
      <c r="X77" s="200" t="str">
        <f>NWC_FC_NOOS!$B$1</f>
        <v>VM</v>
      </c>
      <c r="Y77" s="25" t="str">
        <f>NWC_FC_NOOS!$B$58</f>
        <v>OUTERWEAR</v>
      </c>
      <c r="Z77" s="25" t="str">
        <f t="shared" ca="1" si="15"/>
        <v>VMOUTERWEAR19/20Mar</v>
      </c>
      <c r="AA77" s="25" t="str">
        <f>NWC_FC_NOOS!$I$1</f>
        <v>NOOS</v>
      </c>
      <c r="AB77" s="25" t="str">
        <f ca="1">NWC_FC_NOOS!$S$73</f>
        <v>19/20</v>
      </c>
      <c r="AC77" s="25" t="str">
        <f ca="1">NWC_FC_NOOS!$S$74</f>
        <v>Q3</v>
      </c>
      <c r="AD77" s="25" t="str">
        <f ca="1">NWC_FC_NOOS!$T$75</f>
        <v>Mar</v>
      </c>
      <c r="AE77" s="649" t="str">
        <f ca="1">IFERROR(HLOOKUP($AB77&amp;$AD77,NWC_FC_NOOS!$B$4:$Q$24,MATCH($Y77,NWC_FC_NOOS!$B$4:$B$24,0),FALSE),"")</f>
        <v/>
      </c>
      <c r="AF77" s="650" t="str">
        <f ca="1">IFERROR(HLOOKUP($AB77&amp;$AD77,NWC_FC_NOOS!$S$4:$AH$24,MATCH($Y77,NWC_FC_NOOS!$S$4:$S$24,0),FALSE),"")</f>
        <v/>
      </c>
      <c r="AG77" s="650">
        <f ca="1">IFERROR(HLOOKUP($AB77&amp;$AD77,NWC_FC_NOOS!$C$50:$U$70,MATCH($Y77,NWC_FC_NOOS!$B$50:$B$70,0),FALSE),"")</f>
        <v>0</v>
      </c>
      <c r="AH77" s="650" t="str">
        <f ca="1">IFERROR(IF($AA77="NOOS",HLOOKUP(STOCK_OVERVIEW!$AB77&amp;STOCK_OVERVIEW!$AD77,PLANNING_FC!$BB$27:$BP$46,MATCH(STOCK_OVERVIEW!$Y77,PLANNING_FC!$BA$27:$BA$46,0),FALSE),HLOOKUP($AB77&amp;$AD77,PLANNING_FC!$BB$4:$BP$23,MATCH(STOCK_OVERVIEW!$Y77,PLANNING_FC!$BA$4:$BA$23,0),FALSE)),"")</f>
        <v/>
      </c>
      <c r="AI77" s="650" t="str">
        <f ca="1">IFERROR(IF($AA77="NOOS",HLOOKUP(STOCK_OVERVIEW!$AB77&amp;STOCK_OVERVIEW!$AD77,PLANNING_FC!$T$27:$AH$46,MATCH(STOCK_OVERVIEW!$Y77,PLANNING_FC!$B$27:$B$46,0),FALSE),HLOOKUP($AB77&amp;$AD77,PLANNING_FC!$T$4:$AH$23,MATCH(STOCK_OVERVIEW!$Y77,PLANNING_FC!$B$4:$B$23,0),FALSE)),"")</f>
        <v/>
      </c>
      <c r="AJ77" s="650" t="str">
        <f ca="1">IFERROR(IF($AA77="NOOS",HLOOKUP(STOCK_OVERVIEW!$AB77&amp;STOCK_OVERVIEW!$AD77,PLANNING_FC!$DA$27:$DO$46,MATCH(STOCK_OVERVIEW!$Y77,PLANNING_FC!$CZ$27:$CZ$46,0),FALSE),HLOOKUP($AB77&amp;$AD77,PLANNING_FC!$DA$4:$DO$23,MATCH(STOCK_OVERVIEW!$Y77,PLANNING_FC!$CZ$4:$CZ$23,0),FALSE)),"")</f>
        <v/>
      </c>
      <c r="AK77" s="651" t="str">
        <f ca="1">IFERROR(IF(AA77="NOOS",HLOOKUP(AB77&amp;AD77,PLANNING_FC!$AJ$27:$AY$47,MATCH(STOCK_OVERVIEW!Y77,PLANNING_FC!$AJ$27:$AJ$47,0),FALSE)*1000,HLOOKUP(AB77&amp;AD77,PLANNING_FC!$AJ$4:$AY$24,MATCH(STOCK_OVERVIEW!Y77,PLANNING_FC!$AJ$4:$AJ$24,0),FALSE)*1000),"")</f>
        <v/>
      </c>
      <c r="AL77" s="638"/>
      <c r="AM77" s="638"/>
      <c r="AN77" s="638"/>
      <c r="AO77" s="638"/>
      <c r="AP77" s="638"/>
      <c r="AQ77" s="638"/>
      <c r="AR77" s="638"/>
      <c r="AS77" s="638"/>
    </row>
    <row r="78" spans="1:45" s="61" customFormat="1" x14ac:dyDescent="0.25">
      <c r="A78" s="62"/>
      <c r="J78" s="19"/>
      <c r="N78" s="19"/>
      <c r="R78" s="19"/>
      <c r="S78" s="637"/>
      <c r="T78" s="637"/>
      <c r="U78" s="636"/>
      <c r="V78" s="637"/>
      <c r="W78" s="637"/>
      <c r="X78" s="200" t="str">
        <f>NWC_FC_NOOS!$B$1</f>
        <v>VM</v>
      </c>
      <c r="Y78" s="25" t="str">
        <f>NWC_FC_NOOS!$B$58</f>
        <v>OUTERWEAR</v>
      </c>
      <c r="Z78" s="25" t="str">
        <f t="shared" ca="1" si="15"/>
        <v>VMOUTERWEAR19/20Apr</v>
      </c>
      <c r="AA78" s="25" t="str">
        <f>NWC_FC_NOOS!$I$1</f>
        <v>NOOS</v>
      </c>
      <c r="AB78" s="25" t="str">
        <f ca="1">NWC_FC_NOOS!$S$73</f>
        <v>19/20</v>
      </c>
      <c r="AC78" s="25" t="str">
        <f ca="1">NWC_FC_NOOS!$S$74</f>
        <v>Q3</v>
      </c>
      <c r="AD78" s="25" t="str">
        <f ca="1">NWC_FC_NOOS!$U$75</f>
        <v>Apr</v>
      </c>
      <c r="AE78" s="649" t="str">
        <f ca="1">IFERROR(HLOOKUP($AB78&amp;$AD78,NWC_FC_NOOS!$B$4:$Q$24,MATCH($Y78,NWC_FC_NOOS!$B$4:$B$24,0),FALSE),"")</f>
        <v/>
      </c>
      <c r="AF78" s="650" t="str">
        <f ca="1">IFERROR(HLOOKUP($AB78&amp;$AD78,NWC_FC_NOOS!$S$4:$AH$24,MATCH($Y78,NWC_FC_NOOS!$S$4:$S$24,0),FALSE),"")</f>
        <v/>
      </c>
      <c r="AG78" s="650">
        <f ca="1">IFERROR(HLOOKUP($AB78&amp;$AD78,NWC_FC_NOOS!$C$50:$U$70,MATCH($Y78,NWC_FC_NOOS!$B$50:$B$70,0),FALSE),"")</f>
        <v>0</v>
      </c>
      <c r="AH78" s="650" t="str">
        <f ca="1">IFERROR(IF($AA78="NOOS",HLOOKUP(STOCK_OVERVIEW!$AB78&amp;STOCK_OVERVIEW!$AD78,PLANNING_FC!$BB$27:$BP$46,MATCH(STOCK_OVERVIEW!$Y78,PLANNING_FC!$BA$27:$BA$46,0),FALSE),HLOOKUP($AB78&amp;$AD78,PLANNING_FC!$BB$4:$BP$23,MATCH(STOCK_OVERVIEW!$Y78,PLANNING_FC!$BA$4:$BA$23,0),FALSE)),"")</f>
        <v/>
      </c>
      <c r="AI78" s="650" t="str">
        <f ca="1">IFERROR(IF($AA78="NOOS",HLOOKUP(STOCK_OVERVIEW!$AB78&amp;STOCK_OVERVIEW!$AD78,PLANNING_FC!$T$27:$AH$46,MATCH(STOCK_OVERVIEW!$Y78,PLANNING_FC!$B$27:$B$46,0),FALSE),HLOOKUP($AB78&amp;$AD78,PLANNING_FC!$T$4:$AH$23,MATCH(STOCK_OVERVIEW!$Y78,PLANNING_FC!$B$4:$B$23,0),FALSE)),"")</f>
        <v/>
      </c>
      <c r="AJ78" s="650" t="str">
        <f ca="1">IFERROR(IF($AA78="NOOS",HLOOKUP(STOCK_OVERVIEW!$AB78&amp;STOCK_OVERVIEW!$AD78,PLANNING_FC!$DA$27:$DO$46,MATCH(STOCK_OVERVIEW!$Y78,PLANNING_FC!$CZ$27:$CZ$46,0),FALSE),HLOOKUP($AB78&amp;$AD78,PLANNING_FC!$DA$4:$DO$23,MATCH(STOCK_OVERVIEW!$Y78,PLANNING_FC!$CZ$4:$CZ$23,0),FALSE)),"")</f>
        <v/>
      </c>
      <c r="AK78" s="651" t="str">
        <f ca="1">IFERROR(IF(AA78="NOOS",HLOOKUP(AB78&amp;AD78,PLANNING_FC!$AJ$27:$AY$47,MATCH(STOCK_OVERVIEW!Y78,PLANNING_FC!$AJ$27:$AJ$47,0),FALSE)*1000,HLOOKUP(AB78&amp;AD78,PLANNING_FC!$AJ$4:$AY$24,MATCH(STOCK_OVERVIEW!Y78,PLANNING_FC!$AJ$4:$AJ$24,0),FALSE)*1000),"")</f>
        <v/>
      </c>
      <c r="AL78" s="638"/>
      <c r="AM78" s="638"/>
      <c r="AN78" s="638"/>
      <c r="AO78" s="638"/>
      <c r="AP78" s="638"/>
      <c r="AQ78" s="638"/>
      <c r="AR78" s="638"/>
      <c r="AS78" s="638"/>
    </row>
    <row r="79" spans="1:45" s="61" customFormat="1" x14ac:dyDescent="0.25">
      <c r="A79" s="62"/>
      <c r="J79" s="19"/>
      <c r="N79" s="19"/>
      <c r="R79" s="19"/>
      <c r="S79" s="637"/>
      <c r="T79" s="637"/>
      <c r="U79" s="636"/>
      <c r="V79" s="637"/>
      <c r="W79" s="637"/>
      <c r="X79" s="200" t="str">
        <f>NWC_FC_NOOS!$B$1</f>
        <v>VM</v>
      </c>
      <c r="Y79" s="25" t="str">
        <f>NWC_FC_NOOS!$B$59</f>
        <v>PANTS</v>
      </c>
      <c r="Z79" s="25" t="str">
        <f t="shared" ca="1" si="15"/>
        <v>VMPANTS18/19Feb</v>
      </c>
      <c r="AA79" s="25" t="str">
        <f>NWC_FC_NOOS!$I$1</f>
        <v>NOOS</v>
      </c>
      <c r="AB79" s="25" t="str">
        <f ca="1">NWC_FC_NOOS!$C$73</f>
        <v>18/19</v>
      </c>
      <c r="AC79" s="25" t="str">
        <f ca="1">NWC_FC_NOOS!$C$74</f>
        <v>Q3</v>
      </c>
      <c r="AD79" s="25" t="str">
        <f ca="1">NWC_FC_NOOS!$C$75</f>
        <v>Feb</v>
      </c>
      <c r="AE79" s="649">
        <f ca="1">IFERROR(HLOOKUP($AB79&amp;$AD79,NWC_FC_NOOS!$B$4:$Q$24,MATCH($Y79,NWC_FC_NOOS!$B$4:$B$24,0),FALSE),"")</f>
        <v>0</v>
      </c>
      <c r="AF79" s="650">
        <f ca="1">IFERROR(HLOOKUP($AB79&amp;$AD79,NWC_FC_NOOS!$S$4:$AH$24,MATCH($Y79,NWC_FC_NOOS!$S$4:$S$24,0),FALSE),"")</f>
        <v>0</v>
      </c>
      <c r="AG79" s="650">
        <f ca="1">IFERROR(HLOOKUP($AB79&amp;$AD79,NWC_FC_NOOS!$C$50:$U$70,MATCH($Y79,NWC_FC_NOOS!$B$50:$B$70,0),FALSE),"")</f>
        <v>0</v>
      </c>
      <c r="AH79" s="650">
        <f ca="1">IFERROR(IF($AA79="NOOS",HLOOKUP(STOCK_OVERVIEW!$AB79&amp;STOCK_OVERVIEW!$AD79,PLANNING_FC!$BB$27:$BP$46,MATCH(STOCK_OVERVIEW!$Y79,PLANNING_FC!$BA$27:$BA$46,0),FALSE),HLOOKUP($AB79&amp;$AD79,PLANNING_FC!$BB$4:$BP$23,MATCH(STOCK_OVERVIEW!$Y79,PLANNING_FC!$BA$4:$BA$23,0),FALSE)),"")</f>
        <v>0</v>
      </c>
      <c r="AI79" s="650">
        <f ca="1">IFERROR(IF($AA79="NOOS",HLOOKUP(STOCK_OVERVIEW!$AB79&amp;STOCK_OVERVIEW!$AD79,PLANNING_FC!$T$27:$AH$46,MATCH(STOCK_OVERVIEW!$Y79,PLANNING_FC!$B$27:$B$46,0),FALSE),HLOOKUP($AB79&amp;$AD79,PLANNING_FC!$T$4:$AH$23,MATCH(STOCK_OVERVIEW!$Y79,PLANNING_FC!$B$4:$B$23,0),FALSE)),"")</f>
        <v>0</v>
      </c>
      <c r="AJ79" s="650">
        <f ca="1">IFERROR(IF($AA79="NOOS",HLOOKUP(STOCK_OVERVIEW!$AB79&amp;STOCK_OVERVIEW!$AD79,PLANNING_FC!$DA$27:$DO$46,MATCH(STOCK_OVERVIEW!$Y79,PLANNING_FC!$CZ$27:$CZ$46,0),FALSE),HLOOKUP($AB79&amp;$AD79,PLANNING_FC!$DA$4:$DO$23,MATCH(STOCK_OVERVIEW!$Y79,PLANNING_FC!$CZ$4:$CZ$23,0),FALSE)),"")</f>
        <v>0</v>
      </c>
      <c r="AK79" s="651">
        <f ca="1">IFERROR(IF(AA79="NOOS",HLOOKUP(AB79&amp;AD79,PLANNING_FC!$AJ$27:$AY$47,MATCH(STOCK_OVERVIEW!Y79,PLANNING_FC!$AJ$27:$AJ$47,0),FALSE)*1000,HLOOKUP(AB79&amp;AD79,PLANNING_FC!$AJ$4:$AY$24,MATCH(STOCK_OVERVIEW!Y79,PLANNING_FC!$AJ$4:$AJ$24,0),FALSE)*1000),"")</f>
        <v>0</v>
      </c>
      <c r="AL79" s="638"/>
      <c r="AM79" s="638"/>
      <c r="AN79" s="638"/>
      <c r="AO79" s="638"/>
      <c r="AP79" s="638"/>
      <c r="AQ79" s="638"/>
      <c r="AR79" s="638"/>
      <c r="AS79" s="638"/>
    </row>
    <row r="80" spans="1:45" s="61" customFormat="1" x14ac:dyDescent="0.25">
      <c r="A80" s="62"/>
      <c r="J80" s="19"/>
      <c r="N80" s="19"/>
      <c r="R80" s="19"/>
      <c r="S80" s="637"/>
      <c r="T80" s="637"/>
      <c r="U80" s="636"/>
      <c r="V80" s="637"/>
      <c r="W80" s="637"/>
      <c r="X80" s="200" t="str">
        <f>NWC_FC_NOOS!$B$1</f>
        <v>VM</v>
      </c>
      <c r="Y80" s="25" t="str">
        <f>NWC_FC_NOOS!$B$59</f>
        <v>PANTS</v>
      </c>
      <c r="Z80" s="25" t="str">
        <f t="shared" ca="1" si="15"/>
        <v>VMPANTS18/19Mar</v>
      </c>
      <c r="AA80" s="25" t="str">
        <f>NWC_FC_NOOS!$I$1</f>
        <v>NOOS</v>
      </c>
      <c r="AB80" s="25" t="str">
        <f ca="1">NWC_FC_NOOS!$C$73</f>
        <v>18/19</v>
      </c>
      <c r="AC80" s="25" t="str">
        <f ca="1">NWC_FC_NOOS!$C$74</f>
        <v>Q3</v>
      </c>
      <c r="AD80" s="25" t="str">
        <f ca="1">NWC_FC_NOOS!$D$75</f>
        <v>Mar</v>
      </c>
      <c r="AE80" s="649">
        <f ca="1">IFERROR(HLOOKUP($AB80&amp;$AD80,NWC_FC_NOOS!$B$4:$Q$24,MATCH($Y80,NWC_FC_NOOS!$B$4:$B$24,0),FALSE),"")</f>
        <v>0</v>
      </c>
      <c r="AF80" s="650">
        <f ca="1">IFERROR(HLOOKUP($AB80&amp;$AD80,NWC_FC_NOOS!$S$4:$AH$24,MATCH($Y80,NWC_FC_NOOS!$S$4:$S$24,0),FALSE),"")</f>
        <v>0</v>
      </c>
      <c r="AG80" s="650">
        <f ca="1">IFERROR(HLOOKUP($AB80&amp;$AD80,NWC_FC_NOOS!$C$50:$U$70,MATCH($Y80,NWC_FC_NOOS!$B$50:$B$70,0),FALSE),"")</f>
        <v>0</v>
      </c>
      <c r="AH80" s="650">
        <f ca="1">IFERROR(IF($AA80="NOOS",HLOOKUP(STOCK_OVERVIEW!$AB80&amp;STOCK_OVERVIEW!$AD80,PLANNING_FC!$BB$27:$BP$46,MATCH(STOCK_OVERVIEW!$Y80,PLANNING_FC!$BA$27:$BA$46,0),FALSE),HLOOKUP($AB80&amp;$AD80,PLANNING_FC!$BB$4:$BP$23,MATCH(STOCK_OVERVIEW!$Y80,PLANNING_FC!$BA$4:$BA$23,0),FALSE)),"")</f>
        <v>0</v>
      </c>
      <c r="AI80" s="650">
        <f ca="1">IFERROR(IF($AA80="NOOS",HLOOKUP(STOCK_OVERVIEW!$AB80&amp;STOCK_OVERVIEW!$AD80,PLANNING_FC!$T$27:$AH$46,MATCH(STOCK_OVERVIEW!$Y80,PLANNING_FC!$B$27:$B$46,0),FALSE),HLOOKUP($AB80&amp;$AD80,PLANNING_FC!$T$4:$AH$23,MATCH(STOCK_OVERVIEW!$Y80,PLANNING_FC!$B$4:$B$23,0),FALSE)),"")</f>
        <v>0</v>
      </c>
      <c r="AJ80" s="650">
        <f ca="1">IFERROR(IF($AA80="NOOS",HLOOKUP(STOCK_OVERVIEW!$AB80&amp;STOCK_OVERVIEW!$AD80,PLANNING_FC!$DA$27:$DO$46,MATCH(STOCK_OVERVIEW!$Y80,PLANNING_FC!$CZ$27:$CZ$46,0),FALSE),HLOOKUP($AB80&amp;$AD80,PLANNING_FC!$DA$4:$DO$23,MATCH(STOCK_OVERVIEW!$Y80,PLANNING_FC!$CZ$4:$CZ$23,0),FALSE)),"")</f>
        <v>0</v>
      </c>
      <c r="AK80" s="651">
        <f ca="1">IFERROR(IF(AA80="NOOS",HLOOKUP(AB80&amp;AD80,PLANNING_FC!$AJ$27:$AY$47,MATCH(STOCK_OVERVIEW!Y80,PLANNING_FC!$AJ$27:$AJ$47,0),FALSE)*1000,HLOOKUP(AB80&amp;AD80,PLANNING_FC!$AJ$4:$AY$24,MATCH(STOCK_OVERVIEW!Y80,PLANNING_FC!$AJ$4:$AJ$24,0),FALSE)*1000),"")</f>
        <v>0</v>
      </c>
      <c r="AL80" s="638"/>
      <c r="AM80" s="638"/>
      <c r="AN80" s="638"/>
      <c r="AO80" s="638"/>
      <c r="AP80" s="638"/>
      <c r="AQ80" s="638"/>
      <c r="AR80" s="638"/>
      <c r="AS80" s="638"/>
    </row>
    <row r="81" spans="1:45" s="61" customFormat="1" x14ac:dyDescent="0.25">
      <c r="A81" s="62"/>
      <c r="J81" s="19"/>
      <c r="N81" s="19"/>
      <c r="R81" s="19"/>
      <c r="S81" s="637"/>
      <c r="T81" s="637"/>
      <c r="U81" s="636"/>
      <c r="V81" s="637"/>
      <c r="W81" s="637"/>
      <c r="X81" s="200" t="str">
        <f>NWC_FC_NOOS!$B$1</f>
        <v>VM</v>
      </c>
      <c r="Y81" s="25" t="str">
        <f>NWC_FC_NOOS!$B$59</f>
        <v>PANTS</v>
      </c>
      <c r="Z81" s="25" t="str">
        <f t="shared" ca="1" si="15"/>
        <v>VMPANTS18/19Apr</v>
      </c>
      <c r="AA81" s="25" t="str">
        <f>NWC_FC_NOOS!$I$1</f>
        <v>NOOS</v>
      </c>
      <c r="AB81" s="25" t="str">
        <f ca="1">NWC_FC_NOOS!$C$73</f>
        <v>18/19</v>
      </c>
      <c r="AC81" s="25" t="str">
        <f ca="1">NWC_FC_NOOS!$C$74</f>
        <v>Q3</v>
      </c>
      <c r="AD81" s="25" t="str">
        <f ca="1">NWC_FC_NOOS!$E$75</f>
        <v>Apr</v>
      </c>
      <c r="AE81" s="649">
        <f ca="1">IFERROR(HLOOKUP($AB81&amp;$AD81,NWC_FC_NOOS!$B$4:$Q$24,MATCH($Y81,NWC_FC_NOOS!$B$4:$B$24,0),FALSE),"")</f>
        <v>0</v>
      </c>
      <c r="AF81" s="650">
        <f ca="1">IFERROR(HLOOKUP($AB81&amp;$AD81,NWC_FC_NOOS!$S$4:$AH$24,MATCH($Y81,NWC_FC_NOOS!$S$4:$S$24,0),FALSE),"")</f>
        <v>0</v>
      </c>
      <c r="AG81" s="650">
        <f ca="1">IFERROR(HLOOKUP($AB81&amp;$AD81,NWC_FC_NOOS!$C$50:$U$70,MATCH($Y81,NWC_FC_NOOS!$B$50:$B$70,0),FALSE),"")</f>
        <v>0</v>
      </c>
      <c r="AH81" s="650">
        <f ca="1">IFERROR(IF($AA81="NOOS",HLOOKUP(STOCK_OVERVIEW!$AB81&amp;STOCK_OVERVIEW!$AD81,PLANNING_FC!$BB$27:$BP$46,MATCH(STOCK_OVERVIEW!$Y81,PLANNING_FC!$BA$27:$BA$46,0),FALSE),HLOOKUP($AB81&amp;$AD81,PLANNING_FC!$BB$4:$BP$23,MATCH(STOCK_OVERVIEW!$Y81,PLANNING_FC!$BA$4:$BA$23,0),FALSE)),"")</f>
        <v>0</v>
      </c>
      <c r="AI81" s="650">
        <f ca="1">IFERROR(IF($AA81="NOOS",HLOOKUP(STOCK_OVERVIEW!$AB81&amp;STOCK_OVERVIEW!$AD81,PLANNING_FC!$T$27:$AH$46,MATCH(STOCK_OVERVIEW!$Y81,PLANNING_FC!$B$27:$B$46,0),FALSE),HLOOKUP($AB81&amp;$AD81,PLANNING_FC!$T$4:$AH$23,MATCH(STOCK_OVERVIEW!$Y81,PLANNING_FC!$B$4:$B$23,0),FALSE)),"")</f>
        <v>0</v>
      </c>
      <c r="AJ81" s="650">
        <f ca="1">IFERROR(IF($AA81="NOOS",HLOOKUP(STOCK_OVERVIEW!$AB81&amp;STOCK_OVERVIEW!$AD81,PLANNING_FC!$DA$27:$DO$46,MATCH(STOCK_OVERVIEW!$Y81,PLANNING_FC!$CZ$27:$CZ$46,0),FALSE),HLOOKUP($AB81&amp;$AD81,PLANNING_FC!$DA$4:$DO$23,MATCH(STOCK_OVERVIEW!$Y81,PLANNING_FC!$CZ$4:$CZ$23,0),FALSE)),"")</f>
        <v>206945</v>
      </c>
      <c r="AK81" s="651">
        <f ca="1">IFERROR(IF(AA81="NOOS",HLOOKUP(AB81&amp;AD81,PLANNING_FC!$AJ$27:$AY$47,MATCH(STOCK_OVERVIEW!Y81,PLANNING_FC!$AJ$27:$AJ$47,0),FALSE)*1000,HLOOKUP(AB81&amp;AD81,PLANNING_FC!$AJ$4:$AY$24,MATCH(STOCK_OVERVIEW!Y81,PLANNING_FC!$AJ$4:$AJ$24,0),FALSE)*1000),"")</f>
        <v>0</v>
      </c>
      <c r="AL81" s="638"/>
      <c r="AM81" s="638"/>
      <c r="AN81" s="638"/>
      <c r="AO81" s="638"/>
      <c r="AP81" s="638"/>
      <c r="AQ81" s="638"/>
      <c r="AR81" s="638"/>
      <c r="AS81" s="638"/>
    </row>
    <row r="82" spans="1:45" s="61" customFormat="1" x14ac:dyDescent="0.25">
      <c r="A82" s="62"/>
      <c r="J82" s="19"/>
      <c r="N82" s="19"/>
      <c r="R82" s="19"/>
      <c r="S82" s="637"/>
      <c r="T82" s="637"/>
      <c r="U82" s="636"/>
      <c r="V82" s="637"/>
      <c r="W82" s="637"/>
      <c r="X82" s="200" t="str">
        <f>NWC_FC_NOOS!$B$1</f>
        <v>VM</v>
      </c>
      <c r="Y82" s="25" t="str">
        <f>NWC_FC_NOOS!$B$59</f>
        <v>PANTS</v>
      </c>
      <c r="Z82" s="25" t="str">
        <f t="shared" ca="1" si="15"/>
        <v>VMPANTS18/19May</v>
      </c>
      <c r="AA82" s="25" t="str">
        <f>NWC_FC_NOOS!$I$1</f>
        <v>NOOS</v>
      </c>
      <c r="AB82" s="25" t="str">
        <f ca="1">NWC_FC_NOOS!$G$73</f>
        <v>18/19</v>
      </c>
      <c r="AC82" s="25" t="str">
        <f ca="1">NWC_FC_NOOS!$G$74</f>
        <v>Q4</v>
      </c>
      <c r="AD82" s="25" t="str">
        <f ca="1">NWC_FC_NOOS!$G$75</f>
        <v>May</v>
      </c>
      <c r="AE82" s="649">
        <f ca="1">IFERROR(HLOOKUP($AB82&amp;$AD82,NWC_FC_NOOS!$B$4:$Q$24,MATCH($Y82,NWC_FC_NOOS!$B$4:$B$24,0),FALSE),"")</f>
        <v>0</v>
      </c>
      <c r="AF82" s="650">
        <f ca="1">IFERROR(HLOOKUP($AB82&amp;$AD82,NWC_FC_NOOS!$S$4:$AH$24,MATCH($Y82,NWC_FC_NOOS!$S$4:$S$24,0),FALSE),"")</f>
        <v>0</v>
      </c>
      <c r="AG82" s="650">
        <f ca="1">IFERROR(HLOOKUP($AB82&amp;$AD82,NWC_FC_NOOS!$C$50:$U$70,MATCH($Y82,NWC_FC_NOOS!$B$50:$B$70,0),FALSE),"")</f>
        <v>0</v>
      </c>
      <c r="AH82" s="650">
        <f ca="1">IFERROR(IF($AA82="NOOS",HLOOKUP(STOCK_OVERVIEW!$AB82&amp;STOCK_OVERVIEW!$AD82,PLANNING_FC!$BB$27:$BP$46,MATCH(STOCK_OVERVIEW!$Y82,PLANNING_FC!$BA$27:$BA$46,0),FALSE),HLOOKUP($AB82&amp;$AD82,PLANNING_FC!$BB$4:$BP$23,MATCH(STOCK_OVERVIEW!$Y82,PLANNING_FC!$BA$4:$BA$23,0),FALSE)),"")</f>
        <v>0</v>
      </c>
      <c r="AI82" s="650">
        <f ca="1">IFERROR(IF($AA82="NOOS",HLOOKUP(STOCK_OVERVIEW!$AB82&amp;STOCK_OVERVIEW!$AD82,PLANNING_FC!$T$27:$AH$46,MATCH(STOCK_OVERVIEW!$Y82,PLANNING_FC!$B$27:$B$46,0),FALSE),HLOOKUP($AB82&amp;$AD82,PLANNING_FC!$T$4:$AH$23,MATCH(STOCK_OVERVIEW!$Y82,PLANNING_FC!$B$4:$B$23,0),FALSE)),"")</f>
        <v>0</v>
      </c>
      <c r="AJ82" s="650">
        <f ca="1">IFERROR(IF($AA82="NOOS",HLOOKUP(STOCK_OVERVIEW!$AB82&amp;STOCK_OVERVIEW!$AD82,PLANNING_FC!$DA$27:$DO$46,MATCH(STOCK_OVERVIEW!$Y82,PLANNING_FC!$CZ$27:$CZ$46,0),FALSE),HLOOKUP($AB82&amp;$AD82,PLANNING_FC!$DA$4:$DO$23,MATCH(STOCK_OVERVIEW!$Y82,PLANNING_FC!$CZ$4:$CZ$23,0),FALSE)),"")</f>
        <v>206945</v>
      </c>
      <c r="AK82" s="651">
        <f ca="1">IFERROR(IF(AA82="NOOS",HLOOKUP(AB82&amp;AD82,PLANNING_FC!$AJ$27:$AY$47,MATCH(STOCK_OVERVIEW!Y82,PLANNING_FC!$AJ$27:$AJ$47,0),FALSE)*1000,HLOOKUP(AB82&amp;AD82,PLANNING_FC!$AJ$4:$AY$24,MATCH(STOCK_OVERVIEW!Y82,PLANNING_FC!$AJ$4:$AJ$24,0),FALSE)*1000),"")</f>
        <v>0</v>
      </c>
      <c r="AL82" s="638"/>
      <c r="AM82" s="638"/>
      <c r="AN82" s="638"/>
      <c r="AO82" s="638"/>
      <c r="AP82" s="638"/>
      <c r="AQ82" s="638"/>
      <c r="AR82" s="638"/>
      <c r="AS82" s="638"/>
    </row>
    <row r="83" spans="1:45" s="61" customFormat="1" x14ac:dyDescent="0.25">
      <c r="A83" s="62"/>
      <c r="J83" s="19"/>
      <c r="N83" s="19"/>
      <c r="R83" s="19"/>
      <c r="S83" s="637"/>
      <c r="T83" s="637"/>
      <c r="U83" s="636"/>
      <c r="V83" s="637"/>
      <c r="W83" s="637"/>
      <c r="X83" s="200" t="str">
        <f>NWC_FC_NOOS!$B$1</f>
        <v>VM</v>
      </c>
      <c r="Y83" s="25" t="str">
        <f>NWC_FC_NOOS!$B$59</f>
        <v>PANTS</v>
      </c>
      <c r="Z83" s="25" t="str">
        <f t="shared" ca="1" si="15"/>
        <v>VMPANTS18/19Jun</v>
      </c>
      <c r="AA83" s="25" t="str">
        <f>NWC_FC_NOOS!$I$1</f>
        <v>NOOS</v>
      </c>
      <c r="AB83" s="25" t="str">
        <f ca="1">NWC_FC_NOOS!$G$73</f>
        <v>18/19</v>
      </c>
      <c r="AC83" s="25" t="str">
        <f ca="1">NWC_FC_NOOS!$G$74</f>
        <v>Q4</v>
      </c>
      <c r="AD83" s="25" t="str">
        <f ca="1">NWC_FC_NOOS!$H$75</f>
        <v>Jun</v>
      </c>
      <c r="AE83" s="649">
        <f ca="1">IFERROR(HLOOKUP($AB83&amp;$AD83,NWC_FC_NOOS!$B$4:$Q$24,MATCH($Y83,NWC_FC_NOOS!$B$4:$B$24,0),FALSE),"")</f>
        <v>0</v>
      </c>
      <c r="AF83" s="650">
        <f ca="1">IFERROR(HLOOKUP($AB83&amp;$AD83,NWC_FC_NOOS!$S$4:$AH$24,MATCH($Y83,NWC_FC_NOOS!$S$4:$S$24,0),FALSE),"")</f>
        <v>0</v>
      </c>
      <c r="AG83" s="650">
        <f ca="1">IFERROR(HLOOKUP($AB83&amp;$AD83,NWC_FC_NOOS!$C$50:$U$70,MATCH($Y83,NWC_FC_NOOS!$B$50:$B$70,0),FALSE),"")</f>
        <v>0</v>
      </c>
      <c r="AH83" s="650">
        <f ca="1">IFERROR(IF($AA83="NOOS",HLOOKUP(STOCK_OVERVIEW!$AB83&amp;STOCK_OVERVIEW!$AD83,PLANNING_FC!$BB$27:$BP$46,MATCH(STOCK_OVERVIEW!$Y83,PLANNING_FC!$BA$27:$BA$46,0),FALSE),HLOOKUP($AB83&amp;$AD83,PLANNING_FC!$BB$4:$BP$23,MATCH(STOCK_OVERVIEW!$Y83,PLANNING_FC!$BA$4:$BA$23,0),FALSE)),"")</f>
        <v>0</v>
      </c>
      <c r="AI83" s="650">
        <f ca="1">IFERROR(IF($AA83="NOOS",HLOOKUP(STOCK_OVERVIEW!$AB83&amp;STOCK_OVERVIEW!$AD83,PLANNING_FC!$T$27:$AH$46,MATCH(STOCK_OVERVIEW!$Y83,PLANNING_FC!$B$27:$B$46,0),FALSE),HLOOKUP($AB83&amp;$AD83,PLANNING_FC!$T$4:$AH$23,MATCH(STOCK_OVERVIEW!$Y83,PLANNING_FC!$B$4:$B$23,0),FALSE)),"")</f>
        <v>0</v>
      </c>
      <c r="AJ83" s="650">
        <f ca="1">IFERROR(IF($AA83="NOOS",HLOOKUP(STOCK_OVERVIEW!$AB83&amp;STOCK_OVERVIEW!$AD83,PLANNING_FC!$DA$27:$DO$46,MATCH(STOCK_OVERVIEW!$Y83,PLANNING_FC!$CZ$27:$CZ$46,0),FALSE),HLOOKUP($AB83&amp;$AD83,PLANNING_FC!$DA$4:$DO$23,MATCH(STOCK_OVERVIEW!$Y83,PLANNING_FC!$CZ$4:$CZ$23,0),FALSE)),"")</f>
        <v>220516</v>
      </c>
      <c r="AK83" s="651">
        <f ca="1">IFERROR(IF(AA83="NOOS",HLOOKUP(AB83&amp;AD83,PLANNING_FC!$AJ$27:$AY$47,MATCH(STOCK_OVERVIEW!Y83,PLANNING_FC!$AJ$27:$AJ$47,0),FALSE)*1000,HLOOKUP(AB83&amp;AD83,PLANNING_FC!$AJ$4:$AY$24,MATCH(STOCK_OVERVIEW!Y83,PLANNING_FC!$AJ$4:$AJ$24,0),FALSE)*1000),"")</f>
        <v>0</v>
      </c>
      <c r="AL83" s="638"/>
      <c r="AM83" s="638"/>
      <c r="AN83" s="638"/>
      <c r="AO83" s="638"/>
      <c r="AP83" s="638"/>
      <c r="AQ83" s="638"/>
      <c r="AR83" s="638"/>
      <c r="AS83" s="638"/>
    </row>
    <row r="84" spans="1:45" s="61" customFormat="1" x14ac:dyDescent="0.25">
      <c r="A84" s="62"/>
      <c r="J84" s="19"/>
      <c r="N84" s="19"/>
      <c r="R84" s="19"/>
      <c r="S84" s="637"/>
      <c r="T84" s="637"/>
      <c r="U84" s="636"/>
      <c r="V84" s="637"/>
      <c r="W84" s="637"/>
      <c r="X84" s="200" t="str">
        <f>NWC_FC_NOOS!$B$1</f>
        <v>VM</v>
      </c>
      <c r="Y84" s="25" t="str">
        <f>NWC_FC_NOOS!$B$59</f>
        <v>PANTS</v>
      </c>
      <c r="Z84" s="25" t="str">
        <f t="shared" ca="1" si="15"/>
        <v>VMPANTS18/19Jul</v>
      </c>
      <c r="AA84" s="25" t="str">
        <f>NWC_FC_NOOS!$I$1</f>
        <v>NOOS</v>
      </c>
      <c r="AB84" s="25" t="str">
        <f ca="1">NWC_FC_NOOS!$G$73</f>
        <v>18/19</v>
      </c>
      <c r="AC84" s="25" t="str">
        <f ca="1">NWC_FC_NOOS!$G$74</f>
        <v>Q4</v>
      </c>
      <c r="AD84" s="25" t="str">
        <f ca="1">NWC_FC_NOOS!$I$75</f>
        <v>Jul</v>
      </c>
      <c r="AE84" s="649">
        <f ca="1">IFERROR(HLOOKUP($AB84&amp;$AD84,NWC_FC_NOOS!$B$4:$Q$24,MATCH($Y84,NWC_FC_NOOS!$B$4:$B$24,0),FALSE),"")</f>
        <v>0</v>
      </c>
      <c r="AF84" s="650">
        <f ca="1">IFERROR(HLOOKUP($AB84&amp;$AD84,NWC_FC_NOOS!$S$4:$AH$24,MATCH($Y84,NWC_FC_NOOS!$S$4:$S$24,0),FALSE),"")</f>
        <v>0</v>
      </c>
      <c r="AG84" s="650">
        <f ca="1">IFERROR(HLOOKUP($AB84&amp;$AD84,NWC_FC_NOOS!$C$50:$U$70,MATCH($Y84,NWC_FC_NOOS!$B$50:$B$70,0),FALSE),"")</f>
        <v>0</v>
      </c>
      <c r="AH84" s="650">
        <f ca="1">IFERROR(IF($AA84="NOOS",HLOOKUP(STOCK_OVERVIEW!$AB84&amp;STOCK_OVERVIEW!$AD84,PLANNING_FC!$BB$27:$BP$46,MATCH(STOCK_OVERVIEW!$Y84,PLANNING_FC!$BA$27:$BA$46,0),FALSE),HLOOKUP($AB84&amp;$AD84,PLANNING_FC!$BB$4:$BP$23,MATCH(STOCK_OVERVIEW!$Y84,PLANNING_FC!$BA$4:$BA$23,0),FALSE)),"")</f>
        <v>0</v>
      </c>
      <c r="AI84" s="650">
        <f ca="1">IFERROR(IF($AA84="NOOS",HLOOKUP(STOCK_OVERVIEW!$AB84&amp;STOCK_OVERVIEW!$AD84,PLANNING_FC!$T$27:$AH$46,MATCH(STOCK_OVERVIEW!$Y84,PLANNING_FC!$B$27:$B$46,0),FALSE),HLOOKUP($AB84&amp;$AD84,PLANNING_FC!$T$4:$AH$23,MATCH(STOCK_OVERVIEW!$Y84,PLANNING_FC!$B$4:$B$23,0),FALSE)),"")</f>
        <v>0</v>
      </c>
      <c r="AJ84" s="650">
        <f ca="1">IFERROR(IF($AA84="NOOS",HLOOKUP(STOCK_OVERVIEW!$AB84&amp;STOCK_OVERVIEW!$AD84,PLANNING_FC!$DA$27:$DO$46,MATCH(STOCK_OVERVIEW!$Y84,PLANNING_FC!$CZ$27:$CZ$46,0),FALSE),HLOOKUP($AB84&amp;$AD84,PLANNING_FC!$DA$4:$DO$23,MATCH(STOCK_OVERVIEW!$Y84,PLANNING_FC!$CZ$4:$CZ$23,0),FALSE)),"")</f>
        <v>220516</v>
      </c>
      <c r="AK84" s="651">
        <f ca="1">IFERROR(IF(AA84="NOOS",HLOOKUP(AB84&amp;AD84,PLANNING_FC!$AJ$27:$AY$47,MATCH(STOCK_OVERVIEW!Y84,PLANNING_FC!$AJ$27:$AJ$47,0),FALSE)*1000,HLOOKUP(AB84&amp;AD84,PLANNING_FC!$AJ$4:$AY$24,MATCH(STOCK_OVERVIEW!Y84,PLANNING_FC!$AJ$4:$AJ$24,0),FALSE)*1000),"")</f>
        <v>0</v>
      </c>
      <c r="AL84" s="638"/>
      <c r="AM84" s="638"/>
      <c r="AN84" s="638"/>
      <c r="AO84" s="638"/>
      <c r="AP84" s="638"/>
      <c r="AQ84" s="638"/>
      <c r="AR84" s="638"/>
      <c r="AS84" s="638"/>
    </row>
    <row r="85" spans="1:45" s="61" customFormat="1" x14ac:dyDescent="0.25">
      <c r="A85" s="62"/>
      <c r="J85" s="19"/>
      <c r="N85" s="19"/>
      <c r="R85" s="19"/>
      <c r="S85" s="637"/>
      <c r="T85" s="637"/>
      <c r="U85" s="636"/>
      <c r="V85" s="637"/>
      <c r="W85" s="637"/>
      <c r="X85" s="200" t="str">
        <f>NWC_FC_NOOS!$B$1</f>
        <v>VM</v>
      </c>
      <c r="Y85" s="25" t="str">
        <f>NWC_FC_NOOS!$B$59</f>
        <v>PANTS</v>
      </c>
      <c r="Z85" s="25" t="str">
        <f t="shared" ca="1" si="15"/>
        <v>VMPANTS19/20Aug</v>
      </c>
      <c r="AA85" s="25" t="str">
        <f>NWC_FC_NOOS!$I$1</f>
        <v>NOOS</v>
      </c>
      <c r="AB85" s="25" t="str">
        <f ca="1">NWC_FC_NOOS!$K$73</f>
        <v>19/20</v>
      </c>
      <c r="AC85" s="25" t="str">
        <f ca="1">NWC_FC_NOOS!$K$74</f>
        <v>Q1</v>
      </c>
      <c r="AD85" s="25" t="str">
        <f ca="1">NWC_FC_NOOS!$K$75</f>
        <v>Aug</v>
      </c>
      <c r="AE85" s="649">
        <f ca="1">IFERROR(HLOOKUP($AB85&amp;$AD85,NWC_FC_NOOS!$B$4:$Q$24,MATCH($Y85,NWC_FC_NOOS!$B$4:$B$24,0),FALSE),"")</f>
        <v>0</v>
      </c>
      <c r="AF85" s="650">
        <f ca="1">IFERROR(HLOOKUP($AB85&amp;$AD85,NWC_FC_NOOS!$S$4:$AH$24,MATCH($Y85,NWC_FC_NOOS!$S$4:$S$24,0),FALSE),"")</f>
        <v>0</v>
      </c>
      <c r="AG85" s="650">
        <f ca="1">IFERROR(HLOOKUP($AB85&amp;$AD85,NWC_FC_NOOS!$C$50:$U$70,MATCH($Y85,NWC_FC_NOOS!$B$50:$B$70,0),FALSE),"")</f>
        <v>0</v>
      </c>
      <c r="AH85" s="650">
        <f ca="1">IFERROR(IF($AA85="NOOS",HLOOKUP(STOCK_OVERVIEW!$AB85&amp;STOCK_OVERVIEW!$AD85,PLANNING_FC!$BB$27:$BP$46,MATCH(STOCK_OVERVIEW!$Y85,PLANNING_FC!$BA$27:$BA$46,0),FALSE),HLOOKUP($AB85&amp;$AD85,PLANNING_FC!$BB$4:$BP$23,MATCH(STOCK_OVERVIEW!$Y85,PLANNING_FC!$BA$4:$BA$23,0),FALSE)),"")</f>
        <v>0</v>
      </c>
      <c r="AI85" s="650">
        <f ca="1">IFERROR(IF($AA85="NOOS",HLOOKUP(STOCK_OVERVIEW!$AB85&amp;STOCK_OVERVIEW!$AD85,PLANNING_FC!$T$27:$AH$46,MATCH(STOCK_OVERVIEW!$Y85,PLANNING_FC!$B$27:$B$46,0),FALSE),HLOOKUP($AB85&amp;$AD85,PLANNING_FC!$T$4:$AH$23,MATCH(STOCK_OVERVIEW!$Y85,PLANNING_FC!$B$4:$B$23,0),FALSE)),"")</f>
        <v>0</v>
      </c>
      <c r="AJ85" s="650">
        <f ca="1">IFERROR(IF($AA85="NOOS",HLOOKUP(STOCK_OVERVIEW!$AB85&amp;STOCK_OVERVIEW!$AD85,PLANNING_FC!$DA$27:$DO$46,MATCH(STOCK_OVERVIEW!$Y85,PLANNING_FC!$CZ$27:$CZ$46,0),FALSE),HLOOKUP($AB85&amp;$AD85,PLANNING_FC!$DA$4:$DO$23,MATCH(STOCK_OVERVIEW!$Y85,PLANNING_FC!$CZ$4:$CZ$23,0),FALSE)),"")</f>
        <v>222004</v>
      </c>
      <c r="AK85" s="651">
        <f ca="1">IFERROR(IF(AA85="NOOS",HLOOKUP(AB85&amp;AD85,PLANNING_FC!$AJ$27:$AY$47,MATCH(STOCK_OVERVIEW!Y85,PLANNING_FC!$AJ$27:$AJ$47,0),FALSE)*1000,HLOOKUP(AB85&amp;AD85,PLANNING_FC!$AJ$4:$AY$24,MATCH(STOCK_OVERVIEW!Y85,PLANNING_FC!$AJ$4:$AJ$24,0),FALSE)*1000),"")</f>
        <v>0</v>
      </c>
      <c r="AL85" s="638"/>
      <c r="AM85" s="638"/>
      <c r="AN85" s="638"/>
      <c r="AO85" s="638"/>
      <c r="AP85" s="638"/>
      <c r="AQ85" s="638"/>
      <c r="AR85" s="638"/>
      <c r="AS85" s="638"/>
    </row>
    <row r="86" spans="1:45" s="61" customFormat="1" x14ac:dyDescent="0.25">
      <c r="A86" s="62"/>
      <c r="J86" s="19"/>
      <c r="N86" s="19"/>
      <c r="R86" s="19"/>
      <c r="S86" s="637"/>
      <c r="T86" s="637"/>
      <c r="U86" s="636"/>
      <c r="V86" s="637"/>
      <c r="W86" s="637"/>
      <c r="X86" s="200" t="str">
        <f>NWC_FC_NOOS!$B$1</f>
        <v>VM</v>
      </c>
      <c r="Y86" s="25" t="str">
        <f>NWC_FC_NOOS!$B$59</f>
        <v>PANTS</v>
      </c>
      <c r="Z86" s="25" t="str">
        <f t="shared" ca="1" si="15"/>
        <v>VMPANTS19/20Sep</v>
      </c>
      <c r="AA86" s="25" t="str">
        <f>NWC_FC_NOOS!$I$1</f>
        <v>NOOS</v>
      </c>
      <c r="AB86" s="25" t="str">
        <f ca="1">NWC_FC_NOOS!$K$73</f>
        <v>19/20</v>
      </c>
      <c r="AC86" s="25" t="str">
        <f ca="1">NWC_FC_NOOS!$K$74</f>
        <v>Q1</v>
      </c>
      <c r="AD86" s="25" t="str">
        <f ca="1">NWC_FC_NOOS!$L$75</f>
        <v>Sep</v>
      </c>
      <c r="AE86" s="649">
        <f ca="1">IFERROR(HLOOKUP($AB86&amp;$AD86,NWC_FC_NOOS!$B$4:$Q$24,MATCH($Y86,NWC_FC_NOOS!$B$4:$B$24,0),FALSE),"")</f>
        <v>0</v>
      </c>
      <c r="AF86" s="650">
        <f ca="1">IFERROR(HLOOKUP($AB86&amp;$AD86,NWC_FC_NOOS!$S$4:$AH$24,MATCH($Y86,NWC_FC_NOOS!$S$4:$S$24,0),FALSE),"")</f>
        <v>0</v>
      </c>
      <c r="AG86" s="650">
        <f ca="1">IFERROR(HLOOKUP($AB86&amp;$AD86,NWC_FC_NOOS!$C$50:$U$70,MATCH($Y86,NWC_FC_NOOS!$B$50:$B$70,0),FALSE),"")</f>
        <v>0</v>
      </c>
      <c r="AH86" s="650">
        <f ca="1">IFERROR(IF($AA86="NOOS",HLOOKUP(STOCK_OVERVIEW!$AB86&amp;STOCK_OVERVIEW!$AD86,PLANNING_FC!$BB$27:$BP$46,MATCH(STOCK_OVERVIEW!$Y86,PLANNING_FC!$BA$27:$BA$46,0),FALSE),HLOOKUP($AB86&amp;$AD86,PLANNING_FC!$BB$4:$BP$23,MATCH(STOCK_OVERVIEW!$Y86,PLANNING_FC!$BA$4:$BA$23,0),FALSE)),"")</f>
        <v>0</v>
      </c>
      <c r="AI86" s="650">
        <f ca="1">IFERROR(IF($AA86="NOOS",HLOOKUP(STOCK_OVERVIEW!$AB86&amp;STOCK_OVERVIEW!$AD86,PLANNING_FC!$T$27:$AH$46,MATCH(STOCK_OVERVIEW!$Y86,PLANNING_FC!$B$27:$B$46,0),FALSE),HLOOKUP($AB86&amp;$AD86,PLANNING_FC!$T$4:$AH$23,MATCH(STOCK_OVERVIEW!$Y86,PLANNING_FC!$B$4:$B$23,0),FALSE)),"")</f>
        <v>0</v>
      </c>
      <c r="AJ86" s="650">
        <f ca="1">IFERROR(IF($AA86="NOOS",HLOOKUP(STOCK_OVERVIEW!$AB86&amp;STOCK_OVERVIEW!$AD86,PLANNING_FC!$DA$27:$DO$46,MATCH(STOCK_OVERVIEW!$Y86,PLANNING_FC!$CZ$27:$CZ$46,0),FALSE),HLOOKUP($AB86&amp;$AD86,PLANNING_FC!$DA$4:$DO$23,MATCH(STOCK_OVERVIEW!$Y86,PLANNING_FC!$CZ$4:$CZ$23,0),FALSE)),"")</f>
        <v>222004</v>
      </c>
      <c r="AK86" s="651">
        <f ca="1">IFERROR(IF(AA86="NOOS",HLOOKUP(AB86&amp;AD86,PLANNING_FC!$AJ$27:$AY$47,MATCH(STOCK_OVERVIEW!Y86,PLANNING_FC!$AJ$27:$AJ$47,0),FALSE)*1000,HLOOKUP(AB86&amp;AD86,PLANNING_FC!$AJ$4:$AY$24,MATCH(STOCK_OVERVIEW!Y86,PLANNING_FC!$AJ$4:$AJ$24,0),FALSE)*1000),"")</f>
        <v>0</v>
      </c>
      <c r="AL86" s="638"/>
      <c r="AM86" s="638"/>
      <c r="AN86" s="638"/>
      <c r="AO86" s="638"/>
      <c r="AP86" s="638"/>
      <c r="AQ86" s="638"/>
      <c r="AR86" s="638"/>
      <c r="AS86" s="638"/>
    </row>
    <row r="87" spans="1:45" s="61" customFormat="1" x14ac:dyDescent="0.25">
      <c r="A87" s="62"/>
      <c r="J87" s="19"/>
      <c r="N87" s="19"/>
      <c r="R87" s="19"/>
      <c r="S87" s="637"/>
      <c r="T87" s="637"/>
      <c r="U87" s="636"/>
      <c r="V87" s="637"/>
      <c r="W87" s="637"/>
      <c r="X87" s="200" t="str">
        <f>NWC_FC_NOOS!$B$1</f>
        <v>VM</v>
      </c>
      <c r="Y87" s="25" t="str">
        <f>NWC_FC_NOOS!$B$59</f>
        <v>PANTS</v>
      </c>
      <c r="Z87" s="25" t="str">
        <f t="shared" ca="1" si="15"/>
        <v>VMPANTS19/20Oct</v>
      </c>
      <c r="AA87" s="25" t="str">
        <f>NWC_FC_NOOS!$I$1</f>
        <v>NOOS</v>
      </c>
      <c r="AB87" s="25" t="str">
        <f ca="1">NWC_FC_NOOS!$K$73</f>
        <v>19/20</v>
      </c>
      <c r="AC87" s="25" t="str">
        <f ca="1">NWC_FC_NOOS!$K$74</f>
        <v>Q1</v>
      </c>
      <c r="AD87" s="25" t="str">
        <f ca="1">NWC_FC_NOOS!$M$75</f>
        <v>Oct</v>
      </c>
      <c r="AE87" s="649">
        <f ca="1">IFERROR(HLOOKUP($AB87&amp;$AD87,NWC_FC_NOOS!$B$4:$Q$24,MATCH($Y87,NWC_FC_NOOS!$B$4:$B$24,0),FALSE),"")</f>
        <v>0</v>
      </c>
      <c r="AF87" s="650">
        <f ca="1">IFERROR(HLOOKUP($AB87&amp;$AD87,NWC_FC_NOOS!$S$4:$AH$24,MATCH($Y87,NWC_FC_NOOS!$S$4:$S$24,0),FALSE),"")</f>
        <v>0</v>
      </c>
      <c r="AG87" s="650">
        <f ca="1">IFERROR(HLOOKUP($AB87&amp;$AD87,NWC_FC_NOOS!$C$50:$U$70,MATCH($Y87,NWC_FC_NOOS!$B$50:$B$70,0),FALSE),"")</f>
        <v>0</v>
      </c>
      <c r="AH87" s="650">
        <f ca="1">IFERROR(IF($AA87="NOOS",HLOOKUP(STOCK_OVERVIEW!$AB87&amp;STOCK_OVERVIEW!$AD87,PLANNING_FC!$BB$27:$BP$46,MATCH(STOCK_OVERVIEW!$Y87,PLANNING_FC!$BA$27:$BA$46,0),FALSE),HLOOKUP($AB87&amp;$AD87,PLANNING_FC!$BB$4:$BP$23,MATCH(STOCK_OVERVIEW!$Y87,PLANNING_FC!$BA$4:$BA$23,0),FALSE)),"")</f>
        <v>0</v>
      </c>
      <c r="AI87" s="650">
        <f ca="1">IFERROR(IF($AA87="NOOS",HLOOKUP(STOCK_OVERVIEW!$AB87&amp;STOCK_OVERVIEW!$AD87,PLANNING_FC!$T$27:$AH$46,MATCH(STOCK_OVERVIEW!$Y87,PLANNING_FC!$B$27:$B$46,0),FALSE),HLOOKUP($AB87&amp;$AD87,PLANNING_FC!$T$4:$AH$23,MATCH(STOCK_OVERVIEW!$Y87,PLANNING_FC!$B$4:$B$23,0),FALSE)),"")</f>
        <v>0</v>
      </c>
      <c r="AJ87" s="650">
        <f ca="1">IFERROR(IF($AA87="NOOS",HLOOKUP(STOCK_OVERVIEW!$AB87&amp;STOCK_OVERVIEW!$AD87,PLANNING_FC!$DA$27:$DO$46,MATCH(STOCK_OVERVIEW!$Y87,PLANNING_FC!$CZ$27:$CZ$46,0),FALSE),HLOOKUP($AB87&amp;$AD87,PLANNING_FC!$DA$4:$DO$23,MATCH(STOCK_OVERVIEW!$Y87,PLANNING_FC!$CZ$4:$CZ$23,0),FALSE)),"")</f>
        <v>222004</v>
      </c>
      <c r="AK87" s="651">
        <f ca="1">IFERROR(IF(AA87="NOOS",HLOOKUP(AB87&amp;AD87,PLANNING_FC!$AJ$27:$AY$47,MATCH(STOCK_OVERVIEW!Y87,PLANNING_FC!$AJ$27:$AJ$47,0),FALSE)*1000,HLOOKUP(AB87&amp;AD87,PLANNING_FC!$AJ$4:$AY$24,MATCH(STOCK_OVERVIEW!Y87,PLANNING_FC!$AJ$4:$AJ$24,0),FALSE)*1000),"")</f>
        <v>0</v>
      </c>
      <c r="AL87" s="638"/>
      <c r="AM87" s="638"/>
      <c r="AN87" s="638"/>
      <c r="AO87" s="638"/>
      <c r="AP87" s="638"/>
      <c r="AQ87" s="638"/>
      <c r="AR87" s="638"/>
      <c r="AS87" s="638"/>
    </row>
    <row r="88" spans="1:45" s="61" customFormat="1" x14ac:dyDescent="0.25">
      <c r="A88" s="62"/>
      <c r="J88" s="19"/>
      <c r="N88" s="19"/>
      <c r="R88" s="19"/>
      <c r="S88" s="637"/>
      <c r="T88" s="637"/>
      <c r="U88" s="636"/>
      <c r="V88" s="637"/>
      <c r="W88" s="637"/>
      <c r="X88" s="200" t="str">
        <f>NWC_FC_NOOS!$B$1</f>
        <v>VM</v>
      </c>
      <c r="Y88" s="25" t="str">
        <f>NWC_FC_NOOS!$B$59</f>
        <v>PANTS</v>
      </c>
      <c r="Z88" s="25" t="str">
        <f t="shared" ca="1" si="15"/>
        <v>VMPANTS19/20Nov</v>
      </c>
      <c r="AA88" s="25" t="str">
        <f>NWC_FC_NOOS!$I$1</f>
        <v>NOOS</v>
      </c>
      <c r="AB88" s="25" t="str">
        <f ca="1">NWC_FC_NOOS!$O$73</f>
        <v>19/20</v>
      </c>
      <c r="AC88" s="25" t="str">
        <f ca="1">NWC_FC_NOOS!$O$74</f>
        <v>Q2</v>
      </c>
      <c r="AD88" s="25" t="str">
        <f ca="1">NWC_FC_NOOS!$O$75</f>
        <v>Nov</v>
      </c>
      <c r="AE88" s="649">
        <f ca="1">IFERROR(HLOOKUP($AB88&amp;$AD88,NWC_FC_NOOS!$B$4:$Q$24,MATCH($Y88,NWC_FC_NOOS!$B$4:$B$24,0),FALSE),"")</f>
        <v>0</v>
      </c>
      <c r="AF88" s="650">
        <f ca="1">IFERROR(HLOOKUP($AB88&amp;$AD88,NWC_FC_NOOS!$S$4:$AH$24,MATCH($Y88,NWC_FC_NOOS!$S$4:$S$24,0),FALSE),"")</f>
        <v>0</v>
      </c>
      <c r="AG88" s="650">
        <f ca="1">IFERROR(HLOOKUP($AB88&amp;$AD88,NWC_FC_NOOS!$C$50:$U$70,MATCH($Y88,NWC_FC_NOOS!$B$50:$B$70,0),FALSE),"")</f>
        <v>0</v>
      </c>
      <c r="AH88" s="650">
        <f ca="1">IFERROR(IF($AA88="NOOS",HLOOKUP(STOCK_OVERVIEW!$AB88&amp;STOCK_OVERVIEW!$AD88,PLANNING_FC!$BB$27:$BP$46,MATCH(STOCK_OVERVIEW!$Y88,PLANNING_FC!$BA$27:$BA$46,0),FALSE),HLOOKUP($AB88&amp;$AD88,PLANNING_FC!$BB$4:$BP$23,MATCH(STOCK_OVERVIEW!$Y88,PLANNING_FC!$BA$4:$BA$23,0),FALSE)),"")</f>
        <v>0</v>
      </c>
      <c r="AI88" s="650">
        <f ca="1">IFERROR(IF($AA88="NOOS",HLOOKUP(STOCK_OVERVIEW!$AB88&amp;STOCK_OVERVIEW!$AD88,PLANNING_FC!$T$27:$AH$46,MATCH(STOCK_OVERVIEW!$Y88,PLANNING_FC!$B$27:$B$46,0),FALSE),HLOOKUP($AB88&amp;$AD88,PLANNING_FC!$T$4:$AH$23,MATCH(STOCK_OVERVIEW!$Y88,PLANNING_FC!$B$4:$B$23,0),FALSE)),"")</f>
        <v>0</v>
      </c>
      <c r="AJ88" s="650">
        <f ca="1">IFERROR(IF($AA88="NOOS",HLOOKUP(STOCK_OVERVIEW!$AB88&amp;STOCK_OVERVIEW!$AD88,PLANNING_FC!$DA$27:$DO$46,MATCH(STOCK_OVERVIEW!$Y88,PLANNING_FC!$CZ$27:$CZ$46,0),FALSE),HLOOKUP($AB88&amp;$AD88,PLANNING_FC!$DA$4:$DO$23,MATCH(STOCK_OVERVIEW!$Y88,PLANNING_FC!$CZ$4:$CZ$23,0),FALSE)),"")</f>
        <v>222004</v>
      </c>
      <c r="AK88" s="651">
        <f ca="1">IFERROR(IF(AA88="NOOS",HLOOKUP(AB88&amp;AD88,PLANNING_FC!$AJ$27:$AY$47,MATCH(STOCK_OVERVIEW!Y88,PLANNING_FC!$AJ$27:$AJ$47,0),FALSE)*1000,HLOOKUP(AB88&amp;AD88,PLANNING_FC!$AJ$4:$AY$24,MATCH(STOCK_OVERVIEW!Y88,PLANNING_FC!$AJ$4:$AJ$24,0),FALSE)*1000),"")</f>
        <v>0</v>
      </c>
      <c r="AL88" s="638"/>
      <c r="AM88" s="638"/>
      <c r="AN88" s="638"/>
      <c r="AO88" s="638"/>
      <c r="AP88" s="638"/>
      <c r="AQ88" s="638"/>
      <c r="AR88" s="638"/>
      <c r="AS88" s="638"/>
    </row>
    <row r="89" spans="1:45" s="61" customFormat="1" x14ac:dyDescent="0.25">
      <c r="A89" s="62"/>
      <c r="J89" s="19"/>
      <c r="N89" s="19"/>
      <c r="R89" s="19"/>
      <c r="S89" s="637"/>
      <c r="T89" s="637"/>
      <c r="U89" s="636"/>
      <c r="V89" s="637"/>
      <c r="W89" s="637"/>
      <c r="X89" s="200" t="str">
        <f>NWC_FC_NOOS!$B$1</f>
        <v>VM</v>
      </c>
      <c r="Y89" s="25" t="str">
        <f>NWC_FC_NOOS!$B$59</f>
        <v>PANTS</v>
      </c>
      <c r="Z89" s="25" t="str">
        <f t="shared" ca="1" si="15"/>
        <v>VMPANTS19/20Dec</v>
      </c>
      <c r="AA89" s="25" t="str">
        <f>NWC_FC_NOOS!$I$1</f>
        <v>NOOS</v>
      </c>
      <c r="AB89" s="25" t="str">
        <f ca="1">NWC_FC_NOOS!$O$73</f>
        <v>19/20</v>
      </c>
      <c r="AC89" s="25" t="str">
        <f ca="1">NWC_FC_NOOS!$O$74</f>
        <v>Q2</v>
      </c>
      <c r="AD89" s="25" t="str">
        <f ca="1">NWC_FC_NOOS!$P$75</f>
        <v>Dec</v>
      </c>
      <c r="AE89" s="649">
        <f ca="1">IFERROR(HLOOKUP($AB89&amp;$AD89,NWC_FC_NOOS!$B$4:$Q$24,MATCH($Y89,NWC_FC_NOOS!$B$4:$B$24,0),FALSE),"")</f>
        <v>0</v>
      </c>
      <c r="AF89" s="650">
        <f ca="1">IFERROR(HLOOKUP($AB89&amp;$AD89,NWC_FC_NOOS!$S$4:$AH$24,MATCH($Y89,NWC_FC_NOOS!$S$4:$S$24,0),FALSE),"")</f>
        <v>0</v>
      </c>
      <c r="AG89" s="650">
        <f ca="1">IFERROR(HLOOKUP($AB89&amp;$AD89,NWC_FC_NOOS!$C$50:$U$70,MATCH($Y89,NWC_FC_NOOS!$B$50:$B$70,0),FALSE),"")</f>
        <v>0</v>
      </c>
      <c r="AH89" s="650">
        <f ca="1">IFERROR(IF($AA89="NOOS",HLOOKUP(STOCK_OVERVIEW!$AB89&amp;STOCK_OVERVIEW!$AD89,PLANNING_FC!$BB$27:$BP$46,MATCH(STOCK_OVERVIEW!$Y89,PLANNING_FC!$BA$27:$BA$46,0),FALSE),HLOOKUP($AB89&amp;$AD89,PLANNING_FC!$BB$4:$BP$23,MATCH(STOCK_OVERVIEW!$Y89,PLANNING_FC!$BA$4:$BA$23,0),FALSE)),"")</f>
        <v>0</v>
      </c>
      <c r="AI89" s="650">
        <f ca="1">IFERROR(IF($AA89="NOOS",HLOOKUP(STOCK_OVERVIEW!$AB89&amp;STOCK_OVERVIEW!$AD89,PLANNING_FC!$T$27:$AH$46,MATCH(STOCK_OVERVIEW!$Y89,PLANNING_FC!$B$27:$B$46,0),FALSE),HLOOKUP($AB89&amp;$AD89,PLANNING_FC!$T$4:$AH$23,MATCH(STOCK_OVERVIEW!$Y89,PLANNING_FC!$B$4:$B$23,0),FALSE)),"")</f>
        <v>0</v>
      </c>
      <c r="AJ89" s="650">
        <f ca="1">IFERROR(IF($AA89="NOOS",HLOOKUP(STOCK_OVERVIEW!$AB89&amp;STOCK_OVERVIEW!$AD89,PLANNING_FC!$DA$27:$DO$46,MATCH(STOCK_OVERVIEW!$Y89,PLANNING_FC!$CZ$27:$CZ$46,0),FALSE),HLOOKUP($AB89&amp;$AD89,PLANNING_FC!$DA$4:$DO$23,MATCH(STOCK_OVERVIEW!$Y89,PLANNING_FC!$CZ$4:$CZ$23,0),FALSE)),"")</f>
        <v>222004</v>
      </c>
      <c r="AK89" s="651">
        <f ca="1">IFERROR(IF(AA89="NOOS",HLOOKUP(AB89&amp;AD89,PLANNING_FC!$AJ$27:$AY$47,MATCH(STOCK_OVERVIEW!Y89,PLANNING_FC!$AJ$27:$AJ$47,0),FALSE)*1000,HLOOKUP(AB89&amp;AD89,PLANNING_FC!$AJ$4:$AY$24,MATCH(STOCK_OVERVIEW!Y89,PLANNING_FC!$AJ$4:$AJ$24,0),FALSE)*1000),"")</f>
        <v>0</v>
      </c>
      <c r="AL89" s="638"/>
      <c r="AM89" s="638"/>
      <c r="AN89" s="638"/>
      <c r="AO89" s="638"/>
      <c r="AP89" s="638"/>
      <c r="AQ89" s="638"/>
      <c r="AR89" s="638"/>
      <c r="AS89" s="638"/>
    </row>
    <row r="90" spans="1:45" s="61" customFormat="1" x14ac:dyDescent="0.25">
      <c r="A90" s="62"/>
      <c r="J90" s="19"/>
      <c r="N90" s="19"/>
      <c r="R90" s="19"/>
      <c r="S90" s="637"/>
      <c r="T90" s="637"/>
      <c r="U90" s="636"/>
      <c r="V90" s="637"/>
      <c r="W90" s="637"/>
      <c r="X90" s="200" t="str">
        <f>NWC_FC_NOOS!$B$1</f>
        <v>VM</v>
      </c>
      <c r="Y90" s="25" t="str">
        <f>NWC_FC_NOOS!$B$59</f>
        <v>PANTS</v>
      </c>
      <c r="Z90" s="25" t="str">
        <f t="shared" ca="1" si="15"/>
        <v>VMPANTS19/20Jan</v>
      </c>
      <c r="AA90" s="25" t="str">
        <f>NWC_FC_NOOS!$I$1</f>
        <v>NOOS</v>
      </c>
      <c r="AB90" s="25" t="str">
        <f ca="1">NWC_FC_NOOS!$O$73</f>
        <v>19/20</v>
      </c>
      <c r="AC90" s="25" t="str">
        <f ca="1">NWC_FC_NOOS!$O$74</f>
        <v>Q2</v>
      </c>
      <c r="AD90" s="25" t="str">
        <f ca="1">NWC_FC_NOOS!$Q$75</f>
        <v>Jan</v>
      </c>
      <c r="AE90" s="649">
        <f ca="1">IFERROR(HLOOKUP($AB90&amp;$AD90,NWC_FC_NOOS!$B$4:$Q$24,MATCH($Y90,NWC_FC_NOOS!$B$4:$B$24,0),FALSE),"")</f>
        <v>0</v>
      </c>
      <c r="AF90" s="650">
        <f ca="1">IFERROR(HLOOKUP($AB90&amp;$AD90,NWC_FC_NOOS!$S$4:$AH$24,MATCH($Y90,NWC_FC_NOOS!$S$4:$S$24,0),FALSE),"")</f>
        <v>0</v>
      </c>
      <c r="AG90" s="650">
        <f ca="1">IFERROR(HLOOKUP($AB90&amp;$AD90,NWC_FC_NOOS!$C$50:$U$70,MATCH($Y90,NWC_FC_NOOS!$B$50:$B$70,0),FALSE),"")</f>
        <v>0</v>
      </c>
      <c r="AH90" s="650">
        <f ca="1">IFERROR(IF($AA90="NOOS",HLOOKUP(STOCK_OVERVIEW!$AB90&amp;STOCK_OVERVIEW!$AD90,PLANNING_FC!$BB$27:$BP$46,MATCH(STOCK_OVERVIEW!$Y90,PLANNING_FC!$BA$27:$BA$46,0),FALSE),HLOOKUP($AB90&amp;$AD90,PLANNING_FC!$BB$4:$BP$23,MATCH(STOCK_OVERVIEW!$Y90,PLANNING_FC!$BA$4:$BA$23,0),FALSE)),"")</f>
        <v>0</v>
      </c>
      <c r="AI90" s="650">
        <f ca="1">IFERROR(IF($AA90="NOOS",HLOOKUP(STOCK_OVERVIEW!$AB90&amp;STOCK_OVERVIEW!$AD90,PLANNING_FC!$T$27:$AH$46,MATCH(STOCK_OVERVIEW!$Y90,PLANNING_FC!$B$27:$B$46,0),FALSE),HLOOKUP($AB90&amp;$AD90,PLANNING_FC!$T$4:$AH$23,MATCH(STOCK_OVERVIEW!$Y90,PLANNING_FC!$B$4:$B$23,0),FALSE)),"")</f>
        <v>0</v>
      </c>
      <c r="AJ90" s="650">
        <f ca="1">IFERROR(IF($AA90="NOOS",HLOOKUP(STOCK_OVERVIEW!$AB90&amp;STOCK_OVERVIEW!$AD90,PLANNING_FC!$DA$27:$DO$46,MATCH(STOCK_OVERVIEW!$Y90,PLANNING_FC!$CZ$27:$CZ$46,0),FALSE),HLOOKUP($AB90&amp;$AD90,PLANNING_FC!$DA$4:$DO$23,MATCH(STOCK_OVERVIEW!$Y90,PLANNING_FC!$CZ$4:$CZ$23,0),FALSE)),"")</f>
        <v>222004</v>
      </c>
      <c r="AK90" s="651">
        <f ca="1">IFERROR(IF(AA90="NOOS",HLOOKUP(AB90&amp;AD90,PLANNING_FC!$AJ$27:$AY$47,MATCH(STOCK_OVERVIEW!Y90,PLANNING_FC!$AJ$27:$AJ$47,0),FALSE)*1000,HLOOKUP(AB90&amp;AD90,PLANNING_FC!$AJ$4:$AY$24,MATCH(STOCK_OVERVIEW!Y90,PLANNING_FC!$AJ$4:$AJ$24,0),FALSE)*1000),"")</f>
        <v>0</v>
      </c>
      <c r="AL90" s="638"/>
      <c r="AM90" s="638"/>
      <c r="AN90" s="638"/>
      <c r="AO90" s="638"/>
      <c r="AP90" s="638"/>
      <c r="AQ90" s="638"/>
      <c r="AR90" s="638"/>
      <c r="AS90" s="638"/>
    </row>
    <row r="91" spans="1:45" s="61" customFormat="1" x14ac:dyDescent="0.25">
      <c r="A91" s="62"/>
      <c r="J91" s="19"/>
      <c r="N91" s="19"/>
      <c r="R91" s="19"/>
      <c r="S91" s="637"/>
      <c r="T91" s="637"/>
      <c r="U91" s="636"/>
      <c r="V91" s="637"/>
      <c r="W91" s="637"/>
      <c r="X91" s="200" t="str">
        <f>NWC_FC_NOOS!$B$1</f>
        <v>VM</v>
      </c>
      <c r="Y91" s="25" t="str">
        <f>NWC_FC_NOOS!$B$59</f>
        <v>PANTS</v>
      </c>
      <c r="Z91" s="25" t="str">
        <f t="shared" ca="1" si="15"/>
        <v>VMPANTS19/20Feb</v>
      </c>
      <c r="AA91" s="25" t="str">
        <f>NWC_FC_NOOS!$I$1</f>
        <v>NOOS</v>
      </c>
      <c r="AB91" s="25" t="str">
        <f ca="1">NWC_FC_NOOS!$S$73</f>
        <v>19/20</v>
      </c>
      <c r="AC91" s="25" t="str">
        <f ca="1">NWC_FC_NOOS!$S$74</f>
        <v>Q3</v>
      </c>
      <c r="AD91" s="25" t="str">
        <f ca="1">NWC_FC_NOOS!$S$75</f>
        <v>Feb</v>
      </c>
      <c r="AE91" s="649" t="str">
        <f ca="1">IFERROR(HLOOKUP($AB91&amp;$AD91,NWC_FC_NOOS!$B$4:$Q$24,MATCH($Y91,NWC_FC_NOOS!$B$4:$B$24,0),FALSE),"")</f>
        <v/>
      </c>
      <c r="AF91" s="650" t="str">
        <f ca="1">IFERROR(HLOOKUP($AB91&amp;$AD91,NWC_FC_NOOS!$S$4:$AH$24,MATCH($Y91,NWC_FC_NOOS!$S$4:$S$24,0),FALSE),"")</f>
        <v/>
      </c>
      <c r="AG91" s="650">
        <f ca="1">IFERROR(HLOOKUP($AB91&amp;$AD91,NWC_FC_NOOS!$C$50:$U$70,MATCH($Y91,NWC_FC_NOOS!$B$50:$B$70,0),FALSE),"")</f>
        <v>0</v>
      </c>
      <c r="AH91" s="650" t="str">
        <f ca="1">IFERROR(IF($AA91="NOOS",HLOOKUP(STOCK_OVERVIEW!$AB91&amp;STOCK_OVERVIEW!$AD91,PLANNING_FC!$BB$27:$BP$46,MATCH(STOCK_OVERVIEW!$Y91,PLANNING_FC!$BA$27:$BA$46,0),FALSE),HLOOKUP($AB91&amp;$AD91,PLANNING_FC!$BB$4:$BP$23,MATCH(STOCK_OVERVIEW!$Y91,PLANNING_FC!$BA$4:$BA$23,0),FALSE)),"")</f>
        <v/>
      </c>
      <c r="AI91" s="650" t="str">
        <f ca="1">IFERROR(IF($AA91="NOOS",HLOOKUP(STOCK_OVERVIEW!$AB91&amp;STOCK_OVERVIEW!$AD91,PLANNING_FC!$T$27:$AH$46,MATCH(STOCK_OVERVIEW!$Y91,PLANNING_FC!$B$27:$B$46,0),FALSE),HLOOKUP($AB91&amp;$AD91,PLANNING_FC!$T$4:$AH$23,MATCH(STOCK_OVERVIEW!$Y91,PLANNING_FC!$B$4:$B$23,0),FALSE)),"")</f>
        <v/>
      </c>
      <c r="AJ91" s="650" t="str">
        <f ca="1">IFERROR(IF($AA91="NOOS",HLOOKUP(STOCK_OVERVIEW!$AB91&amp;STOCK_OVERVIEW!$AD91,PLANNING_FC!$DA$27:$DO$46,MATCH(STOCK_OVERVIEW!$Y91,PLANNING_FC!$CZ$27:$CZ$46,0),FALSE),HLOOKUP($AB91&amp;$AD91,PLANNING_FC!$DA$4:$DO$23,MATCH(STOCK_OVERVIEW!$Y91,PLANNING_FC!$CZ$4:$CZ$23,0),FALSE)),"")</f>
        <v/>
      </c>
      <c r="AK91" s="651" t="str">
        <f ca="1">IFERROR(IF(AA91="NOOS",HLOOKUP(AB91&amp;AD91,PLANNING_FC!$AJ$27:$AY$47,MATCH(STOCK_OVERVIEW!Y91,PLANNING_FC!$AJ$27:$AJ$47,0),FALSE)*1000,HLOOKUP(AB91&amp;AD91,PLANNING_FC!$AJ$4:$AY$24,MATCH(STOCK_OVERVIEW!Y91,PLANNING_FC!$AJ$4:$AJ$24,0),FALSE)*1000),"")</f>
        <v/>
      </c>
      <c r="AL91" s="638"/>
      <c r="AM91" s="638"/>
      <c r="AN91" s="638"/>
      <c r="AO91" s="638"/>
      <c r="AP91" s="638"/>
      <c r="AQ91" s="638"/>
      <c r="AR91" s="638"/>
      <c r="AS91" s="638"/>
    </row>
    <row r="92" spans="1:45" s="61" customFormat="1" x14ac:dyDescent="0.25">
      <c r="A92" s="62"/>
      <c r="J92" s="19"/>
      <c r="N92" s="19"/>
      <c r="R92" s="19"/>
      <c r="S92" s="637"/>
      <c r="T92" s="637"/>
      <c r="U92" s="636"/>
      <c r="V92" s="637"/>
      <c r="W92" s="637"/>
      <c r="X92" s="200" t="str">
        <f>NWC_FC_NOOS!$B$1</f>
        <v>VM</v>
      </c>
      <c r="Y92" s="25" t="str">
        <f>NWC_FC_NOOS!$B$59</f>
        <v>PANTS</v>
      </c>
      <c r="Z92" s="25" t="str">
        <f t="shared" ca="1" si="15"/>
        <v>VMPANTS19/20Mar</v>
      </c>
      <c r="AA92" s="25" t="str">
        <f>NWC_FC_NOOS!$I$1</f>
        <v>NOOS</v>
      </c>
      <c r="AB92" s="25" t="str">
        <f ca="1">NWC_FC_NOOS!$S$73</f>
        <v>19/20</v>
      </c>
      <c r="AC92" s="25" t="str">
        <f ca="1">NWC_FC_NOOS!$S$74</f>
        <v>Q3</v>
      </c>
      <c r="AD92" s="25" t="str">
        <f ca="1">NWC_FC_NOOS!$T$75</f>
        <v>Mar</v>
      </c>
      <c r="AE92" s="649" t="str">
        <f ca="1">IFERROR(HLOOKUP($AB92&amp;$AD92,NWC_FC_NOOS!$B$4:$Q$24,MATCH($Y92,NWC_FC_NOOS!$B$4:$B$24,0),FALSE),"")</f>
        <v/>
      </c>
      <c r="AF92" s="650" t="str">
        <f ca="1">IFERROR(HLOOKUP($AB92&amp;$AD92,NWC_FC_NOOS!$S$4:$AH$24,MATCH($Y92,NWC_FC_NOOS!$S$4:$S$24,0),FALSE),"")</f>
        <v/>
      </c>
      <c r="AG92" s="650">
        <f ca="1">IFERROR(HLOOKUP($AB92&amp;$AD92,NWC_FC_NOOS!$C$50:$U$70,MATCH($Y92,NWC_FC_NOOS!$B$50:$B$70,0),FALSE),"")</f>
        <v>0</v>
      </c>
      <c r="AH92" s="650" t="str">
        <f ca="1">IFERROR(IF($AA92="NOOS",HLOOKUP(STOCK_OVERVIEW!$AB92&amp;STOCK_OVERVIEW!$AD92,PLANNING_FC!$BB$27:$BP$46,MATCH(STOCK_OVERVIEW!$Y92,PLANNING_FC!$BA$27:$BA$46,0),FALSE),HLOOKUP($AB92&amp;$AD92,PLANNING_FC!$BB$4:$BP$23,MATCH(STOCK_OVERVIEW!$Y92,PLANNING_FC!$BA$4:$BA$23,0),FALSE)),"")</f>
        <v/>
      </c>
      <c r="AI92" s="650" t="str">
        <f ca="1">IFERROR(IF($AA92="NOOS",HLOOKUP(STOCK_OVERVIEW!$AB92&amp;STOCK_OVERVIEW!$AD92,PLANNING_FC!$T$27:$AH$46,MATCH(STOCK_OVERVIEW!$Y92,PLANNING_FC!$B$27:$B$46,0),FALSE),HLOOKUP($AB92&amp;$AD92,PLANNING_FC!$T$4:$AH$23,MATCH(STOCK_OVERVIEW!$Y92,PLANNING_FC!$B$4:$B$23,0),FALSE)),"")</f>
        <v/>
      </c>
      <c r="AJ92" s="650" t="str">
        <f ca="1">IFERROR(IF($AA92="NOOS",HLOOKUP(STOCK_OVERVIEW!$AB92&amp;STOCK_OVERVIEW!$AD92,PLANNING_FC!$DA$27:$DO$46,MATCH(STOCK_OVERVIEW!$Y92,PLANNING_FC!$CZ$27:$CZ$46,0),FALSE),HLOOKUP($AB92&amp;$AD92,PLANNING_FC!$DA$4:$DO$23,MATCH(STOCK_OVERVIEW!$Y92,PLANNING_FC!$CZ$4:$CZ$23,0),FALSE)),"")</f>
        <v/>
      </c>
      <c r="AK92" s="651" t="str">
        <f ca="1">IFERROR(IF(AA92="NOOS",HLOOKUP(AB92&amp;AD92,PLANNING_FC!$AJ$27:$AY$47,MATCH(STOCK_OVERVIEW!Y92,PLANNING_FC!$AJ$27:$AJ$47,0),FALSE)*1000,HLOOKUP(AB92&amp;AD92,PLANNING_FC!$AJ$4:$AY$24,MATCH(STOCK_OVERVIEW!Y92,PLANNING_FC!$AJ$4:$AJ$24,0),FALSE)*1000),"")</f>
        <v/>
      </c>
      <c r="AL92" s="638"/>
      <c r="AM92" s="638"/>
      <c r="AN92" s="638"/>
      <c r="AO92" s="638"/>
      <c r="AP92" s="638"/>
      <c r="AQ92" s="638"/>
      <c r="AR92" s="638"/>
      <c r="AS92" s="638"/>
    </row>
    <row r="93" spans="1:45" s="61" customFormat="1" x14ac:dyDescent="0.25">
      <c r="A93" s="62"/>
      <c r="J93" s="19"/>
      <c r="N93" s="19"/>
      <c r="R93" s="19"/>
      <c r="S93" s="637"/>
      <c r="T93" s="637"/>
      <c r="U93" s="636"/>
      <c r="V93" s="637"/>
      <c r="W93" s="637"/>
      <c r="X93" s="200" t="str">
        <f>NWC_FC_NOOS!$B$1</f>
        <v>VM</v>
      </c>
      <c r="Y93" s="25" t="str">
        <f>NWC_FC_NOOS!$B$59</f>
        <v>PANTS</v>
      </c>
      <c r="Z93" s="25" t="str">
        <f t="shared" ca="1" si="15"/>
        <v>VMPANTS19/20Apr</v>
      </c>
      <c r="AA93" s="25" t="str">
        <f>NWC_FC_NOOS!$I$1</f>
        <v>NOOS</v>
      </c>
      <c r="AB93" s="25" t="str">
        <f ca="1">NWC_FC_NOOS!$S$73</f>
        <v>19/20</v>
      </c>
      <c r="AC93" s="25" t="str">
        <f ca="1">NWC_FC_NOOS!$S$74</f>
        <v>Q3</v>
      </c>
      <c r="AD93" s="25" t="str">
        <f ca="1">NWC_FC_NOOS!$U$75</f>
        <v>Apr</v>
      </c>
      <c r="AE93" s="649" t="str">
        <f ca="1">IFERROR(HLOOKUP($AB93&amp;$AD93,NWC_FC_NOOS!$B$4:$Q$24,MATCH($Y93,NWC_FC_NOOS!$B$4:$B$24,0),FALSE),"")</f>
        <v/>
      </c>
      <c r="AF93" s="650" t="str">
        <f ca="1">IFERROR(HLOOKUP($AB93&amp;$AD93,NWC_FC_NOOS!$S$4:$AH$24,MATCH($Y93,NWC_FC_NOOS!$S$4:$S$24,0),FALSE),"")</f>
        <v/>
      </c>
      <c r="AG93" s="650">
        <f ca="1">IFERROR(HLOOKUP($AB93&amp;$AD93,NWC_FC_NOOS!$C$50:$U$70,MATCH($Y93,NWC_FC_NOOS!$B$50:$B$70,0),FALSE),"")</f>
        <v>0</v>
      </c>
      <c r="AH93" s="650" t="str">
        <f ca="1">IFERROR(IF($AA93="NOOS",HLOOKUP(STOCK_OVERVIEW!$AB93&amp;STOCK_OVERVIEW!$AD93,PLANNING_FC!$BB$27:$BP$46,MATCH(STOCK_OVERVIEW!$Y93,PLANNING_FC!$BA$27:$BA$46,0),FALSE),HLOOKUP($AB93&amp;$AD93,PLANNING_FC!$BB$4:$BP$23,MATCH(STOCK_OVERVIEW!$Y93,PLANNING_FC!$BA$4:$BA$23,0),FALSE)),"")</f>
        <v/>
      </c>
      <c r="AI93" s="650" t="str">
        <f ca="1">IFERROR(IF($AA93="NOOS",HLOOKUP(STOCK_OVERVIEW!$AB93&amp;STOCK_OVERVIEW!$AD93,PLANNING_FC!$T$27:$AH$46,MATCH(STOCK_OVERVIEW!$Y93,PLANNING_FC!$B$27:$B$46,0),FALSE),HLOOKUP($AB93&amp;$AD93,PLANNING_FC!$T$4:$AH$23,MATCH(STOCK_OVERVIEW!$Y93,PLANNING_FC!$B$4:$B$23,0),FALSE)),"")</f>
        <v/>
      </c>
      <c r="AJ93" s="650" t="str">
        <f ca="1">IFERROR(IF($AA93="NOOS",HLOOKUP(STOCK_OVERVIEW!$AB93&amp;STOCK_OVERVIEW!$AD93,PLANNING_FC!$DA$27:$DO$46,MATCH(STOCK_OVERVIEW!$Y93,PLANNING_FC!$CZ$27:$CZ$46,0),FALSE),HLOOKUP($AB93&amp;$AD93,PLANNING_FC!$DA$4:$DO$23,MATCH(STOCK_OVERVIEW!$Y93,PLANNING_FC!$CZ$4:$CZ$23,0),FALSE)),"")</f>
        <v/>
      </c>
      <c r="AK93" s="651" t="str">
        <f ca="1">IFERROR(IF(AA93="NOOS",HLOOKUP(AB93&amp;AD93,PLANNING_FC!$AJ$27:$AY$47,MATCH(STOCK_OVERVIEW!Y93,PLANNING_FC!$AJ$27:$AJ$47,0),FALSE)*1000,HLOOKUP(AB93&amp;AD93,PLANNING_FC!$AJ$4:$AY$24,MATCH(STOCK_OVERVIEW!Y93,PLANNING_FC!$AJ$4:$AJ$24,0),FALSE)*1000),"")</f>
        <v/>
      </c>
      <c r="AL93" s="638"/>
      <c r="AM93" s="638"/>
      <c r="AN93" s="638"/>
      <c r="AO93" s="638"/>
      <c r="AP93" s="638"/>
      <c r="AQ93" s="638"/>
      <c r="AR93" s="638"/>
      <c r="AS93" s="638"/>
    </row>
    <row r="94" spans="1:45" s="61" customFormat="1" x14ac:dyDescent="0.25">
      <c r="A94" s="62"/>
      <c r="J94" s="19"/>
      <c r="N94" s="19"/>
      <c r="R94" s="19"/>
      <c r="S94" s="637"/>
      <c r="T94" s="637"/>
      <c r="U94" s="636"/>
      <c r="V94" s="637"/>
      <c r="W94" s="637"/>
      <c r="X94" s="200" t="str">
        <f>NWC_FC_NOOS!$B$1</f>
        <v>VM</v>
      </c>
      <c r="Y94" s="25" t="str">
        <f>NWC_FC_NOOS!$B$60</f>
        <v>SHIRTS</v>
      </c>
      <c r="Z94" s="25" t="str">
        <f t="shared" ca="1" si="15"/>
        <v>VMSHIRTS18/19Feb</v>
      </c>
      <c r="AA94" s="25" t="str">
        <f>NWC_FC_NOOS!$I$1</f>
        <v>NOOS</v>
      </c>
      <c r="AB94" s="25" t="str">
        <f ca="1">NWC_FC_NOOS!$C$73</f>
        <v>18/19</v>
      </c>
      <c r="AC94" s="25" t="str">
        <f ca="1">NWC_FC_NOOS!$C$74</f>
        <v>Q3</v>
      </c>
      <c r="AD94" s="25" t="str">
        <f ca="1">NWC_FC_NOOS!$C$75</f>
        <v>Feb</v>
      </c>
      <c r="AE94" s="649">
        <f ca="1">IFERROR(HLOOKUP($AB94&amp;$AD94,NWC_FC_NOOS!$B$4:$Q$24,MATCH($Y94,NWC_FC_NOOS!$B$4:$B$24,0),FALSE),"")</f>
        <v>0</v>
      </c>
      <c r="AF94" s="650">
        <f ca="1">IFERROR(HLOOKUP($AB94&amp;$AD94,NWC_FC_NOOS!$S$4:$AH$24,MATCH($Y94,NWC_FC_NOOS!$S$4:$S$24,0),FALSE),"")</f>
        <v>0</v>
      </c>
      <c r="AG94" s="650">
        <f ca="1">IFERROR(HLOOKUP($AB94&amp;$AD94,NWC_FC_NOOS!$C$50:$U$70,MATCH($Y94,NWC_FC_NOOS!$B$50:$B$70,0),FALSE),"")</f>
        <v>0</v>
      </c>
      <c r="AH94" s="650">
        <f ca="1">IFERROR(IF($AA94="NOOS",HLOOKUP(STOCK_OVERVIEW!$AB94&amp;STOCK_OVERVIEW!$AD94,PLANNING_FC!$BB$27:$BP$46,MATCH(STOCK_OVERVIEW!$Y94,PLANNING_FC!$BA$27:$BA$46,0),FALSE),HLOOKUP($AB94&amp;$AD94,PLANNING_FC!$BB$4:$BP$23,MATCH(STOCK_OVERVIEW!$Y94,PLANNING_FC!$BA$4:$BA$23,0),FALSE)),"")</f>
        <v>0</v>
      </c>
      <c r="AI94" s="650">
        <f ca="1">IFERROR(IF($AA94="NOOS",HLOOKUP(STOCK_OVERVIEW!$AB94&amp;STOCK_OVERVIEW!$AD94,PLANNING_FC!$T$27:$AH$46,MATCH(STOCK_OVERVIEW!$Y94,PLANNING_FC!$B$27:$B$46,0),FALSE),HLOOKUP($AB94&amp;$AD94,PLANNING_FC!$T$4:$AH$23,MATCH(STOCK_OVERVIEW!$Y94,PLANNING_FC!$B$4:$B$23,0),FALSE)),"")</f>
        <v>0</v>
      </c>
      <c r="AJ94" s="650">
        <f ca="1">IFERROR(IF($AA94="NOOS",HLOOKUP(STOCK_OVERVIEW!$AB94&amp;STOCK_OVERVIEW!$AD94,PLANNING_FC!$DA$27:$DO$46,MATCH(STOCK_OVERVIEW!$Y94,PLANNING_FC!$CZ$27:$CZ$46,0),FALSE),HLOOKUP($AB94&amp;$AD94,PLANNING_FC!$DA$4:$DO$23,MATCH(STOCK_OVERVIEW!$Y94,PLANNING_FC!$CZ$4:$CZ$23,0),FALSE)),"")</f>
        <v>0</v>
      </c>
      <c r="AK94" s="651">
        <f ca="1">IFERROR(IF(AA94="NOOS",HLOOKUP(AB94&amp;AD94,PLANNING_FC!$AJ$27:$AY$47,MATCH(STOCK_OVERVIEW!Y94,PLANNING_FC!$AJ$27:$AJ$47,0),FALSE)*1000,HLOOKUP(AB94&amp;AD94,PLANNING_FC!$AJ$4:$AY$24,MATCH(STOCK_OVERVIEW!Y94,PLANNING_FC!$AJ$4:$AJ$24,0),FALSE)*1000),"")</f>
        <v>0</v>
      </c>
      <c r="AL94" s="638"/>
      <c r="AM94" s="638"/>
      <c r="AN94" s="638"/>
      <c r="AO94" s="638"/>
      <c r="AP94" s="638"/>
      <c r="AQ94" s="638"/>
      <c r="AR94" s="638"/>
      <c r="AS94" s="638"/>
    </row>
    <row r="95" spans="1:45" s="61" customFormat="1" x14ac:dyDescent="0.25">
      <c r="A95" s="62"/>
      <c r="J95" s="19"/>
      <c r="N95" s="19"/>
      <c r="R95" s="19"/>
      <c r="S95" s="637"/>
      <c r="T95" s="637"/>
      <c r="U95" s="636"/>
      <c r="V95" s="637"/>
      <c r="W95" s="637"/>
      <c r="X95" s="200" t="str">
        <f>NWC_FC_NOOS!$B$1</f>
        <v>VM</v>
      </c>
      <c r="Y95" s="25" t="str">
        <f>NWC_FC_NOOS!$B$60</f>
        <v>SHIRTS</v>
      </c>
      <c r="Z95" s="25" t="str">
        <f t="shared" ca="1" si="15"/>
        <v>VMSHIRTS18/19Mar</v>
      </c>
      <c r="AA95" s="25" t="str">
        <f>NWC_FC_NOOS!$I$1</f>
        <v>NOOS</v>
      </c>
      <c r="AB95" s="25" t="str">
        <f ca="1">NWC_FC_NOOS!$C$73</f>
        <v>18/19</v>
      </c>
      <c r="AC95" s="25" t="str">
        <f ca="1">NWC_FC_NOOS!$C$74</f>
        <v>Q3</v>
      </c>
      <c r="AD95" s="25" t="str">
        <f ca="1">NWC_FC_NOOS!$D$75</f>
        <v>Mar</v>
      </c>
      <c r="AE95" s="649">
        <f ca="1">IFERROR(HLOOKUP($AB95&amp;$AD95,NWC_FC_NOOS!$B$4:$Q$24,MATCH($Y95,NWC_FC_NOOS!$B$4:$B$24,0),FALSE),"")</f>
        <v>0</v>
      </c>
      <c r="AF95" s="650">
        <f ca="1">IFERROR(HLOOKUP($AB95&amp;$AD95,NWC_FC_NOOS!$S$4:$AH$24,MATCH($Y95,NWC_FC_NOOS!$S$4:$S$24,0),FALSE),"")</f>
        <v>0</v>
      </c>
      <c r="AG95" s="650">
        <f ca="1">IFERROR(HLOOKUP($AB95&amp;$AD95,NWC_FC_NOOS!$C$50:$U$70,MATCH($Y95,NWC_FC_NOOS!$B$50:$B$70,0),FALSE),"")</f>
        <v>0</v>
      </c>
      <c r="AH95" s="650">
        <f ca="1">IFERROR(IF($AA95="NOOS",HLOOKUP(STOCK_OVERVIEW!$AB95&amp;STOCK_OVERVIEW!$AD95,PLANNING_FC!$BB$27:$BP$46,MATCH(STOCK_OVERVIEW!$Y95,PLANNING_FC!$BA$27:$BA$46,0),FALSE),HLOOKUP($AB95&amp;$AD95,PLANNING_FC!$BB$4:$BP$23,MATCH(STOCK_OVERVIEW!$Y95,PLANNING_FC!$BA$4:$BA$23,0),FALSE)),"")</f>
        <v>0</v>
      </c>
      <c r="AI95" s="650">
        <f ca="1">IFERROR(IF($AA95="NOOS",HLOOKUP(STOCK_OVERVIEW!$AB95&amp;STOCK_OVERVIEW!$AD95,PLANNING_FC!$T$27:$AH$46,MATCH(STOCK_OVERVIEW!$Y95,PLANNING_FC!$B$27:$B$46,0),FALSE),HLOOKUP($AB95&amp;$AD95,PLANNING_FC!$T$4:$AH$23,MATCH(STOCK_OVERVIEW!$Y95,PLANNING_FC!$B$4:$B$23,0),FALSE)),"")</f>
        <v>0</v>
      </c>
      <c r="AJ95" s="650">
        <f ca="1">IFERROR(IF($AA95="NOOS",HLOOKUP(STOCK_OVERVIEW!$AB95&amp;STOCK_OVERVIEW!$AD95,PLANNING_FC!$DA$27:$DO$46,MATCH(STOCK_OVERVIEW!$Y95,PLANNING_FC!$CZ$27:$CZ$46,0),FALSE),HLOOKUP($AB95&amp;$AD95,PLANNING_FC!$DA$4:$DO$23,MATCH(STOCK_OVERVIEW!$Y95,PLANNING_FC!$CZ$4:$CZ$23,0),FALSE)),"")</f>
        <v>0</v>
      </c>
      <c r="AK95" s="651">
        <f ca="1">IFERROR(IF(AA95="NOOS",HLOOKUP(AB95&amp;AD95,PLANNING_FC!$AJ$27:$AY$47,MATCH(STOCK_OVERVIEW!Y95,PLANNING_FC!$AJ$27:$AJ$47,0),FALSE)*1000,HLOOKUP(AB95&amp;AD95,PLANNING_FC!$AJ$4:$AY$24,MATCH(STOCK_OVERVIEW!Y95,PLANNING_FC!$AJ$4:$AJ$24,0),FALSE)*1000),"")</f>
        <v>0</v>
      </c>
      <c r="AL95" s="638"/>
      <c r="AM95" s="638"/>
      <c r="AN95" s="638"/>
      <c r="AO95" s="638"/>
      <c r="AP95" s="638"/>
      <c r="AQ95" s="638"/>
      <c r="AR95" s="638"/>
      <c r="AS95" s="638"/>
    </row>
    <row r="96" spans="1:45" s="61" customFormat="1" x14ac:dyDescent="0.25">
      <c r="A96" s="62"/>
      <c r="J96" s="19"/>
      <c r="N96" s="19"/>
      <c r="R96" s="19"/>
      <c r="S96" s="637"/>
      <c r="T96" s="637"/>
      <c r="U96" s="636"/>
      <c r="V96" s="637"/>
      <c r="W96" s="637"/>
      <c r="X96" s="200" t="str">
        <f>NWC_FC_NOOS!$B$1</f>
        <v>VM</v>
      </c>
      <c r="Y96" s="25" t="str">
        <f>NWC_FC_NOOS!$B$60</f>
        <v>SHIRTS</v>
      </c>
      <c r="Z96" s="25" t="str">
        <f t="shared" ca="1" si="15"/>
        <v>VMSHIRTS18/19Apr</v>
      </c>
      <c r="AA96" s="25" t="str">
        <f>NWC_FC_NOOS!$I$1</f>
        <v>NOOS</v>
      </c>
      <c r="AB96" s="25" t="str">
        <f ca="1">NWC_FC_NOOS!$C$73</f>
        <v>18/19</v>
      </c>
      <c r="AC96" s="25" t="str">
        <f ca="1">NWC_FC_NOOS!$C$74</f>
        <v>Q3</v>
      </c>
      <c r="AD96" s="25" t="str">
        <f ca="1">NWC_FC_NOOS!$E$75</f>
        <v>Apr</v>
      </c>
      <c r="AE96" s="649">
        <f ca="1">IFERROR(HLOOKUP($AB96&amp;$AD96,NWC_FC_NOOS!$B$4:$Q$24,MATCH($Y96,NWC_FC_NOOS!$B$4:$B$24,0),FALSE),"")</f>
        <v>0</v>
      </c>
      <c r="AF96" s="650">
        <f ca="1">IFERROR(HLOOKUP($AB96&amp;$AD96,NWC_FC_NOOS!$S$4:$AH$24,MATCH($Y96,NWC_FC_NOOS!$S$4:$S$24,0),FALSE),"")</f>
        <v>0</v>
      </c>
      <c r="AG96" s="650">
        <f ca="1">IFERROR(HLOOKUP($AB96&amp;$AD96,NWC_FC_NOOS!$C$50:$U$70,MATCH($Y96,NWC_FC_NOOS!$B$50:$B$70,0),FALSE),"")</f>
        <v>0</v>
      </c>
      <c r="AH96" s="650">
        <f ca="1">IFERROR(IF($AA96="NOOS",HLOOKUP(STOCK_OVERVIEW!$AB96&amp;STOCK_OVERVIEW!$AD96,PLANNING_FC!$BB$27:$BP$46,MATCH(STOCK_OVERVIEW!$Y96,PLANNING_FC!$BA$27:$BA$46,0),FALSE),HLOOKUP($AB96&amp;$AD96,PLANNING_FC!$BB$4:$BP$23,MATCH(STOCK_OVERVIEW!$Y96,PLANNING_FC!$BA$4:$BA$23,0),FALSE)),"")</f>
        <v>0</v>
      </c>
      <c r="AI96" s="650">
        <f ca="1">IFERROR(IF($AA96="NOOS",HLOOKUP(STOCK_OVERVIEW!$AB96&amp;STOCK_OVERVIEW!$AD96,PLANNING_FC!$T$27:$AH$46,MATCH(STOCK_OVERVIEW!$Y96,PLANNING_FC!$B$27:$B$46,0),FALSE),HLOOKUP($AB96&amp;$AD96,PLANNING_FC!$T$4:$AH$23,MATCH(STOCK_OVERVIEW!$Y96,PLANNING_FC!$B$4:$B$23,0),FALSE)),"")</f>
        <v>0</v>
      </c>
      <c r="AJ96" s="650">
        <f ca="1">IFERROR(IF($AA96="NOOS",HLOOKUP(STOCK_OVERVIEW!$AB96&amp;STOCK_OVERVIEW!$AD96,PLANNING_FC!$DA$27:$DO$46,MATCH(STOCK_OVERVIEW!$Y96,PLANNING_FC!$CZ$27:$CZ$46,0),FALSE),HLOOKUP($AB96&amp;$AD96,PLANNING_FC!$DA$4:$DO$23,MATCH(STOCK_OVERVIEW!$Y96,PLANNING_FC!$CZ$4:$CZ$23,0),FALSE)),"")</f>
        <v>44395</v>
      </c>
      <c r="AK96" s="651">
        <f ca="1">IFERROR(IF(AA96="NOOS",HLOOKUP(AB96&amp;AD96,PLANNING_FC!$AJ$27:$AY$47,MATCH(STOCK_OVERVIEW!Y96,PLANNING_FC!$AJ$27:$AJ$47,0),FALSE)*1000,HLOOKUP(AB96&amp;AD96,PLANNING_FC!$AJ$4:$AY$24,MATCH(STOCK_OVERVIEW!Y96,PLANNING_FC!$AJ$4:$AJ$24,0),FALSE)*1000),"")</f>
        <v>0</v>
      </c>
      <c r="AL96" s="638"/>
      <c r="AM96" s="638"/>
      <c r="AN96" s="638"/>
      <c r="AO96" s="638"/>
      <c r="AP96" s="638"/>
      <c r="AQ96" s="638"/>
      <c r="AR96" s="638"/>
      <c r="AS96" s="638"/>
    </row>
    <row r="97" spans="1:45" s="61" customFormat="1" x14ac:dyDescent="0.25">
      <c r="A97" s="62"/>
      <c r="J97" s="19"/>
      <c r="N97" s="19"/>
      <c r="R97" s="19"/>
      <c r="S97" s="637"/>
      <c r="T97" s="637"/>
      <c r="U97" s="636"/>
      <c r="V97" s="637"/>
      <c r="W97" s="637"/>
      <c r="X97" s="200" t="str">
        <f>NWC_FC_NOOS!$B$1</f>
        <v>VM</v>
      </c>
      <c r="Y97" s="25" t="str">
        <f>NWC_FC_NOOS!$B$60</f>
        <v>SHIRTS</v>
      </c>
      <c r="Z97" s="25" t="str">
        <f t="shared" ca="1" si="15"/>
        <v>VMSHIRTS18/19May</v>
      </c>
      <c r="AA97" s="25" t="str">
        <f>NWC_FC_NOOS!$I$1</f>
        <v>NOOS</v>
      </c>
      <c r="AB97" s="25" t="str">
        <f ca="1">NWC_FC_NOOS!$G$73</f>
        <v>18/19</v>
      </c>
      <c r="AC97" s="25" t="str">
        <f ca="1">NWC_FC_NOOS!$G$74</f>
        <v>Q4</v>
      </c>
      <c r="AD97" s="25" t="str">
        <f ca="1">NWC_FC_NOOS!$G$75</f>
        <v>May</v>
      </c>
      <c r="AE97" s="649">
        <f ca="1">IFERROR(HLOOKUP($AB97&amp;$AD97,NWC_FC_NOOS!$B$4:$Q$24,MATCH($Y97,NWC_FC_NOOS!$B$4:$B$24,0),FALSE),"")</f>
        <v>0</v>
      </c>
      <c r="AF97" s="650">
        <f ca="1">IFERROR(HLOOKUP($AB97&amp;$AD97,NWC_FC_NOOS!$S$4:$AH$24,MATCH($Y97,NWC_FC_NOOS!$S$4:$S$24,0),FALSE),"")</f>
        <v>0</v>
      </c>
      <c r="AG97" s="650">
        <f ca="1">IFERROR(HLOOKUP($AB97&amp;$AD97,NWC_FC_NOOS!$C$50:$U$70,MATCH($Y97,NWC_FC_NOOS!$B$50:$B$70,0),FALSE),"")</f>
        <v>0</v>
      </c>
      <c r="AH97" s="650">
        <f ca="1">IFERROR(IF($AA97="NOOS",HLOOKUP(STOCK_OVERVIEW!$AB97&amp;STOCK_OVERVIEW!$AD97,PLANNING_FC!$BB$27:$BP$46,MATCH(STOCK_OVERVIEW!$Y97,PLANNING_FC!$BA$27:$BA$46,0),FALSE),HLOOKUP($AB97&amp;$AD97,PLANNING_FC!$BB$4:$BP$23,MATCH(STOCK_OVERVIEW!$Y97,PLANNING_FC!$BA$4:$BA$23,0),FALSE)),"")</f>
        <v>0</v>
      </c>
      <c r="AI97" s="650">
        <f ca="1">IFERROR(IF($AA97="NOOS",HLOOKUP(STOCK_OVERVIEW!$AB97&amp;STOCK_OVERVIEW!$AD97,PLANNING_FC!$T$27:$AH$46,MATCH(STOCK_OVERVIEW!$Y97,PLANNING_FC!$B$27:$B$46,0),FALSE),HLOOKUP($AB97&amp;$AD97,PLANNING_FC!$T$4:$AH$23,MATCH(STOCK_OVERVIEW!$Y97,PLANNING_FC!$B$4:$B$23,0),FALSE)),"")</f>
        <v>0</v>
      </c>
      <c r="AJ97" s="650">
        <f ca="1">IFERROR(IF($AA97="NOOS",HLOOKUP(STOCK_OVERVIEW!$AB97&amp;STOCK_OVERVIEW!$AD97,PLANNING_FC!$DA$27:$DO$46,MATCH(STOCK_OVERVIEW!$Y97,PLANNING_FC!$CZ$27:$CZ$46,0),FALSE),HLOOKUP($AB97&amp;$AD97,PLANNING_FC!$DA$4:$DO$23,MATCH(STOCK_OVERVIEW!$Y97,PLANNING_FC!$CZ$4:$CZ$23,0),FALSE)),"")</f>
        <v>44395</v>
      </c>
      <c r="AK97" s="651">
        <f ca="1">IFERROR(IF(AA97="NOOS",HLOOKUP(AB97&amp;AD97,PLANNING_FC!$AJ$27:$AY$47,MATCH(STOCK_OVERVIEW!Y97,PLANNING_FC!$AJ$27:$AJ$47,0),FALSE)*1000,HLOOKUP(AB97&amp;AD97,PLANNING_FC!$AJ$4:$AY$24,MATCH(STOCK_OVERVIEW!Y97,PLANNING_FC!$AJ$4:$AJ$24,0),FALSE)*1000),"")</f>
        <v>0</v>
      </c>
      <c r="AL97" s="638"/>
      <c r="AM97" s="638"/>
      <c r="AN97" s="638"/>
      <c r="AO97" s="638"/>
      <c r="AP97" s="638"/>
      <c r="AQ97" s="638"/>
      <c r="AR97" s="638"/>
      <c r="AS97" s="638"/>
    </row>
    <row r="98" spans="1:45" s="61" customFormat="1" x14ac:dyDescent="0.25">
      <c r="A98" s="62"/>
      <c r="J98" s="19"/>
      <c r="N98" s="19"/>
      <c r="R98" s="19"/>
      <c r="S98" s="637"/>
      <c r="T98" s="637"/>
      <c r="U98" s="636"/>
      <c r="V98" s="637"/>
      <c r="W98" s="637"/>
      <c r="X98" s="200" t="str">
        <f>NWC_FC_NOOS!$B$1</f>
        <v>VM</v>
      </c>
      <c r="Y98" s="25" t="str">
        <f>NWC_FC_NOOS!$B$60</f>
        <v>SHIRTS</v>
      </c>
      <c r="Z98" s="25" t="str">
        <f t="shared" ca="1" si="15"/>
        <v>VMSHIRTS18/19Jun</v>
      </c>
      <c r="AA98" s="25" t="str">
        <f>NWC_FC_NOOS!$I$1</f>
        <v>NOOS</v>
      </c>
      <c r="AB98" s="25" t="str">
        <f ca="1">NWC_FC_NOOS!$G$73</f>
        <v>18/19</v>
      </c>
      <c r="AC98" s="25" t="str">
        <f ca="1">NWC_FC_NOOS!$G$74</f>
        <v>Q4</v>
      </c>
      <c r="AD98" s="25" t="str">
        <f ca="1">NWC_FC_NOOS!$H$75</f>
        <v>Jun</v>
      </c>
      <c r="AE98" s="649">
        <f ca="1">IFERROR(HLOOKUP($AB98&amp;$AD98,NWC_FC_NOOS!$B$4:$Q$24,MATCH($Y98,NWC_FC_NOOS!$B$4:$B$24,0),FALSE),"")</f>
        <v>0</v>
      </c>
      <c r="AF98" s="650">
        <f ca="1">IFERROR(HLOOKUP($AB98&amp;$AD98,NWC_FC_NOOS!$S$4:$AH$24,MATCH($Y98,NWC_FC_NOOS!$S$4:$S$24,0),FALSE),"")</f>
        <v>0</v>
      </c>
      <c r="AG98" s="650">
        <f ca="1">IFERROR(HLOOKUP($AB98&amp;$AD98,NWC_FC_NOOS!$C$50:$U$70,MATCH($Y98,NWC_FC_NOOS!$B$50:$B$70,0),FALSE),"")</f>
        <v>0</v>
      </c>
      <c r="AH98" s="650">
        <f ca="1">IFERROR(IF($AA98="NOOS",HLOOKUP(STOCK_OVERVIEW!$AB98&amp;STOCK_OVERVIEW!$AD98,PLANNING_FC!$BB$27:$BP$46,MATCH(STOCK_OVERVIEW!$Y98,PLANNING_FC!$BA$27:$BA$46,0),FALSE),HLOOKUP($AB98&amp;$AD98,PLANNING_FC!$BB$4:$BP$23,MATCH(STOCK_OVERVIEW!$Y98,PLANNING_FC!$BA$4:$BA$23,0),FALSE)),"")</f>
        <v>0</v>
      </c>
      <c r="AI98" s="650">
        <f ca="1">IFERROR(IF($AA98="NOOS",HLOOKUP(STOCK_OVERVIEW!$AB98&amp;STOCK_OVERVIEW!$AD98,PLANNING_FC!$T$27:$AH$46,MATCH(STOCK_OVERVIEW!$Y98,PLANNING_FC!$B$27:$B$46,0),FALSE),HLOOKUP($AB98&amp;$AD98,PLANNING_FC!$T$4:$AH$23,MATCH(STOCK_OVERVIEW!$Y98,PLANNING_FC!$B$4:$B$23,0),FALSE)),"")</f>
        <v>0</v>
      </c>
      <c r="AJ98" s="650">
        <f ca="1">IFERROR(IF($AA98="NOOS",HLOOKUP(STOCK_OVERVIEW!$AB98&amp;STOCK_OVERVIEW!$AD98,PLANNING_FC!$DA$27:$DO$46,MATCH(STOCK_OVERVIEW!$Y98,PLANNING_FC!$CZ$27:$CZ$46,0),FALSE),HLOOKUP($AB98&amp;$AD98,PLANNING_FC!$DA$4:$DO$23,MATCH(STOCK_OVERVIEW!$Y98,PLANNING_FC!$CZ$4:$CZ$23,0),FALSE)),"")</f>
        <v>44395</v>
      </c>
      <c r="AK98" s="651">
        <f ca="1">IFERROR(IF(AA98="NOOS",HLOOKUP(AB98&amp;AD98,PLANNING_FC!$AJ$27:$AY$47,MATCH(STOCK_OVERVIEW!Y98,PLANNING_FC!$AJ$27:$AJ$47,0),FALSE)*1000,HLOOKUP(AB98&amp;AD98,PLANNING_FC!$AJ$4:$AY$24,MATCH(STOCK_OVERVIEW!Y98,PLANNING_FC!$AJ$4:$AJ$24,0),FALSE)*1000),"")</f>
        <v>0</v>
      </c>
      <c r="AL98" s="638"/>
      <c r="AM98" s="638"/>
      <c r="AN98" s="638"/>
      <c r="AO98" s="638"/>
      <c r="AP98" s="638"/>
      <c r="AQ98" s="638"/>
      <c r="AR98" s="638"/>
      <c r="AS98" s="638"/>
    </row>
    <row r="99" spans="1:45" s="61" customFormat="1" x14ac:dyDescent="0.25">
      <c r="A99" s="62"/>
      <c r="J99" s="19"/>
      <c r="N99" s="19"/>
      <c r="R99" s="19"/>
      <c r="S99" s="637"/>
      <c r="T99" s="637"/>
      <c r="U99" s="636"/>
      <c r="V99" s="637"/>
      <c r="W99" s="637"/>
      <c r="X99" s="200" t="str">
        <f>NWC_FC_NOOS!$B$1</f>
        <v>VM</v>
      </c>
      <c r="Y99" s="25" t="str">
        <f>NWC_FC_NOOS!$B$60</f>
        <v>SHIRTS</v>
      </c>
      <c r="Z99" s="25" t="str">
        <f t="shared" ca="1" si="15"/>
        <v>VMSHIRTS18/19Jul</v>
      </c>
      <c r="AA99" s="25" t="str">
        <f>NWC_FC_NOOS!$I$1</f>
        <v>NOOS</v>
      </c>
      <c r="AB99" s="25" t="str">
        <f ca="1">NWC_FC_NOOS!$G$73</f>
        <v>18/19</v>
      </c>
      <c r="AC99" s="25" t="str">
        <f ca="1">NWC_FC_NOOS!$G$74</f>
        <v>Q4</v>
      </c>
      <c r="AD99" s="25" t="str">
        <f ca="1">NWC_FC_NOOS!$I$75</f>
        <v>Jul</v>
      </c>
      <c r="AE99" s="649">
        <f ca="1">IFERROR(HLOOKUP($AB99&amp;$AD99,NWC_FC_NOOS!$B$4:$Q$24,MATCH($Y99,NWC_FC_NOOS!$B$4:$B$24,0),FALSE),"")</f>
        <v>0</v>
      </c>
      <c r="AF99" s="650">
        <f ca="1">IFERROR(HLOOKUP($AB99&amp;$AD99,NWC_FC_NOOS!$S$4:$AH$24,MATCH($Y99,NWC_FC_NOOS!$S$4:$S$24,0),FALSE),"")</f>
        <v>0</v>
      </c>
      <c r="AG99" s="650">
        <f ca="1">IFERROR(HLOOKUP($AB99&amp;$AD99,NWC_FC_NOOS!$C$50:$U$70,MATCH($Y99,NWC_FC_NOOS!$B$50:$B$70,0),FALSE),"")</f>
        <v>0</v>
      </c>
      <c r="AH99" s="650">
        <f ca="1">IFERROR(IF($AA99="NOOS",HLOOKUP(STOCK_OVERVIEW!$AB99&amp;STOCK_OVERVIEW!$AD99,PLANNING_FC!$BB$27:$BP$46,MATCH(STOCK_OVERVIEW!$Y99,PLANNING_FC!$BA$27:$BA$46,0),FALSE),HLOOKUP($AB99&amp;$AD99,PLANNING_FC!$BB$4:$BP$23,MATCH(STOCK_OVERVIEW!$Y99,PLANNING_FC!$BA$4:$BA$23,0),FALSE)),"")</f>
        <v>0</v>
      </c>
      <c r="AI99" s="650">
        <f ca="1">IFERROR(IF($AA99="NOOS",HLOOKUP(STOCK_OVERVIEW!$AB99&amp;STOCK_OVERVIEW!$AD99,PLANNING_FC!$T$27:$AH$46,MATCH(STOCK_OVERVIEW!$Y99,PLANNING_FC!$B$27:$B$46,0),FALSE),HLOOKUP($AB99&amp;$AD99,PLANNING_FC!$T$4:$AH$23,MATCH(STOCK_OVERVIEW!$Y99,PLANNING_FC!$B$4:$B$23,0),FALSE)),"")</f>
        <v>0</v>
      </c>
      <c r="AJ99" s="650">
        <f ca="1">IFERROR(IF($AA99="NOOS",HLOOKUP(STOCK_OVERVIEW!$AB99&amp;STOCK_OVERVIEW!$AD99,PLANNING_FC!$DA$27:$DO$46,MATCH(STOCK_OVERVIEW!$Y99,PLANNING_FC!$CZ$27:$CZ$46,0),FALSE),HLOOKUP($AB99&amp;$AD99,PLANNING_FC!$DA$4:$DO$23,MATCH(STOCK_OVERVIEW!$Y99,PLANNING_FC!$CZ$4:$CZ$23,0),FALSE)),"")</f>
        <v>44395</v>
      </c>
      <c r="AK99" s="651">
        <f ca="1">IFERROR(IF(AA99="NOOS",HLOOKUP(AB99&amp;AD99,PLANNING_FC!$AJ$27:$AY$47,MATCH(STOCK_OVERVIEW!Y99,PLANNING_FC!$AJ$27:$AJ$47,0),FALSE)*1000,HLOOKUP(AB99&amp;AD99,PLANNING_FC!$AJ$4:$AY$24,MATCH(STOCK_OVERVIEW!Y99,PLANNING_FC!$AJ$4:$AJ$24,0),FALSE)*1000),"")</f>
        <v>0</v>
      </c>
      <c r="AL99" s="638"/>
      <c r="AM99" s="638"/>
      <c r="AN99" s="638"/>
      <c r="AO99" s="638"/>
      <c r="AP99" s="638"/>
      <c r="AQ99" s="638"/>
      <c r="AR99" s="638"/>
      <c r="AS99" s="638"/>
    </row>
    <row r="100" spans="1:45" s="61" customFormat="1" x14ac:dyDescent="0.25">
      <c r="A100" s="62"/>
      <c r="J100" s="19"/>
      <c r="N100" s="19"/>
      <c r="R100" s="19"/>
      <c r="S100" s="637"/>
      <c r="T100" s="637"/>
      <c r="U100" s="636"/>
      <c r="V100" s="637"/>
      <c r="W100" s="637"/>
      <c r="X100" s="200" t="str">
        <f>NWC_FC_NOOS!$B$1</f>
        <v>VM</v>
      </c>
      <c r="Y100" s="25" t="str">
        <f>NWC_FC_NOOS!$B$60</f>
        <v>SHIRTS</v>
      </c>
      <c r="Z100" s="25" t="str">
        <f t="shared" ca="1" si="15"/>
        <v>VMSHIRTS19/20Aug</v>
      </c>
      <c r="AA100" s="25" t="str">
        <f>NWC_FC_NOOS!$I$1</f>
        <v>NOOS</v>
      </c>
      <c r="AB100" s="25" t="str">
        <f ca="1">NWC_FC_NOOS!$K$73</f>
        <v>19/20</v>
      </c>
      <c r="AC100" s="25" t="str">
        <f ca="1">NWC_FC_NOOS!$K$74</f>
        <v>Q1</v>
      </c>
      <c r="AD100" s="25" t="str">
        <f ca="1">NWC_FC_NOOS!$K$75</f>
        <v>Aug</v>
      </c>
      <c r="AE100" s="649">
        <f ca="1">IFERROR(HLOOKUP($AB100&amp;$AD100,NWC_FC_NOOS!$B$4:$Q$24,MATCH($Y100,NWC_FC_NOOS!$B$4:$B$24,0),FALSE),"")</f>
        <v>0</v>
      </c>
      <c r="AF100" s="650">
        <f ca="1">IFERROR(HLOOKUP($AB100&amp;$AD100,NWC_FC_NOOS!$S$4:$AH$24,MATCH($Y100,NWC_FC_NOOS!$S$4:$S$24,0),FALSE),"")</f>
        <v>0</v>
      </c>
      <c r="AG100" s="650">
        <f ca="1">IFERROR(HLOOKUP($AB100&amp;$AD100,NWC_FC_NOOS!$C$50:$U$70,MATCH($Y100,NWC_FC_NOOS!$B$50:$B$70,0),FALSE),"")</f>
        <v>0</v>
      </c>
      <c r="AH100" s="650">
        <f ca="1">IFERROR(IF($AA100="NOOS",HLOOKUP(STOCK_OVERVIEW!$AB100&amp;STOCK_OVERVIEW!$AD100,PLANNING_FC!$BB$27:$BP$46,MATCH(STOCK_OVERVIEW!$Y100,PLANNING_FC!$BA$27:$BA$46,0),FALSE),HLOOKUP($AB100&amp;$AD100,PLANNING_FC!$BB$4:$BP$23,MATCH(STOCK_OVERVIEW!$Y100,PLANNING_FC!$BA$4:$BA$23,0),FALSE)),"")</f>
        <v>0</v>
      </c>
      <c r="AI100" s="650">
        <f ca="1">IFERROR(IF($AA100="NOOS",HLOOKUP(STOCK_OVERVIEW!$AB100&amp;STOCK_OVERVIEW!$AD100,PLANNING_FC!$T$27:$AH$46,MATCH(STOCK_OVERVIEW!$Y100,PLANNING_FC!$B$27:$B$46,0),FALSE),HLOOKUP($AB100&amp;$AD100,PLANNING_FC!$T$4:$AH$23,MATCH(STOCK_OVERVIEW!$Y100,PLANNING_FC!$B$4:$B$23,0),FALSE)),"")</f>
        <v>0</v>
      </c>
      <c r="AJ100" s="650">
        <f ca="1">IFERROR(IF($AA100="NOOS",HLOOKUP(STOCK_OVERVIEW!$AB100&amp;STOCK_OVERVIEW!$AD100,PLANNING_FC!$DA$27:$DO$46,MATCH(STOCK_OVERVIEW!$Y100,PLANNING_FC!$CZ$27:$CZ$46,0),FALSE),HLOOKUP($AB100&amp;$AD100,PLANNING_FC!$DA$4:$DO$23,MATCH(STOCK_OVERVIEW!$Y100,PLANNING_FC!$CZ$4:$CZ$23,0),FALSE)),"")</f>
        <v>44395</v>
      </c>
      <c r="AK100" s="651">
        <f ca="1">IFERROR(IF(AA100="NOOS",HLOOKUP(AB100&amp;AD100,PLANNING_FC!$AJ$27:$AY$47,MATCH(STOCK_OVERVIEW!Y100,PLANNING_FC!$AJ$27:$AJ$47,0),FALSE)*1000,HLOOKUP(AB100&amp;AD100,PLANNING_FC!$AJ$4:$AY$24,MATCH(STOCK_OVERVIEW!Y100,PLANNING_FC!$AJ$4:$AJ$24,0),FALSE)*1000),"")</f>
        <v>0</v>
      </c>
      <c r="AL100" s="638"/>
      <c r="AM100" s="638"/>
      <c r="AN100" s="638"/>
      <c r="AO100" s="638"/>
      <c r="AP100" s="638"/>
      <c r="AQ100" s="638"/>
      <c r="AR100" s="638"/>
      <c r="AS100" s="638"/>
    </row>
    <row r="101" spans="1:45" s="61" customFormat="1" x14ac:dyDescent="0.25">
      <c r="A101" s="62"/>
      <c r="J101" s="19"/>
      <c r="N101" s="19"/>
      <c r="R101" s="19"/>
      <c r="S101" s="637"/>
      <c r="T101" s="637"/>
      <c r="U101" s="636"/>
      <c r="V101" s="637"/>
      <c r="W101" s="637"/>
      <c r="X101" s="200" t="str">
        <f>NWC_FC_NOOS!$B$1</f>
        <v>VM</v>
      </c>
      <c r="Y101" s="25" t="str">
        <f>NWC_FC_NOOS!$B$60</f>
        <v>SHIRTS</v>
      </c>
      <c r="Z101" s="25" t="str">
        <f t="shared" ca="1" si="15"/>
        <v>VMSHIRTS19/20Sep</v>
      </c>
      <c r="AA101" s="25" t="str">
        <f>NWC_FC_NOOS!$I$1</f>
        <v>NOOS</v>
      </c>
      <c r="AB101" s="25" t="str">
        <f ca="1">NWC_FC_NOOS!$K$73</f>
        <v>19/20</v>
      </c>
      <c r="AC101" s="25" t="str">
        <f ca="1">NWC_FC_NOOS!$K$74</f>
        <v>Q1</v>
      </c>
      <c r="AD101" s="25" t="str">
        <f ca="1">NWC_FC_NOOS!$L$75</f>
        <v>Sep</v>
      </c>
      <c r="AE101" s="649">
        <f ca="1">IFERROR(HLOOKUP($AB101&amp;$AD101,NWC_FC_NOOS!$B$4:$Q$24,MATCH($Y101,NWC_FC_NOOS!$B$4:$B$24,0),FALSE),"")</f>
        <v>0</v>
      </c>
      <c r="AF101" s="650">
        <f ca="1">IFERROR(HLOOKUP($AB101&amp;$AD101,NWC_FC_NOOS!$S$4:$AH$24,MATCH($Y101,NWC_FC_NOOS!$S$4:$S$24,0),FALSE),"")</f>
        <v>0</v>
      </c>
      <c r="AG101" s="650">
        <f ca="1">IFERROR(HLOOKUP($AB101&amp;$AD101,NWC_FC_NOOS!$C$50:$U$70,MATCH($Y101,NWC_FC_NOOS!$B$50:$B$70,0),FALSE),"")</f>
        <v>0</v>
      </c>
      <c r="AH101" s="650">
        <f ca="1">IFERROR(IF($AA101="NOOS",HLOOKUP(STOCK_OVERVIEW!$AB101&amp;STOCK_OVERVIEW!$AD101,PLANNING_FC!$BB$27:$BP$46,MATCH(STOCK_OVERVIEW!$Y101,PLANNING_FC!$BA$27:$BA$46,0),FALSE),HLOOKUP($AB101&amp;$AD101,PLANNING_FC!$BB$4:$BP$23,MATCH(STOCK_OVERVIEW!$Y101,PLANNING_FC!$BA$4:$BA$23,0),FALSE)),"")</f>
        <v>0</v>
      </c>
      <c r="AI101" s="650">
        <f ca="1">IFERROR(IF($AA101="NOOS",HLOOKUP(STOCK_OVERVIEW!$AB101&amp;STOCK_OVERVIEW!$AD101,PLANNING_FC!$T$27:$AH$46,MATCH(STOCK_OVERVIEW!$Y101,PLANNING_FC!$B$27:$B$46,0),FALSE),HLOOKUP($AB101&amp;$AD101,PLANNING_FC!$T$4:$AH$23,MATCH(STOCK_OVERVIEW!$Y101,PLANNING_FC!$B$4:$B$23,0),FALSE)),"")</f>
        <v>0</v>
      </c>
      <c r="AJ101" s="650">
        <f ca="1">IFERROR(IF($AA101="NOOS",HLOOKUP(STOCK_OVERVIEW!$AB101&amp;STOCK_OVERVIEW!$AD101,PLANNING_FC!$DA$27:$DO$46,MATCH(STOCK_OVERVIEW!$Y101,PLANNING_FC!$CZ$27:$CZ$46,0),FALSE),HLOOKUP($AB101&amp;$AD101,PLANNING_FC!$DA$4:$DO$23,MATCH(STOCK_OVERVIEW!$Y101,PLANNING_FC!$CZ$4:$CZ$23,0),FALSE)),"")</f>
        <v>44395</v>
      </c>
      <c r="AK101" s="651">
        <f ca="1">IFERROR(IF(AA101="NOOS",HLOOKUP(AB101&amp;AD101,PLANNING_FC!$AJ$27:$AY$47,MATCH(STOCK_OVERVIEW!Y101,PLANNING_FC!$AJ$27:$AJ$47,0),FALSE)*1000,HLOOKUP(AB101&amp;AD101,PLANNING_FC!$AJ$4:$AY$24,MATCH(STOCK_OVERVIEW!Y101,PLANNING_FC!$AJ$4:$AJ$24,0),FALSE)*1000),"")</f>
        <v>0</v>
      </c>
      <c r="AL101" s="638"/>
      <c r="AM101" s="638"/>
      <c r="AN101" s="638"/>
      <c r="AO101" s="638"/>
      <c r="AP101" s="638"/>
      <c r="AQ101" s="638"/>
      <c r="AR101" s="638"/>
      <c r="AS101" s="638"/>
    </row>
    <row r="102" spans="1:45" s="61" customFormat="1" x14ac:dyDescent="0.25">
      <c r="A102" s="62"/>
      <c r="J102" s="19"/>
      <c r="N102" s="19"/>
      <c r="R102" s="19"/>
      <c r="S102" s="637"/>
      <c r="T102" s="637"/>
      <c r="U102" s="636"/>
      <c r="V102" s="637"/>
      <c r="W102" s="637"/>
      <c r="X102" s="200" t="str">
        <f>NWC_FC_NOOS!$B$1</f>
        <v>VM</v>
      </c>
      <c r="Y102" s="25" t="str">
        <f>NWC_FC_NOOS!$B$60</f>
        <v>SHIRTS</v>
      </c>
      <c r="Z102" s="25" t="str">
        <f t="shared" ca="1" si="15"/>
        <v>VMSHIRTS19/20Oct</v>
      </c>
      <c r="AA102" s="25" t="str">
        <f>NWC_FC_NOOS!$I$1</f>
        <v>NOOS</v>
      </c>
      <c r="AB102" s="25" t="str">
        <f ca="1">NWC_FC_NOOS!$K$73</f>
        <v>19/20</v>
      </c>
      <c r="AC102" s="25" t="str">
        <f ca="1">NWC_FC_NOOS!$K$74</f>
        <v>Q1</v>
      </c>
      <c r="AD102" s="25" t="str">
        <f ca="1">NWC_FC_NOOS!$M$75</f>
        <v>Oct</v>
      </c>
      <c r="AE102" s="649">
        <f ca="1">IFERROR(HLOOKUP($AB102&amp;$AD102,NWC_FC_NOOS!$B$4:$Q$24,MATCH($Y102,NWC_FC_NOOS!$B$4:$B$24,0),FALSE),"")</f>
        <v>0</v>
      </c>
      <c r="AF102" s="650">
        <f ca="1">IFERROR(HLOOKUP($AB102&amp;$AD102,NWC_FC_NOOS!$S$4:$AH$24,MATCH($Y102,NWC_FC_NOOS!$S$4:$S$24,0),FALSE),"")</f>
        <v>0</v>
      </c>
      <c r="AG102" s="650">
        <f ca="1">IFERROR(HLOOKUP($AB102&amp;$AD102,NWC_FC_NOOS!$C$50:$U$70,MATCH($Y102,NWC_FC_NOOS!$B$50:$B$70,0),FALSE),"")</f>
        <v>0</v>
      </c>
      <c r="AH102" s="650">
        <f ca="1">IFERROR(IF($AA102="NOOS",HLOOKUP(STOCK_OVERVIEW!$AB102&amp;STOCK_OVERVIEW!$AD102,PLANNING_FC!$BB$27:$BP$46,MATCH(STOCK_OVERVIEW!$Y102,PLANNING_FC!$BA$27:$BA$46,0),FALSE),HLOOKUP($AB102&amp;$AD102,PLANNING_FC!$BB$4:$BP$23,MATCH(STOCK_OVERVIEW!$Y102,PLANNING_FC!$BA$4:$BA$23,0),FALSE)),"")</f>
        <v>0</v>
      </c>
      <c r="AI102" s="650">
        <f ca="1">IFERROR(IF($AA102="NOOS",HLOOKUP(STOCK_OVERVIEW!$AB102&amp;STOCK_OVERVIEW!$AD102,PLANNING_FC!$T$27:$AH$46,MATCH(STOCK_OVERVIEW!$Y102,PLANNING_FC!$B$27:$B$46,0),FALSE),HLOOKUP($AB102&amp;$AD102,PLANNING_FC!$T$4:$AH$23,MATCH(STOCK_OVERVIEW!$Y102,PLANNING_FC!$B$4:$B$23,0),FALSE)),"")</f>
        <v>0</v>
      </c>
      <c r="AJ102" s="650">
        <f ca="1">IFERROR(IF($AA102="NOOS",HLOOKUP(STOCK_OVERVIEW!$AB102&amp;STOCK_OVERVIEW!$AD102,PLANNING_FC!$DA$27:$DO$46,MATCH(STOCK_OVERVIEW!$Y102,PLANNING_FC!$CZ$27:$CZ$46,0),FALSE),HLOOKUP($AB102&amp;$AD102,PLANNING_FC!$DA$4:$DO$23,MATCH(STOCK_OVERVIEW!$Y102,PLANNING_FC!$CZ$4:$CZ$23,0),FALSE)),"")</f>
        <v>44395</v>
      </c>
      <c r="AK102" s="651">
        <f ca="1">IFERROR(IF(AA102="NOOS",HLOOKUP(AB102&amp;AD102,PLANNING_FC!$AJ$27:$AY$47,MATCH(STOCK_OVERVIEW!Y102,PLANNING_FC!$AJ$27:$AJ$47,0),FALSE)*1000,HLOOKUP(AB102&amp;AD102,PLANNING_FC!$AJ$4:$AY$24,MATCH(STOCK_OVERVIEW!Y102,PLANNING_FC!$AJ$4:$AJ$24,0),FALSE)*1000),"")</f>
        <v>0</v>
      </c>
      <c r="AL102" s="638"/>
      <c r="AM102" s="638"/>
      <c r="AN102" s="638"/>
      <c r="AO102" s="638"/>
      <c r="AP102" s="638"/>
      <c r="AQ102" s="638"/>
      <c r="AR102" s="638"/>
      <c r="AS102" s="638"/>
    </row>
    <row r="103" spans="1:45" s="61" customFormat="1" x14ac:dyDescent="0.25">
      <c r="A103" s="62"/>
      <c r="J103" s="19"/>
      <c r="N103" s="19"/>
      <c r="R103" s="19"/>
      <c r="S103" s="637"/>
      <c r="T103" s="637"/>
      <c r="U103" s="636"/>
      <c r="V103" s="637"/>
      <c r="W103" s="637"/>
      <c r="X103" s="200" t="str">
        <f>NWC_FC_NOOS!$B$1</f>
        <v>VM</v>
      </c>
      <c r="Y103" s="25" t="str">
        <f>NWC_FC_NOOS!$B$60</f>
        <v>SHIRTS</v>
      </c>
      <c r="Z103" s="25" t="str">
        <f t="shared" ca="1" si="15"/>
        <v>VMSHIRTS19/20Nov</v>
      </c>
      <c r="AA103" s="25" t="str">
        <f>NWC_FC_NOOS!$I$1</f>
        <v>NOOS</v>
      </c>
      <c r="AB103" s="25" t="str">
        <f ca="1">NWC_FC_NOOS!$O$73</f>
        <v>19/20</v>
      </c>
      <c r="AC103" s="25" t="str">
        <f ca="1">NWC_FC_NOOS!$O$74</f>
        <v>Q2</v>
      </c>
      <c r="AD103" s="25" t="str">
        <f ca="1">NWC_FC_NOOS!$O$75</f>
        <v>Nov</v>
      </c>
      <c r="AE103" s="649">
        <f ca="1">IFERROR(HLOOKUP($AB103&amp;$AD103,NWC_FC_NOOS!$B$4:$Q$24,MATCH($Y103,NWC_FC_NOOS!$B$4:$B$24,0),FALSE),"")</f>
        <v>0</v>
      </c>
      <c r="AF103" s="650">
        <f ca="1">IFERROR(HLOOKUP($AB103&amp;$AD103,NWC_FC_NOOS!$S$4:$AH$24,MATCH($Y103,NWC_FC_NOOS!$S$4:$S$24,0),FALSE),"")</f>
        <v>0</v>
      </c>
      <c r="AG103" s="650">
        <f ca="1">IFERROR(HLOOKUP($AB103&amp;$AD103,NWC_FC_NOOS!$C$50:$U$70,MATCH($Y103,NWC_FC_NOOS!$B$50:$B$70,0),FALSE),"")</f>
        <v>0</v>
      </c>
      <c r="AH103" s="650">
        <f ca="1">IFERROR(IF($AA103="NOOS",HLOOKUP(STOCK_OVERVIEW!$AB103&amp;STOCK_OVERVIEW!$AD103,PLANNING_FC!$BB$27:$BP$46,MATCH(STOCK_OVERVIEW!$Y103,PLANNING_FC!$BA$27:$BA$46,0),FALSE),HLOOKUP($AB103&amp;$AD103,PLANNING_FC!$BB$4:$BP$23,MATCH(STOCK_OVERVIEW!$Y103,PLANNING_FC!$BA$4:$BA$23,0),FALSE)),"")</f>
        <v>0</v>
      </c>
      <c r="AI103" s="650">
        <f ca="1">IFERROR(IF($AA103="NOOS",HLOOKUP(STOCK_OVERVIEW!$AB103&amp;STOCK_OVERVIEW!$AD103,PLANNING_FC!$T$27:$AH$46,MATCH(STOCK_OVERVIEW!$Y103,PLANNING_FC!$B$27:$B$46,0),FALSE),HLOOKUP($AB103&amp;$AD103,PLANNING_FC!$T$4:$AH$23,MATCH(STOCK_OVERVIEW!$Y103,PLANNING_FC!$B$4:$B$23,0),FALSE)),"")</f>
        <v>0</v>
      </c>
      <c r="AJ103" s="650">
        <f ca="1">IFERROR(IF($AA103="NOOS",HLOOKUP(STOCK_OVERVIEW!$AB103&amp;STOCK_OVERVIEW!$AD103,PLANNING_FC!$DA$27:$DO$46,MATCH(STOCK_OVERVIEW!$Y103,PLANNING_FC!$CZ$27:$CZ$46,0),FALSE),HLOOKUP($AB103&amp;$AD103,PLANNING_FC!$DA$4:$DO$23,MATCH(STOCK_OVERVIEW!$Y103,PLANNING_FC!$CZ$4:$CZ$23,0),FALSE)),"")</f>
        <v>44395</v>
      </c>
      <c r="AK103" s="651">
        <f ca="1">IFERROR(IF(AA103="NOOS",HLOOKUP(AB103&amp;AD103,PLANNING_FC!$AJ$27:$AY$47,MATCH(STOCK_OVERVIEW!Y103,PLANNING_FC!$AJ$27:$AJ$47,0),FALSE)*1000,HLOOKUP(AB103&amp;AD103,PLANNING_FC!$AJ$4:$AY$24,MATCH(STOCK_OVERVIEW!Y103,PLANNING_FC!$AJ$4:$AJ$24,0),FALSE)*1000),"")</f>
        <v>0</v>
      </c>
      <c r="AL103" s="638"/>
      <c r="AM103" s="638"/>
      <c r="AN103" s="638"/>
      <c r="AO103" s="638"/>
      <c r="AP103" s="638"/>
      <c r="AQ103" s="638"/>
      <c r="AR103" s="638"/>
      <c r="AS103" s="638"/>
    </row>
    <row r="104" spans="1:45" s="61" customFormat="1" x14ac:dyDescent="0.25">
      <c r="A104" s="62"/>
      <c r="J104" s="19"/>
      <c r="N104" s="19"/>
      <c r="R104" s="19"/>
      <c r="S104" s="637"/>
      <c r="T104" s="637"/>
      <c r="U104" s="636"/>
      <c r="V104" s="637"/>
      <c r="W104" s="637"/>
      <c r="X104" s="200" t="str">
        <f>NWC_FC_NOOS!$B$1</f>
        <v>VM</v>
      </c>
      <c r="Y104" s="25" t="str">
        <f>NWC_FC_NOOS!$B$60</f>
        <v>SHIRTS</v>
      </c>
      <c r="Z104" s="25" t="str">
        <f t="shared" ca="1" si="15"/>
        <v>VMSHIRTS19/20Dec</v>
      </c>
      <c r="AA104" s="25" t="str">
        <f>NWC_FC_NOOS!$I$1</f>
        <v>NOOS</v>
      </c>
      <c r="AB104" s="25" t="str">
        <f ca="1">NWC_FC_NOOS!$O$73</f>
        <v>19/20</v>
      </c>
      <c r="AC104" s="25" t="str">
        <f ca="1">NWC_FC_NOOS!$O$74</f>
        <v>Q2</v>
      </c>
      <c r="AD104" s="25" t="str">
        <f ca="1">NWC_FC_NOOS!$P$75</f>
        <v>Dec</v>
      </c>
      <c r="AE104" s="649">
        <f ca="1">IFERROR(HLOOKUP($AB104&amp;$AD104,NWC_FC_NOOS!$B$4:$Q$24,MATCH($Y104,NWC_FC_NOOS!$B$4:$B$24,0),FALSE),"")</f>
        <v>0</v>
      </c>
      <c r="AF104" s="650">
        <f ca="1">IFERROR(HLOOKUP($AB104&amp;$AD104,NWC_FC_NOOS!$S$4:$AH$24,MATCH($Y104,NWC_FC_NOOS!$S$4:$S$24,0),FALSE),"")</f>
        <v>0</v>
      </c>
      <c r="AG104" s="650">
        <f ca="1">IFERROR(HLOOKUP($AB104&amp;$AD104,NWC_FC_NOOS!$C$50:$U$70,MATCH($Y104,NWC_FC_NOOS!$B$50:$B$70,0),FALSE),"")</f>
        <v>0</v>
      </c>
      <c r="AH104" s="650">
        <f ca="1">IFERROR(IF($AA104="NOOS",HLOOKUP(STOCK_OVERVIEW!$AB104&amp;STOCK_OVERVIEW!$AD104,PLANNING_FC!$BB$27:$BP$46,MATCH(STOCK_OVERVIEW!$Y104,PLANNING_FC!$BA$27:$BA$46,0),FALSE),HLOOKUP($AB104&amp;$AD104,PLANNING_FC!$BB$4:$BP$23,MATCH(STOCK_OVERVIEW!$Y104,PLANNING_FC!$BA$4:$BA$23,0),FALSE)),"")</f>
        <v>0</v>
      </c>
      <c r="AI104" s="650">
        <f ca="1">IFERROR(IF($AA104="NOOS",HLOOKUP(STOCK_OVERVIEW!$AB104&amp;STOCK_OVERVIEW!$AD104,PLANNING_FC!$T$27:$AH$46,MATCH(STOCK_OVERVIEW!$Y104,PLANNING_FC!$B$27:$B$46,0),FALSE),HLOOKUP($AB104&amp;$AD104,PLANNING_FC!$T$4:$AH$23,MATCH(STOCK_OVERVIEW!$Y104,PLANNING_FC!$B$4:$B$23,0),FALSE)),"")</f>
        <v>0</v>
      </c>
      <c r="AJ104" s="650">
        <f ca="1">IFERROR(IF($AA104="NOOS",HLOOKUP(STOCK_OVERVIEW!$AB104&amp;STOCK_OVERVIEW!$AD104,PLANNING_FC!$DA$27:$DO$46,MATCH(STOCK_OVERVIEW!$Y104,PLANNING_FC!$CZ$27:$CZ$46,0),FALSE),HLOOKUP($AB104&amp;$AD104,PLANNING_FC!$DA$4:$DO$23,MATCH(STOCK_OVERVIEW!$Y104,PLANNING_FC!$CZ$4:$CZ$23,0),FALSE)),"")</f>
        <v>44395</v>
      </c>
      <c r="AK104" s="651">
        <f ca="1">IFERROR(IF(AA104="NOOS",HLOOKUP(AB104&amp;AD104,PLANNING_FC!$AJ$27:$AY$47,MATCH(STOCK_OVERVIEW!Y104,PLANNING_FC!$AJ$27:$AJ$47,0),FALSE)*1000,HLOOKUP(AB104&amp;AD104,PLANNING_FC!$AJ$4:$AY$24,MATCH(STOCK_OVERVIEW!Y104,PLANNING_FC!$AJ$4:$AJ$24,0),FALSE)*1000),"")</f>
        <v>0</v>
      </c>
      <c r="AL104" s="638"/>
      <c r="AM104" s="638"/>
      <c r="AN104" s="638"/>
      <c r="AO104" s="638"/>
      <c r="AP104" s="638"/>
      <c r="AQ104" s="638"/>
      <c r="AR104" s="638"/>
      <c r="AS104" s="638"/>
    </row>
    <row r="105" spans="1:45" s="61" customFormat="1" x14ac:dyDescent="0.25">
      <c r="A105" s="62"/>
      <c r="J105" s="19"/>
      <c r="N105" s="19"/>
      <c r="R105" s="19"/>
      <c r="S105" s="637"/>
      <c r="T105" s="637"/>
      <c r="U105" s="636"/>
      <c r="V105" s="637"/>
      <c r="W105" s="637"/>
      <c r="X105" s="200" t="str">
        <f>NWC_FC_NOOS!$B$1</f>
        <v>VM</v>
      </c>
      <c r="Y105" s="25" t="str">
        <f>NWC_FC_NOOS!$B$60</f>
        <v>SHIRTS</v>
      </c>
      <c r="Z105" s="25" t="str">
        <f t="shared" ca="1" si="15"/>
        <v>VMSHIRTS19/20Jan</v>
      </c>
      <c r="AA105" s="25" t="str">
        <f>NWC_FC_NOOS!$I$1</f>
        <v>NOOS</v>
      </c>
      <c r="AB105" s="25" t="str">
        <f ca="1">NWC_FC_NOOS!$O$73</f>
        <v>19/20</v>
      </c>
      <c r="AC105" s="25" t="str">
        <f ca="1">NWC_FC_NOOS!$O$74</f>
        <v>Q2</v>
      </c>
      <c r="AD105" s="25" t="str">
        <f ca="1">NWC_FC_NOOS!$Q$75</f>
        <v>Jan</v>
      </c>
      <c r="AE105" s="649">
        <f ca="1">IFERROR(HLOOKUP($AB105&amp;$AD105,NWC_FC_NOOS!$B$4:$Q$24,MATCH($Y105,NWC_FC_NOOS!$B$4:$B$24,0),FALSE),"")</f>
        <v>0</v>
      </c>
      <c r="AF105" s="650">
        <f ca="1">IFERROR(HLOOKUP($AB105&amp;$AD105,NWC_FC_NOOS!$S$4:$AH$24,MATCH($Y105,NWC_FC_NOOS!$S$4:$S$24,0),FALSE),"")</f>
        <v>0</v>
      </c>
      <c r="AG105" s="650">
        <f ca="1">IFERROR(HLOOKUP($AB105&amp;$AD105,NWC_FC_NOOS!$C$50:$U$70,MATCH($Y105,NWC_FC_NOOS!$B$50:$B$70,0),FALSE),"")</f>
        <v>0</v>
      </c>
      <c r="AH105" s="650">
        <f ca="1">IFERROR(IF($AA105="NOOS",HLOOKUP(STOCK_OVERVIEW!$AB105&amp;STOCK_OVERVIEW!$AD105,PLANNING_FC!$BB$27:$BP$46,MATCH(STOCK_OVERVIEW!$Y105,PLANNING_FC!$BA$27:$BA$46,0),FALSE),HLOOKUP($AB105&amp;$AD105,PLANNING_FC!$BB$4:$BP$23,MATCH(STOCK_OVERVIEW!$Y105,PLANNING_FC!$BA$4:$BA$23,0),FALSE)),"")</f>
        <v>0</v>
      </c>
      <c r="AI105" s="650">
        <f ca="1">IFERROR(IF($AA105="NOOS",HLOOKUP(STOCK_OVERVIEW!$AB105&amp;STOCK_OVERVIEW!$AD105,PLANNING_FC!$T$27:$AH$46,MATCH(STOCK_OVERVIEW!$Y105,PLANNING_FC!$B$27:$B$46,0),FALSE),HLOOKUP($AB105&amp;$AD105,PLANNING_FC!$T$4:$AH$23,MATCH(STOCK_OVERVIEW!$Y105,PLANNING_FC!$B$4:$B$23,0),FALSE)),"")</f>
        <v>0</v>
      </c>
      <c r="AJ105" s="650">
        <f ca="1">IFERROR(IF($AA105="NOOS",HLOOKUP(STOCK_OVERVIEW!$AB105&amp;STOCK_OVERVIEW!$AD105,PLANNING_FC!$DA$27:$DO$46,MATCH(STOCK_OVERVIEW!$Y105,PLANNING_FC!$CZ$27:$CZ$46,0),FALSE),HLOOKUP($AB105&amp;$AD105,PLANNING_FC!$DA$4:$DO$23,MATCH(STOCK_OVERVIEW!$Y105,PLANNING_FC!$CZ$4:$CZ$23,0),FALSE)),"")</f>
        <v>44395</v>
      </c>
      <c r="AK105" s="651">
        <f ca="1">IFERROR(IF(AA105="NOOS",HLOOKUP(AB105&amp;AD105,PLANNING_FC!$AJ$27:$AY$47,MATCH(STOCK_OVERVIEW!Y105,PLANNING_FC!$AJ$27:$AJ$47,0),FALSE)*1000,HLOOKUP(AB105&amp;AD105,PLANNING_FC!$AJ$4:$AY$24,MATCH(STOCK_OVERVIEW!Y105,PLANNING_FC!$AJ$4:$AJ$24,0),FALSE)*1000),"")</f>
        <v>0</v>
      </c>
      <c r="AL105" s="638"/>
      <c r="AM105" s="638"/>
      <c r="AN105" s="638"/>
      <c r="AO105" s="638"/>
      <c r="AP105" s="638"/>
      <c r="AQ105" s="638"/>
      <c r="AR105" s="638"/>
      <c r="AS105" s="638"/>
    </row>
    <row r="106" spans="1:45" s="61" customFormat="1" x14ac:dyDescent="0.25">
      <c r="A106" s="62"/>
      <c r="J106" s="19"/>
      <c r="N106" s="19"/>
      <c r="R106" s="19"/>
      <c r="S106" s="637"/>
      <c r="T106" s="637"/>
      <c r="U106" s="636"/>
      <c r="V106" s="637"/>
      <c r="W106" s="637"/>
      <c r="X106" s="200" t="str">
        <f>NWC_FC_NOOS!$B$1</f>
        <v>VM</v>
      </c>
      <c r="Y106" s="25" t="str">
        <f>NWC_FC_NOOS!$B$60</f>
        <v>SHIRTS</v>
      </c>
      <c r="Z106" s="25" t="str">
        <f t="shared" ca="1" si="15"/>
        <v>VMSHIRTS19/20Feb</v>
      </c>
      <c r="AA106" s="25" t="str">
        <f>NWC_FC_NOOS!$I$1</f>
        <v>NOOS</v>
      </c>
      <c r="AB106" s="25" t="str">
        <f ca="1">NWC_FC_NOOS!$S$73</f>
        <v>19/20</v>
      </c>
      <c r="AC106" s="25" t="str">
        <f ca="1">NWC_FC_NOOS!$S$74</f>
        <v>Q3</v>
      </c>
      <c r="AD106" s="25" t="str">
        <f ca="1">NWC_FC_NOOS!$S$75</f>
        <v>Feb</v>
      </c>
      <c r="AE106" s="649" t="str">
        <f ca="1">IFERROR(HLOOKUP($AB106&amp;$AD106,NWC_FC_NOOS!$B$4:$Q$24,MATCH($Y106,NWC_FC_NOOS!$B$4:$B$24,0),FALSE),"")</f>
        <v/>
      </c>
      <c r="AF106" s="650" t="str">
        <f ca="1">IFERROR(HLOOKUP($AB106&amp;$AD106,NWC_FC_NOOS!$S$4:$AH$24,MATCH($Y106,NWC_FC_NOOS!$S$4:$S$24,0),FALSE),"")</f>
        <v/>
      </c>
      <c r="AG106" s="650">
        <f ca="1">IFERROR(HLOOKUP($AB106&amp;$AD106,NWC_FC_NOOS!$C$50:$U$70,MATCH($Y106,NWC_FC_NOOS!$B$50:$B$70,0),FALSE),"")</f>
        <v>0</v>
      </c>
      <c r="AH106" s="650" t="str">
        <f ca="1">IFERROR(IF($AA106="NOOS",HLOOKUP(STOCK_OVERVIEW!$AB106&amp;STOCK_OVERVIEW!$AD106,PLANNING_FC!$BB$27:$BP$46,MATCH(STOCK_OVERVIEW!$Y106,PLANNING_FC!$BA$27:$BA$46,0),FALSE),HLOOKUP($AB106&amp;$AD106,PLANNING_FC!$BB$4:$BP$23,MATCH(STOCK_OVERVIEW!$Y106,PLANNING_FC!$BA$4:$BA$23,0),FALSE)),"")</f>
        <v/>
      </c>
      <c r="AI106" s="650" t="str">
        <f ca="1">IFERROR(IF($AA106="NOOS",HLOOKUP(STOCK_OVERVIEW!$AB106&amp;STOCK_OVERVIEW!$AD106,PLANNING_FC!$T$27:$AH$46,MATCH(STOCK_OVERVIEW!$Y106,PLANNING_FC!$B$27:$B$46,0),FALSE),HLOOKUP($AB106&amp;$AD106,PLANNING_FC!$T$4:$AH$23,MATCH(STOCK_OVERVIEW!$Y106,PLANNING_FC!$B$4:$B$23,0),FALSE)),"")</f>
        <v/>
      </c>
      <c r="AJ106" s="650" t="str">
        <f ca="1">IFERROR(IF($AA106="NOOS",HLOOKUP(STOCK_OVERVIEW!$AB106&amp;STOCK_OVERVIEW!$AD106,PLANNING_FC!$DA$27:$DO$46,MATCH(STOCK_OVERVIEW!$Y106,PLANNING_FC!$CZ$27:$CZ$46,0),FALSE),HLOOKUP($AB106&amp;$AD106,PLANNING_FC!$DA$4:$DO$23,MATCH(STOCK_OVERVIEW!$Y106,PLANNING_FC!$CZ$4:$CZ$23,0),FALSE)),"")</f>
        <v/>
      </c>
      <c r="AK106" s="651" t="str">
        <f ca="1">IFERROR(IF(AA106="NOOS",HLOOKUP(AB106&amp;AD106,PLANNING_FC!$AJ$27:$AY$47,MATCH(STOCK_OVERVIEW!Y106,PLANNING_FC!$AJ$27:$AJ$47,0),FALSE)*1000,HLOOKUP(AB106&amp;AD106,PLANNING_FC!$AJ$4:$AY$24,MATCH(STOCK_OVERVIEW!Y106,PLANNING_FC!$AJ$4:$AJ$24,0),FALSE)*1000),"")</f>
        <v/>
      </c>
      <c r="AL106" s="638"/>
      <c r="AM106" s="638"/>
      <c r="AN106" s="638"/>
      <c r="AO106" s="638"/>
      <c r="AP106" s="638"/>
      <c r="AQ106" s="638"/>
      <c r="AR106" s="638"/>
      <c r="AS106" s="638"/>
    </row>
    <row r="107" spans="1:45" s="61" customFormat="1" x14ac:dyDescent="0.25">
      <c r="A107" s="62"/>
      <c r="J107" s="19"/>
      <c r="N107" s="19"/>
      <c r="R107" s="19"/>
      <c r="S107" s="637"/>
      <c r="T107" s="637"/>
      <c r="U107" s="636"/>
      <c r="V107" s="637"/>
      <c r="W107" s="637"/>
      <c r="X107" s="200" t="str">
        <f>NWC_FC_NOOS!$B$1</f>
        <v>VM</v>
      </c>
      <c r="Y107" s="25" t="str">
        <f>NWC_FC_NOOS!$B$60</f>
        <v>SHIRTS</v>
      </c>
      <c r="Z107" s="25" t="str">
        <f t="shared" ca="1" si="15"/>
        <v>VMSHIRTS19/20Mar</v>
      </c>
      <c r="AA107" s="25" t="str">
        <f>NWC_FC_NOOS!$I$1</f>
        <v>NOOS</v>
      </c>
      <c r="AB107" s="25" t="str">
        <f ca="1">NWC_FC_NOOS!$S$73</f>
        <v>19/20</v>
      </c>
      <c r="AC107" s="25" t="str">
        <f ca="1">NWC_FC_NOOS!$S$74</f>
        <v>Q3</v>
      </c>
      <c r="AD107" s="25" t="str">
        <f ca="1">NWC_FC_NOOS!$T$75</f>
        <v>Mar</v>
      </c>
      <c r="AE107" s="649" t="str">
        <f ca="1">IFERROR(HLOOKUP($AB107&amp;$AD107,NWC_FC_NOOS!$B$4:$Q$24,MATCH($Y107,NWC_FC_NOOS!$B$4:$B$24,0),FALSE),"")</f>
        <v/>
      </c>
      <c r="AF107" s="650" t="str">
        <f ca="1">IFERROR(HLOOKUP($AB107&amp;$AD107,NWC_FC_NOOS!$S$4:$AH$24,MATCH($Y107,NWC_FC_NOOS!$S$4:$S$24,0),FALSE),"")</f>
        <v/>
      </c>
      <c r="AG107" s="650">
        <f ca="1">IFERROR(HLOOKUP($AB107&amp;$AD107,NWC_FC_NOOS!$C$50:$U$70,MATCH($Y107,NWC_FC_NOOS!$B$50:$B$70,0),FALSE),"")</f>
        <v>0</v>
      </c>
      <c r="AH107" s="650" t="str">
        <f ca="1">IFERROR(IF($AA107="NOOS",HLOOKUP(STOCK_OVERVIEW!$AB107&amp;STOCK_OVERVIEW!$AD107,PLANNING_FC!$BB$27:$BP$46,MATCH(STOCK_OVERVIEW!$Y107,PLANNING_FC!$BA$27:$BA$46,0),FALSE),HLOOKUP($AB107&amp;$AD107,PLANNING_FC!$BB$4:$BP$23,MATCH(STOCK_OVERVIEW!$Y107,PLANNING_FC!$BA$4:$BA$23,0),FALSE)),"")</f>
        <v/>
      </c>
      <c r="AI107" s="650" t="str">
        <f ca="1">IFERROR(IF($AA107="NOOS",HLOOKUP(STOCK_OVERVIEW!$AB107&amp;STOCK_OVERVIEW!$AD107,PLANNING_FC!$T$27:$AH$46,MATCH(STOCK_OVERVIEW!$Y107,PLANNING_FC!$B$27:$B$46,0),FALSE),HLOOKUP($AB107&amp;$AD107,PLANNING_FC!$T$4:$AH$23,MATCH(STOCK_OVERVIEW!$Y107,PLANNING_FC!$B$4:$B$23,0),FALSE)),"")</f>
        <v/>
      </c>
      <c r="AJ107" s="650" t="str">
        <f ca="1">IFERROR(IF($AA107="NOOS",HLOOKUP(STOCK_OVERVIEW!$AB107&amp;STOCK_OVERVIEW!$AD107,PLANNING_FC!$DA$27:$DO$46,MATCH(STOCK_OVERVIEW!$Y107,PLANNING_FC!$CZ$27:$CZ$46,0),FALSE),HLOOKUP($AB107&amp;$AD107,PLANNING_FC!$DA$4:$DO$23,MATCH(STOCK_OVERVIEW!$Y107,PLANNING_FC!$CZ$4:$CZ$23,0),FALSE)),"")</f>
        <v/>
      </c>
      <c r="AK107" s="651" t="str">
        <f ca="1">IFERROR(IF(AA107="NOOS",HLOOKUP(AB107&amp;AD107,PLANNING_FC!$AJ$27:$AY$47,MATCH(STOCK_OVERVIEW!Y107,PLANNING_FC!$AJ$27:$AJ$47,0),FALSE)*1000,HLOOKUP(AB107&amp;AD107,PLANNING_FC!$AJ$4:$AY$24,MATCH(STOCK_OVERVIEW!Y107,PLANNING_FC!$AJ$4:$AJ$24,0),FALSE)*1000),"")</f>
        <v/>
      </c>
      <c r="AL107" s="638"/>
      <c r="AM107" s="638"/>
      <c r="AN107" s="638"/>
      <c r="AO107" s="638"/>
      <c r="AP107" s="638"/>
      <c r="AQ107" s="638"/>
      <c r="AR107" s="638"/>
      <c r="AS107" s="638"/>
    </row>
    <row r="108" spans="1:45" s="61" customFormat="1" x14ac:dyDescent="0.25">
      <c r="A108" s="62"/>
      <c r="J108" s="19"/>
      <c r="N108" s="19"/>
      <c r="R108" s="19"/>
      <c r="S108" s="637"/>
      <c r="T108" s="637"/>
      <c r="U108" s="636"/>
      <c r="V108" s="637"/>
      <c r="W108" s="637"/>
      <c r="X108" s="200" t="str">
        <f>NWC_FC_NOOS!$B$1</f>
        <v>VM</v>
      </c>
      <c r="Y108" s="25" t="str">
        <f>NWC_FC_NOOS!$B$60</f>
        <v>SHIRTS</v>
      </c>
      <c r="Z108" s="25" t="str">
        <f t="shared" ca="1" si="15"/>
        <v>VMSHIRTS19/20Apr</v>
      </c>
      <c r="AA108" s="25" t="str">
        <f>NWC_FC_NOOS!$I$1</f>
        <v>NOOS</v>
      </c>
      <c r="AB108" s="25" t="str">
        <f ca="1">NWC_FC_NOOS!$S$73</f>
        <v>19/20</v>
      </c>
      <c r="AC108" s="25" t="str">
        <f ca="1">NWC_FC_NOOS!$S$74</f>
        <v>Q3</v>
      </c>
      <c r="AD108" s="25" t="str">
        <f ca="1">NWC_FC_NOOS!$U$75</f>
        <v>Apr</v>
      </c>
      <c r="AE108" s="649" t="str">
        <f ca="1">IFERROR(HLOOKUP($AB108&amp;$AD108,NWC_FC_NOOS!$B$4:$Q$24,MATCH($Y108,NWC_FC_NOOS!$B$4:$B$24,0),FALSE),"")</f>
        <v/>
      </c>
      <c r="AF108" s="650" t="str">
        <f ca="1">IFERROR(HLOOKUP($AB108&amp;$AD108,NWC_FC_NOOS!$S$4:$AH$24,MATCH($Y108,NWC_FC_NOOS!$S$4:$S$24,0),FALSE),"")</f>
        <v/>
      </c>
      <c r="AG108" s="650">
        <f ca="1">IFERROR(HLOOKUP($AB108&amp;$AD108,NWC_FC_NOOS!$C$50:$U$70,MATCH($Y108,NWC_FC_NOOS!$B$50:$B$70,0),FALSE),"")</f>
        <v>0</v>
      </c>
      <c r="AH108" s="650" t="str">
        <f ca="1">IFERROR(IF($AA108="NOOS",HLOOKUP(STOCK_OVERVIEW!$AB108&amp;STOCK_OVERVIEW!$AD108,PLANNING_FC!$BB$27:$BP$46,MATCH(STOCK_OVERVIEW!$Y108,PLANNING_FC!$BA$27:$BA$46,0),FALSE),HLOOKUP($AB108&amp;$AD108,PLANNING_FC!$BB$4:$BP$23,MATCH(STOCK_OVERVIEW!$Y108,PLANNING_FC!$BA$4:$BA$23,0),FALSE)),"")</f>
        <v/>
      </c>
      <c r="AI108" s="650" t="str">
        <f ca="1">IFERROR(IF($AA108="NOOS",HLOOKUP(STOCK_OVERVIEW!$AB108&amp;STOCK_OVERVIEW!$AD108,PLANNING_FC!$T$27:$AH$46,MATCH(STOCK_OVERVIEW!$Y108,PLANNING_FC!$B$27:$B$46,0),FALSE),HLOOKUP($AB108&amp;$AD108,PLANNING_FC!$T$4:$AH$23,MATCH(STOCK_OVERVIEW!$Y108,PLANNING_FC!$B$4:$B$23,0),FALSE)),"")</f>
        <v/>
      </c>
      <c r="AJ108" s="650" t="str">
        <f ca="1">IFERROR(IF($AA108="NOOS",HLOOKUP(STOCK_OVERVIEW!$AB108&amp;STOCK_OVERVIEW!$AD108,PLANNING_FC!$DA$27:$DO$46,MATCH(STOCK_OVERVIEW!$Y108,PLANNING_FC!$CZ$27:$CZ$46,0),FALSE),HLOOKUP($AB108&amp;$AD108,PLANNING_FC!$DA$4:$DO$23,MATCH(STOCK_OVERVIEW!$Y108,PLANNING_FC!$CZ$4:$CZ$23,0),FALSE)),"")</f>
        <v/>
      </c>
      <c r="AK108" s="651" t="str">
        <f ca="1">IFERROR(IF(AA108="NOOS",HLOOKUP(AB108&amp;AD108,PLANNING_FC!$AJ$27:$AY$47,MATCH(STOCK_OVERVIEW!Y108,PLANNING_FC!$AJ$27:$AJ$47,0),FALSE)*1000,HLOOKUP(AB108&amp;AD108,PLANNING_FC!$AJ$4:$AY$24,MATCH(STOCK_OVERVIEW!Y108,PLANNING_FC!$AJ$4:$AJ$24,0),FALSE)*1000),"")</f>
        <v/>
      </c>
      <c r="AL108" s="638"/>
      <c r="AM108" s="638"/>
      <c r="AN108" s="638"/>
      <c r="AO108" s="638"/>
      <c r="AP108" s="638"/>
      <c r="AQ108" s="638"/>
      <c r="AR108" s="638"/>
      <c r="AS108" s="638"/>
    </row>
    <row r="109" spans="1:45" s="61" customFormat="1" x14ac:dyDescent="0.25">
      <c r="A109" s="62"/>
      <c r="J109" s="19"/>
      <c r="N109" s="19"/>
      <c r="R109" s="19"/>
      <c r="S109" s="637"/>
      <c r="T109" s="637"/>
      <c r="U109" s="636"/>
      <c r="V109" s="637"/>
      <c r="W109" s="637"/>
      <c r="X109" s="200" t="str">
        <f>NWC_FC_NOOS!$B$1</f>
        <v>VM</v>
      </c>
      <c r="Y109" s="25" t="str">
        <f>NWC_FC_NOOS!$B$61</f>
        <v>SHOES</v>
      </c>
      <c r="Z109" s="25" t="str">
        <f t="shared" ca="1" si="15"/>
        <v>VMSHOES18/19Feb</v>
      </c>
      <c r="AA109" s="25" t="str">
        <f>NWC_FC_NOOS!$I$1</f>
        <v>NOOS</v>
      </c>
      <c r="AB109" s="25" t="str">
        <f ca="1">NWC_FC_NOOS!$C$73</f>
        <v>18/19</v>
      </c>
      <c r="AC109" s="25" t="str">
        <f ca="1">NWC_FC_NOOS!$C$74</f>
        <v>Q3</v>
      </c>
      <c r="AD109" s="25" t="str">
        <f ca="1">NWC_FC_NOOS!$C$75</f>
        <v>Feb</v>
      </c>
      <c r="AE109" s="649">
        <f ca="1">IFERROR(HLOOKUP($AB109&amp;$AD109,NWC_FC_NOOS!$B$4:$Q$24,MATCH($Y109,NWC_FC_NOOS!$B$4:$B$24,0),FALSE),"")</f>
        <v>0</v>
      </c>
      <c r="AF109" s="650">
        <f ca="1">IFERROR(HLOOKUP($AB109&amp;$AD109,NWC_FC_NOOS!$S$4:$AH$24,MATCH($Y109,NWC_FC_NOOS!$S$4:$S$24,0),FALSE),"")</f>
        <v>0</v>
      </c>
      <c r="AG109" s="650">
        <f ca="1">IFERROR(HLOOKUP($AB109&amp;$AD109,NWC_FC_NOOS!$C$50:$U$70,MATCH($Y109,NWC_FC_NOOS!$B$50:$B$70,0),FALSE),"")</f>
        <v>0</v>
      </c>
      <c r="AH109" s="650">
        <f ca="1">IFERROR(IF($AA109="NOOS",HLOOKUP(STOCK_OVERVIEW!$AB109&amp;STOCK_OVERVIEW!$AD109,PLANNING_FC!$BB$27:$BP$46,MATCH(STOCK_OVERVIEW!$Y109,PLANNING_FC!$BA$27:$BA$46,0),FALSE),HLOOKUP($AB109&amp;$AD109,PLANNING_FC!$BB$4:$BP$23,MATCH(STOCK_OVERVIEW!$Y109,PLANNING_FC!$BA$4:$BA$23,0),FALSE)),"")</f>
        <v>0</v>
      </c>
      <c r="AI109" s="650">
        <f ca="1">IFERROR(IF($AA109="NOOS",HLOOKUP(STOCK_OVERVIEW!$AB109&amp;STOCK_OVERVIEW!$AD109,PLANNING_FC!$T$27:$AH$46,MATCH(STOCK_OVERVIEW!$Y109,PLANNING_FC!$B$27:$B$46,0),FALSE),HLOOKUP($AB109&amp;$AD109,PLANNING_FC!$T$4:$AH$23,MATCH(STOCK_OVERVIEW!$Y109,PLANNING_FC!$B$4:$B$23,0),FALSE)),"")</f>
        <v>0</v>
      </c>
      <c r="AJ109" s="650">
        <f ca="1">IFERROR(IF($AA109="NOOS",HLOOKUP(STOCK_OVERVIEW!$AB109&amp;STOCK_OVERVIEW!$AD109,PLANNING_FC!$DA$27:$DO$46,MATCH(STOCK_OVERVIEW!$Y109,PLANNING_FC!$CZ$27:$CZ$46,0),FALSE),HLOOKUP($AB109&amp;$AD109,PLANNING_FC!$DA$4:$DO$23,MATCH(STOCK_OVERVIEW!$Y109,PLANNING_FC!$CZ$4:$CZ$23,0),FALSE)),"")</f>
        <v>0</v>
      </c>
      <c r="AK109" s="651">
        <f ca="1">IFERROR(IF(AA109="NOOS",HLOOKUP(AB109&amp;AD109,PLANNING_FC!$AJ$27:$AY$47,MATCH(STOCK_OVERVIEW!Y109,PLANNING_FC!$AJ$27:$AJ$47,0),FALSE)*1000,HLOOKUP(AB109&amp;AD109,PLANNING_FC!$AJ$4:$AY$24,MATCH(STOCK_OVERVIEW!Y109,PLANNING_FC!$AJ$4:$AJ$24,0),FALSE)*1000),"")</f>
        <v>0</v>
      </c>
      <c r="AL109" s="638"/>
      <c r="AM109" s="638"/>
      <c r="AN109" s="638"/>
      <c r="AO109" s="638"/>
      <c r="AP109" s="638"/>
      <c r="AQ109" s="638"/>
      <c r="AR109" s="638"/>
      <c r="AS109" s="638"/>
    </row>
    <row r="110" spans="1:45" s="61" customFormat="1" x14ac:dyDescent="0.25">
      <c r="A110" s="62"/>
      <c r="J110" s="19"/>
      <c r="N110" s="19"/>
      <c r="R110" s="19"/>
      <c r="S110" s="637"/>
      <c r="T110" s="637"/>
      <c r="U110" s="636"/>
      <c r="V110" s="637"/>
      <c r="W110" s="637"/>
      <c r="X110" s="200" t="str">
        <f>NWC_FC_NOOS!$B$1</f>
        <v>VM</v>
      </c>
      <c r="Y110" s="25" t="str">
        <f>NWC_FC_NOOS!$B$61</f>
        <v>SHOES</v>
      </c>
      <c r="Z110" s="25" t="str">
        <f t="shared" ca="1" si="15"/>
        <v>VMSHOES18/19Mar</v>
      </c>
      <c r="AA110" s="25" t="str">
        <f>NWC_FC_NOOS!$I$1</f>
        <v>NOOS</v>
      </c>
      <c r="AB110" s="25" t="str">
        <f ca="1">NWC_FC_NOOS!$C$73</f>
        <v>18/19</v>
      </c>
      <c r="AC110" s="25" t="str">
        <f ca="1">NWC_FC_NOOS!$C$74</f>
        <v>Q3</v>
      </c>
      <c r="AD110" s="25" t="str">
        <f ca="1">NWC_FC_NOOS!$D$75</f>
        <v>Mar</v>
      </c>
      <c r="AE110" s="649">
        <f ca="1">IFERROR(HLOOKUP($AB110&amp;$AD110,NWC_FC_NOOS!$B$4:$Q$24,MATCH($Y110,NWC_FC_NOOS!$B$4:$B$24,0),FALSE),"")</f>
        <v>0</v>
      </c>
      <c r="AF110" s="650">
        <f ca="1">IFERROR(HLOOKUP($AB110&amp;$AD110,NWC_FC_NOOS!$S$4:$AH$24,MATCH($Y110,NWC_FC_NOOS!$S$4:$S$24,0),FALSE),"")</f>
        <v>0</v>
      </c>
      <c r="AG110" s="650">
        <f ca="1">IFERROR(HLOOKUP($AB110&amp;$AD110,NWC_FC_NOOS!$C$50:$U$70,MATCH($Y110,NWC_FC_NOOS!$B$50:$B$70,0),FALSE),"")</f>
        <v>0</v>
      </c>
      <c r="AH110" s="650">
        <f ca="1">IFERROR(IF($AA110="NOOS",HLOOKUP(STOCK_OVERVIEW!$AB110&amp;STOCK_OVERVIEW!$AD110,PLANNING_FC!$BB$27:$BP$46,MATCH(STOCK_OVERVIEW!$Y110,PLANNING_FC!$BA$27:$BA$46,0),FALSE),HLOOKUP($AB110&amp;$AD110,PLANNING_FC!$BB$4:$BP$23,MATCH(STOCK_OVERVIEW!$Y110,PLANNING_FC!$BA$4:$BA$23,0),FALSE)),"")</f>
        <v>0</v>
      </c>
      <c r="AI110" s="650">
        <f ca="1">IFERROR(IF($AA110="NOOS",HLOOKUP(STOCK_OVERVIEW!$AB110&amp;STOCK_OVERVIEW!$AD110,PLANNING_FC!$T$27:$AH$46,MATCH(STOCK_OVERVIEW!$Y110,PLANNING_FC!$B$27:$B$46,0),FALSE),HLOOKUP($AB110&amp;$AD110,PLANNING_FC!$T$4:$AH$23,MATCH(STOCK_OVERVIEW!$Y110,PLANNING_FC!$B$4:$B$23,0),FALSE)),"")</f>
        <v>0</v>
      </c>
      <c r="AJ110" s="650">
        <f ca="1">IFERROR(IF($AA110="NOOS",HLOOKUP(STOCK_OVERVIEW!$AB110&amp;STOCK_OVERVIEW!$AD110,PLANNING_FC!$DA$27:$DO$46,MATCH(STOCK_OVERVIEW!$Y110,PLANNING_FC!$CZ$27:$CZ$46,0),FALSE),HLOOKUP($AB110&amp;$AD110,PLANNING_FC!$DA$4:$DO$23,MATCH(STOCK_OVERVIEW!$Y110,PLANNING_FC!$CZ$4:$CZ$23,0),FALSE)),"")</f>
        <v>0</v>
      </c>
      <c r="AK110" s="651">
        <f ca="1">IFERROR(IF(AA110="NOOS",HLOOKUP(AB110&amp;AD110,PLANNING_FC!$AJ$27:$AY$47,MATCH(STOCK_OVERVIEW!Y110,PLANNING_FC!$AJ$27:$AJ$47,0),FALSE)*1000,HLOOKUP(AB110&amp;AD110,PLANNING_FC!$AJ$4:$AY$24,MATCH(STOCK_OVERVIEW!Y110,PLANNING_FC!$AJ$4:$AJ$24,0),FALSE)*1000),"")</f>
        <v>0</v>
      </c>
      <c r="AL110" s="638"/>
      <c r="AM110" s="638"/>
      <c r="AN110" s="638"/>
      <c r="AO110" s="638"/>
      <c r="AP110" s="638"/>
      <c r="AQ110" s="638"/>
      <c r="AR110" s="638"/>
      <c r="AS110" s="638"/>
    </row>
    <row r="111" spans="1:45" s="61" customFormat="1" x14ac:dyDescent="0.25">
      <c r="A111" s="62"/>
      <c r="J111" s="19"/>
      <c r="N111" s="19"/>
      <c r="R111" s="19"/>
      <c r="S111" s="637"/>
      <c r="T111" s="637"/>
      <c r="U111" s="636"/>
      <c r="V111" s="637"/>
      <c r="W111" s="637"/>
      <c r="X111" s="200" t="str">
        <f>NWC_FC_NOOS!$B$1</f>
        <v>VM</v>
      </c>
      <c r="Y111" s="25" t="str">
        <f>NWC_FC_NOOS!$B$61</f>
        <v>SHOES</v>
      </c>
      <c r="Z111" s="25" t="str">
        <f t="shared" ca="1" si="15"/>
        <v>VMSHOES18/19Apr</v>
      </c>
      <c r="AA111" s="25" t="str">
        <f>NWC_FC_NOOS!$I$1</f>
        <v>NOOS</v>
      </c>
      <c r="AB111" s="25" t="str">
        <f ca="1">NWC_FC_NOOS!$C$73</f>
        <v>18/19</v>
      </c>
      <c r="AC111" s="25" t="str">
        <f ca="1">NWC_FC_NOOS!$C$74</f>
        <v>Q3</v>
      </c>
      <c r="AD111" s="25" t="str">
        <f ca="1">NWC_FC_NOOS!$E$75</f>
        <v>Apr</v>
      </c>
      <c r="AE111" s="649">
        <f ca="1">IFERROR(HLOOKUP($AB111&amp;$AD111,NWC_FC_NOOS!$B$4:$Q$24,MATCH($Y111,NWC_FC_NOOS!$B$4:$B$24,0),FALSE),"")</f>
        <v>0</v>
      </c>
      <c r="AF111" s="650">
        <f ca="1">IFERROR(HLOOKUP($AB111&amp;$AD111,NWC_FC_NOOS!$S$4:$AH$24,MATCH($Y111,NWC_FC_NOOS!$S$4:$S$24,0),FALSE),"")</f>
        <v>0</v>
      </c>
      <c r="AG111" s="650">
        <f ca="1">IFERROR(HLOOKUP($AB111&amp;$AD111,NWC_FC_NOOS!$C$50:$U$70,MATCH($Y111,NWC_FC_NOOS!$B$50:$B$70,0),FALSE),"")</f>
        <v>0</v>
      </c>
      <c r="AH111" s="650">
        <f ca="1">IFERROR(IF($AA111="NOOS",HLOOKUP(STOCK_OVERVIEW!$AB111&amp;STOCK_OVERVIEW!$AD111,PLANNING_FC!$BB$27:$BP$46,MATCH(STOCK_OVERVIEW!$Y111,PLANNING_FC!$BA$27:$BA$46,0),FALSE),HLOOKUP($AB111&amp;$AD111,PLANNING_FC!$BB$4:$BP$23,MATCH(STOCK_OVERVIEW!$Y111,PLANNING_FC!$BA$4:$BA$23,0),FALSE)),"")</f>
        <v>0</v>
      </c>
      <c r="AI111" s="650">
        <f ca="1">IFERROR(IF($AA111="NOOS",HLOOKUP(STOCK_OVERVIEW!$AB111&amp;STOCK_OVERVIEW!$AD111,PLANNING_FC!$T$27:$AH$46,MATCH(STOCK_OVERVIEW!$Y111,PLANNING_FC!$B$27:$B$46,0),FALSE),HLOOKUP($AB111&amp;$AD111,PLANNING_FC!$T$4:$AH$23,MATCH(STOCK_OVERVIEW!$Y111,PLANNING_FC!$B$4:$B$23,0),FALSE)),"")</f>
        <v>0</v>
      </c>
      <c r="AJ111" s="650">
        <f ca="1">IFERROR(IF($AA111="NOOS",HLOOKUP(STOCK_OVERVIEW!$AB111&amp;STOCK_OVERVIEW!$AD111,PLANNING_FC!$DA$27:$DO$46,MATCH(STOCK_OVERVIEW!$Y111,PLANNING_FC!$CZ$27:$CZ$46,0),FALSE),HLOOKUP($AB111&amp;$AD111,PLANNING_FC!$DA$4:$DO$23,MATCH(STOCK_OVERVIEW!$Y111,PLANNING_FC!$CZ$4:$CZ$23,0),FALSE)),"")</f>
        <v>0</v>
      </c>
      <c r="AK111" s="651">
        <f ca="1">IFERROR(IF(AA111="NOOS",HLOOKUP(AB111&amp;AD111,PLANNING_FC!$AJ$27:$AY$47,MATCH(STOCK_OVERVIEW!Y111,PLANNING_FC!$AJ$27:$AJ$47,0),FALSE)*1000,HLOOKUP(AB111&amp;AD111,PLANNING_FC!$AJ$4:$AY$24,MATCH(STOCK_OVERVIEW!Y111,PLANNING_FC!$AJ$4:$AJ$24,0),FALSE)*1000),"")</f>
        <v>0</v>
      </c>
      <c r="AL111" s="638"/>
      <c r="AM111" s="638"/>
      <c r="AN111" s="638"/>
      <c r="AO111" s="638"/>
      <c r="AP111" s="638"/>
      <c r="AQ111" s="638"/>
      <c r="AR111" s="638"/>
      <c r="AS111" s="638"/>
    </row>
    <row r="112" spans="1:45" s="61" customFormat="1" x14ac:dyDescent="0.25">
      <c r="A112" s="62"/>
      <c r="J112" s="19"/>
      <c r="N112" s="19"/>
      <c r="R112" s="19"/>
      <c r="S112" s="637"/>
      <c r="T112" s="637"/>
      <c r="U112" s="636"/>
      <c r="V112" s="637"/>
      <c r="W112" s="637"/>
      <c r="X112" s="200" t="str">
        <f>NWC_FC_NOOS!$B$1</f>
        <v>VM</v>
      </c>
      <c r="Y112" s="25" t="str">
        <f>NWC_FC_NOOS!$B$61</f>
        <v>SHOES</v>
      </c>
      <c r="Z112" s="25" t="str">
        <f t="shared" ca="1" si="15"/>
        <v>VMSHOES18/19May</v>
      </c>
      <c r="AA112" s="25" t="str">
        <f>NWC_FC_NOOS!$I$1</f>
        <v>NOOS</v>
      </c>
      <c r="AB112" s="25" t="str">
        <f ca="1">NWC_FC_NOOS!$G$73</f>
        <v>18/19</v>
      </c>
      <c r="AC112" s="25" t="str">
        <f ca="1">NWC_FC_NOOS!$G$74</f>
        <v>Q4</v>
      </c>
      <c r="AD112" s="25" t="str">
        <f ca="1">NWC_FC_NOOS!$G$75</f>
        <v>May</v>
      </c>
      <c r="AE112" s="649">
        <f ca="1">IFERROR(HLOOKUP($AB112&amp;$AD112,NWC_FC_NOOS!$B$4:$Q$24,MATCH($Y112,NWC_FC_NOOS!$B$4:$B$24,0),FALSE),"")</f>
        <v>0</v>
      </c>
      <c r="AF112" s="650">
        <f ca="1">IFERROR(HLOOKUP($AB112&amp;$AD112,NWC_FC_NOOS!$S$4:$AH$24,MATCH($Y112,NWC_FC_NOOS!$S$4:$S$24,0),FALSE),"")</f>
        <v>0</v>
      </c>
      <c r="AG112" s="650">
        <f ca="1">IFERROR(HLOOKUP($AB112&amp;$AD112,NWC_FC_NOOS!$C$50:$U$70,MATCH($Y112,NWC_FC_NOOS!$B$50:$B$70,0),FALSE),"")</f>
        <v>0</v>
      </c>
      <c r="AH112" s="650">
        <f ca="1">IFERROR(IF($AA112="NOOS",HLOOKUP(STOCK_OVERVIEW!$AB112&amp;STOCK_OVERVIEW!$AD112,PLANNING_FC!$BB$27:$BP$46,MATCH(STOCK_OVERVIEW!$Y112,PLANNING_FC!$BA$27:$BA$46,0),FALSE),HLOOKUP($AB112&amp;$AD112,PLANNING_FC!$BB$4:$BP$23,MATCH(STOCK_OVERVIEW!$Y112,PLANNING_FC!$BA$4:$BA$23,0),FALSE)),"")</f>
        <v>0</v>
      </c>
      <c r="AI112" s="650">
        <f ca="1">IFERROR(IF($AA112="NOOS",HLOOKUP(STOCK_OVERVIEW!$AB112&amp;STOCK_OVERVIEW!$AD112,PLANNING_FC!$T$27:$AH$46,MATCH(STOCK_OVERVIEW!$Y112,PLANNING_FC!$B$27:$B$46,0),FALSE),HLOOKUP($AB112&amp;$AD112,PLANNING_FC!$T$4:$AH$23,MATCH(STOCK_OVERVIEW!$Y112,PLANNING_FC!$B$4:$B$23,0),FALSE)),"")</f>
        <v>0</v>
      </c>
      <c r="AJ112" s="650">
        <f ca="1">IFERROR(IF($AA112="NOOS",HLOOKUP(STOCK_OVERVIEW!$AB112&amp;STOCK_OVERVIEW!$AD112,PLANNING_FC!$DA$27:$DO$46,MATCH(STOCK_OVERVIEW!$Y112,PLANNING_FC!$CZ$27:$CZ$46,0),FALSE),HLOOKUP($AB112&amp;$AD112,PLANNING_FC!$DA$4:$DO$23,MATCH(STOCK_OVERVIEW!$Y112,PLANNING_FC!$CZ$4:$CZ$23,0),FALSE)),"")</f>
        <v>0</v>
      </c>
      <c r="AK112" s="651">
        <f ca="1">IFERROR(IF(AA112="NOOS",HLOOKUP(AB112&amp;AD112,PLANNING_FC!$AJ$27:$AY$47,MATCH(STOCK_OVERVIEW!Y112,PLANNING_FC!$AJ$27:$AJ$47,0),FALSE)*1000,HLOOKUP(AB112&amp;AD112,PLANNING_FC!$AJ$4:$AY$24,MATCH(STOCK_OVERVIEW!Y112,PLANNING_FC!$AJ$4:$AJ$24,0),FALSE)*1000),"")</f>
        <v>0</v>
      </c>
      <c r="AL112" s="638"/>
      <c r="AM112" s="638"/>
      <c r="AN112" s="638"/>
      <c r="AO112" s="638"/>
      <c r="AP112" s="638"/>
      <c r="AQ112" s="638"/>
      <c r="AR112" s="638"/>
      <c r="AS112" s="638"/>
    </row>
    <row r="113" spans="1:45" s="61" customFormat="1" x14ac:dyDescent="0.25">
      <c r="A113" s="62"/>
      <c r="J113" s="19"/>
      <c r="N113" s="19"/>
      <c r="R113" s="19"/>
      <c r="S113" s="637"/>
      <c r="T113" s="637"/>
      <c r="U113" s="636"/>
      <c r="V113" s="637"/>
      <c r="W113" s="637"/>
      <c r="X113" s="200" t="str">
        <f>NWC_FC_NOOS!$B$1</f>
        <v>VM</v>
      </c>
      <c r="Y113" s="25" t="str">
        <f>NWC_FC_NOOS!$B$61</f>
        <v>SHOES</v>
      </c>
      <c r="Z113" s="25" t="str">
        <f t="shared" ca="1" si="15"/>
        <v>VMSHOES18/19Jun</v>
      </c>
      <c r="AA113" s="25" t="str">
        <f>NWC_FC_NOOS!$I$1</f>
        <v>NOOS</v>
      </c>
      <c r="AB113" s="25" t="str">
        <f ca="1">NWC_FC_NOOS!$G$73</f>
        <v>18/19</v>
      </c>
      <c r="AC113" s="25" t="str">
        <f ca="1">NWC_FC_NOOS!$G$74</f>
        <v>Q4</v>
      </c>
      <c r="AD113" s="25" t="str">
        <f ca="1">NWC_FC_NOOS!$H$75</f>
        <v>Jun</v>
      </c>
      <c r="AE113" s="649">
        <f ca="1">IFERROR(HLOOKUP($AB113&amp;$AD113,NWC_FC_NOOS!$B$4:$Q$24,MATCH($Y113,NWC_FC_NOOS!$B$4:$B$24,0),FALSE),"")</f>
        <v>0</v>
      </c>
      <c r="AF113" s="650">
        <f ca="1">IFERROR(HLOOKUP($AB113&amp;$AD113,NWC_FC_NOOS!$S$4:$AH$24,MATCH($Y113,NWC_FC_NOOS!$S$4:$S$24,0),FALSE),"")</f>
        <v>0</v>
      </c>
      <c r="AG113" s="650">
        <f ca="1">IFERROR(HLOOKUP($AB113&amp;$AD113,NWC_FC_NOOS!$C$50:$U$70,MATCH($Y113,NWC_FC_NOOS!$B$50:$B$70,0),FALSE),"")</f>
        <v>0</v>
      </c>
      <c r="AH113" s="650">
        <f ca="1">IFERROR(IF($AA113="NOOS",HLOOKUP(STOCK_OVERVIEW!$AB113&amp;STOCK_OVERVIEW!$AD113,PLANNING_FC!$BB$27:$BP$46,MATCH(STOCK_OVERVIEW!$Y113,PLANNING_FC!$BA$27:$BA$46,0),FALSE),HLOOKUP($AB113&amp;$AD113,PLANNING_FC!$BB$4:$BP$23,MATCH(STOCK_OVERVIEW!$Y113,PLANNING_FC!$BA$4:$BA$23,0),FALSE)),"")</f>
        <v>0</v>
      </c>
      <c r="AI113" s="650">
        <f ca="1">IFERROR(IF($AA113="NOOS",HLOOKUP(STOCK_OVERVIEW!$AB113&amp;STOCK_OVERVIEW!$AD113,PLANNING_FC!$T$27:$AH$46,MATCH(STOCK_OVERVIEW!$Y113,PLANNING_FC!$B$27:$B$46,0),FALSE),HLOOKUP($AB113&amp;$AD113,PLANNING_FC!$T$4:$AH$23,MATCH(STOCK_OVERVIEW!$Y113,PLANNING_FC!$B$4:$B$23,0),FALSE)),"")</f>
        <v>0</v>
      </c>
      <c r="AJ113" s="650">
        <f ca="1">IFERROR(IF($AA113="NOOS",HLOOKUP(STOCK_OVERVIEW!$AB113&amp;STOCK_OVERVIEW!$AD113,PLANNING_FC!$DA$27:$DO$46,MATCH(STOCK_OVERVIEW!$Y113,PLANNING_FC!$CZ$27:$CZ$46,0),FALSE),HLOOKUP($AB113&amp;$AD113,PLANNING_FC!$DA$4:$DO$23,MATCH(STOCK_OVERVIEW!$Y113,PLANNING_FC!$CZ$4:$CZ$23,0),FALSE)),"")</f>
        <v>0</v>
      </c>
      <c r="AK113" s="651">
        <f ca="1">IFERROR(IF(AA113="NOOS",HLOOKUP(AB113&amp;AD113,PLANNING_FC!$AJ$27:$AY$47,MATCH(STOCK_OVERVIEW!Y113,PLANNING_FC!$AJ$27:$AJ$47,0),FALSE)*1000,HLOOKUP(AB113&amp;AD113,PLANNING_FC!$AJ$4:$AY$24,MATCH(STOCK_OVERVIEW!Y113,PLANNING_FC!$AJ$4:$AJ$24,0),FALSE)*1000),"")</f>
        <v>0</v>
      </c>
      <c r="AL113" s="638"/>
      <c r="AM113" s="638"/>
      <c r="AN113" s="638"/>
      <c r="AO113" s="638"/>
      <c r="AP113" s="638"/>
      <c r="AQ113" s="638"/>
      <c r="AR113" s="638"/>
      <c r="AS113" s="638"/>
    </row>
    <row r="114" spans="1:45" s="61" customFormat="1" x14ac:dyDescent="0.25">
      <c r="A114" s="62"/>
      <c r="J114" s="19"/>
      <c r="N114" s="19"/>
      <c r="R114" s="19"/>
      <c r="S114" s="637"/>
      <c r="T114" s="637"/>
      <c r="U114" s="636"/>
      <c r="V114" s="637"/>
      <c r="W114" s="637"/>
      <c r="X114" s="200" t="str">
        <f>NWC_FC_NOOS!$B$1</f>
        <v>VM</v>
      </c>
      <c r="Y114" s="25" t="str">
        <f>NWC_FC_NOOS!$B$61</f>
        <v>SHOES</v>
      </c>
      <c r="Z114" s="25" t="str">
        <f t="shared" ca="1" si="15"/>
        <v>VMSHOES18/19Jul</v>
      </c>
      <c r="AA114" s="25" t="str">
        <f>NWC_FC_NOOS!$I$1</f>
        <v>NOOS</v>
      </c>
      <c r="AB114" s="25" t="str">
        <f ca="1">NWC_FC_NOOS!$G$73</f>
        <v>18/19</v>
      </c>
      <c r="AC114" s="25" t="str">
        <f ca="1">NWC_FC_NOOS!$G$74</f>
        <v>Q4</v>
      </c>
      <c r="AD114" s="25" t="str">
        <f ca="1">NWC_FC_NOOS!$I$75</f>
        <v>Jul</v>
      </c>
      <c r="AE114" s="649">
        <f ca="1">IFERROR(HLOOKUP($AB114&amp;$AD114,NWC_FC_NOOS!$B$4:$Q$24,MATCH($Y114,NWC_FC_NOOS!$B$4:$B$24,0),FALSE),"")</f>
        <v>0</v>
      </c>
      <c r="AF114" s="650">
        <f ca="1">IFERROR(HLOOKUP($AB114&amp;$AD114,NWC_FC_NOOS!$S$4:$AH$24,MATCH($Y114,NWC_FC_NOOS!$S$4:$S$24,0),FALSE),"")</f>
        <v>0</v>
      </c>
      <c r="AG114" s="650">
        <f ca="1">IFERROR(HLOOKUP($AB114&amp;$AD114,NWC_FC_NOOS!$C$50:$U$70,MATCH($Y114,NWC_FC_NOOS!$B$50:$B$70,0),FALSE),"")</f>
        <v>0</v>
      </c>
      <c r="AH114" s="650">
        <f ca="1">IFERROR(IF($AA114="NOOS",HLOOKUP(STOCK_OVERVIEW!$AB114&amp;STOCK_OVERVIEW!$AD114,PLANNING_FC!$BB$27:$BP$46,MATCH(STOCK_OVERVIEW!$Y114,PLANNING_FC!$BA$27:$BA$46,0),FALSE),HLOOKUP($AB114&amp;$AD114,PLANNING_FC!$BB$4:$BP$23,MATCH(STOCK_OVERVIEW!$Y114,PLANNING_FC!$BA$4:$BA$23,0),FALSE)),"")</f>
        <v>0</v>
      </c>
      <c r="AI114" s="650">
        <f ca="1">IFERROR(IF($AA114="NOOS",HLOOKUP(STOCK_OVERVIEW!$AB114&amp;STOCK_OVERVIEW!$AD114,PLANNING_FC!$T$27:$AH$46,MATCH(STOCK_OVERVIEW!$Y114,PLANNING_FC!$B$27:$B$46,0),FALSE),HLOOKUP($AB114&amp;$AD114,PLANNING_FC!$T$4:$AH$23,MATCH(STOCK_OVERVIEW!$Y114,PLANNING_FC!$B$4:$B$23,0),FALSE)),"")</f>
        <v>0</v>
      </c>
      <c r="AJ114" s="650">
        <f ca="1">IFERROR(IF($AA114="NOOS",HLOOKUP(STOCK_OVERVIEW!$AB114&amp;STOCK_OVERVIEW!$AD114,PLANNING_FC!$DA$27:$DO$46,MATCH(STOCK_OVERVIEW!$Y114,PLANNING_FC!$CZ$27:$CZ$46,0),FALSE),HLOOKUP($AB114&amp;$AD114,PLANNING_FC!$DA$4:$DO$23,MATCH(STOCK_OVERVIEW!$Y114,PLANNING_FC!$CZ$4:$CZ$23,0),FALSE)),"")</f>
        <v>0</v>
      </c>
      <c r="AK114" s="651">
        <f ca="1">IFERROR(IF(AA114="NOOS",HLOOKUP(AB114&amp;AD114,PLANNING_FC!$AJ$27:$AY$47,MATCH(STOCK_OVERVIEW!Y114,PLANNING_FC!$AJ$27:$AJ$47,0),FALSE)*1000,HLOOKUP(AB114&amp;AD114,PLANNING_FC!$AJ$4:$AY$24,MATCH(STOCK_OVERVIEW!Y114,PLANNING_FC!$AJ$4:$AJ$24,0),FALSE)*1000),"")</f>
        <v>0</v>
      </c>
      <c r="AL114" s="638"/>
      <c r="AM114" s="638"/>
      <c r="AN114" s="638"/>
      <c r="AO114" s="638"/>
      <c r="AP114" s="638"/>
      <c r="AQ114" s="638"/>
      <c r="AR114" s="638"/>
      <c r="AS114" s="638"/>
    </row>
    <row r="115" spans="1:45" s="61" customFormat="1" x14ac:dyDescent="0.25">
      <c r="A115" s="62"/>
      <c r="J115" s="19"/>
      <c r="N115" s="19"/>
      <c r="R115" s="19"/>
      <c r="S115" s="637"/>
      <c r="T115" s="637"/>
      <c r="U115" s="636"/>
      <c r="V115" s="637"/>
      <c r="W115" s="637"/>
      <c r="X115" s="200" t="str">
        <f>NWC_FC_NOOS!$B$1</f>
        <v>VM</v>
      </c>
      <c r="Y115" s="25" t="str">
        <f>NWC_FC_NOOS!$B$61</f>
        <v>SHOES</v>
      </c>
      <c r="Z115" s="25" t="str">
        <f t="shared" ca="1" si="15"/>
        <v>VMSHOES19/20Aug</v>
      </c>
      <c r="AA115" s="25" t="str">
        <f>NWC_FC_NOOS!$I$1</f>
        <v>NOOS</v>
      </c>
      <c r="AB115" s="25" t="str">
        <f ca="1">NWC_FC_NOOS!$K$73</f>
        <v>19/20</v>
      </c>
      <c r="AC115" s="25" t="str">
        <f ca="1">NWC_FC_NOOS!$K$74</f>
        <v>Q1</v>
      </c>
      <c r="AD115" s="25" t="str">
        <f ca="1">NWC_FC_NOOS!$K$75</f>
        <v>Aug</v>
      </c>
      <c r="AE115" s="649">
        <f ca="1">IFERROR(HLOOKUP($AB115&amp;$AD115,NWC_FC_NOOS!$B$4:$Q$24,MATCH($Y115,NWC_FC_NOOS!$B$4:$B$24,0),FALSE),"")</f>
        <v>0</v>
      </c>
      <c r="AF115" s="650">
        <f ca="1">IFERROR(HLOOKUP($AB115&amp;$AD115,NWC_FC_NOOS!$S$4:$AH$24,MATCH($Y115,NWC_FC_NOOS!$S$4:$S$24,0),FALSE),"")</f>
        <v>0</v>
      </c>
      <c r="AG115" s="650">
        <f ca="1">IFERROR(HLOOKUP($AB115&amp;$AD115,NWC_FC_NOOS!$C$50:$U$70,MATCH($Y115,NWC_FC_NOOS!$B$50:$B$70,0),FALSE),"")</f>
        <v>0</v>
      </c>
      <c r="AH115" s="650">
        <f ca="1">IFERROR(IF($AA115="NOOS",HLOOKUP(STOCK_OVERVIEW!$AB115&amp;STOCK_OVERVIEW!$AD115,PLANNING_FC!$BB$27:$BP$46,MATCH(STOCK_OVERVIEW!$Y115,PLANNING_FC!$BA$27:$BA$46,0),FALSE),HLOOKUP($AB115&amp;$AD115,PLANNING_FC!$BB$4:$BP$23,MATCH(STOCK_OVERVIEW!$Y115,PLANNING_FC!$BA$4:$BA$23,0),FALSE)),"")</f>
        <v>0</v>
      </c>
      <c r="AI115" s="650">
        <f ca="1">IFERROR(IF($AA115="NOOS",HLOOKUP(STOCK_OVERVIEW!$AB115&amp;STOCK_OVERVIEW!$AD115,PLANNING_FC!$T$27:$AH$46,MATCH(STOCK_OVERVIEW!$Y115,PLANNING_FC!$B$27:$B$46,0),FALSE),HLOOKUP($AB115&amp;$AD115,PLANNING_FC!$T$4:$AH$23,MATCH(STOCK_OVERVIEW!$Y115,PLANNING_FC!$B$4:$B$23,0),FALSE)),"")</f>
        <v>0</v>
      </c>
      <c r="AJ115" s="650">
        <f ca="1">IFERROR(IF($AA115="NOOS",HLOOKUP(STOCK_OVERVIEW!$AB115&amp;STOCK_OVERVIEW!$AD115,PLANNING_FC!$DA$27:$DO$46,MATCH(STOCK_OVERVIEW!$Y115,PLANNING_FC!$CZ$27:$CZ$46,0),FALSE),HLOOKUP($AB115&amp;$AD115,PLANNING_FC!$DA$4:$DO$23,MATCH(STOCK_OVERVIEW!$Y115,PLANNING_FC!$CZ$4:$CZ$23,0),FALSE)),"")</f>
        <v>0</v>
      </c>
      <c r="AK115" s="651">
        <f ca="1">IFERROR(IF(AA115="NOOS",HLOOKUP(AB115&amp;AD115,PLANNING_FC!$AJ$27:$AY$47,MATCH(STOCK_OVERVIEW!Y115,PLANNING_FC!$AJ$27:$AJ$47,0),FALSE)*1000,HLOOKUP(AB115&amp;AD115,PLANNING_FC!$AJ$4:$AY$24,MATCH(STOCK_OVERVIEW!Y115,PLANNING_FC!$AJ$4:$AJ$24,0),FALSE)*1000),"")</f>
        <v>0</v>
      </c>
      <c r="AL115" s="638"/>
      <c r="AM115" s="638"/>
      <c r="AN115" s="638"/>
      <c r="AO115" s="638"/>
      <c r="AP115" s="638"/>
      <c r="AQ115" s="638"/>
      <c r="AR115" s="638"/>
      <c r="AS115" s="638"/>
    </row>
    <row r="116" spans="1:45" s="61" customFormat="1" x14ac:dyDescent="0.25">
      <c r="A116" s="62"/>
      <c r="J116" s="19"/>
      <c r="N116" s="19"/>
      <c r="R116" s="19"/>
      <c r="S116" s="637"/>
      <c r="T116" s="637"/>
      <c r="U116" s="636"/>
      <c r="V116" s="637"/>
      <c r="W116" s="637"/>
      <c r="X116" s="200" t="str">
        <f>NWC_FC_NOOS!$B$1</f>
        <v>VM</v>
      </c>
      <c r="Y116" s="25" t="str">
        <f>NWC_FC_NOOS!$B$61</f>
        <v>SHOES</v>
      </c>
      <c r="Z116" s="25" t="str">
        <f t="shared" ca="1" si="15"/>
        <v>VMSHOES19/20Sep</v>
      </c>
      <c r="AA116" s="25" t="str">
        <f>NWC_FC_NOOS!$I$1</f>
        <v>NOOS</v>
      </c>
      <c r="AB116" s="25" t="str">
        <f ca="1">NWC_FC_NOOS!$K$73</f>
        <v>19/20</v>
      </c>
      <c r="AC116" s="25" t="str">
        <f ca="1">NWC_FC_NOOS!$K$74</f>
        <v>Q1</v>
      </c>
      <c r="AD116" s="25" t="str">
        <f ca="1">NWC_FC_NOOS!$L$75</f>
        <v>Sep</v>
      </c>
      <c r="AE116" s="649">
        <f ca="1">IFERROR(HLOOKUP($AB116&amp;$AD116,NWC_FC_NOOS!$B$4:$Q$24,MATCH($Y116,NWC_FC_NOOS!$B$4:$B$24,0),FALSE),"")</f>
        <v>0</v>
      </c>
      <c r="AF116" s="650">
        <f ca="1">IFERROR(HLOOKUP($AB116&amp;$AD116,NWC_FC_NOOS!$S$4:$AH$24,MATCH($Y116,NWC_FC_NOOS!$S$4:$S$24,0),FALSE),"")</f>
        <v>0</v>
      </c>
      <c r="AG116" s="650">
        <f ca="1">IFERROR(HLOOKUP($AB116&amp;$AD116,NWC_FC_NOOS!$C$50:$U$70,MATCH($Y116,NWC_FC_NOOS!$B$50:$B$70,0),FALSE),"")</f>
        <v>0</v>
      </c>
      <c r="AH116" s="650">
        <f ca="1">IFERROR(IF($AA116="NOOS",HLOOKUP(STOCK_OVERVIEW!$AB116&amp;STOCK_OVERVIEW!$AD116,PLANNING_FC!$BB$27:$BP$46,MATCH(STOCK_OVERVIEW!$Y116,PLANNING_FC!$BA$27:$BA$46,0),FALSE),HLOOKUP($AB116&amp;$AD116,PLANNING_FC!$BB$4:$BP$23,MATCH(STOCK_OVERVIEW!$Y116,PLANNING_FC!$BA$4:$BA$23,0),FALSE)),"")</f>
        <v>0</v>
      </c>
      <c r="AI116" s="650">
        <f ca="1">IFERROR(IF($AA116="NOOS",HLOOKUP(STOCK_OVERVIEW!$AB116&amp;STOCK_OVERVIEW!$AD116,PLANNING_FC!$T$27:$AH$46,MATCH(STOCK_OVERVIEW!$Y116,PLANNING_FC!$B$27:$B$46,0),FALSE),HLOOKUP($AB116&amp;$AD116,PLANNING_FC!$T$4:$AH$23,MATCH(STOCK_OVERVIEW!$Y116,PLANNING_FC!$B$4:$B$23,0),FALSE)),"")</f>
        <v>0</v>
      </c>
      <c r="AJ116" s="650">
        <f ca="1">IFERROR(IF($AA116="NOOS",HLOOKUP(STOCK_OVERVIEW!$AB116&amp;STOCK_OVERVIEW!$AD116,PLANNING_FC!$DA$27:$DO$46,MATCH(STOCK_OVERVIEW!$Y116,PLANNING_FC!$CZ$27:$CZ$46,0),FALSE),HLOOKUP($AB116&amp;$AD116,PLANNING_FC!$DA$4:$DO$23,MATCH(STOCK_OVERVIEW!$Y116,PLANNING_FC!$CZ$4:$CZ$23,0),FALSE)),"")</f>
        <v>0</v>
      </c>
      <c r="AK116" s="651">
        <f ca="1">IFERROR(IF(AA116="NOOS",HLOOKUP(AB116&amp;AD116,PLANNING_FC!$AJ$27:$AY$47,MATCH(STOCK_OVERVIEW!Y116,PLANNING_FC!$AJ$27:$AJ$47,0),FALSE)*1000,HLOOKUP(AB116&amp;AD116,PLANNING_FC!$AJ$4:$AY$24,MATCH(STOCK_OVERVIEW!Y116,PLANNING_FC!$AJ$4:$AJ$24,0),FALSE)*1000),"")</f>
        <v>0</v>
      </c>
      <c r="AL116" s="638"/>
      <c r="AM116" s="638"/>
      <c r="AN116" s="638"/>
      <c r="AO116" s="638"/>
      <c r="AP116" s="638"/>
      <c r="AQ116" s="638"/>
      <c r="AR116" s="638"/>
      <c r="AS116" s="638"/>
    </row>
    <row r="117" spans="1:45" s="61" customFormat="1" x14ac:dyDescent="0.25">
      <c r="A117" s="62"/>
      <c r="J117" s="19"/>
      <c r="N117" s="19"/>
      <c r="R117" s="19"/>
      <c r="S117" s="637"/>
      <c r="T117" s="637"/>
      <c r="U117" s="636"/>
      <c r="V117" s="637"/>
      <c r="W117" s="637"/>
      <c r="X117" s="200" t="str">
        <f>NWC_FC_NOOS!$B$1</f>
        <v>VM</v>
      </c>
      <c r="Y117" s="25" t="str">
        <f>NWC_FC_NOOS!$B$61</f>
        <v>SHOES</v>
      </c>
      <c r="Z117" s="25" t="str">
        <f t="shared" ca="1" si="15"/>
        <v>VMSHOES19/20Oct</v>
      </c>
      <c r="AA117" s="25" t="str">
        <f>NWC_FC_NOOS!$I$1</f>
        <v>NOOS</v>
      </c>
      <c r="AB117" s="25" t="str">
        <f ca="1">NWC_FC_NOOS!$K$73</f>
        <v>19/20</v>
      </c>
      <c r="AC117" s="25" t="str">
        <f ca="1">NWC_FC_NOOS!$K$74</f>
        <v>Q1</v>
      </c>
      <c r="AD117" s="25" t="str">
        <f ca="1">NWC_FC_NOOS!$M$75</f>
        <v>Oct</v>
      </c>
      <c r="AE117" s="649">
        <f ca="1">IFERROR(HLOOKUP($AB117&amp;$AD117,NWC_FC_NOOS!$B$4:$Q$24,MATCH($Y117,NWC_FC_NOOS!$B$4:$B$24,0),FALSE),"")</f>
        <v>0</v>
      </c>
      <c r="AF117" s="650">
        <f ca="1">IFERROR(HLOOKUP($AB117&amp;$AD117,NWC_FC_NOOS!$S$4:$AH$24,MATCH($Y117,NWC_FC_NOOS!$S$4:$S$24,0),FALSE),"")</f>
        <v>0</v>
      </c>
      <c r="AG117" s="650">
        <f ca="1">IFERROR(HLOOKUP($AB117&amp;$AD117,NWC_FC_NOOS!$C$50:$U$70,MATCH($Y117,NWC_FC_NOOS!$B$50:$B$70,0),FALSE),"")</f>
        <v>0</v>
      </c>
      <c r="AH117" s="650">
        <f ca="1">IFERROR(IF($AA117="NOOS",HLOOKUP(STOCK_OVERVIEW!$AB117&amp;STOCK_OVERVIEW!$AD117,PLANNING_FC!$BB$27:$BP$46,MATCH(STOCK_OVERVIEW!$Y117,PLANNING_FC!$BA$27:$BA$46,0),FALSE),HLOOKUP($AB117&amp;$AD117,PLANNING_FC!$BB$4:$BP$23,MATCH(STOCK_OVERVIEW!$Y117,PLANNING_FC!$BA$4:$BA$23,0),FALSE)),"")</f>
        <v>0</v>
      </c>
      <c r="AI117" s="650">
        <f ca="1">IFERROR(IF($AA117="NOOS",HLOOKUP(STOCK_OVERVIEW!$AB117&amp;STOCK_OVERVIEW!$AD117,PLANNING_FC!$T$27:$AH$46,MATCH(STOCK_OVERVIEW!$Y117,PLANNING_FC!$B$27:$B$46,0),FALSE),HLOOKUP($AB117&amp;$AD117,PLANNING_FC!$T$4:$AH$23,MATCH(STOCK_OVERVIEW!$Y117,PLANNING_FC!$B$4:$B$23,0),FALSE)),"")</f>
        <v>0</v>
      </c>
      <c r="AJ117" s="650">
        <f ca="1">IFERROR(IF($AA117="NOOS",HLOOKUP(STOCK_OVERVIEW!$AB117&amp;STOCK_OVERVIEW!$AD117,PLANNING_FC!$DA$27:$DO$46,MATCH(STOCK_OVERVIEW!$Y117,PLANNING_FC!$CZ$27:$CZ$46,0),FALSE),HLOOKUP($AB117&amp;$AD117,PLANNING_FC!$DA$4:$DO$23,MATCH(STOCK_OVERVIEW!$Y117,PLANNING_FC!$CZ$4:$CZ$23,0),FALSE)),"")</f>
        <v>0</v>
      </c>
      <c r="AK117" s="651">
        <f ca="1">IFERROR(IF(AA117="NOOS",HLOOKUP(AB117&amp;AD117,PLANNING_FC!$AJ$27:$AY$47,MATCH(STOCK_OVERVIEW!Y117,PLANNING_FC!$AJ$27:$AJ$47,0),FALSE)*1000,HLOOKUP(AB117&amp;AD117,PLANNING_FC!$AJ$4:$AY$24,MATCH(STOCK_OVERVIEW!Y117,PLANNING_FC!$AJ$4:$AJ$24,0),FALSE)*1000),"")</f>
        <v>0</v>
      </c>
      <c r="AL117" s="638"/>
      <c r="AM117" s="638"/>
      <c r="AN117" s="638"/>
      <c r="AO117" s="638"/>
      <c r="AP117" s="638"/>
      <c r="AQ117" s="638"/>
      <c r="AR117" s="638"/>
      <c r="AS117" s="638"/>
    </row>
    <row r="118" spans="1:45" s="61" customFormat="1" x14ac:dyDescent="0.25">
      <c r="A118" s="62"/>
      <c r="J118" s="19"/>
      <c r="N118" s="19"/>
      <c r="R118" s="19"/>
      <c r="S118" s="637"/>
      <c r="T118" s="637"/>
      <c r="U118" s="636"/>
      <c r="V118" s="637"/>
      <c r="W118" s="637"/>
      <c r="X118" s="200" t="str">
        <f>NWC_FC_NOOS!$B$1</f>
        <v>VM</v>
      </c>
      <c r="Y118" s="25" t="str">
        <f>NWC_FC_NOOS!$B$61</f>
        <v>SHOES</v>
      </c>
      <c r="Z118" s="25" t="str">
        <f t="shared" ca="1" si="15"/>
        <v>VMSHOES19/20Nov</v>
      </c>
      <c r="AA118" s="25" t="str">
        <f>NWC_FC_NOOS!$I$1</f>
        <v>NOOS</v>
      </c>
      <c r="AB118" s="25" t="str">
        <f ca="1">NWC_FC_NOOS!$O$73</f>
        <v>19/20</v>
      </c>
      <c r="AC118" s="25" t="str">
        <f ca="1">NWC_FC_NOOS!$O$74</f>
        <v>Q2</v>
      </c>
      <c r="AD118" s="25" t="str">
        <f ca="1">NWC_FC_NOOS!$O$75</f>
        <v>Nov</v>
      </c>
      <c r="AE118" s="649">
        <f ca="1">IFERROR(HLOOKUP($AB118&amp;$AD118,NWC_FC_NOOS!$B$4:$Q$24,MATCH($Y118,NWC_FC_NOOS!$B$4:$B$24,0),FALSE),"")</f>
        <v>0</v>
      </c>
      <c r="AF118" s="650">
        <f ca="1">IFERROR(HLOOKUP($AB118&amp;$AD118,NWC_FC_NOOS!$S$4:$AH$24,MATCH($Y118,NWC_FC_NOOS!$S$4:$S$24,0),FALSE),"")</f>
        <v>0</v>
      </c>
      <c r="AG118" s="650">
        <f ca="1">IFERROR(HLOOKUP($AB118&amp;$AD118,NWC_FC_NOOS!$C$50:$U$70,MATCH($Y118,NWC_FC_NOOS!$B$50:$B$70,0),FALSE),"")</f>
        <v>0</v>
      </c>
      <c r="AH118" s="650">
        <f ca="1">IFERROR(IF($AA118="NOOS",HLOOKUP(STOCK_OVERVIEW!$AB118&amp;STOCK_OVERVIEW!$AD118,PLANNING_FC!$BB$27:$BP$46,MATCH(STOCK_OVERVIEW!$Y118,PLANNING_FC!$BA$27:$BA$46,0),FALSE),HLOOKUP($AB118&amp;$AD118,PLANNING_FC!$BB$4:$BP$23,MATCH(STOCK_OVERVIEW!$Y118,PLANNING_FC!$BA$4:$BA$23,0),FALSE)),"")</f>
        <v>0</v>
      </c>
      <c r="AI118" s="650">
        <f ca="1">IFERROR(IF($AA118="NOOS",HLOOKUP(STOCK_OVERVIEW!$AB118&amp;STOCK_OVERVIEW!$AD118,PLANNING_FC!$T$27:$AH$46,MATCH(STOCK_OVERVIEW!$Y118,PLANNING_FC!$B$27:$B$46,0),FALSE),HLOOKUP($AB118&amp;$AD118,PLANNING_FC!$T$4:$AH$23,MATCH(STOCK_OVERVIEW!$Y118,PLANNING_FC!$B$4:$B$23,0),FALSE)),"")</f>
        <v>0</v>
      </c>
      <c r="AJ118" s="650">
        <f ca="1">IFERROR(IF($AA118="NOOS",HLOOKUP(STOCK_OVERVIEW!$AB118&amp;STOCK_OVERVIEW!$AD118,PLANNING_FC!$DA$27:$DO$46,MATCH(STOCK_OVERVIEW!$Y118,PLANNING_FC!$CZ$27:$CZ$46,0),FALSE),HLOOKUP($AB118&amp;$AD118,PLANNING_FC!$DA$4:$DO$23,MATCH(STOCK_OVERVIEW!$Y118,PLANNING_FC!$CZ$4:$CZ$23,0),FALSE)),"")</f>
        <v>0</v>
      </c>
      <c r="AK118" s="651">
        <f ca="1">IFERROR(IF(AA118="NOOS",HLOOKUP(AB118&amp;AD118,PLANNING_FC!$AJ$27:$AY$47,MATCH(STOCK_OVERVIEW!Y118,PLANNING_FC!$AJ$27:$AJ$47,0),FALSE)*1000,HLOOKUP(AB118&amp;AD118,PLANNING_FC!$AJ$4:$AY$24,MATCH(STOCK_OVERVIEW!Y118,PLANNING_FC!$AJ$4:$AJ$24,0),FALSE)*1000),"")</f>
        <v>0</v>
      </c>
      <c r="AL118" s="638"/>
      <c r="AM118" s="638"/>
      <c r="AN118" s="638"/>
      <c r="AO118" s="638"/>
      <c r="AP118" s="638"/>
      <c r="AQ118" s="638"/>
      <c r="AR118" s="638"/>
      <c r="AS118" s="638"/>
    </row>
    <row r="119" spans="1:45" s="61" customFormat="1" x14ac:dyDescent="0.25">
      <c r="A119" s="62"/>
      <c r="J119" s="19"/>
      <c r="N119" s="19"/>
      <c r="R119" s="19"/>
      <c r="S119" s="637"/>
      <c r="T119" s="637"/>
      <c r="U119" s="636"/>
      <c r="V119" s="637"/>
      <c r="W119" s="637"/>
      <c r="X119" s="200" t="str">
        <f>NWC_FC_NOOS!$B$1</f>
        <v>VM</v>
      </c>
      <c r="Y119" s="25" t="str">
        <f>NWC_FC_NOOS!$B$61</f>
        <v>SHOES</v>
      </c>
      <c r="Z119" s="25" t="str">
        <f t="shared" ca="1" si="15"/>
        <v>VMSHOES19/20Dec</v>
      </c>
      <c r="AA119" s="25" t="str">
        <f>NWC_FC_NOOS!$I$1</f>
        <v>NOOS</v>
      </c>
      <c r="AB119" s="25" t="str">
        <f ca="1">NWC_FC_NOOS!$O$73</f>
        <v>19/20</v>
      </c>
      <c r="AC119" s="25" t="str">
        <f ca="1">NWC_FC_NOOS!$O$74</f>
        <v>Q2</v>
      </c>
      <c r="AD119" s="25" t="str">
        <f ca="1">NWC_FC_NOOS!$P$75</f>
        <v>Dec</v>
      </c>
      <c r="AE119" s="649">
        <f ca="1">IFERROR(HLOOKUP($AB119&amp;$AD119,NWC_FC_NOOS!$B$4:$Q$24,MATCH($Y119,NWC_FC_NOOS!$B$4:$B$24,0),FALSE),"")</f>
        <v>0</v>
      </c>
      <c r="AF119" s="650">
        <f ca="1">IFERROR(HLOOKUP($AB119&amp;$AD119,NWC_FC_NOOS!$S$4:$AH$24,MATCH($Y119,NWC_FC_NOOS!$S$4:$S$24,0),FALSE),"")</f>
        <v>0</v>
      </c>
      <c r="AG119" s="650">
        <f ca="1">IFERROR(HLOOKUP($AB119&amp;$AD119,NWC_FC_NOOS!$C$50:$U$70,MATCH($Y119,NWC_FC_NOOS!$B$50:$B$70,0),FALSE),"")</f>
        <v>0</v>
      </c>
      <c r="AH119" s="650">
        <f ca="1">IFERROR(IF($AA119="NOOS",HLOOKUP(STOCK_OVERVIEW!$AB119&amp;STOCK_OVERVIEW!$AD119,PLANNING_FC!$BB$27:$BP$46,MATCH(STOCK_OVERVIEW!$Y119,PLANNING_FC!$BA$27:$BA$46,0),FALSE),HLOOKUP($AB119&amp;$AD119,PLANNING_FC!$BB$4:$BP$23,MATCH(STOCK_OVERVIEW!$Y119,PLANNING_FC!$BA$4:$BA$23,0),FALSE)),"")</f>
        <v>0</v>
      </c>
      <c r="AI119" s="650">
        <f ca="1">IFERROR(IF($AA119="NOOS",HLOOKUP(STOCK_OVERVIEW!$AB119&amp;STOCK_OVERVIEW!$AD119,PLANNING_FC!$T$27:$AH$46,MATCH(STOCK_OVERVIEW!$Y119,PLANNING_FC!$B$27:$B$46,0),FALSE),HLOOKUP($AB119&amp;$AD119,PLANNING_FC!$T$4:$AH$23,MATCH(STOCK_OVERVIEW!$Y119,PLANNING_FC!$B$4:$B$23,0),FALSE)),"")</f>
        <v>0</v>
      </c>
      <c r="AJ119" s="650">
        <f ca="1">IFERROR(IF($AA119="NOOS",HLOOKUP(STOCK_OVERVIEW!$AB119&amp;STOCK_OVERVIEW!$AD119,PLANNING_FC!$DA$27:$DO$46,MATCH(STOCK_OVERVIEW!$Y119,PLANNING_FC!$CZ$27:$CZ$46,0),FALSE),HLOOKUP($AB119&amp;$AD119,PLANNING_FC!$DA$4:$DO$23,MATCH(STOCK_OVERVIEW!$Y119,PLANNING_FC!$CZ$4:$CZ$23,0),FALSE)),"")</f>
        <v>0</v>
      </c>
      <c r="AK119" s="651">
        <f ca="1">IFERROR(IF(AA119="NOOS",HLOOKUP(AB119&amp;AD119,PLANNING_FC!$AJ$27:$AY$47,MATCH(STOCK_OVERVIEW!Y119,PLANNING_FC!$AJ$27:$AJ$47,0),FALSE)*1000,HLOOKUP(AB119&amp;AD119,PLANNING_FC!$AJ$4:$AY$24,MATCH(STOCK_OVERVIEW!Y119,PLANNING_FC!$AJ$4:$AJ$24,0),FALSE)*1000),"")</f>
        <v>0</v>
      </c>
      <c r="AL119" s="638"/>
      <c r="AM119" s="638"/>
      <c r="AN119" s="638"/>
      <c r="AO119" s="638"/>
      <c r="AP119" s="638"/>
      <c r="AQ119" s="638"/>
      <c r="AR119" s="638"/>
      <c r="AS119" s="638"/>
    </row>
    <row r="120" spans="1:45" s="61" customFormat="1" x14ac:dyDescent="0.25">
      <c r="A120" s="62"/>
      <c r="J120" s="19"/>
      <c r="N120" s="19"/>
      <c r="R120" s="19"/>
      <c r="S120" s="637"/>
      <c r="T120" s="637"/>
      <c r="U120" s="636"/>
      <c r="V120" s="637"/>
      <c r="W120" s="637"/>
      <c r="X120" s="200" t="str">
        <f>NWC_FC_NOOS!$B$1</f>
        <v>VM</v>
      </c>
      <c r="Y120" s="25" t="str">
        <f>NWC_FC_NOOS!$B$61</f>
        <v>SHOES</v>
      </c>
      <c r="Z120" s="25" t="str">
        <f t="shared" ca="1" si="15"/>
        <v>VMSHOES19/20Jan</v>
      </c>
      <c r="AA120" s="25" t="str">
        <f>NWC_FC_NOOS!$I$1</f>
        <v>NOOS</v>
      </c>
      <c r="AB120" s="25" t="str">
        <f ca="1">NWC_FC_NOOS!$O$73</f>
        <v>19/20</v>
      </c>
      <c r="AC120" s="25" t="str">
        <f ca="1">NWC_FC_NOOS!$O$74</f>
        <v>Q2</v>
      </c>
      <c r="AD120" s="25" t="str">
        <f ca="1">NWC_FC_NOOS!$Q$75</f>
        <v>Jan</v>
      </c>
      <c r="AE120" s="649">
        <f ca="1">IFERROR(HLOOKUP($AB120&amp;$AD120,NWC_FC_NOOS!$B$4:$Q$24,MATCH($Y120,NWC_FC_NOOS!$B$4:$B$24,0),FALSE),"")</f>
        <v>0</v>
      </c>
      <c r="AF120" s="650">
        <f ca="1">IFERROR(HLOOKUP($AB120&amp;$AD120,NWC_FC_NOOS!$S$4:$AH$24,MATCH($Y120,NWC_FC_NOOS!$S$4:$S$24,0),FALSE),"")</f>
        <v>0</v>
      </c>
      <c r="AG120" s="650">
        <f ca="1">IFERROR(HLOOKUP($AB120&amp;$AD120,NWC_FC_NOOS!$C$50:$U$70,MATCH($Y120,NWC_FC_NOOS!$B$50:$B$70,0),FALSE),"")</f>
        <v>0</v>
      </c>
      <c r="AH120" s="650">
        <f ca="1">IFERROR(IF($AA120="NOOS",HLOOKUP(STOCK_OVERVIEW!$AB120&amp;STOCK_OVERVIEW!$AD120,PLANNING_FC!$BB$27:$BP$46,MATCH(STOCK_OVERVIEW!$Y120,PLANNING_FC!$BA$27:$BA$46,0),FALSE),HLOOKUP($AB120&amp;$AD120,PLANNING_FC!$BB$4:$BP$23,MATCH(STOCK_OVERVIEW!$Y120,PLANNING_FC!$BA$4:$BA$23,0),FALSE)),"")</f>
        <v>0</v>
      </c>
      <c r="AI120" s="650">
        <f ca="1">IFERROR(IF($AA120="NOOS",HLOOKUP(STOCK_OVERVIEW!$AB120&amp;STOCK_OVERVIEW!$AD120,PLANNING_FC!$T$27:$AH$46,MATCH(STOCK_OVERVIEW!$Y120,PLANNING_FC!$B$27:$B$46,0),FALSE),HLOOKUP($AB120&amp;$AD120,PLANNING_FC!$T$4:$AH$23,MATCH(STOCK_OVERVIEW!$Y120,PLANNING_FC!$B$4:$B$23,0),FALSE)),"")</f>
        <v>0</v>
      </c>
      <c r="AJ120" s="650">
        <f ca="1">IFERROR(IF($AA120="NOOS",HLOOKUP(STOCK_OVERVIEW!$AB120&amp;STOCK_OVERVIEW!$AD120,PLANNING_FC!$DA$27:$DO$46,MATCH(STOCK_OVERVIEW!$Y120,PLANNING_FC!$CZ$27:$CZ$46,0),FALSE),HLOOKUP($AB120&amp;$AD120,PLANNING_FC!$DA$4:$DO$23,MATCH(STOCK_OVERVIEW!$Y120,PLANNING_FC!$CZ$4:$CZ$23,0),FALSE)),"")</f>
        <v>0</v>
      </c>
      <c r="AK120" s="651">
        <f ca="1">IFERROR(IF(AA120="NOOS",HLOOKUP(AB120&amp;AD120,PLANNING_FC!$AJ$27:$AY$47,MATCH(STOCK_OVERVIEW!Y120,PLANNING_FC!$AJ$27:$AJ$47,0),FALSE)*1000,HLOOKUP(AB120&amp;AD120,PLANNING_FC!$AJ$4:$AY$24,MATCH(STOCK_OVERVIEW!Y120,PLANNING_FC!$AJ$4:$AJ$24,0),FALSE)*1000),"")</f>
        <v>0</v>
      </c>
      <c r="AL120" s="638"/>
      <c r="AM120" s="638"/>
      <c r="AN120" s="638"/>
      <c r="AO120" s="638"/>
      <c r="AP120" s="638"/>
      <c r="AQ120" s="638"/>
      <c r="AR120" s="638"/>
      <c r="AS120" s="638"/>
    </row>
    <row r="121" spans="1:45" s="61" customFormat="1" x14ac:dyDescent="0.25">
      <c r="A121" s="62"/>
      <c r="J121" s="19"/>
      <c r="N121" s="19"/>
      <c r="R121" s="19"/>
      <c r="S121" s="637"/>
      <c r="T121" s="637"/>
      <c r="U121" s="636"/>
      <c r="V121" s="637"/>
      <c r="W121" s="637"/>
      <c r="X121" s="200" t="str">
        <f>NWC_FC_NOOS!$B$1</f>
        <v>VM</v>
      </c>
      <c r="Y121" s="25" t="str">
        <f>NWC_FC_NOOS!$B$61</f>
        <v>SHOES</v>
      </c>
      <c r="Z121" s="25" t="str">
        <f t="shared" ca="1" si="15"/>
        <v>VMSHOES19/20Feb</v>
      </c>
      <c r="AA121" s="25" t="str">
        <f>NWC_FC_NOOS!$I$1</f>
        <v>NOOS</v>
      </c>
      <c r="AB121" s="25" t="str">
        <f ca="1">NWC_FC_NOOS!$S$73</f>
        <v>19/20</v>
      </c>
      <c r="AC121" s="25" t="str">
        <f ca="1">NWC_FC_NOOS!$S$74</f>
        <v>Q3</v>
      </c>
      <c r="AD121" s="25" t="str">
        <f ca="1">NWC_FC_NOOS!$S$75</f>
        <v>Feb</v>
      </c>
      <c r="AE121" s="649" t="str">
        <f ca="1">IFERROR(HLOOKUP($AB121&amp;$AD121,NWC_FC_NOOS!$B$4:$Q$24,MATCH($Y121,NWC_FC_NOOS!$B$4:$B$24,0),FALSE),"")</f>
        <v/>
      </c>
      <c r="AF121" s="650" t="str">
        <f ca="1">IFERROR(HLOOKUP($AB121&amp;$AD121,NWC_FC_NOOS!$S$4:$AH$24,MATCH($Y121,NWC_FC_NOOS!$S$4:$S$24,0),FALSE),"")</f>
        <v/>
      </c>
      <c r="AG121" s="650">
        <f ca="1">IFERROR(HLOOKUP($AB121&amp;$AD121,NWC_FC_NOOS!$C$50:$U$70,MATCH($Y121,NWC_FC_NOOS!$B$50:$B$70,0),FALSE),"")</f>
        <v>0</v>
      </c>
      <c r="AH121" s="650" t="str">
        <f ca="1">IFERROR(IF($AA121="NOOS",HLOOKUP(STOCK_OVERVIEW!$AB121&amp;STOCK_OVERVIEW!$AD121,PLANNING_FC!$BB$27:$BP$46,MATCH(STOCK_OVERVIEW!$Y121,PLANNING_FC!$BA$27:$BA$46,0),FALSE),HLOOKUP($AB121&amp;$AD121,PLANNING_FC!$BB$4:$BP$23,MATCH(STOCK_OVERVIEW!$Y121,PLANNING_FC!$BA$4:$BA$23,0),FALSE)),"")</f>
        <v/>
      </c>
      <c r="AI121" s="650" t="str">
        <f ca="1">IFERROR(IF($AA121="NOOS",HLOOKUP(STOCK_OVERVIEW!$AB121&amp;STOCK_OVERVIEW!$AD121,PLANNING_FC!$T$27:$AH$46,MATCH(STOCK_OVERVIEW!$Y121,PLANNING_FC!$B$27:$B$46,0),FALSE),HLOOKUP($AB121&amp;$AD121,PLANNING_FC!$T$4:$AH$23,MATCH(STOCK_OVERVIEW!$Y121,PLANNING_FC!$B$4:$B$23,0),FALSE)),"")</f>
        <v/>
      </c>
      <c r="AJ121" s="650" t="str">
        <f ca="1">IFERROR(IF($AA121="NOOS",HLOOKUP(STOCK_OVERVIEW!$AB121&amp;STOCK_OVERVIEW!$AD121,PLANNING_FC!$DA$27:$DO$46,MATCH(STOCK_OVERVIEW!$Y121,PLANNING_FC!$CZ$27:$CZ$46,0),FALSE),HLOOKUP($AB121&amp;$AD121,PLANNING_FC!$DA$4:$DO$23,MATCH(STOCK_OVERVIEW!$Y121,PLANNING_FC!$CZ$4:$CZ$23,0),FALSE)),"")</f>
        <v/>
      </c>
      <c r="AK121" s="651" t="str">
        <f ca="1">IFERROR(IF(AA121="NOOS",HLOOKUP(AB121&amp;AD121,PLANNING_FC!$AJ$27:$AY$47,MATCH(STOCK_OVERVIEW!Y121,PLANNING_FC!$AJ$27:$AJ$47,0),FALSE)*1000,HLOOKUP(AB121&amp;AD121,PLANNING_FC!$AJ$4:$AY$24,MATCH(STOCK_OVERVIEW!Y121,PLANNING_FC!$AJ$4:$AJ$24,0),FALSE)*1000),"")</f>
        <v/>
      </c>
      <c r="AL121" s="638"/>
      <c r="AM121" s="638"/>
      <c r="AN121" s="638"/>
      <c r="AO121" s="638"/>
      <c r="AP121" s="638"/>
      <c r="AQ121" s="638"/>
      <c r="AR121" s="638"/>
      <c r="AS121" s="638"/>
    </row>
    <row r="122" spans="1:45" s="61" customFormat="1" x14ac:dyDescent="0.25">
      <c r="A122" s="62"/>
      <c r="J122" s="19"/>
      <c r="N122" s="19"/>
      <c r="R122" s="19"/>
      <c r="S122" s="637"/>
      <c r="T122" s="637"/>
      <c r="U122" s="636"/>
      <c r="V122" s="637"/>
      <c r="W122" s="637"/>
      <c r="X122" s="200" t="str">
        <f>NWC_FC_NOOS!$B$1</f>
        <v>VM</v>
      </c>
      <c r="Y122" s="25" t="str">
        <f>NWC_FC_NOOS!$B$61</f>
        <v>SHOES</v>
      </c>
      <c r="Z122" s="25" t="str">
        <f t="shared" ca="1" si="15"/>
        <v>VMSHOES19/20Mar</v>
      </c>
      <c r="AA122" s="25" t="str">
        <f>NWC_FC_NOOS!$I$1</f>
        <v>NOOS</v>
      </c>
      <c r="AB122" s="25" t="str">
        <f ca="1">NWC_FC_NOOS!$S$73</f>
        <v>19/20</v>
      </c>
      <c r="AC122" s="25" t="str">
        <f ca="1">NWC_FC_NOOS!$S$74</f>
        <v>Q3</v>
      </c>
      <c r="AD122" s="25" t="str">
        <f ca="1">NWC_FC_NOOS!$T$75</f>
        <v>Mar</v>
      </c>
      <c r="AE122" s="649" t="str">
        <f ca="1">IFERROR(HLOOKUP($AB122&amp;$AD122,NWC_FC_NOOS!$B$4:$Q$24,MATCH($Y122,NWC_FC_NOOS!$B$4:$B$24,0),FALSE),"")</f>
        <v/>
      </c>
      <c r="AF122" s="650" t="str">
        <f ca="1">IFERROR(HLOOKUP($AB122&amp;$AD122,NWC_FC_NOOS!$S$4:$AH$24,MATCH($Y122,NWC_FC_NOOS!$S$4:$S$24,0),FALSE),"")</f>
        <v/>
      </c>
      <c r="AG122" s="650">
        <f ca="1">IFERROR(HLOOKUP($AB122&amp;$AD122,NWC_FC_NOOS!$C$50:$U$70,MATCH($Y122,NWC_FC_NOOS!$B$50:$B$70,0),FALSE),"")</f>
        <v>0</v>
      </c>
      <c r="AH122" s="650" t="str">
        <f ca="1">IFERROR(IF($AA122="NOOS",HLOOKUP(STOCK_OVERVIEW!$AB122&amp;STOCK_OVERVIEW!$AD122,PLANNING_FC!$BB$27:$BP$46,MATCH(STOCK_OVERVIEW!$Y122,PLANNING_FC!$BA$27:$BA$46,0),FALSE),HLOOKUP($AB122&amp;$AD122,PLANNING_FC!$BB$4:$BP$23,MATCH(STOCK_OVERVIEW!$Y122,PLANNING_FC!$BA$4:$BA$23,0),FALSE)),"")</f>
        <v/>
      </c>
      <c r="AI122" s="650" t="str">
        <f ca="1">IFERROR(IF($AA122="NOOS",HLOOKUP(STOCK_OVERVIEW!$AB122&amp;STOCK_OVERVIEW!$AD122,PLANNING_FC!$T$27:$AH$46,MATCH(STOCK_OVERVIEW!$Y122,PLANNING_FC!$B$27:$B$46,0),FALSE),HLOOKUP($AB122&amp;$AD122,PLANNING_FC!$T$4:$AH$23,MATCH(STOCK_OVERVIEW!$Y122,PLANNING_FC!$B$4:$B$23,0),FALSE)),"")</f>
        <v/>
      </c>
      <c r="AJ122" s="650" t="str">
        <f ca="1">IFERROR(IF($AA122="NOOS",HLOOKUP(STOCK_OVERVIEW!$AB122&amp;STOCK_OVERVIEW!$AD122,PLANNING_FC!$DA$27:$DO$46,MATCH(STOCK_OVERVIEW!$Y122,PLANNING_FC!$CZ$27:$CZ$46,0),FALSE),HLOOKUP($AB122&amp;$AD122,PLANNING_FC!$DA$4:$DO$23,MATCH(STOCK_OVERVIEW!$Y122,PLANNING_FC!$CZ$4:$CZ$23,0),FALSE)),"")</f>
        <v/>
      </c>
      <c r="AK122" s="651" t="str">
        <f ca="1">IFERROR(IF(AA122="NOOS",HLOOKUP(AB122&amp;AD122,PLANNING_FC!$AJ$27:$AY$47,MATCH(STOCK_OVERVIEW!Y122,PLANNING_FC!$AJ$27:$AJ$47,0),FALSE)*1000,HLOOKUP(AB122&amp;AD122,PLANNING_FC!$AJ$4:$AY$24,MATCH(STOCK_OVERVIEW!Y122,PLANNING_FC!$AJ$4:$AJ$24,0),FALSE)*1000),"")</f>
        <v/>
      </c>
      <c r="AL122" s="638"/>
      <c r="AM122" s="638"/>
      <c r="AN122" s="638"/>
      <c r="AO122" s="638"/>
      <c r="AP122" s="638"/>
      <c r="AQ122" s="638"/>
      <c r="AR122" s="638"/>
      <c r="AS122" s="638"/>
    </row>
    <row r="123" spans="1:45" s="61" customFormat="1" x14ac:dyDescent="0.25">
      <c r="A123" s="62"/>
      <c r="J123" s="19"/>
      <c r="N123" s="19"/>
      <c r="R123" s="19"/>
      <c r="S123" s="637"/>
      <c r="T123" s="637"/>
      <c r="U123" s="636"/>
      <c r="V123" s="637"/>
      <c r="W123" s="637"/>
      <c r="X123" s="200" t="str">
        <f>NWC_FC_NOOS!$B$1</f>
        <v>VM</v>
      </c>
      <c r="Y123" s="25" t="str">
        <f>NWC_FC_NOOS!$B$61</f>
        <v>SHOES</v>
      </c>
      <c r="Z123" s="25" t="str">
        <f t="shared" ca="1" si="15"/>
        <v>VMSHOES19/20Apr</v>
      </c>
      <c r="AA123" s="25" t="str">
        <f>NWC_FC_NOOS!$I$1</f>
        <v>NOOS</v>
      </c>
      <c r="AB123" s="25" t="str">
        <f ca="1">NWC_FC_NOOS!$S$73</f>
        <v>19/20</v>
      </c>
      <c r="AC123" s="25" t="str">
        <f ca="1">NWC_FC_NOOS!$S$74</f>
        <v>Q3</v>
      </c>
      <c r="AD123" s="25" t="str">
        <f ca="1">NWC_FC_NOOS!$U$75</f>
        <v>Apr</v>
      </c>
      <c r="AE123" s="649" t="str">
        <f ca="1">IFERROR(HLOOKUP($AB123&amp;$AD123,NWC_FC_NOOS!$B$4:$Q$24,MATCH($Y123,NWC_FC_NOOS!$B$4:$B$24,0),FALSE),"")</f>
        <v/>
      </c>
      <c r="AF123" s="650" t="str">
        <f ca="1">IFERROR(HLOOKUP($AB123&amp;$AD123,NWC_FC_NOOS!$S$4:$AH$24,MATCH($Y123,NWC_FC_NOOS!$S$4:$S$24,0),FALSE),"")</f>
        <v/>
      </c>
      <c r="AG123" s="650">
        <f ca="1">IFERROR(HLOOKUP($AB123&amp;$AD123,NWC_FC_NOOS!$C$50:$U$70,MATCH($Y123,NWC_FC_NOOS!$B$50:$B$70,0),FALSE),"")</f>
        <v>0</v>
      </c>
      <c r="AH123" s="650" t="str">
        <f ca="1">IFERROR(IF($AA123="NOOS",HLOOKUP(STOCK_OVERVIEW!$AB123&amp;STOCK_OVERVIEW!$AD123,PLANNING_FC!$BB$27:$BP$46,MATCH(STOCK_OVERVIEW!$Y123,PLANNING_FC!$BA$27:$BA$46,0),FALSE),HLOOKUP($AB123&amp;$AD123,PLANNING_FC!$BB$4:$BP$23,MATCH(STOCK_OVERVIEW!$Y123,PLANNING_FC!$BA$4:$BA$23,0),FALSE)),"")</f>
        <v/>
      </c>
      <c r="AI123" s="650" t="str">
        <f ca="1">IFERROR(IF($AA123="NOOS",HLOOKUP(STOCK_OVERVIEW!$AB123&amp;STOCK_OVERVIEW!$AD123,PLANNING_FC!$T$27:$AH$46,MATCH(STOCK_OVERVIEW!$Y123,PLANNING_FC!$B$27:$B$46,0),FALSE),HLOOKUP($AB123&amp;$AD123,PLANNING_FC!$T$4:$AH$23,MATCH(STOCK_OVERVIEW!$Y123,PLANNING_FC!$B$4:$B$23,0),FALSE)),"")</f>
        <v/>
      </c>
      <c r="AJ123" s="650" t="str">
        <f ca="1">IFERROR(IF($AA123="NOOS",HLOOKUP(STOCK_OVERVIEW!$AB123&amp;STOCK_OVERVIEW!$AD123,PLANNING_FC!$DA$27:$DO$46,MATCH(STOCK_OVERVIEW!$Y123,PLANNING_FC!$CZ$27:$CZ$46,0),FALSE),HLOOKUP($AB123&amp;$AD123,PLANNING_FC!$DA$4:$DO$23,MATCH(STOCK_OVERVIEW!$Y123,PLANNING_FC!$CZ$4:$CZ$23,0),FALSE)),"")</f>
        <v/>
      </c>
      <c r="AK123" s="651" t="str">
        <f ca="1">IFERROR(IF(AA123="NOOS",HLOOKUP(AB123&amp;AD123,PLANNING_FC!$AJ$27:$AY$47,MATCH(STOCK_OVERVIEW!Y123,PLANNING_FC!$AJ$27:$AJ$47,0),FALSE)*1000,HLOOKUP(AB123&amp;AD123,PLANNING_FC!$AJ$4:$AY$24,MATCH(STOCK_OVERVIEW!Y123,PLANNING_FC!$AJ$4:$AJ$24,0),FALSE)*1000),"")</f>
        <v/>
      </c>
      <c r="AL123" s="638"/>
      <c r="AM123" s="638"/>
      <c r="AN123" s="638"/>
      <c r="AO123" s="638"/>
      <c r="AP123" s="638"/>
      <c r="AQ123" s="638"/>
      <c r="AR123" s="638"/>
      <c r="AS123" s="638"/>
    </row>
    <row r="124" spans="1:45" s="61" customFormat="1" x14ac:dyDescent="0.25">
      <c r="A124" s="62"/>
      <c r="J124" s="19"/>
      <c r="N124" s="19"/>
      <c r="R124" s="19"/>
      <c r="S124" s="637"/>
      <c r="T124" s="637"/>
      <c r="U124" s="636"/>
      <c r="V124" s="637"/>
      <c r="W124" s="637"/>
      <c r="X124" s="200" t="str">
        <f>NWC_FC_NOOS!$B$1</f>
        <v>VM</v>
      </c>
      <c r="Y124" s="25" t="str">
        <f>NWC_FC_NOOS!$B$62</f>
        <v>SHORTS</v>
      </c>
      <c r="Z124" s="25" t="str">
        <f t="shared" ca="1" si="15"/>
        <v>VMSHORTS18/19Feb</v>
      </c>
      <c r="AA124" s="25" t="str">
        <f>NWC_FC_NOOS!$I$1</f>
        <v>NOOS</v>
      </c>
      <c r="AB124" s="25" t="str">
        <f ca="1">NWC_FC_NOOS!$C$73</f>
        <v>18/19</v>
      </c>
      <c r="AC124" s="25" t="str">
        <f ca="1">NWC_FC_NOOS!$C$74</f>
        <v>Q3</v>
      </c>
      <c r="AD124" s="25" t="str">
        <f ca="1">NWC_FC_NOOS!$C$75</f>
        <v>Feb</v>
      </c>
      <c r="AE124" s="649">
        <f ca="1">IFERROR(HLOOKUP($AB124&amp;$AD124,NWC_FC_NOOS!$B$4:$Q$24,MATCH($Y124,NWC_FC_NOOS!$B$4:$B$24,0),FALSE),"")</f>
        <v>0</v>
      </c>
      <c r="AF124" s="650">
        <f ca="1">IFERROR(HLOOKUP($AB124&amp;$AD124,NWC_FC_NOOS!$S$4:$AH$24,MATCH($Y124,NWC_FC_NOOS!$S$4:$S$24,0),FALSE),"")</f>
        <v>0</v>
      </c>
      <c r="AG124" s="650">
        <f ca="1">IFERROR(HLOOKUP($AB124&amp;$AD124,NWC_FC_NOOS!$C$50:$U$70,MATCH($Y124,NWC_FC_NOOS!$B$50:$B$70,0),FALSE),"")</f>
        <v>0</v>
      </c>
      <c r="AH124" s="650">
        <f ca="1">IFERROR(IF($AA124="NOOS",HLOOKUP(STOCK_OVERVIEW!$AB124&amp;STOCK_OVERVIEW!$AD124,PLANNING_FC!$BB$27:$BP$46,MATCH(STOCK_OVERVIEW!$Y124,PLANNING_FC!$BA$27:$BA$46,0),FALSE),HLOOKUP($AB124&amp;$AD124,PLANNING_FC!$BB$4:$BP$23,MATCH(STOCK_OVERVIEW!$Y124,PLANNING_FC!$BA$4:$BA$23,0),FALSE)),"")</f>
        <v>0</v>
      </c>
      <c r="AI124" s="650">
        <f ca="1">IFERROR(IF($AA124="NOOS",HLOOKUP(STOCK_OVERVIEW!$AB124&amp;STOCK_OVERVIEW!$AD124,PLANNING_FC!$T$27:$AH$46,MATCH(STOCK_OVERVIEW!$Y124,PLANNING_FC!$B$27:$B$46,0),FALSE),HLOOKUP($AB124&amp;$AD124,PLANNING_FC!$T$4:$AH$23,MATCH(STOCK_OVERVIEW!$Y124,PLANNING_FC!$B$4:$B$23,0),FALSE)),"")</f>
        <v>0</v>
      </c>
      <c r="AJ124" s="650">
        <f ca="1">IFERROR(IF($AA124="NOOS",HLOOKUP(STOCK_OVERVIEW!$AB124&amp;STOCK_OVERVIEW!$AD124,PLANNING_FC!$DA$27:$DO$46,MATCH(STOCK_OVERVIEW!$Y124,PLANNING_FC!$CZ$27:$CZ$46,0),FALSE),HLOOKUP($AB124&amp;$AD124,PLANNING_FC!$DA$4:$DO$23,MATCH(STOCK_OVERVIEW!$Y124,PLANNING_FC!$CZ$4:$CZ$23,0),FALSE)),"")</f>
        <v>0</v>
      </c>
      <c r="AK124" s="651">
        <f ca="1">IFERROR(IF(AA124="NOOS",HLOOKUP(AB124&amp;AD124,PLANNING_FC!$AJ$27:$AY$47,MATCH(STOCK_OVERVIEW!Y124,PLANNING_FC!$AJ$27:$AJ$47,0),FALSE)*1000,HLOOKUP(AB124&amp;AD124,PLANNING_FC!$AJ$4:$AY$24,MATCH(STOCK_OVERVIEW!Y124,PLANNING_FC!$AJ$4:$AJ$24,0),FALSE)*1000),"")</f>
        <v>0</v>
      </c>
      <c r="AL124" s="638"/>
      <c r="AM124" s="638"/>
      <c r="AN124" s="638"/>
      <c r="AO124" s="638"/>
      <c r="AP124" s="638"/>
      <c r="AQ124" s="638"/>
      <c r="AR124" s="638"/>
      <c r="AS124" s="638"/>
    </row>
    <row r="125" spans="1:45" s="61" customFormat="1" x14ac:dyDescent="0.25">
      <c r="A125" s="62"/>
      <c r="J125" s="19"/>
      <c r="N125" s="19"/>
      <c r="R125" s="19"/>
      <c r="S125" s="637"/>
      <c r="T125" s="637"/>
      <c r="U125" s="636"/>
      <c r="V125" s="637"/>
      <c r="W125" s="637"/>
      <c r="X125" s="200" t="str">
        <f>NWC_FC_NOOS!$B$1</f>
        <v>VM</v>
      </c>
      <c r="Y125" s="25" t="str">
        <f>NWC_FC_NOOS!$B$62</f>
        <v>SHORTS</v>
      </c>
      <c r="Z125" s="25" t="str">
        <f t="shared" ca="1" si="15"/>
        <v>VMSHORTS18/19Mar</v>
      </c>
      <c r="AA125" s="25" t="str">
        <f>NWC_FC_NOOS!$I$1</f>
        <v>NOOS</v>
      </c>
      <c r="AB125" s="25" t="str">
        <f ca="1">NWC_FC_NOOS!$C$73</f>
        <v>18/19</v>
      </c>
      <c r="AC125" s="25" t="str">
        <f ca="1">NWC_FC_NOOS!$C$74</f>
        <v>Q3</v>
      </c>
      <c r="AD125" s="25" t="str">
        <f ca="1">NWC_FC_NOOS!$D$75</f>
        <v>Mar</v>
      </c>
      <c r="AE125" s="649">
        <f ca="1">IFERROR(HLOOKUP($AB125&amp;$AD125,NWC_FC_NOOS!$B$4:$Q$24,MATCH($Y125,NWC_FC_NOOS!$B$4:$B$24,0),FALSE),"")</f>
        <v>0</v>
      </c>
      <c r="AF125" s="650">
        <f ca="1">IFERROR(HLOOKUP($AB125&amp;$AD125,NWC_FC_NOOS!$S$4:$AH$24,MATCH($Y125,NWC_FC_NOOS!$S$4:$S$24,0),FALSE),"")</f>
        <v>0</v>
      </c>
      <c r="AG125" s="650">
        <f ca="1">IFERROR(HLOOKUP($AB125&amp;$AD125,NWC_FC_NOOS!$C$50:$U$70,MATCH($Y125,NWC_FC_NOOS!$B$50:$B$70,0),FALSE),"")</f>
        <v>0</v>
      </c>
      <c r="AH125" s="650">
        <f ca="1">IFERROR(IF($AA125="NOOS",HLOOKUP(STOCK_OVERVIEW!$AB125&amp;STOCK_OVERVIEW!$AD125,PLANNING_FC!$BB$27:$BP$46,MATCH(STOCK_OVERVIEW!$Y125,PLANNING_FC!$BA$27:$BA$46,0),FALSE),HLOOKUP($AB125&amp;$AD125,PLANNING_FC!$BB$4:$BP$23,MATCH(STOCK_OVERVIEW!$Y125,PLANNING_FC!$BA$4:$BA$23,0),FALSE)),"")</f>
        <v>0</v>
      </c>
      <c r="AI125" s="650">
        <f ca="1">IFERROR(IF($AA125="NOOS",HLOOKUP(STOCK_OVERVIEW!$AB125&amp;STOCK_OVERVIEW!$AD125,PLANNING_FC!$T$27:$AH$46,MATCH(STOCK_OVERVIEW!$Y125,PLANNING_FC!$B$27:$B$46,0),FALSE),HLOOKUP($AB125&amp;$AD125,PLANNING_FC!$T$4:$AH$23,MATCH(STOCK_OVERVIEW!$Y125,PLANNING_FC!$B$4:$B$23,0),FALSE)),"")</f>
        <v>0</v>
      </c>
      <c r="AJ125" s="650">
        <f ca="1">IFERROR(IF($AA125="NOOS",HLOOKUP(STOCK_OVERVIEW!$AB125&amp;STOCK_OVERVIEW!$AD125,PLANNING_FC!$DA$27:$DO$46,MATCH(STOCK_OVERVIEW!$Y125,PLANNING_FC!$CZ$27:$CZ$46,0),FALSE),HLOOKUP($AB125&amp;$AD125,PLANNING_FC!$DA$4:$DO$23,MATCH(STOCK_OVERVIEW!$Y125,PLANNING_FC!$CZ$4:$CZ$23,0),FALSE)),"")</f>
        <v>0</v>
      </c>
      <c r="AK125" s="651">
        <f ca="1">IFERROR(IF(AA125="NOOS",HLOOKUP(AB125&amp;AD125,PLANNING_FC!$AJ$27:$AY$47,MATCH(STOCK_OVERVIEW!Y125,PLANNING_FC!$AJ$27:$AJ$47,0),FALSE)*1000,HLOOKUP(AB125&amp;AD125,PLANNING_FC!$AJ$4:$AY$24,MATCH(STOCK_OVERVIEW!Y125,PLANNING_FC!$AJ$4:$AJ$24,0),FALSE)*1000),"")</f>
        <v>0</v>
      </c>
      <c r="AL125" s="638"/>
      <c r="AM125" s="638"/>
      <c r="AN125" s="638"/>
      <c r="AO125" s="638"/>
      <c r="AP125" s="638"/>
      <c r="AQ125" s="638"/>
      <c r="AR125" s="638"/>
      <c r="AS125" s="638"/>
    </row>
    <row r="126" spans="1:45" s="61" customFormat="1" x14ac:dyDescent="0.25">
      <c r="A126" s="62"/>
      <c r="J126" s="19"/>
      <c r="N126" s="19"/>
      <c r="R126" s="19"/>
      <c r="S126" s="637"/>
      <c r="T126" s="637"/>
      <c r="U126" s="636"/>
      <c r="V126" s="637"/>
      <c r="W126" s="637"/>
      <c r="X126" s="200" t="str">
        <f>NWC_FC_NOOS!$B$1</f>
        <v>VM</v>
      </c>
      <c r="Y126" s="25" t="str">
        <f>NWC_FC_NOOS!$B$62</f>
        <v>SHORTS</v>
      </c>
      <c r="Z126" s="25" t="str">
        <f t="shared" ca="1" si="15"/>
        <v>VMSHORTS18/19Apr</v>
      </c>
      <c r="AA126" s="25" t="str">
        <f>NWC_FC_NOOS!$I$1</f>
        <v>NOOS</v>
      </c>
      <c r="AB126" s="25" t="str">
        <f ca="1">NWC_FC_NOOS!$C$73</f>
        <v>18/19</v>
      </c>
      <c r="AC126" s="25" t="str">
        <f ca="1">NWC_FC_NOOS!$C$74</f>
        <v>Q3</v>
      </c>
      <c r="AD126" s="25" t="str">
        <f ca="1">NWC_FC_NOOS!$E$75</f>
        <v>Apr</v>
      </c>
      <c r="AE126" s="649">
        <f ca="1">IFERROR(HLOOKUP($AB126&amp;$AD126,NWC_FC_NOOS!$B$4:$Q$24,MATCH($Y126,NWC_FC_NOOS!$B$4:$B$24,0),FALSE),"")</f>
        <v>0</v>
      </c>
      <c r="AF126" s="650">
        <f ca="1">IFERROR(HLOOKUP($AB126&amp;$AD126,NWC_FC_NOOS!$S$4:$AH$24,MATCH($Y126,NWC_FC_NOOS!$S$4:$S$24,0),FALSE),"")</f>
        <v>0</v>
      </c>
      <c r="AG126" s="650">
        <f ca="1">IFERROR(HLOOKUP($AB126&amp;$AD126,NWC_FC_NOOS!$C$50:$U$70,MATCH($Y126,NWC_FC_NOOS!$B$50:$B$70,0),FALSE),"")</f>
        <v>0</v>
      </c>
      <c r="AH126" s="650">
        <f ca="1">IFERROR(IF($AA126="NOOS",HLOOKUP(STOCK_OVERVIEW!$AB126&amp;STOCK_OVERVIEW!$AD126,PLANNING_FC!$BB$27:$BP$46,MATCH(STOCK_OVERVIEW!$Y126,PLANNING_FC!$BA$27:$BA$46,0),FALSE),HLOOKUP($AB126&amp;$AD126,PLANNING_FC!$BB$4:$BP$23,MATCH(STOCK_OVERVIEW!$Y126,PLANNING_FC!$BA$4:$BA$23,0),FALSE)),"")</f>
        <v>0</v>
      </c>
      <c r="AI126" s="650">
        <f ca="1">IFERROR(IF($AA126="NOOS",HLOOKUP(STOCK_OVERVIEW!$AB126&amp;STOCK_OVERVIEW!$AD126,PLANNING_FC!$T$27:$AH$46,MATCH(STOCK_OVERVIEW!$Y126,PLANNING_FC!$B$27:$B$46,0),FALSE),HLOOKUP($AB126&amp;$AD126,PLANNING_FC!$T$4:$AH$23,MATCH(STOCK_OVERVIEW!$Y126,PLANNING_FC!$B$4:$B$23,0),FALSE)),"")</f>
        <v>0</v>
      </c>
      <c r="AJ126" s="650">
        <f ca="1">IFERROR(IF($AA126="NOOS",HLOOKUP(STOCK_OVERVIEW!$AB126&amp;STOCK_OVERVIEW!$AD126,PLANNING_FC!$DA$27:$DO$46,MATCH(STOCK_OVERVIEW!$Y126,PLANNING_FC!$CZ$27:$CZ$46,0),FALSE),HLOOKUP($AB126&amp;$AD126,PLANNING_FC!$DA$4:$DO$23,MATCH(STOCK_OVERVIEW!$Y126,PLANNING_FC!$CZ$4:$CZ$23,0),FALSE)),"")</f>
        <v>70702</v>
      </c>
      <c r="AK126" s="651">
        <f ca="1">IFERROR(IF(AA126="NOOS",HLOOKUP(AB126&amp;AD126,PLANNING_FC!$AJ$27:$AY$47,MATCH(STOCK_OVERVIEW!Y126,PLANNING_FC!$AJ$27:$AJ$47,0),FALSE)*1000,HLOOKUP(AB126&amp;AD126,PLANNING_FC!$AJ$4:$AY$24,MATCH(STOCK_OVERVIEW!Y126,PLANNING_FC!$AJ$4:$AJ$24,0),FALSE)*1000),"")</f>
        <v>0</v>
      </c>
      <c r="AL126" s="638"/>
      <c r="AM126" s="638"/>
      <c r="AN126" s="638"/>
      <c r="AO126" s="638"/>
      <c r="AP126" s="638"/>
      <c r="AQ126" s="638"/>
      <c r="AR126" s="638"/>
      <c r="AS126" s="638"/>
    </row>
    <row r="127" spans="1:45" s="61" customFormat="1" x14ac:dyDescent="0.25">
      <c r="A127" s="62"/>
      <c r="J127" s="19"/>
      <c r="N127" s="19"/>
      <c r="R127" s="19"/>
      <c r="S127" s="637"/>
      <c r="T127" s="637"/>
      <c r="U127" s="636"/>
      <c r="V127" s="637"/>
      <c r="W127" s="637"/>
      <c r="X127" s="200" t="str">
        <f>NWC_FC_NOOS!$B$1</f>
        <v>VM</v>
      </c>
      <c r="Y127" s="25" t="str">
        <f>NWC_FC_NOOS!$B$62</f>
        <v>SHORTS</v>
      </c>
      <c r="Z127" s="25" t="str">
        <f t="shared" ca="1" si="15"/>
        <v>VMSHORTS18/19May</v>
      </c>
      <c r="AA127" s="25" t="str">
        <f>NWC_FC_NOOS!$I$1</f>
        <v>NOOS</v>
      </c>
      <c r="AB127" s="25" t="str">
        <f ca="1">NWC_FC_NOOS!$G$73</f>
        <v>18/19</v>
      </c>
      <c r="AC127" s="25" t="str">
        <f ca="1">NWC_FC_NOOS!$G$74</f>
        <v>Q4</v>
      </c>
      <c r="AD127" s="25" t="str">
        <f ca="1">NWC_FC_NOOS!$G$75</f>
        <v>May</v>
      </c>
      <c r="AE127" s="649">
        <f ca="1">IFERROR(HLOOKUP($AB127&amp;$AD127,NWC_FC_NOOS!$B$4:$Q$24,MATCH($Y127,NWC_FC_NOOS!$B$4:$B$24,0),FALSE),"")</f>
        <v>0</v>
      </c>
      <c r="AF127" s="650">
        <f ca="1">IFERROR(HLOOKUP($AB127&amp;$AD127,NWC_FC_NOOS!$S$4:$AH$24,MATCH($Y127,NWC_FC_NOOS!$S$4:$S$24,0),FALSE),"")</f>
        <v>0</v>
      </c>
      <c r="AG127" s="650">
        <f ca="1">IFERROR(HLOOKUP($AB127&amp;$AD127,NWC_FC_NOOS!$C$50:$U$70,MATCH($Y127,NWC_FC_NOOS!$B$50:$B$70,0),FALSE),"")</f>
        <v>0</v>
      </c>
      <c r="AH127" s="650">
        <f ca="1">IFERROR(IF($AA127="NOOS",HLOOKUP(STOCK_OVERVIEW!$AB127&amp;STOCK_OVERVIEW!$AD127,PLANNING_FC!$BB$27:$BP$46,MATCH(STOCK_OVERVIEW!$Y127,PLANNING_FC!$BA$27:$BA$46,0),FALSE),HLOOKUP($AB127&amp;$AD127,PLANNING_FC!$BB$4:$BP$23,MATCH(STOCK_OVERVIEW!$Y127,PLANNING_FC!$BA$4:$BA$23,0),FALSE)),"")</f>
        <v>0</v>
      </c>
      <c r="AI127" s="650">
        <f ca="1">IFERROR(IF($AA127="NOOS",HLOOKUP(STOCK_OVERVIEW!$AB127&amp;STOCK_OVERVIEW!$AD127,PLANNING_FC!$T$27:$AH$46,MATCH(STOCK_OVERVIEW!$Y127,PLANNING_FC!$B$27:$B$46,0),FALSE),HLOOKUP($AB127&amp;$AD127,PLANNING_FC!$T$4:$AH$23,MATCH(STOCK_OVERVIEW!$Y127,PLANNING_FC!$B$4:$B$23,0),FALSE)),"")</f>
        <v>0</v>
      </c>
      <c r="AJ127" s="650">
        <f ca="1">IFERROR(IF($AA127="NOOS",HLOOKUP(STOCK_OVERVIEW!$AB127&amp;STOCK_OVERVIEW!$AD127,PLANNING_FC!$DA$27:$DO$46,MATCH(STOCK_OVERVIEW!$Y127,PLANNING_FC!$CZ$27:$CZ$46,0),FALSE),HLOOKUP($AB127&amp;$AD127,PLANNING_FC!$DA$4:$DO$23,MATCH(STOCK_OVERVIEW!$Y127,PLANNING_FC!$CZ$4:$CZ$23,0),FALSE)),"")</f>
        <v>76772</v>
      </c>
      <c r="AK127" s="651">
        <f ca="1">IFERROR(IF(AA127="NOOS",HLOOKUP(AB127&amp;AD127,PLANNING_FC!$AJ$27:$AY$47,MATCH(STOCK_OVERVIEW!Y127,PLANNING_FC!$AJ$27:$AJ$47,0),FALSE)*1000,HLOOKUP(AB127&amp;AD127,PLANNING_FC!$AJ$4:$AY$24,MATCH(STOCK_OVERVIEW!Y127,PLANNING_FC!$AJ$4:$AJ$24,0),FALSE)*1000),"")</f>
        <v>0</v>
      </c>
      <c r="AL127" s="638"/>
      <c r="AM127" s="638"/>
      <c r="AN127" s="638"/>
      <c r="AO127" s="638"/>
      <c r="AP127" s="638"/>
      <c r="AQ127" s="638"/>
      <c r="AR127" s="638"/>
      <c r="AS127" s="638"/>
    </row>
    <row r="128" spans="1:45" s="61" customFormat="1" x14ac:dyDescent="0.25">
      <c r="A128" s="62"/>
      <c r="F128" s="19"/>
      <c r="J128" s="19"/>
      <c r="N128" s="19"/>
      <c r="R128" s="19"/>
      <c r="S128" s="637"/>
      <c r="T128" s="637"/>
      <c r="U128" s="636"/>
      <c r="V128" s="637"/>
      <c r="W128" s="637"/>
      <c r="X128" s="200" t="str">
        <f>NWC_FC_NOOS!$B$1</f>
        <v>VM</v>
      </c>
      <c r="Y128" s="25" t="str">
        <f>NWC_FC_NOOS!$B$62</f>
        <v>SHORTS</v>
      </c>
      <c r="Z128" s="25" t="str">
        <f t="shared" ca="1" si="15"/>
        <v>VMSHORTS18/19Jun</v>
      </c>
      <c r="AA128" s="25" t="str">
        <f>NWC_FC_NOOS!$I$1</f>
        <v>NOOS</v>
      </c>
      <c r="AB128" s="25" t="str">
        <f ca="1">NWC_FC_NOOS!$G$73</f>
        <v>18/19</v>
      </c>
      <c r="AC128" s="25" t="str">
        <f ca="1">NWC_FC_NOOS!$G$74</f>
        <v>Q4</v>
      </c>
      <c r="AD128" s="25" t="str">
        <f ca="1">NWC_FC_NOOS!$H$75</f>
        <v>Jun</v>
      </c>
      <c r="AE128" s="649">
        <f ca="1">IFERROR(HLOOKUP($AB128&amp;$AD128,NWC_FC_NOOS!$B$4:$Q$24,MATCH($Y128,NWC_FC_NOOS!$B$4:$B$24,0),FALSE),"")</f>
        <v>0</v>
      </c>
      <c r="AF128" s="650">
        <f ca="1">IFERROR(HLOOKUP($AB128&amp;$AD128,NWC_FC_NOOS!$S$4:$AH$24,MATCH($Y128,NWC_FC_NOOS!$S$4:$S$24,0),FALSE),"")</f>
        <v>0</v>
      </c>
      <c r="AG128" s="650">
        <f ca="1">IFERROR(HLOOKUP($AB128&amp;$AD128,NWC_FC_NOOS!$C$50:$U$70,MATCH($Y128,NWC_FC_NOOS!$B$50:$B$70,0),FALSE),"")</f>
        <v>0</v>
      </c>
      <c r="AH128" s="650">
        <f ca="1">IFERROR(IF($AA128="NOOS",HLOOKUP(STOCK_OVERVIEW!$AB128&amp;STOCK_OVERVIEW!$AD128,PLANNING_FC!$BB$27:$BP$46,MATCH(STOCK_OVERVIEW!$Y128,PLANNING_FC!$BA$27:$BA$46,0),FALSE),HLOOKUP($AB128&amp;$AD128,PLANNING_FC!$BB$4:$BP$23,MATCH(STOCK_OVERVIEW!$Y128,PLANNING_FC!$BA$4:$BA$23,0),FALSE)),"")</f>
        <v>0</v>
      </c>
      <c r="AI128" s="650">
        <f ca="1">IFERROR(IF($AA128="NOOS",HLOOKUP(STOCK_OVERVIEW!$AB128&amp;STOCK_OVERVIEW!$AD128,PLANNING_FC!$T$27:$AH$46,MATCH(STOCK_OVERVIEW!$Y128,PLANNING_FC!$B$27:$B$46,0),FALSE),HLOOKUP($AB128&amp;$AD128,PLANNING_FC!$T$4:$AH$23,MATCH(STOCK_OVERVIEW!$Y128,PLANNING_FC!$B$4:$B$23,0),FALSE)),"")</f>
        <v>0</v>
      </c>
      <c r="AJ128" s="650">
        <f ca="1">IFERROR(IF($AA128="NOOS",HLOOKUP(STOCK_OVERVIEW!$AB128&amp;STOCK_OVERVIEW!$AD128,PLANNING_FC!$DA$27:$DO$46,MATCH(STOCK_OVERVIEW!$Y128,PLANNING_FC!$CZ$27:$CZ$46,0),FALSE),HLOOKUP($AB128&amp;$AD128,PLANNING_FC!$DA$4:$DO$23,MATCH(STOCK_OVERVIEW!$Y128,PLANNING_FC!$CZ$4:$CZ$23,0),FALSE)),"")</f>
        <v>76772</v>
      </c>
      <c r="AK128" s="651">
        <f ca="1">IFERROR(IF(AA128="NOOS",HLOOKUP(AB128&amp;AD128,PLANNING_FC!$AJ$27:$AY$47,MATCH(STOCK_OVERVIEW!Y128,PLANNING_FC!$AJ$27:$AJ$47,0),FALSE)*1000,HLOOKUP(AB128&amp;AD128,PLANNING_FC!$AJ$4:$AY$24,MATCH(STOCK_OVERVIEW!Y128,PLANNING_FC!$AJ$4:$AJ$24,0),FALSE)*1000),"")</f>
        <v>0</v>
      </c>
      <c r="AL128" s="638"/>
      <c r="AM128" s="638"/>
      <c r="AN128" s="638"/>
      <c r="AO128" s="638"/>
      <c r="AP128" s="638"/>
      <c r="AQ128" s="638"/>
      <c r="AR128" s="638"/>
      <c r="AS128" s="638"/>
    </row>
    <row r="129" spans="1:45" s="61" customFormat="1" x14ac:dyDescent="0.25">
      <c r="A129" s="62"/>
      <c r="B129" s="23"/>
      <c r="C129" s="23"/>
      <c r="D129" s="23"/>
      <c r="E129" s="23"/>
      <c r="F129" s="328"/>
      <c r="G129" s="23"/>
      <c r="H129" s="23"/>
      <c r="I129" s="23"/>
      <c r="J129" s="19"/>
      <c r="N129" s="19"/>
      <c r="R129" s="19"/>
      <c r="S129" s="637"/>
      <c r="T129" s="637"/>
      <c r="U129" s="636"/>
      <c r="V129" s="637"/>
      <c r="W129" s="637"/>
      <c r="X129" s="200" t="str">
        <f>NWC_FC_NOOS!$B$1</f>
        <v>VM</v>
      </c>
      <c r="Y129" s="25" t="str">
        <f>NWC_FC_NOOS!$B$62</f>
        <v>SHORTS</v>
      </c>
      <c r="Z129" s="25" t="str">
        <f t="shared" ca="1" si="15"/>
        <v>VMSHORTS18/19Jul</v>
      </c>
      <c r="AA129" s="25" t="str">
        <f>NWC_FC_NOOS!$I$1</f>
        <v>NOOS</v>
      </c>
      <c r="AB129" s="25" t="str">
        <f ca="1">NWC_FC_NOOS!$G$73</f>
        <v>18/19</v>
      </c>
      <c r="AC129" s="25" t="str">
        <f ca="1">NWC_FC_NOOS!$G$74</f>
        <v>Q4</v>
      </c>
      <c r="AD129" s="25" t="str">
        <f ca="1">NWC_FC_NOOS!$I$75</f>
        <v>Jul</v>
      </c>
      <c r="AE129" s="649">
        <f ca="1">IFERROR(HLOOKUP($AB129&amp;$AD129,NWC_FC_NOOS!$B$4:$Q$24,MATCH($Y129,NWC_FC_NOOS!$B$4:$B$24,0),FALSE),"")</f>
        <v>0</v>
      </c>
      <c r="AF129" s="650">
        <f ca="1">IFERROR(HLOOKUP($AB129&amp;$AD129,NWC_FC_NOOS!$S$4:$AH$24,MATCH($Y129,NWC_FC_NOOS!$S$4:$S$24,0),FALSE),"")</f>
        <v>0</v>
      </c>
      <c r="AG129" s="650">
        <f ca="1">IFERROR(HLOOKUP($AB129&amp;$AD129,NWC_FC_NOOS!$C$50:$U$70,MATCH($Y129,NWC_FC_NOOS!$B$50:$B$70,0),FALSE),"")</f>
        <v>0</v>
      </c>
      <c r="AH129" s="650">
        <f ca="1">IFERROR(IF($AA129="NOOS",HLOOKUP(STOCK_OVERVIEW!$AB129&amp;STOCK_OVERVIEW!$AD129,PLANNING_FC!$BB$27:$BP$46,MATCH(STOCK_OVERVIEW!$Y129,PLANNING_FC!$BA$27:$BA$46,0),FALSE),HLOOKUP($AB129&amp;$AD129,PLANNING_FC!$BB$4:$BP$23,MATCH(STOCK_OVERVIEW!$Y129,PLANNING_FC!$BA$4:$BA$23,0),FALSE)),"")</f>
        <v>0</v>
      </c>
      <c r="AI129" s="650">
        <f ca="1">IFERROR(IF($AA129="NOOS",HLOOKUP(STOCK_OVERVIEW!$AB129&amp;STOCK_OVERVIEW!$AD129,PLANNING_FC!$T$27:$AH$46,MATCH(STOCK_OVERVIEW!$Y129,PLANNING_FC!$B$27:$B$46,0),FALSE),HLOOKUP($AB129&amp;$AD129,PLANNING_FC!$T$4:$AH$23,MATCH(STOCK_OVERVIEW!$Y129,PLANNING_FC!$B$4:$B$23,0),FALSE)),"")</f>
        <v>0</v>
      </c>
      <c r="AJ129" s="650">
        <f ca="1">IFERROR(IF($AA129="NOOS",HLOOKUP(STOCK_OVERVIEW!$AB129&amp;STOCK_OVERVIEW!$AD129,PLANNING_FC!$DA$27:$DO$46,MATCH(STOCK_OVERVIEW!$Y129,PLANNING_FC!$CZ$27:$CZ$46,0),FALSE),HLOOKUP($AB129&amp;$AD129,PLANNING_FC!$DA$4:$DO$23,MATCH(STOCK_OVERVIEW!$Y129,PLANNING_FC!$CZ$4:$CZ$23,0),FALSE)),"")</f>
        <v>76772</v>
      </c>
      <c r="AK129" s="651">
        <f ca="1">IFERROR(IF(AA129="NOOS",HLOOKUP(AB129&amp;AD129,PLANNING_FC!$AJ$27:$AY$47,MATCH(STOCK_OVERVIEW!Y129,PLANNING_FC!$AJ$27:$AJ$47,0),FALSE)*1000,HLOOKUP(AB129&amp;AD129,PLANNING_FC!$AJ$4:$AY$24,MATCH(STOCK_OVERVIEW!Y129,PLANNING_FC!$AJ$4:$AJ$24,0),FALSE)*1000),"")</f>
        <v>0</v>
      </c>
      <c r="AL129" s="638"/>
      <c r="AM129" s="638"/>
      <c r="AN129" s="638"/>
      <c r="AO129" s="638"/>
      <c r="AP129" s="638"/>
      <c r="AQ129" s="638"/>
      <c r="AR129" s="638"/>
      <c r="AS129" s="638"/>
    </row>
    <row r="130" spans="1:45" s="61" customFormat="1" x14ac:dyDescent="0.25">
      <c r="A130" s="62"/>
      <c r="B130" s="832"/>
      <c r="C130" s="833" t="str">
        <f>B42</f>
        <v>NET_COGS</v>
      </c>
      <c r="D130" s="833" t="str">
        <f>B45</f>
        <v xml:space="preserve">     PLACED ORDERS</v>
      </c>
      <c r="E130" s="833" t="str">
        <f>B46</f>
        <v xml:space="preserve">     OPEN BUDGET</v>
      </c>
      <c r="F130" s="833" t="str">
        <f>B55</f>
        <v>PROJECTED CLOSING STOCK</v>
      </c>
      <c r="G130" s="833" t="str">
        <f>B52</f>
        <v>CARRY-OVER STOCK</v>
      </c>
      <c r="H130" s="833" t="str">
        <f>B61</f>
        <v>CLOSING STOCK LY</v>
      </c>
      <c r="I130" s="834" t="str">
        <f>B58</f>
        <v>TARGET STOCK</v>
      </c>
      <c r="J130" s="19"/>
      <c r="N130" s="19"/>
      <c r="R130" s="19"/>
      <c r="S130" s="637"/>
      <c r="T130" s="637"/>
      <c r="U130" s="636"/>
      <c r="V130" s="637"/>
      <c r="W130" s="637"/>
      <c r="X130" s="200" t="str">
        <f>NWC_FC_NOOS!$B$1</f>
        <v>VM</v>
      </c>
      <c r="Y130" s="25" t="str">
        <f>NWC_FC_NOOS!$B$62</f>
        <v>SHORTS</v>
      </c>
      <c r="Z130" s="25" t="str">
        <f t="shared" ca="1" si="15"/>
        <v>VMSHORTS19/20Aug</v>
      </c>
      <c r="AA130" s="25" t="str">
        <f>NWC_FC_NOOS!$I$1</f>
        <v>NOOS</v>
      </c>
      <c r="AB130" s="25" t="str">
        <f ca="1">NWC_FC_NOOS!$K$73</f>
        <v>19/20</v>
      </c>
      <c r="AC130" s="25" t="str">
        <f ca="1">NWC_FC_NOOS!$K$74</f>
        <v>Q1</v>
      </c>
      <c r="AD130" s="25" t="str">
        <f ca="1">NWC_FC_NOOS!$K$75</f>
        <v>Aug</v>
      </c>
      <c r="AE130" s="649">
        <f ca="1">IFERROR(HLOOKUP($AB130&amp;$AD130,NWC_FC_NOOS!$B$4:$Q$24,MATCH($Y130,NWC_FC_NOOS!$B$4:$B$24,0),FALSE),"")</f>
        <v>0</v>
      </c>
      <c r="AF130" s="650">
        <f ca="1">IFERROR(HLOOKUP($AB130&amp;$AD130,NWC_FC_NOOS!$S$4:$AH$24,MATCH($Y130,NWC_FC_NOOS!$S$4:$S$24,0),FALSE),"")</f>
        <v>0</v>
      </c>
      <c r="AG130" s="650">
        <f ca="1">IFERROR(HLOOKUP($AB130&amp;$AD130,NWC_FC_NOOS!$C$50:$U$70,MATCH($Y130,NWC_FC_NOOS!$B$50:$B$70,0),FALSE),"")</f>
        <v>0</v>
      </c>
      <c r="AH130" s="650">
        <f ca="1">IFERROR(IF($AA130="NOOS",HLOOKUP(STOCK_OVERVIEW!$AB130&amp;STOCK_OVERVIEW!$AD130,PLANNING_FC!$BB$27:$BP$46,MATCH(STOCK_OVERVIEW!$Y130,PLANNING_FC!$BA$27:$BA$46,0),FALSE),HLOOKUP($AB130&amp;$AD130,PLANNING_FC!$BB$4:$BP$23,MATCH(STOCK_OVERVIEW!$Y130,PLANNING_FC!$BA$4:$BA$23,0),FALSE)),"")</f>
        <v>0</v>
      </c>
      <c r="AI130" s="650">
        <f ca="1">IFERROR(IF($AA130="NOOS",HLOOKUP(STOCK_OVERVIEW!$AB130&amp;STOCK_OVERVIEW!$AD130,PLANNING_FC!$T$27:$AH$46,MATCH(STOCK_OVERVIEW!$Y130,PLANNING_FC!$B$27:$B$46,0),FALSE),HLOOKUP($AB130&amp;$AD130,PLANNING_FC!$T$4:$AH$23,MATCH(STOCK_OVERVIEW!$Y130,PLANNING_FC!$B$4:$B$23,0),FALSE)),"")</f>
        <v>0</v>
      </c>
      <c r="AJ130" s="650">
        <f ca="1">IFERROR(IF($AA130="NOOS",HLOOKUP(STOCK_OVERVIEW!$AB130&amp;STOCK_OVERVIEW!$AD130,PLANNING_FC!$DA$27:$DO$46,MATCH(STOCK_OVERVIEW!$Y130,PLANNING_FC!$CZ$27:$CZ$46,0),FALSE),HLOOKUP($AB130&amp;$AD130,PLANNING_FC!$DA$4:$DO$23,MATCH(STOCK_OVERVIEW!$Y130,PLANNING_FC!$CZ$4:$CZ$23,0),FALSE)),"")</f>
        <v>76772</v>
      </c>
      <c r="AK130" s="651">
        <f ca="1">IFERROR(IF(AA130="NOOS",HLOOKUP(AB130&amp;AD130,PLANNING_FC!$AJ$27:$AY$47,MATCH(STOCK_OVERVIEW!Y130,PLANNING_FC!$AJ$27:$AJ$47,0),FALSE)*1000,HLOOKUP(AB130&amp;AD130,PLANNING_FC!$AJ$4:$AY$24,MATCH(STOCK_OVERVIEW!Y130,PLANNING_FC!$AJ$4:$AJ$24,0),FALSE)*1000),"")</f>
        <v>0</v>
      </c>
      <c r="AL130" s="638"/>
      <c r="AM130" s="638"/>
      <c r="AN130" s="638"/>
      <c r="AO130" s="638"/>
      <c r="AP130" s="638"/>
      <c r="AQ130" s="638"/>
      <c r="AR130" s="638"/>
      <c r="AS130" s="638"/>
    </row>
    <row r="131" spans="1:45" s="61" customFormat="1" x14ac:dyDescent="0.25">
      <c r="A131" s="62"/>
      <c r="B131" s="835" t="str">
        <f ca="1">$C$40</f>
        <v>Feb</v>
      </c>
      <c r="C131" s="836">
        <f ca="1">$C$42</f>
        <v>0</v>
      </c>
      <c r="D131" s="22"/>
      <c r="E131" s="22"/>
      <c r="F131" s="22"/>
      <c r="G131" s="22"/>
      <c r="H131" s="22"/>
      <c r="I131" s="837"/>
      <c r="J131" s="19"/>
      <c r="N131" s="19"/>
      <c r="R131" s="19"/>
      <c r="S131" s="637"/>
      <c r="T131" s="637"/>
      <c r="U131" s="636"/>
      <c r="V131" s="637"/>
      <c r="W131" s="637"/>
      <c r="X131" s="200" t="str">
        <f>NWC_FC_NOOS!$B$1</f>
        <v>VM</v>
      </c>
      <c r="Y131" s="25" t="str">
        <f>NWC_FC_NOOS!$B$62</f>
        <v>SHORTS</v>
      </c>
      <c r="Z131" s="25" t="str">
        <f t="shared" ca="1" si="15"/>
        <v>VMSHORTS19/20Sep</v>
      </c>
      <c r="AA131" s="25" t="str">
        <f>NWC_FC_NOOS!$I$1</f>
        <v>NOOS</v>
      </c>
      <c r="AB131" s="25" t="str">
        <f ca="1">NWC_FC_NOOS!$K$73</f>
        <v>19/20</v>
      </c>
      <c r="AC131" s="25" t="str">
        <f ca="1">NWC_FC_NOOS!$K$74</f>
        <v>Q1</v>
      </c>
      <c r="AD131" s="25" t="str">
        <f ca="1">NWC_FC_NOOS!$L$75</f>
        <v>Sep</v>
      </c>
      <c r="AE131" s="649">
        <f ca="1">IFERROR(HLOOKUP($AB131&amp;$AD131,NWC_FC_NOOS!$B$4:$Q$24,MATCH($Y131,NWC_FC_NOOS!$B$4:$B$24,0),FALSE),"")</f>
        <v>0</v>
      </c>
      <c r="AF131" s="650">
        <f ca="1">IFERROR(HLOOKUP($AB131&amp;$AD131,NWC_FC_NOOS!$S$4:$AH$24,MATCH($Y131,NWC_FC_NOOS!$S$4:$S$24,0),FALSE),"")</f>
        <v>0</v>
      </c>
      <c r="AG131" s="650">
        <f ca="1">IFERROR(HLOOKUP($AB131&amp;$AD131,NWC_FC_NOOS!$C$50:$U$70,MATCH($Y131,NWC_FC_NOOS!$B$50:$B$70,0),FALSE),"")</f>
        <v>0</v>
      </c>
      <c r="AH131" s="650">
        <f ca="1">IFERROR(IF($AA131="NOOS",HLOOKUP(STOCK_OVERVIEW!$AB131&amp;STOCK_OVERVIEW!$AD131,PLANNING_FC!$BB$27:$BP$46,MATCH(STOCK_OVERVIEW!$Y131,PLANNING_FC!$BA$27:$BA$46,0),FALSE),HLOOKUP($AB131&amp;$AD131,PLANNING_FC!$BB$4:$BP$23,MATCH(STOCK_OVERVIEW!$Y131,PLANNING_FC!$BA$4:$BA$23,0),FALSE)),"")</f>
        <v>0</v>
      </c>
      <c r="AI131" s="650">
        <f ca="1">IFERROR(IF($AA131="NOOS",HLOOKUP(STOCK_OVERVIEW!$AB131&amp;STOCK_OVERVIEW!$AD131,PLANNING_FC!$T$27:$AH$46,MATCH(STOCK_OVERVIEW!$Y131,PLANNING_FC!$B$27:$B$46,0),FALSE),HLOOKUP($AB131&amp;$AD131,PLANNING_FC!$T$4:$AH$23,MATCH(STOCK_OVERVIEW!$Y131,PLANNING_FC!$B$4:$B$23,0),FALSE)),"")</f>
        <v>0</v>
      </c>
      <c r="AJ131" s="650">
        <f ca="1">IFERROR(IF($AA131="NOOS",HLOOKUP(STOCK_OVERVIEW!$AB131&amp;STOCK_OVERVIEW!$AD131,PLANNING_FC!$DA$27:$DO$46,MATCH(STOCK_OVERVIEW!$Y131,PLANNING_FC!$CZ$27:$CZ$46,0),FALSE),HLOOKUP($AB131&amp;$AD131,PLANNING_FC!$DA$4:$DO$23,MATCH(STOCK_OVERVIEW!$Y131,PLANNING_FC!$CZ$4:$CZ$23,0),FALSE)),"")</f>
        <v>76772</v>
      </c>
      <c r="AK131" s="651">
        <f ca="1">IFERROR(IF(AA131="NOOS",HLOOKUP(AB131&amp;AD131,PLANNING_FC!$AJ$27:$AY$47,MATCH(STOCK_OVERVIEW!Y131,PLANNING_FC!$AJ$27:$AJ$47,0),FALSE)*1000,HLOOKUP(AB131&amp;AD131,PLANNING_FC!$AJ$4:$AY$24,MATCH(STOCK_OVERVIEW!Y131,PLANNING_FC!$AJ$4:$AJ$24,0),FALSE)*1000),"")</f>
        <v>0</v>
      </c>
      <c r="AL131" s="638"/>
      <c r="AM131" s="638"/>
      <c r="AN131" s="638"/>
      <c r="AO131" s="638"/>
      <c r="AP131" s="638"/>
      <c r="AQ131" s="638"/>
      <c r="AR131" s="638"/>
      <c r="AS131" s="638"/>
    </row>
    <row r="132" spans="1:45" s="61" customFormat="1" x14ac:dyDescent="0.25">
      <c r="A132" s="62"/>
      <c r="B132" s="835"/>
      <c r="C132" s="22"/>
      <c r="D132" s="836">
        <f ca="1">$C$45</f>
        <v>1170421</v>
      </c>
      <c r="E132" s="836">
        <f ca="1">$C$46</f>
        <v>0</v>
      </c>
      <c r="F132" s="22"/>
      <c r="G132" s="22"/>
      <c r="H132" s="22"/>
      <c r="I132" s="837"/>
      <c r="J132" s="19"/>
      <c r="N132" s="19"/>
      <c r="R132" s="19"/>
      <c r="S132" s="637"/>
      <c r="T132" s="637"/>
      <c r="U132" s="636"/>
      <c r="V132" s="637"/>
      <c r="W132" s="637"/>
      <c r="X132" s="200" t="str">
        <f>NWC_FC_NOOS!$B$1</f>
        <v>VM</v>
      </c>
      <c r="Y132" s="25" t="str">
        <f>NWC_FC_NOOS!$B$62</f>
        <v>SHORTS</v>
      </c>
      <c r="Z132" s="25" t="str">
        <f t="shared" ca="1" si="15"/>
        <v>VMSHORTS19/20Oct</v>
      </c>
      <c r="AA132" s="25" t="str">
        <f>NWC_FC_NOOS!$I$1</f>
        <v>NOOS</v>
      </c>
      <c r="AB132" s="25" t="str">
        <f ca="1">NWC_FC_NOOS!$K$73</f>
        <v>19/20</v>
      </c>
      <c r="AC132" s="25" t="str">
        <f ca="1">NWC_FC_NOOS!$K$74</f>
        <v>Q1</v>
      </c>
      <c r="AD132" s="25" t="str">
        <f ca="1">NWC_FC_NOOS!$M$75</f>
        <v>Oct</v>
      </c>
      <c r="AE132" s="649">
        <f ca="1">IFERROR(HLOOKUP($AB132&amp;$AD132,NWC_FC_NOOS!$B$4:$Q$24,MATCH($Y132,NWC_FC_NOOS!$B$4:$B$24,0),FALSE),"")</f>
        <v>0</v>
      </c>
      <c r="AF132" s="650">
        <f ca="1">IFERROR(HLOOKUP($AB132&amp;$AD132,NWC_FC_NOOS!$S$4:$AH$24,MATCH($Y132,NWC_FC_NOOS!$S$4:$S$24,0),FALSE),"")</f>
        <v>0</v>
      </c>
      <c r="AG132" s="650">
        <f ca="1">IFERROR(HLOOKUP($AB132&amp;$AD132,NWC_FC_NOOS!$C$50:$U$70,MATCH($Y132,NWC_FC_NOOS!$B$50:$B$70,0),FALSE),"")</f>
        <v>0</v>
      </c>
      <c r="AH132" s="650">
        <f ca="1">IFERROR(IF($AA132="NOOS",HLOOKUP(STOCK_OVERVIEW!$AB132&amp;STOCK_OVERVIEW!$AD132,PLANNING_FC!$BB$27:$BP$46,MATCH(STOCK_OVERVIEW!$Y132,PLANNING_FC!$BA$27:$BA$46,0),FALSE),HLOOKUP($AB132&amp;$AD132,PLANNING_FC!$BB$4:$BP$23,MATCH(STOCK_OVERVIEW!$Y132,PLANNING_FC!$BA$4:$BA$23,0),FALSE)),"")</f>
        <v>0</v>
      </c>
      <c r="AI132" s="650">
        <f ca="1">IFERROR(IF($AA132="NOOS",HLOOKUP(STOCK_OVERVIEW!$AB132&amp;STOCK_OVERVIEW!$AD132,PLANNING_FC!$T$27:$AH$46,MATCH(STOCK_OVERVIEW!$Y132,PLANNING_FC!$B$27:$B$46,0),FALSE),HLOOKUP($AB132&amp;$AD132,PLANNING_FC!$T$4:$AH$23,MATCH(STOCK_OVERVIEW!$Y132,PLANNING_FC!$B$4:$B$23,0),FALSE)),"")</f>
        <v>0</v>
      </c>
      <c r="AJ132" s="650">
        <f ca="1">IFERROR(IF($AA132="NOOS",HLOOKUP(STOCK_OVERVIEW!$AB132&amp;STOCK_OVERVIEW!$AD132,PLANNING_FC!$DA$27:$DO$46,MATCH(STOCK_OVERVIEW!$Y132,PLANNING_FC!$CZ$27:$CZ$46,0),FALSE),HLOOKUP($AB132&amp;$AD132,PLANNING_FC!$DA$4:$DO$23,MATCH(STOCK_OVERVIEW!$Y132,PLANNING_FC!$CZ$4:$CZ$23,0),FALSE)),"")</f>
        <v>76772</v>
      </c>
      <c r="AK132" s="651">
        <f ca="1">IFERROR(IF(AA132="NOOS",HLOOKUP(AB132&amp;AD132,PLANNING_FC!$AJ$27:$AY$47,MATCH(STOCK_OVERVIEW!Y132,PLANNING_FC!$AJ$27:$AJ$47,0),FALSE)*1000,HLOOKUP(AB132&amp;AD132,PLANNING_FC!$AJ$4:$AY$24,MATCH(STOCK_OVERVIEW!Y132,PLANNING_FC!$AJ$4:$AJ$24,0),FALSE)*1000),"")</f>
        <v>0</v>
      </c>
      <c r="AL132" s="638"/>
      <c r="AM132" s="638"/>
      <c r="AN132" s="638"/>
      <c r="AO132" s="638"/>
      <c r="AP132" s="638"/>
      <c r="AQ132" s="638"/>
      <c r="AR132" s="638"/>
      <c r="AS132" s="638"/>
    </row>
    <row r="133" spans="1:45" s="61" customFormat="1" x14ac:dyDescent="0.25">
      <c r="A133" s="62"/>
      <c r="B133" s="835"/>
      <c r="C133" s="22"/>
      <c r="D133" s="22"/>
      <c r="E133" s="22"/>
      <c r="F133" s="836">
        <f ca="1">$C$55</f>
        <v>0</v>
      </c>
      <c r="G133" s="838">
        <f ca="1">C52</f>
        <v>0</v>
      </c>
      <c r="H133" s="22"/>
      <c r="I133" s="837"/>
      <c r="J133" s="19"/>
      <c r="N133" s="19"/>
      <c r="R133" s="19"/>
      <c r="S133" s="637"/>
      <c r="T133" s="637"/>
      <c r="U133" s="636"/>
      <c r="V133" s="637"/>
      <c r="W133" s="637"/>
      <c r="X133" s="200" t="str">
        <f>NWC_FC_NOOS!$B$1</f>
        <v>VM</v>
      </c>
      <c r="Y133" s="25" t="str">
        <f>NWC_FC_NOOS!$B$62</f>
        <v>SHORTS</v>
      </c>
      <c r="Z133" s="25" t="str">
        <f t="shared" ref="Z133:Z196" ca="1" si="16">X133&amp;Y133&amp;AB133&amp;AD133</f>
        <v>VMSHORTS19/20Nov</v>
      </c>
      <c r="AA133" s="25" t="str">
        <f>NWC_FC_NOOS!$I$1</f>
        <v>NOOS</v>
      </c>
      <c r="AB133" s="25" t="str">
        <f ca="1">NWC_FC_NOOS!$O$73</f>
        <v>19/20</v>
      </c>
      <c r="AC133" s="25" t="str">
        <f ca="1">NWC_FC_NOOS!$O$74</f>
        <v>Q2</v>
      </c>
      <c r="AD133" s="25" t="str">
        <f ca="1">NWC_FC_NOOS!$O$75</f>
        <v>Nov</v>
      </c>
      <c r="AE133" s="649">
        <f ca="1">IFERROR(HLOOKUP($AB133&amp;$AD133,NWC_FC_NOOS!$B$4:$Q$24,MATCH($Y133,NWC_FC_NOOS!$B$4:$B$24,0),FALSE),"")</f>
        <v>0</v>
      </c>
      <c r="AF133" s="650">
        <f ca="1">IFERROR(HLOOKUP($AB133&amp;$AD133,NWC_FC_NOOS!$S$4:$AH$24,MATCH($Y133,NWC_FC_NOOS!$S$4:$S$24,0),FALSE),"")</f>
        <v>0</v>
      </c>
      <c r="AG133" s="650">
        <f ca="1">IFERROR(HLOOKUP($AB133&amp;$AD133,NWC_FC_NOOS!$C$50:$U$70,MATCH($Y133,NWC_FC_NOOS!$B$50:$B$70,0),FALSE),"")</f>
        <v>0</v>
      </c>
      <c r="AH133" s="650">
        <f ca="1">IFERROR(IF($AA133="NOOS",HLOOKUP(STOCK_OVERVIEW!$AB133&amp;STOCK_OVERVIEW!$AD133,PLANNING_FC!$BB$27:$BP$46,MATCH(STOCK_OVERVIEW!$Y133,PLANNING_FC!$BA$27:$BA$46,0),FALSE),HLOOKUP($AB133&amp;$AD133,PLANNING_FC!$BB$4:$BP$23,MATCH(STOCK_OVERVIEW!$Y133,PLANNING_FC!$BA$4:$BA$23,0),FALSE)),"")</f>
        <v>0</v>
      </c>
      <c r="AI133" s="650">
        <f ca="1">IFERROR(IF($AA133="NOOS",HLOOKUP(STOCK_OVERVIEW!$AB133&amp;STOCK_OVERVIEW!$AD133,PLANNING_FC!$T$27:$AH$46,MATCH(STOCK_OVERVIEW!$Y133,PLANNING_FC!$B$27:$B$46,0),FALSE),HLOOKUP($AB133&amp;$AD133,PLANNING_FC!$T$4:$AH$23,MATCH(STOCK_OVERVIEW!$Y133,PLANNING_FC!$B$4:$B$23,0),FALSE)),"")</f>
        <v>0</v>
      </c>
      <c r="AJ133" s="650">
        <f ca="1">IFERROR(IF($AA133="NOOS",HLOOKUP(STOCK_OVERVIEW!$AB133&amp;STOCK_OVERVIEW!$AD133,PLANNING_FC!$DA$27:$DO$46,MATCH(STOCK_OVERVIEW!$Y133,PLANNING_FC!$CZ$27:$CZ$46,0),FALSE),HLOOKUP($AB133&amp;$AD133,PLANNING_FC!$DA$4:$DO$23,MATCH(STOCK_OVERVIEW!$Y133,PLANNING_FC!$CZ$4:$CZ$23,0),FALSE)),"")</f>
        <v>76772</v>
      </c>
      <c r="AK133" s="651">
        <f ca="1">IFERROR(IF(AA133="NOOS",HLOOKUP(AB133&amp;AD133,PLANNING_FC!$AJ$27:$AY$47,MATCH(STOCK_OVERVIEW!Y133,PLANNING_FC!$AJ$27:$AJ$47,0),FALSE)*1000,HLOOKUP(AB133&amp;AD133,PLANNING_FC!$AJ$4:$AY$24,MATCH(STOCK_OVERVIEW!Y133,PLANNING_FC!$AJ$4:$AJ$24,0),FALSE)*1000),"")</f>
        <v>0</v>
      </c>
      <c r="AL133" s="638"/>
      <c r="AM133" s="638"/>
      <c r="AN133" s="638"/>
      <c r="AO133" s="638"/>
      <c r="AP133" s="638"/>
      <c r="AQ133" s="638"/>
      <c r="AR133" s="638"/>
      <c r="AS133" s="638"/>
    </row>
    <row r="134" spans="1:45" s="61" customFormat="1" x14ac:dyDescent="0.25">
      <c r="A134" s="62"/>
      <c r="B134" s="835"/>
      <c r="C134" s="22"/>
      <c r="D134" s="22"/>
      <c r="E134" s="22"/>
      <c r="F134" s="22"/>
      <c r="G134" s="22"/>
      <c r="H134" s="836">
        <f ca="1">$C$61</f>
        <v>2790643.7552999998</v>
      </c>
      <c r="I134" s="839">
        <f ca="1">$C$58</f>
        <v>0</v>
      </c>
      <c r="J134" s="19"/>
      <c r="N134" s="19"/>
      <c r="R134" s="19"/>
      <c r="S134" s="637"/>
      <c r="T134" s="637"/>
      <c r="U134" s="636"/>
      <c r="V134" s="637"/>
      <c r="W134" s="637"/>
      <c r="X134" s="200" t="str">
        <f>NWC_FC_NOOS!$B$1</f>
        <v>VM</v>
      </c>
      <c r="Y134" s="25" t="str">
        <f>NWC_FC_NOOS!$B$62</f>
        <v>SHORTS</v>
      </c>
      <c r="Z134" s="25" t="str">
        <f t="shared" ca="1" si="16"/>
        <v>VMSHORTS19/20Dec</v>
      </c>
      <c r="AA134" s="25" t="str">
        <f>NWC_FC_NOOS!$I$1</f>
        <v>NOOS</v>
      </c>
      <c r="AB134" s="25" t="str">
        <f ca="1">NWC_FC_NOOS!$O$73</f>
        <v>19/20</v>
      </c>
      <c r="AC134" s="25" t="str">
        <f ca="1">NWC_FC_NOOS!$O$74</f>
        <v>Q2</v>
      </c>
      <c r="AD134" s="25" t="str">
        <f ca="1">NWC_FC_NOOS!$P$75</f>
        <v>Dec</v>
      </c>
      <c r="AE134" s="649">
        <f ca="1">IFERROR(HLOOKUP($AB134&amp;$AD134,NWC_FC_NOOS!$B$4:$Q$24,MATCH($Y134,NWC_FC_NOOS!$B$4:$B$24,0),FALSE),"")</f>
        <v>0</v>
      </c>
      <c r="AF134" s="650">
        <f ca="1">IFERROR(HLOOKUP($AB134&amp;$AD134,NWC_FC_NOOS!$S$4:$AH$24,MATCH($Y134,NWC_FC_NOOS!$S$4:$S$24,0),FALSE),"")</f>
        <v>0</v>
      </c>
      <c r="AG134" s="650">
        <f ca="1">IFERROR(HLOOKUP($AB134&amp;$AD134,NWC_FC_NOOS!$C$50:$U$70,MATCH($Y134,NWC_FC_NOOS!$B$50:$B$70,0),FALSE),"")</f>
        <v>0</v>
      </c>
      <c r="AH134" s="650">
        <f ca="1">IFERROR(IF($AA134="NOOS",HLOOKUP(STOCK_OVERVIEW!$AB134&amp;STOCK_OVERVIEW!$AD134,PLANNING_FC!$BB$27:$BP$46,MATCH(STOCK_OVERVIEW!$Y134,PLANNING_FC!$BA$27:$BA$46,0),FALSE),HLOOKUP($AB134&amp;$AD134,PLANNING_FC!$BB$4:$BP$23,MATCH(STOCK_OVERVIEW!$Y134,PLANNING_FC!$BA$4:$BA$23,0),FALSE)),"")</f>
        <v>0</v>
      </c>
      <c r="AI134" s="650">
        <f ca="1">IFERROR(IF($AA134="NOOS",HLOOKUP(STOCK_OVERVIEW!$AB134&amp;STOCK_OVERVIEW!$AD134,PLANNING_FC!$T$27:$AH$46,MATCH(STOCK_OVERVIEW!$Y134,PLANNING_FC!$B$27:$B$46,0),FALSE),HLOOKUP($AB134&amp;$AD134,PLANNING_FC!$T$4:$AH$23,MATCH(STOCK_OVERVIEW!$Y134,PLANNING_FC!$B$4:$B$23,0),FALSE)),"")</f>
        <v>0</v>
      </c>
      <c r="AJ134" s="650">
        <f ca="1">IFERROR(IF($AA134="NOOS",HLOOKUP(STOCK_OVERVIEW!$AB134&amp;STOCK_OVERVIEW!$AD134,PLANNING_FC!$DA$27:$DO$46,MATCH(STOCK_OVERVIEW!$Y134,PLANNING_FC!$CZ$27:$CZ$46,0),FALSE),HLOOKUP($AB134&amp;$AD134,PLANNING_FC!$DA$4:$DO$23,MATCH(STOCK_OVERVIEW!$Y134,PLANNING_FC!$CZ$4:$CZ$23,0),FALSE)),"")</f>
        <v>76772</v>
      </c>
      <c r="AK134" s="651">
        <f ca="1">IFERROR(IF(AA134="NOOS",HLOOKUP(AB134&amp;AD134,PLANNING_FC!$AJ$27:$AY$47,MATCH(STOCK_OVERVIEW!Y134,PLANNING_FC!$AJ$27:$AJ$47,0),FALSE)*1000,HLOOKUP(AB134&amp;AD134,PLANNING_FC!$AJ$4:$AY$24,MATCH(STOCK_OVERVIEW!Y134,PLANNING_FC!$AJ$4:$AJ$24,0),FALSE)*1000),"")</f>
        <v>0</v>
      </c>
      <c r="AL134" s="638"/>
      <c r="AM134" s="638"/>
      <c r="AN134" s="638"/>
      <c r="AO134" s="638"/>
      <c r="AP134" s="638"/>
      <c r="AQ134" s="638"/>
      <c r="AR134" s="638"/>
      <c r="AS134" s="638"/>
    </row>
    <row r="135" spans="1:45" s="61" customFormat="1" x14ac:dyDescent="0.25">
      <c r="A135" s="62"/>
      <c r="B135" s="835"/>
      <c r="C135" s="22"/>
      <c r="D135" s="22"/>
      <c r="E135" s="22"/>
      <c r="F135" s="22"/>
      <c r="G135" s="22"/>
      <c r="H135" s="22"/>
      <c r="I135" s="837"/>
      <c r="J135" s="19"/>
      <c r="N135" s="19"/>
      <c r="R135" s="19"/>
      <c r="S135" s="637"/>
      <c r="T135" s="637"/>
      <c r="U135" s="636"/>
      <c r="V135" s="637"/>
      <c r="W135" s="637"/>
      <c r="X135" s="200" t="str">
        <f>NWC_FC_NOOS!$B$1</f>
        <v>VM</v>
      </c>
      <c r="Y135" s="25" t="str">
        <f>NWC_FC_NOOS!$B$62</f>
        <v>SHORTS</v>
      </c>
      <c r="Z135" s="25" t="str">
        <f t="shared" ca="1" si="16"/>
        <v>VMSHORTS19/20Jan</v>
      </c>
      <c r="AA135" s="25" t="str">
        <f>NWC_FC_NOOS!$I$1</f>
        <v>NOOS</v>
      </c>
      <c r="AB135" s="25" t="str">
        <f ca="1">NWC_FC_NOOS!$O$73</f>
        <v>19/20</v>
      </c>
      <c r="AC135" s="25" t="str">
        <f ca="1">NWC_FC_NOOS!$O$74</f>
        <v>Q2</v>
      </c>
      <c r="AD135" s="25" t="str">
        <f ca="1">NWC_FC_NOOS!$Q$75</f>
        <v>Jan</v>
      </c>
      <c r="AE135" s="649">
        <f ca="1">IFERROR(HLOOKUP($AB135&amp;$AD135,NWC_FC_NOOS!$B$4:$Q$24,MATCH($Y135,NWC_FC_NOOS!$B$4:$B$24,0),FALSE),"")</f>
        <v>0</v>
      </c>
      <c r="AF135" s="650">
        <f ca="1">IFERROR(HLOOKUP($AB135&amp;$AD135,NWC_FC_NOOS!$S$4:$AH$24,MATCH($Y135,NWC_FC_NOOS!$S$4:$S$24,0),FALSE),"")</f>
        <v>0</v>
      </c>
      <c r="AG135" s="650">
        <f ca="1">IFERROR(HLOOKUP($AB135&amp;$AD135,NWC_FC_NOOS!$C$50:$U$70,MATCH($Y135,NWC_FC_NOOS!$B$50:$B$70,0),FALSE),"")</f>
        <v>0</v>
      </c>
      <c r="AH135" s="650">
        <f ca="1">IFERROR(IF($AA135="NOOS",HLOOKUP(STOCK_OVERVIEW!$AB135&amp;STOCK_OVERVIEW!$AD135,PLANNING_FC!$BB$27:$BP$46,MATCH(STOCK_OVERVIEW!$Y135,PLANNING_FC!$BA$27:$BA$46,0),FALSE),HLOOKUP($AB135&amp;$AD135,PLANNING_FC!$BB$4:$BP$23,MATCH(STOCK_OVERVIEW!$Y135,PLANNING_FC!$BA$4:$BA$23,0),FALSE)),"")</f>
        <v>0</v>
      </c>
      <c r="AI135" s="650">
        <f ca="1">IFERROR(IF($AA135="NOOS",HLOOKUP(STOCK_OVERVIEW!$AB135&amp;STOCK_OVERVIEW!$AD135,PLANNING_FC!$T$27:$AH$46,MATCH(STOCK_OVERVIEW!$Y135,PLANNING_FC!$B$27:$B$46,0),FALSE),HLOOKUP($AB135&amp;$AD135,PLANNING_FC!$T$4:$AH$23,MATCH(STOCK_OVERVIEW!$Y135,PLANNING_FC!$B$4:$B$23,0),FALSE)),"")</f>
        <v>0</v>
      </c>
      <c r="AJ135" s="650">
        <f ca="1">IFERROR(IF($AA135="NOOS",HLOOKUP(STOCK_OVERVIEW!$AB135&amp;STOCK_OVERVIEW!$AD135,PLANNING_FC!$DA$27:$DO$46,MATCH(STOCK_OVERVIEW!$Y135,PLANNING_FC!$CZ$27:$CZ$46,0),FALSE),HLOOKUP($AB135&amp;$AD135,PLANNING_FC!$DA$4:$DO$23,MATCH(STOCK_OVERVIEW!$Y135,PLANNING_FC!$CZ$4:$CZ$23,0),FALSE)),"")</f>
        <v>76772</v>
      </c>
      <c r="AK135" s="651">
        <f ca="1">IFERROR(IF(AA135="NOOS",HLOOKUP(AB135&amp;AD135,PLANNING_FC!$AJ$27:$AY$47,MATCH(STOCK_OVERVIEW!Y135,PLANNING_FC!$AJ$27:$AJ$47,0),FALSE)*1000,HLOOKUP(AB135&amp;AD135,PLANNING_FC!$AJ$4:$AY$24,MATCH(STOCK_OVERVIEW!Y135,PLANNING_FC!$AJ$4:$AJ$24,0),FALSE)*1000),"")</f>
        <v>0</v>
      </c>
      <c r="AL135" s="638"/>
      <c r="AM135" s="638"/>
      <c r="AN135" s="638"/>
      <c r="AO135" s="638"/>
      <c r="AP135" s="638"/>
      <c r="AQ135" s="638"/>
      <c r="AR135" s="638"/>
      <c r="AS135" s="638"/>
    </row>
    <row r="136" spans="1:45" s="61" customFormat="1" x14ac:dyDescent="0.25">
      <c r="A136" s="62"/>
      <c r="B136" s="835" t="str">
        <f ca="1">$D$40</f>
        <v>Mar</v>
      </c>
      <c r="C136" s="836">
        <f ca="1">$D$42</f>
        <v>0</v>
      </c>
      <c r="D136" s="22"/>
      <c r="E136" s="22"/>
      <c r="F136" s="22"/>
      <c r="G136" s="22"/>
      <c r="H136" s="22"/>
      <c r="I136" s="837"/>
      <c r="J136" s="19"/>
      <c r="N136" s="19"/>
      <c r="R136" s="19"/>
      <c r="S136" s="637"/>
      <c r="T136" s="637"/>
      <c r="U136" s="636"/>
      <c r="V136" s="637"/>
      <c r="W136" s="637"/>
      <c r="X136" s="200" t="str">
        <f>NWC_FC_NOOS!$B$1</f>
        <v>VM</v>
      </c>
      <c r="Y136" s="25" t="str">
        <f>NWC_FC_NOOS!$B$62</f>
        <v>SHORTS</v>
      </c>
      <c r="Z136" s="25" t="str">
        <f t="shared" ca="1" si="16"/>
        <v>VMSHORTS19/20Feb</v>
      </c>
      <c r="AA136" s="25" t="str">
        <f>NWC_FC_NOOS!$I$1</f>
        <v>NOOS</v>
      </c>
      <c r="AB136" s="25" t="str">
        <f ca="1">NWC_FC_NOOS!$S$73</f>
        <v>19/20</v>
      </c>
      <c r="AC136" s="25" t="str">
        <f ca="1">NWC_FC_NOOS!$S$74</f>
        <v>Q3</v>
      </c>
      <c r="AD136" s="25" t="str">
        <f ca="1">NWC_FC_NOOS!$S$75</f>
        <v>Feb</v>
      </c>
      <c r="AE136" s="649" t="str">
        <f ca="1">IFERROR(HLOOKUP($AB136&amp;$AD136,NWC_FC_NOOS!$B$4:$Q$24,MATCH($Y136,NWC_FC_NOOS!$B$4:$B$24,0),FALSE),"")</f>
        <v/>
      </c>
      <c r="AF136" s="650" t="str">
        <f ca="1">IFERROR(HLOOKUP($AB136&amp;$AD136,NWC_FC_NOOS!$S$4:$AH$24,MATCH($Y136,NWC_FC_NOOS!$S$4:$S$24,0),FALSE),"")</f>
        <v/>
      </c>
      <c r="AG136" s="650">
        <f ca="1">IFERROR(HLOOKUP($AB136&amp;$AD136,NWC_FC_NOOS!$C$50:$U$70,MATCH($Y136,NWC_FC_NOOS!$B$50:$B$70,0),FALSE),"")</f>
        <v>0</v>
      </c>
      <c r="AH136" s="650" t="str">
        <f ca="1">IFERROR(IF($AA136="NOOS",HLOOKUP(STOCK_OVERVIEW!$AB136&amp;STOCK_OVERVIEW!$AD136,PLANNING_FC!$BB$27:$BP$46,MATCH(STOCK_OVERVIEW!$Y136,PLANNING_FC!$BA$27:$BA$46,0),FALSE),HLOOKUP($AB136&amp;$AD136,PLANNING_FC!$BB$4:$BP$23,MATCH(STOCK_OVERVIEW!$Y136,PLANNING_FC!$BA$4:$BA$23,0),FALSE)),"")</f>
        <v/>
      </c>
      <c r="AI136" s="650" t="str">
        <f ca="1">IFERROR(IF($AA136="NOOS",HLOOKUP(STOCK_OVERVIEW!$AB136&amp;STOCK_OVERVIEW!$AD136,PLANNING_FC!$T$27:$AH$46,MATCH(STOCK_OVERVIEW!$Y136,PLANNING_FC!$B$27:$B$46,0),FALSE),HLOOKUP($AB136&amp;$AD136,PLANNING_FC!$T$4:$AH$23,MATCH(STOCK_OVERVIEW!$Y136,PLANNING_FC!$B$4:$B$23,0),FALSE)),"")</f>
        <v/>
      </c>
      <c r="AJ136" s="650" t="str">
        <f ca="1">IFERROR(IF($AA136="NOOS",HLOOKUP(STOCK_OVERVIEW!$AB136&amp;STOCK_OVERVIEW!$AD136,PLANNING_FC!$DA$27:$DO$46,MATCH(STOCK_OVERVIEW!$Y136,PLANNING_FC!$CZ$27:$CZ$46,0),FALSE),HLOOKUP($AB136&amp;$AD136,PLANNING_FC!$DA$4:$DO$23,MATCH(STOCK_OVERVIEW!$Y136,PLANNING_FC!$CZ$4:$CZ$23,0),FALSE)),"")</f>
        <v/>
      </c>
      <c r="AK136" s="651" t="str">
        <f ca="1">IFERROR(IF(AA136="NOOS",HLOOKUP(AB136&amp;AD136,PLANNING_FC!$AJ$27:$AY$47,MATCH(STOCK_OVERVIEW!Y136,PLANNING_FC!$AJ$27:$AJ$47,0),FALSE)*1000,HLOOKUP(AB136&amp;AD136,PLANNING_FC!$AJ$4:$AY$24,MATCH(STOCK_OVERVIEW!Y136,PLANNING_FC!$AJ$4:$AJ$24,0),FALSE)*1000),"")</f>
        <v/>
      </c>
      <c r="AL136" s="638"/>
      <c r="AM136" s="638"/>
      <c r="AN136" s="638"/>
      <c r="AO136" s="638"/>
      <c r="AP136" s="638"/>
      <c r="AQ136" s="638"/>
      <c r="AR136" s="638"/>
      <c r="AS136" s="638"/>
    </row>
    <row r="137" spans="1:45" s="61" customFormat="1" x14ac:dyDescent="0.25">
      <c r="A137" s="62"/>
      <c r="B137" s="835"/>
      <c r="C137" s="22"/>
      <c r="D137" s="836">
        <f ca="1">$D$45</f>
        <v>1050251</v>
      </c>
      <c r="E137" s="836">
        <f ca="1">$D$46</f>
        <v>0</v>
      </c>
      <c r="F137" s="22"/>
      <c r="G137" s="22"/>
      <c r="H137" s="22"/>
      <c r="I137" s="837"/>
      <c r="J137" s="19"/>
      <c r="N137" s="19"/>
      <c r="R137" s="19"/>
      <c r="S137" s="637"/>
      <c r="T137" s="637"/>
      <c r="U137" s="636"/>
      <c r="V137" s="637"/>
      <c r="W137" s="637"/>
      <c r="X137" s="200" t="str">
        <f>NWC_FC_NOOS!$B$1</f>
        <v>VM</v>
      </c>
      <c r="Y137" s="25" t="str">
        <f>NWC_FC_NOOS!$B$62</f>
        <v>SHORTS</v>
      </c>
      <c r="Z137" s="25" t="str">
        <f t="shared" ca="1" si="16"/>
        <v>VMSHORTS19/20Mar</v>
      </c>
      <c r="AA137" s="25" t="str">
        <f>NWC_FC_NOOS!$I$1</f>
        <v>NOOS</v>
      </c>
      <c r="AB137" s="25" t="str">
        <f ca="1">NWC_FC_NOOS!$S$73</f>
        <v>19/20</v>
      </c>
      <c r="AC137" s="25" t="str">
        <f ca="1">NWC_FC_NOOS!$S$74</f>
        <v>Q3</v>
      </c>
      <c r="AD137" s="25" t="str">
        <f ca="1">NWC_FC_NOOS!$T$75</f>
        <v>Mar</v>
      </c>
      <c r="AE137" s="649" t="str">
        <f ca="1">IFERROR(HLOOKUP($AB137&amp;$AD137,NWC_FC_NOOS!$B$4:$Q$24,MATCH($Y137,NWC_FC_NOOS!$B$4:$B$24,0),FALSE),"")</f>
        <v/>
      </c>
      <c r="AF137" s="650" t="str">
        <f ca="1">IFERROR(HLOOKUP($AB137&amp;$AD137,NWC_FC_NOOS!$S$4:$AH$24,MATCH($Y137,NWC_FC_NOOS!$S$4:$S$24,0),FALSE),"")</f>
        <v/>
      </c>
      <c r="AG137" s="650">
        <f ca="1">IFERROR(HLOOKUP($AB137&amp;$AD137,NWC_FC_NOOS!$C$50:$U$70,MATCH($Y137,NWC_FC_NOOS!$B$50:$B$70,0),FALSE),"")</f>
        <v>0</v>
      </c>
      <c r="AH137" s="650" t="str">
        <f ca="1">IFERROR(IF($AA137="NOOS",HLOOKUP(STOCK_OVERVIEW!$AB137&amp;STOCK_OVERVIEW!$AD137,PLANNING_FC!$BB$27:$BP$46,MATCH(STOCK_OVERVIEW!$Y137,PLANNING_FC!$BA$27:$BA$46,0),FALSE),HLOOKUP($AB137&amp;$AD137,PLANNING_FC!$BB$4:$BP$23,MATCH(STOCK_OVERVIEW!$Y137,PLANNING_FC!$BA$4:$BA$23,0),FALSE)),"")</f>
        <v/>
      </c>
      <c r="AI137" s="650" t="str">
        <f ca="1">IFERROR(IF($AA137="NOOS",HLOOKUP(STOCK_OVERVIEW!$AB137&amp;STOCK_OVERVIEW!$AD137,PLANNING_FC!$T$27:$AH$46,MATCH(STOCK_OVERVIEW!$Y137,PLANNING_FC!$B$27:$B$46,0),FALSE),HLOOKUP($AB137&amp;$AD137,PLANNING_FC!$T$4:$AH$23,MATCH(STOCK_OVERVIEW!$Y137,PLANNING_FC!$B$4:$B$23,0),FALSE)),"")</f>
        <v/>
      </c>
      <c r="AJ137" s="650" t="str">
        <f ca="1">IFERROR(IF($AA137="NOOS",HLOOKUP(STOCK_OVERVIEW!$AB137&amp;STOCK_OVERVIEW!$AD137,PLANNING_FC!$DA$27:$DO$46,MATCH(STOCK_OVERVIEW!$Y137,PLANNING_FC!$CZ$27:$CZ$46,0),FALSE),HLOOKUP($AB137&amp;$AD137,PLANNING_FC!$DA$4:$DO$23,MATCH(STOCK_OVERVIEW!$Y137,PLANNING_FC!$CZ$4:$CZ$23,0),FALSE)),"")</f>
        <v/>
      </c>
      <c r="AK137" s="651" t="str">
        <f ca="1">IFERROR(IF(AA137="NOOS",HLOOKUP(AB137&amp;AD137,PLANNING_FC!$AJ$27:$AY$47,MATCH(STOCK_OVERVIEW!Y137,PLANNING_FC!$AJ$27:$AJ$47,0),FALSE)*1000,HLOOKUP(AB137&amp;AD137,PLANNING_FC!$AJ$4:$AY$24,MATCH(STOCK_OVERVIEW!Y137,PLANNING_FC!$AJ$4:$AJ$24,0),FALSE)*1000),"")</f>
        <v/>
      </c>
      <c r="AL137" s="638"/>
      <c r="AM137" s="638"/>
      <c r="AN137" s="638"/>
      <c r="AO137" s="638"/>
      <c r="AP137" s="638"/>
      <c r="AQ137" s="638"/>
      <c r="AR137" s="638"/>
      <c r="AS137" s="638"/>
    </row>
    <row r="138" spans="1:45" s="61" customFormat="1" x14ac:dyDescent="0.25">
      <c r="A138" s="62"/>
      <c r="B138" s="835"/>
      <c r="C138" s="22"/>
      <c r="D138" s="22"/>
      <c r="E138" s="22"/>
      <c r="F138" s="836">
        <f ca="1">$D$55</f>
        <v>0</v>
      </c>
      <c r="G138" s="838">
        <f ca="1">D52</f>
        <v>0</v>
      </c>
      <c r="H138" s="22"/>
      <c r="I138" s="837"/>
      <c r="J138" s="19"/>
      <c r="N138" s="19"/>
      <c r="R138" s="19"/>
      <c r="S138" s="637"/>
      <c r="T138" s="637"/>
      <c r="U138" s="636"/>
      <c r="V138" s="637"/>
      <c r="W138" s="637"/>
      <c r="X138" s="200" t="str">
        <f>NWC_FC_NOOS!$B$1</f>
        <v>VM</v>
      </c>
      <c r="Y138" s="25" t="str">
        <f>NWC_FC_NOOS!$B$62</f>
        <v>SHORTS</v>
      </c>
      <c r="Z138" s="25" t="str">
        <f t="shared" ca="1" si="16"/>
        <v>VMSHORTS19/20Apr</v>
      </c>
      <c r="AA138" s="25" t="str">
        <f>NWC_FC_NOOS!$I$1</f>
        <v>NOOS</v>
      </c>
      <c r="AB138" s="25" t="str">
        <f ca="1">NWC_FC_NOOS!$S$73</f>
        <v>19/20</v>
      </c>
      <c r="AC138" s="25" t="str">
        <f ca="1">NWC_FC_NOOS!$S$74</f>
        <v>Q3</v>
      </c>
      <c r="AD138" s="25" t="str">
        <f ca="1">NWC_FC_NOOS!$U$75</f>
        <v>Apr</v>
      </c>
      <c r="AE138" s="649" t="str">
        <f ca="1">IFERROR(HLOOKUP($AB138&amp;$AD138,NWC_FC_NOOS!$B$4:$Q$24,MATCH($Y138,NWC_FC_NOOS!$B$4:$B$24,0),FALSE),"")</f>
        <v/>
      </c>
      <c r="AF138" s="650" t="str">
        <f ca="1">IFERROR(HLOOKUP($AB138&amp;$AD138,NWC_FC_NOOS!$S$4:$AH$24,MATCH($Y138,NWC_FC_NOOS!$S$4:$S$24,0),FALSE),"")</f>
        <v/>
      </c>
      <c r="AG138" s="650">
        <f ca="1">IFERROR(HLOOKUP($AB138&amp;$AD138,NWC_FC_NOOS!$C$50:$U$70,MATCH($Y138,NWC_FC_NOOS!$B$50:$B$70,0),FALSE),"")</f>
        <v>0</v>
      </c>
      <c r="AH138" s="650" t="str">
        <f ca="1">IFERROR(IF($AA138="NOOS",HLOOKUP(STOCK_OVERVIEW!$AB138&amp;STOCK_OVERVIEW!$AD138,PLANNING_FC!$BB$27:$BP$46,MATCH(STOCK_OVERVIEW!$Y138,PLANNING_FC!$BA$27:$BA$46,0),FALSE),HLOOKUP($AB138&amp;$AD138,PLANNING_FC!$BB$4:$BP$23,MATCH(STOCK_OVERVIEW!$Y138,PLANNING_FC!$BA$4:$BA$23,0),FALSE)),"")</f>
        <v/>
      </c>
      <c r="AI138" s="650" t="str">
        <f ca="1">IFERROR(IF($AA138="NOOS",HLOOKUP(STOCK_OVERVIEW!$AB138&amp;STOCK_OVERVIEW!$AD138,PLANNING_FC!$T$27:$AH$46,MATCH(STOCK_OVERVIEW!$Y138,PLANNING_FC!$B$27:$B$46,0),FALSE),HLOOKUP($AB138&amp;$AD138,PLANNING_FC!$T$4:$AH$23,MATCH(STOCK_OVERVIEW!$Y138,PLANNING_FC!$B$4:$B$23,0),FALSE)),"")</f>
        <v/>
      </c>
      <c r="AJ138" s="650" t="str">
        <f ca="1">IFERROR(IF($AA138="NOOS",HLOOKUP(STOCK_OVERVIEW!$AB138&amp;STOCK_OVERVIEW!$AD138,PLANNING_FC!$DA$27:$DO$46,MATCH(STOCK_OVERVIEW!$Y138,PLANNING_FC!$CZ$27:$CZ$46,0),FALSE),HLOOKUP($AB138&amp;$AD138,PLANNING_FC!$DA$4:$DO$23,MATCH(STOCK_OVERVIEW!$Y138,PLANNING_FC!$CZ$4:$CZ$23,0),FALSE)),"")</f>
        <v/>
      </c>
      <c r="AK138" s="651" t="str">
        <f ca="1">IFERROR(IF(AA138="NOOS",HLOOKUP(AB138&amp;AD138,PLANNING_FC!$AJ$27:$AY$47,MATCH(STOCK_OVERVIEW!Y138,PLANNING_FC!$AJ$27:$AJ$47,0),FALSE)*1000,HLOOKUP(AB138&amp;AD138,PLANNING_FC!$AJ$4:$AY$24,MATCH(STOCK_OVERVIEW!Y138,PLANNING_FC!$AJ$4:$AJ$24,0),FALSE)*1000),"")</f>
        <v/>
      </c>
      <c r="AL138" s="638"/>
      <c r="AM138" s="638"/>
      <c r="AN138" s="638"/>
      <c r="AO138" s="638"/>
      <c r="AP138" s="638"/>
      <c r="AQ138" s="638"/>
      <c r="AR138" s="638"/>
      <c r="AS138" s="638"/>
    </row>
    <row r="139" spans="1:45" s="61" customFormat="1" x14ac:dyDescent="0.25">
      <c r="A139" s="62"/>
      <c r="B139" s="835"/>
      <c r="C139" s="22"/>
      <c r="D139" s="22"/>
      <c r="E139" s="22"/>
      <c r="F139" s="22"/>
      <c r="G139" s="22"/>
      <c r="H139" s="836">
        <f ca="1">$D$61</f>
        <v>2530224.4391999999</v>
      </c>
      <c r="I139" s="839">
        <f ca="1">$D$58</f>
        <v>0</v>
      </c>
      <c r="J139" s="576"/>
      <c r="K139" s="62"/>
      <c r="L139" s="62"/>
      <c r="M139" s="24"/>
      <c r="N139" s="206"/>
      <c r="O139" s="24"/>
      <c r="R139" s="19"/>
      <c r="S139" s="637"/>
      <c r="T139" s="637"/>
      <c r="U139" s="636"/>
      <c r="V139" s="637"/>
      <c r="W139" s="637"/>
      <c r="X139" s="200" t="str">
        <f>NWC_FC_NOOS!$B$1</f>
        <v>VM</v>
      </c>
      <c r="Y139" s="25" t="str">
        <f>NWC_FC_NOOS!$B$63</f>
        <v>SKIRTS</v>
      </c>
      <c r="Z139" s="25" t="str">
        <f t="shared" ca="1" si="16"/>
        <v>VMSKIRTS18/19Feb</v>
      </c>
      <c r="AA139" s="25" t="str">
        <f>NWC_FC_NOOS!$I$1</f>
        <v>NOOS</v>
      </c>
      <c r="AB139" s="25" t="str">
        <f ca="1">NWC_FC_NOOS!$C$73</f>
        <v>18/19</v>
      </c>
      <c r="AC139" s="25" t="str">
        <f ca="1">NWC_FC_NOOS!$C$74</f>
        <v>Q3</v>
      </c>
      <c r="AD139" s="25" t="str">
        <f ca="1">NWC_FC_NOOS!$C$75</f>
        <v>Feb</v>
      </c>
      <c r="AE139" s="649">
        <f ca="1">IFERROR(HLOOKUP($AB139&amp;$AD139,NWC_FC_NOOS!$B$4:$Q$24,MATCH($Y139,NWC_FC_NOOS!$B$4:$B$24,0),FALSE),"")</f>
        <v>0</v>
      </c>
      <c r="AF139" s="650">
        <f ca="1">IFERROR(HLOOKUP($AB139&amp;$AD139,NWC_FC_NOOS!$S$4:$AH$24,MATCH($Y139,NWC_FC_NOOS!$S$4:$S$24,0),FALSE),"")</f>
        <v>0</v>
      </c>
      <c r="AG139" s="650">
        <f ca="1">IFERROR(HLOOKUP($AB139&amp;$AD139,NWC_FC_NOOS!$C$50:$U$70,MATCH($Y139,NWC_FC_NOOS!$B$50:$B$70,0),FALSE),"")</f>
        <v>0</v>
      </c>
      <c r="AH139" s="650">
        <f ca="1">IFERROR(IF($AA139="NOOS",HLOOKUP(STOCK_OVERVIEW!$AB139&amp;STOCK_OVERVIEW!$AD139,PLANNING_FC!$BB$27:$BP$46,MATCH(STOCK_OVERVIEW!$Y139,PLANNING_FC!$BA$27:$BA$46,0),FALSE),HLOOKUP($AB139&amp;$AD139,PLANNING_FC!$BB$4:$BP$23,MATCH(STOCK_OVERVIEW!$Y139,PLANNING_FC!$BA$4:$BA$23,0),FALSE)),"")</f>
        <v>0</v>
      </c>
      <c r="AI139" s="650">
        <f ca="1">IFERROR(IF($AA139="NOOS",HLOOKUP(STOCK_OVERVIEW!$AB139&amp;STOCK_OVERVIEW!$AD139,PLANNING_FC!$T$27:$AH$46,MATCH(STOCK_OVERVIEW!$Y139,PLANNING_FC!$B$27:$B$46,0),FALSE),HLOOKUP($AB139&amp;$AD139,PLANNING_FC!$T$4:$AH$23,MATCH(STOCK_OVERVIEW!$Y139,PLANNING_FC!$B$4:$B$23,0),FALSE)),"")</f>
        <v>0</v>
      </c>
      <c r="AJ139" s="650">
        <f ca="1">IFERROR(IF($AA139="NOOS",HLOOKUP(STOCK_OVERVIEW!$AB139&amp;STOCK_OVERVIEW!$AD139,PLANNING_FC!$DA$27:$DO$46,MATCH(STOCK_OVERVIEW!$Y139,PLANNING_FC!$CZ$27:$CZ$46,0),FALSE),HLOOKUP($AB139&amp;$AD139,PLANNING_FC!$DA$4:$DO$23,MATCH(STOCK_OVERVIEW!$Y139,PLANNING_FC!$CZ$4:$CZ$23,0),FALSE)),"")</f>
        <v>0</v>
      </c>
      <c r="AK139" s="651">
        <f ca="1">IFERROR(IF(AA139="NOOS",HLOOKUP(AB139&amp;AD139,PLANNING_FC!$AJ$27:$AY$47,MATCH(STOCK_OVERVIEW!Y139,PLANNING_FC!$AJ$27:$AJ$47,0),FALSE)*1000,HLOOKUP(AB139&amp;AD139,PLANNING_FC!$AJ$4:$AY$24,MATCH(STOCK_OVERVIEW!Y139,PLANNING_FC!$AJ$4:$AJ$24,0),FALSE)*1000),"")</f>
        <v>0</v>
      </c>
      <c r="AL139" s="638"/>
      <c r="AM139" s="638"/>
      <c r="AN139" s="638"/>
      <c r="AO139" s="638"/>
      <c r="AP139" s="638"/>
      <c r="AQ139" s="638"/>
      <c r="AR139" s="638"/>
      <c r="AS139" s="638"/>
    </row>
    <row r="140" spans="1:45" s="61" customFormat="1" x14ac:dyDescent="0.25">
      <c r="A140" s="62"/>
      <c r="B140" s="835"/>
      <c r="C140" s="22"/>
      <c r="D140" s="22"/>
      <c r="E140" s="22"/>
      <c r="F140" s="22"/>
      <c r="G140" s="22"/>
      <c r="H140" s="22"/>
      <c r="I140" s="837"/>
      <c r="J140" s="576"/>
      <c r="K140" s="62"/>
      <c r="L140" s="62"/>
      <c r="M140" s="24"/>
      <c r="N140" s="206"/>
      <c r="O140" s="24"/>
      <c r="R140" s="19"/>
      <c r="S140" s="637"/>
      <c r="T140" s="637"/>
      <c r="U140" s="636"/>
      <c r="V140" s="637"/>
      <c r="W140" s="637"/>
      <c r="X140" s="200" t="str">
        <f>NWC_FC_NOOS!$B$1</f>
        <v>VM</v>
      </c>
      <c r="Y140" s="25" t="str">
        <f>NWC_FC_NOOS!$B$63</f>
        <v>SKIRTS</v>
      </c>
      <c r="Z140" s="25" t="str">
        <f t="shared" ca="1" si="16"/>
        <v>VMSKIRTS18/19Mar</v>
      </c>
      <c r="AA140" s="25" t="str">
        <f>NWC_FC_NOOS!$I$1</f>
        <v>NOOS</v>
      </c>
      <c r="AB140" s="25" t="str">
        <f ca="1">NWC_FC_NOOS!$C$73</f>
        <v>18/19</v>
      </c>
      <c r="AC140" s="25" t="str">
        <f ca="1">NWC_FC_NOOS!$C$74</f>
        <v>Q3</v>
      </c>
      <c r="AD140" s="25" t="str">
        <f ca="1">NWC_FC_NOOS!$D$75</f>
        <v>Mar</v>
      </c>
      <c r="AE140" s="649">
        <f ca="1">IFERROR(HLOOKUP($AB140&amp;$AD140,NWC_FC_NOOS!$B$4:$Q$24,MATCH($Y140,NWC_FC_NOOS!$B$4:$B$24,0),FALSE),"")</f>
        <v>0</v>
      </c>
      <c r="AF140" s="650">
        <f ca="1">IFERROR(HLOOKUP($AB140&amp;$AD140,NWC_FC_NOOS!$S$4:$AH$24,MATCH($Y140,NWC_FC_NOOS!$S$4:$S$24,0),FALSE),"")</f>
        <v>0</v>
      </c>
      <c r="AG140" s="650">
        <f ca="1">IFERROR(HLOOKUP($AB140&amp;$AD140,NWC_FC_NOOS!$C$50:$U$70,MATCH($Y140,NWC_FC_NOOS!$B$50:$B$70,0),FALSE),"")</f>
        <v>0</v>
      </c>
      <c r="AH140" s="650">
        <f ca="1">IFERROR(IF($AA140="NOOS",HLOOKUP(STOCK_OVERVIEW!$AB140&amp;STOCK_OVERVIEW!$AD140,PLANNING_FC!$BB$27:$BP$46,MATCH(STOCK_OVERVIEW!$Y140,PLANNING_FC!$BA$27:$BA$46,0),FALSE),HLOOKUP($AB140&amp;$AD140,PLANNING_FC!$BB$4:$BP$23,MATCH(STOCK_OVERVIEW!$Y140,PLANNING_FC!$BA$4:$BA$23,0),FALSE)),"")</f>
        <v>0</v>
      </c>
      <c r="AI140" s="650">
        <f ca="1">IFERROR(IF($AA140="NOOS",HLOOKUP(STOCK_OVERVIEW!$AB140&amp;STOCK_OVERVIEW!$AD140,PLANNING_FC!$T$27:$AH$46,MATCH(STOCK_OVERVIEW!$Y140,PLANNING_FC!$B$27:$B$46,0),FALSE),HLOOKUP($AB140&amp;$AD140,PLANNING_FC!$T$4:$AH$23,MATCH(STOCK_OVERVIEW!$Y140,PLANNING_FC!$B$4:$B$23,0),FALSE)),"")</f>
        <v>0</v>
      </c>
      <c r="AJ140" s="650">
        <f ca="1">IFERROR(IF($AA140="NOOS",HLOOKUP(STOCK_OVERVIEW!$AB140&amp;STOCK_OVERVIEW!$AD140,PLANNING_FC!$DA$27:$DO$46,MATCH(STOCK_OVERVIEW!$Y140,PLANNING_FC!$CZ$27:$CZ$46,0),FALSE),HLOOKUP($AB140&amp;$AD140,PLANNING_FC!$DA$4:$DO$23,MATCH(STOCK_OVERVIEW!$Y140,PLANNING_FC!$CZ$4:$CZ$23,0),FALSE)),"")</f>
        <v>0</v>
      </c>
      <c r="AK140" s="651">
        <f ca="1">IFERROR(IF(AA140="NOOS",HLOOKUP(AB140&amp;AD140,PLANNING_FC!$AJ$27:$AY$47,MATCH(STOCK_OVERVIEW!Y140,PLANNING_FC!$AJ$27:$AJ$47,0),FALSE)*1000,HLOOKUP(AB140&amp;AD140,PLANNING_FC!$AJ$4:$AY$24,MATCH(STOCK_OVERVIEW!Y140,PLANNING_FC!$AJ$4:$AJ$24,0),FALSE)*1000),"")</f>
        <v>0</v>
      </c>
      <c r="AL140" s="638"/>
      <c r="AM140" s="638"/>
      <c r="AN140" s="638"/>
      <c r="AO140" s="638"/>
      <c r="AP140" s="638"/>
      <c r="AQ140" s="638"/>
      <c r="AR140" s="638"/>
      <c r="AS140" s="638"/>
    </row>
    <row r="141" spans="1:45" s="61" customFormat="1" x14ac:dyDescent="0.25">
      <c r="A141" s="62"/>
      <c r="B141" s="835" t="str">
        <f ca="1">$E$40</f>
        <v>Apr</v>
      </c>
      <c r="C141" s="836">
        <f ca="1">$E$42</f>
        <v>0</v>
      </c>
      <c r="D141" s="22"/>
      <c r="E141" s="22"/>
      <c r="F141" s="22"/>
      <c r="G141" s="22"/>
      <c r="H141" s="22"/>
      <c r="I141" s="837"/>
      <c r="J141" s="576"/>
      <c r="K141" s="62"/>
      <c r="L141" s="62"/>
      <c r="M141" s="24"/>
      <c r="N141" s="206"/>
      <c r="O141" s="24"/>
      <c r="R141" s="19"/>
      <c r="S141" s="637"/>
      <c r="T141" s="637"/>
      <c r="U141" s="636"/>
      <c r="V141" s="637"/>
      <c r="W141" s="637"/>
      <c r="X141" s="200" t="str">
        <f>NWC_FC_NOOS!$B$1</f>
        <v>VM</v>
      </c>
      <c r="Y141" s="25" t="str">
        <f>NWC_FC_NOOS!$B$63</f>
        <v>SKIRTS</v>
      </c>
      <c r="Z141" s="25" t="str">
        <f t="shared" ca="1" si="16"/>
        <v>VMSKIRTS18/19Apr</v>
      </c>
      <c r="AA141" s="25" t="str">
        <f>NWC_FC_NOOS!$I$1</f>
        <v>NOOS</v>
      </c>
      <c r="AB141" s="25" t="str">
        <f ca="1">NWC_FC_NOOS!$C$73</f>
        <v>18/19</v>
      </c>
      <c r="AC141" s="25" t="str">
        <f ca="1">NWC_FC_NOOS!$C$74</f>
        <v>Q3</v>
      </c>
      <c r="AD141" s="25" t="str">
        <f ca="1">NWC_FC_NOOS!$E$75</f>
        <v>Apr</v>
      </c>
      <c r="AE141" s="649">
        <f ca="1">IFERROR(HLOOKUP($AB141&amp;$AD141,NWC_FC_NOOS!$B$4:$Q$24,MATCH($Y141,NWC_FC_NOOS!$B$4:$B$24,0),FALSE),"")</f>
        <v>0</v>
      </c>
      <c r="AF141" s="650">
        <f ca="1">IFERROR(HLOOKUP($AB141&amp;$AD141,NWC_FC_NOOS!$S$4:$AH$24,MATCH($Y141,NWC_FC_NOOS!$S$4:$S$24,0),FALSE),"")</f>
        <v>0</v>
      </c>
      <c r="AG141" s="650">
        <f ca="1">IFERROR(HLOOKUP($AB141&amp;$AD141,NWC_FC_NOOS!$C$50:$U$70,MATCH($Y141,NWC_FC_NOOS!$B$50:$B$70,0),FALSE),"")</f>
        <v>0</v>
      </c>
      <c r="AH141" s="650">
        <f ca="1">IFERROR(IF($AA141="NOOS",HLOOKUP(STOCK_OVERVIEW!$AB141&amp;STOCK_OVERVIEW!$AD141,PLANNING_FC!$BB$27:$BP$46,MATCH(STOCK_OVERVIEW!$Y141,PLANNING_FC!$BA$27:$BA$46,0),FALSE),HLOOKUP($AB141&amp;$AD141,PLANNING_FC!$BB$4:$BP$23,MATCH(STOCK_OVERVIEW!$Y141,PLANNING_FC!$BA$4:$BA$23,0),FALSE)),"")</f>
        <v>0</v>
      </c>
      <c r="AI141" s="650">
        <f ca="1">IFERROR(IF($AA141="NOOS",HLOOKUP(STOCK_OVERVIEW!$AB141&amp;STOCK_OVERVIEW!$AD141,PLANNING_FC!$T$27:$AH$46,MATCH(STOCK_OVERVIEW!$Y141,PLANNING_FC!$B$27:$B$46,0),FALSE),HLOOKUP($AB141&amp;$AD141,PLANNING_FC!$T$4:$AH$23,MATCH(STOCK_OVERVIEW!$Y141,PLANNING_FC!$B$4:$B$23,0),FALSE)),"")</f>
        <v>0</v>
      </c>
      <c r="AJ141" s="650">
        <f ca="1">IFERROR(IF($AA141="NOOS",HLOOKUP(STOCK_OVERVIEW!$AB141&amp;STOCK_OVERVIEW!$AD141,PLANNING_FC!$DA$27:$DO$46,MATCH(STOCK_OVERVIEW!$Y141,PLANNING_FC!$CZ$27:$CZ$46,0),FALSE),HLOOKUP($AB141&amp;$AD141,PLANNING_FC!$DA$4:$DO$23,MATCH(STOCK_OVERVIEW!$Y141,PLANNING_FC!$CZ$4:$CZ$23,0),FALSE)),"")</f>
        <v>89422</v>
      </c>
      <c r="AK141" s="651">
        <f ca="1">IFERROR(IF(AA141="NOOS",HLOOKUP(AB141&amp;AD141,PLANNING_FC!$AJ$27:$AY$47,MATCH(STOCK_OVERVIEW!Y141,PLANNING_FC!$AJ$27:$AJ$47,0),FALSE)*1000,HLOOKUP(AB141&amp;AD141,PLANNING_FC!$AJ$4:$AY$24,MATCH(STOCK_OVERVIEW!Y141,PLANNING_FC!$AJ$4:$AJ$24,0),FALSE)*1000),"")</f>
        <v>0</v>
      </c>
      <c r="AL141" s="638"/>
      <c r="AM141" s="638"/>
      <c r="AN141" s="638"/>
      <c r="AO141" s="638"/>
      <c r="AP141" s="638"/>
      <c r="AQ141" s="638"/>
      <c r="AR141" s="638"/>
      <c r="AS141" s="638"/>
    </row>
    <row r="142" spans="1:45" s="61" customFormat="1" x14ac:dyDescent="0.25">
      <c r="A142" s="62"/>
      <c r="B142" s="835"/>
      <c r="C142" s="22"/>
      <c r="D142" s="836">
        <f ca="1">$E$45</f>
        <v>588494</v>
      </c>
      <c r="E142" s="836">
        <f ca="1">$E$46</f>
        <v>0</v>
      </c>
      <c r="F142" s="22"/>
      <c r="G142" s="22"/>
      <c r="H142" s="22"/>
      <c r="I142" s="837"/>
      <c r="J142" s="576"/>
      <c r="K142" s="62"/>
      <c r="L142" s="62"/>
      <c r="M142" s="24"/>
      <c r="N142" s="206"/>
      <c r="O142" s="24"/>
      <c r="R142" s="19"/>
      <c r="S142" s="637"/>
      <c r="T142" s="637"/>
      <c r="U142" s="636"/>
      <c r="V142" s="637"/>
      <c r="W142" s="637"/>
      <c r="X142" s="200" t="str">
        <f>NWC_FC_NOOS!$B$1</f>
        <v>VM</v>
      </c>
      <c r="Y142" s="25" t="str">
        <f>NWC_FC_NOOS!$B$63</f>
        <v>SKIRTS</v>
      </c>
      <c r="Z142" s="25" t="str">
        <f t="shared" ca="1" si="16"/>
        <v>VMSKIRTS18/19May</v>
      </c>
      <c r="AA142" s="25" t="str">
        <f>NWC_FC_NOOS!$I$1</f>
        <v>NOOS</v>
      </c>
      <c r="AB142" s="25" t="str">
        <f ca="1">NWC_FC_NOOS!$G$73</f>
        <v>18/19</v>
      </c>
      <c r="AC142" s="25" t="str">
        <f ca="1">NWC_FC_NOOS!$G$74</f>
        <v>Q4</v>
      </c>
      <c r="AD142" s="25" t="str">
        <f ca="1">NWC_FC_NOOS!$G$75</f>
        <v>May</v>
      </c>
      <c r="AE142" s="649">
        <f ca="1">IFERROR(HLOOKUP($AB142&amp;$AD142,NWC_FC_NOOS!$B$4:$Q$24,MATCH($Y142,NWC_FC_NOOS!$B$4:$B$24,0),FALSE),"")</f>
        <v>0</v>
      </c>
      <c r="AF142" s="650">
        <f ca="1">IFERROR(HLOOKUP($AB142&amp;$AD142,NWC_FC_NOOS!$S$4:$AH$24,MATCH($Y142,NWC_FC_NOOS!$S$4:$S$24,0),FALSE),"")</f>
        <v>0</v>
      </c>
      <c r="AG142" s="650">
        <f ca="1">IFERROR(HLOOKUP($AB142&amp;$AD142,NWC_FC_NOOS!$C$50:$U$70,MATCH($Y142,NWC_FC_NOOS!$B$50:$B$70,0),FALSE),"")</f>
        <v>0</v>
      </c>
      <c r="AH142" s="650">
        <f ca="1">IFERROR(IF($AA142="NOOS",HLOOKUP(STOCK_OVERVIEW!$AB142&amp;STOCK_OVERVIEW!$AD142,PLANNING_FC!$BB$27:$BP$46,MATCH(STOCK_OVERVIEW!$Y142,PLANNING_FC!$BA$27:$BA$46,0),FALSE),HLOOKUP($AB142&amp;$AD142,PLANNING_FC!$BB$4:$BP$23,MATCH(STOCK_OVERVIEW!$Y142,PLANNING_FC!$BA$4:$BA$23,0),FALSE)),"")</f>
        <v>0</v>
      </c>
      <c r="AI142" s="650">
        <f ca="1">IFERROR(IF($AA142="NOOS",HLOOKUP(STOCK_OVERVIEW!$AB142&amp;STOCK_OVERVIEW!$AD142,PLANNING_FC!$T$27:$AH$46,MATCH(STOCK_OVERVIEW!$Y142,PLANNING_FC!$B$27:$B$46,0),FALSE),HLOOKUP($AB142&amp;$AD142,PLANNING_FC!$T$4:$AH$23,MATCH(STOCK_OVERVIEW!$Y142,PLANNING_FC!$B$4:$B$23,0),FALSE)),"")</f>
        <v>0</v>
      </c>
      <c r="AJ142" s="650">
        <f ca="1">IFERROR(IF($AA142="NOOS",HLOOKUP(STOCK_OVERVIEW!$AB142&amp;STOCK_OVERVIEW!$AD142,PLANNING_FC!$DA$27:$DO$46,MATCH(STOCK_OVERVIEW!$Y142,PLANNING_FC!$CZ$27:$CZ$46,0),FALSE),HLOOKUP($AB142&amp;$AD142,PLANNING_FC!$DA$4:$DO$23,MATCH(STOCK_OVERVIEW!$Y142,PLANNING_FC!$CZ$4:$CZ$23,0),FALSE)),"")</f>
        <v>89422</v>
      </c>
      <c r="AK142" s="651">
        <f ca="1">IFERROR(IF(AA142="NOOS",HLOOKUP(AB142&amp;AD142,PLANNING_FC!$AJ$27:$AY$47,MATCH(STOCK_OVERVIEW!Y142,PLANNING_FC!$AJ$27:$AJ$47,0),FALSE)*1000,HLOOKUP(AB142&amp;AD142,PLANNING_FC!$AJ$4:$AY$24,MATCH(STOCK_OVERVIEW!Y142,PLANNING_FC!$AJ$4:$AJ$24,0),FALSE)*1000),"")</f>
        <v>0</v>
      </c>
      <c r="AL142" s="638"/>
      <c r="AM142" s="638"/>
      <c r="AN142" s="638"/>
      <c r="AO142" s="638"/>
      <c r="AP142" s="638"/>
      <c r="AQ142" s="638"/>
      <c r="AR142" s="638"/>
      <c r="AS142" s="638"/>
    </row>
    <row r="143" spans="1:45" s="61" customFormat="1" x14ac:dyDescent="0.25">
      <c r="A143" s="62"/>
      <c r="B143" s="835"/>
      <c r="C143" s="22"/>
      <c r="D143" s="22"/>
      <c r="E143" s="22"/>
      <c r="F143" s="836">
        <f ca="1">$E$55</f>
        <v>5030820</v>
      </c>
      <c r="G143" s="838">
        <f ca="1">E52</f>
        <v>0</v>
      </c>
      <c r="H143" s="22"/>
      <c r="I143" s="837"/>
      <c r="J143" s="576"/>
      <c r="K143" s="62"/>
      <c r="L143" s="62"/>
      <c r="M143" s="24"/>
      <c r="N143" s="206"/>
      <c r="O143" s="24"/>
      <c r="R143" s="19"/>
      <c r="S143" s="637"/>
      <c r="T143" s="637"/>
      <c r="U143" s="636"/>
      <c r="V143" s="637"/>
      <c r="W143" s="637"/>
      <c r="X143" s="200" t="str">
        <f>NWC_FC_NOOS!$B$1</f>
        <v>VM</v>
      </c>
      <c r="Y143" s="25" t="str">
        <f>NWC_FC_NOOS!$B$63</f>
        <v>SKIRTS</v>
      </c>
      <c r="Z143" s="25" t="str">
        <f t="shared" ca="1" si="16"/>
        <v>VMSKIRTS18/19Jun</v>
      </c>
      <c r="AA143" s="25" t="str">
        <f>NWC_FC_NOOS!$I$1</f>
        <v>NOOS</v>
      </c>
      <c r="AB143" s="25" t="str">
        <f ca="1">NWC_FC_NOOS!$G$73</f>
        <v>18/19</v>
      </c>
      <c r="AC143" s="25" t="str">
        <f ca="1">NWC_FC_NOOS!$G$74</f>
        <v>Q4</v>
      </c>
      <c r="AD143" s="25" t="str">
        <f ca="1">NWC_FC_NOOS!$H$75</f>
        <v>Jun</v>
      </c>
      <c r="AE143" s="649">
        <f ca="1">IFERROR(HLOOKUP($AB143&amp;$AD143,NWC_FC_NOOS!$B$4:$Q$24,MATCH($Y143,NWC_FC_NOOS!$B$4:$B$24,0),FALSE),"")</f>
        <v>0</v>
      </c>
      <c r="AF143" s="650">
        <f ca="1">IFERROR(HLOOKUP($AB143&amp;$AD143,NWC_FC_NOOS!$S$4:$AH$24,MATCH($Y143,NWC_FC_NOOS!$S$4:$S$24,0),FALSE),"")</f>
        <v>0</v>
      </c>
      <c r="AG143" s="650">
        <f ca="1">IFERROR(HLOOKUP($AB143&amp;$AD143,NWC_FC_NOOS!$C$50:$U$70,MATCH($Y143,NWC_FC_NOOS!$B$50:$B$70,0),FALSE),"")</f>
        <v>0</v>
      </c>
      <c r="AH143" s="650">
        <f ca="1">IFERROR(IF($AA143="NOOS",HLOOKUP(STOCK_OVERVIEW!$AB143&amp;STOCK_OVERVIEW!$AD143,PLANNING_FC!$BB$27:$BP$46,MATCH(STOCK_OVERVIEW!$Y143,PLANNING_FC!$BA$27:$BA$46,0),FALSE),HLOOKUP($AB143&amp;$AD143,PLANNING_FC!$BB$4:$BP$23,MATCH(STOCK_OVERVIEW!$Y143,PLANNING_FC!$BA$4:$BA$23,0),FALSE)),"")</f>
        <v>0</v>
      </c>
      <c r="AI143" s="650">
        <f ca="1">IFERROR(IF($AA143="NOOS",HLOOKUP(STOCK_OVERVIEW!$AB143&amp;STOCK_OVERVIEW!$AD143,PLANNING_FC!$T$27:$AH$46,MATCH(STOCK_OVERVIEW!$Y143,PLANNING_FC!$B$27:$B$46,0),FALSE),HLOOKUP($AB143&amp;$AD143,PLANNING_FC!$T$4:$AH$23,MATCH(STOCK_OVERVIEW!$Y143,PLANNING_FC!$B$4:$B$23,0),FALSE)),"")</f>
        <v>0</v>
      </c>
      <c r="AJ143" s="650">
        <f ca="1">IFERROR(IF($AA143="NOOS",HLOOKUP(STOCK_OVERVIEW!$AB143&amp;STOCK_OVERVIEW!$AD143,PLANNING_FC!$DA$27:$DO$46,MATCH(STOCK_OVERVIEW!$Y143,PLANNING_FC!$CZ$27:$CZ$46,0),FALSE),HLOOKUP($AB143&amp;$AD143,PLANNING_FC!$DA$4:$DO$23,MATCH(STOCK_OVERVIEW!$Y143,PLANNING_FC!$CZ$4:$CZ$23,0),FALSE)),"")</f>
        <v>89422</v>
      </c>
      <c r="AK143" s="651">
        <f ca="1">IFERROR(IF(AA143="NOOS",HLOOKUP(AB143&amp;AD143,PLANNING_FC!$AJ$27:$AY$47,MATCH(STOCK_OVERVIEW!Y143,PLANNING_FC!$AJ$27:$AJ$47,0),FALSE)*1000,HLOOKUP(AB143&amp;AD143,PLANNING_FC!$AJ$4:$AY$24,MATCH(STOCK_OVERVIEW!Y143,PLANNING_FC!$AJ$4:$AJ$24,0),FALSE)*1000),"")</f>
        <v>0</v>
      </c>
      <c r="AL143" s="638"/>
      <c r="AM143" s="638"/>
      <c r="AN143" s="638"/>
      <c r="AO143" s="638"/>
      <c r="AP143" s="638"/>
      <c r="AQ143" s="638"/>
      <c r="AR143" s="638"/>
      <c r="AS143" s="638"/>
    </row>
    <row r="144" spans="1:45" s="61" customFormat="1" x14ac:dyDescent="0.25">
      <c r="A144" s="62"/>
      <c r="B144" s="835"/>
      <c r="C144" s="22"/>
      <c r="D144" s="22"/>
      <c r="E144" s="22"/>
      <c r="F144" s="22"/>
      <c r="G144" s="22"/>
      <c r="H144" s="836">
        <f ca="1">$E$61</f>
        <v>2236765.1804999993</v>
      </c>
      <c r="I144" s="839">
        <f ca="1">$E$58</f>
        <v>0</v>
      </c>
      <c r="J144" s="576"/>
      <c r="K144" s="62"/>
      <c r="L144" s="62"/>
      <c r="M144" s="24"/>
      <c r="N144" s="206"/>
      <c r="O144" s="24"/>
      <c r="R144" s="19"/>
      <c r="S144" s="637"/>
      <c r="T144" s="637"/>
      <c r="U144" s="636"/>
      <c r="V144" s="637"/>
      <c r="W144" s="637"/>
      <c r="X144" s="200" t="str">
        <f>NWC_FC_NOOS!$B$1</f>
        <v>VM</v>
      </c>
      <c r="Y144" s="25" t="str">
        <f>NWC_FC_NOOS!$B$63</f>
        <v>SKIRTS</v>
      </c>
      <c r="Z144" s="25" t="str">
        <f t="shared" ca="1" si="16"/>
        <v>VMSKIRTS18/19Jul</v>
      </c>
      <c r="AA144" s="25" t="str">
        <f>NWC_FC_NOOS!$I$1</f>
        <v>NOOS</v>
      </c>
      <c r="AB144" s="25" t="str">
        <f ca="1">NWC_FC_NOOS!$G$73</f>
        <v>18/19</v>
      </c>
      <c r="AC144" s="25" t="str">
        <f ca="1">NWC_FC_NOOS!$G$74</f>
        <v>Q4</v>
      </c>
      <c r="AD144" s="25" t="str">
        <f ca="1">NWC_FC_NOOS!$I$75</f>
        <v>Jul</v>
      </c>
      <c r="AE144" s="649">
        <f ca="1">IFERROR(HLOOKUP($AB144&amp;$AD144,NWC_FC_NOOS!$B$4:$Q$24,MATCH($Y144,NWC_FC_NOOS!$B$4:$B$24,0),FALSE),"")</f>
        <v>0</v>
      </c>
      <c r="AF144" s="650">
        <f ca="1">IFERROR(HLOOKUP($AB144&amp;$AD144,NWC_FC_NOOS!$S$4:$AH$24,MATCH($Y144,NWC_FC_NOOS!$S$4:$S$24,0),FALSE),"")</f>
        <v>0</v>
      </c>
      <c r="AG144" s="650">
        <f ca="1">IFERROR(HLOOKUP($AB144&amp;$AD144,NWC_FC_NOOS!$C$50:$U$70,MATCH($Y144,NWC_FC_NOOS!$B$50:$B$70,0),FALSE),"")</f>
        <v>0</v>
      </c>
      <c r="AH144" s="650">
        <f ca="1">IFERROR(IF($AA144="NOOS",HLOOKUP(STOCK_OVERVIEW!$AB144&amp;STOCK_OVERVIEW!$AD144,PLANNING_FC!$BB$27:$BP$46,MATCH(STOCK_OVERVIEW!$Y144,PLANNING_FC!$BA$27:$BA$46,0),FALSE),HLOOKUP($AB144&amp;$AD144,PLANNING_FC!$BB$4:$BP$23,MATCH(STOCK_OVERVIEW!$Y144,PLANNING_FC!$BA$4:$BA$23,0),FALSE)),"")</f>
        <v>0</v>
      </c>
      <c r="AI144" s="650">
        <f ca="1">IFERROR(IF($AA144="NOOS",HLOOKUP(STOCK_OVERVIEW!$AB144&amp;STOCK_OVERVIEW!$AD144,PLANNING_FC!$T$27:$AH$46,MATCH(STOCK_OVERVIEW!$Y144,PLANNING_FC!$B$27:$B$46,0),FALSE),HLOOKUP($AB144&amp;$AD144,PLANNING_FC!$T$4:$AH$23,MATCH(STOCK_OVERVIEW!$Y144,PLANNING_FC!$B$4:$B$23,0),FALSE)),"")</f>
        <v>0</v>
      </c>
      <c r="AJ144" s="650">
        <f ca="1">IFERROR(IF($AA144="NOOS",HLOOKUP(STOCK_OVERVIEW!$AB144&amp;STOCK_OVERVIEW!$AD144,PLANNING_FC!$DA$27:$DO$46,MATCH(STOCK_OVERVIEW!$Y144,PLANNING_FC!$CZ$27:$CZ$46,0),FALSE),HLOOKUP($AB144&amp;$AD144,PLANNING_FC!$DA$4:$DO$23,MATCH(STOCK_OVERVIEW!$Y144,PLANNING_FC!$CZ$4:$CZ$23,0),FALSE)),"")</f>
        <v>89422</v>
      </c>
      <c r="AK144" s="651">
        <f ca="1">IFERROR(IF(AA144="NOOS",HLOOKUP(AB144&amp;AD144,PLANNING_FC!$AJ$27:$AY$47,MATCH(STOCK_OVERVIEW!Y144,PLANNING_FC!$AJ$27:$AJ$47,0),FALSE)*1000,HLOOKUP(AB144&amp;AD144,PLANNING_FC!$AJ$4:$AY$24,MATCH(STOCK_OVERVIEW!Y144,PLANNING_FC!$AJ$4:$AJ$24,0),FALSE)*1000),"")</f>
        <v>0</v>
      </c>
      <c r="AL144" s="638"/>
      <c r="AM144" s="638"/>
      <c r="AN144" s="638"/>
      <c r="AO144" s="638"/>
      <c r="AP144" s="638"/>
      <c r="AQ144" s="638"/>
      <c r="AR144" s="638"/>
      <c r="AS144" s="638"/>
    </row>
    <row r="145" spans="1:45" s="61" customFormat="1" x14ac:dyDescent="0.25">
      <c r="A145" s="62"/>
      <c r="B145" s="835"/>
      <c r="C145" s="22"/>
      <c r="D145" s="22"/>
      <c r="E145" s="22"/>
      <c r="F145" s="22"/>
      <c r="G145" s="22"/>
      <c r="H145" s="22"/>
      <c r="I145" s="837"/>
      <c r="J145" s="576"/>
      <c r="K145" s="62"/>
      <c r="L145" s="62"/>
      <c r="M145" s="24"/>
      <c r="N145" s="206"/>
      <c r="O145" s="24"/>
      <c r="R145" s="19"/>
      <c r="S145" s="637"/>
      <c r="T145" s="637"/>
      <c r="U145" s="636"/>
      <c r="V145" s="637"/>
      <c r="W145" s="637"/>
      <c r="X145" s="200" t="str">
        <f>NWC_FC_NOOS!$B$1</f>
        <v>VM</v>
      </c>
      <c r="Y145" s="25" t="str">
        <f>NWC_FC_NOOS!$B$63</f>
        <v>SKIRTS</v>
      </c>
      <c r="Z145" s="25" t="str">
        <f t="shared" ca="1" si="16"/>
        <v>VMSKIRTS19/20Aug</v>
      </c>
      <c r="AA145" s="25" t="str">
        <f>NWC_FC_NOOS!$I$1</f>
        <v>NOOS</v>
      </c>
      <c r="AB145" s="25" t="str">
        <f ca="1">NWC_FC_NOOS!$K$73</f>
        <v>19/20</v>
      </c>
      <c r="AC145" s="25" t="str">
        <f ca="1">NWC_FC_NOOS!$K$74</f>
        <v>Q1</v>
      </c>
      <c r="AD145" s="25" t="str">
        <f ca="1">NWC_FC_NOOS!$K$75</f>
        <v>Aug</v>
      </c>
      <c r="AE145" s="649">
        <f ca="1">IFERROR(HLOOKUP($AB145&amp;$AD145,NWC_FC_NOOS!$B$4:$Q$24,MATCH($Y145,NWC_FC_NOOS!$B$4:$B$24,0),FALSE),"")</f>
        <v>0</v>
      </c>
      <c r="AF145" s="650">
        <f ca="1">IFERROR(HLOOKUP($AB145&amp;$AD145,NWC_FC_NOOS!$S$4:$AH$24,MATCH($Y145,NWC_FC_NOOS!$S$4:$S$24,0),FALSE),"")</f>
        <v>0</v>
      </c>
      <c r="AG145" s="650">
        <f ca="1">IFERROR(HLOOKUP($AB145&amp;$AD145,NWC_FC_NOOS!$C$50:$U$70,MATCH($Y145,NWC_FC_NOOS!$B$50:$B$70,0),FALSE),"")</f>
        <v>0</v>
      </c>
      <c r="AH145" s="650">
        <f ca="1">IFERROR(IF($AA145="NOOS",HLOOKUP(STOCK_OVERVIEW!$AB145&amp;STOCK_OVERVIEW!$AD145,PLANNING_FC!$BB$27:$BP$46,MATCH(STOCK_OVERVIEW!$Y145,PLANNING_FC!$BA$27:$BA$46,0),FALSE),HLOOKUP($AB145&amp;$AD145,PLANNING_FC!$BB$4:$BP$23,MATCH(STOCK_OVERVIEW!$Y145,PLANNING_FC!$BA$4:$BA$23,0),FALSE)),"")</f>
        <v>0</v>
      </c>
      <c r="AI145" s="650">
        <f ca="1">IFERROR(IF($AA145="NOOS",HLOOKUP(STOCK_OVERVIEW!$AB145&amp;STOCK_OVERVIEW!$AD145,PLANNING_FC!$T$27:$AH$46,MATCH(STOCK_OVERVIEW!$Y145,PLANNING_FC!$B$27:$B$46,0),FALSE),HLOOKUP($AB145&amp;$AD145,PLANNING_FC!$T$4:$AH$23,MATCH(STOCK_OVERVIEW!$Y145,PLANNING_FC!$B$4:$B$23,0),FALSE)),"")</f>
        <v>0</v>
      </c>
      <c r="AJ145" s="650">
        <f ca="1">IFERROR(IF($AA145="NOOS",HLOOKUP(STOCK_OVERVIEW!$AB145&amp;STOCK_OVERVIEW!$AD145,PLANNING_FC!$DA$27:$DO$46,MATCH(STOCK_OVERVIEW!$Y145,PLANNING_FC!$CZ$27:$CZ$46,0),FALSE),HLOOKUP($AB145&amp;$AD145,PLANNING_FC!$DA$4:$DO$23,MATCH(STOCK_OVERVIEW!$Y145,PLANNING_FC!$CZ$4:$CZ$23,0),FALSE)),"")</f>
        <v>89422</v>
      </c>
      <c r="AK145" s="651">
        <f ca="1">IFERROR(IF(AA145="NOOS",HLOOKUP(AB145&amp;AD145,PLANNING_FC!$AJ$27:$AY$47,MATCH(STOCK_OVERVIEW!Y145,PLANNING_FC!$AJ$27:$AJ$47,0),FALSE)*1000,HLOOKUP(AB145&amp;AD145,PLANNING_FC!$AJ$4:$AY$24,MATCH(STOCK_OVERVIEW!Y145,PLANNING_FC!$AJ$4:$AJ$24,0),FALSE)*1000),"")</f>
        <v>0</v>
      </c>
      <c r="AL145" s="638"/>
      <c r="AM145" s="638"/>
      <c r="AN145" s="638"/>
      <c r="AO145" s="638"/>
      <c r="AP145" s="638"/>
      <c r="AQ145" s="638"/>
      <c r="AR145" s="638"/>
      <c r="AS145" s="638"/>
    </row>
    <row r="146" spans="1:45" s="61" customFormat="1" x14ac:dyDescent="0.25">
      <c r="A146" s="62"/>
      <c r="B146" s="835" t="str">
        <f ca="1">$G$40</f>
        <v>May</v>
      </c>
      <c r="C146" s="836">
        <f ca="1">$G$42</f>
        <v>0</v>
      </c>
      <c r="D146" s="22"/>
      <c r="E146" s="22"/>
      <c r="F146" s="22"/>
      <c r="G146" s="22"/>
      <c r="H146" s="22"/>
      <c r="I146" s="837"/>
      <c r="J146" s="576"/>
      <c r="K146" s="62"/>
      <c r="L146" s="62"/>
      <c r="M146" s="24"/>
      <c r="N146" s="206"/>
      <c r="O146" s="24"/>
      <c r="R146" s="19"/>
      <c r="S146" s="637"/>
      <c r="T146" s="637"/>
      <c r="U146" s="636"/>
      <c r="V146" s="637"/>
      <c r="W146" s="637"/>
      <c r="X146" s="200" t="str">
        <f>NWC_FC_NOOS!$B$1</f>
        <v>VM</v>
      </c>
      <c r="Y146" s="25" t="str">
        <f>NWC_FC_NOOS!$B$63</f>
        <v>SKIRTS</v>
      </c>
      <c r="Z146" s="25" t="str">
        <f t="shared" ca="1" si="16"/>
        <v>VMSKIRTS19/20Sep</v>
      </c>
      <c r="AA146" s="25" t="str">
        <f>NWC_FC_NOOS!$I$1</f>
        <v>NOOS</v>
      </c>
      <c r="AB146" s="25" t="str">
        <f ca="1">NWC_FC_NOOS!$K$73</f>
        <v>19/20</v>
      </c>
      <c r="AC146" s="25" t="str">
        <f ca="1">NWC_FC_NOOS!$K$74</f>
        <v>Q1</v>
      </c>
      <c r="AD146" s="25" t="str">
        <f ca="1">NWC_FC_NOOS!$L$75</f>
        <v>Sep</v>
      </c>
      <c r="AE146" s="649">
        <f ca="1">IFERROR(HLOOKUP($AB146&amp;$AD146,NWC_FC_NOOS!$B$4:$Q$24,MATCH($Y146,NWC_FC_NOOS!$B$4:$B$24,0),FALSE),"")</f>
        <v>0</v>
      </c>
      <c r="AF146" s="650">
        <f ca="1">IFERROR(HLOOKUP($AB146&amp;$AD146,NWC_FC_NOOS!$S$4:$AH$24,MATCH($Y146,NWC_FC_NOOS!$S$4:$S$24,0),FALSE),"")</f>
        <v>0</v>
      </c>
      <c r="AG146" s="650">
        <f ca="1">IFERROR(HLOOKUP($AB146&amp;$AD146,NWC_FC_NOOS!$C$50:$U$70,MATCH($Y146,NWC_FC_NOOS!$B$50:$B$70,0),FALSE),"")</f>
        <v>0</v>
      </c>
      <c r="AH146" s="650">
        <f ca="1">IFERROR(IF($AA146="NOOS",HLOOKUP(STOCK_OVERVIEW!$AB146&amp;STOCK_OVERVIEW!$AD146,PLANNING_FC!$BB$27:$BP$46,MATCH(STOCK_OVERVIEW!$Y146,PLANNING_FC!$BA$27:$BA$46,0),FALSE),HLOOKUP($AB146&amp;$AD146,PLANNING_FC!$BB$4:$BP$23,MATCH(STOCK_OVERVIEW!$Y146,PLANNING_FC!$BA$4:$BA$23,0),FALSE)),"")</f>
        <v>0</v>
      </c>
      <c r="AI146" s="650">
        <f ca="1">IFERROR(IF($AA146="NOOS",HLOOKUP(STOCK_OVERVIEW!$AB146&amp;STOCK_OVERVIEW!$AD146,PLANNING_FC!$T$27:$AH$46,MATCH(STOCK_OVERVIEW!$Y146,PLANNING_FC!$B$27:$B$46,0),FALSE),HLOOKUP($AB146&amp;$AD146,PLANNING_FC!$T$4:$AH$23,MATCH(STOCK_OVERVIEW!$Y146,PLANNING_FC!$B$4:$B$23,0),FALSE)),"")</f>
        <v>0</v>
      </c>
      <c r="AJ146" s="650">
        <f ca="1">IFERROR(IF($AA146="NOOS",HLOOKUP(STOCK_OVERVIEW!$AB146&amp;STOCK_OVERVIEW!$AD146,PLANNING_FC!$DA$27:$DO$46,MATCH(STOCK_OVERVIEW!$Y146,PLANNING_FC!$CZ$27:$CZ$46,0),FALSE),HLOOKUP($AB146&amp;$AD146,PLANNING_FC!$DA$4:$DO$23,MATCH(STOCK_OVERVIEW!$Y146,PLANNING_FC!$CZ$4:$CZ$23,0),FALSE)),"")</f>
        <v>89422</v>
      </c>
      <c r="AK146" s="651">
        <f ca="1">IFERROR(IF(AA146="NOOS",HLOOKUP(AB146&amp;AD146,PLANNING_FC!$AJ$27:$AY$47,MATCH(STOCK_OVERVIEW!Y146,PLANNING_FC!$AJ$27:$AJ$47,0),FALSE)*1000,HLOOKUP(AB146&amp;AD146,PLANNING_FC!$AJ$4:$AY$24,MATCH(STOCK_OVERVIEW!Y146,PLANNING_FC!$AJ$4:$AJ$24,0),FALSE)*1000),"")</f>
        <v>0</v>
      </c>
      <c r="AL146" s="638"/>
      <c r="AM146" s="638"/>
      <c r="AN146" s="638"/>
      <c r="AO146" s="638"/>
      <c r="AP146" s="638"/>
      <c r="AQ146" s="638"/>
      <c r="AR146" s="638"/>
      <c r="AS146" s="638"/>
    </row>
    <row r="147" spans="1:45" s="61" customFormat="1" x14ac:dyDescent="0.25">
      <c r="A147" s="62"/>
      <c r="B147" s="835"/>
      <c r="C147" s="22"/>
      <c r="D147" s="836">
        <f ca="1">$G$45</f>
        <v>232651</v>
      </c>
      <c r="E147" s="836">
        <f ca="1">$G$46</f>
        <v>0</v>
      </c>
      <c r="F147" s="22"/>
      <c r="G147" s="22"/>
      <c r="H147" s="22"/>
      <c r="I147" s="837"/>
      <c r="J147" s="576"/>
      <c r="K147" s="62"/>
      <c r="L147" s="62"/>
      <c r="M147" s="24"/>
      <c r="N147" s="206"/>
      <c r="O147" s="24"/>
      <c r="R147" s="19"/>
      <c r="S147" s="637"/>
      <c r="T147" s="637"/>
      <c r="U147" s="636"/>
      <c r="V147" s="637"/>
      <c r="W147" s="637"/>
      <c r="X147" s="200" t="str">
        <f>NWC_FC_NOOS!$B$1</f>
        <v>VM</v>
      </c>
      <c r="Y147" s="25" t="str">
        <f>NWC_FC_NOOS!$B$63</f>
        <v>SKIRTS</v>
      </c>
      <c r="Z147" s="25" t="str">
        <f t="shared" ca="1" si="16"/>
        <v>VMSKIRTS19/20Oct</v>
      </c>
      <c r="AA147" s="25" t="str">
        <f>NWC_FC_NOOS!$I$1</f>
        <v>NOOS</v>
      </c>
      <c r="AB147" s="25" t="str">
        <f ca="1">NWC_FC_NOOS!$K$73</f>
        <v>19/20</v>
      </c>
      <c r="AC147" s="25" t="str">
        <f ca="1">NWC_FC_NOOS!$K$74</f>
        <v>Q1</v>
      </c>
      <c r="AD147" s="25" t="str">
        <f ca="1">NWC_FC_NOOS!$M$75</f>
        <v>Oct</v>
      </c>
      <c r="AE147" s="649">
        <f ca="1">IFERROR(HLOOKUP($AB147&amp;$AD147,NWC_FC_NOOS!$B$4:$Q$24,MATCH($Y147,NWC_FC_NOOS!$B$4:$B$24,0),FALSE),"")</f>
        <v>0</v>
      </c>
      <c r="AF147" s="650">
        <f ca="1">IFERROR(HLOOKUP($AB147&amp;$AD147,NWC_FC_NOOS!$S$4:$AH$24,MATCH($Y147,NWC_FC_NOOS!$S$4:$S$24,0),FALSE),"")</f>
        <v>0</v>
      </c>
      <c r="AG147" s="650">
        <f ca="1">IFERROR(HLOOKUP($AB147&amp;$AD147,NWC_FC_NOOS!$C$50:$U$70,MATCH($Y147,NWC_FC_NOOS!$B$50:$B$70,0),FALSE),"")</f>
        <v>0</v>
      </c>
      <c r="AH147" s="650">
        <f ca="1">IFERROR(IF($AA147="NOOS",HLOOKUP(STOCK_OVERVIEW!$AB147&amp;STOCK_OVERVIEW!$AD147,PLANNING_FC!$BB$27:$BP$46,MATCH(STOCK_OVERVIEW!$Y147,PLANNING_FC!$BA$27:$BA$46,0),FALSE),HLOOKUP($AB147&amp;$AD147,PLANNING_FC!$BB$4:$BP$23,MATCH(STOCK_OVERVIEW!$Y147,PLANNING_FC!$BA$4:$BA$23,0),FALSE)),"")</f>
        <v>0</v>
      </c>
      <c r="AI147" s="650">
        <f ca="1">IFERROR(IF($AA147="NOOS",HLOOKUP(STOCK_OVERVIEW!$AB147&amp;STOCK_OVERVIEW!$AD147,PLANNING_FC!$T$27:$AH$46,MATCH(STOCK_OVERVIEW!$Y147,PLANNING_FC!$B$27:$B$46,0),FALSE),HLOOKUP($AB147&amp;$AD147,PLANNING_FC!$T$4:$AH$23,MATCH(STOCK_OVERVIEW!$Y147,PLANNING_FC!$B$4:$B$23,0),FALSE)),"")</f>
        <v>0</v>
      </c>
      <c r="AJ147" s="650">
        <f ca="1">IFERROR(IF($AA147="NOOS",HLOOKUP(STOCK_OVERVIEW!$AB147&amp;STOCK_OVERVIEW!$AD147,PLANNING_FC!$DA$27:$DO$46,MATCH(STOCK_OVERVIEW!$Y147,PLANNING_FC!$CZ$27:$CZ$46,0),FALSE),HLOOKUP($AB147&amp;$AD147,PLANNING_FC!$DA$4:$DO$23,MATCH(STOCK_OVERVIEW!$Y147,PLANNING_FC!$CZ$4:$CZ$23,0),FALSE)),"")</f>
        <v>89422</v>
      </c>
      <c r="AK147" s="651">
        <f ca="1">IFERROR(IF(AA147="NOOS",HLOOKUP(AB147&amp;AD147,PLANNING_FC!$AJ$27:$AY$47,MATCH(STOCK_OVERVIEW!Y147,PLANNING_FC!$AJ$27:$AJ$47,0),FALSE)*1000,HLOOKUP(AB147&amp;AD147,PLANNING_FC!$AJ$4:$AY$24,MATCH(STOCK_OVERVIEW!Y147,PLANNING_FC!$AJ$4:$AJ$24,0),FALSE)*1000),"")</f>
        <v>0</v>
      </c>
      <c r="AL147" s="638"/>
      <c r="AM147" s="638"/>
      <c r="AN147" s="638"/>
      <c r="AO147" s="638"/>
      <c r="AP147" s="638"/>
      <c r="AQ147" s="638"/>
      <c r="AR147" s="638"/>
      <c r="AS147" s="638"/>
    </row>
    <row r="148" spans="1:45" s="61" customFormat="1" x14ac:dyDescent="0.25">
      <c r="A148" s="62"/>
      <c r="B148" s="835"/>
      <c r="C148" s="22"/>
      <c r="D148" s="22"/>
      <c r="E148" s="22"/>
      <c r="F148" s="836">
        <f ca="1">$G$55</f>
        <v>5263471</v>
      </c>
      <c r="G148" s="838">
        <f ca="1">G52</f>
        <v>0</v>
      </c>
      <c r="H148" s="22"/>
      <c r="I148" s="837"/>
      <c r="J148" s="576"/>
      <c r="K148" s="62"/>
      <c r="L148" s="62"/>
      <c r="M148" s="24"/>
      <c r="N148" s="206"/>
      <c r="O148" s="24"/>
      <c r="R148" s="19"/>
      <c r="S148" s="637"/>
      <c r="T148" s="637"/>
      <c r="U148" s="636"/>
      <c r="V148" s="637"/>
      <c r="W148" s="637"/>
      <c r="X148" s="200" t="str">
        <f>NWC_FC_NOOS!$B$1</f>
        <v>VM</v>
      </c>
      <c r="Y148" s="25" t="str">
        <f>NWC_FC_NOOS!$B$63</f>
        <v>SKIRTS</v>
      </c>
      <c r="Z148" s="25" t="str">
        <f t="shared" ca="1" si="16"/>
        <v>VMSKIRTS19/20Nov</v>
      </c>
      <c r="AA148" s="25" t="str">
        <f>NWC_FC_NOOS!$I$1</f>
        <v>NOOS</v>
      </c>
      <c r="AB148" s="25" t="str">
        <f ca="1">NWC_FC_NOOS!$O$73</f>
        <v>19/20</v>
      </c>
      <c r="AC148" s="25" t="str">
        <f ca="1">NWC_FC_NOOS!$O$74</f>
        <v>Q2</v>
      </c>
      <c r="AD148" s="25" t="str">
        <f ca="1">NWC_FC_NOOS!$O$75</f>
        <v>Nov</v>
      </c>
      <c r="AE148" s="649">
        <f ca="1">IFERROR(HLOOKUP($AB148&amp;$AD148,NWC_FC_NOOS!$B$4:$Q$24,MATCH($Y148,NWC_FC_NOOS!$B$4:$B$24,0),FALSE),"")</f>
        <v>0</v>
      </c>
      <c r="AF148" s="650">
        <f ca="1">IFERROR(HLOOKUP($AB148&amp;$AD148,NWC_FC_NOOS!$S$4:$AH$24,MATCH($Y148,NWC_FC_NOOS!$S$4:$S$24,0),FALSE),"")</f>
        <v>0</v>
      </c>
      <c r="AG148" s="650">
        <f ca="1">IFERROR(HLOOKUP($AB148&amp;$AD148,NWC_FC_NOOS!$C$50:$U$70,MATCH($Y148,NWC_FC_NOOS!$B$50:$B$70,0),FALSE),"")</f>
        <v>0</v>
      </c>
      <c r="AH148" s="650">
        <f ca="1">IFERROR(IF($AA148="NOOS",HLOOKUP(STOCK_OVERVIEW!$AB148&amp;STOCK_OVERVIEW!$AD148,PLANNING_FC!$BB$27:$BP$46,MATCH(STOCK_OVERVIEW!$Y148,PLANNING_FC!$BA$27:$BA$46,0),FALSE),HLOOKUP($AB148&amp;$AD148,PLANNING_FC!$BB$4:$BP$23,MATCH(STOCK_OVERVIEW!$Y148,PLANNING_FC!$BA$4:$BA$23,0),FALSE)),"")</f>
        <v>0</v>
      </c>
      <c r="AI148" s="650">
        <f ca="1">IFERROR(IF($AA148="NOOS",HLOOKUP(STOCK_OVERVIEW!$AB148&amp;STOCK_OVERVIEW!$AD148,PLANNING_FC!$T$27:$AH$46,MATCH(STOCK_OVERVIEW!$Y148,PLANNING_FC!$B$27:$B$46,0),FALSE),HLOOKUP($AB148&amp;$AD148,PLANNING_FC!$T$4:$AH$23,MATCH(STOCK_OVERVIEW!$Y148,PLANNING_FC!$B$4:$B$23,0),FALSE)),"")</f>
        <v>0</v>
      </c>
      <c r="AJ148" s="650">
        <f ca="1">IFERROR(IF($AA148="NOOS",HLOOKUP(STOCK_OVERVIEW!$AB148&amp;STOCK_OVERVIEW!$AD148,PLANNING_FC!$DA$27:$DO$46,MATCH(STOCK_OVERVIEW!$Y148,PLANNING_FC!$CZ$27:$CZ$46,0),FALSE),HLOOKUP($AB148&amp;$AD148,PLANNING_FC!$DA$4:$DO$23,MATCH(STOCK_OVERVIEW!$Y148,PLANNING_FC!$CZ$4:$CZ$23,0),FALSE)),"")</f>
        <v>89422</v>
      </c>
      <c r="AK148" s="651">
        <f ca="1">IFERROR(IF(AA148="NOOS",HLOOKUP(AB148&amp;AD148,PLANNING_FC!$AJ$27:$AY$47,MATCH(STOCK_OVERVIEW!Y148,PLANNING_FC!$AJ$27:$AJ$47,0),FALSE)*1000,HLOOKUP(AB148&amp;AD148,PLANNING_FC!$AJ$4:$AY$24,MATCH(STOCK_OVERVIEW!Y148,PLANNING_FC!$AJ$4:$AJ$24,0),FALSE)*1000),"")</f>
        <v>0</v>
      </c>
      <c r="AL148" s="638"/>
      <c r="AM148" s="638"/>
      <c r="AN148" s="638"/>
      <c r="AO148" s="638"/>
      <c r="AP148" s="638"/>
      <c r="AQ148" s="638"/>
      <c r="AR148" s="638"/>
      <c r="AS148" s="638"/>
    </row>
    <row r="149" spans="1:45" s="61" customFormat="1" x14ac:dyDescent="0.25">
      <c r="A149" s="62"/>
      <c r="B149" s="835"/>
      <c r="C149" s="22"/>
      <c r="D149" s="22"/>
      <c r="E149" s="22"/>
      <c r="F149" s="22"/>
      <c r="G149" s="22"/>
      <c r="H149" s="836">
        <f ca="1">$G$61</f>
        <v>2345813.8928999989</v>
      </c>
      <c r="I149" s="839">
        <f ca="1">$G$58</f>
        <v>0</v>
      </c>
      <c r="J149" s="576"/>
      <c r="K149" s="62"/>
      <c r="L149" s="62"/>
      <c r="M149" s="24"/>
      <c r="N149" s="206"/>
      <c r="O149" s="24"/>
      <c r="R149" s="19"/>
      <c r="S149" s="637"/>
      <c r="T149" s="637"/>
      <c r="U149" s="636"/>
      <c r="V149" s="637"/>
      <c r="W149" s="637"/>
      <c r="X149" s="200" t="str">
        <f>NWC_FC_NOOS!$B$1</f>
        <v>VM</v>
      </c>
      <c r="Y149" s="25" t="str">
        <f>NWC_FC_NOOS!$B$63</f>
        <v>SKIRTS</v>
      </c>
      <c r="Z149" s="25" t="str">
        <f t="shared" ca="1" si="16"/>
        <v>VMSKIRTS19/20Dec</v>
      </c>
      <c r="AA149" s="25" t="str">
        <f>NWC_FC_NOOS!$I$1</f>
        <v>NOOS</v>
      </c>
      <c r="AB149" s="25" t="str">
        <f ca="1">NWC_FC_NOOS!$O$73</f>
        <v>19/20</v>
      </c>
      <c r="AC149" s="25" t="str">
        <f ca="1">NWC_FC_NOOS!$O$74</f>
        <v>Q2</v>
      </c>
      <c r="AD149" s="25" t="str">
        <f ca="1">NWC_FC_NOOS!$P$75</f>
        <v>Dec</v>
      </c>
      <c r="AE149" s="649">
        <f ca="1">IFERROR(HLOOKUP($AB149&amp;$AD149,NWC_FC_NOOS!$B$4:$Q$24,MATCH($Y149,NWC_FC_NOOS!$B$4:$B$24,0),FALSE),"")</f>
        <v>0</v>
      </c>
      <c r="AF149" s="650">
        <f ca="1">IFERROR(HLOOKUP($AB149&amp;$AD149,NWC_FC_NOOS!$S$4:$AH$24,MATCH($Y149,NWC_FC_NOOS!$S$4:$S$24,0),FALSE),"")</f>
        <v>0</v>
      </c>
      <c r="AG149" s="650">
        <f ca="1">IFERROR(HLOOKUP($AB149&amp;$AD149,NWC_FC_NOOS!$C$50:$U$70,MATCH($Y149,NWC_FC_NOOS!$B$50:$B$70,0),FALSE),"")</f>
        <v>0</v>
      </c>
      <c r="AH149" s="650">
        <f ca="1">IFERROR(IF($AA149="NOOS",HLOOKUP(STOCK_OVERVIEW!$AB149&amp;STOCK_OVERVIEW!$AD149,PLANNING_FC!$BB$27:$BP$46,MATCH(STOCK_OVERVIEW!$Y149,PLANNING_FC!$BA$27:$BA$46,0),FALSE),HLOOKUP($AB149&amp;$AD149,PLANNING_FC!$BB$4:$BP$23,MATCH(STOCK_OVERVIEW!$Y149,PLANNING_FC!$BA$4:$BA$23,0),FALSE)),"")</f>
        <v>0</v>
      </c>
      <c r="AI149" s="650">
        <f ca="1">IFERROR(IF($AA149="NOOS",HLOOKUP(STOCK_OVERVIEW!$AB149&amp;STOCK_OVERVIEW!$AD149,PLANNING_FC!$T$27:$AH$46,MATCH(STOCK_OVERVIEW!$Y149,PLANNING_FC!$B$27:$B$46,0),FALSE),HLOOKUP($AB149&amp;$AD149,PLANNING_FC!$T$4:$AH$23,MATCH(STOCK_OVERVIEW!$Y149,PLANNING_FC!$B$4:$B$23,0),FALSE)),"")</f>
        <v>0</v>
      </c>
      <c r="AJ149" s="650">
        <f ca="1">IFERROR(IF($AA149="NOOS",HLOOKUP(STOCK_OVERVIEW!$AB149&amp;STOCK_OVERVIEW!$AD149,PLANNING_FC!$DA$27:$DO$46,MATCH(STOCK_OVERVIEW!$Y149,PLANNING_FC!$CZ$27:$CZ$46,0),FALSE),HLOOKUP($AB149&amp;$AD149,PLANNING_FC!$DA$4:$DO$23,MATCH(STOCK_OVERVIEW!$Y149,PLANNING_FC!$CZ$4:$CZ$23,0),FALSE)),"")</f>
        <v>89422</v>
      </c>
      <c r="AK149" s="651">
        <f ca="1">IFERROR(IF(AA149="NOOS",HLOOKUP(AB149&amp;AD149,PLANNING_FC!$AJ$27:$AY$47,MATCH(STOCK_OVERVIEW!Y149,PLANNING_FC!$AJ$27:$AJ$47,0),FALSE)*1000,HLOOKUP(AB149&amp;AD149,PLANNING_FC!$AJ$4:$AY$24,MATCH(STOCK_OVERVIEW!Y149,PLANNING_FC!$AJ$4:$AJ$24,0),FALSE)*1000),"")</f>
        <v>0</v>
      </c>
      <c r="AL149" s="638"/>
      <c r="AM149" s="638"/>
      <c r="AN149" s="638"/>
      <c r="AO149" s="638"/>
      <c r="AP149" s="638"/>
      <c r="AQ149" s="638"/>
      <c r="AR149" s="638"/>
      <c r="AS149" s="638"/>
    </row>
    <row r="150" spans="1:45" s="61" customFormat="1" x14ac:dyDescent="0.25">
      <c r="A150" s="62"/>
      <c r="B150" s="835"/>
      <c r="C150" s="22"/>
      <c r="D150" s="22"/>
      <c r="E150" s="22"/>
      <c r="F150" s="22"/>
      <c r="G150" s="22"/>
      <c r="H150" s="22"/>
      <c r="I150" s="837"/>
      <c r="J150" s="576"/>
      <c r="K150" s="62"/>
      <c r="L150" s="62"/>
      <c r="M150" s="24"/>
      <c r="N150" s="206"/>
      <c r="O150" s="24"/>
      <c r="R150" s="19"/>
      <c r="S150" s="637"/>
      <c r="T150" s="637"/>
      <c r="U150" s="636"/>
      <c r="V150" s="637"/>
      <c r="W150" s="637"/>
      <c r="X150" s="200" t="str">
        <f>NWC_FC_NOOS!$B$1</f>
        <v>VM</v>
      </c>
      <c r="Y150" s="25" t="str">
        <f>NWC_FC_NOOS!$B$63</f>
        <v>SKIRTS</v>
      </c>
      <c r="Z150" s="25" t="str">
        <f t="shared" ca="1" si="16"/>
        <v>VMSKIRTS19/20Jan</v>
      </c>
      <c r="AA150" s="25" t="str">
        <f>NWC_FC_NOOS!$I$1</f>
        <v>NOOS</v>
      </c>
      <c r="AB150" s="25" t="str">
        <f ca="1">NWC_FC_NOOS!$O$73</f>
        <v>19/20</v>
      </c>
      <c r="AC150" s="25" t="str">
        <f ca="1">NWC_FC_NOOS!$O$74</f>
        <v>Q2</v>
      </c>
      <c r="AD150" s="25" t="str">
        <f ca="1">NWC_FC_NOOS!$Q$75</f>
        <v>Jan</v>
      </c>
      <c r="AE150" s="649">
        <f ca="1">IFERROR(HLOOKUP($AB150&amp;$AD150,NWC_FC_NOOS!$B$4:$Q$24,MATCH($Y150,NWC_FC_NOOS!$B$4:$B$24,0),FALSE),"")</f>
        <v>0</v>
      </c>
      <c r="AF150" s="650">
        <f ca="1">IFERROR(HLOOKUP($AB150&amp;$AD150,NWC_FC_NOOS!$S$4:$AH$24,MATCH($Y150,NWC_FC_NOOS!$S$4:$S$24,0),FALSE),"")</f>
        <v>0</v>
      </c>
      <c r="AG150" s="650">
        <f ca="1">IFERROR(HLOOKUP($AB150&amp;$AD150,NWC_FC_NOOS!$C$50:$U$70,MATCH($Y150,NWC_FC_NOOS!$B$50:$B$70,0),FALSE),"")</f>
        <v>0</v>
      </c>
      <c r="AH150" s="650">
        <f ca="1">IFERROR(IF($AA150="NOOS",HLOOKUP(STOCK_OVERVIEW!$AB150&amp;STOCK_OVERVIEW!$AD150,PLANNING_FC!$BB$27:$BP$46,MATCH(STOCK_OVERVIEW!$Y150,PLANNING_FC!$BA$27:$BA$46,0),FALSE),HLOOKUP($AB150&amp;$AD150,PLANNING_FC!$BB$4:$BP$23,MATCH(STOCK_OVERVIEW!$Y150,PLANNING_FC!$BA$4:$BA$23,0),FALSE)),"")</f>
        <v>0</v>
      </c>
      <c r="AI150" s="650">
        <f ca="1">IFERROR(IF($AA150="NOOS",HLOOKUP(STOCK_OVERVIEW!$AB150&amp;STOCK_OVERVIEW!$AD150,PLANNING_FC!$T$27:$AH$46,MATCH(STOCK_OVERVIEW!$Y150,PLANNING_FC!$B$27:$B$46,0),FALSE),HLOOKUP($AB150&amp;$AD150,PLANNING_FC!$T$4:$AH$23,MATCH(STOCK_OVERVIEW!$Y150,PLANNING_FC!$B$4:$B$23,0),FALSE)),"")</f>
        <v>0</v>
      </c>
      <c r="AJ150" s="650">
        <f ca="1">IFERROR(IF($AA150="NOOS",HLOOKUP(STOCK_OVERVIEW!$AB150&amp;STOCK_OVERVIEW!$AD150,PLANNING_FC!$DA$27:$DO$46,MATCH(STOCK_OVERVIEW!$Y150,PLANNING_FC!$CZ$27:$CZ$46,0),FALSE),HLOOKUP($AB150&amp;$AD150,PLANNING_FC!$DA$4:$DO$23,MATCH(STOCK_OVERVIEW!$Y150,PLANNING_FC!$CZ$4:$CZ$23,0),FALSE)),"")</f>
        <v>89422</v>
      </c>
      <c r="AK150" s="651">
        <f ca="1">IFERROR(IF(AA150="NOOS",HLOOKUP(AB150&amp;AD150,PLANNING_FC!$AJ$27:$AY$47,MATCH(STOCK_OVERVIEW!Y150,PLANNING_FC!$AJ$27:$AJ$47,0),FALSE)*1000,HLOOKUP(AB150&amp;AD150,PLANNING_FC!$AJ$4:$AY$24,MATCH(STOCK_OVERVIEW!Y150,PLANNING_FC!$AJ$4:$AJ$24,0),FALSE)*1000),"")</f>
        <v>0</v>
      </c>
      <c r="AL150" s="638"/>
      <c r="AM150" s="638"/>
      <c r="AN150" s="638"/>
      <c r="AO150" s="638"/>
      <c r="AP150" s="638"/>
      <c r="AQ150" s="638"/>
      <c r="AR150" s="638"/>
      <c r="AS150" s="638"/>
    </row>
    <row r="151" spans="1:45" s="61" customFormat="1" x14ac:dyDescent="0.25">
      <c r="A151" s="62"/>
      <c r="B151" s="835" t="str">
        <f ca="1">$H$40</f>
        <v>Jun</v>
      </c>
      <c r="C151" s="836">
        <f ca="1">$H$42</f>
        <v>0</v>
      </c>
      <c r="D151" s="22"/>
      <c r="E151" s="22"/>
      <c r="F151" s="22"/>
      <c r="G151" s="22"/>
      <c r="H151" s="22"/>
      <c r="I151" s="837"/>
      <c r="J151" s="576"/>
      <c r="K151" s="62"/>
      <c r="L151" s="62"/>
      <c r="M151" s="24"/>
      <c r="N151" s="206"/>
      <c r="O151" s="24"/>
      <c r="R151" s="19"/>
      <c r="S151" s="637"/>
      <c r="T151" s="637"/>
      <c r="U151" s="636"/>
      <c r="V151" s="637"/>
      <c r="W151" s="637"/>
      <c r="X151" s="200" t="str">
        <f>NWC_FC_NOOS!$B$1</f>
        <v>VM</v>
      </c>
      <c r="Y151" s="25" t="str">
        <f>NWC_FC_NOOS!$B$63</f>
        <v>SKIRTS</v>
      </c>
      <c r="Z151" s="25" t="str">
        <f t="shared" ca="1" si="16"/>
        <v>VMSKIRTS19/20Feb</v>
      </c>
      <c r="AA151" s="25" t="str">
        <f>NWC_FC_NOOS!$I$1</f>
        <v>NOOS</v>
      </c>
      <c r="AB151" s="25" t="str">
        <f ca="1">NWC_FC_NOOS!$S$73</f>
        <v>19/20</v>
      </c>
      <c r="AC151" s="25" t="str">
        <f ca="1">NWC_FC_NOOS!$S$74</f>
        <v>Q3</v>
      </c>
      <c r="AD151" s="25" t="str">
        <f ca="1">NWC_FC_NOOS!$S$75</f>
        <v>Feb</v>
      </c>
      <c r="AE151" s="649" t="str">
        <f ca="1">IFERROR(HLOOKUP($AB151&amp;$AD151,NWC_FC_NOOS!$B$4:$Q$24,MATCH($Y151,NWC_FC_NOOS!$B$4:$B$24,0),FALSE),"")</f>
        <v/>
      </c>
      <c r="AF151" s="650" t="str">
        <f ca="1">IFERROR(HLOOKUP($AB151&amp;$AD151,NWC_FC_NOOS!$S$4:$AH$24,MATCH($Y151,NWC_FC_NOOS!$S$4:$S$24,0),FALSE),"")</f>
        <v/>
      </c>
      <c r="AG151" s="650">
        <f ca="1">IFERROR(HLOOKUP($AB151&amp;$AD151,NWC_FC_NOOS!$C$50:$U$70,MATCH($Y151,NWC_FC_NOOS!$B$50:$B$70,0),FALSE),"")</f>
        <v>0</v>
      </c>
      <c r="AH151" s="650" t="str">
        <f ca="1">IFERROR(IF($AA151="NOOS",HLOOKUP(STOCK_OVERVIEW!$AB151&amp;STOCK_OVERVIEW!$AD151,PLANNING_FC!$BB$27:$BP$46,MATCH(STOCK_OVERVIEW!$Y151,PLANNING_FC!$BA$27:$BA$46,0),FALSE),HLOOKUP($AB151&amp;$AD151,PLANNING_FC!$BB$4:$BP$23,MATCH(STOCK_OVERVIEW!$Y151,PLANNING_FC!$BA$4:$BA$23,0),FALSE)),"")</f>
        <v/>
      </c>
      <c r="AI151" s="650" t="str">
        <f ca="1">IFERROR(IF($AA151="NOOS",HLOOKUP(STOCK_OVERVIEW!$AB151&amp;STOCK_OVERVIEW!$AD151,PLANNING_FC!$T$27:$AH$46,MATCH(STOCK_OVERVIEW!$Y151,PLANNING_FC!$B$27:$B$46,0),FALSE),HLOOKUP($AB151&amp;$AD151,PLANNING_FC!$T$4:$AH$23,MATCH(STOCK_OVERVIEW!$Y151,PLANNING_FC!$B$4:$B$23,0),FALSE)),"")</f>
        <v/>
      </c>
      <c r="AJ151" s="650" t="str">
        <f ca="1">IFERROR(IF($AA151="NOOS",HLOOKUP(STOCK_OVERVIEW!$AB151&amp;STOCK_OVERVIEW!$AD151,PLANNING_FC!$DA$27:$DO$46,MATCH(STOCK_OVERVIEW!$Y151,PLANNING_FC!$CZ$27:$CZ$46,0),FALSE),HLOOKUP($AB151&amp;$AD151,PLANNING_FC!$DA$4:$DO$23,MATCH(STOCK_OVERVIEW!$Y151,PLANNING_FC!$CZ$4:$CZ$23,0),FALSE)),"")</f>
        <v/>
      </c>
      <c r="AK151" s="651" t="str">
        <f ca="1">IFERROR(IF(AA151="NOOS",HLOOKUP(AB151&amp;AD151,PLANNING_FC!$AJ$27:$AY$47,MATCH(STOCK_OVERVIEW!Y151,PLANNING_FC!$AJ$27:$AJ$47,0),FALSE)*1000,HLOOKUP(AB151&amp;AD151,PLANNING_FC!$AJ$4:$AY$24,MATCH(STOCK_OVERVIEW!Y151,PLANNING_FC!$AJ$4:$AJ$24,0),FALSE)*1000),"")</f>
        <v/>
      </c>
      <c r="AL151" s="638"/>
      <c r="AM151" s="638"/>
      <c r="AN151" s="638"/>
      <c r="AO151" s="638"/>
      <c r="AP151" s="638"/>
      <c r="AQ151" s="638"/>
      <c r="AR151" s="638"/>
      <c r="AS151" s="638"/>
    </row>
    <row r="152" spans="1:45" s="61" customFormat="1" x14ac:dyDescent="0.25">
      <c r="A152" s="62"/>
      <c r="B152" s="835"/>
      <c r="C152" s="22"/>
      <c r="D152" s="836">
        <f ca="1">$H$45</f>
        <v>92874</v>
      </c>
      <c r="E152" s="836">
        <f ca="1">$H$46</f>
        <v>0</v>
      </c>
      <c r="F152" s="22"/>
      <c r="G152" s="22"/>
      <c r="H152" s="22"/>
      <c r="I152" s="837"/>
      <c r="J152" s="576"/>
      <c r="K152" s="62"/>
      <c r="L152" s="62"/>
      <c r="M152" s="24"/>
      <c r="N152" s="206"/>
      <c r="O152" s="24"/>
      <c r="R152" s="19"/>
      <c r="S152" s="637"/>
      <c r="T152" s="637"/>
      <c r="U152" s="636"/>
      <c r="V152" s="637"/>
      <c r="W152" s="637"/>
      <c r="X152" s="200" t="str">
        <f>NWC_FC_NOOS!$B$1</f>
        <v>VM</v>
      </c>
      <c r="Y152" s="25" t="str">
        <f>NWC_FC_NOOS!$B$63</f>
        <v>SKIRTS</v>
      </c>
      <c r="Z152" s="25" t="str">
        <f t="shared" ca="1" si="16"/>
        <v>VMSKIRTS19/20Mar</v>
      </c>
      <c r="AA152" s="25" t="str">
        <f>NWC_FC_NOOS!$I$1</f>
        <v>NOOS</v>
      </c>
      <c r="AB152" s="25" t="str">
        <f ca="1">NWC_FC_NOOS!$S$73</f>
        <v>19/20</v>
      </c>
      <c r="AC152" s="25" t="str">
        <f ca="1">NWC_FC_NOOS!$S$74</f>
        <v>Q3</v>
      </c>
      <c r="AD152" s="25" t="str">
        <f ca="1">NWC_FC_NOOS!$T$75</f>
        <v>Mar</v>
      </c>
      <c r="AE152" s="649" t="str">
        <f ca="1">IFERROR(HLOOKUP($AB152&amp;$AD152,NWC_FC_NOOS!$B$4:$Q$24,MATCH($Y152,NWC_FC_NOOS!$B$4:$B$24,0),FALSE),"")</f>
        <v/>
      </c>
      <c r="AF152" s="650" t="str">
        <f ca="1">IFERROR(HLOOKUP($AB152&amp;$AD152,NWC_FC_NOOS!$S$4:$AH$24,MATCH($Y152,NWC_FC_NOOS!$S$4:$S$24,0),FALSE),"")</f>
        <v/>
      </c>
      <c r="AG152" s="650">
        <f ca="1">IFERROR(HLOOKUP($AB152&amp;$AD152,NWC_FC_NOOS!$C$50:$U$70,MATCH($Y152,NWC_FC_NOOS!$B$50:$B$70,0),FALSE),"")</f>
        <v>0</v>
      </c>
      <c r="AH152" s="650" t="str">
        <f ca="1">IFERROR(IF($AA152="NOOS",HLOOKUP(STOCK_OVERVIEW!$AB152&amp;STOCK_OVERVIEW!$AD152,PLANNING_FC!$BB$27:$BP$46,MATCH(STOCK_OVERVIEW!$Y152,PLANNING_FC!$BA$27:$BA$46,0),FALSE),HLOOKUP($AB152&amp;$AD152,PLANNING_FC!$BB$4:$BP$23,MATCH(STOCK_OVERVIEW!$Y152,PLANNING_FC!$BA$4:$BA$23,0),FALSE)),"")</f>
        <v/>
      </c>
      <c r="AI152" s="650" t="str">
        <f ca="1">IFERROR(IF($AA152="NOOS",HLOOKUP(STOCK_OVERVIEW!$AB152&amp;STOCK_OVERVIEW!$AD152,PLANNING_FC!$T$27:$AH$46,MATCH(STOCK_OVERVIEW!$Y152,PLANNING_FC!$B$27:$B$46,0),FALSE),HLOOKUP($AB152&amp;$AD152,PLANNING_FC!$T$4:$AH$23,MATCH(STOCK_OVERVIEW!$Y152,PLANNING_FC!$B$4:$B$23,0),FALSE)),"")</f>
        <v/>
      </c>
      <c r="AJ152" s="650" t="str">
        <f ca="1">IFERROR(IF($AA152="NOOS",HLOOKUP(STOCK_OVERVIEW!$AB152&amp;STOCK_OVERVIEW!$AD152,PLANNING_FC!$DA$27:$DO$46,MATCH(STOCK_OVERVIEW!$Y152,PLANNING_FC!$CZ$27:$CZ$46,0),FALSE),HLOOKUP($AB152&amp;$AD152,PLANNING_FC!$DA$4:$DO$23,MATCH(STOCK_OVERVIEW!$Y152,PLANNING_FC!$CZ$4:$CZ$23,0),FALSE)),"")</f>
        <v/>
      </c>
      <c r="AK152" s="651" t="str">
        <f ca="1">IFERROR(IF(AA152="NOOS",HLOOKUP(AB152&amp;AD152,PLANNING_FC!$AJ$27:$AY$47,MATCH(STOCK_OVERVIEW!Y152,PLANNING_FC!$AJ$27:$AJ$47,0),FALSE)*1000,HLOOKUP(AB152&amp;AD152,PLANNING_FC!$AJ$4:$AY$24,MATCH(STOCK_OVERVIEW!Y152,PLANNING_FC!$AJ$4:$AJ$24,0),FALSE)*1000),"")</f>
        <v/>
      </c>
      <c r="AL152" s="638"/>
      <c r="AM152" s="638"/>
      <c r="AN152" s="638"/>
      <c r="AO152" s="638"/>
      <c r="AP152" s="638"/>
      <c r="AQ152" s="638"/>
      <c r="AR152" s="638"/>
      <c r="AS152" s="638"/>
    </row>
    <row r="153" spans="1:45" s="61" customFormat="1" x14ac:dyDescent="0.25">
      <c r="A153" s="62"/>
      <c r="B153" s="835"/>
      <c r="C153" s="22"/>
      <c r="D153" s="22"/>
      <c r="E153" s="22"/>
      <c r="F153" s="836">
        <f ca="1">$H$55</f>
        <v>5356345</v>
      </c>
      <c r="G153" s="838">
        <f ca="1">H52</f>
        <v>0</v>
      </c>
      <c r="H153" s="836">
        <f ca="1">$H$61</f>
        <v>2579901.5516999997</v>
      </c>
      <c r="I153" s="837"/>
      <c r="J153" s="576"/>
      <c r="K153" s="62"/>
      <c r="L153" s="62"/>
      <c r="M153" s="24"/>
      <c r="N153" s="206"/>
      <c r="O153" s="24"/>
      <c r="R153" s="19"/>
      <c r="S153" s="637"/>
      <c r="T153" s="637"/>
      <c r="U153" s="636"/>
      <c r="V153" s="637"/>
      <c r="W153" s="637"/>
      <c r="X153" s="200" t="str">
        <f>NWC_FC_NOOS!$B$1</f>
        <v>VM</v>
      </c>
      <c r="Y153" s="25" t="str">
        <f>NWC_FC_NOOS!$B$63</f>
        <v>SKIRTS</v>
      </c>
      <c r="Z153" s="25" t="str">
        <f t="shared" ca="1" si="16"/>
        <v>VMSKIRTS19/20Apr</v>
      </c>
      <c r="AA153" s="25" t="str">
        <f>NWC_FC_NOOS!$I$1</f>
        <v>NOOS</v>
      </c>
      <c r="AB153" s="25" t="str">
        <f ca="1">NWC_FC_NOOS!$S$73</f>
        <v>19/20</v>
      </c>
      <c r="AC153" s="25" t="str">
        <f ca="1">NWC_FC_NOOS!$S$74</f>
        <v>Q3</v>
      </c>
      <c r="AD153" s="25" t="str">
        <f ca="1">NWC_FC_NOOS!$U$75</f>
        <v>Apr</v>
      </c>
      <c r="AE153" s="649" t="str">
        <f ca="1">IFERROR(HLOOKUP($AB153&amp;$AD153,NWC_FC_NOOS!$B$4:$Q$24,MATCH($Y153,NWC_FC_NOOS!$B$4:$B$24,0),FALSE),"")</f>
        <v/>
      </c>
      <c r="AF153" s="650" t="str">
        <f ca="1">IFERROR(HLOOKUP($AB153&amp;$AD153,NWC_FC_NOOS!$S$4:$AH$24,MATCH($Y153,NWC_FC_NOOS!$S$4:$S$24,0),FALSE),"")</f>
        <v/>
      </c>
      <c r="AG153" s="650">
        <f ca="1">IFERROR(HLOOKUP($AB153&amp;$AD153,NWC_FC_NOOS!$C$50:$U$70,MATCH($Y153,NWC_FC_NOOS!$B$50:$B$70,0),FALSE),"")</f>
        <v>0</v>
      </c>
      <c r="AH153" s="650" t="str">
        <f ca="1">IFERROR(IF($AA153="NOOS",HLOOKUP(STOCK_OVERVIEW!$AB153&amp;STOCK_OVERVIEW!$AD153,PLANNING_FC!$BB$27:$BP$46,MATCH(STOCK_OVERVIEW!$Y153,PLANNING_FC!$BA$27:$BA$46,0),FALSE),HLOOKUP($AB153&amp;$AD153,PLANNING_FC!$BB$4:$BP$23,MATCH(STOCK_OVERVIEW!$Y153,PLANNING_FC!$BA$4:$BA$23,0),FALSE)),"")</f>
        <v/>
      </c>
      <c r="AI153" s="650" t="str">
        <f ca="1">IFERROR(IF($AA153="NOOS",HLOOKUP(STOCK_OVERVIEW!$AB153&amp;STOCK_OVERVIEW!$AD153,PLANNING_FC!$T$27:$AH$46,MATCH(STOCK_OVERVIEW!$Y153,PLANNING_FC!$B$27:$B$46,0),FALSE),HLOOKUP($AB153&amp;$AD153,PLANNING_FC!$T$4:$AH$23,MATCH(STOCK_OVERVIEW!$Y153,PLANNING_FC!$B$4:$B$23,0),FALSE)),"")</f>
        <v/>
      </c>
      <c r="AJ153" s="650" t="str">
        <f ca="1">IFERROR(IF($AA153="NOOS",HLOOKUP(STOCK_OVERVIEW!$AB153&amp;STOCK_OVERVIEW!$AD153,PLANNING_FC!$DA$27:$DO$46,MATCH(STOCK_OVERVIEW!$Y153,PLANNING_FC!$CZ$27:$CZ$46,0),FALSE),HLOOKUP($AB153&amp;$AD153,PLANNING_FC!$DA$4:$DO$23,MATCH(STOCK_OVERVIEW!$Y153,PLANNING_FC!$CZ$4:$CZ$23,0),FALSE)),"")</f>
        <v/>
      </c>
      <c r="AK153" s="651" t="str">
        <f ca="1">IFERROR(IF(AA153="NOOS",HLOOKUP(AB153&amp;AD153,PLANNING_FC!$AJ$27:$AY$47,MATCH(STOCK_OVERVIEW!Y153,PLANNING_FC!$AJ$27:$AJ$47,0),FALSE)*1000,HLOOKUP(AB153&amp;AD153,PLANNING_FC!$AJ$4:$AY$24,MATCH(STOCK_OVERVIEW!Y153,PLANNING_FC!$AJ$4:$AJ$24,0),FALSE)*1000),"")</f>
        <v/>
      </c>
      <c r="AL153" s="638"/>
      <c r="AM153" s="638"/>
      <c r="AN153" s="638"/>
      <c r="AO153" s="638"/>
      <c r="AP153" s="638"/>
      <c r="AQ153" s="638"/>
      <c r="AR153" s="638"/>
      <c r="AS153" s="638"/>
    </row>
    <row r="154" spans="1:45" s="61" customFormat="1" x14ac:dyDescent="0.25">
      <c r="A154" s="62"/>
      <c r="B154" s="835"/>
      <c r="C154" s="22"/>
      <c r="D154" s="22"/>
      <c r="E154" s="22"/>
      <c r="F154" s="22"/>
      <c r="G154" s="22"/>
      <c r="H154" s="836"/>
      <c r="I154" s="839">
        <f ca="1">$H$58</f>
        <v>0</v>
      </c>
      <c r="J154" s="576"/>
      <c r="K154" s="62"/>
      <c r="L154" s="62"/>
      <c r="M154" s="24"/>
      <c r="N154" s="206"/>
      <c r="O154" s="24"/>
      <c r="R154" s="19"/>
      <c r="S154" s="637"/>
      <c r="T154" s="637"/>
      <c r="U154" s="636"/>
      <c r="V154" s="637"/>
      <c r="W154" s="637"/>
      <c r="X154" s="200" t="str">
        <f>NWC_FC_NOOS!$B$1</f>
        <v>VM</v>
      </c>
      <c r="Y154" s="25" t="str">
        <f>NWC_FC_NOOS!$B$64</f>
        <v>SWEAT</v>
      </c>
      <c r="Z154" s="25" t="str">
        <f t="shared" ca="1" si="16"/>
        <v>VMSWEAT18/19Feb</v>
      </c>
      <c r="AA154" s="25" t="str">
        <f>NWC_FC_NOOS!$I$1</f>
        <v>NOOS</v>
      </c>
      <c r="AB154" s="25" t="str">
        <f ca="1">NWC_FC_NOOS!$C$73</f>
        <v>18/19</v>
      </c>
      <c r="AC154" s="25" t="str">
        <f ca="1">NWC_FC_NOOS!$C$74</f>
        <v>Q3</v>
      </c>
      <c r="AD154" s="25" t="str">
        <f ca="1">NWC_FC_NOOS!$C$75</f>
        <v>Feb</v>
      </c>
      <c r="AE154" s="649">
        <f ca="1">IFERROR(HLOOKUP($AB154&amp;$AD154,NWC_FC_NOOS!$B$4:$Q$24,MATCH($Y154,NWC_FC_NOOS!$B$4:$B$24,0),FALSE),"")</f>
        <v>0</v>
      </c>
      <c r="AF154" s="650">
        <f ca="1">IFERROR(HLOOKUP($AB154&amp;$AD154,NWC_FC_NOOS!$S$4:$AH$24,MATCH($Y154,NWC_FC_NOOS!$S$4:$S$24,0),FALSE),"")</f>
        <v>0</v>
      </c>
      <c r="AG154" s="650">
        <f ca="1">IFERROR(HLOOKUP($AB154&amp;$AD154,NWC_FC_NOOS!$C$50:$U$70,MATCH($Y154,NWC_FC_NOOS!$B$50:$B$70,0),FALSE),"")</f>
        <v>0</v>
      </c>
      <c r="AH154" s="650">
        <f ca="1">IFERROR(IF($AA154="NOOS",HLOOKUP(STOCK_OVERVIEW!$AB154&amp;STOCK_OVERVIEW!$AD154,PLANNING_FC!$BB$27:$BP$46,MATCH(STOCK_OVERVIEW!$Y154,PLANNING_FC!$BA$27:$BA$46,0),FALSE),HLOOKUP($AB154&amp;$AD154,PLANNING_FC!$BB$4:$BP$23,MATCH(STOCK_OVERVIEW!$Y154,PLANNING_FC!$BA$4:$BA$23,0),FALSE)),"")</f>
        <v>0</v>
      </c>
      <c r="AI154" s="650">
        <f ca="1">IFERROR(IF($AA154="NOOS",HLOOKUP(STOCK_OVERVIEW!$AB154&amp;STOCK_OVERVIEW!$AD154,PLANNING_FC!$T$27:$AH$46,MATCH(STOCK_OVERVIEW!$Y154,PLANNING_FC!$B$27:$B$46,0),FALSE),HLOOKUP($AB154&amp;$AD154,PLANNING_FC!$T$4:$AH$23,MATCH(STOCK_OVERVIEW!$Y154,PLANNING_FC!$B$4:$B$23,0),FALSE)),"")</f>
        <v>0</v>
      </c>
      <c r="AJ154" s="650">
        <f ca="1">IFERROR(IF($AA154="NOOS",HLOOKUP(STOCK_OVERVIEW!$AB154&amp;STOCK_OVERVIEW!$AD154,PLANNING_FC!$DA$27:$DO$46,MATCH(STOCK_OVERVIEW!$Y154,PLANNING_FC!$CZ$27:$CZ$46,0),FALSE),HLOOKUP($AB154&amp;$AD154,PLANNING_FC!$DA$4:$DO$23,MATCH(STOCK_OVERVIEW!$Y154,PLANNING_FC!$CZ$4:$CZ$23,0),FALSE)),"")</f>
        <v>0</v>
      </c>
      <c r="AK154" s="651">
        <f ca="1">IFERROR(IF(AA154="NOOS",HLOOKUP(AB154&amp;AD154,PLANNING_FC!$AJ$27:$AY$47,MATCH(STOCK_OVERVIEW!Y154,PLANNING_FC!$AJ$27:$AJ$47,0),FALSE)*1000,HLOOKUP(AB154&amp;AD154,PLANNING_FC!$AJ$4:$AY$24,MATCH(STOCK_OVERVIEW!Y154,PLANNING_FC!$AJ$4:$AJ$24,0),FALSE)*1000),"")</f>
        <v>0</v>
      </c>
      <c r="AL154" s="638"/>
      <c r="AM154" s="638"/>
      <c r="AN154" s="638"/>
      <c r="AO154" s="638"/>
      <c r="AP154" s="638"/>
      <c r="AQ154" s="638"/>
      <c r="AR154" s="638"/>
      <c r="AS154" s="638"/>
    </row>
    <row r="155" spans="1:45" s="61" customFormat="1" x14ac:dyDescent="0.25">
      <c r="A155" s="62"/>
      <c r="B155" s="835"/>
      <c r="C155" s="22"/>
      <c r="D155" s="22"/>
      <c r="E155" s="22"/>
      <c r="F155" s="22"/>
      <c r="G155" s="22"/>
      <c r="H155" s="22"/>
      <c r="I155" s="837"/>
      <c r="J155" s="576"/>
      <c r="K155" s="62"/>
      <c r="L155" s="62"/>
      <c r="M155" s="24"/>
      <c r="N155" s="206"/>
      <c r="O155" s="24"/>
      <c r="R155" s="19"/>
      <c r="S155" s="637"/>
      <c r="T155" s="637"/>
      <c r="U155" s="636"/>
      <c r="V155" s="637"/>
      <c r="W155" s="637"/>
      <c r="X155" s="200" t="str">
        <f>NWC_FC_NOOS!$B$1</f>
        <v>VM</v>
      </c>
      <c r="Y155" s="25" t="str">
        <f>NWC_FC_NOOS!$B$64</f>
        <v>SWEAT</v>
      </c>
      <c r="Z155" s="25" t="str">
        <f t="shared" ca="1" si="16"/>
        <v>VMSWEAT18/19Mar</v>
      </c>
      <c r="AA155" s="25" t="str">
        <f>NWC_FC_NOOS!$I$1</f>
        <v>NOOS</v>
      </c>
      <c r="AB155" s="25" t="str">
        <f ca="1">NWC_FC_NOOS!$C$73</f>
        <v>18/19</v>
      </c>
      <c r="AC155" s="25" t="str">
        <f ca="1">NWC_FC_NOOS!$C$74</f>
        <v>Q3</v>
      </c>
      <c r="AD155" s="25" t="str">
        <f ca="1">NWC_FC_NOOS!$D$75</f>
        <v>Mar</v>
      </c>
      <c r="AE155" s="649">
        <f ca="1">IFERROR(HLOOKUP($AB155&amp;$AD155,NWC_FC_NOOS!$B$4:$Q$24,MATCH($Y155,NWC_FC_NOOS!$B$4:$B$24,0),FALSE),"")</f>
        <v>0</v>
      </c>
      <c r="AF155" s="650">
        <f ca="1">IFERROR(HLOOKUP($AB155&amp;$AD155,NWC_FC_NOOS!$S$4:$AH$24,MATCH($Y155,NWC_FC_NOOS!$S$4:$S$24,0),FALSE),"")</f>
        <v>0</v>
      </c>
      <c r="AG155" s="650">
        <f ca="1">IFERROR(HLOOKUP($AB155&amp;$AD155,NWC_FC_NOOS!$C$50:$U$70,MATCH($Y155,NWC_FC_NOOS!$B$50:$B$70,0),FALSE),"")</f>
        <v>0</v>
      </c>
      <c r="AH155" s="650">
        <f ca="1">IFERROR(IF($AA155="NOOS",HLOOKUP(STOCK_OVERVIEW!$AB155&amp;STOCK_OVERVIEW!$AD155,PLANNING_FC!$BB$27:$BP$46,MATCH(STOCK_OVERVIEW!$Y155,PLANNING_FC!$BA$27:$BA$46,0),FALSE),HLOOKUP($AB155&amp;$AD155,PLANNING_FC!$BB$4:$BP$23,MATCH(STOCK_OVERVIEW!$Y155,PLANNING_FC!$BA$4:$BA$23,0),FALSE)),"")</f>
        <v>0</v>
      </c>
      <c r="AI155" s="650">
        <f ca="1">IFERROR(IF($AA155="NOOS",HLOOKUP(STOCK_OVERVIEW!$AB155&amp;STOCK_OVERVIEW!$AD155,PLANNING_FC!$T$27:$AH$46,MATCH(STOCK_OVERVIEW!$Y155,PLANNING_FC!$B$27:$B$46,0),FALSE),HLOOKUP($AB155&amp;$AD155,PLANNING_FC!$T$4:$AH$23,MATCH(STOCK_OVERVIEW!$Y155,PLANNING_FC!$B$4:$B$23,0),FALSE)),"")</f>
        <v>0</v>
      </c>
      <c r="AJ155" s="650">
        <f ca="1">IFERROR(IF($AA155="NOOS",HLOOKUP(STOCK_OVERVIEW!$AB155&amp;STOCK_OVERVIEW!$AD155,PLANNING_FC!$DA$27:$DO$46,MATCH(STOCK_OVERVIEW!$Y155,PLANNING_FC!$CZ$27:$CZ$46,0),FALSE),HLOOKUP($AB155&amp;$AD155,PLANNING_FC!$DA$4:$DO$23,MATCH(STOCK_OVERVIEW!$Y155,PLANNING_FC!$CZ$4:$CZ$23,0),FALSE)),"")</f>
        <v>0</v>
      </c>
      <c r="AK155" s="651">
        <f ca="1">IFERROR(IF(AA155="NOOS",HLOOKUP(AB155&amp;AD155,PLANNING_FC!$AJ$27:$AY$47,MATCH(STOCK_OVERVIEW!Y155,PLANNING_FC!$AJ$27:$AJ$47,0),FALSE)*1000,HLOOKUP(AB155&amp;AD155,PLANNING_FC!$AJ$4:$AY$24,MATCH(STOCK_OVERVIEW!Y155,PLANNING_FC!$AJ$4:$AJ$24,0),FALSE)*1000),"")</f>
        <v>0</v>
      </c>
      <c r="AL155" s="638"/>
      <c r="AM155" s="638"/>
      <c r="AN155" s="638"/>
      <c r="AO155" s="638"/>
      <c r="AP155" s="638"/>
      <c r="AQ155" s="638"/>
      <c r="AR155" s="638"/>
      <c r="AS155" s="638"/>
    </row>
    <row r="156" spans="1:45" s="61" customFormat="1" x14ac:dyDescent="0.25">
      <c r="A156" s="62"/>
      <c r="B156" s="835" t="str">
        <f ca="1">$I$40</f>
        <v>Jul</v>
      </c>
      <c r="C156" s="836">
        <f ca="1">$I$42</f>
        <v>0</v>
      </c>
      <c r="D156" s="22"/>
      <c r="E156" s="22"/>
      <c r="F156" s="22"/>
      <c r="G156" s="22"/>
      <c r="H156" s="22"/>
      <c r="I156" s="837"/>
      <c r="J156" s="576"/>
      <c r="K156" s="62"/>
      <c r="L156" s="62"/>
      <c r="M156" s="24"/>
      <c r="N156" s="206"/>
      <c r="O156" s="24"/>
      <c r="R156" s="19"/>
      <c r="S156" s="637"/>
      <c r="T156" s="637"/>
      <c r="U156" s="636"/>
      <c r="V156" s="637"/>
      <c r="W156" s="637"/>
      <c r="X156" s="200" t="str">
        <f>NWC_FC_NOOS!$B$1</f>
        <v>VM</v>
      </c>
      <c r="Y156" s="25" t="str">
        <f>NWC_FC_NOOS!$B$64</f>
        <v>SWEAT</v>
      </c>
      <c r="Z156" s="25" t="str">
        <f t="shared" ca="1" si="16"/>
        <v>VMSWEAT18/19Apr</v>
      </c>
      <c r="AA156" s="25" t="str">
        <f>NWC_FC_NOOS!$I$1</f>
        <v>NOOS</v>
      </c>
      <c r="AB156" s="25" t="str">
        <f ca="1">NWC_FC_NOOS!$C$73</f>
        <v>18/19</v>
      </c>
      <c r="AC156" s="25" t="str">
        <f ca="1">NWC_FC_NOOS!$C$74</f>
        <v>Q3</v>
      </c>
      <c r="AD156" s="25" t="str">
        <f ca="1">NWC_FC_NOOS!$E$75</f>
        <v>Apr</v>
      </c>
      <c r="AE156" s="649">
        <f ca="1">IFERROR(HLOOKUP($AB156&amp;$AD156,NWC_FC_NOOS!$B$4:$Q$24,MATCH($Y156,NWC_FC_NOOS!$B$4:$B$24,0),FALSE),"")</f>
        <v>0</v>
      </c>
      <c r="AF156" s="650">
        <f ca="1">IFERROR(HLOOKUP($AB156&amp;$AD156,NWC_FC_NOOS!$S$4:$AH$24,MATCH($Y156,NWC_FC_NOOS!$S$4:$S$24,0),FALSE),"")</f>
        <v>0</v>
      </c>
      <c r="AG156" s="650">
        <f ca="1">IFERROR(HLOOKUP($AB156&amp;$AD156,NWC_FC_NOOS!$C$50:$U$70,MATCH($Y156,NWC_FC_NOOS!$B$50:$B$70,0),FALSE),"")</f>
        <v>0</v>
      </c>
      <c r="AH156" s="650">
        <f ca="1">IFERROR(IF($AA156="NOOS",HLOOKUP(STOCK_OVERVIEW!$AB156&amp;STOCK_OVERVIEW!$AD156,PLANNING_FC!$BB$27:$BP$46,MATCH(STOCK_OVERVIEW!$Y156,PLANNING_FC!$BA$27:$BA$46,0),FALSE),HLOOKUP($AB156&amp;$AD156,PLANNING_FC!$BB$4:$BP$23,MATCH(STOCK_OVERVIEW!$Y156,PLANNING_FC!$BA$4:$BA$23,0),FALSE)),"")</f>
        <v>0</v>
      </c>
      <c r="AI156" s="650">
        <f ca="1">IFERROR(IF($AA156="NOOS",HLOOKUP(STOCK_OVERVIEW!$AB156&amp;STOCK_OVERVIEW!$AD156,PLANNING_FC!$T$27:$AH$46,MATCH(STOCK_OVERVIEW!$Y156,PLANNING_FC!$B$27:$B$46,0),FALSE),HLOOKUP($AB156&amp;$AD156,PLANNING_FC!$T$4:$AH$23,MATCH(STOCK_OVERVIEW!$Y156,PLANNING_FC!$B$4:$B$23,0),FALSE)),"")</f>
        <v>0</v>
      </c>
      <c r="AJ156" s="650">
        <f ca="1">IFERROR(IF($AA156="NOOS",HLOOKUP(STOCK_OVERVIEW!$AB156&amp;STOCK_OVERVIEW!$AD156,PLANNING_FC!$DA$27:$DO$46,MATCH(STOCK_OVERVIEW!$Y156,PLANNING_FC!$CZ$27:$CZ$46,0),FALSE),HLOOKUP($AB156&amp;$AD156,PLANNING_FC!$DA$4:$DO$23,MATCH(STOCK_OVERVIEW!$Y156,PLANNING_FC!$CZ$4:$CZ$23,0),FALSE)),"")</f>
        <v>0</v>
      </c>
      <c r="AK156" s="651">
        <f ca="1">IFERROR(IF(AA156="NOOS",HLOOKUP(AB156&amp;AD156,PLANNING_FC!$AJ$27:$AY$47,MATCH(STOCK_OVERVIEW!Y156,PLANNING_FC!$AJ$27:$AJ$47,0),FALSE)*1000,HLOOKUP(AB156&amp;AD156,PLANNING_FC!$AJ$4:$AY$24,MATCH(STOCK_OVERVIEW!Y156,PLANNING_FC!$AJ$4:$AJ$24,0),FALSE)*1000),"")</f>
        <v>0</v>
      </c>
      <c r="AL156" s="638"/>
      <c r="AM156" s="638"/>
      <c r="AN156" s="638"/>
      <c r="AO156" s="638"/>
      <c r="AP156" s="638"/>
      <c r="AQ156" s="638"/>
      <c r="AR156" s="638"/>
      <c r="AS156" s="638"/>
    </row>
    <row r="157" spans="1:45" s="61" customFormat="1" x14ac:dyDescent="0.25">
      <c r="A157" s="62"/>
      <c r="B157" s="835"/>
      <c r="C157" s="22"/>
      <c r="D157" s="836">
        <f ca="1">$I$45</f>
        <v>9605</v>
      </c>
      <c r="E157" s="836">
        <f ca="1">$I$46</f>
        <v>0</v>
      </c>
      <c r="F157" s="22"/>
      <c r="G157" s="22"/>
      <c r="H157" s="22"/>
      <c r="I157" s="837"/>
      <c r="J157" s="576"/>
      <c r="K157" s="62"/>
      <c r="L157" s="62"/>
      <c r="M157" s="24"/>
      <c r="N157" s="206"/>
      <c r="O157" s="24"/>
      <c r="R157" s="19"/>
      <c r="S157" s="637"/>
      <c r="T157" s="637"/>
      <c r="U157" s="636"/>
      <c r="V157" s="637"/>
      <c r="W157" s="637"/>
      <c r="X157" s="200" t="str">
        <f>NWC_FC_NOOS!$B$1</f>
        <v>VM</v>
      </c>
      <c r="Y157" s="25" t="str">
        <f>NWC_FC_NOOS!$B$64</f>
        <v>SWEAT</v>
      </c>
      <c r="Z157" s="25" t="str">
        <f t="shared" ca="1" si="16"/>
        <v>VMSWEAT18/19May</v>
      </c>
      <c r="AA157" s="25" t="str">
        <f>NWC_FC_NOOS!$I$1</f>
        <v>NOOS</v>
      </c>
      <c r="AB157" s="25" t="str">
        <f ca="1">NWC_FC_NOOS!$G$73</f>
        <v>18/19</v>
      </c>
      <c r="AC157" s="25" t="str">
        <f ca="1">NWC_FC_NOOS!$G$74</f>
        <v>Q4</v>
      </c>
      <c r="AD157" s="25" t="str">
        <f ca="1">NWC_FC_NOOS!$G$75</f>
        <v>May</v>
      </c>
      <c r="AE157" s="649">
        <f ca="1">IFERROR(HLOOKUP($AB157&amp;$AD157,NWC_FC_NOOS!$B$4:$Q$24,MATCH($Y157,NWC_FC_NOOS!$B$4:$B$24,0),FALSE),"")</f>
        <v>0</v>
      </c>
      <c r="AF157" s="650">
        <f ca="1">IFERROR(HLOOKUP($AB157&amp;$AD157,NWC_FC_NOOS!$S$4:$AH$24,MATCH($Y157,NWC_FC_NOOS!$S$4:$S$24,0),FALSE),"")</f>
        <v>0</v>
      </c>
      <c r="AG157" s="650">
        <f ca="1">IFERROR(HLOOKUP($AB157&amp;$AD157,NWC_FC_NOOS!$C$50:$U$70,MATCH($Y157,NWC_FC_NOOS!$B$50:$B$70,0),FALSE),"")</f>
        <v>0</v>
      </c>
      <c r="AH157" s="650">
        <f ca="1">IFERROR(IF($AA157="NOOS",HLOOKUP(STOCK_OVERVIEW!$AB157&amp;STOCK_OVERVIEW!$AD157,PLANNING_FC!$BB$27:$BP$46,MATCH(STOCK_OVERVIEW!$Y157,PLANNING_FC!$BA$27:$BA$46,0),FALSE),HLOOKUP($AB157&amp;$AD157,PLANNING_FC!$BB$4:$BP$23,MATCH(STOCK_OVERVIEW!$Y157,PLANNING_FC!$BA$4:$BA$23,0),FALSE)),"")</f>
        <v>0</v>
      </c>
      <c r="AI157" s="650">
        <f ca="1">IFERROR(IF($AA157="NOOS",HLOOKUP(STOCK_OVERVIEW!$AB157&amp;STOCK_OVERVIEW!$AD157,PLANNING_FC!$T$27:$AH$46,MATCH(STOCK_OVERVIEW!$Y157,PLANNING_FC!$B$27:$B$46,0),FALSE),HLOOKUP($AB157&amp;$AD157,PLANNING_FC!$T$4:$AH$23,MATCH(STOCK_OVERVIEW!$Y157,PLANNING_FC!$B$4:$B$23,0),FALSE)),"")</f>
        <v>0</v>
      </c>
      <c r="AJ157" s="650">
        <f ca="1">IFERROR(IF($AA157="NOOS",HLOOKUP(STOCK_OVERVIEW!$AB157&amp;STOCK_OVERVIEW!$AD157,PLANNING_FC!$DA$27:$DO$46,MATCH(STOCK_OVERVIEW!$Y157,PLANNING_FC!$CZ$27:$CZ$46,0),FALSE),HLOOKUP($AB157&amp;$AD157,PLANNING_FC!$DA$4:$DO$23,MATCH(STOCK_OVERVIEW!$Y157,PLANNING_FC!$CZ$4:$CZ$23,0),FALSE)),"")</f>
        <v>0</v>
      </c>
      <c r="AK157" s="651">
        <f ca="1">IFERROR(IF(AA157="NOOS",HLOOKUP(AB157&amp;AD157,PLANNING_FC!$AJ$27:$AY$47,MATCH(STOCK_OVERVIEW!Y157,PLANNING_FC!$AJ$27:$AJ$47,0),FALSE)*1000,HLOOKUP(AB157&amp;AD157,PLANNING_FC!$AJ$4:$AY$24,MATCH(STOCK_OVERVIEW!Y157,PLANNING_FC!$AJ$4:$AJ$24,0),FALSE)*1000),"")</f>
        <v>0</v>
      </c>
      <c r="AL157" s="638"/>
      <c r="AM157" s="638"/>
      <c r="AN157" s="638"/>
      <c r="AO157" s="638"/>
      <c r="AP157" s="638"/>
      <c r="AQ157" s="638"/>
      <c r="AR157" s="638"/>
      <c r="AS157" s="638"/>
    </row>
    <row r="158" spans="1:45" s="61" customFormat="1" x14ac:dyDescent="0.25">
      <c r="A158" s="62"/>
      <c r="B158" s="835"/>
      <c r="C158" s="22"/>
      <c r="D158" s="22"/>
      <c r="E158" s="22"/>
      <c r="F158" s="836">
        <f ca="1">$I$55</f>
        <v>5365950</v>
      </c>
      <c r="G158" s="838">
        <f ca="1">I52</f>
        <v>0</v>
      </c>
      <c r="H158" s="22"/>
      <c r="I158" s="837"/>
      <c r="J158" s="576"/>
      <c r="K158" s="62"/>
      <c r="L158" s="62"/>
      <c r="M158" s="24"/>
      <c r="N158" s="206"/>
      <c r="O158" s="24"/>
      <c r="R158" s="19"/>
      <c r="S158" s="637"/>
      <c r="T158" s="637"/>
      <c r="U158" s="636"/>
      <c r="V158" s="637"/>
      <c r="W158" s="637"/>
      <c r="X158" s="200" t="str">
        <f>NWC_FC_NOOS!$B$1</f>
        <v>VM</v>
      </c>
      <c r="Y158" s="25" t="str">
        <f>NWC_FC_NOOS!$B$64</f>
        <v>SWEAT</v>
      </c>
      <c r="Z158" s="25" t="str">
        <f t="shared" ca="1" si="16"/>
        <v>VMSWEAT18/19Jun</v>
      </c>
      <c r="AA158" s="25" t="str">
        <f>NWC_FC_NOOS!$I$1</f>
        <v>NOOS</v>
      </c>
      <c r="AB158" s="25" t="str">
        <f ca="1">NWC_FC_NOOS!$G$73</f>
        <v>18/19</v>
      </c>
      <c r="AC158" s="25" t="str">
        <f ca="1">NWC_FC_NOOS!$G$74</f>
        <v>Q4</v>
      </c>
      <c r="AD158" s="25" t="str">
        <f ca="1">NWC_FC_NOOS!$H$75</f>
        <v>Jun</v>
      </c>
      <c r="AE158" s="649">
        <f ca="1">IFERROR(HLOOKUP($AB158&amp;$AD158,NWC_FC_NOOS!$B$4:$Q$24,MATCH($Y158,NWC_FC_NOOS!$B$4:$B$24,0),FALSE),"")</f>
        <v>0</v>
      </c>
      <c r="AF158" s="650">
        <f ca="1">IFERROR(HLOOKUP($AB158&amp;$AD158,NWC_FC_NOOS!$S$4:$AH$24,MATCH($Y158,NWC_FC_NOOS!$S$4:$S$24,0),FALSE),"")</f>
        <v>0</v>
      </c>
      <c r="AG158" s="650">
        <f ca="1">IFERROR(HLOOKUP($AB158&amp;$AD158,NWC_FC_NOOS!$C$50:$U$70,MATCH($Y158,NWC_FC_NOOS!$B$50:$B$70,0),FALSE),"")</f>
        <v>0</v>
      </c>
      <c r="AH158" s="650">
        <f ca="1">IFERROR(IF($AA158="NOOS",HLOOKUP(STOCK_OVERVIEW!$AB158&amp;STOCK_OVERVIEW!$AD158,PLANNING_FC!$BB$27:$BP$46,MATCH(STOCK_OVERVIEW!$Y158,PLANNING_FC!$BA$27:$BA$46,0),FALSE),HLOOKUP($AB158&amp;$AD158,PLANNING_FC!$BB$4:$BP$23,MATCH(STOCK_OVERVIEW!$Y158,PLANNING_FC!$BA$4:$BA$23,0),FALSE)),"")</f>
        <v>0</v>
      </c>
      <c r="AI158" s="650">
        <f ca="1">IFERROR(IF($AA158="NOOS",HLOOKUP(STOCK_OVERVIEW!$AB158&amp;STOCK_OVERVIEW!$AD158,PLANNING_FC!$T$27:$AH$46,MATCH(STOCK_OVERVIEW!$Y158,PLANNING_FC!$B$27:$B$46,0),FALSE),HLOOKUP($AB158&amp;$AD158,PLANNING_FC!$T$4:$AH$23,MATCH(STOCK_OVERVIEW!$Y158,PLANNING_FC!$B$4:$B$23,0),FALSE)),"")</f>
        <v>0</v>
      </c>
      <c r="AJ158" s="650">
        <f ca="1">IFERROR(IF($AA158="NOOS",HLOOKUP(STOCK_OVERVIEW!$AB158&amp;STOCK_OVERVIEW!$AD158,PLANNING_FC!$DA$27:$DO$46,MATCH(STOCK_OVERVIEW!$Y158,PLANNING_FC!$CZ$27:$CZ$46,0),FALSE),HLOOKUP($AB158&amp;$AD158,PLANNING_FC!$DA$4:$DO$23,MATCH(STOCK_OVERVIEW!$Y158,PLANNING_FC!$CZ$4:$CZ$23,0),FALSE)),"")</f>
        <v>0</v>
      </c>
      <c r="AK158" s="651">
        <f ca="1">IFERROR(IF(AA158="NOOS",HLOOKUP(AB158&amp;AD158,PLANNING_FC!$AJ$27:$AY$47,MATCH(STOCK_OVERVIEW!Y158,PLANNING_FC!$AJ$27:$AJ$47,0),FALSE)*1000,HLOOKUP(AB158&amp;AD158,PLANNING_FC!$AJ$4:$AY$24,MATCH(STOCK_OVERVIEW!Y158,PLANNING_FC!$AJ$4:$AJ$24,0),FALSE)*1000),"")</f>
        <v>0</v>
      </c>
      <c r="AL158" s="638"/>
      <c r="AM158" s="638"/>
      <c r="AN158" s="638"/>
      <c r="AO158" s="638"/>
      <c r="AP158" s="638"/>
      <c r="AQ158" s="638"/>
      <c r="AR158" s="638"/>
      <c r="AS158" s="638"/>
    </row>
    <row r="159" spans="1:45" s="61" customFormat="1" x14ac:dyDescent="0.25">
      <c r="A159" s="62"/>
      <c r="B159" s="835"/>
      <c r="C159" s="22"/>
      <c r="D159" s="22"/>
      <c r="E159" s="22"/>
      <c r="F159" s="22"/>
      <c r="G159" s="22"/>
      <c r="H159" s="836">
        <f ca="1">$I$61</f>
        <v>2810007.0063000005</v>
      </c>
      <c r="I159" s="839">
        <f ca="1">$I$58</f>
        <v>0</v>
      </c>
      <c r="J159" s="576"/>
      <c r="K159" s="62"/>
      <c r="L159" s="62"/>
      <c r="M159" s="24"/>
      <c r="N159" s="206"/>
      <c r="O159" s="24"/>
      <c r="R159" s="19"/>
      <c r="S159" s="637"/>
      <c r="T159" s="637"/>
      <c r="U159" s="636"/>
      <c r="V159" s="637"/>
      <c r="W159" s="637"/>
      <c r="X159" s="200" t="str">
        <f>NWC_FC_NOOS!$B$1</f>
        <v>VM</v>
      </c>
      <c r="Y159" s="25" t="str">
        <f>NWC_FC_NOOS!$B$64</f>
        <v>SWEAT</v>
      </c>
      <c r="Z159" s="25" t="str">
        <f t="shared" ca="1" si="16"/>
        <v>VMSWEAT18/19Jul</v>
      </c>
      <c r="AA159" s="25" t="str">
        <f>NWC_FC_NOOS!$I$1</f>
        <v>NOOS</v>
      </c>
      <c r="AB159" s="25" t="str">
        <f ca="1">NWC_FC_NOOS!$G$73</f>
        <v>18/19</v>
      </c>
      <c r="AC159" s="25" t="str">
        <f ca="1">NWC_FC_NOOS!$G$74</f>
        <v>Q4</v>
      </c>
      <c r="AD159" s="25" t="str">
        <f ca="1">NWC_FC_NOOS!$I$75</f>
        <v>Jul</v>
      </c>
      <c r="AE159" s="649">
        <f ca="1">IFERROR(HLOOKUP($AB159&amp;$AD159,NWC_FC_NOOS!$B$4:$Q$24,MATCH($Y159,NWC_FC_NOOS!$B$4:$B$24,0),FALSE),"")</f>
        <v>0</v>
      </c>
      <c r="AF159" s="650">
        <f ca="1">IFERROR(HLOOKUP($AB159&amp;$AD159,NWC_FC_NOOS!$S$4:$AH$24,MATCH($Y159,NWC_FC_NOOS!$S$4:$S$24,0),FALSE),"")</f>
        <v>0</v>
      </c>
      <c r="AG159" s="650">
        <f ca="1">IFERROR(HLOOKUP($AB159&amp;$AD159,NWC_FC_NOOS!$C$50:$U$70,MATCH($Y159,NWC_FC_NOOS!$B$50:$B$70,0),FALSE),"")</f>
        <v>0</v>
      </c>
      <c r="AH159" s="650">
        <f ca="1">IFERROR(IF($AA159="NOOS",HLOOKUP(STOCK_OVERVIEW!$AB159&amp;STOCK_OVERVIEW!$AD159,PLANNING_FC!$BB$27:$BP$46,MATCH(STOCK_OVERVIEW!$Y159,PLANNING_FC!$BA$27:$BA$46,0),FALSE),HLOOKUP($AB159&amp;$AD159,PLANNING_FC!$BB$4:$BP$23,MATCH(STOCK_OVERVIEW!$Y159,PLANNING_FC!$BA$4:$BA$23,0),FALSE)),"")</f>
        <v>0</v>
      </c>
      <c r="AI159" s="650">
        <f ca="1">IFERROR(IF($AA159="NOOS",HLOOKUP(STOCK_OVERVIEW!$AB159&amp;STOCK_OVERVIEW!$AD159,PLANNING_FC!$T$27:$AH$46,MATCH(STOCK_OVERVIEW!$Y159,PLANNING_FC!$B$27:$B$46,0),FALSE),HLOOKUP($AB159&amp;$AD159,PLANNING_FC!$T$4:$AH$23,MATCH(STOCK_OVERVIEW!$Y159,PLANNING_FC!$B$4:$B$23,0),FALSE)),"")</f>
        <v>0</v>
      </c>
      <c r="AJ159" s="650">
        <f ca="1">IFERROR(IF($AA159="NOOS",HLOOKUP(STOCK_OVERVIEW!$AB159&amp;STOCK_OVERVIEW!$AD159,PLANNING_FC!$DA$27:$DO$46,MATCH(STOCK_OVERVIEW!$Y159,PLANNING_FC!$CZ$27:$CZ$46,0),FALSE),HLOOKUP($AB159&amp;$AD159,PLANNING_FC!$DA$4:$DO$23,MATCH(STOCK_OVERVIEW!$Y159,PLANNING_FC!$CZ$4:$CZ$23,0),FALSE)),"")</f>
        <v>0</v>
      </c>
      <c r="AK159" s="651">
        <f ca="1">IFERROR(IF(AA159="NOOS",HLOOKUP(AB159&amp;AD159,PLANNING_FC!$AJ$27:$AY$47,MATCH(STOCK_OVERVIEW!Y159,PLANNING_FC!$AJ$27:$AJ$47,0),FALSE)*1000,HLOOKUP(AB159&amp;AD159,PLANNING_FC!$AJ$4:$AY$24,MATCH(STOCK_OVERVIEW!Y159,PLANNING_FC!$AJ$4:$AJ$24,0),FALSE)*1000),"")</f>
        <v>0</v>
      </c>
      <c r="AL159" s="638"/>
      <c r="AM159" s="638"/>
      <c r="AN159" s="638"/>
      <c r="AO159" s="638"/>
      <c r="AP159" s="638"/>
      <c r="AQ159" s="638"/>
      <c r="AR159" s="638"/>
      <c r="AS159" s="638"/>
    </row>
    <row r="160" spans="1:45" s="61" customFormat="1" x14ac:dyDescent="0.25">
      <c r="A160" s="62"/>
      <c r="B160" s="835"/>
      <c r="C160" s="22"/>
      <c r="D160" s="22"/>
      <c r="E160" s="22"/>
      <c r="F160" s="22"/>
      <c r="G160" s="22"/>
      <c r="H160" s="22"/>
      <c r="I160" s="837"/>
      <c r="J160" s="576"/>
      <c r="K160" s="62"/>
      <c r="L160" s="62"/>
      <c r="M160" s="24"/>
      <c r="N160" s="206"/>
      <c r="O160" s="24"/>
      <c r="R160" s="19"/>
      <c r="S160" s="637"/>
      <c r="T160" s="637"/>
      <c r="U160" s="636"/>
      <c r="V160" s="637"/>
      <c r="W160" s="637"/>
      <c r="X160" s="200" t="str">
        <f>NWC_FC_NOOS!$B$1</f>
        <v>VM</v>
      </c>
      <c r="Y160" s="25" t="str">
        <f>NWC_FC_NOOS!$B$64</f>
        <v>SWEAT</v>
      </c>
      <c r="Z160" s="25" t="str">
        <f t="shared" ca="1" si="16"/>
        <v>VMSWEAT19/20Aug</v>
      </c>
      <c r="AA160" s="25" t="str">
        <f>NWC_FC_NOOS!$I$1</f>
        <v>NOOS</v>
      </c>
      <c r="AB160" s="25" t="str">
        <f ca="1">NWC_FC_NOOS!$K$73</f>
        <v>19/20</v>
      </c>
      <c r="AC160" s="25" t="str">
        <f ca="1">NWC_FC_NOOS!$K$74</f>
        <v>Q1</v>
      </c>
      <c r="AD160" s="25" t="str">
        <f ca="1">NWC_FC_NOOS!$K$75</f>
        <v>Aug</v>
      </c>
      <c r="AE160" s="649">
        <f ca="1">IFERROR(HLOOKUP($AB160&amp;$AD160,NWC_FC_NOOS!$B$4:$Q$24,MATCH($Y160,NWC_FC_NOOS!$B$4:$B$24,0),FALSE),"")</f>
        <v>0</v>
      </c>
      <c r="AF160" s="650">
        <f ca="1">IFERROR(HLOOKUP($AB160&amp;$AD160,NWC_FC_NOOS!$S$4:$AH$24,MATCH($Y160,NWC_FC_NOOS!$S$4:$S$24,0),FALSE),"")</f>
        <v>0</v>
      </c>
      <c r="AG160" s="650">
        <f ca="1">IFERROR(HLOOKUP($AB160&amp;$AD160,NWC_FC_NOOS!$C$50:$U$70,MATCH($Y160,NWC_FC_NOOS!$B$50:$B$70,0),FALSE),"")</f>
        <v>0</v>
      </c>
      <c r="AH160" s="650">
        <f ca="1">IFERROR(IF($AA160="NOOS",HLOOKUP(STOCK_OVERVIEW!$AB160&amp;STOCK_OVERVIEW!$AD160,PLANNING_FC!$BB$27:$BP$46,MATCH(STOCK_OVERVIEW!$Y160,PLANNING_FC!$BA$27:$BA$46,0),FALSE),HLOOKUP($AB160&amp;$AD160,PLANNING_FC!$BB$4:$BP$23,MATCH(STOCK_OVERVIEW!$Y160,PLANNING_FC!$BA$4:$BA$23,0),FALSE)),"")</f>
        <v>0</v>
      </c>
      <c r="AI160" s="650">
        <f ca="1">IFERROR(IF($AA160="NOOS",HLOOKUP(STOCK_OVERVIEW!$AB160&amp;STOCK_OVERVIEW!$AD160,PLANNING_FC!$T$27:$AH$46,MATCH(STOCK_OVERVIEW!$Y160,PLANNING_FC!$B$27:$B$46,0),FALSE),HLOOKUP($AB160&amp;$AD160,PLANNING_FC!$T$4:$AH$23,MATCH(STOCK_OVERVIEW!$Y160,PLANNING_FC!$B$4:$B$23,0),FALSE)),"")</f>
        <v>0</v>
      </c>
      <c r="AJ160" s="650">
        <f ca="1">IFERROR(IF($AA160="NOOS",HLOOKUP(STOCK_OVERVIEW!$AB160&amp;STOCK_OVERVIEW!$AD160,PLANNING_FC!$DA$27:$DO$46,MATCH(STOCK_OVERVIEW!$Y160,PLANNING_FC!$CZ$27:$CZ$46,0),FALSE),HLOOKUP($AB160&amp;$AD160,PLANNING_FC!$DA$4:$DO$23,MATCH(STOCK_OVERVIEW!$Y160,PLANNING_FC!$CZ$4:$CZ$23,0),FALSE)),"")</f>
        <v>0</v>
      </c>
      <c r="AK160" s="651">
        <f ca="1">IFERROR(IF(AA160="NOOS",HLOOKUP(AB160&amp;AD160,PLANNING_FC!$AJ$27:$AY$47,MATCH(STOCK_OVERVIEW!Y160,PLANNING_FC!$AJ$27:$AJ$47,0),FALSE)*1000,HLOOKUP(AB160&amp;AD160,PLANNING_FC!$AJ$4:$AY$24,MATCH(STOCK_OVERVIEW!Y160,PLANNING_FC!$AJ$4:$AJ$24,0),FALSE)*1000),"")</f>
        <v>0</v>
      </c>
      <c r="AL160" s="638"/>
      <c r="AM160" s="638"/>
      <c r="AN160" s="638"/>
      <c r="AO160" s="638"/>
      <c r="AP160" s="638"/>
      <c r="AQ160" s="638"/>
      <c r="AR160" s="638"/>
      <c r="AS160" s="638"/>
    </row>
    <row r="161" spans="1:45" s="61" customFormat="1" x14ac:dyDescent="0.25">
      <c r="A161" s="62"/>
      <c r="B161" s="835" t="str">
        <f ca="1">$K$40</f>
        <v>Aug</v>
      </c>
      <c r="C161" s="836">
        <f ca="1">$K$42</f>
        <v>0</v>
      </c>
      <c r="D161" s="22"/>
      <c r="E161" s="22"/>
      <c r="F161" s="22"/>
      <c r="G161" s="22"/>
      <c r="H161" s="22"/>
      <c r="I161" s="837"/>
      <c r="J161" s="576"/>
      <c r="K161" s="62"/>
      <c r="L161" s="62"/>
      <c r="M161" s="24"/>
      <c r="N161" s="206"/>
      <c r="O161" s="24"/>
      <c r="R161" s="19"/>
      <c r="S161" s="637"/>
      <c r="T161" s="637"/>
      <c r="U161" s="636"/>
      <c r="V161" s="637"/>
      <c r="W161" s="637"/>
      <c r="X161" s="200" t="str">
        <f>NWC_FC_NOOS!$B$1</f>
        <v>VM</v>
      </c>
      <c r="Y161" s="25" t="str">
        <f>NWC_FC_NOOS!$B$64</f>
        <v>SWEAT</v>
      </c>
      <c r="Z161" s="25" t="str">
        <f t="shared" ca="1" si="16"/>
        <v>VMSWEAT19/20Sep</v>
      </c>
      <c r="AA161" s="25" t="str">
        <f>NWC_FC_NOOS!$I$1</f>
        <v>NOOS</v>
      </c>
      <c r="AB161" s="25" t="str">
        <f ca="1">NWC_FC_NOOS!$K$73</f>
        <v>19/20</v>
      </c>
      <c r="AC161" s="25" t="str">
        <f ca="1">NWC_FC_NOOS!$K$74</f>
        <v>Q1</v>
      </c>
      <c r="AD161" s="25" t="str">
        <f ca="1">NWC_FC_NOOS!$L$75</f>
        <v>Sep</v>
      </c>
      <c r="AE161" s="649">
        <f ca="1">IFERROR(HLOOKUP($AB161&amp;$AD161,NWC_FC_NOOS!$B$4:$Q$24,MATCH($Y161,NWC_FC_NOOS!$B$4:$B$24,0),FALSE),"")</f>
        <v>0</v>
      </c>
      <c r="AF161" s="650">
        <f ca="1">IFERROR(HLOOKUP($AB161&amp;$AD161,NWC_FC_NOOS!$S$4:$AH$24,MATCH($Y161,NWC_FC_NOOS!$S$4:$S$24,0),FALSE),"")</f>
        <v>0</v>
      </c>
      <c r="AG161" s="650">
        <f ca="1">IFERROR(HLOOKUP($AB161&amp;$AD161,NWC_FC_NOOS!$C$50:$U$70,MATCH($Y161,NWC_FC_NOOS!$B$50:$B$70,0),FALSE),"")</f>
        <v>0</v>
      </c>
      <c r="AH161" s="650">
        <f ca="1">IFERROR(IF($AA161="NOOS",HLOOKUP(STOCK_OVERVIEW!$AB161&amp;STOCK_OVERVIEW!$AD161,PLANNING_FC!$BB$27:$BP$46,MATCH(STOCK_OVERVIEW!$Y161,PLANNING_FC!$BA$27:$BA$46,0),FALSE),HLOOKUP($AB161&amp;$AD161,PLANNING_FC!$BB$4:$BP$23,MATCH(STOCK_OVERVIEW!$Y161,PLANNING_FC!$BA$4:$BA$23,0),FALSE)),"")</f>
        <v>0</v>
      </c>
      <c r="AI161" s="650">
        <f ca="1">IFERROR(IF($AA161="NOOS",HLOOKUP(STOCK_OVERVIEW!$AB161&amp;STOCK_OVERVIEW!$AD161,PLANNING_FC!$T$27:$AH$46,MATCH(STOCK_OVERVIEW!$Y161,PLANNING_FC!$B$27:$B$46,0),FALSE),HLOOKUP($AB161&amp;$AD161,PLANNING_FC!$T$4:$AH$23,MATCH(STOCK_OVERVIEW!$Y161,PLANNING_FC!$B$4:$B$23,0),FALSE)),"")</f>
        <v>0</v>
      </c>
      <c r="AJ161" s="650">
        <f ca="1">IFERROR(IF($AA161="NOOS",HLOOKUP(STOCK_OVERVIEW!$AB161&amp;STOCK_OVERVIEW!$AD161,PLANNING_FC!$DA$27:$DO$46,MATCH(STOCK_OVERVIEW!$Y161,PLANNING_FC!$CZ$27:$CZ$46,0),FALSE),HLOOKUP($AB161&amp;$AD161,PLANNING_FC!$DA$4:$DO$23,MATCH(STOCK_OVERVIEW!$Y161,PLANNING_FC!$CZ$4:$CZ$23,0),FALSE)),"")</f>
        <v>0</v>
      </c>
      <c r="AK161" s="651">
        <f ca="1">IFERROR(IF(AA161="NOOS",HLOOKUP(AB161&amp;AD161,PLANNING_FC!$AJ$27:$AY$47,MATCH(STOCK_OVERVIEW!Y161,PLANNING_FC!$AJ$27:$AJ$47,0),FALSE)*1000,HLOOKUP(AB161&amp;AD161,PLANNING_FC!$AJ$4:$AY$24,MATCH(STOCK_OVERVIEW!Y161,PLANNING_FC!$AJ$4:$AJ$24,0),FALSE)*1000),"")</f>
        <v>0</v>
      </c>
      <c r="AL161" s="638"/>
      <c r="AM161" s="638"/>
      <c r="AN161" s="638"/>
      <c r="AO161" s="638"/>
      <c r="AP161" s="638"/>
      <c r="AQ161" s="638"/>
      <c r="AR161" s="638"/>
      <c r="AS161" s="638"/>
    </row>
    <row r="162" spans="1:45" s="61" customFormat="1" x14ac:dyDescent="0.25">
      <c r="A162" s="62"/>
      <c r="B162" s="835"/>
      <c r="C162" s="22"/>
      <c r="D162" s="836">
        <f ca="1">$K$45</f>
        <v>285171</v>
      </c>
      <c r="E162" s="836">
        <f ca="1">$K$46</f>
        <v>0</v>
      </c>
      <c r="F162" s="22"/>
      <c r="G162" s="22"/>
      <c r="H162" s="22"/>
      <c r="I162" s="837"/>
      <c r="J162" s="576"/>
      <c r="K162" s="62"/>
      <c r="L162" s="62"/>
      <c r="M162" s="24"/>
      <c r="N162" s="206"/>
      <c r="O162" s="24"/>
      <c r="R162" s="19"/>
      <c r="S162" s="637"/>
      <c r="T162" s="637"/>
      <c r="U162" s="636"/>
      <c r="V162" s="637"/>
      <c r="W162" s="637"/>
      <c r="X162" s="200" t="str">
        <f>NWC_FC_NOOS!$B$1</f>
        <v>VM</v>
      </c>
      <c r="Y162" s="25" t="str">
        <f>NWC_FC_NOOS!$B$64</f>
        <v>SWEAT</v>
      </c>
      <c r="Z162" s="25" t="str">
        <f t="shared" ca="1" si="16"/>
        <v>VMSWEAT19/20Oct</v>
      </c>
      <c r="AA162" s="25" t="str">
        <f>NWC_FC_NOOS!$I$1</f>
        <v>NOOS</v>
      </c>
      <c r="AB162" s="25" t="str">
        <f ca="1">NWC_FC_NOOS!$K$73</f>
        <v>19/20</v>
      </c>
      <c r="AC162" s="25" t="str">
        <f ca="1">NWC_FC_NOOS!$K$74</f>
        <v>Q1</v>
      </c>
      <c r="AD162" s="25" t="str">
        <f ca="1">NWC_FC_NOOS!$M$75</f>
        <v>Oct</v>
      </c>
      <c r="AE162" s="649">
        <f ca="1">IFERROR(HLOOKUP($AB162&amp;$AD162,NWC_FC_NOOS!$B$4:$Q$24,MATCH($Y162,NWC_FC_NOOS!$B$4:$B$24,0),FALSE),"")</f>
        <v>0</v>
      </c>
      <c r="AF162" s="650">
        <f ca="1">IFERROR(HLOOKUP($AB162&amp;$AD162,NWC_FC_NOOS!$S$4:$AH$24,MATCH($Y162,NWC_FC_NOOS!$S$4:$S$24,0),FALSE),"")</f>
        <v>0</v>
      </c>
      <c r="AG162" s="650">
        <f ca="1">IFERROR(HLOOKUP($AB162&amp;$AD162,NWC_FC_NOOS!$C$50:$U$70,MATCH($Y162,NWC_FC_NOOS!$B$50:$B$70,0),FALSE),"")</f>
        <v>0</v>
      </c>
      <c r="AH162" s="650">
        <f ca="1">IFERROR(IF($AA162="NOOS",HLOOKUP(STOCK_OVERVIEW!$AB162&amp;STOCK_OVERVIEW!$AD162,PLANNING_FC!$BB$27:$BP$46,MATCH(STOCK_OVERVIEW!$Y162,PLANNING_FC!$BA$27:$BA$46,0),FALSE),HLOOKUP($AB162&amp;$AD162,PLANNING_FC!$BB$4:$BP$23,MATCH(STOCK_OVERVIEW!$Y162,PLANNING_FC!$BA$4:$BA$23,0),FALSE)),"")</f>
        <v>0</v>
      </c>
      <c r="AI162" s="650">
        <f ca="1">IFERROR(IF($AA162="NOOS",HLOOKUP(STOCK_OVERVIEW!$AB162&amp;STOCK_OVERVIEW!$AD162,PLANNING_FC!$T$27:$AH$46,MATCH(STOCK_OVERVIEW!$Y162,PLANNING_FC!$B$27:$B$46,0),FALSE),HLOOKUP($AB162&amp;$AD162,PLANNING_FC!$T$4:$AH$23,MATCH(STOCK_OVERVIEW!$Y162,PLANNING_FC!$B$4:$B$23,0),FALSE)),"")</f>
        <v>0</v>
      </c>
      <c r="AJ162" s="650">
        <f ca="1">IFERROR(IF($AA162="NOOS",HLOOKUP(STOCK_OVERVIEW!$AB162&amp;STOCK_OVERVIEW!$AD162,PLANNING_FC!$DA$27:$DO$46,MATCH(STOCK_OVERVIEW!$Y162,PLANNING_FC!$CZ$27:$CZ$46,0),FALSE),HLOOKUP($AB162&amp;$AD162,PLANNING_FC!$DA$4:$DO$23,MATCH(STOCK_OVERVIEW!$Y162,PLANNING_FC!$CZ$4:$CZ$23,0),FALSE)),"")</f>
        <v>0</v>
      </c>
      <c r="AK162" s="651">
        <f ca="1">IFERROR(IF(AA162="NOOS",HLOOKUP(AB162&amp;AD162,PLANNING_FC!$AJ$27:$AY$47,MATCH(STOCK_OVERVIEW!Y162,PLANNING_FC!$AJ$27:$AJ$47,0),FALSE)*1000,HLOOKUP(AB162&amp;AD162,PLANNING_FC!$AJ$4:$AY$24,MATCH(STOCK_OVERVIEW!Y162,PLANNING_FC!$AJ$4:$AJ$24,0),FALSE)*1000),"")</f>
        <v>0</v>
      </c>
      <c r="AL162" s="638"/>
      <c r="AM162" s="638"/>
      <c r="AN162" s="638"/>
      <c r="AO162" s="638"/>
      <c r="AP162" s="638"/>
      <c r="AQ162" s="638"/>
      <c r="AR162" s="638"/>
      <c r="AS162" s="638"/>
    </row>
    <row r="163" spans="1:45" s="61" customFormat="1" x14ac:dyDescent="0.25">
      <c r="A163" s="62"/>
      <c r="B163" s="835"/>
      <c r="C163" s="22"/>
      <c r="D163" s="22"/>
      <c r="E163" s="22"/>
      <c r="F163" s="836">
        <f ca="1">$K$55</f>
        <v>5651121</v>
      </c>
      <c r="G163" s="838">
        <f ca="1">K52</f>
        <v>0</v>
      </c>
      <c r="H163" s="22"/>
      <c r="I163" s="837"/>
      <c r="J163" s="576"/>
      <c r="K163" s="62"/>
      <c r="L163" s="62"/>
      <c r="M163" s="24"/>
      <c r="N163" s="206"/>
      <c r="O163" s="24"/>
      <c r="R163" s="19"/>
      <c r="S163" s="637"/>
      <c r="T163" s="637"/>
      <c r="U163" s="636"/>
      <c r="V163" s="637"/>
      <c r="W163" s="637"/>
      <c r="X163" s="200" t="str">
        <f>NWC_FC_NOOS!$B$1</f>
        <v>VM</v>
      </c>
      <c r="Y163" s="25" t="str">
        <f>NWC_FC_NOOS!$B$64</f>
        <v>SWEAT</v>
      </c>
      <c r="Z163" s="25" t="str">
        <f t="shared" ca="1" si="16"/>
        <v>VMSWEAT19/20Nov</v>
      </c>
      <c r="AA163" s="25" t="str">
        <f>NWC_FC_NOOS!$I$1</f>
        <v>NOOS</v>
      </c>
      <c r="AB163" s="25" t="str">
        <f ca="1">NWC_FC_NOOS!$O$73</f>
        <v>19/20</v>
      </c>
      <c r="AC163" s="25" t="str">
        <f ca="1">NWC_FC_NOOS!$O$74</f>
        <v>Q2</v>
      </c>
      <c r="AD163" s="25" t="str">
        <f ca="1">NWC_FC_NOOS!$O$75</f>
        <v>Nov</v>
      </c>
      <c r="AE163" s="649">
        <f ca="1">IFERROR(HLOOKUP($AB163&amp;$AD163,NWC_FC_NOOS!$B$4:$Q$24,MATCH($Y163,NWC_FC_NOOS!$B$4:$B$24,0),FALSE),"")</f>
        <v>0</v>
      </c>
      <c r="AF163" s="650">
        <f ca="1">IFERROR(HLOOKUP($AB163&amp;$AD163,NWC_FC_NOOS!$S$4:$AH$24,MATCH($Y163,NWC_FC_NOOS!$S$4:$S$24,0),FALSE),"")</f>
        <v>0</v>
      </c>
      <c r="AG163" s="650">
        <f ca="1">IFERROR(HLOOKUP($AB163&amp;$AD163,NWC_FC_NOOS!$C$50:$U$70,MATCH($Y163,NWC_FC_NOOS!$B$50:$B$70,0),FALSE),"")</f>
        <v>0</v>
      </c>
      <c r="AH163" s="650">
        <f ca="1">IFERROR(IF($AA163="NOOS",HLOOKUP(STOCK_OVERVIEW!$AB163&amp;STOCK_OVERVIEW!$AD163,PLANNING_FC!$BB$27:$BP$46,MATCH(STOCK_OVERVIEW!$Y163,PLANNING_FC!$BA$27:$BA$46,0),FALSE),HLOOKUP($AB163&amp;$AD163,PLANNING_FC!$BB$4:$BP$23,MATCH(STOCK_OVERVIEW!$Y163,PLANNING_FC!$BA$4:$BA$23,0),FALSE)),"")</f>
        <v>0</v>
      </c>
      <c r="AI163" s="650">
        <f ca="1">IFERROR(IF($AA163="NOOS",HLOOKUP(STOCK_OVERVIEW!$AB163&amp;STOCK_OVERVIEW!$AD163,PLANNING_FC!$T$27:$AH$46,MATCH(STOCK_OVERVIEW!$Y163,PLANNING_FC!$B$27:$B$46,0),FALSE),HLOOKUP($AB163&amp;$AD163,PLANNING_FC!$T$4:$AH$23,MATCH(STOCK_OVERVIEW!$Y163,PLANNING_FC!$B$4:$B$23,0),FALSE)),"")</f>
        <v>0</v>
      </c>
      <c r="AJ163" s="650">
        <f ca="1">IFERROR(IF($AA163="NOOS",HLOOKUP(STOCK_OVERVIEW!$AB163&amp;STOCK_OVERVIEW!$AD163,PLANNING_FC!$DA$27:$DO$46,MATCH(STOCK_OVERVIEW!$Y163,PLANNING_FC!$CZ$27:$CZ$46,0),FALSE),HLOOKUP($AB163&amp;$AD163,PLANNING_FC!$DA$4:$DO$23,MATCH(STOCK_OVERVIEW!$Y163,PLANNING_FC!$CZ$4:$CZ$23,0),FALSE)),"")</f>
        <v>0</v>
      </c>
      <c r="AK163" s="651">
        <f ca="1">IFERROR(IF(AA163="NOOS",HLOOKUP(AB163&amp;AD163,PLANNING_FC!$AJ$27:$AY$47,MATCH(STOCK_OVERVIEW!Y163,PLANNING_FC!$AJ$27:$AJ$47,0),FALSE)*1000,HLOOKUP(AB163&amp;AD163,PLANNING_FC!$AJ$4:$AY$24,MATCH(STOCK_OVERVIEW!Y163,PLANNING_FC!$AJ$4:$AJ$24,0),FALSE)*1000),"")</f>
        <v>0</v>
      </c>
      <c r="AL163" s="638"/>
      <c r="AM163" s="638"/>
      <c r="AN163" s="638"/>
      <c r="AO163" s="638"/>
      <c r="AP163" s="638"/>
      <c r="AQ163" s="638"/>
      <c r="AR163" s="638"/>
      <c r="AS163" s="638"/>
    </row>
    <row r="164" spans="1:45" s="61" customFormat="1" x14ac:dyDescent="0.25">
      <c r="A164" s="62"/>
      <c r="B164" s="835"/>
      <c r="C164" s="22"/>
      <c r="D164" s="22"/>
      <c r="E164" s="22"/>
      <c r="F164" s="22"/>
      <c r="G164" s="22"/>
      <c r="H164" s="836">
        <f ca="1">$K$61</f>
        <v>3310757.0526000005</v>
      </c>
      <c r="I164" s="839">
        <f ca="1">$K$58</f>
        <v>0</v>
      </c>
      <c r="J164" s="576"/>
      <c r="K164" s="62"/>
      <c r="L164" s="62"/>
      <c r="M164" s="24"/>
      <c r="N164" s="206"/>
      <c r="O164" s="24"/>
      <c r="R164" s="19"/>
      <c r="S164" s="637"/>
      <c r="T164" s="637"/>
      <c r="U164" s="636"/>
      <c r="V164" s="637"/>
      <c r="W164" s="637"/>
      <c r="X164" s="200" t="str">
        <f>NWC_FC_NOOS!$B$1</f>
        <v>VM</v>
      </c>
      <c r="Y164" s="25" t="str">
        <f>NWC_FC_NOOS!$B$64</f>
        <v>SWEAT</v>
      </c>
      <c r="Z164" s="25" t="str">
        <f t="shared" ca="1" si="16"/>
        <v>VMSWEAT19/20Dec</v>
      </c>
      <c r="AA164" s="25" t="str">
        <f>NWC_FC_NOOS!$I$1</f>
        <v>NOOS</v>
      </c>
      <c r="AB164" s="25" t="str">
        <f ca="1">NWC_FC_NOOS!$O$73</f>
        <v>19/20</v>
      </c>
      <c r="AC164" s="25" t="str">
        <f ca="1">NWC_FC_NOOS!$O$74</f>
        <v>Q2</v>
      </c>
      <c r="AD164" s="25" t="str">
        <f ca="1">NWC_FC_NOOS!$P$75</f>
        <v>Dec</v>
      </c>
      <c r="AE164" s="649">
        <f ca="1">IFERROR(HLOOKUP($AB164&amp;$AD164,NWC_FC_NOOS!$B$4:$Q$24,MATCH($Y164,NWC_FC_NOOS!$B$4:$B$24,0),FALSE),"")</f>
        <v>0</v>
      </c>
      <c r="AF164" s="650">
        <f ca="1">IFERROR(HLOOKUP($AB164&amp;$AD164,NWC_FC_NOOS!$S$4:$AH$24,MATCH($Y164,NWC_FC_NOOS!$S$4:$S$24,0),FALSE),"")</f>
        <v>0</v>
      </c>
      <c r="AG164" s="650">
        <f ca="1">IFERROR(HLOOKUP($AB164&amp;$AD164,NWC_FC_NOOS!$C$50:$U$70,MATCH($Y164,NWC_FC_NOOS!$B$50:$B$70,0),FALSE),"")</f>
        <v>0</v>
      </c>
      <c r="AH164" s="650">
        <f ca="1">IFERROR(IF($AA164="NOOS",HLOOKUP(STOCK_OVERVIEW!$AB164&amp;STOCK_OVERVIEW!$AD164,PLANNING_FC!$BB$27:$BP$46,MATCH(STOCK_OVERVIEW!$Y164,PLANNING_FC!$BA$27:$BA$46,0),FALSE),HLOOKUP($AB164&amp;$AD164,PLANNING_FC!$BB$4:$BP$23,MATCH(STOCK_OVERVIEW!$Y164,PLANNING_FC!$BA$4:$BA$23,0),FALSE)),"")</f>
        <v>0</v>
      </c>
      <c r="AI164" s="650">
        <f ca="1">IFERROR(IF($AA164="NOOS",HLOOKUP(STOCK_OVERVIEW!$AB164&amp;STOCK_OVERVIEW!$AD164,PLANNING_FC!$T$27:$AH$46,MATCH(STOCK_OVERVIEW!$Y164,PLANNING_FC!$B$27:$B$46,0),FALSE),HLOOKUP($AB164&amp;$AD164,PLANNING_FC!$T$4:$AH$23,MATCH(STOCK_OVERVIEW!$Y164,PLANNING_FC!$B$4:$B$23,0),FALSE)),"")</f>
        <v>0</v>
      </c>
      <c r="AJ164" s="650">
        <f ca="1">IFERROR(IF($AA164="NOOS",HLOOKUP(STOCK_OVERVIEW!$AB164&amp;STOCK_OVERVIEW!$AD164,PLANNING_FC!$DA$27:$DO$46,MATCH(STOCK_OVERVIEW!$Y164,PLANNING_FC!$CZ$27:$CZ$46,0),FALSE),HLOOKUP($AB164&amp;$AD164,PLANNING_FC!$DA$4:$DO$23,MATCH(STOCK_OVERVIEW!$Y164,PLANNING_FC!$CZ$4:$CZ$23,0),FALSE)),"")</f>
        <v>0</v>
      </c>
      <c r="AK164" s="651">
        <f ca="1">IFERROR(IF(AA164="NOOS",HLOOKUP(AB164&amp;AD164,PLANNING_FC!$AJ$27:$AY$47,MATCH(STOCK_OVERVIEW!Y164,PLANNING_FC!$AJ$27:$AJ$47,0),FALSE)*1000,HLOOKUP(AB164&amp;AD164,PLANNING_FC!$AJ$4:$AY$24,MATCH(STOCK_OVERVIEW!Y164,PLANNING_FC!$AJ$4:$AJ$24,0),FALSE)*1000),"")</f>
        <v>0</v>
      </c>
      <c r="AL164" s="638"/>
      <c r="AM164" s="638"/>
      <c r="AN164" s="638"/>
      <c r="AO164" s="638"/>
      <c r="AP164" s="638"/>
      <c r="AQ164" s="638"/>
      <c r="AR164" s="638"/>
      <c r="AS164" s="638"/>
    </row>
    <row r="165" spans="1:45" s="61" customFormat="1" x14ac:dyDescent="0.25">
      <c r="A165" s="62"/>
      <c r="B165" s="835"/>
      <c r="C165" s="22"/>
      <c r="D165" s="22"/>
      <c r="E165" s="22"/>
      <c r="F165" s="22"/>
      <c r="G165" s="22"/>
      <c r="H165" s="22"/>
      <c r="I165" s="837"/>
      <c r="J165" s="576"/>
      <c r="K165" s="62"/>
      <c r="L165" s="62"/>
      <c r="M165" s="24"/>
      <c r="N165" s="206"/>
      <c r="O165" s="24"/>
      <c r="R165" s="19"/>
      <c r="S165" s="637"/>
      <c r="T165" s="637"/>
      <c r="U165" s="636"/>
      <c r="V165" s="637"/>
      <c r="W165" s="637"/>
      <c r="X165" s="200" t="str">
        <f>NWC_FC_NOOS!$B$1</f>
        <v>VM</v>
      </c>
      <c r="Y165" s="25" t="str">
        <f>NWC_FC_NOOS!$B$64</f>
        <v>SWEAT</v>
      </c>
      <c r="Z165" s="25" t="str">
        <f t="shared" ca="1" si="16"/>
        <v>VMSWEAT19/20Jan</v>
      </c>
      <c r="AA165" s="25" t="str">
        <f>NWC_FC_NOOS!$I$1</f>
        <v>NOOS</v>
      </c>
      <c r="AB165" s="25" t="str">
        <f ca="1">NWC_FC_NOOS!$O$73</f>
        <v>19/20</v>
      </c>
      <c r="AC165" s="25" t="str">
        <f ca="1">NWC_FC_NOOS!$O$74</f>
        <v>Q2</v>
      </c>
      <c r="AD165" s="25" t="str">
        <f ca="1">NWC_FC_NOOS!$Q$75</f>
        <v>Jan</v>
      </c>
      <c r="AE165" s="649">
        <f ca="1">IFERROR(HLOOKUP($AB165&amp;$AD165,NWC_FC_NOOS!$B$4:$Q$24,MATCH($Y165,NWC_FC_NOOS!$B$4:$B$24,0),FALSE),"")</f>
        <v>0</v>
      </c>
      <c r="AF165" s="650">
        <f ca="1">IFERROR(HLOOKUP($AB165&amp;$AD165,NWC_FC_NOOS!$S$4:$AH$24,MATCH($Y165,NWC_FC_NOOS!$S$4:$S$24,0),FALSE),"")</f>
        <v>0</v>
      </c>
      <c r="AG165" s="650">
        <f ca="1">IFERROR(HLOOKUP($AB165&amp;$AD165,NWC_FC_NOOS!$C$50:$U$70,MATCH($Y165,NWC_FC_NOOS!$B$50:$B$70,0),FALSE),"")</f>
        <v>0</v>
      </c>
      <c r="AH165" s="650">
        <f ca="1">IFERROR(IF($AA165="NOOS",HLOOKUP(STOCK_OVERVIEW!$AB165&amp;STOCK_OVERVIEW!$AD165,PLANNING_FC!$BB$27:$BP$46,MATCH(STOCK_OVERVIEW!$Y165,PLANNING_FC!$BA$27:$BA$46,0),FALSE),HLOOKUP($AB165&amp;$AD165,PLANNING_FC!$BB$4:$BP$23,MATCH(STOCK_OVERVIEW!$Y165,PLANNING_FC!$BA$4:$BA$23,0),FALSE)),"")</f>
        <v>0</v>
      </c>
      <c r="AI165" s="650">
        <f ca="1">IFERROR(IF($AA165="NOOS",HLOOKUP(STOCK_OVERVIEW!$AB165&amp;STOCK_OVERVIEW!$AD165,PLANNING_FC!$T$27:$AH$46,MATCH(STOCK_OVERVIEW!$Y165,PLANNING_FC!$B$27:$B$46,0),FALSE),HLOOKUP($AB165&amp;$AD165,PLANNING_FC!$T$4:$AH$23,MATCH(STOCK_OVERVIEW!$Y165,PLANNING_FC!$B$4:$B$23,0),FALSE)),"")</f>
        <v>0</v>
      </c>
      <c r="AJ165" s="650">
        <f ca="1">IFERROR(IF($AA165="NOOS",HLOOKUP(STOCK_OVERVIEW!$AB165&amp;STOCK_OVERVIEW!$AD165,PLANNING_FC!$DA$27:$DO$46,MATCH(STOCK_OVERVIEW!$Y165,PLANNING_FC!$CZ$27:$CZ$46,0),FALSE),HLOOKUP($AB165&amp;$AD165,PLANNING_FC!$DA$4:$DO$23,MATCH(STOCK_OVERVIEW!$Y165,PLANNING_FC!$CZ$4:$CZ$23,0),FALSE)),"")</f>
        <v>0</v>
      </c>
      <c r="AK165" s="651">
        <f ca="1">IFERROR(IF(AA165="NOOS",HLOOKUP(AB165&amp;AD165,PLANNING_FC!$AJ$27:$AY$47,MATCH(STOCK_OVERVIEW!Y165,PLANNING_FC!$AJ$27:$AJ$47,0),FALSE)*1000,HLOOKUP(AB165&amp;AD165,PLANNING_FC!$AJ$4:$AY$24,MATCH(STOCK_OVERVIEW!Y165,PLANNING_FC!$AJ$4:$AJ$24,0),FALSE)*1000),"")</f>
        <v>0</v>
      </c>
      <c r="AL165" s="638"/>
      <c r="AM165" s="638"/>
      <c r="AN165" s="638"/>
      <c r="AO165" s="638"/>
      <c r="AP165" s="638"/>
      <c r="AQ165" s="638"/>
      <c r="AR165" s="638"/>
      <c r="AS165" s="638"/>
    </row>
    <row r="166" spans="1:45" s="61" customFormat="1" x14ac:dyDescent="0.25">
      <c r="A166" s="62"/>
      <c r="B166" s="835" t="str">
        <f ca="1">$L$40</f>
        <v>Sep</v>
      </c>
      <c r="C166" s="836">
        <f ca="1">$L$42</f>
        <v>0</v>
      </c>
      <c r="D166" s="22"/>
      <c r="E166" s="22"/>
      <c r="F166" s="22"/>
      <c r="G166" s="22"/>
      <c r="H166" s="22"/>
      <c r="I166" s="837"/>
      <c r="J166" s="206"/>
      <c r="K166" s="24"/>
      <c r="L166" s="24"/>
      <c r="M166" s="24"/>
      <c r="N166" s="206"/>
      <c r="O166" s="24"/>
      <c r="R166" s="19"/>
      <c r="S166" s="637"/>
      <c r="T166" s="637"/>
      <c r="U166" s="636"/>
      <c r="V166" s="637"/>
      <c r="W166" s="637"/>
      <c r="X166" s="200" t="str">
        <f>NWC_FC_NOOS!$B$1</f>
        <v>VM</v>
      </c>
      <c r="Y166" s="25" t="str">
        <f>NWC_FC_NOOS!$B$64</f>
        <v>SWEAT</v>
      </c>
      <c r="Z166" s="25" t="str">
        <f t="shared" ca="1" si="16"/>
        <v>VMSWEAT19/20Feb</v>
      </c>
      <c r="AA166" s="25" t="str">
        <f>NWC_FC_NOOS!$I$1</f>
        <v>NOOS</v>
      </c>
      <c r="AB166" s="25" t="str">
        <f ca="1">NWC_FC_NOOS!$S$73</f>
        <v>19/20</v>
      </c>
      <c r="AC166" s="25" t="str">
        <f ca="1">NWC_FC_NOOS!$S$74</f>
        <v>Q3</v>
      </c>
      <c r="AD166" s="25" t="str">
        <f ca="1">NWC_FC_NOOS!$S$75</f>
        <v>Feb</v>
      </c>
      <c r="AE166" s="649" t="str">
        <f ca="1">IFERROR(HLOOKUP($AB166&amp;$AD166,NWC_FC_NOOS!$B$4:$Q$24,MATCH($Y166,NWC_FC_NOOS!$B$4:$B$24,0),FALSE),"")</f>
        <v/>
      </c>
      <c r="AF166" s="650" t="str">
        <f ca="1">IFERROR(HLOOKUP($AB166&amp;$AD166,NWC_FC_NOOS!$S$4:$AH$24,MATCH($Y166,NWC_FC_NOOS!$S$4:$S$24,0),FALSE),"")</f>
        <v/>
      </c>
      <c r="AG166" s="650">
        <f ca="1">IFERROR(HLOOKUP($AB166&amp;$AD166,NWC_FC_NOOS!$C$50:$U$70,MATCH($Y166,NWC_FC_NOOS!$B$50:$B$70,0),FALSE),"")</f>
        <v>0</v>
      </c>
      <c r="AH166" s="650" t="str">
        <f ca="1">IFERROR(IF($AA166="NOOS",HLOOKUP(STOCK_OVERVIEW!$AB166&amp;STOCK_OVERVIEW!$AD166,PLANNING_FC!$BB$27:$BP$46,MATCH(STOCK_OVERVIEW!$Y166,PLANNING_FC!$BA$27:$BA$46,0),FALSE),HLOOKUP($AB166&amp;$AD166,PLANNING_FC!$BB$4:$BP$23,MATCH(STOCK_OVERVIEW!$Y166,PLANNING_FC!$BA$4:$BA$23,0),FALSE)),"")</f>
        <v/>
      </c>
      <c r="AI166" s="650" t="str">
        <f ca="1">IFERROR(IF($AA166="NOOS",HLOOKUP(STOCK_OVERVIEW!$AB166&amp;STOCK_OVERVIEW!$AD166,PLANNING_FC!$T$27:$AH$46,MATCH(STOCK_OVERVIEW!$Y166,PLANNING_FC!$B$27:$B$46,0),FALSE),HLOOKUP($AB166&amp;$AD166,PLANNING_FC!$T$4:$AH$23,MATCH(STOCK_OVERVIEW!$Y166,PLANNING_FC!$B$4:$B$23,0),FALSE)),"")</f>
        <v/>
      </c>
      <c r="AJ166" s="650" t="str">
        <f ca="1">IFERROR(IF($AA166="NOOS",HLOOKUP(STOCK_OVERVIEW!$AB166&amp;STOCK_OVERVIEW!$AD166,PLANNING_FC!$DA$27:$DO$46,MATCH(STOCK_OVERVIEW!$Y166,PLANNING_FC!$CZ$27:$CZ$46,0),FALSE),HLOOKUP($AB166&amp;$AD166,PLANNING_FC!$DA$4:$DO$23,MATCH(STOCK_OVERVIEW!$Y166,PLANNING_FC!$CZ$4:$CZ$23,0),FALSE)),"")</f>
        <v/>
      </c>
      <c r="AK166" s="651" t="str">
        <f ca="1">IFERROR(IF(AA166="NOOS",HLOOKUP(AB166&amp;AD166,PLANNING_FC!$AJ$27:$AY$47,MATCH(STOCK_OVERVIEW!Y166,PLANNING_FC!$AJ$27:$AJ$47,0),FALSE)*1000,HLOOKUP(AB166&amp;AD166,PLANNING_FC!$AJ$4:$AY$24,MATCH(STOCK_OVERVIEW!Y166,PLANNING_FC!$AJ$4:$AJ$24,0),FALSE)*1000),"")</f>
        <v/>
      </c>
      <c r="AL166" s="638"/>
      <c r="AM166" s="638"/>
      <c r="AN166" s="638"/>
      <c r="AO166" s="638"/>
      <c r="AP166" s="638"/>
      <c r="AQ166" s="638"/>
      <c r="AR166" s="638"/>
      <c r="AS166" s="638"/>
    </row>
    <row r="167" spans="1:45" s="61" customFormat="1" x14ac:dyDescent="0.25">
      <c r="A167" s="62"/>
      <c r="B167" s="835"/>
      <c r="C167" s="22"/>
      <c r="D167" s="836">
        <f ca="1">$L$45</f>
        <v>114241</v>
      </c>
      <c r="E167" s="836">
        <f ca="1">$L$46</f>
        <v>0</v>
      </c>
      <c r="F167" s="22"/>
      <c r="G167" s="22"/>
      <c r="H167" s="22"/>
      <c r="I167" s="837"/>
      <c r="J167" s="206"/>
      <c r="K167" s="24"/>
      <c r="L167" s="24"/>
      <c r="M167" s="24"/>
      <c r="N167" s="206"/>
      <c r="O167" s="24"/>
      <c r="R167" s="19"/>
      <c r="S167" s="637"/>
      <c r="T167" s="637"/>
      <c r="U167" s="636"/>
      <c r="V167" s="637"/>
      <c r="W167" s="637"/>
      <c r="X167" s="200" t="str">
        <f>NWC_FC_NOOS!$B$1</f>
        <v>VM</v>
      </c>
      <c r="Y167" s="25" t="str">
        <f>NWC_FC_NOOS!$B$64</f>
        <v>SWEAT</v>
      </c>
      <c r="Z167" s="25" t="str">
        <f t="shared" ca="1" si="16"/>
        <v>VMSWEAT19/20Mar</v>
      </c>
      <c r="AA167" s="25" t="str">
        <f>NWC_FC_NOOS!$I$1</f>
        <v>NOOS</v>
      </c>
      <c r="AB167" s="25" t="str">
        <f ca="1">NWC_FC_NOOS!$S$73</f>
        <v>19/20</v>
      </c>
      <c r="AC167" s="25" t="str">
        <f ca="1">NWC_FC_NOOS!$S$74</f>
        <v>Q3</v>
      </c>
      <c r="AD167" s="25" t="str">
        <f ca="1">NWC_FC_NOOS!$T$75</f>
        <v>Mar</v>
      </c>
      <c r="AE167" s="649" t="str">
        <f ca="1">IFERROR(HLOOKUP($AB167&amp;$AD167,NWC_FC_NOOS!$B$4:$Q$24,MATCH($Y167,NWC_FC_NOOS!$B$4:$B$24,0),FALSE),"")</f>
        <v/>
      </c>
      <c r="AF167" s="650" t="str">
        <f ca="1">IFERROR(HLOOKUP($AB167&amp;$AD167,NWC_FC_NOOS!$S$4:$AH$24,MATCH($Y167,NWC_FC_NOOS!$S$4:$S$24,0),FALSE),"")</f>
        <v/>
      </c>
      <c r="AG167" s="650">
        <f ca="1">IFERROR(HLOOKUP($AB167&amp;$AD167,NWC_FC_NOOS!$C$50:$U$70,MATCH($Y167,NWC_FC_NOOS!$B$50:$B$70,0),FALSE),"")</f>
        <v>0</v>
      </c>
      <c r="AH167" s="650" t="str">
        <f ca="1">IFERROR(IF($AA167="NOOS",HLOOKUP(STOCK_OVERVIEW!$AB167&amp;STOCK_OVERVIEW!$AD167,PLANNING_FC!$BB$27:$BP$46,MATCH(STOCK_OVERVIEW!$Y167,PLANNING_FC!$BA$27:$BA$46,0),FALSE),HLOOKUP($AB167&amp;$AD167,PLANNING_FC!$BB$4:$BP$23,MATCH(STOCK_OVERVIEW!$Y167,PLANNING_FC!$BA$4:$BA$23,0),FALSE)),"")</f>
        <v/>
      </c>
      <c r="AI167" s="650" t="str">
        <f ca="1">IFERROR(IF($AA167="NOOS",HLOOKUP(STOCK_OVERVIEW!$AB167&amp;STOCK_OVERVIEW!$AD167,PLANNING_FC!$T$27:$AH$46,MATCH(STOCK_OVERVIEW!$Y167,PLANNING_FC!$B$27:$B$46,0),FALSE),HLOOKUP($AB167&amp;$AD167,PLANNING_FC!$T$4:$AH$23,MATCH(STOCK_OVERVIEW!$Y167,PLANNING_FC!$B$4:$B$23,0),FALSE)),"")</f>
        <v/>
      </c>
      <c r="AJ167" s="650" t="str">
        <f ca="1">IFERROR(IF($AA167="NOOS",HLOOKUP(STOCK_OVERVIEW!$AB167&amp;STOCK_OVERVIEW!$AD167,PLANNING_FC!$DA$27:$DO$46,MATCH(STOCK_OVERVIEW!$Y167,PLANNING_FC!$CZ$27:$CZ$46,0),FALSE),HLOOKUP($AB167&amp;$AD167,PLANNING_FC!$DA$4:$DO$23,MATCH(STOCK_OVERVIEW!$Y167,PLANNING_FC!$CZ$4:$CZ$23,0),FALSE)),"")</f>
        <v/>
      </c>
      <c r="AK167" s="651" t="str">
        <f ca="1">IFERROR(IF(AA167="NOOS",HLOOKUP(AB167&amp;AD167,PLANNING_FC!$AJ$27:$AY$47,MATCH(STOCK_OVERVIEW!Y167,PLANNING_FC!$AJ$27:$AJ$47,0),FALSE)*1000,HLOOKUP(AB167&amp;AD167,PLANNING_FC!$AJ$4:$AY$24,MATCH(STOCK_OVERVIEW!Y167,PLANNING_FC!$AJ$4:$AJ$24,0),FALSE)*1000),"")</f>
        <v/>
      </c>
      <c r="AL167" s="638"/>
      <c r="AM167" s="638"/>
      <c r="AN167" s="638"/>
      <c r="AO167" s="638"/>
      <c r="AP167" s="638"/>
      <c r="AQ167" s="638"/>
      <c r="AR167" s="638"/>
      <c r="AS167" s="638"/>
    </row>
    <row r="168" spans="1:45" s="61" customFormat="1" x14ac:dyDescent="0.25">
      <c r="A168" s="62"/>
      <c r="B168" s="835"/>
      <c r="C168" s="22"/>
      <c r="D168" s="22"/>
      <c r="E168" s="22"/>
      <c r="F168" s="836">
        <f ca="1">$L$55</f>
        <v>5765362</v>
      </c>
      <c r="G168" s="838">
        <f ca="1">L52</f>
        <v>0</v>
      </c>
      <c r="H168" s="22"/>
      <c r="I168" s="837"/>
      <c r="J168" s="206"/>
      <c r="K168" s="24"/>
      <c r="L168" s="24"/>
      <c r="M168" s="24"/>
      <c r="N168" s="206"/>
      <c r="O168" s="24"/>
      <c r="R168" s="19"/>
      <c r="S168" s="637"/>
      <c r="T168" s="637"/>
      <c r="U168" s="636"/>
      <c r="V168" s="637"/>
      <c r="W168" s="637"/>
      <c r="X168" s="200" t="str">
        <f>NWC_FC_NOOS!$B$1</f>
        <v>VM</v>
      </c>
      <c r="Y168" s="25" t="str">
        <f>NWC_FC_NOOS!$B$64</f>
        <v>SWEAT</v>
      </c>
      <c r="Z168" s="25" t="str">
        <f t="shared" ca="1" si="16"/>
        <v>VMSWEAT19/20Apr</v>
      </c>
      <c r="AA168" s="25" t="str">
        <f>NWC_FC_NOOS!$I$1</f>
        <v>NOOS</v>
      </c>
      <c r="AB168" s="25" t="str">
        <f ca="1">NWC_FC_NOOS!$S$73</f>
        <v>19/20</v>
      </c>
      <c r="AC168" s="25" t="str">
        <f ca="1">NWC_FC_NOOS!$S$74</f>
        <v>Q3</v>
      </c>
      <c r="AD168" s="25" t="str">
        <f ca="1">NWC_FC_NOOS!$U$75</f>
        <v>Apr</v>
      </c>
      <c r="AE168" s="649" t="str">
        <f ca="1">IFERROR(HLOOKUP($AB168&amp;$AD168,NWC_FC_NOOS!$B$4:$Q$24,MATCH($Y168,NWC_FC_NOOS!$B$4:$B$24,0),FALSE),"")</f>
        <v/>
      </c>
      <c r="AF168" s="650" t="str">
        <f ca="1">IFERROR(HLOOKUP($AB168&amp;$AD168,NWC_FC_NOOS!$S$4:$AH$24,MATCH($Y168,NWC_FC_NOOS!$S$4:$S$24,0),FALSE),"")</f>
        <v/>
      </c>
      <c r="AG168" s="650">
        <f ca="1">IFERROR(HLOOKUP($AB168&amp;$AD168,NWC_FC_NOOS!$C$50:$U$70,MATCH($Y168,NWC_FC_NOOS!$B$50:$B$70,0),FALSE),"")</f>
        <v>0</v>
      </c>
      <c r="AH168" s="650" t="str">
        <f ca="1">IFERROR(IF($AA168="NOOS",HLOOKUP(STOCK_OVERVIEW!$AB168&amp;STOCK_OVERVIEW!$AD168,PLANNING_FC!$BB$27:$BP$46,MATCH(STOCK_OVERVIEW!$Y168,PLANNING_FC!$BA$27:$BA$46,0),FALSE),HLOOKUP($AB168&amp;$AD168,PLANNING_FC!$BB$4:$BP$23,MATCH(STOCK_OVERVIEW!$Y168,PLANNING_FC!$BA$4:$BA$23,0),FALSE)),"")</f>
        <v/>
      </c>
      <c r="AI168" s="650" t="str">
        <f ca="1">IFERROR(IF($AA168="NOOS",HLOOKUP(STOCK_OVERVIEW!$AB168&amp;STOCK_OVERVIEW!$AD168,PLANNING_FC!$T$27:$AH$46,MATCH(STOCK_OVERVIEW!$Y168,PLANNING_FC!$B$27:$B$46,0),FALSE),HLOOKUP($AB168&amp;$AD168,PLANNING_FC!$T$4:$AH$23,MATCH(STOCK_OVERVIEW!$Y168,PLANNING_FC!$B$4:$B$23,0),FALSE)),"")</f>
        <v/>
      </c>
      <c r="AJ168" s="650" t="str">
        <f ca="1">IFERROR(IF($AA168="NOOS",HLOOKUP(STOCK_OVERVIEW!$AB168&amp;STOCK_OVERVIEW!$AD168,PLANNING_FC!$DA$27:$DO$46,MATCH(STOCK_OVERVIEW!$Y168,PLANNING_FC!$CZ$27:$CZ$46,0),FALSE),HLOOKUP($AB168&amp;$AD168,PLANNING_FC!$DA$4:$DO$23,MATCH(STOCK_OVERVIEW!$Y168,PLANNING_FC!$CZ$4:$CZ$23,0),FALSE)),"")</f>
        <v/>
      </c>
      <c r="AK168" s="651" t="str">
        <f ca="1">IFERROR(IF(AA168="NOOS",HLOOKUP(AB168&amp;AD168,PLANNING_FC!$AJ$27:$AY$47,MATCH(STOCK_OVERVIEW!Y168,PLANNING_FC!$AJ$27:$AJ$47,0),FALSE)*1000,HLOOKUP(AB168&amp;AD168,PLANNING_FC!$AJ$4:$AY$24,MATCH(STOCK_OVERVIEW!Y168,PLANNING_FC!$AJ$4:$AJ$24,0),FALSE)*1000),"")</f>
        <v/>
      </c>
      <c r="AL168" s="638"/>
      <c r="AM168" s="638"/>
      <c r="AN168" s="638"/>
      <c r="AO168" s="638"/>
      <c r="AP168" s="638"/>
      <c r="AQ168" s="638"/>
      <c r="AR168" s="638"/>
      <c r="AS168" s="638"/>
    </row>
    <row r="169" spans="1:45" s="61" customFormat="1" x14ac:dyDescent="0.25">
      <c r="A169" s="62"/>
      <c r="B169" s="835"/>
      <c r="C169" s="22"/>
      <c r="D169" s="22"/>
      <c r="E169" s="22"/>
      <c r="F169" s="22"/>
      <c r="G169" s="22"/>
      <c r="H169" s="836">
        <f ca="1">$L$61</f>
        <v>3511805.0106000002</v>
      </c>
      <c r="I169" s="839">
        <f ca="1">$L$58</f>
        <v>0</v>
      </c>
      <c r="J169" s="206"/>
      <c r="K169" s="24"/>
      <c r="L169" s="24"/>
      <c r="M169" s="24"/>
      <c r="N169" s="206"/>
      <c r="O169" s="24"/>
      <c r="R169" s="19"/>
      <c r="S169" s="637"/>
      <c r="T169" s="637"/>
      <c r="U169" s="636"/>
      <c r="V169" s="637"/>
      <c r="W169" s="637"/>
      <c r="X169" s="200" t="str">
        <f>NWC_FC_NOOS!$B$1</f>
        <v>VM</v>
      </c>
      <c r="Y169" s="25" t="str">
        <f>NWC_FC_NOOS!$B$65</f>
        <v>TAILORING</v>
      </c>
      <c r="Z169" s="25" t="str">
        <f t="shared" ca="1" si="16"/>
        <v>VMTAILORING18/19Feb</v>
      </c>
      <c r="AA169" s="25" t="str">
        <f>NWC_FC_NOOS!$I$1</f>
        <v>NOOS</v>
      </c>
      <c r="AB169" s="25" t="str">
        <f ca="1">NWC_FC_NOOS!$C$73</f>
        <v>18/19</v>
      </c>
      <c r="AC169" s="25" t="str">
        <f ca="1">NWC_FC_NOOS!$C$74</f>
        <v>Q3</v>
      </c>
      <c r="AD169" s="25" t="str">
        <f ca="1">NWC_FC_NOOS!$C$75</f>
        <v>Feb</v>
      </c>
      <c r="AE169" s="649">
        <f ca="1">IFERROR(HLOOKUP($AB169&amp;$AD169,NWC_FC_NOOS!$B$4:$Q$24,MATCH($Y169,NWC_FC_NOOS!$B$4:$B$24,0),FALSE),"")</f>
        <v>0</v>
      </c>
      <c r="AF169" s="650">
        <f ca="1">IFERROR(HLOOKUP($AB169&amp;$AD169,NWC_FC_NOOS!$S$4:$AH$24,MATCH($Y169,NWC_FC_NOOS!$S$4:$S$24,0),FALSE),"")</f>
        <v>0</v>
      </c>
      <c r="AG169" s="650">
        <f ca="1">IFERROR(HLOOKUP($AB169&amp;$AD169,NWC_FC_NOOS!$C$50:$U$70,MATCH($Y169,NWC_FC_NOOS!$B$50:$B$70,0),FALSE),"")</f>
        <v>0</v>
      </c>
      <c r="AH169" s="650">
        <f ca="1">IFERROR(IF($AA169="NOOS",HLOOKUP(STOCK_OVERVIEW!$AB169&amp;STOCK_OVERVIEW!$AD169,PLANNING_FC!$BB$27:$BP$46,MATCH(STOCK_OVERVIEW!$Y169,PLANNING_FC!$BA$27:$BA$46,0),FALSE),HLOOKUP($AB169&amp;$AD169,PLANNING_FC!$BB$4:$BP$23,MATCH(STOCK_OVERVIEW!$Y169,PLANNING_FC!$BA$4:$BA$23,0),FALSE)),"")</f>
        <v>0</v>
      </c>
      <c r="AI169" s="650">
        <f ca="1">IFERROR(IF($AA169="NOOS",HLOOKUP(STOCK_OVERVIEW!$AB169&amp;STOCK_OVERVIEW!$AD169,PLANNING_FC!$T$27:$AH$46,MATCH(STOCK_OVERVIEW!$Y169,PLANNING_FC!$B$27:$B$46,0),FALSE),HLOOKUP($AB169&amp;$AD169,PLANNING_FC!$T$4:$AH$23,MATCH(STOCK_OVERVIEW!$Y169,PLANNING_FC!$B$4:$B$23,0),FALSE)),"")</f>
        <v>0</v>
      </c>
      <c r="AJ169" s="650">
        <f ca="1">IFERROR(IF($AA169="NOOS",HLOOKUP(STOCK_OVERVIEW!$AB169&amp;STOCK_OVERVIEW!$AD169,PLANNING_FC!$DA$27:$DO$46,MATCH(STOCK_OVERVIEW!$Y169,PLANNING_FC!$CZ$27:$CZ$46,0),FALSE),HLOOKUP($AB169&amp;$AD169,PLANNING_FC!$DA$4:$DO$23,MATCH(STOCK_OVERVIEW!$Y169,PLANNING_FC!$CZ$4:$CZ$23,0),FALSE)),"")</f>
        <v>0</v>
      </c>
      <c r="AK169" s="651">
        <f ca="1">IFERROR(IF(AA169="NOOS",HLOOKUP(AB169&amp;AD169,PLANNING_FC!$AJ$27:$AY$47,MATCH(STOCK_OVERVIEW!Y169,PLANNING_FC!$AJ$27:$AJ$47,0),FALSE)*1000,HLOOKUP(AB169&amp;AD169,PLANNING_FC!$AJ$4:$AY$24,MATCH(STOCK_OVERVIEW!Y169,PLANNING_FC!$AJ$4:$AJ$24,0),FALSE)*1000),"")</f>
        <v>0</v>
      </c>
      <c r="AL169" s="638"/>
      <c r="AM169" s="638"/>
      <c r="AN169" s="638"/>
      <c r="AO169" s="638"/>
      <c r="AP169" s="638"/>
      <c r="AQ169" s="638"/>
      <c r="AR169" s="638"/>
      <c r="AS169" s="638"/>
    </row>
    <row r="170" spans="1:45" s="61" customFormat="1" x14ac:dyDescent="0.25">
      <c r="A170" s="62"/>
      <c r="B170" s="835"/>
      <c r="C170" s="22"/>
      <c r="D170" s="22"/>
      <c r="E170" s="22"/>
      <c r="F170" s="22"/>
      <c r="G170" s="22"/>
      <c r="H170" s="22"/>
      <c r="I170" s="837"/>
      <c r="J170" s="206"/>
      <c r="K170" s="24"/>
      <c r="L170" s="24"/>
      <c r="M170" s="24"/>
      <c r="N170" s="206"/>
      <c r="O170" s="24"/>
      <c r="R170" s="19"/>
      <c r="S170" s="637"/>
      <c r="T170" s="637"/>
      <c r="U170" s="636"/>
      <c r="V170" s="637"/>
      <c r="W170" s="637"/>
      <c r="X170" s="200" t="str">
        <f>NWC_FC_NOOS!$B$1</f>
        <v>VM</v>
      </c>
      <c r="Y170" s="25" t="str">
        <f>NWC_FC_NOOS!$B$65</f>
        <v>TAILORING</v>
      </c>
      <c r="Z170" s="25" t="str">
        <f t="shared" ca="1" si="16"/>
        <v>VMTAILORING18/19Mar</v>
      </c>
      <c r="AA170" s="25" t="str">
        <f>NWC_FC_NOOS!$I$1</f>
        <v>NOOS</v>
      </c>
      <c r="AB170" s="25" t="str">
        <f ca="1">NWC_FC_NOOS!$C$73</f>
        <v>18/19</v>
      </c>
      <c r="AC170" s="25" t="str">
        <f ca="1">NWC_FC_NOOS!$C$74</f>
        <v>Q3</v>
      </c>
      <c r="AD170" s="25" t="str">
        <f ca="1">NWC_FC_NOOS!$D$75</f>
        <v>Mar</v>
      </c>
      <c r="AE170" s="649">
        <f ca="1">IFERROR(HLOOKUP($AB170&amp;$AD170,NWC_FC_NOOS!$B$4:$Q$24,MATCH($Y170,NWC_FC_NOOS!$B$4:$B$24,0),FALSE),"")</f>
        <v>0</v>
      </c>
      <c r="AF170" s="650">
        <f ca="1">IFERROR(HLOOKUP($AB170&amp;$AD170,NWC_FC_NOOS!$S$4:$AH$24,MATCH($Y170,NWC_FC_NOOS!$S$4:$S$24,0),FALSE),"")</f>
        <v>0</v>
      </c>
      <c r="AG170" s="650">
        <f ca="1">IFERROR(HLOOKUP($AB170&amp;$AD170,NWC_FC_NOOS!$C$50:$U$70,MATCH($Y170,NWC_FC_NOOS!$B$50:$B$70,0),FALSE),"")</f>
        <v>0</v>
      </c>
      <c r="AH170" s="650">
        <f ca="1">IFERROR(IF($AA170="NOOS",HLOOKUP(STOCK_OVERVIEW!$AB170&amp;STOCK_OVERVIEW!$AD170,PLANNING_FC!$BB$27:$BP$46,MATCH(STOCK_OVERVIEW!$Y170,PLANNING_FC!$BA$27:$BA$46,0),FALSE),HLOOKUP($AB170&amp;$AD170,PLANNING_FC!$BB$4:$BP$23,MATCH(STOCK_OVERVIEW!$Y170,PLANNING_FC!$BA$4:$BA$23,0),FALSE)),"")</f>
        <v>0</v>
      </c>
      <c r="AI170" s="650">
        <f ca="1">IFERROR(IF($AA170="NOOS",HLOOKUP(STOCK_OVERVIEW!$AB170&amp;STOCK_OVERVIEW!$AD170,PLANNING_FC!$T$27:$AH$46,MATCH(STOCK_OVERVIEW!$Y170,PLANNING_FC!$B$27:$B$46,0),FALSE),HLOOKUP($AB170&amp;$AD170,PLANNING_FC!$T$4:$AH$23,MATCH(STOCK_OVERVIEW!$Y170,PLANNING_FC!$B$4:$B$23,0),FALSE)),"")</f>
        <v>0</v>
      </c>
      <c r="AJ170" s="650">
        <f ca="1">IFERROR(IF($AA170="NOOS",HLOOKUP(STOCK_OVERVIEW!$AB170&amp;STOCK_OVERVIEW!$AD170,PLANNING_FC!$DA$27:$DO$46,MATCH(STOCK_OVERVIEW!$Y170,PLANNING_FC!$CZ$27:$CZ$46,0),FALSE),HLOOKUP($AB170&amp;$AD170,PLANNING_FC!$DA$4:$DO$23,MATCH(STOCK_OVERVIEW!$Y170,PLANNING_FC!$CZ$4:$CZ$23,0),FALSE)),"")</f>
        <v>0</v>
      </c>
      <c r="AK170" s="651">
        <f ca="1">IFERROR(IF(AA170="NOOS",HLOOKUP(AB170&amp;AD170,PLANNING_FC!$AJ$27:$AY$47,MATCH(STOCK_OVERVIEW!Y170,PLANNING_FC!$AJ$27:$AJ$47,0),FALSE)*1000,HLOOKUP(AB170&amp;AD170,PLANNING_FC!$AJ$4:$AY$24,MATCH(STOCK_OVERVIEW!Y170,PLANNING_FC!$AJ$4:$AJ$24,0),FALSE)*1000),"")</f>
        <v>0</v>
      </c>
      <c r="AL170" s="638"/>
      <c r="AM170" s="638"/>
      <c r="AN170" s="638"/>
      <c r="AO170" s="638"/>
      <c r="AP170" s="638"/>
      <c r="AQ170" s="638"/>
      <c r="AR170" s="638"/>
      <c r="AS170" s="638"/>
    </row>
    <row r="171" spans="1:45" s="61" customFormat="1" x14ac:dyDescent="0.25">
      <c r="A171" s="62"/>
      <c r="B171" s="835" t="str">
        <f ca="1">$M$40</f>
        <v>Oct</v>
      </c>
      <c r="C171" s="836">
        <f ca="1">$M$42</f>
        <v>0</v>
      </c>
      <c r="D171" s="22"/>
      <c r="E171" s="22"/>
      <c r="F171" s="22"/>
      <c r="G171" s="22"/>
      <c r="H171" s="22"/>
      <c r="I171" s="837"/>
      <c r="J171" s="206"/>
      <c r="K171" s="24"/>
      <c r="L171" s="24"/>
      <c r="M171" s="24"/>
      <c r="N171" s="206"/>
      <c r="O171" s="24"/>
      <c r="R171" s="19"/>
      <c r="S171" s="637"/>
      <c r="T171" s="637"/>
      <c r="U171" s="636"/>
      <c r="V171" s="637"/>
      <c r="W171" s="637"/>
      <c r="X171" s="200" t="str">
        <f>NWC_FC_NOOS!$B$1</f>
        <v>VM</v>
      </c>
      <c r="Y171" s="25" t="str">
        <f>NWC_FC_NOOS!$B$65</f>
        <v>TAILORING</v>
      </c>
      <c r="Z171" s="25" t="str">
        <f t="shared" ca="1" si="16"/>
        <v>VMTAILORING18/19Apr</v>
      </c>
      <c r="AA171" s="25" t="str">
        <f>NWC_FC_NOOS!$I$1</f>
        <v>NOOS</v>
      </c>
      <c r="AB171" s="25" t="str">
        <f ca="1">NWC_FC_NOOS!$C$73</f>
        <v>18/19</v>
      </c>
      <c r="AC171" s="25" t="str">
        <f ca="1">NWC_FC_NOOS!$C$74</f>
        <v>Q3</v>
      </c>
      <c r="AD171" s="25" t="str">
        <f ca="1">NWC_FC_NOOS!$E$75</f>
        <v>Apr</v>
      </c>
      <c r="AE171" s="649">
        <f ca="1">IFERROR(HLOOKUP($AB171&amp;$AD171,NWC_FC_NOOS!$B$4:$Q$24,MATCH($Y171,NWC_FC_NOOS!$B$4:$B$24,0),FALSE),"")</f>
        <v>0</v>
      </c>
      <c r="AF171" s="650">
        <f ca="1">IFERROR(HLOOKUP($AB171&amp;$AD171,NWC_FC_NOOS!$S$4:$AH$24,MATCH($Y171,NWC_FC_NOOS!$S$4:$S$24,0),FALSE),"")</f>
        <v>0</v>
      </c>
      <c r="AG171" s="650">
        <f ca="1">IFERROR(HLOOKUP($AB171&amp;$AD171,NWC_FC_NOOS!$C$50:$U$70,MATCH($Y171,NWC_FC_NOOS!$B$50:$B$70,0),FALSE),"")</f>
        <v>0</v>
      </c>
      <c r="AH171" s="650">
        <f ca="1">IFERROR(IF($AA171="NOOS",HLOOKUP(STOCK_OVERVIEW!$AB171&amp;STOCK_OVERVIEW!$AD171,PLANNING_FC!$BB$27:$BP$46,MATCH(STOCK_OVERVIEW!$Y171,PLANNING_FC!$BA$27:$BA$46,0),FALSE),HLOOKUP($AB171&amp;$AD171,PLANNING_FC!$BB$4:$BP$23,MATCH(STOCK_OVERVIEW!$Y171,PLANNING_FC!$BA$4:$BA$23,0),FALSE)),"")</f>
        <v>0</v>
      </c>
      <c r="AI171" s="650">
        <f ca="1">IFERROR(IF($AA171="NOOS",HLOOKUP(STOCK_OVERVIEW!$AB171&amp;STOCK_OVERVIEW!$AD171,PLANNING_FC!$T$27:$AH$46,MATCH(STOCK_OVERVIEW!$Y171,PLANNING_FC!$B$27:$B$46,0),FALSE),HLOOKUP($AB171&amp;$AD171,PLANNING_FC!$T$4:$AH$23,MATCH(STOCK_OVERVIEW!$Y171,PLANNING_FC!$B$4:$B$23,0),FALSE)),"")</f>
        <v>0</v>
      </c>
      <c r="AJ171" s="650">
        <f ca="1">IFERROR(IF($AA171="NOOS",HLOOKUP(STOCK_OVERVIEW!$AB171&amp;STOCK_OVERVIEW!$AD171,PLANNING_FC!$DA$27:$DO$46,MATCH(STOCK_OVERVIEW!$Y171,PLANNING_FC!$CZ$27:$CZ$46,0),FALSE),HLOOKUP($AB171&amp;$AD171,PLANNING_FC!$DA$4:$DO$23,MATCH(STOCK_OVERVIEW!$Y171,PLANNING_FC!$CZ$4:$CZ$23,0),FALSE)),"")</f>
        <v>29070</v>
      </c>
      <c r="AK171" s="651">
        <f ca="1">IFERROR(IF(AA171="NOOS",HLOOKUP(AB171&amp;AD171,PLANNING_FC!$AJ$27:$AY$47,MATCH(STOCK_OVERVIEW!Y171,PLANNING_FC!$AJ$27:$AJ$47,0),FALSE)*1000,HLOOKUP(AB171&amp;AD171,PLANNING_FC!$AJ$4:$AY$24,MATCH(STOCK_OVERVIEW!Y171,PLANNING_FC!$AJ$4:$AJ$24,0),FALSE)*1000),"")</f>
        <v>0</v>
      </c>
      <c r="AL171" s="638"/>
      <c r="AM171" s="638"/>
      <c r="AN171" s="638"/>
      <c r="AO171" s="638"/>
      <c r="AP171" s="638"/>
      <c r="AQ171" s="638"/>
      <c r="AR171" s="638"/>
      <c r="AS171" s="638"/>
    </row>
    <row r="172" spans="1:45" s="61" customFormat="1" x14ac:dyDescent="0.25">
      <c r="A172" s="62"/>
      <c r="B172" s="835"/>
      <c r="C172" s="22"/>
      <c r="D172" s="836">
        <f ca="1">$M$45</f>
        <v>2678</v>
      </c>
      <c r="E172" s="836">
        <f ca="1">$M$46</f>
        <v>0</v>
      </c>
      <c r="F172" s="22"/>
      <c r="G172" s="22"/>
      <c r="H172" s="22"/>
      <c r="I172" s="837"/>
      <c r="J172" s="206"/>
      <c r="K172" s="24"/>
      <c r="L172" s="24"/>
      <c r="M172" s="24"/>
      <c r="N172" s="206"/>
      <c r="O172" s="24"/>
      <c r="R172" s="19"/>
      <c r="S172" s="637"/>
      <c r="T172" s="637"/>
      <c r="U172" s="636"/>
      <c r="V172" s="637"/>
      <c r="W172" s="637"/>
      <c r="X172" s="200" t="str">
        <f>NWC_FC_NOOS!$B$1</f>
        <v>VM</v>
      </c>
      <c r="Y172" s="25" t="str">
        <f>NWC_FC_NOOS!$B$65</f>
        <v>TAILORING</v>
      </c>
      <c r="Z172" s="25" t="str">
        <f t="shared" ca="1" si="16"/>
        <v>VMTAILORING18/19May</v>
      </c>
      <c r="AA172" s="25" t="str">
        <f>NWC_FC_NOOS!$I$1</f>
        <v>NOOS</v>
      </c>
      <c r="AB172" s="25" t="str">
        <f ca="1">NWC_FC_NOOS!$G$73</f>
        <v>18/19</v>
      </c>
      <c r="AC172" s="25" t="str">
        <f ca="1">NWC_FC_NOOS!$G$74</f>
        <v>Q4</v>
      </c>
      <c r="AD172" s="25" t="str">
        <f ca="1">NWC_FC_NOOS!$G$75</f>
        <v>May</v>
      </c>
      <c r="AE172" s="649">
        <f ca="1">IFERROR(HLOOKUP($AB172&amp;$AD172,NWC_FC_NOOS!$B$4:$Q$24,MATCH($Y172,NWC_FC_NOOS!$B$4:$B$24,0),FALSE),"")</f>
        <v>0</v>
      </c>
      <c r="AF172" s="650">
        <f ca="1">IFERROR(HLOOKUP($AB172&amp;$AD172,NWC_FC_NOOS!$S$4:$AH$24,MATCH($Y172,NWC_FC_NOOS!$S$4:$S$24,0),FALSE),"")</f>
        <v>0</v>
      </c>
      <c r="AG172" s="650">
        <f ca="1">IFERROR(HLOOKUP($AB172&amp;$AD172,NWC_FC_NOOS!$C$50:$U$70,MATCH($Y172,NWC_FC_NOOS!$B$50:$B$70,0),FALSE),"")</f>
        <v>0</v>
      </c>
      <c r="AH172" s="650">
        <f ca="1">IFERROR(IF($AA172="NOOS",HLOOKUP(STOCK_OVERVIEW!$AB172&amp;STOCK_OVERVIEW!$AD172,PLANNING_FC!$BB$27:$BP$46,MATCH(STOCK_OVERVIEW!$Y172,PLANNING_FC!$BA$27:$BA$46,0),FALSE),HLOOKUP($AB172&amp;$AD172,PLANNING_FC!$BB$4:$BP$23,MATCH(STOCK_OVERVIEW!$Y172,PLANNING_FC!$BA$4:$BA$23,0),FALSE)),"")</f>
        <v>0</v>
      </c>
      <c r="AI172" s="650">
        <f ca="1">IFERROR(IF($AA172="NOOS",HLOOKUP(STOCK_OVERVIEW!$AB172&amp;STOCK_OVERVIEW!$AD172,PLANNING_FC!$T$27:$AH$46,MATCH(STOCK_OVERVIEW!$Y172,PLANNING_FC!$B$27:$B$46,0),FALSE),HLOOKUP($AB172&amp;$AD172,PLANNING_FC!$T$4:$AH$23,MATCH(STOCK_OVERVIEW!$Y172,PLANNING_FC!$B$4:$B$23,0),FALSE)),"")</f>
        <v>0</v>
      </c>
      <c r="AJ172" s="650">
        <f ca="1">IFERROR(IF($AA172="NOOS",HLOOKUP(STOCK_OVERVIEW!$AB172&amp;STOCK_OVERVIEW!$AD172,PLANNING_FC!$DA$27:$DO$46,MATCH(STOCK_OVERVIEW!$Y172,PLANNING_FC!$CZ$27:$CZ$46,0),FALSE),HLOOKUP($AB172&amp;$AD172,PLANNING_FC!$DA$4:$DO$23,MATCH(STOCK_OVERVIEW!$Y172,PLANNING_FC!$CZ$4:$CZ$23,0),FALSE)),"")</f>
        <v>29070</v>
      </c>
      <c r="AK172" s="651">
        <f ca="1">IFERROR(IF(AA172="NOOS",HLOOKUP(AB172&amp;AD172,PLANNING_FC!$AJ$27:$AY$47,MATCH(STOCK_OVERVIEW!Y172,PLANNING_FC!$AJ$27:$AJ$47,0),FALSE)*1000,HLOOKUP(AB172&amp;AD172,PLANNING_FC!$AJ$4:$AY$24,MATCH(STOCK_OVERVIEW!Y172,PLANNING_FC!$AJ$4:$AJ$24,0),FALSE)*1000),"")</f>
        <v>0</v>
      </c>
      <c r="AL172" s="638"/>
      <c r="AM172" s="638"/>
      <c r="AN172" s="638"/>
      <c r="AO172" s="638"/>
      <c r="AP172" s="638"/>
      <c r="AQ172" s="638"/>
      <c r="AR172" s="638"/>
      <c r="AS172" s="638"/>
    </row>
    <row r="173" spans="1:45" s="61" customFormat="1" x14ac:dyDescent="0.25">
      <c r="A173" s="62"/>
      <c r="B173" s="835"/>
      <c r="C173" s="22"/>
      <c r="D173" s="22"/>
      <c r="E173" s="22"/>
      <c r="F173" s="836">
        <f ca="1">$M$55</f>
        <v>5768040</v>
      </c>
      <c r="G173" s="838">
        <f ca="1">M52</f>
        <v>0</v>
      </c>
      <c r="H173" s="22"/>
      <c r="I173" s="837"/>
      <c r="J173" s="206"/>
      <c r="K173" s="24"/>
      <c r="L173" s="24"/>
      <c r="M173" s="24"/>
      <c r="N173" s="206"/>
      <c r="O173" s="24"/>
      <c r="R173" s="19"/>
      <c r="S173" s="637"/>
      <c r="T173" s="637"/>
      <c r="U173" s="636"/>
      <c r="V173" s="637"/>
      <c r="W173" s="637"/>
      <c r="X173" s="200" t="str">
        <f>NWC_FC_NOOS!$B$1</f>
        <v>VM</v>
      </c>
      <c r="Y173" s="25" t="str">
        <f>NWC_FC_NOOS!$B$65</f>
        <v>TAILORING</v>
      </c>
      <c r="Z173" s="25" t="str">
        <f t="shared" ca="1" si="16"/>
        <v>VMTAILORING18/19Jun</v>
      </c>
      <c r="AA173" s="25" t="str">
        <f>NWC_FC_NOOS!$I$1</f>
        <v>NOOS</v>
      </c>
      <c r="AB173" s="25" t="str">
        <f ca="1">NWC_FC_NOOS!$G$73</f>
        <v>18/19</v>
      </c>
      <c r="AC173" s="25" t="str">
        <f ca="1">NWC_FC_NOOS!$G$74</f>
        <v>Q4</v>
      </c>
      <c r="AD173" s="25" t="str">
        <f ca="1">NWC_FC_NOOS!$H$75</f>
        <v>Jun</v>
      </c>
      <c r="AE173" s="649">
        <f ca="1">IFERROR(HLOOKUP($AB173&amp;$AD173,NWC_FC_NOOS!$B$4:$Q$24,MATCH($Y173,NWC_FC_NOOS!$B$4:$B$24,0),FALSE),"")</f>
        <v>0</v>
      </c>
      <c r="AF173" s="650">
        <f ca="1">IFERROR(HLOOKUP($AB173&amp;$AD173,NWC_FC_NOOS!$S$4:$AH$24,MATCH($Y173,NWC_FC_NOOS!$S$4:$S$24,0),FALSE),"")</f>
        <v>0</v>
      </c>
      <c r="AG173" s="650">
        <f ca="1">IFERROR(HLOOKUP($AB173&amp;$AD173,NWC_FC_NOOS!$C$50:$U$70,MATCH($Y173,NWC_FC_NOOS!$B$50:$B$70,0),FALSE),"")</f>
        <v>0</v>
      </c>
      <c r="AH173" s="650">
        <f ca="1">IFERROR(IF($AA173="NOOS",HLOOKUP(STOCK_OVERVIEW!$AB173&amp;STOCK_OVERVIEW!$AD173,PLANNING_FC!$BB$27:$BP$46,MATCH(STOCK_OVERVIEW!$Y173,PLANNING_FC!$BA$27:$BA$46,0),FALSE),HLOOKUP($AB173&amp;$AD173,PLANNING_FC!$BB$4:$BP$23,MATCH(STOCK_OVERVIEW!$Y173,PLANNING_FC!$BA$4:$BA$23,0),FALSE)),"")</f>
        <v>0</v>
      </c>
      <c r="AI173" s="650">
        <f ca="1">IFERROR(IF($AA173="NOOS",HLOOKUP(STOCK_OVERVIEW!$AB173&amp;STOCK_OVERVIEW!$AD173,PLANNING_FC!$T$27:$AH$46,MATCH(STOCK_OVERVIEW!$Y173,PLANNING_FC!$B$27:$B$46,0),FALSE),HLOOKUP($AB173&amp;$AD173,PLANNING_FC!$T$4:$AH$23,MATCH(STOCK_OVERVIEW!$Y173,PLANNING_FC!$B$4:$B$23,0),FALSE)),"")</f>
        <v>0</v>
      </c>
      <c r="AJ173" s="650">
        <f ca="1">IFERROR(IF($AA173="NOOS",HLOOKUP(STOCK_OVERVIEW!$AB173&amp;STOCK_OVERVIEW!$AD173,PLANNING_FC!$DA$27:$DO$46,MATCH(STOCK_OVERVIEW!$Y173,PLANNING_FC!$CZ$27:$CZ$46,0),FALSE),HLOOKUP($AB173&amp;$AD173,PLANNING_FC!$DA$4:$DO$23,MATCH(STOCK_OVERVIEW!$Y173,PLANNING_FC!$CZ$4:$CZ$23,0),FALSE)),"")</f>
        <v>29070</v>
      </c>
      <c r="AK173" s="651">
        <f ca="1">IFERROR(IF(AA173="NOOS",HLOOKUP(AB173&amp;AD173,PLANNING_FC!$AJ$27:$AY$47,MATCH(STOCK_OVERVIEW!Y173,PLANNING_FC!$AJ$27:$AJ$47,0),FALSE)*1000,HLOOKUP(AB173&amp;AD173,PLANNING_FC!$AJ$4:$AY$24,MATCH(STOCK_OVERVIEW!Y173,PLANNING_FC!$AJ$4:$AJ$24,0),FALSE)*1000),"")</f>
        <v>0</v>
      </c>
      <c r="AL173" s="638"/>
      <c r="AM173" s="638"/>
      <c r="AN173" s="638"/>
      <c r="AO173" s="638"/>
      <c r="AP173" s="638"/>
      <c r="AQ173" s="638"/>
      <c r="AR173" s="638"/>
      <c r="AS173" s="638"/>
    </row>
    <row r="174" spans="1:45" s="61" customFormat="1" x14ac:dyDescent="0.25">
      <c r="A174" s="62"/>
      <c r="B174" s="835"/>
      <c r="C174" s="22"/>
      <c r="D174" s="22"/>
      <c r="E174" s="22"/>
      <c r="F174" s="22"/>
      <c r="G174" s="22"/>
      <c r="H174" s="836">
        <f ca="1">$M$61</f>
        <v>3282124.3428000002</v>
      </c>
      <c r="I174" s="839">
        <f ca="1">$M$58</f>
        <v>0</v>
      </c>
      <c r="J174" s="206"/>
      <c r="K174" s="24"/>
      <c r="L174" s="24"/>
      <c r="M174" s="24"/>
      <c r="N174" s="206"/>
      <c r="O174" s="24"/>
      <c r="R174" s="19"/>
      <c r="S174" s="637"/>
      <c r="T174" s="637"/>
      <c r="U174" s="636"/>
      <c r="V174" s="637"/>
      <c r="W174" s="637"/>
      <c r="X174" s="200" t="str">
        <f>NWC_FC_NOOS!$B$1</f>
        <v>VM</v>
      </c>
      <c r="Y174" s="25" t="str">
        <f>NWC_FC_NOOS!$B$65</f>
        <v>TAILORING</v>
      </c>
      <c r="Z174" s="25" t="str">
        <f t="shared" ca="1" si="16"/>
        <v>VMTAILORING18/19Jul</v>
      </c>
      <c r="AA174" s="25" t="str">
        <f>NWC_FC_NOOS!$I$1</f>
        <v>NOOS</v>
      </c>
      <c r="AB174" s="25" t="str">
        <f ca="1">NWC_FC_NOOS!$G$73</f>
        <v>18/19</v>
      </c>
      <c r="AC174" s="25" t="str">
        <f ca="1">NWC_FC_NOOS!$G$74</f>
        <v>Q4</v>
      </c>
      <c r="AD174" s="25" t="str">
        <f ca="1">NWC_FC_NOOS!$I$75</f>
        <v>Jul</v>
      </c>
      <c r="AE174" s="649">
        <f ca="1">IFERROR(HLOOKUP($AB174&amp;$AD174,NWC_FC_NOOS!$B$4:$Q$24,MATCH($Y174,NWC_FC_NOOS!$B$4:$B$24,0),FALSE),"")</f>
        <v>0</v>
      </c>
      <c r="AF174" s="650">
        <f ca="1">IFERROR(HLOOKUP($AB174&amp;$AD174,NWC_FC_NOOS!$S$4:$AH$24,MATCH($Y174,NWC_FC_NOOS!$S$4:$S$24,0),FALSE),"")</f>
        <v>0</v>
      </c>
      <c r="AG174" s="650">
        <f ca="1">IFERROR(HLOOKUP($AB174&amp;$AD174,NWC_FC_NOOS!$C$50:$U$70,MATCH($Y174,NWC_FC_NOOS!$B$50:$B$70,0),FALSE),"")</f>
        <v>0</v>
      </c>
      <c r="AH174" s="650">
        <f ca="1">IFERROR(IF($AA174="NOOS",HLOOKUP(STOCK_OVERVIEW!$AB174&amp;STOCK_OVERVIEW!$AD174,PLANNING_FC!$BB$27:$BP$46,MATCH(STOCK_OVERVIEW!$Y174,PLANNING_FC!$BA$27:$BA$46,0),FALSE),HLOOKUP($AB174&amp;$AD174,PLANNING_FC!$BB$4:$BP$23,MATCH(STOCK_OVERVIEW!$Y174,PLANNING_FC!$BA$4:$BA$23,0),FALSE)),"")</f>
        <v>0</v>
      </c>
      <c r="AI174" s="650">
        <f ca="1">IFERROR(IF($AA174="NOOS",HLOOKUP(STOCK_OVERVIEW!$AB174&amp;STOCK_OVERVIEW!$AD174,PLANNING_FC!$T$27:$AH$46,MATCH(STOCK_OVERVIEW!$Y174,PLANNING_FC!$B$27:$B$46,0),FALSE),HLOOKUP($AB174&amp;$AD174,PLANNING_FC!$T$4:$AH$23,MATCH(STOCK_OVERVIEW!$Y174,PLANNING_FC!$B$4:$B$23,0),FALSE)),"")</f>
        <v>0</v>
      </c>
      <c r="AJ174" s="650">
        <f ca="1">IFERROR(IF($AA174="NOOS",HLOOKUP(STOCK_OVERVIEW!$AB174&amp;STOCK_OVERVIEW!$AD174,PLANNING_FC!$DA$27:$DO$46,MATCH(STOCK_OVERVIEW!$Y174,PLANNING_FC!$CZ$27:$CZ$46,0),FALSE),HLOOKUP($AB174&amp;$AD174,PLANNING_FC!$DA$4:$DO$23,MATCH(STOCK_OVERVIEW!$Y174,PLANNING_FC!$CZ$4:$CZ$23,0),FALSE)),"")</f>
        <v>29070</v>
      </c>
      <c r="AK174" s="651">
        <f ca="1">IFERROR(IF(AA174="NOOS",HLOOKUP(AB174&amp;AD174,PLANNING_FC!$AJ$27:$AY$47,MATCH(STOCK_OVERVIEW!Y174,PLANNING_FC!$AJ$27:$AJ$47,0),FALSE)*1000,HLOOKUP(AB174&amp;AD174,PLANNING_FC!$AJ$4:$AY$24,MATCH(STOCK_OVERVIEW!Y174,PLANNING_FC!$AJ$4:$AJ$24,0),FALSE)*1000),"")</f>
        <v>0</v>
      </c>
      <c r="AL174" s="638"/>
      <c r="AM174" s="638"/>
      <c r="AN174" s="638"/>
      <c r="AO174" s="638"/>
      <c r="AP174" s="638"/>
      <c r="AQ174" s="638"/>
      <c r="AR174" s="638"/>
      <c r="AS174" s="638"/>
    </row>
    <row r="175" spans="1:45" s="61" customFormat="1" x14ac:dyDescent="0.25">
      <c r="A175" s="62"/>
      <c r="B175" s="835"/>
      <c r="C175" s="22"/>
      <c r="D175" s="22"/>
      <c r="E175" s="22"/>
      <c r="F175" s="22"/>
      <c r="G175" s="22"/>
      <c r="H175" s="22"/>
      <c r="I175" s="837"/>
      <c r="J175" s="206"/>
      <c r="K175" s="24"/>
      <c r="L175" s="24"/>
      <c r="M175" s="24"/>
      <c r="N175" s="206"/>
      <c r="O175" s="24"/>
      <c r="R175" s="19"/>
      <c r="S175" s="637"/>
      <c r="T175" s="637"/>
      <c r="U175" s="636"/>
      <c r="V175" s="637"/>
      <c r="W175" s="637"/>
      <c r="X175" s="200" t="str">
        <f>NWC_FC_NOOS!$B$1</f>
        <v>VM</v>
      </c>
      <c r="Y175" s="25" t="str">
        <f>NWC_FC_NOOS!$B$65</f>
        <v>TAILORING</v>
      </c>
      <c r="Z175" s="25" t="str">
        <f t="shared" ca="1" si="16"/>
        <v>VMTAILORING19/20Aug</v>
      </c>
      <c r="AA175" s="25" t="str">
        <f>NWC_FC_NOOS!$I$1</f>
        <v>NOOS</v>
      </c>
      <c r="AB175" s="25" t="str">
        <f ca="1">NWC_FC_NOOS!$K$73</f>
        <v>19/20</v>
      </c>
      <c r="AC175" s="25" t="str">
        <f ca="1">NWC_FC_NOOS!$K$74</f>
        <v>Q1</v>
      </c>
      <c r="AD175" s="25" t="str">
        <f ca="1">NWC_FC_NOOS!$K$75</f>
        <v>Aug</v>
      </c>
      <c r="AE175" s="649">
        <f ca="1">IFERROR(HLOOKUP($AB175&amp;$AD175,NWC_FC_NOOS!$B$4:$Q$24,MATCH($Y175,NWC_FC_NOOS!$B$4:$B$24,0),FALSE),"")</f>
        <v>0</v>
      </c>
      <c r="AF175" s="650">
        <f ca="1">IFERROR(HLOOKUP($AB175&amp;$AD175,NWC_FC_NOOS!$S$4:$AH$24,MATCH($Y175,NWC_FC_NOOS!$S$4:$S$24,0),FALSE),"")</f>
        <v>0</v>
      </c>
      <c r="AG175" s="650">
        <f ca="1">IFERROR(HLOOKUP($AB175&amp;$AD175,NWC_FC_NOOS!$C$50:$U$70,MATCH($Y175,NWC_FC_NOOS!$B$50:$B$70,0),FALSE),"")</f>
        <v>0</v>
      </c>
      <c r="AH175" s="650">
        <f ca="1">IFERROR(IF($AA175="NOOS",HLOOKUP(STOCK_OVERVIEW!$AB175&amp;STOCK_OVERVIEW!$AD175,PLANNING_FC!$BB$27:$BP$46,MATCH(STOCK_OVERVIEW!$Y175,PLANNING_FC!$BA$27:$BA$46,0),FALSE),HLOOKUP($AB175&amp;$AD175,PLANNING_FC!$BB$4:$BP$23,MATCH(STOCK_OVERVIEW!$Y175,PLANNING_FC!$BA$4:$BA$23,0),FALSE)),"")</f>
        <v>0</v>
      </c>
      <c r="AI175" s="650">
        <f ca="1">IFERROR(IF($AA175="NOOS",HLOOKUP(STOCK_OVERVIEW!$AB175&amp;STOCK_OVERVIEW!$AD175,PLANNING_FC!$T$27:$AH$46,MATCH(STOCK_OVERVIEW!$Y175,PLANNING_FC!$B$27:$B$46,0),FALSE),HLOOKUP($AB175&amp;$AD175,PLANNING_FC!$T$4:$AH$23,MATCH(STOCK_OVERVIEW!$Y175,PLANNING_FC!$B$4:$B$23,0),FALSE)),"")</f>
        <v>0</v>
      </c>
      <c r="AJ175" s="650">
        <f ca="1">IFERROR(IF($AA175="NOOS",HLOOKUP(STOCK_OVERVIEW!$AB175&amp;STOCK_OVERVIEW!$AD175,PLANNING_FC!$DA$27:$DO$46,MATCH(STOCK_OVERVIEW!$Y175,PLANNING_FC!$CZ$27:$CZ$46,0),FALSE),HLOOKUP($AB175&amp;$AD175,PLANNING_FC!$DA$4:$DO$23,MATCH(STOCK_OVERVIEW!$Y175,PLANNING_FC!$CZ$4:$CZ$23,0),FALSE)),"")</f>
        <v>29070</v>
      </c>
      <c r="AK175" s="651">
        <f ca="1">IFERROR(IF(AA175="NOOS",HLOOKUP(AB175&amp;AD175,PLANNING_FC!$AJ$27:$AY$47,MATCH(STOCK_OVERVIEW!Y175,PLANNING_FC!$AJ$27:$AJ$47,0),FALSE)*1000,HLOOKUP(AB175&amp;AD175,PLANNING_FC!$AJ$4:$AY$24,MATCH(STOCK_OVERVIEW!Y175,PLANNING_FC!$AJ$4:$AJ$24,0),FALSE)*1000),"")</f>
        <v>0</v>
      </c>
      <c r="AL175" s="638"/>
      <c r="AM175" s="638"/>
      <c r="AN175" s="638"/>
      <c r="AO175" s="638"/>
      <c r="AP175" s="638"/>
      <c r="AQ175" s="638"/>
      <c r="AR175" s="638"/>
      <c r="AS175" s="638"/>
    </row>
    <row r="176" spans="1:45" s="61" customFormat="1" x14ac:dyDescent="0.25">
      <c r="A176" s="62"/>
      <c r="B176" s="835" t="str">
        <f ca="1">$O$40</f>
        <v>Nov</v>
      </c>
      <c r="C176" s="836">
        <f ca="1">$O$42</f>
        <v>0</v>
      </c>
      <c r="D176" s="22"/>
      <c r="E176" s="22"/>
      <c r="F176" s="22"/>
      <c r="G176" s="22"/>
      <c r="H176" s="22"/>
      <c r="I176" s="837"/>
      <c r="J176" s="206"/>
      <c r="K176" s="24"/>
      <c r="L176" s="24"/>
      <c r="M176" s="24"/>
      <c r="N176" s="206"/>
      <c r="O176" s="24"/>
      <c r="R176" s="19"/>
      <c r="S176" s="637"/>
      <c r="T176" s="637"/>
      <c r="U176" s="636"/>
      <c r="V176" s="637"/>
      <c r="W176" s="637"/>
      <c r="X176" s="200" t="str">
        <f>NWC_FC_NOOS!$B$1</f>
        <v>VM</v>
      </c>
      <c r="Y176" s="25" t="str">
        <f>NWC_FC_NOOS!$B$65</f>
        <v>TAILORING</v>
      </c>
      <c r="Z176" s="25" t="str">
        <f t="shared" ca="1" si="16"/>
        <v>VMTAILORING19/20Sep</v>
      </c>
      <c r="AA176" s="25" t="str">
        <f>NWC_FC_NOOS!$I$1</f>
        <v>NOOS</v>
      </c>
      <c r="AB176" s="25" t="str">
        <f ca="1">NWC_FC_NOOS!$K$73</f>
        <v>19/20</v>
      </c>
      <c r="AC176" s="25" t="str">
        <f ca="1">NWC_FC_NOOS!$K$74</f>
        <v>Q1</v>
      </c>
      <c r="AD176" s="25" t="str">
        <f ca="1">NWC_FC_NOOS!$L$75</f>
        <v>Sep</v>
      </c>
      <c r="AE176" s="649">
        <f ca="1">IFERROR(HLOOKUP($AB176&amp;$AD176,NWC_FC_NOOS!$B$4:$Q$24,MATCH($Y176,NWC_FC_NOOS!$B$4:$B$24,0),FALSE),"")</f>
        <v>0</v>
      </c>
      <c r="AF176" s="650">
        <f ca="1">IFERROR(HLOOKUP($AB176&amp;$AD176,NWC_FC_NOOS!$S$4:$AH$24,MATCH($Y176,NWC_FC_NOOS!$S$4:$S$24,0),FALSE),"")</f>
        <v>0</v>
      </c>
      <c r="AG176" s="650">
        <f ca="1">IFERROR(HLOOKUP($AB176&amp;$AD176,NWC_FC_NOOS!$C$50:$U$70,MATCH($Y176,NWC_FC_NOOS!$B$50:$B$70,0),FALSE),"")</f>
        <v>0</v>
      </c>
      <c r="AH176" s="650">
        <f ca="1">IFERROR(IF($AA176="NOOS",HLOOKUP(STOCK_OVERVIEW!$AB176&amp;STOCK_OVERVIEW!$AD176,PLANNING_FC!$BB$27:$BP$46,MATCH(STOCK_OVERVIEW!$Y176,PLANNING_FC!$BA$27:$BA$46,0),FALSE),HLOOKUP($AB176&amp;$AD176,PLANNING_FC!$BB$4:$BP$23,MATCH(STOCK_OVERVIEW!$Y176,PLANNING_FC!$BA$4:$BA$23,0),FALSE)),"")</f>
        <v>0</v>
      </c>
      <c r="AI176" s="650">
        <f ca="1">IFERROR(IF($AA176="NOOS",HLOOKUP(STOCK_OVERVIEW!$AB176&amp;STOCK_OVERVIEW!$AD176,PLANNING_FC!$T$27:$AH$46,MATCH(STOCK_OVERVIEW!$Y176,PLANNING_FC!$B$27:$B$46,0),FALSE),HLOOKUP($AB176&amp;$AD176,PLANNING_FC!$T$4:$AH$23,MATCH(STOCK_OVERVIEW!$Y176,PLANNING_FC!$B$4:$B$23,0),FALSE)),"")</f>
        <v>0</v>
      </c>
      <c r="AJ176" s="650">
        <f ca="1">IFERROR(IF($AA176="NOOS",HLOOKUP(STOCK_OVERVIEW!$AB176&amp;STOCK_OVERVIEW!$AD176,PLANNING_FC!$DA$27:$DO$46,MATCH(STOCK_OVERVIEW!$Y176,PLANNING_FC!$CZ$27:$CZ$46,0),FALSE),HLOOKUP($AB176&amp;$AD176,PLANNING_FC!$DA$4:$DO$23,MATCH(STOCK_OVERVIEW!$Y176,PLANNING_FC!$CZ$4:$CZ$23,0),FALSE)),"")</f>
        <v>29070</v>
      </c>
      <c r="AK176" s="651">
        <f ca="1">IFERROR(IF(AA176="NOOS",HLOOKUP(AB176&amp;AD176,PLANNING_FC!$AJ$27:$AY$47,MATCH(STOCK_OVERVIEW!Y176,PLANNING_FC!$AJ$27:$AJ$47,0),FALSE)*1000,HLOOKUP(AB176&amp;AD176,PLANNING_FC!$AJ$4:$AY$24,MATCH(STOCK_OVERVIEW!Y176,PLANNING_FC!$AJ$4:$AJ$24,0),FALSE)*1000),"")</f>
        <v>0</v>
      </c>
      <c r="AL176" s="638"/>
      <c r="AM176" s="638"/>
      <c r="AN176" s="638"/>
      <c r="AO176" s="638"/>
      <c r="AP176" s="638"/>
      <c r="AQ176" s="638"/>
      <c r="AR176" s="638"/>
      <c r="AS176" s="638"/>
    </row>
    <row r="177" spans="1:45" s="61" customFormat="1" x14ac:dyDescent="0.25">
      <c r="A177" s="62"/>
      <c r="B177" s="835"/>
      <c r="C177" s="22"/>
      <c r="D177" s="836">
        <f ca="1">$O$45</f>
        <v>0</v>
      </c>
      <c r="E177" s="836">
        <f ca="1">$O$46</f>
        <v>0</v>
      </c>
      <c r="F177" s="22"/>
      <c r="G177" s="22"/>
      <c r="H177" s="22"/>
      <c r="I177" s="837"/>
      <c r="J177" s="206"/>
      <c r="K177" s="24"/>
      <c r="L177" s="24"/>
      <c r="M177" s="24"/>
      <c r="N177" s="206"/>
      <c r="O177" s="24"/>
      <c r="R177" s="19"/>
      <c r="S177" s="637"/>
      <c r="T177" s="637"/>
      <c r="U177" s="636"/>
      <c r="V177" s="637"/>
      <c r="W177" s="637"/>
      <c r="X177" s="200" t="str">
        <f>NWC_FC_NOOS!$B$1</f>
        <v>VM</v>
      </c>
      <c r="Y177" s="25" t="str">
        <f>NWC_FC_NOOS!$B$65</f>
        <v>TAILORING</v>
      </c>
      <c r="Z177" s="25" t="str">
        <f t="shared" ca="1" si="16"/>
        <v>VMTAILORING19/20Oct</v>
      </c>
      <c r="AA177" s="25" t="str">
        <f>NWC_FC_NOOS!$I$1</f>
        <v>NOOS</v>
      </c>
      <c r="AB177" s="25" t="str">
        <f ca="1">NWC_FC_NOOS!$K$73</f>
        <v>19/20</v>
      </c>
      <c r="AC177" s="25" t="str">
        <f ca="1">NWC_FC_NOOS!$K$74</f>
        <v>Q1</v>
      </c>
      <c r="AD177" s="25" t="str">
        <f ca="1">NWC_FC_NOOS!$M$75</f>
        <v>Oct</v>
      </c>
      <c r="AE177" s="649">
        <f ca="1">IFERROR(HLOOKUP($AB177&amp;$AD177,NWC_FC_NOOS!$B$4:$Q$24,MATCH($Y177,NWC_FC_NOOS!$B$4:$B$24,0),FALSE),"")</f>
        <v>0</v>
      </c>
      <c r="AF177" s="650">
        <f ca="1">IFERROR(HLOOKUP($AB177&amp;$AD177,NWC_FC_NOOS!$S$4:$AH$24,MATCH($Y177,NWC_FC_NOOS!$S$4:$S$24,0),FALSE),"")</f>
        <v>0</v>
      </c>
      <c r="AG177" s="650">
        <f ca="1">IFERROR(HLOOKUP($AB177&amp;$AD177,NWC_FC_NOOS!$C$50:$U$70,MATCH($Y177,NWC_FC_NOOS!$B$50:$B$70,0),FALSE),"")</f>
        <v>0</v>
      </c>
      <c r="AH177" s="650">
        <f ca="1">IFERROR(IF($AA177="NOOS",HLOOKUP(STOCK_OVERVIEW!$AB177&amp;STOCK_OVERVIEW!$AD177,PLANNING_FC!$BB$27:$BP$46,MATCH(STOCK_OVERVIEW!$Y177,PLANNING_FC!$BA$27:$BA$46,0),FALSE),HLOOKUP($AB177&amp;$AD177,PLANNING_FC!$BB$4:$BP$23,MATCH(STOCK_OVERVIEW!$Y177,PLANNING_FC!$BA$4:$BA$23,0),FALSE)),"")</f>
        <v>0</v>
      </c>
      <c r="AI177" s="650">
        <f ca="1">IFERROR(IF($AA177="NOOS",HLOOKUP(STOCK_OVERVIEW!$AB177&amp;STOCK_OVERVIEW!$AD177,PLANNING_FC!$T$27:$AH$46,MATCH(STOCK_OVERVIEW!$Y177,PLANNING_FC!$B$27:$B$46,0),FALSE),HLOOKUP($AB177&amp;$AD177,PLANNING_FC!$T$4:$AH$23,MATCH(STOCK_OVERVIEW!$Y177,PLANNING_FC!$B$4:$B$23,0),FALSE)),"")</f>
        <v>0</v>
      </c>
      <c r="AJ177" s="650">
        <f ca="1">IFERROR(IF($AA177="NOOS",HLOOKUP(STOCK_OVERVIEW!$AB177&amp;STOCK_OVERVIEW!$AD177,PLANNING_FC!$DA$27:$DO$46,MATCH(STOCK_OVERVIEW!$Y177,PLANNING_FC!$CZ$27:$CZ$46,0),FALSE),HLOOKUP($AB177&amp;$AD177,PLANNING_FC!$DA$4:$DO$23,MATCH(STOCK_OVERVIEW!$Y177,PLANNING_FC!$CZ$4:$CZ$23,0),FALSE)),"")</f>
        <v>29070</v>
      </c>
      <c r="AK177" s="651">
        <f ca="1">IFERROR(IF(AA177="NOOS",HLOOKUP(AB177&amp;AD177,PLANNING_FC!$AJ$27:$AY$47,MATCH(STOCK_OVERVIEW!Y177,PLANNING_FC!$AJ$27:$AJ$47,0),FALSE)*1000,HLOOKUP(AB177&amp;AD177,PLANNING_FC!$AJ$4:$AY$24,MATCH(STOCK_OVERVIEW!Y177,PLANNING_FC!$AJ$4:$AJ$24,0),FALSE)*1000),"")</f>
        <v>0</v>
      </c>
      <c r="AL177" s="638"/>
      <c r="AM177" s="638"/>
      <c r="AN177" s="638"/>
      <c r="AO177" s="638"/>
      <c r="AP177" s="638"/>
      <c r="AQ177" s="638"/>
      <c r="AR177" s="638"/>
      <c r="AS177" s="638"/>
    </row>
    <row r="178" spans="1:45" s="61" customFormat="1" x14ac:dyDescent="0.25">
      <c r="A178" s="62"/>
      <c r="B178" s="835"/>
      <c r="C178" s="22"/>
      <c r="D178" s="22"/>
      <c r="E178" s="22"/>
      <c r="F178" s="836">
        <f ca="1">$O$55</f>
        <v>5768040</v>
      </c>
      <c r="G178" s="838">
        <f ca="1">O52</f>
        <v>0</v>
      </c>
      <c r="H178" s="22"/>
      <c r="I178" s="837"/>
      <c r="J178" s="206"/>
      <c r="K178" s="24"/>
      <c r="L178" s="24"/>
      <c r="M178" s="24"/>
      <c r="N178" s="206"/>
      <c r="O178" s="24"/>
      <c r="R178" s="19"/>
      <c r="S178" s="637"/>
      <c r="T178" s="637"/>
      <c r="U178" s="636"/>
      <c r="V178" s="637"/>
      <c r="W178" s="637"/>
      <c r="X178" s="200" t="str">
        <f>NWC_FC_NOOS!$B$1</f>
        <v>VM</v>
      </c>
      <c r="Y178" s="25" t="str">
        <f>NWC_FC_NOOS!$B$65</f>
        <v>TAILORING</v>
      </c>
      <c r="Z178" s="25" t="str">
        <f t="shared" ca="1" si="16"/>
        <v>VMTAILORING19/20Nov</v>
      </c>
      <c r="AA178" s="25" t="str">
        <f>NWC_FC_NOOS!$I$1</f>
        <v>NOOS</v>
      </c>
      <c r="AB178" s="25" t="str">
        <f ca="1">NWC_FC_NOOS!$O$73</f>
        <v>19/20</v>
      </c>
      <c r="AC178" s="25" t="str">
        <f ca="1">NWC_FC_NOOS!$O$74</f>
        <v>Q2</v>
      </c>
      <c r="AD178" s="25" t="str">
        <f ca="1">NWC_FC_NOOS!$O$75</f>
        <v>Nov</v>
      </c>
      <c r="AE178" s="649">
        <f ca="1">IFERROR(HLOOKUP($AB178&amp;$AD178,NWC_FC_NOOS!$B$4:$Q$24,MATCH($Y178,NWC_FC_NOOS!$B$4:$B$24,0),FALSE),"")</f>
        <v>0</v>
      </c>
      <c r="AF178" s="650">
        <f ca="1">IFERROR(HLOOKUP($AB178&amp;$AD178,NWC_FC_NOOS!$S$4:$AH$24,MATCH($Y178,NWC_FC_NOOS!$S$4:$S$24,0),FALSE),"")</f>
        <v>0</v>
      </c>
      <c r="AG178" s="650">
        <f ca="1">IFERROR(HLOOKUP($AB178&amp;$AD178,NWC_FC_NOOS!$C$50:$U$70,MATCH($Y178,NWC_FC_NOOS!$B$50:$B$70,0),FALSE),"")</f>
        <v>0</v>
      </c>
      <c r="AH178" s="650">
        <f ca="1">IFERROR(IF($AA178="NOOS",HLOOKUP(STOCK_OVERVIEW!$AB178&amp;STOCK_OVERVIEW!$AD178,PLANNING_FC!$BB$27:$BP$46,MATCH(STOCK_OVERVIEW!$Y178,PLANNING_FC!$BA$27:$BA$46,0),FALSE),HLOOKUP($AB178&amp;$AD178,PLANNING_FC!$BB$4:$BP$23,MATCH(STOCK_OVERVIEW!$Y178,PLANNING_FC!$BA$4:$BA$23,0),FALSE)),"")</f>
        <v>0</v>
      </c>
      <c r="AI178" s="650">
        <f ca="1">IFERROR(IF($AA178="NOOS",HLOOKUP(STOCK_OVERVIEW!$AB178&amp;STOCK_OVERVIEW!$AD178,PLANNING_FC!$T$27:$AH$46,MATCH(STOCK_OVERVIEW!$Y178,PLANNING_FC!$B$27:$B$46,0),FALSE),HLOOKUP($AB178&amp;$AD178,PLANNING_FC!$T$4:$AH$23,MATCH(STOCK_OVERVIEW!$Y178,PLANNING_FC!$B$4:$B$23,0),FALSE)),"")</f>
        <v>0</v>
      </c>
      <c r="AJ178" s="650">
        <f ca="1">IFERROR(IF($AA178="NOOS",HLOOKUP(STOCK_OVERVIEW!$AB178&amp;STOCK_OVERVIEW!$AD178,PLANNING_FC!$DA$27:$DO$46,MATCH(STOCK_OVERVIEW!$Y178,PLANNING_FC!$CZ$27:$CZ$46,0),FALSE),HLOOKUP($AB178&amp;$AD178,PLANNING_FC!$DA$4:$DO$23,MATCH(STOCK_OVERVIEW!$Y178,PLANNING_FC!$CZ$4:$CZ$23,0),FALSE)),"")</f>
        <v>29070</v>
      </c>
      <c r="AK178" s="651">
        <f ca="1">IFERROR(IF(AA178="NOOS",HLOOKUP(AB178&amp;AD178,PLANNING_FC!$AJ$27:$AY$47,MATCH(STOCK_OVERVIEW!Y178,PLANNING_FC!$AJ$27:$AJ$47,0),FALSE)*1000,HLOOKUP(AB178&amp;AD178,PLANNING_FC!$AJ$4:$AY$24,MATCH(STOCK_OVERVIEW!Y178,PLANNING_FC!$AJ$4:$AJ$24,0),FALSE)*1000),"")</f>
        <v>0</v>
      </c>
      <c r="AL178" s="638"/>
      <c r="AM178" s="638"/>
      <c r="AN178" s="638"/>
      <c r="AO178" s="638"/>
      <c r="AP178" s="638"/>
      <c r="AQ178" s="638"/>
      <c r="AR178" s="638"/>
      <c r="AS178" s="638"/>
    </row>
    <row r="179" spans="1:45" s="61" customFormat="1" x14ac:dyDescent="0.25">
      <c r="A179" s="62"/>
      <c r="B179" s="835"/>
      <c r="C179" s="22"/>
      <c r="D179" s="22"/>
      <c r="E179" s="22"/>
      <c r="F179" s="22"/>
      <c r="G179" s="22"/>
      <c r="H179" s="836">
        <f ca="1">$O$61</f>
        <v>2539484.8398000011</v>
      </c>
      <c r="I179" s="839">
        <f ca="1">$O$58</f>
        <v>0</v>
      </c>
      <c r="J179" s="206"/>
      <c r="K179" s="24"/>
      <c r="L179" s="24"/>
      <c r="M179" s="24"/>
      <c r="N179" s="206"/>
      <c r="O179" s="24"/>
      <c r="R179" s="19"/>
      <c r="S179" s="637"/>
      <c r="T179" s="637"/>
      <c r="U179" s="636"/>
      <c r="V179" s="637"/>
      <c r="W179" s="637"/>
      <c r="X179" s="200" t="str">
        <f>NWC_FC_NOOS!$B$1</f>
        <v>VM</v>
      </c>
      <c r="Y179" s="25" t="str">
        <f>NWC_FC_NOOS!$B$65</f>
        <v>TAILORING</v>
      </c>
      <c r="Z179" s="25" t="str">
        <f t="shared" ca="1" si="16"/>
        <v>VMTAILORING19/20Dec</v>
      </c>
      <c r="AA179" s="25" t="str">
        <f>NWC_FC_NOOS!$I$1</f>
        <v>NOOS</v>
      </c>
      <c r="AB179" s="25" t="str">
        <f ca="1">NWC_FC_NOOS!$O$73</f>
        <v>19/20</v>
      </c>
      <c r="AC179" s="25" t="str">
        <f ca="1">NWC_FC_NOOS!$O$74</f>
        <v>Q2</v>
      </c>
      <c r="AD179" s="25" t="str">
        <f ca="1">NWC_FC_NOOS!$P$75</f>
        <v>Dec</v>
      </c>
      <c r="AE179" s="649">
        <f ca="1">IFERROR(HLOOKUP($AB179&amp;$AD179,NWC_FC_NOOS!$B$4:$Q$24,MATCH($Y179,NWC_FC_NOOS!$B$4:$B$24,0),FALSE),"")</f>
        <v>0</v>
      </c>
      <c r="AF179" s="650">
        <f ca="1">IFERROR(HLOOKUP($AB179&amp;$AD179,NWC_FC_NOOS!$S$4:$AH$24,MATCH($Y179,NWC_FC_NOOS!$S$4:$S$24,0),FALSE),"")</f>
        <v>0</v>
      </c>
      <c r="AG179" s="650">
        <f ca="1">IFERROR(HLOOKUP($AB179&amp;$AD179,NWC_FC_NOOS!$C$50:$U$70,MATCH($Y179,NWC_FC_NOOS!$B$50:$B$70,0),FALSE),"")</f>
        <v>0</v>
      </c>
      <c r="AH179" s="650">
        <f ca="1">IFERROR(IF($AA179="NOOS",HLOOKUP(STOCK_OVERVIEW!$AB179&amp;STOCK_OVERVIEW!$AD179,PLANNING_FC!$BB$27:$BP$46,MATCH(STOCK_OVERVIEW!$Y179,PLANNING_FC!$BA$27:$BA$46,0),FALSE),HLOOKUP($AB179&amp;$AD179,PLANNING_FC!$BB$4:$BP$23,MATCH(STOCK_OVERVIEW!$Y179,PLANNING_FC!$BA$4:$BA$23,0),FALSE)),"")</f>
        <v>0</v>
      </c>
      <c r="AI179" s="650">
        <f ca="1">IFERROR(IF($AA179="NOOS",HLOOKUP(STOCK_OVERVIEW!$AB179&amp;STOCK_OVERVIEW!$AD179,PLANNING_FC!$T$27:$AH$46,MATCH(STOCK_OVERVIEW!$Y179,PLANNING_FC!$B$27:$B$46,0),FALSE),HLOOKUP($AB179&amp;$AD179,PLANNING_FC!$T$4:$AH$23,MATCH(STOCK_OVERVIEW!$Y179,PLANNING_FC!$B$4:$B$23,0),FALSE)),"")</f>
        <v>0</v>
      </c>
      <c r="AJ179" s="650">
        <f ca="1">IFERROR(IF($AA179="NOOS",HLOOKUP(STOCK_OVERVIEW!$AB179&amp;STOCK_OVERVIEW!$AD179,PLANNING_FC!$DA$27:$DO$46,MATCH(STOCK_OVERVIEW!$Y179,PLANNING_FC!$CZ$27:$CZ$46,0),FALSE),HLOOKUP($AB179&amp;$AD179,PLANNING_FC!$DA$4:$DO$23,MATCH(STOCK_OVERVIEW!$Y179,PLANNING_FC!$CZ$4:$CZ$23,0),FALSE)),"")</f>
        <v>29070</v>
      </c>
      <c r="AK179" s="651">
        <f ca="1">IFERROR(IF(AA179="NOOS",HLOOKUP(AB179&amp;AD179,PLANNING_FC!$AJ$27:$AY$47,MATCH(STOCK_OVERVIEW!Y179,PLANNING_FC!$AJ$27:$AJ$47,0),FALSE)*1000,HLOOKUP(AB179&amp;AD179,PLANNING_FC!$AJ$4:$AY$24,MATCH(STOCK_OVERVIEW!Y179,PLANNING_FC!$AJ$4:$AJ$24,0),FALSE)*1000),"")</f>
        <v>0</v>
      </c>
      <c r="AL179" s="638"/>
      <c r="AM179" s="638"/>
      <c r="AN179" s="638"/>
      <c r="AO179" s="638"/>
      <c r="AP179" s="638"/>
      <c r="AQ179" s="638"/>
      <c r="AR179" s="638"/>
      <c r="AS179" s="638"/>
    </row>
    <row r="180" spans="1:45" s="61" customFormat="1" x14ac:dyDescent="0.25">
      <c r="A180" s="62"/>
      <c r="B180" s="835"/>
      <c r="C180" s="22"/>
      <c r="D180" s="22"/>
      <c r="E180" s="22"/>
      <c r="F180" s="22"/>
      <c r="G180" s="22"/>
      <c r="H180" s="836"/>
      <c r="I180" s="837"/>
      <c r="J180" s="206"/>
      <c r="K180" s="24"/>
      <c r="L180" s="24"/>
      <c r="M180" s="24"/>
      <c r="N180" s="206"/>
      <c r="O180" s="24"/>
      <c r="R180" s="19"/>
      <c r="S180" s="637"/>
      <c r="T180" s="637"/>
      <c r="U180" s="636"/>
      <c r="V180" s="637"/>
      <c r="W180" s="637"/>
      <c r="X180" s="200" t="str">
        <f>NWC_FC_NOOS!$B$1</f>
        <v>VM</v>
      </c>
      <c r="Y180" s="25" t="str">
        <f>NWC_FC_NOOS!$B$65</f>
        <v>TAILORING</v>
      </c>
      <c r="Z180" s="25" t="str">
        <f t="shared" ca="1" si="16"/>
        <v>VMTAILORING19/20Jan</v>
      </c>
      <c r="AA180" s="25" t="str">
        <f>NWC_FC_NOOS!$I$1</f>
        <v>NOOS</v>
      </c>
      <c r="AB180" s="25" t="str">
        <f ca="1">NWC_FC_NOOS!$O$73</f>
        <v>19/20</v>
      </c>
      <c r="AC180" s="25" t="str">
        <f ca="1">NWC_FC_NOOS!$O$74</f>
        <v>Q2</v>
      </c>
      <c r="AD180" s="25" t="str">
        <f ca="1">NWC_FC_NOOS!$Q$75</f>
        <v>Jan</v>
      </c>
      <c r="AE180" s="649">
        <f ca="1">IFERROR(HLOOKUP($AB180&amp;$AD180,NWC_FC_NOOS!$B$4:$Q$24,MATCH($Y180,NWC_FC_NOOS!$B$4:$B$24,0),FALSE),"")</f>
        <v>0</v>
      </c>
      <c r="AF180" s="650">
        <f ca="1">IFERROR(HLOOKUP($AB180&amp;$AD180,NWC_FC_NOOS!$S$4:$AH$24,MATCH($Y180,NWC_FC_NOOS!$S$4:$S$24,0),FALSE),"")</f>
        <v>0</v>
      </c>
      <c r="AG180" s="650">
        <f ca="1">IFERROR(HLOOKUP($AB180&amp;$AD180,NWC_FC_NOOS!$C$50:$U$70,MATCH($Y180,NWC_FC_NOOS!$B$50:$B$70,0),FALSE),"")</f>
        <v>0</v>
      </c>
      <c r="AH180" s="650">
        <f ca="1">IFERROR(IF($AA180="NOOS",HLOOKUP(STOCK_OVERVIEW!$AB180&amp;STOCK_OVERVIEW!$AD180,PLANNING_FC!$BB$27:$BP$46,MATCH(STOCK_OVERVIEW!$Y180,PLANNING_FC!$BA$27:$BA$46,0),FALSE),HLOOKUP($AB180&amp;$AD180,PLANNING_FC!$BB$4:$BP$23,MATCH(STOCK_OVERVIEW!$Y180,PLANNING_FC!$BA$4:$BA$23,0),FALSE)),"")</f>
        <v>0</v>
      </c>
      <c r="AI180" s="650">
        <f ca="1">IFERROR(IF($AA180="NOOS",HLOOKUP(STOCK_OVERVIEW!$AB180&amp;STOCK_OVERVIEW!$AD180,PLANNING_FC!$T$27:$AH$46,MATCH(STOCK_OVERVIEW!$Y180,PLANNING_FC!$B$27:$B$46,0),FALSE),HLOOKUP($AB180&amp;$AD180,PLANNING_FC!$T$4:$AH$23,MATCH(STOCK_OVERVIEW!$Y180,PLANNING_FC!$B$4:$B$23,0),FALSE)),"")</f>
        <v>0</v>
      </c>
      <c r="AJ180" s="650">
        <f ca="1">IFERROR(IF($AA180="NOOS",HLOOKUP(STOCK_OVERVIEW!$AB180&amp;STOCK_OVERVIEW!$AD180,PLANNING_FC!$DA$27:$DO$46,MATCH(STOCK_OVERVIEW!$Y180,PLANNING_FC!$CZ$27:$CZ$46,0),FALSE),HLOOKUP($AB180&amp;$AD180,PLANNING_FC!$DA$4:$DO$23,MATCH(STOCK_OVERVIEW!$Y180,PLANNING_FC!$CZ$4:$CZ$23,0),FALSE)),"")</f>
        <v>29070</v>
      </c>
      <c r="AK180" s="651">
        <f ca="1">IFERROR(IF(AA180="NOOS",HLOOKUP(AB180&amp;AD180,PLANNING_FC!$AJ$27:$AY$47,MATCH(STOCK_OVERVIEW!Y180,PLANNING_FC!$AJ$27:$AJ$47,0),FALSE)*1000,HLOOKUP(AB180&amp;AD180,PLANNING_FC!$AJ$4:$AY$24,MATCH(STOCK_OVERVIEW!Y180,PLANNING_FC!$AJ$4:$AJ$24,0),FALSE)*1000),"")</f>
        <v>0</v>
      </c>
      <c r="AL180" s="638"/>
      <c r="AM180" s="638"/>
      <c r="AN180" s="638"/>
      <c r="AO180" s="638"/>
      <c r="AP180" s="638"/>
      <c r="AQ180" s="638"/>
      <c r="AR180" s="638"/>
      <c r="AS180" s="638"/>
    </row>
    <row r="181" spans="1:45" s="61" customFormat="1" x14ac:dyDescent="0.25">
      <c r="A181" s="62"/>
      <c r="B181" s="835" t="str">
        <f ca="1">$P$40</f>
        <v>Dec</v>
      </c>
      <c r="C181" s="836">
        <f ca="1">$P$42</f>
        <v>0</v>
      </c>
      <c r="D181" s="22"/>
      <c r="E181" s="22"/>
      <c r="F181" s="22"/>
      <c r="G181" s="22"/>
      <c r="H181" s="22"/>
      <c r="I181" s="837"/>
      <c r="J181" s="206"/>
      <c r="K181" s="24"/>
      <c r="L181" s="24"/>
      <c r="M181" s="24"/>
      <c r="N181" s="206"/>
      <c r="O181" s="24"/>
      <c r="R181" s="19"/>
      <c r="S181" s="637"/>
      <c r="T181" s="637"/>
      <c r="U181" s="636"/>
      <c r="V181" s="637"/>
      <c r="W181" s="637"/>
      <c r="X181" s="200" t="str">
        <f>NWC_FC_NOOS!$B$1</f>
        <v>VM</v>
      </c>
      <c r="Y181" s="25" t="str">
        <f>NWC_FC_NOOS!$B$65</f>
        <v>TAILORING</v>
      </c>
      <c r="Z181" s="25" t="str">
        <f t="shared" ca="1" si="16"/>
        <v>VMTAILORING19/20Feb</v>
      </c>
      <c r="AA181" s="25" t="str">
        <f>NWC_FC_NOOS!$I$1</f>
        <v>NOOS</v>
      </c>
      <c r="AB181" s="25" t="str">
        <f ca="1">NWC_FC_NOOS!$S$73</f>
        <v>19/20</v>
      </c>
      <c r="AC181" s="25" t="str">
        <f ca="1">NWC_FC_NOOS!$S$74</f>
        <v>Q3</v>
      </c>
      <c r="AD181" s="25" t="str">
        <f ca="1">NWC_FC_NOOS!$S$75</f>
        <v>Feb</v>
      </c>
      <c r="AE181" s="649" t="str">
        <f ca="1">IFERROR(HLOOKUP($AB181&amp;$AD181,NWC_FC_NOOS!$B$4:$Q$24,MATCH($Y181,NWC_FC_NOOS!$B$4:$B$24,0),FALSE),"")</f>
        <v/>
      </c>
      <c r="AF181" s="650" t="str">
        <f ca="1">IFERROR(HLOOKUP($AB181&amp;$AD181,NWC_FC_NOOS!$S$4:$AH$24,MATCH($Y181,NWC_FC_NOOS!$S$4:$S$24,0),FALSE),"")</f>
        <v/>
      </c>
      <c r="AG181" s="650">
        <f ca="1">IFERROR(HLOOKUP($AB181&amp;$AD181,NWC_FC_NOOS!$C$50:$U$70,MATCH($Y181,NWC_FC_NOOS!$B$50:$B$70,0),FALSE),"")</f>
        <v>0</v>
      </c>
      <c r="AH181" s="650" t="str">
        <f ca="1">IFERROR(IF($AA181="NOOS",HLOOKUP(STOCK_OVERVIEW!$AB181&amp;STOCK_OVERVIEW!$AD181,PLANNING_FC!$BB$27:$BP$46,MATCH(STOCK_OVERVIEW!$Y181,PLANNING_FC!$BA$27:$BA$46,0),FALSE),HLOOKUP($AB181&amp;$AD181,PLANNING_FC!$BB$4:$BP$23,MATCH(STOCK_OVERVIEW!$Y181,PLANNING_FC!$BA$4:$BA$23,0),FALSE)),"")</f>
        <v/>
      </c>
      <c r="AI181" s="650" t="str">
        <f ca="1">IFERROR(IF($AA181="NOOS",HLOOKUP(STOCK_OVERVIEW!$AB181&amp;STOCK_OVERVIEW!$AD181,PLANNING_FC!$T$27:$AH$46,MATCH(STOCK_OVERVIEW!$Y181,PLANNING_FC!$B$27:$B$46,0),FALSE),HLOOKUP($AB181&amp;$AD181,PLANNING_FC!$T$4:$AH$23,MATCH(STOCK_OVERVIEW!$Y181,PLANNING_FC!$B$4:$B$23,0),FALSE)),"")</f>
        <v/>
      </c>
      <c r="AJ181" s="650" t="str">
        <f ca="1">IFERROR(IF($AA181="NOOS",HLOOKUP(STOCK_OVERVIEW!$AB181&amp;STOCK_OVERVIEW!$AD181,PLANNING_FC!$DA$27:$DO$46,MATCH(STOCK_OVERVIEW!$Y181,PLANNING_FC!$CZ$27:$CZ$46,0),FALSE),HLOOKUP($AB181&amp;$AD181,PLANNING_FC!$DA$4:$DO$23,MATCH(STOCK_OVERVIEW!$Y181,PLANNING_FC!$CZ$4:$CZ$23,0),FALSE)),"")</f>
        <v/>
      </c>
      <c r="AK181" s="651" t="str">
        <f ca="1">IFERROR(IF(AA181="NOOS",HLOOKUP(AB181&amp;AD181,PLANNING_FC!$AJ$27:$AY$47,MATCH(STOCK_OVERVIEW!Y181,PLANNING_FC!$AJ$27:$AJ$47,0),FALSE)*1000,HLOOKUP(AB181&amp;AD181,PLANNING_FC!$AJ$4:$AY$24,MATCH(STOCK_OVERVIEW!Y181,PLANNING_FC!$AJ$4:$AJ$24,0),FALSE)*1000),"")</f>
        <v/>
      </c>
      <c r="AL181" s="638"/>
      <c r="AM181" s="638"/>
      <c r="AN181" s="638"/>
      <c r="AO181" s="638"/>
      <c r="AP181" s="638"/>
      <c r="AQ181" s="638"/>
      <c r="AR181" s="638"/>
      <c r="AS181" s="638"/>
    </row>
    <row r="182" spans="1:45" s="61" customFormat="1" x14ac:dyDescent="0.25">
      <c r="A182" s="62"/>
      <c r="B182" s="835"/>
      <c r="C182" s="22"/>
      <c r="D182" s="836">
        <f ca="1">$P$45</f>
        <v>0</v>
      </c>
      <c r="E182" s="836">
        <f ca="1">$P$46</f>
        <v>0</v>
      </c>
      <c r="F182" s="22"/>
      <c r="G182" s="22"/>
      <c r="H182" s="22"/>
      <c r="I182" s="837"/>
      <c r="J182" s="206"/>
      <c r="K182" s="24"/>
      <c r="L182" s="24"/>
      <c r="M182" s="24"/>
      <c r="N182" s="206"/>
      <c r="O182" s="24"/>
      <c r="R182" s="19"/>
      <c r="S182" s="637"/>
      <c r="T182" s="637"/>
      <c r="U182" s="636"/>
      <c r="V182" s="637"/>
      <c r="W182" s="637"/>
      <c r="X182" s="200" t="str">
        <f>NWC_FC_NOOS!$B$1</f>
        <v>VM</v>
      </c>
      <c r="Y182" s="25" t="str">
        <f>NWC_FC_NOOS!$B$65</f>
        <v>TAILORING</v>
      </c>
      <c r="Z182" s="25" t="str">
        <f t="shared" ca="1" si="16"/>
        <v>VMTAILORING19/20Mar</v>
      </c>
      <c r="AA182" s="25" t="str">
        <f>NWC_FC_NOOS!$I$1</f>
        <v>NOOS</v>
      </c>
      <c r="AB182" s="25" t="str">
        <f ca="1">NWC_FC_NOOS!$S$73</f>
        <v>19/20</v>
      </c>
      <c r="AC182" s="25" t="str">
        <f ca="1">NWC_FC_NOOS!$S$74</f>
        <v>Q3</v>
      </c>
      <c r="AD182" s="25" t="str">
        <f ca="1">NWC_FC_NOOS!$T$75</f>
        <v>Mar</v>
      </c>
      <c r="AE182" s="649" t="str">
        <f ca="1">IFERROR(HLOOKUP($AB182&amp;$AD182,NWC_FC_NOOS!$B$4:$Q$24,MATCH($Y182,NWC_FC_NOOS!$B$4:$B$24,0),FALSE),"")</f>
        <v/>
      </c>
      <c r="AF182" s="650" t="str">
        <f ca="1">IFERROR(HLOOKUP($AB182&amp;$AD182,NWC_FC_NOOS!$S$4:$AH$24,MATCH($Y182,NWC_FC_NOOS!$S$4:$S$24,0),FALSE),"")</f>
        <v/>
      </c>
      <c r="AG182" s="650">
        <f ca="1">IFERROR(HLOOKUP($AB182&amp;$AD182,NWC_FC_NOOS!$C$50:$U$70,MATCH($Y182,NWC_FC_NOOS!$B$50:$B$70,0),FALSE),"")</f>
        <v>0</v>
      </c>
      <c r="AH182" s="650" t="str">
        <f ca="1">IFERROR(IF($AA182="NOOS",HLOOKUP(STOCK_OVERVIEW!$AB182&amp;STOCK_OVERVIEW!$AD182,PLANNING_FC!$BB$27:$BP$46,MATCH(STOCK_OVERVIEW!$Y182,PLANNING_FC!$BA$27:$BA$46,0),FALSE),HLOOKUP($AB182&amp;$AD182,PLANNING_FC!$BB$4:$BP$23,MATCH(STOCK_OVERVIEW!$Y182,PLANNING_FC!$BA$4:$BA$23,0),FALSE)),"")</f>
        <v/>
      </c>
      <c r="AI182" s="650" t="str">
        <f ca="1">IFERROR(IF($AA182="NOOS",HLOOKUP(STOCK_OVERVIEW!$AB182&amp;STOCK_OVERVIEW!$AD182,PLANNING_FC!$T$27:$AH$46,MATCH(STOCK_OVERVIEW!$Y182,PLANNING_FC!$B$27:$B$46,0),FALSE),HLOOKUP($AB182&amp;$AD182,PLANNING_FC!$T$4:$AH$23,MATCH(STOCK_OVERVIEW!$Y182,PLANNING_FC!$B$4:$B$23,0),FALSE)),"")</f>
        <v/>
      </c>
      <c r="AJ182" s="650" t="str">
        <f ca="1">IFERROR(IF($AA182="NOOS",HLOOKUP(STOCK_OVERVIEW!$AB182&amp;STOCK_OVERVIEW!$AD182,PLANNING_FC!$DA$27:$DO$46,MATCH(STOCK_OVERVIEW!$Y182,PLANNING_FC!$CZ$27:$CZ$46,0),FALSE),HLOOKUP($AB182&amp;$AD182,PLANNING_FC!$DA$4:$DO$23,MATCH(STOCK_OVERVIEW!$Y182,PLANNING_FC!$CZ$4:$CZ$23,0),FALSE)),"")</f>
        <v/>
      </c>
      <c r="AK182" s="651" t="str">
        <f ca="1">IFERROR(IF(AA182="NOOS",HLOOKUP(AB182&amp;AD182,PLANNING_FC!$AJ$27:$AY$47,MATCH(STOCK_OVERVIEW!Y182,PLANNING_FC!$AJ$27:$AJ$47,0),FALSE)*1000,HLOOKUP(AB182&amp;AD182,PLANNING_FC!$AJ$4:$AY$24,MATCH(STOCK_OVERVIEW!Y182,PLANNING_FC!$AJ$4:$AJ$24,0),FALSE)*1000),"")</f>
        <v/>
      </c>
      <c r="AL182" s="638"/>
      <c r="AM182" s="638"/>
      <c r="AN182" s="638"/>
      <c r="AO182" s="638"/>
      <c r="AP182" s="638"/>
      <c r="AQ182" s="638"/>
      <c r="AR182" s="638"/>
      <c r="AS182" s="638"/>
    </row>
    <row r="183" spans="1:45" s="61" customFormat="1" x14ac:dyDescent="0.25">
      <c r="A183" s="62"/>
      <c r="B183" s="835"/>
      <c r="C183" s="22"/>
      <c r="D183" s="22"/>
      <c r="E183" s="22"/>
      <c r="F183" s="836">
        <f ca="1">$P$55</f>
        <v>5768040</v>
      </c>
      <c r="G183" s="838">
        <f ca="1">P52</f>
        <v>0</v>
      </c>
      <c r="H183" s="22"/>
      <c r="I183" s="837"/>
      <c r="J183" s="206"/>
      <c r="K183" s="24"/>
      <c r="L183" s="24"/>
      <c r="M183" s="24"/>
      <c r="N183" s="206"/>
      <c r="O183" s="24"/>
      <c r="R183" s="19"/>
      <c r="S183" s="637"/>
      <c r="T183" s="637"/>
      <c r="U183" s="636"/>
      <c r="V183" s="637"/>
      <c r="W183" s="637"/>
      <c r="X183" s="200" t="str">
        <f>NWC_FC_NOOS!$B$1</f>
        <v>VM</v>
      </c>
      <c r="Y183" s="25" t="str">
        <f>NWC_FC_NOOS!$B$65</f>
        <v>TAILORING</v>
      </c>
      <c r="Z183" s="25" t="str">
        <f t="shared" ca="1" si="16"/>
        <v>VMTAILORING19/20Apr</v>
      </c>
      <c r="AA183" s="25" t="str">
        <f>NWC_FC_NOOS!$I$1</f>
        <v>NOOS</v>
      </c>
      <c r="AB183" s="25" t="str">
        <f ca="1">NWC_FC_NOOS!$S$73</f>
        <v>19/20</v>
      </c>
      <c r="AC183" s="25" t="str">
        <f ca="1">NWC_FC_NOOS!$S$74</f>
        <v>Q3</v>
      </c>
      <c r="AD183" s="25" t="str">
        <f ca="1">NWC_FC_NOOS!$U$75</f>
        <v>Apr</v>
      </c>
      <c r="AE183" s="649" t="str">
        <f ca="1">IFERROR(HLOOKUP($AB183&amp;$AD183,NWC_FC_NOOS!$B$4:$Q$24,MATCH($Y183,NWC_FC_NOOS!$B$4:$B$24,0),FALSE),"")</f>
        <v/>
      </c>
      <c r="AF183" s="650" t="str">
        <f ca="1">IFERROR(HLOOKUP($AB183&amp;$AD183,NWC_FC_NOOS!$S$4:$AH$24,MATCH($Y183,NWC_FC_NOOS!$S$4:$S$24,0),FALSE),"")</f>
        <v/>
      </c>
      <c r="AG183" s="650">
        <f ca="1">IFERROR(HLOOKUP($AB183&amp;$AD183,NWC_FC_NOOS!$C$50:$U$70,MATCH($Y183,NWC_FC_NOOS!$B$50:$B$70,0),FALSE),"")</f>
        <v>0</v>
      </c>
      <c r="AH183" s="650" t="str">
        <f ca="1">IFERROR(IF($AA183="NOOS",HLOOKUP(STOCK_OVERVIEW!$AB183&amp;STOCK_OVERVIEW!$AD183,PLANNING_FC!$BB$27:$BP$46,MATCH(STOCK_OVERVIEW!$Y183,PLANNING_FC!$BA$27:$BA$46,0),FALSE),HLOOKUP($AB183&amp;$AD183,PLANNING_FC!$BB$4:$BP$23,MATCH(STOCK_OVERVIEW!$Y183,PLANNING_FC!$BA$4:$BA$23,0),FALSE)),"")</f>
        <v/>
      </c>
      <c r="AI183" s="650" t="str">
        <f ca="1">IFERROR(IF($AA183="NOOS",HLOOKUP(STOCK_OVERVIEW!$AB183&amp;STOCK_OVERVIEW!$AD183,PLANNING_FC!$T$27:$AH$46,MATCH(STOCK_OVERVIEW!$Y183,PLANNING_FC!$B$27:$B$46,0),FALSE),HLOOKUP($AB183&amp;$AD183,PLANNING_FC!$T$4:$AH$23,MATCH(STOCK_OVERVIEW!$Y183,PLANNING_FC!$B$4:$B$23,0),FALSE)),"")</f>
        <v/>
      </c>
      <c r="AJ183" s="650" t="str">
        <f ca="1">IFERROR(IF($AA183="NOOS",HLOOKUP(STOCK_OVERVIEW!$AB183&amp;STOCK_OVERVIEW!$AD183,PLANNING_FC!$DA$27:$DO$46,MATCH(STOCK_OVERVIEW!$Y183,PLANNING_FC!$CZ$27:$CZ$46,0),FALSE),HLOOKUP($AB183&amp;$AD183,PLANNING_FC!$DA$4:$DO$23,MATCH(STOCK_OVERVIEW!$Y183,PLANNING_FC!$CZ$4:$CZ$23,0),FALSE)),"")</f>
        <v/>
      </c>
      <c r="AK183" s="651" t="str">
        <f ca="1">IFERROR(IF(AA183="NOOS",HLOOKUP(AB183&amp;AD183,PLANNING_FC!$AJ$27:$AY$47,MATCH(STOCK_OVERVIEW!Y183,PLANNING_FC!$AJ$27:$AJ$47,0),FALSE)*1000,HLOOKUP(AB183&amp;AD183,PLANNING_FC!$AJ$4:$AY$24,MATCH(STOCK_OVERVIEW!Y183,PLANNING_FC!$AJ$4:$AJ$24,0),FALSE)*1000),"")</f>
        <v/>
      </c>
      <c r="AL183" s="638"/>
      <c r="AM183" s="638"/>
      <c r="AN183" s="638"/>
      <c r="AO183" s="638"/>
      <c r="AP183" s="638"/>
      <c r="AQ183" s="638"/>
      <c r="AR183" s="638"/>
      <c r="AS183" s="638"/>
    </row>
    <row r="184" spans="1:45" s="61" customFormat="1" x14ac:dyDescent="0.25">
      <c r="A184" s="62"/>
      <c r="B184" s="835"/>
      <c r="C184" s="22"/>
      <c r="D184" s="22"/>
      <c r="E184" s="22"/>
      <c r="F184" s="22"/>
      <c r="G184" s="22"/>
      <c r="H184" s="836">
        <f ca="1">$P$61</f>
        <v>0</v>
      </c>
      <c r="I184" s="839">
        <f ca="1">$P$58</f>
        <v>0</v>
      </c>
      <c r="J184" s="206"/>
      <c r="K184" s="24"/>
      <c r="L184" s="24"/>
      <c r="M184" s="24"/>
      <c r="N184" s="206"/>
      <c r="O184" s="24"/>
      <c r="R184" s="19"/>
      <c r="S184" s="637"/>
      <c r="T184" s="637"/>
      <c r="U184" s="636"/>
      <c r="V184" s="637"/>
      <c r="W184" s="637"/>
      <c r="X184" s="200" t="str">
        <f>NWC_FC_NOOS!$B$1</f>
        <v>VM</v>
      </c>
      <c r="Y184" s="25" t="str">
        <f>NWC_FC_NOOS!$B$66</f>
        <v>TOPS</v>
      </c>
      <c r="Z184" s="25" t="str">
        <f t="shared" ca="1" si="16"/>
        <v>VMTOPS18/19Feb</v>
      </c>
      <c r="AA184" s="25" t="str">
        <f>NWC_FC_NOOS!$I$1</f>
        <v>NOOS</v>
      </c>
      <c r="AB184" s="25" t="str">
        <f ca="1">NWC_FC_NOOS!$C$73</f>
        <v>18/19</v>
      </c>
      <c r="AC184" s="25" t="str">
        <f ca="1">NWC_FC_NOOS!$C$74</f>
        <v>Q3</v>
      </c>
      <c r="AD184" s="25" t="str">
        <f ca="1">NWC_FC_NOOS!$C$75</f>
        <v>Feb</v>
      </c>
      <c r="AE184" s="649">
        <f ca="1">IFERROR(HLOOKUP($AB184&amp;$AD184,NWC_FC_NOOS!$B$4:$Q$24,MATCH($Y184,NWC_FC_NOOS!$B$4:$B$24,0),FALSE),"")</f>
        <v>0</v>
      </c>
      <c r="AF184" s="650">
        <f ca="1">IFERROR(HLOOKUP($AB184&amp;$AD184,NWC_FC_NOOS!$S$4:$AH$24,MATCH($Y184,NWC_FC_NOOS!$S$4:$S$24,0),FALSE),"")</f>
        <v>0</v>
      </c>
      <c r="AG184" s="650">
        <f ca="1">IFERROR(HLOOKUP($AB184&amp;$AD184,NWC_FC_NOOS!$C$50:$U$70,MATCH($Y184,NWC_FC_NOOS!$B$50:$B$70,0),FALSE),"")</f>
        <v>0</v>
      </c>
      <c r="AH184" s="650">
        <f ca="1">IFERROR(IF($AA184="NOOS",HLOOKUP(STOCK_OVERVIEW!$AB184&amp;STOCK_OVERVIEW!$AD184,PLANNING_FC!$BB$27:$BP$46,MATCH(STOCK_OVERVIEW!$Y184,PLANNING_FC!$BA$27:$BA$46,0),FALSE),HLOOKUP($AB184&amp;$AD184,PLANNING_FC!$BB$4:$BP$23,MATCH(STOCK_OVERVIEW!$Y184,PLANNING_FC!$BA$4:$BA$23,0),FALSE)),"")</f>
        <v>0</v>
      </c>
      <c r="AI184" s="650">
        <f ca="1">IFERROR(IF($AA184="NOOS",HLOOKUP(STOCK_OVERVIEW!$AB184&amp;STOCK_OVERVIEW!$AD184,PLANNING_FC!$T$27:$AH$46,MATCH(STOCK_OVERVIEW!$Y184,PLANNING_FC!$B$27:$B$46,0),FALSE),HLOOKUP($AB184&amp;$AD184,PLANNING_FC!$T$4:$AH$23,MATCH(STOCK_OVERVIEW!$Y184,PLANNING_FC!$B$4:$B$23,0),FALSE)),"")</f>
        <v>0</v>
      </c>
      <c r="AJ184" s="650">
        <f ca="1">IFERROR(IF($AA184="NOOS",HLOOKUP(STOCK_OVERVIEW!$AB184&amp;STOCK_OVERVIEW!$AD184,PLANNING_FC!$DA$27:$DO$46,MATCH(STOCK_OVERVIEW!$Y184,PLANNING_FC!$CZ$27:$CZ$46,0),FALSE),HLOOKUP($AB184&amp;$AD184,PLANNING_FC!$DA$4:$DO$23,MATCH(STOCK_OVERVIEW!$Y184,PLANNING_FC!$CZ$4:$CZ$23,0),FALSE)),"")</f>
        <v>0</v>
      </c>
      <c r="AK184" s="651">
        <f ca="1">IFERROR(IF(AA184="NOOS",HLOOKUP(AB184&amp;AD184,PLANNING_FC!$AJ$27:$AY$47,MATCH(STOCK_OVERVIEW!Y184,PLANNING_FC!$AJ$27:$AJ$47,0),FALSE)*1000,HLOOKUP(AB184&amp;AD184,PLANNING_FC!$AJ$4:$AY$24,MATCH(STOCK_OVERVIEW!Y184,PLANNING_FC!$AJ$4:$AJ$24,0),FALSE)*1000),"")</f>
        <v>0</v>
      </c>
      <c r="AL184" s="638"/>
      <c r="AM184" s="638"/>
      <c r="AN184" s="638"/>
      <c r="AO184" s="638"/>
      <c r="AP184" s="638"/>
      <c r="AQ184" s="638"/>
      <c r="AR184" s="638"/>
      <c r="AS184" s="638"/>
    </row>
    <row r="185" spans="1:45" s="61" customFormat="1" x14ac:dyDescent="0.25">
      <c r="A185" s="62"/>
      <c r="B185" s="835"/>
      <c r="C185" s="22"/>
      <c r="D185" s="22"/>
      <c r="E185" s="22"/>
      <c r="F185" s="22"/>
      <c r="G185" s="22"/>
      <c r="H185" s="836"/>
      <c r="I185" s="837"/>
      <c r="J185" s="206"/>
      <c r="K185" s="24"/>
      <c r="L185" s="24"/>
      <c r="M185" s="24"/>
      <c r="N185" s="206"/>
      <c r="O185" s="24"/>
      <c r="R185" s="19"/>
      <c r="S185" s="637"/>
      <c r="T185" s="637"/>
      <c r="U185" s="636"/>
      <c r="V185" s="637"/>
      <c r="W185" s="637"/>
      <c r="X185" s="200" t="str">
        <f>NWC_FC_NOOS!$B$1</f>
        <v>VM</v>
      </c>
      <c r="Y185" s="25" t="str">
        <f>NWC_FC_NOOS!$B$66</f>
        <v>TOPS</v>
      </c>
      <c r="Z185" s="25" t="str">
        <f t="shared" ca="1" si="16"/>
        <v>VMTOPS18/19Mar</v>
      </c>
      <c r="AA185" s="25" t="str">
        <f>NWC_FC_NOOS!$I$1</f>
        <v>NOOS</v>
      </c>
      <c r="AB185" s="25" t="str">
        <f ca="1">NWC_FC_NOOS!$C$73</f>
        <v>18/19</v>
      </c>
      <c r="AC185" s="25" t="str">
        <f ca="1">NWC_FC_NOOS!$C$74</f>
        <v>Q3</v>
      </c>
      <c r="AD185" s="25" t="str">
        <f ca="1">NWC_FC_NOOS!$D$75</f>
        <v>Mar</v>
      </c>
      <c r="AE185" s="649">
        <f ca="1">IFERROR(HLOOKUP($AB185&amp;$AD185,NWC_FC_NOOS!$B$4:$Q$24,MATCH($Y185,NWC_FC_NOOS!$B$4:$B$24,0),FALSE),"")</f>
        <v>0</v>
      </c>
      <c r="AF185" s="650">
        <f ca="1">IFERROR(HLOOKUP($AB185&amp;$AD185,NWC_FC_NOOS!$S$4:$AH$24,MATCH($Y185,NWC_FC_NOOS!$S$4:$S$24,0),FALSE),"")</f>
        <v>0</v>
      </c>
      <c r="AG185" s="650">
        <f ca="1">IFERROR(HLOOKUP($AB185&amp;$AD185,NWC_FC_NOOS!$C$50:$U$70,MATCH($Y185,NWC_FC_NOOS!$B$50:$B$70,0),FALSE),"")</f>
        <v>0</v>
      </c>
      <c r="AH185" s="650">
        <f ca="1">IFERROR(IF($AA185="NOOS",HLOOKUP(STOCK_OVERVIEW!$AB185&amp;STOCK_OVERVIEW!$AD185,PLANNING_FC!$BB$27:$BP$46,MATCH(STOCK_OVERVIEW!$Y185,PLANNING_FC!$BA$27:$BA$46,0),FALSE),HLOOKUP($AB185&amp;$AD185,PLANNING_FC!$BB$4:$BP$23,MATCH(STOCK_OVERVIEW!$Y185,PLANNING_FC!$BA$4:$BA$23,0),FALSE)),"")</f>
        <v>0</v>
      </c>
      <c r="AI185" s="650">
        <f ca="1">IFERROR(IF($AA185="NOOS",HLOOKUP(STOCK_OVERVIEW!$AB185&amp;STOCK_OVERVIEW!$AD185,PLANNING_FC!$T$27:$AH$46,MATCH(STOCK_OVERVIEW!$Y185,PLANNING_FC!$B$27:$B$46,0),FALSE),HLOOKUP($AB185&amp;$AD185,PLANNING_FC!$T$4:$AH$23,MATCH(STOCK_OVERVIEW!$Y185,PLANNING_FC!$B$4:$B$23,0),FALSE)),"")</f>
        <v>0</v>
      </c>
      <c r="AJ185" s="650">
        <f ca="1">IFERROR(IF($AA185="NOOS",HLOOKUP(STOCK_OVERVIEW!$AB185&amp;STOCK_OVERVIEW!$AD185,PLANNING_FC!$DA$27:$DO$46,MATCH(STOCK_OVERVIEW!$Y185,PLANNING_FC!$CZ$27:$CZ$46,0),FALSE),HLOOKUP($AB185&amp;$AD185,PLANNING_FC!$DA$4:$DO$23,MATCH(STOCK_OVERVIEW!$Y185,PLANNING_FC!$CZ$4:$CZ$23,0),FALSE)),"")</f>
        <v>0</v>
      </c>
      <c r="AK185" s="651">
        <f ca="1">IFERROR(IF(AA185="NOOS",HLOOKUP(AB185&amp;AD185,PLANNING_FC!$AJ$27:$AY$47,MATCH(STOCK_OVERVIEW!Y185,PLANNING_FC!$AJ$27:$AJ$47,0),FALSE)*1000,HLOOKUP(AB185&amp;AD185,PLANNING_FC!$AJ$4:$AY$24,MATCH(STOCK_OVERVIEW!Y185,PLANNING_FC!$AJ$4:$AJ$24,0),FALSE)*1000),"")</f>
        <v>0</v>
      </c>
      <c r="AL185" s="638"/>
      <c r="AM185" s="638"/>
      <c r="AN185" s="638"/>
      <c r="AO185" s="638"/>
      <c r="AP185" s="638"/>
      <c r="AQ185" s="638"/>
      <c r="AR185" s="638"/>
      <c r="AS185" s="638"/>
    </row>
    <row r="186" spans="1:45" s="61" customFormat="1" x14ac:dyDescent="0.25">
      <c r="A186" s="62"/>
      <c r="B186" s="835" t="str">
        <f ca="1">$Q$40</f>
        <v>Jan</v>
      </c>
      <c r="C186" s="836">
        <f ca="1">$Q$42</f>
        <v>0</v>
      </c>
      <c r="D186" s="22"/>
      <c r="E186" s="22"/>
      <c r="F186" s="22"/>
      <c r="G186" s="22"/>
      <c r="H186" s="22"/>
      <c r="I186" s="837"/>
      <c r="J186" s="206"/>
      <c r="K186" s="24"/>
      <c r="L186" s="24"/>
      <c r="M186" s="24"/>
      <c r="N186" s="206"/>
      <c r="O186" s="24"/>
      <c r="R186" s="19"/>
      <c r="S186" s="637"/>
      <c r="T186" s="637"/>
      <c r="U186" s="636"/>
      <c r="V186" s="637"/>
      <c r="W186" s="637"/>
      <c r="X186" s="200" t="str">
        <f>NWC_FC_NOOS!$B$1</f>
        <v>VM</v>
      </c>
      <c r="Y186" s="25" t="str">
        <f>NWC_FC_NOOS!$B$66</f>
        <v>TOPS</v>
      </c>
      <c r="Z186" s="25" t="str">
        <f t="shared" ca="1" si="16"/>
        <v>VMTOPS18/19Apr</v>
      </c>
      <c r="AA186" s="25" t="str">
        <f>NWC_FC_NOOS!$I$1</f>
        <v>NOOS</v>
      </c>
      <c r="AB186" s="25" t="str">
        <f ca="1">NWC_FC_NOOS!$C$73</f>
        <v>18/19</v>
      </c>
      <c r="AC186" s="25" t="str">
        <f ca="1">NWC_FC_NOOS!$C$74</f>
        <v>Q3</v>
      </c>
      <c r="AD186" s="25" t="str">
        <f ca="1">NWC_FC_NOOS!$E$75</f>
        <v>Apr</v>
      </c>
      <c r="AE186" s="649">
        <f ca="1">IFERROR(HLOOKUP($AB186&amp;$AD186,NWC_FC_NOOS!$B$4:$Q$24,MATCH($Y186,NWC_FC_NOOS!$B$4:$B$24,0),FALSE),"")</f>
        <v>0</v>
      </c>
      <c r="AF186" s="650">
        <f ca="1">IFERROR(HLOOKUP($AB186&amp;$AD186,NWC_FC_NOOS!$S$4:$AH$24,MATCH($Y186,NWC_FC_NOOS!$S$4:$S$24,0),FALSE),"")</f>
        <v>0</v>
      </c>
      <c r="AG186" s="650">
        <f ca="1">IFERROR(HLOOKUP($AB186&amp;$AD186,NWC_FC_NOOS!$C$50:$U$70,MATCH($Y186,NWC_FC_NOOS!$B$50:$B$70,0),FALSE),"")</f>
        <v>0</v>
      </c>
      <c r="AH186" s="650">
        <f ca="1">IFERROR(IF($AA186="NOOS",HLOOKUP(STOCK_OVERVIEW!$AB186&amp;STOCK_OVERVIEW!$AD186,PLANNING_FC!$BB$27:$BP$46,MATCH(STOCK_OVERVIEW!$Y186,PLANNING_FC!$BA$27:$BA$46,0),FALSE),HLOOKUP($AB186&amp;$AD186,PLANNING_FC!$BB$4:$BP$23,MATCH(STOCK_OVERVIEW!$Y186,PLANNING_FC!$BA$4:$BA$23,0),FALSE)),"")</f>
        <v>0</v>
      </c>
      <c r="AI186" s="650">
        <f ca="1">IFERROR(IF($AA186="NOOS",HLOOKUP(STOCK_OVERVIEW!$AB186&amp;STOCK_OVERVIEW!$AD186,PLANNING_FC!$T$27:$AH$46,MATCH(STOCK_OVERVIEW!$Y186,PLANNING_FC!$B$27:$B$46,0),FALSE),HLOOKUP($AB186&amp;$AD186,PLANNING_FC!$T$4:$AH$23,MATCH(STOCK_OVERVIEW!$Y186,PLANNING_FC!$B$4:$B$23,0),FALSE)),"")</f>
        <v>0</v>
      </c>
      <c r="AJ186" s="650">
        <f ca="1">IFERROR(IF($AA186="NOOS",HLOOKUP(STOCK_OVERVIEW!$AB186&amp;STOCK_OVERVIEW!$AD186,PLANNING_FC!$DA$27:$DO$46,MATCH(STOCK_OVERVIEW!$Y186,PLANNING_FC!$CZ$27:$CZ$46,0),FALSE),HLOOKUP($AB186&amp;$AD186,PLANNING_FC!$DA$4:$DO$23,MATCH(STOCK_OVERVIEW!$Y186,PLANNING_FC!$CZ$4:$CZ$23,0),FALSE)),"")</f>
        <v>42317</v>
      </c>
      <c r="AK186" s="651">
        <f ca="1">IFERROR(IF(AA186="NOOS",HLOOKUP(AB186&amp;AD186,PLANNING_FC!$AJ$27:$AY$47,MATCH(STOCK_OVERVIEW!Y186,PLANNING_FC!$AJ$27:$AJ$47,0),FALSE)*1000,HLOOKUP(AB186&amp;AD186,PLANNING_FC!$AJ$4:$AY$24,MATCH(STOCK_OVERVIEW!Y186,PLANNING_FC!$AJ$4:$AJ$24,0),FALSE)*1000),"")</f>
        <v>0</v>
      </c>
      <c r="AL186" s="638"/>
      <c r="AM186" s="638"/>
      <c r="AN186" s="638"/>
      <c r="AO186" s="638"/>
      <c r="AP186" s="638"/>
      <c r="AQ186" s="638"/>
      <c r="AR186" s="638"/>
      <c r="AS186" s="638"/>
    </row>
    <row r="187" spans="1:45" s="61" customFormat="1" x14ac:dyDescent="0.25">
      <c r="A187" s="62"/>
      <c r="B187" s="835"/>
      <c r="C187" s="22"/>
      <c r="D187" s="836">
        <f ca="1">$Q$45</f>
        <v>0</v>
      </c>
      <c r="E187" s="836">
        <f ca="1">$Q$46</f>
        <v>0</v>
      </c>
      <c r="F187" s="22"/>
      <c r="G187" s="22"/>
      <c r="H187" s="22"/>
      <c r="I187" s="837"/>
      <c r="J187" s="19"/>
      <c r="N187" s="19"/>
      <c r="R187" s="19"/>
      <c r="S187" s="637"/>
      <c r="T187" s="637"/>
      <c r="U187" s="636"/>
      <c r="V187" s="637"/>
      <c r="W187" s="637"/>
      <c r="X187" s="200" t="str">
        <f>NWC_FC_NOOS!$B$1</f>
        <v>VM</v>
      </c>
      <c r="Y187" s="25" t="str">
        <f>NWC_FC_NOOS!$B$66</f>
        <v>TOPS</v>
      </c>
      <c r="Z187" s="25" t="str">
        <f t="shared" ca="1" si="16"/>
        <v>VMTOPS18/19May</v>
      </c>
      <c r="AA187" s="25" t="str">
        <f>NWC_FC_NOOS!$I$1</f>
        <v>NOOS</v>
      </c>
      <c r="AB187" s="25" t="str">
        <f ca="1">NWC_FC_NOOS!$G$73</f>
        <v>18/19</v>
      </c>
      <c r="AC187" s="25" t="str">
        <f ca="1">NWC_FC_NOOS!$G$74</f>
        <v>Q4</v>
      </c>
      <c r="AD187" s="25" t="str">
        <f ca="1">NWC_FC_NOOS!$G$75</f>
        <v>May</v>
      </c>
      <c r="AE187" s="649">
        <f ca="1">IFERROR(HLOOKUP($AB187&amp;$AD187,NWC_FC_NOOS!$B$4:$Q$24,MATCH($Y187,NWC_FC_NOOS!$B$4:$B$24,0),FALSE),"")</f>
        <v>0</v>
      </c>
      <c r="AF187" s="650">
        <f ca="1">IFERROR(HLOOKUP($AB187&amp;$AD187,NWC_FC_NOOS!$S$4:$AH$24,MATCH($Y187,NWC_FC_NOOS!$S$4:$S$24,0),FALSE),"")</f>
        <v>0</v>
      </c>
      <c r="AG187" s="650">
        <f ca="1">IFERROR(HLOOKUP($AB187&amp;$AD187,NWC_FC_NOOS!$C$50:$U$70,MATCH($Y187,NWC_FC_NOOS!$B$50:$B$70,0),FALSE),"")</f>
        <v>0</v>
      </c>
      <c r="AH187" s="650">
        <f ca="1">IFERROR(IF($AA187="NOOS",HLOOKUP(STOCK_OVERVIEW!$AB187&amp;STOCK_OVERVIEW!$AD187,PLANNING_FC!$BB$27:$BP$46,MATCH(STOCK_OVERVIEW!$Y187,PLANNING_FC!$BA$27:$BA$46,0),FALSE),HLOOKUP($AB187&amp;$AD187,PLANNING_FC!$BB$4:$BP$23,MATCH(STOCK_OVERVIEW!$Y187,PLANNING_FC!$BA$4:$BA$23,0),FALSE)),"")</f>
        <v>0</v>
      </c>
      <c r="AI187" s="650">
        <f ca="1">IFERROR(IF($AA187="NOOS",HLOOKUP(STOCK_OVERVIEW!$AB187&amp;STOCK_OVERVIEW!$AD187,PLANNING_FC!$T$27:$AH$46,MATCH(STOCK_OVERVIEW!$Y187,PLANNING_FC!$B$27:$B$46,0),FALSE),HLOOKUP($AB187&amp;$AD187,PLANNING_FC!$T$4:$AH$23,MATCH(STOCK_OVERVIEW!$Y187,PLANNING_FC!$B$4:$B$23,0),FALSE)),"")</f>
        <v>0</v>
      </c>
      <c r="AJ187" s="650">
        <f ca="1">IFERROR(IF($AA187="NOOS",HLOOKUP(STOCK_OVERVIEW!$AB187&amp;STOCK_OVERVIEW!$AD187,PLANNING_FC!$DA$27:$DO$46,MATCH(STOCK_OVERVIEW!$Y187,PLANNING_FC!$CZ$27:$CZ$46,0),FALSE),HLOOKUP($AB187&amp;$AD187,PLANNING_FC!$DA$4:$DO$23,MATCH(STOCK_OVERVIEW!$Y187,PLANNING_FC!$CZ$4:$CZ$23,0),FALSE)),"")</f>
        <v>42317</v>
      </c>
      <c r="AK187" s="651">
        <f ca="1">IFERROR(IF(AA187="NOOS",HLOOKUP(AB187&amp;AD187,PLANNING_FC!$AJ$27:$AY$47,MATCH(STOCK_OVERVIEW!Y187,PLANNING_FC!$AJ$27:$AJ$47,0),FALSE)*1000,HLOOKUP(AB187&amp;AD187,PLANNING_FC!$AJ$4:$AY$24,MATCH(STOCK_OVERVIEW!Y187,PLANNING_FC!$AJ$4:$AJ$24,0),FALSE)*1000),"")</f>
        <v>0</v>
      </c>
      <c r="AL187" s="638"/>
      <c r="AM187" s="638"/>
      <c r="AN187" s="638"/>
      <c r="AO187" s="638"/>
      <c r="AP187" s="638"/>
      <c r="AQ187" s="638"/>
      <c r="AR187" s="638"/>
      <c r="AS187" s="638"/>
    </row>
    <row r="188" spans="1:45" s="61" customFormat="1" x14ac:dyDescent="0.25">
      <c r="A188" s="62"/>
      <c r="B188" s="835"/>
      <c r="C188" s="22"/>
      <c r="D188" s="22"/>
      <c r="E188" s="22"/>
      <c r="F188" s="836">
        <f ca="1">$Q$55</f>
        <v>5768040</v>
      </c>
      <c r="G188" s="838">
        <f ca="1">Q52</f>
        <v>0</v>
      </c>
      <c r="H188" s="22"/>
      <c r="I188" s="837"/>
      <c r="J188" s="19"/>
      <c r="N188" s="19"/>
      <c r="R188" s="19"/>
      <c r="S188" s="637"/>
      <c r="T188" s="637"/>
      <c r="U188" s="636"/>
      <c r="V188" s="637"/>
      <c r="W188" s="637"/>
      <c r="X188" s="200" t="str">
        <f>NWC_FC_NOOS!$B$1</f>
        <v>VM</v>
      </c>
      <c r="Y188" s="25" t="str">
        <f>NWC_FC_NOOS!$B$66</f>
        <v>TOPS</v>
      </c>
      <c r="Z188" s="25" t="str">
        <f t="shared" ca="1" si="16"/>
        <v>VMTOPS18/19Jun</v>
      </c>
      <c r="AA188" s="25" t="str">
        <f>NWC_FC_NOOS!$I$1</f>
        <v>NOOS</v>
      </c>
      <c r="AB188" s="25" t="str">
        <f ca="1">NWC_FC_NOOS!$G$73</f>
        <v>18/19</v>
      </c>
      <c r="AC188" s="25" t="str">
        <f ca="1">NWC_FC_NOOS!$G$74</f>
        <v>Q4</v>
      </c>
      <c r="AD188" s="25" t="str">
        <f ca="1">NWC_FC_NOOS!$H$75</f>
        <v>Jun</v>
      </c>
      <c r="AE188" s="649">
        <f ca="1">IFERROR(HLOOKUP($AB188&amp;$AD188,NWC_FC_NOOS!$B$4:$Q$24,MATCH($Y188,NWC_FC_NOOS!$B$4:$B$24,0),FALSE),"")</f>
        <v>0</v>
      </c>
      <c r="AF188" s="650">
        <f ca="1">IFERROR(HLOOKUP($AB188&amp;$AD188,NWC_FC_NOOS!$S$4:$AH$24,MATCH($Y188,NWC_FC_NOOS!$S$4:$S$24,0),FALSE),"")</f>
        <v>0</v>
      </c>
      <c r="AG188" s="650">
        <f ca="1">IFERROR(HLOOKUP($AB188&amp;$AD188,NWC_FC_NOOS!$C$50:$U$70,MATCH($Y188,NWC_FC_NOOS!$B$50:$B$70,0),FALSE),"")</f>
        <v>0</v>
      </c>
      <c r="AH188" s="650">
        <f ca="1">IFERROR(IF($AA188="NOOS",HLOOKUP(STOCK_OVERVIEW!$AB188&amp;STOCK_OVERVIEW!$AD188,PLANNING_FC!$BB$27:$BP$46,MATCH(STOCK_OVERVIEW!$Y188,PLANNING_FC!$BA$27:$BA$46,0),FALSE),HLOOKUP($AB188&amp;$AD188,PLANNING_FC!$BB$4:$BP$23,MATCH(STOCK_OVERVIEW!$Y188,PLANNING_FC!$BA$4:$BA$23,0),FALSE)),"")</f>
        <v>0</v>
      </c>
      <c r="AI188" s="650">
        <f ca="1">IFERROR(IF($AA188="NOOS",HLOOKUP(STOCK_OVERVIEW!$AB188&amp;STOCK_OVERVIEW!$AD188,PLANNING_FC!$T$27:$AH$46,MATCH(STOCK_OVERVIEW!$Y188,PLANNING_FC!$B$27:$B$46,0),FALSE),HLOOKUP($AB188&amp;$AD188,PLANNING_FC!$T$4:$AH$23,MATCH(STOCK_OVERVIEW!$Y188,PLANNING_FC!$B$4:$B$23,0),FALSE)),"")</f>
        <v>0</v>
      </c>
      <c r="AJ188" s="650">
        <f ca="1">IFERROR(IF($AA188="NOOS",HLOOKUP(STOCK_OVERVIEW!$AB188&amp;STOCK_OVERVIEW!$AD188,PLANNING_FC!$DA$27:$DO$46,MATCH(STOCK_OVERVIEW!$Y188,PLANNING_FC!$CZ$27:$CZ$46,0),FALSE),HLOOKUP($AB188&amp;$AD188,PLANNING_FC!$DA$4:$DO$23,MATCH(STOCK_OVERVIEW!$Y188,PLANNING_FC!$CZ$4:$CZ$23,0),FALSE)),"")</f>
        <v>42317</v>
      </c>
      <c r="AK188" s="651">
        <f ca="1">IFERROR(IF(AA188="NOOS",HLOOKUP(AB188&amp;AD188,PLANNING_FC!$AJ$27:$AY$47,MATCH(STOCK_OVERVIEW!Y188,PLANNING_FC!$AJ$27:$AJ$47,0),FALSE)*1000,HLOOKUP(AB188&amp;AD188,PLANNING_FC!$AJ$4:$AY$24,MATCH(STOCK_OVERVIEW!Y188,PLANNING_FC!$AJ$4:$AJ$24,0),FALSE)*1000),"")</f>
        <v>0</v>
      </c>
      <c r="AL188" s="638"/>
      <c r="AM188" s="638"/>
      <c r="AN188" s="638"/>
      <c r="AO188" s="638"/>
      <c r="AP188" s="638"/>
      <c r="AQ188" s="638"/>
      <c r="AR188" s="638"/>
      <c r="AS188" s="638"/>
    </row>
    <row r="189" spans="1:45" s="61" customFormat="1" x14ac:dyDescent="0.25">
      <c r="A189" s="62"/>
      <c r="B189" s="840"/>
      <c r="C189" s="841"/>
      <c r="D189" s="841"/>
      <c r="E189" s="841"/>
      <c r="F189" s="841"/>
      <c r="G189" s="841"/>
      <c r="H189" s="842">
        <f ca="1">$Q$61</f>
        <v>0</v>
      </c>
      <c r="I189" s="843">
        <f ca="1">$Q$58</f>
        <v>0</v>
      </c>
      <c r="J189" s="19"/>
      <c r="N189" s="19"/>
      <c r="R189" s="19"/>
      <c r="S189" s="637"/>
      <c r="T189" s="637"/>
      <c r="U189" s="636"/>
      <c r="V189" s="637"/>
      <c r="W189" s="637"/>
      <c r="X189" s="200" t="str">
        <f>NWC_FC_NOOS!$B$1</f>
        <v>VM</v>
      </c>
      <c r="Y189" s="25" t="str">
        <f>NWC_FC_NOOS!$B$66</f>
        <v>TOPS</v>
      </c>
      <c r="Z189" s="25" t="str">
        <f t="shared" ca="1" si="16"/>
        <v>VMTOPS18/19Jul</v>
      </c>
      <c r="AA189" s="25" t="str">
        <f>NWC_FC_NOOS!$I$1</f>
        <v>NOOS</v>
      </c>
      <c r="AB189" s="25" t="str">
        <f ca="1">NWC_FC_NOOS!$G$73</f>
        <v>18/19</v>
      </c>
      <c r="AC189" s="25" t="str">
        <f ca="1">NWC_FC_NOOS!$G$74</f>
        <v>Q4</v>
      </c>
      <c r="AD189" s="25" t="str">
        <f ca="1">NWC_FC_NOOS!$I$75</f>
        <v>Jul</v>
      </c>
      <c r="AE189" s="649">
        <f ca="1">IFERROR(HLOOKUP($AB189&amp;$AD189,NWC_FC_NOOS!$B$4:$Q$24,MATCH($Y189,NWC_FC_NOOS!$B$4:$B$24,0),FALSE),"")</f>
        <v>0</v>
      </c>
      <c r="AF189" s="650">
        <f ca="1">IFERROR(HLOOKUP($AB189&amp;$AD189,NWC_FC_NOOS!$S$4:$AH$24,MATCH($Y189,NWC_FC_NOOS!$S$4:$S$24,0),FALSE),"")</f>
        <v>0</v>
      </c>
      <c r="AG189" s="650">
        <f ca="1">IFERROR(HLOOKUP($AB189&amp;$AD189,NWC_FC_NOOS!$C$50:$U$70,MATCH($Y189,NWC_FC_NOOS!$B$50:$B$70,0),FALSE),"")</f>
        <v>0</v>
      </c>
      <c r="AH189" s="650">
        <f ca="1">IFERROR(IF($AA189="NOOS",HLOOKUP(STOCK_OVERVIEW!$AB189&amp;STOCK_OVERVIEW!$AD189,PLANNING_FC!$BB$27:$BP$46,MATCH(STOCK_OVERVIEW!$Y189,PLANNING_FC!$BA$27:$BA$46,0),FALSE),HLOOKUP($AB189&amp;$AD189,PLANNING_FC!$BB$4:$BP$23,MATCH(STOCK_OVERVIEW!$Y189,PLANNING_FC!$BA$4:$BA$23,0),FALSE)),"")</f>
        <v>0</v>
      </c>
      <c r="AI189" s="650">
        <f ca="1">IFERROR(IF($AA189="NOOS",HLOOKUP(STOCK_OVERVIEW!$AB189&amp;STOCK_OVERVIEW!$AD189,PLANNING_FC!$T$27:$AH$46,MATCH(STOCK_OVERVIEW!$Y189,PLANNING_FC!$B$27:$B$46,0),FALSE),HLOOKUP($AB189&amp;$AD189,PLANNING_FC!$T$4:$AH$23,MATCH(STOCK_OVERVIEW!$Y189,PLANNING_FC!$B$4:$B$23,0),FALSE)),"")</f>
        <v>0</v>
      </c>
      <c r="AJ189" s="650">
        <f ca="1">IFERROR(IF($AA189="NOOS",HLOOKUP(STOCK_OVERVIEW!$AB189&amp;STOCK_OVERVIEW!$AD189,PLANNING_FC!$DA$27:$DO$46,MATCH(STOCK_OVERVIEW!$Y189,PLANNING_FC!$CZ$27:$CZ$46,0),FALSE),HLOOKUP($AB189&amp;$AD189,PLANNING_FC!$DA$4:$DO$23,MATCH(STOCK_OVERVIEW!$Y189,PLANNING_FC!$CZ$4:$CZ$23,0),FALSE)),"")</f>
        <v>42317</v>
      </c>
      <c r="AK189" s="651">
        <f ca="1">IFERROR(IF(AA189="NOOS",HLOOKUP(AB189&amp;AD189,PLANNING_FC!$AJ$27:$AY$47,MATCH(STOCK_OVERVIEW!Y189,PLANNING_FC!$AJ$27:$AJ$47,0),FALSE)*1000,HLOOKUP(AB189&amp;AD189,PLANNING_FC!$AJ$4:$AY$24,MATCH(STOCK_OVERVIEW!Y189,PLANNING_FC!$AJ$4:$AJ$24,0),FALSE)*1000),"")</f>
        <v>0</v>
      </c>
      <c r="AL189" s="638"/>
      <c r="AM189" s="638"/>
      <c r="AN189" s="638"/>
      <c r="AO189" s="638"/>
      <c r="AP189" s="638"/>
      <c r="AQ189" s="638"/>
      <c r="AR189" s="638"/>
      <c r="AS189" s="638"/>
    </row>
    <row r="190" spans="1:45" s="61" customFormat="1" x14ac:dyDescent="0.25">
      <c r="A190" s="62"/>
      <c r="B190" s="23"/>
      <c r="C190" s="23"/>
      <c r="D190" s="23"/>
      <c r="E190" s="23"/>
      <c r="F190" s="328"/>
      <c r="G190" s="23"/>
      <c r="H190" s="23"/>
      <c r="I190" s="23"/>
      <c r="J190" s="19"/>
      <c r="N190" s="19"/>
      <c r="R190" s="19"/>
      <c r="S190" s="637"/>
      <c r="T190" s="637"/>
      <c r="U190" s="636"/>
      <c r="V190" s="637"/>
      <c r="W190" s="637"/>
      <c r="X190" s="200" t="str">
        <f>NWC_FC_NOOS!$B$1</f>
        <v>VM</v>
      </c>
      <c r="Y190" s="25" t="str">
        <f>NWC_FC_NOOS!$B$66</f>
        <v>TOPS</v>
      </c>
      <c r="Z190" s="25" t="str">
        <f t="shared" ca="1" si="16"/>
        <v>VMTOPS19/20Aug</v>
      </c>
      <c r="AA190" s="25" t="str">
        <f>NWC_FC_NOOS!$I$1</f>
        <v>NOOS</v>
      </c>
      <c r="AB190" s="25" t="str">
        <f ca="1">NWC_FC_NOOS!$K$73</f>
        <v>19/20</v>
      </c>
      <c r="AC190" s="25" t="str">
        <f ca="1">NWC_FC_NOOS!$K$74</f>
        <v>Q1</v>
      </c>
      <c r="AD190" s="25" t="str">
        <f ca="1">NWC_FC_NOOS!$K$75</f>
        <v>Aug</v>
      </c>
      <c r="AE190" s="649">
        <f ca="1">IFERROR(HLOOKUP($AB190&amp;$AD190,NWC_FC_NOOS!$B$4:$Q$24,MATCH($Y190,NWC_FC_NOOS!$B$4:$B$24,0),FALSE),"")</f>
        <v>0</v>
      </c>
      <c r="AF190" s="650">
        <f ca="1">IFERROR(HLOOKUP($AB190&amp;$AD190,NWC_FC_NOOS!$S$4:$AH$24,MATCH($Y190,NWC_FC_NOOS!$S$4:$S$24,0),FALSE),"")</f>
        <v>0</v>
      </c>
      <c r="AG190" s="650">
        <f ca="1">IFERROR(HLOOKUP($AB190&amp;$AD190,NWC_FC_NOOS!$C$50:$U$70,MATCH($Y190,NWC_FC_NOOS!$B$50:$B$70,0),FALSE),"")</f>
        <v>0</v>
      </c>
      <c r="AH190" s="650">
        <f ca="1">IFERROR(IF($AA190="NOOS",HLOOKUP(STOCK_OVERVIEW!$AB190&amp;STOCK_OVERVIEW!$AD190,PLANNING_FC!$BB$27:$BP$46,MATCH(STOCK_OVERVIEW!$Y190,PLANNING_FC!$BA$27:$BA$46,0),FALSE),HLOOKUP($AB190&amp;$AD190,PLANNING_FC!$BB$4:$BP$23,MATCH(STOCK_OVERVIEW!$Y190,PLANNING_FC!$BA$4:$BA$23,0),FALSE)),"")</f>
        <v>0</v>
      </c>
      <c r="AI190" s="650">
        <f ca="1">IFERROR(IF($AA190="NOOS",HLOOKUP(STOCK_OVERVIEW!$AB190&amp;STOCK_OVERVIEW!$AD190,PLANNING_FC!$T$27:$AH$46,MATCH(STOCK_OVERVIEW!$Y190,PLANNING_FC!$B$27:$B$46,0),FALSE),HLOOKUP($AB190&amp;$AD190,PLANNING_FC!$T$4:$AH$23,MATCH(STOCK_OVERVIEW!$Y190,PLANNING_FC!$B$4:$B$23,0),FALSE)),"")</f>
        <v>0</v>
      </c>
      <c r="AJ190" s="650">
        <f ca="1">IFERROR(IF($AA190="NOOS",HLOOKUP(STOCK_OVERVIEW!$AB190&amp;STOCK_OVERVIEW!$AD190,PLANNING_FC!$DA$27:$DO$46,MATCH(STOCK_OVERVIEW!$Y190,PLANNING_FC!$CZ$27:$CZ$46,0),FALSE),HLOOKUP($AB190&amp;$AD190,PLANNING_FC!$DA$4:$DO$23,MATCH(STOCK_OVERVIEW!$Y190,PLANNING_FC!$CZ$4:$CZ$23,0),FALSE)),"")</f>
        <v>42317</v>
      </c>
      <c r="AK190" s="651">
        <f ca="1">IFERROR(IF(AA190="NOOS",HLOOKUP(AB190&amp;AD190,PLANNING_FC!$AJ$27:$AY$47,MATCH(STOCK_OVERVIEW!Y190,PLANNING_FC!$AJ$27:$AJ$47,0),FALSE)*1000,HLOOKUP(AB190&amp;AD190,PLANNING_FC!$AJ$4:$AY$24,MATCH(STOCK_OVERVIEW!Y190,PLANNING_FC!$AJ$4:$AJ$24,0),FALSE)*1000),"")</f>
        <v>0</v>
      </c>
      <c r="AL190" s="638"/>
      <c r="AM190" s="638"/>
      <c r="AN190" s="638"/>
      <c r="AO190" s="638"/>
      <c r="AP190" s="638"/>
      <c r="AQ190" s="638"/>
      <c r="AR190" s="638"/>
      <c r="AS190" s="638"/>
    </row>
    <row r="191" spans="1:45" s="61" customFormat="1" x14ac:dyDescent="0.25">
      <c r="A191" s="62"/>
      <c r="B191" s="23"/>
      <c r="C191" s="23"/>
      <c r="D191" s="23"/>
      <c r="E191" s="23"/>
      <c r="F191" s="328"/>
      <c r="G191" s="23"/>
      <c r="H191" s="23"/>
      <c r="I191" s="23"/>
      <c r="J191" s="19"/>
      <c r="N191" s="19"/>
      <c r="R191" s="19"/>
      <c r="S191" s="637"/>
      <c r="T191" s="637"/>
      <c r="U191" s="636"/>
      <c r="V191" s="637"/>
      <c r="W191" s="637"/>
      <c r="X191" s="200" t="str">
        <f>NWC_FC_NOOS!$B$1</f>
        <v>VM</v>
      </c>
      <c r="Y191" s="25" t="str">
        <f>NWC_FC_NOOS!$B$66</f>
        <v>TOPS</v>
      </c>
      <c r="Z191" s="25" t="str">
        <f t="shared" ca="1" si="16"/>
        <v>VMTOPS19/20Sep</v>
      </c>
      <c r="AA191" s="25" t="str">
        <f>NWC_FC_NOOS!$I$1</f>
        <v>NOOS</v>
      </c>
      <c r="AB191" s="25" t="str">
        <f ca="1">NWC_FC_NOOS!$K$73</f>
        <v>19/20</v>
      </c>
      <c r="AC191" s="25" t="str">
        <f ca="1">NWC_FC_NOOS!$K$74</f>
        <v>Q1</v>
      </c>
      <c r="AD191" s="25" t="str">
        <f ca="1">NWC_FC_NOOS!$L$75</f>
        <v>Sep</v>
      </c>
      <c r="AE191" s="649">
        <f ca="1">IFERROR(HLOOKUP($AB191&amp;$AD191,NWC_FC_NOOS!$B$4:$Q$24,MATCH($Y191,NWC_FC_NOOS!$B$4:$B$24,0),FALSE),"")</f>
        <v>0</v>
      </c>
      <c r="AF191" s="650">
        <f ca="1">IFERROR(HLOOKUP($AB191&amp;$AD191,NWC_FC_NOOS!$S$4:$AH$24,MATCH($Y191,NWC_FC_NOOS!$S$4:$S$24,0),FALSE),"")</f>
        <v>0</v>
      </c>
      <c r="AG191" s="650">
        <f ca="1">IFERROR(HLOOKUP($AB191&amp;$AD191,NWC_FC_NOOS!$C$50:$U$70,MATCH($Y191,NWC_FC_NOOS!$B$50:$B$70,0),FALSE),"")</f>
        <v>0</v>
      </c>
      <c r="AH191" s="650">
        <f ca="1">IFERROR(IF($AA191="NOOS",HLOOKUP(STOCK_OVERVIEW!$AB191&amp;STOCK_OVERVIEW!$AD191,PLANNING_FC!$BB$27:$BP$46,MATCH(STOCK_OVERVIEW!$Y191,PLANNING_FC!$BA$27:$BA$46,0),FALSE),HLOOKUP($AB191&amp;$AD191,PLANNING_FC!$BB$4:$BP$23,MATCH(STOCK_OVERVIEW!$Y191,PLANNING_FC!$BA$4:$BA$23,0),FALSE)),"")</f>
        <v>0</v>
      </c>
      <c r="AI191" s="650">
        <f ca="1">IFERROR(IF($AA191="NOOS",HLOOKUP(STOCK_OVERVIEW!$AB191&amp;STOCK_OVERVIEW!$AD191,PLANNING_FC!$T$27:$AH$46,MATCH(STOCK_OVERVIEW!$Y191,PLANNING_FC!$B$27:$B$46,0),FALSE),HLOOKUP($AB191&amp;$AD191,PLANNING_FC!$T$4:$AH$23,MATCH(STOCK_OVERVIEW!$Y191,PLANNING_FC!$B$4:$B$23,0),FALSE)),"")</f>
        <v>0</v>
      </c>
      <c r="AJ191" s="650">
        <f ca="1">IFERROR(IF($AA191="NOOS",HLOOKUP(STOCK_OVERVIEW!$AB191&amp;STOCK_OVERVIEW!$AD191,PLANNING_FC!$DA$27:$DO$46,MATCH(STOCK_OVERVIEW!$Y191,PLANNING_FC!$CZ$27:$CZ$46,0),FALSE),HLOOKUP($AB191&amp;$AD191,PLANNING_FC!$DA$4:$DO$23,MATCH(STOCK_OVERVIEW!$Y191,PLANNING_FC!$CZ$4:$CZ$23,0),FALSE)),"")</f>
        <v>42317</v>
      </c>
      <c r="AK191" s="651">
        <f ca="1">IFERROR(IF(AA191="NOOS",HLOOKUP(AB191&amp;AD191,PLANNING_FC!$AJ$27:$AY$47,MATCH(STOCK_OVERVIEW!Y191,PLANNING_FC!$AJ$27:$AJ$47,0),FALSE)*1000,HLOOKUP(AB191&amp;AD191,PLANNING_FC!$AJ$4:$AY$24,MATCH(STOCK_OVERVIEW!Y191,PLANNING_FC!$AJ$4:$AJ$24,0),FALSE)*1000),"")</f>
        <v>0</v>
      </c>
      <c r="AL191" s="638"/>
      <c r="AM191" s="638"/>
      <c r="AN191" s="638"/>
      <c r="AO191" s="638"/>
      <c r="AP191" s="638"/>
      <c r="AQ191" s="638"/>
      <c r="AR191" s="638"/>
      <c r="AS191" s="638"/>
    </row>
    <row r="192" spans="1:45" s="61" customFormat="1" x14ac:dyDescent="0.25">
      <c r="A192" s="62"/>
      <c r="B192" s="23"/>
      <c r="C192" s="23"/>
      <c r="D192" s="23"/>
      <c r="E192" s="23"/>
      <c r="F192" s="328"/>
      <c r="G192" s="23"/>
      <c r="H192" s="23"/>
      <c r="I192" s="23"/>
      <c r="J192" s="19"/>
      <c r="N192" s="19"/>
      <c r="R192" s="19"/>
      <c r="S192" s="637"/>
      <c r="T192" s="637"/>
      <c r="U192" s="636"/>
      <c r="V192" s="637"/>
      <c r="W192" s="637"/>
      <c r="X192" s="200" t="str">
        <f>NWC_FC_NOOS!$B$1</f>
        <v>VM</v>
      </c>
      <c r="Y192" s="25" t="str">
        <f>NWC_FC_NOOS!$B$66</f>
        <v>TOPS</v>
      </c>
      <c r="Z192" s="25" t="str">
        <f t="shared" ca="1" si="16"/>
        <v>VMTOPS19/20Oct</v>
      </c>
      <c r="AA192" s="25" t="str">
        <f>NWC_FC_NOOS!$I$1</f>
        <v>NOOS</v>
      </c>
      <c r="AB192" s="25" t="str">
        <f ca="1">NWC_FC_NOOS!$K$73</f>
        <v>19/20</v>
      </c>
      <c r="AC192" s="25" t="str">
        <f ca="1">NWC_FC_NOOS!$K$74</f>
        <v>Q1</v>
      </c>
      <c r="AD192" s="25" t="str">
        <f ca="1">NWC_FC_NOOS!$M$75</f>
        <v>Oct</v>
      </c>
      <c r="AE192" s="649">
        <f ca="1">IFERROR(HLOOKUP($AB192&amp;$AD192,NWC_FC_NOOS!$B$4:$Q$24,MATCH($Y192,NWC_FC_NOOS!$B$4:$B$24,0),FALSE),"")</f>
        <v>0</v>
      </c>
      <c r="AF192" s="650">
        <f ca="1">IFERROR(HLOOKUP($AB192&amp;$AD192,NWC_FC_NOOS!$S$4:$AH$24,MATCH($Y192,NWC_FC_NOOS!$S$4:$S$24,0),FALSE),"")</f>
        <v>0</v>
      </c>
      <c r="AG192" s="650">
        <f ca="1">IFERROR(HLOOKUP($AB192&amp;$AD192,NWC_FC_NOOS!$C$50:$U$70,MATCH($Y192,NWC_FC_NOOS!$B$50:$B$70,0),FALSE),"")</f>
        <v>0</v>
      </c>
      <c r="AH192" s="650">
        <f ca="1">IFERROR(IF($AA192="NOOS",HLOOKUP(STOCK_OVERVIEW!$AB192&amp;STOCK_OVERVIEW!$AD192,PLANNING_FC!$BB$27:$BP$46,MATCH(STOCK_OVERVIEW!$Y192,PLANNING_FC!$BA$27:$BA$46,0),FALSE),HLOOKUP($AB192&amp;$AD192,PLANNING_FC!$BB$4:$BP$23,MATCH(STOCK_OVERVIEW!$Y192,PLANNING_FC!$BA$4:$BA$23,0),FALSE)),"")</f>
        <v>0</v>
      </c>
      <c r="AI192" s="650">
        <f ca="1">IFERROR(IF($AA192="NOOS",HLOOKUP(STOCK_OVERVIEW!$AB192&amp;STOCK_OVERVIEW!$AD192,PLANNING_FC!$T$27:$AH$46,MATCH(STOCK_OVERVIEW!$Y192,PLANNING_FC!$B$27:$B$46,0),FALSE),HLOOKUP($AB192&amp;$AD192,PLANNING_FC!$T$4:$AH$23,MATCH(STOCK_OVERVIEW!$Y192,PLANNING_FC!$B$4:$B$23,0),FALSE)),"")</f>
        <v>0</v>
      </c>
      <c r="AJ192" s="650">
        <f ca="1">IFERROR(IF($AA192="NOOS",HLOOKUP(STOCK_OVERVIEW!$AB192&amp;STOCK_OVERVIEW!$AD192,PLANNING_FC!$DA$27:$DO$46,MATCH(STOCK_OVERVIEW!$Y192,PLANNING_FC!$CZ$27:$CZ$46,0),FALSE),HLOOKUP($AB192&amp;$AD192,PLANNING_FC!$DA$4:$DO$23,MATCH(STOCK_OVERVIEW!$Y192,PLANNING_FC!$CZ$4:$CZ$23,0),FALSE)),"")</f>
        <v>42317</v>
      </c>
      <c r="AK192" s="651">
        <f ca="1">IFERROR(IF(AA192="NOOS",HLOOKUP(AB192&amp;AD192,PLANNING_FC!$AJ$27:$AY$47,MATCH(STOCK_OVERVIEW!Y192,PLANNING_FC!$AJ$27:$AJ$47,0),FALSE)*1000,HLOOKUP(AB192&amp;AD192,PLANNING_FC!$AJ$4:$AY$24,MATCH(STOCK_OVERVIEW!Y192,PLANNING_FC!$AJ$4:$AJ$24,0),FALSE)*1000),"")</f>
        <v>0</v>
      </c>
      <c r="AL192" s="638"/>
      <c r="AM192" s="638"/>
      <c r="AN192" s="638"/>
      <c r="AO192" s="638"/>
      <c r="AP192" s="638"/>
      <c r="AQ192" s="638"/>
      <c r="AR192" s="638"/>
      <c r="AS192" s="638"/>
    </row>
    <row r="193" spans="1:45" s="61" customFormat="1" x14ac:dyDescent="0.25">
      <c r="A193" s="62"/>
      <c r="B193" s="23"/>
      <c r="C193" s="23"/>
      <c r="D193" s="23"/>
      <c r="E193" s="23"/>
      <c r="F193" s="328"/>
      <c r="G193" s="23"/>
      <c r="H193" s="23"/>
      <c r="I193" s="23"/>
      <c r="J193" s="19"/>
      <c r="N193" s="19"/>
      <c r="R193" s="19"/>
      <c r="S193" s="637"/>
      <c r="T193" s="637"/>
      <c r="U193" s="636"/>
      <c r="V193" s="637"/>
      <c r="W193" s="637"/>
      <c r="X193" s="200" t="str">
        <f>NWC_FC_NOOS!$B$1</f>
        <v>VM</v>
      </c>
      <c r="Y193" s="25" t="str">
        <f>NWC_FC_NOOS!$B$66</f>
        <v>TOPS</v>
      </c>
      <c r="Z193" s="25" t="str">
        <f t="shared" ca="1" si="16"/>
        <v>VMTOPS19/20Nov</v>
      </c>
      <c r="AA193" s="25" t="str">
        <f>NWC_FC_NOOS!$I$1</f>
        <v>NOOS</v>
      </c>
      <c r="AB193" s="25" t="str">
        <f ca="1">NWC_FC_NOOS!$O$73</f>
        <v>19/20</v>
      </c>
      <c r="AC193" s="25" t="str">
        <f ca="1">NWC_FC_NOOS!$O$74</f>
        <v>Q2</v>
      </c>
      <c r="AD193" s="25" t="str">
        <f ca="1">NWC_FC_NOOS!$O$75</f>
        <v>Nov</v>
      </c>
      <c r="AE193" s="649">
        <f ca="1">IFERROR(HLOOKUP($AB193&amp;$AD193,NWC_FC_NOOS!$B$4:$Q$24,MATCH($Y193,NWC_FC_NOOS!$B$4:$B$24,0),FALSE),"")</f>
        <v>0</v>
      </c>
      <c r="AF193" s="650">
        <f ca="1">IFERROR(HLOOKUP($AB193&amp;$AD193,NWC_FC_NOOS!$S$4:$AH$24,MATCH($Y193,NWC_FC_NOOS!$S$4:$S$24,0),FALSE),"")</f>
        <v>0</v>
      </c>
      <c r="AG193" s="650">
        <f ca="1">IFERROR(HLOOKUP($AB193&amp;$AD193,NWC_FC_NOOS!$C$50:$U$70,MATCH($Y193,NWC_FC_NOOS!$B$50:$B$70,0),FALSE),"")</f>
        <v>0</v>
      </c>
      <c r="AH193" s="650">
        <f ca="1">IFERROR(IF($AA193="NOOS",HLOOKUP(STOCK_OVERVIEW!$AB193&amp;STOCK_OVERVIEW!$AD193,PLANNING_FC!$BB$27:$BP$46,MATCH(STOCK_OVERVIEW!$Y193,PLANNING_FC!$BA$27:$BA$46,0),FALSE),HLOOKUP($AB193&amp;$AD193,PLANNING_FC!$BB$4:$BP$23,MATCH(STOCK_OVERVIEW!$Y193,PLANNING_FC!$BA$4:$BA$23,0),FALSE)),"")</f>
        <v>0</v>
      </c>
      <c r="AI193" s="650">
        <f ca="1">IFERROR(IF($AA193="NOOS",HLOOKUP(STOCK_OVERVIEW!$AB193&amp;STOCK_OVERVIEW!$AD193,PLANNING_FC!$T$27:$AH$46,MATCH(STOCK_OVERVIEW!$Y193,PLANNING_FC!$B$27:$B$46,0),FALSE),HLOOKUP($AB193&amp;$AD193,PLANNING_FC!$T$4:$AH$23,MATCH(STOCK_OVERVIEW!$Y193,PLANNING_FC!$B$4:$B$23,0),FALSE)),"")</f>
        <v>0</v>
      </c>
      <c r="AJ193" s="650">
        <f ca="1">IFERROR(IF($AA193="NOOS",HLOOKUP(STOCK_OVERVIEW!$AB193&amp;STOCK_OVERVIEW!$AD193,PLANNING_FC!$DA$27:$DO$46,MATCH(STOCK_OVERVIEW!$Y193,PLANNING_FC!$CZ$27:$CZ$46,0),FALSE),HLOOKUP($AB193&amp;$AD193,PLANNING_FC!$DA$4:$DO$23,MATCH(STOCK_OVERVIEW!$Y193,PLANNING_FC!$CZ$4:$CZ$23,0),FALSE)),"")</f>
        <v>42317</v>
      </c>
      <c r="AK193" s="651">
        <f ca="1">IFERROR(IF(AA193="NOOS",HLOOKUP(AB193&amp;AD193,PLANNING_FC!$AJ$27:$AY$47,MATCH(STOCK_OVERVIEW!Y193,PLANNING_FC!$AJ$27:$AJ$47,0),FALSE)*1000,HLOOKUP(AB193&amp;AD193,PLANNING_FC!$AJ$4:$AY$24,MATCH(STOCK_OVERVIEW!Y193,PLANNING_FC!$AJ$4:$AJ$24,0),FALSE)*1000),"")</f>
        <v>0</v>
      </c>
      <c r="AL193" s="638"/>
      <c r="AM193" s="638"/>
      <c r="AN193" s="638"/>
      <c r="AO193" s="638"/>
      <c r="AP193" s="638"/>
      <c r="AQ193" s="638"/>
      <c r="AR193" s="638"/>
      <c r="AS193" s="638"/>
    </row>
    <row r="194" spans="1:45" s="61" customFormat="1" x14ac:dyDescent="0.25">
      <c r="A194" s="62"/>
      <c r="B194" s="23"/>
      <c r="C194" s="23"/>
      <c r="D194" s="23"/>
      <c r="E194" s="23"/>
      <c r="F194" s="328"/>
      <c r="G194" s="23"/>
      <c r="H194" s="23"/>
      <c r="I194" s="23"/>
      <c r="J194" s="19"/>
      <c r="N194" s="19"/>
      <c r="R194" s="19"/>
      <c r="S194" s="637"/>
      <c r="T194" s="637"/>
      <c r="U194" s="636"/>
      <c r="V194" s="637"/>
      <c r="W194" s="637"/>
      <c r="X194" s="200" t="str">
        <f>NWC_FC_NOOS!$B$1</f>
        <v>VM</v>
      </c>
      <c r="Y194" s="25" t="str">
        <f>NWC_FC_NOOS!$B$66</f>
        <v>TOPS</v>
      </c>
      <c r="Z194" s="25" t="str">
        <f t="shared" ca="1" si="16"/>
        <v>VMTOPS19/20Dec</v>
      </c>
      <c r="AA194" s="25" t="str">
        <f>NWC_FC_NOOS!$I$1</f>
        <v>NOOS</v>
      </c>
      <c r="AB194" s="25" t="str">
        <f ca="1">NWC_FC_NOOS!$O$73</f>
        <v>19/20</v>
      </c>
      <c r="AC194" s="25" t="str">
        <f ca="1">NWC_FC_NOOS!$O$74</f>
        <v>Q2</v>
      </c>
      <c r="AD194" s="25" t="str">
        <f ca="1">NWC_FC_NOOS!$P$75</f>
        <v>Dec</v>
      </c>
      <c r="AE194" s="649">
        <f ca="1">IFERROR(HLOOKUP($AB194&amp;$AD194,NWC_FC_NOOS!$B$4:$Q$24,MATCH($Y194,NWC_FC_NOOS!$B$4:$B$24,0),FALSE),"")</f>
        <v>0</v>
      </c>
      <c r="AF194" s="650">
        <f ca="1">IFERROR(HLOOKUP($AB194&amp;$AD194,NWC_FC_NOOS!$S$4:$AH$24,MATCH($Y194,NWC_FC_NOOS!$S$4:$S$24,0),FALSE),"")</f>
        <v>0</v>
      </c>
      <c r="AG194" s="650">
        <f ca="1">IFERROR(HLOOKUP($AB194&amp;$AD194,NWC_FC_NOOS!$C$50:$U$70,MATCH($Y194,NWC_FC_NOOS!$B$50:$B$70,0),FALSE),"")</f>
        <v>0</v>
      </c>
      <c r="AH194" s="650">
        <f ca="1">IFERROR(IF($AA194="NOOS",HLOOKUP(STOCK_OVERVIEW!$AB194&amp;STOCK_OVERVIEW!$AD194,PLANNING_FC!$BB$27:$BP$46,MATCH(STOCK_OVERVIEW!$Y194,PLANNING_FC!$BA$27:$BA$46,0),FALSE),HLOOKUP($AB194&amp;$AD194,PLANNING_FC!$BB$4:$BP$23,MATCH(STOCK_OVERVIEW!$Y194,PLANNING_FC!$BA$4:$BA$23,0),FALSE)),"")</f>
        <v>0</v>
      </c>
      <c r="AI194" s="650">
        <f ca="1">IFERROR(IF($AA194="NOOS",HLOOKUP(STOCK_OVERVIEW!$AB194&amp;STOCK_OVERVIEW!$AD194,PLANNING_FC!$T$27:$AH$46,MATCH(STOCK_OVERVIEW!$Y194,PLANNING_FC!$B$27:$B$46,0),FALSE),HLOOKUP($AB194&amp;$AD194,PLANNING_FC!$T$4:$AH$23,MATCH(STOCK_OVERVIEW!$Y194,PLANNING_FC!$B$4:$B$23,0),FALSE)),"")</f>
        <v>0</v>
      </c>
      <c r="AJ194" s="650">
        <f ca="1">IFERROR(IF($AA194="NOOS",HLOOKUP(STOCK_OVERVIEW!$AB194&amp;STOCK_OVERVIEW!$AD194,PLANNING_FC!$DA$27:$DO$46,MATCH(STOCK_OVERVIEW!$Y194,PLANNING_FC!$CZ$27:$CZ$46,0),FALSE),HLOOKUP($AB194&amp;$AD194,PLANNING_FC!$DA$4:$DO$23,MATCH(STOCK_OVERVIEW!$Y194,PLANNING_FC!$CZ$4:$CZ$23,0),FALSE)),"")</f>
        <v>42317</v>
      </c>
      <c r="AK194" s="651">
        <f ca="1">IFERROR(IF(AA194="NOOS",HLOOKUP(AB194&amp;AD194,PLANNING_FC!$AJ$27:$AY$47,MATCH(STOCK_OVERVIEW!Y194,PLANNING_FC!$AJ$27:$AJ$47,0),FALSE)*1000,HLOOKUP(AB194&amp;AD194,PLANNING_FC!$AJ$4:$AY$24,MATCH(STOCK_OVERVIEW!Y194,PLANNING_FC!$AJ$4:$AJ$24,0),FALSE)*1000),"")</f>
        <v>0</v>
      </c>
      <c r="AL194" s="638"/>
      <c r="AM194" s="638"/>
      <c r="AN194" s="638"/>
      <c r="AO194" s="638"/>
      <c r="AP194" s="638"/>
      <c r="AQ194" s="638"/>
      <c r="AR194" s="638"/>
      <c r="AS194" s="638"/>
    </row>
    <row r="195" spans="1:45" s="61" customFormat="1" x14ac:dyDescent="0.25">
      <c r="A195" s="62"/>
      <c r="B195" s="23"/>
      <c r="C195" s="23"/>
      <c r="D195" s="23"/>
      <c r="E195" s="23"/>
      <c r="F195" s="328"/>
      <c r="G195" s="23"/>
      <c r="H195" s="23"/>
      <c r="I195" s="23"/>
      <c r="J195" s="19"/>
      <c r="N195" s="19"/>
      <c r="R195" s="19"/>
      <c r="S195" s="637"/>
      <c r="T195" s="637"/>
      <c r="U195" s="636"/>
      <c r="V195" s="637"/>
      <c r="W195" s="637"/>
      <c r="X195" s="200" t="str">
        <f>NWC_FC_NOOS!$B$1</f>
        <v>VM</v>
      </c>
      <c r="Y195" s="25" t="str">
        <f>NWC_FC_NOOS!$B$66</f>
        <v>TOPS</v>
      </c>
      <c r="Z195" s="25" t="str">
        <f t="shared" ca="1" si="16"/>
        <v>VMTOPS19/20Jan</v>
      </c>
      <c r="AA195" s="25" t="str">
        <f>NWC_FC_NOOS!$I$1</f>
        <v>NOOS</v>
      </c>
      <c r="AB195" s="25" t="str">
        <f ca="1">NWC_FC_NOOS!$O$73</f>
        <v>19/20</v>
      </c>
      <c r="AC195" s="25" t="str">
        <f ca="1">NWC_FC_NOOS!$O$74</f>
        <v>Q2</v>
      </c>
      <c r="AD195" s="25" t="str">
        <f ca="1">NWC_FC_NOOS!$Q$75</f>
        <v>Jan</v>
      </c>
      <c r="AE195" s="649">
        <f ca="1">IFERROR(HLOOKUP($AB195&amp;$AD195,NWC_FC_NOOS!$B$4:$Q$24,MATCH($Y195,NWC_FC_NOOS!$B$4:$B$24,0),FALSE),"")</f>
        <v>0</v>
      </c>
      <c r="AF195" s="650">
        <f ca="1">IFERROR(HLOOKUP($AB195&amp;$AD195,NWC_FC_NOOS!$S$4:$AH$24,MATCH($Y195,NWC_FC_NOOS!$S$4:$S$24,0),FALSE),"")</f>
        <v>0</v>
      </c>
      <c r="AG195" s="650">
        <f ca="1">IFERROR(HLOOKUP($AB195&amp;$AD195,NWC_FC_NOOS!$C$50:$U$70,MATCH($Y195,NWC_FC_NOOS!$B$50:$B$70,0),FALSE),"")</f>
        <v>0</v>
      </c>
      <c r="AH195" s="650">
        <f ca="1">IFERROR(IF($AA195="NOOS",HLOOKUP(STOCK_OVERVIEW!$AB195&amp;STOCK_OVERVIEW!$AD195,PLANNING_FC!$BB$27:$BP$46,MATCH(STOCK_OVERVIEW!$Y195,PLANNING_FC!$BA$27:$BA$46,0),FALSE),HLOOKUP($AB195&amp;$AD195,PLANNING_FC!$BB$4:$BP$23,MATCH(STOCK_OVERVIEW!$Y195,PLANNING_FC!$BA$4:$BA$23,0),FALSE)),"")</f>
        <v>0</v>
      </c>
      <c r="AI195" s="650">
        <f ca="1">IFERROR(IF($AA195="NOOS",HLOOKUP(STOCK_OVERVIEW!$AB195&amp;STOCK_OVERVIEW!$AD195,PLANNING_FC!$T$27:$AH$46,MATCH(STOCK_OVERVIEW!$Y195,PLANNING_FC!$B$27:$B$46,0),FALSE),HLOOKUP($AB195&amp;$AD195,PLANNING_FC!$T$4:$AH$23,MATCH(STOCK_OVERVIEW!$Y195,PLANNING_FC!$B$4:$B$23,0),FALSE)),"")</f>
        <v>0</v>
      </c>
      <c r="AJ195" s="650">
        <f ca="1">IFERROR(IF($AA195="NOOS",HLOOKUP(STOCK_OVERVIEW!$AB195&amp;STOCK_OVERVIEW!$AD195,PLANNING_FC!$DA$27:$DO$46,MATCH(STOCK_OVERVIEW!$Y195,PLANNING_FC!$CZ$27:$CZ$46,0),FALSE),HLOOKUP($AB195&amp;$AD195,PLANNING_FC!$DA$4:$DO$23,MATCH(STOCK_OVERVIEW!$Y195,PLANNING_FC!$CZ$4:$CZ$23,0),FALSE)),"")</f>
        <v>42317</v>
      </c>
      <c r="AK195" s="651">
        <f ca="1">IFERROR(IF(AA195="NOOS",HLOOKUP(AB195&amp;AD195,PLANNING_FC!$AJ$27:$AY$47,MATCH(STOCK_OVERVIEW!Y195,PLANNING_FC!$AJ$27:$AJ$47,0),FALSE)*1000,HLOOKUP(AB195&amp;AD195,PLANNING_FC!$AJ$4:$AY$24,MATCH(STOCK_OVERVIEW!Y195,PLANNING_FC!$AJ$4:$AJ$24,0),FALSE)*1000),"")</f>
        <v>0</v>
      </c>
      <c r="AL195" s="638"/>
      <c r="AM195" s="638"/>
      <c r="AN195" s="638"/>
      <c r="AO195" s="638"/>
      <c r="AP195" s="638"/>
      <c r="AQ195" s="638"/>
      <c r="AR195" s="638"/>
      <c r="AS195" s="638"/>
    </row>
    <row r="196" spans="1:45" s="61" customFormat="1" x14ac:dyDescent="0.25">
      <c r="A196" s="62"/>
      <c r="B196" s="23"/>
      <c r="C196" s="23"/>
      <c r="D196" s="23"/>
      <c r="E196" s="23"/>
      <c r="F196" s="328"/>
      <c r="G196" s="23"/>
      <c r="H196" s="23"/>
      <c r="I196" s="23"/>
      <c r="J196" s="19"/>
      <c r="N196" s="19"/>
      <c r="R196" s="19"/>
      <c r="S196" s="637"/>
      <c r="T196" s="637"/>
      <c r="U196" s="636"/>
      <c r="V196" s="637"/>
      <c r="W196" s="637"/>
      <c r="X196" s="200" t="str">
        <f>NWC_FC_NOOS!$B$1</f>
        <v>VM</v>
      </c>
      <c r="Y196" s="25" t="str">
        <f>NWC_FC_NOOS!$B$66</f>
        <v>TOPS</v>
      </c>
      <c r="Z196" s="25" t="str">
        <f t="shared" ca="1" si="16"/>
        <v>VMTOPS19/20Feb</v>
      </c>
      <c r="AA196" s="25" t="str">
        <f>NWC_FC_NOOS!$I$1</f>
        <v>NOOS</v>
      </c>
      <c r="AB196" s="25" t="str">
        <f ca="1">NWC_FC_NOOS!$S$73</f>
        <v>19/20</v>
      </c>
      <c r="AC196" s="25" t="str">
        <f ca="1">NWC_FC_NOOS!$S$74</f>
        <v>Q3</v>
      </c>
      <c r="AD196" s="25" t="str">
        <f ca="1">NWC_FC_NOOS!$S$75</f>
        <v>Feb</v>
      </c>
      <c r="AE196" s="649" t="str">
        <f ca="1">IFERROR(HLOOKUP($AB196&amp;$AD196,NWC_FC_NOOS!$B$4:$Q$24,MATCH($Y196,NWC_FC_NOOS!$B$4:$B$24,0),FALSE),"")</f>
        <v/>
      </c>
      <c r="AF196" s="650" t="str">
        <f ca="1">IFERROR(HLOOKUP($AB196&amp;$AD196,NWC_FC_NOOS!$S$4:$AH$24,MATCH($Y196,NWC_FC_NOOS!$S$4:$S$24,0),FALSE),"")</f>
        <v/>
      </c>
      <c r="AG196" s="650">
        <f ca="1">IFERROR(HLOOKUP($AB196&amp;$AD196,NWC_FC_NOOS!$C$50:$U$70,MATCH($Y196,NWC_FC_NOOS!$B$50:$B$70,0),FALSE),"")</f>
        <v>0</v>
      </c>
      <c r="AH196" s="650" t="str">
        <f ca="1">IFERROR(IF($AA196="NOOS",HLOOKUP(STOCK_OVERVIEW!$AB196&amp;STOCK_OVERVIEW!$AD196,PLANNING_FC!$BB$27:$BP$46,MATCH(STOCK_OVERVIEW!$Y196,PLANNING_FC!$BA$27:$BA$46,0),FALSE),HLOOKUP($AB196&amp;$AD196,PLANNING_FC!$BB$4:$BP$23,MATCH(STOCK_OVERVIEW!$Y196,PLANNING_FC!$BA$4:$BA$23,0),FALSE)),"")</f>
        <v/>
      </c>
      <c r="AI196" s="650" t="str">
        <f ca="1">IFERROR(IF($AA196="NOOS",HLOOKUP(STOCK_OVERVIEW!$AB196&amp;STOCK_OVERVIEW!$AD196,PLANNING_FC!$T$27:$AH$46,MATCH(STOCK_OVERVIEW!$Y196,PLANNING_FC!$B$27:$B$46,0),FALSE),HLOOKUP($AB196&amp;$AD196,PLANNING_FC!$T$4:$AH$23,MATCH(STOCK_OVERVIEW!$Y196,PLANNING_FC!$B$4:$B$23,0),FALSE)),"")</f>
        <v/>
      </c>
      <c r="AJ196" s="650" t="str">
        <f ca="1">IFERROR(IF($AA196="NOOS",HLOOKUP(STOCK_OVERVIEW!$AB196&amp;STOCK_OVERVIEW!$AD196,PLANNING_FC!$DA$27:$DO$46,MATCH(STOCK_OVERVIEW!$Y196,PLANNING_FC!$CZ$27:$CZ$46,0),FALSE),HLOOKUP($AB196&amp;$AD196,PLANNING_FC!$DA$4:$DO$23,MATCH(STOCK_OVERVIEW!$Y196,PLANNING_FC!$CZ$4:$CZ$23,0),FALSE)),"")</f>
        <v/>
      </c>
      <c r="AK196" s="651" t="str">
        <f ca="1">IFERROR(IF(AA196="NOOS",HLOOKUP(AB196&amp;AD196,PLANNING_FC!$AJ$27:$AY$47,MATCH(STOCK_OVERVIEW!Y196,PLANNING_FC!$AJ$27:$AJ$47,0),FALSE)*1000,HLOOKUP(AB196&amp;AD196,PLANNING_FC!$AJ$4:$AY$24,MATCH(STOCK_OVERVIEW!Y196,PLANNING_FC!$AJ$4:$AJ$24,0),FALSE)*1000),"")</f>
        <v/>
      </c>
      <c r="AL196" s="638"/>
      <c r="AM196" s="638"/>
      <c r="AN196" s="638"/>
      <c r="AO196" s="638"/>
      <c r="AP196" s="638"/>
      <c r="AQ196" s="638"/>
      <c r="AR196" s="638"/>
      <c r="AS196" s="638"/>
    </row>
    <row r="197" spans="1:45" s="61" customFormat="1" x14ac:dyDescent="0.25">
      <c r="A197" s="62"/>
      <c r="B197" s="23"/>
      <c r="C197" s="23"/>
      <c r="D197" s="23"/>
      <c r="E197" s="23"/>
      <c r="F197" s="328"/>
      <c r="G197" s="23"/>
      <c r="H197" s="23"/>
      <c r="I197" s="23"/>
      <c r="J197" s="19"/>
      <c r="N197" s="19"/>
      <c r="R197" s="19"/>
      <c r="S197" s="637"/>
      <c r="T197" s="637"/>
      <c r="U197" s="636"/>
      <c r="V197" s="637"/>
      <c r="W197" s="637"/>
      <c r="X197" s="200" t="str">
        <f>NWC_FC_NOOS!$B$1</f>
        <v>VM</v>
      </c>
      <c r="Y197" s="25" t="str">
        <f>NWC_FC_NOOS!$B$66</f>
        <v>TOPS</v>
      </c>
      <c r="Z197" s="25" t="str">
        <f t="shared" ref="Z197:Z260" ca="1" si="17">X197&amp;Y197&amp;AB197&amp;AD197</f>
        <v>VMTOPS19/20Mar</v>
      </c>
      <c r="AA197" s="25" t="str">
        <f>NWC_FC_NOOS!$I$1</f>
        <v>NOOS</v>
      </c>
      <c r="AB197" s="25" t="str">
        <f ca="1">NWC_FC_NOOS!$S$73</f>
        <v>19/20</v>
      </c>
      <c r="AC197" s="25" t="str">
        <f ca="1">NWC_FC_NOOS!$S$74</f>
        <v>Q3</v>
      </c>
      <c r="AD197" s="25" t="str">
        <f ca="1">NWC_FC_NOOS!$T$75</f>
        <v>Mar</v>
      </c>
      <c r="AE197" s="649" t="str">
        <f ca="1">IFERROR(HLOOKUP($AB197&amp;$AD197,NWC_FC_NOOS!$B$4:$Q$24,MATCH($Y197,NWC_FC_NOOS!$B$4:$B$24,0),FALSE),"")</f>
        <v/>
      </c>
      <c r="AF197" s="650" t="str">
        <f ca="1">IFERROR(HLOOKUP($AB197&amp;$AD197,NWC_FC_NOOS!$S$4:$AH$24,MATCH($Y197,NWC_FC_NOOS!$S$4:$S$24,0),FALSE),"")</f>
        <v/>
      </c>
      <c r="AG197" s="650">
        <f ca="1">IFERROR(HLOOKUP($AB197&amp;$AD197,NWC_FC_NOOS!$C$50:$U$70,MATCH($Y197,NWC_FC_NOOS!$B$50:$B$70,0),FALSE),"")</f>
        <v>0</v>
      </c>
      <c r="AH197" s="650" t="str">
        <f ca="1">IFERROR(IF($AA197="NOOS",HLOOKUP(STOCK_OVERVIEW!$AB197&amp;STOCK_OVERVIEW!$AD197,PLANNING_FC!$BB$27:$BP$46,MATCH(STOCK_OVERVIEW!$Y197,PLANNING_FC!$BA$27:$BA$46,0),FALSE),HLOOKUP($AB197&amp;$AD197,PLANNING_FC!$BB$4:$BP$23,MATCH(STOCK_OVERVIEW!$Y197,PLANNING_FC!$BA$4:$BA$23,0),FALSE)),"")</f>
        <v/>
      </c>
      <c r="AI197" s="650" t="str">
        <f ca="1">IFERROR(IF($AA197="NOOS",HLOOKUP(STOCK_OVERVIEW!$AB197&amp;STOCK_OVERVIEW!$AD197,PLANNING_FC!$T$27:$AH$46,MATCH(STOCK_OVERVIEW!$Y197,PLANNING_FC!$B$27:$B$46,0),FALSE),HLOOKUP($AB197&amp;$AD197,PLANNING_FC!$T$4:$AH$23,MATCH(STOCK_OVERVIEW!$Y197,PLANNING_FC!$B$4:$B$23,0),FALSE)),"")</f>
        <v/>
      </c>
      <c r="AJ197" s="650" t="str">
        <f ca="1">IFERROR(IF($AA197="NOOS",HLOOKUP(STOCK_OVERVIEW!$AB197&amp;STOCK_OVERVIEW!$AD197,PLANNING_FC!$DA$27:$DO$46,MATCH(STOCK_OVERVIEW!$Y197,PLANNING_FC!$CZ$27:$CZ$46,0),FALSE),HLOOKUP($AB197&amp;$AD197,PLANNING_FC!$DA$4:$DO$23,MATCH(STOCK_OVERVIEW!$Y197,PLANNING_FC!$CZ$4:$CZ$23,0),FALSE)),"")</f>
        <v/>
      </c>
      <c r="AK197" s="651" t="str">
        <f ca="1">IFERROR(IF(AA197="NOOS",HLOOKUP(AB197&amp;AD197,PLANNING_FC!$AJ$27:$AY$47,MATCH(STOCK_OVERVIEW!Y197,PLANNING_FC!$AJ$27:$AJ$47,0),FALSE)*1000,HLOOKUP(AB197&amp;AD197,PLANNING_FC!$AJ$4:$AY$24,MATCH(STOCK_OVERVIEW!Y197,PLANNING_FC!$AJ$4:$AJ$24,0),FALSE)*1000),"")</f>
        <v/>
      </c>
      <c r="AL197" s="638"/>
      <c r="AM197" s="638"/>
      <c r="AN197" s="638"/>
      <c r="AO197" s="638"/>
      <c r="AP197" s="638"/>
      <c r="AQ197" s="638"/>
      <c r="AR197" s="638"/>
      <c r="AS197" s="638"/>
    </row>
    <row r="198" spans="1:45" s="61" customFormat="1" x14ac:dyDescent="0.25">
      <c r="A198" s="62"/>
      <c r="B198" s="23"/>
      <c r="C198" s="23"/>
      <c r="D198" s="23"/>
      <c r="E198" s="23"/>
      <c r="F198" s="328"/>
      <c r="G198" s="23"/>
      <c r="H198" s="23"/>
      <c r="I198" s="23"/>
      <c r="J198" s="19"/>
      <c r="N198" s="19"/>
      <c r="R198" s="19"/>
      <c r="S198" s="637"/>
      <c r="T198" s="637"/>
      <c r="U198" s="636"/>
      <c r="V198" s="637"/>
      <c r="W198" s="637"/>
      <c r="X198" s="200" t="str">
        <f>NWC_FC_NOOS!$B$1</f>
        <v>VM</v>
      </c>
      <c r="Y198" s="25" t="str">
        <f>NWC_FC_NOOS!$B$66</f>
        <v>TOPS</v>
      </c>
      <c r="Z198" s="25" t="str">
        <f t="shared" ca="1" si="17"/>
        <v>VMTOPS19/20Apr</v>
      </c>
      <c r="AA198" s="25" t="str">
        <f>NWC_FC_NOOS!$I$1</f>
        <v>NOOS</v>
      </c>
      <c r="AB198" s="25" t="str">
        <f ca="1">NWC_FC_NOOS!$S$73</f>
        <v>19/20</v>
      </c>
      <c r="AC198" s="25" t="str">
        <f ca="1">NWC_FC_NOOS!$S$74</f>
        <v>Q3</v>
      </c>
      <c r="AD198" s="25" t="str">
        <f ca="1">NWC_FC_NOOS!$U$75</f>
        <v>Apr</v>
      </c>
      <c r="AE198" s="649" t="str">
        <f ca="1">IFERROR(HLOOKUP($AB198&amp;$AD198,NWC_FC_NOOS!$B$4:$Q$24,MATCH($Y198,NWC_FC_NOOS!$B$4:$B$24,0),FALSE),"")</f>
        <v/>
      </c>
      <c r="AF198" s="650" t="str">
        <f ca="1">IFERROR(HLOOKUP($AB198&amp;$AD198,NWC_FC_NOOS!$S$4:$AH$24,MATCH($Y198,NWC_FC_NOOS!$S$4:$S$24,0),FALSE),"")</f>
        <v/>
      </c>
      <c r="AG198" s="650">
        <f ca="1">IFERROR(HLOOKUP($AB198&amp;$AD198,NWC_FC_NOOS!$C$50:$U$70,MATCH($Y198,NWC_FC_NOOS!$B$50:$B$70,0),FALSE),"")</f>
        <v>0</v>
      </c>
      <c r="AH198" s="650" t="str">
        <f ca="1">IFERROR(IF($AA198="NOOS",HLOOKUP(STOCK_OVERVIEW!$AB198&amp;STOCK_OVERVIEW!$AD198,PLANNING_FC!$BB$27:$BP$46,MATCH(STOCK_OVERVIEW!$Y198,PLANNING_FC!$BA$27:$BA$46,0),FALSE),HLOOKUP($AB198&amp;$AD198,PLANNING_FC!$BB$4:$BP$23,MATCH(STOCK_OVERVIEW!$Y198,PLANNING_FC!$BA$4:$BA$23,0),FALSE)),"")</f>
        <v/>
      </c>
      <c r="AI198" s="650" t="str">
        <f ca="1">IFERROR(IF($AA198="NOOS",HLOOKUP(STOCK_OVERVIEW!$AB198&amp;STOCK_OVERVIEW!$AD198,PLANNING_FC!$T$27:$AH$46,MATCH(STOCK_OVERVIEW!$Y198,PLANNING_FC!$B$27:$B$46,0),FALSE),HLOOKUP($AB198&amp;$AD198,PLANNING_FC!$T$4:$AH$23,MATCH(STOCK_OVERVIEW!$Y198,PLANNING_FC!$B$4:$B$23,0),FALSE)),"")</f>
        <v/>
      </c>
      <c r="AJ198" s="650" t="str">
        <f ca="1">IFERROR(IF($AA198="NOOS",HLOOKUP(STOCK_OVERVIEW!$AB198&amp;STOCK_OVERVIEW!$AD198,PLANNING_FC!$DA$27:$DO$46,MATCH(STOCK_OVERVIEW!$Y198,PLANNING_FC!$CZ$27:$CZ$46,0),FALSE),HLOOKUP($AB198&amp;$AD198,PLANNING_FC!$DA$4:$DO$23,MATCH(STOCK_OVERVIEW!$Y198,PLANNING_FC!$CZ$4:$CZ$23,0),FALSE)),"")</f>
        <v/>
      </c>
      <c r="AK198" s="651" t="str">
        <f ca="1">IFERROR(IF(AA198="NOOS",HLOOKUP(AB198&amp;AD198,PLANNING_FC!$AJ$27:$AY$47,MATCH(STOCK_OVERVIEW!Y198,PLANNING_FC!$AJ$27:$AJ$47,0),FALSE)*1000,HLOOKUP(AB198&amp;AD198,PLANNING_FC!$AJ$4:$AY$24,MATCH(STOCK_OVERVIEW!Y198,PLANNING_FC!$AJ$4:$AJ$24,0),FALSE)*1000),"")</f>
        <v/>
      </c>
      <c r="AL198" s="638"/>
      <c r="AM198" s="638"/>
      <c r="AN198" s="638"/>
      <c r="AO198" s="638"/>
      <c r="AP198" s="638"/>
      <c r="AQ198" s="638"/>
      <c r="AR198" s="638"/>
      <c r="AS198" s="638"/>
    </row>
    <row r="199" spans="1:45" s="61" customFormat="1" x14ac:dyDescent="0.25">
      <c r="A199" s="62"/>
      <c r="B199" s="23"/>
      <c r="C199" s="23"/>
      <c r="D199" s="23"/>
      <c r="E199" s="23"/>
      <c r="F199" s="328"/>
      <c r="G199" s="23"/>
      <c r="H199" s="23"/>
      <c r="I199" s="23"/>
      <c r="J199" s="19"/>
      <c r="N199" s="19"/>
      <c r="R199" s="19"/>
      <c r="S199" s="637"/>
      <c r="T199" s="637"/>
      <c r="U199" s="636"/>
      <c r="V199" s="637"/>
      <c r="W199" s="637"/>
      <c r="X199" s="200" t="str">
        <f>NWC_FC_NOOS!$B$1</f>
        <v>VM</v>
      </c>
      <c r="Y199" s="25" t="str">
        <f>NWC_FC_NOOS!$B$67</f>
        <v>T-SHIRTS</v>
      </c>
      <c r="Z199" s="25" t="str">
        <f t="shared" ca="1" si="17"/>
        <v>VMT-SHIRTS18/19Feb</v>
      </c>
      <c r="AA199" s="25" t="str">
        <f>NWC_FC_NOOS!$I$1</f>
        <v>NOOS</v>
      </c>
      <c r="AB199" s="25" t="str">
        <f ca="1">NWC_FC_NOOS!$C$73</f>
        <v>18/19</v>
      </c>
      <c r="AC199" s="25" t="str">
        <f ca="1">NWC_FC_NOOS!$C$74</f>
        <v>Q3</v>
      </c>
      <c r="AD199" s="25" t="str">
        <f ca="1">NWC_FC_NOOS!$C$75</f>
        <v>Feb</v>
      </c>
      <c r="AE199" s="649">
        <f ca="1">IFERROR(HLOOKUP($AB199&amp;$AD199,NWC_FC_NOOS!$B$4:$Q$24,MATCH($Y199,NWC_FC_NOOS!$B$4:$B$24,0),FALSE),"")</f>
        <v>0</v>
      </c>
      <c r="AF199" s="650">
        <f ca="1">IFERROR(HLOOKUP($AB199&amp;$AD199,NWC_FC_NOOS!$S$4:$AH$24,MATCH($Y199,NWC_FC_NOOS!$S$4:$S$24,0),FALSE),"")</f>
        <v>0</v>
      </c>
      <c r="AG199" s="650">
        <f ca="1">IFERROR(HLOOKUP($AB199&amp;$AD199,NWC_FC_NOOS!$C$50:$U$70,MATCH($Y199,NWC_FC_NOOS!$B$50:$B$70,0),FALSE),"")</f>
        <v>0</v>
      </c>
      <c r="AH199" s="650">
        <f ca="1">IFERROR(IF($AA199="NOOS",HLOOKUP(STOCK_OVERVIEW!$AB199&amp;STOCK_OVERVIEW!$AD199,PLANNING_FC!$BB$27:$BP$46,MATCH(STOCK_OVERVIEW!$Y199,PLANNING_FC!$BA$27:$BA$46,0),FALSE),HLOOKUP($AB199&amp;$AD199,PLANNING_FC!$BB$4:$BP$23,MATCH(STOCK_OVERVIEW!$Y199,PLANNING_FC!$BA$4:$BA$23,0),FALSE)),"")</f>
        <v>0</v>
      </c>
      <c r="AI199" s="650">
        <f ca="1">IFERROR(IF($AA199="NOOS",HLOOKUP(STOCK_OVERVIEW!$AB199&amp;STOCK_OVERVIEW!$AD199,PLANNING_FC!$T$27:$AH$46,MATCH(STOCK_OVERVIEW!$Y199,PLANNING_FC!$B$27:$B$46,0),FALSE),HLOOKUP($AB199&amp;$AD199,PLANNING_FC!$T$4:$AH$23,MATCH(STOCK_OVERVIEW!$Y199,PLANNING_FC!$B$4:$B$23,0),FALSE)),"")</f>
        <v>0</v>
      </c>
      <c r="AJ199" s="650">
        <f ca="1">IFERROR(IF($AA199="NOOS",HLOOKUP(STOCK_OVERVIEW!$AB199&amp;STOCK_OVERVIEW!$AD199,PLANNING_FC!$DA$27:$DO$46,MATCH(STOCK_OVERVIEW!$Y199,PLANNING_FC!$CZ$27:$CZ$46,0),FALSE),HLOOKUP($AB199&amp;$AD199,PLANNING_FC!$DA$4:$DO$23,MATCH(STOCK_OVERVIEW!$Y199,PLANNING_FC!$CZ$4:$CZ$23,0),FALSE)),"")</f>
        <v>0</v>
      </c>
      <c r="AK199" s="651">
        <f ca="1">IFERROR(IF(AA199="NOOS",HLOOKUP(AB199&amp;AD199,PLANNING_FC!$AJ$27:$AY$47,MATCH(STOCK_OVERVIEW!Y199,PLANNING_FC!$AJ$27:$AJ$47,0),FALSE)*1000,HLOOKUP(AB199&amp;AD199,PLANNING_FC!$AJ$4:$AY$24,MATCH(STOCK_OVERVIEW!Y199,PLANNING_FC!$AJ$4:$AJ$24,0),FALSE)*1000),"")</f>
        <v>0</v>
      </c>
      <c r="AL199" s="638"/>
      <c r="AM199" s="638"/>
      <c r="AN199" s="638"/>
      <c r="AO199" s="638"/>
      <c r="AP199" s="638"/>
      <c r="AQ199" s="638"/>
      <c r="AR199" s="638"/>
      <c r="AS199" s="638"/>
    </row>
    <row r="200" spans="1:45" s="61" customFormat="1" x14ac:dyDescent="0.25">
      <c r="A200" s="62"/>
      <c r="B200" s="23"/>
      <c r="C200" s="23"/>
      <c r="D200" s="23"/>
      <c r="E200" s="23"/>
      <c r="F200" s="328"/>
      <c r="G200" s="23"/>
      <c r="H200" s="23"/>
      <c r="I200" s="23"/>
      <c r="J200" s="19"/>
      <c r="N200" s="19"/>
      <c r="R200" s="19"/>
      <c r="S200" s="637"/>
      <c r="T200" s="637"/>
      <c r="U200" s="636"/>
      <c r="V200" s="637"/>
      <c r="W200" s="637"/>
      <c r="X200" s="200" t="str">
        <f>NWC_FC_NOOS!$B$1</f>
        <v>VM</v>
      </c>
      <c r="Y200" s="25" t="str">
        <f>NWC_FC_NOOS!$B$67</f>
        <v>T-SHIRTS</v>
      </c>
      <c r="Z200" s="25" t="str">
        <f t="shared" ca="1" si="17"/>
        <v>VMT-SHIRTS18/19Mar</v>
      </c>
      <c r="AA200" s="25" t="str">
        <f>NWC_FC_NOOS!$I$1</f>
        <v>NOOS</v>
      </c>
      <c r="AB200" s="25" t="str">
        <f ca="1">NWC_FC_NOOS!$C$73</f>
        <v>18/19</v>
      </c>
      <c r="AC200" s="25" t="str">
        <f ca="1">NWC_FC_NOOS!$C$74</f>
        <v>Q3</v>
      </c>
      <c r="AD200" s="25" t="str">
        <f ca="1">NWC_FC_NOOS!$D$75</f>
        <v>Mar</v>
      </c>
      <c r="AE200" s="649">
        <f ca="1">IFERROR(HLOOKUP($AB200&amp;$AD200,NWC_FC_NOOS!$B$4:$Q$24,MATCH($Y200,NWC_FC_NOOS!$B$4:$B$24,0),FALSE),"")</f>
        <v>0</v>
      </c>
      <c r="AF200" s="650">
        <f ca="1">IFERROR(HLOOKUP($AB200&amp;$AD200,NWC_FC_NOOS!$S$4:$AH$24,MATCH($Y200,NWC_FC_NOOS!$S$4:$S$24,0),FALSE),"")</f>
        <v>0</v>
      </c>
      <c r="AG200" s="650">
        <f ca="1">IFERROR(HLOOKUP($AB200&amp;$AD200,NWC_FC_NOOS!$C$50:$U$70,MATCH($Y200,NWC_FC_NOOS!$B$50:$B$70,0),FALSE),"")</f>
        <v>0</v>
      </c>
      <c r="AH200" s="650">
        <f ca="1">IFERROR(IF($AA200="NOOS",HLOOKUP(STOCK_OVERVIEW!$AB200&amp;STOCK_OVERVIEW!$AD200,PLANNING_FC!$BB$27:$BP$46,MATCH(STOCK_OVERVIEW!$Y200,PLANNING_FC!$BA$27:$BA$46,0),FALSE),HLOOKUP($AB200&amp;$AD200,PLANNING_FC!$BB$4:$BP$23,MATCH(STOCK_OVERVIEW!$Y200,PLANNING_FC!$BA$4:$BA$23,0),FALSE)),"")</f>
        <v>0</v>
      </c>
      <c r="AI200" s="650">
        <f ca="1">IFERROR(IF($AA200="NOOS",HLOOKUP(STOCK_OVERVIEW!$AB200&amp;STOCK_OVERVIEW!$AD200,PLANNING_FC!$T$27:$AH$46,MATCH(STOCK_OVERVIEW!$Y200,PLANNING_FC!$B$27:$B$46,0),FALSE),HLOOKUP($AB200&amp;$AD200,PLANNING_FC!$T$4:$AH$23,MATCH(STOCK_OVERVIEW!$Y200,PLANNING_FC!$B$4:$B$23,0),FALSE)),"")</f>
        <v>0</v>
      </c>
      <c r="AJ200" s="650">
        <f ca="1">IFERROR(IF($AA200="NOOS",HLOOKUP(STOCK_OVERVIEW!$AB200&amp;STOCK_OVERVIEW!$AD200,PLANNING_FC!$DA$27:$DO$46,MATCH(STOCK_OVERVIEW!$Y200,PLANNING_FC!$CZ$27:$CZ$46,0),FALSE),HLOOKUP($AB200&amp;$AD200,PLANNING_FC!$DA$4:$DO$23,MATCH(STOCK_OVERVIEW!$Y200,PLANNING_FC!$CZ$4:$CZ$23,0),FALSE)),"")</f>
        <v>0</v>
      </c>
      <c r="AK200" s="651">
        <f ca="1">IFERROR(IF(AA200="NOOS",HLOOKUP(AB200&amp;AD200,PLANNING_FC!$AJ$27:$AY$47,MATCH(STOCK_OVERVIEW!Y200,PLANNING_FC!$AJ$27:$AJ$47,0),FALSE)*1000,HLOOKUP(AB200&amp;AD200,PLANNING_FC!$AJ$4:$AY$24,MATCH(STOCK_OVERVIEW!Y200,PLANNING_FC!$AJ$4:$AJ$24,0),FALSE)*1000),"")</f>
        <v>0</v>
      </c>
      <c r="AL200" s="638"/>
      <c r="AM200" s="638"/>
      <c r="AN200" s="638"/>
      <c r="AO200" s="638"/>
      <c r="AP200" s="638"/>
      <c r="AQ200" s="638"/>
      <c r="AR200" s="638"/>
      <c r="AS200" s="638"/>
    </row>
    <row r="201" spans="1:45" s="61" customFormat="1" x14ac:dyDescent="0.25">
      <c r="A201" s="62"/>
      <c r="B201" s="23"/>
      <c r="C201" s="23"/>
      <c r="D201" s="23"/>
      <c r="E201" s="23"/>
      <c r="F201" s="328"/>
      <c r="G201" s="23"/>
      <c r="H201" s="23"/>
      <c r="I201" s="23"/>
      <c r="J201" s="19"/>
      <c r="N201" s="19"/>
      <c r="R201" s="19"/>
      <c r="S201" s="637"/>
      <c r="T201" s="637"/>
      <c r="U201" s="636"/>
      <c r="V201" s="637"/>
      <c r="W201" s="637"/>
      <c r="X201" s="200" t="str">
        <f>NWC_FC_NOOS!$B$1</f>
        <v>VM</v>
      </c>
      <c r="Y201" s="25" t="str">
        <f>NWC_FC_NOOS!$B$67</f>
        <v>T-SHIRTS</v>
      </c>
      <c r="Z201" s="25" t="str">
        <f t="shared" ca="1" si="17"/>
        <v>VMT-SHIRTS18/19Apr</v>
      </c>
      <c r="AA201" s="25" t="str">
        <f>NWC_FC_NOOS!$I$1</f>
        <v>NOOS</v>
      </c>
      <c r="AB201" s="25" t="str">
        <f ca="1">NWC_FC_NOOS!$C$73</f>
        <v>18/19</v>
      </c>
      <c r="AC201" s="25" t="str">
        <f ca="1">NWC_FC_NOOS!$C$74</f>
        <v>Q3</v>
      </c>
      <c r="AD201" s="25" t="str">
        <f ca="1">NWC_FC_NOOS!$E$75</f>
        <v>Apr</v>
      </c>
      <c r="AE201" s="649">
        <f ca="1">IFERROR(HLOOKUP($AB201&amp;$AD201,NWC_FC_NOOS!$B$4:$Q$24,MATCH($Y201,NWC_FC_NOOS!$B$4:$B$24,0),FALSE),"")</f>
        <v>0</v>
      </c>
      <c r="AF201" s="650">
        <f ca="1">IFERROR(HLOOKUP($AB201&amp;$AD201,NWC_FC_NOOS!$S$4:$AH$24,MATCH($Y201,NWC_FC_NOOS!$S$4:$S$24,0),FALSE),"")</f>
        <v>0</v>
      </c>
      <c r="AG201" s="650">
        <f ca="1">IFERROR(HLOOKUP($AB201&amp;$AD201,NWC_FC_NOOS!$C$50:$U$70,MATCH($Y201,NWC_FC_NOOS!$B$50:$B$70,0),FALSE),"")</f>
        <v>0</v>
      </c>
      <c r="AH201" s="650">
        <f ca="1">IFERROR(IF($AA201="NOOS",HLOOKUP(STOCK_OVERVIEW!$AB201&amp;STOCK_OVERVIEW!$AD201,PLANNING_FC!$BB$27:$BP$46,MATCH(STOCK_OVERVIEW!$Y201,PLANNING_FC!$BA$27:$BA$46,0),FALSE),HLOOKUP($AB201&amp;$AD201,PLANNING_FC!$BB$4:$BP$23,MATCH(STOCK_OVERVIEW!$Y201,PLANNING_FC!$BA$4:$BA$23,0),FALSE)),"")</f>
        <v>0</v>
      </c>
      <c r="AI201" s="650">
        <f ca="1">IFERROR(IF($AA201="NOOS",HLOOKUP(STOCK_OVERVIEW!$AB201&amp;STOCK_OVERVIEW!$AD201,PLANNING_FC!$T$27:$AH$46,MATCH(STOCK_OVERVIEW!$Y201,PLANNING_FC!$B$27:$B$46,0),FALSE),HLOOKUP($AB201&amp;$AD201,PLANNING_FC!$T$4:$AH$23,MATCH(STOCK_OVERVIEW!$Y201,PLANNING_FC!$B$4:$B$23,0),FALSE)),"")</f>
        <v>0</v>
      </c>
      <c r="AJ201" s="650">
        <f ca="1">IFERROR(IF($AA201="NOOS",HLOOKUP(STOCK_OVERVIEW!$AB201&amp;STOCK_OVERVIEW!$AD201,PLANNING_FC!$DA$27:$DO$46,MATCH(STOCK_OVERVIEW!$Y201,PLANNING_FC!$CZ$27:$CZ$46,0),FALSE),HLOOKUP($AB201&amp;$AD201,PLANNING_FC!$DA$4:$DO$23,MATCH(STOCK_OVERVIEW!$Y201,PLANNING_FC!$CZ$4:$CZ$23,0),FALSE)),"")</f>
        <v>142635</v>
      </c>
      <c r="AK201" s="651">
        <f ca="1">IFERROR(IF(AA201="NOOS",HLOOKUP(AB201&amp;AD201,PLANNING_FC!$AJ$27:$AY$47,MATCH(STOCK_OVERVIEW!Y201,PLANNING_FC!$AJ$27:$AJ$47,0),FALSE)*1000,HLOOKUP(AB201&amp;AD201,PLANNING_FC!$AJ$4:$AY$24,MATCH(STOCK_OVERVIEW!Y201,PLANNING_FC!$AJ$4:$AJ$24,0),FALSE)*1000),"")</f>
        <v>0</v>
      </c>
      <c r="AL201" s="638"/>
      <c r="AM201" s="638"/>
      <c r="AN201" s="638"/>
      <c r="AO201" s="638"/>
      <c r="AP201" s="638"/>
      <c r="AQ201" s="638"/>
      <c r="AR201" s="638"/>
      <c r="AS201" s="638"/>
    </row>
    <row r="202" spans="1:45" s="61" customFormat="1" x14ac:dyDescent="0.25">
      <c r="A202" s="62"/>
      <c r="B202" s="23"/>
      <c r="C202" s="23"/>
      <c r="D202" s="23"/>
      <c r="E202" s="23"/>
      <c r="F202" s="328"/>
      <c r="G202" s="23"/>
      <c r="H202" s="23"/>
      <c r="I202" s="23"/>
      <c r="J202" s="19"/>
      <c r="N202" s="19"/>
      <c r="R202" s="19"/>
      <c r="S202" s="637"/>
      <c r="T202" s="637"/>
      <c r="U202" s="636"/>
      <c r="V202" s="637"/>
      <c r="W202" s="637"/>
      <c r="X202" s="200" t="str">
        <f>NWC_FC_NOOS!$B$1</f>
        <v>VM</v>
      </c>
      <c r="Y202" s="25" t="str">
        <f>NWC_FC_NOOS!$B$67</f>
        <v>T-SHIRTS</v>
      </c>
      <c r="Z202" s="25" t="str">
        <f t="shared" ca="1" si="17"/>
        <v>VMT-SHIRTS18/19May</v>
      </c>
      <c r="AA202" s="25" t="str">
        <f>NWC_FC_NOOS!$I$1</f>
        <v>NOOS</v>
      </c>
      <c r="AB202" s="25" t="str">
        <f ca="1">NWC_FC_NOOS!$G$73</f>
        <v>18/19</v>
      </c>
      <c r="AC202" s="25" t="str">
        <f ca="1">NWC_FC_NOOS!$G$74</f>
        <v>Q4</v>
      </c>
      <c r="AD202" s="25" t="str">
        <f ca="1">NWC_FC_NOOS!$G$75</f>
        <v>May</v>
      </c>
      <c r="AE202" s="649">
        <f ca="1">IFERROR(HLOOKUP($AB202&amp;$AD202,NWC_FC_NOOS!$B$4:$Q$24,MATCH($Y202,NWC_FC_NOOS!$B$4:$B$24,0),FALSE),"")</f>
        <v>0</v>
      </c>
      <c r="AF202" s="650">
        <f ca="1">IFERROR(HLOOKUP($AB202&amp;$AD202,NWC_FC_NOOS!$S$4:$AH$24,MATCH($Y202,NWC_FC_NOOS!$S$4:$S$24,0),FALSE),"")</f>
        <v>0</v>
      </c>
      <c r="AG202" s="650">
        <f ca="1">IFERROR(HLOOKUP($AB202&amp;$AD202,NWC_FC_NOOS!$C$50:$U$70,MATCH($Y202,NWC_FC_NOOS!$B$50:$B$70,0),FALSE),"")</f>
        <v>0</v>
      </c>
      <c r="AH202" s="650">
        <f ca="1">IFERROR(IF($AA202="NOOS",HLOOKUP(STOCK_OVERVIEW!$AB202&amp;STOCK_OVERVIEW!$AD202,PLANNING_FC!$BB$27:$BP$46,MATCH(STOCK_OVERVIEW!$Y202,PLANNING_FC!$BA$27:$BA$46,0),FALSE),HLOOKUP($AB202&amp;$AD202,PLANNING_FC!$BB$4:$BP$23,MATCH(STOCK_OVERVIEW!$Y202,PLANNING_FC!$BA$4:$BA$23,0),FALSE)),"")</f>
        <v>0</v>
      </c>
      <c r="AI202" s="650">
        <f ca="1">IFERROR(IF($AA202="NOOS",HLOOKUP(STOCK_OVERVIEW!$AB202&amp;STOCK_OVERVIEW!$AD202,PLANNING_FC!$T$27:$AH$46,MATCH(STOCK_OVERVIEW!$Y202,PLANNING_FC!$B$27:$B$46,0),FALSE),HLOOKUP($AB202&amp;$AD202,PLANNING_FC!$T$4:$AH$23,MATCH(STOCK_OVERVIEW!$Y202,PLANNING_FC!$B$4:$B$23,0),FALSE)),"")</f>
        <v>0</v>
      </c>
      <c r="AJ202" s="650">
        <f ca="1">IFERROR(IF($AA202="NOOS",HLOOKUP(STOCK_OVERVIEW!$AB202&amp;STOCK_OVERVIEW!$AD202,PLANNING_FC!$DA$27:$DO$46,MATCH(STOCK_OVERVIEW!$Y202,PLANNING_FC!$CZ$27:$CZ$46,0),FALSE),HLOOKUP($AB202&amp;$AD202,PLANNING_FC!$DA$4:$DO$23,MATCH(STOCK_OVERVIEW!$Y202,PLANNING_FC!$CZ$4:$CZ$23,0),FALSE)),"")</f>
        <v>142635</v>
      </c>
      <c r="AK202" s="651">
        <f ca="1">IFERROR(IF(AA202="NOOS",HLOOKUP(AB202&amp;AD202,PLANNING_FC!$AJ$27:$AY$47,MATCH(STOCK_OVERVIEW!Y202,PLANNING_FC!$AJ$27:$AJ$47,0),FALSE)*1000,HLOOKUP(AB202&amp;AD202,PLANNING_FC!$AJ$4:$AY$24,MATCH(STOCK_OVERVIEW!Y202,PLANNING_FC!$AJ$4:$AJ$24,0),FALSE)*1000),"")</f>
        <v>0</v>
      </c>
      <c r="AL202" s="638"/>
      <c r="AM202" s="638"/>
      <c r="AN202" s="638"/>
      <c r="AO202" s="638"/>
      <c r="AP202" s="638"/>
      <c r="AQ202" s="638"/>
      <c r="AR202" s="638"/>
      <c r="AS202" s="638"/>
    </row>
    <row r="203" spans="1:45" s="61" customFormat="1" x14ac:dyDescent="0.25">
      <c r="A203" s="62"/>
      <c r="B203" s="23"/>
      <c r="C203" s="23"/>
      <c r="D203" s="23"/>
      <c r="E203" s="23"/>
      <c r="F203" s="328"/>
      <c r="G203" s="23"/>
      <c r="H203" s="23"/>
      <c r="I203" s="23"/>
      <c r="J203" s="19"/>
      <c r="N203" s="19"/>
      <c r="R203" s="19"/>
      <c r="S203" s="637"/>
      <c r="T203" s="637"/>
      <c r="U203" s="636"/>
      <c r="V203" s="637"/>
      <c r="W203" s="637"/>
      <c r="X203" s="200" t="str">
        <f>NWC_FC_NOOS!$B$1</f>
        <v>VM</v>
      </c>
      <c r="Y203" s="25" t="str">
        <f>NWC_FC_NOOS!$B$67</f>
        <v>T-SHIRTS</v>
      </c>
      <c r="Z203" s="25" t="str">
        <f t="shared" ca="1" si="17"/>
        <v>VMT-SHIRTS18/19Jun</v>
      </c>
      <c r="AA203" s="25" t="str">
        <f>NWC_FC_NOOS!$I$1</f>
        <v>NOOS</v>
      </c>
      <c r="AB203" s="25" t="str">
        <f ca="1">NWC_FC_NOOS!$G$73</f>
        <v>18/19</v>
      </c>
      <c r="AC203" s="25" t="str">
        <f ca="1">NWC_FC_NOOS!$G$74</f>
        <v>Q4</v>
      </c>
      <c r="AD203" s="25" t="str">
        <f ca="1">NWC_FC_NOOS!$H$75</f>
        <v>Jun</v>
      </c>
      <c r="AE203" s="649">
        <f ca="1">IFERROR(HLOOKUP($AB203&amp;$AD203,NWC_FC_NOOS!$B$4:$Q$24,MATCH($Y203,NWC_FC_NOOS!$B$4:$B$24,0),FALSE),"")</f>
        <v>0</v>
      </c>
      <c r="AF203" s="650">
        <f ca="1">IFERROR(HLOOKUP($AB203&amp;$AD203,NWC_FC_NOOS!$S$4:$AH$24,MATCH($Y203,NWC_FC_NOOS!$S$4:$S$24,0),FALSE),"")</f>
        <v>0</v>
      </c>
      <c r="AG203" s="650">
        <f ca="1">IFERROR(HLOOKUP($AB203&amp;$AD203,NWC_FC_NOOS!$C$50:$U$70,MATCH($Y203,NWC_FC_NOOS!$B$50:$B$70,0),FALSE),"")</f>
        <v>0</v>
      </c>
      <c r="AH203" s="650">
        <f ca="1">IFERROR(IF($AA203="NOOS",HLOOKUP(STOCK_OVERVIEW!$AB203&amp;STOCK_OVERVIEW!$AD203,PLANNING_FC!$BB$27:$BP$46,MATCH(STOCK_OVERVIEW!$Y203,PLANNING_FC!$BA$27:$BA$46,0),FALSE),HLOOKUP($AB203&amp;$AD203,PLANNING_FC!$BB$4:$BP$23,MATCH(STOCK_OVERVIEW!$Y203,PLANNING_FC!$BA$4:$BA$23,0),FALSE)),"")</f>
        <v>0</v>
      </c>
      <c r="AI203" s="650">
        <f ca="1">IFERROR(IF($AA203="NOOS",HLOOKUP(STOCK_OVERVIEW!$AB203&amp;STOCK_OVERVIEW!$AD203,PLANNING_FC!$T$27:$AH$46,MATCH(STOCK_OVERVIEW!$Y203,PLANNING_FC!$B$27:$B$46,0),FALSE),HLOOKUP($AB203&amp;$AD203,PLANNING_FC!$T$4:$AH$23,MATCH(STOCK_OVERVIEW!$Y203,PLANNING_FC!$B$4:$B$23,0),FALSE)),"")</f>
        <v>0</v>
      </c>
      <c r="AJ203" s="650">
        <f ca="1">IFERROR(IF($AA203="NOOS",HLOOKUP(STOCK_OVERVIEW!$AB203&amp;STOCK_OVERVIEW!$AD203,PLANNING_FC!$DA$27:$DO$46,MATCH(STOCK_OVERVIEW!$Y203,PLANNING_FC!$CZ$27:$CZ$46,0),FALSE),HLOOKUP($AB203&amp;$AD203,PLANNING_FC!$DA$4:$DO$23,MATCH(STOCK_OVERVIEW!$Y203,PLANNING_FC!$CZ$4:$CZ$23,0),FALSE)),"")</f>
        <v>142635</v>
      </c>
      <c r="AK203" s="651">
        <f ca="1">IFERROR(IF(AA203="NOOS",HLOOKUP(AB203&amp;AD203,PLANNING_FC!$AJ$27:$AY$47,MATCH(STOCK_OVERVIEW!Y203,PLANNING_FC!$AJ$27:$AJ$47,0),FALSE)*1000,HLOOKUP(AB203&amp;AD203,PLANNING_FC!$AJ$4:$AY$24,MATCH(STOCK_OVERVIEW!Y203,PLANNING_FC!$AJ$4:$AJ$24,0),FALSE)*1000),"")</f>
        <v>0</v>
      </c>
      <c r="AL203" s="638"/>
      <c r="AM203" s="638"/>
      <c r="AN203" s="638"/>
      <c r="AO203" s="638"/>
      <c r="AP203" s="638"/>
      <c r="AQ203" s="638"/>
      <c r="AR203" s="638"/>
      <c r="AS203" s="638"/>
    </row>
    <row r="204" spans="1:45" s="61" customFormat="1" x14ac:dyDescent="0.25">
      <c r="A204" s="62"/>
      <c r="B204" s="23"/>
      <c r="C204" s="23"/>
      <c r="D204" s="23"/>
      <c r="E204" s="23"/>
      <c r="F204" s="328"/>
      <c r="G204" s="23"/>
      <c r="H204" s="23"/>
      <c r="I204" s="23"/>
      <c r="J204" s="19"/>
      <c r="N204" s="19"/>
      <c r="R204" s="19"/>
      <c r="S204" s="637"/>
      <c r="T204" s="637"/>
      <c r="U204" s="636"/>
      <c r="V204" s="637"/>
      <c r="W204" s="637"/>
      <c r="X204" s="200" t="str">
        <f>NWC_FC_NOOS!$B$1</f>
        <v>VM</v>
      </c>
      <c r="Y204" s="25" t="str">
        <f>NWC_FC_NOOS!$B$67</f>
        <v>T-SHIRTS</v>
      </c>
      <c r="Z204" s="25" t="str">
        <f t="shared" ca="1" si="17"/>
        <v>VMT-SHIRTS18/19Jul</v>
      </c>
      <c r="AA204" s="25" t="str">
        <f>NWC_FC_NOOS!$I$1</f>
        <v>NOOS</v>
      </c>
      <c r="AB204" s="25" t="str">
        <f ca="1">NWC_FC_NOOS!$G$73</f>
        <v>18/19</v>
      </c>
      <c r="AC204" s="25" t="str">
        <f ca="1">NWC_FC_NOOS!$G$74</f>
        <v>Q4</v>
      </c>
      <c r="AD204" s="25" t="str">
        <f ca="1">NWC_FC_NOOS!$I$75</f>
        <v>Jul</v>
      </c>
      <c r="AE204" s="649">
        <f ca="1">IFERROR(HLOOKUP($AB204&amp;$AD204,NWC_FC_NOOS!$B$4:$Q$24,MATCH($Y204,NWC_FC_NOOS!$B$4:$B$24,0),FALSE),"")</f>
        <v>0</v>
      </c>
      <c r="AF204" s="650">
        <f ca="1">IFERROR(HLOOKUP($AB204&amp;$AD204,NWC_FC_NOOS!$S$4:$AH$24,MATCH($Y204,NWC_FC_NOOS!$S$4:$S$24,0),FALSE),"")</f>
        <v>0</v>
      </c>
      <c r="AG204" s="650">
        <f ca="1">IFERROR(HLOOKUP($AB204&amp;$AD204,NWC_FC_NOOS!$C$50:$U$70,MATCH($Y204,NWC_FC_NOOS!$B$50:$B$70,0),FALSE),"")</f>
        <v>0</v>
      </c>
      <c r="AH204" s="650">
        <f ca="1">IFERROR(IF($AA204="NOOS",HLOOKUP(STOCK_OVERVIEW!$AB204&amp;STOCK_OVERVIEW!$AD204,PLANNING_FC!$BB$27:$BP$46,MATCH(STOCK_OVERVIEW!$Y204,PLANNING_FC!$BA$27:$BA$46,0),FALSE),HLOOKUP($AB204&amp;$AD204,PLANNING_FC!$BB$4:$BP$23,MATCH(STOCK_OVERVIEW!$Y204,PLANNING_FC!$BA$4:$BA$23,0),FALSE)),"")</f>
        <v>0</v>
      </c>
      <c r="AI204" s="650">
        <f ca="1">IFERROR(IF($AA204="NOOS",HLOOKUP(STOCK_OVERVIEW!$AB204&amp;STOCK_OVERVIEW!$AD204,PLANNING_FC!$T$27:$AH$46,MATCH(STOCK_OVERVIEW!$Y204,PLANNING_FC!$B$27:$B$46,0),FALSE),HLOOKUP($AB204&amp;$AD204,PLANNING_FC!$T$4:$AH$23,MATCH(STOCK_OVERVIEW!$Y204,PLANNING_FC!$B$4:$B$23,0),FALSE)),"")</f>
        <v>0</v>
      </c>
      <c r="AJ204" s="650">
        <f ca="1">IFERROR(IF($AA204="NOOS",HLOOKUP(STOCK_OVERVIEW!$AB204&amp;STOCK_OVERVIEW!$AD204,PLANNING_FC!$DA$27:$DO$46,MATCH(STOCK_OVERVIEW!$Y204,PLANNING_FC!$CZ$27:$CZ$46,0),FALSE),HLOOKUP($AB204&amp;$AD204,PLANNING_FC!$DA$4:$DO$23,MATCH(STOCK_OVERVIEW!$Y204,PLANNING_FC!$CZ$4:$CZ$23,0),FALSE)),"")</f>
        <v>142635</v>
      </c>
      <c r="AK204" s="651">
        <f ca="1">IFERROR(IF(AA204="NOOS",HLOOKUP(AB204&amp;AD204,PLANNING_FC!$AJ$27:$AY$47,MATCH(STOCK_OVERVIEW!Y204,PLANNING_FC!$AJ$27:$AJ$47,0),FALSE)*1000,HLOOKUP(AB204&amp;AD204,PLANNING_FC!$AJ$4:$AY$24,MATCH(STOCK_OVERVIEW!Y204,PLANNING_FC!$AJ$4:$AJ$24,0),FALSE)*1000),"")</f>
        <v>0</v>
      </c>
      <c r="AL204" s="638"/>
      <c r="AM204" s="638"/>
      <c r="AN204" s="638"/>
      <c r="AO204" s="638"/>
      <c r="AP204" s="638"/>
      <c r="AQ204" s="638"/>
      <c r="AR204" s="638"/>
      <c r="AS204" s="638"/>
    </row>
    <row r="205" spans="1:45" s="61" customFormat="1" x14ac:dyDescent="0.25">
      <c r="A205" s="62"/>
      <c r="B205" s="23"/>
      <c r="C205" s="23"/>
      <c r="D205" s="23"/>
      <c r="E205" s="23"/>
      <c r="F205" s="328"/>
      <c r="G205" s="23"/>
      <c r="H205" s="23"/>
      <c r="I205" s="23"/>
      <c r="J205" s="19"/>
      <c r="N205" s="19"/>
      <c r="R205" s="19"/>
      <c r="S205" s="637"/>
      <c r="T205" s="637"/>
      <c r="U205" s="636"/>
      <c r="V205" s="637"/>
      <c r="W205" s="637"/>
      <c r="X205" s="200" t="str">
        <f>NWC_FC_NOOS!$B$1</f>
        <v>VM</v>
      </c>
      <c r="Y205" s="25" t="str">
        <f>NWC_FC_NOOS!$B$67</f>
        <v>T-SHIRTS</v>
      </c>
      <c r="Z205" s="25" t="str">
        <f t="shared" ca="1" si="17"/>
        <v>VMT-SHIRTS19/20Aug</v>
      </c>
      <c r="AA205" s="25" t="str">
        <f>NWC_FC_NOOS!$I$1</f>
        <v>NOOS</v>
      </c>
      <c r="AB205" s="25" t="str">
        <f ca="1">NWC_FC_NOOS!$K$73</f>
        <v>19/20</v>
      </c>
      <c r="AC205" s="25" t="str">
        <f ca="1">NWC_FC_NOOS!$K$74</f>
        <v>Q1</v>
      </c>
      <c r="AD205" s="25" t="str">
        <f ca="1">NWC_FC_NOOS!$K$75</f>
        <v>Aug</v>
      </c>
      <c r="AE205" s="649">
        <f ca="1">IFERROR(HLOOKUP($AB205&amp;$AD205,NWC_FC_NOOS!$B$4:$Q$24,MATCH($Y205,NWC_FC_NOOS!$B$4:$B$24,0),FALSE),"")</f>
        <v>0</v>
      </c>
      <c r="AF205" s="650">
        <f ca="1">IFERROR(HLOOKUP($AB205&amp;$AD205,NWC_FC_NOOS!$S$4:$AH$24,MATCH($Y205,NWC_FC_NOOS!$S$4:$S$24,0),FALSE),"")</f>
        <v>0</v>
      </c>
      <c r="AG205" s="650">
        <f ca="1">IFERROR(HLOOKUP($AB205&amp;$AD205,NWC_FC_NOOS!$C$50:$U$70,MATCH($Y205,NWC_FC_NOOS!$B$50:$B$70,0),FALSE),"")</f>
        <v>0</v>
      </c>
      <c r="AH205" s="650">
        <f ca="1">IFERROR(IF($AA205="NOOS",HLOOKUP(STOCK_OVERVIEW!$AB205&amp;STOCK_OVERVIEW!$AD205,PLANNING_FC!$BB$27:$BP$46,MATCH(STOCK_OVERVIEW!$Y205,PLANNING_FC!$BA$27:$BA$46,0),FALSE),HLOOKUP($AB205&amp;$AD205,PLANNING_FC!$BB$4:$BP$23,MATCH(STOCK_OVERVIEW!$Y205,PLANNING_FC!$BA$4:$BA$23,0),FALSE)),"")</f>
        <v>0</v>
      </c>
      <c r="AI205" s="650">
        <f ca="1">IFERROR(IF($AA205="NOOS",HLOOKUP(STOCK_OVERVIEW!$AB205&amp;STOCK_OVERVIEW!$AD205,PLANNING_FC!$T$27:$AH$46,MATCH(STOCK_OVERVIEW!$Y205,PLANNING_FC!$B$27:$B$46,0),FALSE),HLOOKUP($AB205&amp;$AD205,PLANNING_FC!$T$4:$AH$23,MATCH(STOCK_OVERVIEW!$Y205,PLANNING_FC!$B$4:$B$23,0),FALSE)),"")</f>
        <v>0</v>
      </c>
      <c r="AJ205" s="650">
        <f ca="1">IFERROR(IF($AA205="NOOS",HLOOKUP(STOCK_OVERVIEW!$AB205&amp;STOCK_OVERVIEW!$AD205,PLANNING_FC!$DA$27:$DO$46,MATCH(STOCK_OVERVIEW!$Y205,PLANNING_FC!$CZ$27:$CZ$46,0),FALSE),HLOOKUP($AB205&amp;$AD205,PLANNING_FC!$DA$4:$DO$23,MATCH(STOCK_OVERVIEW!$Y205,PLANNING_FC!$CZ$4:$CZ$23,0),FALSE)),"")</f>
        <v>142635</v>
      </c>
      <c r="AK205" s="651">
        <f ca="1">IFERROR(IF(AA205="NOOS",HLOOKUP(AB205&amp;AD205,PLANNING_FC!$AJ$27:$AY$47,MATCH(STOCK_OVERVIEW!Y205,PLANNING_FC!$AJ$27:$AJ$47,0),FALSE)*1000,HLOOKUP(AB205&amp;AD205,PLANNING_FC!$AJ$4:$AY$24,MATCH(STOCK_OVERVIEW!Y205,PLANNING_FC!$AJ$4:$AJ$24,0),FALSE)*1000),"")</f>
        <v>0</v>
      </c>
      <c r="AL205" s="638"/>
      <c r="AM205" s="638"/>
      <c r="AN205" s="638"/>
      <c r="AO205" s="638"/>
      <c r="AP205" s="638"/>
      <c r="AQ205" s="638"/>
      <c r="AR205" s="638"/>
      <c r="AS205" s="638"/>
    </row>
    <row r="206" spans="1:45" s="61" customFormat="1" x14ac:dyDescent="0.25">
      <c r="A206" s="62"/>
      <c r="B206" s="23"/>
      <c r="C206" s="23"/>
      <c r="D206" s="23"/>
      <c r="E206" s="23"/>
      <c r="F206" s="328"/>
      <c r="G206" s="23"/>
      <c r="H206" s="23"/>
      <c r="I206" s="23"/>
      <c r="J206" s="19"/>
      <c r="N206" s="19"/>
      <c r="R206" s="19"/>
      <c r="S206" s="637"/>
      <c r="T206" s="637"/>
      <c r="U206" s="636"/>
      <c r="V206" s="637"/>
      <c r="W206" s="637"/>
      <c r="X206" s="200" t="str">
        <f>NWC_FC_NOOS!$B$1</f>
        <v>VM</v>
      </c>
      <c r="Y206" s="25" t="str">
        <f>NWC_FC_NOOS!$B$67</f>
        <v>T-SHIRTS</v>
      </c>
      <c r="Z206" s="25" t="str">
        <f t="shared" ca="1" si="17"/>
        <v>VMT-SHIRTS19/20Sep</v>
      </c>
      <c r="AA206" s="25" t="str">
        <f>NWC_FC_NOOS!$I$1</f>
        <v>NOOS</v>
      </c>
      <c r="AB206" s="25" t="str">
        <f ca="1">NWC_FC_NOOS!$K$73</f>
        <v>19/20</v>
      </c>
      <c r="AC206" s="25" t="str">
        <f ca="1">NWC_FC_NOOS!$K$74</f>
        <v>Q1</v>
      </c>
      <c r="AD206" s="25" t="str">
        <f ca="1">NWC_FC_NOOS!$L$75</f>
        <v>Sep</v>
      </c>
      <c r="AE206" s="649">
        <f ca="1">IFERROR(HLOOKUP($AB206&amp;$AD206,NWC_FC_NOOS!$B$4:$Q$24,MATCH($Y206,NWC_FC_NOOS!$B$4:$B$24,0),FALSE),"")</f>
        <v>0</v>
      </c>
      <c r="AF206" s="650">
        <f ca="1">IFERROR(HLOOKUP($AB206&amp;$AD206,NWC_FC_NOOS!$S$4:$AH$24,MATCH($Y206,NWC_FC_NOOS!$S$4:$S$24,0),FALSE),"")</f>
        <v>0</v>
      </c>
      <c r="AG206" s="650">
        <f ca="1">IFERROR(HLOOKUP($AB206&amp;$AD206,NWC_FC_NOOS!$C$50:$U$70,MATCH($Y206,NWC_FC_NOOS!$B$50:$B$70,0),FALSE),"")</f>
        <v>0</v>
      </c>
      <c r="AH206" s="650">
        <f ca="1">IFERROR(IF($AA206="NOOS",HLOOKUP(STOCK_OVERVIEW!$AB206&amp;STOCK_OVERVIEW!$AD206,PLANNING_FC!$BB$27:$BP$46,MATCH(STOCK_OVERVIEW!$Y206,PLANNING_FC!$BA$27:$BA$46,0),FALSE),HLOOKUP($AB206&amp;$AD206,PLANNING_FC!$BB$4:$BP$23,MATCH(STOCK_OVERVIEW!$Y206,PLANNING_FC!$BA$4:$BA$23,0),FALSE)),"")</f>
        <v>0</v>
      </c>
      <c r="AI206" s="650">
        <f ca="1">IFERROR(IF($AA206="NOOS",HLOOKUP(STOCK_OVERVIEW!$AB206&amp;STOCK_OVERVIEW!$AD206,PLANNING_FC!$T$27:$AH$46,MATCH(STOCK_OVERVIEW!$Y206,PLANNING_FC!$B$27:$B$46,0),FALSE),HLOOKUP($AB206&amp;$AD206,PLANNING_FC!$T$4:$AH$23,MATCH(STOCK_OVERVIEW!$Y206,PLANNING_FC!$B$4:$B$23,0),FALSE)),"")</f>
        <v>0</v>
      </c>
      <c r="AJ206" s="650">
        <f ca="1">IFERROR(IF($AA206="NOOS",HLOOKUP(STOCK_OVERVIEW!$AB206&amp;STOCK_OVERVIEW!$AD206,PLANNING_FC!$DA$27:$DO$46,MATCH(STOCK_OVERVIEW!$Y206,PLANNING_FC!$CZ$27:$CZ$46,0),FALSE),HLOOKUP($AB206&amp;$AD206,PLANNING_FC!$DA$4:$DO$23,MATCH(STOCK_OVERVIEW!$Y206,PLANNING_FC!$CZ$4:$CZ$23,0),FALSE)),"")</f>
        <v>142635</v>
      </c>
      <c r="AK206" s="651">
        <f ca="1">IFERROR(IF(AA206="NOOS",HLOOKUP(AB206&amp;AD206,PLANNING_FC!$AJ$27:$AY$47,MATCH(STOCK_OVERVIEW!Y206,PLANNING_FC!$AJ$27:$AJ$47,0),FALSE)*1000,HLOOKUP(AB206&amp;AD206,PLANNING_FC!$AJ$4:$AY$24,MATCH(STOCK_OVERVIEW!Y206,PLANNING_FC!$AJ$4:$AJ$24,0),FALSE)*1000),"")</f>
        <v>0</v>
      </c>
      <c r="AL206" s="638"/>
      <c r="AM206" s="638"/>
      <c r="AN206" s="638"/>
      <c r="AO206" s="638"/>
      <c r="AP206" s="638"/>
      <c r="AQ206" s="638"/>
      <c r="AR206" s="638"/>
      <c r="AS206" s="638"/>
    </row>
    <row r="207" spans="1:45" s="61" customFormat="1" x14ac:dyDescent="0.25">
      <c r="A207" s="62"/>
      <c r="B207" s="23"/>
      <c r="C207" s="23"/>
      <c r="D207" s="23"/>
      <c r="E207" s="23"/>
      <c r="F207" s="328"/>
      <c r="G207" s="23"/>
      <c r="H207" s="23"/>
      <c r="I207" s="23"/>
      <c r="J207" s="19"/>
      <c r="N207" s="19"/>
      <c r="R207" s="19"/>
      <c r="S207" s="637"/>
      <c r="T207" s="637"/>
      <c r="U207" s="636"/>
      <c r="V207" s="637"/>
      <c r="W207" s="637"/>
      <c r="X207" s="200" t="str">
        <f>NWC_FC_NOOS!$B$1</f>
        <v>VM</v>
      </c>
      <c r="Y207" s="25" t="str">
        <f>NWC_FC_NOOS!$B$67</f>
        <v>T-SHIRTS</v>
      </c>
      <c r="Z207" s="25" t="str">
        <f t="shared" ca="1" si="17"/>
        <v>VMT-SHIRTS19/20Oct</v>
      </c>
      <c r="AA207" s="25" t="str">
        <f>NWC_FC_NOOS!$I$1</f>
        <v>NOOS</v>
      </c>
      <c r="AB207" s="25" t="str">
        <f ca="1">NWC_FC_NOOS!$K$73</f>
        <v>19/20</v>
      </c>
      <c r="AC207" s="25" t="str">
        <f ca="1">NWC_FC_NOOS!$K$74</f>
        <v>Q1</v>
      </c>
      <c r="AD207" s="25" t="str">
        <f ca="1">NWC_FC_NOOS!$M$75</f>
        <v>Oct</v>
      </c>
      <c r="AE207" s="649">
        <f ca="1">IFERROR(HLOOKUP($AB207&amp;$AD207,NWC_FC_NOOS!$B$4:$Q$24,MATCH($Y207,NWC_FC_NOOS!$B$4:$B$24,0),FALSE),"")</f>
        <v>0</v>
      </c>
      <c r="AF207" s="650">
        <f ca="1">IFERROR(HLOOKUP($AB207&amp;$AD207,NWC_FC_NOOS!$S$4:$AH$24,MATCH($Y207,NWC_FC_NOOS!$S$4:$S$24,0),FALSE),"")</f>
        <v>0</v>
      </c>
      <c r="AG207" s="650">
        <f ca="1">IFERROR(HLOOKUP($AB207&amp;$AD207,NWC_FC_NOOS!$C$50:$U$70,MATCH($Y207,NWC_FC_NOOS!$B$50:$B$70,0),FALSE),"")</f>
        <v>0</v>
      </c>
      <c r="AH207" s="650">
        <f ca="1">IFERROR(IF($AA207="NOOS",HLOOKUP(STOCK_OVERVIEW!$AB207&amp;STOCK_OVERVIEW!$AD207,PLANNING_FC!$BB$27:$BP$46,MATCH(STOCK_OVERVIEW!$Y207,PLANNING_FC!$BA$27:$BA$46,0),FALSE),HLOOKUP($AB207&amp;$AD207,PLANNING_FC!$BB$4:$BP$23,MATCH(STOCK_OVERVIEW!$Y207,PLANNING_FC!$BA$4:$BA$23,0),FALSE)),"")</f>
        <v>0</v>
      </c>
      <c r="AI207" s="650">
        <f ca="1">IFERROR(IF($AA207="NOOS",HLOOKUP(STOCK_OVERVIEW!$AB207&amp;STOCK_OVERVIEW!$AD207,PLANNING_FC!$T$27:$AH$46,MATCH(STOCK_OVERVIEW!$Y207,PLANNING_FC!$B$27:$B$46,0),FALSE),HLOOKUP($AB207&amp;$AD207,PLANNING_FC!$T$4:$AH$23,MATCH(STOCK_OVERVIEW!$Y207,PLANNING_FC!$B$4:$B$23,0),FALSE)),"")</f>
        <v>0</v>
      </c>
      <c r="AJ207" s="650">
        <f ca="1">IFERROR(IF($AA207="NOOS",HLOOKUP(STOCK_OVERVIEW!$AB207&amp;STOCK_OVERVIEW!$AD207,PLANNING_FC!$DA$27:$DO$46,MATCH(STOCK_OVERVIEW!$Y207,PLANNING_FC!$CZ$27:$CZ$46,0),FALSE),HLOOKUP($AB207&amp;$AD207,PLANNING_FC!$DA$4:$DO$23,MATCH(STOCK_OVERVIEW!$Y207,PLANNING_FC!$CZ$4:$CZ$23,0),FALSE)),"")</f>
        <v>142635</v>
      </c>
      <c r="AK207" s="651">
        <f ca="1">IFERROR(IF(AA207="NOOS",HLOOKUP(AB207&amp;AD207,PLANNING_FC!$AJ$27:$AY$47,MATCH(STOCK_OVERVIEW!Y207,PLANNING_FC!$AJ$27:$AJ$47,0),FALSE)*1000,HLOOKUP(AB207&amp;AD207,PLANNING_FC!$AJ$4:$AY$24,MATCH(STOCK_OVERVIEW!Y207,PLANNING_FC!$AJ$4:$AJ$24,0),FALSE)*1000),"")</f>
        <v>0</v>
      </c>
      <c r="AL207" s="638"/>
      <c r="AM207" s="638"/>
      <c r="AN207" s="638"/>
      <c r="AO207" s="638"/>
      <c r="AP207" s="638"/>
      <c r="AQ207" s="638"/>
      <c r="AR207" s="638"/>
      <c r="AS207" s="638"/>
    </row>
    <row r="208" spans="1:45" s="61" customFormat="1" x14ac:dyDescent="0.25">
      <c r="A208" s="62"/>
      <c r="B208" s="23"/>
      <c r="C208" s="23"/>
      <c r="D208" s="23"/>
      <c r="E208" s="23"/>
      <c r="F208" s="328"/>
      <c r="G208" s="23"/>
      <c r="H208" s="23"/>
      <c r="I208" s="23"/>
      <c r="J208" s="19"/>
      <c r="N208" s="19"/>
      <c r="R208" s="19"/>
      <c r="S208" s="637"/>
      <c r="T208" s="637"/>
      <c r="U208" s="636"/>
      <c r="V208" s="637"/>
      <c r="W208" s="637"/>
      <c r="X208" s="200" t="str">
        <f>NWC_FC_NOOS!$B$1</f>
        <v>VM</v>
      </c>
      <c r="Y208" s="25" t="str">
        <f>NWC_FC_NOOS!$B$67</f>
        <v>T-SHIRTS</v>
      </c>
      <c r="Z208" s="25" t="str">
        <f t="shared" ca="1" si="17"/>
        <v>VMT-SHIRTS19/20Nov</v>
      </c>
      <c r="AA208" s="25" t="str">
        <f>NWC_FC_NOOS!$I$1</f>
        <v>NOOS</v>
      </c>
      <c r="AB208" s="25" t="str">
        <f ca="1">NWC_FC_NOOS!$O$73</f>
        <v>19/20</v>
      </c>
      <c r="AC208" s="25" t="str">
        <f ca="1">NWC_FC_NOOS!$O$74</f>
        <v>Q2</v>
      </c>
      <c r="AD208" s="25" t="str">
        <f ca="1">NWC_FC_NOOS!$O$75</f>
        <v>Nov</v>
      </c>
      <c r="AE208" s="649">
        <f ca="1">IFERROR(HLOOKUP($AB208&amp;$AD208,NWC_FC_NOOS!$B$4:$Q$24,MATCH($Y208,NWC_FC_NOOS!$B$4:$B$24,0),FALSE),"")</f>
        <v>0</v>
      </c>
      <c r="AF208" s="650">
        <f ca="1">IFERROR(HLOOKUP($AB208&amp;$AD208,NWC_FC_NOOS!$S$4:$AH$24,MATCH($Y208,NWC_FC_NOOS!$S$4:$S$24,0),FALSE),"")</f>
        <v>0</v>
      </c>
      <c r="AG208" s="650">
        <f ca="1">IFERROR(HLOOKUP($AB208&amp;$AD208,NWC_FC_NOOS!$C$50:$U$70,MATCH($Y208,NWC_FC_NOOS!$B$50:$B$70,0),FALSE),"")</f>
        <v>0</v>
      </c>
      <c r="AH208" s="650">
        <f ca="1">IFERROR(IF($AA208="NOOS",HLOOKUP(STOCK_OVERVIEW!$AB208&amp;STOCK_OVERVIEW!$AD208,PLANNING_FC!$BB$27:$BP$46,MATCH(STOCK_OVERVIEW!$Y208,PLANNING_FC!$BA$27:$BA$46,0),FALSE),HLOOKUP($AB208&amp;$AD208,PLANNING_FC!$BB$4:$BP$23,MATCH(STOCK_OVERVIEW!$Y208,PLANNING_FC!$BA$4:$BA$23,0),FALSE)),"")</f>
        <v>0</v>
      </c>
      <c r="AI208" s="650">
        <f ca="1">IFERROR(IF($AA208="NOOS",HLOOKUP(STOCK_OVERVIEW!$AB208&amp;STOCK_OVERVIEW!$AD208,PLANNING_FC!$T$27:$AH$46,MATCH(STOCK_OVERVIEW!$Y208,PLANNING_FC!$B$27:$B$46,0),FALSE),HLOOKUP($AB208&amp;$AD208,PLANNING_FC!$T$4:$AH$23,MATCH(STOCK_OVERVIEW!$Y208,PLANNING_FC!$B$4:$B$23,0),FALSE)),"")</f>
        <v>0</v>
      </c>
      <c r="AJ208" s="650">
        <f ca="1">IFERROR(IF($AA208="NOOS",HLOOKUP(STOCK_OVERVIEW!$AB208&amp;STOCK_OVERVIEW!$AD208,PLANNING_FC!$DA$27:$DO$46,MATCH(STOCK_OVERVIEW!$Y208,PLANNING_FC!$CZ$27:$CZ$46,0),FALSE),HLOOKUP($AB208&amp;$AD208,PLANNING_FC!$DA$4:$DO$23,MATCH(STOCK_OVERVIEW!$Y208,PLANNING_FC!$CZ$4:$CZ$23,0),FALSE)),"")</f>
        <v>142635</v>
      </c>
      <c r="AK208" s="651">
        <f ca="1">IFERROR(IF(AA208="NOOS",HLOOKUP(AB208&amp;AD208,PLANNING_FC!$AJ$27:$AY$47,MATCH(STOCK_OVERVIEW!Y208,PLANNING_FC!$AJ$27:$AJ$47,0),FALSE)*1000,HLOOKUP(AB208&amp;AD208,PLANNING_FC!$AJ$4:$AY$24,MATCH(STOCK_OVERVIEW!Y208,PLANNING_FC!$AJ$4:$AJ$24,0),FALSE)*1000),"")</f>
        <v>0</v>
      </c>
      <c r="AL208" s="638"/>
      <c r="AM208" s="638"/>
      <c r="AN208" s="638"/>
      <c r="AO208" s="638"/>
      <c r="AP208" s="638"/>
      <c r="AQ208" s="638"/>
      <c r="AR208" s="638"/>
      <c r="AS208" s="638"/>
    </row>
    <row r="209" spans="1:45" s="61" customFormat="1" x14ac:dyDescent="0.25">
      <c r="A209" s="62"/>
      <c r="B209" s="23"/>
      <c r="C209" s="23"/>
      <c r="D209" s="23"/>
      <c r="E209" s="23"/>
      <c r="F209" s="328"/>
      <c r="G209" s="23"/>
      <c r="H209" s="23"/>
      <c r="I209" s="23"/>
      <c r="J209" s="19"/>
      <c r="N209" s="19"/>
      <c r="R209" s="19"/>
      <c r="S209" s="637"/>
      <c r="T209" s="637"/>
      <c r="U209" s="636"/>
      <c r="V209" s="637"/>
      <c r="W209" s="637"/>
      <c r="X209" s="200" t="str">
        <f>NWC_FC_NOOS!$B$1</f>
        <v>VM</v>
      </c>
      <c r="Y209" s="25" t="str">
        <f>NWC_FC_NOOS!$B$67</f>
        <v>T-SHIRTS</v>
      </c>
      <c r="Z209" s="25" t="str">
        <f t="shared" ca="1" si="17"/>
        <v>VMT-SHIRTS19/20Dec</v>
      </c>
      <c r="AA209" s="25" t="str">
        <f>NWC_FC_NOOS!$I$1</f>
        <v>NOOS</v>
      </c>
      <c r="AB209" s="25" t="str">
        <f ca="1">NWC_FC_NOOS!$O$73</f>
        <v>19/20</v>
      </c>
      <c r="AC209" s="25" t="str">
        <f ca="1">NWC_FC_NOOS!$O$74</f>
        <v>Q2</v>
      </c>
      <c r="AD209" s="25" t="str">
        <f ca="1">NWC_FC_NOOS!$P$75</f>
        <v>Dec</v>
      </c>
      <c r="AE209" s="649">
        <f ca="1">IFERROR(HLOOKUP($AB209&amp;$AD209,NWC_FC_NOOS!$B$4:$Q$24,MATCH($Y209,NWC_FC_NOOS!$B$4:$B$24,0),FALSE),"")</f>
        <v>0</v>
      </c>
      <c r="AF209" s="650">
        <f ca="1">IFERROR(HLOOKUP($AB209&amp;$AD209,NWC_FC_NOOS!$S$4:$AH$24,MATCH($Y209,NWC_FC_NOOS!$S$4:$S$24,0),FALSE),"")</f>
        <v>0</v>
      </c>
      <c r="AG209" s="650">
        <f ca="1">IFERROR(HLOOKUP($AB209&amp;$AD209,NWC_FC_NOOS!$C$50:$U$70,MATCH($Y209,NWC_FC_NOOS!$B$50:$B$70,0),FALSE),"")</f>
        <v>0</v>
      </c>
      <c r="AH209" s="650">
        <f ca="1">IFERROR(IF($AA209="NOOS",HLOOKUP(STOCK_OVERVIEW!$AB209&amp;STOCK_OVERVIEW!$AD209,PLANNING_FC!$BB$27:$BP$46,MATCH(STOCK_OVERVIEW!$Y209,PLANNING_FC!$BA$27:$BA$46,0),FALSE),HLOOKUP($AB209&amp;$AD209,PLANNING_FC!$BB$4:$BP$23,MATCH(STOCK_OVERVIEW!$Y209,PLANNING_FC!$BA$4:$BA$23,0),FALSE)),"")</f>
        <v>0</v>
      </c>
      <c r="AI209" s="650">
        <f ca="1">IFERROR(IF($AA209="NOOS",HLOOKUP(STOCK_OVERVIEW!$AB209&amp;STOCK_OVERVIEW!$AD209,PLANNING_FC!$T$27:$AH$46,MATCH(STOCK_OVERVIEW!$Y209,PLANNING_FC!$B$27:$B$46,0),FALSE),HLOOKUP($AB209&amp;$AD209,PLANNING_FC!$T$4:$AH$23,MATCH(STOCK_OVERVIEW!$Y209,PLANNING_FC!$B$4:$B$23,0),FALSE)),"")</f>
        <v>0</v>
      </c>
      <c r="AJ209" s="650">
        <f ca="1">IFERROR(IF($AA209="NOOS",HLOOKUP(STOCK_OVERVIEW!$AB209&amp;STOCK_OVERVIEW!$AD209,PLANNING_FC!$DA$27:$DO$46,MATCH(STOCK_OVERVIEW!$Y209,PLANNING_FC!$CZ$27:$CZ$46,0),FALSE),HLOOKUP($AB209&amp;$AD209,PLANNING_FC!$DA$4:$DO$23,MATCH(STOCK_OVERVIEW!$Y209,PLANNING_FC!$CZ$4:$CZ$23,0),FALSE)),"")</f>
        <v>142635</v>
      </c>
      <c r="AK209" s="651">
        <f ca="1">IFERROR(IF(AA209="NOOS",HLOOKUP(AB209&amp;AD209,PLANNING_FC!$AJ$27:$AY$47,MATCH(STOCK_OVERVIEW!Y209,PLANNING_FC!$AJ$27:$AJ$47,0),FALSE)*1000,HLOOKUP(AB209&amp;AD209,PLANNING_FC!$AJ$4:$AY$24,MATCH(STOCK_OVERVIEW!Y209,PLANNING_FC!$AJ$4:$AJ$24,0),FALSE)*1000),"")</f>
        <v>0</v>
      </c>
      <c r="AL209" s="638"/>
      <c r="AM209" s="638"/>
      <c r="AN209" s="638"/>
      <c r="AO209" s="638"/>
      <c r="AP209" s="638"/>
      <c r="AQ209" s="638"/>
      <c r="AR209" s="638"/>
      <c r="AS209" s="638"/>
    </row>
    <row r="210" spans="1:45" s="61" customFormat="1" x14ac:dyDescent="0.25">
      <c r="A210" s="62"/>
      <c r="B210" s="23"/>
      <c r="C210" s="23"/>
      <c r="D210" s="23"/>
      <c r="E210" s="23"/>
      <c r="F210" s="328"/>
      <c r="G210" s="23"/>
      <c r="H210" s="23"/>
      <c r="I210" s="23"/>
      <c r="J210" s="19"/>
      <c r="N210" s="19"/>
      <c r="R210" s="19"/>
      <c r="S210" s="637"/>
      <c r="T210" s="637"/>
      <c r="U210" s="636"/>
      <c r="V210" s="637"/>
      <c r="W210" s="637"/>
      <c r="X210" s="200" t="str">
        <f>NWC_FC_NOOS!$B$1</f>
        <v>VM</v>
      </c>
      <c r="Y210" s="25" t="str">
        <f>NWC_FC_NOOS!$B$67</f>
        <v>T-SHIRTS</v>
      </c>
      <c r="Z210" s="25" t="str">
        <f t="shared" ca="1" si="17"/>
        <v>VMT-SHIRTS19/20Jan</v>
      </c>
      <c r="AA210" s="25" t="str">
        <f>NWC_FC_NOOS!$I$1</f>
        <v>NOOS</v>
      </c>
      <c r="AB210" s="25" t="str">
        <f ca="1">NWC_FC_NOOS!$O$73</f>
        <v>19/20</v>
      </c>
      <c r="AC210" s="25" t="str">
        <f ca="1">NWC_FC_NOOS!$O$74</f>
        <v>Q2</v>
      </c>
      <c r="AD210" s="25" t="str">
        <f ca="1">NWC_FC_NOOS!$Q$75</f>
        <v>Jan</v>
      </c>
      <c r="AE210" s="649">
        <f ca="1">IFERROR(HLOOKUP($AB210&amp;$AD210,NWC_FC_NOOS!$B$4:$Q$24,MATCH($Y210,NWC_FC_NOOS!$B$4:$B$24,0),FALSE),"")</f>
        <v>0</v>
      </c>
      <c r="AF210" s="650">
        <f ca="1">IFERROR(HLOOKUP($AB210&amp;$AD210,NWC_FC_NOOS!$S$4:$AH$24,MATCH($Y210,NWC_FC_NOOS!$S$4:$S$24,0),FALSE),"")</f>
        <v>0</v>
      </c>
      <c r="AG210" s="650">
        <f ca="1">IFERROR(HLOOKUP($AB210&amp;$AD210,NWC_FC_NOOS!$C$50:$U$70,MATCH($Y210,NWC_FC_NOOS!$B$50:$B$70,0),FALSE),"")</f>
        <v>0</v>
      </c>
      <c r="AH210" s="650">
        <f ca="1">IFERROR(IF($AA210="NOOS",HLOOKUP(STOCK_OVERVIEW!$AB210&amp;STOCK_OVERVIEW!$AD210,PLANNING_FC!$BB$27:$BP$46,MATCH(STOCK_OVERVIEW!$Y210,PLANNING_FC!$BA$27:$BA$46,0),FALSE),HLOOKUP($AB210&amp;$AD210,PLANNING_FC!$BB$4:$BP$23,MATCH(STOCK_OVERVIEW!$Y210,PLANNING_FC!$BA$4:$BA$23,0),FALSE)),"")</f>
        <v>0</v>
      </c>
      <c r="AI210" s="650">
        <f ca="1">IFERROR(IF($AA210="NOOS",HLOOKUP(STOCK_OVERVIEW!$AB210&amp;STOCK_OVERVIEW!$AD210,PLANNING_FC!$T$27:$AH$46,MATCH(STOCK_OVERVIEW!$Y210,PLANNING_FC!$B$27:$B$46,0),FALSE),HLOOKUP($AB210&amp;$AD210,PLANNING_FC!$T$4:$AH$23,MATCH(STOCK_OVERVIEW!$Y210,PLANNING_FC!$B$4:$B$23,0),FALSE)),"")</f>
        <v>0</v>
      </c>
      <c r="AJ210" s="650">
        <f ca="1">IFERROR(IF($AA210="NOOS",HLOOKUP(STOCK_OVERVIEW!$AB210&amp;STOCK_OVERVIEW!$AD210,PLANNING_FC!$DA$27:$DO$46,MATCH(STOCK_OVERVIEW!$Y210,PLANNING_FC!$CZ$27:$CZ$46,0),FALSE),HLOOKUP($AB210&amp;$AD210,PLANNING_FC!$DA$4:$DO$23,MATCH(STOCK_OVERVIEW!$Y210,PLANNING_FC!$CZ$4:$CZ$23,0),FALSE)),"")</f>
        <v>142635</v>
      </c>
      <c r="AK210" s="651">
        <f ca="1">IFERROR(IF(AA210="NOOS",HLOOKUP(AB210&amp;AD210,PLANNING_FC!$AJ$27:$AY$47,MATCH(STOCK_OVERVIEW!Y210,PLANNING_FC!$AJ$27:$AJ$47,0),FALSE)*1000,HLOOKUP(AB210&amp;AD210,PLANNING_FC!$AJ$4:$AY$24,MATCH(STOCK_OVERVIEW!Y210,PLANNING_FC!$AJ$4:$AJ$24,0),FALSE)*1000),"")</f>
        <v>0</v>
      </c>
      <c r="AL210" s="638"/>
      <c r="AM210" s="638"/>
      <c r="AN210" s="638"/>
      <c r="AO210" s="638"/>
      <c r="AP210" s="638"/>
      <c r="AQ210" s="638"/>
      <c r="AR210" s="638"/>
      <c r="AS210" s="638"/>
    </row>
    <row r="211" spans="1:45" s="61" customFormat="1" x14ac:dyDescent="0.25">
      <c r="A211" s="62"/>
      <c r="B211" s="23"/>
      <c r="C211" s="23"/>
      <c r="D211" s="23"/>
      <c r="E211" s="23"/>
      <c r="F211" s="328"/>
      <c r="G211" s="23"/>
      <c r="H211" s="23"/>
      <c r="I211" s="23"/>
      <c r="J211" s="19"/>
      <c r="N211" s="19"/>
      <c r="R211" s="19"/>
      <c r="S211" s="637"/>
      <c r="T211" s="637"/>
      <c r="U211" s="636"/>
      <c r="V211" s="637"/>
      <c r="W211" s="637"/>
      <c r="X211" s="200" t="str">
        <f>NWC_FC_NOOS!$B$1</f>
        <v>VM</v>
      </c>
      <c r="Y211" s="25" t="str">
        <f>NWC_FC_NOOS!$B$67</f>
        <v>T-SHIRTS</v>
      </c>
      <c r="Z211" s="25" t="str">
        <f t="shared" ca="1" si="17"/>
        <v>VMT-SHIRTS19/20Feb</v>
      </c>
      <c r="AA211" s="25" t="str">
        <f>NWC_FC_NOOS!$I$1</f>
        <v>NOOS</v>
      </c>
      <c r="AB211" s="25" t="str">
        <f ca="1">NWC_FC_NOOS!$S$73</f>
        <v>19/20</v>
      </c>
      <c r="AC211" s="25" t="str">
        <f ca="1">NWC_FC_NOOS!$S$74</f>
        <v>Q3</v>
      </c>
      <c r="AD211" s="25" t="str">
        <f ca="1">NWC_FC_NOOS!$S$75</f>
        <v>Feb</v>
      </c>
      <c r="AE211" s="649" t="str">
        <f ca="1">IFERROR(HLOOKUP($AB211&amp;$AD211,NWC_FC_NOOS!$B$4:$Q$24,MATCH($Y211,NWC_FC_NOOS!$B$4:$B$24,0),FALSE),"")</f>
        <v/>
      </c>
      <c r="AF211" s="650" t="str">
        <f ca="1">IFERROR(HLOOKUP($AB211&amp;$AD211,NWC_FC_NOOS!$S$4:$AH$24,MATCH($Y211,NWC_FC_NOOS!$S$4:$S$24,0),FALSE),"")</f>
        <v/>
      </c>
      <c r="AG211" s="650">
        <f ca="1">IFERROR(HLOOKUP($AB211&amp;$AD211,NWC_FC_NOOS!$C$50:$U$70,MATCH($Y211,NWC_FC_NOOS!$B$50:$B$70,0),FALSE),"")</f>
        <v>0</v>
      </c>
      <c r="AH211" s="650" t="str">
        <f ca="1">IFERROR(IF($AA211="NOOS",HLOOKUP(STOCK_OVERVIEW!$AB211&amp;STOCK_OVERVIEW!$AD211,PLANNING_FC!$BB$27:$BP$46,MATCH(STOCK_OVERVIEW!$Y211,PLANNING_FC!$BA$27:$BA$46,0),FALSE),HLOOKUP($AB211&amp;$AD211,PLANNING_FC!$BB$4:$BP$23,MATCH(STOCK_OVERVIEW!$Y211,PLANNING_FC!$BA$4:$BA$23,0),FALSE)),"")</f>
        <v/>
      </c>
      <c r="AI211" s="650" t="str">
        <f ca="1">IFERROR(IF($AA211="NOOS",HLOOKUP(STOCK_OVERVIEW!$AB211&amp;STOCK_OVERVIEW!$AD211,PLANNING_FC!$T$27:$AH$46,MATCH(STOCK_OVERVIEW!$Y211,PLANNING_FC!$B$27:$B$46,0),FALSE),HLOOKUP($AB211&amp;$AD211,PLANNING_FC!$T$4:$AH$23,MATCH(STOCK_OVERVIEW!$Y211,PLANNING_FC!$B$4:$B$23,0),FALSE)),"")</f>
        <v/>
      </c>
      <c r="AJ211" s="650" t="str">
        <f ca="1">IFERROR(IF($AA211="NOOS",HLOOKUP(STOCK_OVERVIEW!$AB211&amp;STOCK_OVERVIEW!$AD211,PLANNING_FC!$DA$27:$DO$46,MATCH(STOCK_OVERVIEW!$Y211,PLANNING_FC!$CZ$27:$CZ$46,0),FALSE),HLOOKUP($AB211&amp;$AD211,PLANNING_FC!$DA$4:$DO$23,MATCH(STOCK_OVERVIEW!$Y211,PLANNING_FC!$CZ$4:$CZ$23,0),FALSE)),"")</f>
        <v/>
      </c>
      <c r="AK211" s="651" t="str">
        <f ca="1">IFERROR(IF(AA211="NOOS",HLOOKUP(AB211&amp;AD211,PLANNING_FC!$AJ$27:$AY$47,MATCH(STOCK_OVERVIEW!Y211,PLANNING_FC!$AJ$27:$AJ$47,0),FALSE)*1000,HLOOKUP(AB211&amp;AD211,PLANNING_FC!$AJ$4:$AY$24,MATCH(STOCK_OVERVIEW!Y211,PLANNING_FC!$AJ$4:$AJ$24,0),FALSE)*1000),"")</f>
        <v/>
      </c>
      <c r="AL211" s="638"/>
      <c r="AM211" s="638"/>
      <c r="AN211" s="638"/>
      <c r="AO211" s="638"/>
      <c r="AP211" s="638"/>
      <c r="AQ211" s="638"/>
      <c r="AR211" s="638"/>
      <c r="AS211" s="638"/>
    </row>
    <row r="212" spans="1:45" s="61" customFormat="1" x14ac:dyDescent="0.25">
      <c r="A212" s="62"/>
      <c r="B212" s="23"/>
      <c r="C212" s="23"/>
      <c r="D212" s="23"/>
      <c r="E212" s="23"/>
      <c r="F212" s="328"/>
      <c r="G212" s="23"/>
      <c r="H212" s="23"/>
      <c r="I212" s="23"/>
      <c r="J212" s="19"/>
      <c r="N212" s="19"/>
      <c r="R212" s="19"/>
      <c r="S212" s="637"/>
      <c r="T212" s="637"/>
      <c r="U212" s="636"/>
      <c r="V212" s="637"/>
      <c r="W212" s="637"/>
      <c r="X212" s="200" t="str">
        <f>NWC_FC_NOOS!$B$1</f>
        <v>VM</v>
      </c>
      <c r="Y212" s="25" t="str">
        <f>NWC_FC_NOOS!$B$67</f>
        <v>T-SHIRTS</v>
      </c>
      <c r="Z212" s="25" t="str">
        <f t="shared" ca="1" si="17"/>
        <v>VMT-SHIRTS19/20Mar</v>
      </c>
      <c r="AA212" s="25" t="str">
        <f>NWC_FC_NOOS!$I$1</f>
        <v>NOOS</v>
      </c>
      <c r="AB212" s="25" t="str">
        <f ca="1">NWC_FC_NOOS!$S$73</f>
        <v>19/20</v>
      </c>
      <c r="AC212" s="25" t="str">
        <f ca="1">NWC_FC_NOOS!$S$74</f>
        <v>Q3</v>
      </c>
      <c r="AD212" s="25" t="str">
        <f ca="1">NWC_FC_NOOS!$T$75</f>
        <v>Mar</v>
      </c>
      <c r="AE212" s="649" t="str">
        <f ca="1">IFERROR(HLOOKUP($AB212&amp;$AD212,NWC_FC_NOOS!$B$4:$Q$24,MATCH($Y212,NWC_FC_NOOS!$B$4:$B$24,0),FALSE),"")</f>
        <v/>
      </c>
      <c r="AF212" s="650" t="str">
        <f ca="1">IFERROR(HLOOKUP($AB212&amp;$AD212,NWC_FC_NOOS!$S$4:$AH$24,MATCH($Y212,NWC_FC_NOOS!$S$4:$S$24,0),FALSE),"")</f>
        <v/>
      </c>
      <c r="AG212" s="650">
        <f ca="1">IFERROR(HLOOKUP($AB212&amp;$AD212,NWC_FC_NOOS!$C$50:$U$70,MATCH($Y212,NWC_FC_NOOS!$B$50:$B$70,0),FALSE),"")</f>
        <v>0</v>
      </c>
      <c r="AH212" s="650" t="str">
        <f ca="1">IFERROR(IF($AA212="NOOS",HLOOKUP(STOCK_OVERVIEW!$AB212&amp;STOCK_OVERVIEW!$AD212,PLANNING_FC!$BB$27:$BP$46,MATCH(STOCK_OVERVIEW!$Y212,PLANNING_FC!$BA$27:$BA$46,0),FALSE),HLOOKUP($AB212&amp;$AD212,PLANNING_FC!$BB$4:$BP$23,MATCH(STOCK_OVERVIEW!$Y212,PLANNING_FC!$BA$4:$BA$23,0),FALSE)),"")</f>
        <v/>
      </c>
      <c r="AI212" s="650" t="str">
        <f ca="1">IFERROR(IF($AA212="NOOS",HLOOKUP(STOCK_OVERVIEW!$AB212&amp;STOCK_OVERVIEW!$AD212,PLANNING_FC!$T$27:$AH$46,MATCH(STOCK_OVERVIEW!$Y212,PLANNING_FC!$B$27:$B$46,0),FALSE),HLOOKUP($AB212&amp;$AD212,PLANNING_FC!$T$4:$AH$23,MATCH(STOCK_OVERVIEW!$Y212,PLANNING_FC!$B$4:$B$23,0),FALSE)),"")</f>
        <v/>
      </c>
      <c r="AJ212" s="650" t="str">
        <f ca="1">IFERROR(IF($AA212="NOOS",HLOOKUP(STOCK_OVERVIEW!$AB212&amp;STOCK_OVERVIEW!$AD212,PLANNING_FC!$DA$27:$DO$46,MATCH(STOCK_OVERVIEW!$Y212,PLANNING_FC!$CZ$27:$CZ$46,0),FALSE),HLOOKUP($AB212&amp;$AD212,PLANNING_FC!$DA$4:$DO$23,MATCH(STOCK_OVERVIEW!$Y212,PLANNING_FC!$CZ$4:$CZ$23,0),FALSE)),"")</f>
        <v/>
      </c>
      <c r="AK212" s="651" t="str">
        <f ca="1">IFERROR(IF(AA212="NOOS",HLOOKUP(AB212&amp;AD212,PLANNING_FC!$AJ$27:$AY$47,MATCH(STOCK_OVERVIEW!Y212,PLANNING_FC!$AJ$27:$AJ$47,0),FALSE)*1000,HLOOKUP(AB212&amp;AD212,PLANNING_FC!$AJ$4:$AY$24,MATCH(STOCK_OVERVIEW!Y212,PLANNING_FC!$AJ$4:$AJ$24,0),FALSE)*1000),"")</f>
        <v/>
      </c>
      <c r="AL212" s="638"/>
      <c r="AM212" s="638"/>
      <c r="AN212" s="638"/>
      <c r="AO212" s="638"/>
      <c r="AP212" s="638"/>
      <c r="AQ212" s="638"/>
      <c r="AR212" s="638"/>
      <c r="AS212" s="638"/>
    </row>
    <row r="213" spans="1:45" s="61" customFormat="1" x14ac:dyDescent="0.25">
      <c r="A213" s="62"/>
      <c r="B213" s="23"/>
      <c r="C213" s="23"/>
      <c r="D213" s="23"/>
      <c r="E213" s="23"/>
      <c r="F213" s="328"/>
      <c r="G213" s="23"/>
      <c r="H213" s="23"/>
      <c r="I213" s="23"/>
      <c r="J213" s="19"/>
      <c r="N213" s="19"/>
      <c r="R213" s="19"/>
      <c r="S213" s="637"/>
      <c r="T213" s="637"/>
      <c r="U213" s="636"/>
      <c r="V213" s="637"/>
      <c r="W213" s="637"/>
      <c r="X213" s="200" t="str">
        <f>NWC_FC_NOOS!$B$1</f>
        <v>VM</v>
      </c>
      <c r="Y213" s="25" t="str">
        <f>NWC_FC_NOOS!$B$67</f>
        <v>T-SHIRTS</v>
      </c>
      <c r="Z213" s="25" t="str">
        <f t="shared" ca="1" si="17"/>
        <v>VMT-SHIRTS19/20Apr</v>
      </c>
      <c r="AA213" s="25" t="str">
        <f>NWC_FC_NOOS!$I$1</f>
        <v>NOOS</v>
      </c>
      <c r="AB213" s="25" t="str">
        <f ca="1">NWC_FC_NOOS!$S$73</f>
        <v>19/20</v>
      </c>
      <c r="AC213" s="25" t="str">
        <f ca="1">NWC_FC_NOOS!$S$74</f>
        <v>Q3</v>
      </c>
      <c r="AD213" s="25" t="str">
        <f ca="1">NWC_FC_NOOS!$U$75</f>
        <v>Apr</v>
      </c>
      <c r="AE213" s="649" t="str">
        <f ca="1">IFERROR(HLOOKUP($AB213&amp;$AD213,NWC_FC_NOOS!$B$4:$Q$24,MATCH($Y213,NWC_FC_NOOS!$B$4:$B$24,0),FALSE),"")</f>
        <v/>
      </c>
      <c r="AF213" s="650" t="str">
        <f ca="1">IFERROR(HLOOKUP($AB213&amp;$AD213,NWC_FC_NOOS!$S$4:$AH$24,MATCH($Y213,NWC_FC_NOOS!$S$4:$S$24,0),FALSE),"")</f>
        <v/>
      </c>
      <c r="AG213" s="650">
        <f ca="1">IFERROR(HLOOKUP($AB213&amp;$AD213,NWC_FC_NOOS!$C$50:$U$70,MATCH($Y213,NWC_FC_NOOS!$B$50:$B$70,0),FALSE),"")</f>
        <v>0</v>
      </c>
      <c r="AH213" s="650" t="str">
        <f ca="1">IFERROR(IF($AA213="NOOS",HLOOKUP(STOCK_OVERVIEW!$AB213&amp;STOCK_OVERVIEW!$AD213,PLANNING_FC!$BB$27:$BP$46,MATCH(STOCK_OVERVIEW!$Y213,PLANNING_FC!$BA$27:$BA$46,0),FALSE),HLOOKUP($AB213&amp;$AD213,PLANNING_FC!$BB$4:$BP$23,MATCH(STOCK_OVERVIEW!$Y213,PLANNING_FC!$BA$4:$BA$23,0),FALSE)),"")</f>
        <v/>
      </c>
      <c r="AI213" s="650" t="str">
        <f ca="1">IFERROR(IF($AA213="NOOS",HLOOKUP(STOCK_OVERVIEW!$AB213&amp;STOCK_OVERVIEW!$AD213,PLANNING_FC!$T$27:$AH$46,MATCH(STOCK_OVERVIEW!$Y213,PLANNING_FC!$B$27:$B$46,0),FALSE),HLOOKUP($AB213&amp;$AD213,PLANNING_FC!$T$4:$AH$23,MATCH(STOCK_OVERVIEW!$Y213,PLANNING_FC!$B$4:$B$23,0),FALSE)),"")</f>
        <v/>
      </c>
      <c r="AJ213" s="650" t="str">
        <f ca="1">IFERROR(IF($AA213="NOOS",HLOOKUP(STOCK_OVERVIEW!$AB213&amp;STOCK_OVERVIEW!$AD213,PLANNING_FC!$DA$27:$DO$46,MATCH(STOCK_OVERVIEW!$Y213,PLANNING_FC!$CZ$27:$CZ$46,0),FALSE),HLOOKUP($AB213&amp;$AD213,PLANNING_FC!$DA$4:$DO$23,MATCH(STOCK_OVERVIEW!$Y213,PLANNING_FC!$CZ$4:$CZ$23,0),FALSE)),"")</f>
        <v/>
      </c>
      <c r="AK213" s="651" t="str">
        <f ca="1">IFERROR(IF(AA213="NOOS",HLOOKUP(AB213&amp;AD213,PLANNING_FC!$AJ$27:$AY$47,MATCH(STOCK_OVERVIEW!Y213,PLANNING_FC!$AJ$27:$AJ$47,0),FALSE)*1000,HLOOKUP(AB213&amp;AD213,PLANNING_FC!$AJ$4:$AY$24,MATCH(STOCK_OVERVIEW!Y213,PLANNING_FC!$AJ$4:$AJ$24,0),FALSE)*1000),"")</f>
        <v/>
      </c>
      <c r="AL213" s="638"/>
      <c r="AM213" s="638"/>
      <c r="AN213" s="638"/>
      <c r="AO213" s="638"/>
      <c r="AP213" s="638"/>
      <c r="AQ213" s="638"/>
      <c r="AR213" s="638"/>
      <c r="AS213" s="638"/>
    </row>
    <row r="214" spans="1:45" s="61" customFormat="1" x14ac:dyDescent="0.25">
      <c r="A214" s="62"/>
      <c r="B214" s="23"/>
      <c r="C214" s="23"/>
      <c r="D214" s="23"/>
      <c r="E214" s="23"/>
      <c r="F214" s="328"/>
      <c r="G214" s="23"/>
      <c r="H214" s="23"/>
      <c r="I214" s="23"/>
      <c r="J214" s="19"/>
      <c r="N214" s="19"/>
      <c r="R214" s="19"/>
      <c r="S214" s="637"/>
      <c r="T214" s="637"/>
      <c r="U214" s="636"/>
      <c r="V214" s="637"/>
      <c r="W214" s="637"/>
      <c r="X214" s="200" t="str">
        <f>NWC_FC_NOOS!$B$1</f>
        <v>VM</v>
      </c>
      <c r="Y214" s="25" t="str">
        <f>NWC_FC_NOOS!$B$68</f>
        <v>T-SHIRTS &amp; TOPS</v>
      </c>
      <c r="Z214" s="25" t="str">
        <f t="shared" ca="1" si="17"/>
        <v>VMT-SHIRTS &amp; TOPS18/19Feb</v>
      </c>
      <c r="AA214" s="25" t="str">
        <f>NWC_FC_NOOS!$I$1</f>
        <v>NOOS</v>
      </c>
      <c r="AB214" s="25" t="str">
        <f ca="1">NWC_FC_NOOS!$C$73</f>
        <v>18/19</v>
      </c>
      <c r="AC214" s="25" t="str">
        <f ca="1">NWC_FC_NOOS!$C$74</f>
        <v>Q3</v>
      </c>
      <c r="AD214" s="25" t="str">
        <f ca="1">NWC_FC_NOOS!$C$75</f>
        <v>Feb</v>
      </c>
      <c r="AE214" s="649">
        <f ca="1">IFERROR(HLOOKUP($AB214&amp;$AD214,NWC_FC_NOOS!$B$4:$Q$24,MATCH($Y214,NWC_FC_NOOS!$B$4:$B$24,0),FALSE),"")</f>
        <v>0</v>
      </c>
      <c r="AF214" s="650">
        <f ca="1">IFERROR(HLOOKUP($AB214&amp;$AD214,NWC_FC_NOOS!$S$4:$AH$24,MATCH($Y214,NWC_FC_NOOS!$S$4:$S$24,0),FALSE),"")</f>
        <v>0</v>
      </c>
      <c r="AG214" s="650">
        <f ca="1">IFERROR(HLOOKUP($AB214&amp;$AD214,NWC_FC_NOOS!$C$50:$U$70,MATCH($Y214,NWC_FC_NOOS!$B$50:$B$70,0),FALSE),"")</f>
        <v>0</v>
      </c>
      <c r="AH214" s="650">
        <f ca="1">IFERROR(IF($AA214="NOOS",HLOOKUP(STOCK_OVERVIEW!$AB214&amp;STOCK_OVERVIEW!$AD214,PLANNING_FC!$BB$27:$BP$46,MATCH(STOCK_OVERVIEW!$Y214,PLANNING_FC!$BA$27:$BA$46,0),FALSE),HLOOKUP($AB214&amp;$AD214,PLANNING_FC!$BB$4:$BP$23,MATCH(STOCK_OVERVIEW!$Y214,PLANNING_FC!$BA$4:$BA$23,0),FALSE)),"")</f>
        <v>0</v>
      </c>
      <c r="AI214" s="650">
        <f ca="1">IFERROR(IF($AA214="NOOS",HLOOKUP(STOCK_OVERVIEW!$AB214&amp;STOCK_OVERVIEW!$AD214,PLANNING_FC!$T$27:$AH$46,MATCH(STOCK_OVERVIEW!$Y214,PLANNING_FC!$B$27:$B$46,0),FALSE),HLOOKUP($AB214&amp;$AD214,PLANNING_FC!$T$4:$AH$23,MATCH(STOCK_OVERVIEW!$Y214,PLANNING_FC!$B$4:$B$23,0),FALSE)),"")</f>
        <v>0</v>
      </c>
      <c r="AJ214" s="650">
        <f ca="1">IFERROR(IF($AA214="NOOS",HLOOKUP(STOCK_OVERVIEW!$AB214&amp;STOCK_OVERVIEW!$AD214,PLANNING_FC!$DA$27:$DO$46,MATCH(STOCK_OVERVIEW!$Y214,PLANNING_FC!$CZ$27:$CZ$46,0),FALSE),HLOOKUP($AB214&amp;$AD214,PLANNING_FC!$DA$4:$DO$23,MATCH(STOCK_OVERVIEW!$Y214,PLANNING_FC!$CZ$4:$CZ$23,0),FALSE)),"")</f>
        <v>0</v>
      </c>
      <c r="AK214" s="651">
        <f ca="1">IFERROR(IF(AA214="NOOS",HLOOKUP(AB214&amp;AD214,PLANNING_FC!$AJ$27:$AY$47,MATCH(STOCK_OVERVIEW!Y214,PLANNING_FC!$AJ$27:$AJ$47,0),FALSE)*1000,HLOOKUP(AB214&amp;AD214,PLANNING_FC!$AJ$4:$AY$24,MATCH(STOCK_OVERVIEW!Y214,PLANNING_FC!$AJ$4:$AJ$24,0),FALSE)*1000),"")</f>
        <v>0</v>
      </c>
      <c r="AL214" s="638"/>
      <c r="AM214" s="638"/>
      <c r="AN214" s="638"/>
      <c r="AO214" s="638"/>
      <c r="AP214" s="638"/>
      <c r="AQ214" s="638"/>
      <c r="AR214" s="638"/>
      <c r="AS214" s="638"/>
    </row>
    <row r="215" spans="1:45" s="61" customFormat="1" x14ac:dyDescent="0.25">
      <c r="A215" s="62"/>
      <c r="B215" s="23"/>
      <c r="C215" s="23"/>
      <c r="D215" s="23"/>
      <c r="E215" s="23"/>
      <c r="F215" s="328"/>
      <c r="G215" s="23"/>
      <c r="H215" s="23"/>
      <c r="I215" s="23"/>
      <c r="J215" s="19"/>
      <c r="N215" s="19"/>
      <c r="R215" s="19"/>
      <c r="S215" s="637"/>
      <c r="T215" s="637"/>
      <c r="U215" s="636"/>
      <c r="V215" s="637"/>
      <c r="W215" s="637"/>
      <c r="X215" s="200" t="str">
        <f>NWC_FC_NOOS!$B$1</f>
        <v>VM</v>
      </c>
      <c r="Y215" s="25" t="str">
        <f>NWC_FC_NOOS!$B$68</f>
        <v>T-SHIRTS &amp; TOPS</v>
      </c>
      <c r="Z215" s="25" t="str">
        <f t="shared" ca="1" si="17"/>
        <v>VMT-SHIRTS &amp; TOPS18/19Mar</v>
      </c>
      <c r="AA215" s="25" t="str">
        <f>NWC_FC_NOOS!$I$1</f>
        <v>NOOS</v>
      </c>
      <c r="AB215" s="25" t="str">
        <f ca="1">NWC_FC_NOOS!$C$73</f>
        <v>18/19</v>
      </c>
      <c r="AC215" s="25" t="str">
        <f ca="1">NWC_FC_NOOS!$C$74</f>
        <v>Q3</v>
      </c>
      <c r="AD215" s="25" t="str">
        <f ca="1">NWC_FC_NOOS!$D$75</f>
        <v>Mar</v>
      </c>
      <c r="AE215" s="649">
        <f ca="1">IFERROR(HLOOKUP($AB215&amp;$AD215,NWC_FC_NOOS!$B$4:$Q$24,MATCH($Y215,NWC_FC_NOOS!$B$4:$B$24,0),FALSE),"")</f>
        <v>0</v>
      </c>
      <c r="AF215" s="650">
        <f ca="1">IFERROR(HLOOKUP($AB215&amp;$AD215,NWC_FC_NOOS!$S$4:$AH$24,MATCH($Y215,NWC_FC_NOOS!$S$4:$S$24,0),FALSE),"")</f>
        <v>0</v>
      </c>
      <c r="AG215" s="650">
        <f ca="1">IFERROR(HLOOKUP($AB215&amp;$AD215,NWC_FC_NOOS!$C$50:$U$70,MATCH($Y215,NWC_FC_NOOS!$B$50:$B$70,0),FALSE),"")</f>
        <v>0</v>
      </c>
      <c r="AH215" s="650">
        <f ca="1">IFERROR(IF($AA215="NOOS",HLOOKUP(STOCK_OVERVIEW!$AB215&amp;STOCK_OVERVIEW!$AD215,PLANNING_FC!$BB$27:$BP$46,MATCH(STOCK_OVERVIEW!$Y215,PLANNING_FC!$BA$27:$BA$46,0),FALSE),HLOOKUP($AB215&amp;$AD215,PLANNING_FC!$BB$4:$BP$23,MATCH(STOCK_OVERVIEW!$Y215,PLANNING_FC!$BA$4:$BA$23,0),FALSE)),"")</f>
        <v>0</v>
      </c>
      <c r="AI215" s="650">
        <f ca="1">IFERROR(IF($AA215="NOOS",HLOOKUP(STOCK_OVERVIEW!$AB215&amp;STOCK_OVERVIEW!$AD215,PLANNING_FC!$T$27:$AH$46,MATCH(STOCK_OVERVIEW!$Y215,PLANNING_FC!$B$27:$B$46,0),FALSE),HLOOKUP($AB215&amp;$AD215,PLANNING_FC!$T$4:$AH$23,MATCH(STOCK_OVERVIEW!$Y215,PLANNING_FC!$B$4:$B$23,0),FALSE)),"")</f>
        <v>0</v>
      </c>
      <c r="AJ215" s="650">
        <f ca="1">IFERROR(IF($AA215="NOOS",HLOOKUP(STOCK_OVERVIEW!$AB215&amp;STOCK_OVERVIEW!$AD215,PLANNING_FC!$DA$27:$DO$46,MATCH(STOCK_OVERVIEW!$Y215,PLANNING_FC!$CZ$27:$CZ$46,0),FALSE),HLOOKUP($AB215&amp;$AD215,PLANNING_FC!$DA$4:$DO$23,MATCH(STOCK_OVERVIEW!$Y215,PLANNING_FC!$CZ$4:$CZ$23,0),FALSE)),"")</f>
        <v>0</v>
      </c>
      <c r="AK215" s="651">
        <f ca="1">IFERROR(IF(AA215="NOOS",HLOOKUP(AB215&amp;AD215,PLANNING_FC!$AJ$27:$AY$47,MATCH(STOCK_OVERVIEW!Y215,PLANNING_FC!$AJ$27:$AJ$47,0),FALSE)*1000,HLOOKUP(AB215&amp;AD215,PLANNING_FC!$AJ$4:$AY$24,MATCH(STOCK_OVERVIEW!Y215,PLANNING_FC!$AJ$4:$AJ$24,0),FALSE)*1000),"")</f>
        <v>0</v>
      </c>
      <c r="AL215" s="638"/>
      <c r="AM215" s="638"/>
      <c r="AN215" s="638"/>
      <c r="AO215" s="638"/>
      <c r="AP215" s="638"/>
      <c r="AQ215" s="638"/>
      <c r="AR215" s="638"/>
      <c r="AS215" s="638"/>
    </row>
    <row r="216" spans="1:45" s="61" customFormat="1" x14ac:dyDescent="0.25">
      <c r="A216" s="62"/>
      <c r="B216" s="23"/>
      <c r="C216" s="23"/>
      <c r="D216" s="23"/>
      <c r="E216" s="23"/>
      <c r="F216" s="328"/>
      <c r="G216" s="23"/>
      <c r="H216" s="23"/>
      <c r="I216" s="23"/>
      <c r="J216" s="19"/>
      <c r="N216" s="19"/>
      <c r="R216" s="19"/>
      <c r="S216" s="637"/>
      <c r="T216" s="637"/>
      <c r="U216" s="636"/>
      <c r="V216" s="637"/>
      <c r="W216" s="637"/>
      <c r="X216" s="200" t="str">
        <f>NWC_FC_NOOS!$B$1</f>
        <v>VM</v>
      </c>
      <c r="Y216" s="25" t="str">
        <f>NWC_FC_NOOS!$B$68</f>
        <v>T-SHIRTS &amp; TOPS</v>
      </c>
      <c r="Z216" s="25" t="str">
        <f t="shared" ca="1" si="17"/>
        <v>VMT-SHIRTS &amp; TOPS18/19Apr</v>
      </c>
      <c r="AA216" s="25" t="str">
        <f>NWC_FC_NOOS!$I$1</f>
        <v>NOOS</v>
      </c>
      <c r="AB216" s="25" t="str">
        <f ca="1">NWC_FC_NOOS!$C$73</f>
        <v>18/19</v>
      </c>
      <c r="AC216" s="25" t="str">
        <f ca="1">NWC_FC_NOOS!$C$74</f>
        <v>Q3</v>
      </c>
      <c r="AD216" s="25" t="str">
        <f ca="1">NWC_FC_NOOS!$E$75</f>
        <v>Apr</v>
      </c>
      <c r="AE216" s="649">
        <f ca="1">IFERROR(HLOOKUP($AB216&amp;$AD216,NWC_FC_NOOS!$B$4:$Q$24,MATCH($Y216,NWC_FC_NOOS!$B$4:$B$24,0),FALSE),"")</f>
        <v>0</v>
      </c>
      <c r="AF216" s="650">
        <f ca="1">IFERROR(HLOOKUP($AB216&amp;$AD216,NWC_FC_NOOS!$S$4:$AH$24,MATCH($Y216,NWC_FC_NOOS!$S$4:$S$24,0),FALSE),"")</f>
        <v>0</v>
      </c>
      <c r="AG216" s="650">
        <f ca="1">IFERROR(HLOOKUP($AB216&amp;$AD216,NWC_FC_NOOS!$C$50:$U$70,MATCH($Y216,NWC_FC_NOOS!$B$50:$B$70,0),FALSE),"")</f>
        <v>0</v>
      </c>
      <c r="AH216" s="650">
        <f ca="1">IFERROR(IF($AA216="NOOS",HLOOKUP(STOCK_OVERVIEW!$AB216&amp;STOCK_OVERVIEW!$AD216,PLANNING_FC!$BB$27:$BP$46,MATCH(STOCK_OVERVIEW!$Y216,PLANNING_FC!$BA$27:$BA$46,0),FALSE),HLOOKUP($AB216&amp;$AD216,PLANNING_FC!$BB$4:$BP$23,MATCH(STOCK_OVERVIEW!$Y216,PLANNING_FC!$BA$4:$BA$23,0),FALSE)),"")</f>
        <v>0</v>
      </c>
      <c r="AI216" s="650">
        <f ca="1">IFERROR(IF($AA216="NOOS",HLOOKUP(STOCK_OVERVIEW!$AB216&amp;STOCK_OVERVIEW!$AD216,PLANNING_FC!$T$27:$AH$46,MATCH(STOCK_OVERVIEW!$Y216,PLANNING_FC!$B$27:$B$46,0),FALSE),HLOOKUP($AB216&amp;$AD216,PLANNING_FC!$T$4:$AH$23,MATCH(STOCK_OVERVIEW!$Y216,PLANNING_FC!$B$4:$B$23,0),FALSE)),"")</f>
        <v>0</v>
      </c>
      <c r="AJ216" s="650">
        <f ca="1">IFERROR(IF($AA216="NOOS",HLOOKUP(STOCK_OVERVIEW!$AB216&amp;STOCK_OVERVIEW!$AD216,PLANNING_FC!$DA$27:$DO$46,MATCH(STOCK_OVERVIEW!$Y216,PLANNING_FC!$CZ$27:$CZ$46,0),FALSE),HLOOKUP($AB216&amp;$AD216,PLANNING_FC!$DA$4:$DO$23,MATCH(STOCK_OVERVIEW!$Y216,PLANNING_FC!$CZ$4:$CZ$23,0),FALSE)),"")</f>
        <v>1792</v>
      </c>
      <c r="AK216" s="651">
        <f ca="1">IFERROR(IF(AA216="NOOS",HLOOKUP(AB216&amp;AD216,PLANNING_FC!$AJ$27:$AY$47,MATCH(STOCK_OVERVIEW!Y216,PLANNING_FC!$AJ$27:$AJ$47,0),FALSE)*1000,HLOOKUP(AB216&amp;AD216,PLANNING_FC!$AJ$4:$AY$24,MATCH(STOCK_OVERVIEW!Y216,PLANNING_FC!$AJ$4:$AJ$24,0),FALSE)*1000),"")</f>
        <v>0</v>
      </c>
      <c r="AL216" s="638"/>
      <c r="AM216" s="638"/>
      <c r="AN216" s="638"/>
      <c r="AO216" s="638"/>
      <c r="AP216" s="638"/>
      <c r="AQ216" s="638"/>
      <c r="AR216" s="638"/>
      <c r="AS216" s="638"/>
    </row>
    <row r="217" spans="1:45" s="61" customFormat="1" x14ac:dyDescent="0.25">
      <c r="A217" s="62"/>
      <c r="B217" s="23"/>
      <c r="C217" s="23"/>
      <c r="D217" s="23"/>
      <c r="E217" s="23"/>
      <c r="F217" s="328"/>
      <c r="G217" s="23"/>
      <c r="H217" s="23"/>
      <c r="I217" s="23"/>
      <c r="J217" s="19"/>
      <c r="N217" s="19"/>
      <c r="R217" s="19"/>
      <c r="S217" s="637"/>
      <c r="T217" s="637"/>
      <c r="U217" s="636"/>
      <c r="V217" s="637"/>
      <c r="W217" s="637"/>
      <c r="X217" s="200" t="str">
        <f>NWC_FC_NOOS!$B$1</f>
        <v>VM</v>
      </c>
      <c r="Y217" s="25" t="str">
        <f>NWC_FC_NOOS!$B$68</f>
        <v>T-SHIRTS &amp; TOPS</v>
      </c>
      <c r="Z217" s="25" t="str">
        <f t="shared" ca="1" si="17"/>
        <v>VMT-SHIRTS &amp; TOPS18/19May</v>
      </c>
      <c r="AA217" s="25" t="str">
        <f>NWC_FC_NOOS!$I$1</f>
        <v>NOOS</v>
      </c>
      <c r="AB217" s="25" t="str">
        <f ca="1">NWC_FC_NOOS!$G$73</f>
        <v>18/19</v>
      </c>
      <c r="AC217" s="25" t="str">
        <f ca="1">NWC_FC_NOOS!$G$74</f>
        <v>Q4</v>
      </c>
      <c r="AD217" s="25" t="str">
        <f ca="1">NWC_FC_NOOS!$G$75</f>
        <v>May</v>
      </c>
      <c r="AE217" s="649">
        <f ca="1">IFERROR(HLOOKUP($AB217&amp;$AD217,NWC_FC_NOOS!$B$4:$Q$24,MATCH($Y217,NWC_FC_NOOS!$B$4:$B$24,0),FALSE),"")</f>
        <v>0</v>
      </c>
      <c r="AF217" s="650">
        <f ca="1">IFERROR(HLOOKUP($AB217&amp;$AD217,NWC_FC_NOOS!$S$4:$AH$24,MATCH($Y217,NWC_FC_NOOS!$S$4:$S$24,0),FALSE),"")</f>
        <v>0</v>
      </c>
      <c r="AG217" s="650">
        <f ca="1">IFERROR(HLOOKUP($AB217&amp;$AD217,NWC_FC_NOOS!$C$50:$U$70,MATCH($Y217,NWC_FC_NOOS!$B$50:$B$70,0),FALSE),"")</f>
        <v>0</v>
      </c>
      <c r="AH217" s="650">
        <f ca="1">IFERROR(IF($AA217="NOOS",HLOOKUP(STOCK_OVERVIEW!$AB217&amp;STOCK_OVERVIEW!$AD217,PLANNING_FC!$BB$27:$BP$46,MATCH(STOCK_OVERVIEW!$Y217,PLANNING_FC!$BA$27:$BA$46,0),FALSE),HLOOKUP($AB217&amp;$AD217,PLANNING_FC!$BB$4:$BP$23,MATCH(STOCK_OVERVIEW!$Y217,PLANNING_FC!$BA$4:$BA$23,0),FALSE)),"")</f>
        <v>0</v>
      </c>
      <c r="AI217" s="650">
        <f ca="1">IFERROR(IF($AA217="NOOS",HLOOKUP(STOCK_OVERVIEW!$AB217&amp;STOCK_OVERVIEW!$AD217,PLANNING_FC!$T$27:$AH$46,MATCH(STOCK_OVERVIEW!$Y217,PLANNING_FC!$B$27:$B$46,0),FALSE),HLOOKUP($AB217&amp;$AD217,PLANNING_FC!$T$4:$AH$23,MATCH(STOCK_OVERVIEW!$Y217,PLANNING_FC!$B$4:$B$23,0),FALSE)),"")</f>
        <v>0</v>
      </c>
      <c r="AJ217" s="650">
        <f ca="1">IFERROR(IF($AA217="NOOS",HLOOKUP(STOCK_OVERVIEW!$AB217&amp;STOCK_OVERVIEW!$AD217,PLANNING_FC!$DA$27:$DO$46,MATCH(STOCK_OVERVIEW!$Y217,PLANNING_FC!$CZ$27:$CZ$46,0),FALSE),HLOOKUP($AB217&amp;$AD217,PLANNING_FC!$DA$4:$DO$23,MATCH(STOCK_OVERVIEW!$Y217,PLANNING_FC!$CZ$4:$CZ$23,0),FALSE)),"")</f>
        <v>1792</v>
      </c>
      <c r="AK217" s="651">
        <f ca="1">IFERROR(IF(AA217="NOOS",HLOOKUP(AB217&amp;AD217,PLANNING_FC!$AJ$27:$AY$47,MATCH(STOCK_OVERVIEW!Y217,PLANNING_FC!$AJ$27:$AJ$47,0),FALSE)*1000,HLOOKUP(AB217&amp;AD217,PLANNING_FC!$AJ$4:$AY$24,MATCH(STOCK_OVERVIEW!Y217,PLANNING_FC!$AJ$4:$AJ$24,0),FALSE)*1000),"")</f>
        <v>0</v>
      </c>
      <c r="AL217" s="638"/>
      <c r="AM217" s="638"/>
      <c r="AN217" s="638"/>
      <c r="AO217" s="638"/>
      <c r="AP217" s="638"/>
      <c r="AQ217" s="638"/>
      <c r="AR217" s="638"/>
      <c r="AS217" s="638"/>
    </row>
    <row r="218" spans="1:45" s="61" customFormat="1" x14ac:dyDescent="0.25">
      <c r="A218" s="62"/>
      <c r="F218" s="19"/>
      <c r="J218" s="19"/>
      <c r="N218" s="19"/>
      <c r="R218" s="19"/>
      <c r="S218" s="637"/>
      <c r="T218" s="637"/>
      <c r="U218" s="636"/>
      <c r="V218" s="637"/>
      <c r="W218" s="637"/>
      <c r="X218" s="200" t="str">
        <f>NWC_FC_NOOS!$B$1</f>
        <v>VM</v>
      </c>
      <c r="Y218" s="25" t="str">
        <f>NWC_FC_NOOS!$B$68</f>
        <v>T-SHIRTS &amp; TOPS</v>
      </c>
      <c r="Z218" s="25" t="str">
        <f t="shared" ca="1" si="17"/>
        <v>VMT-SHIRTS &amp; TOPS18/19Jun</v>
      </c>
      <c r="AA218" s="25" t="str">
        <f>NWC_FC_NOOS!$I$1</f>
        <v>NOOS</v>
      </c>
      <c r="AB218" s="25" t="str">
        <f ca="1">NWC_FC_NOOS!$G$73</f>
        <v>18/19</v>
      </c>
      <c r="AC218" s="25" t="str">
        <f ca="1">NWC_FC_NOOS!$G$74</f>
        <v>Q4</v>
      </c>
      <c r="AD218" s="25" t="str">
        <f ca="1">NWC_FC_NOOS!$H$75</f>
        <v>Jun</v>
      </c>
      <c r="AE218" s="649">
        <f ca="1">IFERROR(HLOOKUP($AB218&amp;$AD218,NWC_FC_NOOS!$B$4:$Q$24,MATCH($Y218,NWC_FC_NOOS!$B$4:$B$24,0),FALSE),"")</f>
        <v>0</v>
      </c>
      <c r="AF218" s="650">
        <f ca="1">IFERROR(HLOOKUP($AB218&amp;$AD218,NWC_FC_NOOS!$S$4:$AH$24,MATCH($Y218,NWC_FC_NOOS!$S$4:$S$24,0),FALSE),"")</f>
        <v>0</v>
      </c>
      <c r="AG218" s="650">
        <f ca="1">IFERROR(HLOOKUP($AB218&amp;$AD218,NWC_FC_NOOS!$C$50:$U$70,MATCH($Y218,NWC_FC_NOOS!$B$50:$B$70,0),FALSE),"")</f>
        <v>0</v>
      </c>
      <c r="AH218" s="650">
        <f ca="1">IFERROR(IF($AA218="NOOS",HLOOKUP(STOCK_OVERVIEW!$AB218&amp;STOCK_OVERVIEW!$AD218,PLANNING_FC!$BB$27:$BP$46,MATCH(STOCK_OVERVIEW!$Y218,PLANNING_FC!$BA$27:$BA$46,0),FALSE),HLOOKUP($AB218&amp;$AD218,PLANNING_FC!$BB$4:$BP$23,MATCH(STOCK_OVERVIEW!$Y218,PLANNING_FC!$BA$4:$BA$23,0),FALSE)),"")</f>
        <v>0</v>
      </c>
      <c r="AI218" s="650">
        <f ca="1">IFERROR(IF($AA218="NOOS",HLOOKUP(STOCK_OVERVIEW!$AB218&amp;STOCK_OVERVIEW!$AD218,PLANNING_FC!$T$27:$AH$46,MATCH(STOCK_OVERVIEW!$Y218,PLANNING_FC!$B$27:$B$46,0),FALSE),HLOOKUP($AB218&amp;$AD218,PLANNING_FC!$T$4:$AH$23,MATCH(STOCK_OVERVIEW!$Y218,PLANNING_FC!$B$4:$B$23,0),FALSE)),"")</f>
        <v>0</v>
      </c>
      <c r="AJ218" s="650">
        <f ca="1">IFERROR(IF($AA218="NOOS",HLOOKUP(STOCK_OVERVIEW!$AB218&amp;STOCK_OVERVIEW!$AD218,PLANNING_FC!$DA$27:$DO$46,MATCH(STOCK_OVERVIEW!$Y218,PLANNING_FC!$CZ$27:$CZ$46,0),FALSE),HLOOKUP($AB218&amp;$AD218,PLANNING_FC!$DA$4:$DO$23,MATCH(STOCK_OVERVIEW!$Y218,PLANNING_FC!$CZ$4:$CZ$23,0),FALSE)),"")</f>
        <v>1792</v>
      </c>
      <c r="AK218" s="651">
        <f ca="1">IFERROR(IF(AA218="NOOS",HLOOKUP(AB218&amp;AD218,PLANNING_FC!$AJ$27:$AY$47,MATCH(STOCK_OVERVIEW!Y218,PLANNING_FC!$AJ$27:$AJ$47,0),FALSE)*1000,HLOOKUP(AB218&amp;AD218,PLANNING_FC!$AJ$4:$AY$24,MATCH(STOCK_OVERVIEW!Y218,PLANNING_FC!$AJ$4:$AJ$24,0),FALSE)*1000),"")</f>
        <v>0</v>
      </c>
      <c r="AL218" s="638"/>
      <c r="AM218" s="638"/>
      <c r="AN218" s="638"/>
      <c r="AO218" s="638"/>
      <c r="AP218" s="638"/>
      <c r="AQ218" s="638"/>
      <c r="AR218" s="638"/>
      <c r="AS218" s="638"/>
    </row>
    <row r="219" spans="1:45" s="61" customFormat="1" x14ac:dyDescent="0.25">
      <c r="A219" s="62"/>
      <c r="F219" s="19"/>
      <c r="J219" s="19"/>
      <c r="N219" s="19"/>
      <c r="R219" s="19"/>
      <c r="S219" s="637"/>
      <c r="T219" s="637"/>
      <c r="U219" s="636"/>
      <c r="V219" s="637"/>
      <c r="W219" s="637"/>
      <c r="X219" s="200" t="str">
        <f>NWC_FC_NOOS!$B$1</f>
        <v>VM</v>
      </c>
      <c r="Y219" s="25" t="str">
        <f>NWC_FC_NOOS!$B$68</f>
        <v>T-SHIRTS &amp; TOPS</v>
      </c>
      <c r="Z219" s="25" t="str">
        <f t="shared" ca="1" si="17"/>
        <v>VMT-SHIRTS &amp; TOPS18/19Jul</v>
      </c>
      <c r="AA219" s="25" t="str">
        <f>NWC_FC_NOOS!$I$1</f>
        <v>NOOS</v>
      </c>
      <c r="AB219" s="25" t="str">
        <f ca="1">NWC_FC_NOOS!$G$73</f>
        <v>18/19</v>
      </c>
      <c r="AC219" s="25" t="str">
        <f ca="1">NWC_FC_NOOS!$G$74</f>
        <v>Q4</v>
      </c>
      <c r="AD219" s="25" t="str">
        <f ca="1">NWC_FC_NOOS!$I$75</f>
        <v>Jul</v>
      </c>
      <c r="AE219" s="649">
        <f ca="1">IFERROR(HLOOKUP($AB219&amp;$AD219,NWC_FC_NOOS!$B$4:$Q$24,MATCH($Y219,NWC_FC_NOOS!$B$4:$B$24,0),FALSE),"")</f>
        <v>0</v>
      </c>
      <c r="AF219" s="650">
        <f ca="1">IFERROR(HLOOKUP($AB219&amp;$AD219,NWC_FC_NOOS!$S$4:$AH$24,MATCH($Y219,NWC_FC_NOOS!$S$4:$S$24,0),FALSE),"")</f>
        <v>0</v>
      </c>
      <c r="AG219" s="650">
        <f ca="1">IFERROR(HLOOKUP($AB219&amp;$AD219,NWC_FC_NOOS!$C$50:$U$70,MATCH($Y219,NWC_FC_NOOS!$B$50:$B$70,0),FALSE),"")</f>
        <v>0</v>
      </c>
      <c r="AH219" s="650">
        <f ca="1">IFERROR(IF($AA219="NOOS",HLOOKUP(STOCK_OVERVIEW!$AB219&amp;STOCK_OVERVIEW!$AD219,PLANNING_FC!$BB$27:$BP$46,MATCH(STOCK_OVERVIEW!$Y219,PLANNING_FC!$BA$27:$BA$46,0),FALSE),HLOOKUP($AB219&amp;$AD219,PLANNING_FC!$BB$4:$BP$23,MATCH(STOCK_OVERVIEW!$Y219,PLANNING_FC!$BA$4:$BA$23,0),FALSE)),"")</f>
        <v>0</v>
      </c>
      <c r="AI219" s="650">
        <f ca="1">IFERROR(IF($AA219="NOOS",HLOOKUP(STOCK_OVERVIEW!$AB219&amp;STOCK_OVERVIEW!$AD219,PLANNING_FC!$T$27:$AH$46,MATCH(STOCK_OVERVIEW!$Y219,PLANNING_FC!$B$27:$B$46,0),FALSE),HLOOKUP($AB219&amp;$AD219,PLANNING_FC!$T$4:$AH$23,MATCH(STOCK_OVERVIEW!$Y219,PLANNING_FC!$B$4:$B$23,0),FALSE)),"")</f>
        <v>0</v>
      </c>
      <c r="AJ219" s="650">
        <f ca="1">IFERROR(IF($AA219="NOOS",HLOOKUP(STOCK_OVERVIEW!$AB219&amp;STOCK_OVERVIEW!$AD219,PLANNING_FC!$DA$27:$DO$46,MATCH(STOCK_OVERVIEW!$Y219,PLANNING_FC!$CZ$27:$CZ$46,0),FALSE),HLOOKUP($AB219&amp;$AD219,PLANNING_FC!$DA$4:$DO$23,MATCH(STOCK_OVERVIEW!$Y219,PLANNING_FC!$CZ$4:$CZ$23,0),FALSE)),"")</f>
        <v>1792</v>
      </c>
      <c r="AK219" s="651">
        <f ca="1">IFERROR(IF(AA219="NOOS",HLOOKUP(AB219&amp;AD219,PLANNING_FC!$AJ$27:$AY$47,MATCH(STOCK_OVERVIEW!Y219,PLANNING_FC!$AJ$27:$AJ$47,0),FALSE)*1000,HLOOKUP(AB219&amp;AD219,PLANNING_FC!$AJ$4:$AY$24,MATCH(STOCK_OVERVIEW!Y219,PLANNING_FC!$AJ$4:$AJ$24,0),FALSE)*1000),"")</f>
        <v>0</v>
      </c>
      <c r="AL219" s="638"/>
      <c r="AM219" s="638"/>
      <c r="AN219" s="638"/>
      <c r="AO219" s="638"/>
      <c r="AP219" s="638"/>
      <c r="AQ219" s="638"/>
      <c r="AR219" s="638"/>
      <c r="AS219" s="638"/>
    </row>
    <row r="220" spans="1:45" s="61" customFormat="1" x14ac:dyDescent="0.25">
      <c r="A220" s="62"/>
      <c r="F220" s="19"/>
      <c r="J220" s="19"/>
      <c r="N220" s="19"/>
      <c r="R220" s="19"/>
      <c r="S220" s="637"/>
      <c r="T220" s="637"/>
      <c r="U220" s="636"/>
      <c r="V220" s="637"/>
      <c r="W220" s="637"/>
      <c r="X220" s="200" t="str">
        <f>NWC_FC_NOOS!$B$1</f>
        <v>VM</v>
      </c>
      <c r="Y220" s="25" t="str">
        <f>NWC_FC_NOOS!$B$68</f>
        <v>T-SHIRTS &amp; TOPS</v>
      </c>
      <c r="Z220" s="25" t="str">
        <f t="shared" ca="1" si="17"/>
        <v>VMT-SHIRTS &amp; TOPS19/20Aug</v>
      </c>
      <c r="AA220" s="25" t="str">
        <f>NWC_FC_NOOS!$I$1</f>
        <v>NOOS</v>
      </c>
      <c r="AB220" s="25" t="str">
        <f ca="1">NWC_FC_NOOS!$K$73</f>
        <v>19/20</v>
      </c>
      <c r="AC220" s="25" t="str">
        <f ca="1">NWC_FC_NOOS!$K$74</f>
        <v>Q1</v>
      </c>
      <c r="AD220" s="25" t="str">
        <f ca="1">NWC_FC_NOOS!$K$75</f>
        <v>Aug</v>
      </c>
      <c r="AE220" s="649">
        <f ca="1">IFERROR(HLOOKUP($AB220&amp;$AD220,NWC_FC_NOOS!$B$4:$Q$24,MATCH($Y220,NWC_FC_NOOS!$B$4:$B$24,0),FALSE),"")</f>
        <v>0</v>
      </c>
      <c r="AF220" s="650">
        <f ca="1">IFERROR(HLOOKUP($AB220&amp;$AD220,NWC_FC_NOOS!$S$4:$AH$24,MATCH($Y220,NWC_FC_NOOS!$S$4:$S$24,0),FALSE),"")</f>
        <v>0</v>
      </c>
      <c r="AG220" s="650">
        <f ca="1">IFERROR(HLOOKUP($AB220&amp;$AD220,NWC_FC_NOOS!$C$50:$U$70,MATCH($Y220,NWC_FC_NOOS!$B$50:$B$70,0),FALSE),"")</f>
        <v>0</v>
      </c>
      <c r="AH220" s="650">
        <f ca="1">IFERROR(IF($AA220="NOOS",HLOOKUP(STOCK_OVERVIEW!$AB220&amp;STOCK_OVERVIEW!$AD220,PLANNING_FC!$BB$27:$BP$46,MATCH(STOCK_OVERVIEW!$Y220,PLANNING_FC!$BA$27:$BA$46,0),FALSE),HLOOKUP($AB220&amp;$AD220,PLANNING_FC!$BB$4:$BP$23,MATCH(STOCK_OVERVIEW!$Y220,PLANNING_FC!$BA$4:$BA$23,0),FALSE)),"")</f>
        <v>0</v>
      </c>
      <c r="AI220" s="650">
        <f ca="1">IFERROR(IF($AA220="NOOS",HLOOKUP(STOCK_OVERVIEW!$AB220&amp;STOCK_OVERVIEW!$AD220,PLANNING_FC!$T$27:$AH$46,MATCH(STOCK_OVERVIEW!$Y220,PLANNING_FC!$B$27:$B$46,0),FALSE),HLOOKUP($AB220&amp;$AD220,PLANNING_FC!$T$4:$AH$23,MATCH(STOCK_OVERVIEW!$Y220,PLANNING_FC!$B$4:$B$23,0),FALSE)),"")</f>
        <v>0</v>
      </c>
      <c r="AJ220" s="650">
        <f ca="1">IFERROR(IF($AA220="NOOS",HLOOKUP(STOCK_OVERVIEW!$AB220&amp;STOCK_OVERVIEW!$AD220,PLANNING_FC!$DA$27:$DO$46,MATCH(STOCK_OVERVIEW!$Y220,PLANNING_FC!$CZ$27:$CZ$46,0),FALSE),HLOOKUP($AB220&amp;$AD220,PLANNING_FC!$DA$4:$DO$23,MATCH(STOCK_OVERVIEW!$Y220,PLANNING_FC!$CZ$4:$CZ$23,0),FALSE)),"")</f>
        <v>1792</v>
      </c>
      <c r="AK220" s="651">
        <f ca="1">IFERROR(IF(AA220="NOOS",HLOOKUP(AB220&amp;AD220,PLANNING_FC!$AJ$27:$AY$47,MATCH(STOCK_OVERVIEW!Y220,PLANNING_FC!$AJ$27:$AJ$47,0),FALSE)*1000,HLOOKUP(AB220&amp;AD220,PLANNING_FC!$AJ$4:$AY$24,MATCH(STOCK_OVERVIEW!Y220,PLANNING_FC!$AJ$4:$AJ$24,0),FALSE)*1000),"")</f>
        <v>0</v>
      </c>
      <c r="AL220" s="638"/>
      <c r="AM220" s="638"/>
      <c r="AN220" s="638"/>
      <c r="AO220" s="638"/>
      <c r="AP220" s="638"/>
      <c r="AQ220" s="638"/>
      <c r="AR220" s="638"/>
      <c r="AS220" s="638"/>
    </row>
    <row r="221" spans="1:45" s="61" customFormat="1" x14ac:dyDescent="0.25">
      <c r="A221" s="62"/>
      <c r="F221" s="19"/>
      <c r="J221" s="19"/>
      <c r="N221" s="19"/>
      <c r="R221" s="19"/>
      <c r="S221" s="637"/>
      <c r="T221" s="637"/>
      <c r="U221" s="636"/>
      <c r="V221" s="637"/>
      <c r="W221" s="637"/>
      <c r="X221" s="200" t="str">
        <f>NWC_FC_NOOS!$B$1</f>
        <v>VM</v>
      </c>
      <c r="Y221" s="25" t="str">
        <f>NWC_FC_NOOS!$B$68</f>
        <v>T-SHIRTS &amp; TOPS</v>
      </c>
      <c r="Z221" s="25" t="str">
        <f t="shared" ca="1" si="17"/>
        <v>VMT-SHIRTS &amp; TOPS19/20Sep</v>
      </c>
      <c r="AA221" s="25" t="str">
        <f>NWC_FC_NOOS!$I$1</f>
        <v>NOOS</v>
      </c>
      <c r="AB221" s="25" t="str">
        <f ca="1">NWC_FC_NOOS!$K$73</f>
        <v>19/20</v>
      </c>
      <c r="AC221" s="25" t="str">
        <f ca="1">NWC_FC_NOOS!$K$74</f>
        <v>Q1</v>
      </c>
      <c r="AD221" s="25" t="str">
        <f ca="1">NWC_FC_NOOS!$L$75</f>
        <v>Sep</v>
      </c>
      <c r="AE221" s="649">
        <f ca="1">IFERROR(HLOOKUP($AB221&amp;$AD221,NWC_FC_NOOS!$B$4:$Q$24,MATCH($Y221,NWC_FC_NOOS!$B$4:$B$24,0),FALSE),"")</f>
        <v>0</v>
      </c>
      <c r="AF221" s="650">
        <f ca="1">IFERROR(HLOOKUP($AB221&amp;$AD221,NWC_FC_NOOS!$S$4:$AH$24,MATCH($Y221,NWC_FC_NOOS!$S$4:$S$24,0),FALSE),"")</f>
        <v>0</v>
      </c>
      <c r="AG221" s="650">
        <f ca="1">IFERROR(HLOOKUP($AB221&amp;$AD221,NWC_FC_NOOS!$C$50:$U$70,MATCH($Y221,NWC_FC_NOOS!$B$50:$B$70,0),FALSE),"")</f>
        <v>0</v>
      </c>
      <c r="AH221" s="650">
        <f ca="1">IFERROR(IF($AA221="NOOS",HLOOKUP(STOCK_OVERVIEW!$AB221&amp;STOCK_OVERVIEW!$AD221,PLANNING_FC!$BB$27:$BP$46,MATCH(STOCK_OVERVIEW!$Y221,PLANNING_FC!$BA$27:$BA$46,0),FALSE),HLOOKUP($AB221&amp;$AD221,PLANNING_FC!$BB$4:$BP$23,MATCH(STOCK_OVERVIEW!$Y221,PLANNING_FC!$BA$4:$BA$23,0),FALSE)),"")</f>
        <v>0</v>
      </c>
      <c r="AI221" s="650">
        <f ca="1">IFERROR(IF($AA221="NOOS",HLOOKUP(STOCK_OVERVIEW!$AB221&amp;STOCK_OVERVIEW!$AD221,PLANNING_FC!$T$27:$AH$46,MATCH(STOCK_OVERVIEW!$Y221,PLANNING_FC!$B$27:$B$46,0),FALSE),HLOOKUP($AB221&amp;$AD221,PLANNING_FC!$T$4:$AH$23,MATCH(STOCK_OVERVIEW!$Y221,PLANNING_FC!$B$4:$B$23,0),FALSE)),"")</f>
        <v>0</v>
      </c>
      <c r="AJ221" s="650">
        <f ca="1">IFERROR(IF($AA221="NOOS",HLOOKUP(STOCK_OVERVIEW!$AB221&amp;STOCK_OVERVIEW!$AD221,PLANNING_FC!$DA$27:$DO$46,MATCH(STOCK_OVERVIEW!$Y221,PLANNING_FC!$CZ$27:$CZ$46,0),FALSE),HLOOKUP($AB221&amp;$AD221,PLANNING_FC!$DA$4:$DO$23,MATCH(STOCK_OVERVIEW!$Y221,PLANNING_FC!$CZ$4:$CZ$23,0),FALSE)),"")</f>
        <v>1792</v>
      </c>
      <c r="AK221" s="651">
        <f ca="1">IFERROR(IF(AA221="NOOS",HLOOKUP(AB221&amp;AD221,PLANNING_FC!$AJ$27:$AY$47,MATCH(STOCK_OVERVIEW!Y221,PLANNING_FC!$AJ$27:$AJ$47,0),FALSE)*1000,HLOOKUP(AB221&amp;AD221,PLANNING_FC!$AJ$4:$AY$24,MATCH(STOCK_OVERVIEW!Y221,PLANNING_FC!$AJ$4:$AJ$24,0),FALSE)*1000),"")</f>
        <v>0</v>
      </c>
      <c r="AL221" s="638"/>
      <c r="AM221" s="638"/>
      <c r="AN221" s="638"/>
      <c r="AO221" s="638"/>
      <c r="AP221" s="638"/>
      <c r="AQ221" s="638"/>
      <c r="AR221" s="638"/>
      <c r="AS221" s="638"/>
    </row>
    <row r="222" spans="1:45" s="61" customFormat="1" x14ac:dyDescent="0.25">
      <c r="A222" s="62"/>
      <c r="F222" s="19"/>
      <c r="J222" s="19"/>
      <c r="N222" s="19"/>
      <c r="R222" s="19"/>
      <c r="S222" s="637"/>
      <c r="T222" s="637"/>
      <c r="U222" s="636"/>
      <c r="V222" s="637"/>
      <c r="W222" s="637"/>
      <c r="X222" s="200" t="str">
        <f>NWC_FC_NOOS!$B$1</f>
        <v>VM</v>
      </c>
      <c r="Y222" s="25" t="str">
        <f>NWC_FC_NOOS!$B$68</f>
        <v>T-SHIRTS &amp; TOPS</v>
      </c>
      <c r="Z222" s="25" t="str">
        <f t="shared" ca="1" si="17"/>
        <v>VMT-SHIRTS &amp; TOPS19/20Oct</v>
      </c>
      <c r="AA222" s="25" t="str">
        <f>NWC_FC_NOOS!$I$1</f>
        <v>NOOS</v>
      </c>
      <c r="AB222" s="25" t="str">
        <f ca="1">NWC_FC_NOOS!$K$73</f>
        <v>19/20</v>
      </c>
      <c r="AC222" s="25" t="str">
        <f ca="1">NWC_FC_NOOS!$K$74</f>
        <v>Q1</v>
      </c>
      <c r="AD222" s="25" t="str">
        <f ca="1">NWC_FC_NOOS!$M$75</f>
        <v>Oct</v>
      </c>
      <c r="AE222" s="649">
        <f ca="1">IFERROR(HLOOKUP($AB222&amp;$AD222,NWC_FC_NOOS!$B$4:$Q$24,MATCH($Y222,NWC_FC_NOOS!$B$4:$B$24,0),FALSE),"")</f>
        <v>0</v>
      </c>
      <c r="AF222" s="650">
        <f ca="1">IFERROR(HLOOKUP($AB222&amp;$AD222,NWC_FC_NOOS!$S$4:$AH$24,MATCH($Y222,NWC_FC_NOOS!$S$4:$S$24,0),FALSE),"")</f>
        <v>0</v>
      </c>
      <c r="AG222" s="650">
        <f ca="1">IFERROR(HLOOKUP($AB222&amp;$AD222,NWC_FC_NOOS!$C$50:$U$70,MATCH($Y222,NWC_FC_NOOS!$B$50:$B$70,0),FALSE),"")</f>
        <v>0</v>
      </c>
      <c r="AH222" s="650">
        <f ca="1">IFERROR(IF($AA222="NOOS",HLOOKUP(STOCK_OVERVIEW!$AB222&amp;STOCK_OVERVIEW!$AD222,PLANNING_FC!$BB$27:$BP$46,MATCH(STOCK_OVERVIEW!$Y222,PLANNING_FC!$BA$27:$BA$46,0),FALSE),HLOOKUP($AB222&amp;$AD222,PLANNING_FC!$BB$4:$BP$23,MATCH(STOCK_OVERVIEW!$Y222,PLANNING_FC!$BA$4:$BA$23,0),FALSE)),"")</f>
        <v>0</v>
      </c>
      <c r="AI222" s="650">
        <f ca="1">IFERROR(IF($AA222="NOOS",HLOOKUP(STOCK_OVERVIEW!$AB222&amp;STOCK_OVERVIEW!$AD222,PLANNING_FC!$T$27:$AH$46,MATCH(STOCK_OVERVIEW!$Y222,PLANNING_FC!$B$27:$B$46,0),FALSE),HLOOKUP($AB222&amp;$AD222,PLANNING_FC!$T$4:$AH$23,MATCH(STOCK_OVERVIEW!$Y222,PLANNING_FC!$B$4:$B$23,0),FALSE)),"")</f>
        <v>0</v>
      </c>
      <c r="AJ222" s="650">
        <f ca="1">IFERROR(IF($AA222="NOOS",HLOOKUP(STOCK_OVERVIEW!$AB222&amp;STOCK_OVERVIEW!$AD222,PLANNING_FC!$DA$27:$DO$46,MATCH(STOCK_OVERVIEW!$Y222,PLANNING_FC!$CZ$27:$CZ$46,0),FALSE),HLOOKUP($AB222&amp;$AD222,PLANNING_FC!$DA$4:$DO$23,MATCH(STOCK_OVERVIEW!$Y222,PLANNING_FC!$CZ$4:$CZ$23,0),FALSE)),"")</f>
        <v>1792</v>
      </c>
      <c r="AK222" s="651">
        <f ca="1">IFERROR(IF(AA222="NOOS",HLOOKUP(AB222&amp;AD222,PLANNING_FC!$AJ$27:$AY$47,MATCH(STOCK_OVERVIEW!Y222,PLANNING_FC!$AJ$27:$AJ$47,0),FALSE)*1000,HLOOKUP(AB222&amp;AD222,PLANNING_FC!$AJ$4:$AY$24,MATCH(STOCK_OVERVIEW!Y222,PLANNING_FC!$AJ$4:$AJ$24,0),FALSE)*1000),"")</f>
        <v>0</v>
      </c>
      <c r="AL222" s="638"/>
      <c r="AM222" s="638"/>
      <c r="AN222" s="638"/>
      <c r="AO222" s="638"/>
      <c r="AP222" s="638"/>
      <c r="AQ222" s="638"/>
      <c r="AR222" s="638"/>
      <c r="AS222" s="638"/>
    </row>
    <row r="223" spans="1:45" s="61" customFormat="1" x14ac:dyDescent="0.25">
      <c r="A223" s="62"/>
      <c r="F223" s="19"/>
      <c r="J223" s="19"/>
      <c r="N223" s="19"/>
      <c r="R223" s="19"/>
      <c r="S223" s="637"/>
      <c r="T223" s="637"/>
      <c r="U223" s="636"/>
      <c r="V223" s="637"/>
      <c r="W223" s="637"/>
      <c r="X223" s="200" t="str">
        <f>NWC_FC_NOOS!$B$1</f>
        <v>VM</v>
      </c>
      <c r="Y223" s="25" t="str">
        <f>NWC_FC_NOOS!$B$68</f>
        <v>T-SHIRTS &amp; TOPS</v>
      </c>
      <c r="Z223" s="25" t="str">
        <f t="shared" ca="1" si="17"/>
        <v>VMT-SHIRTS &amp; TOPS19/20Nov</v>
      </c>
      <c r="AA223" s="25" t="str">
        <f>NWC_FC_NOOS!$I$1</f>
        <v>NOOS</v>
      </c>
      <c r="AB223" s="25" t="str">
        <f ca="1">NWC_FC_NOOS!$O$73</f>
        <v>19/20</v>
      </c>
      <c r="AC223" s="25" t="str">
        <f ca="1">NWC_FC_NOOS!$O$74</f>
        <v>Q2</v>
      </c>
      <c r="AD223" s="25" t="str">
        <f ca="1">NWC_FC_NOOS!$O$75</f>
        <v>Nov</v>
      </c>
      <c r="AE223" s="649">
        <f ca="1">IFERROR(HLOOKUP($AB223&amp;$AD223,NWC_FC_NOOS!$B$4:$Q$24,MATCH($Y223,NWC_FC_NOOS!$B$4:$B$24,0),FALSE),"")</f>
        <v>0</v>
      </c>
      <c r="AF223" s="650">
        <f ca="1">IFERROR(HLOOKUP($AB223&amp;$AD223,NWC_FC_NOOS!$S$4:$AH$24,MATCH($Y223,NWC_FC_NOOS!$S$4:$S$24,0),FALSE),"")</f>
        <v>0</v>
      </c>
      <c r="AG223" s="650">
        <f ca="1">IFERROR(HLOOKUP($AB223&amp;$AD223,NWC_FC_NOOS!$C$50:$U$70,MATCH($Y223,NWC_FC_NOOS!$B$50:$B$70,0),FALSE),"")</f>
        <v>0</v>
      </c>
      <c r="AH223" s="650">
        <f ca="1">IFERROR(IF($AA223="NOOS",HLOOKUP(STOCK_OVERVIEW!$AB223&amp;STOCK_OVERVIEW!$AD223,PLANNING_FC!$BB$27:$BP$46,MATCH(STOCK_OVERVIEW!$Y223,PLANNING_FC!$BA$27:$BA$46,0),FALSE),HLOOKUP($AB223&amp;$AD223,PLANNING_FC!$BB$4:$BP$23,MATCH(STOCK_OVERVIEW!$Y223,PLANNING_FC!$BA$4:$BA$23,0),FALSE)),"")</f>
        <v>0</v>
      </c>
      <c r="AI223" s="650">
        <f ca="1">IFERROR(IF($AA223="NOOS",HLOOKUP(STOCK_OVERVIEW!$AB223&amp;STOCK_OVERVIEW!$AD223,PLANNING_FC!$T$27:$AH$46,MATCH(STOCK_OVERVIEW!$Y223,PLANNING_FC!$B$27:$B$46,0),FALSE),HLOOKUP($AB223&amp;$AD223,PLANNING_FC!$T$4:$AH$23,MATCH(STOCK_OVERVIEW!$Y223,PLANNING_FC!$B$4:$B$23,0),FALSE)),"")</f>
        <v>0</v>
      </c>
      <c r="AJ223" s="650">
        <f ca="1">IFERROR(IF($AA223="NOOS",HLOOKUP(STOCK_OVERVIEW!$AB223&amp;STOCK_OVERVIEW!$AD223,PLANNING_FC!$DA$27:$DO$46,MATCH(STOCK_OVERVIEW!$Y223,PLANNING_FC!$CZ$27:$CZ$46,0),FALSE),HLOOKUP($AB223&amp;$AD223,PLANNING_FC!$DA$4:$DO$23,MATCH(STOCK_OVERVIEW!$Y223,PLANNING_FC!$CZ$4:$CZ$23,0),FALSE)),"")</f>
        <v>1792</v>
      </c>
      <c r="AK223" s="651">
        <f ca="1">IFERROR(IF(AA223="NOOS",HLOOKUP(AB223&amp;AD223,PLANNING_FC!$AJ$27:$AY$47,MATCH(STOCK_OVERVIEW!Y223,PLANNING_FC!$AJ$27:$AJ$47,0),FALSE)*1000,HLOOKUP(AB223&amp;AD223,PLANNING_FC!$AJ$4:$AY$24,MATCH(STOCK_OVERVIEW!Y223,PLANNING_FC!$AJ$4:$AJ$24,0),FALSE)*1000),"")</f>
        <v>0</v>
      </c>
      <c r="AL223" s="638"/>
      <c r="AM223" s="638"/>
      <c r="AN223" s="638"/>
      <c r="AO223" s="638"/>
      <c r="AP223" s="638"/>
      <c r="AQ223" s="638"/>
      <c r="AR223" s="638"/>
      <c r="AS223" s="638"/>
    </row>
    <row r="224" spans="1:45" s="61" customFormat="1" x14ac:dyDescent="0.25">
      <c r="A224" s="62"/>
      <c r="F224" s="19"/>
      <c r="J224" s="19"/>
      <c r="N224" s="19"/>
      <c r="R224" s="19"/>
      <c r="S224" s="637"/>
      <c r="T224" s="637"/>
      <c r="U224" s="636"/>
      <c r="V224" s="637"/>
      <c r="W224" s="637"/>
      <c r="X224" s="200" t="str">
        <f>NWC_FC_NOOS!$B$1</f>
        <v>VM</v>
      </c>
      <c r="Y224" s="25" t="str">
        <f>NWC_FC_NOOS!$B$68</f>
        <v>T-SHIRTS &amp; TOPS</v>
      </c>
      <c r="Z224" s="25" t="str">
        <f t="shared" ca="1" si="17"/>
        <v>VMT-SHIRTS &amp; TOPS19/20Dec</v>
      </c>
      <c r="AA224" s="25" t="str">
        <f>NWC_FC_NOOS!$I$1</f>
        <v>NOOS</v>
      </c>
      <c r="AB224" s="25" t="str">
        <f ca="1">NWC_FC_NOOS!$O$73</f>
        <v>19/20</v>
      </c>
      <c r="AC224" s="25" t="str">
        <f ca="1">NWC_FC_NOOS!$O$74</f>
        <v>Q2</v>
      </c>
      <c r="AD224" s="25" t="str">
        <f ca="1">NWC_FC_NOOS!$P$75</f>
        <v>Dec</v>
      </c>
      <c r="AE224" s="649">
        <f ca="1">IFERROR(HLOOKUP($AB224&amp;$AD224,NWC_FC_NOOS!$B$4:$Q$24,MATCH($Y224,NWC_FC_NOOS!$B$4:$B$24,0),FALSE),"")</f>
        <v>0</v>
      </c>
      <c r="AF224" s="650">
        <f ca="1">IFERROR(HLOOKUP($AB224&amp;$AD224,NWC_FC_NOOS!$S$4:$AH$24,MATCH($Y224,NWC_FC_NOOS!$S$4:$S$24,0),FALSE),"")</f>
        <v>0</v>
      </c>
      <c r="AG224" s="650">
        <f ca="1">IFERROR(HLOOKUP($AB224&amp;$AD224,NWC_FC_NOOS!$C$50:$U$70,MATCH($Y224,NWC_FC_NOOS!$B$50:$B$70,0),FALSE),"")</f>
        <v>0</v>
      </c>
      <c r="AH224" s="650">
        <f ca="1">IFERROR(IF($AA224="NOOS",HLOOKUP(STOCK_OVERVIEW!$AB224&amp;STOCK_OVERVIEW!$AD224,PLANNING_FC!$BB$27:$BP$46,MATCH(STOCK_OVERVIEW!$Y224,PLANNING_FC!$BA$27:$BA$46,0),FALSE),HLOOKUP($AB224&amp;$AD224,PLANNING_FC!$BB$4:$BP$23,MATCH(STOCK_OVERVIEW!$Y224,PLANNING_FC!$BA$4:$BA$23,0),FALSE)),"")</f>
        <v>0</v>
      </c>
      <c r="AI224" s="650">
        <f ca="1">IFERROR(IF($AA224="NOOS",HLOOKUP(STOCK_OVERVIEW!$AB224&amp;STOCK_OVERVIEW!$AD224,PLANNING_FC!$T$27:$AH$46,MATCH(STOCK_OVERVIEW!$Y224,PLANNING_FC!$B$27:$B$46,0),FALSE),HLOOKUP($AB224&amp;$AD224,PLANNING_FC!$T$4:$AH$23,MATCH(STOCK_OVERVIEW!$Y224,PLANNING_FC!$B$4:$B$23,0),FALSE)),"")</f>
        <v>0</v>
      </c>
      <c r="AJ224" s="650">
        <f ca="1">IFERROR(IF($AA224="NOOS",HLOOKUP(STOCK_OVERVIEW!$AB224&amp;STOCK_OVERVIEW!$AD224,PLANNING_FC!$DA$27:$DO$46,MATCH(STOCK_OVERVIEW!$Y224,PLANNING_FC!$CZ$27:$CZ$46,0),FALSE),HLOOKUP($AB224&amp;$AD224,PLANNING_FC!$DA$4:$DO$23,MATCH(STOCK_OVERVIEW!$Y224,PLANNING_FC!$CZ$4:$CZ$23,0),FALSE)),"")</f>
        <v>1792</v>
      </c>
      <c r="AK224" s="651">
        <f ca="1">IFERROR(IF(AA224="NOOS",HLOOKUP(AB224&amp;AD224,PLANNING_FC!$AJ$27:$AY$47,MATCH(STOCK_OVERVIEW!Y224,PLANNING_FC!$AJ$27:$AJ$47,0),FALSE)*1000,HLOOKUP(AB224&amp;AD224,PLANNING_FC!$AJ$4:$AY$24,MATCH(STOCK_OVERVIEW!Y224,PLANNING_FC!$AJ$4:$AJ$24,0),FALSE)*1000),"")</f>
        <v>0</v>
      </c>
      <c r="AL224" s="638"/>
      <c r="AM224" s="638"/>
      <c r="AN224" s="638"/>
      <c r="AO224" s="638"/>
      <c r="AP224" s="638"/>
      <c r="AQ224" s="638"/>
      <c r="AR224" s="638"/>
      <c r="AS224" s="638"/>
    </row>
    <row r="225" spans="1:45" s="61" customFormat="1" x14ac:dyDescent="0.25">
      <c r="A225" s="62"/>
      <c r="F225" s="19"/>
      <c r="J225" s="19"/>
      <c r="N225" s="19"/>
      <c r="R225" s="19"/>
      <c r="S225" s="637"/>
      <c r="T225" s="637"/>
      <c r="U225" s="636"/>
      <c r="V225" s="637"/>
      <c r="W225" s="637"/>
      <c r="X225" s="200" t="str">
        <f>NWC_FC_NOOS!$B$1</f>
        <v>VM</v>
      </c>
      <c r="Y225" s="25" t="str">
        <f>NWC_FC_NOOS!$B$68</f>
        <v>T-SHIRTS &amp; TOPS</v>
      </c>
      <c r="Z225" s="25" t="str">
        <f t="shared" ca="1" si="17"/>
        <v>VMT-SHIRTS &amp; TOPS19/20Jan</v>
      </c>
      <c r="AA225" s="25" t="str">
        <f>NWC_FC_NOOS!$I$1</f>
        <v>NOOS</v>
      </c>
      <c r="AB225" s="25" t="str">
        <f ca="1">NWC_FC_NOOS!$O$73</f>
        <v>19/20</v>
      </c>
      <c r="AC225" s="25" t="str">
        <f ca="1">NWC_FC_NOOS!$O$74</f>
        <v>Q2</v>
      </c>
      <c r="AD225" s="25" t="str">
        <f ca="1">NWC_FC_NOOS!$Q$75</f>
        <v>Jan</v>
      </c>
      <c r="AE225" s="649">
        <f ca="1">IFERROR(HLOOKUP($AB225&amp;$AD225,NWC_FC_NOOS!$B$4:$Q$24,MATCH($Y225,NWC_FC_NOOS!$B$4:$B$24,0),FALSE),"")</f>
        <v>0</v>
      </c>
      <c r="AF225" s="650">
        <f ca="1">IFERROR(HLOOKUP($AB225&amp;$AD225,NWC_FC_NOOS!$S$4:$AH$24,MATCH($Y225,NWC_FC_NOOS!$S$4:$S$24,0),FALSE),"")</f>
        <v>0</v>
      </c>
      <c r="AG225" s="650">
        <f ca="1">IFERROR(HLOOKUP($AB225&amp;$AD225,NWC_FC_NOOS!$C$50:$U$70,MATCH($Y225,NWC_FC_NOOS!$B$50:$B$70,0),FALSE),"")</f>
        <v>0</v>
      </c>
      <c r="AH225" s="650">
        <f ca="1">IFERROR(IF($AA225="NOOS",HLOOKUP(STOCK_OVERVIEW!$AB225&amp;STOCK_OVERVIEW!$AD225,PLANNING_FC!$BB$27:$BP$46,MATCH(STOCK_OVERVIEW!$Y225,PLANNING_FC!$BA$27:$BA$46,0),FALSE),HLOOKUP($AB225&amp;$AD225,PLANNING_FC!$BB$4:$BP$23,MATCH(STOCK_OVERVIEW!$Y225,PLANNING_FC!$BA$4:$BA$23,0),FALSE)),"")</f>
        <v>0</v>
      </c>
      <c r="AI225" s="650">
        <f ca="1">IFERROR(IF($AA225="NOOS",HLOOKUP(STOCK_OVERVIEW!$AB225&amp;STOCK_OVERVIEW!$AD225,PLANNING_FC!$T$27:$AH$46,MATCH(STOCK_OVERVIEW!$Y225,PLANNING_FC!$B$27:$B$46,0),FALSE),HLOOKUP($AB225&amp;$AD225,PLANNING_FC!$T$4:$AH$23,MATCH(STOCK_OVERVIEW!$Y225,PLANNING_FC!$B$4:$B$23,0),FALSE)),"")</f>
        <v>0</v>
      </c>
      <c r="AJ225" s="650">
        <f ca="1">IFERROR(IF($AA225="NOOS",HLOOKUP(STOCK_OVERVIEW!$AB225&amp;STOCK_OVERVIEW!$AD225,PLANNING_FC!$DA$27:$DO$46,MATCH(STOCK_OVERVIEW!$Y225,PLANNING_FC!$CZ$27:$CZ$46,0),FALSE),HLOOKUP($AB225&amp;$AD225,PLANNING_FC!$DA$4:$DO$23,MATCH(STOCK_OVERVIEW!$Y225,PLANNING_FC!$CZ$4:$CZ$23,0),FALSE)),"")</f>
        <v>1792</v>
      </c>
      <c r="AK225" s="651">
        <f ca="1">IFERROR(IF(AA225="NOOS",HLOOKUP(AB225&amp;AD225,PLANNING_FC!$AJ$27:$AY$47,MATCH(STOCK_OVERVIEW!Y225,PLANNING_FC!$AJ$27:$AJ$47,0),FALSE)*1000,HLOOKUP(AB225&amp;AD225,PLANNING_FC!$AJ$4:$AY$24,MATCH(STOCK_OVERVIEW!Y225,PLANNING_FC!$AJ$4:$AJ$24,0),FALSE)*1000),"")</f>
        <v>0</v>
      </c>
      <c r="AL225" s="638"/>
      <c r="AM225" s="638"/>
      <c r="AN225" s="638"/>
      <c r="AO225" s="638"/>
      <c r="AP225" s="638"/>
      <c r="AQ225" s="638"/>
      <c r="AR225" s="638"/>
      <c r="AS225" s="638"/>
    </row>
    <row r="226" spans="1:45" s="61" customFormat="1" x14ac:dyDescent="0.25">
      <c r="A226" s="62"/>
      <c r="F226" s="19"/>
      <c r="J226" s="19"/>
      <c r="N226" s="19"/>
      <c r="R226" s="19"/>
      <c r="S226" s="637"/>
      <c r="T226" s="637"/>
      <c r="U226" s="636"/>
      <c r="V226" s="637"/>
      <c r="W226" s="637"/>
      <c r="X226" s="200" t="str">
        <f>NWC_FC_NOOS!$B$1</f>
        <v>VM</v>
      </c>
      <c r="Y226" s="25" t="str">
        <f>NWC_FC_NOOS!$B$68</f>
        <v>T-SHIRTS &amp; TOPS</v>
      </c>
      <c r="Z226" s="25" t="str">
        <f t="shared" ca="1" si="17"/>
        <v>VMT-SHIRTS &amp; TOPS19/20Feb</v>
      </c>
      <c r="AA226" s="25" t="str">
        <f>NWC_FC_NOOS!$I$1</f>
        <v>NOOS</v>
      </c>
      <c r="AB226" s="25" t="str">
        <f ca="1">NWC_FC_NOOS!$S$73</f>
        <v>19/20</v>
      </c>
      <c r="AC226" s="25" t="str">
        <f ca="1">NWC_FC_NOOS!$S$74</f>
        <v>Q3</v>
      </c>
      <c r="AD226" s="25" t="str">
        <f ca="1">NWC_FC_NOOS!$S$75</f>
        <v>Feb</v>
      </c>
      <c r="AE226" s="649" t="str">
        <f ca="1">IFERROR(HLOOKUP($AB226&amp;$AD226,NWC_FC_NOOS!$B$4:$Q$24,MATCH($Y226,NWC_FC_NOOS!$B$4:$B$24,0),FALSE),"")</f>
        <v/>
      </c>
      <c r="AF226" s="650" t="str">
        <f ca="1">IFERROR(HLOOKUP($AB226&amp;$AD226,NWC_FC_NOOS!$S$4:$AH$24,MATCH($Y226,NWC_FC_NOOS!$S$4:$S$24,0),FALSE),"")</f>
        <v/>
      </c>
      <c r="AG226" s="650">
        <f ca="1">IFERROR(HLOOKUP($AB226&amp;$AD226,NWC_FC_NOOS!$C$50:$U$70,MATCH($Y226,NWC_FC_NOOS!$B$50:$B$70,0),FALSE),"")</f>
        <v>0</v>
      </c>
      <c r="AH226" s="650" t="str">
        <f ca="1">IFERROR(IF($AA226="NOOS",HLOOKUP(STOCK_OVERVIEW!$AB226&amp;STOCK_OVERVIEW!$AD226,PLANNING_FC!$BB$27:$BP$46,MATCH(STOCK_OVERVIEW!$Y226,PLANNING_FC!$BA$27:$BA$46,0),FALSE),HLOOKUP($AB226&amp;$AD226,PLANNING_FC!$BB$4:$BP$23,MATCH(STOCK_OVERVIEW!$Y226,PLANNING_FC!$BA$4:$BA$23,0),FALSE)),"")</f>
        <v/>
      </c>
      <c r="AI226" s="650" t="str">
        <f ca="1">IFERROR(IF($AA226="NOOS",HLOOKUP(STOCK_OVERVIEW!$AB226&amp;STOCK_OVERVIEW!$AD226,PLANNING_FC!$T$27:$AH$46,MATCH(STOCK_OVERVIEW!$Y226,PLANNING_FC!$B$27:$B$46,0),FALSE),HLOOKUP($AB226&amp;$AD226,PLANNING_FC!$T$4:$AH$23,MATCH(STOCK_OVERVIEW!$Y226,PLANNING_FC!$B$4:$B$23,0),FALSE)),"")</f>
        <v/>
      </c>
      <c r="AJ226" s="650" t="str">
        <f ca="1">IFERROR(IF($AA226="NOOS",HLOOKUP(STOCK_OVERVIEW!$AB226&amp;STOCK_OVERVIEW!$AD226,PLANNING_FC!$DA$27:$DO$46,MATCH(STOCK_OVERVIEW!$Y226,PLANNING_FC!$CZ$27:$CZ$46,0),FALSE),HLOOKUP($AB226&amp;$AD226,PLANNING_FC!$DA$4:$DO$23,MATCH(STOCK_OVERVIEW!$Y226,PLANNING_FC!$CZ$4:$CZ$23,0),FALSE)),"")</f>
        <v/>
      </c>
      <c r="AK226" s="651" t="str">
        <f ca="1">IFERROR(IF(AA226="NOOS",HLOOKUP(AB226&amp;AD226,PLANNING_FC!$AJ$27:$AY$47,MATCH(STOCK_OVERVIEW!Y226,PLANNING_FC!$AJ$27:$AJ$47,0),FALSE)*1000,HLOOKUP(AB226&amp;AD226,PLANNING_FC!$AJ$4:$AY$24,MATCH(STOCK_OVERVIEW!Y226,PLANNING_FC!$AJ$4:$AJ$24,0),FALSE)*1000),"")</f>
        <v/>
      </c>
      <c r="AL226" s="638"/>
      <c r="AM226" s="638"/>
      <c r="AN226" s="638"/>
      <c r="AO226" s="638"/>
      <c r="AP226" s="638"/>
      <c r="AQ226" s="638"/>
      <c r="AR226" s="638"/>
      <c r="AS226" s="638"/>
    </row>
    <row r="227" spans="1:45" s="61" customFormat="1" x14ac:dyDescent="0.25">
      <c r="A227" s="62"/>
      <c r="F227" s="19"/>
      <c r="J227" s="19"/>
      <c r="N227" s="19"/>
      <c r="R227" s="19"/>
      <c r="S227" s="637"/>
      <c r="T227" s="637"/>
      <c r="U227" s="636"/>
      <c r="V227" s="637"/>
      <c r="W227" s="637"/>
      <c r="X227" s="200" t="str">
        <f>NWC_FC_NOOS!$B$1</f>
        <v>VM</v>
      </c>
      <c r="Y227" s="25" t="str">
        <f>NWC_FC_NOOS!$B$68</f>
        <v>T-SHIRTS &amp; TOPS</v>
      </c>
      <c r="Z227" s="25" t="str">
        <f t="shared" ca="1" si="17"/>
        <v>VMT-SHIRTS &amp; TOPS19/20Mar</v>
      </c>
      <c r="AA227" s="25" t="str">
        <f>NWC_FC_NOOS!$I$1</f>
        <v>NOOS</v>
      </c>
      <c r="AB227" s="25" t="str">
        <f ca="1">NWC_FC_NOOS!$S$73</f>
        <v>19/20</v>
      </c>
      <c r="AC227" s="25" t="str">
        <f ca="1">NWC_FC_NOOS!$S$74</f>
        <v>Q3</v>
      </c>
      <c r="AD227" s="25" t="str">
        <f ca="1">NWC_FC_NOOS!$T$75</f>
        <v>Mar</v>
      </c>
      <c r="AE227" s="649" t="str">
        <f ca="1">IFERROR(HLOOKUP($AB227&amp;$AD227,NWC_FC_NOOS!$B$4:$Q$24,MATCH($Y227,NWC_FC_NOOS!$B$4:$B$24,0),FALSE),"")</f>
        <v/>
      </c>
      <c r="AF227" s="650" t="str">
        <f ca="1">IFERROR(HLOOKUP($AB227&amp;$AD227,NWC_FC_NOOS!$S$4:$AH$24,MATCH($Y227,NWC_FC_NOOS!$S$4:$S$24,0),FALSE),"")</f>
        <v/>
      </c>
      <c r="AG227" s="650">
        <f ca="1">IFERROR(HLOOKUP($AB227&amp;$AD227,NWC_FC_NOOS!$C$50:$U$70,MATCH($Y227,NWC_FC_NOOS!$B$50:$B$70,0),FALSE),"")</f>
        <v>0</v>
      </c>
      <c r="AH227" s="650" t="str">
        <f ca="1">IFERROR(IF($AA227="NOOS",HLOOKUP(STOCK_OVERVIEW!$AB227&amp;STOCK_OVERVIEW!$AD227,PLANNING_FC!$BB$27:$BP$46,MATCH(STOCK_OVERVIEW!$Y227,PLANNING_FC!$BA$27:$BA$46,0),FALSE),HLOOKUP($AB227&amp;$AD227,PLANNING_FC!$BB$4:$BP$23,MATCH(STOCK_OVERVIEW!$Y227,PLANNING_FC!$BA$4:$BA$23,0),FALSE)),"")</f>
        <v/>
      </c>
      <c r="AI227" s="650" t="str">
        <f ca="1">IFERROR(IF($AA227="NOOS",HLOOKUP(STOCK_OVERVIEW!$AB227&amp;STOCK_OVERVIEW!$AD227,PLANNING_FC!$T$27:$AH$46,MATCH(STOCK_OVERVIEW!$Y227,PLANNING_FC!$B$27:$B$46,0),FALSE),HLOOKUP($AB227&amp;$AD227,PLANNING_FC!$T$4:$AH$23,MATCH(STOCK_OVERVIEW!$Y227,PLANNING_FC!$B$4:$B$23,0),FALSE)),"")</f>
        <v/>
      </c>
      <c r="AJ227" s="650" t="str">
        <f ca="1">IFERROR(IF($AA227="NOOS",HLOOKUP(STOCK_OVERVIEW!$AB227&amp;STOCK_OVERVIEW!$AD227,PLANNING_FC!$DA$27:$DO$46,MATCH(STOCK_OVERVIEW!$Y227,PLANNING_FC!$CZ$27:$CZ$46,0),FALSE),HLOOKUP($AB227&amp;$AD227,PLANNING_FC!$DA$4:$DO$23,MATCH(STOCK_OVERVIEW!$Y227,PLANNING_FC!$CZ$4:$CZ$23,0),FALSE)),"")</f>
        <v/>
      </c>
      <c r="AK227" s="651" t="str">
        <f ca="1">IFERROR(IF(AA227="NOOS",HLOOKUP(AB227&amp;AD227,PLANNING_FC!$AJ$27:$AY$47,MATCH(STOCK_OVERVIEW!Y227,PLANNING_FC!$AJ$27:$AJ$47,0),FALSE)*1000,HLOOKUP(AB227&amp;AD227,PLANNING_FC!$AJ$4:$AY$24,MATCH(STOCK_OVERVIEW!Y227,PLANNING_FC!$AJ$4:$AJ$24,0),FALSE)*1000),"")</f>
        <v/>
      </c>
      <c r="AL227" s="638"/>
      <c r="AM227" s="638"/>
      <c r="AN227" s="638"/>
      <c r="AO227" s="638"/>
      <c r="AP227" s="638"/>
      <c r="AQ227" s="638"/>
      <c r="AR227" s="638"/>
      <c r="AS227" s="638"/>
    </row>
    <row r="228" spans="1:45" s="61" customFormat="1" x14ac:dyDescent="0.25">
      <c r="A228" s="62"/>
      <c r="F228" s="19"/>
      <c r="J228" s="19"/>
      <c r="N228" s="19"/>
      <c r="R228" s="19"/>
      <c r="S228" s="637"/>
      <c r="T228" s="637"/>
      <c r="U228" s="636"/>
      <c r="V228" s="637"/>
      <c r="W228" s="637"/>
      <c r="X228" s="200" t="str">
        <f>NWC_FC_NOOS!$B$1</f>
        <v>VM</v>
      </c>
      <c r="Y228" s="25" t="str">
        <f>NWC_FC_NOOS!$B$68</f>
        <v>T-SHIRTS &amp; TOPS</v>
      </c>
      <c r="Z228" s="25" t="str">
        <f t="shared" ca="1" si="17"/>
        <v>VMT-SHIRTS &amp; TOPS19/20Apr</v>
      </c>
      <c r="AA228" s="25" t="str">
        <f>NWC_FC_NOOS!$I$1</f>
        <v>NOOS</v>
      </c>
      <c r="AB228" s="25" t="str">
        <f ca="1">NWC_FC_NOOS!$S$73</f>
        <v>19/20</v>
      </c>
      <c r="AC228" s="25" t="str">
        <f ca="1">NWC_FC_NOOS!$S$74</f>
        <v>Q3</v>
      </c>
      <c r="AD228" s="25" t="str">
        <f ca="1">NWC_FC_NOOS!$U$75</f>
        <v>Apr</v>
      </c>
      <c r="AE228" s="649" t="str">
        <f ca="1">IFERROR(HLOOKUP($AB228&amp;$AD228,NWC_FC_NOOS!$B$4:$Q$24,MATCH($Y228,NWC_FC_NOOS!$B$4:$B$24,0),FALSE),"")</f>
        <v/>
      </c>
      <c r="AF228" s="650" t="str">
        <f ca="1">IFERROR(HLOOKUP($AB228&amp;$AD228,NWC_FC_NOOS!$S$4:$AH$24,MATCH($Y228,NWC_FC_NOOS!$S$4:$S$24,0),FALSE),"")</f>
        <v/>
      </c>
      <c r="AG228" s="650">
        <f ca="1">IFERROR(HLOOKUP($AB228&amp;$AD228,NWC_FC_NOOS!$C$50:$U$70,MATCH($Y228,NWC_FC_NOOS!$B$50:$B$70,0),FALSE),"")</f>
        <v>0</v>
      </c>
      <c r="AH228" s="650" t="str">
        <f ca="1">IFERROR(IF($AA228="NOOS",HLOOKUP(STOCK_OVERVIEW!$AB228&amp;STOCK_OVERVIEW!$AD228,PLANNING_FC!$BB$27:$BP$46,MATCH(STOCK_OVERVIEW!$Y228,PLANNING_FC!$BA$27:$BA$46,0),FALSE),HLOOKUP($AB228&amp;$AD228,PLANNING_FC!$BB$4:$BP$23,MATCH(STOCK_OVERVIEW!$Y228,PLANNING_FC!$BA$4:$BA$23,0),FALSE)),"")</f>
        <v/>
      </c>
      <c r="AI228" s="650" t="str">
        <f ca="1">IFERROR(IF($AA228="NOOS",HLOOKUP(STOCK_OVERVIEW!$AB228&amp;STOCK_OVERVIEW!$AD228,PLANNING_FC!$T$27:$AH$46,MATCH(STOCK_OVERVIEW!$Y228,PLANNING_FC!$B$27:$B$46,0),FALSE),HLOOKUP($AB228&amp;$AD228,PLANNING_FC!$T$4:$AH$23,MATCH(STOCK_OVERVIEW!$Y228,PLANNING_FC!$B$4:$B$23,0),FALSE)),"")</f>
        <v/>
      </c>
      <c r="AJ228" s="650" t="str">
        <f ca="1">IFERROR(IF($AA228="NOOS",HLOOKUP(STOCK_OVERVIEW!$AB228&amp;STOCK_OVERVIEW!$AD228,PLANNING_FC!$DA$27:$DO$46,MATCH(STOCK_OVERVIEW!$Y228,PLANNING_FC!$CZ$27:$CZ$46,0),FALSE),HLOOKUP($AB228&amp;$AD228,PLANNING_FC!$DA$4:$DO$23,MATCH(STOCK_OVERVIEW!$Y228,PLANNING_FC!$CZ$4:$CZ$23,0),FALSE)),"")</f>
        <v/>
      </c>
      <c r="AK228" s="651" t="str">
        <f ca="1">IFERROR(IF(AA228="NOOS",HLOOKUP(AB228&amp;AD228,PLANNING_FC!$AJ$27:$AY$47,MATCH(STOCK_OVERVIEW!Y228,PLANNING_FC!$AJ$27:$AJ$47,0),FALSE)*1000,HLOOKUP(AB228&amp;AD228,PLANNING_FC!$AJ$4:$AY$24,MATCH(STOCK_OVERVIEW!Y228,PLANNING_FC!$AJ$4:$AJ$24,0),FALSE)*1000),"")</f>
        <v/>
      </c>
      <c r="AL228" s="638"/>
      <c r="AM228" s="638"/>
      <c r="AN228" s="638"/>
      <c r="AO228" s="638"/>
      <c r="AP228" s="638"/>
      <c r="AQ228" s="638"/>
      <c r="AR228" s="638"/>
      <c r="AS228" s="638"/>
    </row>
    <row r="229" spans="1:45" s="61" customFormat="1" x14ac:dyDescent="0.25">
      <c r="A229" s="62"/>
      <c r="F229" s="19"/>
      <c r="J229" s="19"/>
      <c r="N229" s="19"/>
      <c r="R229" s="19"/>
      <c r="S229" s="637"/>
      <c r="T229" s="637"/>
      <c r="U229" s="636"/>
      <c r="V229" s="637"/>
      <c r="W229" s="637"/>
      <c r="X229" s="200" t="str">
        <f>NWC_FC_NOOS!$B$1</f>
        <v>VM</v>
      </c>
      <c r="Y229" s="25">
        <f>NWC_FC_NOOS!$B$69</f>
        <v>0</v>
      </c>
      <c r="Z229" s="25" t="str">
        <f t="shared" ca="1" si="17"/>
        <v>VM018/19Feb</v>
      </c>
      <c r="AA229" s="25" t="str">
        <f>NWC_FC_NOOS!$I$1</f>
        <v>NOOS</v>
      </c>
      <c r="AB229" s="25" t="str">
        <f ca="1">NWC_FC_NOOS!$C$73</f>
        <v>18/19</v>
      </c>
      <c r="AC229" s="25" t="str">
        <f ca="1">NWC_FC_NOOS!$C$74</f>
        <v>Q3</v>
      </c>
      <c r="AD229" s="25" t="str">
        <f ca="1">NWC_FC_NOOS!$C$75</f>
        <v>Feb</v>
      </c>
      <c r="AE229" s="649">
        <f ca="1">IFERROR(HLOOKUP($AB229&amp;$AD229,NWC_FC_NOOS!$B$4:$Q$24,MATCH($Y229,NWC_FC_NOOS!$B$4:$B$24,0),FALSE),"")</f>
        <v>0</v>
      </c>
      <c r="AF229" s="650">
        <f ca="1">IFERROR(HLOOKUP($AB229&amp;$AD229,NWC_FC_NOOS!$S$4:$AH$24,MATCH($Y229,NWC_FC_NOOS!$S$4:$S$24,0),FALSE),"")</f>
        <v>0</v>
      </c>
      <c r="AG229" s="650">
        <f ca="1">IFERROR(HLOOKUP($AB229&amp;$AD229,NWC_FC_NOOS!$C$50:$U$70,MATCH($Y229,NWC_FC_NOOS!$B$50:$B$70,0),FALSE),"")</f>
        <v>0</v>
      </c>
      <c r="AH229" s="650">
        <f ca="1">IFERROR(IF($AA229="NOOS",HLOOKUP(STOCK_OVERVIEW!$AB229&amp;STOCK_OVERVIEW!$AD229,PLANNING_FC!$BB$27:$BP$46,MATCH(STOCK_OVERVIEW!$Y229,PLANNING_FC!$BA$27:$BA$46,0),FALSE),HLOOKUP($AB229&amp;$AD229,PLANNING_FC!$BB$4:$BP$23,MATCH(STOCK_OVERVIEW!$Y229,PLANNING_FC!$BA$4:$BA$23,0),FALSE)),"")</f>
        <v>0</v>
      </c>
      <c r="AI229" s="650">
        <f ca="1">IFERROR(IF($AA229="NOOS",HLOOKUP(STOCK_OVERVIEW!$AB229&amp;STOCK_OVERVIEW!$AD229,PLANNING_FC!$T$27:$AH$46,MATCH(STOCK_OVERVIEW!$Y229,PLANNING_FC!$B$27:$B$46,0),FALSE),HLOOKUP($AB229&amp;$AD229,PLANNING_FC!$T$4:$AH$23,MATCH(STOCK_OVERVIEW!$Y229,PLANNING_FC!$B$4:$B$23,0),FALSE)),"")</f>
        <v>0</v>
      </c>
      <c r="AJ229" s="650">
        <f ca="1">IFERROR(IF($AA229="NOOS",HLOOKUP(STOCK_OVERVIEW!$AB229&amp;STOCK_OVERVIEW!$AD229,PLANNING_FC!$DA$27:$DO$46,MATCH(STOCK_OVERVIEW!$Y229,PLANNING_FC!$CZ$27:$CZ$46,0),FALSE),HLOOKUP($AB229&amp;$AD229,PLANNING_FC!$DA$4:$DO$23,MATCH(STOCK_OVERVIEW!$Y229,PLANNING_FC!$CZ$4:$CZ$23,0),FALSE)),"")</f>
        <v>0</v>
      </c>
      <c r="AK229" s="651">
        <f ca="1">IFERROR(IF(AA229="NOOS",HLOOKUP(AB229&amp;AD229,PLANNING_FC!$AJ$27:$AY$47,MATCH(STOCK_OVERVIEW!Y229,PLANNING_FC!$AJ$27:$AJ$47,0),FALSE)*1000,HLOOKUP(AB229&amp;AD229,PLANNING_FC!$AJ$4:$AY$24,MATCH(STOCK_OVERVIEW!Y229,PLANNING_FC!$AJ$4:$AJ$24,0),FALSE)*1000),"")</f>
        <v>0</v>
      </c>
      <c r="AL229" s="638"/>
      <c r="AM229" s="638"/>
      <c r="AN229" s="638"/>
      <c r="AO229" s="638"/>
      <c r="AP229" s="638"/>
      <c r="AQ229" s="638"/>
      <c r="AR229" s="638"/>
      <c r="AS229" s="638"/>
    </row>
    <row r="230" spans="1:45" s="61" customFormat="1" x14ac:dyDescent="0.25">
      <c r="A230" s="62"/>
      <c r="F230" s="19"/>
      <c r="J230" s="19"/>
      <c r="N230" s="19"/>
      <c r="R230" s="19"/>
      <c r="S230" s="637"/>
      <c r="T230" s="637"/>
      <c r="U230" s="636"/>
      <c r="V230" s="637"/>
      <c r="W230" s="637"/>
      <c r="X230" s="200" t="str">
        <f>NWC_FC_NOOS!$B$1</f>
        <v>VM</v>
      </c>
      <c r="Y230" s="25">
        <f>NWC_FC_NOOS!$B$69</f>
        <v>0</v>
      </c>
      <c r="Z230" s="25" t="str">
        <f t="shared" ca="1" si="17"/>
        <v>VM018/19Mar</v>
      </c>
      <c r="AA230" s="25" t="str">
        <f>NWC_FC_NOOS!$I$1</f>
        <v>NOOS</v>
      </c>
      <c r="AB230" s="25" t="str">
        <f ca="1">NWC_FC_NOOS!$C$73</f>
        <v>18/19</v>
      </c>
      <c r="AC230" s="25" t="str">
        <f ca="1">NWC_FC_NOOS!$C$74</f>
        <v>Q3</v>
      </c>
      <c r="AD230" s="25" t="str">
        <f ca="1">NWC_FC_NOOS!$D$75</f>
        <v>Mar</v>
      </c>
      <c r="AE230" s="649">
        <f ca="1">IFERROR(HLOOKUP($AB230&amp;$AD230,NWC_FC_NOOS!$B$4:$Q$24,MATCH($Y230,NWC_FC_NOOS!$B$4:$B$24,0),FALSE),"")</f>
        <v>0</v>
      </c>
      <c r="AF230" s="650">
        <f ca="1">IFERROR(HLOOKUP($AB230&amp;$AD230,NWC_FC_NOOS!$S$4:$AH$24,MATCH($Y230,NWC_FC_NOOS!$S$4:$S$24,0),FALSE),"")</f>
        <v>0</v>
      </c>
      <c r="AG230" s="650">
        <f ca="1">IFERROR(HLOOKUP($AB230&amp;$AD230,NWC_FC_NOOS!$C$50:$U$70,MATCH($Y230,NWC_FC_NOOS!$B$50:$B$70,0),FALSE),"")</f>
        <v>0</v>
      </c>
      <c r="AH230" s="650">
        <f ca="1">IFERROR(IF($AA230="NOOS",HLOOKUP(STOCK_OVERVIEW!$AB230&amp;STOCK_OVERVIEW!$AD230,PLANNING_FC!$BB$27:$BP$46,MATCH(STOCK_OVERVIEW!$Y230,PLANNING_FC!$BA$27:$BA$46,0),FALSE),HLOOKUP($AB230&amp;$AD230,PLANNING_FC!$BB$4:$BP$23,MATCH(STOCK_OVERVIEW!$Y230,PLANNING_FC!$BA$4:$BA$23,0),FALSE)),"")</f>
        <v>0</v>
      </c>
      <c r="AI230" s="650">
        <f ca="1">IFERROR(IF($AA230="NOOS",HLOOKUP(STOCK_OVERVIEW!$AB230&amp;STOCK_OVERVIEW!$AD230,PLANNING_FC!$T$27:$AH$46,MATCH(STOCK_OVERVIEW!$Y230,PLANNING_FC!$B$27:$B$46,0),FALSE),HLOOKUP($AB230&amp;$AD230,PLANNING_FC!$T$4:$AH$23,MATCH(STOCK_OVERVIEW!$Y230,PLANNING_FC!$B$4:$B$23,0),FALSE)),"")</f>
        <v>0</v>
      </c>
      <c r="AJ230" s="650">
        <f ca="1">IFERROR(IF($AA230="NOOS",HLOOKUP(STOCK_OVERVIEW!$AB230&amp;STOCK_OVERVIEW!$AD230,PLANNING_FC!$DA$27:$DO$46,MATCH(STOCK_OVERVIEW!$Y230,PLANNING_FC!$CZ$27:$CZ$46,0),FALSE),HLOOKUP($AB230&amp;$AD230,PLANNING_FC!$DA$4:$DO$23,MATCH(STOCK_OVERVIEW!$Y230,PLANNING_FC!$CZ$4:$CZ$23,0),FALSE)),"")</f>
        <v>0</v>
      </c>
      <c r="AK230" s="651">
        <f ca="1">IFERROR(IF(AA230="NOOS",HLOOKUP(AB230&amp;AD230,PLANNING_FC!$AJ$27:$AY$47,MATCH(STOCK_OVERVIEW!Y230,PLANNING_FC!$AJ$27:$AJ$47,0),FALSE)*1000,HLOOKUP(AB230&amp;AD230,PLANNING_FC!$AJ$4:$AY$24,MATCH(STOCK_OVERVIEW!Y230,PLANNING_FC!$AJ$4:$AJ$24,0),FALSE)*1000),"")</f>
        <v>0</v>
      </c>
      <c r="AL230" s="638"/>
      <c r="AM230" s="638"/>
      <c r="AN230" s="638"/>
      <c r="AO230" s="638"/>
      <c r="AP230" s="638"/>
      <c r="AQ230" s="638"/>
      <c r="AR230" s="638"/>
      <c r="AS230" s="638"/>
    </row>
    <row r="231" spans="1:45" s="61" customFormat="1" x14ac:dyDescent="0.25">
      <c r="A231" s="62"/>
      <c r="F231" s="19"/>
      <c r="J231" s="19"/>
      <c r="N231" s="19"/>
      <c r="R231" s="19"/>
      <c r="S231" s="637"/>
      <c r="T231" s="637"/>
      <c r="U231" s="636"/>
      <c r="V231" s="637"/>
      <c r="W231" s="637"/>
      <c r="X231" s="200" t="str">
        <f>NWC_FC_NOOS!$B$1</f>
        <v>VM</v>
      </c>
      <c r="Y231" s="25">
        <f>NWC_FC_NOOS!$B$69</f>
        <v>0</v>
      </c>
      <c r="Z231" s="25" t="str">
        <f t="shared" ca="1" si="17"/>
        <v>VM018/19Apr</v>
      </c>
      <c r="AA231" s="25" t="str">
        <f>NWC_FC_NOOS!$I$1</f>
        <v>NOOS</v>
      </c>
      <c r="AB231" s="25" t="str">
        <f ca="1">NWC_FC_NOOS!$C$73</f>
        <v>18/19</v>
      </c>
      <c r="AC231" s="25" t="str">
        <f ca="1">NWC_FC_NOOS!$C$74</f>
        <v>Q3</v>
      </c>
      <c r="AD231" s="25" t="str">
        <f ca="1">NWC_FC_NOOS!$E$75</f>
        <v>Apr</v>
      </c>
      <c r="AE231" s="649">
        <f ca="1">IFERROR(HLOOKUP($AB231&amp;$AD231,NWC_FC_NOOS!$B$4:$Q$24,MATCH($Y231,NWC_FC_NOOS!$B$4:$B$24,0),FALSE),"")</f>
        <v>0</v>
      </c>
      <c r="AF231" s="650">
        <f ca="1">IFERROR(HLOOKUP($AB231&amp;$AD231,NWC_FC_NOOS!$S$4:$AH$24,MATCH($Y231,NWC_FC_NOOS!$S$4:$S$24,0),FALSE),"")</f>
        <v>0</v>
      </c>
      <c r="AG231" s="650">
        <f ca="1">IFERROR(HLOOKUP($AB231&amp;$AD231,NWC_FC_NOOS!$C$50:$U$70,MATCH($Y231,NWC_FC_NOOS!$B$50:$B$70,0),FALSE),"")</f>
        <v>0</v>
      </c>
      <c r="AH231" s="650">
        <f ca="1">IFERROR(IF($AA231="NOOS",HLOOKUP(STOCK_OVERVIEW!$AB231&amp;STOCK_OVERVIEW!$AD231,PLANNING_FC!$BB$27:$BP$46,MATCH(STOCK_OVERVIEW!$Y231,PLANNING_FC!$BA$27:$BA$46,0),FALSE),HLOOKUP($AB231&amp;$AD231,PLANNING_FC!$BB$4:$BP$23,MATCH(STOCK_OVERVIEW!$Y231,PLANNING_FC!$BA$4:$BA$23,0),FALSE)),"")</f>
        <v>0</v>
      </c>
      <c r="AI231" s="650">
        <f ca="1">IFERROR(IF($AA231="NOOS",HLOOKUP(STOCK_OVERVIEW!$AB231&amp;STOCK_OVERVIEW!$AD231,PLANNING_FC!$T$27:$AH$46,MATCH(STOCK_OVERVIEW!$Y231,PLANNING_FC!$B$27:$B$46,0),FALSE),HLOOKUP($AB231&amp;$AD231,PLANNING_FC!$T$4:$AH$23,MATCH(STOCK_OVERVIEW!$Y231,PLANNING_FC!$B$4:$B$23,0),FALSE)),"")</f>
        <v>0</v>
      </c>
      <c r="AJ231" s="650">
        <f ca="1">IFERROR(IF($AA231="NOOS",HLOOKUP(STOCK_OVERVIEW!$AB231&amp;STOCK_OVERVIEW!$AD231,PLANNING_FC!$DA$27:$DO$46,MATCH(STOCK_OVERVIEW!$Y231,PLANNING_FC!$CZ$27:$CZ$46,0),FALSE),HLOOKUP($AB231&amp;$AD231,PLANNING_FC!$DA$4:$DO$23,MATCH(STOCK_OVERVIEW!$Y231,PLANNING_FC!$CZ$4:$CZ$23,0),FALSE)),"")</f>
        <v>0</v>
      </c>
      <c r="AK231" s="651">
        <f ca="1">IFERROR(IF(AA231="NOOS",HLOOKUP(AB231&amp;AD231,PLANNING_FC!$AJ$27:$AY$47,MATCH(STOCK_OVERVIEW!Y231,PLANNING_FC!$AJ$27:$AJ$47,0),FALSE)*1000,HLOOKUP(AB231&amp;AD231,PLANNING_FC!$AJ$4:$AY$24,MATCH(STOCK_OVERVIEW!Y231,PLANNING_FC!$AJ$4:$AJ$24,0),FALSE)*1000),"")</f>
        <v>0</v>
      </c>
      <c r="AL231" s="638"/>
      <c r="AM231" s="638"/>
      <c r="AN231" s="638"/>
      <c r="AO231" s="638"/>
      <c r="AP231" s="638"/>
      <c r="AQ231" s="638"/>
      <c r="AR231" s="638"/>
      <c r="AS231" s="638"/>
    </row>
    <row r="232" spans="1:45" s="61" customFormat="1" x14ac:dyDescent="0.25">
      <c r="A232" s="62"/>
      <c r="F232" s="19"/>
      <c r="J232" s="19"/>
      <c r="N232" s="19"/>
      <c r="R232" s="19"/>
      <c r="S232" s="637"/>
      <c r="T232" s="637"/>
      <c r="U232" s="636"/>
      <c r="V232" s="637"/>
      <c r="W232" s="637"/>
      <c r="X232" s="200" t="str">
        <f>NWC_FC_NOOS!$B$1</f>
        <v>VM</v>
      </c>
      <c r="Y232" s="25">
        <f>NWC_FC_NOOS!$B$69</f>
        <v>0</v>
      </c>
      <c r="Z232" s="25" t="str">
        <f t="shared" ca="1" si="17"/>
        <v>VM018/19May</v>
      </c>
      <c r="AA232" s="25" t="str">
        <f>NWC_FC_NOOS!$I$1</f>
        <v>NOOS</v>
      </c>
      <c r="AB232" s="25" t="str">
        <f ca="1">NWC_FC_NOOS!$G$73</f>
        <v>18/19</v>
      </c>
      <c r="AC232" s="25" t="str">
        <f ca="1">NWC_FC_NOOS!$G$74</f>
        <v>Q4</v>
      </c>
      <c r="AD232" s="25" t="str">
        <f ca="1">NWC_FC_NOOS!$G$75</f>
        <v>May</v>
      </c>
      <c r="AE232" s="649">
        <f ca="1">IFERROR(HLOOKUP($AB232&amp;$AD232,NWC_FC_NOOS!$B$4:$Q$24,MATCH($Y232,NWC_FC_NOOS!$B$4:$B$24,0),FALSE),"")</f>
        <v>0</v>
      </c>
      <c r="AF232" s="650">
        <f ca="1">IFERROR(HLOOKUP($AB232&amp;$AD232,NWC_FC_NOOS!$S$4:$AH$24,MATCH($Y232,NWC_FC_NOOS!$S$4:$S$24,0),FALSE),"")</f>
        <v>0</v>
      </c>
      <c r="AG232" s="650">
        <f ca="1">IFERROR(HLOOKUP($AB232&amp;$AD232,NWC_FC_NOOS!$C$50:$U$70,MATCH($Y232,NWC_FC_NOOS!$B$50:$B$70,0),FALSE),"")</f>
        <v>0</v>
      </c>
      <c r="AH232" s="650">
        <f ca="1">IFERROR(IF($AA232="NOOS",HLOOKUP(STOCK_OVERVIEW!$AB232&amp;STOCK_OVERVIEW!$AD232,PLANNING_FC!$BB$27:$BP$46,MATCH(STOCK_OVERVIEW!$Y232,PLANNING_FC!$BA$27:$BA$46,0),FALSE),HLOOKUP($AB232&amp;$AD232,PLANNING_FC!$BB$4:$BP$23,MATCH(STOCK_OVERVIEW!$Y232,PLANNING_FC!$BA$4:$BA$23,0),FALSE)),"")</f>
        <v>0</v>
      </c>
      <c r="AI232" s="650">
        <f ca="1">IFERROR(IF($AA232="NOOS",HLOOKUP(STOCK_OVERVIEW!$AB232&amp;STOCK_OVERVIEW!$AD232,PLANNING_FC!$T$27:$AH$46,MATCH(STOCK_OVERVIEW!$Y232,PLANNING_FC!$B$27:$B$46,0),FALSE),HLOOKUP($AB232&amp;$AD232,PLANNING_FC!$T$4:$AH$23,MATCH(STOCK_OVERVIEW!$Y232,PLANNING_FC!$B$4:$B$23,0),FALSE)),"")</f>
        <v>0</v>
      </c>
      <c r="AJ232" s="650">
        <f ca="1">IFERROR(IF($AA232="NOOS",HLOOKUP(STOCK_OVERVIEW!$AB232&amp;STOCK_OVERVIEW!$AD232,PLANNING_FC!$DA$27:$DO$46,MATCH(STOCK_OVERVIEW!$Y232,PLANNING_FC!$CZ$27:$CZ$46,0),FALSE),HLOOKUP($AB232&amp;$AD232,PLANNING_FC!$DA$4:$DO$23,MATCH(STOCK_OVERVIEW!$Y232,PLANNING_FC!$CZ$4:$CZ$23,0),FALSE)),"")</f>
        <v>0</v>
      </c>
      <c r="AK232" s="651">
        <f ca="1">IFERROR(IF(AA232="NOOS",HLOOKUP(AB232&amp;AD232,PLANNING_FC!$AJ$27:$AY$47,MATCH(STOCK_OVERVIEW!Y232,PLANNING_FC!$AJ$27:$AJ$47,0),FALSE)*1000,HLOOKUP(AB232&amp;AD232,PLANNING_FC!$AJ$4:$AY$24,MATCH(STOCK_OVERVIEW!Y232,PLANNING_FC!$AJ$4:$AJ$24,0),FALSE)*1000),"")</f>
        <v>0</v>
      </c>
      <c r="AL232" s="638"/>
      <c r="AM232" s="638"/>
      <c r="AN232" s="638"/>
      <c r="AO232" s="638"/>
      <c r="AP232" s="638"/>
      <c r="AQ232" s="638"/>
      <c r="AR232" s="638"/>
      <c r="AS232" s="638"/>
    </row>
    <row r="233" spans="1:45" s="61" customFormat="1" x14ac:dyDescent="0.25">
      <c r="A233" s="62"/>
      <c r="F233" s="19"/>
      <c r="J233" s="19"/>
      <c r="N233" s="19"/>
      <c r="R233" s="19"/>
      <c r="S233" s="637"/>
      <c r="T233" s="637"/>
      <c r="U233" s="636"/>
      <c r="V233" s="637"/>
      <c r="W233" s="637"/>
      <c r="X233" s="200" t="str">
        <f>NWC_FC_NOOS!$B$1</f>
        <v>VM</v>
      </c>
      <c r="Y233" s="25">
        <f>NWC_FC_NOOS!$B$69</f>
        <v>0</v>
      </c>
      <c r="Z233" s="25" t="str">
        <f t="shared" ca="1" si="17"/>
        <v>VM018/19Jun</v>
      </c>
      <c r="AA233" s="25" t="str">
        <f>NWC_FC_NOOS!$I$1</f>
        <v>NOOS</v>
      </c>
      <c r="AB233" s="25" t="str">
        <f ca="1">NWC_FC_NOOS!$G$73</f>
        <v>18/19</v>
      </c>
      <c r="AC233" s="25" t="str">
        <f ca="1">NWC_FC_NOOS!$G$74</f>
        <v>Q4</v>
      </c>
      <c r="AD233" s="25" t="str">
        <f ca="1">NWC_FC_NOOS!$H$75</f>
        <v>Jun</v>
      </c>
      <c r="AE233" s="649">
        <f ca="1">IFERROR(HLOOKUP($AB233&amp;$AD233,NWC_FC_NOOS!$B$4:$Q$24,MATCH($Y233,NWC_FC_NOOS!$B$4:$B$24,0),FALSE),"")</f>
        <v>0</v>
      </c>
      <c r="AF233" s="650">
        <f ca="1">IFERROR(HLOOKUP($AB233&amp;$AD233,NWC_FC_NOOS!$S$4:$AH$24,MATCH($Y233,NWC_FC_NOOS!$S$4:$S$24,0),FALSE),"")</f>
        <v>0</v>
      </c>
      <c r="AG233" s="650">
        <f ca="1">IFERROR(HLOOKUP($AB233&amp;$AD233,NWC_FC_NOOS!$C$50:$U$70,MATCH($Y233,NWC_FC_NOOS!$B$50:$B$70,0),FALSE),"")</f>
        <v>0</v>
      </c>
      <c r="AH233" s="650">
        <f ca="1">IFERROR(IF($AA233="NOOS",HLOOKUP(STOCK_OVERVIEW!$AB233&amp;STOCK_OVERVIEW!$AD233,PLANNING_FC!$BB$27:$BP$46,MATCH(STOCK_OVERVIEW!$Y233,PLANNING_FC!$BA$27:$BA$46,0),FALSE),HLOOKUP($AB233&amp;$AD233,PLANNING_FC!$BB$4:$BP$23,MATCH(STOCK_OVERVIEW!$Y233,PLANNING_FC!$BA$4:$BA$23,0),FALSE)),"")</f>
        <v>0</v>
      </c>
      <c r="AI233" s="650">
        <f ca="1">IFERROR(IF($AA233="NOOS",HLOOKUP(STOCK_OVERVIEW!$AB233&amp;STOCK_OVERVIEW!$AD233,PLANNING_FC!$T$27:$AH$46,MATCH(STOCK_OVERVIEW!$Y233,PLANNING_FC!$B$27:$B$46,0),FALSE),HLOOKUP($AB233&amp;$AD233,PLANNING_FC!$T$4:$AH$23,MATCH(STOCK_OVERVIEW!$Y233,PLANNING_FC!$B$4:$B$23,0),FALSE)),"")</f>
        <v>0</v>
      </c>
      <c r="AJ233" s="650">
        <f ca="1">IFERROR(IF($AA233="NOOS",HLOOKUP(STOCK_OVERVIEW!$AB233&amp;STOCK_OVERVIEW!$AD233,PLANNING_FC!$DA$27:$DO$46,MATCH(STOCK_OVERVIEW!$Y233,PLANNING_FC!$CZ$27:$CZ$46,0),FALSE),HLOOKUP($AB233&amp;$AD233,PLANNING_FC!$DA$4:$DO$23,MATCH(STOCK_OVERVIEW!$Y233,PLANNING_FC!$CZ$4:$CZ$23,0),FALSE)),"")</f>
        <v>0</v>
      </c>
      <c r="AK233" s="651">
        <f ca="1">IFERROR(IF(AA233="NOOS",HLOOKUP(AB233&amp;AD233,PLANNING_FC!$AJ$27:$AY$47,MATCH(STOCK_OVERVIEW!Y233,PLANNING_FC!$AJ$27:$AJ$47,0),FALSE)*1000,HLOOKUP(AB233&amp;AD233,PLANNING_FC!$AJ$4:$AY$24,MATCH(STOCK_OVERVIEW!Y233,PLANNING_FC!$AJ$4:$AJ$24,0),FALSE)*1000),"")</f>
        <v>0</v>
      </c>
      <c r="AL233" s="638"/>
      <c r="AM233" s="638"/>
      <c r="AN233" s="638"/>
      <c r="AO233" s="638"/>
      <c r="AP233" s="638"/>
      <c r="AQ233" s="638"/>
      <c r="AR233" s="638"/>
      <c r="AS233" s="638"/>
    </row>
    <row r="234" spans="1:45" s="61" customFormat="1" x14ac:dyDescent="0.25">
      <c r="A234" s="62"/>
      <c r="F234" s="19"/>
      <c r="J234" s="19"/>
      <c r="N234" s="19"/>
      <c r="R234" s="19"/>
      <c r="S234" s="637"/>
      <c r="T234" s="637"/>
      <c r="U234" s="636"/>
      <c r="V234" s="637"/>
      <c r="W234" s="637"/>
      <c r="X234" s="200" t="str">
        <f>NWC_FC_NOOS!$B$1</f>
        <v>VM</v>
      </c>
      <c r="Y234" s="25">
        <f>NWC_FC_NOOS!$B$69</f>
        <v>0</v>
      </c>
      <c r="Z234" s="25" t="str">
        <f t="shared" ca="1" si="17"/>
        <v>VM018/19Jul</v>
      </c>
      <c r="AA234" s="25" t="str">
        <f>NWC_FC_NOOS!$I$1</f>
        <v>NOOS</v>
      </c>
      <c r="AB234" s="25" t="str">
        <f ca="1">NWC_FC_NOOS!$G$73</f>
        <v>18/19</v>
      </c>
      <c r="AC234" s="25" t="str">
        <f ca="1">NWC_FC_NOOS!$G$74</f>
        <v>Q4</v>
      </c>
      <c r="AD234" s="25" t="str">
        <f ca="1">NWC_FC_NOOS!$I$75</f>
        <v>Jul</v>
      </c>
      <c r="AE234" s="649">
        <f ca="1">IFERROR(HLOOKUP($AB234&amp;$AD234,NWC_FC_NOOS!$B$4:$Q$24,MATCH($Y234,NWC_FC_NOOS!$B$4:$B$24,0),FALSE),"")</f>
        <v>0</v>
      </c>
      <c r="AF234" s="650">
        <f ca="1">IFERROR(HLOOKUP($AB234&amp;$AD234,NWC_FC_NOOS!$S$4:$AH$24,MATCH($Y234,NWC_FC_NOOS!$S$4:$S$24,0),FALSE),"")</f>
        <v>0</v>
      </c>
      <c r="AG234" s="650">
        <f ca="1">IFERROR(HLOOKUP($AB234&amp;$AD234,NWC_FC_NOOS!$C$50:$U$70,MATCH($Y234,NWC_FC_NOOS!$B$50:$B$70,0),FALSE),"")</f>
        <v>0</v>
      </c>
      <c r="AH234" s="650">
        <f ca="1">IFERROR(IF($AA234="NOOS",HLOOKUP(STOCK_OVERVIEW!$AB234&amp;STOCK_OVERVIEW!$AD234,PLANNING_FC!$BB$27:$BP$46,MATCH(STOCK_OVERVIEW!$Y234,PLANNING_FC!$BA$27:$BA$46,0),FALSE),HLOOKUP($AB234&amp;$AD234,PLANNING_FC!$BB$4:$BP$23,MATCH(STOCK_OVERVIEW!$Y234,PLANNING_FC!$BA$4:$BA$23,0),FALSE)),"")</f>
        <v>0</v>
      </c>
      <c r="AI234" s="650">
        <f ca="1">IFERROR(IF($AA234="NOOS",HLOOKUP(STOCK_OVERVIEW!$AB234&amp;STOCK_OVERVIEW!$AD234,PLANNING_FC!$T$27:$AH$46,MATCH(STOCK_OVERVIEW!$Y234,PLANNING_FC!$B$27:$B$46,0),FALSE),HLOOKUP($AB234&amp;$AD234,PLANNING_FC!$T$4:$AH$23,MATCH(STOCK_OVERVIEW!$Y234,PLANNING_FC!$B$4:$B$23,0),FALSE)),"")</f>
        <v>0</v>
      </c>
      <c r="AJ234" s="650">
        <f ca="1">IFERROR(IF($AA234="NOOS",HLOOKUP(STOCK_OVERVIEW!$AB234&amp;STOCK_OVERVIEW!$AD234,PLANNING_FC!$DA$27:$DO$46,MATCH(STOCK_OVERVIEW!$Y234,PLANNING_FC!$CZ$27:$CZ$46,0),FALSE),HLOOKUP($AB234&amp;$AD234,PLANNING_FC!$DA$4:$DO$23,MATCH(STOCK_OVERVIEW!$Y234,PLANNING_FC!$CZ$4:$CZ$23,0),FALSE)),"")</f>
        <v>0</v>
      </c>
      <c r="AK234" s="651">
        <f ca="1">IFERROR(IF(AA234="NOOS",HLOOKUP(AB234&amp;AD234,PLANNING_FC!$AJ$27:$AY$47,MATCH(STOCK_OVERVIEW!Y234,PLANNING_FC!$AJ$27:$AJ$47,0),FALSE)*1000,HLOOKUP(AB234&amp;AD234,PLANNING_FC!$AJ$4:$AY$24,MATCH(STOCK_OVERVIEW!Y234,PLANNING_FC!$AJ$4:$AJ$24,0),FALSE)*1000),"")</f>
        <v>0</v>
      </c>
      <c r="AL234" s="638"/>
      <c r="AM234" s="638"/>
      <c r="AN234" s="638"/>
      <c r="AO234" s="638"/>
      <c r="AP234" s="638"/>
      <c r="AQ234" s="638"/>
      <c r="AR234" s="638"/>
      <c r="AS234" s="638"/>
    </row>
    <row r="235" spans="1:45" s="61" customFormat="1" x14ac:dyDescent="0.25">
      <c r="A235" s="62"/>
      <c r="F235" s="19"/>
      <c r="J235" s="19"/>
      <c r="N235" s="19"/>
      <c r="R235" s="19"/>
      <c r="S235" s="637"/>
      <c r="T235" s="637"/>
      <c r="U235" s="636"/>
      <c r="V235" s="637"/>
      <c r="W235" s="637"/>
      <c r="X235" s="200" t="str">
        <f>NWC_FC_NOOS!$B$1</f>
        <v>VM</v>
      </c>
      <c r="Y235" s="25">
        <f>NWC_FC_NOOS!$B$69</f>
        <v>0</v>
      </c>
      <c r="Z235" s="25" t="str">
        <f t="shared" ca="1" si="17"/>
        <v>VM019/20Aug</v>
      </c>
      <c r="AA235" s="25" t="str">
        <f>NWC_FC_NOOS!$I$1</f>
        <v>NOOS</v>
      </c>
      <c r="AB235" s="25" t="str">
        <f ca="1">NWC_FC_NOOS!$K$73</f>
        <v>19/20</v>
      </c>
      <c r="AC235" s="25" t="str">
        <f ca="1">NWC_FC_NOOS!$K$74</f>
        <v>Q1</v>
      </c>
      <c r="AD235" s="25" t="str">
        <f ca="1">NWC_FC_NOOS!$K$75</f>
        <v>Aug</v>
      </c>
      <c r="AE235" s="649">
        <f ca="1">IFERROR(HLOOKUP($AB235&amp;$AD235,NWC_FC_NOOS!$B$4:$Q$24,MATCH($Y235,NWC_FC_NOOS!$B$4:$B$24,0),FALSE),"")</f>
        <v>0</v>
      </c>
      <c r="AF235" s="650">
        <f ca="1">IFERROR(HLOOKUP($AB235&amp;$AD235,NWC_FC_NOOS!$S$4:$AH$24,MATCH($Y235,NWC_FC_NOOS!$S$4:$S$24,0),FALSE),"")</f>
        <v>0</v>
      </c>
      <c r="AG235" s="650">
        <f ca="1">IFERROR(HLOOKUP($AB235&amp;$AD235,NWC_FC_NOOS!$C$50:$U$70,MATCH($Y235,NWC_FC_NOOS!$B$50:$B$70,0),FALSE),"")</f>
        <v>0</v>
      </c>
      <c r="AH235" s="650">
        <f ca="1">IFERROR(IF($AA235="NOOS",HLOOKUP(STOCK_OVERVIEW!$AB235&amp;STOCK_OVERVIEW!$AD235,PLANNING_FC!$BB$27:$BP$46,MATCH(STOCK_OVERVIEW!$Y235,PLANNING_FC!$BA$27:$BA$46,0),FALSE),HLOOKUP($AB235&amp;$AD235,PLANNING_FC!$BB$4:$BP$23,MATCH(STOCK_OVERVIEW!$Y235,PLANNING_FC!$BA$4:$BA$23,0),FALSE)),"")</f>
        <v>0</v>
      </c>
      <c r="AI235" s="650">
        <f ca="1">IFERROR(IF($AA235="NOOS",HLOOKUP(STOCK_OVERVIEW!$AB235&amp;STOCK_OVERVIEW!$AD235,PLANNING_FC!$T$27:$AH$46,MATCH(STOCK_OVERVIEW!$Y235,PLANNING_FC!$B$27:$B$46,0),FALSE),HLOOKUP($AB235&amp;$AD235,PLANNING_FC!$T$4:$AH$23,MATCH(STOCK_OVERVIEW!$Y235,PLANNING_FC!$B$4:$B$23,0),FALSE)),"")</f>
        <v>0</v>
      </c>
      <c r="AJ235" s="650">
        <f ca="1">IFERROR(IF($AA235="NOOS",HLOOKUP(STOCK_OVERVIEW!$AB235&amp;STOCK_OVERVIEW!$AD235,PLANNING_FC!$DA$27:$DO$46,MATCH(STOCK_OVERVIEW!$Y235,PLANNING_FC!$CZ$27:$CZ$46,0),FALSE),HLOOKUP($AB235&amp;$AD235,PLANNING_FC!$DA$4:$DO$23,MATCH(STOCK_OVERVIEW!$Y235,PLANNING_FC!$CZ$4:$CZ$23,0),FALSE)),"")</f>
        <v>0</v>
      </c>
      <c r="AK235" s="651">
        <f ca="1">IFERROR(IF(AA235="NOOS",HLOOKUP(AB235&amp;AD235,PLANNING_FC!$AJ$27:$AY$47,MATCH(STOCK_OVERVIEW!Y235,PLANNING_FC!$AJ$27:$AJ$47,0),FALSE)*1000,HLOOKUP(AB235&amp;AD235,PLANNING_FC!$AJ$4:$AY$24,MATCH(STOCK_OVERVIEW!Y235,PLANNING_FC!$AJ$4:$AJ$24,0),FALSE)*1000),"")</f>
        <v>0</v>
      </c>
      <c r="AL235" s="638"/>
      <c r="AM235" s="638"/>
      <c r="AN235" s="638"/>
      <c r="AO235" s="638"/>
      <c r="AP235" s="638"/>
      <c r="AQ235" s="638"/>
      <c r="AR235" s="638"/>
      <c r="AS235" s="638"/>
    </row>
    <row r="236" spans="1:45" s="61" customFormat="1" x14ac:dyDescent="0.25">
      <c r="A236" s="62"/>
      <c r="F236" s="19"/>
      <c r="J236" s="19"/>
      <c r="N236" s="19"/>
      <c r="R236" s="19"/>
      <c r="S236" s="637"/>
      <c r="T236" s="637"/>
      <c r="U236" s="636"/>
      <c r="V236" s="637"/>
      <c r="W236" s="637"/>
      <c r="X236" s="200" t="str">
        <f>NWC_FC_NOOS!$B$1</f>
        <v>VM</v>
      </c>
      <c r="Y236" s="25">
        <f>NWC_FC_NOOS!$B$69</f>
        <v>0</v>
      </c>
      <c r="Z236" s="25" t="str">
        <f t="shared" ca="1" si="17"/>
        <v>VM019/20Sep</v>
      </c>
      <c r="AA236" s="25" t="str">
        <f>NWC_FC_NOOS!$I$1</f>
        <v>NOOS</v>
      </c>
      <c r="AB236" s="25" t="str">
        <f ca="1">NWC_FC_NOOS!$K$73</f>
        <v>19/20</v>
      </c>
      <c r="AC236" s="25" t="str">
        <f ca="1">NWC_FC_NOOS!$K$74</f>
        <v>Q1</v>
      </c>
      <c r="AD236" s="25" t="str">
        <f ca="1">NWC_FC_NOOS!$L$75</f>
        <v>Sep</v>
      </c>
      <c r="AE236" s="649">
        <f ca="1">IFERROR(HLOOKUP($AB236&amp;$AD236,NWC_FC_NOOS!$B$4:$Q$24,MATCH($Y236,NWC_FC_NOOS!$B$4:$B$24,0),FALSE),"")</f>
        <v>0</v>
      </c>
      <c r="AF236" s="650">
        <f ca="1">IFERROR(HLOOKUP($AB236&amp;$AD236,NWC_FC_NOOS!$S$4:$AH$24,MATCH($Y236,NWC_FC_NOOS!$S$4:$S$24,0),FALSE),"")</f>
        <v>0</v>
      </c>
      <c r="AG236" s="650">
        <f ca="1">IFERROR(HLOOKUP($AB236&amp;$AD236,NWC_FC_NOOS!$C$50:$U$70,MATCH($Y236,NWC_FC_NOOS!$B$50:$B$70,0),FALSE),"")</f>
        <v>0</v>
      </c>
      <c r="AH236" s="650">
        <f ca="1">IFERROR(IF($AA236="NOOS",HLOOKUP(STOCK_OVERVIEW!$AB236&amp;STOCK_OVERVIEW!$AD236,PLANNING_FC!$BB$27:$BP$46,MATCH(STOCK_OVERVIEW!$Y236,PLANNING_FC!$BA$27:$BA$46,0),FALSE),HLOOKUP($AB236&amp;$AD236,PLANNING_FC!$BB$4:$BP$23,MATCH(STOCK_OVERVIEW!$Y236,PLANNING_FC!$BA$4:$BA$23,0),FALSE)),"")</f>
        <v>0</v>
      </c>
      <c r="AI236" s="650">
        <f ca="1">IFERROR(IF($AA236="NOOS",HLOOKUP(STOCK_OVERVIEW!$AB236&amp;STOCK_OVERVIEW!$AD236,PLANNING_FC!$T$27:$AH$46,MATCH(STOCK_OVERVIEW!$Y236,PLANNING_FC!$B$27:$B$46,0),FALSE),HLOOKUP($AB236&amp;$AD236,PLANNING_FC!$T$4:$AH$23,MATCH(STOCK_OVERVIEW!$Y236,PLANNING_FC!$B$4:$B$23,0),FALSE)),"")</f>
        <v>0</v>
      </c>
      <c r="AJ236" s="650">
        <f ca="1">IFERROR(IF($AA236="NOOS",HLOOKUP(STOCK_OVERVIEW!$AB236&amp;STOCK_OVERVIEW!$AD236,PLANNING_FC!$DA$27:$DO$46,MATCH(STOCK_OVERVIEW!$Y236,PLANNING_FC!$CZ$27:$CZ$46,0),FALSE),HLOOKUP($AB236&amp;$AD236,PLANNING_FC!$DA$4:$DO$23,MATCH(STOCK_OVERVIEW!$Y236,PLANNING_FC!$CZ$4:$CZ$23,0),FALSE)),"")</f>
        <v>0</v>
      </c>
      <c r="AK236" s="651">
        <f ca="1">IFERROR(IF(AA236="NOOS",HLOOKUP(AB236&amp;AD236,PLANNING_FC!$AJ$27:$AY$47,MATCH(STOCK_OVERVIEW!Y236,PLANNING_FC!$AJ$27:$AJ$47,0),FALSE)*1000,HLOOKUP(AB236&amp;AD236,PLANNING_FC!$AJ$4:$AY$24,MATCH(STOCK_OVERVIEW!Y236,PLANNING_FC!$AJ$4:$AJ$24,0),FALSE)*1000),"")</f>
        <v>0</v>
      </c>
      <c r="AL236" s="638"/>
      <c r="AM236" s="638"/>
      <c r="AN236" s="638"/>
      <c r="AO236" s="638"/>
      <c r="AP236" s="638"/>
      <c r="AQ236" s="638"/>
      <c r="AR236" s="638"/>
      <c r="AS236" s="638"/>
    </row>
    <row r="237" spans="1:45" s="61" customFormat="1" x14ac:dyDescent="0.25">
      <c r="A237" s="62"/>
      <c r="F237" s="19"/>
      <c r="J237" s="19"/>
      <c r="N237" s="19"/>
      <c r="R237" s="19"/>
      <c r="S237" s="637"/>
      <c r="T237" s="637"/>
      <c r="U237" s="636"/>
      <c r="V237" s="637"/>
      <c r="W237" s="637"/>
      <c r="X237" s="200" t="str">
        <f>NWC_FC_NOOS!$B$1</f>
        <v>VM</v>
      </c>
      <c r="Y237" s="25">
        <f>NWC_FC_NOOS!$B$69</f>
        <v>0</v>
      </c>
      <c r="Z237" s="25" t="str">
        <f t="shared" ca="1" si="17"/>
        <v>VM019/20Oct</v>
      </c>
      <c r="AA237" s="25" t="str">
        <f>NWC_FC_NOOS!$I$1</f>
        <v>NOOS</v>
      </c>
      <c r="AB237" s="25" t="str">
        <f ca="1">NWC_FC_NOOS!$K$73</f>
        <v>19/20</v>
      </c>
      <c r="AC237" s="25" t="str">
        <f ca="1">NWC_FC_NOOS!$K$74</f>
        <v>Q1</v>
      </c>
      <c r="AD237" s="25" t="str">
        <f ca="1">NWC_FC_NOOS!$M$75</f>
        <v>Oct</v>
      </c>
      <c r="AE237" s="649">
        <f ca="1">IFERROR(HLOOKUP($AB237&amp;$AD237,NWC_FC_NOOS!$B$4:$Q$24,MATCH($Y237,NWC_FC_NOOS!$B$4:$B$24,0),FALSE),"")</f>
        <v>0</v>
      </c>
      <c r="AF237" s="650">
        <f ca="1">IFERROR(HLOOKUP($AB237&amp;$AD237,NWC_FC_NOOS!$S$4:$AH$24,MATCH($Y237,NWC_FC_NOOS!$S$4:$S$24,0),FALSE),"")</f>
        <v>0</v>
      </c>
      <c r="AG237" s="650">
        <f ca="1">IFERROR(HLOOKUP($AB237&amp;$AD237,NWC_FC_NOOS!$C$50:$U$70,MATCH($Y237,NWC_FC_NOOS!$B$50:$B$70,0),FALSE),"")</f>
        <v>0</v>
      </c>
      <c r="AH237" s="650">
        <f ca="1">IFERROR(IF($AA237="NOOS",HLOOKUP(STOCK_OVERVIEW!$AB237&amp;STOCK_OVERVIEW!$AD237,PLANNING_FC!$BB$27:$BP$46,MATCH(STOCK_OVERVIEW!$Y237,PLANNING_FC!$BA$27:$BA$46,0),FALSE),HLOOKUP($AB237&amp;$AD237,PLANNING_FC!$BB$4:$BP$23,MATCH(STOCK_OVERVIEW!$Y237,PLANNING_FC!$BA$4:$BA$23,0),FALSE)),"")</f>
        <v>0</v>
      </c>
      <c r="AI237" s="650">
        <f ca="1">IFERROR(IF($AA237="NOOS",HLOOKUP(STOCK_OVERVIEW!$AB237&amp;STOCK_OVERVIEW!$AD237,PLANNING_FC!$T$27:$AH$46,MATCH(STOCK_OVERVIEW!$Y237,PLANNING_FC!$B$27:$B$46,0),FALSE),HLOOKUP($AB237&amp;$AD237,PLANNING_FC!$T$4:$AH$23,MATCH(STOCK_OVERVIEW!$Y237,PLANNING_FC!$B$4:$B$23,0),FALSE)),"")</f>
        <v>0</v>
      </c>
      <c r="AJ237" s="650">
        <f ca="1">IFERROR(IF($AA237="NOOS",HLOOKUP(STOCK_OVERVIEW!$AB237&amp;STOCK_OVERVIEW!$AD237,PLANNING_FC!$DA$27:$DO$46,MATCH(STOCK_OVERVIEW!$Y237,PLANNING_FC!$CZ$27:$CZ$46,0),FALSE),HLOOKUP($AB237&amp;$AD237,PLANNING_FC!$DA$4:$DO$23,MATCH(STOCK_OVERVIEW!$Y237,PLANNING_FC!$CZ$4:$CZ$23,0),FALSE)),"")</f>
        <v>0</v>
      </c>
      <c r="AK237" s="651">
        <f ca="1">IFERROR(IF(AA237="NOOS",HLOOKUP(AB237&amp;AD237,PLANNING_FC!$AJ$27:$AY$47,MATCH(STOCK_OVERVIEW!Y237,PLANNING_FC!$AJ$27:$AJ$47,0),FALSE)*1000,HLOOKUP(AB237&amp;AD237,PLANNING_FC!$AJ$4:$AY$24,MATCH(STOCK_OVERVIEW!Y237,PLANNING_FC!$AJ$4:$AJ$24,0),FALSE)*1000),"")</f>
        <v>0</v>
      </c>
      <c r="AL237" s="638"/>
      <c r="AM237" s="638"/>
      <c r="AN237" s="638"/>
      <c r="AO237" s="638"/>
      <c r="AP237" s="638"/>
      <c r="AQ237" s="638"/>
      <c r="AR237" s="638"/>
      <c r="AS237" s="638"/>
    </row>
    <row r="238" spans="1:45" s="61" customFormat="1" x14ac:dyDescent="0.25">
      <c r="A238" s="62"/>
      <c r="F238" s="19"/>
      <c r="J238" s="19"/>
      <c r="N238" s="19"/>
      <c r="R238" s="19"/>
      <c r="S238" s="637"/>
      <c r="T238" s="637"/>
      <c r="U238" s="636"/>
      <c r="V238" s="637"/>
      <c r="W238" s="637"/>
      <c r="X238" s="200" t="str">
        <f>NWC_FC_NOOS!$B$1</f>
        <v>VM</v>
      </c>
      <c r="Y238" s="25">
        <f>NWC_FC_NOOS!$B$69</f>
        <v>0</v>
      </c>
      <c r="Z238" s="25" t="str">
        <f t="shared" ca="1" si="17"/>
        <v>VM019/20Nov</v>
      </c>
      <c r="AA238" s="25" t="str">
        <f>NWC_FC_NOOS!$I$1</f>
        <v>NOOS</v>
      </c>
      <c r="AB238" s="25" t="str">
        <f ca="1">NWC_FC_NOOS!$O$73</f>
        <v>19/20</v>
      </c>
      <c r="AC238" s="25" t="str">
        <f ca="1">NWC_FC_NOOS!$O$74</f>
        <v>Q2</v>
      </c>
      <c r="AD238" s="25" t="str">
        <f ca="1">NWC_FC_NOOS!$O$75</f>
        <v>Nov</v>
      </c>
      <c r="AE238" s="649">
        <f ca="1">IFERROR(HLOOKUP($AB238&amp;$AD238,NWC_FC_NOOS!$B$4:$Q$24,MATCH($Y238,NWC_FC_NOOS!$B$4:$B$24,0),FALSE),"")</f>
        <v>0</v>
      </c>
      <c r="AF238" s="650">
        <f ca="1">IFERROR(HLOOKUP($AB238&amp;$AD238,NWC_FC_NOOS!$S$4:$AH$24,MATCH($Y238,NWC_FC_NOOS!$S$4:$S$24,0),FALSE),"")</f>
        <v>0</v>
      </c>
      <c r="AG238" s="650">
        <f ca="1">IFERROR(HLOOKUP($AB238&amp;$AD238,NWC_FC_NOOS!$C$50:$U$70,MATCH($Y238,NWC_FC_NOOS!$B$50:$B$70,0),FALSE),"")</f>
        <v>0</v>
      </c>
      <c r="AH238" s="650">
        <f ca="1">IFERROR(IF($AA238="NOOS",HLOOKUP(STOCK_OVERVIEW!$AB238&amp;STOCK_OVERVIEW!$AD238,PLANNING_FC!$BB$27:$BP$46,MATCH(STOCK_OVERVIEW!$Y238,PLANNING_FC!$BA$27:$BA$46,0),FALSE),HLOOKUP($AB238&amp;$AD238,PLANNING_FC!$BB$4:$BP$23,MATCH(STOCK_OVERVIEW!$Y238,PLANNING_FC!$BA$4:$BA$23,0),FALSE)),"")</f>
        <v>0</v>
      </c>
      <c r="AI238" s="650">
        <f ca="1">IFERROR(IF($AA238="NOOS",HLOOKUP(STOCK_OVERVIEW!$AB238&amp;STOCK_OVERVIEW!$AD238,PLANNING_FC!$T$27:$AH$46,MATCH(STOCK_OVERVIEW!$Y238,PLANNING_FC!$B$27:$B$46,0),FALSE),HLOOKUP($AB238&amp;$AD238,PLANNING_FC!$T$4:$AH$23,MATCH(STOCK_OVERVIEW!$Y238,PLANNING_FC!$B$4:$B$23,0),FALSE)),"")</f>
        <v>0</v>
      </c>
      <c r="AJ238" s="650">
        <f ca="1">IFERROR(IF($AA238="NOOS",HLOOKUP(STOCK_OVERVIEW!$AB238&amp;STOCK_OVERVIEW!$AD238,PLANNING_FC!$DA$27:$DO$46,MATCH(STOCK_OVERVIEW!$Y238,PLANNING_FC!$CZ$27:$CZ$46,0),FALSE),HLOOKUP($AB238&amp;$AD238,PLANNING_FC!$DA$4:$DO$23,MATCH(STOCK_OVERVIEW!$Y238,PLANNING_FC!$CZ$4:$CZ$23,0),FALSE)),"")</f>
        <v>0</v>
      </c>
      <c r="AK238" s="651">
        <f ca="1">IFERROR(IF(AA238="NOOS",HLOOKUP(AB238&amp;AD238,PLANNING_FC!$AJ$27:$AY$47,MATCH(STOCK_OVERVIEW!Y238,PLANNING_FC!$AJ$27:$AJ$47,0),FALSE)*1000,HLOOKUP(AB238&amp;AD238,PLANNING_FC!$AJ$4:$AY$24,MATCH(STOCK_OVERVIEW!Y238,PLANNING_FC!$AJ$4:$AJ$24,0),FALSE)*1000),"")</f>
        <v>0</v>
      </c>
      <c r="AL238" s="638"/>
      <c r="AM238" s="638"/>
      <c r="AN238" s="638"/>
      <c r="AO238" s="638"/>
      <c r="AP238" s="638"/>
      <c r="AQ238" s="638"/>
      <c r="AR238" s="638"/>
      <c r="AS238" s="638"/>
    </row>
    <row r="239" spans="1:45" s="61" customFormat="1" x14ac:dyDescent="0.25">
      <c r="A239" s="62"/>
      <c r="F239" s="19"/>
      <c r="J239" s="19"/>
      <c r="N239" s="19"/>
      <c r="R239" s="19"/>
      <c r="S239" s="637"/>
      <c r="T239" s="637"/>
      <c r="U239" s="636"/>
      <c r="V239" s="637"/>
      <c r="W239" s="637"/>
      <c r="X239" s="200" t="str">
        <f>NWC_FC_NOOS!$B$1</f>
        <v>VM</v>
      </c>
      <c r="Y239" s="25">
        <f>NWC_FC_NOOS!$B$69</f>
        <v>0</v>
      </c>
      <c r="Z239" s="25" t="str">
        <f t="shared" ca="1" si="17"/>
        <v>VM019/20Dec</v>
      </c>
      <c r="AA239" s="25" t="str">
        <f>NWC_FC_NOOS!$I$1</f>
        <v>NOOS</v>
      </c>
      <c r="AB239" s="25" t="str">
        <f ca="1">NWC_FC_NOOS!$O$73</f>
        <v>19/20</v>
      </c>
      <c r="AC239" s="25" t="str">
        <f ca="1">NWC_FC_NOOS!$O$74</f>
        <v>Q2</v>
      </c>
      <c r="AD239" s="25" t="str">
        <f ca="1">NWC_FC_NOOS!$P$75</f>
        <v>Dec</v>
      </c>
      <c r="AE239" s="649">
        <f ca="1">IFERROR(HLOOKUP($AB239&amp;$AD239,NWC_FC_NOOS!$B$4:$Q$24,MATCH($Y239,NWC_FC_NOOS!$B$4:$B$24,0),FALSE),"")</f>
        <v>0</v>
      </c>
      <c r="AF239" s="650">
        <f ca="1">IFERROR(HLOOKUP($AB239&amp;$AD239,NWC_FC_NOOS!$S$4:$AH$24,MATCH($Y239,NWC_FC_NOOS!$S$4:$S$24,0),FALSE),"")</f>
        <v>0</v>
      </c>
      <c r="AG239" s="650">
        <f ca="1">IFERROR(HLOOKUP($AB239&amp;$AD239,NWC_FC_NOOS!$C$50:$U$70,MATCH($Y239,NWC_FC_NOOS!$B$50:$B$70,0),FALSE),"")</f>
        <v>0</v>
      </c>
      <c r="AH239" s="650">
        <f ca="1">IFERROR(IF($AA239="NOOS",HLOOKUP(STOCK_OVERVIEW!$AB239&amp;STOCK_OVERVIEW!$AD239,PLANNING_FC!$BB$27:$BP$46,MATCH(STOCK_OVERVIEW!$Y239,PLANNING_FC!$BA$27:$BA$46,0),FALSE),HLOOKUP($AB239&amp;$AD239,PLANNING_FC!$BB$4:$BP$23,MATCH(STOCK_OVERVIEW!$Y239,PLANNING_FC!$BA$4:$BA$23,0),FALSE)),"")</f>
        <v>0</v>
      </c>
      <c r="AI239" s="650">
        <f ca="1">IFERROR(IF($AA239="NOOS",HLOOKUP(STOCK_OVERVIEW!$AB239&amp;STOCK_OVERVIEW!$AD239,PLANNING_FC!$T$27:$AH$46,MATCH(STOCK_OVERVIEW!$Y239,PLANNING_FC!$B$27:$B$46,0),FALSE),HLOOKUP($AB239&amp;$AD239,PLANNING_FC!$T$4:$AH$23,MATCH(STOCK_OVERVIEW!$Y239,PLANNING_FC!$B$4:$B$23,0),FALSE)),"")</f>
        <v>0</v>
      </c>
      <c r="AJ239" s="650">
        <f ca="1">IFERROR(IF($AA239="NOOS",HLOOKUP(STOCK_OVERVIEW!$AB239&amp;STOCK_OVERVIEW!$AD239,PLANNING_FC!$DA$27:$DO$46,MATCH(STOCK_OVERVIEW!$Y239,PLANNING_FC!$CZ$27:$CZ$46,0),FALSE),HLOOKUP($AB239&amp;$AD239,PLANNING_FC!$DA$4:$DO$23,MATCH(STOCK_OVERVIEW!$Y239,PLANNING_FC!$CZ$4:$CZ$23,0),FALSE)),"")</f>
        <v>0</v>
      </c>
      <c r="AK239" s="651">
        <f ca="1">IFERROR(IF(AA239="NOOS",HLOOKUP(AB239&amp;AD239,PLANNING_FC!$AJ$27:$AY$47,MATCH(STOCK_OVERVIEW!Y239,PLANNING_FC!$AJ$27:$AJ$47,0),FALSE)*1000,HLOOKUP(AB239&amp;AD239,PLANNING_FC!$AJ$4:$AY$24,MATCH(STOCK_OVERVIEW!Y239,PLANNING_FC!$AJ$4:$AJ$24,0),FALSE)*1000),"")</f>
        <v>0</v>
      </c>
      <c r="AL239" s="638"/>
      <c r="AM239" s="638"/>
      <c r="AN239" s="638"/>
      <c r="AO239" s="638"/>
      <c r="AP239" s="638"/>
      <c r="AQ239" s="638"/>
      <c r="AR239" s="638"/>
      <c r="AS239" s="638"/>
    </row>
    <row r="240" spans="1:45" s="61" customFormat="1" x14ac:dyDescent="0.25">
      <c r="A240" s="62"/>
      <c r="F240" s="19"/>
      <c r="J240" s="19"/>
      <c r="N240" s="19"/>
      <c r="R240" s="19"/>
      <c r="S240" s="637"/>
      <c r="T240" s="637"/>
      <c r="U240" s="636"/>
      <c r="V240" s="637"/>
      <c r="W240" s="637"/>
      <c r="X240" s="200" t="str">
        <f>NWC_FC_NOOS!$B$1</f>
        <v>VM</v>
      </c>
      <c r="Y240" s="25">
        <f>NWC_FC_NOOS!$B$69</f>
        <v>0</v>
      </c>
      <c r="Z240" s="25" t="str">
        <f t="shared" ca="1" si="17"/>
        <v>VM019/20Jan</v>
      </c>
      <c r="AA240" s="25" t="str">
        <f>NWC_FC_NOOS!$I$1</f>
        <v>NOOS</v>
      </c>
      <c r="AB240" s="25" t="str">
        <f ca="1">NWC_FC_NOOS!$O$73</f>
        <v>19/20</v>
      </c>
      <c r="AC240" s="25" t="str">
        <f ca="1">NWC_FC_NOOS!$O$74</f>
        <v>Q2</v>
      </c>
      <c r="AD240" s="25" t="str">
        <f ca="1">NWC_FC_NOOS!$Q$75</f>
        <v>Jan</v>
      </c>
      <c r="AE240" s="649">
        <f ca="1">IFERROR(HLOOKUP($AB240&amp;$AD240,NWC_FC_NOOS!$B$4:$Q$24,MATCH($Y240,NWC_FC_NOOS!$B$4:$B$24,0),FALSE),"")</f>
        <v>0</v>
      </c>
      <c r="AF240" s="650">
        <f ca="1">IFERROR(HLOOKUP($AB240&amp;$AD240,NWC_FC_NOOS!$S$4:$AH$24,MATCH($Y240,NWC_FC_NOOS!$S$4:$S$24,0),FALSE),"")</f>
        <v>0</v>
      </c>
      <c r="AG240" s="650">
        <f ca="1">IFERROR(HLOOKUP($AB240&amp;$AD240,NWC_FC_NOOS!$C$50:$U$70,MATCH($Y240,NWC_FC_NOOS!$B$50:$B$70,0),FALSE),"")</f>
        <v>0</v>
      </c>
      <c r="AH240" s="650">
        <f ca="1">IFERROR(IF($AA240="NOOS",HLOOKUP(STOCK_OVERVIEW!$AB240&amp;STOCK_OVERVIEW!$AD240,PLANNING_FC!$BB$27:$BP$46,MATCH(STOCK_OVERVIEW!$Y240,PLANNING_FC!$BA$27:$BA$46,0),FALSE),HLOOKUP($AB240&amp;$AD240,PLANNING_FC!$BB$4:$BP$23,MATCH(STOCK_OVERVIEW!$Y240,PLANNING_FC!$BA$4:$BA$23,0),FALSE)),"")</f>
        <v>0</v>
      </c>
      <c r="AI240" s="650">
        <f ca="1">IFERROR(IF($AA240="NOOS",HLOOKUP(STOCK_OVERVIEW!$AB240&amp;STOCK_OVERVIEW!$AD240,PLANNING_FC!$T$27:$AH$46,MATCH(STOCK_OVERVIEW!$Y240,PLANNING_FC!$B$27:$B$46,0),FALSE),HLOOKUP($AB240&amp;$AD240,PLANNING_FC!$T$4:$AH$23,MATCH(STOCK_OVERVIEW!$Y240,PLANNING_FC!$B$4:$B$23,0),FALSE)),"")</f>
        <v>0</v>
      </c>
      <c r="AJ240" s="650">
        <f ca="1">IFERROR(IF($AA240="NOOS",HLOOKUP(STOCK_OVERVIEW!$AB240&amp;STOCK_OVERVIEW!$AD240,PLANNING_FC!$DA$27:$DO$46,MATCH(STOCK_OVERVIEW!$Y240,PLANNING_FC!$CZ$27:$CZ$46,0),FALSE),HLOOKUP($AB240&amp;$AD240,PLANNING_FC!$DA$4:$DO$23,MATCH(STOCK_OVERVIEW!$Y240,PLANNING_FC!$CZ$4:$CZ$23,0),FALSE)),"")</f>
        <v>0</v>
      </c>
      <c r="AK240" s="651">
        <f ca="1">IFERROR(IF(AA240="NOOS",HLOOKUP(AB240&amp;AD240,PLANNING_FC!$AJ$27:$AY$47,MATCH(STOCK_OVERVIEW!Y240,PLANNING_FC!$AJ$27:$AJ$47,0),FALSE)*1000,HLOOKUP(AB240&amp;AD240,PLANNING_FC!$AJ$4:$AY$24,MATCH(STOCK_OVERVIEW!Y240,PLANNING_FC!$AJ$4:$AJ$24,0),FALSE)*1000),"")</f>
        <v>0</v>
      </c>
      <c r="AL240" s="638"/>
      <c r="AM240" s="638"/>
      <c r="AN240" s="638"/>
      <c r="AO240" s="638"/>
      <c r="AP240" s="638"/>
      <c r="AQ240" s="638"/>
      <c r="AR240" s="638"/>
      <c r="AS240" s="638"/>
    </row>
    <row r="241" spans="1:45" s="61" customFormat="1" x14ac:dyDescent="0.25">
      <c r="A241" s="62"/>
      <c r="F241" s="19"/>
      <c r="J241" s="19"/>
      <c r="N241" s="19"/>
      <c r="R241" s="19"/>
      <c r="S241" s="637"/>
      <c r="T241" s="637"/>
      <c r="U241" s="636"/>
      <c r="V241" s="637"/>
      <c r="W241" s="637"/>
      <c r="X241" s="200" t="str">
        <f>NWC_FC_NOOS!$B$1</f>
        <v>VM</v>
      </c>
      <c r="Y241" s="25">
        <f>NWC_FC_NOOS!$B$69</f>
        <v>0</v>
      </c>
      <c r="Z241" s="25" t="str">
        <f t="shared" ca="1" si="17"/>
        <v>VM019/20Feb</v>
      </c>
      <c r="AA241" s="25" t="str">
        <f>NWC_FC_NOOS!$I$1</f>
        <v>NOOS</v>
      </c>
      <c r="AB241" s="25" t="str">
        <f ca="1">NWC_FC_NOOS!$S$73</f>
        <v>19/20</v>
      </c>
      <c r="AC241" s="25" t="str">
        <f ca="1">NWC_FC_NOOS!$S$74</f>
        <v>Q3</v>
      </c>
      <c r="AD241" s="25" t="str">
        <f ca="1">NWC_FC_NOOS!$S$75</f>
        <v>Feb</v>
      </c>
      <c r="AE241" s="649" t="str">
        <f ca="1">IFERROR(HLOOKUP($AB241&amp;$AD241,NWC_FC_NOOS!$B$4:$Q$24,MATCH($Y241,NWC_FC_NOOS!$B$4:$B$24,0),FALSE),"")</f>
        <v/>
      </c>
      <c r="AF241" s="650" t="str">
        <f ca="1">IFERROR(HLOOKUP($AB241&amp;$AD241,NWC_FC_NOOS!$S$4:$AH$24,MATCH($Y241,NWC_FC_NOOS!$S$4:$S$24,0),FALSE),"")</f>
        <v/>
      </c>
      <c r="AG241" s="650">
        <f ca="1">IFERROR(HLOOKUP($AB241&amp;$AD241,NWC_FC_NOOS!$C$50:$U$70,MATCH($Y241,NWC_FC_NOOS!$B$50:$B$70,0),FALSE),"")</f>
        <v>0</v>
      </c>
      <c r="AH241" s="650" t="str">
        <f ca="1">IFERROR(IF($AA241="NOOS",HLOOKUP(STOCK_OVERVIEW!$AB241&amp;STOCK_OVERVIEW!$AD241,PLANNING_FC!$BB$27:$BP$46,MATCH(STOCK_OVERVIEW!$Y241,PLANNING_FC!$BA$27:$BA$46,0),FALSE),HLOOKUP($AB241&amp;$AD241,PLANNING_FC!$BB$4:$BP$23,MATCH(STOCK_OVERVIEW!$Y241,PLANNING_FC!$BA$4:$BA$23,0),FALSE)),"")</f>
        <v/>
      </c>
      <c r="AI241" s="650" t="str">
        <f ca="1">IFERROR(IF($AA241="NOOS",HLOOKUP(STOCK_OVERVIEW!$AB241&amp;STOCK_OVERVIEW!$AD241,PLANNING_FC!$T$27:$AH$46,MATCH(STOCK_OVERVIEW!$Y241,PLANNING_FC!$B$27:$B$46,0),FALSE),HLOOKUP($AB241&amp;$AD241,PLANNING_FC!$T$4:$AH$23,MATCH(STOCK_OVERVIEW!$Y241,PLANNING_FC!$B$4:$B$23,0),FALSE)),"")</f>
        <v/>
      </c>
      <c r="AJ241" s="650" t="str">
        <f ca="1">IFERROR(IF($AA241="NOOS",HLOOKUP(STOCK_OVERVIEW!$AB241&amp;STOCK_OVERVIEW!$AD241,PLANNING_FC!$DA$27:$DO$46,MATCH(STOCK_OVERVIEW!$Y241,PLANNING_FC!$CZ$27:$CZ$46,0),FALSE),HLOOKUP($AB241&amp;$AD241,PLANNING_FC!$DA$4:$DO$23,MATCH(STOCK_OVERVIEW!$Y241,PLANNING_FC!$CZ$4:$CZ$23,0),FALSE)),"")</f>
        <v/>
      </c>
      <c r="AK241" s="651" t="str">
        <f ca="1">IFERROR(IF(AA241="NOOS",HLOOKUP(AB241&amp;AD241,PLANNING_FC!$AJ$27:$AY$47,MATCH(STOCK_OVERVIEW!Y241,PLANNING_FC!$AJ$27:$AJ$47,0),FALSE)*1000,HLOOKUP(AB241&amp;AD241,PLANNING_FC!$AJ$4:$AY$24,MATCH(STOCK_OVERVIEW!Y241,PLANNING_FC!$AJ$4:$AJ$24,0),FALSE)*1000),"")</f>
        <v/>
      </c>
      <c r="AL241" s="638"/>
      <c r="AM241" s="638"/>
      <c r="AN241" s="638"/>
      <c r="AO241" s="638"/>
      <c r="AP241" s="638"/>
      <c r="AQ241" s="638"/>
      <c r="AR241" s="638"/>
      <c r="AS241" s="638"/>
    </row>
    <row r="242" spans="1:45" s="61" customFormat="1" x14ac:dyDescent="0.25">
      <c r="A242" s="62"/>
      <c r="F242" s="19"/>
      <c r="J242" s="19"/>
      <c r="N242" s="19"/>
      <c r="R242" s="19"/>
      <c r="S242" s="637"/>
      <c r="T242" s="637"/>
      <c r="U242" s="636"/>
      <c r="V242" s="637"/>
      <c r="W242" s="637"/>
      <c r="X242" s="200" t="str">
        <f>NWC_FC_NOOS!$B$1</f>
        <v>VM</v>
      </c>
      <c r="Y242" s="25">
        <f>NWC_FC_NOOS!$B$69</f>
        <v>0</v>
      </c>
      <c r="Z242" s="25" t="str">
        <f t="shared" ca="1" si="17"/>
        <v>VM019/20Mar</v>
      </c>
      <c r="AA242" s="25" t="str">
        <f>NWC_FC_NOOS!$I$1</f>
        <v>NOOS</v>
      </c>
      <c r="AB242" s="25" t="str">
        <f ca="1">NWC_FC_NOOS!$S$73</f>
        <v>19/20</v>
      </c>
      <c r="AC242" s="25" t="str">
        <f ca="1">NWC_FC_NOOS!$S$74</f>
        <v>Q3</v>
      </c>
      <c r="AD242" s="25" t="str">
        <f ca="1">NWC_FC_NOOS!$T$75</f>
        <v>Mar</v>
      </c>
      <c r="AE242" s="649" t="str">
        <f ca="1">IFERROR(HLOOKUP($AB242&amp;$AD242,NWC_FC_NOOS!$B$4:$Q$24,MATCH($Y242,NWC_FC_NOOS!$B$4:$B$24,0),FALSE),"")</f>
        <v/>
      </c>
      <c r="AF242" s="650" t="str">
        <f ca="1">IFERROR(HLOOKUP($AB242&amp;$AD242,NWC_FC_NOOS!$S$4:$AH$24,MATCH($Y242,NWC_FC_NOOS!$S$4:$S$24,0),FALSE),"")</f>
        <v/>
      </c>
      <c r="AG242" s="650">
        <f ca="1">IFERROR(HLOOKUP($AB242&amp;$AD242,NWC_FC_NOOS!$C$50:$U$70,MATCH($Y242,NWC_FC_NOOS!$B$50:$B$70,0),FALSE),"")</f>
        <v>0</v>
      </c>
      <c r="AH242" s="650" t="str">
        <f ca="1">IFERROR(IF($AA242="NOOS",HLOOKUP(STOCK_OVERVIEW!$AB242&amp;STOCK_OVERVIEW!$AD242,PLANNING_FC!$BB$27:$BP$46,MATCH(STOCK_OVERVIEW!$Y242,PLANNING_FC!$BA$27:$BA$46,0),FALSE),HLOOKUP($AB242&amp;$AD242,PLANNING_FC!$BB$4:$BP$23,MATCH(STOCK_OVERVIEW!$Y242,PLANNING_FC!$BA$4:$BA$23,0),FALSE)),"")</f>
        <v/>
      </c>
      <c r="AI242" s="650" t="str">
        <f ca="1">IFERROR(IF($AA242="NOOS",HLOOKUP(STOCK_OVERVIEW!$AB242&amp;STOCK_OVERVIEW!$AD242,PLANNING_FC!$T$27:$AH$46,MATCH(STOCK_OVERVIEW!$Y242,PLANNING_FC!$B$27:$B$46,0),FALSE),HLOOKUP($AB242&amp;$AD242,PLANNING_FC!$T$4:$AH$23,MATCH(STOCK_OVERVIEW!$Y242,PLANNING_FC!$B$4:$B$23,0),FALSE)),"")</f>
        <v/>
      </c>
      <c r="AJ242" s="650" t="str">
        <f ca="1">IFERROR(IF($AA242="NOOS",HLOOKUP(STOCK_OVERVIEW!$AB242&amp;STOCK_OVERVIEW!$AD242,PLANNING_FC!$DA$27:$DO$46,MATCH(STOCK_OVERVIEW!$Y242,PLANNING_FC!$CZ$27:$CZ$46,0),FALSE),HLOOKUP($AB242&amp;$AD242,PLANNING_FC!$DA$4:$DO$23,MATCH(STOCK_OVERVIEW!$Y242,PLANNING_FC!$CZ$4:$CZ$23,0),FALSE)),"")</f>
        <v/>
      </c>
      <c r="AK242" s="651" t="str">
        <f ca="1">IFERROR(IF(AA242="NOOS",HLOOKUP(AB242&amp;AD242,PLANNING_FC!$AJ$27:$AY$47,MATCH(STOCK_OVERVIEW!Y242,PLANNING_FC!$AJ$27:$AJ$47,0),FALSE)*1000,HLOOKUP(AB242&amp;AD242,PLANNING_FC!$AJ$4:$AY$24,MATCH(STOCK_OVERVIEW!Y242,PLANNING_FC!$AJ$4:$AJ$24,0),FALSE)*1000),"")</f>
        <v/>
      </c>
      <c r="AL242" s="638"/>
      <c r="AM242" s="638"/>
      <c r="AN242" s="638"/>
      <c r="AO242" s="638"/>
      <c r="AP242" s="638"/>
      <c r="AQ242" s="638"/>
      <c r="AR242" s="638"/>
      <c r="AS242" s="638"/>
    </row>
    <row r="243" spans="1:45" s="61" customFormat="1" x14ac:dyDescent="0.25">
      <c r="A243" s="62"/>
      <c r="F243" s="19"/>
      <c r="J243" s="19"/>
      <c r="N243" s="19"/>
      <c r="R243" s="19"/>
      <c r="S243" s="637"/>
      <c r="T243" s="637"/>
      <c r="U243" s="636"/>
      <c r="V243" s="637"/>
      <c r="W243" s="637"/>
      <c r="X243" s="200" t="str">
        <f>NWC_FC_NOOS!$B$1</f>
        <v>VM</v>
      </c>
      <c r="Y243" s="25">
        <f>NWC_FC_NOOS!$B$69</f>
        <v>0</v>
      </c>
      <c r="Z243" s="25" t="str">
        <f t="shared" ca="1" si="17"/>
        <v>VM019/20Apr</v>
      </c>
      <c r="AA243" s="25" t="str">
        <f>NWC_FC_NOOS!$I$1</f>
        <v>NOOS</v>
      </c>
      <c r="AB243" s="25" t="str">
        <f ca="1">NWC_FC_NOOS!$S$73</f>
        <v>19/20</v>
      </c>
      <c r="AC243" s="25" t="str">
        <f ca="1">NWC_FC_NOOS!$S$74</f>
        <v>Q3</v>
      </c>
      <c r="AD243" s="25" t="str">
        <f ca="1">NWC_FC_NOOS!$U$75</f>
        <v>Apr</v>
      </c>
      <c r="AE243" s="649" t="str">
        <f ca="1">IFERROR(HLOOKUP($AB243&amp;$AD243,NWC_FC_NOOS!$B$4:$Q$24,MATCH($Y243,NWC_FC_NOOS!$B$4:$B$24,0),FALSE),"")</f>
        <v/>
      </c>
      <c r="AF243" s="650" t="str">
        <f ca="1">IFERROR(HLOOKUP($AB243&amp;$AD243,NWC_FC_NOOS!$S$4:$AH$24,MATCH($Y243,NWC_FC_NOOS!$S$4:$S$24,0),FALSE),"")</f>
        <v/>
      </c>
      <c r="AG243" s="650">
        <f ca="1">IFERROR(HLOOKUP($AB243&amp;$AD243,NWC_FC_NOOS!$C$50:$U$70,MATCH($Y243,NWC_FC_NOOS!$B$50:$B$70,0),FALSE),"")</f>
        <v>0</v>
      </c>
      <c r="AH243" s="650" t="str">
        <f ca="1">IFERROR(IF($AA243="NOOS",HLOOKUP(STOCK_OVERVIEW!$AB243&amp;STOCK_OVERVIEW!$AD243,PLANNING_FC!$BB$27:$BP$46,MATCH(STOCK_OVERVIEW!$Y243,PLANNING_FC!$BA$27:$BA$46,0),FALSE),HLOOKUP($AB243&amp;$AD243,PLANNING_FC!$BB$4:$BP$23,MATCH(STOCK_OVERVIEW!$Y243,PLANNING_FC!$BA$4:$BA$23,0),FALSE)),"")</f>
        <v/>
      </c>
      <c r="AI243" s="650" t="str">
        <f ca="1">IFERROR(IF($AA243="NOOS",HLOOKUP(STOCK_OVERVIEW!$AB243&amp;STOCK_OVERVIEW!$AD243,PLANNING_FC!$T$27:$AH$46,MATCH(STOCK_OVERVIEW!$Y243,PLANNING_FC!$B$27:$B$46,0),FALSE),HLOOKUP($AB243&amp;$AD243,PLANNING_FC!$T$4:$AH$23,MATCH(STOCK_OVERVIEW!$Y243,PLANNING_FC!$B$4:$B$23,0),FALSE)),"")</f>
        <v/>
      </c>
      <c r="AJ243" s="650" t="str">
        <f ca="1">IFERROR(IF($AA243="NOOS",HLOOKUP(STOCK_OVERVIEW!$AB243&amp;STOCK_OVERVIEW!$AD243,PLANNING_FC!$DA$27:$DO$46,MATCH(STOCK_OVERVIEW!$Y243,PLANNING_FC!$CZ$27:$CZ$46,0),FALSE),HLOOKUP($AB243&amp;$AD243,PLANNING_FC!$DA$4:$DO$23,MATCH(STOCK_OVERVIEW!$Y243,PLANNING_FC!$CZ$4:$CZ$23,0),FALSE)),"")</f>
        <v/>
      </c>
      <c r="AK243" s="651" t="str">
        <f ca="1">IFERROR(IF(AA243="NOOS",HLOOKUP(AB243&amp;AD243,PLANNING_FC!$AJ$27:$AY$47,MATCH(STOCK_OVERVIEW!Y243,PLANNING_FC!$AJ$27:$AJ$47,0),FALSE)*1000,HLOOKUP(AB243&amp;AD243,PLANNING_FC!$AJ$4:$AY$24,MATCH(STOCK_OVERVIEW!Y243,PLANNING_FC!$AJ$4:$AJ$24,0),FALSE)*1000),"")</f>
        <v/>
      </c>
      <c r="AL243" s="638"/>
      <c r="AM243" s="638"/>
      <c r="AN243" s="638"/>
      <c r="AO243" s="638"/>
      <c r="AP243" s="638"/>
      <c r="AQ243" s="638"/>
      <c r="AR243" s="638"/>
      <c r="AS243" s="638"/>
    </row>
    <row r="244" spans="1:45" s="61" customFormat="1" x14ac:dyDescent="0.25">
      <c r="A244" s="62"/>
      <c r="F244" s="19"/>
      <c r="J244" s="19"/>
      <c r="N244" s="19"/>
      <c r="R244" s="19"/>
      <c r="S244" s="637"/>
      <c r="T244" s="637"/>
      <c r="U244" s="636"/>
      <c r="V244" s="637"/>
      <c r="W244" s="637"/>
      <c r="X244" s="465" t="str">
        <f t="shared" ref="X244:Y263" si="18">X4</f>
        <v>VM</v>
      </c>
      <c r="Y244" s="206" t="str">
        <f t="shared" si="18"/>
        <v>ACCESSORIES</v>
      </c>
      <c r="Z244" s="25" t="str">
        <f t="shared" ca="1" si="17"/>
        <v>VMACCESSORIES18/19Feb</v>
      </c>
      <c r="AA244" s="206" t="s">
        <v>197</v>
      </c>
      <c r="AB244" s="206" t="str">
        <f t="shared" ref="AB244:AD263" ca="1" si="19">AB4</f>
        <v>18/19</v>
      </c>
      <c r="AC244" s="206" t="str">
        <f t="shared" ca="1" si="19"/>
        <v>Q3</v>
      </c>
      <c r="AD244" s="206" t="str">
        <f t="shared" ca="1" si="19"/>
        <v>Feb</v>
      </c>
      <c r="AE244" s="649">
        <f ca="1">IFERROR(HLOOKUP($AB244&amp;$AD244,'NWC_FC_NON-NOOS'!$C$4:$Q$24,MATCH($Y244,'NWC_FC_NON-NOOS'!$B$4:$B$24,0),FALSE),"")</f>
        <v>0</v>
      </c>
      <c r="AF244" s="650">
        <f ca="1">IFERROR(HLOOKUP($AB244&amp;$AD244,'NWC_FC_NON-NOOS'!$S$4:$AH$24,MATCH($Y244,'NWC_FC_NON-NOOS'!$S$4:$S$24,0),FALSE),"")</f>
        <v>0</v>
      </c>
      <c r="AG244" s="650">
        <f ca="1">IFERROR(HLOOKUP($AB244&amp;$AD244,'NWC_FC_NON-NOOS'!$B$50:$U$70,MATCH($Y244,'NWC_FC_NON-NOOS'!$B$50:$B$70,0),FALSE),"")</f>
        <v>0</v>
      </c>
      <c r="AH244" s="650">
        <f ca="1">IFERROR(IF($AA244="NOOS",HLOOKUP(STOCK_OVERVIEW!$AB244&amp;STOCK_OVERVIEW!$AD244,PLANNING_FC!$BB$27:$BP$46,MATCH(STOCK_OVERVIEW!$Y244,PLANNING_FC!$BA$27:$BA$46,0),FALSE),HLOOKUP($AB244&amp;$AD244,PLANNING_FC!$BB$4:$BP$23,MATCH(STOCK_OVERVIEW!$Y244,PLANNING_FC!$BA$4:$BA$23,0),FALSE)),"")</f>
        <v>0</v>
      </c>
      <c r="AI244" s="650">
        <f ca="1">IFERROR(IF($AA244="NOOS",HLOOKUP(STOCK_OVERVIEW!$AB244&amp;STOCK_OVERVIEW!$AD244,PLANNING_FC!$T$27:$AH$46,MATCH(STOCK_OVERVIEW!$Y244,PLANNING_FC!$B$27:$B$46,0),FALSE),HLOOKUP($AB244&amp;$AD244,PLANNING_FC!$T$4:$AH$23,MATCH(STOCK_OVERVIEW!$Y244,PLANNING_FC!$B$4:$B$23,0),FALSE)),"")</f>
        <v>0</v>
      </c>
      <c r="AJ244" s="650">
        <f ca="1">IFERROR(IF($AA244="NOOS",HLOOKUP(STOCK_OVERVIEW!$AB244&amp;STOCK_OVERVIEW!$AD244,PLANNING_FC!$DA$27:$DO$46,MATCH(STOCK_OVERVIEW!$Y244,PLANNING_FC!$CZ$27:$CZ$46,0),FALSE),HLOOKUP($AB244&amp;$AD244,PLANNING_FC!$DA$4:$DO$23,MATCH(STOCK_OVERVIEW!$Y244,PLANNING_FC!$CZ$4:$CZ$23,0),FALSE)),"")</f>
        <v>0</v>
      </c>
      <c r="AK244" s="651">
        <f ca="1">IFERROR(IF(AA244="NOOS",HLOOKUP(AB244&amp;AD244,PLANNING_FC!$AJ$27:$AY$47,MATCH(STOCK_OVERVIEW!Y244,PLANNING_FC!$AJ$27:$AJ$47,0),FALSE)*1000,HLOOKUP(AB244&amp;AD244,PLANNING_FC!$AJ$4:$AY$24,MATCH(STOCK_OVERVIEW!Y244,PLANNING_FC!$AJ$4:$AJ$24,0),FALSE)*1000),"")</f>
        <v>0</v>
      </c>
      <c r="AL244" s="638"/>
      <c r="AM244" s="638"/>
      <c r="AN244" s="638"/>
      <c r="AO244" s="638"/>
      <c r="AP244" s="638"/>
      <c r="AQ244" s="638"/>
      <c r="AR244" s="638"/>
      <c r="AS244" s="638"/>
    </row>
    <row r="245" spans="1:45" s="61" customFormat="1" x14ac:dyDescent="0.25">
      <c r="A245" s="62"/>
      <c r="F245" s="19"/>
      <c r="J245" s="19"/>
      <c r="N245" s="19"/>
      <c r="R245" s="19"/>
      <c r="S245" s="637"/>
      <c r="T245" s="637"/>
      <c r="U245" s="636"/>
      <c r="V245" s="637"/>
      <c r="W245" s="637"/>
      <c r="X245" s="465" t="str">
        <f t="shared" si="18"/>
        <v>VM</v>
      </c>
      <c r="Y245" s="206" t="str">
        <f t="shared" si="18"/>
        <v>ACCESSORIES</v>
      </c>
      <c r="Z245" s="25" t="str">
        <f t="shared" ca="1" si="17"/>
        <v>VMACCESSORIES18/19Mar</v>
      </c>
      <c r="AA245" s="206" t="s">
        <v>197</v>
      </c>
      <c r="AB245" s="206" t="str">
        <f t="shared" ca="1" si="19"/>
        <v>18/19</v>
      </c>
      <c r="AC245" s="206" t="str">
        <f t="shared" ca="1" si="19"/>
        <v>Q3</v>
      </c>
      <c r="AD245" s="206" t="str">
        <f t="shared" ca="1" si="19"/>
        <v>Mar</v>
      </c>
      <c r="AE245" s="649">
        <f ca="1">IFERROR(HLOOKUP($AB245&amp;$AD245,'NWC_FC_NON-NOOS'!$C$4:$Q$24,MATCH($Y245,'NWC_FC_NON-NOOS'!$B$4:$B$24,0),FALSE),"")</f>
        <v>0</v>
      </c>
      <c r="AF245" s="650">
        <f ca="1">IFERROR(HLOOKUP($AB245&amp;$AD245,'NWC_FC_NON-NOOS'!$S$4:$AH$24,MATCH($Y245,'NWC_FC_NON-NOOS'!$S$4:$S$24,0),FALSE),"")</f>
        <v>0</v>
      </c>
      <c r="AG245" s="650">
        <f ca="1">IFERROR(HLOOKUP($AB245&amp;$AD245,'NWC_FC_NON-NOOS'!$B$50:$U$70,MATCH($Y245,'NWC_FC_NON-NOOS'!$B$50:$B$70,0),FALSE),"")</f>
        <v>0</v>
      </c>
      <c r="AH245" s="650">
        <f ca="1">IFERROR(IF($AA245="NOOS",HLOOKUP(STOCK_OVERVIEW!$AB245&amp;STOCK_OVERVIEW!$AD245,PLANNING_FC!$BB$27:$BP$46,MATCH(STOCK_OVERVIEW!$Y245,PLANNING_FC!$BA$27:$BA$46,0),FALSE),HLOOKUP($AB245&amp;$AD245,PLANNING_FC!$BB$4:$BP$23,MATCH(STOCK_OVERVIEW!$Y245,PLANNING_FC!$BA$4:$BA$23,0),FALSE)),"")</f>
        <v>0</v>
      </c>
      <c r="AI245" s="650">
        <f ca="1">IFERROR(IF($AA245="NOOS",HLOOKUP(STOCK_OVERVIEW!$AB245&amp;STOCK_OVERVIEW!$AD245,PLANNING_FC!$T$27:$AH$46,MATCH(STOCK_OVERVIEW!$Y245,PLANNING_FC!$B$27:$B$46,0),FALSE),HLOOKUP($AB245&amp;$AD245,PLANNING_FC!$T$4:$AH$23,MATCH(STOCK_OVERVIEW!$Y245,PLANNING_FC!$B$4:$B$23,0),FALSE)),"")</f>
        <v>0</v>
      </c>
      <c r="AJ245" s="650">
        <f ca="1">IFERROR(IF($AA245="NOOS",HLOOKUP(STOCK_OVERVIEW!$AB245&amp;STOCK_OVERVIEW!$AD245,PLANNING_FC!$DA$27:$DO$46,MATCH(STOCK_OVERVIEW!$Y245,PLANNING_FC!$CZ$27:$CZ$46,0),FALSE),HLOOKUP($AB245&amp;$AD245,PLANNING_FC!$DA$4:$DO$23,MATCH(STOCK_OVERVIEW!$Y245,PLANNING_FC!$CZ$4:$CZ$23,0),FALSE)),"")</f>
        <v>0</v>
      </c>
      <c r="AK245" s="651">
        <f ca="1">IFERROR(IF(AA245="NOOS",HLOOKUP(AB245&amp;AD245,PLANNING_FC!$AJ$27:$AY$47,MATCH(STOCK_OVERVIEW!Y245,PLANNING_FC!$AJ$27:$AJ$47,0),FALSE)*1000,HLOOKUP(AB245&amp;AD245,PLANNING_FC!$AJ$4:$AY$24,MATCH(STOCK_OVERVIEW!Y245,PLANNING_FC!$AJ$4:$AJ$24,0),FALSE)*1000),"")</f>
        <v>0</v>
      </c>
      <c r="AL245" s="638"/>
      <c r="AM245" s="638"/>
      <c r="AN245" s="638"/>
      <c r="AO245" s="638"/>
      <c r="AP245" s="638"/>
      <c r="AQ245" s="638"/>
      <c r="AR245" s="638"/>
      <c r="AS245" s="638"/>
    </row>
    <row r="246" spans="1:45" s="61" customFormat="1" x14ac:dyDescent="0.25">
      <c r="A246" s="62"/>
      <c r="F246" s="19"/>
      <c r="J246" s="19"/>
      <c r="N246" s="19"/>
      <c r="R246" s="19"/>
      <c r="S246" s="637"/>
      <c r="T246" s="637"/>
      <c r="U246" s="636"/>
      <c r="V246" s="637"/>
      <c r="W246" s="637"/>
      <c r="X246" s="465" t="str">
        <f t="shared" si="18"/>
        <v>VM</v>
      </c>
      <c r="Y246" s="206" t="str">
        <f t="shared" si="18"/>
        <v>ACCESSORIES</v>
      </c>
      <c r="Z246" s="25" t="str">
        <f t="shared" ca="1" si="17"/>
        <v>VMACCESSORIES18/19Apr</v>
      </c>
      <c r="AA246" s="206" t="s">
        <v>197</v>
      </c>
      <c r="AB246" s="206" t="str">
        <f t="shared" ca="1" si="19"/>
        <v>18/19</v>
      </c>
      <c r="AC246" s="206" t="str">
        <f t="shared" ca="1" si="19"/>
        <v>Q3</v>
      </c>
      <c r="AD246" s="206" t="str">
        <f t="shared" ca="1" si="19"/>
        <v>Apr</v>
      </c>
      <c r="AE246" s="649">
        <f ca="1">IFERROR(HLOOKUP($AB246&amp;$AD246,'NWC_FC_NON-NOOS'!$C$4:$Q$24,MATCH($Y246,'NWC_FC_NON-NOOS'!$B$4:$B$24,0),FALSE),"")</f>
        <v>0</v>
      </c>
      <c r="AF246" s="650">
        <f ca="1">IFERROR(HLOOKUP($AB246&amp;$AD246,'NWC_FC_NON-NOOS'!$S$4:$AH$24,MATCH($Y246,'NWC_FC_NON-NOOS'!$S$4:$S$24,0),FALSE),"")</f>
        <v>0</v>
      </c>
      <c r="AG246" s="650">
        <f ca="1">IFERROR(HLOOKUP($AB246&amp;$AD246,'NWC_FC_NON-NOOS'!$B$50:$U$70,MATCH($Y246,'NWC_FC_NON-NOOS'!$B$50:$B$70,0),FALSE),"")</f>
        <v>0</v>
      </c>
      <c r="AH246" s="650">
        <f ca="1">IFERROR(IF($AA246="NOOS",HLOOKUP(STOCK_OVERVIEW!$AB246&amp;STOCK_OVERVIEW!$AD246,PLANNING_FC!$BB$27:$BP$46,MATCH(STOCK_OVERVIEW!$Y246,PLANNING_FC!$BA$27:$BA$46,0),FALSE),HLOOKUP($AB246&amp;$AD246,PLANNING_FC!$BB$4:$BP$23,MATCH(STOCK_OVERVIEW!$Y246,PLANNING_FC!$BA$4:$BA$23,0),FALSE)),"")</f>
        <v>0</v>
      </c>
      <c r="AI246" s="650">
        <f ca="1">IFERROR(IF($AA246="NOOS",HLOOKUP(STOCK_OVERVIEW!$AB246&amp;STOCK_OVERVIEW!$AD246,PLANNING_FC!$T$27:$AH$46,MATCH(STOCK_OVERVIEW!$Y246,PLANNING_FC!$B$27:$B$46,0),FALSE),HLOOKUP($AB246&amp;$AD246,PLANNING_FC!$T$4:$AH$23,MATCH(STOCK_OVERVIEW!$Y246,PLANNING_FC!$B$4:$B$23,0),FALSE)),"")</f>
        <v>0</v>
      </c>
      <c r="AJ246" s="650">
        <f ca="1">IFERROR(IF($AA246="NOOS",HLOOKUP(STOCK_OVERVIEW!$AB246&amp;STOCK_OVERVIEW!$AD246,PLANNING_FC!$DA$27:$DO$46,MATCH(STOCK_OVERVIEW!$Y246,PLANNING_FC!$CZ$27:$CZ$46,0),FALSE),HLOOKUP($AB246&amp;$AD246,PLANNING_FC!$DA$4:$DO$23,MATCH(STOCK_OVERVIEW!$Y246,PLANNING_FC!$CZ$4:$CZ$23,0),FALSE)),"")</f>
        <v>32844</v>
      </c>
      <c r="AK246" s="651">
        <f ca="1">IFERROR(IF(AA246="NOOS",HLOOKUP(AB246&amp;AD246,PLANNING_FC!$AJ$27:$AY$47,MATCH(STOCK_OVERVIEW!Y246,PLANNING_FC!$AJ$27:$AJ$47,0),FALSE)*1000,HLOOKUP(AB246&amp;AD246,PLANNING_FC!$AJ$4:$AY$24,MATCH(STOCK_OVERVIEW!Y246,PLANNING_FC!$AJ$4:$AJ$24,0),FALSE)*1000),"")</f>
        <v>0</v>
      </c>
      <c r="AL246" s="638"/>
      <c r="AM246" s="638"/>
      <c r="AN246" s="638"/>
      <c r="AO246" s="638"/>
      <c r="AP246" s="638"/>
      <c r="AQ246" s="638"/>
      <c r="AR246" s="638"/>
      <c r="AS246" s="638"/>
    </row>
    <row r="247" spans="1:45" s="61" customFormat="1" x14ac:dyDescent="0.25">
      <c r="A247" s="62"/>
      <c r="F247" s="19"/>
      <c r="J247" s="19"/>
      <c r="N247" s="19"/>
      <c r="R247" s="19"/>
      <c r="S247" s="637"/>
      <c r="T247" s="637"/>
      <c r="U247" s="636"/>
      <c r="V247" s="637"/>
      <c r="W247" s="637"/>
      <c r="X247" s="465" t="str">
        <f t="shared" si="18"/>
        <v>VM</v>
      </c>
      <c r="Y247" s="206" t="str">
        <f t="shared" si="18"/>
        <v>ACCESSORIES</v>
      </c>
      <c r="Z247" s="25" t="str">
        <f t="shared" ca="1" si="17"/>
        <v>VMACCESSORIES18/19May</v>
      </c>
      <c r="AA247" s="206" t="s">
        <v>197</v>
      </c>
      <c r="AB247" s="206" t="str">
        <f t="shared" ca="1" si="19"/>
        <v>18/19</v>
      </c>
      <c r="AC247" s="206" t="str">
        <f t="shared" ca="1" si="19"/>
        <v>Q4</v>
      </c>
      <c r="AD247" s="206" t="str">
        <f t="shared" ca="1" si="19"/>
        <v>May</v>
      </c>
      <c r="AE247" s="649">
        <f ca="1">IFERROR(HLOOKUP($AB247&amp;$AD247,'NWC_FC_NON-NOOS'!$C$4:$Q$24,MATCH($Y247,'NWC_FC_NON-NOOS'!$B$4:$B$24,0),FALSE),"")</f>
        <v>0</v>
      </c>
      <c r="AF247" s="650">
        <f ca="1">IFERROR(HLOOKUP($AB247&amp;$AD247,'NWC_FC_NON-NOOS'!$S$4:$AH$24,MATCH($Y247,'NWC_FC_NON-NOOS'!$S$4:$S$24,0),FALSE),"")</f>
        <v>0</v>
      </c>
      <c r="AG247" s="650">
        <f ca="1">IFERROR(HLOOKUP($AB247&amp;$AD247,'NWC_FC_NON-NOOS'!$B$50:$U$70,MATCH($Y247,'NWC_FC_NON-NOOS'!$B$50:$B$70,0),FALSE),"")</f>
        <v>0</v>
      </c>
      <c r="AH247" s="650">
        <f ca="1">IFERROR(IF($AA247="NOOS",HLOOKUP(STOCK_OVERVIEW!$AB247&amp;STOCK_OVERVIEW!$AD247,PLANNING_FC!$BB$27:$BP$46,MATCH(STOCK_OVERVIEW!$Y247,PLANNING_FC!$BA$27:$BA$46,0),FALSE),HLOOKUP($AB247&amp;$AD247,PLANNING_FC!$BB$4:$BP$23,MATCH(STOCK_OVERVIEW!$Y247,PLANNING_FC!$BA$4:$BA$23,0),FALSE)),"")</f>
        <v>0</v>
      </c>
      <c r="AI247" s="650">
        <f ca="1">IFERROR(IF($AA247="NOOS",HLOOKUP(STOCK_OVERVIEW!$AB247&amp;STOCK_OVERVIEW!$AD247,PLANNING_FC!$T$27:$AH$46,MATCH(STOCK_OVERVIEW!$Y247,PLANNING_FC!$B$27:$B$46,0),FALSE),HLOOKUP($AB247&amp;$AD247,PLANNING_FC!$T$4:$AH$23,MATCH(STOCK_OVERVIEW!$Y247,PLANNING_FC!$B$4:$B$23,0),FALSE)),"")</f>
        <v>0</v>
      </c>
      <c r="AJ247" s="650">
        <f ca="1">IFERROR(IF($AA247="NOOS",HLOOKUP(STOCK_OVERVIEW!$AB247&amp;STOCK_OVERVIEW!$AD247,PLANNING_FC!$DA$27:$DO$46,MATCH(STOCK_OVERVIEW!$Y247,PLANNING_FC!$CZ$27:$CZ$46,0),FALSE),HLOOKUP($AB247&amp;$AD247,PLANNING_FC!$DA$4:$DO$23,MATCH(STOCK_OVERVIEW!$Y247,PLANNING_FC!$CZ$4:$CZ$23,0),FALSE)),"")</f>
        <v>34061</v>
      </c>
      <c r="AK247" s="651">
        <f ca="1">IFERROR(IF(AA247="NOOS",HLOOKUP(AB247&amp;AD247,PLANNING_FC!$AJ$27:$AY$47,MATCH(STOCK_OVERVIEW!Y247,PLANNING_FC!$AJ$27:$AJ$47,0),FALSE)*1000,HLOOKUP(AB247&amp;AD247,PLANNING_FC!$AJ$4:$AY$24,MATCH(STOCK_OVERVIEW!Y247,PLANNING_FC!$AJ$4:$AJ$24,0),FALSE)*1000),"")</f>
        <v>0</v>
      </c>
      <c r="AL247" s="638"/>
      <c r="AM247" s="638"/>
      <c r="AN247" s="638"/>
      <c r="AO247" s="638"/>
      <c r="AP247" s="638"/>
      <c r="AQ247" s="638"/>
      <c r="AR247" s="638"/>
      <c r="AS247" s="638"/>
    </row>
    <row r="248" spans="1:45" s="61" customFormat="1" x14ac:dyDescent="0.25">
      <c r="A248" s="62"/>
      <c r="F248" s="19"/>
      <c r="J248" s="19"/>
      <c r="N248" s="19"/>
      <c r="R248" s="19"/>
      <c r="S248" s="637"/>
      <c r="T248" s="637"/>
      <c r="U248" s="636"/>
      <c r="V248" s="637"/>
      <c r="W248" s="637"/>
      <c r="X248" s="465" t="str">
        <f t="shared" si="18"/>
        <v>VM</v>
      </c>
      <c r="Y248" s="206" t="str">
        <f t="shared" si="18"/>
        <v>ACCESSORIES</v>
      </c>
      <c r="Z248" s="25" t="str">
        <f t="shared" ca="1" si="17"/>
        <v>VMACCESSORIES18/19Jun</v>
      </c>
      <c r="AA248" s="206" t="s">
        <v>197</v>
      </c>
      <c r="AB248" s="206" t="str">
        <f t="shared" ca="1" si="19"/>
        <v>18/19</v>
      </c>
      <c r="AC248" s="206" t="str">
        <f t="shared" ca="1" si="19"/>
        <v>Q4</v>
      </c>
      <c r="AD248" s="206" t="str">
        <f t="shared" ca="1" si="19"/>
        <v>Jun</v>
      </c>
      <c r="AE248" s="649">
        <f ca="1">IFERROR(HLOOKUP($AB248&amp;$AD248,'NWC_FC_NON-NOOS'!$C$4:$Q$24,MATCH($Y248,'NWC_FC_NON-NOOS'!$B$4:$B$24,0),FALSE),"")</f>
        <v>0</v>
      </c>
      <c r="AF248" s="650">
        <f ca="1">IFERROR(HLOOKUP($AB248&amp;$AD248,'NWC_FC_NON-NOOS'!$S$4:$AH$24,MATCH($Y248,'NWC_FC_NON-NOOS'!$S$4:$S$24,0),FALSE),"")</f>
        <v>0</v>
      </c>
      <c r="AG248" s="650">
        <f ca="1">IFERROR(HLOOKUP($AB248&amp;$AD248,'NWC_FC_NON-NOOS'!$B$50:$U$70,MATCH($Y248,'NWC_FC_NON-NOOS'!$B$50:$B$70,0),FALSE),"")</f>
        <v>0</v>
      </c>
      <c r="AH248" s="650">
        <f ca="1">IFERROR(IF($AA248="NOOS",HLOOKUP(STOCK_OVERVIEW!$AB248&amp;STOCK_OVERVIEW!$AD248,PLANNING_FC!$BB$27:$BP$46,MATCH(STOCK_OVERVIEW!$Y248,PLANNING_FC!$BA$27:$BA$46,0),FALSE),HLOOKUP($AB248&amp;$AD248,PLANNING_FC!$BB$4:$BP$23,MATCH(STOCK_OVERVIEW!$Y248,PLANNING_FC!$BA$4:$BA$23,0),FALSE)),"")</f>
        <v>0</v>
      </c>
      <c r="AI248" s="650">
        <f ca="1">IFERROR(IF($AA248="NOOS",HLOOKUP(STOCK_OVERVIEW!$AB248&amp;STOCK_OVERVIEW!$AD248,PLANNING_FC!$T$27:$AH$46,MATCH(STOCK_OVERVIEW!$Y248,PLANNING_FC!$B$27:$B$46,0),FALSE),HLOOKUP($AB248&amp;$AD248,PLANNING_FC!$T$4:$AH$23,MATCH(STOCK_OVERVIEW!$Y248,PLANNING_FC!$B$4:$B$23,0),FALSE)),"")</f>
        <v>0</v>
      </c>
      <c r="AJ248" s="650">
        <f ca="1">IFERROR(IF($AA248="NOOS",HLOOKUP(STOCK_OVERVIEW!$AB248&amp;STOCK_OVERVIEW!$AD248,PLANNING_FC!$DA$27:$DO$46,MATCH(STOCK_OVERVIEW!$Y248,PLANNING_FC!$CZ$27:$CZ$46,0),FALSE),HLOOKUP($AB248&amp;$AD248,PLANNING_FC!$DA$4:$DO$23,MATCH(STOCK_OVERVIEW!$Y248,PLANNING_FC!$CZ$4:$CZ$23,0),FALSE)),"")</f>
        <v>34061</v>
      </c>
      <c r="AK248" s="651">
        <f ca="1">IFERROR(IF(AA248="NOOS",HLOOKUP(AB248&amp;AD248,PLANNING_FC!$AJ$27:$AY$47,MATCH(STOCK_OVERVIEW!Y248,PLANNING_FC!$AJ$27:$AJ$47,0),FALSE)*1000,HLOOKUP(AB248&amp;AD248,PLANNING_FC!$AJ$4:$AY$24,MATCH(STOCK_OVERVIEW!Y248,PLANNING_FC!$AJ$4:$AJ$24,0),FALSE)*1000),"")</f>
        <v>0</v>
      </c>
      <c r="AL248" s="638"/>
      <c r="AM248" s="638"/>
      <c r="AN248" s="638"/>
      <c r="AO248" s="638"/>
      <c r="AP248" s="638"/>
      <c r="AQ248" s="638"/>
      <c r="AR248" s="638"/>
      <c r="AS248" s="638"/>
    </row>
    <row r="249" spans="1:45" s="61" customFormat="1" x14ac:dyDescent="0.25">
      <c r="A249" s="62"/>
      <c r="F249" s="19"/>
      <c r="J249" s="19"/>
      <c r="N249" s="19"/>
      <c r="R249" s="19"/>
      <c r="S249" s="637"/>
      <c r="T249" s="637"/>
      <c r="U249" s="636"/>
      <c r="V249" s="637"/>
      <c r="W249" s="637"/>
      <c r="X249" s="465" t="str">
        <f t="shared" si="18"/>
        <v>VM</v>
      </c>
      <c r="Y249" s="206" t="str">
        <f t="shared" si="18"/>
        <v>ACCESSORIES</v>
      </c>
      <c r="Z249" s="25" t="str">
        <f t="shared" ca="1" si="17"/>
        <v>VMACCESSORIES18/19Jul</v>
      </c>
      <c r="AA249" s="206" t="s">
        <v>197</v>
      </c>
      <c r="AB249" s="206" t="str">
        <f t="shared" ca="1" si="19"/>
        <v>18/19</v>
      </c>
      <c r="AC249" s="206" t="str">
        <f t="shared" ca="1" si="19"/>
        <v>Q4</v>
      </c>
      <c r="AD249" s="206" t="str">
        <f t="shared" ca="1" si="19"/>
        <v>Jul</v>
      </c>
      <c r="AE249" s="649">
        <f ca="1">IFERROR(HLOOKUP($AB249&amp;$AD249,'NWC_FC_NON-NOOS'!$C$4:$Q$24,MATCH($Y249,'NWC_FC_NON-NOOS'!$B$4:$B$24,0),FALSE),"")</f>
        <v>0</v>
      </c>
      <c r="AF249" s="650">
        <f ca="1">IFERROR(HLOOKUP($AB249&amp;$AD249,'NWC_FC_NON-NOOS'!$S$4:$AH$24,MATCH($Y249,'NWC_FC_NON-NOOS'!$S$4:$S$24,0),FALSE),"")</f>
        <v>0</v>
      </c>
      <c r="AG249" s="650">
        <f ca="1">IFERROR(HLOOKUP($AB249&amp;$AD249,'NWC_FC_NON-NOOS'!$B$50:$U$70,MATCH($Y249,'NWC_FC_NON-NOOS'!$B$50:$B$70,0),FALSE),"")</f>
        <v>0</v>
      </c>
      <c r="AH249" s="650">
        <f ca="1">IFERROR(IF($AA249="NOOS",HLOOKUP(STOCK_OVERVIEW!$AB249&amp;STOCK_OVERVIEW!$AD249,PLANNING_FC!$BB$27:$BP$46,MATCH(STOCK_OVERVIEW!$Y249,PLANNING_FC!$BA$27:$BA$46,0),FALSE),HLOOKUP($AB249&amp;$AD249,PLANNING_FC!$BB$4:$BP$23,MATCH(STOCK_OVERVIEW!$Y249,PLANNING_FC!$BA$4:$BA$23,0),FALSE)),"")</f>
        <v>0</v>
      </c>
      <c r="AI249" s="650">
        <f ca="1">IFERROR(IF($AA249="NOOS",HLOOKUP(STOCK_OVERVIEW!$AB249&amp;STOCK_OVERVIEW!$AD249,PLANNING_FC!$T$27:$AH$46,MATCH(STOCK_OVERVIEW!$Y249,PLANNING_FC!$B$27:$B$46,0),FALSE),HLOOKUP($AB249&amp;$AD249,PLANNING_FC!$T$4:$AH$23,MATCH(STOCK_OVERVIEW!$Y249,PLANNING_FC!$B$4:$B$23,0),FALSE)),"")</f>
        <v>0</v>
      </c>
      <c r="AJ249" s="650">
        <f ca="1">IFERROR(IF($AA249="NOOS",HLOOKUP(STOCK_OVERVIEW!$AB249&amp;STOCK_OVERVIEW!$AD249,PLANNING_FC!$DA$27:$DO$46,MATCH(STOCK_OVERVIEW!$Y249,PLANNING_FC!$CZ$27:$CZ$46,0),FALSE),HLOOKUP($AB249&amp;$AD249,PLANNING_FC!$DA$4:$DO$23,MATCH(STOCK_OVERVIEW!$Y249,PLANNING_FC!$CZ$4:$CZ$23,0),FALSE)),"")</f>
        <v>34061</v>
      </c>
      <c r="AK249" s="651">
        <f ca="1">IFERROR(IF(AA249="NOOS",HLOOKUP(AB249&amp;AD249,PLANNING_FC!$AJ$27:$AY$47,MATCH(STOCK_OVERVIEW!Y249,PLANNING_FC!$AJ$27:$AJ$47,0),FALSE)*1000,HLOOKUP(AB249&amp;AD249,PLANNING_FC!$AJ$4:$AY$24,MATCH(STOCK_OVERVIEW!Y249,PLANNING_FC!$AJ$4:$AJ$24,0),FALSE)*1000),"")</f>
        <v>0</v>
      </c>
      <c r="AL249" s="638"/>
      <c r="AM249" s="638"/>
      <c r="AN249" s="638"/>
      <c r="AO249" s="638"/>
      <c r="AP249" s="638"/>
      <c r="AQ249" s="638"/>
      <c r="AR249" s="638"/>
      <c r="AS249" s="638"/>
    </row>
    <row r="250" spans="1:45" s="61" customFormat="1" x14ac:dyDescent="0.25">
      <c r="A250" s="62"/>
      <c r="F250" s="19"/>
      <c r="J250" s="19"/>
      <c r="N250" s="19"/>
      <c r="R250" s="19"/>
      <c r="S250" s="637"/>
      <c r="T250" s="637"/>
      <c r="U250" s="636"/>
      <c r="V250" s="637"/>
      <c r="W250" s="637"/>
      <c r="X250" s="465" t="str">
        <f t="shared" si="18"/>
        <v>VM</v>
      </c>
      <c r="Y250" s="206" t="str">
        <f t="shared" si="18"/>
        <v>ACCESSORIES</v>
      </c>
      <c r="Z250" s="25" t="str">
        <f t="shared" ca="1" si="17"/>
        <v>VMACCESSORIES19/20Aug</v>
      </c>
      <c r="AA250" s="206" t="s">
        <v>197</v>
      </c>
      <c r="AB250" s="206" t="str">
        <f t="shared" ca="1" si="19"/>
        <v>19/20</v>
      </c>
      <c r="AC250" s="206" t="str">
        <f t="shared" ca="1" si="19"/>
        <v>Q1</v>
      </c>
      <c r="AD250" s="206" t="str">
        <f t="shared" ca="1" si="19"/>
        <v>Aug</v>
      </c>
      <c r="AE250" s="649">
        <f ca="1">IFERROR(HLOOKUP($AB250&amp;$AD250,'NWC_FC_NON-NOOS'!$C$4:$Q$24,MATCH($Y250,'NWC_FC_NON-NOOS'!$B$4:$B$24,0),FALSE),"")</f>
        <v>0</v>
      </c>
      <c r="AF250" s="650">
        <f ca="1">IFERROR(HLOOKUP($AB250&amp;$AD250,'NWC_FC_NON-NOOS'!$S$4:$AH$24,MATCH($Y250,'NWC_FC_NON-NOOS'!$S$4:$S$24,0),FALSE),"")</f>
        <v>0</v>
      </c>
      <c r="AG250" s="650">
        <f ca="1">IFERROR(HLOOKUP($AB250&amp;$AD250,'NWC_FC_NON-NOOS'!$B$50:$U$70,MATCH($Y250,'NWC_FC_NON-NOOS'!$B$50:$B$70,0),FALSE),"")</f>
        <v>0</v>
      </c>
      <c r="AH250" s="650">
        <f ca="1">IFERROR(IF($AA250="NOOS",HLOOKUP(STOCK_OVERVIEW!$AB250&amp;STOCK_OVERVIEW!$AD250,PLANNING_FC!$BB$27:$BP$46,MATCH(STOCK_OVERVIEW!$Y250,PLANNING_FC!$BA$27:$BA$46,0),FALSE),HLOOKUP($AB250&amp;$AD250,PLANNING_FC!$BB$4:$BP$23,MATCH(STOCK_OVERVIEW!$Y250,PLANNING_FC!$BA$4:$BA$23,0),FALSE)),"")</f>
        <v>0</v>
      </c>
      <c r="AI250" s="650">
        <f ca="1">IFERROR(IF($AA250="NOOS",HLOOKUP(STOCK_OVERVIEW!$AB250&amp;STOCK_OVERVIEW!$AD250,PLANNING_FC!$T$27:$AH$46,MATCH(STOCK_OVERVIEW!$Y250,PLANNING_FC!$B$27:$B$46,0),FALSE),HLOOKUP($AB250&amp;$AD250,PLANNING_FC!$T$4:$AH$23,MATCH(STOCK_OVERVIEW!$Y250,PLANNING_FC!$B$4:$B$23,0),FALSE)),"")</f>
        <v>0</v>
      </c>
      <c r="AJ250" s="650">
        <f ca="1">IFERROR(IF($AA250="NOOS",HLOOKUP(STOCK_OVERVIEW!$AB250&amp;STOCK_OVERVIEW!$AD250,PLANNING_FC!$DA$27:$DO$46,MATCH(STOCK_OVERVIEW!$Y250,PLANNING_FC!$CZ$27:$CZ$46,0),FALSE),HLOOKUP($AB250&amp;$AD250,PLANNING_FC!$DA$4:$DO$23,MATCH(STOCK_OVERVIEW!$Y250,PLANNING_FC!$CZ$4:$CZ$23,0),FALSE)),"")</f>
        <v>34061</v>
      </c>
      <c r="AK250" s="651">
        <f ca="1">IFERROR(IF(AA250="NOOS",HLOOKUP(AB250&amp;AD250,PLANNING_FC!$AJ$27:$AY$47,MATCH(STOCK_OVERVIEW!Y250,PLANNING_FC!$AJ$27:$AJ$47,0),FALSE)*1000,HLOOKUP(AB250&amp;AD250,PLANNING_FC!$AJ$4:$AY$24,MATCH(STOCK_OVERVIEW!Y250,PLANNING_FC!$AJ$4:$AJ$24,0),FALSE)*1000),"")</f>
        <v>0</v>
      </c>
      <c r="AL250" s="638"/>
      <c r="AM250" s="638"/>
      <c r="AN250" s="638"/>
      <c r="AO250" s="638"/>
      <c r="AP250" s="638"/>
      <c r="AQ250" s="638"/>
      <c r="AR250" s="638"/>
      <c r="AS250" s="638"/>
    </row>
    <row r="251" spans="1:45" s="61" customFormat="1" x14ac:dyDescent="0.25">
      <c r="A251" s="62"/>
      <c r="F251" s="19"/>
      <c r="J251" s="19"/>
      <c r="N251" s="19"/>
      <c r="R251" s="19"/>
      <c r="S251" s="637"/>
      <c r="T251" s="637"/>
      <c r="U251" s="636"/>
      <c r="V251" s="637"/>
      <c r="W251" s="637"/>
      <c r="X251" s="465" t="str">
        <f t="shared" si="18"/>
        <v>VM</v>
      </c>
      <c r="Y251" s="206" t="str">
        <f t="shared" si="18"/>
        <v>ACCESSORIES</v>
      </c>
      <c r="Z251" s="25" t="str">
        <f t="shared" ca="1" si="17"/>
        <v>VMACCESSORIES19/20Sep</v>
      </c>
      <c r="AA251" s="206" t="s">
        <v>197</v>
      </c>
      <c r="AB251" s="206" t="str">
        <f t="shared" ca="1" si="19"/>
        <v>19/20</v>
      </c>
      <c r="AC251" s="206" t="str">
        <f t="shared" ca="1" si="19"/>
        <v>Q1</v>
      </c>
      <c r="AD251" s="206" t="str">
        <f t="shared" ca="1" si="19"/>
        <v>Sep</v>
      </c>
      <c r="AE251" s="649">
        <f ca="1">IFERROR(HLOOKUP($AB251&amp;$AD251,'NWC_FC_NON-NOOS'!$C$4:$Q$24,MATCH($Y251,'NWC_FC_NON-NOOS'!$B$4:$B$24,0),FALSE),"")</f>
        <v>0</v>
      </c>
      <c r="AF251" s="650">
        <f ca="1">IFERROR(HLOOKUP($AB251&amp;$AD251,'NWC_FC_NON-NOOS'!$S$4:$AH$24,MATCH($Y251,'NWC_FC_NON-NOOS'!$S$4:$S$24,0),FALSE),"")</f>
        <v>0</v>
      </c>
      <c r="AG251" s="650">
        <f ca="1">IFERROR(HLOOKUP($AB251&amp;$AD251,'NWC_FC_NON-NOOS'!$B$50:$U$70,MATCH($Y251,'NWC_FC_NON-NOOS'!$B$50:$B$70,0),FALSE),"")</f>
        <v>0</v>
      </c>
      <c r="AH251" s="650">
        <f ca="1">IFERROR(IF($AA251="NOOS",HLOOKUP(STOCK_OVERVIEW!$AB251&amp;STOCK_OVERVIEW!$AD251,PLANNING_FC!$BB$27:$BP$46,MATCH(STOCK_OVERVIEW!$Y251,PLANNING_FC!$BA$27:$BA$46,0),FALSE),HLOOKUP($AB251&amp;$AD251,PLANNING_FC!$BB$4:$BP$23,MATCH(STOCK_OVERVIEW!$Y251,PLANNING_FC!$BA$4:$BA$23,0),FALSE)),"")</f>
        <v>0</v>
      </c>
      <c r="AI251" s="650">
        <f ca="1">IFERROR(IF($AA251="NOOS",HLOOKUP(STOCK_OVERVIEW!$AB251&amp;STOCK_OVERVIEW!$AD251,PLANNING_FC!$T$27:$AH$46,MATCH(STOCK_OVERVIEW!$Y251,PLANNING_FC!$B$27:$B$46,0),FALSE),HLOOKUP($AB251&amp;$AD251,PLANNING_FC!$T$4:$AH$23,MATCH(STOCK_OVERVIEW!$Y251,PLANNING_FC!$B$4:$B$23,0),FALSE)),"")</f>
        <v>0</v>
      </c>
      <c r="AJ251" s="650">
        <f ca="1">IFERROR(IF($AA251="NOOS",HLOOKUP(STOCK_OVERVIEW!$AB251&amp;STOCK_OVERVIEW!$AD251,PLANNING_FC!$DA$27:$DO$46,MATCH(STOCK_OVERVIEW!$Y251,PLANNING_FC!$CZ$27:$CZ$46,0),FALSE),HLOOKUP($AB251&amp;$AD251,PLANNING_FC!$DA$4:$DO$23,MATCH(STOCK_OVERVIEW!$Y251,PLANNING_FC!$CZ$4:$CZ$23,0),FALSE)),"")</f>
        <v>34061</v>
      </c>
      <c r="AK251" s="651">
        <f ca="1">IFERROR(IF(AA251="NOOS",HLOOKUP(AB251&amp;AD251,PLANNING_FC!$AJ$27:$AY$47,MATCH(STOCK_OVERVIEW!Y251,PLANNING_FC!$AJ$27:$AJ$47,0),FALSE)*1000,HLOOKUP(AB251&amp;AD251,PLANNING_FC!$AJ$4:$AY$24,MATCH(STOCK_OVERVIEW!Y251,PLANNING_FC!$AJ$4:$AJ$24,0),FALSE)*1000),"")</f>
        <v>0</v>
      </c>
      <c r="AL251" s="638"/>
      <c r="AM251" s="638"/>
      <c r="AN251" s="638"/>
      <c r="AO251" s="638"/>
      <c r="AP251" s="638"/>
      <c r="AQ251" s="638"/>
      <c r="AR251" s="638"/>
      <c r="AS251" s="638"/>
    </row>
    <row r="252" spans="1:45" s="61" customFormat="1" x14ac:dyDescent="0.25">
      <c r="A252" s="62"/>
      <c r="F252" s="19"/>
      <c r="J252" s="19"/>
      <c r="N252" s="19"/>
      <c r="R252" s="19"/>
      <c r="S252" s="637"/>
      <c r="T252" s="637"/>
      <c r="U252" s="636"/>
      <c r="V252" s="637"/>
      <c r="W252" s="637"/>
      <c r="X252" s="465" t="str">
        <f t="shared" si="18"/>
        <v>VM</v>
      </c>
      <c r="Y252" s="206" t="str">
        <f t="shared" si="18"/>
        <v>ACCESSORIES</v>
      </c>
      <c r="Z252" s="25" t="str">
        <f t="shared" ca="1" si="17"/>
        <v>VMACCESSORIES19/20Oct</v>
      </c>
      <c r="AA252" s="206" t="s">
        <v>197</v>
      </c>
      <c r="AB252" s="206" t="str">
        <f t="shared" ca="1" si="19"/>
        <v>19/20</v>
      </c>
      <c r="AC252" s="206" t="str">
        <f t="shared" ca="1" si="19"/>
        <v>Q1</v>
      </c>
      <c r="AD252" s="206" t="str">
        <f t="shared" ca="1" si="19"/>
        <v>Oct</v>
      </c>
      <c r="AE252" s="649">
        <f ca="1">IFERROR(HLOOKUP($AB252&amp;$AD252,'NWC_FC_NON-NOOS'!$C$4:$Q$24,MATCH($Y252,'NWC_FC_NON-NOOS'!$B$4:$B$24,0),FALSE),"")</f>
        <v>0</v>
      </c>
      <c r="AF252" s="650">
        <f ca="1">IFERROR(HLOOKUP($AB252&amp;$AD252,'NWC_FC_NON-NOOS'!$S$4:$AH$24,MATCH($Y252,'NWC_FC_NON-NOOS'!$S$4:$S$24,0),FALSE),"")</f>
        <v>0</v>
      </c>
      <c r="AG252" s="650">
        <f ca="1">IFERROR(HLOOKUP($AB252&amp;$AD252,'NWC_FC_NON-NOOS'!$B$50:$U$70,MATCH($Y252,'NWC_FC_NON-NOOS'!$B$50:$B$70,0),FALSE),"")</f>
        <v>0</v>
      </c>
      <c r="AH252" s="650">
        <f ca="1">IFERROR(IF($AA252="NOOS",HLOOKUP(STOCK_OVERVIEW!$AB252&amp;STOCK_OVERVIEW!$AD252,PLANNING_FC!$BB$27:$BP$46,MATCH(STOCK_OVERVIEW!$Y252,PLANNING_FC!$BA$27:$BA$46,0),FALSE),HLOOKUP($AB252&amp;$AD252,PLANNING_FC!$BB$4:$BP$23,MATCH(STOCK_OVERVIEW!$Y252,PLANNING_FC!$BA$4:$BA$23,0),FALSE)),"")</f>
        <v>0</v>
      </c>
      <c r="AI252" s="650">
        <f ca="1">IFERROR(IF($AA252="NOOS",HLOOKUP(STOCK_OVERVIEW!$AB252&amp;STOCK_OVERVIEW!$AD252,PLANNING_FC!$T$27:$AH$46,MATCH(STOCK_OVERVIEW!$Y252,PLANNING_FC!$B$27:$B$46,0),FALSE),HLOOKUP($AB252&amp;$AD252,PLANNING_FC!$T$4:$AH$23,MATCH(STOCK_OVERVIEW!$Y252,PLANNING_FC!$B$4:$B$23,0),FALSE)),"")</f>
        <v>0</v>
      </c>
      <c r="AJ252" s="650">
        <f ca="1">IFERROR(IF($AA252="NOOS",HLOOKUP(STOCK_OVERVIEW!$AB252&amp;STOCK_OVERVIEW!$AD252,PLANNING_FC!$DA$27:$DO$46,MATCH(STOCK_OVERVIEW!$Y252,PLANNING_FC!$CZ$27:$CZ$46,0),FALSE),HLOOKUP($AB252&amp;$AD252,PLANNING_FC!$DA$4:$DO$23,MATCH(STOCK_OVERVIEW!$Y252,PLANNING_FC!$CZ$4:$CZ$23,0),FALSE)),"")</f>
        <v>34061</v>
      </c>
      <c r="AK252" s="651">
        <f ca="1">IFERROR(IF(AA252="NOOS",HLOOKUP(AB252&amp;AD252,PLANNING_FC!$AJ$27:$AY$47,MATCH(STOCK_OVERVIEW!Y252,PLANNING_FC!$AJ$27:$AJ$47,0),FALSE)*1000,HLOOKUP(AB252&amp;AD252,PLANNING_FC!$AJ$4:$AY$24,MATCH(STOCK_OVERVIEW!Y252,PLANNING_FC!$AJ$4:$AJ$24,0),FALSE)*1000),"")</f>
        <v>0</v>
      </c>
      <c r="AL252" s="638"/>
      <c r="AM252" s="638"/>
      <c r="AN252" s="638"/>
      <c r="AO252" s="638"/>
      <c r="AP252" s="638"/>
      <c r="AQ252" s="638"/>
      <c r="AR252" s="638"/>
      <c r="AS252" s="638"/>
    </row>
    <row r="253" spans="1:45" s="61" customFormat="1" x14ac:dyDescent="0.25">
      <c r="A253" s="62"/>
      <c r="F253" s="19"/>
      <c r="J253" s="19"/>
      <c r="N253" s="19"/>
      <c r="R253" s="19"/>
      <c r="S253" s="637"/>
      <c r="T253" s="637"/>
      <c r="U253" s="636"/>
      <c r="V253" s="637"/>
      <c r="W253" s="637"/>
      <c r="X253" s="465" t="str">
        <f t="shared" si="18"/>
        <v>VM</v>
      </c>
      <c r="Y253" s="206" t="str">
        <f t="shared" si="18"/>
        <v>ACCESSORIES</v>
      </c>
      <c r="Z253" s="25" t="str">
        <f t="shared" ca="1" si="17"/>
        <v>VMACCESSORIES19/20Nov</v>
      </c>
      <c r="AA253" s="206" t="s">
        <v>197</v>
      </c>
      <c r="AB253" s="206" t="str">
        <f t="shared" ca="1" si="19"/>
        <v>19/20</v>
      </c>
      <c r="AC253" s="206" t="str">
        <f t="shared" ca="1" si="19"/>
        <v>Q2</v>
      </c>
      <c r="AD253" s="206" t="str">
        <f t="shared" ca="1" si="19"/>
        <v>Nov</v>
      </c>
      <c r="AE253" s="649">
        <f ca="1">IFERROR(HLOOKUP($AB253&amp;$AD253,'NWC_FC_NON-NOOS'!$C$4:$Q$24,MATCH($Y253,'NWC_FC_NON-NOOS'!$B$4:$B$24,0),FALSE),"")</f>
        <v>0</v>
      </c>
      <c r="AF253" s="650">
        <f ca="1">IFERROR(HLOOKUP($AB253&amp;$AD253,'NWC_FC_NON-NOOS'!$S$4:$AH$24,MATCH($Y253,'NWC_FC_NON-NOOS'!$S$4:$S$24,0),FALSE),"")</f>
        <v>0</v>
      </c>
      <c r="AG253" s="650">
        <f ca="1">IFERROR(HLOOKUP($AB253&amp;$AD253,'NWC_FC_NON-NOOS'!$B$50:$U$70,MATCH($Y253,'NWC_FC_NON-NOOS'!$B$50:$B$70,0),FALSE),"")</f>
        <v>0</v>
      </c>
      <c r="AH253" s="650">
        <f ca="1">IFERROR(IF($AA253="NOOS",HLOOKUP(STOCK_OVERVIEW!$AB253&amp;STOCK_OVERVIEW!$AD253,PLANNING_FC!$BB$27:$BP$46,MATCH(STOCK_OVERVIEW!$Y253,PLANNING_FC!$BA$27:$BA$46,0),FALSE),HLOOKUP($AB253&amp;$AD253,PLANNING_FC!$BB$4:$BP$23,MATCH(STOCK_OVERVIEW!$Y253,PLANNING_FC!$BA$4:$BA$23,0),FALSE)),"")</f>
        <v>0</v>
      </c>
      <c r="AI253" s="650">
        <f ca="1">IFERROR(IF($AA253="NOOS",HLOOKUP(STOCK_OVERVIEW!$AB253&amp;STOCK_OVERVIEW!$AD253,PLANNING_FC!$T$27:$AH$46,MATCH(STOCK_OVERVIEW!$Y253,PLANNING_FC!$B$27:$B$46,0),FALSE),HLOOKUP($AB253&amp;$AD253,PLANNING_FC!$T$4:$AH$23,MATCH(STOCK_OVERVIEW!$Y253,PLANNING_FC!$B$4:$B$23,0),FALSE)),"")</f>
        <v>0</v>
      </c>
      <c r="AJ253" s="650">
        <f ca="1">IFERROR(IF($AA253="NOOS",HLOOKUP(STOCK_OVERVIEW!$AB253&amp;STOCK_OVERVIEW!$AD253,PLANNING_FC!$DA$27:$DO$46,MATCH(STOCK_OVERVIEW!$Y253,PLANNING_FC!$CZ$27:$CZ$46,0),FALSE),HLOOKUP($AB253&amp;$AD253,PLANNING_FC!$DA$4:$DO$23,MATCH(STOCK_OVERVIEW!$Y253,PLANNING_FC!$CZ$4:$CZ$23,0),FALSE)),"")</f>
        <v>34061</v>
      </c>
      <c r="AK253" s="651">
        <f ca="1">IFERROR(IF(AA253="NOOS",HLOOKUP(AB253&amp;AD253,PLANNING_FC!$AJ$27:$AY$47,MATCH(STOCK_OVERVIEW!Y253,PLANNING_FC!$AJ$27:$AJ$47,0),FALSE)*1000,HLOOKUP(AB253&amp;AD253,PLANNING_FC!$AJ$4:$AY$24,MATCH(STOCK_OVERVIEW!Y253,PLANNING_FC!$AJ$4:$AJ$24,0),FALSE)*1000),"")</f>
        <v>0</v>
      </c>
      <c r="AL253" s="638"/>
      <c r="AM253" s="638"/>
      <c r="AN253" s="638"/>
      <c r="AO253" s="638"/>
      <c r="AP253" s="638"/>
      <c r="AQ253" s="638"/>
      <c r="AR253" s="638"/>
      <c r="AS253" s="638"/>
    </row>
    <row r="254" spans="1:45" s="61" customFormat="1" x14ac:dyDescent="0.25">
      <c r="A254" s="62"/>
      <c r="F254" s="19"/>
      <c r="J254" s="19"/>
      <c r="N254" s="19"/>
      <c r="R254" s="19"/>
      <c r="S254" s="637"/>
      <c r="T254" s="637"/>
      <c r="U254" s="636"/>
      <c r="V254" s="637"/>
      <c r="W254" s="637"/>
      <c r="X254" s="465" t="str">
        <f t="shared" si="18"/>
        <v>VM</v>
      </c>
      <c r="Y254" s="206" t="str">
        <f t="shared" si="18"/>
        <v>ACCESSORIES</v>
      </c>
      <c r="Z254" s="25" t="str">
        <f t="shared" ca="1" si="17"/>
        <v>VMACCESSORIES19/20Dec</v>
      </c>
      <c r="AA254" s="206" t="s">
        <v>197</v>
      </c>
      <c r="AB254" s="206" t="str">
        <f t="shared" ca="1" si="19"/>
        <v>19/20</v>
      </c>
      <c r="AC254" s="206" t="str">
        <f t="shared" ca="1" si="19"/>
        <v>Q2</v>
      </c>
      <c r="AD254" s="206" t="str">
        <f t="shared" ca="1" si="19"/>
        <v>Dec</v>
      </c>
      <c r="AE254" s="649">
        <f ca="1">IFERROR(HLOOKUP($AB254&amp;$AD254,'NWC_FC_NON-NOOS'!$C$4:$Q$24,MATCH($Y254,'NWC_FC_NON-NOOS'!$B$4:$B$24,0),FALSE),"")</f>
        <v>0</v>
      </c>
      <c r="AF254" s="650">
        <f ca="1">IFERROR(HLOOKUP($AB254&amp;$AD254,'NWC_FC_NON-NOOS'!$S$4:$AH$24,MATCH($Y254,'NWC_FC_NON-NOOS'!$S$4:$S$24,0),FALSE),"")</f>
        <v>0</v>
      </c>
      <c r="AG254" s="650">
        <f ca="1">IFERROR(HLOOKUP($AB254&amp;$AD254,'NWC_FC_NON-NOOS'!$B$50:$U$70,MATCH($Y254,'NWC_FC_NON-NOOS'!$B$50:$B$70,0),FALSE),"")</f>
        <v>0</v>
      </c>
      <c r="AH254" s="650">
        <f ca="1">IFERROR(IF($AA254="NOOS",HLOOKUP(STOCK_OVERVIEW!$AB254&amp;STOCK_OVERVIEW!$AD254,PLANNING_FC!$BB$27:$BP$46,MATCH(STOCK_OVERVIEW!$Y254,PLANNING_FC!$BA$27:$BA$46,0),FALSE),HLOOKUP($AB254&amp;$AD254,PLANNING_FC!$BB$4:$BP$23,MATCH(STOCK_OVERVIEW!$Y254,PLANNING_FC!$BA$4:$BA$23,0),FALSE)),"")</f>
        <v>0</v>
      </c>
      <c r="AI254" s="650">
        <f ca="1">IFERROR(IF($AA254="NOOS",HLOOKUP(STOCK_OVERVIEW!$AB254&amp;STOCK_OVERVIEW!$AD254,PLANNING_FC!$T$27:$AH$46,MATCH(STOCK_OVERVIEW!$Y254,PLANNING_FC!$B$27:$B$46,0),FALSE),HLOOKUP($AB254&amp;$AD254,PLANNING_FC!$T$4:$AH$23,MATCH(STOCK_OVERVIEW!$Y254,PLANNING_FC!$B$4:$B$23,0),FALSE)),"")</f>
        <v>0</v>
      </c>
      <c r="AJ254" s="650">
        <f ca="1">IFERROR(IF($AA254="NOOS",HLOOKUP(STOCK_OVERVIEW!$AB254&amp;STOCK_OVERVIEW!$AD254,PLANNING_FC!$DA$27:$DO$46,MATCH(STOCK_OVERVIEW!$Y254,PLANNING_FC!$CZ$27:$CZ$46,0),FALSE),HLOOKUP($AB254&amp;$AD254,PLANNING_FC!$DA$4:$DO$23,MATCH(STOCK_OVERVIEW!$Y254,PLANNING_FC!$CZ$4:$CZ$23,0),FALSE)),"")</f>
        <v>34061</v>
      </c>
      <c r="AK254" s="651">
        <f ca="1">IFERROR(IF(AA254="NOOS",HLOOKUP(AB254&amp;AD254,PLANNING_FC!$AJ$27:$AY$47,MATCH(STOCK_OVERVIEW!Y254,PLANNING_FC!$AJ$27:$AJ$47,0),FALSE)*1000,HLOOKUP(AB254&amp;AD254,PLANNING_FC!$AJ$4:$AY$24,MATCH(STOCK_OVERVIEW!Y254,PLANNING_FC!$AJ$4:$AJ$24,0),FALSE)*1000),"")</f>
        <v>0</v>
      </c>
      <c r="AL254" s="638"/>
      <c r="AM254" s="638"/>
      <c r="AN254" s="638"/>
      <c r="AO254" s="638"/>
      <c r="AP254" s="638"/>
      <c r="AQ254" s="638"/>
      <c r="AR254" s="638"/>
      <c r="AS254" s="638"/>
    </row>
    <row r="255" spans="1:45" s="61" customFormat="1" x14ac:dyDescent="0.25">
      <c r="A255" s="62"/>
      <c r="F255" s="19"/>
      <c r="J255" s="19"/>
      <c r="N255" s="19"/>
      <c r="R255" s="19"/>
      <c r="S255" s="637"/>
      <c r="T255" s="637"/>
      <c r="U255" s="636"/>
      <c r="V255" s="637"/>
      <c r="W255" s="637"/>
      <c r="X255" s="465" t="str">
        <f t="shared" si="18"/>
        <v>VM</v>
      </c>
      <c r="Y255" s="206" t="str">
        <f t="shared" si="18"/>
        <v>ACCESSORIES</v>
      </c>
      <c r="Z255" s="25" t="str">
        <f t="shared" ca="1" si="17"/>
        <v>VMACCESSORIES19/20Jan</v>
      </c>
      <c r="AA255" s="206" t="s">
        <v>197</v>
      </c>
      <c r="AB255" s="206" t="str">
        <f t="shared" ca="1" si="19"/>
        <v>19/20</v>
      </c>
      <c r="AC255" s="206" t="str">
        <f t="shared" ca="1" si="19"/>
        <v>Q2</v>
      </c>
      <c r="AD255" s="206" t="str">
        <f t="shared" ca="1" si="19"/>
        <v>Jan</v>
      </c>
      <c r="AE255" s="649">
        <f ca="1">IFERROR(HLOOKUP($AB255&amp;$AD255,'NWC_FC_NON-NOOS'!$C$4:$Q$24,MATCH($Y255,'NWC_FC_NON-NOOS'!$B$4:$B$24,0),FALSE),"")</f>
        <v>0</v>
      </c>
      <c r="AF255" s="650">
        <f ca="1">IFERROR(HLOOKUP($AB255&amp;$AD255,'NWC_FC_NON-NOOS'!$S$4:$AH$24,MATCH($Y255,'NWC_FC_NON-NOOS'!$S$4:$S$24,0),FALSE),"")</f>
        <v>0</v>
      </c>
      <c r="AG255" s="650">
        <f ca="1">IFERROR(HLOOKUP($AB255&amp;$AD255,'NWC_FC_NON-NOOS'!$B$50:$U$70,MATCH($Y255,'NWC_FC_NON-NOOS'!$B$50:$B$70,0),FALSE),"")</f>
        <v>0</v>
      </c>
      <c r="AH255" s="650">
        <f ca="1">IFERROR(IF($AA255="NOOS",HLOOKUP(STOCK_OVERVIEW!$AB255&amp;STOCK_OVERVIEW!$AD255,PLANNING_FC!$BB$27:$BP$46,MATCH(STOCK_OVERVIEW!$Y255,PLANNING_FC!$BA$27:$BA$46,0),FALSE),HLOOKUP($AB255&amp;$AD255,PLANNING_FC!$BB$4:$BP$23,MATCH(STOCK_OVERVIEW!$Y255,PLANNING_FC!$BA$4:$BA$23,0),FALSE)),"")</f>
        <v>0</v>
      </c>
      <c r="AI255" s="650">
        <f ca="1">IFERROR(IF($AA255="NOOS",HLOOKUP(STOCK_OVERVIEW!$AB255&amp;STOCK_OVERVIEW!$AD255,PLANNING_FC!$T$27:$AH$46,MATCH(STOCK_OVERVIEW!$Y255,PLANNING_FC!$B$27:$B$46,0),FALSE),HLOOKUP($AB255&amp;$AD255,PLANNING_FC!$T$4:$AH$23,MATCH(STOCK_OVERVIEW!$Y255,PLANNING_FC!$B$4:$B$23,0),FALSE)),"")</f>
        <v>0</v>
      </c>
      <c r="AJ255" s="650">
        <f ca="1">IFERROR(IF($AA255="NOOS",HLOOKUP(STOCK_OVERVIEW!$AB255&amp;STOCK_OVERVIEW!$AD255,PLANNING_FC!$DA$27:$DO$46,MATCH(STOCK_OVERVIEW!$Y255,PLANNING_FC!$CZ$27:$CZ$46,0),FALSE),HLOOKUP($AB255&amp;$AD255,PLANNING_FC!$DA$4:$DO$23,MATCH(STOCK_OVERVIEW!$Y255,PLANNING_FC!$CZ$4:$CZ$23,0),FALSE)),"")</f>
        <v>34061</v>
      </c>
      <c r="AK255" s="651">
        <f ca="1">IFERROR(IF(AA255="NOOS",HLOOKUP(AB255&amp;AD255,PLANNING_FC!$AJ$27:$AY$47,MATCH(STOCK_OVERVIEW!Y255,PLANNING_FC!$AJ$27:$AJ$47,0),FALSE)*1000,HLOOKUP(AB255&amp;AD255,PLANNING_FC!$AJ$4:$AY$24,MATCH(STOCK_OVERVIEW!Y255,PLANNING_FC!$AJ$4:$AJ$24,0),FALSE)*1000),"")</f>
        <v>0</v>
      </c>
      <c r="AL255" s="638"/>
      <c r="AM255" s="638"/>
      <c r="AN255" s="638"/>
      <c r="AO255" s="638"/>
      <c r="AP255" s="638"/>
      <c r="AQ255" s="638"/>
      <c r="AR255" s="638"/>
      <c r="AS255" s="638"/>
    </row>
    <row r="256" spans="1:45" s="61" customFormat="1" x14ac:dyDescent="0.25">
      <c r="A256" s="62"/>
      <c r="F256" s="19"/>
      <c r="J256" s="19"/>
      <c r="N256" s="19"/>
      <c r="R256" s="19"/>
      <c r="S256" s="637"/>
      <c r="T256" s="637"/>
      <c r="U256" s="636"/>
      <c r="V256" s="637"/>
      <c r="W256" s="637"/>
      <c r="X256" s="465" t="str">
        <f t="shared" si="18"/>
        <v>VM</v>
      </c>
      <c r="Y256" s="206" t="str">
        <f t="shared" si="18"/>
        <v>ACCESSORIES</v>
      </c>
      <c r="Z256" s="25" t="str">
        <f t="shared" ca="1" si="17"/>
        <v>VMACCESSORIES19/20Feb</v>
      </c>
      <c r="AA256" s="206" t="s">
        <v>197</v>
      </c>
      <c r="AB256" s="206" t="str">
        <f t="shared" ca="1" si="19"/>
        <v>19/20</v>
      </c>
      <c r="AC256" s="206" t="str">
        <f t="shared" ca="1" si="19"/>
        <v>Q3</v>
      </c>
      <c r="AD256" s="206" t="str">
        <f t="shared" ca="1" si="19"/>
        <v>Feb</v>
      </c>
      <c r="AE256" s="649" t="str">
        <f ca="1">IFERROR(HLOOKUP($AB256&amp;$AD256,'NWC_FC_NON-NOOS'!$C$4:$Q$24,MATCH($Y256,'NWC_FC_NON-NOOS'!$B$4:$B$24,0),FALSE),"")</f>
        <v/>
      </c>
      <c r="AF256" s="650" t="str">
        <f ca="1">IFERROR(HLOOKUP($AB256&amp;$AD256,'NWC_FC_NON-NOOS'!$S$4:$AH$24,MATCH($Y256,'NWC_FC_NON-NOOS'!$S$4:$S$24,0),FALSE),"")</f>
        <v/>
      </c>
      <c r="AG256" s="650">
        <f ca="1">IFERROR(HLOOKUP($AB256&amp;$AD256,'NWC_FC_NON-NOOS'!$B$50:$U$70,MATCH($Y256,'NWC_FC_NON-NOOS'!$B$50:$B$70,0),FALSE),"")</f>
        <v>0</v>
      </c>
      <c r="AH256" s="650" t="str">
        <f ca="1">IFERROR(IF($AA256="NOOS",HLOOKUP(STOCK_OVERVIEW!$AB256&amp;STOCK_OVERVIEW!$AD256,PLANNING_FC!$BB$27:$BP$46,MATCH(STOCK_OVERVIEW!$Y256,PLANNING_FC!$BA$27:$BA$46,0),FALSE),HLOOKUP($AB256&amp;$AD256,PLANNING_FC!$BB$4:$BP$23,MATCH(STOCK_OVERVIEW!$Y256,PLANNING_FC!$BA$4:$BA$23,0),FALSE)),"")</f>
        <v/>
      </c>
      <c r="AI256" s="650" t="str">
        <f ca="1">IFERROR(IF($AA256="NOOS",HLOOKUP(STOCK_OVERVIEW!$AB256&amp;STOCK_OVERVIEW!$AD256,PLANNING_FC!$T$27:$AH$46,MATCH(STOCK_OVERVIEW!$Y256,PLANNING_FC!$B$27:$B$46,0),FALSE),HLOOKUP($AB256&amp;$AD256,PLANNING_FC!$T$4:$AH$23,MATCH(STOCK_OVERVIEW!$Y256,PLANNING_FC!$B$4:$B$23,0),FALSE)),"")</f>
        <v/>
      </c>
      <c r="AJ256" s="650" t="str">
        <f ca="1">IFERROR(IF($AA256="NOOS",HLOOKUP(STOCK_OVERVIEW!$AB256&amp;STOCK_OVERVIEW!$AD256,PLANNING_FC!$DA$27:$DO$46,MATCH(STOCK_OVERVIEW!$Y256,PLANNING_FC!$CZ$27:$CZ$46,0),FALSE),HLOOKUP($AB256&amp;$AD256,PLANNING_FC!$DA$4:$DO$23,MATCH(STOCK_OVERVIEW!$Y256,PLANNING_FC!$CZ$4:$CZ$23,0),FALSE)),"")</f>
        <v/>
      </c>
      <c r="AK256" s="651" t="str">
        <f ca="1">IFERROR(IF(AA256="NOOS",HLOOKUP(AB256&amp;AD256,PLANNING_FC!$AJ$27:$AY$47,MATCH(STOCK_OVERVIEW!Y256,PLANNING_FC!$AJ$27:$AJ$47,0),FALSE)*1000,HLOOKUP(AB256&amp;AD256,PLANNING_FC!$AJ$4:$AY$24,MATCH(STOCK_OVERVIEW!Y256,PLANNING_FC!$AJ$4:$AJ$24,0),FALSE)*1000),"")</f>
        <v/>
      </c>
      <c r="AL256" s="638"/>
      <c r="AM256" s="638"/>
      <c r="AN256" s="638"/>
      <c r="AO256" s="638"/>
      <c r="AP256" s="638"/>
      <c r="AQ256" s="638"/>
      <c r="AR256" s="638"/>
      <c r="AS256" s="638"/>
    </row>
    <row r="257" spans="1:45" s="61" customFormat="1" x14ac:dyDescent="0.25">
      <c r="A257" s="62"/>
      <c r="F257" s="19"/>
      <c r="J257" s="19"/>
      <c r="N257" s="19"/>
      <c r="R257" s="19"/>
      <c r="S257" s="637"/>
      <c r="T257" s="637"/>
      <c r="U257" s="636"/>
      <c r="V257" s="637"/>
      <c r="W257" s="637"/>
      <c r="X257" s="465" t="str">
        <f t="shared" si="18"/>
        <v>VM</v>
      </c>
      <c r="Y257" s="206" t="str">
        <f t="shared" si="18"/>
        <v>ACCESSORIES</v>
      </c>
      <c r="Z257" s="25" t="str">
        <f t="shared" ca="1" si="17"/>
        <v>VMACCESSORIES19/20Mar</v>
      </c>
      <c r="AA257" s="206" t="s">
        <v>197</v>
      </c>
      <c r="AB257" s="206" t="str">
        <f t="shared" ca="1" si="19"/>
        <v>19/20</v>
      </c>
      <c r="AC257" s="206" t="str">
        <f t="shared" ca="1" si="19"/>
        <v>Q3</v>
      </c>
      <c r="AD257" s="206" t="str">
        <f t="shared" ca="1" si="19"/>
        <v>Mar</v>
      </c>
      <c r="AE257" s="649" t="str">
        <f ca="1">IFERROR(HLOOKUP($AB257&amp;$AD257,'NWC_FC_NON-NOOS'!$C$4:$Q$24,MATCH($Y257,'NWC_FC_NON-NOOS'!$B$4:$B$24,0),FALSE),"")</f>
        <v/>
      </c>
      <c r="AF257" s="650" t="str">
        <f ca="1">IFERROR(HLOOKUP($AB257&amp;$AD257,'NWC_FC_NON-NOOS'!$S$4:$AH$24,MATCH($Y257,'NWC_FC_NON-NOOS'!$S$4:$S$24,0),FALSE),"")</f>
        <v/>
      </c>
      <c r="AG257" s="650">
        <f ca="1">IFERROR(HLOOKUP($AB257&amp;$AD257,'NWC_FC_NON-NOOS'!$B$50:$U$70,MATCH($Y257,'NWC_FC_NON-NOOS'!$B$50:$B$70,0),FALSE),"")</f>
        <v>0</v>
      </c>
      <c r="AH257" s="650" t="str">
        <f ca="1">IFERROR(IF($AA257="NOOS",HLOOKUP(STOCK_OVERVIEW!$AB257&amp;STOCK_OVERVIEW!$AD257,PLANNING_FC!$BB$27:$BP$46,MATCH(STOCK_OVERVIEW!$Y257,PLANNING_FC!$BA$27:$BA$46,0),FALSE),HLOOKUP($AB257&amp;$AD257,PLANNING_FC!$BB$4:$BP$23,MATCH(STOCK_OVERVIEW!$Y257,PLANNING_FC!$BA$4:$BA$23,0),FALSE)),"")</f>
        <v/>
      </c>
      <c r="AI257" s="650" t="str">
        <f ca="1">IFERROR(IF($AA257="NOOS",HLOOKUP(STOCK_OVERVIEW!$AB257&amp;STOCK_OVERVIEW!$AD257,PLANNING_FC!$T$27:$AH$46,MATCH(STOCK_OVERVIEW!$Y257,PLANNING_FC!$B$27:$B$46,0),FALSE),HLOOKUP($AB257&amp;$AD257,PLANNING_FC!$T$4:$AH$23,MATCH(STOCK_OVERVIEW!$Y257,PLANNING_FC!$B$4:$B$23,0),FALSE)),"")</f>
        <v/>
      </c>
      <c r="AJ257" s="650" t="str">
        <f ca="1">IFERROR(IF($AA257="NOOS",HLOOKUP(STOCK_OVERVIEW!$AB257&amp;STOCK_OVERVIEW!$AD257,PLANNING_FC!$DA$27:$DO$46,MATCH(STOCK_OVERVIEW!$Y257,PLANNING_FC!$CZ$27:$CZ$46,0),FALSE),HLOOKUP($AB257&amp;$AD257,PLANNING_FC!$DA$4:$DO$23,MATCH(STOCK_OVERVIEW!$Y257,PLANNING_FC!$CZ$4:$CZ$23,0),FALSE)),"")</f>
        <v/>
      </c>
      <c r="AK257" s="651" t="str">
        <f ca="1">IFERROR(IF(AA257="NOOS",HLOOKUP(AB257&amp;AD257,PLANNING_FC!$AJ$27:$AY$47,MATCH(STOCK_OVERVIEW!Y257,PLANNING_FC!$AJ$27:$AJ$47,0),FALSE)*1000,HLOOKUP(AB257&amp;AD257,PLANNING_FC!$AJ$4:$AY$24,MATCH(STOCK_OVERVIEW!Y257,PLANNING_FC!$AJ$4:$AJ$24,0),FALSE)*1000),"")</f>
        <v/>
      </c>
      <c r="AL257" s="638"/>
      <c r="AM257" s="638"/>
      <c r="AN257" s="638"/>
      <c r="AO257" s="638"/>
      <c r="AP257" s="638"/>
      <c r="AQ257" s="638"/>
      <c r="AR257" s="638"/>
      <c r="AS257" s="638"/>
    </row>
    <row r="258" spans="1:45" s="61" customFormat="1" x14ac:dyDescent="0.25">
      <c r="A258" s="62"/>
      <c r="F258" s="19"/>
      <c r="J258" s="19"/>
      <c r="N258" s="19"/>
      <c r="R258" s="19"/>
      <c r="S258" s="637"/>
      <c r="T258" s="637"/>
      <c r="U258" s="636"/>
      <c r="V258" s="637"/>
      <c r="W258" s="637"/>
      <c r="X258" s="465" t="str">
        <f t="shared" si="18"/>
        <v>VM</v>
      </c>
      <c r="Y258" s="206" t="str">
        <f t="shared" si="18"/>
        <v>ACCESSORIES</v>
      </c>
      <c r="Z258" s="25" t="str">
        <f t="shared" ca="1" si="17"/>
        <v>VMACCESSORIES19/20Apr</v>
      </c>
      <c r="AA258" s="206" t="s">
        <v>197</v>
      </c>
      <c r="AB258" s="206" t="str">
        <f t="shared" ca="1" si="19"/>
        <v>19/20</v>
      </c>
      <c r="AC258" s="206" t="str">
        <f t="shared" ca="1" si="19"/>
        <v>Q3</v>
      </c>
      <c r="AD258" s="206" t="str">
        <f t="shared" ca="1" si="19"/>
        <v>Apr</v>
      </c>
      <c r="AE258" s="649" t="str">
        <f ca="1">IFERROR(HLOOKUP($AB258&amp;$AD258,'NWC_FC_NON-NOOS'!$C$4:$Q$24,MATCH($Y258,'NWC_FC_NON-NOOS'!$B$4:$B$24,0),FALSE),"")</f>
        <v/>
      </c>
      <c r="AF258" s="650" t="str">
        <f ca="1">IFERROR(HLOOKUP($AB258&amp;$AD258,'NWC_FC_NON-NOOS'!$S$4:$AH$24,MATCH($Y258,'NWC_FC_NON-NOOS'!$S$4:$S$24,0),FALSE),"")</f>
        <v/>
      </c>
      <c r="AG258" s="650">
        <f ca="1">IFERROR(HLOOKUP($AB258&amp;$AD258,'NWC_FC_NON-NOOS'!$B$50:$U$70,MATCH($Y258,'NWC_FC_NON-NOOS'!$B$50:$B$70,0),FALSE),"")</f>
        <v>0</v>
      </c>
      <c r="AH258" s="650" t="str">
        <f ca="1">IFERROR(IF($AA258="NOOS",HLOOKUP(STOCK_OVERVIEW!$AB258&amp;STOCK_OVERVIEW!$AD258,PLANNING_FC!$BB$27:$BP$46,MATCH(STOCK_OVERVIEW!$Y258,PLANNING_FC!$BA$27:$BA$46,0),FALSE),HLOOKUP($AB258&amp;$AD258,PLANNING_FC!$BB$4:$BP$23,MATCH(STOCK_OVERVIEW!$Y258,PLANNING_FC!$BA$4:$BA$23,0),FALSE)),"")</f>
        <v/>
      </c>
      <c r="AI258" s="650" t="str">
        <f ca="1">IFERROR(IF($AA258="NOOS",HLOOKUP(STOCK_OVERVIEW!$AB258&amp;STOCK_OVERVIEW!$AD258,PLANNING_FC!$T$27:$AH$46,MATCH(STOCK_OVERVIEW!$Y258,PLANNING_FC!$B$27:$B$46,0),FALSE),HLOOKUP($AB258&amp;$AD258,PLANNING_FC!$T$4:$AH$23,MATCH(STOCK_OVERVIEW!$Y258,PLANNING_FC!$B$4:$B$23,0),FALSE)),"")</f>
        <v/>
      </c>
      <c r="AJ258" s="650" t="str">
        <f ca="1">IFERROR(IF($AA258="NOOS",HLOOKUP(STOCK_OVERVIEW!$AB258&amp;STOCK_OVERVIEW!$AD258,PLANNING_FC!$DA$27:$DO$46,MATCH(STOCK_OVERVIEW!$Y258,PLANNING_FC!$CZ$27:$CZ$46,0),FALSE),HLOOKUP($AB258&amp;$AD258,PLANNING_FC!$DA$4:$DO$23,MATCH(STOCK_OVERVIEW!$Y258,PLANNING_FC!$CZ$4:$CZ$23,0),FALSE)),"")</f>
        <v/>
      </c>
      <c r="AK258" s="651" t="str">
        <f ca="1">IFERROR(IF(AA258="NOOS",HLOOKUP(AB258&amp;AD258,PLANNING_FC!$AJ$27:$AY$47,MATCH(STOCK_OVERVIEW!Y258,PLANNING_FC!$AJ$27:$AJ$47,0),FALSE)*1000,HLOOKUP(AB258&amp;AD258,PLANNING_FC!$AJ$4:$AY$24,MATCH(STOCK_OVERVIEW!Y258,PLANNING_FC!$AJ$4:$AJ$24,0),FALSE)*1000),"")</f>
        <v/>
      </c>
      <c r="AL258" s="638"/>
      <c r="AM258" s="638"/>
      <c r="AN258" s="638"/>
      <c r="AO258" s="638"/>
      <c r="AP258" s="638"/>
      <c r="AQ258" s="638"/>
      <c r="AR258" s="638"/>
      <c r="AS258" s="638"/>
    </row>
    <row r="259" spans="1:45" s="61" customFormat="1" x14ac:dyDescent="0.25">
      <c r="A259" s="62"/>
      <c r="F259" s="19"/>
      <c r="J259" s="19"/>
      <c r="N259" s="19"/>
      <c r="R259" s="19"/>
      <c r="S259" s="637"/>
      <c r="T259" s="637"/>
      <c r="U259" s="636"/>
      <c r="V259" s="637"/>
      <c r="W259" s="637"/>
      <c r="X259" s="465" t="str">
        <f t="shared" si="18"/>
        <v>VM</v>
      </c>
      <c r="Y259" s="206" t="str">
        <f t="shared" si="18"/>
        <v>DRESSES</v>
      </c>
      <c r="Z259" s="25" t="str">
        <f t="shared" ca="1" si="17"/>
        <v>VMDRESSES18/19Feb</v>
      </c>
      <c r="AA259" s="206" t="s">
        <v>197</v>
      </c>
      <c r="AB259" s="206" t="str">
        <f t="shared" ca="1" si="19"/>
        <v>18/19</v>
      </c>
      <c r="AC259" s="206" t="str">
        <f t="shared" ca="1" si="19"/>
        <v>Q3</v>
      </c>
      <c r="AD259" s="206" t="str">
        <f t="shared" ca="1" si="19"/>
        <v>Feb</v>
      </c>
      <c r="AE259" s="649">
        <f ca="1">IFERROR(HLOOKUP($AB259&amp;$AD259,'NWC_FC_NON-NOOS'!$C$4:$Q$24,MATCH($Y259,'NWC_FC_NON-NOOS'!$B$4:$B$24,0),FALSE),"")</f>
        <v>0</v>
      </c>
      <c r="AF259" s="650">
        <f ca="1">IFERROR(HLOOKUP($AB259&amp;$AD259,'NWC_FC_NON-NOOS'!$S$4:$AH$24,MATCH($Y259,'NWC_FC_NON-NOOS'!$S$4:$S$24,0),FALSE),"")</f>
        <v>0</v>
      </c>
      <c r="AG259" s="650">
        <f ca="1">IFERROR(HLOOKUP($AB259&amp;$AD259,'NWC_FC_NON-NOOS'!$B$50:$U$70,MATCH($Y259,'NWC_FC_NON-NOOS'!$B$50:$B$70,0),FALSE),"")</f>
        <v>0</v>
      </c>
      <c r="AH259" s="650">
        <f ca="1">IFERROR(IF($AA259="NOOS",HLOOKUP(STOCK_OVERVIEW!$AB259&amp;STOCK_OVERVIEW!$AD259,PLANNING_FC!$BB$27:$BP$46,MATCH(STOCK_OVERVIEW!$Y259,PLANNING_FC!$BA$27:$BA$46,0),FALSE),HLOOKUP($AB259&amp;$AD259,PLANNING_FC!$BB$4:$BP$23,MATCH(STOCK_OVERVIEW!$Y259,PLANNING_FC!$BA$4:$BA$23,0),FALSE)),"")</f>
        <v>0</v>
      </c>
      <c r="AI259" s="650">
        <f ca="1">IFERROR(IF($AA259="NOOS",HLOOKUP(STOCK_OVERVIEW!$AB259&amp;STOCK_OVERVIEW!$AD259,PLANNING_FC!$T$27:$AH$46,MATCH(STOCK_OVERVIEW!$Y259,PLANNING_FC!$B$27:$B$46,0),FALSE),HLOOKUP($AB259&amp;$AD259,PLANNING_FC!$T$4:$AH$23,MATCH(STOCK_OVERVIEW!$Y259,PLANNING_FC!$B$4:$B$23,0),FALSE)),"")</f>
        <v>0</v>
      </c>
      <c r="AJ259" s="650">
        <f ca="1">IFERROR(IF($AA259="NOOS",HLOOKUP(STOCK_OVERVIEW!$AB259&amp;STOCK_OVERVIEW!$AD259,PLANNING_FC!$DA$27:$DO$46,MATCH(STOCK_OVERVIEW!$Y259,PLANNING_FC!$CZ$27:$CZ$46,0),FALSE),HLOOKUP($AB259&amp;$AD259,PLANNING_FC!$DA$4:$DO$23,MATCH(STOCK_OVERVIEW!$Y259,PLANNING_FC!$CZ$4:$CZ$23,0),FALSE)),"")</f>
        <v>0</v>
      </c>
      <c r="AK259" s="651">
        <f ca="1">IFERROR(IF(AA259="NOOS",HLOOKUP(AB259&amp;AD259,PLANNING_FC!$AJ$27:$AY$47,MATCH(STOCK_OVERVIEW!Y259,PLANNING_FC!$AJ$27:$AJ$47,0),FALSE)*1000,HLOOKUP(AB259&amp;AD259,PLANNING_FC!$AJ$4:$AY$24,MATCH(STOCK_OVERVIEW!Y259,PLANNING_FC!$AJ$4:$AJ$24,0),FALSE)*1000),"")</f>
        <v>0</v>
      </c>
      <c r="AL259" s="638"/>
      <c r="AM259" s="638"/>
      <c r="AN259" s="638"/>
      <c r="AO259" s="638"/>
      <c r="AP259" s="638"/>
      <c r="AQ259" s="638"/>
      <c r="AR259" s="638"/>
      <c r="AS259" s="638"/>
    </row>
    <row r="260" spans="1:45" s="61" customFormat="1" x14ac:dyDescent="0.25">
      <c r="A260" s="62"/>
      <c r="F260" s="19"/>
      <c r="J260" s="19"/>
      <c r="N260" s="19"/>
      <c r="R260" s="19"/>
      <c r="S260" s="637"/>
      <c r="T260" s="637"/>
      <c r="U260" s="636"/>
      <c r="V260" s="637"/>
      <c r="W260" s="637"/>
      <c r="X260" s="465" t="str">
        <f t="shared" si="18"/>
        <v>VM</v>
      </c>
      <c r="Y260" s="206" t="str">
        <f t="shared" si="18"/>
        <v>DRESSES</v>
      </c>
      <c r="Z260" s="25" t="str">
        <f t="shared" ca="1" si="17"/>
        <v>VMDRESSES18/19Mar</v>
      </c>
      <c r="AA260" s="206" t="s">
        <v>197</v>
      </c>
      <c r="AB260" s="206" t="str">
        <f t="shared" ca="1" si="19"/>
        <v>18/19</v>
      </c>
      <c r="AC260" s="206" t="str">
        <f t="shared" ca="1" si="19"/>
        <v>Q3</v>
      </c>
      <c r="AD260" s="206" t="str">
        <f t="shared" ca="1" si="19"/>
        <v>Mar</v>
      </c>
      <c r="AE260" s="649">
        <f ca="1">IFERROR(HLOOKUP($AB260&amp;$AD260,'NWC_FC_NON-NOOS'!$C$4:$Q$24,MATCH($Y260,'NWC_FC_NON-NOOS'!$B$4:$B$24,0),FALSE),"")</f>
        <v>0</v>
      </c>
      <c r="AF260" s="650">
        <f ca="1">IFERROR(HLOOKUP($AB260&amp;$AD260,'NWC_FC_NON-NOOS'!$S$4:$AH$24,MATCH($Y260,'NWC_FC_NON-NOOS'!$S$4:$S$24,0),FALSE),"")</f>
        <v>0</v>
      </c>
      <c r="AG260" s="650">
        <f ca="1">IFERROR(HLOOKUP($AB260&amp;$AD260,'NWC_FC_NON-NOOS'!$B$50:$U$70,MATCH($Y260,'NWC_FC_NON-NOOS'!$B$50:$B$70,0),FALSE),"")</f>
        <v>0</v>
      </c>
      <c r="AH260" s="650">
        <f ca="1">IFERROR(IF($AA260="NOOS",HLOOKUP(STOCK_OVERVIEW!$AB260&amp;STOCK_OVERVIEW!$AD260,PLANNING_FC!$BB$27:$BP$46,MATCH(STOCK_OVERVIEW!$Y260,PLANNING_FC!$BA$27:$BA$46,0),FALSE),HLOOKUP($AB260&amp;$AD260,PLANNING_FC!$BB$4:$BP$23,MATCH(STOCK_OVERVIEW!$Y260,PLANNING_FC!$BA$4:$BA$23,0),FALSE)),"")</f>
        <v>0</v>
      </c>
      <c r="AI260" s="650">
        <f ca="1">IFERROR(IF($AA260="NOOS",HLOOKUP(STOCK_OVERVIEW!$AB260&amp;STOCK_OVERVIEW!$AD260,PLANNING_FC!$T$27:$AH$46,MATCH(STOCK_OVERVIEW!$Y260,PLANNING_FC!$B$27:$B$46,0),FALSE),HLOOKUP($AB260&amp;$AD260,PLANNING_FC!$T$4:$AH$23,MATCH(STOCK_OVERVIEW!$Y260,PLANNING_FC!$B$4:$B$23,0),FALSE)),"")</f>
        <v>0</v>
      </c>
      <c r="AJ260" s="650">
        <f ca="1">IFERROR(IF($AA260="NOOS",HLOOKUP(STOCK_OVERVIEW!$AB260&amp;STOCK_OVERVIEW!$AD260,PLANNING_FC!$DA$27:$DO$46,MATCH(STOCK_OVERVIEW!$Y260,PLANNING_FC!$CZ$27:$CZ$46,0),FALSE),HLOOKUP($AB260&amp;$AD260,PLANNING_FC!$DA$4:$DO$23,MATCH(STOCK_OVERVIEW!$Y260,PLANNING_FC!$CZ$4:$CZ$23,0),FALSE)),"")</f>
        <v>0</v>
      </c>
      <c r="AK260" s="651">
        <f ca="1">IFERROR(IF(AA260="NOOS",HLOOKUP(AB260&amp;AD260,PLANNING_FC!$AJ$27:$AY$47,MATCH(STOCK_OVERVIEW!Y260,PLANNING_FC!$AJ$27:$AJ$47,0),FALSE)*1000,HLOOKUP(AB260&amp;AD260,PLANNING_FC!$AJ$4:$AY$24,MATCH(STOCK_OVERVIEW!Y260,PLANNING_FC!$AJ$4:$AJ$24,0),FALSE)*1000),"")</f>
        <v>0</v>
      </c>
      <c r="AL260" s="638"/>
      <c r="AM260" s="638"/>
      <c r="AN260" s="638"/>
      <c r="AO260" s="638"/>
      <c r="AP260" s="638"/>
      <c r="AQ260" s="638"/>
      <c r="AR260" s="638"/>
      <c r="AS260" s="638"/>
    </row>
    <row r="261" spans="1:45" s="61" customFormat="1" x14ac:dyDescent="0.25">
      <c r="A261" s="62"/>
      <c r="F261" s="19"/>
      <c r="J261" s="19"/>
      <c r="N261" s="19"/>
      <c r="R261" s="19"/>
      <c r="S261" s="637"/>
      <c r="T261" s="637"/>
      <c r="U261" s="636"/>
      <c r="V261" s="637"/>
      <c r="W261" s="637"/>
      <c r="X261" s="465" t="str">
        <f t="shared" si="18"/>
        <v>VM</v>
      </c>
      <c r="Y261" s="206" t="str">
        <f t="shared" si="18"/>
        <v>DRESSES</v>
      </c>
      <c r="Z261" s="25" t="str">
        <f t="shared" ref="Z261:Z324" ca="1" si="20">X261&amp;Y261&amp;AB261&amp;AD261</f>
        <v>VMDRESSES18/19Apr</v>
      </c>
      <c r="AA261" s="206" t="s">
        <v>197</v>
      </c>
      <c r="AB261" s="206" t="str">
        <f t="shared" ca="1" si="19"/>
        <v>18/19</v>
      </c>
      <c r="AC261" s="206" t="str">
        <f t="shared" ca="1" si="19"/>
        <v>Q3</v>
      </c>
      <c r="AD261" s="206" t="str">
        <f t="shared" ca="1" si="19"/>
        <v>Apr</v>
      </c>
      <c r="AE261" s="649">
        <f ca="1">IFERROR(HLOOKUP($AB261&amp;$AD261,'NWC_FC_NON-NOOS'!$C$4:$Q$24,MATCH($Y261,'NWC_FC_NON-NOOS'!$B$4:$B$24,0),FALSE),"")</f>
        <v>0</v>
      </c>
      <c r="AF261" s="650">
        <f ca="1">IFERROR(HLOOKUP($AB261&amp;$AD261,'NWC_FC_NON-NOOS'!$S$4:$AH$24,MATCH($Y261,'NWC_FC_NON-NOOS'!$S$4:$S$24,0),FALSE),"")</f>
        <v>0</v>
      </c>
      <c r="AG261" s="650">
        <f ca="1">IFERROR(HLOOKUP($AB261&amp;$AD261,'NWC_FC_NON-NOOS'!$B$50:$U$70,MATCH($Y261,'NWC_FC_NON-NOOS'!$B$50:$B$70,0),FALSE),"")</f>
        <v>0</v>
      </c>
      <c r="AH261" s="650">
        <f ca="1">IFERROR(IF($AA261="NOOS",HLOOKUP(STOCK_OVERVIEW!$AB261&amp;STOCK_OVERVIEW!$AD261,PLANNING_FC!$BB$27:$BP$46,MATCH(STOCK_OVERVIEW!$Y261,PLANNING_FC!$BA$27:$BA$46,0),FALSE),HLOOKUP($AB261&amp;$AD261,PLANNING_FC!$BB$4:$BP$23,MATCH(STOCK_OVERVIEW!$Y261,PLANNING_FC!$BA$4:$BA$23,0),FALSE)),"")</f>
        <v>0</v>
      </c>
      <c r="AI261" s="650">
        <f ca="1">IFERROR(IF($AA261="NOOS",HLOOKUP(STOCK_OVERVIEW!$AB261&amp;STOCK_OVERVIEW!$AD261,PLANNING_FC!$T$27:$AH$46,MATCH(STOCK_OVERVIEW!$Y261,PLANNING_FC!$B$27:$B$46,0),FALSE),HLOOKUP($AB261&amp;$AD261,PLANNING_FC!$T$4:$AH$23,MATCH(STOCK_OVERVIEW!$Y261,PLANNING_FC!$B$4:$B$23,0),FALSE)),"")</f>
        <v>0</v>
      </c>
      <c r="AJ261" s="650">
        <f ca="1">IFERROR(IF($AA261="NOOS",HLOOKUP(STOCK_OVERVIEW!$AB261&amp;STOCK_OVERVIEW!$AD261,PLANNING_FC!$DA$27:$DO$46,MATCH(STOCK_OVERVIEW!$Y261,PLANNING_FC!$CZ$27:$CZ$46,0),FALSE),HLOOKUP($AB261&amp;$AD261,PLANNING_FC!$DA$4:$DO$23,MATCH(STOCK_OVERVIEW!$Y261,PLANNING_FC!$CZ$4:$CZ$23,0),FALSE)),"")</f>
        <v>808795</v>
      </c>
      <c r="AK261" s="651">
        <f ca="1">IFERROR(IF(AA261="NOOS",HLOOKUP(AB261&amp;AD261,PLANNING_FC!$AJ$27:$AY$47,MATCH(STOCK_OVERVIEW!Y261,PLANNING_FC!$AJ$27:$AJ$47,0),FALSE)*1000,HLOOKUP(AB261&amp;AD261,PLANNING_FC!$AJ$4:$AY$24,MATCH(STOCK_OVERVIEW!Y261,PLANNING_FC!$AJ$4:$AJ$24,0),FALSE)*1000),"")</f>
        <v>0</v>
      </c>
      <c r="AL261" s="638"/>
      <c r="AM261" s="638"/>
      <c r="AN261" s="638"/>
      <c r="AO261" s="638"/>
      <c r="AP261" s="638"/>
      <c r="AQ261" s="638"/>
      <c r="AR261" s="638"/>
      <c r="AS261" s="638"/>
    </row>
    <row r="262" spans="1:45" s="61" customFormat="1" x14ac:dyDescent="0.25">
      <c r="A262" s="62"/>
      <c r="F262" s="19"/>
      <c r="J262" s="19"/>
      <c r="N262" s="19"/>
      <c r="R262" s="19"/>
      <c r="S262" s="637"/>
      <c r="T262" s="637"/>
      <c r="U262" s="636"/>
      <c r="V262" s="637"/>
      <c r="W262" s="637"/>
      <c r="X262" s="465" t="str">
        <f t="shared" si="18"/>
        <v>VM</v>
      </c>
      <c r="Y262" s="206" t="str">
        <f t="shared" si="18"/>
        <v>DRESSES</v>
      </c>
      <c r="Z262" s="25" t="str">
        <f t="shared" ca="1" si="20"/>
        <v>VMDRESSES18/19May</v>
      </c>
      <c r="AA262" s="206" t="s">
        <v>197</v>
      </c>
      <c r="AB262" s="206" t="str">
        <f t="shared" ca="1" si="19"/>
        <v>18/19</v>
      </c>
      <c r="AC262" s="206" t="str">
        <f t="shared" ca="1" si="19"/>
        <v>Q4</v>
      </c>
      <c r="AD262" s="206" t="str">
        <f t="shared" ca="1" si="19"/>
        <v>May</v>
      </c>
      <c r="AE262" s="649">
        <f ca="1">IFERROR(HLOOKUP($AB262&amp;$AD262,'NWC_FC_NON-NOOS'!$C$4:$Q$24,MATCH($Y262,'NWC_FC_NON-NOOS'!$B$4:$B$24,0),FALSE),"")</f>
        <v>0</v>
      </c>
      <c r="AF262" s="650">
        <f ca="1">IFERROR(HLOOKUP($AB262&amp;$AD262,'NWC_FC_NON-NOOS'!$S$4:$AH$24,MATCH($Y262,'NWC_FC_NON-NOOS'!$S$4:$S$24,0),FALSE),"")</f>
        <v>0</v>
      </c>
      <c r="AG262" s="650">
        <f ca="1">IFERROR(HLOOKUP($AB262&amp;$AD262,'NWC_FC_NON-NOOS'!$B$50:$U$70,MATCH($Y262,'NWC_FC_NON-NOOS'!$B$50:$B$70,0),FALSE),"")</f>
        <v>0</v>
      </c>
      <c r="AH262" s="650">
        <f ca="1">IFERROR(IF($AA262="NOOS",HLOOKUP(STOCK_OVERVIEW!$AB262&amp;STOCK_OVERVIEW!$AD262,PLANNING_FC!$BB$27:$BP$46,MATCH(STOCK_OVERVIEW!$Y262,PLANNING_FC!$BA$27:$BA$46,0),FALSE),HLOOKUP($AB262&amp;$AD262,PLANNING_FC!$BB$4:$BP$23,MATCH(STOCK_OVERVIEW!$Y262,PLANNING_FC!$BA$4:$BA$23,0),FALSE)),"")</f>
        <v>0</v>
      </c>
      <c r="AI262" s="650">
        <f ca="1">IFERROR(IF($AA262="NOOS",HLOOKUP(STOCK_OVERVIEW!$AB262&amp;STOCK_OVERVIEW!$AD262,PLANNING_FC!$T$27:$AH$46,MATCH(STOCK_OVERVIEW!$Y262,PLANNING_FC!$B$27:$B$46,0),FALSE),HLOOKUP($AB262&amp;$AD262,PLANNING_FC!$T$4:$AH$23,MATCH(STOCK_OVERVIEW!$Y262,PLANNING_FC!$B$4:$B$23,0),FALSE)),"")</f>
        <v>0</v>
      </c>
      <c r="AJ262" s="650">
        <f ca="1">IFERROR(IF($AA262="NOOS",HLOOKUP(STOCK_OVERVIEW!$AB262&amp;STOCK_OVERVIEW!$AD262,PLANNING_FC!$DA$27:$DO$46,MATCH(STOCK_OVERVIEW!$Y262,PLANNING_FC!$CZ$27:$CZ$46,0),FALSE),HLOOKUP($AB262&amp;$AD262,PLANNING_FC!$DA$4:$DO$23,MATCH(STOCK_OVERVIEW!$Y262,PLANNING_FC!$CZ$4:$CZ$23,0),FALSE)),"")</f>
        <v>901601</v>
      </c>
      <c r="AK262" s="651">
        <f ca="1">IFERROR(IF(AA262="NOOS",HLOOKUP(AB262&amp;AD262,PLANNING_FC!$AJ$27:$AY$47,MATCH(STOCK_OVERVIEW!Y262,PLANNING_FC!$AJ$27:$AJ$47,0),FALSE)*1000,HLOOKUP(AB262&amp;AD262,PLANNING_FC!$AJ$4:$AY$24,MATCH(STOCK_OVERVIEW!Y262,PLANNING_FC!$AJ$4:$AJ$24,0),FALSE)*1000),"")</f>
        <v>0</v>
      </c>
      <c r="AL262" s="638"/>
      <c r="AM262" s="638"/>
      <c r="AN262" s="638"/>
      <c r="AO262" s="638"/>
      <c r="AP262" s="638"/>
      <c r="AQ262" s="638"/>
      <c r="AR262" s="638"/>
      <c r="AS262" s="638"/>
    </row>
    <row r="263" spans="1:45" s="61" customFormat="1" x14ac:dyDescent="0.25">
      <c r="A263" s="62"/>
      <c r="F263" s="19"/>
      <c r="J263" s="19"/>
      <c r="N263" s="19"/>
      <c r="R263" s="19"/>
      <c r="S263" s="637"/>
      <c r="T263" s="637"/>
      <c r="U263" s="636"/>
      <c r="V263" s="637"/>
      <c r="W263" s="637"/>
      <c r="X263" s="465" t="str">
        <f t="shared" si="18"/>
        <v>VM</v>
      </c>
      <c r="Y263" s="206" t="str">
        <f t="shared" si="18"/>
        <v>DRESSES</v>
      </c>
      <c r="Z263" s="25" t="str">
        <f t="shared" ca="1" si="20"/>
        <v>VMDRESSES18/19Jun</v>
      </c>
      <c r="AA263" s="206" t="s">
        <v>197</v>
      </c>
      <c r="AB263" s="206" t="str">
        <f t="shared" ca="1" si="19"/>
        <v>18/19</v>
      </c>
      <c r="AC263" s="206" t="str">
        <f t="shared" ca="1" si="19"/>
        <v>Q4</v>
      </c>
      <c r="AD263" s="206" t="str">
        <f t="shared" ca="1" si="19"/>
        <v>Jun</v>
      </c>
      <c r="AE263" s="649">
        <f ca="1">IFERROR(HLOOKUP($AB263&amp;$AD263,'NWC_FC_NON-NOOS'!$C$4:$Q$24,MATCH($Y263,'NWC_FC_NON-NOOS'!$B$4:$B$24,0),FALSE),"")</f>
        <v>0</v>
      </c>
      <c r="AF263" s="650">
        <f ca="1">IFERROR(HLOOKUP($AB263&amp;$AD263,'NWC_FC_NON-NOOS'!$S$4:$AH$24,MATCH($Y263,'NWC_FC_NON-NOOS'!$S$4:$S$24,0),FALSE),"")</f>
        <v>0</v>
      </c>
      <c r="AG263" s="650">
        <f ca="1">IFERROR(HLOOKUP($AB263&amp;$AD263,'NWC_FC_NON-NOOS'!$B$50:$U$70,MATCH($Y263,'NWC_FC_NON-NOOS'!$B$50:$B$70,0),FALSE),"")</f>
        <v>0</v>
      </c>
      <c r="AH263" s="650">
        <f ca="1">IFERROR(IF($AA263="NOOS",HLOOKUP(STOCK_OVERVIEW!$AB263&amp;STOCK_OVERVIEW!$AD263,PLANNING_FC!$BB$27:$BP$46,MATCH(STOCK_OVERVIEW!$Y263,PLANNING_FC!$BA$27:$BA$46,0),FALSE),HLOOKUP($AB263&amp;$AD263,PLANNING_FC!$BB$4:$BP$23,MATCH(STOCK_OVERVIEW!$Y263,PLANNING_FC!$BA$4:$BA$23,0),FALSE)),"")</f>
        <v>0</v>
      </c>
      <c r="AI263" s="650">
        <f ca="1">IFERROR(IF($AA263="NOOS",HLOOKUP(STOCK_OVERVIEW!$AB263&amp;STOCK_OVERVIEW!$AD263,PLANNING_FC!$T$27:$AH$46,MATCH(STOCK_OVERVIEW!$Y263,PLANNING_FC!$B$27:$B$46,0),FALSE),HLOOKUP($AB263&amp;$AD263,PLANNING_FC!$T$4:$AH$23,MATCH(STOCK_OVERVIEW!$Y263,PLANNING_FC!$B$4:$B$23,0),FALSE)),"")</f>
        <v>0</v>
      </c>
      <c r="AJ263" s="650">
        <f ca="1">IFERROR(IF($AA263="NOOS",HLOOKUP(STOCK_OVERVIEW!$AB263&amp;STOCK_OVERVIEW!$AD263,PLANNING_FC!$DA$27:$DO$46,MATCH(STOCK_OVERVIEW!$Y263,PLANNING_FC!$CZ$27:$CZ$46,0),FALSE),HLOOKUP($AB263&amp;$AD263,PLANNING_FC!$DA$4:$DO$23,MATCH(STOCK_OVERVIEW!$Y263,PLANNING_FC!$CZ$4:$CZ$23,0),FALSE)),"")</f>
        <v>916566</v>
      </c>
      <c r="AK263" s="651">
        <f ca="1">IFERROR(IF(AA263="NOOS",HLOOKUP(AB263&amp;AD263,PLANNING_FC!$AJ$27:$AY$47,MATCH(STOCK_OVERVIEW!Y263,PLANNING_FC!$AJ$27:$AJ$47,0),FALSE)*1000,HLOOKUP(AB263&amp;AD263,PLANNING_FC!$AJ$4:$AY$24,MATCH(STOCK_OVERVIEW!Y263,PLANNING_FC!$AJ$4:$AJ$24,0),FALSE)*1000),"")</f>
        <v>0</v>
      </c>
      <c r="AL263" s="638"/>
      <c r="AM263" s="638"/>
      <c r="AN263" s="638"/>
      <c r="AO263" s="638"/>
      <c r="AP263" s="638"/>
      <c r="AQ263" s="638"/>
      <c r="AR263" s="638"/>
      <c r="AS263" s="638"/>
    </row>
    <row r="264" spans="1:45" s="61" customFormat="1" x14ac:dyDescent="0.25">
      <c r="A264" s="62"/>
      <c r="F264" s="19"/>
      <c r="J264" s="19"/>
      <c r="N264" s="19"/>
      <c r="R264" s="19"/>
      <c r="S264" s="637"/>
      <c r="T264" s="637"/>
      <c r="U264" s="636"/>
      <c r="V264" s="637"/>
      <c r="W264" s="637"/>
      <c r="X264" s="465" t="str">
        <f t="shared" ref="X264:Y283" si="21">X24</f>
        <v>VM</v>
      </c>
      <c r="Y264" s="206" t="str">
        <f t="shared" si="21"/>
        <v>DRESSES</v>
      </c>
      <c r="Z264" s="25" t="str">
        <f t="shared" ca="1" si="20"/>
        <v>VMDRESSES18/19Jul</v>
      </c>
      <c r="AA264" s="206" t="s">
        <v>197</v>
      </c>
      <c r="AB264" s="206" t="str">
        <f t="shared" ref="AB264:AD283" ca="1" si="22">AB24</f>
        <v>18/19</v>
      </c>
      <c r="AC264" s="206" t="str">
        <f t="shared" ca="1" si="22"/>
        <v>Q4</v>
      </c>
      <c r="AD264" s="206" t="str">
        <f t="shared" ca="1" si="22"/>
        <v>Jul</v>
      </c>
      <c r="AE264" s="649">
        <f ca="1">IFERROR(HLOOKUP($AB264&amp;$AD264,'NWC_FC_NON-NOOS'!$C$4:$Q$24,MATCH($Y264,'NWC_FC_NON-NOOS'!$B$4:$B$24,0),FALSE),"")</f>
        <v>0</v>
      </c>
      <c r="AF264" s="650">
        <f ca="1">IFERROR(HLOOKUP($AB264&amp;$AD264,'NWC_FC_NON-NOOS'!$S$4:$AH$24,MATCH($Y264,'NWC_FC_NON-NOOS'!$S$4:$S$24,0),FALSE),"")</f>
        <v>0</v>
      </c>
      <c r="AG264" s="650">
        <f ca="1">IFERROR(HLOOKUP($AB264&amp;$AD264,'NWC_FC_NON-NOOS'!$B$50:$U$70,MATCH($Y264,'NWC_FC_NON-NOOS'!$B$50:$B$70,0),FALSE),"")</f>
        <v>0</v>
      </c>
      <c r="AH264" s="650">
        <f ca="1">IFERROR(IF($AA264="NOOS",HLOOKUP(STOCK_OVERVIEW!$AB264&amp;STOCK_OVERVIEW!$AD264,PLANNING_FC!$BB$27:$BP$46,MATCH(STOCK_OVERVIEW!$Y264,PLANNING_FC!$BA$27:$BA$46,0),FALSE),HLOOKUP($AB264&amp;$AD264,PLANNING_FC!$BB$4:$BP$23,MATCH(STOCK_OVERVIEW!$Y264,PLANNING_FC!$BA$4:$BA$23,0),FALSE)),"")</f>
        <v>0</v>
      </c>
      <c r="AI264" s="650">
        <f ca="1">IFERROR(IF($AA264="NOOS",HLOOKUP(STOCK_OVERVIEW!$AB264&amp;STOCK_OVERVIEW!$AD264,PLANNING_FC!$T$27:$AH$46,MATCH(STOCK_OVERVIEW!$Y264,PLANNING_FC!$B$27:$B$46,0),FALSE),HLOOKUP($AB264&amp;$AD264,PLANNING_FC!$T$4:$AH$23,MATCH(STOCK_OVERVIEW!$Y264,PLANNING_FC!$B$4:$B$23,0),FALSE)),"")</f>
        <v>0</v>
      </c>
      <c r="AJ264" s="650">
        <f ca="1">IFERROR(IF($AA264="NOOS",HLOOKUP(STOCK_OVERVIEW!$AB264&amp;STOCK_OVERVIEW!$AD264,PLANNING_FC!$DA$27:$DO$46,MATCH(STOCK_OVERVIEW!$Y264,PLANNING_FC!$CZ$27:$CZ$46,0),FALSE),HLOOKUP($AB264&amp;$AD264,PLANNING_FC!$DA$4:$DO$23,MATCH(STOCK_OVERVIEW!$Y264,PLANNING_FC!$CZ$4:$CZ$23,0),FALSE)),"")</f>
        <v>919957</v>
      </c>
      <c r="AK264" s="651">
        <f ca="1">IFERROR(IF(AA264="NOOS",HLOOKUP(AB264&amp;AD264,PLANNING_FC!$AJ$27:$AY$47,MATCH(STOCK_OVERVIEW!Y264,PLANNING_FC!$AJ$27:$AJ$47,0),FALSE)*1000,HLOOKUP(AB264&amp;AD264,PLANNING_FC!$AJ$4:$AY$24,MATCH(STOCK_OVERVIEW!Y264,PLANNING_FC!$AJ$4:$AJ$24,0),FALSE)*1000),"")</f>
        <v>0</v>
      </c>
      <c r="AL264" s="638"/>
      <c r="AM264" s="638"/>
      <c r="AN264" s="638"/>
      <c r="AO264" s="638"/>
      <c r="AP264" s="638"/>
      <c r="AQ264" s="638"/>
      <c r="AR264" s="638"/>
      <c r="AS264" s="638"/>
    </row>
    <row r="265" spans="1:45" s="61" customFormat="1" x14ac:dyDescent="0.25">
      <c r="A265" s="62"/>
      <c r="F265" s="19"/>
      <c r="J265" s="19"/>
      <c r="N265" s="19"/>
      <c r="R265" s="19"/>
      <c r="S265" s="637"/>
      <c r="T265" s="637"/>
      <c r="U265" s="636"/>
      <c r="V265" s="637"/>
      <c r="W265" s="637"/>
      <c r="X265" s="465" t="str">
        <f t="shared" si="21"/>
        <v>VM</v>
      </c>
      <c r="Y265" s="206" t="str">
        <f t="shared" si="21"/>
        <v>DRESSES</v>
      </c>
      <c r="Z265" s="25" t="str">
        <f t="shared" ca="1" si="20"/>
        <v>VMDRESSES19/20Aug</v>
      </c>
      <c r="AA265" s="206" t="s">
        <v>197</v>
      </c>
      <c r="AB265" s="206" t="str">
        <f t="shared" ca="1" si="22"/>
        <v>19/20</v>
      </c>
      <c r="AC265" s="206" t="str">
        <f t="shared" ca="1" si="22"/>
        <v>Q1</v>
      </c>
      <c r="AD265" s="206" t="str">
        <f t="shared" ca="1" si="22"/>
        <v>Aug</v>
      </c>
      <c r="AE265" s="649">
        <f ca="1">IFERROR(HLOOKUP($AB265&amp;$AD265,'NWC_FC_NON-NOOS'!$C$4:$Q$24,MATCH($Y265,'NWC_FC_NON-NOOS'!$B$4:$B$24,0),FALSE),"")</f>
        <v>0</v>
      </c>
      <c r="AF265" s="650">
        <f ca="1">IFERROR(HLOOKUP($AB265&amp;$AD265,'NWC_FC_NON-NOOS'!$S$4:$AH$24,MATCH($Y265,'NWC_FC_NON-NOOS'!$S$4:$S$24,0),FALSE),"")</f>
        <v>0</v>
      </c>
      <c r="AG265" s="650">
        <f ca="1">IFERROR(HLOOKUP($AB265&amp;$AD265,'NWC_FC_NON-NOOS'!$B$50:$U$70,MATCH($Y265,'NWC_FC_NON-NOOS'!$B$50:$B$70,0),FALSE),"")</f>
        <v>0</v>
      </c>
      <c r="AH265" s="650">
        <f ca="1">IFERROR(IF($AA265="NOOS",HLOOKUP(STOCK_OVERVIEW!$AB265&amp;STOCK_OVERVIEW!$AD265,PLANNING_FC!$BB$27:$BP$46,MATCH(STOCK_OVERVIEW!$Y265,PLANNING_FC!$BA$27:$BA$46,0),FALSE),HLOOKUP($AB265&amp;$AD265,PLANNING_FC!$BB$4:$BP$23,MATCH(STOCK_OVERVIEW!$Y265,PLANNING_FC!$BA$4:$BA$23,0),FALSE)),"")</f>
        <v>0</v>
      </c>
      <c r="AI265" s="650">
        <f ca="1">IFERROR(IF($AA265="NOOS",HLOOKUP(STOCK_OVERVIEW!$AB265&amp;STOCK_OVERVIEW!$AD265,PLANNING_FC!$T$27:$AH$46,MATCH(STOCK_OVERVIEW!$Y265,PLANNING_FC!$B$27:$B$46,0),FALSE),HLOOKUP($AB265&amp;$AD265,PLANNING_FC!$T$4:$AH$23,MATCH(STOCK_OVERVIEW!$Y265,PLANNING_FC!$B$4:$B$23,0),FALSE)),"")</f>
        <v>0</v>
      </c>
      <c r="AJ265" s="650">
        <f ca="1">IFERROR(IF($AA265="NOOS",HLOOKUP(STOCK_OVERVIEW!$AB265&amp;STOCK_OVERVIEW!$AD265,PLANNING_FC!$DA$27:$DO$46,MATCH(STOCK_OVERVIEW!$Y265,PLANNING_FC!$CZ$27:$CZ$46,0),FALSE),HLOOKUP($AB265&amp;$AD265,PLANNING_FC!$DA$4:$DO$23,MATCH(STOCK_OVERVIEW!$Y265,PLANNING_FC!$CZ$4:$CZ$23,0),FALSE)),"")</f>
        <v>919957</v>
      </c>
      <c r="AK265" s="651">
        <f ca="1">IFERROR(IF(AA265="NOOS",HLOOKUP(AB265&amp;AD265,PLANNING_FC!$AJ$27:$AY$47,MATCH(STOCK_OVERVIEW!Y265,PLANNING_FC!$AJ$27:$AJ$47,0),FALSE)*1000,HLOOKUP(AB265&amp;AD265,PLANNING_FC!$AJ$4:$AY$24,MATCH(STOCK_OVERVIEW!Y265,PLANNING_FC!$AJ$4:$AJ$24,0),FALSE)*1000),"")</f>
        <v>0</v>
      </c>
      <c r="AL265" s="638"/>
      <c r="AM265" s="638"/>
      <c r="AN265" s="638"/>
      <c r="AO265" s="638"/>
      <c r="AP265" s="638"/>
      <c r="AQ265" s="638"/>
      <c r="AR265" s="638"/>
      <c r="AS265" s="638"/>
    </row>
    <row r="266" spans="1:45" s="61" customFormat="1" x14ac:dyDescent="0.25">
      <c r="A266" s="62"/>
      <c r="F266" s="19"/>
      <c r="J266" s="19"/>
      <c r="N266" s="19"/>
      <c r="R266" s="19"/>
      <c r="S266" s="637"/>
      <c r="T266" s="637"/>
      <c r="U266" s="636"/>
      <c r="V266" s="637"/>
      <c r="W266" s="637"/>
      <c r="X266" s="465" t="str">
        <f t="shared" si="21"/>
        <v>VM</v>
      </c>
      <c r="Y266" s="206" t="str">
        <f t="shared" si="21"/>
        <v>DRESSES</v>
      </c>
      <c r="Z266" s="25" t="str">
        <f t="shared" ca="1" si="20"/>
        <v>VMDRESSES19/20Sep</v>
      </c>
      <c r="AA266" s="206" t="s">
        <v>197</v>
      </c>
      <c r="AB266" s="206" t="str">
        <f t="shared" ca="1" si="22"/>
        <v>19/20</v>
      </c>
      <c r="AC266" s="206" t="str">
        <f t="shared" ca="1" si="22"/>
        <v>Q1</v>
      </c>
      <c r="AD266" s="206" t="str">
        <f t="shared" ca="1" si="22"/>
        <v>Sep</v>
      </c>
      <c r="AE266" s="649">
        <f ca="1">IFERROR(HLOOKUP($AB266&amp;$AD266,'NWC_FC_NON-NOOS'!$C$4:$Q$24,MATCH($Y266,'NWC_FC_NON-NOOS'!$B$4:$B$24,0),FALSE),"")</f>
        <v>0</v>
      </c>
      <c r="AF266" s="650">
        <f ca="1">IFERROR(HLOOKUP($AB266&amp;$AD266,'NWC_FC_NON-NOOS'!$S$4:$AH$24,MATCH($Y266,'NWC_FC_NON-NOOS'!$S$4:$S$24,0),FALSE),"")</f>
        <v>0</v>
      </c>
      <c r="AG266" s="650">
        <f ca="1">IFERROR(HLOOKUP($AB266&amp;$AD266,'NWC_FC_NON-NOOS'!$B$50:$U$70,MATCH($Y266,'NWC_FC_NON-NOOS'!$B$50:$B$70,0),FALSE),"")</f>
        <v>0</v>
      </c>
      <c r="AH266" s="650">
        <f ca="1">IFERROR(IF($AA266="NOOS",HLOOKUP(STOCK_OVERVIEW!$AB266&amp;STOCK_OVERVIEW!$AD266,PLANNING_FC!$BB$27:$BP$46,MATCH(STOCK_OVERVIEW!$Y266,PLANNING_FC!$BA$27:$BA$46,0),FALSE),HLOOKUP($AB266&amp;$AD266,PLANNING_FC!$BB$4:$BP$23,MATCH(STOCK_OVERVIEW!$Y266,PLANNING_FC!$BA$4:$BA$23,0),FALSE)),"")</f>
        <v>0</v>
      </c>
      <c r="AI266" s="650">
        <f ca="1">IFERROR(IF($AA266="NOOS",HLOOKUP(STOCK_OVERVIEW!$AB266&amp;STOCK_OVERVIEW!$AD266,PLANNING_FC!$T$27:$AH$46,MATCH(STOCK_OVERVIEW!$Y266,PLANNING_FC!$B$27:$B$46,0),FALSE),HLOOKUP($AB266&amp;$AD266,PLANNING_FC!$T$4:$AH$23,MATCH(STOCK_OVERVIEW!$Y266,PLANNING_FC!$B$4:$B$23,0),FALSE)),"")</f>
        <v>0</v>
      </c>
      <c r="AJ266" s="650">
        <f ca="1">IFERROR(IF($AA266="NOOS",HLOOKUP(STOCK_OVERVIEW!$AB266&amp;STOCK_OVERVIEW!$AD266,PLANNING_FC!$DA$27:$DO$46,MATCH(STOCK_OVERVIEW!$Y266,PLANNING_FC!$CZ$27:$CZ$46,0),FALSE),HLOOKUP($AB266&amp;$AD266,PLANNING_FC!$DA$4:$DO$23,MATCH(STOCK_OVERVIEW!$Y266,PLANNING_FC!$CZ$4:$CZ$23,0),FALSE)),"")</f>
        <v>919957</v>
      </c>
      <c r="AK266" s="651">
        <f ca="1">IFERROR(IF(AA266="NOOS",HLOOKUP(AB266&amp;AD266,PLANNING_FC!$AJ$27:$AY$47,MATCH(STOCK_OVERVIEW!Y266,PLANNING_FC!$AJ$27:$AJ$47,0),FALSE)*1000,HLOOKUP(AB266&amp;AD266,PLANNING_FC!$AJ$4:$AY$24,MATCH(STOCK_OVERVIEW!Y266,PLANNING_FC!$AJ$4:$AJ$24,0),FALSE)*1000),"")</f>
        <v>0</v>
      </c>
      <c r="AL266" s="638"/>
      <c r="AM266" s="638"/>
      <c r="AN266" s="638"/>
      <c r="AO266" s="638"/>
      <c r="AP266" s="638"/>
      <c r="AQ266" s="638"/>
      <c r="AR266" s="638"/>
      <c r="AS266" s="638"/>
    </row>
    <row r="267" spans="1:45" s="61" customFormat="1" x14ac:dyDescent="0.25">
      <c r="A267" s="62"/>
      <c r="F267" s="19"/>
      <c r="J267" s="19"/>
      <c r="N267" s="19"/>
      <c r="R267" s="19"/>
      <c r="S267" s="637"/>
      <c r="T267" s="637"/>
      <c r="U267" s="636"/>
      <c r="V267" s="637"/>
      <c r="W267" s="637"/>
      <c r="X267" s="465" t="str">
        <f t="shared" si="21"/>
        <v>VM</v>
      </c>
      <c r="Y267" s="206" t="str">
        <f t="shared" si="21"/>
        <v>DRESSES</v>
      </c>
      <c r="Z267" s="25" t="str">
        <f t="shared" ca="1" si="20"/>
        <v>VMDRESSES19/20Oct</v>
      </c>
      <c r="AA267" s="206" t="s">
        <v>197</v>
      </c>
      <c r="AB267" s="206" t="str">
        <f t="shared" ca="1" si="22"/>
        <v>19/20</v>
      </c>
      <c r="AC267" s="206" t="str">
        <f t="shared" ca="1" si="22"/>
        <v>Q1</v>
      </c>
      <c r="AD267" s="206" t="str">
        <f t="shared" ca="1" si="22"/>
        <v>Oct</v>
      </c>
      <c r="AE267" s="649">
        <f ca="1">IFERROR(HLOOKUP($AB267&amp;$AD267,'NWC_FC_NON-NOOS'!$C$4:$Q$24,MATCH($Y267,'NWC_FC_NON-NOOS'!$B$4:$B$24,0),FALSE),"")</f>
        <v>0</v>
      </c>
      <c r="AF267" s="650">
        <f ca="1">IFERROR(HLOOKUP($AB267&amp;$AD267,'NWC_FC_NON-NOOS'!$S$4:$AH$24,MATCH($Y267,'NWC_FC_NON-NOOS'!$S$4:$S$24,0),FALSE),"")</f>
        <v>0</v>
      </c>
      <c r="AG267" s="650">
        <f ca="1">IFERROR(HLOOKUP($AB267&amp;$AD267,'NWC_FC_NON-NOOS'!$B$50:$U$70,MATCH($Y267,'NWC_FC_NON-NOOS'!$B$50:$B$70,0),FALSE),"")</f>
        <v>0</v>
      </c>
      <c r="AH267" s="650">
        <f ca="1">IFERROR(IF($AA267="NOOS",HLOOKUP(STOCK_OVERVIEW!$AB267&amp;STOCK_OVERVIEW!$AD267,PLANNING_FC!$BB$27:$BP$46,MATCH(STOCK_OVERVIEW!$Y267,PLANNING_FC!$BA$27:$BA$46,0),FALSE),HLOOKUP($AB267&amp;$AD267,PLANNING_FC!$BB$4:$BP$23,MATCH(STOCK_OVERVIEW!$Y267,PLANNING_FC!$BA$4:$BA$23,0),FALSE)),"")</f>
        <v>0</v>
      </c>
      <c r="AI267" s="650">
        <f ca="1">IFERROR(IF($AA267="NOOS",HLOOKUP(STOCK_OVERVIEW!$AB267&amp;STOCK_OVERVIEW!$AD267,PLANNING_FC!$T$27:$AH$46,MATCH(STOCK_OVERVIEW!$Y267,PLANNING_FC!$B$27:$B$46,0),FALSE),HLOOKUP($AB267&amp;$AD267,PLANNING_FC!$T$4:$AH$23,MATCH(STOCK_OVERVIEW!$Y267,PLANNING_FC!$B$4:$B$23,0),FALSE)),"")</f>
        <v>0</v>
      </c>
      <c r="AJ267" s="650">
        <f ca="1">IFERROR(IF($AA267="NOOS",HLOOKUP(STOCK_OVERVIEW!$AB267&amp;STOCK_OVERVIEW!$AD267,PLANNING_FC!$DA$27:$DO$46,MATCH(STOCK_OVERVIEW!$Y267,PLANNING_FC!$CZ$27:$CZ$46,0),FALSE),HLOOKUP($AB267&amp;$AD267,PLANNING_FC!$DA$4:$DO$23,MATCH(STOCK_OVERVIEW!$Y267,PLANNING_FC!$CZ$4:$CZ$23,0),FALSE)),"")</f>
        <v>919957</v>
      </c>
      <c r="AK267" s="651">
        <f ca="1">IFERROR(IF(AA267="NOOS",HLOOKUP(AB267&amp;AD267,PLANNING_FC!$AJ$27:$AY$47,MATCH(STOCK_OVERVIEW!Y267,PLANNING_FC!$AJ$27:$AJ$47,0),FALSE)*1000,HLOOKUP(AB267&amp;AD267,PLANNING_FC!$AJ$4:$AY$24,MATCH(STOCK_OVERVIEW!Y267,PLANNING_FC!$AJ$4:$AJ$24,0),FALSE)*1000),"")</f>
        <v>0</v>
      </c>
      <c r="AL267" s="638"/>
      <c r="AM267" s="638"/>
      <c r="AN267" s="638"/>
      <c r="AO267" s="638"/>
      <c r="AP267" s="638"/>
      <c r="AQ267" s="638"/>
      <c r="AR267" s="638"/>
      <c r="AS267" s="638"/>
    </row>
    <row r="268" spans="1:45" s="61" customFormat="1" x14ac:dyDescent="0.25">
      <c r="A268" s="62"/>
      <c r="F268" s="19"/>
      <c r="J268" s="19"/>
      <c r="N268" s="19"/>
      <c r="R268" s="19"/>
      <c r="S268" s="637"/>
      <c r="T268" s="637"/>
      <c r="U268" s="636"/>
      <c r="V268" s="637"/>
      <c r="W268" s="637"/>
      <c r="X268" s="465" t="str">
        <f t="shared" si="21"/>
        <v>VM</v>
      </c>
      <c r="Y268" s="206" t="str">
        <f t="shared" si="21"/>
        <v>DRESSES</v>
      </c>
      <c r="Z268" s="25" t="str">
        <f t="shared" ca="1" si="20"/>
        <v>VMDRESSES19/20Nov</v>
      </c>
      <c r="AA268" s="206" t="s">
        <v>197</v>
      </c>
      <c r="AB268" s="206" t="str">
        <f t="shared" ca="1" si="22"/>
        <v>19/20</v>
      </c>
      <c r="AC268" s="206" t="str">
        <f t="shared" ca="1" si="22"/>
        <v>Q2</v>
      </c>
      <c r="AD268" s="206" t="str">
        <f t="shared" ca="1" si="22"/>
        <v>Nov</v>
      </c>
      <c r="AE268" s="649">
        <f ca="1">IFERROR(HLOOKUP($AB268&amp;$AD268,'NWC_FC_NON-NOOS'!$C$4:$Q$24,MATCH($Y268,'NWC_FC_NON-NOOS'!$B$4:$B$24,0),FALSE),"")</f>
        <v>0</v>
      </c>
      <c r="AF268" s="650">
        <f ca="1">IFERROR(HLOOKUP($AB268&amp;$AD268,'NWC_FC_NON-NOOS'!$S$4:$AH$24,MATCH($Y268,'NWC_FC_NON-NOOS'!$S$4:$S$24,0),FALSE),"")</f>
        <v>0</v>
      </c>
      <c r="AG268" s="650">
        <f ca="1">IFERROR(HLOOKUP($AB268&amp;$AD268,'NWC_FC_NON-NOOS'!$B$50:$U$70,MATCH($Y268,'NWC_FC_NON-NOOS'!$B$50:$B$70,0),FALSE),"")</f>
        <v>0</v>
      </c>
      <c r="AH268" s="650">
        <f ca="1">IFERROR(IF($AA268="NOOS",HLOOKUP(STOCK_OVERVIEW!$AB268&amp;STOCK_OVERVIEW!$AD268,PLANNING_FC!$BB$27:$BP$46,MATCH(STOCK_OVERVIEW!$Y268,PLANNING_FC!$BA$27:$BA$46,0),FALSE),HLOOKUP($AB268&amp;$AD268,PLANNING_FC!$BB$4:$BP$23,MATCH(STOCK_OVERVIEW!$Y268,PLANNING_FC!$BA$4:$BA$23,0),FALSE)),"")</f>
        <v>0</v>
      </c>
      <c r="AI268" s="650">
        <f ca="1">IFERROR(IF($AA268="NOOS",HLOOKUP(STOCK_OVERVIEW!$AB268&amp;STOCK_OVERVIEW!$AD268,PLANNING_FC!$T$27:$AH$46,MATCH(STOCK_OVERVIEW!$Y268,PLANNING_FC!$B$27:$B$46,0),FALSE),HLOOKUP($AB268&amp;$AD268,PLANNING_FC!$T$4:$AH$23,MATCH(STOCK_OVERVIEW!$Y268,PLANNING_FC!$B$4:$B$23,0),FALSE)),"")</f>
        <v>0</v>
      </c>
      <c r="AJ268" s="650">
        <f ca="1">IFERROR(IF($AA268="NOOS",HLOOKUP(STOCK_OVERVIEW!$AB268&amp;STOCK_OVERVIEW!$AD268,PLANNING_FC!$DA$27:$DO$46,MATCH(STOCK_OVERVIEW!$Y268,PLANNING_FC!$CZ$27:$CZ$46,0),FALSE),HLOOKUP($AB268&amp;$AD268,PLANNING_FC!$DA$4:$DO$23,MATCH(STOCK_OVERVIEW!$Y268,PLANNING_FC!$CZ$4:$CZ$23,0),FALSE)),"")</f>
        <v>919957</v>
      </c>
      <c r="AK268" s="651">
        <f ca="1">IFERROR(IF(AA268="NOOS",HLOOKUP(AB268&amp;AD268,PLANNING_FC!$AJ$27:$AY$47,MATCH(STOCK_OVERVIEW!Y268,PLANNING_FC!$AJ$27:$AJ$47,0),FALSE)*1000,HLOOKUP(AB268&amp;AD268,PLANNING_FC!$AJ$4:$AY$24,MATCH(STOCK_OVERVIEW!Y268,PLANNING_FC!$AJ$4:$AJ$24,0),FALSE)*1000),"")</f>
        <v>0</v>
      </c>
      <c r="AL268" s="638"/>
      <c r="AM268" s="638"/>
      <c r="AN268" s="638"/>
      <c r="AO268" s="638"/>
      <c r="AP268" s="638"/>
      <c r="AQ268" s="638"/>
      <c r="AR268" s="638"/>
      <c r="AS268" s="638"/>
    </row>
    <row r="269" spans="1:45" s="61" customFormat="1" x14ac:dyDescent="0.25">
      <c r="A269" s="62"/>
      <c r="F269" s="19"/>
      <c r="J269" s="19"/>
      <c r="N269" s="19"/>
      <c r="R269" s="19"/>
      <c r="S269" s="637"/>
      <c r="T269" s="637"/>
      <c r="U269" s="636"/>
      <c r="V269" s="637"/>
      <c r="W269" s="637"/>
      <c r="X269" s="465" t="str">
        <f t="shared" si="21"/>
        <v>VM</v>
      </c>
      <c r="Y269" s="206" t="str">
        <f t="shared" si="21"/>
        <v>DRESSES</v>
      </c>
      <c r="Z269" s="25" t="str">
        <f t="shared" ca="1" si="20"/>
        <v>VMDRESSES19/20Dec</v>
      </c>
      <c r="AA269" s="206" t="s">
        <v>197</v>
      </c>
      <c r="AB269" s="206" t="str">
        <f t="shared" ca="1" si="22"/>
        <v>19/20</v>
      </c>
      <c r="AC269" s="206" t="str">
        <f t="shared" ca="1" si="22"/>
        <v>Q2</v>
      </c>
      <c r="AD269" s="206" t="str">
        <f t="shared" ca="1" si="22"/>
        <v>Dec</v>
      </c>
      <c r="AE269" s="649">
        <f ca="1">IFERROR(HLOOKUP($AB269&amp;$AD269,'NWC_FC_NON-NOOS'!$C$4:$Q$24,MATCH($Y269,'NWC_FC_NON-NOOS'!$B$4:$B$24,0),FALSE),"")</f>
        <v>0</v>
      </c>
      <c r="AF269" s="650">
        <f ca="1">IFERROR(HLOOKUP($AB269&amp;$AD269,'NWC_FC_NON-NOOS'!$S$4:$AH$24,MATCH($Y269,'NWC_FC_NON-NOOS'!$S$4:$S$24,0),FALSE),"")</f>
        <v>0</v>
      </c>
      <c r="AG269" s="650">
        <f ca="1">IFERROR(HLOOKUP($AB269&amp;$AD269,'NWC_FC_NON-NOOS'!$B$50:$U$70,MATCH($Y269,'NWC_FC_NON-NOOS'!$B$50:$B$70,0),FALSE),"")</f>
        <v>0</v>
      </c>
      <c r="AH269" s="650">
        <f ca="1">IFERROR(IF($AA269="NOOS",HLOOKUP(STOCK_OVERVIEW!$AB269&amp;STOCK_OVERVIEW!$AD269,PLANNING_FC!$BB$27:$BP$46,MATCH(STOCK_OVERVIEW!$Y269,PLANNING_FC!$BA$27:$BA$46,0),FALSE),HLOOKUP($AB269&amp;$AD269,PLANNING_FC!$BB$4:$BP$23,MATCH(STOCK_OVERVIEW!$Y269,PLANNING_FC!$BA$4:$BA$23,0),FALSE)),"")</f>
        <v>0</v>
      </c>
      <c r="AI269" s="650">
        <f ca="1">IFERROR(IF($AA269="NOOS",HLOOKUP(STOCK_OVERVIEW!$AB269&amp;STOCK_OVERVIEW!$AD269,PLANNING_FC!$T$27:$AH$46,MATCH(STOCK_OVERVIEW!$Y269,PLANNING_FC!$B$27:$B$46,0),FALSE),HLOOKUP($AB269&amp;$AD269,PLANNING_FC!$T$4:$AH$23,MATCH(STOCK_OVERVIEW!$Y269,PLANNING_FC!$B$4:$B$23,0),FALSE)),"")</f>
        <v>0</v>
      </c>
      <c r="AJ269" s="650">
        <f ca="1">IFERROR(IF($AA269="NOOS",HLOOKUP(STOCK_OVERVIEW!$AB269&amp;STOCK_OVERVIEW!$AD269,PLANNING_FC!$DA$27:$DO$46,MATCH(STOCK_OVERVIEW!$Y269,PLANNING_FC!$CZ$27:$CZ$46,0),FALSE),HLOOKUP($AB269&amp;$AD269,PLANNING_FC!$DA$4:$DO$23,MATCH(STOCK_OVERVIEW!$Y269,PLANNING_FC!$CZ$4:$CZ$23,0),FALSE)),"")</f>
        <v>919957</v>
      </c>
      <c r="AK269" s="651">
        <f ca="1">IFERROR(IF(AA269="NOOS",HLOOKUP(AB269&amp;AD269,PLANNING_FC!$AJ$27:$AY$47,MATCH(STOCK_OVERVIEW!Y269,PLANNING_FC!$AJ$27:$AJ$47,0),FALSE)*1000,HLOOKUP(AB269&amp;AD269,PLANNING_FC!$AJ$4:$AY$24,MATCH(STOCK_OVERVIEW!Y269,PLANNING_FC!$AJ$4:$AJ$24,0),FALSE)*1000),"")</f>
        <v>0</v>
      </c>
      <c r="AL269" s="638"/>
      <c r="AM269" s="638"/>
      <c r="AN269" s="638"/>
      <c r="AO269" s="638"/>
      <c r="AP269" s="638"/>
      <c r="AQ269" s="638"/>
      <c r="AR269" s="638"/>
      <c r="AS269" s="638"/>
    </row>
    <row r="270" spans="1:45" s="61" customFormat="1" x14ac:dyDescent="0.25">
      <c r="A270" s="62"/>
      <c r="F270" s="19"/>
      <c r="J270" s="19"/>
      <c r="N270" s="19"/>
      <c r="R270" s="19"/>
      <c r="S270" s="637"/>
      <c r="T270" s="637"/>
      <c r="U270" s="636"/>
      <c r="V270" s="637"/>
      <c r="W270" s="637"/>
      <c r="X270" s="465" t="str">
        <f t="shared" si="21"/>
        <v>VM</v>
      </c>
      <c r="Y270" s="206" t="str">
        <f t="shared" si="21"/>
        <v>DRESSES</v>
      </c>
      <c r="Z270" s="25" t="str">
        <f t="shared" ca="1" si="20"/>
        <v>VMDRESSES19/20Jan</v>
      </c>
      <c r="AA270" s="206" t="s">
        <v>197</v>
      </c>
      <c r="AB270" s="206" t="str">
        <f t="shared" ca="1" si="22"/>
        <v>19/20</v>
      </c>
      <c r="AC270" s="206" t="str">
        <f t="shared" ca="1" si="22"/>
        <v>Q2</v>
      </c>
      <c r="AD270" s="206" t="str">
        <f t="shared" ca="1" si="22"/>
        <v>Jan</v>
      </c>
      <c r="AE270" s="649">
        <f ca="1">IFERROR(HLOOKUP($AB270&amp;$AD270,'NWC_FC_NON-NOOS'!$C$4:$Q$24,MATCH($Y270,'NWC_FC_NON-NOOS'!$B$4:$B$24,0),FALSE),"")</f>
        <v>0</v>
      </c>
      <c r="AF270" s="650">
        <f ca="1">IFERROR(HLOOKUP($AB270&amp;$AD270,'NWC_FC_NON-NOOS'!$S$4:$AH$24,MATCH($Y270,'NWC_FC_NON-NOOS'!$S$4:$S$24,0),FALSE),"")</f>
        <v>0</v>
      </c>
      <c r="AG270" s="650">
        <f ca="1">IFERROR(HLOOKUP($AB270&amp;$AD270,'NWC_FC_NON-NOOS'!$B$50:$U$70,MATCH($Y270,'NWC_FC_NON-NOOS'!$B$50:$B$70,0),FALSE),"")</f>
        <v>0</v>
      </c>
      <c r="AH270" s="650">
        <f ca="1">IFERROR(IF($AA270="NOOS",HLOOKUP(STOCK_OVERVIEW!$AB270&amp;STOCK_OVERVIEW!$AD270,PLANNING_FC!$BB$27:$BP$46,MATCH(STOCK_OVERVIEW!$Y270,PLANNING_FC!$BA$27:$BA$46,0),FALSE),HLOOKUP($AB270&amp;$AD270,PLANNING_FC!$BB$4:$BP$23,MATCH(STOCK_OVERVIEW!$Y270,PLANNING_FC!$BA$4:$BA$23,0),FALSE)),"")</f>
        <v>0</v>
      </c>
      <c r="AI270" s="650">
        <f ca="1">IFERROR(IF($AA270="NOOS",HLOOKUP(STOCK_OVERVIEW!$AB270&amp;STOCK_OVERVIEW!$AD270,PLANNING_FC!$T$27:$AH$46,MATCH(STOCK_OVERVIEW!$Y270,PLANNING_FC!$B$27:$B$46,0),FALSE),HLOOKUP($AB270&amp;$AD270,PLANNING_FC!$T$4:$AH$23,MATCH(STOCK_OVERVIEW!$Y270,PLANNING_FC!$B$4:$B$23,0),FALSE)),"")</f>
        <v>0</v>
      </c>
      <c r="AJ270" s="650">
        <f ca="1">IFERROR(IF($AA270="NOOS",HLOOKUP(STOCK_OVERVIEW!$AB270&amp;STOCK_OVERVIEW!$AD270,PLANNING_FC!$DA$27:$DO$46,MATCH(STOCK_OVERVIEW!$Y270,PLANNING_FC!$CZ$27:$CZ$46,0),FALSE),HLOOKUP($AB270&amp;$AD270,PLANNING_FC!$DA$4:$DO$23,MATCH(STOCK_OVERVIEW!$Y270,PLANNING_FC!$CZ$4:$CZ$23,0),FALSE)),"")</f>
        <v>919957</v>
      </c>
      <c r="AK270" s="651">
        <f ca="1">IFERROR(IF(AA270="NOOS",HLOOKUP(AB270&amp;AD270,PLANNING_FC!$AJ$27:$AY$47,MATCH(STOCK_OVERVIEW!Y270,PLANNING_FC!$AJ$27:$AJ$47,0),FALSE)*1000,HLOOKUP(AB270&amp;AD270,PLANNING_FC!$AJ$4:$AY$24,MATCH(STOCK_OVERVIEW!Y270,PLANNING_FC!$AJ$4:$AJ$24,0),FALSE)*1000),"")</f>
        <v>0</v>
      </c>
      <c r="AL270" s="638"/>
      <c r="AM270" s="638"/>
      <c r="AN270" s="638"/>
      <c r="AO270" s="638"/>
      <c r="AP270" s="638"/>
      <c r="AQ270" s="638"/>
      <c r="AR270" s="638"/>
      <c r="AS270" s="638"/>
    </row>
    <row r="271" spans="1:45" s="61" customFormat="1" x14ac:dyDescent="0.25">
      <c r="A271" s="62"/>
      <c r="F271" s="19"/>
      <c r="J271" s="19"/>
      <c r="N271" s="19"/>
      <c r="R271" s="19"/>
      <c r="S271" s="637"/>
      <c r="T271" s="637"/>
      <c r="U271" s="636"/>
      <c r="V271" s="637"/>
      <c r="W271" s="637"/>
      <c r="X271" s="465" t="str">
        <f t="shared" si="21"/>
        <v>VM</v>
      </c>
      <c r="Y271" s="206" t="str">
        <f t="shared" si="21"/>
        <v>DRESSES</v>
      </c>
      <c r="Z271" s="25" t="str">
        <f t="shared" ca="1" si="20"/>
        <v>VMDRESSES19/20Feb</v>
      </c>
      <c r="AA271" s="206" t="s">
        <v>197</v>
      </c>
      <c r="AB271" s="206" t="str">
        <f t="shared" ca="1" si="22"/>
        <v>19/20</v>
      </c>
      <c r="AC271" s="206" t="str">
        <f t="shared" ca="1" si="22"/>
        <v>Q3</v>
      </c>
      <c r="AD271" s="206" t="str">
        <f t="shared" ca="1" si="22"/>
        <v>Feb</v>
      </c>
      <c r="AE271" s="649" t="str">
        <f ca="1">IFERROR(HLOOKUP($AB271&amp;$AD271,'NWC_FC_NON-NOOS'!$C$4:$Q$24,MATCH($Y271,'NWC_FC_NON-NOOS'!$B$4:$B$24,0),FALSE),"")</f>
        <v/>
      </c>
      <c r="AF271" s="650" t="str">
        <f ca="1">IFERROR(HLOOKUP($AB271&amp;$AD271,'NWC_FC_NON-NOOS'!$S$4:$AH$24,MATCH($Y271,'NWC_FC_NON-NOOS'!$S$4:$S$24,0),FALSE),"")</f>
        <v/>
      </c>
      <c r="AG271" s="650">
        <f ca="1">IFERROR(HLOOKUP($AB271&amp;$AD271,'NWC_FC_NON-NOOS'!$B$50:$U$70,MATCH($Y271,'NWC_FC_NON-NOOS'!$B$50:$B$70,0),FALSE),"")</f>
        <v>0</v>
      </c>
      <c r="AH271" s="650" t="str">
        <f ca="1">IFERROR(IF($AA271="NOOS",HLOOKUP(STOCK_OVERVIEW!$AB271&amp;STOCK_OVERVIEW!$AD271,PLANNING_FC!$BB$27:$BP$46,MATCH(STOCK_OVERVIEW!$Y271,PLANNING_FC!$BA$27:$BA$46,0),FALSE),HLOOKUP($AB271&amp;$AD271,PLANNING_FC!$BB$4:$BP$23,MATCH(STOCK_OVERVIEW!$Y271,PLANNING_FC!$BA$4:$BA$23,0),FALSE)),"")</f>
        <v/>
      </c>
      <c r="AI271" s="650" t="str">
        <f ca="1">IFERROR(IF($AA271="NOOS",HLOOKUP(STOCK_OVERVIEW!$AB271&amp;STOCK_OVERVIEW!$AD271,PLANNING_FC!$T$27:$AH$46,MATCH(STOCK_OVERVIEW!$Y271,PLANNING_FC!$B$27:$B$46,0),FALSE),HLOOKUP($AB271&amp;$AD271,PLANNING_FC!$T$4:$AH$23,MATCH(STOCK_OVERVIEW!$Y271,PLANNING_FC!$B$4:$B$23,0),FALSE)),"")</f>
        <v/>
      </c>
      <c r="AJ271" s="650" t="str">
        <f ca="1">IFERROR(IF($AA271="NOOS",HLOOKUP(STOCK_OVERVIEW!$AB271&amp;STOCK_OVERVIEW!$AD271,PLANNING_FC!$DA$27:$DO$46,MATCH(STOCK_OVERVIEW!$Y271,PLANNING_FC!$CZ$27:$CZ$46,0),FALSE),HLOOKUP($AB271&amp;$AD271,PLANNING_FC!$DA$4:$DO$23,MATCH(STOCK_OVERVIEW!$Y271,PLANNING_FC!$CZ$4:$CZ$23,0),FALSE)),"")</f>
        <v/>
      </c>
      <c r="AK271" s="651" t="str">
        <f ca="1">IFERROR(IF(AA271="NOOS",HLOOKUP(AB271&amp;AD271,PLANNING_FC!$AJ$27:$AY$47,MATCH(STOCK_OVERVIEW!Y271,PLANNING_FC!$AJ$27:$AJ$47,0),FALSE)*1000,HLOOKUP(AB271&amp;AD271,PLANNING_FC!$AJ$4:$AY$24,MATCH(STOCK_OVERVIEW!Y271,PLANNING_FC!$AJ$4:$AJ$24,0),FALSE)*1000),"")</f>
        <v/>
      </c>
      <c r="AL271" s="638"/>
      <c r="AM271" s="638"/>
      <c r="AN271" s="638"/>
      <c r="AO271" s="638"/>
      <c r="AP271" s="638"/>
      <c r="AQ271" s="638"/>
      <c r="AR271" s="638"/>
      <c r="AS271" s="638"/>
    </row>
    <row r="272" spans="1:45" s="61" customFormat="1" x14ac:dyDescent="0.25">
      <c r="A272" s="62"/>
      <c r="F272" s="19"/>
      <c r="J272" s="19"/>
      <c r="N272" s="19"/>
      <c r="R272" s="19"/>
      <c r="S272" s="637"/>
      <c r="T272" s="637"/>
      <c r="U272" s="636"/>
      <c r="V272" s="637"/>
      <c r="W272" s="637"/>
      <c r="X272" s="465" t="str">
        <f t="shared" si="21"/>
        <v>VM</v>
      </c>
      <c r="Y272" s="206" t="str">
        <f t="shared" si="21"/>
        <v>DRESSES</v>
      </c>
      <c r="Z272" s="25" t="str">
        <f t="shared" ca="1" si="20"/>
        <v>VMDRESSES19/20Mar</v>
      </c>
      <c r="AA272" s="206" t="s">
        <v>197</v>
      </c>
      <c r="AB272" s="206" t="str">
        <f t="shared" ca="1" si="22"/>
        <v>19/20</v>
      </c>
      <c r="AC272" s="206" t="str">
        <f t="shared" ca="1" si="22"/>
        <v>Q3</v>
      </c>
      <c r="AD272" s="206" t="str">
        <f t="shared" ca="1" si="22"/>
        <v>Mar</v>
      </c>
      <c r="AE272" s="649" t="str">
        <f ca="1">IFERROR(HLOOKUP($AB272&amp;$AD272,'NWC_FC_NON-NOOS'!$C$4:$Q$24,MATCH($Y272,'NWC_FC_NON-NOOS'!$B$4:$B$24,0),FALSE),"")</f>
        <v/>
      </c>
      <c r="AF272" s="650" t="str">
        <f ca="1">IFERROR(HLOOKUP($AB272&amp;$AD272,'NWC_FC_NON-NOOS'!$S$4:$AH$24,MATCH($Y272,'NWC_FC_NON-NOOS'!$S$4:$S$24,0),FALSE),"")</f>
        <v/>
      </c>
      <c r="AG272" s="650">
        <f ca="1">IFERROR(HLOOKUP($AB272&amp;$AD272,'NWC_FC_NON-NOOS'!$B$50:$U$70,MATCH($Y272,'NWC_FC_NON-NOOS'!$B$50:$B$70,0),FALSE),"")</f>
        <v>0</v>
      </c>
      <c r="AH272" s="650" t="str">
        <f ca="1">IFERROR(IF($AA272="NOOS",HLOOKUP(STOCK_OVERVIEW!$AB272&amp;STOCK_OVERVIEW!$AD272,PLANNING_FC!$BB$27:$BP$46,MATCH(STOCK_OVERVIEW!$Y272,PLANNING_FC!$BA$27:$BA$46,0),FALSE),HLOOKUP($AB272&amp;$AD272,PLANNING_FC!$BB$4:$BP$23,MATCH(STOCK_OVERVIEW!$Y272,PLANNING_FC!$BA$4:$BA$23,0),FALSE)),"")</f>
        <v/>
      </c>
      <c r="AI272" s="650" t="str">
        <f ca="1">IFERROR(IF($AA272="NOOS",HLOOKUP(STOCK_OVERVIEW!$AB272&amp;STOCK_OVERVIEW!$AD272,PLANNING_FC!$T$27:$AH$46,MATCH(STOCK_OVERVIEW!$Y272,PLANNING_FC!$B$27:$B$46,0),FALSE),HLOOKUP($AB272&amp;$AD272,PLANNING_FC!$T$4:$AH$23,MATCH(STOCK_OVERVIEW!$Y272,PLANNING_FC!$B$4:$B$23,0),FALSE)),"")</f>
        <v/>
      </c>
      <c r="AJ272" s="650" t="str">
        <f ca="1">IFERROR(IF($AA272="NOOS",HLOOKUP(STOCK_OVERVIEW!$AB272&amp;STOCK_OVERVIEW!$AD272,PLANNING_FC!$DA$27:$DO$46,MATCH(STOCK_OVERVIEW!$Y272,PLANNING_FC!$CZ$27:$CZ$46,0),FALSE),HLOOKUP($AB272&amp;$AD272,PLANNING_FC!$DA$4:$DO$23,MATCH(STOCK_OVERVIEW!$Y272,PLANNING_FC!$CZ$4:$CZ$23,0),FALSE)),"")</f>
        <v/>
      </c>
      <c r="AK272" s="651" t="str">
        <f ca="1">IFERROR(IF(AA272="NOOS",HLOOKUP(AB272&amp;AD272,PLANNING_FC!$AJ$27:$AY$47,MATCH(STOCK_OVERVIEW!Y272,PLANNING_FC!$AJ$27:$AJ$47,0),FALSE)*1000,HLOOKUP(AB272&amp;AD272,PLANNING_FC!$AJ$4:$AY$24,MATCH(STOCK_OVERVIEW!Y272,PLANNING_FC!$AJ$4:$AJ$24,0),FALSE)*1000),"")</f>
        <v/>
      </c>
      <c r="AL272" s="638"/>
      <c r="AM272" s="638"/>
      <c r="AN272" s="638"/>
      <c r="AO272" s="638"/>
      <c r="AP272" s="638"/>
      <c r="AQ272" s="638"/>
      <c r="AR272" s="638"/>
      <c r="AS272" s="638"/>
    </row>
    <row r="273" spans="1:45" s="61" customFormat="1" x14ac:dyDescent="0.25">
      <c r="A273" s="62"/>
      <c r="F273" s="19"/>
      <c r="J273" s="19"/>
      <c r="N273" s="19"/>
      <c r="R273" s="19"/>
      <c r="S273" s="637"/>
      <c r="T273" s="637"/>
      <c r="U273" s="636"/>
      <c r="V273" s="637"/>
      <c r="W273" s="637"/>
      <c r="X273" s="465" t="str">
        <f t="shared" si="21"/>
        <v>VM</v>
      </c>
      <c r="Y273" s="206" t="str">
        <f t="shared" si="21"/>
        <v>DRESSES</v>
      </c>
      <c r="Z273" s="25" t="str">
        <f t="shared" ca="1" si="20"/>
        <v>VMDRESSES19/20Apr</v>
      </c>
      <c r="AA273" s="206" t="s">
        <v>197</v>
      </c>
      <c r="AB273" s="206" t="str">
        <f t="shared" ca="1" si="22"/>
        <v>19/20</v>
      </c>
      <c r="AC273" s="206" t="str">
        <f t="shared" ca="1" si="22"/>
        <v>Q3</v>
      </c>
      <c r="AD273" s="206" t="str">
        <f t="shared" ca="1" si="22"/>
        <v>Apr</v>
      </c>
      <c r="AE273" s="649" t="str">
        <f ca="1">IFERROR(HLOOKUP($AB273&amp;$AD273,'NWC_FC_NON-NOOS'!$C$4:$Q$24,MATCH($Y273,'NWC_FC_NON-NOOS'!$B$4:$B$24,0),FALSE),"")</f>
        <v/>
      </c>
      <c r="AF273" s="650" t="str">
        <f ca="1">IFERROR(HLOOKUP($AB273&amp;$AD273,'NWC_FC_NON-NOOS'!$S$4:$AH$24,MATCH($Y273,'NWC_FC_NON-NOOS'!$S$4:$S$24,0),FALSE),"")</f>
        <v/>
      </c>
      <c r="AG273" s="650">
        <f ca="1">IFERROR(HLOOKUP($AB273&amp;$AD273,'NWC_FC_NON-NOOS'!$B$50:$U$70,MATCH($Y273,'NWC_FC_NON-NOOS'!$B$50:$B$70,0),FALSE),"")</f>
        <v>0</v>
      </c>
      <c r="AH273" s="650" t="str">
        <f ca="1">IFERROR(IF($AA273="NOOS",HLOOKUP(STOCK_OVERVIEW!$AB273&amp;STOCK_OVERVIEW!$AD273,PLANNING_FC!$BB$27:$BP$46,MATCH(STOCK_OVERVIEW!$Y273,PLANNING_FC!$BA$27:$BA$46,0),FALSE),HLOOKUP($AB273&amp;$AD273,PLANNING_FC!$BB$4:$BP$23,MATCH(STOCK_OVERVIEW!$Y273,PLANNING_FC!$BA$4:$BA$23,0),FALSE)),"")</f>
        <v/>
      </c>
      <c r="AI273" s="650" t="str">
        <f ca="1">IFERROR(IF($AA273="NOOS",HLOOKUP(STOCK_OVERVIEW!$AB273&amp;STOCK_OVERVIEW!$AD273,PLANNING_FC!$T$27:$AH$46,MATCH(STOCK_OVERVIEW!$Y273,PLANNING_FC!$B$27:$B$46,0),FALSE),HLOOKUP($AB273&amp;$AD273,PLANNING_FC!$T$4:$AH$23,MATCH(STOCK_OVERVIEW!$Y273,PLANNING_FC!$B$4:$B$23,0),FALSE)),"")</f>
        <v/>
      </c>
      <c r="AJ273" s="650" t="str">
        <f ca="1">IFERROR(IF($AA273="NOOS",HLOOKUP(STOCK_OVERVIEW!$AB273&amp;STOCK_OVERVIEW!$AD273,PLANNING_FC!$DA$27:$DO$46,MATCH(STOCK_OVERVIEW!$Y273,PLANNING_FC!$CZ$27:$CZ$46,0),FALSE),HLOOKUP($AB273&amp;$AD273,PLANNING_FC!$DA$4:$DO$23,MATCH(STOCK_OVERVIEW!$Y273,PLANNING_FC!$CZ$4:$CZ$23,0),FALSE)),"")</f>
        <v/>
      </c>
      <c r="AK273" s="651" t="str">
        <f ca="1">IFERROR(IF(AA273="NOOS",HLOOKUP(AB273&amp;AD273,PLANNING_FC!$AJ$27:$AY$47,MATCH(STOCK_OVERVIEW!Y273,PLANNING_FC!$AJ$27:$AJ$47,0),FALSE)*1000,HLOOKUP(AB273&amp;AD273,PLANNING_FC!$AJ$4:$AY$24,MATCH(STOCK_OVERVIEW!Y273,PLANNING_FC!$AJ$4:$AJ$24,0),FALSE)*1000),"")</f>
        <v/>
      </c>
      <c r="AL273" s="638"/>
      <c r="AM273" s="638"/>
      <c r="AN273" s="638"/>
      <c r="AO273" s="638"/>
      <c r="AP273" s="638"/>
      <c r="AQ273" s="638"/>
      <c r="AR273" s="638"/>
      <c r="AS273" s="638"/>
    </row>
    <row r="274" spans="1:45" s="61" customFormat="1" x14ac:dyDescent="0.25">
      <c r="A274" s="62"/>
      <c r="F274" s="19"/>
      <c r="J274" s="19"/>
      <c r="N274" s="19"/>
      <c r="R274" s="19"/>
      <c r="S274" s="637"/>
      <c r="T274" s="637"/>
      <c r="U274" s="636"/>
      <c r="V274" s="637"/>
      <c r="W274" s="637"/>
      <c r="X274" s="465" t="str">
        <f t="shared" si="21"/>
        <v>VM</v>
      </c>
      <c r="Y274" s="206" t="str">
        <f t="shared" si="21"/>
        <v>JEANS</v>
      </c>
      <c r="Z274" s="25" t="str">
        <f t="shared" ca="1" si="20"/>
        <v>VMJEANS18/19Feb</v>
      </c>
      <c r="AA274" s="206" t="s">
        <v>197</v>
      </c>
      <c r="AB274" s="206" t="str">
        <f t="shared" ca="1" si="22"/>
        <v>18/19</v>
      </c>
      <c r="AC274" s="206" t="str">
        <f t="shared" ca="1" si="22"/>
        <v>Q3</v>
      </c>
      <c r="AD274" s="206" t="str">
        <f t="shared" ca="1" si="22"/>
        <v>Feb</v>
      </c>
      <c r="AE274" s="649">
        <f ca="1">IFERROR(HLOOKUP($AB274&amp;$AD274,'NWC_FC_NON-NOOS'!$C$4:$Q$24,MATCH($Y274,'NWC_FC_NON-NOOS'!$B$4:$B$24,0),FALSE),"")</f>
        <v>0</v>
      </c>
      <c r="AF274" s="650">
        <f ca="1">IFERROR(HLOOKUP($AB274&amp;$AD274,'NWC_FC_NON-NOOS'!$S$4:$AH$24,MATCH($Y274,'NWC_FC_NON-NOOS'!$S$4:$S$24,0),FALSE),"")</f>
        <v>0</v>
      </c>
      <c r="AG274" s="650">
        <f ca="1">IFERROR(HLOOKUP($AB274&amp;$AD274,'NWC_FC_NON-NOOS'!$B$50:$U$70,MATCH($Y274,'NWC_FC_NON-NOOS'!$B$50:$B$70,0),FALSE),"")</f>
        <v>0</v>
      </c>
      <c r="AH274" s="650">
        <f ca="1">IFERROR(IF($AA274="NOOS",HLOOKUP(STOCK_OVERVIEW!$AB274&amp;STOCK_OVERVIEW!$AD274,PLANNING_FC!$BB$27:$BP$46,MATCH(STOCK_OVERVIEW!$Y274,PLANNING_FC!$BA$27:$BA$46,0),FALSE),HLOOKUP($AB274&amp;$AD274,PLANNING_FC!$BB$4:$BP$23,MATCH(STOCK_OVERVIEW!$Y274,PLANNING_FC!$BA$4:$BA$23,0),FALSE)),"")</f>
        <v>0</v>
      </c>
      <c r="AI274" s="650">
        <f ca="1">IFERROR(IF($AA274="NOOS",HLOOKUP(STOCK_OVERVIEW!$AB274&amp;STOCK_OVERVIEW!$AD274,PLANNING_FC!$T$27:$AH$46,MATCH(STOCK_OVERVIEW!$Y274,PLANNING_FC!$B$27:$B$46,0),FALSE),HLOOKUP($AB274&amp;$AD274,PLANNING_FC!$T$4:$AH$23,MATCH(STOCK_OVERVIEW!$Y274,PLANNING_FC!$B$4:$B$23,0),FALSE)),"")</f>
        <v>0</v>
      </c>
      <c r="AJ274" s="650">
        <f ca="1">IFERROR(IF($AA274="NOOS",HLOOKUP(STOCK_OVERVIEW!$AB274&amp;STOCK_OVERVIEW!$AD274,PLANNING_FC!$DA$27:$DO$46,MATCH(STOCK_OVERVIEW!$Y274,PLANNING_FC!$CZ$27:$CZ$46,0),FALSE),HLOOKUP($AB274&amp;$AD274,PLANNING_FC!$DA$4:$DO$23,MATCH(STOCK_OVERVIEW!$Y274,PLANNING_FC!$CZ$4:$CZ$23,0),FALSE)),"")</f>
        <v>0</v>
      </c>
      <c r="AK274" s="651">
        <f ca="1">IFERROR(IF(AA274="NOOS",HLOOKUP(AB274&amp;AD274,PLANNING_FC!$AJ$27:$AY$47,MATCH(STOCK_OVERVIEW!Y274,PLANNING_FC!$AJ$27:$AJ$47,0),FALSE)*1000,HLOOKUP(AB274&amp;AD274,PLANNING_FC!$AJ$4:$AY$24,MATCH(STOCK_OVERVIEW!Y274,PLANNING_FC!$AJ$4:$AJ$24,0),FALSE)*1000),"")</f>
        <v>0</v>
      </c>
      <c r="AL274" s="638"/>
      <c r="AM274" s="638"/>
      <c r="AN274" s="638"/>
      <c r="AO274" s="638"/>
      <c r="AP274" s="638"/>
      <c r="AQ274" s="638"/>
      <c r="AR274" s="638"/>
      <c r="AS274" s="638"/>
    </row>
    <row r="275" spans="1:45" s="61" customFormat="1" x14ac:dyDescent="0.25">
      <c r="A275" s="62"/>
      <c r="F275" s="19"/>
      <c r="J275" s="19"/>
      <c r="N275" s="19"/>
      <c r="R275" s="19"/>
      <c r="S275" s="637"/>
      <c r="T275" s="637"/>
      <c r="U275" s="636"/>
      <c r="V275" s="637"/>
      <c r="W275" s="637"/>
      <c r="X275" s="465" t="str">
        <f t="shared" si="21"/>
        <v>VM</v>
      </c>
      <c r="Y275" s="206" t="str">
        <f t="shared" si="21"/>
        <v>JEANS</v>
      </c>
      <c r="Z275" s="25" t="str">
        <f t="shared" ca="1" si="20"/>
        <v>VMJEANS18/19Mar</v>
      </c>
      <c r="AA275" s="206" t="s">
        <v>197</v>
      </c>
      <c r="AB275" s="206" t="str">
        <f t="shared" ca="1" si="22"/>
        <v>18/19</v>
      </c>
      <c r="AC275" s="206" t="str">
        <f t="shared" ca="1" si="22"/>
        <v>Q3</v>
      </c>
      <c r="AD275" s="206" t="str">
        <f t="shared" ca="1" si="22"/>
        <v>Mar</v>
      </c>
      <c r="AE275" s="649">
        <f ca="1">IFERROR(HLOOKUP($AB275&amp;$AD275,'NWC_FC_NON-NOOS'!$C$4:$Q$24,MATCH($Y275,'NWC_FC_NON-NOOS'!$B$4:$B$24,0),FALSE),"")</f>
        <v>0</v>
      </c>
      <c r="AF275" s="650">
        <f ca="1">IFERROR(HLOOKUP($AB275&amp;$AD275,'NWC_FC_NON-NOOS'!$S$4:$AH$24,MATCH($Y275,'NWC_FC_NON-NOOS'!$S$4:$S$24,0),FALSE),"")</f>
        <v>0</v>
      </c>
      <c r="AG275" s="650">
        <f ca="1">IFERROR(HLOOKUP($AB275&amp;$AD275,'NWC_FC_NON-NOOS'!$B$50:$U$70,MATCH($Y275,'NWC_FC_NON-NOOS'!$B$50:$B$70,0),FALSE),"")</f>
        <v>0</v>
      </c>
      <c r="AH275" s="650">
        <f ca="1">IFERROR(IF($AA275="NOOS",HLOOKUP(STOCK_OVERVIEW!$AB275&amp;STOCK_OVERVIEW!$AD275,PLANNING_FC!$BB$27:$BP$46,MATCH(STOCK_OVERVIEW!$Y275,PLANNING_FC!$BA$27:$BA$46,0),FALSE),HLOOKUP($AB275&amp;$AD275,PLANNING_FC!$BB$4:$BP$23,MATCH(STOCK_OVERVIEW!$Y275,PLANNING_FC!$BA$4:$BA$23,0),FALSE)),"")</f>
        <v>0</v>
      </c>
      <c r="AI275" s="650">
        <f ca="1">IFERROR(IF($AA275="NOOS",HLOOKUP(STOCK_OVERVIEW!$AB275&amp;STOCK_OVERVIEW!$AD275,PLANNING_FC!$T$27:$AH$46,MATCH(STOCK_OVERVIEW!$Y275,PLANNING_FC!$B$27:$B$46,0),FALSE),HLOOKUP($AB275&amp;$AD275,PLANNING_FC!$T$4:$AH$23,MATCH(STOCK_OVERVIEW!$Y275,PLANNING_FC!$B$4:$B$23,0),FALSE)),"")</f>
        <v>0</v>
      </c>
      <c r="AJ275" s="650">
        <f ca="1">IFERROR(IF($AA275="NOOS",HLOOKUP(STOCK_OVERVIEW!$AB275&amp;STOCK_OVERVIEW!$AD275,PLANNING_FC!$DA$27:$DO$46,MATCH(STOCK_OVERVIEW!$Y275,PLANNING_FC!$CZ$27:$CZ$46,0),FALSE),HLOOKUP($AB275&amp;$AD275,PLANNING_FC!$DA$4:$DO$23,MATCH(STOCK_OVERVIEW!$Y275,PLANNING_FC!$CZ$4:$CZ$23,0),FALSE)),"")</f>
        <v>0</v>
      </c>
      <c r="AK275" s="651">
        <f ca="1">IFERROR(IF(AA275="NOOS",HLOOKUP(AB275&amp;AD275,PLANNING_FC!$AJ$27:$AY$47,MATCH(STOCK_OVERVIEW!Y275,PLANNING_FC!$AJ$27:$AJ$47,0),FALSE)*1000,HLOOKUP(AB275&amp;AD275,PLANNING_FC!$AJ$4:$AY$24,MATCH(STOCK_OVERVIEW!Y275,PLANNING_FC!$AJ$4:$AJ$24,0),FALSE)*1000),"")</f>
        <v>0</v>
      </c>
      <c r="AL275" s="638"/>
      <c r="AM275" s="638"/>
      <c r="AN275" s="638"/>
      <c r="AO275" s="638"/>
      <c r="AP275" s="638"/>
      <c r="AQ275" s="638"/>
      <c r="AR275" s="638"/>
      <c r="AS275" s="638"/>
    </row>
    <row r="276" spans="1:45" s="61" customFormat="1" x14ac:dyDescent="0.25">
      <c r="A276" s="62"/>
      <c r="F276" s="19"/>
      <c r="J276" s="19"/>
      <c r="N276" s="19"/>
      <c r="R276" s="19"/>
      <c r="S276" s="637"/>
      <c r="T276" s="637"/>
      <c r="U276" s="636"/>
      <c r="V276" s="637"/>
      <c r="W276" s="637"/>
      <c r="X276" s="465" t="str">
        <f t="shared" si="21"/>
        <v>VM</v>
      </c>
      <c r="Y276" s="206" t="str">
        <f t="shared" si="21"/>
        <v>JEANS</v>
      </c>
      <c r="Z276" s="25" t="str">
        <f t="shared" ca="1" si="20"/>
        <v>VMJEANS18/19Apr</v>
      </c>
      <c r="AA276" s="206" t="s">
        <v>197</v>
      </c>
      <c r="AB276" s="206" t="str">
        <f t="shared" ca="1" si="22"/>
        <v>18/19</v>
      </c>
      <c r="AC276" s="206" t="str">
        <f t="shared" ca="1" si="22"/>
        <v>Q3</v>
      </c>
      <c r="AD276" s="206" t="str">
        <f t="shared" ca="1" si="22"/>
        <v>Apr</v>
      </c>
      <c r="AE276" s="649">
        <f ca="1">IFERROR(HLOOKUP($AB276&amp;$AD276,'NWC_FC_NON-NOOS'!$C$4:$Q$24,MATCH($Y276,'NWC_FC_NON-NOOS'!$B$4:$B$24,0),FALSE),"")</f>
        <v>0</v>
      </c>
      <c r="AF276" s="650">
        <f ca="1">IFERROR(HLOOKUP($AB276&amp;$AD276,'NWC_FC_NON-NOOS'!$S$4:$AH$24,MATCH($Y276,'NWC_FC_NON-NOOS'!$S$4:$S$24,0),FALSE),"")</f>
        <v>0</v>
      </c>
      <c r="AG276" s="650">
        <f ca="1">IFERROR(HLOOKUP($AB276&amp;$AD276,'NWC_FC_NON-NOOS'!$B$50:$U$70,MATCH($Y276,'NWC_FC_NON-NOOS'!$B$50:$B$70,0),FALSE),"")</f>
        <v>0</v>
      </c>
      <c r="AH276" s="650">
        <f ca="1">IFERROR(IF($AA276="NOOS",HLOOKUP(STOCK_OVERVIEW!$AB276&amp;STOCK_OVERVIEW!$AD276,PLANNING_FC!$BB$27:$BP$46,MATCH(STOCK_OVERVIEW!$Y276,PLANNING_FC!$BA$27:$BA$46,0),FALSE),HLOOKUP($AB276&amp;$AD276,PLANNING_FC!$BB$4:$BP$23,MATCH(STOCK_OVERVIEW!$Y276,PLANNING_FC!$BA$4:$BA$23,0),FALSE)),"")</f>
        <v>0</v>
      </c>
      <c r="AI276" s="650">
        <f ca="1">IFERROR(IF($AA276="NOOS",HLOOKUP(STOCK_OVERVIEW!$AB276&amp;STOCK_OVERVIEW!$AD276,PLANNING_FC!$T$27:$AH$46,MATCH(STOCK_OVERVIEW!$Y276,PLANNING_FC!$B$27:$B$46,0),FALSE),HLOOKUP($AB276&amp;$AD276,PLANNING_FC!$T$4:$AH$23,MATCH(STOCK_OVERVIEW!$Y276,PLANNING_FC!$B$4:$B$23,0),FALSE)),"")</f>
        <v>0</v>
      </c>
      <c r="AJ276" s="650">
        <f ca="1">IFERROR(IF($AA276="NOOS",HLOOKUP(STOCK_OVERVIEW!$AB276&amp;STOCK_OVERVIEW!$AD276,PLANNING_FC!$DA$27:$DO$46,MATCH(STOCK_OVERVIEW!$Y276,PLANNING_FC!$CZ$27:$CZ$46,0),FALSE),HLOOKUP($AB276&amp;$AD276,PLANNING_FC!$DA$4:$DO$23,MATCH(STOCK_OVERVIEW!$Y276,PLANNING_FC!$CZ$4:$CZ$23,0),FALSE)),"")</f>
        <v>181994</v>
      </c>
      <c r="AK276" s="651">
        <f ca="1">IFERROR(IF(AA276="NOOS",HLOOKUP(AB276&amp;AD276,PLANNING_FC!$AJ$27:$AY$47,MATCH(STOCK_OVERVIEW!Y276,PLANNING_FC!$AJ$27:$AJ$47,0),FALSE)*1000,HLOOKUP(AB276&amp;AD276,PLANNING_FC!$AJ$4:$AY$24,MATCH(STOCK_OVERVIEW!Y276,PLANNING_FC!$AJ$4:$AJ$24,0),FALSE)*1000),"")</f>
        <v>0</v>
      </c>
      <c r="AL276" s="638"/>
      <c r="AM276" s="638"/>
      <c r="AN276" s="638"/>
      <c r="AO276" s="638"/>
      <c r="AP276" s="638"/>
      <c r="AQ276" s="638"/>
      <c r="AR276" s="638"/>
      <c r="AS276" s="638"/>
    </row>
    <row r="277" spans="1:45" s="61" customFormat="1" x14ac:dyDescent="0.25">
      <c r="A277" s="62"/>
      <c r="F277" s="19"/>
      <c r="J277" s="19"/>
      <c r="N277" s="19"/>
      <c r="R277" s="19"/>
      <c r="S277" s="637"/>
      <c r="T277" s="637"/>
      <c r="U277" s="636"/>
      <c r="V277" s="637"/>
      <c r="W277" s="637"/>
      <c r="X277" s="465" t="str">
        <f t="shared" si="21"/>
        <v>VM</v>
      </c>
      <c r="Y277" s="206" t="str">
        <f t="shared" si="21"/>
        <v>JEANS</v>
      </c>
      <c r="Z277" s="25" t="str">
        <f t="shared" ca="1" si="20"/>
        <v>VMJEANS18/19May</v>
      </c>
      <c r="AA277" s="206" t="s">
        <v>197</v>
      </c>
      <c r="AB277" s="206" t="str">
        <f t="shared" ca="1" si="22"/>
        <v>18/19</v>
      </c>
      <c r="AC277" s="206" t="str">
        <f t="shared" ca="1" si="22"/>
        <v>Q4</v>
      </c>
      <c r="AD277" s="206" t="str">
        <f t="shared" ca="1" si="22"/>
        <v>May</v>
      </c>
      <c r="AE277" s="649">
        <f ca="1">IFERROR(HLOOKUP($AB277&amp;$AD277,'NWC_FC_NON-NOOS'!$C$4:$Q$24,MATCH($Y277,'NWC_FC_NON-NOOS'!$B$4:$B$24,0),FALSE),"")</f>
        <v>0</v>
      </c>
      <c r="AF277" s="650">
        <f ca="1">IFERROR(HLOOKUP($AB277&amp;$AD277,'NWC_FC_NON-NOOS'!$S$4:$AH$24,MATCH($Y277,'NWC_FC_NON-NOOS'!$S$4:$S$24,0),FALSE),"")</f>
        <v>0</v>
      </c>
      <c r="AG277" s="650">
        <f ca="1">IFERROR(HLOOKUP($AB277&amp;$AD277,'NWC_FC_NON-NOOS'!$B$50:$U$70,MATCH($Y277,'NWC_FC_NON-NOOS'!$B$50:$B$70,0),FALSE),"")</f>
        <v>0</v>
      </c>
      <c r="AH277" s="650">
        <f ca="1">IFERROR(IF($AA277="NOOS",HLOOKUP(STOCK_OVERVIEW!$AB277&amp;STOCK_OVERVIEW!$AD277,PLANNING_FC!$BB$27:$BP$46,MATCH(STOCK_OVERVIEW!$Y277,PLANNING_FC!$BA$27:$BA$46,0),FALSE),HLOOKUP($AB277&amp;$AD277,PLANNING_FC!$BB$4:$BP$23,MATCH(STOCK_OVERVIEW!$Y277,PLANNING_FC!$BA$4:$BA$23,0),FALSE)),"")</f>
        <v>0</v>
      </c>
      <c r="AI277" s="650">
        <f ca="1">IFERROR(IF($AA277="NOOS",HLOOKUP(STOCK_OVERVIEW!$AB277&amp;STOCK_OVERVIEW!$AD277,PLANNING_FC!$T$27:$AH$46,MATCH(STOCK_OVERVIEW!$Y277,PLANNING_FC!$B$27:$B$46,0),FALSE),HLOOKUP($AB277&amp;$AD277,PLANNING_FC!$T$4:$AH$23,MATCH(STOCK_OVERVIEW!$Y277,PLANNING_FC!$B$4:$B$23,0),FALSE)),"")</f>
        <v>0</v>
      </c>
      <c r="AJ277" s="650">
        <f ca="1">IFERROR(IF($AA277="NOOS",HLOOKUP(STOCK_OVERVIEW!$AB277&amp;STOCK_OVERVIEW!$AD277,PLANNING_FC!$DA$27:$DO$46,MATCH(STOCK_OVERVIEW!$Y277,PLANNING_FC!$CZ$27:$CZ$46,0),FALSE),HLOOKUP($AB277&amp;$AD277,PLANNING_FC!$DA$4:$DO$23,MATCH(STOCK_OVERVIEW!$Y277,PLANNING_FC!$CZ$4:$CZ$23,0),FALSE)),"")</f>
        <v>181994</v>
      </c>
      <c r="AK277" s="651">
        <f ca="1">IFERROR(IF(AA277="NOOS",HLOOKUP(AB277&amp;AD277,PLANNING_FC!$AJ$27:$AY$47,MATCH(STOCK_OVERVIEW!Y277,PLANNING_FC!$AJ$27:$AJ$47,0),FALSE)*1000,HLOOKUP(AB277&amp;AD277,PLANNING_FC!$AJ$4:$AY$24,MATCH(STOCK_OVERVIEW!Y277,PLANNING_FC!$AJ$4:$AJ$24,0),FALSE)*1000),"")</f>
        <v>0</v>
      </c>
      <c r="AL277" s="638"/>
      <c r="AM277" s="638"/>
      <c r="AN277" s="638"/>
      <c r="AO277" s="638"/>
      <c r="AP277" s="638"/>
      <c r="AQ277" s="638"/>
      <c r="AR277" s="638"/>
      <c r="AS277" s="638"/>
    </row>
    <row r="278" spans="1:45" s="61" customFormat="1" x14ac:dyDescent="0.25">
      <c r="A278" s="62"/>
      <c r="F278" s="19"/>
      <c r="J278" s="19"/>
      <c r="N278" s="19"/>
      <c r="R278" s="19"/>
      <c r="S278" s="637"/>
      <c r="T278" s="637"/>
      <c r="U278" s="636"/>
      <c r="V278" s="637"/>
      <c r="W278" s="637"/>
      <c r="X278" s="465" t="str">
        <f t="shared" si="21"/>
        <v>VM</v>
      </c>
      <c r="Y278" s="206" t="str">
        <f t="shared" si="21"/>
        <v>JEANS</v>
      </c>
      <c r="Z278" s="25" t="str">
        <f t="shared" ca="1" si="20"/>
        <v>VMJEANS18/19Jun</v>
      </c>
      <c r="AA278" s="206" t="s">
        <v>197</v>
      </c>
      <c r="AB278" s="206" t="str">
        <f t="shared" ca="1" si="22"/>
        <v>18/19</v>
      </c>
      <c r="AC278" s="206" t="str">
        <f t="shared" ca="1" si="22"/>
        <v>Q4</v>
      </c>
      <c r="AD278" s="206" t="str">
        <f t="shared" ca="1" si="22"/>
        <v>Jun</v>
      </c>
      <c r="AE278" s="649">
        <f ca="1">IFERROR(HLOOKUP($AB278&amp;$AD278,'NWC_FC_NON-NOOS'!$C$4:$Q$24,MATCH($Y278,'NWC_FC_NON-NOOS'!$B$4:$B$24,0),FALSE),"")</f>
        <v>0</v>
      </c>
      <c r="AF278" s="650">
        <f ca="1">IFERROR(HLOOKUP($AB278&amp;$AD278,'NWC_FC_NON-NOOS'!$S$4:$AH$24,MATCH($Y278,'NWC_FC_NON-NOOS'!$S$4:$S$24,0),FALSE),"")</f>
        <v>0</v>
      </c>
      <c r="AG278" s="650">
        <f ca="1">IFERROR(HLOOKUP($AB278&amp;$AD278,'NWC_FC_NON-NOOS'!$B$50:$U$70,MATCH($Y278,'NWC_FC_NON-NOOS'!$B$50:$B$70,0),FALSE),"")</f>
        <v>0</v>
      </c>
      <c r="AH278" s="650">
        <f ca="1">IFERROR(IF($AA278="NOOS",HLOOKUP(STOCK_OVERVIEW!$AB278&amp;STOCK_OVERVIEW!$AD278,PLANNING_FC!$BB$27:$BP$46,MATCH(STOCK_OVERVIEW!$Y278,PLANNING_FC!$BA$27:$BA$46,0),FALSE),HLOOKUP($AB278&amp;$AD278,PLANNING_FC!$BB$4:$BP$23,MATCH(STOCK_OVERVIEW!$Y278,PLANNING_FC!$BA$4:$BA$23,0),FALSE)),"")</f>
        <v>0</v>
      </c>
      <c r="AI278" s="650">
        <f ca="1">IFERROR(IF($AA278="NOOS",HLOOKUP(STOCK_OVERVIEW!$AB278&amp;STOCK_OVERVIEW!$AD278,PLANNING_FC!$T$27:$AH$46,MATCH(STOCK_OVERVIEW!$Y278,PLANNING_FC!$B$27:$B$46,0),FALSE),HLOOKUP($AB278&amp;$AD278,PLANNING_FC!$T$4:$AH$23,MATCH(STOCK_OVERVIEW!$Y278,PLANNING_FC!$B$4:$B$23,0),FALSE)),"")</f>
        <v>0</v>
      </c>
      <c r="AJ278" s="650">
        <f ca="1">IFERROR(IF($AA278="NOOS",HLOOKUP(STOCK_OVERVIEW!$AB278&amp;STOCK_OVERVIEW!$AD278,PLANNING_FC!$DA$27:$DO$46,MATCH(STOCK_OVERVIEW!$Y278,PLANNING_FC!$CZ$27:$CZ$46,0),FALSE),HLOOKUP($AB278&amp;$AD278,PLANNING_FC!$DA$4:$DO$23,MATCH(STOCK_OVERVIEW!$Y278,PLANNING_FC!$CZ$4:$CZ$23,0),FALSE)),"")</f>
        <v>181994</v>
      </c>
      <c r="AK278" s="651">
        <f ca="1">IFERROR(IF(AA278="NOOS",HLOOKUP(AB278&amp;AD278,PLANNING_FC!$AJ$27:$AY$47,MATCH(STOCK_OVERVIEW!Y278,PLANNING_FC!$AJ$27:$AJ$47,0),FALSE)*1000,HLOOKUP(AB278&amp;AD278,PLANNING_FC!$AJ$4:$AY$24,MATCH(STOCK_OVERVIEW!Y278,PLANNING_FC!$AJ$4:$AJ$24,0),FALSE)*1000),"")</f>
        <v>0</v>
      </c>
      <c r="AL278" s="638"/>
      <c r="AM278" s="638"/>
      <c r="AN278" s="638"/>
      <c r="AO278" s="638"/>
      <c r="AP278" s="638"/>
      <c r="AQ278" s="638"/>
      <c r="AR278" s="638"/>
      <c r="AS278" s="638"/>
    </row>
    <row r="279" spans="1:45" s="61" customFormat="1" x14ac:dyDescent="0.25">
      <c r="A279" s="62"/>
      <c r="F279" s="19"/>
      <c r="J279" s="19"/>
      <c r="N279" s="19"/>
      <c r="R279" s="19"/>
      <c r="S279" s="637"/>
      <c r="T279" s="637"/>
      <c r="U279" s="636"/>
      <c r="V279" s="637"/>
      <c r="W279" s="637"/>
      <c r="X279" s="465" t="str">
        <f t="shared" si="21"/>
        <v>VM</v>
      </c>
      <c r="Y279" s="206" t="str">
        <f t="shared" si="21"/>
        <v>JEANS</v>
      </c>
      <c r="Z279" s="25" t="str">
        <f t="shared" ca="1" si="20"/>
        <v>VMJEANS18/19Jul</v>
      </c>
      <c r="AA279" s="206" t="s">
        <v>197</v>
      </c>
      <c r="AB279" s="206" t="str">
        <f t="shared" ca="1" si="22"/>
        <v>18/19</v>
      </c>
      <c r="AC279" s="206" t="str">
        <f t="shared" ca="1" si="22"/>
        <v>Q4</v>
      </c>
      <c r="AD279" s="206" t="str">
        <f t="shared" ca="1" si="22"/>
        <v>Jul</v>
      </c>
      <c r="AE279" s="649">
        <f ca="1">IFERROR(HLOOKUP($AB279&amp;$AD279,'NWC_FC_NON-NOOS'!$C$4:$Q$24,MATCH($Y279,'NWC_FC_NON-NOOS'!$B$4:$B$24,0),FALSE),"")</f>
        <v>0</v>
      </c>
      <c r="AF279" s="650">
        <f ca="1">IFERROR(HLOOKUP($AB279&amp;$AD279,'NWC_FC_NON-NOOS'!$S$4:$AH$24,MATCH($Y279,'NWC_FC_NON-NOOS'!$S$4:$S$24,0),FALSE),"")</f>
        <v>0</v>
      </c>
      <c r="AG279" s="650">
        <f ca="1">IFERROR(HLOOKUP($AB279&amp;$AD279,'NWC_FC_NON-NOOS'!$B$50:$U$70,MATCH($Y279,'NWC_FC_NON-NOOS'!$B$50:$B$70,0),FALSE),"")</f>
        <v>0</v>
      </c>
      <c r="AH279" s="650">
        <f ca="1">IFERROR(IF($AA279="NOOS",HLOOKUP(STOCK_OVERVIEW!$AB279&amp;STOCK_OVERVIEW!$AD279,PLANNING_FC!$BB$27:$BP$46,MATCH(STOCK_OVERVIEW!$Y279,PLANNING_FC!$BA$27:$BA$46,0),FALSE),HLOOKUP($AB279&amp;$AD279,PLANNING_FC!$BB$4:$BP$23,MATCH(STOCK_OVERVIEW!$Y279,PLANNING_FC!$BA$4:$BA$23,0),FALSE)),"")</f>
        <v>0</v>
      </c>
      <c r="AI279" s="650">
        <f ca="1">IFERROR(IF($AA279="NOOS",HLOOKUP(STOCK_OVERVIEW!$AB279&amp;STOCK_OVERVIEW!$AD279,PLANNING_FC!$T$27:$AH$46,MATCH(STOCK_OVERVIEW!$Y279,PLANNING_FC!$B$27:$B$46,0),FALSE),HLOOKUP($AB279&amp;$AD279,PLANNING_FC!$T$4:$AH$23,MATCH(STOCK_OVERVIEW!$Y279,PLANNING_FC!$B$4:$B$23,0),FALSE)),"")</f>
        <v>0</v>
      </c>
      <c r="AJ279" s="650">
        <f ca="1">IFERROR(IF($AA279="NOOS",HLOOKUP(STOCK_OVERVIEW!$AB279&amp;STOCK_OVERVIEW!$AD279,PLANNING_FC!$DA$27:$DO$46,MATCH(STOCK_OVERVIEW!$Y279,PLANNING_FC!$CZ$27:$CZ$46,0),FALSE),HLOOKUP($AB279&amp;$AD279,PLANNING_FC!$DA$4:$DO$23,MATCH(STOCK_OVERVIEW!$Y279,PLANNING_FC!$CZ$4:$CZ$23,0),FALSE)),"")</f>
        <v>181994</v>
      </c>
      <c r="AK279" s="651">
        <f ca="1">IFERROR(IF(AA279="NOOS",HLOOKUP(AB279&amp;AD279,PLANNING_FC!$AJ$27:$AY$47,MATCH(STOCK_OVERVIEW!Y279,PLANNING_FC!$AJ$27:$AJ$47,0),FALSE)*1000,HLOOKUP(AB279&amp;AD279,PLANNING_FC!$AJ$4:$AY$24,MATCH(STOCK_OVERVIEW!Y279,PLANNING_FC!$AJ$4:$AJ$24,0),FALSE)*1000),"")</f>
        <v>0</v>
      </c>
      <c r="AL279" s="638"/>
      <c r="AM279" s="638"/>
      <c r="AN279" s="638"/>
      <c r="AO279" s="638"/>
      <c r="AP279" s="638"/>
      <c r="AQ279" s="638"/>
      <c r="AR279" s="638"/>
      <c r="AS279" s="638"/>
    </row>
    <row r="280" spans="1:45" s="61" customFormat="1" x14ac:dyDescent="0.25">
      <c r="A280" s="62"/>
      <c r="F280" s="19"/>
      <c r="J280" s="19"/>
      <c r="N280" s="19"/>
      <c r="R280" s="19"/>
      <c r="S280" s="637"/>
      <c r="T280" s="637"/>
      <c r="U280" s="636"/>
      <c r="V280" s="637"/>
      <c r="W280" s="637"/>
      <c r="X280" s="465" t="str">
        <f t="shared" si="21"/>
        <v>VM</v>
      </c>
      <c r="Y280" s="206" t="str">
        <f t="shared" si="21"/>
        <v>JEANS</v>
      </c>
      <c r="Z280" s="25" t="str">
        <f t="shared" ca="1" si="20"/>
        <v>VMJEANS19/20Aug</v>
      </c>
      <c r="AA280" s="206" t="s">
        <v>197</v>
      </c>
      <c r="AB280" s="206" t="str">
        <f t="shared" ca="1" si="22"/>
        <v>19/20</v>
      </c>
      <c r="AC280" s="206" t="str">
        <f t="shared" ca="1" si="22"/>
        <v>Q1</v>
      </c>
      <c r="AD280" s="206" t="str">
        <f t="shared" ca="1" si="22"/>
        <v>Aug</v>
      </c>
      <c r="AE280" s="649">
        <f ca="1">IFERROR(HLOOKUP($AB280&amp;$AD280,'NWC_FC_NON-NOOS'!$C$4:$Q$24,MATCH($Y280,'NWC_FC_NON-NOOS'!$B$4:$B$24,0),FALSE),"")</f>
        <v>0</v>
      </c>
      <c r="AF280" s="650">
        <f ca="1">IFERROR(HLOOKUP($AB280&amp;$AD280,'NWC_FC_NON-NOOS'!$S$4:$AH$24,MATCH($Y280,'NWC_FC_NON-NOOS'!$S$4:$S$24,0),FALSE),"")</f>
        <v>0</v>
      </c>
      <c r="AG280" s="650">
        <f ca="1">IFERROR(HLOOKUP($AB280&amp;$AD280,'NWC_FC_NON-NOOS'!$B$50:$U$70,MATCH($Y280,'NWC_FC_NON-NOOS'!$B$50:$B$70,0),FALSE),"")</f>
        <v>0</v>
      </c>
      <c r="AH280" s="650">
        <f ca="1">IFERROR(IF($AA280="NOOS",HLOOKUP(STOCK_OVERVIEW!$AB280&amp;STOCK_OVERVIEW!$AD280,PLANNING_FC!$BB$27:$BP$46,MATCH(STOCK_OVERVIEW!$Y280,PLANNING_FC!$BA$27:$BA$46,0),FALSE),HLOOKUP($AB280&amp;$AD280,PLANNING_FC!$BB$4:$BP$23,MATCH(STOCK_OVERVIEW!$Y280,PLANNING_FC!$BA$4:$BA$23,0),FALSE)),"")</f>
        <v>0</v>
      </c>
      <c r="AI280" s="650">
        <f ca="1">IFERROR(IF($AA280="NOOS",HLOOKUP(STOCK_OVERVIEW!$AB280&amp;STOCK_OVERVIEW!$AD280,PLANNING_FC!$T$27:$AH$46,MATCH(STOCK_OVERVIEW!$Y280,PLANNING_FC!$B$27:$B$46,0),FALSE),HLOOKUP($AB280&amp;$AD280,PLANNING_FC!$T$4:$AH$23,MATCH(STOCK_OVERVIEW!$Y280,PLANNING_FC!$B$4:$B$23,0),FALSE)),"")</f>
        <v>0</v>
      </c>
      <c r="AJ280" s="650">
        <f ca="1">IFERROR(IF($AA280="NOOS",HLOOKUP(STOCK_OVERVIEW!$AB280&amp;STOCK_OVERVIEW!$AD280,PLANNING_FC!$DA$27:$DO$46,MATCH(STOCK_OVERVIEW!$Y280,PLANNING_FC!$CZ$27:$CZ$46,0),FALSE),HLOOKUP($AB280&amp;$AD280,PLANNING_FC!$DA$4:$DO$23,MATCH(STOCK_OVERVIEW!$Y280,PLANNING_FC!$CZ$4:$CZ$23,0),FALSE)),"")</f>
        <v>181994</v>
      </c>
      <c r="AK280" s="651">
        <f ca="1">IFERROR(IF(AA280="NOOS",HLOOKUP(AB280&amp;AD280,PLANNING_FC!$AJ$27:$AY$47,MATCH(STOCK_OVERVIEW!Y280,PLANNING_FC!$AJ$27:$AJ$47,0),FALSE)*1000,HLOOKUP(AB280&amp;AD280,PLANNING_FC!$AJ$4:$AY$24,MATCH(STOCK_OVERVIEW!Y280,PLANNING_FC!$AJ$4:$AJ$24,0),FALSE)*1000),"")</f>
        <v>0</v>
      </c>
      <c r="AL280" s="638"/>
      <c r="AM280" s="638"/>
      <c r="AN280" s="638"/>
      <c r="AO280" s="638"/>
      <c r="AP280" s="638"/>
      <c r="AQ280" s="638"/>
      <c r="AR280" s="638"/>
      <c r="AS280" s="638"/>
    </row>
    <row r="281" spans="1:45" s="61" customFormat="1" x14ac:dyDescent="0.25">
      <c r="A281" s="62"/>
      <c r="F281" s="19"/>
      <c r="J281" s="19"/>
      <c r="N281" s="19"/>
      <c r="R281" s="19"/>
      <c r="S281" s="637"/>
      <c r="T281" s="637"/>
      <c r="U281" s="636"/>
      <c r="V281" s="637"/>
      <c r="W281" s="637"/>
      <c r="X281" s="465" t="str">
        <f t="shared" si="21"/>
        <v>VM</v>
      </c>
      <c r="Y281" s="206" t="str">
        <f t="shared" si="21"/>
        <v>JEANS</v>
      </c>
      <c r="Z281" s="25" t="str">
        <f t="shared" ca="1" si="20"/>
        <v>VMJEANS19/20Sep</v>
      </c>
      <c r="AA281" s="206" t="s">
        <v>197</v>
      </c>
      <c r="AB281" s="206" t="str">
        <f t="shared" ca="1" si="22"/>
        <v>19/20</v>
      </c>
      <c r="AC281" s="206" t="str">
        <f t="shared" ca="1" si="22"/>
        <v>Q1</v>
      </c>
      <c r="AD281" s="206" t="str">
        <f t="shared" ca="1" si="22"/>
        <v>Sep</v>
      </c>
      <c r="AE281" s="649">
        <f ca="1">IFERROR(HLOOKUP($AB281&amp;$AD281,'NWC_FC_NON-NOOS'!$C$4:$Q$24,MATCH($Y281,'NWC_FC_NON-NOOS'!$B$4:$B$24,0),FALSE),"")</f>
        <v>0</v>
      </c>
      <c r="AF281" s="650">
        <f ca="1">IFERROR(HLOOKUP($AB281&amp;$AD281,'NWC_FC_NON-NOOS'!$S$4:$AH$24,MATCH($Y281,'NWC_FC_NON-NOOS'!$S$4:$S$24,0),FALSE),"")</f>
        <v>0</v>
      </c>
      <c r="AG281" s="650">
        <f ca="1">IFERROR(HLOOKUP($AB281&amp;$AD281,'NWC_FC_NON-NOOS'!$B$50:$U$70,MATCH($Y281,'NWC_FC_NON-NOOS'!$B$50:$B$70,0),FALSE),"")</f>
        <v>0</v>
      </c>
      <c r="AH281" s="650">
        <f ca="1">IFERROR(IF($AA281="NOOS",HLOOKUP(STOCK_OVERVIEW!$AB281&amp;STOCK_OVERVIEW!$AD281,PLANNING_FC!$BB$27:$BP$46,MATCH(STOCK_OVERVIEW!$Y281,PLANNING_FC!$BA$27:$BA$46,0),FALSE),HLOOKUP($AB281&amp;$AD281,PLANNING_FC!$BB$4:$BP$23,MATCH(STOCK_OVERVIEW!$Y281,PLANNING_FC!$BA$4:$BA$23,0),FALSE)),"")</f>
        <v>0</v>
      </c>
      <c r="AI281" s="650">
        <f ca="1">IFERROR(IF($AA281="NOOS",HLOOKUP(STOCK_OVERVIEW!$AB281&amp;STOCK_OVERVIEW!$AD281,PLANNING_FC!$T$27:$AH$46,MATCH(STOCK_OVERVIEW!$Y281,PLANNING_FC!$B$27:$B$46,0),FALSE),HLOOKUP($AB281&amp;$AD281,PLANNING_FC!$T$4:$AH$23,MATCH(STOCK_OVERVIEW!$Y281,PLANNING_FC!$B$4:$B$23,0),FALSE)),"")</f>
        <v>0</v>
      </c>
      <c r="AJ281" s="650">
        <f ca="1">IFERROR(IF($AA281="NOOS",HLOOKUP(STOCK_OVERVIEW!$AB281&amp;STOCK_OVERVIEW!$AD281,PLANNING_FC!$DA$27:$DO$46,MATCH(STOCK_OVERVIEW!$Y281,PLANNING_FC!$CZ$27:$CZ$46,0),FALSE),HLOOKUP($AB281&amp;$AD281,PLANNING_FC!$DA$4:$DO$23,MATCH(STOCK_OVERVIEW!$Y281,PLANNING_FC!$CZ$4:$CZ$23,0),FALSE)),"")</f>
        <v>181994</v>
      </c>
      <c r="AK281" s="651">
        <f ca="1">IFERROR(IF(AA281="NOOS",HLOOKUP(AB281&amp;AD281,PLANNING_FC!$AJ$27:$AY$47,MATCH(STOCK_OVERVIEW!Y281,PLANNING_FC!$AJ$27:$AJ$47,0),FALSE)*1000,HLOOKUP(AB281&amp;AD281,PLANNING_FC!$AJ$4:$AY$24,MATCH(STOCK_OVERVIEW!Y281,PLANNING_FC!$AJ$4:$AJ$24,0),FALSE)*1000),"")</f>
        <v>0</v>
      </c>
      <c r="AL281" s="638"/>
      <c r="AM281" s="638"/>
      <c r="AN281" s="638"/>
      <c r="AO281" s="638"/>
      <c r="AP281" s="638"/>
      <c r="AQ281" s="638"/>
      <c r="AR281" s="638"/>
      <c r="AS281" s="638"/>
    </row>
    <row r="282" spans="1:45" s="61" customFormat="1" x14ac:dyDescent="0.25">
      <c r="A282" s="62"/>
      <c r="F282" s="19"/>
      <c r="J282" s="19"/>
      <c r="N282" s="19"/>
      <c r="R282" s="19"/>
      <c r="S282" s="637"/>
      <c r="T282" s="637"/>
      <c r="U282" s="636"/>
      <c r="V282" s="637"/>
      <c r="W282" s="637"/>
      <c r="X282" s="465" t="str">
        <f t="shared" si="21"/>
        <v>VM</v>
      </c>
      <c r="Y282" s="206" t="str">
        <f t="shared" si="21"/>
        <v>JEANS</v>
      </c>
      <c r="Z282" s="25" t="str">
        <f t="shared" ca="1" si="20"/>
        <v>VMJEANS19/20Oct</v>
      </c>
      <c r="AA282" s="206" t="s">
        <v>197</v>
      </c>
      <c r="AB282" s="206" t="str">
        <f t="shared" ca="1" si="22"/>
        <v>19/20</v>
      </c>
      <c r="AC282" s="206" t="str">
        <f t="shared" ca="1" si="22"/>
        <v>Q1</v>
      </c>
      <c r="AD282" s="206" t="str">
        <f t="shared" ca="1" si="22"/>
        <v>Oct</v>
      </c>
      <c r="AE282" s="649">
        <f ca="1">IFERROR(HLOOKUP($AB282&amp;$AD282,'NWC_FC_NON-NOOS'!$C$4:$Q$24,MATCH($Y282,'NWC_FC_NON-NOOS'!$B$4:$B$24,0),FALSE),"")</f>
        <v>0</v>
      </c>
      <c r="AF282" s="650">
        <f ca="1">IFERROR(HLOOKUP($AB282&amp;$AD282,'NWC_FC_NON-NOOS'!$S$4:$AH$24,MATCH($Y282,'NWC_FC_NON-NOOS'!$S$4:$S$24,0),FALSE),"")</f>
        <v>0</v>
      </c>
      <c r="AG282" s="650">
        <f ca="1">IFERROR(HLOOKUP($AB282&amp;$AD282,'NWC_FC_NON-NOOS'!$B$50:$U$70,MATCH($Y282,'NWC_FC_NON-NOOS'!$B$50:$B$70,0),FALSE),"")</f>
        <v>0</v>
      </c>
      <c r="AH282" s="650">
        <f ca="1">IFERROR(IF($AA282="NOOS",HLOOKUP(STOCK_OVERVIEW!$AB282&amp;STOCK_OVERVIEW!$AD282,PLANNING_FC!$BB$27:$BP$46,MATCH(STOCK_OVERVIEW!$Y282,PLANNING_FC!$BA$27:$BA$46,0),FALSE),HLOOKUP($AB282&amp;$AD282,PLANNING_FC!$BB$4:$BP$23,MATCH(STOCK_OVERVIEW!$Y282,PLANNING_FC!$BA$4:$BA$23,0),FALSE)),"")</f>
        <v>0</v>
      </c>
      <c r="AI282" s="650">
        <f ca="1">IFERROR(IF($AA282="NOOS",HLOOKUP(STOCK_OVERVIEW!$AB282&amp;STOCK_OVERVIEW!$AD282,PLANNING_FC!$T$27:$AH$46,MATCH(STOCK_OVERVIEW!$Y282,PLANNING_FC!$B$27:$B$46,0),FALSE),HLOOKUP($AB282&amp;$AD282,PLANNING_FC!$T$4:$AH$23,MATCH(STOCK_OVERVIEW!$Y282,PLANNING_FC!$B$4:$B$23,0),FALSE)),"")</f>
        <v>0</v>
      </c>
      <c r="AJ282" s="650">
        <f ca="1">IFERROR(IF($AA282="NOOS",HLOOKUP(STOCK_OVERVIEW!$AB282&amp;STOCK_OVERVIEW!$AD282,PLANNING_FC!$DA$27:$DO$46,MATCH(STOCK_OVERVIEW!$Y282,PLANNING_FC!$CZ$27:$CZ$46,0),FALSE),HLOOKUP($AB282&amp;$AD282,PLANNING_FC!$DA$4:$DO$23,MATCH(STOCK_OVERVIEW!$Y282,PLANNING_FC!$CZ$4:$CZ$23,0),FALSE)),"")</f>
        <v>181994</v>
      </c>
      <c r="AK282" s="651">
        <f ca="1">IFERROR(IF(AA282="NOOS",HLOOKUP(AB282&amp;AD282,PLANNING_FC!$AJ$27:$AY$47,MATCH(STOCK_OVERVIEW!Y282,PLANNING_FC!$AJ$27:$AJ$47,0),FALSE)*1000,HLOOKUP(AB282&amp;AD282,PLANNING_FC!$AJ$4:$AY$24,MATCH(STOCK_OVERVIEW!Y282,PLANNING_FC!$AJ$4:$AJ$24,0),FALSE)*1000),"")</f>
        <v>0</v>
      </c>
      <c r="AL282" s="638"/>
      <c r="AM282" s="638"/>
      <c r="AN282" s="638"/>
      <c r="AO282" s="638"/>
      <c r="AP282" s="638"/>
      <c r="AQ282" s="638"/>
      <c r="AR282" s="638"/>
      <c r="AS282" s="638"/>
    </row>
    <row r="283" spans="1:45" s="61" customFormat="1" x14ac:dyDescent="0.25">
      <c r="A283" s="62"/>
      <c r="F283" s="19"/>
      <c r="J283" s="19"/>
      <c r="N283" s="19"/>
      <c r="R283" s="19"/>
      <c r="S283" s="637"/>
      <c r="T283" s="637"/>
      <c r="U283" s="636"/>
      <c r="V283" s="637"/>
      <c r="W283" s="637"/>
      <c r="X283" s="465" t="str">
        <f t="shared" si="21"/>
        <v>VM</v>
      </c>
      <c r="Y283" s="206" t="str">
        <f t="shared" si="21"/>
        <v>JEANS</v>
      </c>
      <c r="Z283" s="25" t="str">
        <f t="shared" ca="1" si="20"/>
        <v>VMJEANS19/20Nov</v>
      </c>
      <c r="AA283" s="206" t="s">
        <v>197</v>
      </c>
      <c r="AB283" s="206" t="str">
        <f t="shared" ca="1" si="22"/>
        <v>19/20</v>
      </c>
      <c r="AC283" s="206" t="str">
        <f t="shared" ca="1" si="22"/>
        <v>Q2</v>
      </c>
      <c r="AD283" s="206" t="str">
        <f t="shared" ca="1" si="22"/>
        <v>Nov</v>
      </c>
      <c r="AE283" s="649">
        <f ca="1">IFERROR(HLOOKUP($AB283&amp;$AD283,'NWC_FC_NON-NOOS'!$C$4:$Q$24,MATCH($Y283,'NWC_FC_NON-NOOS'!$B$4:$B$24,0),FALSE),"")</f>
        <v>0</v>
      </c>
      <c r="AF283" s="650">
        <f ca="1">IFERROR(HLOOKUP($AB283&amp;$AD283,'NWC_FC_NON-NOOS'!$S$4:$AH$24,MATCH($Y283,'NWC_FC_NON-NOOS'!$S$4:$S$24,0),FALSE),"")</f>
        <v>0</v>
      </c>
      <c r="AG283" s="650">
        <f ca="1">IFERROR(HLOOKUP($AB283&amp;$AD283,'NWC_FC_NON-NOOS'!$B$50:$U$70,MATCH($Y283,'NWC_FC_NON-NOOS'!$B$50:$B$70,0),FALSE),"")</f>
        <v>0</v>
      </c>
      <c r="AH283" s="650">
        <f ca="1">IFERROR(IF($AA283="NOOS",HLOOKUP(STOCK_OVERVIEW!$AB283&amp;STOCK_OVERVIEW!$AD283,PLANNING_FC!$BB$27:$BP$46,MATCH(STOCK_OVERVIEW!$Y283,PLANNING_FC!$BA$27:$BA$46,0),FALSE),HLOOKUP($AB283&amp;$AD283,PLANNING_FC!$BB$4:$BP$23,MATCH(STOCK_OVERVIEW!$Y283,PLANNING_FC!$BA$4:$BA$23,0),FALSE)),"")</f>
        <v>0</v>
      </c>
      <c r="AI283" s="650">
        <f ca="1">IFERROR(IF($AA283="NOOS",HLOOKUP(STOCK_OVERVIEW!$AB283&amp;STOCK_OVERVIEW!$AD283,PLANNING_FC!$T$27:$AH$46,MATCH(STOCK_OVERVIEW!$Y283,PLANNING_FC!$B$27:$B$46,0),FALSE),HLOOKUP($AB283&amp;$AD283,PLANNING_FC!$T$4:$AH$23,MATCH(STOCK_OVERVIEW!$Y283,PLANNING_FC!$B$4:$B$23,0),FALSE)),"")</f>
        <v>0</v>
      </c>
      <c r="AJ283" s="650">
        <f ca="1">IFERROR(IF($AA283="NOOS",HLOOKUP(STOCK_OVERVIEW!$AB283&amp;STOCK_OVERVIEW!$AD283,PLANNING_FC!$DA$27:$DO$46,MATCH(STOCK_OVERVIEW!$Y283,PLANNING_FC!$CZ$27:$CZ$46,0),FALSE),HLOOKUP($AB283&amp;$AD283,PLANNING_FC!$DA$4:$DO$23,MATCH(STOCK_OVERVIEW!$Y283,PLANNING_FC!$CZ$4:$CZ$23,0),FALSE)),"")</f>
        <v>181994</v>
      </c>
      <c r="AK283" s="651">
        <f ca="1">IFERROR(IF(AA283="NOOS",HLOOKUP(AB283&amp;AD283,PLANNING_FC!$AJ$27:$AY$47,MATCH(STOCK_OVERVIEW!Y283,PLANNING_FC!$AJ$27:$AJ$47,0),FALSE)*1000,HLOOKUP(AB283&amp;AD283,PLANNING_FC!$AJ$4:$AY$24,MATCH(STOCK_OVERVIEW!Y283,PLANNING_FC!$AJ$4:$AJ$24,0),FALSE)*1000),"")</f>
        <v>0</v>
      </c>
      <c r="AL283" s="638"/>
      <c r="AM283" s="638"/>
      <c r="AN283" s="638"/>
      <c r="AO283" s="638"/>
      <c r="AP283" s="638"/>
      <c r="AQ283" s="638"/>
      <c r="AR283" s="638"/>
      <c r="AS283" s="638"/>
    </row>
    <row r="284" spans="1:45" s="61" customFormat="1" x14ac:dyDescent="0.25">
      <c r="A284" s="62"/>
      <c r="F284" s="19"/>
      <c r="J284" s="19"/>
      <c r="N284" s="19"/>
      <c r="R284" s="19"/>
      <c r="S284" s="637"/>
      <c r="T284" s="637"/>
      <c r="U284" s="636"/>
      <c r="V284" s="637"/>
      <c r="W284" s="637"/>
      <c r="X284" s="465" t="str">
        <f t="shared" ref="X284:Y298" si="23">X44</f>
        <v>VM</v>
      </c>
      <c r="Y284" s="206" t="str">
        <f t="shared" si="23"/>
        <v>JEANS</v>
      </c>
      <c r="Z284" s="25" t="str">
        <f t="shared" ca="1" si="20"/>
        <v>VMJEANS19/20Dec</v>
      </c>
      <c r="AA284" s="206" t="s">
        <v>197</v>
      </c>
      <c r="AB284" s="206" t="str">
        <f t="shared" ref="AB284:AD298" ca="1" si="24">AB44</f>
        <v>19/20</v>
      </c>
      <c r="AC284" s="206" t="str">
        <f t="shared" ca="1" si="24"/>
        <v>Q2</v>
      </c>
      <c r="AD284" s="206" t="str">
        <f t="shared" ca="1" si="24"/>
        <v>Dec</v>
      </c>
      <c r="AE284" s="649">
        <f ca="1">IFERROR(HLOOKUP($AB284&amp;$AD284,'NWC_FC_NON-NOOS'!$C$4:$Q$24,MATCH($Y284,'NWC_FC_NON-NOOS'!$B$4:$B$24,0),FALSE),"")</f>
        <v>0</v>
      </c>
      <c r="AF284" s="650">
        <f ca="1">IFERROR(HLOOKUP($AB284&amp;$AD284,'NWC_FC_NON-NOOS'!$S$4:$AH$24,MATCH($Y284,'NWC_FC_NON-NOOS'!$S$4:$S$24,0),FALSE),"")</f>
        <v>0</v>
      </c>
      <c r="AG284" s="650">
        <f ca="1">IFERROR(HLOOKUP($AB284&amp;$AD284,'NWC_FC_NON-NOOS'!$B$50:$U$70,MATCH($Y284,'NWC_FC_NON-NOOS'!$B$50:$B$70,0),FALSE),"")</f>
        <v>0</v>
      </c>
      <c r="AH284" s="650">
        <f ca="1">IFERROR(IF($AA284="NOOS",HLOOKUP(STOCK_OVERVIEW!$AB284&amp;STOCK_OVERVIEW!$AD284,PLANNING_FC!$BB$27:$BP$46,MATCH(STOCK_OVERVIEW!$Y284,PLANNING_FC!$BA$27:$BA$46,0),FALSE),HLOOKUP($AB284&amp;$AD284,PLANNING_FC!$BB$4:$BP$23,MATCH(STOCK_OVERVIEW!$Y284,PLANNING_FC!$BA$4:$BA$23,0),FALSE)),"")</f>
        <v>0</v>
      </c>
      <c r="AI284" s="650">
        <f ca="1">IFERROR(IF($AA284="NOOS",HLOOKUP(STOCK_OVERVIEW!$AB284&amp;STOCK_OVERVIEW!$AD284,PLANNING_FC!$T$27:$AH$46,MATCH(STOCK_OVERVIEW!$Y284,PLANNING_FC!$B$27:$B$46,0),FALSE),HLOOKUP($AB284&amp;$AD284,PLANNING_FC!$T$4:$AH$23,MATCH(STOCK_OVERVIEW!$Y284,PLANNING_FC!$B$4:$B$23,0),FALSE)),"")</f>
        <v>0</v>
      </c>
      <c r="AJ284" s="650">
        <f ca="1">IFERROR(IF($AA284="NOOS",HLOOKUP(STOCK_OVERVIEW!$AB284&amp;STOCK_OVERVIEW!$AD284,PLANNING_FC!$DA$27:$DO$46,MATCH(STOCK_OVERVIEW!$Y284,PLANNING_FC!$CZ$27:$CZ$46,0),FALSE),HLOOKUP($AB284&amp;$AD284,PLANNING_FC!$DA$4:$DO$23,MATCH(STOCK_OVERVIEW!$Y284,PLANNING_FC!$CZ$4:$CZ$23,0),FALSE)),"")</f>
        <v>181994</v>
      </c>
      <c r="AK284" s="651">
        <f ca="1">IFERROR(IF(AA284="NOOS",HLOOKUP(AB284&amp;AD284,PLANNING_FC!$AJ$27:$AY$47,MATCH(STOCK_OVERVIEW!Y284,PLANNING_FC!$AJ$27:$AJ$47,0),FALSE)*1000,HLOOKUP(AB284&amp;AD284,PLANNING_FC!$AJ$4:$AY$24,MATCH(STOCK_OVERVIEW!Y284,PLANNING_FC!$AJ$4:$AJ$24,0),FALSE)*1000),"")</f>
        <v>0</v>
      </c>
      <c r="AL284" s="638"/>
      <c r="AM284" s="638"/>
      <c r="AN284" s="638"/>
      <c r="AO284" s="638"/>
      <c r="AP284" s="638"/>
      <c r="AQ284" s="638"/>
      <c r="AR284" s="638"/>
      <c r="AS284" s="638"/>
    </row>
    <row r="285" spans="1:45" s="61" customFormat="1" x14ac:dyDescent="0.25">
      <c r="A285" s="62"/>
      <c r="F285" s="19"/>
      <c r="J285" s="19"/>
      <c r="N285" s="19"/>
      <c r="R285" s="19"/>
      <c r="S285" s="637"/>
      <c r="T285" s="637"/>
      <c r="U285" s="636"/>
      <c r="V285" s="637"/>
      <c r="W285" s="637"/>
      <c r="X285" s="465" t="str">
        <f t="shared" si="23"/>
        <v>VM</v>
      </c>
      <c r="Y285" s="206" t="str">
        <f t="shared" si="23"/>
        <v>JEANS</v>
      </c>
      <c r="Z285" s="25" t="str">
        <f t="shared" ca="1" si="20"/>
        <v>VMJEANS19/20Jan</v>
      </c>
      <c r="AA285" s="206" t="s">
        <v>197</v>
      </c>
      <c r="AB285" s="206" t="str">
        <f t="shared" ca="1" si="24"/>
        <v>19/20</v>
      </c>
      <c r="AC285" s="206" t="str">
        <f t="shared" ca="1" si="24"/>
        <v>Q2</v>
      </c>
      <c r="AD285" s="206" t="str">
        <f t="shared" ca="1" si="24"/>
        <v>Jan</v>
      </c>
      <c r="AE285" s="649">
        <f ca="1">IFERROR(HLOOKUP($AB285&amp;$AD285,'NWC_FC_NON-NOOS'!$C$4:$Q$24,MATCH($Y285,'NWC_FC_NON-NOOS'!$B$4:$B$24,0),FALSE),"")</f>
        <v>0</v>
      </c>
      <c r="AF285" s="650">
        <f ca="1">IFERROR(HLOOKUP($AB285&amp;$AD285,'NWC_FC_NON-NOOS'!$S$4:$AH$24,MATCH($Y285,'NWC_FC_NON-NOOS'!$S$4:$S$24,0),FALSE),"")</f>
        <v>0</v>
      </c>
      <c r="AG285" s="650">
        <f ca="1">IFERROR(HLOOKUP($AB285&amp;$AD285,'NWC_FC_NON-NOOS'!$B$50:$U$70,MATCH($Y285,'NWC_FC_NON-NOOS'!$B$50:$B$70,0),FALSE),"")</f>
        <v>0</v>
      </c>
      <c r="AH285" s="650">
        <f ca="1">IFERROR(IF($AA285="NOOS",HLOOKUP(STOCK_OVERVIEW!$AB285&amp;STOCK_OVERVIEW!$AD285,PLANNING_FC!$BB$27:$BP$46,MATCH(STOCK_OVERVIEW!$Y285,PLANNING_FC!$BA$27:$BA$46,0),FALSE),HLOOKUP($AB285&amp;$AD285,PLANNING_FC!$BB$4:$BP$23,MATCH(STOCK_OVERVIEW!$Y285,PLANNING_FC!$BA$4:$BA$23,0),FALSE)),"")</f>
        <v>0</v>
      </c>
      <c r="AI285" s="650">
        <f ca="1">IFERROR(IF($AA285="NOOS",HLOOKUP(STOCK_OVERVIEW!$AB285&amp;STOCK_OVERVIEW!$AD285,PLANNING_FC!$T$27:$AH$46,MATCH(STOCK_OVERVIEW!$Y285,PLANNING_FC!$B$27:$B$46,0),FALSE),HLOOKUP($AB285&amp;$AD285,PLANNING_FC!$T$4:$AH$23,MATCH(STOCK_OVERVIEW!$Y285,PLANNING_FC!$B$4:$B$23,0),FALSE)),"")</f>
        <v>0</v>
      </c>
      <c r="AJ285" s="650">
        <f ca="1">IFERROR(IF($AA285="NOOS",HLOOKUP(STOCK_OVERVIEW!$AB285&amp;STOCK_OVERVIEW!$AD285,PLANNING_FC!$DA$27:$DO$46,MATCH(STOCK_OVERVIEW!$Y285,PLANNING_FC!$CZ$27:$CZ$46,0),FALSE),HLOOKUP($AB285&amp;$AD285,PLANNING_FC!$DA$4:$DO$23,MATCH(STOCK_OVERVIEW!$Y285,PLANNING_FC!$CZ$4:$CZ$23,0),FALSE)),"")</f>
        <v>181994</v>
      </c>
      <c r="AK285" s="651">
        <f ca="1">IFERROR(IF(AA285="NOOS",HLOOKUP(AB285&amp;AD285,PLANNING_FC!$AJ$27:$AY$47,MATCH(STOCK_OVERVIEW!Y285,PLANNING_FC!$AJ$27:$AJ$47,0),FALSE)*1000,HLOOKUP(AB285&amp;AD285,PLANNING_FC!$AJ$4:$AY$24,MATCH(STOCK_OVERVIEW!Y285,PLANNING_FC!$AJ$4:$AJ$24,0),FALSE)*1000),"")</f>
        <v>0</v>
      </c>
      <c r="AL285" s="638"/>
      <c r="AM285" s="638"/>
      <c r="AN285" s="638"/>
      <c r="AO285" s="638"/>
      <c r="AP285" s="638"/>
      <c r="AQ285" s="638"/>
      <c r="AR285" s="638"/>
      <c r="AS285" s="638"/>
    </row>
    <row r="286" spans="1:45" s="61" customFormat="1" x14ac:dyDescent="0.25">
      <c r="A286" s="62"/>
      <c r="F286" s="19"/>
      <c r="J286" s="19"/>
      <c r="N286" s="19"/>
      <c r="R286" s="19"/>
      <c r="S286" s="637"/>
      <c r="T286" s="637"/>
      <c r="U286" s="636"/>
      <c r="V286" s="637"/>
      <c r="W286" s="637"/>
      <c r="X286" s="465" t="str">
        <f t="shared" si="23"/>
        <v>VM</v>
      </c>
      <c r="Y286" s="206" t="str">
        <f t="shared" si="23"/>
        <v>JEANS</v>
      </c>
      <c r="Z286" s="25" t="str">
        <f t="shared" ca="1" si="20"/>
        <v>VMJEANS19/20Feb</v>
      </c>
      <c r="AA286" s="206" t="s">
        <v>197</v>
      </c>
      <c r="AB286" s="206" t="str">
        <f t="shared" ca="1" si="24"/>
        <v>19/20</v>
      </c>
      <c r="AC286" s="206" t="str">
        <f t="shared" ca="1" si="24"/>
        <v>Q3</v>
      </c>
      <c r="AD286" s="206" t="str">
        <f t="shared" ca="1" si="24"/>
        <v>Feb</v>
      </c>
      <c r="AE286" s="649" t="str">
        <f ca="1">IFERROR(HLOOKUP($AB286&amp;$AD286,'NWC_FC_NON-NOOS'!$C$4:$Q$24,MATCH($Y286,'NWC_FC_NON-NOOS'!$B$4:$B$24,0),FALSE),"")</f>
        <v/>
      </c>
      <c r="AF286" s="650" t="str">
        <f ca="1">IFERROR(HLOOKUP($AB286&amp;$AD286,'NWC_FC_NON-NOOS'!$S$4:$AH$24,MATCH($Y286,'NWC_FC_NON-NOOS'!$S$4:$S$24,0),FALSE),"")</f>
        <v/>
      </c>
      <c r="AG286" s="650">
        <f ca="1">IFERROR(HLOOKUP($AB286&amp;$AD286,'NWC_FC_NON-NOOS'!$B$50:$U$70,MATCH($Y286,'NWC_FC_NON-NOOS'!$B$50:$B$70,0),FALSE),"")</f>
        <v>0</v>
      </c>
      <c r="AH286" s="650" t="str">
        <f ca="1">IFERROR(IF($AA286="NOOS",HLOOKUP(STOCK_OVERVIEW!$AB286&amp;STOCK_OVERVIEW!$AD286,PLANNING_FC!$BB$27:$BP$46,MATCH(STOCK_OVERVIEW!$Y286,PLANNING_FC!$BA$27:$BA$46,0),FALSE),HLOOKUP($AB286&amp;$AD286,PLANNING_FC!$BB$4:$BP$23,MATCH(STOCK_OVERVIEW!$Y286,PLANNING_FC!$BA$4:$BA$23,0),FALSE)),"")</f>
        <v/>
      </c>
      <c r="AI286" s="650" t="str">
        <f ca="1">IFERROR(IF($AA286="NOOS",HLOOKUP(STOCK_OVERVIEW!$AB286&amp;STOCK_OVERVIEW!$AD286,PLANNING_FC!$T$27:$AH$46,MATCH(STOCK_OVERVIEW!$Y286,PLANNING_FC!$B$27:$B$46,0),FALSE),HLOOKUP($AB286&amp;$AD286,PLANNING_FC!$T$4:$AH$23,MATCH(STOCK_OVERVIEW!$Y286,PLANNING_FC!$B$4:$B$23,0),FALSE)),"")</f>
        <v/>
      </c>
      <c r="AJ286" s="650" t="str">
        <f ca="1">IFERROR(IF($AA286="NOOS",HLOOKUP(STOCK_OVERVIEW!$AB286&amp;STOCK_OVERVIEW!$AD286,PLANNING_FC!$DA$27:$DO$46,MATCH(STOCK_OVERVIEW!$Y286,PLANNING_FC!$CZ$27:$CZ$46,0),FALSE),HLOOKUP($AB286&amp;$AD286,PLANNING_FC!$DA$4:$DO$23,MATCH(STOCK_OVERVIEW!$Y286,PLANNING_FC!$CZ$4:$CZ$23,0),FALSE)),"")</f>
        <v/>
      </c>
      <c r="AK286" s="651" t="str">
        <f ca="1">IFERROR(IF(AA286="NOOS",HLOOKUP(AB286&amp;AD286,PLANNING_FC!$AJ$27:$AY$47,MATCH(STOCK_OVERVIEW!Y286,PLANNING_FC!$AJ$27:$AJ$47,0),FALSE)*1000,HLOOKUP(AB286&amp;AD286,PLANNING_FC!$AJ$4:$AY$24,MATCH(STOCK_OVERVIEW!Y286,PLANNING_FC!$AJ$4:$AJ$24,0),FALSE)*1000),"")</f>
        <v/>
      </c>
      <c r="AL286" s="638"/>
      <c r="AM286" s="638"/>
      <c r="AN286" s="638"/>
      <c r="AO286" s="638"/>
      <c r="AP286" s="638"/>
      <c r="AQ286" s="638"/>
      <c r="AR286" s="638"/>
      <c r="AS286" s="638"/>
    </row>
    <row r="287" spans="1:45" s="61" customFormat="1" x14ac:dyDescent="0.25">
      <c r="A287" s="62"/>
      <c r="F287" s="19"/>
      <c r="J287" s="19"/>
      <c r="N287" s="19"/>
      <c r="R287" s="19"/>
      <c r="S287" s="637"/>
      <c r="T287" s="637"/>
      <c r="U287" s="636"/>
      <c r="V287" s="637"/>
      <c r="W287" s="637"/>
      <c r="X287" s="465" t="str">
        <f t="shared" si="23"/>
        <v>VM</v>
      </c>
      <c r="Y287" s="206" t="str">
        <f t="shared" si="23"/>
        <v>JEANS</v>
      </c>
      <c r="Z287" s="25" t="str">
        <f t="shared" ca="1" si="20"/>
        <v>VMJEANS19/20Mar</v>
      </c>
      <c r="AA287" s="206" t="s">
        <v>197</v>
      </c>
      <c r="AB287" s="206" t="str">
        <f t="shared" ca="1" si="24"/>
        <v>19/20</v>
      </c>
      <c r="AC287" s="206" t="str">
        <f t="shared" ca="1" si="24"/>
        <v>Q3</v>
      </c>
      <c r="AD287" s="206" t="str">
        <f t="shared" ca="1" si="24"/>
        <v>Mar</v>
      </c>
      <c r="AE287" s="649" t="str">
        <f ca="1">IFERROR(HLOOKUP($AB287&amp;$AD287,'NWC_FC_NON-NOOS'!$C$4:$Q$24,MATCH($Y287,'NWC_FC_NON-NOOS'!$B$4:$B$24,0),FALSE),"")</f>
        <v/>
      </c>
      <c r="AF287" s="650" t="str">
        <f ca="1">IFERROR(HLOOKUP($AB287&amp;$AD287,'NWC_FC_NON-NOOS'!$S$4:$AH$24,MATCH($Y287,'NWC_FC_NON-NOOS'!$S$4:$S$24,0),FALSE),"")</f>
        <v/>
      </c>
      <c r="AG287" s="650">
        <f ca="1">IFERROR(HLOOKUP($AB287&amp;$AD287,'NWC_FC_NON-NOOS'!$B$50:$U$70,MATCH($Y287,'NWC_FC_NON-NOOS'!$B$50:$B$70,0),FALSE),"")</f>
        <v>0</v>
      </c>
      <c r="AH287" s="650" t="str">
        <f ca="1">IFERROR(IF($AA287="NOOS",HLOOKUP(STOCK_OVERVIEW!$AB287&amp;STOCK_OVERVIEW!$AD287,PLANNING_FC!$BB$27:$BP$46,MATCH(STOCK_OVERVIEW!$Y287,PLANNING_FC!$BA$27:$BA$46,0),FALSE),HLOOKUP($AB287&amp;$AD287,PLANNING_FC!$BB$4:$BP$23,MATCH(STOCK_OVERVIEW!$Y287,PLANNING_FC!$BA$4:$BA$23,0),FALSE)),"")</f>
        <v/>
      </c>
      <c r="AI287" s="650" t="str">
        <f ca="1">IFERROR(IF($AA287="NOOS",HLOOKUP(STOCK_OVERVIEW!$AB287&amp;STOCK_OVERVIEW!$AD287,PLANNING_FC!$T$27:$AH$46,MATCH(STOCK_OVERVIEW!$Y287,PLANNING_FC!$B$27:$B$46,0),FALSE),HLOOKUP($AB287&amp;$AD287,PLANNING_FC!$T$4:$AH$23,MATCH(STOCK_OVERVIEW!$Y287,PLANNING_FC!$B$4:$B$23,0),FALSE)),"")</f>
        <v/>
      </c>
      <c r="AJ287" s="650" t="str">
        <f ca="1">IFERROR(IF($AA287="NOOS",HLOOKUP(STOCK_OVERVIEW!$AB287&amp;STOCK_OVERVIEW!$AD287,PLANNING_FC!$DA$27:$DO$46,MATCH(STOCK_OVERVIEW!$Y287,PLANNING_FC!$CZ$27:$CZ$46,0),FALSE),HLOOKUP($AB287&amp;$AD287,PLANNING_FC!$DA$4:$DO$23,MATCH(STOCK_OVERVIEW!$Y287,PLANNING_FC!$CZ$4:$CZ$23,0),FALSE)),"")</f>
        <v/>
      </c>
      <c r="AK287" s="651" t="str">
        <f ca="1">IFERROR(IF(AA287="NOOS",HLOOKUP(AB287&amp;AD287,PLANNING_FC!$AJ$27:$AY$47,MATCH(STOCK_OVERVIEW!Y287,PLANNING_FC!$AJ$27:$AJ$47,0),FALSE)*1000,HLOOKUP(AB287&amp;AD287,PLANNING_FC!$AJ$4:$AY$24,MATCH(STOCK_OVERVIEW!Y287,PLANNING_FC!$AJ$4:$AJ$24,0),FALSE)*1000),"")</f>
        <v/>
      </c>
      <c r="AL287" s="638"/>
      <c r="AM287" s="638"/>
      <c r="AN287" s="638"/>
      <c r="AO287" s="638"/>
      <c r="AP287" s="638"/>
      <c r="AQ287" s="638"/>
      <c r="AR287" s="638"/>
      <c r="AS287" s="638"/>
    </row>
    <row r="288" spans="1:45" s="61" customFormat="1" x14ac:dyDescent="0.25">
      <c r="A288" s="62"/>
      <c r="F288" s="19"/>
      <c r="J288" s="19"/>
      <c r="N288" s="19"/>
      <c r="R288" s="19"/>
      <c r="S288" s="637"/>
      <c r="T288" s="637"/>
      <c r="U288" s="636"/>
      <c r="V288" s="637"/>
      <c r="W288" s="637"/>
      <c r="X288" s="465" t="str">
        <f t="shared" si="23"/>
        <v>VM</v>
      </c>
      <c r="Y288" s="206" t="str">
        <f t="shared" si="23"/>
        <v>JEANS</v>
      </c>
      <c r="Z288" s="25" t="str">
        <f t="shared" ca="1" si="20"/>
        <v>VMJEANS19/20Apr</v>
      </c>
      <c r="AA288" s="206" t="s">
        <v>197</v>
      </c>
      <c r="AB288" s="206" t="str">
        <f t="shared" ca="1" si="24"/>
        <v>19/20</v>
      </c>
      <c r="AC288" s="206" t="str">
        <f t="shared" ca="1" si="24"/>
        <v>Q3</v>
      </c>
      <c r="AD288" s="206" t="str">
        <f t="shared" ca="1" si="24"/>
        <v>Apr</v>
      </c>
      <c r="AE288" s="649" t="str">
        <f ca="1">IFERROR(HLOOKUP($AB288&amp;$AD288,'NWC_FC_NON-NOOS'!$C$4:$Q$24,MATCH($Y288,'NWC_FC_NON-NOOS'!$B$4:$B$24,0),FALSE),"")</f>
        <v/>
      </c>
      <c r="AF288" s="650" t="str">
        <f ca="1">IFERROR(HLOOKUP($AB288&amp;$AD288,'NWC_FC_NON-NOOS'!$S$4:$AH$24,MATCH($Y288,'NWC_FC_NON-NOOS'!$S$4:$S$24,0),FALSE),"")</f>
        <v/>
      </c>
      <c r="AG288" s="650">
        <f ca="1">IFERROR(HLOOKUP($AB288&amp;$AD288,'NWC_FC_NON-NOOS'!$B$50:$U$70,MATCH($Y288,'NWC_FC_NON-NOOS'!$B$50:$B$70,0),FALSE),"")</f>
        <v>0</v>
      </c>
      <c r="AH288" s="650" t="str">
        <f ca="1">IFERROR(IF($AA288="NOOS",HLOOKUP(STOCK_OVERVIEW!$AB288&amp;STOCK_OVERVIEW!$AD288,PLANNING_FC!$BB$27:$BP$46,MATCH(STOCK_OVERVIEW!$Y288,PLANNING_FC!$BA$27:$BA$46,0),FALSE),HLOOKUP($AB288&amp;$AD288,PLANNING_FC!$BB$4:$BP$23,MATCH(STOCK_OVERVIEW!$Y288,PLANNING_FC!$BA$4:$BA$23,0),FALSE)),"")</f>
        <v/>
      </c>
      <c r="AI288" s="650" t="str">
        <f ca="1">IFERROR(IF($AA288="NOOS",HLOOKUP(STOCK_OVERVIEW!$AB288&amp;STOCK_OVERVIEW!$AD288,PLANNING_FC!$T$27:$AH$46,MATCH(STOCK_OVERVIEW!$Y288,PLANNING_FC!$B$27:$B$46,0),FALSE),HLOOKUP($AB288&amp;$AD288,PLANNING_FC!$T$4:$AH$23,MATCH(STOCK_OVERVIEW!$Y288,PLANNING_FC!$B$4:$B$23,0),FALSE)),"")</f>
        <v/>
      </c>
      <c r="AJ288" s="650" t="str">
        <f ca="1">IFERROR(IF($AA288="NOOS",HLOOKUP(STOCK_OVERVIEW!$AB288&amp;STOCK_OVERVIEW!$AD288,PLANNING_FC!$DA$27:$DO$46,MATCH(STOCK_OVERVIEW!$Y288,PLANNING_FC!$CZ$27:$CZ$46,0),FALSE),HLOOKUP($AB288&amp;$AD288,PLANNING_FC!$DA$4:$DO$23,MATCH(STOCK_OVERVIEW!$Y288,PLANNING_FC!$CZ$4:$CZ$23,0),FALSE)),"")</f>
        <v/>
      </c>
      <c r="AK288" s="651" t="str">
        <f ca="1">IFERROR(IF(AA288="NOOS",HLOOKUP(AB288&amp;AD288,PLANNING_FC!$AJ$27:$AY$47,MATCH(STOCK_OVERVIEW!Y288,PLANNING_FC!$AJ$27:$AJ$47,0),FALSE)*1000,HLOOKUP(AB288&amp;AD288,PLANNING_FC!$AJ$4:$AY$24,MATCH(STOCK_OVERVIEW!Y288,PLANNING_FC!$AJ$4:$AJ$24,0),FALSE)*1000),"")</f>
        <v/>
      </c>
      <c r="AL288" s="638"/>
      <c r="AM288" s="638"/>
      <c r="AN288" s="638"/>
      <c r="AO288" s="638"/>
      <c r="AP288" s="638"/>
      <c r="AQ288" s="638"/>
      <c r="AR288" s="638"/>
      <c r="AS288" s="638"/>
    </row>
    <row r="289" spans="1:45" s="61" customFormat="1" x14ac:dyDescent="0.25">
      <c r="A289" s="62"/>
      <c r="F289" s="19"/>
      <c r="J289" s="19"/>
      <c r="N289" s="19"/>
      <c r="R289" s="19"/>
      <c r="S289" s="637"/>
      <c r="T289" s="637"/>
      <c r="U289" s="636"/>
      <c r="V289" s="637"/>
      <c r="W289" s="637"/>
      <c r="X289" s="465" t="str">
        <f t="shared" si="23"/>
        <v>VM</v>
      </c>
      <c r="Y289" s="206" t="str">
        <f t="shared" si="23"/>
        <v>KNIT</v>
      </c>
      <c r="Z289" s="25" t="str">
        <f t="shared" ca="1" si="20"/>
        <v>VMKNIT18/19Feb</v>
      </c>
      <c r="AA289" s="206" t="s">
        <v>197</v>
      </c>
      <c r="AB289" s="206" t="str">
        <f t="shared" ca="1" si="24"/>
        <v>18/19</v>
      </c>
      <c r="AC289" s="206" t="str">
        <f t="shared" ca="1" si="24"/>
        <v>Q3</v>
      </c>
      <c r="AD289" s="206" t="str">
        <f t="shared" ca="1" si="24"/>
        <v>Feb</v>
      </c>
      <c r="AE289" s="649">
        <f ca="1">IFERROR(HLOOKUP($AB289&amp;$AD289,'NWC_FC_NON-NOOS'!$C$4:$Q$24,MATCH($Y289,'NWC_FC_NON-NOOS'!$B$4:$B$24,0),FALSE),"")</f>
        <v>0</v>
      </c>
      <c r="AF289" s="650">
        <f ca="1">IFERROR(HLOOKUP($AB289&amp;$AD289,'NWC_FC_NON-NOOS'!$S$4:$AH$24,MATCH($Y289,'NWC_FC_NON-NOOS'!$S$4:$S$24,0),FALSE),"")</f>
        <v>0</v>
      </c>
      <c r="AG289" s="650">
        <f ca="1">IFERROR(HLOOKUP($AB289&amp;$AD289,'NWC_FC_NON-NOOS'!$B$50:$U$70,MATCH($Y289,'NWC_FC_NON-NOOS'!$B$50:$B$70,0),FALSE),"")</f>
        <v>0</v>
      </c>
      <c r="AH289" s="650">
        <f ca="1">IFERROR(IF($AA289="NOOS",HLOOKUP(STOCK_OVERVIEW!$AB289&amp;STOCK_OVERVIEW!$AD289,PLANNING_FC!$BB$27:$BP$46,MATCH(STOCK_OVERVIEW!$Y289,PLANNING_FC!$BA$27:$BA$46,0),FALSE),HLOOKUP($AB289&amp;$AD289,PLANNING_FC!$BB$4:$BP$23,MATCH(STOCK_OVERVIEW!$Y289,PLANNING_FC!$BA$4:$BA$23,0),FALSE)),"")</f>
        <v>0</v>
      </c>
      <c r="AI289" s="650">
        <f ca="1">IFERROR(IF($AA289="NOOS",HLOOKUP(STOCK_OVERVIEW!$AB289&amp;STOCK_OVERVIEW!$AD289,PLANNING_FC!$T$27:$AH$46,MATCH(STOCK_OVERVIEW!$Y289,PLANNING_FC!$B$27:$B$46,0),FALSE),HLOOKUP($AB289&amp;$AD289,PLANNING_FC!$T$4:$AH$23,MATCH(STOCK_OVERVIEW!$Y289,PLANNING_FC!$B$4:$B$23,0),FALSE)),"")</f>
        <v>0</v>
      </c>
      <c r="AJ289" s="650">
        <f ca="1">IFERROR(IF($AA289="NOOS",HLOOKUP(STOCK_OVERVIEW!$AB289&amp;STOCK_OVERVIEW!$AD289,PLANNING_FC!$DA$27:$DO$46,MATCH(STOCK_OVERVIEW!$Y289,PLANNING_FC!$CZ$27:$CZ$46,0),FALSE),HLOOKUP($AB289&amp;$AD289,PLANNING_FC!$DA$4:$DO$23,MATCH(STOCK_OVERVIEW!$Y289,PLANNING_FC!$CZ$4:$CZ$23,0),FALSE)),"")</f>
        <v>0</v>
      </c>
      <c r="AK289" s="651">
        <f ca="1">IFERROR(IF(AA289="NOOS",HLOOKUP(AB289&amp;AD289,PLANNING_FC!$AJ$27:$AY$47,MATCH(STOCK_OVERVIEW!Y289,PLANNING_FC!$AJ$27:$AJ$47,0),FALSE)*1000,HLOOKUP(AB289&amp;AD289,PLANNING_FC!$AJ$4:$AY$24,MATCH(STOCK_OVERVIEW!Y289,PLANNING_FC!$AJ$4:$AJ$24,0),FALSE)*1000),"")</f>
        <v>0</v>
      </c>
      <c r="AL289" s="638"/>
      <c r="AM289" s="638"/>
      <c r="AN289" s="638"/>
      <c r="AO289" s="638"/>
      <c r="AP289" s="638"/>
      <c r="AQ289" s="638"/>
      <c r="AR289" s="638"/>
      <c r="AS289" s="638"/>
    </row>
    <row r="290" spans="1:45" s="61" customFormat="1" x14ac:dyDescent="0.25">
      <c r="A290" s="62"/>
      <c r="F290" s="19"/>
      <c r="J290" s="19"/>
      <c r="N290" s="19"/>
      <c r="R290" s="19"/>
      <c r="S290" s="637"/>
      <c r="T290" s="637"/>
      <c r="U290" s="636"/>
      <c r="V290" s="637"/>
      <c r="W290" s="637"/>
      <c r="X290" s="465" t="str">
        <f t="shared" si="23"/>
        <v>VM</v>
      </c>
      <c r="Y290" s="206" t="str">
        <f t="shared" si="23"/>
        <v>KNIT</v>
      </c>
      <c r="Z290" s="25" t="str">
        <f t="shared" ca="1" si="20"/>
        <v>VMKNIT18/19Mar</v>
      </c>
      <c r="AA290" s="206" t="s">
        <v>197</v>
      </c>
      <c r="AB290" s="206" t="str">
        <f t="shared" ca="1" si="24"/>
        <v>18/19</v>
      </c>
      <c r="AC290" s="206" t="str">
        <f t="shared" ca="1" si="24"/>
        <v>Q3</v>
      </c>
      <c r="AD290" s="206" t="str">
        <f t="shared" ca="1" si="24"/>
        <v>Mar</v>
      </c>
      <c r="AE290" s="649">
        <f ca="1">IFERROR(HLOOKUP($AB290&amp;$AD290,'NWC_FC_NON-NOOS'!$C$4:$Q$24,MATCH($Y290,'NWC_FC_NON-NOOS'!$B$4:$B$24,0),FALSE),"")</f>
        <v>0</v>
      </c>
      <c r="AF290" s="650">
        <f ca="1">IFERROR(HLOOKUP($AB290&amp;$AD290,'NWC_FC_NON-NOOS'!$S$4:$AH$24,MATCH($Y290,'NWC_FC_NON-NOOS'!$S$4:$S$24,0),FALSE),"")</f>
        <v>0</v>
      </c>
      <c r="AG290" s="650">
        <f ca="1">IFERROR(HLOOKUP($AB290&amp;$AD290,'NWC_FC_NON-NOOS'!$B$50:$U$70,MATCH($Y290,'NWC_FC_NON-NOOS'!$B$50:$B$70,0),FALSE),"")</f>
        <v>0</v>
      </c>
      <c r="AH290" s="650">
        <f ca="1">IFERROR(IF($AA290="NOOS",HLOOKUP(STOCK_OVERVIEW!$AB290&amp;STOCK_OVERVIEW!$AD290,PLANNING_FC!$BB$27:$BP$46,MATCH(STOCK_OVERVIEW!$Y290,PLANNING_FC!$BA$27:$BA$46,0),FALSE),HLOOKUP($AB290&amp;$AD290,PLANNING_FC!$BB$4:$BP$23,MATCH(STOCK_OVERVIEW!$Y290,PLANNING_FC!$BA$4:$BA$23,0),FALSE)),"")</f>
        <v>0</v>
      </c>
      <c r="AI290" s="650">
        <f ca="1">IFERROR(IF($AA290="NOOS",HLOOKUP(STOCK_OVERVIEW!$AB290&amp;STOCK_OVERVIEW!$AD290,PLANNING_FC!$T$27:$AH$46,MATCH(STOCK_OVERVIEW!$Y290,PLANNING_FC!$B$27:$B$46,0),FALSE),HLOOKUP($AB290&amp;$AD290,PLANNING_FC!$T$4:$AH$23,MATCH(STOCK_OVERVIEW!$Y290,PLANNING_FC!$B$4:$B$23,0),FALSE)),"")</f>
        <v>0</v>
      </c>
      <c r="AJ290" s="650">
        <f ca="1">IFERROR(IF($AA290="NOOS",HLOOKUP(STOCK_OVERVIEW!$AB290&amp;STOCK_OVERVIEW!$AD290,PLANNING_FC!$DA$27:$DO$46,MATCH(STOCK_OVERVIEW!$Y290,PLANNING_FC!$CZ$27:$CZ$46,0),FALSE),HLOOKUP($AB290&amp;$AD290,PLANNING_FC!$DA$4:$DO$23,MATCH(STOCK_OVERVIEW!$Y290,PLANNING_FC!$CZ$4:$CZ$23,0),FALSE)),"")</f>
        <v>0</v>
      </c>
      <c r="AK290" s="651">
        <f ca="1">IFERROR(IF(AA290="NOOS",HLOOKUP(AB290&amp;AD290,PLANNING_FC!$AJ$27:$AY$47,MATCH(STOCK_OVERVIEW!Y290,PLANNING_FC!$AJ$27:$AJ$47,0),FALSE)*1000,HLOOKUP(AB290&amp;AD290,PLANNING_FC!$AJ$4:$AY$24,MATCH(STOCK_OVERVIEW!Y290,PLANNING_FC!$AJ$4:$AJ$24,0),FALSE)*1000),"")</f>
        <v>0</v>
      </c>
      <c r="AL290" s="638"/>
      <c r="AM290" s="638"/>
      <c r="AN290" s="638"/>
      <c r="AO290" s="638"/>
      <c r="AP290" s="638"/>
      <c r="AQ290" s="638"/>
      <c r="AR290" s="638"/>
      <c r="AS290" s="638"/>
    </row>
    <row r="291" spans="1:45" s="61" customFormat="1" x14ac:dyDescent="0.25">
      <c r="A291" s="62"/>
      <c r="F291" s="19"/>
      <c r="J291" s="19"/>
      <c r="N291" s="19"/>
      <c r="R291" s="19"/>
      <c r="S291" s="637"/>
      <c r="T291" s="637"/>
      <c r="U291" s="636"/>
      <c r="V291" s="637"/>
      <c r="W291" s="637"/>
      <c r="X291" s="465" t="str">
        <f t="shared" si="23"/>
        <v>VM</v>
      </c>
      <c r="Y291" s="206" t="str">
        <f t="shared" si="23"/>
        <v>KNIT</v>
      </c>
      <c r="Z291" s="25" t="str">
        <f t="shared" ca="1" si="20"/>
        <v>VMKNIT18/19Apr</v>
      </c>
      <c r="AA291" s="206" t="s">
        <v>197</v>
      </c>
      <c r="AB291" s="206" t="str">
        <f t="shared" ca="1" si="24"/>
        <v>18/19</v>
      </c>
      <c r="AC291" s="206" t="str">
        <f t="shared" ca="1" si="24"/>
        <v>Q3</v>
      </c>
      <c r="AD291" s="206" t="str">
        <f t="shared" ca="1" si="24"/>
        <v>Apr</v>
      </c>
      <c r="AE291" s="649">
        <f ca="1">IFERROR(HLOOKUP($AB291&amp;$AD291,'NWC_FC_NON-NOOS'!$C$4:$Q$24,MATCH($Y291,'NWC_FC_NON-NOOS'!$B$4:$B$24,0),FALSE),"")</f>
        <v>0</v>
      </c>
      <c r="AF291" s="650">
        <f ca="1">IFERROR(HLOOKUP($AB291&amp;$AD291,'NWC_FC_NON-NOOS'!$S$4:$AH$24,MATCH($Y291,'NWC_FC_NON-NOOS'!$S$4:$S$24,0),FALSE),"")</f>
        <v>0</v>
      </c>
      <c r="AG291" s="650">
        <f ca="1">IFERROR(HLOOKUP($AB291&amp;$AD291,'NWC_FC_NON-NOOS'!$B$50:$U$70,MATCH($Y291,'NWC_FC_NON-NOOS'!$B$50:$B$70,0),FALSE),"")</f>
        <v>0</v>
      </c>
      <c r="AH291" s="650">
        <f ca="1">IFERROR(IF($AA291="NOOS",HLOOKUP(STOCK_OVERVIEW!$AB291&amp;STOCK_OVERVIEW!$AD291,PLANNING_FC!$BB$27:$BP$46,MATCH(STOCK_OVERVIEW!$Y291,PLANNING_FC!$BA$27:$BA$46,0),FALSE),HLOOKUP($AB291&amp;$AD291,PLANNING_FC!$BB$4:$BP$23,MATCH(STOCK_OVERVIEW!$Y291,PLANNING_FC!$BA$4:$BA$23,0),FALSE)),"")</f>
        <v>0</v>
      </c>
      <c r="AI291" s="650">
        <f ca="1">IFERROR(IF($AA291="NOOS",HLOOKUP(STOCK_OVERVIEW!$AB291&amp;STOCK_OVERVIEW!$AD291,PLANNING_FC!$T$27:$AH$46,MATCH(STOCK_OVERVIEW!$Y291,PLANNING_FC!$B$27:$B$46,0),FALSE),HLOOKUP($AB291&amp;$AD291,PLANNING_FC!$T$4:$AH$23,MATCH(STOCK_OVERVIEW!$Y291,PLANNING_FC!$B$4:$B$23,0),FALSE)),"")</f>
        <v>0</v>
      </c>
      <c r="AJ291" s="650">
        <f ca="1">IFERROR(IF($AA291="NOOS",HLOOKUP(STOCK_OVERVIEW!$AB291&amp;STOCK_OVERVIEW!$AD291,PLANNING_FC!$DA$27:$DO$46,MATCH(STOCK_OVERVIEW!$Y291,PLANNING_FC!$CZ$27:$CZ$46,0),FALSE),HLOOKUP($AB291&amp;$AD291,PLANNING_FC!$DA$4:$DO$23,MATCH(STOCK_OVERVIEW!$Y291,PLANNING_FC!$CZ$4:$CZ$23,0),FALSE)),"")</f>
        <v>246418</v>
      </c>
      <c r="AK291" s="651">
        <f ca="1">IFERROR(IF(AA291="NOOS",HLOOKUP(AB291&amp;AD291,PLANNING_FC!$AJ$27:$AY$47,MATCH(STOCK_OVERVIEW!Y291,PLANNING_FC!$AJ$27:$AJ$47,0),FALSE)*1000,HLOOKUP(AB291&amp;AD291,PLANNING_FC!$AJ$4:$AY$24,MATCH(STOCK_OVERVIEW!Y291,PLANNING_FC!$AJ$4:$AJ$24,0),FALSE)*1000),"")</f>
        <v>0</v>
      </c>
      <c r="AL291" s="638"/>
      <c r="AM291" s="638"/>
      <c r="AN291" s="638"/>
      <c r="AO291" s="638"/>
      <c r="AP291" s="638"/>
      <c r="AQ291" s="638"/>
      <c r="AR291" s="638"/>
      <c r="AS291" s="638"/>
    </row>
    <row r="292" spans="1:45" s="61" customFormat="1" x14ac:dyDescent="0.25">
      <c r="A292" s="62"/>
      <c r="F292" s="19"/>
      <c r="J292" s="19"/>
      <c r="N292" s="19"/>
      <c r="R292" s="19"/>
      <c r="S292" s="637"/>
      <c r="T292" s="637"/>
      <c r="U292" s="636"/>
      <c r="V292" s="637"/>
      <c r="W292" s="637"/>
      <c r="X292" s="465" t="str">
        <f t="shared" si="23"/>
        <v>VM</v>
      </c>
      <c r="Y292" s="206" t="str">
        <f t="shared" si="23"/>
        <v>KNIT</v>
      </c>
      <c r="Z292" s="25" t="str">
        <f t="shared" ca="1" si="20"/>
        <v>VMKNIT18/19May</v>
      </c>
      <c r="AA292" s="206" t="s">
        <v>197</v>
      </c>
      <c r="AB292" s="206" t="str">
        <f t="shared" ca="1" si="24"/>
        <v>18/19</v>
      </c>
      <c r="AC292" s="206" t="str">
        <f t="shared" ca="1" si="24"/>
        <v>Q4</v>
      </c>
      <c r="AD292" s="206" t="str">
        <f t="shared" ca="1" si="24"/>
        <v>May</v>
      </c>
      <c r="AE292" s="649">
        <f ca="1">IFERROR(HLOOKUP($AB292&amp;$AD292,'NWC_FC_NON-NOOS'!$C$4:$Q$24,MATCH($Y292,'NWC_FC_NON-NOOS'!$B$4:$B$24,0),FALSE),"")</f>
        <v>0</v>
      </c>
      <c r="AF292" s="650">
        <f ca="1">IFERROR(HLOOKUP($AB292&amp;$AD292,'NWC_FC_NON-NOOS'!$S$4:$AH$24,MATCH($Y292,'NWC_FC_NON-NOOS'!$S$4:$S$24,0),FALSE),"")</f>
        <v>0</v>
      </c>
      <c r="AG292" s="650">
        <f ca="1">IFERROR(HLOOKUP($AB292&amp;$AD292,'NWC_FC_NON-NOOS'!$B$50:$U$70,MATCH($Y292,'NWC_FC_NON-NOOS'!$B$50:$B$70,0),FALSE),"")</f>
        <v>0</v>
      </c>
      <c r="AH292" s="650">
        <f ca="1">IFERROR(IF($AA292="NOOS",HLOOKUP(STOCK_OVERVIEW!$AB292&amp;STOCK_OVERVIEW!$AD292,PLANNING_FC!$BB$27:$BP$46,MATCH(STOCK_OVERVIEW!$Y292,PLANNING_FC!$BA$27:$BA$46,0),FALSE),HLOOKUP($AB292&amp;$AD292,PLANNING_FC!$BB$4:$BP$23,MATCH(STOCK_OVERVIEW!$Y292,PLANNING_FC!$BA$4:$BA$23,0),FALSE)),"")</f>
        <v>0</v>
      </c>
      <c r="AI292" s="650">
        <f ca="1">IFERROR(IF($AA292="NOOS",HLOOKUP(STOCK_OVERVIEW!$AB292&amp;STOCK_OVERVIEW!$AD292,PLANNING_FC!$T$27:$AH$46,MATCH(STOCK_OVERVIEW!$Y292,PLANNING_FC!$B$27:$B$46,0),FALSE),HLOOKUP($AB292&amp;$AD292,PLANNING_FC!$T$4:$AH$23,MATCH(STOCK_OVERVIEW!$Y292,PLANNING_FC!$B$4:$B$23,0),FALSE)),"")</f>
        <v>0</v>
      </c>
      <c r="AJ292" s="650">
        <f ca="1">IFERROR(IF($AA292="NOOS",HLOOKUP(STOCK_OVERVIEW!$AB292&amp;STOCK_OVERVIEW!$AD292,PLANNING_FC!$DA$27:$DO$46,MATCH(STOCK_OVERVIEW!$Y292,PLANNING_FC!$CZ$27:$CZ$46,0),FALSE),HLOOKUP($AB292&amp;$AD292,PLANNING_FC!$DA$4:$DO$23,MATCH(STOCK_OVERVIEW!$Y292,PLANNING_FC!$CZ$4:$CZ$23,0),FALSE)),"")</f>
        <v>250138</v>
      </c>
      <c r="AK292" s="651">
        <f ca="1">IFERROR(IF(AA292="NOOS",HLOOKUP(AB292&amp;AD292,PLANNING_FC!$AJ$27:$AY$47,MATCH(STOCK_OVERVIEW!Y292,PLANNING_FC!$AJ$27:$AJ$47,0),FALSE)*1000,HLOOKUP(AB292&amp;AD292,PLANNING_FC!$AJ$4:$AY$24,MATCH(STOCK_OVERVIEW!Y292,PLANNING_FC!$AJ$4:$AJ$24,0),FALSE)*1000),"")</f>
        <v>0</v>
      </c>
      <c r="AL292" s="638"/>
      <c r="AM292" s="638"/>
      <c r="AN292" s="638"/>
      <c r="AO292" s="638"/>
      <c r="AP292" s="638"/>
      <c r="AQ292" s="638"/>
      <c r="AR292" s="638"/>
      <c r="AS292" s="638"/>
    </row>
    <row r="293" spans="1:45" s="61" customFormat="1" x14ac:dyDescent="0.25">
      <c r="A293" s="62"/>
      <c r="F293" s="19"/>
      <c r="J293" s="19"/>
      <c r="N293" s="19"/>
      <c r="R293" s="19"/>
      <c r="S293" s="637"/>
      <c r="T293" s="637"/>
      <c r="U293" s="636"/>
      <c r="V293" s="637"/>
      <c r="W293" s="637"/>
      <c r="X293" s="465" t="str">
        <f t="shared" si="23"/>
        <v>VM</v>
      </c>
      <c r="Y293" s="206" t="str">
        <f t="shared" si="23"/>
        <v>KNIT</v>
      </c>
      <c r="Z293" s="25" t="str">
        <f t="shared" ca="1" si="20"/>
        <v>VMKNIT18/19Jun</v>
      </c>
      <c r="AA293" s="206" t="s">
        <v>197</v>
      </c>
      <c r="AB293" s="206" t="str">
        <f t="shared" ca="1" si="24"/>
        <v>18/19</v>
      </c>
      <c r="AC293" s="206" t="str">
        <f t="shared" ca="1" si="24"/>
        <v>Q4</v>
      </c>
      <c r="AD293" s="206" t="str">
        <f t="shared" ca="1" si="24"/>
        <v>Jun</v>
      </c>
      <c r="AE293" s="649">
        <f ca="1">IFERROR(HLOOKUP($AB293&amp;$AD293,'NWC_FC_NON-NOOS'!$C$4:$Q$24,MATCH($Y293,'NWC_FC_NON-NOOS'!$B$4:$B$24,0),FALSE),"")</f>
        <v>0</v>
      </c>
      <c r="AF293" s="650">
        <f ca="1">IFERROR(HLOOKUP($AB293&amp;$AD293,'NWC_FC_NON-NOOS'!$S$4:$AH$24,MATCH($Y293,'NWC_FC_NON-NOOS'!$S$4:$S$24,0),FALSE),"")</f>
        <v>0</v>
      </c>
      <c r="AG293" s="650">
        <f ca="1">IFERROR(HLOOKUP($AB293&amp;$AD293,'NWC_FC_NON-NOOS'!$B$50:$U$70,MATCH($Y293,'NWC_FC_NON-NOOS'!$B$50:$B$70,0),FALSE),"")</f>
        <v>0</v>
      </c>
      <c r="AH293" s="650">
        <f ca="1">IFERROR(IF($AA293="NOOS",HLOOKUP(STOCK_OVERVIEW!$AB293&amp;STOCK_OVERVIEW!$AD293,PLANNING_FC!$BB$27:$BP$46,MATCH(STOCK_OVERVIEW!$Y293,PLANNING_FC!$BA$27:$BA$46,0),FALSE),HLOOKUP($AB293&amp;$AD293,PLANNING_FC!$BB$4:$BP$23,MATCH(STOCK_OVERVIEW!$Y293,PLANNING_FC!$BA$4:$BA$23,0),FALSE)),"")</f>
        <v>0</v>
      </c>
      <c r="AI293" s="650">
        <f ca="1">IFERROR(IF($AA293="NOOS",HLOOKUP(STOCK_OVERVIEW!$AB293&amp;STOCK_OVERVIEW!$AD293,PLANNING_FC!$T$27:$AH$46,MATCH(STOCK_OVERVIEW!$Y293,PLANNING_FC!$B$27:$B$46,0),FALSE),HLOOKUP($AB293&amp;$AD293,PLANNING_FC!$T$4:$AH$23,MATCH(STOCK_OVERVIEW!$Y293,PLANNING_FC!$B$4:$B$23,0),FALSE)),"")</f>
        <v>0</v>
      </c>
      <c r="AJ293" s="650">
        <f ca="1">IFERROR(IF($AA293="NOOS",HLOOKUP(STOCK_OVERVIEW!$AB293&amp;STOCK_OVERVIEW!$AD293,PLANNING_FC!$DA$27:$DO$46,MATCH(STOCK_OVERVIEW!$Y293,PLANNING_FC!$CZ$27:$CZ$46,0),FALSE),HLOOKUP($AB293&amp;$AD293,PLANNING_FC!$DA$4:$DO$23,MATCH(STOCK_OVERVIEW!$Y293,PLANNING_FC!$CZ$4:$CZ$23,0),FALSE)),"")</f>
        <v>251572</v>
      </c>
      <c r="AK293" s="651">
        <f ca="1">IFERROR(IF(AA293="NOOS",HLOOKUP(AB293&amp;AD293,PLANNING_FC!$AJ$27:$AY$47,MATCH(STOCK_OVERVIEW!Y293,PLANNING_FC!$AJ$27:$AJ$47,0),FALSE)*1000,HLOOKUP(AB293&amp;AD293,PLANNING_FC!$AJ$4:$AY$24,MATCH(STOCK_OVERVIEW!Y293,PLANNING_FC!$AJ$4:$AJ$24,0),FALSE)*1000),"")</f>
        <v>0</v>
      </c>
      <c r="AL293" s="638"/>
      <c r="AM293" s="638"/>
      <c r="AN293" s="638"/>
      <c r="AO293" s="638"/>
      <c r="AP293" s="638"/>
      <c r="AQ293" s="638"/>
      <c r="AR293" s="638"/>
      <c r="AS293" s="638"/>
    </row>
    <row r="294" spans="1:45" s="61" customFormat="1" x14ac:dyDescent="0.25">
      <c r="A294" s="62"/>
      <c r="F294" s="19"/>
      <c r="J294" s="19"/>
      <c r="N294" s="19"/>
      <c r="R294" s="19"/>
      <c r="S294" s="637"/>
      <c r="T294" s="637"/>
      <c r="U294" s="636"/>
      <c r="V294" s="637"/>
      <c r="W294" s="637"/>
      <c r="X294" s="465" t="str">
        <f t="shared" si="23"/>
        <v>VM</v>
      </c>
      <c r="Y294" s="206" t="str">
        <f t="shared" si="23"/>
        <v>KNIT</v>
      </c>
      <c r="Z294" s="25" t="str">
        <f t="shared" ca="1" si="20"/>
        <v>VMKNIT18/19Jul</v>
      </c>
      <c r="AA294" s="206" t="s">
        <v>197</v>
      </c>
      <c r="AB294" s="206" t="str">
        <f t="shared" ca="1" si="24"/>
        <v>18/19</v>
      </c>
      <c r="AC294" s="206" t="str">
        <f t="shared" ca="1" si="24"/>
        <v>Q4</v>
      </c>
      <c r="AD294" s="206" t="str">
        <f t="shared" ca="1" si="24"/>
        <v>Jul</v>
      </c>
      <c r="AE294" s="649">
        <f ca="1">IFERROR(HLOOKUP($AB294&amp;$AD294,'NWC_FC_NON-NOOS'!$C$4:$Q$24,MATCH($Y294,'NWC_FC_NON-NOOS'!$B$4:$B$24,0),FALSE),"")</f>
        <v>0</v>
      </c>
      <c r="AF294" s="650">
        <f ca="1">IFERROR(HLOOKUP($AB294&amp;$AD294,'NWC_FC_NON-NOOS'!$S$4:$AH$24,MATCH($Y294,'NWC_FC_NON-NOOS'!$S$4:$S$24,0),FALSE),"")</f>
        <v>0</v>
      </c>
      <c r="AG294" s="650">
        <f ca="1">IFERROR(HLOOKUP($AB294&amp;$AD294,'NWC_FC_NON-NOOS'!$B$50:$U$70,MATCH($Y294,'NWC_FC_NON-NOOS'!$B$50:$B$70,0),FALSE),"")</f>
        <v>0</v>
      </c>
      <c r="AH294" s="650">
        <f ca="1">IFERROR(IF($AA294="NOOS",HLOOKUP(STOCK_OVERVIEW!$AB294&amp;STOCK_OVERVIEW!$AD294,PLANNING_FC!$BB$27:$BP$46,MATCH(STOCK_OVERVIEW!$Y294,PLANNING_FC!$BA$27:$BA$46,0),FALSE),HLOOKUP($AB294&amp;$AD294,PLANNING_FC!$BB$4:$BP$23,MATCH(STOCK_OVERVIEW!$Y294,PLANNING_FC!$BA$4:$BA$23,0),FALSE)),"")</f>
        <v>0</v>
      </c>
      <c r="AI294" s="650">
        <f ca="1">IFERROR(IF($AA294="NOOS",HLOOKUP(STOCK_OVERVIEW!$AB294&amp;STOCK_OVERVIEW!$AD294,PLANNING_FC!$T$27:$AH$46,MATCH(STOCK_OVERVIEW!$Y294,PLANNING_FC!$B$27:$B$46,0),FALSE),HLOOKUP($AB294&amp;$AD294,PLANNING_FC!$T$4:$AH$23,MATCH(STOCK_OVERVIEW!$Y294,PLANNING_FC!$B$4:$B$23,0),FALSE)),"")</f>
        <v>0</v>
      </c>
      <c r="AJ294" s="650">
        <f ca="1">IFERROR(IF($AA294="NOOS",HLOOKUP(STOCK_OVERVIEW!$AB294&amp;STOCK_OVERVIEW!$AD294,PLANNING_FC!$DA$27:$DO$46,MATCH(STOCK_OVERVIEW!$Y294,PLANNING_FC!$CZ$27:$CZ$46,0),FALSE),HLOOKUP($AB294&amp;$AD294,PLANNING_FC!$DA$4:$DO$23,MATCH(STOCK_OVERVIEW!$Y294,PLANNING_FC!$CZ$4:$CZ$23,0),FALSE)),"")</f>
        <v>251572</v>
      </c>
      <c r="AK294" s="651">
        <f ca="1">IFERROR(IF(AA294="NOOS",HLOOKUP(AB294&amp;AD294,PLANNING_FC!$AJ$27:$AY$47,MATCH(STOCK_OVERVIEW!Y294,PLANNING_FC!$AJ$27:$AJ$47,0),FALSE)*1000,HLOOKUP(AB294&amp;AD294,PLANNING_FC!$AJ$4:$AY$24,MATCH(STOCK_OVERVIEW!Y294,PLANNING_FC!$AJ$4:$AJ$24,0),FALSE)*1000),"")</f>
        <v>0</v>
      </c>
      <c r="AL294" s="638"/>
      <c r="AM294" s="638"/>
      <c r="AN294" s="638"/>
      <c r="AO294" s="638"/>
      <c r="AP294" s="638"/>
      <c r="AQ294" s="638"/>
      <c r="AR294" s="638"/>
      <c r="AS294" s="638"/>
    </row>
    <row r="295" spans="1:45" s="61" customFormat="1" x14ac:dyDescent="0.25">
      <c r="A295" s="62"/>
      <c r="F295" s="19"/>
      <c r="J295" s="19"/>
      <c r="N295" s="19"/>
      <c r="R295" s="19"/>
      <c r="S295" s="637"/>
      <c r="T295" s="637"/>
      <c r="U295" s="636"/>
      <c r="V295" s="637"/>
      <c r="W295" s="637"/>
      <c r="X295" s="465" t="str">
        <f t="shared" si="23"/>
        <v>VM</v>
      </c>
      <c r="Y295" s="206" t="str">
        <f t="shared" si="23"/>
        <v>KNIT</v>
      </c>
      <c r="Z295" s="25" t="str">
        <f t="shared" ca="1" si="20"/>
        <v>VMKNIT19/20Aug</v>
      </c>
      <c r="AA295" s="206" t="s">
        <v>197</v>
      </c>
      <c r="AB295" s="206" t="str">
        <f t="shared" ca="1" si="24"/>
        <v>19/20</v>
      </c>
      <c r="AC295" s="206" t="str">
        <f t="shared" ca="1" si="24"/>
        <v>Q1</v>
      </c>
      <c r="AD295" s="206" t="str">
        <f t="shared" ca="1" si="24"/>
        <v>Aug</v>
      </c>
      <c r="AE295" s="649">
        <f ca="1">IFERROR(HLOOKUP($AB295&amp;$AD295,'NWC_FC_NON-NOOS'!$C$4:$Q$24,MATCH($Y295,'NWC_FC_NON-NOOS'!$B$4:$B$24,0),FALSE),"")</f>
        <v>0</v>
      </c>
      <c r="AF295" s="650">
        <f ca="1">IFERROR(HLOOKUP($AB295&amp;$AD295,'NWC_FC_NON-NOOS'!$S$4:$AH$24,MATCH($Y295,'NWC_FC_NON-NOOS'!$S$4:$S$24,0),FALSE),"")</f>
        <v>0</v>
      </c>
      <c r="AG295" s="650">
        <f ca="1">IFERROR(HLOOKUP($AB295&amp;$AD295,'NWC_FC_NON-NOOS'!$B$50:$U$70,MATCH($Y295,'NWC_FC_NON-NOOS'!$B$50:$B$70,0),FALSE),"")</f>
        <v>0</v>
      </c>
      <c r="AH295" s="650">
        <f ca="1">IFERROR(IF($AA295="NOOS",HLOOKUP(STOCK_OVERVIEW!$AB295&amp;STOCK_OVERVIEW!$AD295,PLANNING_FC!$BB$27:$BP$46,MATCH(STOCK_OVERVIEW!$Y295,PLANNING_FC!$BA$27:$BA$46,0),FALSE),HLOOKUP($AB295&amp;$AD295,PLANNING_FC!$BB$4:$BP$23,MATCH(STOCK_OVERVIEW!$Y295,PLANNING_FC!$BA$4:$BA$23,0),FALSE)),"")</f>
        <v>0</v>
      </c>
      <c r="AI295" s="650">
        <f ca="1">IFERROR(IF($AA295="NOOS",HLOOKUP(STOCK_OVERVIEW!$AB295&amp;STOCK_OVERVIEW!$AD295,PLANNING_FC!$T$27:$AH$46,MATCH(STOCK_OVERVIEW!$Y295,PLANNING_FC!$B$27:$B$46,0),FALSE),HLOOKUP($AB295&amp;$AD295,PLANNING_FC!$T$4:$AH$23,MATCH(STOCK_OVERVIEW!$Y295,PLANNING_FC!$B$4:$B$23,0),FALSE)),"")</f>
        <v>0</v>
      </c>
      <c r="AJ295" s="650">
        <f ca="1">IFERROR(IF($AA295="NOOS",HLOOKUP(STOCK_OVERVIEW!$AB295&amp;STOCK_OVERVIEW!$AD295,PLANNING_FC!$DA$27:$DO$46,MATCH(STOCK_OVERVIEW!$Y295,PLANNING_FC!$CZ$27:$CZ$46,0),FALSE),HLOOKUP($AB295&amp;$AD295,PLANNING_FC!$DA$4:$DO$23,MATCH(STOCK_OVERVIEW!$Y295,PLANNING_FC!$CZ$4:$CZ$23,0),FALSE)),"")</f>
        <v>251572</v>
      </c>
      <c r="AK295" s="651">
        <f ca="1">IFERROR(IF(AA295="NOOS",HLOOKUP(AB295&amp;AD295,PLANNING_FC!$AJ$27:$AY$47,MATCH(STOCK_OVERVIEW!Y295,PLANNING_FC!$AJ$27:$AJ$47,0),FALSE)*1000,HLOOKUP(AB295&amp;AD295,PLANNING_FC!$AJ$4:$AY$24,MATCH(STOCK_OVERVIEW!Y295,PLANNING_FC!$AJ$4:$AJ$24,0),FALSE)*1000),"")</f>
        <v>0</v>
      </c>
      <c r="AL295" s="638"/>
      <c r="AM295" s="638"/>
      <c r="AN295" s="638"/>
      <c r="AO295" s="638"/>
      <c r="AP295" s="638"/>
      <c r="AQ295" s="638"/>
      <c r="AR295" s="638"/>
      <c r="AS295" s="638"/>
    </row>
    <row r="296" spans="1:45" s="61" customFormat="1" x14ac:dyDescent="0.25">
      <c r="A296" s="62"/>
      <c r="F296" s="19"/>
      <c r="J296" s="19"/>
      <c r="N296" s="19"/>
      <c r="R296" s="19"/>
      <c r="S296" s="637"/>
      <c r="T296" s="637"/>
      <c r="U296" s="636"/>
      <c r="V296" s="637"/>
      <c r="W296" s="637"/>
      <c r="X296" s="465" t="str">
        <f t="shared" si="23"/>
        <v>VM</v>
      </c>
      <c r="Y296" s="206" t="str">
        <f t="shared" si="23"/>
        <v>KNIT</v>
      </c>
      <c r="Z296" s="25" t="str">
        <f t="shared" ca="1" si="20"/>
        <v>VMKNIT19/20Sep</v>
      </c>
      <c r="AA296" s="206" t="s">
        <v>197</v>
      </c>
      <c r="AB296" s="206" t="str">
        <f t="shared" ca="1" si="24"/>
        <v>19/20</v>
      </c>
      <c r="AC296" s="206" t="str">
        <f t="shared" ca="1" si="24"/>
        <v>Q1</v>
      </c>
      <c r="AD296" s="206" t="str">
        <f t="shared" ca="1" si="24"/>
        <v>Sep</v>
      </c>
      <c r="AE296" s="649">
        <f ca="1">IFERROR(HLOOKUP($AB296&amp;$AD296,'NWC_FC_NON-NOOS'!$C$4:$Q$24,MATCH($Y296,'NWC_FC_NON-NOOS'!$B$4:$B$24,0),FALSE),"")</f>
        <v>0</v>
      </c>
      <c r="AF296" s="650">
        <f ca="1">IFERROR(HLOOKUP($AB296&amp;$AD296,'NWC_FC_NON-NOOS'!$S$4:$AH$24,MATCH($Y296,'NWC_FC_NON-NOOS'!$S$4:$S$24,0),FALSE),"")</f>
        <v>0</v>
      </c>
      <c r="AG296" s="650">
        <f ca="1">IFERROR(HLOOKUP($AB296&amp;$AD296,'NWC_FC_NON-NOOS'!$B$50:$U$70,MATCH($Y296,'NWC_FC_NON-NOOS'!$B$50:$B$70,0),FALSE),"")</f>
        <v>0</v>
      </c>
      <c r="AH296" s="650">
        <f ca="1">IFERROR(IF($AA296="NOOS",HLOOKUP(STOCK_OVERVIEW!$AB296&amp;STOCK_OVERVIEW!$AD296,PLANNING_FC!$BB$27:$BP$46,MATCH(STOCK_OVERVIEW!$Y296,PLANNING_FC!$BA$27:$BA$46,0),FALSE),HLOOKUP($AB296&amp;$AD296,PLANNING_FC!$BB$4:$BP$23,MATCH(STOCK_OVERVIEW!$Y296,PLANNING_FC!$BA$4:$BA$23,0),FALSE)),"")</f>
        <v>0</v>
      </c>
      <c r="AI296" s="650">
        <f ca="1">IFERROR(IF($AA296="NOOS",HLOOKUP(STOCK_OVERVIEW!$AB296&amp;STOCK_OVERVIEW!$AD296,PLANNING_FC!$T$27:$AH$46,MATCH(STOCK_OVERVIEW!$Y296,PLANNING_FC!$B$27:$B$46,0),FALSE),HLOOKUP($AB296&amp;$AD296,PLANNING_FC!$T$4:$AH$23,MATCH(STOCK_OVERVIEW!$Y296,PLANNING_FC!$B$4:$B$23,0),FALSE)),"")</f>
        <v>0</v>
      </c>
      <c r="AJ296" s="650">
        <f ca="1">IFERROR(IF($AA296="NOOS",HLOOKUP(STOCK_OVERVIEW!$AB296&amp;STOCK_OVERVIEW!$AD296,PLANNING_FC!$DA$27:$DO$46,MATCH(STOCK_OVERVIEW!$Y296,PLANNING_FC!$CZ$27:$CZ$46,0),FALSE),HLOOKUP($AB296&amp;$AD296,PLANNING_FC!$DA$4:$DO$23,MATCH(STOCK_OVERVIEW!$Y296,PLANNING_FC!$CZ$4:$CZ$23,0),FALSE)),"")</f>
        <v>251572</v>
      </c>
      <c r="AK296" s="651">
        <f ca="1">IFERROR(IF(AA296="NOOS",HLOOKUP(AB296&amp;AD296,PLANNING_FC!$AJ$27:$AY$47,MATCH(STOCK_OVERVIEW!Y296,PLANNING_FC!$AJ$27:$AJ$47,0),FALSE)*1000,HLOOKUP(AB296&amp;AD296,PLANNING_FC!$AJ$4:$AY$24,MATCH(STOCK_OVERVIEW!Y296,PLANNING_FC!$AJ$4:$AJ$24,0),FALSE)*1000),"")</f>
        <v>0</v>
      </c>
      <c r="AL296" s="638"/>
      <c r="AM296" s="638"/>
      <c r="AN296" s="638"/>
      <c r="AO296" s="638"/>
      <c r="AP296" s="638"/>
      <c r="AQ296" s="638"/>
      <c r="AR296" s="638"/>
      <c r="AS296" s="638"/>
    </row>
    <row r="297" spans="1:45" s="61" customFormat="1" x14ac:dyDescent="0.25">
      <c r="A297" s="62"/>
      <c r="F297" s="19"/>
      <c r="J297" s="19"/>
      <c r="N297" s="19"/>
      <c r="R297" s="19"/>
      <c r="S297" s="637"/>
      <c r="T297" s="637"/>
      <c r="U297" s="636"/>
      <c r="V297" s="637"/>
      <c r="W297" s="637"/>
      <c r="X297" s="465" t="str">
        <f t="shared" si="23"/>
        <v>VM</v>
      </c>
      <c r="Y297" s="206" t="str">
        <f t="shared" si="23"/>
        <v>KNIT</v>
      </c>
      <c r="Z297" s="25" t="str">
        <f t="shared" ca="1" si="20"/>
        <v>VMKNIT19/20Oct</v>
      </c>
      <c r="AA297" s="206" t="s">
        <v>197</v>
      </c>
      <c r="AB297" s="206" t="str">
        <f t="shared" ca="1" si="24"/>
        <v>19/20</v>
      </c>
      <c r="AC297" s="206" t="str">
        <f t="shared" ca="1" si="24"/>
        <v>Q1</v>
      </c>
      <c r="AD297" s="206" t="str">
        <f t="shared" ca="1" si="24"/>
        <v>Oct</v>
      </c>
      <c r="AE297" s="649">
        <f ca="1">IFERROR(HLOOKUP($AB297&amp;$AD297,'NWC_FC_NON-NOOS'!$C$4:$Q$24,MATCH($Y297,'NWC_FC_NON-NOOS'!$B$4:$B$24,0),FALSE),"")</f>
        <v>0</v>
      </c>
      <c r="AF297" s="650">
        <f ca="1">IFERROR(HLOOKUP($AB297&amp;$AD297,'NWC_FC_NON-NOOS'!$S$4:$AH$24,MATCH($Y297,'NWC_FC_NON-NOOS'!$S$4:$S$24,0),FALSE),"")</f>
        <v>0</v>
      </c>
      <c r="AG297" s="650">
        <f ca="1">IFERROR(HLOOKUP($AB297&amp;$AD297,'NWC_FC_NON-NOOS'!$B$50:$U$70,MATCH($Y297,'NWC_FC_NON-NOOS'!$B$50:$B$70,0),FALSE),"")</f>
        <v>0</v>
      </c>
      <c r="AH297" s="650">
        <f ca="1">IFERROR(IF($AA297="NOOS",HLOOKUP(STOCK_OVERVIEW!$AB297&amp;STOCK_OVERVIEW!$AD297,PLANNING_FC!$BB$27:$BP$46,MATCH(STOCK_OVERVIEW!$Y297,PLANNING_FC!$BA$27:$BA$46,0),FALSE),HLOOKUP($AB297&amp;$AD297,PLANNING_FC!$BB$4:$BP$23,MATCH(STOCK_OVERVIEW!$Y297,PLANNING_FC!$BA$4:$BA$23,0),FALSE)),"")</f>
        <v>0</v>
      </c>
      <c r="AI297" s="650">
        <f ca="1">IFERROR(IF($AA297="NOOS",HLOOKUP(STOCK_OVERVIEW!$AB297&amp;STOCK_OVERVIEW!$AD297,PLANNING_FC!$T$27:$AH$46,MATCH(STOCK_OVERVIEW!$Y297,PLANNING_FC!$B$27:$B$46,0),FALSE),HLOOKUP($AB297&amp;$AD297,PLANNING_FC!$T$4:$AH$23,MATCH(STOCK_OVERVIEW!$Y297,PLANNING_FC!$B$4:$B$23,0),FALSE)),"")</f>
        <v>0</v>
      </c>
      <c r="AJ297" s="650">
        <f ca="1">IFERROR(IF($AA297="NOOS",HLOOKUP(STOCK_OVERVIEW!$AB297&amp;STOCK_OVERVIEW!$AD297,PLANNING_FC!$DA$27:$DO$46,MATCH(STOCK_OVERVIEW!$Y297,PLANNING_FC!$CZ$27:$CZ$46,0),FALSE),HLOOKUP($AB297&amp;$AD297,PLANNING_FC!$DA$4:$DO$23,MATCH(STOCK_OVERVIEW!$Y297,PLANNING_FC!$CZ$4:$CZ$23,0),FALSE)),"")</f>
        <v>251572</v>
      </c>
      <c r="AK297" s="651">
        <f ca="1">IFERROR(IF(AA297="NOOS",HLOOKUP(AB297&amp;AD297,PLANNING_FC!$AJ$27:$AY$47,MATCH(STOCK_OVERVIEW!Y297,PLANNING_FC!$AJ$27:$AJ$47,0),FALSE)*1000,HLOOKUP(AB297&amp;AD297,PLANNING_FC!$AJ$4:$AY$24,MATCH(STOCK_OVERVIEW!Y297,PLANNING_FC!$AJ$4:$AJ$24,0),FALSE)*1000),"")</f>
        <v>0</v>
      </c>
      <c r="AL297" s="638"/>
      <c r="AM297" s="638"/>
      <c r="AN297" s="638"/>
      <c r="AO297" s="638"/>
      <c r="AP297" s="638"/>
      <c r="AQ297" s="638"/>
      <c r="AR297" s="638"/>
      <c r="AS297" s="638"/>
    </row>
    <row r="298" spans="1:45" s="61" customFormat="1" x14ac:dyDescent="0.25">
      <c r="A298" s="62"/>
      <c r="F298" s="19"/>
      <c r="J298" s="19"/>
      <c r="N298" s="19"/>
      <c r="R298" s="19"/>
      <c r="S298" s="637"/>
      <c r="T298" s="637"/>
      <c r="U298" s="636"/>
      <c r="V298" s="637"/>
      <c r="W298" s="637"/>
      <c r="X298" s="465" t="str">
        <f t="shared" si="23"/>
        <v>VM</v>
      </c>
      <c r="Y298" s="206" t="str">
        <f t="shared" si="23"/>
        <v>KNIT</v>
      </c>
      <c r="Z298" s="25" t="str">
        <f t="shared" ca="1" si="20"/>
        <v>VMKNIT19/20Nov</v>
      </c>
      <c r="AA298" s="206" t="s">
        <v>197</v>
      </c>
      <c r="AB298" s="206" t="str">
        <f t="shared" ca="1" si="24"/>
        <v>19/20</v>
      </c>
      <c r="AC298" s="206" t="str">
        <f t="shared" ca="1" si="24"/>
        <v>Q2</v>
      </c>
      <c r="AD298" s="206" t="str">
        <f t="shared" ca="1" si="24"/>
        <v>Nov</v>
      </c>
      <c r="AE298" s="649">
        <f ca="1">IFERROR(HLOOKUP($AB298&amp;$AD298,'NWC_FC_NON-NOOS'!$C$4:$Q$24,MATCH($Y298,'NWC_FC_NON-NOOS'!$B$4:$B$24,0),FALSE),"")</f>
        <v>0</v>
      </c>
      <c r="AF298" s="650">
        <f ca="1">IFERROR(HLOOKUP($AB298&amp;$AD298,'NWC_FC_NON-NOOS'!$S$4:$AH$24,MATCH($Y298,'NWC_FC_NON-NOOS'!$S$4:$S$24,0),FALSE),"")</f>
        <v>0</v>
      </c>
      <c r="AG298" s="650">
        <f ca="1">IFERROR(HLOOKUP($AB298&amp;$AD298,'NWC_FC_NON-NOOS'!$B$50:$U$70,MATCH($Y298,'NWC_FC_NON-NOOS'!$B$50:$B$70,0),FALSE),"")</f>
        <v>0</v>
      </c>
      <c r="AH298" s="650">
        <f ca="1">IFERROR(IF($AA298="NOOS",HLOOKUP(STOCK_OVERVIEW!$AB298&amp;STOCK_OVERVIEW!$AD298,PLANNING_FC!$BB$27:$BP$46,MATCH(STOCK_OVERVIEW!$Y298,PLANNING_FC!$BA$27:$BA$46,0),FALSE),HLOOKUP($AB298&amp;$AD298,PLANNING_FC!$BB$4:$BP$23,MATCH(STOCK_OVERVIEW!$Y298,PLANNING_FC!$BA$4:$BA$23,0),FALSE)),"")</f>
        <v>0</v>
      </c>
      <c r="AI298" s="650">
        <f ca="1">IFERROR(IF($AA298="NOOS",HLOOKUP(STOCK_OVERVIEW!$AB298&amp;STOCK_OVERVIEW!$AD298,PLANNING_FC!$T$27:$AH$46,MATCH(STOCK_OVERVIEW!$Y298,PLANNING_FC!$B$27:$B$46,0),FALSE),HLOOKUP($AB298&amp;$AD298,PLANNING_FC!$T$4:$AH$23,MATCH(STOCK_OVERVIEW!$Y298,PLANNING_FC!$B$4:$B$23,0),FALSE)),"")</f>
        <v>0</v>
      </c>
      <c r="AJ298" s="650">
        <f ca="1">IFERROR(IF($AA298="NOOS",HLOOKUP(STOCK_OVERVIEW!$AB298&amp;STOCK_OVERVIEW!$AD298,PLANNING_FC!$DA$27:$DO$46,MATCH(STOCK_OVERVIEW!$Y298,PLANNING_FC!$CZ$27:$CZ$46,0),FALSE),HLOOKUP($AB298&amp;$AD298,PLANNING_FC!$DA$4:$DO$23,MATCH(STOCK_OVERVIEW!$Y298,PLANNING_FC!$CZ$4:$CZ$23,0),FALSE)),"")</f>
        <v>251572</v>
      </c>
      <c r="AK298" s="651">
        <f ca="1">IFERROR(IF(AA298="NOOS",HLOOKUP(AB298&amp;AD298,PLANNING_FC!$AJ$27:$AY$47,MATCH(STOCK_OVERVIEW!Y298,PLANNING_FC!$AJ$27:$AJ$47,0),FALSE)*1000,HLOOKUP(AB298&amp;AD298,PLANNING_FC!$AJ$4:$AY$24,MATCH(STOCK_OVERVIEW!Y298,PLANNING_FC!$AJ$4:$AJ$24,0),FALSE)*1000),"")</f>
        <v>0</v>
      </c>
      <c r="AL298" s="638"/>
      <c r="AM298" s="638"/>
      <c r="AN298" s="638"/>
      <c r="AO298" s="638"/>
      <c r="AP298" s="638"/>
      <c r="AQ298" s="638"/>
      <c r="AR298" s="638"/>
      <c r="AS298" s="638"/>
    </row>
    <row r="299" spans="1:45" s="61" customFormat="1" x14ac:dyDescent="0.25">
      <c r="A299" s="62"/>
      <c r="F299" s="19"/>
      <c r="J299" s="19"/>
      <c r="N299" s="19"/>
      <c r="R299" s="19"/>
      <c r="S299" s="637"/>
      <c r="T299" s="637"/>
      <c r="U299" s="636"/>
      <c r="V299" s="637"/>
      <c r="W299" s="637"/>
      <c r="X299" s="465" t="str">
        <f t="shared" ref="X299:Y303" si="25">X59</f>
        <v>VM</v>
      </c>
      <c r="Y299" s="206" t="str">
        <f t="shared" si="25"/>
        <v>KNIT</v>
      </c>
      <c r="Z299" s="25" t="str">
        <f t="shared" ca="1" si="20"/>
        <v>VMKNIT19/20Dec</v>
      </c>
      <c r="AA299" s="206" t="s">
        <v>197</v>
      </c>
      <c r="AB299" s="206" t="str">
        <f t="shared" ref="AB299:AD303" ca="1" si="26">AB59</f>
        <v>19/20</v>
      </c>
      <c r="AC299" s="206" t="str">
        <f t="shared" ca="1" si="26"/>
        <v>Q2</v>
      </c>
      <c r="AD299" s="206" t="str">
        <f t="shared" ca="1" si="26"/>
        <v>Dec</v>
      </c>
      <c r="AE299" s="649">
        <f ca="1">IFERROR(HLOOKUP($AB299&amp;$AD299,'NWC_FC_NON-NOOS'!$C$4:$Q$24,MATCH($Y299,'NWC_FC_NON-NOOS'!$B$4:$B$24,0),FALSE),"")</f>
        <v>0</v>
      </c>
      <c r="AF299" s="650">
        <f ca="1">IFERROR(HLOOKUP($AB299&amp;$AD299,'NWC_FC_NON-NOOS'!$S$4:$AH$24,MATCH($Y299,'NWC_FC_NON-NOOS'!$S$4:$S$24,0),FALSE),"")</f>
        <v>0</v>
      </c>
      <c r="AG299" s="650">
        <f ca="1">IFERROR(HLOOKUP($AB299&amp;$AD299,'NWC_FC_NON-NOOS'!$B$50:$U$70,MATCH($Y299,'NWC_FC_NON-NOOS'!$B$50:$B$70,0),FALSE),"")</f>
        <v>0</v>
      </c>
      <c r="AH299" s="650">
        <f ca="1">IFERROR(IF($AA299="NOOS",HLOOKUP(STOCK_OVERVIEW!$AB299&amp;STOCK_OVERVIEW!$AD299,PLANNING_FC!$BB$27:$BP$46,MATCH(STOCK_OVERVIEW!$Y299,PLANNING_FC!$BA$27:$BA$46,0),FALSE),HLOOKUP($AB299&amp;$AD299,PLANNING_FC!$BB$4:$BP$23,MATCH(STOCK_OVERVIEW!$Y299,PLANNING_FC!$BA$4:$BA$23,0),FALSE)),"")</f>
        <v>0</v>
      </c>
      <c r="AI299" s="650">
        <f ca="1">IFERROR(IF($AA299="NOOS",HLOOKUP(STOCK_OVERVIEW!$AB299&amp;STOCK_OVERVIEW!$AD299,PLANNING_FC!$T$27:$AH$46,MATCH(STOCK_OVERVIEW!$Y299,PLANNING_FC!$B$27:$B$46,0),FALSE),HLOOKUP($AB299&amp;$AD299,PLANNING_FC!$T$4:$AH$23,MATCH(STOCK_OVERVIEW!$Y299,PLANNING_FC!$B$4:$B$23,0),FALSE)),"")</f>
        <v>0</v>
      </c>
      <c r="AJ299" s="650">
        <f ca="1">IFERROR(IF($AA299="NOOS",HLOOKUP(STOCK_OVERVIEW!$AB299&amp;STOCK_OVERVIEW!$AD299,PLANNING_FC!$DA$27:$DO$46,MATCH(STOCK_OVERVIEW!$Y299,PLANNING_FC!$CZ$27:$CZ$46,0),FALSE),HLOOKUP($AB299&amp;$AD299,PLANNING_FC!$DA$4:$DO$23,MATCH(STOCK_OVERVIEW!$Y299,PLANNING_FC!$CZ$4:$CZ$23,0),FALSE)),"")</f>
        <v>251572</v>
      </c>
      <c r="AK299" s="651">
        <f ca="1">IFERROR(IF(AA299="NOOS",HLOOKUP(AB299&amp;AD299,PLANNING_FC!$AJ$27:$AY$47,MATCH(STOCK_OVERVIEW!Y299,PLANNING_FC!$AJ$27:$AJ$47,0),FALSE)*1000,HLOOKUP(AB299&amp;AD299,PLANNING_FC!$AJ$4:$AY$24,MATCH(STOCK_OVERVIEW!Y299,PLANNING_FC!$AJ$4:$AJ$24,0),FALSE)*1000),"")</f>
        <v>0</v>
      </c>
      <c r="AL299" s="638"/>
      <c r="AM299" s="638"/>
      <c r="AN299" s="638"/>
      <c r="AO299" s="638"/>
      <c r="AP299" s="638"/>
      <c r="AQ299" s="638"/>
      <c r="AR299" s="638"/>
      <c r="AS299" s="638"/>
    </row>
    <row r="300" spans="1:45" s="61" customFormat="1" x14ac:dyDescent="0.25">
      <c r="A300" s="62"/>
      <c r="F300" s="19"/>
      <c r="J300" s="19"/>
      <c r="N300" s="19"/>
      <c r="R300" s="19"/>
      <c r="S300" s="637"/>
      <c r="T300" s="637"/>
      <c r="U300" s="636"/>
      <c r="V300" s="637"/>
      <c r="W300" s="637"/>
      <c r="X300" s="465" t="str">
        <f t="shared" si="25"/>
        <v>VM</v>
      </c>
      <c r="Y300" s="206" t="str">
        <f t="shared" si="25"/>
        <v>KNIT</v>
      </c>
      <c r="Z300" s="25" t="str">
        <f t="shared" ca="1" si="20"/>
        <v>VMKNIT19/20Jan</v>
      </c>
      <c r="AA300" s="206" t="s">
        <v>197</v>
      </c>
      <c r="AB300" s="206" t="str">
        <f t="shared" ca="1" si="26"/>
        <v>19/20</v>
      </c>
      <c r="AC300" s="206" t="str">
        <f t="shared" ca="1" si="26"/>
        <v>Q2</v>
      </c>
      <c r="AD300" s="206" t="str">
        <f t="shared" ca="1" si="26"/>
        <v>Jan</v>
      </c>
      <c r="AE300" s="649">
        <f ca="1">IFERROR(HLOOKUP($AB300&amp;$AD300,'NWC_FC_NON-NOOS'!$C$4:$Q$24,MATCH($Y300,'NWC_FC_NON-NOOS'!$B$4:$B$24,0),FALSE),"")</f>
        <v>0</v>
      </c>
      <c r="AF300" s="650">
        <f ca="1">IFERROR(HLOOKUP($AB300&amp;$AD300,'NWC_FC_NON-NOOS'!$S$4:$AH$24,MATCH($Y300,'NWC_FC_NON-NOOS'!$S$4:$S$24,0),FALSE),"")</f>
        <v>0</v>
      </c>
      <c r="AG300" s="650">
        <f ca="1">IFERROR(HLOOKUP($AB300&amp;$AD300,'NWC_FC_NON-NOOS'!$B$50:$U$70,MATCH($Y300,'NWC_FC_NON-NOOS'!$B$50:$B$70,0),FALSE),"")</f>
        <v>0</v>
      </c>
      <c r="AH300" s="650">
        <f ca="1">IFERROR(IF($AA300="NOOS",HLOOKUP(STOCK_OVERVIEW!$AB300&amp;STOCK_OVERVIEW!$AD300,PLANNING_FC!$BB$27:$BP$46,MATCH(STOCK_OVERVIEW!$Y300,PLANNING_FC!$BA$27:$BA$46,0),FALSE),HLOOKUP($AB300&amp;$AD300,PLANNING_FC!$BB$4:$BP$23,MATCH(STOCK_OVERVIEW!$Y300,PLANNING_FC!$BA$4:$BA$23,0),FALSE)),"")</f>
        <v>0</v>
      </c>
      <c r="AI300" s="650">
        <f ca="1">IFERROR(IF($AA300="NOOS",HLOOKUP(STOCK_OVERVIEW!$AB300&amp;STOCK_OVERVIEW!$AD300,PLANNING_FC!$T$27:$AH$46,MATCH(STOCK_OVERVIEW!$Y300,PLANNING_FC!$B$27:$B$46,0),FALSE),HLOOKUP($AB300&amp;$AD300,PLANNING_FC!$T$4:$AH$23,MATCH(STOCK_OVERVIEW!$Y300,PLANNING_FC!$B$4:$B$23,0),FALSE)),"")</f>
        <v>0</v>
      </c>
      <c r="AJ300" s="650">
        <f ca="1">IFERROR(IF($AA300="NOOS",HLOOKUP(STOCK_OVERVIEW!$AB300&amp;STOCK_OVERVIEW!$AD300,PLANNING_FC!$DA$27:$DO$46,MATCH(STOCK_OVERVIEW!$Y300,PLANNING_FC!$CZ$27:$CZ$46,0),FALSE),HLOOKUP($AB300&amp;$AD300,PLANNING_FC!$DA$4:$DO$23,MATCH(STOCK_OVERVIEW!$Y300,PLANNING_FC!$CZ$4:$CZ$23,0),FALSE)),"")</f>
        <v>251572</v>
      </c>
      <c r="AK300" s="651">
        <f ca="1">IFERROR(IF(AA300="NOOS",HLOOKUP(AB300&amp;AD300,PLANNING_FC!$AJ$27:$AY$47,MATCH(STOCK_OVERVIEW!Y300,PLANNING_FC!$AJ$27:$AJ$47,0),FALSE)*1000,HLOOKUP(AB300&amp;AD300,PLANNING_FC!$AJ$4:$AY$24,MATCH(STOCK_OVERVIEW!Y300,PLANNING_FC!$AJ$4:$AJ$24,0),FALSE)*1000),"")</f>
        <v>0</v>
      </c>
      <c r="AL300" s="638"/>
      <c r="AM300" s="638"/>
      <c r="AN300" s="638"/>
      <c r="AO300" s="638"/>
      <c r="AP300" s="638"/>
      <c r="AQ300" s="638"/>
      <c r="AR300" s="638"/>
      <c r="AS300" s="638"/>
    </row>
    <row r="301" spans="1:45" s="61" customFormat="1" x14ac:dyDescent="0.25">
      <c r="A301" s="62"/>
      <c r="F301" s="19"/>
      <c r="J301" s="19"/>
      <c r="N301" s="19"/>
      <c r="R301" s="19"/>
      <c r="S301" s="637"/>
      <c r="T301" s="637"/>
      <c r="U301" s="636"/>
      <c r="V301" s="637"/>
      <c r="W301" s="637"/>
      <c r="X301" s="465" t="str">
        <f t="shared" si="25"/>
        <v>VM</v>
      </c>
      <c r="Y301" s="206" t="str">
        <f t="shared" si="25"/>
        <v>KNIT</v>
      </c>
      <c r="Z301" s="25" t="str">
        <f t="shared" ca="1" si="20"/>
        <v>VMKNIT19/20Feb</v>
      </c>
      <c r="AA301" s="206" t="s">
        <v>197</v>
      </c>
      <c r="AB301" s="206" t="str">
        <f t="shared" ca="1" si="26"/>
        <v>19/20</v>
      </c>
      <c r="AC301" s="206" t="str">
        <f t="shared" ca="1" si="26"/>
        <v>Q3</v>
      </c>
      <c r="AD301" s="206" t="str">
        <f t="shared" ca="1" si="26"/>
        <v>Feb</v>
      </c>
      <c r="AE301" s="649" t="str">
        <f ca="1">IFERROR(HLOOKUP($AB301&amp;$AD301,'NWC_FC_NON-NOOS'!$C$4:$Q$24,MATCH($Y301,'NWC_FC_NON-NOOS'!$B$4:$B$24,0),FALSE),"")</f>
        <v/>
      </c>
      <c r="AF301" s="650" t="str">
        <f ca="1">IFERROR(HLOOKUP($AB301&amp;$AD301,'NWC_FC_NON-NOOS'!$S$4:$AH$24,MATCH($Y301,'NWC_FC_NON-NOOS'!$S$4:$S$24,0),FALSE),"")</f>
        <v/>
      </c>
      <c r="AG301" s="650">
        <f ca="1">IFERROR(HLOOKUP($AB301&amp;$AD301,'NWC_FC_NON-NOOS'!$B$50:$U$70,MATCH($Y301,'NWC_FC_NON-NOOS'!$B$50:$B$70,0),FALSE),"")</f>
        <v>0</v>
      </c>
      <c r="AH301" s="650" t="str">
        <f ca="1">IFERROR(IF($AA301="NOOS",HLOOKUP(STOCK_OVERVIEW!$AB301&amp;STOCK_OVERVIEW!$AD301,PLANNING_FC!$BB$27:$BP$46,MATCH(STOCK_OVERVIEW!$Y301,PLANNING_FC!$BA$27:$BA$46,0),FALSE),HLOOKUP($AB301&amp;$AD301,PLANNING_FC!$BB$4:$BP$23,MATCH(STOCK_OVERVIEW!$Y301,PLANNING_FC!$BA$4:$BA$23,0),FALSE)),"")</f>
        <v/>
      </c>
      <c r="AI301" s="650" t="str">
        <f ca="1">IFERROR(IF($AA301="NOOS",HLOOKUP(STOCK_OVERVIEW!$AB301&amp;STOCK_OVERVIEW!$AD301,PLANNING_FC!$T$27:$AH$46,MATCH(STOCK_OVERVIEW!$Y301,PLANNING_FC!$B$27:$B$46,0),FALSE),HLOOKUP($AB301&amp;$AD301,PLANNING_FC!$T$4:$AH$23,MATCH(STOCK_OVERVIEW!$Y301,PLANNING_FC!$B$4:$B$23,0),FALSE)),"")</f>
        <v/>
      </c>
      <c r="AJ301" s="650" t="str">
        <f ca="1">IFERROR(IF($AA301="NOOS",HLOOKUP(STOCK_OVERVIEW!$AB301&amp;STOCK_OVERVIEW!$AD301,PLANNING_FC!$DA$27:$DO$46,MATCH(STOCK_OVERVIEW!$Y301,PLANNING_FC!$CZ$27:$CZ$46,0),FALSE),HLOOKUP($AB301&amp;$AD301,PLANNING_FC!$DA$4:$DO$23,MATCH(STOCK_OVERVIEW!$Y301,PLANNING_FC!$CZ$4:$CZ$23,0),FALSE)),"")</f>
        <v/>
      </c>
      <c r="AK301" s="651" t="str">
        <f ca="1">IFERROR(IF(AA301="NOOS",HLOOKUP(AB301&amp;AD301,PLANNING_FC!$AJ$27:$AY$47,MATCH(STOCK_OVERVIEW!Y301,PLANNING_FC!$AJ$27:$AJ$47,0),FALSE)*1000,HLOOKUP(AB301&amp;AD301,PLANNING_FC!$AJ$4:$AY$24,MATCH(STOCK_OVERVIEW!Y301,PLANNING_FC!$AJ$4:$AJ$24,0),FALSE)*1000),"")</f>
        <v/>
      </c>
      <c r="AL301" s="638"/>
      <c r="AM301" s="638"/>
      <c r="AN301" s="638"/>
      <c r="AO301" s="638"/>
      <c r="AP301" s="638"/>
      <c r="AQ301" s="638"/>
      <c r="AR301" s="638"/>
      <c r="AS301" s="638"/>
    </row>
    <row r="302" spans="1:45" s="61" customFormat="1" x14ac:dyDescent="0.25">
      <c r="A302" s="62"/>
      <c r="F302" s="19"/>
      <c r="J302" s="19"/>
      <c r="N302" s="19"/>
      <c r="R302" s="19"/>
      <c r="S302" s="637"/>
      <c r="T302" s="637"/>
      <c r="U302" s="636"/>
      <c r="V302" s="637"/>
      <c r="W302" s="637"/>
      <c r="X302" s="465" t="str">
        <f t="shared" si="25"/>
        <v>VM</v>
      </c>
      <c r="Y302" s="206" t="str">
        <f t="shared" si="25"/>
        <v>KNIT</v>
      </c>
      <c r="Z302" s="25" t="str">
        <f t="shared" ca="1" si="20"/>
        <v>VMKNIT19/20Mar</v>
      </c>
      <c r="AA302" s="206" t="s">
        <v>197</v>
      </c>
      <c r="AB302" s="206" t="str">
        <f t="shared" ca="1" si="26"/>
        <v>19/20</v>
      </c>
      <c r="AC302" s="206" t="str">
        <f t="shared" ca="1" si="26"/>
        <v>Q3</v>
      </c>
      <c r="AD302" s="206" t="str">
        <f t="shared" ca="1" si="26"/>
        <v>Mar</v>
      </c>
      <c r="AE302" s="649" t="str">
        <f ca="1">IFERROR(HLOOKUP($AB302&amp;$AD302,'NWC_FC_NON-NOOS'!$C$4:$Q$24,MATCH($Y302,'NWC_FC_NON-NOOS'!$B$4:$B$24,0),FALSE),"")</f>
        <v/>
      </c>
      <c r="AF302" s="650" t="str">
        <f ca="1">IFERROR(HLOOKUP($AB302&amp;$AD302,'NWC_FC_NON-NOOS'!$S$4:$AH$24,MATCH($Y302,'NWC_FC_NON-NOOS'!$S$4:$S$24,0),FALSE),"")</f>
        <v/>
      </c>
      <c r="AG302" s="650">
        <f ca="1">IFERROR(HLOOKUP($AB302&amp;$AD302,'NWC_FC_NON-NOOS'!$B$50:$U$70,MATCH($Y302,'NWC_FC_NON-NOOS'!$B$50:$B$70,0),FALSE),"")</f>
        <v>0</v>
      </c>
      <c r="AH302" s="650" t="str">
        <f ca="1">IFERROR(IF($AA302="NOOS",HLOOKUP(STOCK_OVERVIEW!$AB302&amp;STOCK_OVERVIEW!$AD302,PLANNING_FC!$BB$27:$BP$46,MATCH(STOCK_OVERVIEW!$Y302,PLANNING_FC!$BA$27:$BA$46,0),FALSE),HLOOKUP($AB302&amp;$AD302,PLANNING_FC!$BB$4:$BP$23,MATCH(STOCK_OVERVIEW!$Y302,PLANNING_FC!$BA$4:$BA$23,0),FALSE)),"")</f>
        <v/>
      </c>
      <c r="AI302" s="650" t="str">
        <f ca="1">IFERROR(IF($AA302="NOOS",HLOOKUP(STOCK_OVERVIEW!$AB302&amp;STOCK_OVERVIEW!$AD302,PLANNING_FC!$T$27:$AH$46,MATCH(STOCK_OVERVIEW!$Y302,PLANNING_FC!$B$27:$B$46,0),FALSE),HLOOKUP($AB302&amp;$AD302,PLANNING_FC!$T$4:$AH$23,MATCH(STOCK_OVERVIEW!$Y302,PLANNING_FC!$B$4:$B$23,0),FALSE)),"")</f>
        <v/>
      </c>
      <c r="AJ302" s="650" t="str">
        <f ca="1">IFERROR(IF($AA302="NOOS",HLOOKUP(STOCK_OVERVIEW!$AB302&amp;STOCK_OVERVIEW!$AD302,PLANNING_FC!$DA$27:$DO$46,MATCH(STOCK_OVERVIEW!$Y302,PLANNING_FC!$CZ$27:$CZ$46,0),FALSE),HLOOKUP($AB302&amp;$AD302,PLANNING_FC!$DA$4:$DO$23,MATCH(STOCK_OVERVIEW!$Y302,PLANNING_FC!$CZ$4:$CZ$23,0),FALSE)),"")</f>
        <v/>
      </c>
      <c r="AK302" s="651" t="str">
        <f ca="1">IFERROR(IF(AA302="NOOS",HLOOKUP(AB302&amp;AD302,PLANNING_FC!$AJ$27:$AY$47,MATCH(STOCK_OVERVIEW!Y302,PLANNING_FC!$AJ$27:$AJ$47,0),FALSE)*1000,HLOOKUP(AB302&amp;AD302,PLANNING_FC!$AJ$4:$AY$24,MATCH(STOCK_OVERVIEW!Y302,PLANNING_FC!$AJ$4:$AJ$24,0),FALSE)*1000),"")</f>
        <v/>
      </c>
      <c r="AL302" s="638"/>
      <c r="AM302" s="638"/>
      <c r="AN302" s="638"/>
      <c r="AO302" s="638"/>
      <c r="AP302" s="638"/>
      <c r="AQ302" s="638"/>
      <c r="AR302" s="638"/>
      <c r="AS302" s="638"/>
    </row>
    <row r="303" spans="1:45" s="61" customFormat="1" x14ac:dyDescent="0.25">
      <c r="A303" s="62"/>
      <c r="F303" s="19"/>
      <c r="J303" s="19"/>
      <c r="N303" s="19"/>
      <c r="R303" s="19"/>
      <c r="S303" s="637"/>
      <c r="T303" s="637"/>
      <c r="U303" s="636"/>
      <c r="V303" s="637"/>
      <c r="W303" s="637"/>
      <c r="X303" s="465" t="str">
        <f t="shared" si="25"/>
        <v>VM</v>
      </c>
      <c r="Y303" s="206" t="str">
        <f t="shared" si="25"/>
        <v>KNIT</v>
      </c>
      <c r="Z303" s="25" t="str">
        <f t="shared" ca="1" si="20"/>
        <v>VMKNIT19/20Apr</v>
      </c>
      <c r="AA303" s="206" t="s">
        <v>197</v>
      </c>
      <c r="AB303" s="206" t="str">
        <f t="shared" ca="1" si="26"/>
        <v>19/20</v>
      </c>
      <c r="AC303" s="206" t="str">
        <f t="shared" ca="1" si="26"/>
        <v>Q3</v>
      </c>
      <c r="AD303" s="206" t="str">
        <f t="shared" ca="1" si="26"/>
        <v>Apr</v>
      </c>
      <c r="AE303" s="649" t="str">
        <f ca="1">IFERROR(HLOOKUP($AB303&amp;$AD303,'NWC_FC_NON-NOOS'!$C$4:$Q$24,MATCH($Y303,'NWC_FC_NON-NOOS'!$B$4:$B$24,0),FALSE),"")</f>
        <v/>
      </c>
      <c r="AF303" s="650" t="str">
        <f ca="1">IFERROR(HLOOKUP($AB303&amp;$AD303,'NWC_FC_NON-NOOS'!$S$4:$AH$24,MATCH($Y303,'NWC_FC_NON-NOOS'!$S$4:$S$24,0),FALSE),"")</f>
        <v/>
      </c>
      <c r="AG303" s="650">
        <f ca="1">IFERROR(HLOOKUP($AB303&amp;$AD303,'NWC_FC_NON-NOOS'!$B$50:$U$70,MATCH($Y303,'NWC_FC_NON-NOOS'!$B$50:$B$70,0),FALSE),"")</f>
        <v>0</v>
      </c>
      <c r="AH303" s="650" t="str">
        <f ca="1">IFERROR(IF($AA303="NOOS",HLOOKUP(STOCK_OVERVIEW!$AB303&amp;STOCK_OVERVIEW!$AD303,PLANNING_FC!$BB$27:$BP$46,MATCH(STOCK_OVERVIEW!$Y303,PLANNING_FC!$BA$27:$BA$46,0),FALSE),HLOOKUP($AB303&amp;$AD303,PLANNING_FC!$BB$4:$BP$23,MATCH(STOCK_OVERVIEW!$Y303,PLANNING_FC!$BA$4:$BA$23,0),FALSE)),"")</f>
        <v/>
      </c>
      <c r="AI303" s="650" t="str">
        <f ca="1">IFERROR(IF($AA303="NOOS",HLOOKUP(STOCK_OVERVIEW!$AB303&amp;STOCK_OVERVIEW!$AD303,PLANNING_FC!$T$27:$AH$46,MATCH(STOCK_OVERVIEW!$Y303,PLANNING_FC!$B$27:$B$46,0),FALSE),HLOOKUP($AB303&amp;$AD303,PLANNING_FC!$T$4:$AH$23,MATCH(STOCK_OVERVIEW!$Y303,PLANNING_FC!$B$4:$B$23,0),FALSE)),"")</f>
        <v/>
      </c>
      <c r="AJ303" s="650" t="str">
        <f ca="1">IFERROR(IF($AA303="NOOS",HLOOKUP(STOCK_OVERVIEW!$AB303&amp;STOCK_OVERVIEW!$AD303,PLANNING_FC!$DA$27:$DO$46,MATCH(STOCK_OVERVIEW!$Y303,PLANNING_FC!$CZ$27:$CZ$46,0),FALSE),HLOOKUP($AB303&amp;$AD303,PLANNING_FC!$DA$4:$DO$23,MATCH(STOCK_OVERVIEW!$Y303,PLANNING_FC!$CZ$4:$CZ$23,0),FALSE)),"")</f>
        <v/>
      </c>
      <c r="AK303" s="651" t="str">
        <f ca="1">IFERROR(IF(AA303="NOOS",HLOOKUP(AB303&amp;AD303,PLANNING_FC!$AJ$27:$AY$47,MATCH(STOCK_OVERVIEW!Y303,PLANNING_FC!$AJ$27:$AJ$47,0),FALSE)*1000,HLOOKUP(AB303&amp;AD303,PLANNING_FC!$AJ$4:$AY$24,MATCH(STOCK_OVERVIEW!Y303,PLANNING_FC!$AJ$4:$AJ$24,0),FALSE)*1000),"")</f>
        <v/>
      </c>
      <c r="AL303" s="638"/>
      <c r="AM303" s="638"/>
      <c r="AN303" s="638"/>
      <c r="AO303" s="638"/>
      <c r="AP303" s="638"/>
      <c r="AQ303" s="638"/>
      <c r="AR303" s="638"/>
      <c r="AS303" s="638"/>
    </row>
    <row r="304" spans="1:45" s="61" customFormat="1" x14ac:dyDescent="0.25">
      <c r="A304" s="62"/>
      <c r="F304" s="19"/>
      <c r="J304" s="19"/>
      <c r="N304" s="19"/>
      <c r="R304" s="19"/>
      <c r="S304" s="637"/>
      <c r="T304" s="637"/>
      <c r="U304" s="636"/>
      <c r="V304" s="637"/>
      <c r="W304" s="637"/>
      <c r="X304" s="465" t="str">
        <f t="shared" ref="X304:Y323" si="27">X64</f>
        <v>VM</v>
      </c>
      <c r="Y304" s="206" t="str">
        <f t="shared" si="27"/>
        <v>OUTERWEAR</v>
      </c>
      <c r="Z304" s="25" t="str">
        <f t="shared" ca="1" si="20"/>
        <v>VMOUTERWEAR18/19Feb</v>
      </c>
      <c r="AA304" s="206" t="s">
        <v>197</v>
      </c>
      <c r="AB304" s="206" t="str">
        <f t="shared" ref="AB304:AD323" ca="1" si="28">AB64</f>
        <v>18/19</v>
      </c>
      <c r="AC304" s="206" t="str">
        <f t="shared" ca="1" si="28"/>
        <v>Q3</v>
      </c>
      <c r="AD304" s="206" t="str">
        <f t="shared" ca="1" si="28"/>
        <v>Feb</v>
      </c>
      <c r="AE304" s="649">
        <f ca="1">IFERROR(HLOOKUP($AB304&amp;$AD304,'NWC_FC_NON-NOOS'!$C$4:$Q$24,MATCH($Y304,'NWC_FC_NON-NOOS'!$B$4:$B$24,0),FALSE),"")</f>
        <v>0</v>
      </c>
      <c r="AF304" s="650">
        <f ca="1">IFERROR(HLOOKUP($AB304&amp;$AD304,'NWC_FC_NON-NOOS'!$S$4:$AH$24,MATCH($Y304,'NWC_FC_NON-NOOS'!$S$4:$S$24,0),FALSE),"")</f>
        <v>0</v>
      </c>
      <c r="AG304" s="650">
        <f ca="1">IFERROR(HLOOKUP($AB304&amp;$AD304,'NWC_FC_NON-NOOS'!$B$50:$U$70,MATCH($Y304,'NWC_FC_NON-NOOS'!$B$50:$B$70,0),FALSE),"")</f>
        <v>0</v>
      </c>
      <c r="AH304" s="650">
        <f ca="1">IFERROR(IF($AA304="NOOS",HLOOKUP(STOCK_OVERVIEW!$AB304&amp;STOCK_OVERVIEW!$AD304,PLANNING_FC!$BB$27:$BP$46,MATCH(STOCK_OVERVIEW!$Y304,PLANNING_FC!$BA$27:$BA$46,0),FALSE),HLOOKUP($AB304&amp;$AD304,PLANNING_FC!$BB$4:$BP$23,MATCH(STOCK_OVERVIEW!$Y304,PLANNING_FC!$BA$4:$BA$23,0),FALSE)),"")</f>
        <v>0</v>
      </c>
      <c r="AI304" s="650">
        <f ca="1">IFERROR(IF($AA304="NOOS",HLOOKUP(STOCK_OVERVIEW!$AB304&amp;STOCK_OVERVIEW!$AD304,PLANNING_FC!$T$27:$AH$46,MATCH(STOCK_OVERVIEW!$Y304,PLANNING_FC!$B$27:$B$46,0),FALSE),HLOOKUP($AB304&amp;$AD304,PLANNING_FC!$T$4:$AH$23,MATCH(STOCK_OVERVIEW!$Y304,PLANNING_FC!$B$4:$B$23,0),FALSE)),"")</f>
        <v>0</v>
      </c>
      <c r="AJ304" s="650">
        <f ca="1">IFERROR(IF($AA304="NOOS",HLOOKUP(STOCK_OVERVIEW!$AB304&amp;STOCK_OVERVIEW!$AD304,PLANNING_FC!$DA$27:$DO$46,MATCH(STOCK_OVERVIEW!$Y304,PLANNING_FC!$CZ$27:$CZ$46,0),FALSE),HLOOKUP($AB304&amp;$AD304,PLANNING_FC!$DA$4:$DO$23,MATCH(STOCK_OVERVIEW!$Y304,PLANNING_FC!$CZ$4:$CZ$23,0),FALSE)),"")</f>
        <v>0</v>
      </c>
      <c r="AK304" s="651">
        <f ca="1">IFERROR(IF(AA304="NOOS",HLOOKUP(AB304&amp;AD304,PLANNING_FC!$AJ$27:$AY$47,MATCH(STOCK_OVERVIEW!Y304,PLANNING_FC!$AJ$27:$AJ$47,0),FALSE)*1000,HLOOKUP(AB304&amp;AD304,PLANNING_FC!$AJ$4:$AY$24,MATCH(STOCK_OVERVIEW!Y304,PLANNING_FC!$AJ$4:$AJ$24,0),FALSE)*1000),"")</f>
        <v>0</v>
      </c>
      <c r="AL304" s="638"/>
      <c r="AM304" s="638"/>
      <c r="AN304" s="638"/>
      <c r="AO304" s="638"/>
      <c r="AP304" s="638"/>
      <c r="AQ304" s="638"/>
      <c r="AR304" s="638"/>
      <c r="AS304" s="638"/>
    </row>
    <row r="305" spans="1:45" s="61" customFormat="1" x14ac:dyDescent="0.25">
      <c r="A305" s="62"/>
      <c r="F305" s="19"/>
      <c r="J305" s="19"/>
      <c r="N305" s="19"/>
      <c r="R305" s="19"/>
      <c r="S305" s="637"/>
      <c r="T305" s="637"/>
      <c r="U305" s="636"/>
      <c r="V305" s="637"/>
      <c r="W305" s="637"/>
      <c r="X305" s="465" t="str">
        <f t="shared" si="27"/>
        <v>VM</v>
      </c>
      <c r="Y305" s="206" t="str">
        <f t="shared" si="27"/>
        <v>OUTERWEAR</v>
      </c>
      <c r="Z305" s="25" t="str">
        <f t="shared" ca="1" si="20"/>
        <v>VMOUTERWEAR18/19Mar</v>
      </c>
      <c r="AA305" s="206" t="s">
        <v>197</v>
      </c>
      <c r="AB305" s="206" t="str">
        <f t="shared" ca="1" si="28"/>
        <v>18/19</v>
      </c>
      <c r="AC305" s="206" t="str">
        <f t="shared" ca="1" si="28"/>
        <v>Q3</v>
      </c>
      <c r="AD305" s="206" t="str">
        <f t="shared" ca="1" si="28"/>
        <v>Mar</v>
      </c>
      <c r="AE305" s="649">
        <f ca="1">IFERROR(HLOOKUP($AB305&amp;$AD305,'NWC_FC_NON-NOOS'!$C$4:$Q$24,MATCH($Y305,'NWC_FC_NON-NOOS'!$B$4:$B$24,0),FALSE),"")</f>
        <v>0</v>
      </c>
      <c r="AF305" s="650">
        <f ca="1">IFERROR(HLOOKUP($AB305&amp;$AD305,'NWC_FC_NON-NOOS'!$S$4:$AH$24,MATCH($Y305,'NWC_FC_NON-NOOS'!$S$4:$S$24,0),FALSE),"")</f>
        <v>0</v>
      </c>
      <c r="AG305" s="650">
        <f ca="1">IFERROR(HLOOKUP($AB305&amp;$AD305,'NWC_FC_NON-NOOS'!$B$50:$U$70,MATCH($Y305,'NWC_FC_NON-NOOS'!$B$50:$B$70,0),FALSE),"")</f>
        <v>0</v>
      </c>
      <c r="AH305" s="650">
        <f ca="1">IFERROR(IF($AA305="NOOS",HLOOKUP(STOCK_OVERVIEW!$AB305&amp;STOCK_OVERVIEW!$AD305,PLANNING_FC!$BB$27:$BP$46,MATCH(STOCK_OVERVIEW!$Y305,PLANNING_FC!$BA$27:$BA$46,0),FALSE),HLOOKUP($AB305&amp;$AD305,PLANNING_FC!$BB$4:$BP$23,MATCH(STOCK_OVERVIEW!$Y305,PLANNING_FC!$BA$4:$BA$23,0),FALSE)),"")</f>
        <v>0</v>
      </c>
      <c r="AI305" s="650">
        <f ca="1">IFERROR(IF($AA305="NOOS",HLOOKUP(STOCK_OVERVIEW!$AB305&amp;STOCK_OVERVIEW!$AD305,PLANNING_FC!$T$27:$AH$46,MATCH(STOCK_OVERVIEW!$Y305,PLANNING_FC!$B$27:$B$46,0),FALSE),HLOOKUP($AB305&amp;$AD305,PLANNING_FC!$T$4:$AH$23,MATCH(STOCK_OVERVIEW!$Y305,PLANNING_FC!$B$4:$B$23,0),FALSE)),"")</f>
        <v>0</v>
      </c>
      <c r="AJ305" s="650">
        <f ca="1">IFERROR(IF($AA305="NOOS",HLOOKUP(STOCK_OVERVIEW!$AB305&amp;STOCK_OVERVIEW!$AD305,PLANNING_FC!$DA$27:$DO$46,MATCH(STOCK_OVERVIEW!$Y305,PLANNING_FC!$CZ$27:$CZ$46,0),FALSE),HLOOKUP($AB305&amp;$AD305,PLANNING_FC!$DA$4:$DO$23,MATCH(STOCK_OVERVIEW!$Y305,PLANNING_FC!$CZ$4:$CZ$23,0),FALSE)),"")</f>
        <v>0</v>
      </c>
      <c r="AK305" s="651">
        <f ca="1">IFERROR(IF(AA305="NOOS",HLOOKUP(AB305&amp;AD305,PLANNING_FC!$AJ$27:$AY$47,MATCH(STOCK_OVERVIEW!Y305,PLANNING_FC!$AJ$27:$AJ$47,0),FALSE)*1000,HLOOKUP(AB305&amp;AD305,PLANNING_FC!$AJ$4:$AY$24,MATCH(STOCK_OVERVIEW!Y305,PLANNING_FC!$AJ$4:$AJ$24,0),FALSE)*1000),"")</f>
        <v>0</v>
      </c>
      <c r="AL305" s="638"/>
      <c r="AM305" s="638"/>
      <c r="AN305" s="638"/>
      <c r="AO305" s="638"/>
      <c r="AP305" s="638"/>
      <c r="AQ305" s="638"/>
      <c r="AR305" s="638"/>
      <c r="AS305" s="638"/>
    </row>
    <row r="306" spans="1:45" s="61" customFormat="1" x14ac:dyDescent="0.25">
      <c r="A306" s="62"/>
      <c r="F306" s="19"/>
      <c r="J306" s="19"/>
      <c r="N306" s="19"/>
      <c r="R306" s="19"/>
      <c r="S306" s="637"/>
      <c r="T306" s="637"/>
      <c r="U306" s="636"/>
      <c r="V306" s="637"/>
      <c r="W306" s="637"/>
      <c r="X306" s="465" t="str">
        <f t="shared" si="27"/>
        <v>VM</v>
      </c>
      <c r="Y306" s="206" t="str">
        <f t="shared" si="27"/>
        <v>OUTERWEAR</v>
      </c>
      <c r="Z306" s="25" t="str">
        <f t="shared" ca="1" si="20"/>
        <v>VMOUTERWEAR18/19Apr</v>
      </c>
      <c r="AA306" s="206" t="s">
        <v>197</v>
      </c>
      <c r="AB306" s="206" t="str">
        <f t="shared" ca="1" si="28"/>
        <v>18/19</v>
      </c>
      <c r="AC306" s="206" t="str">
        <f t="shared" ca="1" si="28"/>
        <v>Q3</v>
      </c>
      <c r="AD306" s="206" t="str">
        <f t="shared" ca="1" si="28"/>
        <v>Apr</v>
      </c>
      <c r="AE306" s="649">
        <f ca="1">IFERROR(HLOOKUP($AB306&amp;$AD306,'NWC_FC_NON-NOOS'!$C$4:$Q$24,MATCH($Y306,'NWC_FC_NON-NOOS'!$B$4:$B$24,0),FALSE),"")</f>
        <v>0</v>
      </c>
      <c r="AF306" s="650">
        <f ca="1">IFERROR(HLOOKUP($AB306&amp;$AD306,'NWC_FC_NON-NOOS'!$S$4:$AH$24,MATCH($Y306,'NWC_FC_NON-NOOS'!$S$4:$S$24,0),FALSE),"")</f>
        <v>0</v>
      </c>
      <c r="AG306" s="650">
        <f ca="1">IFERROR(HLOOKUP($AB306&amp;$AD306,'NWC_FC_NON-NOOS'!$B$50:$U$70,MATCH($Y306,'NWC_FC_NON-NOOS'!$B$50:$B$70,0),FALSE),"")</f>
        <v>0</v>
      </c>
      <c r="AH306" s="650">
        <f ca="1">IFERROR(IF($AA306="NOOS",HLOOKUP(STOCK_OVERVIEW!$AB306&amp;STOCK_OVERVIEW!$AD306,PLANNING_FC!$BB$27:$BP$46,MATCH(STOCK_OVERVIEW!$Y306,PLANNING_FC!$BA$27:$BA$46,0),FALSE),HLOOKUP($AB306&amp;$AD306,PLANNING_FC!$BB$4:$BP$23,MATCH(STOCK_OVERVIEW!$Y306,PLANNING_FC!$BA$4:$BA$23,0),FALSE)),"")</f>
        <v>0</v>
      </c>
      <c r="AI306" s="650">
        <f ca="1">IFERROR(IF($AA306="NOOS",HLOOKUP(STOCK_OVERVIEW!$AB306&amp;STOCK_OVERVIEW!$AD306,PLANNING_FC!$T$27:$AH$46,MATCH(STOCK_OVERVIEW!$Y306,PLANNING_FC!$B$27:$B$46,0),FALSE),HLOOKUP($AB306&amp;$AD306,PLANNING_FC!$T$4:$AH$23,MATCH(STOCK_OVERVIEW!$Y306,PLANNING_FC!$B$4:$B$23,0),FALSE)),"")</f>
        <v>0</v>
      </c>
      <c r="AJ306" s="650">
        <f ca="1">IFERROR(IF($AA306="NOOS",HLOOKUP(STOCK_OVERVIEW!$AB306&amp;STOCK_OVERVIEW!$AD306,PLANNING_FC!$DA$27:$DO$46,MATCH(STOCK_OVERVIEW!$Y306,PLANNING_FC!$CZ$27:$CZ$46,0),FALSE),HLOOKUP($AB306&amp;$AD306,PLANNING_FC!$DA$4:$DO$23,MATCH(STOCK_OVERVIEW!$Y306,PLANNING_FC!$CZ$4:$CZ$23,0),FALSE)),"")</f>
        <v>523210</v>
      </c>
      <c r="AK306" s="651">
        <f ca="1">IFERROR(IF(AA306="NOOS",HLOOKUP(AB306&amp;AD306,PLANNING_FC!$AJ$27:$AY$47,MATCH(STOCK_OVERVIEW!Y306,PLANNING_FC!$AJ$27:$AJ$47,0),FALSE)*1000,HLOOKUP(AB306&amp;AD306,PLANNING_FC!$AJ$4:$AY$24,MATCH(STOCK_OVERVIEW!Y306,PLANNING_FC!$AJ$4:$AJ$24,0),FALSE)*1000),"")</f>
        <v>0</v>
      </c>
      <c r="AL306" s="638"/>
      <c r="AM306" s="638"/>
      <c r="AN306" s="638"/>
      <c r="AO306" s="638"/>
      <c r="AP306" s="638"/>
      <c r="AQ306" s="638"/>
      <c r="AR306" s="638"/>
      <c r="AS306" s="638"/>
    </row>
    <row r="307" spans="1:45" s="61" customFormat="1" x14ac:dyDescent="0.25">
      <c r="A307" s="62"/>
      <c r="F307" s="19"/>
      <c r="J307" s="19"/>
      <c r="N307" s="19"/>
      <c r="R307" s="19"/>
      <c r="S307" s="637"/>
      <c r="T307" s="637"/>
      <c r="U307" s="636"/>
      <c r="V307" s="637"/>
      <c r="W307" s="637"/>
      <c r="X307" s="465" t="str">
        <f t="shared" si="27"/>
        <v>VM</v>
      </c>
      <c r="Y307" s="206" t="str">
        <f t="shared" si="27"/>
        <v>OUTERWEAR</v>
      </c>
      <c r="Z307" s="25" t="str">
        <f t="shared" ca="1" si="20"/>
        <v>VMOUTERWEAR18/19May</v>
      </c>
      <c r="AA307" s="206" t="s">
        <v>197</v>
      </c>
      <c r="AB307" s="206" t="str">
        <f t="shared" ca="1" si="28"/>
        <v>18/19</v>
      </c>
      <c r="AC307" s="206" t="str">
        <f t="shared" ca="1" si="28"/>
        <v>Q4</v>
      </c>
      <c r="AD307" s="206" t="str">
        <f t="shared" ca="1" si="28"/>
        <v>May</v>
      </c>
      <c r="AE307" s="649">
        <f ca="1">IFERROR(HLOOKUP($AB307&amp;$AD307,'NWC_FC_NON-NOOS'!$C$4:$Q$24,MATCH($Y307,'NWC_FC_NON-NOOS'!$B$4:$B$24,0),FALSE),"")</f>
        <v>0</v>
      </c>
      <c r="AF307" s="650">
        <f ca="1">IFERROR(HLOOKUP($AB307&amp;$AD307,'NWC_FC_NON-NOOS'!$S$4:$AH$24,MATCH($Y307,'NWC_FC_NON-NOOS'!$S$4:$S$24,0),FALSE),"")</f>
        <v>0</v>
      </c>
      <c r="AG307" s="650">
        <f ca="1">IFERROR(HLOOKUP($AB307&amp;$AD307,'NWC_FC_NON-NOOS'!$B$50:$U$70,MATCH($Y307,'NWC_FC_NON-NOOS'!$B$50:$B$70,0),FALSE),"")</f>
        <v>0</v>
      </c>
      <c r="AH307" s="650">
        <f ca="1">IFERROR(IF($AA307="NOOS",HLOOKUP(STOCK_OVERVIEW!$AB307&amp;STOCK_OVERVIEW!$AD307,PLANNING_FC!$BB$27:$BP$46,MATCH(STOCK_OVERVIEW!$Y307,PLANNING_FC!$BA$27:$BA$46,0),FALSE),HLOOKUP($AB307&amp;$AD307,PLANNING_FC!$BB$4:$BP$23,MATCH(STOCK_OVERVIEW!$Y307,PLANNING_FC!$BA$4:$BA$23,0),FALSE)),"")</f>
        <v>0</v>
      </c>
      <c r="AI307" s="650">
        <f ca="1">IFERROR(IF($AA307="NOOS",HLOOKUP(STOCK_OVERVIEW!$AB307&amp;STOCK_OVERVIEW!$AD307,PLANNING_FC!$T$27:$AH$46,MATCH(STOCK_OVERVIEW!$Y307,PLANNING_FC!$B$27:$B$46,0),FALSE),HLOOKUP($AB307&amp;$AD307,PLANNING_FC!$T$4:$AH$23,MATCH(STOCK_OVERVIEW!$Y307,PLANNING_FC!$B$4:$B$23,0),FALSE)),"")</f>
        <v>0</v>
      </c>
      <c r="AJ307" s="650">
        <f ca="1">IFERROR(IF($AA307="NOOS",HLOOKUP(STOCK_OVERVIEW!$AB307&amp;STOCK_OVERVIEW!$AD307,PLANNING_FC!$DA$27:$DO$46,MATCH(STOCK_OVERVIEW!$Y307,PLANNING_FC!$CZ$27:$CZ$46,0),FALSE),HLOOKUP($AB307&amp;$AD307,PLANNING_FC!$DA$4:$DO$23,MATCH(STOCK_OVERVIEW!$Y307,PLANNING_FC!$CZ$4:$CZ$23,0),FALSE)),"")</f>
        <v>524174</v>
      </c>
      <c r="AK307" s="651">
        <f ca="1">IFERROR(IF(AA307="NOOS",HLOOKUP(AB307&amp;AD307,PLANNING_FC!$AJ$27:$AY$47,MATCH(STOCK_OVERVIEW!Y307,PLANNING_FC!$AJ$27:$AJ$47,0),FALSE)*1000,HLOOKUP(AB307&amp;AD307,PLANNING_FC!$AJ$4:$AY$24,MATCH(STOCK_OVERVIEW!Y307,PLANNING_FC!$AJ$4:$AJ$24,0),FALSE)*1000),"")</f>
        <v>0</v>
      </c>
      <c r="AL307" s="638"/>
      <c r="AM307" s="638"/>
      <c r="AN307" s="638"/>
      <c r="AO307" s="638"/>
      <c r="AP307" s="638"/>
      <c r="AQ307" s="638"/>
      <c r="AR307" s="638"/>
      <c r="AS307" s="638"/>
    </row>
    <row r="308" spans="1:45" s="61" customFormat="1" x14ac:dyDescent="0.25">
      <c r="A308" s="62"/>
      <c r="F308" s="19"/>
      <c r="J308" s="19"/>
      <c r="N308" s="19"/>
      <c r="R308" s="19"/>
      <c r="S308" s="637"/>
      <c r="T308" s="637"/>
      <c r="U308" s="636"/>
      <c r="V308" s="637"/>
      <c r="W308" s="637"/>
      <c r="X308" s="465" t="str">
        <f t="shared" si="27"/>
        <v>VM</v>
      </c>
      <c r="Y308" s="206" t="str">
        <f t="shared" si="27"/>
        <v>OUTERWEAR</v>
      </c>
      <c r="Z308" s="25" t="str">
        <f t="shared" ca="1" si="20"/>
        <v>VMOUTERWEAR18/19Jun</v>
      </c>
      <c r="AA308" s="206" t="s">
        <v>197</v>
      </c>
      <c r="AB308" s="206" t="str">
        <f t="shared" ca="1" si="28"/>
        <v>18/19</v>
      </c>
      <c r="AC308" s="206" t="str">
        <f t="shared" ca="1" si="28"/>
        <v>Q4</v>
      </c>
      <c r="AD308" s="206" t="str">
        <f t="shared" ca="1" si="28"/>
        <v>Jun</v>
      </c>
      <c r="AE308" s="649">
        <f ca="1">IFERROR(HLOOKUP($AB308&amp;$AD308,'NWC_FC_NON-NOOS'!$C$4:$Q$24,MATCH($Y308,'NWC_FC_NON-NOOS'!$B$4:$B$24,0),FALSE),"")</f>
        <v>0</v>
      </c>
      <c r="AF308" s="650">
        <f ca="1">IFERROR(HLOOKUP($AB308&amp;$AD308,'NWC_FC_NON-NOOS'!$S$4:$AH$24,MATCH($Y308,'NWC_FC_NON-NOOS'!$S$4:$S$24,0),FALSE),"")</f>
        <v>0</v>
      </c>
      <c r="AG308" s="650">
        <f ca="1">IFERROR(HLOOKUP($AB308&amp;$AD308,'NWC_FC_NON-NOOS'!$B$50:$U$70,MATCH($Y308,'NWC_FC_NON-NOOS'!$B$50:$B$70,0),FALSE),"")</f>
        <v>0</v>
      </c>
      <c r="AH308" s="650">
        <f ca="1">IFERROR(IF($AA308="NOOS",HLOOKUP(STOCK_OVERVIEW!$AB308&amp;STOCK_OVERVIEW!$AD308,PLANNING_FC!$BB$27:$BP$46,MATCH(STOCK_OVERVIEW!$Y308,PLANNING_FC!$BA$27:$BA$46,0),FALSE),HLOOKUP($AB308&amp;$AD308,PLANNING_FC!$BB$4:$BP$23,MATCH(STOCK_OVERVIEW!$Y308,PLANNING_FC!$BA$4:$BA$23,0),FALSE)),"")</f>
        <v>0</v>
      </c>
      <c r="AI308" s="650">
        <f ca="1">IFERROR(IF($AA308="NOOS",HLOOKUP(STOCK_OVERVIEW!$AB308&amp;STOCK_OVERVIEW!$AD308,PLANNING_FC!$T$27:$AH$46,MATCH(STOCK_OVERVIEW!$Y308,PLANNING_FC!$B$27:$B$46,0),FALSE),HLOOKUP($AB308&amp;$AD308,PLANNING_FC!$T$4:$AH$23,MATCH(STOCK_OVERVIEW!$Y308,PLANNING_FC!$B$4:$B$23,0),FALSE)),"")</f>
        <v>0</v>
      </c>
      <c r="AJ308" s="650">
        <f ca="1">IFERROR(IF($AA308="NOOS",HLOOKUP(STOCK_OVERVIEW!$AB308&amp;STOCK_OVERVIEW!$AD308,PLANNING_FC!$DA$27:$DO$46,MATCH(STOCK_OVERVIEW!$Y308,PLANNING_FC!$CZ$27:$CZ$46,0),FALSE),HLOOKUP($AB308&amp;$AD308,PLANNING_FC!$DA$4:$DO$23,MATCH(STOCK_OVERVIEW!$Y308,PLANNING_FC!$CZ$4:$CZ$23,0),FALSE)),"")</f>
        <v>553483</v>
      </c>
      <c r="AK308" s="651">
        <f ca="1">IFERROR(IF(AA308="NOOS",HLOOKUP(AB308&amp;AD308,PLANNING_FC!$AJ$27:$AY$47,MATCH(STOCK_OVERVIEW!Y308,PLANNING_FC!$AJ$27:$AJ$47,0),FALSE)*1000,HLOOKUP(AB308&amp;AD308,PLANNING_FC!$AJ$4:$AY$24,MATCH(STOCK_OVERVIEW!Y308,PLANNING_FC!$AJ$4:$AJ$24,0),FALSE)*1000),"")</f>
        <v>0</v>
      </c>
      <c r="AL308" s="638"/>
      <c r="AM308" s="638"/>
      <c r="AN308" s="638"/>
      <c r="AO308" s="638"/>
      <c r="AP308" s="638"/>
      <c r="AQ308" s="638"/>
      <c r="AR308" s="638"/>
      <c r="AS308" s="638"/>
    </row>
    <row r="309" spans="1:45" s="61" customFormat="1" x14ac:dyDescent="0.25">
      <c r="A309" s="62"/>
      <c r="F309" s="19"/>
      <c r="J309" s="19"/>
      <c r="N309" s="19"/>
      <c r="R309" s="19"/>
      <c r="S309" s="637"/>
      <c r="T309" s="637"/>
      <c r="U309" s="636"/>
      <c r="V309" s="637"/>
      <c r="W309" s="637"/>
      <c r="X309" s="465" t="str">
        <f t="shared" si="27"/>
        <v>VM</v>
      </c>
      <c r="Y309" s="206" t="str">
        <f t="shared" si="27"/>
        <v>OUTERWEAR</v>
      </c>
      <c r="Z309" s="25" t="str">
        <f t="shared" ca="1" si="20"/>
        <v>VMOUTERWEAR18/19Jul</v>
      </c>
      <c r="AA309" s="206" t="s">
        <v>197</v>
      </c>
      <c r="AB309" s="206" t="str">
        <f t="shared" ca="1" si="28"/>
        <v>18/19</v>
      </c>
      <c r="AC309" s="206" t="str">
        <f t="shared" ca="1" si="28"/>
        <v>Q4</v>
      </c>
      <c r="AD309" s="206" t="str">
        <f t="shared" ca="1" si="28"/>
        <v>Jul</v>
      </c>
      <c r="AE309" s="649">
        <f ca="1">IFERROR(HLOOKUP($AB309&amp;$AD309,'NWC_FC_NON-NOOS'!$C$4:$Q$24,MATCH($Y309,'NWC_FC_NON-NOOS'!$B$4:$B$24,0),FALSE),"")</f>
        <v>0</v>
      </c>
      <c r="AF309" s="650">
        <f ca="1">IFERROR(HLOOKUP($AB309&amp;$AD309,'NWC_FC_NON-NOOS'!$S$4:$AH$24,MATCH($Y309,'NWC_FC_NON-NOOS'!$S$4:$S$24,0),FALSE),"")</f>
        <v>0</v>
      </c>
      <c r="AG309" s="650">
        <f ca="1">IFERROR(HLOOKUP($AB309&amp;$AD309,'NWC_FC_NON-NOOS'!$B$50:$U$70,MATCH($Y309,'NWC_FC_NON-NOOS'!$B$50:$B$70,0),FALSE),"")</f>
        <v>0</v>
      </c>
      <c r="AH309" s="650">
        <f ca="1">IFERROR(IF($AA309="NOOS",HLOOKUP(STOCK_OVERVIEW!$AB309&amp;STOCK_OVERVIEW!$AD309,PLANNING_FC!$BB$27:$BP$46,MATCH(STOCK_OVERVIEW!$Y309,PLANNING_FC!$BA$27:$BA$46,0),FALSE),HLOOKUP($AB309&amp;$AD309,PLANNING_FC!$BB$4:$BP$23,MATCH(STOCK_OVERVIEW!$Y309,PLANNING_FC!$BA$4:$BA$23,0),FALSE)),"")</f>
        <v>0</v>
      </c>
      <c r="AI309" s="650">
        <f ca="1">IFERROR(IF($AA309="NOOS",HLOOKUP(STOCK_OVERVIEW!$AB309&amp;STOCK_OVERVIEW!$AD309,PLANNING_FC!$T$27:$AH$46,MATCH(STOCK_OVERVIEW!$Y309,PLANNING_FC!$B$27:$B$46,0),FALSE),HLOOKUP($AB309&amp;$AD309,PLANNING_FC!$T$4:$AH$23,MATCH(STOCK_OVERVIEW!$Y309,PLANNING_FC!$B$4:$B$23,0),FALSE)),"")</f>
        <v>0</v>
      </c>
      <c r="AJ309" s="650">
        <f ca="1">IFERROR(IF($AA309="NOOS",HLOOKUP(STOCK_OVERVIEW!$AB309&amp;STOCK_OVERVIEW!$AD309,PLANNING_FC!$DA$27:$DO$46,MATCH(STOCK_OVERVIEW!$Y309,PLANNING_FC!$CZ$27:$CZ$46,0),FALSE),HLOOKUP($AB309&amp;$AD309,PLANNING_FC!$DA$4:$DO$23,MATCH(STOCK_OVERVIEW!$Y309,PLANNING_FC!$CZ$4:$CZ$23,0),FALSE)),"")</f>
        <v>558118</v>
      </c>
      <c r="AK309" s="651">
        <f ca="1">IFERROR(IF(AA309="NOOS",HLOOKUP(AB309&amp;AD309,PLANNING_FC!$AJ$27:$AY$47,MATCH(STOCK_OVERVIEW!Y309,PLANNING_FC!$AJ$27:$AJ$47,0),FALSE)*1000,HLOOKUP(AB309&amp;AD309,PLANNING_FC!$AJ$4:$AY$24,MATCH(STOCK_OVERVIEW!Y309,PLANNING_FC!$AJ$4:$AJ$24,0),FALSE)*1000),"")</f>
        <v>0</v>
      </c>
      <c r="AL309" s="638"/>
      <c r="AM309" s="638"/>
      <c r="AN309" s="638"/>
      <c r="AO309" s="638"/>
      <c r="AP309" s="638"/>
      <c r="AQ309" s="638"/>
      <c r="AR309" s="638"/>
      <c r="AS309" s="638"/>
    </row>
    <row r="310" spans="1:45" s="61" customFormat="1" x14ac:dyDescent="0.25">
      <c r="A310" s="62"/>
      <c r="F310" s="19"/>
      <c r="J310" s="19"/>
      <c r="N310" s="19"/>
      <c r="R310" s="19"/>
      <c r="S310" s="637"/>
      <c r="T310" s="637"/>
      <c r="U310" s="636"/>
      <c r="V310" s="637"/>
      <c r="W310" s="637"/>
      <c r="X310" s="465" t="str">
        <f t="shared" si="27"/>
        <v>VM</v>
      </c>
      <c r="Y310" s="206" t="str">
        <f t="shared" si="27"/>
        <v>OUTERWEAR</v>
      </c>
      <c r="Z310" s="25" t="str">
        <f t="shared" ca="1" si="20"/>
        <v>VMOUTERWEAR19/20Aug</v>
      </c>
      <c r="AA310" s="206" t="s">
        <v>197</v>
      </c>
      <c r="AB310" s="206" t="str">
        <f t="shared" ca="1" si="28"/>
        <v>19/20</v>
      </c>
      <c r="AC310" s="206" t="str">
        <f t="shared" ca="1" si="28"/>
        <v>Q1</v>
      </c>
      <c r="AD310" s="206" t="str">
        <f t="shared" ca="1" si="28"/>
        <v>Aug</v>
      </c>
      <c r="AE310" s="649">
        <f ca="1">IFERROR(HLOOKUP($AB310&amp;$AD310,'NWC_FC_NON-NOOS'!$C$4:$Q$24,MATCH($Y310,'NWC_FC_NON-NOOS'!$B$4:$B$24,0),FALSE),"")</f>
        <v>0</v>
      </c>
      <c r="AF310" s="650">
        <f ca="1">IFERROR(HLOOKUP($AB310&amp;$AD310,'NWC_FC_NON-NOOS'!$S$4:$AH$24,MATCH($Y310,'NWC_FC_NON-NOOS'!$S$4:$S$24,0),FALSE),"")</f>
        <v>0</v>
      </c>
      <c r="AG310" s="650">
        <f ca="1">IFERROR(HLOOKUP($AB310&amp;$AD310,'NWC_FC_NON-NOOS'!$B$50:$U$70,MATCH($Y310,'NWC_FC_NON-NOOS'!$B$50:$B$70,0),FALSE),"")</f>
        <v>0</v>
      </c>
      <c r="AH310" s="650">
        <f ca="1">IFERROR(IF($AA310="NOOS",HLOOKUP(STOCK_OVERVIEW!$AB310&amp;STOCK_OVERVIEW!$AD310,PLANNING_FC!$BB$27:$BP$46,MATCH(STOCK_OVERVIEW!$Y310,PLANNING_FC!$BA$27:$BA$46,0),FALSE),HLOOKUP($AB310&amp;$AD310,PLANNING_FC!$BB$4:$BP$23,MATCH(STOCK_OVERVIEW!$Y310,PLANNING_FC!$BA$4:$BA$23,0),FALSE)),"")</f>
        <v>0</v>
      </c>
      <c r="AI310" s="650">
        <f ca="1">IFERROR(IF($AA310="NOOS",HLOOKUP(STOCK_OVERVIEW!$AB310&amp;STOCK_OVERVIEW!$AD310,PLANNING_FC!$T$27:$AH$46,MATCH(STOCK_OVERVIEW!$Y310,PLANNING_FC!$B$27:$B$46,0),FALSE),HLOOKUP($AB310&amp;$AD310,PLANNING_FC!$T$4:$AH$23,MATCH(STOCK_OVERVIEW!$Y310,PLANNING_FC!$B$4:$B$23,0),FALSE)),"")</f>
        <v>0</v>
      </c>
      <c r="AJ310" s="650">
        <f ca="1">IFERROR(IF($AA310="NOOS",HLOOKUP(STOCK_OVERVIEW!$AB310&amp;STOCK_OVERVIEW!$AD310,PLANNING_FC!$DA$27:$DO$46,MATCH(STOCK_OVERVIEW!$Y310,PLANNING_FC!$CZ$27:$CZ$46,0),FALSE),HLOOKUP($AB310&amp;$AD310,PLANNING_FC!$DA$4:$DO$23,MATCH(STOCK_OVERVIEW!$Y310,PLANNING_FC!$CZ$4:$CZ$23,0),FALSE)),"")</f>
        <v>841801</v>
      </c>
      <c r="AK310" s="651">
        <f ca="1">IFERROR(IF(AA310="NOOS",HLOOKUP(AB310&amp;AD310,PLANNING_FC!$AJ$27:$AY$47,MATCH(STOCK_OVERVIEW!Y310,PLANNING_FC!$AJ$27:$AJ$47,0),FALSE)*1000,HLOOKUP(AB310&amp;AD310,PLANNING_FC!$AJ$4:$AY$24,MATCH(STOCK_OVERVIEW!Y310,PLANNING_FC!$AJ$4:$AJ$24,0),FALSE)*1000),"")</f>
        <v>0</v>
      </c>
      <c r="AL310" s="638"/>
      <c r="AM310" s="638"/>
      <c r="AN310" s="638"/>
      <c r="AO310" s="638"/>
      <c r="AP310" s="638"/>
      <c r="AQ310" s="638"/>
      <c r="AR310" s="638"/>
      <c r="AS310" s="638"/>
    </row>
    <row r="311" spans="1:45" s="61" customFormat="1" x14ac:dyDescent="0.25">
      <c r="A311" s="62"/>
      <c r="F311" s="19"/>
      <c r="J311" s="19"/>
      <c r="N311" s="19"/>
      <c r="R311" s="19"/>
      <c r="S311" s="637"/>
      <c r="T311" s="637"/>
      <c r="U311" s="636"/>
      <c r="V311" s="637"/>
      <c r="W311" s="637"/>
      <c r="X311" s="465" t="str">
        <f t="shared" si="27"/>
        <v>VM</v>
      </c>
      <c r="Y311" s="206" t="str">
        <f t="shared" si="27"/>
        <v>OUTERWEAR</v>
      </c>
      <c r="Z311" s="25" t="str">
        <f t="shared" ca="1" si="20"/>
        <v>VMOUTERWEAR19/20Sep</v>
      </c>
      <c r="AA311" s="206" t="s">
        <v>197</v>
      </c>
      <c r="AB311" s="206" t="str">
        <f t="shared" ca="1" si="28"/>
        <v>19/20</v>
      </c>
      <c r="AC311" s="206" t="str">
        <f t="shared" ca="1" si="28"/>
        <v>Q1</v>
      </c>
      <c r="AD311" s="206" t="str">
        <f t="shared" ca="1" si="28"/>
        <v>Sep</v>
      </c>
      <c r="AE311" s="649">
        <f ca="1">IFERROR(HLOOKUP($AB311&amp;$AD311,'NWC_FC_NON-NOOS'!$C$4:$Q$24,MATCH($Y311,'NWC_FC_NON-NOOS'!$B$4:$B$24,0),FALSE),"")</f>
        <v>0</v>
      </c>
      <c r="AF311" s="650">
        <f ca="1">IFERROR(HLOOKUP($AB311&amp;$AD311,'NWC_FC_NON-NOOS'!$S$4:$AH$24,MATCH($Y311,'NWC_FC_NON-NOOS'!$S$4:$S$24,0),FALSE),"")</f>
        <v>0</v>
      </c>
      <c r="AG311" s="650">
        <f ca="1">IFERROR(HLOOKUP($AB311&amp;$AD311,'NWC_FC_NON-NOOS'!$B$50:$U$70,MATCH($Y311,'NWC_FC_NON-NOOS'!$B$50:$B$70,0),FALSE),"")</f>
        <v>0</v>
      </c>
      <c r="AH311" s="650">
        <f ca="1">IFERROR(IF($AA311="NOOS",HLOOKUP(STOCK_OVERVIEW!$AB311&amp;STOCK_OVERVIEW!$AD311,PLANNING_FC!$BB$27:$BP$46,MATCH(STOCK_OVERVIEW!$Y311,PLANNING_FC!$BA$27:$BA$46,0),FALSE),HLOOKUP($AB311&amp;$AD311,PLANNING_FC!$BB$4:$BP$23,MATCH(STOCK_OVERVIEW!$Y311,PLANNING_FC!$BA$4:$BA$23,0),FALSE)),"")</f>
        <v>0</v>
      </c>
      <c r="AI311" s="650">
        <f ca="1">IFERROR(IF($AA311="NOOS",HLOOKUP(STOCK_OVERVIEW!$AB311&amp;STOCK_OVERVIEW!$AD311,PLANNING_FC!$T$27:$AH$46,MATCH(STOCK_OVERVIEW!$Y311,PLANNING_FC!$B$27:$B$46,0),FALSE),HLOOKUP($AB311&amp;$AD311,PLANNING_FC!$T$4:$AH$23,MATCH(STOCK_OVERVIEW!$Y311,PLANNING_FC!$B$4:$B$23,0),FALSE)),"")</f>
        <v>0</v>
      </c>
      <c r="AJ311" s="650">
        <f ca="1">IFERROR(IF($AA311="NOOS",HLOOKUP(STOCK_OVERVIEW!$AB311&amp;STOCK_OVERVIEW!$AD311,PLANNING_FC!$DA$27:$DO$46,MATCH(STOCK_OVERVIEW!$Y311,PLANNING_FC!$CZ$27:$CZ$46,0),FALSE),HLOOKUP($AB311&amp;$AD311,PLANNING_FC!$DA$4:$DO$23,MATCH(STOCK_OVERVIEW!$Y311,PLANNING_FC!$CZ$4:$CZ$23,0),FALSE)),"")</f>
        <v>956042</v>
      </c>
      <c r="AK311" s="651">
        <f ca="1">IFERROR(IF(AA311="NOOS",HLOOKUP(AB311&amp;AD311,PLANNING_FC!$AJ$27:$AY$47,MATCH(STOCK_OVERVIEW!Y311,PLANNING_FC!$AJ$27:$AJ$47,0),FALSE)*1000,HLOOKUP(AB311&amp;AD311,PLANNING_FC!$AJ$4:$AY$24,MATCH(STOCK_OVERVIEW!Y311,PLANNING_FC!$AJ$4:$AJ$24,0),FALSE)*1000),"")</f>
        <v>0</v>
      </c>
      <c r="AL311" s="638"/>
      <c r="AM311" s="638"/>
      <c r="AN311" s="638"/>
      <c r="AO311" s="638"/>
      <c r="AP311" s="638"/>
      <c r="AQ311" s="638"/>
      <c r="AR311" s="638"/>
      <c r="AS311" s="638"/>
    </row>
    <row r="312" spans="1:45" s="61" customFormat="1" x14ac:dyDescent="0.25">
      <c r="A312" s="62"/>
      <c r="F312" s="19"/>
      <c r="J312" s="19"/>
      <c r="N312" s="19"/>
      <c r="R312" s="19"/>
      <c r="S312" s="637"/>
      <c r="T312" s="637"/>
      <c r="U312" s="636"/>
      <c r="V312" s="637"/>
      <c r="W312" s="637"/>
      <c r="X312" s="465" t="str">
        <f t="shared" si="27"/>
        <v>VM</v>
      </c>
      <c r="Y312" s="206" t="str">
        <f t="shared" si="27"/>
        <v>OUTERWEAR</v>
      </c>
      <c r="Z312" s="25" t="str">
        <f t="shared" ca="1" si="20"/>
        <v>VMOUTERWEAR19/20Oct</v>
      </c>
      <c r="AA312" s="206" t="s">
        <v>197</v>
      </c>
      <c r="AB312" s="206" t="str">
        <f t="shared" ca="1" si="28"/>
        <v>19/20</v>
      </c>
      <c r="AC312" s="206" t="str">
        <f t="shared" ca="1" si="28"/>
        <v>Q1</v>
      </c>
      <c r="AD312" s="206" t="str">
        <f t="shared" ca="1" si="28"/>
        <v>Oct</v>
      </c>
      <c r="AE312" s="649">
        <f ca="1">IFERROR(HLOOKUP($AB312&amp;$AD312,'NWC_FC_NON-NOOS'!$C$4:$Q$24,MATCH($Y312,'NWC_FC_NON-NOOS'!$B$4:$B$24,0),FALSE),"")</f>
        <v>0</v>
      </c>
      <c r="AF312" s="650">
        <f ca="1">IFERROR(HLOOKUP($AB312&amp;$AD312,'NWC_FC_NON-NOOS'!$S$4:$AH$24,MATCH($Y312,'NWC_FC_NON-NOOS'!$S$4:$S$24,0),FALSE),"")</f>
        <v>0</v>
      </c>
      <c r="AG312" s="650">
        <f ca="1">IFERROR(HLOOKUP($AB312&amp;$AD312,'NWC_FC_NON-NOOS'!$B$50:$U$70,MATCH($Y312,'NWC_FC_NON-NOOS'!$B$50:$B$70,0),FALSE),"")</f>
        <v>0</v>
      </c>
      <c r="AH312" s="650">
        <f ca="1">IFERROR(IF($AA312="NOOS",HLOOKUP(STOCK_OVERVIEW!$AB312&amp;STOCK_OVERVIEW!$AD312,PLANNING_FC!$BB$27:$BP$46,MATCH(STOCK_OVERVIEW!$Y312,PLANNING_FC!$BA$27:$BA$46,0),FALSE),HLOOKUP($AB312&amp;$AD312,PLANNING_FC!$BB$4:$BP$23,MATCH(STOCK_OVERVIEW!$Y312,PLANNING_FC!$BA$4:$BA$23,0),FALSE)),"")</f>
        <v>0</v>
      </c>
      <c r="AI312" s="650">
        <f ca="1">IFERROR(IF($AA312="NOOS",HLOOKUP(STOCK_OVERVIEW!$AB312&amp;STOCK_OVERVIEW!$AD312,PLANNING_FC!$T$27:$AH$46,MATCH(STOCK_OVERVIEW!$Y312,PLANNING_FC!$B$27:$B$46,0),FALSE),HLOOKUP($AB312&amp;$AD312,PLANNING_FC!$T$4:$AH$23,MATCH(STOCK_OVERVIEW!$Y312,PLANNING_FC!$B$4:$B$23,0),FALSE)),"")</f>
        <v>0</v>
      </c>
      <c r="AJ312" s="650">
        <f ca="1">IFERROR(IF($AA312="NOOS",HLOOKUP(STOCK_OVERVIEW!$AB312&amp;STOCK_OVERVIEW!$AD312,PLANNING_FC!$DA$27:$DO$46,MATCH(STOCK_OVERVIEW!$Y312,PLANNING_FC!$CZ$27:$CZ$46,0),FALSE),HLOOKUP($AB312&amp;$AD312,PLANNING_FC!$DA$4:$DO$23,MATCH(STOCK_OVERVIEW!$Y312,PLANNING_FC!$CZ$4:$CZ$23,0),FALSE)),"")</f>
        <v>958720</v>
      </c>
      <c r="AK312" s="651">
        <f ca="1">IFERROR(IF(AA312="NOOS",HLOOKUP(AB312&amp;AD312,PLANNING_FC!$AJ$27:$AY$47,MATCH(STOCK_OVERVIEW!Y312,PLANNING_FC!$AJ$27:$AJ$47,0),FALSE)*1000,HLOOKUP(AB312&amp;AD312,PLANNING_FC!$AJ$4:$AY$24,MATCH(STOCK_OVERVIEW!Y312,PLANNING_FC!$AJ$4:$AJ$24,0),FALSE)*1000),"")</f>
        <v>0</v>
      </c>
      <c r="AL312" s="638"/>
      <c r="AM312" s="638"/>
      <c r="AN312" s="638"/>
      <c r="AO312" s="638"/>
      <c r="AP312" s="638"/>
      <c r="AQ312" s="638"/>
      <c r="AR312" s="638"/>
      <c r="AS312" s="638"/>
    </row>
    <row r="313" spans="1:45" s="61" customFormat="1" x14ac:dyDescent="0.25">
      <c r="A313" s="62"/>
      <c r="F313" s="19"/>
      <c r="J313" s="19"/>
      <c r="N313" s="19"/>
      <c r="R313" s="19"/>
      <c r="S313" s="637"/>
      <c r="T313" s="637"/>
      <c r="U313" s="636"/>
      <c r="V313" s="637"/>
      <c r="W313" s="637"/>
      <c r="X313" s="465" t="str">
        <f t="shared" si="27"/>
        <v>VM</v>
      </c>
      <c r="Y313" s="206" t="str">
        <f t="shared" si="27"/>
        <v>OUTERWEAR</v>
      </c>
      <c r="Z313" s="25" t="str">
        <f t="shared" ca="1" si="20"/>
        <v>VMOUTERWEAR19/20Nov</v>
      </c>
      <c r="AA313" s="206" t="s">
        <v>197</v>
      </c>
      <c r="AB313" s="206" t="str">
        <f t="shared" ca="1" si="28"/>
        <v>19/20</v>
      </c>
      <c r="AC313" s="206" t="str">
        <f t="shared" ca="1" si="28"/>
        <v>Q2</v>
      </c>
      <c r="AD313" s="206" t="str">
        <f t="shared" ca="1" si="28"/>
        <v>Nov</v>
      </c>
      <c r="AE313" s="649">
        <f ca="1">IFERROR(HLOOKUP($AB313&amp;$AD313,'NWC_FC_NON-NOOS'!$C$4:$Q$24,MATCH($Y313,'NWC_FC_NON-NOOS'!$B$4:$B$24,0),FALSE),"")</f>
        <v>0</v>
      </c>
      <c r="AF313" s="650">
        <f ca="1">IFERROR(HLOOKUP($AB313&amp;$AD313,'NWC_FC_NON-NOOS'!$S$4:$AH$24,MATCH($Y313,'NWC_FC_NON-NOOS'!$S$4:$S$24,0),FALSE),"")</f>
        <v>0</v>
      </c>
      <c r="AG313" s="650">
        <f ca="1">IFERROR(HLOOKUP($AB313&amp;$AD313,'NWC_FC_NON-NOOS'!$B$50:$U$70,MATCH($Y313,'NWC_FC_NON-NOOS'!$B$50:$B$70,0),FALSE),"")</f>
        <v>0</v>
      </c>
      <c r="AH313" s="650">
        <f ca="1">IFERROR(IF($AA313="NOOS",HLOOKUP(STOCK_OVERVIEW!$AB313&amp;STOCK_OVERVIEW!$AD313,PLANNING_FC!$BB$27:$BP$46,MATCH(STOCK_OVERVIEW!$Y313,PLANNING_FC!$BA$27:$BA$46,0),FALSE),HLOOKUP($AB313&amp;$AD313,PLANNING_FC!$BB$4:$BP$23,MATCH(STOCK_OVERVIEW!$Y313,PLANNING_FC!$BA$4:$BA$23,0),FALSE)),"")</f>
        <v>0</v>
      </c>
      <c r="AI313" s="650">
        <f ca="1">IFERROR(IF($AA313="NOOS",HLOOKUP(STOCK_OVERVIEW!$AB313&amp;STOCK_OVERVIEW!$AD313,PLANNING_FC!$T$27:$AH$46,MATCH(STOCK_OVERVIEW!$Y313,PLANNING_FC!$B$27:$B$46,0),FALSE),HLOOKUP($AB313&amp;$AD313,PLANNING_FC!$T$4:$AH$23,MATCH(STOCK_OVERVIEW!$Y313,PLANNING_FC!$B$4:$B$23,0),FALSE)),"")</f>
        <v>0</v>
      </c>
      <c r="AJ313" s="650">
        <f ca="1">IFERROR(IF($AA313="NOOS",HLOOKUP(STOCK_OVERVIEW!$AB313&amp;STOCK_OVERVIEW!$AD313,PLANNING_FC!$DA$27:$DO$46,MATCH(STOCK_OVERVIEW!$Y313,PLANNING_FC!$CZ$27:$CZ$46,0),FALSE),HLOOKUP($AB313&amp;$AD313,PLANNING_FC!$DA$4:$DO$23,MATCH(STOCK_OVERVIEW!$Y313,PLANNING_FC!$CZ$4:$CZ$23,0),FALSE)),"")</f>
        <v>958720</v>
      </c>
      <c r="AK313" s="651">
        <f ca="1">IFERROR(IF(AA313="NOOS",HLOOKUP(AB313&amp;AD313,PLANNING_FC!$AJ$27:$AY$47,MATCH(STOCK_OVERVIEW!Y313,PLANNING_FC!$AJ$27:$AJ$47,0),FALSE)*1000,HLOOKUP(AB313&amp;AD313,PLANNING_FC!$AJ$4:$AY$24,MATCH(STOCK_OVERVIEW!Y313,PLANNING_FC!$AJ$4:$AJ$24,0),FALSE)*1000),"")</f>
        <v>0</v>
      </c>
      <c r="AL313" s="638"/>
      <c r="AM313" s="638"/>
      <c r="AN313" s="638"/>
      <c r="AO313" s="638"/>
      <c r="AP313" s="638"/>
      <c r="AQ313" s="638"/>
      <c r="AR313" s="638"/>
      <c r="AS313" s="638"/>
    </row>
    <row r="314" spans="1:45" s="61" customFormat="1" x14ac:dyDescent="0.25">
      <c r="A314" s="62"/>
      <c r="F314" s="19"/>
      <c r="J314" s="19"/>
      <c r="N314" s="19"/>
      <c r="R314" s="19"/>
      <c r="S314" s="637"/>
      <c r="T314" s="637"/>
      <c r="U314" s="636"/>
      <c r="V314" s="637"/>
      <c r="W314" s="637"/>
      <c r="X314" s="465" t="str">
        <f t="shared" si="27"/>
        <v>VM</v>
      </c>
      <c r="Y314" s="206" t="str">
        <f t="shared" si="27"/>
        <v>OUTERWEAR</v>
      </c>
      <c r="Z314" s="25" t="str">
        <f t="shared" ca="1" si="20"/>
        <v>VMOUTERWEAR19/20Dec</v>
      </c>
      <c r="AA314" s="206" t="s">
        <v>197</v>
      </c>
      <c r="AB314" s="206" t="str">
        <f t="shared" ca="1" si="28"/>
        <v>19/20</v>
      </c>
      <c r="AC314" s="206" t="str">
        <f t="shared" ca="1" si="28"/>
        <v>Q2</v>
      </c>
      <c r="AD314" s="206" t="str">
        <f t="shared" ca="1" si="28"/>
        <v>Dec</v>
      </c>
      <c r="AE314" s="649">
        <f ca="1">IFERROR(HLOOKUP($AB314&amp;$AD314,'NWC_FC_NON-NOOS'!$C$4:$Q$24,MATCH($Y314,'NWC_FC_NON-NOOS'!$B$4:$B$24,0),FALSE),"")</f>
        <v>0</v>
      </c>
      <c r="AF314" s="650">
        <f ca="1">IFERROR(HLOOKUP($AB314&amp;$AD314,'NWC_FC_NON-NOOS'!$S$4:$AH$24,MATCH($Y314,'NWC_FC_NON-NOOS'!$S$4:$S$24,0),FALSE),"")</f>
        <v>0</v>
      </c>
      <c r="AG314" s="650">
        <f ca="1">IFERROR(HLOOKUP($AB314&amp;$AD314,'NWC_FC_NON-NOOS'!$B$50:$U$70,MATCH($Y314,'NWC_FC_NON-NOOS'!$B$50:$B$70,0),FALSE),"")</f>
        <v>0</v>
      </c>
      <c r="AH314" s="650">
        <f ca="1">IFERROR(IF($AA314="NOOS",HLOOKUP(STOCK_OVERVIEW!$AB314&amp;STOCK_OVERVIEW!$AD314,PLANNING_FC!$BB$27:$BP$46,MATCH(STOCK_OVERVIEW!$Y314,PLANNING_FC!$BA$27:$BA$46,0),FALSE),HLOOKUP($AB314&amp;$AD314,PLANNING_FC!$BB$4:$BP$23,MATCH(STOCK_OVERVIEW!$Y314,PLANNING_FC!$BA$4:$BA$23,0),FALSE)),"")</f>
        <v>0</v>
      </c>
      <c r="AI314" s="650">
        <f ca="1">IFERROR(IF($AA314="NOOS",HLOOKUP(STOCK_OVERVIEW!$AB314&amp;STOCK_OVERVIEW!$AD314,PLANNING_FC!$T$27:$AH$46,MATCH(STOCK_OVERVIEW!$Y314,PLANNING_FC!$B$27:$B$46,0),FALSE),HLOOKUP($AB314&amp;$AD314,PLANNING_FC!$T$4:$AH$23,MATCH(STOCK_OVERVIEW!$Y314,PLANNING_FC!$B$4:$B$23,0),FALSE)),"")</f>
        <v>0</v>
      </c>
      <c r="AJ314" s="650">
        <f ca="1">IFERROR(IF($AA314="NOOS",HLOOKUP(STOCK_OVERVIEW!$AB314&amp;STOCK_OVERVIEW!$AD314,PLANNING_FC!$DA$27:$DO$46,MATCH(STOCK_OVERVIEW!$Y314,PLANNING_FC!$CZ$27:$CZ$46,0),FALSE),HLOOKUP($AB314&amp;$AD314,PLANNING_FC!$DA$4:$DO$23,MATCH(STOCK_OVERVIEW!$Y314,PLANNING_FC!$CZ$4:$CZ$23,0),FALSE)),"")</f>
        <v>958720</v>
      </c>
      <c r="AK314" s="651">
        <f ca="1">IFERROR(IF(AA314="NOOS",HLOOKUP(AB314&amp;AD314,PLANNING_FC!$AJ$27:$AY$47,MATCH(STOCK_OVERVIEW!Y314,PLANNING_FC!$AJ$27:$AJ$47,0),FALSE)*1000,HLOOKUP(AB314&amp;AD314,PLANNING_FC!$AJ$4:$AY$24,MATCH(STOCK_OVERVIEW!Y314,PLANNING_FC!$AJ$4:$AJ$24,0),FALSE)*1000),"")</f>
        <v>0</v>
      </c>
      <c r="AL314" s="638"/>
      <c r="AM314" s="638"/>
      <c r="AN314" s="638"/>
      <c r="AO314" s="638"/>
      <c r="AP314" s="638"/>
      <c r="AQ314" s="638"/>
      <c r="AR314" s="638"/>
      <c r="AS314" s="638"/>
    </row>
    <row r="315" spans="1:45" s="61" customFormat="1" x14ac:dyDescent="0.25">
      <c r="A315" s="62"/>
      <c r="F315" s="19"/>
      <c r="J315" s="19"/>
      <c r="N315" s="19"/>
      <c r="R315" s="19"/>
      <c r="S315" s="637"/>
      <c r="T315" s="637"/>
      <c r="U315" s="636"/>
      <c r="V315" s="637"/>
      <c r="W315" s="637"/>
      <c r="X315" s="465" t="str">
        <f t="shared" si="27"/>
        <v>VM</v>
      </c>
      <c r="Y315" s="206" t="str">
        <f t="shared" si="27"/>
        <v>OUTERWEAR</v>
      </c>
      <c r="Z315" s="25" t="str">
        <f t="shared" ca="1" si="20"/>
        <v>VMOUTERWEAR19/20Jan</v>
      </c>
      <c r="AA315" s="206" t="s">
        <v>197</v>
      </c>
      <c r="AB315" s="206" t="str">
        <f t="shared" ca="1" si="28"/>
        <v>19/20</v>
      </c>
      <c r="AC315" s="206" t="str">
        <f t="shared" ca="1" si="28"/>
        <v>Q2</v>
      </c>
      <c r="AD315" s="206" t="str">
        <f t="shared" ca="1" si="28"/>
        <v>Jan</v>
      </c>
      <c r="AE315" s="649">
        <f ca="1">IFERROR(HLOOKUP($AB315&amp;$AD315,'NWC_FC_NON-NOOS'!$C$4:$Q$24,MATCH($Y315,'NWC_FC_NON-NOOS'!$B$4:$B$24,0),FALSE),"")</f>
        <v>0</v>
      </c>
      <c r="AF315" s="650">
        <f ca="1">IFERROR(HLOOKUP($AB315&amp;$AD315,'NWC_FC_NON-NOOS'!$S$4:$AH$24,MATCH($Y315,'NWC_FC_NON-NOOS'!$S$4:$S$24,0),FALSE),"")</f>
        <v>0</v>
      </c>
      <c r="AG315" s="650">
        <f ca="1">IFERROR(HLOOKUP($AB315&amp;$AD315,'NWC_FC_NON-NOOS'!$B$50:$U$70,MATCH($Y315,'NWC_FC_NON-NOOS'!$B$50:$B$70,0),FALSE),"")</f>
        <v>0</v>
      </c>
      <c r="AH315" s="650">
        <f ca="1">IFERROR(IF($AA315="NOOS",HLOOKUP(STOCK_OVERVIEW!$AB315&amp;STOCK_OVERVIEW!$AD315,PLANNING_FC!$BB$27:$BP$46,MATCH(STOCK_OVERVIEW!$Y315,PLANNING_FC!$BA$27:$BA$46,0),FALSE),HLOOKUP($AB315&amp;$AD315,PLANNING_FC!$BB$4:$BP$23,MATCH(STOCK_OVERVIEW!$Y315,PLANNING_FC!$BA$4:$BA$23,0),FALSE)),"")</f>
        <v>0</v>
      </c>
      <c r="AI315" s="650">
        <f ca="1">IFERROR(IF($AA315="NOOS",HLOOKUP(STOCK_OVERVIEW!$AB315&amp;STOCK_OVERVIEW!$AD315,PLANNING_FC!$T$27:$AH$46,MATCH(STOCK_OVERVIEW!$Y315,PLANNING_FC!$B$27:$B$46,0),FALSE),HLOOKUP($AB315&amp;$AD315,PLANNING_FC!$T$4:$AH$23,MATCH(STOCK_OVERVIEW!$Y315,PLANNING_FC!$B$4:$B$23,0),FALSE)),"")</f>
        <v>0</v>
      </c>
      <c r="AJ315" s="650">
        <f ca="1">IFERROR(IF($AA315="NOOS",HLOOKUP(STOCK_OVERVIEW!$AB315&amp;STOCK_OVERVIEW!$AD315,PLANNING_FC!$DA$27:$DO$46,MATCH(STOCK_OVERVIEW!$Y315,PLANNING_FC!$CZ$27:$CZ$46,0),FALSE),HLOOKUP($AB315&amp;$AD315,PLANNING_FC!$DA$4:$DO$23,MATCH(STOCK_OVERVIEW!$Y315,PLANNING_FC!$CZ$4:$CZ$23,0),FALSE)),"")</f>
        <v>958720</v>
      </c>
      <c r="AK315" s="651">
        <f ca="1">IFERROR(IF(AA315="NOOS",HLOOKUP(AB315&amp;AD315,PLANNING_FC!$AJ$27:$AY$47,MATCH(STOCK_OVERVIEW!Y315,PLANNING_FC!$AJ$27:$AJ$47,0),FALSE)*1000,HLOOKUP(AB315&amp;AD315,PLANNING_FC!$AJ$4:$AY$24,MATCH(STOCK_OVERVIEW!Y315,PLANNING_FC!$AJ$4:$AJ$24,0),FALSE)*1000),"")</f>
        <v>0</v>
      </c>
      <c r="AL315" s="638"/>
      <c r="AM315" s="638"/>
      <c r="AN315" s="638"/>
      <c r="AO315" s="638"/>
      <c r="AP315" s="638"/>
      <c r="AQ315" s="638"/>
      <c r="AR315" s="638"/>
      <c r="AS315" s="638"/>
    </row>
    <row r="316" spans="1:45" s="61" customFormat="1" x14ac:dyDescent="0.25">
      <c r="A316" s="62"/>
      <c r="F316" s="19"/>
      <c r="J316" s="19"/>
      <c r="N316" s="19"/>
      <c r="R316" s="19"/>
      <c r="S316" s="637"/>
      <c r="T316" s="637"/>
      <c r="U316" s="636"/>
      <c r="V316" s="637"/>
      <c r="W316" s="637"/>
      <c r="X316" s="465" t="str">
        <f t="shared" si="27"/>
        <v>VM</v>
      </c>
      <c r="Y316" s="206" t="str">
        <f t="shared" si="27"/>
        <v>OUTERWEAR</v>
      </c>
      <c r="Z316" s="25" t="str">
        <f t="shared" ca="1" si="20"/>
        <v>VMOUTERWEAR19/20Feb</v>
      </c>
      <c r="AA316" s="206" t="s">
        <v>197</v>
      </c>
      <c r="AB316" s="206" t="str">
        <f t="shared" ca="1" si="28"/>
        <v>19/20</v>
      </c>
      <c r="AC316" s="206" t="str">
        <f t="shared" ca="1" si="28"/>
        <v>Q3</v>
      </c>
      <c r="AD316" s="206" t="str">
        <f t="shared" ca="1" si="28"/>
        <v>Feb</v>
      </c>
      <c r="AE316" s="649" t="str">
        <f ca="1">IFERROR(HLOOKUP($AB316&amp;$AD316,'NWC_FC_NON-NOOS'!$C$4:$Q$24,MATCH($Y316,'NWC_FC_NON-NOOS'!$B$4:$B$24,0),FALSE),"")</f>
        <v/>
      </c>
      <c r="AF316" s="650" t="str">
        <f ca="1">IFERROR(HLOOKUP($AB316&amp;$AD316,'NWC_FC_NON-NOOS'!$S$4:$AH$24,MATCH($Y316,'NWC_FC_NON-NOOS'!$S$4:$S$24,0),FALSE),"")</f>
        <v/>
      </c>
      <c r="AG316" s="650">
        <f ca="1">IFERROR(HLOOKUP($AB316&amp;$AD316,'NWC_FC_NON-NOOS'!$B$50:$U$70,MATCH($Y316,'NWC_FC_NON-NOOS'!$B$50:$B$70,0),FALSE),"")</f>
        <v>0</v>
      </c>
      <c r="AH316" s="650" t="str">
        <f ca="1">IFERROR(IF($AA316="NOOS",HLOOKUP(STOCK_OVERVIEW!$AB316&amp;STOCK_OVERVIEW!$AD316,PLANNING_FC!$BB$27:$BP$46,MATCH(STOCK_OVERVIEW!$Y316,PLANNING_FC!$BA$27:$BA$46,0),FALSE),HLOOKUP($AB316&amp;$AD316,PLANNING_FC!$BB$4:$BP$23,MATCH(STOCK_OVERVIEW!$Y316,PLANNING_FC!$BA$4:$BA$23,0),FALSE)),"")</f>
        <v/>
      </c>
      <c r="AI316" s="650" t="str">
        <f ca="1">IFERROR(IF($AA316="NOOS",HLOOKUP(STOCK_OVERVIEW!$AB316&amp;STOCK_OVERVIEW!$AD316,PLANNING_FC!$T$27:$AH$46,MATCH(STOCK_OVERVIEW!$Y316,PLANNING_FC!$B$27:$B$46,0),FALSE),HLOOKUP($AB316&amp;$AD316,PLANNING_FC!$T$4:$AH$23,MATCH(STOCK_OVERVIEW!$Y316,PLANNING_FC!$B$4:$B$23,0),FALSE)),"")</f>
        <v/>
      </c>
      <c r="AJ316" s="650" t="str">
        <f ca="1">IFERROR(IF($AA316="NOOS",HLOOKUP(STOCK_OVERVIEW!$AB316&amp;STOCK_OVERVIEW!$AD316,PLANNING_FC!$DA$27:$DO$46,MATCH(STOCK_OVERVIEW!$Y316,PLANNING_FC!$CZ$27:$CZ$46,0),FALSE),HLOOKUP($AB316&amp;$AD316,PLANNING_FC!$DA$4:$DO$23,MATCH(STOCK_OVERVIEW!$Y316,PLANNING_FC!$CZ$4:$CZ$23,0),FALSE)),"")</f>
        <v/>
      </c>
      <c r="AK316" s="651" t="str">
        <f ca="1">IFERROR(IF(AA316="NOOS",HLOOKUP(AB316&amp;AD316,PLANNING_FC!$AJ$27:$AY$47,MATCH(STOCK_OVERVIEW!Y316,PLANNING_FC!$AJ$27:$AJ$47,0),FALSE)*1000,HLOOKUP(AB316&amp;AD316,PLANNING_FC!$AJ$4:$AY$24,MATCH(STOCK_OVERVIEW!Y316,PLANNING_FC!$AJ$4:$AJ$24,0),FALSE)*1000),"")</f>
        <v/>
      </c>
      <c r="AL316" s="638"/>
      <c r="AM316" s="638"/>
      <c r="AN316" s="638"/>
      <c r="AO316" s="638"/>
      <c r="AP316" s="638"/>
      <c r="AQ316" s="638"/>
      <c r="AR316" s="638"/>
      <c r="AS316" s="638"/>
    </row>
    <row r="317" spans="1:45" s="61" customFormat="1" x14ac:dyDescent="0.25">
      <c r="A317" s="62"/>
      <c r="F317" s="19"/>
      <c r="J317" s="19"/>
      <c r="N317" s="19"/>
      <c r="R317" s="19"/>
      <c r="S317" s="637"/>
      <c r="T317" s="637"/>
      <c r="U317" s="636"/>
      <c r="V317" s="637"/>
      <c r="W317" s="637"/>
      <c r="X317" s="465" t="str">
        <f t="shared" si="27"/>
        <v>VM</v>
      </c>
      <c r="Y317" s="206" t="str">
        <f t="shared" si="27"/>
        <v>OUTERWEAR</v>
      </c>
      <c r="Z317" s="25" t="str">
        <f t="shared" ca="1" si="20"/>
        <v>VMOUTERWEAR19/20Mar</v>
      </c>
      <c r="AA317" s="206" t="s">
        <v>197</v>
      </c>
      <c r="AB317" s="206" t="str">
        <f t="shared" ca="1" si="28"/>
        <v>19/20</v>
      </c>
      <c r="AC317" s="206" t="str">
        <f t="shared" ca="1" si="28"/>
        <v>Q3</v>
      </c>
      <c r="AD317" s="206" t="str">
        <f t="shared" ca="1" si="28"/>
        <v>Mar</v>
      </c>
      <c r="AE317" s="649" t="str">
        <f ca="1">IFERROR(HLOOKUP($AB317&amp;$AD317,'NWC_FC_NON-NOOS'!$C$4:$Q$24,MATCH($Y317,'NWC_FC_NON-NOOS'!$B$4:$B$24,0),FALSE),"")</f>
        <v/>
      </c>
      <c r="AF317" s="650" t="str">
        <f ca="1">IFERROR(HLOOKUP($AB317&amp;$AD317,'NWC_FC_NON-NOOS'!$S$4:$AH$24,MATCH($Y317,'NWC_FC_NON-NOOS'!$S$4:$S$24,0),FALSE),"")</f>
        <v/>
      </c>
      <c r="AG317" s="650">
        <f ca="1">IFERROR(HLOOKUP($AB317&amp;$AD317,'NWC_FC_NON-NOOS'!$B$50:$U$70,MATCH($Y317,'NWC_FC_NON-NOOS'!$B$50:$B$70,0),FALSE),"")</f>
        <v>0</v>
      </c>
      <c r="AH317" s="650" t="str">
        <f ca="1">IFERROR(IF($AA317="NOOS",HLOOKUP(STOCK_OVERVIEW!$AB317&amp;STOCK_OVERVIEW!$AD317,PLANNING_FC!$BB$27:$BP$46,MATCH(STOCK_OVERVIEW!$Y317,PLANNING_FC!$BA$27:$BA$46,0),FALSE),HLOOKUP($AB317&amp;$AD317,PLANNING_FC!$BB$4:$BP$23,MATCH(STOCK_OVERVIEW!$Y317,PLANNING_FC!$BA$4:$BA$23,0),FALSE)),"")</f>
        <v/>
      </c>
      <c r="AI317" s="650" t="str">
        <f ca="1">IFERROR(IF($AA317="NOOS",HLOOKUP(STOCK_OVERVIEW!$AB317&amp;STOCK_OVERVIEW!$AD317,PLANNING_FC!$T$27:$AH$46,MATCH(STOCK_OVERVIEW!$Y317,PLANNING_FC!$B$27:$B$46,0),FALSE),HLOOKUP($AB317&amp;$AD317,PLANNING_FC!$T$4:$AH$23,MATCH(STOCK_OVERVIEW!$Y317,PLANNING_FC!$B$4:$B$23,0),FALSE)),"")</f>
        <v/>
      </c>
      <c r="AJ317" s="650" t="str">
        <f ca="1">IFERROR(IF($AA317="NOOS",HLOOKUP(STOCK_OVERVIEW!$AB317&amp;STOCK_OVERVIEW!$AD317,PLANNING_FC!$DA$27:$DO$46,MATCH(STOCK_OVERVIEW!$Y317,PLANNING_FC!$CZ$27:$CZ$46,0),FALSE),HLOOKUP($AB317&amp;$AD317,PLANNING_FC!$DA$4:$DO$23,MATCH(STOCK_OVERVIEW!$Y317,PLANNING_FC!$CZ$4:$CZ$23,0),FALSE)),"")</f>
        <v/>
      </c>
      <c r="AK317" s="651" t="str">
        <f ca="1">IFERROR(IF(AA317="NOOS",HLOOKUP(AB317&amp;AD317,PLANNING_FC!$AJ$27:$AY$47,MATCH(STOCK_OVERVIEW!Y317,PLANNING_FC!$AJ$27:$AJ$47,0),FALSE)*1000,HLOOKUP(AB317&amp;AD317,PLANNING_FC!$AJ$4:$AY$24,MATCH(STOCK_OVERVIEW!Y317,PLANNING_FC!$AJ$4:$AJ$24,0),FALSE)*1000),"")</f>
        <v/>
      </c>
      <c r="AL317" s="638"/>
      <c r="AM317" s="638"/>
      <c r="AN317" s="638"/>
      <c r="AO317" s="638"/>
      <c r="AP317" s="638"/>
      <c r="AQ317" s="638"/>
      <c r="AR317" s="638"/>
      <c r="AS317" s="638"/>
    </row>
    <row r="318" spans="1:45" s="61" customFormat="1" x14ac:dyDescent="0.25">
      <c r="A318" s="62"/>
      <c r="F318" s="19"/>
      <c r="J318" s="19"/>
      <c r="N318" s="19"/>
      <c r="R318" s="19"/>
      <c r="S318" s="637"/>
      <c r="T318" s="637"/>
      <c r="U318" s="636"/>
      <c r="V318" s="637"/>
      <c r="W318" s="637"/>
      <c r="X318" s="465" t="str">
        <f t="shared" si="27"/>
        <v>VM</v>
      </c>
      <c r="Y318" s="206" t="str">
        <f t="shared" si="27"/>
        <v>OUTERWEAR</v>
      </c>
      <c r="Z318" s="25" t="str">
        <f t="shared" ca="1" si="20"/>
        <v>VMOUTERWEAR19/20Apr</v>
      </c>
      <c r="AA318" s="206" t="s">
        <v>197</v>
      </c>
      <c r="AB318" s="206" t="str">
        <f t="shared" ca="1" si="28"/>
        <v>19/20</v>
      </c>
      <c r="AC318" s="206" t="str">
        <f t="shared" ca="1" si="28"/>
        <v>Q3</v>
      </c>
      <c r="AD318" s="206" t="str">
        <f t="shared" ca="1" si="28"/>
        <v>Apr</v>
      </c>
      <c r="AE318" s="649" t="str">
        <f ca="1">IFERROR(HLOOKUP($AB318&amp;$AD318,'NWC_FC_NON-NOOS'!$C$4:$Q$24,MATCH($Y318,'NWC_FC_NON-NOOS'!$B$4:$B$24,0),FALSE),"")</f>
        <v/>
      </c>
      <c r="AF318" s="650" t="str">
        <f ca="1">IFERROR(HLOOKUP($AB318&amp;$AD318,'NWC_FC_NON-NOOS'!$S$4:$AH$24,MATCH($Y318,'NWC_FC_NON-NOOS'!$S$4:$S$24,0),FALSE),"")</f>
        <v/>
      </c>
      <c r="AG318" s="650">
        <f ca="1">IFERROR(HLOOKUP($AB318&amp;$AD318,'NWC_FC_NON-NOOS'!$B$50:$U$70,MATCH($Y318,'NWC_FC_NON-NOOS'!$B$50:$B$70,0),FALSE),"")</f>
        <v>0</v>
      </c>
      <c r="AH318" s="650" t="str">
        <f ca="1">IFERROR(IF($AA318="NOOS",HLOOKUP(STOCK_OVERVIEW!$AB318&amp;STOCK_OVERVIEW!$AD318,PLANNING_FC!$BB$27:$BP$46,MATCH(STOCK_OVERVIEW!$Y318,PLANNING_FC!$BA$27:$BA$46,0),FALSE),HLOOKUP($AB318&amp;$AD318,PLANNING_FC!$BB$4:$BP$23,MATCH(STOCK_OVERVIEW!$Y318,PLANNING_FC!$BA$4:$BA$23,0),FALSE)),"")</f>
        <v/>
      </c>
      <c r="AI318" s="650" t="str">
        <f ca="1">IFERROR(IF($AA318="NOOS",HLOOKUP(STOCK_OVERVIEW!$AB318&amp;STOCK_OVERVIEW!$AD318,PLANNING_FC!$T$27:$AH$46,MATCH(STOCK_OVERVIEW!$Y318,PLANNING_FC!$B$27:$B$46,0),FALSE),HLOOKUP($AB318&amp;$AD318,PLANNING_FC!$T$4:$AH$23,MATCH(STOCK_OVERVIEW!$Y318,PLANNING_FC!$B$4:$B$23,0),FALSE)),"")</f>
        <v/>
      </c>
      <c r="AJ318" s="650" t="str">
        <f ca="1">IFERROR(IF($AA318="NOOS",HLOOKUP(STOCK_OVERVIEW!$AB318&amp;STOCK_OVERVIEW!$AD318,PLANNING_FC!$DA$27:$DO$46,MATCH(STOCK_OVERVIEW!$Y318,PLANNING_FC!$CZ$27:$CZ$46,0),FALSE),HLOOKUP($AB318&amp;$AD318,PLANNING_FC!$DA$4:$DO$23,MATCH(STOCK_OVERVIEW!$Y318,PLANNING_FC!$CZ$4:$CZ$23,0),FALSE)),"")</f>
        <v/>
      </c>
      <c r="AK318" s="651" t="str">
        <f ca="1">IFERROR(IF(AA318="NOOS",HLOOKUP(AB318&amp;AD318,PLANNING_FC!$AJ$27:$AY$47,MATCH(STOCK_OVERVIEW!Y318,PLANNING_FC!$AJ$27:$AJ$47,0),FALSE)*1000,HLOOKUP(AB318&amp;AD318,PLANNING_FC!$AJ$4:$AY$24,MATCH(STOCK_OVERVIEW!Y318,PLANNING_FC!$AJ$4:$AJ$24,0),FALSE)*1000),"")</f>
        <v/>
      </c>
      <c r="AL318" s="638"/>
      <c r="AM318" s="638"/>
      <c r="AN318" s="638"/>
      <c r="AO318" s="638"/>
      <c r="AP318" s="638"/>
      <c r="AQ318" s="638"/>
      <c r="AR318" s="638"/>
      <c r="AS318" s="638"/>
    </row>
    <row r="319" spans="1:45" s="61" customFormat="1" x14ac:dyDescent="0.25">
      <c r="A319" s="62"/>
      <c r="F319" s="19"/>
      <c r="J319" s="19"/>
      <c r="N319" s="19"/>
      <c r="R319" s="19"/>
      <c r="S319" s="637"/>
      <c r="T319" s="637"/>
      <c r="U319" s="636"/>
      <c r="V319" s="637"/>
      <c r="W319" s="637"/>
      <c r="X319" s="465" t="str">
        <f t="shared" si="27"/>
        <v>VM</v>
      </c>
      <c r="Y319" s="206" t="str">
        <f t="shared" si="27"/>
        <v>PANTS</v>
      </c>
      <c r="Z319" s="25" t="str">
        <f t="shared" ca="1" si="20"/>
        <v>VMPANTS18/19Feb</v>
      </c>
      <c r="AA319" s="206" t="s">
        <v>197</v>
      </c>
      <c r="AB319" s="206" t="str">
        <f t="shared" ca="1" si="28"/>
        <v>18/19</v>
      </c>
      <c r="AC319" s="206" t="str">
        <f t="shared" ca="1" si="28"/>
        <v>Q3</v>
      </c>
      <c r="AD319" s="206" t="str">
        <f t="shared" ca="1" si="28"/>
        <v>Feb</v>
      </c>
      <c r="AE319" s="649">
        <f ca="1">IFERROR(HLOOKUP($AB319&amp;$AD319,'NWC_FC_NON-NOOS'!$C$4:$Q$24,MATCH($Y319,'NWC_FC_NON-NOOS'!$B$4:$B$24,0),FALSE),"")</f>
        <v>0</v>
      </c>
      <c r="AF319" s="650">
        <f ca="1">IFERROR(HLOOKUP($AB319&amp;$AD319,'NWC_FC_NON-NOOS'!$S$4:$AH$24,MATCH($Y319,'NWC_FC_NON-NOOS'!$S$4:$S$24,0),FALSE),"")</f>
        <v>0</v>
      </c>
      <c r="AG319" s="650">
        <f ca="1">IFERROR(HLOOKUP($AB319&amp;$AD319,'NWC_FC_NON-NOOS'!$B$50:$U$70,MATCH($Y319,'NWC_FC_NON-NOOS'!$B$50:$B$70,0),FALSE),"")</f>
        <v>0</v>
      </c>
      <c r="AH319" s="650">
        <f ca="1">IFERROR(IF($AA319="NOOS",HLOOKUP(STOCK_OVERVIEW!$AB319&amp;STOCK_OVERVIEW!$AD319,PLANNING_FC!$BB$27:$BP$46,MATCH(STOCK_OVERVIEW!$Y319,PLANNING_FC!$BA$27:$BA$46,0),FALSE),HLOOKUP($AB319&amp;$AD319,PLANNING_FC!$BB$4:$BP$23,MATCH(STOCK_OVERVIEW!$Y319,PLANNING_FC!$BA$4:$BA$23,0),FALSE)),"")</f>
        <v>0</v>
      </c>
      <c r="AI319" s="650">
        <f ca="1">IFERROR(IF($AA319="NOOS",HLOOKUP(STOCK_OVERVIEW!$AB319&amp;STOCK_OVERVIEW!$AD319,PLANNING_FC!$T$27:$AH$46,MATCH(STOCK_OVERVIEW!$Y319,PLANNING_FC!$B$27:$B$46,0),FALSE),HLOOKUP($AB319&amp;$AD319,PLANNING_FC!$T$4:$AH$23,MATCH(STOCK_OVERVIEW!$Y319,PLANNING_FC!$B$4:$B$23,0),FALSE)),"")</f>
        <v>0</v>
      </c>
      <c r="AJ319" s="650">
        <f ca="1">IFERROR(IF($AA319="NOOS",HLOOKUP(STOCK_OVERVIEW!$AB319&amp;STOCK_OVERVIEW!$AD319,PLANNING_FC!$DA$27:$DO$46,MATCH(STOCK_OVERVIEW!$Y319,PLANNING_FC!$CZ$27:$CZ$46,0),FALSE),HLOOKUP($AB319&amp;$AD319,PLANNING_FC!$DA$4:$DO$23,MATCH(STOCK_OVERVIEW!$Y319,PLANNING_FC!$CZ$4:$CZ$23,0),FALSE)),"")</f>
        <v>0</v>
      </c>
      <c r="AK319" s="651">
        <f ca="1">IFERROR(IF(AA319="NOOS",HLOOKUP(AB319&amp;AD319,PLANNING_FC!$AJ$27:$AY$47,MATCH(STOCK_OVERVIEW!Y319,PLANNING_FC!$AJ$27:$AJ$47,0),FALSE)*1000,HLOOKUP(AB319&amp;AD319,PLANNING_FC!$AJ$4:$AY$24,MATCH(STOCK_OVERVIEW!Y319,PLANNING_FC!$AJ$4:$AJ$24,0),FALSE)*1000),"")</f>
        <v>0</v>
      </c>
      <c r="AL319" s="638"/>
      <c r="AM319" s="638"/>
      <c r="AN319" s="638"/>
      <c r="AO319" s="638"/>
      <c r="AP319" s="638"/>
      <c r="AQ319" s="638"/>
      <c r="AR319" s="638"/>
      <c r="AS319" s="638"/>
    </row>
    <row r="320" spans="1:45" s="61" customFormat="1" x14ac:dyDescent="0.25">
      <c r="A320" s="62"/>
      <c r="F320" s="19"/>
      <c r="J320" s="19"/>
      <c r="N320" s="19"/>
      <c r="R320" s="19"/>
      <c r="S320" s="637"/>
      <c r="T320" s="637"/>
      <c r="U320" s="636"/>
      <c r="V320" s="637"/>
      <c r="W320" s="637"/>
      <c r="X320" s="465" t="str">
        <f t="shared" si="27"/>
        <v>VM</v>
      </c>
      <c r="Y320" s="206" t="str">
        <f t="shared" si="27"/>
        <v>PANTS</v>
      </c>
      <c r="Z320" s="25" t="str">
        <f t="shared" ca="1" si="20"/>
        <v>VMPANTS18/19Mar</v>
      </c>
      <c r="AA320" s="206" t="s">
        <v>197</v>
      </c>
      <c r="AB320" s="206" t="str">
        <f t="shared" ca="1" si="28"/>
        <v>18/19</v>
      </c>
      <c r="AC320" s="206" t="str">
        <f t="shared" ca="1" si="28"/>
        <v>Q3</v>
      </c>
      <c r="AD320" s="206" t="str">
        <f t="shared" ca="1" si="28"/>
        <v>Mar</v>
      </c>
      <c r="AE320" s="649">
        <f ca="1">IFERROR(HLOOKUP($AB320&amp;$AD320,'NWC_FC_NON-NOOS'!$C$4:$Q$24,MATCH($Y320,'NWC_FC_NON-NOOS'!$B$4:$B$24,0),FALSE),"")</f>
        <v>0</v>
      </c>
      <c r="AF320" s="650">
        <f ca="1">IFERROR(HLOOKUP($AB320&amp;$AD320,'NWC_FC_NON-NOOS'!$S$4:$AH$24,MATCH($Y320,'NWC_FC_NON-NOOS'!$S$4:$S$24,0),FALSE),"")</f>
        <v>0</v>
      </c>
      <c r="AG320" s="650">
        <f ca="1">IFERROR(HLOOKUP($AB320&amp;$AD320,'NWC_FC_NON-NOOS'!$B$50:$U$70,MATCH($Y320,'NWC_FC_NON-NOOS'!$B$50:$B$70,0),FALSE),"")</f>
        <v>0</v>
      </c>
      <c r="AH320" s="650">
        <f ca="1">IFERROR(IF($AA320="NOOS",HLOOKUP(STOCK_OVERVIEW!$AB320&amp;STOCK_OVERVIEW!$AD320,PLANNING_FC!$BB$27:$BP$46,MATCH(STOCK_OVERVIEW!$Y320,PLANNING_FC!$BA$27:$BA$46,0),FALSE),HLOOKUP($AB320&amp;$AD320,PLANNING_FC!$BB$4:$BP$23,MATCH(STOCK_OVERVIEW!$Y320,PLANNING_FC!$BA$4:$BA$23,0),FALSE)),"")</f>
        <v>0</v>
      </c>
      <c r="AI320" s="650">
        <f ca="1">IFERROR(IF($AA320="NOOS",HLOOKUP(STOCK_OVERVIEW!$AB320&amp;STOCK_OVERVIEW!$AD320,PLANNING_FC!$T$27:$AH$46,MATCH(STOCK_OVERVIEW!$Y320,PLANNING_FC!$B$27:$B$46,0),FALSE),HLOOKUP($AB320&amp;$AD320,PLANNING_FC!$T$4:$AH$23,MATCH(STOCK_OVERVIEW!$Y320,PLANNING_FC!$B$4:$B$23,0),FALSE)),"")</f>
        <v>0</v>
      </c>
      <c r="AJ320" s="650">
        <f ca="1">IFERROR(IF($AA320="NOOS",HLOOKUP(STOCK_OVERVIEW!$AB320&amp;STOCK_OVERVIEW!$AD320,PLANNING_FC!$DA$27:$DO$46,MATCH(STOCK_OVERVIEW!$Y320,PLANNING_FC!$CZ$27:$CZ$46,0),FALSE),HLOOKUP($AB320&amp;$AD320,PLANNING_FC!$DA$4:$DO$23,MATCH(STOCK_OVERVIEW!$Y320,PLANNING_FC!$CZ$4:$CZ$23,0),FALSE)),"")</f>
        <v>0</v>
      </c>
      <c r="AK320" s="651">
        <f ca="1">IFERROR(IF(AA320="NOOS",HLOOKUP(AB320&amp;AD320,PLANNING_FC!$AJ$27:$AY$47,MATCH(STOCK_OVERVIEW!Y320,PLANNING_FC!$AJ$27:$AJ$47,0),FALSE)*1000,HLOOKUP(AB320&amp;AD320,PLANNING_FC!$AJ$4:$AY$24,MATCH(STOCK_OVERVIEW!Y320,PLANNING_FC!$AJ$4:$AJ$24,0),FALSE)*1000),"")</f>
        <v>0</v>
      </c>
      <c r="AL320" s="638"/>
      <c r="AM320" s="638"/>
      <c r="AN320" s="638"/>
      <c r="AO320" s="638"/>
      <c r="AP320" s="638"/>
      <c r="AQ320" s="638"/>
      <c r="AR320" s="638"/>
      <c r="AS320" s="638"/>
    </row>
    <row r="321" spans="1:45" s="61" customFormat="1" x14ac:dyDescent="0.25">
      <c r="A321" s="62"/>
      <c r="F321" s="19"/>
      <c r="J321" s="19"/>
      <c r="N321" s="19"/>
      <c r="R321" s="19"/>
      <c r="S321" s="637"/>
      <c r="T321" s="637"/>
      <c r="U321" s="636"/>
      <c r="V321" s="637"/>
      <c r="W321" s="637"/>
      <c r="X321" s="465" t="str">
        <f t="shared" si="27"/>
        <v>VM</v>
      </c>
      <c r="Y321" s="206" t="str">
        <f t="shared" si="27"/>
        <v>PANTS</v>
      </c>
      <c r="Z321" s="25" t="str">
        <f t="shared" ca="1" si="20"/>
        <v>VMPANTS18/19Apr</v>
      </c>
      <c r="AA321" s="206" t="s">
        <v>197</v>
      </c>
      <c r="AB321" s="206" t="str">
        <f t="shared" ca="1" si="28"/>
        <v>18/19</v>
      </c>
      <c r="AC321" s="206" t="str">
        <f t="shared" ca="1" si="28"/>
        <v>Q3</v>
      </c>
      <c r="AD321" s="206" t="str">
        <f t="shared" ca="1" si="28"/>
        <v>Apr</v>
      </c>
      <c r="AE321" s="649">
        <f ca="1">IFERROR(HLOOKUP($AB321&amp;$AD321,'NWC_FC_NON-NOOS'!$C$4:$Q$24,MATCH($Y321,'NWC_FC_NON-NOOS'!$B$4:$B$24,0),FALSE),"")</f>
        <v>0</v>
      </c>
      <c r="AF321" s="650">
        <f ca="1">IFERROR(HLOOKUP($AB321&amp;$AD321,'NWC_FC_NON-NOOS'!$S$4:$AH$24,MATCH($Y321,'NWC_FC_NON-NOOS'!$S$4:$S$24,0),FALSE),"")</f>
        <v>0</v>
      </c>
      <c r="AG321" s="650">
        <f ca="1">IFERROR(HLOOKUP($AB321&amp;$AD321,'NWC_FC_NON-NOOS'!$B$50:$U$70,MATCH($Y321,'NWC_FC_NON-NOOS'!$B$50:$B$70,0),FALSE),"")</f>
        <v>0</v>
      </c>
      <c r="AH321" s="650">
        <f ca="1">IFERROR(IF($AA321="NOOS",HLOOKUP(STOCK_OVERVIEW!$AB321&amp;STOCK_OVERVIEW!$AD321,PLANNING_FC!$BB$27:$BP$46,MATCH(STOCK_OVERVIEW!$Y321,PLANNING_FC!$BA$27:$BA$46,0),FALSE),HLOOKUP($AB321&amp;$AD321,PLANNING_FC!$BB$4:$BP$23,MATCH(STOCK_OVERVIEW!$Y321,PLANNING_FC!$BA$4:$BA$23,0),FALSE)),"")</f>
        <v>0</v>
      </c>
      <c r="AI321" s="650">
        <f ca="1">IFERROR(IF($AA321="NOOS",HLOOKUP(STOCK_OVERVIEW!$AB321&amp;STOCK_OVERVIEW!$AD321,PLANNING_FC!$T$27:$AH$46,MATCH(STOCK_OVERVIEW!$Y321,PLANNING_FC!$B$27:$B$46,0),FALSE),HLOOKUP($AB321&amp;$AD321,PLANNING_FC!$T$4:$AH$23,MATCH(STOCK_OVERVIEW!$Y321,PLANNING_FC!$B$4:$B$23,0),FALSE)),"")</f>
        <v>0</v>
      </c>
      <c r="AJ321" s="650">
        <f ca="1">IFERROR(IF($AA321="NOOS",HLOOKUP(STOCK_OVERVIEW!$AB321&amp;STOCK_OVERVIEW!$AD321,PLANNING_FC!$DA$27:$DO$46,MATCH(STOCK_OVERVIEW!$Y321,PLANNING_FC!$CZ$27:$CZ$46,0),FALSE),HLOOKUP($AB321&amp;$AD321,PLANNING_FC!$DA$4:$DO$23,MATCH(STOCK_OVERVIEW!$Y321,PLANNING_FC!$CZ$4:$CZ$23,0),FALSE)),"")</f>
        <v>419258</v>
      </c>
      <c r="AK321" s="651">
        <f ca="1">IFERROR(IF(AA321="NOOS",HLOOKUP(AB321&amp;AD321,PLANNING_FC!$AJ$27:$AY$47,MATCH(STOCK_OVERVIEW!Y321,PLANNING_FC!$AJ$27:$AJ$47,0),FALSE)*1000,HLOOKUP(AB321&amp;AD321,PLANNING_FC!$AJ$4:$AY$24,MATCH(STOCK_OVERVIEW!Y321,PLANNING_FC!$AJ$4:$AJ$24,0),FALSE)*1000),"")</f>
        <v>0</v>
      </c>
      <c r="AL321" s="638"/>
      <c r="AM321" s="638"/>
      <c r="AN321" s="638"/>
      <c r="AO321" s="638"/>
      <c r="AP321" s="638"/>
      <c r="AQ321" s="638"/>
      <c r="AR321" s="638"/>
      <c r="AS321" s="638"/>
    </row>
    <row r="322" spans="1:45" s="61" customFormat="1" x14ac:dyDescent="0.25">
      <c r="A322" s="62"/>
      <c r="F322" s="19"/>
      <c r="J322" s="19"/>
      <c r="N322" s="19"/>
      <c r="R322" s="19"/>
      <c r="S322" s="637"/>
      <c r="T322" s="637"/>
      <c r="U322" s="636"/>
      <c r="V322" s="637"/>
      <c r="W322" s="637"/>
      <c r="X322" s="465" t="str">
        <f t="shared" si="27"/>
        <v>VM</v>
      </c>
      <c r="Y322" s="206" t="str">
        <f t="shared" si="27"/>
        <v>PANTS</v>
      </c>
      <c r="Z322" s="25" t="str">
        <f t="shared" ca="1" si="20"/>
        <v>VMPANTS18/19May</v>
      </c>
      <c r="AA322" s="206" t="s">
        <v>197</v>
      </c>
      <c r="AB322" s="206" t="str">
        <f t="shared" ca="1" si="28"/>
        <v>18/19</v>
      </c>
      <c r="AC322" s="206" t="str">
        <f t="shared" ca="1" si="28"/>
        <v>Q4</v>
      </c>
      <c r="AD322" s="206" t="str">
        <f t="shared" ca="1" si="28"/>
        <v>May</v>
      </c>
      <c r="AE322" s="649">
        <f ca="1">IFERROR(HLOOKUP($AB322&amp;$AD322,'NWC_FC_NON-NOOS'!$C$4:$Q$24,MATCH($Y322,'NWC_FC_NON-NOOS'!$B$4:$B$24,0),FALSE),"")</f>
        <v>0</v>
      </c>
      <c r="AF322" s="650">
        <f ca="1">IFERROR(HLOOKUP($AB322&amp;$AD322,'NWC_FC_NON-NOOS'!$S$4:$AH$24,MATCH($Y322,'NWC_FC_NON-NOOS'!$S$4:$S$24,0),FALSE),"")</f>
        <v>0</v>
      </c>
      <c r="AG322" s="650">
        <f ca="1">IFERROR(HLOOKUP($AB322&amp;$AD322,'NWC_FC_NON-NOOS'!$B$50:$U$70,MATCH($Y322,'NWC_FC_NON-NOOS'!$B$50:$B$70,0),FALSE),"")</f>
        <v>0</v>
      </c>
      <c r="AH322" s="650">
        <f ca="1">IFERROR(IF($AA322="NOOS",HLOOKUP(STOCK_OVERVIEW!$AB322&amp;STOCK_OVERVIEW!$AD322,PLANNING_FC!$BB$27:$BP$46,MATCH(STOCK_OVERVIEW!$Y322,PLANNING_FC!$BA$27:$BA$46,0),FALSE),HLOOKUP($AB322&amp;$AD322,PLANNING_FC!$BB$4:$BP$23,MATCH(STOCK_OVERVIEW!$Y322,PLANNING_FC!$BA$4:$BA$23,0),FALSE)),"")</f>
        <v>0</v>
      </c>
      <c r="AI322" s="650">
        <f ca="1">IFERROR(IF($AA322="NOOS",HLOOKUP(STOCK_OVERVIEW!$AB322&amp;STOCK_OVERVIEW!$AD322,PLANNING_FC!$T$27:$AH$46,MATCH(STOCK_OVERVIEW!$Y322,PLANNING_FC!$B$27:$B$46,0),FALSE),HLOOKUP($AB322&amp;$AD322,PLANNING_FC!$T$4:$AH$23,MATCH(STOCK_OVERVIEW!$Y322,PLANNING_FC!$B$4:$B$23,0),FALSE)),"")</f>
        <v>0</v>
      </c>
      <c r="AJ322" s="650">
        <f ca="1">IFERROR(IF($AA322="NOOS",HLOOKUP(STOCK_OVERVIEW!$AB322&amp;STOCK_OVERVIEW!$AD322,PLANNING_FC!$DA$27:$DO$46,MATCH(STOCK_OVERVIEW!$Y322,PLANNING_FC!$CZ$27:$CZ$46,0),FALSE),HLOOKUP($AB322&amp;$AD322,PLANNING_FC!$DA$4:$DO$23,MATCH(STOCK_OVERVIEW!$Y322,PLANNING_FC!$CZ$4:$CZ$23,0),FALSE)),"")</f>
        <v>434211</v>
      </c>
      <c r="AK322" s="651">
        <f ca="1">IFERROR(IF(AA322="NOOS",HLOOKUP(AB322&amp;AD322,PLANNING_FC!$AJ$27:$AY$47,MATCH(STOCK_OVERVIEW!Y322,PLANNING_FC!$AJ$27:$AJ$47,0),FALSE)*1000,HLOOKUP(AB322&amp;AD322,PLANNING_FC!$AJ$4:$AY$24,MATCH(STOCK_OVERVIEW!Y322,PLANNING_FC!$AJ$4:$AJ$24,0),FALSE)*1000),"")</f>
        <v>0</v>
      </c>
      <c r="AL322" s="638"/>
      <c r="AM322" s="638"/>
      <c r="AN322" s="638"/>
      <c r="AO322" s="638"/>
      <c r="AP322" s="638"/>
      <c r="AQ322" s="638"/>
      <c r="AR322" s="638"/>
      <c r="AS322" s="638"/>
    </row>
    <row r="323" spans="1:45" s="61" customFormat="1" x14ac:dyDescent="0.25">
      <c r="A323" s="62"/>
      <c r="F323" s="19"/>
      <c r="J323" s="19"/>
      <c r="N323" s="19"/>
      <c r="R323" s="19"/>
      <c r="S323" s="637"/>
      <c r="T323" s="637"/>
      <c r="U323" s="636"/>
      <c r="V323" s="637"/>
      <c r="W323" s="637"/>
      <c r="X323" s="465" t="str">
        <f t="shared" si="27"/>
        <v>VM</v>
      </c>
      <c r="Y323" s="206" t="str">
        <f t="shared" si="27"/>
        <v>PANTS</v>
      </c>
      <c r="Z323" s="25" t="str">
        <f t="shared" ca="1" si="20"/>
        <v>VMPANTS18/19Jun</v>
      </c>
      <c r="AA323" s="206" t="s">
        <v>197</v>
      </c>
      <c r="AB323" s="206" t="str">
        <f t="shared" ca="1" si="28"/>
        <v>18/19</v>
      </c>
      <c r="AC323" s="206" t="str">
        <f t="shared" ca="1" si="28"/>
        <v>Q4</v>
      </c>
      <c r="AD323" s="206" t="str">
        <f t="shared" ca="1" si="28"/>
        <v>Jun</v>
      </c>
      <c r="AE323" s="649">
        <f ca="1">IFERROR(HLOOKUP($AB323&amp;$AD323,'NWC_FC_NON-NOOS'!$C$4:$Q$24,MATCH($Y323,'NWC_FC_NON-NOOS'!$B$4:$B$24,0),FALSE),"")</f>
        <v>0</v>
      </c>
      <c r="AF323" s="650">
        <f ca="1">IFERROR(HLOOKUP($AB323&amp;$AD323,'NWC_FC_NON-NOOS'!$S$4:$AH$24,MATCH($Y323,'NWC_FC_NON-NOOS'!$S$4:$S$24,0),FALSE),"")</f>
        <v>0</v>
      </c>
      <c r="AG323" s="650">
        <f ca="1">IFERROR(HLOOKUP($AB323&amp;$AD323,'NWC_FC_NON-NOOS'!$B$50:$U$70,MATCH($Y323,'NWC_FC_NON-NOOS'!$B$50:$B$70,0),FALSE),"")</f>
        <v>0</v>
      </c>
      <c r="AH323" s="650">
        <f ca="1">IFERROR(IF($AA323="NOOS",HLOOKUP(STOCK_OVERVIEW!$AB323&amp;STOCK_OVERVIEW!$AD323,PLANNING_FC!$BB$27:$BP$46,MATCH(STOCK_OVERVIEW!$Y323,PLANNING_FC!$BA$27:$BA$46,0),FALSE),HLOOKUP($AB323&amp;$AD323,PLANNING_FC!$BB$4:$BP$23,MATCH(STOCK_OVERVIEW!$Y323,PLANNING_FC!$BA$4:$BA$23,0),FALSE)),"")</f>
        <v>0</v>
      </c>
      <c r="AI323" s="650">
        <f ca="1">IFERROR(IF($AA323="NOOS",HLOOKUP(STOCK_OVERVIEW!$AB323&amp;STOCK_OVERVIEW!$AD323,PLANNING_FC!$T$27:$AH$46,MATCH(STOCK_OVERVIEW!$Y323,PLANNING_FC!$B$27:$B$46,0),FALSE),HLOOKUP($AB323&amp;$AD323,PLANNING_FC!$T$4:$AH$23,MATCH(STOCK_OVERVIEW!$Y323,PLANNING_FC!$B$4:$B$23,0),FALSE)),"")</f>
        <v>0</v>
      </c>
      <c r="AJ323" s="650">
        <f ca="1">IFERROR(IF($AA323="NOOS",HLOOKUP(STOCK_OVERVIEW!$AB323&amp;STOCK_OVERVIEW!$AD323,PLANNING_FC!$DA$27:$DO$46,MATCH(STOCK_OVERVIEW!$Y323,PLANNING_FC!$CZ$27:$CZ$46,0),FALSE),HLOOKUP($AB323&amp;$AD323,PLANNING_FC!$DA$4:$DO$23,MATCH(STOCK_OVERVIEW!$Y323,PLANNING_FC!$CZ$4:$CZ$23,0),FALSE)),"")</f>
        <v>436004</v>
      </c>
      <c r="AK323" s="651">
        <f ca="1">IFERROR(IF(AA323="NOOS",HLOOKUP(AB323&amp;AD323,PLANNING_FC!$AJ$27:$AY$47,MATCH(STOCK_OVERVIEW!Y323,PLANNING_FC!$AJ$27:$AJ$47,0),FALSE)*1000,HLOOKUP(AB323&amp;AD323,PLANNING_FC!$AJ$4:$AY$24,MATCH(STOCK_OVERVIEW!Y323,PLANNING_FC!$AJ$4:$AJ$24,0),FALSE)*1000),"")</f>
        <v>0</v>
      </c>
      <c r="AL323" s="638"/>
      <c r="AM323" s="638"/>
      <c r="AN323" s="638"/>
      <c r="AO323" s="638"/>
      <c r="AP323" s="638"/>
      <c r="AQ323" s="638"/>
      <c r="AR323" s="638"/>
      <c r="AS323" s="638"/>
    </row>
    <row r="324" spans="1:45" s="61" customFormat="1" x14ac:dyDescent="0.25">
      <c r="A324" s="62"/>
      <c r="F324" s="19"/>
      <c r="J324" s="19"/>
      <c r="N324" s="19"/>
      <c r="R324" s="19"/>
      <c r="S324" s="637"/>
      <c r="T324" s="637"/>
      <c r="U324" s="636"/>
      <c r="V324" s="637"/>
      <c r="W324" s="637"/>
      <c r="X324" s="465" t="str">
        <f t="shared" ref="X324:Y343" si="29">X84</f>
        <v>VM</v>
      </c>
      <c r="Y324" s="206" t="str">
        <f t="shared" si="29"/>
        <v>PANTS</v>
      </c>
      <c r="Z324" s="25" t="str">
        <f t="shared" ca="1" si="20"/>
        <v>VMPANTS18/19Jul</v>
      </c>
      <c r="AA324" s="206" t="s">
        <v>197</v>
      </c>
      <c r="AB324" s="206" t="str">
        <f t="shared" ref="AB324:AD343" ca="1" si="30">AB84</f>
        <v>18/19</v>
      </c>
      <c r="AC324" s="206" t="str">
        <f t="shared" ca="1" si="30"/>
        <v>Q4</v>
      </c>
      <c r="AD324" s="206" t="str">
        <f t="shared" ca="1" si="30"/>
        <v>Jul</v>
      </c>
      <c r="AE324" s="649">
        <f ca="1">IFERROR(HLOOKUP($AB324&amp;$AD324,'NWC_FC_NON-NOOS'!$C$4:$Q$24,MATCH($Y324,'NWC_FC_NON-NOOS'!$B$4:$B$24,0),FALSE),"")</f>
        <v>0</v>
      </c>
      <c r="AF324" s="650">
        <f ca="1">IFERROR(HLOOKUP($AB324&amp;$AD324,'NWC_FC_NON-NOOS'!$S$4:$AH$24,MATCH($Y324,'NWC_FC_NON-NOOS'!$S$4:$S$24,0),FALSE),"")</f>
        <v>0</v>
      </c>
      <c r="AG324" s="650">
        <f ca="1">IFERROR(HLOOKUP($AB324&amp;$AD324,'NWC_FC_NON-NOOS'!$B$50:$U$70,MATCH($Y324,'NWC_FC_NON-NOOS'!$B$50:$B$70,0),FALSE),"")</f>
        <v>0</v>
      </c>
      <c r="AH324" s="650">
        <f ca="1">IFERROR(IF($AA324="NOOS",HLOOKUP(STOCK_OVERVIEW!$AB324&amp;STOCK_OVERVIEW!$AD324,PLANNING_FC!$BB$27:$BP$46,MATCH(STOCK_OVERVIEW!$Y324,PLANNING_FC!$BA$27:$BA$46,0),FALSE),HLOOKUP($AB324&amp;$AD324,PLANNING_FC!$BB$4:$BP$23,MATCH(STOCK_OVERVIEW!$Y324,PLANNING_FC!$BA$4:$BA$23,0),FALSE)),"")</f>
        <v>0</v>
      </c>
      <c r="AI324" s="650">
        <f ca="1">IFERROR(IF($AA324="NOOS",HLOOKUP(STOCK_OVERVIEW!$AB324&amp;STOCK_OVERVIEW!$AD324,PLANNING_FC!$T$27:$AH$46,MATCH(STOCK_OVERVIEW!$Y324,PLANNING_FC!$B$27:$B$46,0),FALSE),HLOOKUP($AB324&amp;$AD324,PLANNING_FC!$T$4:$AH$23,MATCH(STOCK_OVERVIEW!$Y324,PLANNING_FC!$B$4:$B$23,0),FALSE)),"")</f>
        <v>0</v>
      </c>
      <c r="AJ324" s="650">
        <f ca="1">IFERROR(IF($AA324="NOOS",HLOOKUP(STOCK_OVERVIEW!$AB324&amp;STOCK_OVERVIEW!$AD324,PLANNING_FC!$DA$27:$DO$46,MATCH(STOCK_OVERVIEW!$Y324,PLANNING_FC!$CZ$27:$CZ$46,0),FALSE),HLOOKUP($AB324&amp;$AD324,PLANNING_FC!$DA$4:$DO$23,MATCH(STOCK_OVERVIEW!$Y324,PLANNING_FC!$CZ$4:$CZ$23,0),FALSE)),"")</f>
        <v>436004</v>
      </c>
      <c r="AK324" s="651">
        <f ca="1">IFERROR(IF(AA324="NOOS",HLOOKUP(AB324&amp;AD324,PLANNING_FC!$AJ$27:$AY$47,MATCH(STOCK_OVERVIEW!Y324,PLANNING_FC!$AJ$27:$AJ$47,0),FALSE)*1000,HLOOKUP(AB324&amp;AD324,PLANNING_FC!$AJ$4:$AY$24,MATCH(STOCK_OVERVIEW!Y324,PLANNING_FC!$AJ$4:$AJ$24,0),FALSE)*1000),"")</f>
        <v>0</v>
      </c>
      <c r="AL324" s="638"/>
      <c r="AM324" s="638"/>
      <c r="AN324" s="638"/>
      <c r="AO324" s="638"/>
      <c r="AP324" s="638"/>
      <c r="AQ324" s="638"/>
      <c r="AR324" s="638"/>
      <c r="AS324" s="638"/>
    </row>
    <row r="325" spans="1:45" s="61" customFormat="1" x14ac:dyDescent="0.25">
      <c r="A325" s="62"/>
      <c r="F325" s="19"/>
      <c r="J325" s="19"/>
      <c r="N325" s="19"/>
      <c r="R325" s="19"/>
      <c r="S325" s="637"/>
      <c r="T325" s="637"/>
      <c r="U325" s="636"/>
      <c r="V325" s="637"/>
      <c r="W325" s="637"/>
      <c r="X325" s="465" t="str">
        <f t="shared" si="29"/>
        <v>VM</v>
      </c>
      <c r="Y325" s="206" t="str">
        <f t="shared" si="29"/>
        <v>PANTS</v>
      </c>
      <c r="Z325" s="25" t="str">
        <f t="shared" ref="Z325:Z388" ca="1" si="31">X325&amp;Y325&amp;AB325&amp;AD325</f>
        <v>VMPANTS19/20Aug</v>
      </c>
      <c r="AA325" s="206" t="s">
        <v>197</v>
      </c>
      <c r="AB325" s="206" t="str">
        <f t="shared" ca="1" si="30"/>
        <v>19/20</v>
      </c>
      <c r="AC325" s="206" t="str">
        <f t="shared" ca="1" si="30"/>
        <v>Q1</v>
      </c>
      <c r="AD325" s="206" t="str">
        <f t="shared" ca="1" si="30"/>
        <v>Aug</v>
      </c>
      <c r="AE325" s="649">
        <f ca="1">IFERROR(HLOOKUP($AB325&amp;$AD325,'NWC_FC_NON-NOOS'!$C$4:$Q$24,MATCH($Y325,'NWC_FC_NON-NOOS'!$B$4:$B$24,0),FALSE),"")</f>
        <v>0</v>
      </c>
      <c r="AF325" s="650">
        <f ca="1">IFERROR(HLOOKUP($AB325&amp;$AD325,'NWC_FC_NON-NOOS'!$S$4:$AH$24,MATCH($Y325,'NWC_FC_NON-NOOS'!$S$4:$S$24,0),FALSE),"")</f>
        <v>0</v>
      </c>
      <c r="AG325" s="650">
        <f ca="1">IFERROR(HLOOKUP($AB325&amp;$AD325,'NWC_FC_NON-NOOS'!$B$50:$U$70,MATCH($Y325,'NWC_FC_NON-NOOS'!$B$50:$B$70,0),FALSE),"")</f>
        <v>0</v>
      </c>
      <c r="AH325" s="650">
        <f ca="1">IFERROR(IF($AA325="NOOS",HLOOKUP(STOCK_OVERVIEW!$AB325&amp;STOCK_OVERVIEW!$AD325,PLANNING_FC!$BB$27:$BP$46,MATCH(STOCK_OVERVIEW!$Y325,PLANNING_FC!$BA$27:$BA$46,0),FALSE),HLOOKUP($AB325&amp;$AD325,PLANNING_FC!$BB$4:$BP$23,MATCH(STOCK_OVERVIEW!$Y325,PLANNING_FC!$BA$4:$BA$23,0),FALSE)),"")</f>
        <v>0</v>
      </c>
      <c r="AI325" s="650">
        <f ca="1">IFERROR(IF($AA325="NOOS",HLOOKUP(STOCK_OVERVIEW!$AB325&amp;STOCK_OVERVIEW!$AD325,PLANNING_FC!$T$27:$AH$46,MATCH(STOCK_OVERVIEW!$Y325,PLANNING_FC!$B$27:$B$46,0),FALSE),HLOOKUP($AB325&amp;$AD325,PLANNING_FC!$T$4:$AH$23,MATCH(STOCK_OVERVIEW!$Y325,PLANNING_FC!$B$4:$B$23,0),FALSE)),"")</f>
        <v>0</v>
      </c>
      <c r="AJ325" s="650">
        <f ca="1">IFERROR(IF($AA325="NOOS",HLOOKUP(STOCK_OVERVIEW!$AB325&amp;STOCK_OVERVIEW!$AD325,PLANNING_FC!$DA$27:$DO$46,MATCH(STOCK_OVERVIEW!$Y325,PLANNING_FC!$CZ$27:$CZ$46,0),FALSE),HLOOKUP($AB325&amp;$AD325,PLANNING_FC!$DA$4:$DO$23,MATCH(STOCK_OVERVIEW!$Y325,PLANNING_FC!$CZ$4:$CZ$23,0),FALSE)),"")</f>
        <v>436004</v>
      </c>
      <c r="AK325" s="651">
        <f ca="1">IFERROR(IF(AA325="NOOS",HLOOKUP(AB325&amp;AD325,PLANNING_FC!$AJ$27:$AY$47,MATCH(STOCK_OVERVIEW!Y325,PLANNING_FC!$AJ$27:$AJ$47,0),FALSE)*1000,HLOOKUP(AB325&amp;AD325,PLANNING_FC!$AJ$4:$AY$24,MATCH(STOCK_OVERVIEW!Y325,PLANNING_FC!$AJ$4:$AJ$24,0),FALSE)*1000),"")</f>
        <v>0</v>
      </c>
      <c r="AL325" s="638"/>
      <c r="AM325" s="638"/>
      <c r="AN325" s="638"/>
      <c r="AO325" s="638"/>
      <c r="AP325" s="638"/>
      <c r="AQ325" s="638"/>
      <c r="AR325" s="638"/>
      <c r="AS325" s="638"/>
    </row>
    <row r="326" spans="1:45" s="61" customFormat="1" x14ac:dyDescent="0.25">
      <c r="A326" s="62"/>
      <c r="F326" s="19"/>
      <c r="J326" s="19"/>
      <c r="N326" s="19"/>
      <c r="R326" s="19"/>
      <c r="S326" s="637"/>
      <c r="T326" s="637"/>
      <c r="U326" s="636"/>
      <c r="V326" s="637"/>
      <c r="W326" s="637"/>
      <c r="X326" s="465" t="str">
        <f t="shared" si="29"/>
        <v>VM</v>
      </c>
      <c r="Y326" s="206" t="str">
        <f t="shared" si="29"/>
        <v>PANTS</v>
      </c>
      <c r="Z326" s="25" t="str">
        <f t="shared" ca="1" si="31"/>
        <v>VMPANTS19/20Sep</v>
      </c>
      <c r="AA326" s="206" t="s">
        <v>197</v>
      </c>
      <c r="AB326" s="206" t="str">
        <f t="shared" ca="1" si="30"/>
        <v>19/20</v>
      </c>
      <c r="AC326" s="206" t="str">
        <f t="shared" ca="1" si="30"/>
        <v>Q1</v>
      </c>
      <c r="AD326" s="206" t="str">
        <f t="shared" ca="1" si="30"/>
        <v>Sep</v>
      </c>
      <c r="AE326" s="649">
        <f ca="1">IFERROR(HLOOKUP($AB326&amp;$AD326,'NWC_FC_NON-NOOS'!$C$4:$Q$24,MATCH($Y326,'NWC_FC_NON-NOOS'!$B$4:$B$24,0),FALSE),"")</f>
        <v>0</v>
      </c>
      <c r="AF326" s="650">
        <f ca="1">IFERROR(HLOOKUP($AB326&amp;$AD326,'NWC_FC_NON-NOOS'!$S$4:$AH$24,MATCH($Y326,'NWC_FC_NON-NOOS'!$S$4:$S$24,0),FALSE),"")</f>
        <v>0</v>
      </c>
      <c r="AG326" s="650">
        <f ca="1">IFERROR(HLOOKUP($AB326&amp;$AD326,'NWC_FC_NON-NOOS'!$B$50:$U$70,MATCH($Y326,'NWC_FC_NON-NOOS'!$B$50:$B$70,0),FALSE),"")</f>
        <v>0</v>
      </c>
      <c r="AH326" s="650">
        <f ca="1">IFERROR(IF($AA326="NOOS",HLOOKUP(STOCK_OVERVIEW!$AB326&amp;STOCK_OVERVIEW!$AD326,PLANNING_FC!$BB$27:$BP$46,MATCH(STOCK_OVERVIEW!$Y326,PLANNING_FC!$BA$27:$BA$46,0),FALSE),HLOOKUP($AB326&amp;$AD326,PLANNING_FC!$BB$4:$BP$23,MATCH(STOCK_OVERVIEW!$Y326,PLANNING_FC!$BA$4:$BA$23,0),FALSE)),"")</f>
        <v>0</v>
      </c>
      <c r="AI326" s="650">
        <f ca="1">IFERROR(IF($AA326="NOOS",HLOOKUP(STOCK_OVERVIEW!$AB326&amp;STOCK_OVERVIEW!$AD326,PLANNING_FC!$T$27:$AH$46,MATCH(STOCK_OVERVIEW!$Y326,PLANNING_FC!$B$27:$B$46,0),FALSE),HLOOKUP($AB326&amp;$AD326,PLANNING_FC!$T$4:$AH$23,MATCH(STOCK_OVERVIEW!$Y326,PLANNING_FC!$B$4:$B$23,0),FALSE)),"")</f>
        <v>0</v>
      </c>
      <c r="AJ326" s="650">
        <f ca="1">IFERROR(IF($AA326="NOOS",HLOOKUP(STOCK_OVERVIEW!$AB326&amp;STOCK_OVERVIEW!$AD326,PLANNING_FC!$DA$27:$DO$46,MATCH(STOCK_OVERVIEW!$Y326,PLANNING_FC!$CZ$27:$CZ$46,0),FALSE),HLOOKUP($AB326&amp;$AD326,PLANNING_FC!$DA$4:$DO$23,MATCH(STOCK_OVERVIEW!$Y326,PLANNING_FC!$CZ$4:$CZ$23,0),FALSE)),"")</f>
        <v>436004</v>
      </c>
      <c r="AK326" s="651">
        <f ca="1">IFERROR(IF(AA326="NOOS",HLOOKUP(AB326&amp;AD326,PLANNING_FC!$AJ$27:$AY$47,MATCH(STOCK_OVERVIEW!Y326,PLANNING_FC!$AJ$27:$AJ$47,0),FALSE)*1000,HLOOKUP(AB326&amp;AD326,PLANNING_FC!$AJ$4:$AY$24,MATCH(STOCK_OVERVIEW!Y326,PLANNING_FC!$AJ$4:$AJ$24,0),FALSE)*1000),"")</f>
        <v>0</v>
      </c>
      <c r="AL326" s="638"/>
      <c r="AM326" s="638"/>
      <c r="AN326" s="638"/>
      <c r="AO326" s="638"/>
      <c r="AP326" s="638"/>
      <c r="AQ326" s="638"/>
      <c r="AR326" s="638"/>
      <c r="AS326" s="638"/>
    </row>
    <row r="327" spans="1:45" s="61" customFormat="1" x14ac:dyDescent="0.25">
      <c r="A327" s="62"/>
      <c r="F327" s="19"/>
      <c r="J327" s="19"/>
      <c r="N327" s="19"/>
      <c r="R327" s="19"/>
      <c r="S327" s="637"/>
      <c r="T327" s="637"/>
      <c r="U327" s="636"/>
      <c r="V327" s="637"/>
      <c r="W327" s="637"/>
      <c r="X327" s="465" t="str">
        <f t="shared" si="29"/>
        <v>VM</v>
      </c>
      <c r="Y327" s="206" t="str">
        <f t="shared" si="29"/>
        <v>PANTS</v>
      </c>
      <c r="Z327" s="25" t="str">
        <f t="shared" ca="1" si="31"/>
        <v>VMPANTS19/20Oct</v>
      </c>
      <c r="AA327" s="206" t="s">
        <v>197</v>
      </c>
      <c r="AB327" s="206" t="str">
        <f t="shared" ca="1" si="30"/>
        <v>19/20</v>
      </c>
      <c r="AC327" s="206" t="str">
        <f t="shared" ca="1" si="30"/>
        <v>Q1</v>
      </c>
      <c r="AD327" s="206" t="str">
        <f t="shared" ca="1" si="30"/>
        <v>Oct</v>
      </c>
      <c r="AE327" s="649">
        <f ca="1">IFERROR(HLOOKUP($AB327&amp;$AD327,'NWC_FC_NON-NOOS'!$C$4:$Q$24,MATCH($Y327,'NWC_FC_NON-NOOS'!$B$4:$B$24,0),FALSE),"")</f>
        <v>0</v>
      </c>
      <c r="AF327" s="650">
        <f ca="1">IFERROR(HLOOKUP($AB327&amp;$AD327,'NWC_FC_NON-NOOS'!$S$4:$AH$24,MATCH($Y327,'NWC_FC_NON-NOOS'!$S$4:$S$24,0),FALSE),"")</f>
        <v>0</v>
      </c>
      <c r="AG327" s="650">
        <f ca="1">IFERROR(HLOOKUP($AB327&amp;$AD327,'NWC_FC_NON-NOOS'!$B$50:$U$70,MATCH($Y327,'NWC_FC_NON-NOOS'!$B$50:$B$70,0),FALSE),"")</f>
        <v>0</v>
      </c>
      <c r="AH327" s="650">
        <f ca="1">IFERROR(IF($AA327="NOOS",HLOOKUP(STOCK_OVERVIEW!$AB327&amp;STOCK_OVERVIEW!$AD327,PLANNING_FC!$BB$27:$BP$46,MATCH(STOCK_OVERVIEW!$Y327,PLANNING_FC!$BA$27:$BA$46,0),FALSE),HLOOKUP($AB327&amp;$AD327,PLANNING_FC!$BB$4:$BP$23,MATCH(STOCK_OVERVIEW!$Y327,PLANNING_FC!$BA$4:$BA$23,0),FALSE)),"")</f>
        <v>0</v>
      </c>
      <c r="AI327" s="650">
        <f ca="1">IFERROR(IF($AA327="NOOS",HLOOKUP(STOCK_OVERVIEW!$AB327&amp;STOCK_OVERVIEW!$AD327,PLANNING_FC!$T$27:$AH$46,MATCH(STOCK_OVERVIEW!$Y327,PLANNING_FC!$B$27:$B$46,0),FALSE),HLOOKUP($AB327&amp;$AD327,PLANNING_FC!$T$4:$AH$23,MATCH(STOCK_OVERVIEW!$Y327,PLANNING_FC!$B$4:$B$23,0),FALSE)),"")</f>
        <v>0</v>
      </c>
      <c r="AJ327" s="650">
        <f ca="1">IFERROR(IF($AA327="NOOS",HLOOKUP(STOCK_OVERVIEW!$AB327&amp;STOCK_OVERVIEW!$AD327,PLANNING_FC!$DA$27:$DO$46,MATCH(STOCK_OVERVIEW!$Y327,PLANNING_FC!$CZ$27:$CZ$46,0),FALSE),HLOOKUP($AB327&amp;$AD327,PLANNING_FC!$DA$4:$DO$23,MATCH(STOCK_OVERVIEW!$Y327,PLANNING_FC!$CZ$4:$CZ$23,0),FALSE)),"")</f>
        <v>436004</v>
      </c>
      <c r="AK327" s="651">
        <f ca="1">IFERROR(IF(AA327="NOOS",HLOOKUP(AB327&amp;AD327,PLANNING_FC!$AJ$27:$AY$47,MATCH(STOCK_OVERVIEW!Y327,PLANNING_FC!$AJ$27:$AJ$47,0),FALSE)*1000,HLOOKUP(AB327&amp;AD327,PLANNING_FC!$AJ$4:$AY$24,MATCH(STOCK_OVERVIEW!Y327,PLANNING_FC!$AJ$4:$AJ$24,0),FALSE)*1000),"")</f>
        <v>0</v>
      </c>
      <c r="AL327" s="638"/>
      <c r="AM327" s="638"/>
      <c r="AN327" s="638"/>
      <c r="AO327" s="638"/>
      <c r="AP327" s="638"/>
      <c r="AQ327" s="638"/>
      <c r="AR327" s="638"/>
      <c r="AS327" s="638"/>
    </row>
    <row r="328" spans="1:45" s="61" customFormat="1" x14ac:dyDescent="0.25">
      <c r="A328" s="62"/>
      <c r="F328" s="19"/>
      <c r="J328" s="19"/>
      <c r="N328" s="19"/>
      <c r="R328" s="19"/>
      <c r="S328" s="637"/>
      <c r="T328" s="637"/>
      <c r="U328" s="636"/>
      <c r="V328" s="637"/>
      <c r="W328" s="637"/>
      <c r="X328" s="465" t="str">
        <f t="shared" si="29"/>
        <v>VM</v>
      </c>
      <c r="Y328" s="206" t="str">
        <f t="shared" si="29"/>
        <v>PANTS</v>
      </c>
      <c r="Z328" s="25" t="str">
        <f t="shared" ca="1" si="31"/>
        <v>VMPANTS19/20Nov</v>
      </c>
      <c r="AA328" s="206" t="s">
        <v>197</v>
      </c>
      <c r="AB328" s="206" t="str">
        <f t="shared" ca="1" si="30"/>
        <v>19/20</v>
      </c>
      <c r="AC328" s="206" t="str">
        <f t="shared" ca="1" si="30"/>
        <v>Q2</v>
      </c>
      <c r="AD328" s="206" t="str">
        <f t="shared" ca="1" si="30"/>
        <v>Nov</v>
      </c>
      <c r="AE328" s="649">
        <f ca="1">IFERROR(HLOOKUP($AB328&amp;$AD328,'NWC_FC_NON-NOOS'!$C$4:$Q$24,MATCH($Y328,'NWC_FC_NON-NOOS'!$B$4:$B$24,0),FALSE),"")</f>
        <v>0</v>
      </c>
      <c r="AF328" s="650">
        <f ca="1">IFERROR(HLOOKUP($AB328&amp;$AD328,'NWC_FC_NON-NOOS'!$S$4:$AH$24,MATCH($Y328,'NWC_FC_NON-NOOS'!$S$4:$S$24,0),FALSE),"")</f>
        <v>0</v>
      </c>
      <c r="AG328" s="650">
        <f ca="1">IFERROR(HLOOKUP($AB328&amp;$AD328,'NWC_FC_NON-NOOS'!$B$50:$U$70,MATCH($Y328,'NWC_FC_NON-NOOS'!$B$50:$B$70,0),FALSE),"")</f>
        <v>0</v>
      </c>
      <c r="AH328" s="650">
        <f ca="1">IFERROR(IF($AA328="NOOS",HLOOKUP(STOCK_OVERVIEW!$AB328&amp;STOCK_OVERVIEW!$AD328,PLANNING_FC!$BB$27:$BP$46,MATCH(STOCK_OVERVIEW!$Y328,PLANNING_FC!$BA$27:$BA$46,0),FALSE),HLOOKUP($AB328&amp;$AD328,PLANNING_FC!$BB$4:$BP$23,MATCH(STOCK_OVERVIEW!$Y328,PLANNING_FC!$BA$4:$BA$23,0),FALSE)),"")</f>
        <v>0</v>
      </c>
      <c r="AI328" s="650">
        <f ca="1">IFERROR(IF($AA328="NOOS",HLOOKUP(STOCK_OVERVIEW!$AB328&amp;STOCK_OVERVIEW!$AD328,PLANNING_FC!$T$27:$AH$46,MATCH(STOCK_OVERVIEW!$Y328,PLANNING_FC!$B$27:$B$46,0),FALSE),HLOOKUP($AB328&amp;$AD328,PLANNING_FC!$T$4:$AH$23,MATCH(STOCK_OVERVIEW!$Y328,PLANNING_FC!$B$4:$B$23,0),FALSE)),"")</f>
        <v>0</v>
      </c>
      <c r="AJ328" s="650">
        <f ca="1">IFERROR(IF($AA328="NOOS",HLOOKUP(STOCK_OVERVIEW!$AB328&amp;STOCK_OVERVIEW!$AD328,PLANNING_FC!$DA$27:$DO$46,MATCH(STOCK_OVERVIEW!$Y328,PLANNING_FC!$CZ$27:$CZ$46,0),FALSE),HLOOKUP($AB328&amp;$AD328,PLANNING_FC!$DA$4:$DO$23,MATCH(STOCK_OVERVIEW!$Y328,PLANNING_FC!$CZ$4:$CZ$23,0),FALSE)),"")</f>
        <v>436004</v>
      </c>
      <c r="AK328" s="651">
        <f ca="1">IFERROR(IF(AA328="NOOS",HLOOKUP(AB328&amp;AD328,PLANNING_FC!$AJ$27:$AY$47,MATCH(STOCK_OVERVIEW!Y328,PLANNING_FC!$AJ$27:$AJ$47,0),FALSE)*1000,HLOOKUP(AB328&amp;AD328,PLANNING_FC!$AJ$4:$AY$24,MATCH(STOCK_OVERVIEW!Y328,PLANNING_FC!$AJ$4:$AJ$24,0),FALSE)*1000),"")</f>
        <v>0</v>
      </c>
      <c r="AL328" s="638"/>
      <c r="AM328" s="638"/>
      <c r="AN328" s="638"/>
      <c r="AO328" s="638"/>
      <c r="AP328" s="638"/>
      <c r="AQ328" s="638"/>
      <c r="AR328" s="638"/>
      <c r="AS328" s="638"/>
    </row>
    <row r="329" spans="1:45" s="61" customFormat="1" x14ac:dyDescent="0.25">
      <c r="A329" s="62"/>
      <c r="F329" s="19"/>
      <c r="J329" s="19"/>
      <c r="N329" s="19"/>
      <c r="R329" s="19"/>
      <c r="S329" s="637"/>
      <c r="T329" s="637"/>
      <c r="U329" s="636"/>
      <c r="V329" s="637"/>
      <c r="W329" s="637"/>
      <c r="X329" s="465" t="str">
        <f t="shared" si="29"/>
        <v>VM</v>
      </c>
      <c r="Y329" s="206" t="str">
        <f t="shared" si="29"/>
        <v>PANTS</v>
      </c>
      <c r="Z329" s="25" t="str">
        <f t="shared" ca="1" si="31"/>
        <v>VMPANTS19/20Dec</v>
      </c>
      <c r="AA329" s="206" t="s">
        <v>197</v>
      </c>
      <c r="AB329" s="206" t="str">
        <f t="shared" ca="1" si="30"/>
        <v>19/20</v>
      </c>
      <c r="AC329" s="206" t="str">
        <f t="shared" ca="1" si="30"/>
        <v>Q2</v>
      </c>
      <c r="AD329" s="206" t="str">
        <f t="shared" ca="1" si="30"/>
        <v>Dec</v>
      </c>
      <c r="AE329" s="649">
        <f ca="1">IFERROR(HLOOKUP($AB329&amp;$AD329,'NWC_FC_NON-NOOS'!$C$4:$Q$24,MATCH($Y329,'NWC_FC_NON-NOOS'!$B$4:$B$24,0),FALSE),"")</f>
        <v>0</v>
      </c>
      <c r="AF329" s="650">
        <f ca="1">IFERROR(HLOOKUP($AB329&amp;$AD329,'NWC_FC_NON-NOOS'!$S$4:$AH$24,MATCH($Y329,'NWC_FC_NON-NOOS'!$S$4:$S$24,0),FALSE),"")</f>
        <v>0</v>
      </c>
      <c r="AG329" s="650">
        <f ca="1">IFERROR(HLOOKUP($AB329&amp;$AD329,'NWC_FC_NON-NOOS'!$B$50:$U$70,MATCH($Y329,'NWC_FC_NON-NOOS'!$B$50:$B$70,0),FALSE),"")</f>
        <v>0</v>
      </c>
      <c r="AH329" s="650">
        <f ca="1">IFERROR(IF($AA329="NOOS",HLOOKUP(STOCK_OVERVIEW!$AB329&amp;STOCK_OVERVIEW!$AD329,PLANNING_FC!$BB$27:$BP$46,MATCH(STOCK_OVERVIEW!$Y329,PLANNING_FC!$BA$27:$BA$46,0),FALSE),HLOOKUP($AB329&amp;$AD329,PLANNING_FC!$BB$4:$BP$23,MATCH(STOCK_OVERVIEW!$Y329,PLANNING_FC!$BA$4:$BA$23,0),FALSE)),"")</f>
        <v>0</v>
      </c>
      <c r="AI329" s="650">
        <f ca="1">IFERROR(IF($AA329="NOOS",HLOOKUP(STOCK_OVERVIEW!$AB329&amp;STOCK_OVERVIEW!$AD329,PLANNING_FC!$T$27:$AH$46,MATCH(STOCK_OVERVIEW!$Y329,PLANNING_FC!$B$27:$B$46,0),FALSE),HLOOKUP($AB329&amp;$AD329,PLANNING_FC!$T$4:$AH$23,MATCH(STOCK_OVERVIEW!$Y329,PLANNING_FC!$B$4:$B$23,0),FALSE)),"")</f>
        <v>0</v>
      </c>
      <c r="AJ329" s="650">
        <f ca="1">IFERROR(IF($AA329="NOOS",HLOOKUP(STOCK_OVERVIEW!$AB329&amp;STOCK_OVERVIEW!$AD329,PLANNING_FC!$DA$27:$DO$46,MATCH(STOCK_OVERVIEW!$Y329,PLANNING_FC!$CZ$27:$CZ$46,0),FALSE),HLOOKUP($AB329&amp;$AD329,PLANNING_FC!$DA$4:$DO$23,MATCH(STOCK_OVERVIEW!$Y329,PLANNING_FC!$CZ$4:$CZ$23,0),FALSE)),"")</f>
        <v>436004</v>
      </c>
      <c r="AK329" s="651">
        <f ca="1">IFERROR(IF(AA329="NOOS",HLOOKUP(AB329&amp;AD329,PLANNING_FC!$AJ$27:$AY$47,MATCH(STOCK_OVERVIEW!Y329,PLANNING_FC!$AJ$27:$AJ$47,0),FALSE)*1000,HLOOKUP(AB329&amp;AD329,PLANNING_FC!$AJ$4:$AY$24,MATCH(STOCK_OVERVIEW!Y329,PLANNING_FC!$AJ$4:$AJ$24,0),FALSE)*1000),"")</f>
        <v>0</v>
      </c>
      <c r="AL329" s="638"/>
      <c r="AM329" s="638"/>
      <c r="AN329" s="638"/>
      <c r="AO329" s="638"/>
      <c r="AP329" s="638"/>
      <c r="AQ329" s="638"/>
      <c r="AR329" s="638"/>
      <c r="AS329" s="638"/>
    </row>
    <row r="330" spans="1:45" s="61" customFormat="1" x14ac:dyDescent="0.25">
      <c r="A330" s="62"/>
      <c r="F330" s="19"/>
      <c r="J330" s="19"/>
      <c r="N330" s="19"/>
      <c r="R330" s="19"/>
      <c r="S330" s="637"/>
      <c r="T330" s="637"/>
      <c r="U330" s="636"/>
      <c r="V330" s="637"/>
      <c r="W330" s="637"/>
      <c r="X330" s="465" t="str">
        <f t="shared" si="29"/>
        <v>VM</v>
      </c>
      <c r="Y330" s="206" t="str">
        <f t="shared" si="29"/>
        <v>PANTS</v>
      </c>
      <c r="Z330" s="25" t="str">
        <f t="shared" ca="1" si="31"/>
        <v>VMPANTS19/20Jan</v>
      </c>
      <c r="AA330" s="206" t="s">
        <v>197</v>
      </c>
      <c r="AB330" s="206" t="str">
        <f t="shared" ca="1" si="30"/>
        <v>19/20</v>
      </c>
      <c r="AC330" s="206" t="str">
        <f t="shared" ca="1" si="30"/>
        <v>Q2</v>
      </c>
      <c r="AD330" s="206" t="str">
        <f t="shared" ca="1" si="30"/>
        <v>Jan</v>
      </c>
      <c r="AE330" s="649">
        <f ca="1">IFERROR(HLOOKUP($AB330&amp;$AD330,'NWC_FC_NON-NOOS'!$C$4:$Q$24,MATCH($Y330,'NWC_FC_NON-NOOS'!$B$4:$B$24,0),FALSE),"")</f>
        <v>0</v>
      </c>
      <c r="AF330" s="650">
        <f ca="1">IFERROR(HLOOKUP($AB330&amp;$AD330,'NWC_FC_NON-NOOS'!$S$4:$AH$24,MATCH($Y330,'NWC_FC_NON-NOOS'!$S$4:$S$24,0),FALSE),"")</f>
        <v>0</v>
      </c>
      <c r="AG330" s="650">
        <f ca="1">IFERROR(HLOOKUP($AB330&amp;$AD330,'NWC_FC_NON-NOOS'!$B$50:$U$70,MATCH($Y330,'NWC_FC_NON-NOOS'!$B$50:$B$70,0),FALSE),"")</f>
        <v>0</v>
      </c>
      <c r="AH330" s="650">
        <f ca="1">IFERROR(IF($AA330="NOOS",HLOOKUP(STOCK_OVERVIEW!$AB330&amp;STOCK_OVERVIEW!$AD330,PLANNING_FC!$BB$27:$BP$46,MATCH(STOCK_OVERVIEW!$Y330,PLANNING_FC!$BA$27:$BA$46,0),FALSE),HLOOKUP($AB330&amp;$AD330,PLANNING_FC!$BB$4:$BP$23,MATCH(STOCK_OVERVIEW!$Y330,PLANNING_FC!$BA$4:$BA$23,0),FALSE)),"")</f>
        <v>0</v>
      </c>
      <c r="AI330" s="650">
        <f ca="1">IFERROR(IF($AA330="NOOS",HLOOKUP(STOCK_OVERVIEW!$AB330&amp;STOCK_OVERVIEW!$AD330,PLANNING_FC!$T$27:$AH$46,MATCH(STOCK_OVERVIEW!$Y330,PLANNING_FC!$B$27:$B$46,0),FALSE),HLOOKUP($AB330&amp;$AD330,PLANNING_FC!$T$4:$AH$23,MATCH(STOCK_OVERVIEW!$Y330,PLANNING_FC!$B$4:$B$23,0),FALSE)),"")</f>
        <v>0</v>
      </c>
      <c r="AJ330" s="650">
        <f ca="1">IFERROR(IF($AA330="NOOS",HLOOKUP(STOCK_OVERVIEW!$AB330&amp;STOCK_OVERVIEW!$AD330,PLANNING_FC!$DA$27:$DO$46,MATCH(STOCK_OVERVIEW!$Y330,PLANNING_FC!$CZ$27:$CZ$46,0),FALSE),HLOOKUP($AB330&amp;$AD330,PLANNING_FC!$DA$4:$DO$23,MATCH(STOCK_OVERVIEW!$Y330,PLANNING_FC!$CZ$4:$CZ$23,0),FALSE)),"")</f>
        <v>436004</v>
      </c>
      <c r="AK330" s="651">
        <f ca="1">IFERROR(IF(AA330="NOOS",HLOOKUP(AB330&amp;AD330,PLANNING_FC!$AJ$27:$AY$47,MATCH(STOCK_OVERVIEW!Y330,PLANNING_FC!$AJ$27:$AJ$47,0),FALSE)*1000,HLOOKUP(AB330&amp;AD330,PLANNING_FC!$AJ$4:$AY$24,MATCH(STOCK_OVERVIEW!Y330,PLANNING_FC!$AJ$4:$AJ$24,0),FALSE)*1000),"")</f>
        <v>0</v>
      </c>
      <c r="AL330" s="638"/>
      <c r="AM330" s="638"/>
      <c r="AN330" s="638"/>
      <c r="AO330" s="638"/>
      <c r="AP330" s="638"/>
      <c r="AQ330" s="638"/>
      <c r="AR330" s="638"/>
      <c r="AS330" s="638"/>
    </row>
    <row r="331" spans="1:45" s="61" customFormat="1" x14ac:dyDescent="0.25">
      <c r="A331" s="62"/>
      <c r="F331" s="19"/>
      <c r="J331" s="19"/>
      <c r="N331" s="19"/>
      <c r="R331" s="19"/>
      <c r="S331" s="637"/>
      <c r="T331" s="637"/>
      <c r="U331" s="636"/>
      <c r="V331" s="637"/>
      <c r="W331" s="637"/>
      <c r="X331" s="465" t="str">
        <f t="shared" si="29"/>
        <v>VM</v>
      </c>
      <c r="Y331" s="206" t="str">
        <f t="shared" si="29"/>
        <v>PANTS</v>
      </c>
      <c r="Z331" s="25" t="str">
        <f t="shared" ca="1" si="31"/>
        <v>VMPANTS19/20Feb</v>
      </c>
      <c r="AA331" s="206" t="s">
        <v>197</v>
      </c>
      <c r="AB331" s="206" t="str">
        <f t="shared" ca="1" si="30"/>
        <v>19/20</v>
      </c>
      <c r="AC331" s="206" t="str">
        <f t="shared" ca="1" si="30"/>
        <v>Q3</v>
      </c>
      <c r="AD331" s="206" t="str">
        <f t="shared" ca="1" si="30"/>
        <v>Feb</v>
      </c>
      <c r="AE331" s="649" t="str">
        <f ca="1">IFERROR(HLOOKUP($AB331&amp;$AD331,'NWC_FC_NON-NOOS'!$C$4:$Q$24,MATCH($Y331,'NWC_FC_NON-NOOS'!$B$4:$B$24,0),FALSE),"")</f>
        <v/>
      </c>
      <c r="AF331" s="650" t="str">
        <f ca="1">IFERROR(HLOOKUP($AB331&amp;$AD331,'NWC_FC_NON-NOOS'!$S$4:$AH$24,MATCH($Y331,'NWC_FC_NON-NOOS'!$S$4:$S$24,0),FALSE),"")</f>
        <v/>
      </c>
      <c r="AG331" s="650">
        <f ca="1">IFERROR(HLOOKUP($AB331&amp;$AD331,'NWC_FC_NON-NOOS'!$B$50:$U$70,MATCH($Y331,'NWC_FC_NON-NOOS'!$B$50:$B$70,0),FALSE),"")</f>
        <v>0</v>
      </c>
      <c r="AH331" s="650" t="str">
        <f ca="1">IFERROR(IF($AA331="NOOS",HLOOKUP(STOCK_OVERVIEW!$AB331&amp;STOCK_OVERVIEW!$AD331,PLANNING_FC!$BB$27:$BP$46,MATCH(STOCK_OVERVIEW!$Y331,PLANNING_FC!$BA$27:$BA$46,0),FALSE),HLOOKUP($AB331&amp;$AD331,PLANNING_FC!$BB$4:$BP$23,MATCH(STOCK_OVERVIEW!$Y331,PLANNING_FC!$BA$4:$BA$23,0),FALSE)),"")</f>
        <v/>
      </c>
      <c r="AI331" s="650" t="str">
        <f ca="1">IFERROR(IF($AA331="NOOS",HLOOKUP(STOCK_OVERVIEW!$AB331&amp;STOCK_OVERVIEW!$AD331,PLANNING_FC!$T$27:$AH$46,MATCH(STOCK_OVERVIEW!$Y331,PLANNING_FC!$B$27:$B$46,0),FALSE),HLOOKUP($AB331&amp;$AD331,PLANNING_FC!$T$4:$AH$23,MATCH(STOCK_OVERVIEW!$Y331,PLANNING_FC!$B$4:$B$23,0),FALSE)),"")</f>
        <v/>
      </c>
      <c r="AJ331" s="650" t="str">
        <f ca="1">IFERROR(IF($AA331="NOOS",HLOOKUP(STOCK_OVERVIEW!$AB331&amp;STOCK_OVERVIEW!$AD331,PLANNING_FC!$DA$27:$DO$46,MATCH(STOCK_OVERVIEW!$Y331,PLANNING_FC!$CZ$27:$CZ$46,0),FALSE),HLOOKUP($AB331&amp;$AD331,PLANNING_FC!$DA$4:$DO$23,MATCH(STOCK_OVERVIEW!$Y331,PLANNING_FC!$CZ$4:$CZ$23,0),FALSE)),"")</f>
        <v/>
      </c>
      <c r="AK331" s="651" t="str">
        <f ca="1">IFERROR(IF(AA331="NOOS",HLOOKUP(AB331&amp;AD331,PLANNING_FC!$AJ$27:$AY$47,MATCH(STOCK_OVERVIEW!Y331,PLANNING_FC!$AJ$27:$AJ$47,0),FALSE)*1000,HLOOKUP(AB331&amp;AD331,PLANNING_FC!$AJ$4:$AY$24,MATCH(STOCK_OVERVIEW!Y331,PLANNING_FC!$AJ$4:$AJ$24,0),FALSE)*1000),"")</f>
        <v/>
      </c>
      <c r="AL331" s="638"/>
      <c r="AM331" s="638"/>
      <c r="AN331" s="638"/>
      <c r="AO331" s="638"/>
      <c r="AP331" s="638"/>
      <c r="AQ331" s="638"/>
      <c r="AR331" s="638"/>
      <c r="AS331" s="638"/>
    </row>
    <row r="332" spans="1:45" s="61" customFormat="1" x14ac:dyDescent="0.25">
      <c r="A332" s="62"/>
      <c r="F332" s="19"/>
      <c r="J332" s="19"/>
      <c r="N332" s="19"/>
      <c r="R332" s="19"/>
      <c r="S332" s="637"/>
      <c r="T332" s="637"/>
      <c r="U332" s="636"/>
      <c r="V332" s="637"/>
      <c r="W332" s="637"/>
      <c r="X332" s="465" t="str">
        <f t="shared" si="29"/>
        <v>VM</v>
      </c>
      <c r="Y332" s="206" t="str">
        <f t="shared" si="29"/>
        <v>PANTS</v>
      </c>
      <c r="Z332" s="25" t="str">
        <f t="shared" ca="1" si="31"/>
        <v>VMPANTS19/20Mar</v>
      </c>
      <c r="AA332" s="206" t="s">
        <v>197</v>
      </c>
      <c r="AB332" s="206" t="str">
        <f t="shared" ca="1" si="30"/>
        <v>19/20</v>
      </c>
      <c r="AC332" s="206" t="str">
        <f t="shared" ca="1" si="30"/>
        <v>Q3</v>
      </c>
      <c r="AD332" s="206" t="str">
        <f t="shared" ca="1" si="30"/>
        <v>Mar</v>
      </c>
      <c r="AE332" s="649" t="str">
        <f ca="1">IFERROR(HLOOKUP($AB332&amp;$AD332,'NWC_FC_NON-NOOS'!$C$4:$Q$24,MATCH($Y332,'NWC_FC_NON-NOOS'!$B$4:$B$24,0),FALSE),"")</f>
        <v/>
      </c>
      <c r="AF332" s="650" t="str">
        <f ca="1">IFERROR(HLOOKUP($AB332&amp;$AD332,'NWC_FC_NON-NOOS'!$S$4:$AH$24,MATCH($Y332,'NWC_FC_NON-NOOS'!$S$4:$S$24,0),FALSE),"")</f>
        <v/>
      </c>
      <c r="AG332" s="650">
        <f ca="1">IFERROR(HLOOKUP($AB332&amp;$AD332,'NWC_FC_NON-NOOS'!$B$50:$U$70,MATCH($Y332,'NWC_FC_NON-NOOS'!$B$50:$B$70,0),FALSE),"")</f>
        <v>0</v>
      </c>
      <c r="AH332" s="650" t="str">
        <f ca="1">IFERROR(IF($AA332="NOOS",HLOOKUP(STOCK_OVERVIEW!$AB332&amp;STOCK_OVERVIEW!$AD332,PLANNING_FC!$BB$27:$BP$46,MATCH(STOCK_OVERVIEW!$Y332,PLANNING_FC!$BA$27:$BA$46,0),FALSE),HLOOKUP($AB332&amp;$AD332,PLANNING_FC!$BB$4:$BP$23,MATCH(STOCK_OVERVIEW!$Y332,PLANNING_FC!$BA$4:$BA$23,0),FALSE)),"")</f>
        <v/>
      </c>
      <c r="AI332" s="650" t="str">
        <f ca="1">IFERROR(IF($AA332="NOOS",HLOOKUP(STOCK_OVERVIEW!$AB332&amp;STOCK_OVERVIEW!$AD332,PLANNING_FC!$T$27:$AH$46,MATCH(STOCK_OVERVIEW!$Y332,PLANNING_FC!$B$27:$B$46,0),FALSE),HLOOKUP($AB332&amp;$AD332,PLANNING_FC!$T$4:$AH$23,MATCH(STOCK_OVERVIEW!$Y332,PLANNING_FC!$B$4:$B$23,0),FALSE)),"")</f>
        <v/>
      </c>
      <c r="AJ332" s="650" t="str">
        <f ca="1">IFERROR(IF($AA332="NOOS",HLOOKUP(STOCK_OVERVIEW!$AB332&amp;STOCK_OVERVIEW!$AD332,PLANNING_FC!$DA$27:$DO$46,MATCH(STOCK_OVERVIEW!$Y332,PLANNING_FC!$CZ$27:$CZ$46,0),FALSE),HLOOKUP($AB332&amp;$AD332,PLANNING_FC!$DA$4:$DO$23,MATCH(STOCK_OVERVIEW!$Y332,PLANNING_FC!$CZ$4:$CZ$23,0),FALSE)),"")</f>
        <v/>
      </c>
      <c r="AK332" s="651" t="str">
        <f ca="1">IFERROR(IF(AA332="NOOS",HLOOKUP(AB332&amp;AD332,PLANNING_FC!$AJ$27:$AY$47,MATCH(STOCK_OVERVIEW!Y332,PLANNING_FC!$AJ$27:$AJ$47,0),FALSE)*1000,HLOOKUP(AB332&amp;AD332,PLANNING_FC!$AJ$4:$AY$24,MATCH(STOCK_OVERVIEW!Y332,PLANNING_FC!$AJ$4:$AJ$24,0),FALSE)*1000),"")</f>
        <v/>
      </c>
      <c r="AL332" s="638"/>
      <c r="AM332" s="638"/>
      <c r="AN332" s="638"/>
      <c r="AO332" s="638"/>
      <c r="AP332" s="638"/>
      <c r="AQ332" s="638"/>
      <c r="AR332" s="638"/>
      <c r="AS332" s="638"/>
    </row>
    <row r="333" spans="1:45" s="61" customFormat="1" x14ac:dyDescent="0.25">
      <c r="A333" s="62"/>
      <c r="F333" s="19"/>
      <c r="J333" s="19"/>
      <c r="N333" s="19"/>
      <c r="R333" s="19"/>
      <c r="S333" s="637"/>
      <c r="T333" s="637"/>
      <c r="U333" s="636"/>
      <c r="V333" s="637"/>
      <c r="W333" s="637"/>
      <c r="X333" s="465" t="str">
        <f t="shared" si="29"/>
        <v>VM</v>
      </c>
      <c r="Y333" s="206" t="str">
        <f t="shared" si="29"/>
        <v>PANTS</v>
      </c>
      <c r="Z333" s="25" t="str">
        <f t="shared" ca="1" si="31"/>
        <v>VMPANTS19/20Apr</v>
      </c>
      <c r="AA333" s="206" t="s">
        <v>197</v>
      </c>
      <c r="AB333" s="206" t="str">
        <f t="shared" ca="1" si="30"/>
        <v>19/20</v>
      </c>
      <c r="AC333" s="206" t="str">
        <f t="shared" ca="1" si="30"/>
        <v>Q3</v>
      </c>
      <c r="AD333" s="206" t="str">
        <f t="shared" ca="1" si="30"/>
        <v>Apr</v>
      </c>
      <c r="AE333" s="649" t="str">
        <f ca="1">IFERROR(HLOOKUP($AB333&amp;$AD333,'NWC_FC_NON-NOOS'!$C$4:$Q$24,MATCH($Y333,'NWC_FC_NON-NOOS'!$B$4:$B$24,0),FALSE),"")</f>
        <v/>
      </c>
      <c r="AF333" s="650" t="str">
        <f ca="1">IFERROR(HLOOKUP($AB333&amp;$AD333,'NWC_FC_NON-NOOS'!$S$4:$AH$24,MATCH($Y333,'NWC_FC_NON-NOOS'!$S$4:$S$24,0),FALSE),"")</f>
        <v/>
      </c>
      <c r="AG333" s="650">
        <f ca="1">IFERROR(HLOOKUP($AB333&amp;$AD333,'NWC_FC_NON-NOOS'!$B$50:$U$70,MATCH($Y333,'NWC_FC_NON-NOOS'!$B$50:$B$70,0),FALSE),"")</f>
        <v>0</v>
      </c>
      <c r="AH333" s="650" t="str">
        <f ca="1">IFERROR(IF($AA333="NOOS",HLOOKUP(STOCK_OVERVIEW!$AB333&amp;STOCK_OVERVIEW!$AD333,PLANNING_FC!$BB$27:$BP$46,MATCH(STOCK_OVERVIEW!$Y333,PLANNING_FC!$BA$27:$BA$46,0),FALSE),HLOOKUP($AB333&amp;$AD333,PLANNING_FC!$BB$4:$BP$23,MATCH(STOCK_OVERVIEW!$Y333,PLANNING_FC!$BA$4:$BA$23,0),FALSE)),"")</f>
        <v/>
      </c>
      <c r="AI333" s="650" t="str">
        <f ca="1">IFERROR(IF($AA333="NOOS",HLOOKUP(STOCK_OVERVIEW!$AB333&amp;STOCK_OVERVIEW!$AD333,PLANNING_FC!$T$27:$AH$46,MATCH(STOCK_OVERVIEW!$Y333,PLANNING_FC!$B$27:$B$46,0),FALSE),HLOOKUP($AB333&amp;$AD333,PLANNING_FC!$T$4:$AH$23,MATCH(STOCK_OVERVIEW!$Y333,PLANNING_FC!$B$4:$B$23,0),FALSE)),"")</f>
        <v/>
      </c>
      <c r="AJ333" s="650" t="str">
        <f ca="1">IFERROR(IF($AA333="NOOS",HLOOKUP(STOCK_OVERVIEW!$AB333&amp;STOCK_OVERVIEW!$AD333,PLANNING_FC!$DA$27:$DO$46,MATCH(STOCK_OVERVIEW!$Y333,PLANNING_FC!$CZ$27:$CZ$46,0),FALSE),HLOOKUP($AB333&amp;$AD333,PLANNING_FC!$DA$4:$DO$23,MATCH(STOCK_OVERVIEW!$Y333,PLANNING_FC!$CZ$4:$CZ$23,0),FALSE)),"")</f>
        <v/>
      </c>
      <c r="AK333" s="651" t="str">
        <f ca="1">IFERROR(IF(AA333="NOOS",HLOOKUP(AB333&amp;AD333,PLANNING_FC!$AJ$27:$AY$47,MATCH(STOCK_OVERVIEW!Y333,PLANNING_FC!$AJ$27:$AJ$47,0),FALSE)*1000,HLOOKUP(AB333&amp;AD333,PLANNING_FC!$AJ$4:$AY$24,MATCH(STOCK_OVERVIEW!Y333,PLANNING_FC!$AJ$4:$AJ$24,0),FALSE)*1000),"")</f>
        <v/>
      </c>
      <c r="AL333" s="638"/>
      <c r="AM333" s="638"/>
      <c r="AN333" s="638"/>
      <c r="AO333" s="638"/>
      <c r="AP333" s="638"/>
      <c r="AQ333" s="638"/>
      <c r="AR333" s="638"/>
      <c r="AS333" s="638"/>
    </row>
    <row r="334" spans="1:45" s="61" customFormat="1" x14ac:dyDescent="0.25">
      <c r="A334" s="62"/>
      <c r="F334" s="19"/>
      <c r="J334" s="19"/>
      <c r="N334" s="19"/>
      <c r="R334" s="19"/>
      <c r="S334" s="637"/>
      <c r="T334" s="637"/>
      <c r="U334" s="636"/>
      <c r="V334" s="637"/>
      <c r="W334" s="637"/>
      <c r="X334" s="465" t="str">
        <f t="shared" si="29"/>
        <v>VM</v>
      </c>
      <c r="Y334" s="206" t="str">
        <f t="shared" si="29"/>
        <v>SHIRTS</v>
      </c>
      <c r="Z334" s="25" t="str">
        <f t="shared" ca="1" si="31"/>
        <v>VMSHIRTS18/19Feb</v>
      </c>
      <c r="AA334" s="206" t="s">
        <v>197</v>
      </c>
      <c r="AB334" s="206" t="str">
        <f t="shared" ca="1" si="30"/>
        <v>18/19</v>
      </c>
      <c r="AC334" s="206" t="str">
        <f t="shared" ca="1" si="30"/>
        <v>Q3</v>
      </c>
      <c r="AD334" s="206" t="str">
        <f t="shared" ca="1" si="30"/>
        <v>Feb</v>
      </c>
      <c r="AE334" s="649">
        <f ca="1">IFERROR(HLOOKUP($AB334&amp;$AD334,'NWC_FC_NON-NOOS'!$C$4:$Q$24,MATCH($Y334,'NWC_FC_NON-NOOS'!$B$4:$B$24,0),FALSE),"")</f>
        <v>0</v>
      </c>
      <c r="AF334" s="650">
        <f ca="1">IFERROR(HLOOKUP($AB334&amp;$AD334,'NWC_FC_NON-NOOS'!$S$4:$AH$24,MATCH($Y334,'NWC_FC_NON-NOOS'!$S$4:$S$24,0),FALSE),"")</f>
        <v>0</v>
      </c>
      <c r="AG334" s="650">
        <f ca="1">IFERROR(HLOOKUP($AB334&amp;$AD334,'NWC_FC_NON-NOOS'!$B$50:$U$70,MATCH($Y334,'NWC_FC_NON-NOOS'!$B$50:$B$70,0),FALSE),"")</f>
        <v>0</v>
      </c>
      <c r="AH334" s="650">
        <f ca="1">IFERROR(IF($AA334="NOOS",HLOOKUP(STOCK_OVERVIEW!$AB334&amp;STOCK_OVERVIEW!$AD334,PLANNING_FC!$BB$27:$BP$46,MATCH(STOCK_OVERVIEW!$Y334,PLANNING_FC!$BA$27:$BA$46,0),FALSE),HLOOKUP($AB334&amp;$AD334,PLANNING_FC!$BB$4:$BP$23,MATCH(STOCK_OVERVIEW!$Y334,PLANNING_FC!$BA$4:$BA$23,0),FALSE)),"")</f>
        <v>0</v>
      </c>
      <c r="AI334" s="650">
        <f ca="1">IFERROR(IF($AA334="NOOS",HLOOKUP(STOCK_OVERVIEW!$AB334&amp;STOCK_OVERVIEW!$AD334,PLANNING_FC!$T$27:$AH$46,MATCH(STOCK_OVERVIEW!$Y334,PLANNING_FC!$B$27:$B$46,0),FALSE),HLOOKUP($AB334&amp;$AD334,PLANNING_FC!$T$4:$AH$23,MATCH(STOCK_OVERVIEW!$Y334,PLANNING_FC!$B$4:$B$23,0),FALSE)),"")</f>
        <v>0</v>
      </c>
      <c r="AJ334" s="650">
        <f ca="1">IFERROR(IF($AA334="NOOS",HLOOKUP(STOCK_OVERVIEW!$AB334&amp;STOCK_OVERVIEW!$AD334,PLANNING_FC!$DA$27:$DO$46,MATCH(STOCK_OVERVIEW!$Y334,PLANNING_FC!$CZ$27:$CZ$46,0),FALSE),HLOOKUP($AB334&amp;$AD334,PLANNING_FC!$DA$4:$DO$23,MATCH(STOCK_OVERVIEW!$Y334,PLANNING_FC!$CZ$4:$CZ$23,0),FALSE)),"")</f>
        <v>0</v>
      </c>
      <c r="AK334" s="651">
        <f ca="1">IFERROR(IF(AA334="NOOS",HLOOKUP(AB334&amp;AD334,PLANNING_FC!$AJ$27:$AY$47,MATCH(STOCK_OVERVIEW!Y334,PLANNING_FC!$AJ$27:$AJ$47,0),FALSE)*1000,HLOOKUP(AB334&amp;AD334,PLANNING_FC!$AJ$4:$AY$24,MATCH(STOCK_OVERVIEW!Y334,PLANNING_FC!$AJ$4:$AJ$24,0),FALSE)*1000),"")</f>
        <v>0</v>
      </c>
      <c r="AL334" s="638"/>
      <c r="AM334" s="638"/>
      <c r="AN334" s="638"/>
      <c r="AO334" s="638"/>
      <c r="AP334" s="638"/>
      <c r="AQ334" s="638"/>
      <c r="AR334" s="638"/>
      <c r="AS334" s="638"/>
    </row>
    <row r="335" spans="1:45" s="61" customFormat="1" x14ac:dyDescent="0.25">
      <c r="A335" s="62"/>
      <c r="F335" s="19"/>
      <c r="J335" s="19"/>
      <c r="N335" s="19"/>
      <c r="R335" s="19"/>
      <c r="S335" s="637"/>
      <c r="T335" s="637"/>
      <c r="U335" s="636"/>
      <c r="V335" s="637"/>
      <c r="W335" s="637"/>
      <c r="X335" s="465" t="str">
        <f t="shared" si="29"/>
        <v>VM</v>
      </c>
      <c r="Y335" s="206" t="str">
        <f t="shared" si="29"/>
        <v>SHIRTS</v>
      </c>
      <c r="Z335" s="25" t="str">
        <f t="shared" ca="1" si="31"/>
        <v>VMSHIRTS18/19Mar</v>
      </c>
      <c r="AA335" s="206" t="s">
        <v>197</v>
      </c>
      <c r="AB335" s="206" t="str">
        <f t="shared" ca="1" si="30"/>
        <v>18/19</v>
      </c>
      <c r="AC335" s="206" t="str">
        <f t="shared" ca="1" si="30"/>
        <v>Q3</v>
      </c>
      <c r="AD335" s="206" t="str">
        <f t="shared" ca="1" si="30"/>
        <v>Mar</v>
      </c>
      <c r="AE335" s="649">
        <f ca="1">IFERROR(HLOOKUP($AB335&amp;$AD335,'NWC_FC_NON-NOOS'!$C$4:$Q$24,MATCH($Y335,'NWC_FC_NON-NOOS'!$B$4:$B$24,0),FALSE),"")</f>
        <v>0</v>
      </c>
      <c r="AF335" s="650">
        <f ca="1">IFERROR(HLOOKUP($AB335&amp;$AD335,'NWC_FC_NON-NOOS'!$S$4:$AH$24,MATCH($Y335,'NWC_FC_NON-NOOS'!$S$4:$S$24,0),FALSE),"")</f>
        <v>0</v>
      </c>
      <c r="AG335" s="650">
        <f ca="1">IFERROR(HLOOKUP($AB335&amp;$AD335,'NWC_FC_NON-NOOS'!$B$50:$U$70,MATCH($Y335,'NWC_FC_NON-NOOS'!$B$50:$B$70,0),FALSE),"")</f>
        <v>0</v>
      </c>
      <c r="AH335" s="650">
        <f ca="1">IFERROR(IF($AA335="NOOS",HLOOKUP(STOCK_OVERVIEW!$AB335&amp;STOCK_OVERVIEW!$AD335,PLANNING_FC!$BB$27:$BP$46,MATCH(STOCK_OVERVIEW!$Y335,PLANNING_FC!$BA$27:$BA$46,0),FALSE),HLOOKUP($AB335&amp;$AD335,PLANNING_FC!$BB$4:$BP$23,MATCH(STOCK_OVERVIEW!$Y335,PLANNING_FC!$BA$4:$BA$23,0),FALSE)),"")</f>
        <v>0</v>
      </c>
      <c r="AI335" s="650">
        <f ca="1">IFERROR(IF($AA335="NOOS",HLOOKUP(STOCK_OVERVIEW!$AB335&amp;STOCK_OVERVIEW!$AD335,PLANNING_FC!$T$27:$AH$46,MATCH(STOCK_OVERVIEW!$Y335,PLANNING_FC!$B$27:$B$46,0),FALSE),HLOOKUP($AB335&amp;$AD335,PLANNING_FC!$T$4:$AH$23,MATCH(STOCK_OVERVIEW!$Y335,PLANNING_FC!$B$4:$B$23,0),FALSE)),"")</f>
        <v>0</v>
      </c>
      <c r="AJ335" s="650">
        <f ca="1">IFERROR(IF($AA335="NOOS",HLOOKUP(STOCK_OVERVIEW!$AB335&amp;STOCK_OVERVIEW!$AD335,PLANNING_FC!$DA$27:$DO$46,MATCH(STOCK_OVERVIEW!$Y335,PLANNING_FC!$CZ$27:$CZ$46,0),FALSE),HLOOKUP($AB335&amp;$AD335,PLANNING_FC!$DA$4:$DO$23,MATCH(STOCK_OVERVIEW!$Y335,PLANNING_FC!$CZ$4:$CZ$23,0),FALSE)),"")</f>
        <v>0</v>
      </c>
      <c r="AK335" s="651">
        <f ca="1">IFERROR(IF(AA335="NOOS",HLOOKUP(AB335&amp;AD335,PLANNING_FC!$AJ$27:$AY$47,MATCH(STOCK_OVERVIEW!Y335,PLANNING_FC!$AJ$27:$AJ$47,0),FALSE)*1000,HLOOKUP(AB335&amp;AD335,PLANNING_FC!$AJ$4:$AY$24,MATCH(STOCK_OVERVIEW!Y335,PLANNING_FC!$AJ$4:$AJ$24,0),FALSE)*1000),"")</f>
        <v>0</v>
      </c>
      <c r="AL335" s="638"/>
      <c r="AM335" s="638"/>
      <c r="AN335" s="638"/>
      <c r="AO335" s="638"/>
      <c r="AP335" s="638"/>
      <c r="AQ335" s="638"/>
      <c r="AR335" s="638"/>
      <c r="AS335" s="638"/>
    </row>
    <row r="336" spans="1:45" s="61" customFormat="1" x14ac:dyDescent="0.25">
      <c r="A336" s="62"/>
      <c r="F336" s="19"/>
      <c r="J336" s="19"/>
      <c r="N336" s="19"/>
      <c r="R336" s="19"/>
      <c r="S336" s="637"/>
      <c r="T336" s="637"/>
      <c r="U336" s="636"/>
      <c r="V336" s="637"/>
      <c r="W336" s="637"/>
      <c r="X336" s="465" t="str">
        <f t="shared" si="29"/>
        <v>VM</v>
      </c>
      <c r="Y336" s="206" t="str">
        <f t="shared" si="29"/>
        <v>SHIRTS</v>
      </c>
      <c r="Z336" s="25" t="str">
        <f t="shared" ca="1" si="31"/>
        <v>VMSHIRTS18/19Apr</v>
      </c>
      <c r="AA336" s="206" t="s">
        <v>197</v>
      </c>
      <c r="AB336" s="206" t="str">
        <f t="shared" ca="1" si="30"/>
        <v>18/19</v>
      </c>
      <c r="AC336" s="206" t="str">
        <f t="shared" ca="1" si="30"/>
        <v>Q3</v>
      </c>
      <c r="AD336" s="206" t="str">
        <f t="shared" ca="1" si="30"/>
        <v>Apr</v>
      </c>
      <c r="AE336" s="649">
        <f ca="1">IFERROR(HLOOKUP($AB336&amp;$AD336,'NWC_FC_NON-NOOS'!$C$4:$Q$24,MATCH($Y336,'NWC_FC_NON-NOOS'!$B$4:$B$24,0),FALSE),"")</f>
        <v>0</v>
      </c>
      <c r="AF336" s="650">
        <f ca="1">IFERROR(HLOOKUP($AB336&amp;$AD336,'NWC_FC_NON-NOOS'!$S$4:$AH$24,MATCH($Y336,'NWC_FC_NON-NOOS'!$S$4:$S$24,0),FALSE),"")</f>
        <v>0</v>
      </c>
      <c r="AG336" s="650">
        <f ca="1">IFERROR(HLOOKUP($AB336&amp;$AD336,'NWC_FC_NON-NOOS'!$B$50:$U$70,MATCH($Y336,'NWC_FC_NON-NOOS'!$B$50:$B$70,0),FALSE),"")</f>
        <v>0</v>
      </c>
      <c r="AH336" s="650">
        <f ca="1">IFERROR(IF($AA336="NOOS",HLOOKUP(STOCK_OVERVIEW!$AB336&amp;STOCK_OVERVIEW!$AD336,PLANNING_FC!$BB$27:$BP$46,MATCH(STOCK_OVERVIEW!$Y336,PLANNING_FC!$BA$27:$BA$46,0),FALSE),HLOOKUP($AB336&amp;$AD336,PLANNING_FC!$BB$4:$BP$23,MATCH(STOCK_OVERVIEW!$Y336,PLANNING_FC!$BA$4:$BA$23,0),FALSE)),"")</f>
        <v>0</v>
      </c>
      <c r="AI336" s="650">
        <f ca="1">IFERROR(IF($AA336="NOOS",HLOOKUP(STOCK_OVERVIEW!$AB336&amp;STOCK_OVERVIEW!$AD336,PLANNING_FC!$T$27:$AH$46,MATCH(STOCK_OVERVIEW!$Y336,PLANNING_FC!$B$27:$B$46,0),FALSE),HLOOKUP($AB336&amp;$AD336,PLANNING_FC!$T$4:$AH$23,MATCH(STOCK_OVERVIEW!$Y336,PLANNING_FC!$B$4:$B$23,0),FALSE)),"")</f>
        <v>0</v>
      </c>
      <c r="AJ336" s="650">
        <f ca="1">IFERROR(IF($AA336="NOOS",HLOOKUP(STOCK_OVERVIEW!$AB336&amp;STOCK_OVERVIEW!$AD336,PLANNING_FC!$DA$27:$DO$46,MATCH(STOCK_OVERVIEW!$Y336,PLANNING_FC!$CZ$27:$CZ$46,0),FALSE),HLOOKUP($AB336&amp;$AD336,PLANNING_FC!$DA$4:$DO$23,MATCH(STOCK_OVERVIEW!$Y336,PLANNING_FC!$CZ$4:$CZ$23,0),FALSE)),"")</f>
        <v>88738</v>
      </c>
      <c r="AK336" s="651">
        <f ca="1">IFERROR(IF(AA336="NOOS",HLOOKUP(AB336&amp;AD336,PLANNING_FC!$AJ$27:$AY$47,MATCH(STOCK_OVERVIEW!Y336,PLANNING_FC!$AJ$27:$AJ$47,0),FALSE)*1000,HLOOKUP(AB336&amp;AD336,PLANNING_FC!$AJ$4:$AY$24,MATCH(STOCK_OVERVIEW!Y336,PLANNING_FC!$AJ$4:$AJ$24,0),FALSE)*1000),"")</f>
        <v>0</v>
      </c>
      <c r="AL336" s="638"/>
      <c r="AM336" s="638"/>
      <c r="AN336" s="638"/>
      <c r="AO336" s="638"/>
      <c r="AP336" s="638"/>
      <c r="AQ336" s="638"/>
      <c r="AR336" s="638"/>
      <c r="AS336" s="638"/>
    </row>
    <row r="337" spans="1:45" s="61" customFormat="1" x14ac:dyDescent="0.25">
      <c r="A337" s="62"/>
      <c r="F337" s="19"/>
      <c r="J337" s="19"/>
      <c r="N337" s="19"/>
      <c r="R337" s="19"/>
      <c r="S337" s="637"/>
      <c r="T337" s="637"/>
      <c r="U337" s="636"/>
      <c r="V337" s="637"/>
      <c r="W337" s="637"/>
      <c r="X337" s="465" t="str">
        <f t="shared" si="29"/>
        <v>VM</v>
      </c>
      <c r="Y337" s="206" t="str">
        <f t="shared" si="29"/>
        <v>SHIRTS</v>
      </c>
      <c r="Z337" s="25" t="str">
        <f t="shared" ca="1" si="31"/>
        <v>VMSHIRTS18/19May</v>
      </c>
      <c r="AA337" s="206" t="s">
        <v>197</v>
      </c>
      <c r="AB337" s="206" t="str">
        <f t="shared" ca="1" si="30"/>
        <v>18/19</v>
      </c>
      <c r="AC337" s="206" t="str">
        <f t="shared" ca="1" si="30"/>
        <v>Q4</v>
      </c>
      <c r="AD337" s="206" t="str">
        <f t="shared" ca="1" si="30"/>
        <v>May</v>
      </c>
      <c r="AE337" s="649">
        <f ca="1">IFERROR(HLOOKUP($AB337&amp;$AD337,'NWC_FC_NON-NOOS'!$C$4:$Q$24,MATCH($Y337,'NWC_FC_NON-NOOS'!$B$4:$B$24,0),FALSE),"")</f>
        <v>0</v>
      </c>
      <c r="AF337" s="650">
        <f ca="1">IFERROR(HLOOKUP($AB337&amp;$AD337,'NWC_FC_NON-NOOS'!$S$4:$AH$24,MATCH($Y337,'NWC_FC_NON-NOOS'!$S$4:$S$24,0),FALSE),"")</f>
        <v>0</v>
      </c>
      <c r="AG337" s="650">
        <f ca="1">IFERROR(HLOOKUP($AB337&amp;$AD337,'NWC_FC_NON-NOOS'!$B$50:$U$70,MATCH($Y337,'NWC_FC_NON-NOOS'!$B$50:$B$70,0),FALSE),"")</f>
        <v>0</v>
      </c>
      <c r="AH337" s="650">
        <f ca="1">IFERROR(IF($AA337="NOOS",HLOOKUP(STOCK_OVERVIEW!$AB337&amp;STOCK_OVERVIEW!$AD337,PLANNING_FC!$BB$27:$BP$46,MATCH(STOCK_OVERVIEW!$Y337,PLANNING_FC!$BA$27:$BA$46,0),FALSE),HLOOKUP($AB337&amp;$AD337,PLANNING_FC!$BB$4:$BP$23,MATCH(STOCK_OVERVIEW!$Y337,PLANNING_FC!$BA$4:$BA$23,0),FALSE)),"")</f>
        <v>0</v>
      </c>
      <c r="AI337" s="650">
        <f ca="1">IFERROR(IF($AA337="NOOS",HLOOKUP(STOCK_OVERVIEW!$AB337&amp;STOCK_OVERVIEW!$AD337,PLANNING_FC!$T$27:$AH$46,MATCH(STOCK_OVERVIEW!$Y337,PLANNING_FC!$B$27:$B$46,0),FALSE),HLOOKUP($AB337&amp;$AD337,PLANNING_FC!$T$4:$AH$23,MATCH(STOCK_OVERVIEW!$Y337,PLANNING_FC!$B$4:$B$23,0),FALSE)),"")</f>
        <v>0</v>
      </c>
      <c r="AJ337" s="650">
        <f ca="1">IFERROR(IF($AA337="NOOS",HLOOKUP(STOCK_OVERVIEW!$AB337&amp;STOCK_OVERVIEW!$AD337,PLANNING_FC!$DA$27:$DO$46,MATCH(STOCK_OVERVIEW!$Y337,PLANNING_FC!$CZ$27:$CZ$46,0),FALSE),HLOOKUP($AB337&amp;$AD337,PLANNING_FC!$DA$4:$DO$23,MATCH(STOCK_OVERVIEW!$Y337,PLANNING_FC!$CZ$4:$CZ$23,0),FALSE)),"")</f>
        <v>98685</v>
      </c>
      <c r="AK337" s="651">
        <f ca="1">IFERROR(IF(AA337="NOOS",HLOOKUP(AB337&amp;AD337,PLANNING_FC!$AJ$27:$AY$47,MATCH(STOCK_OVERVIEW!Y337,PLANNING_FC!$AJ$27:$AJ$47,0),FALSE)*1000,HLOOKUP(AB337&amp;AD337,PLANNING_FC!$AJ$4:$AY$24,MATCH(STOCK_OVERVIEW!Y337,PLANNING_FC!$AJ$4:$AJ$24,0),FALSE)*1000),"")</f>
        <v>0</v>
      </c>
      <c r="AL337" s="638"/>
      <c r="AM337" s="638"/>
      <c r="AN337" s="638"/>
      <c r="AO337" s="638"/>
      <c r="AP337" s="638"/>
      <c r="AQ337" s="638"/>
      <c r="AR337" s="638"/>
      <c r="AS337" s="638"/>
    </row>
    <row r="338" spans="1:45" s="61" customFormat="1" x14ac:dyDescent="0.25">
      <c r="A338" s="62"/>
      <c r="F338" s="19"/>
      <c r="J338" s="19"/>
      <c r="N338" s="19"/>
      <c r="R338" s="19"/>
      <c r="S338" s="637"/>
      <c r="T338" s="637"/>
      <c r="U338" s="636"/>
      <c r="V338" s="637"/>
      <c r="W338" s="637"/>
      <c r="X338" s="465" t="str">
        <f t="shared" si="29"/>
        <v>VM</v>
      </c>
      <c r="Y338" s="206" t="str">
        <f t="shared" si="29"/>
        <v>SHIRTS</v>
      </c>
      <c r="Z338" s="25" t="str">
        <f t="shared" ca="1" si="31"/>
        <v>VMSHIRTS18/19Jun</v>
      </c>
      <c r="AA338" s="206" t="s">
        <v>197</v>
      </c>
      <c r="AB338" s="206" t="str">
        <f t="shared" ca="1" si="30"/>
        <v>18/19</v>
      </c>
      <c r="AC338" s="206" t="str">
        <f t="shared" ca="1" si="30"/>
        <v>Q4</v>
      </c>
      <c r="AD338" s="206" t="str">
        <f t="shared" ca="1" si="30"/>
        <v>Jun</v>
      </c>
      <c r="AE338" s="649">
        <f ca="1">IFERROR(HLOOKUP($AB338&amp;$AD338,'NWC_FC_NON-NOOS'!$C$4:$Q$24,MATCH($Y338,'NWC_FC_NON-NOOS'!$B$4:$B$24,0),FALSE),"")</f>
        <v>0</v>
      </c>
      <c r="AF338" s="650">
        <f ca="1">IFERROR(HLOOKUP($AB338&amp;$AD338,'NWC_FC_NON-NOOS'!$S$4:$AH$24,MATCH($Y338,'NWC_FC_NON-NOOS'!$S$4:$S$24,0),FALSE),"")</f>
        <v>0</v>
      </c>
      <c r="AG338" s="650">
        <f ca="1">IFERROR(HLOOKUP($AB338&amp;$AD338,'NWC_FC_NON-NOOS'!$B$50:$U$70,MATCH($Y338,'NWC_FC_NON-NOOS'!$B$50:$B$70,0),FALSE),"")</f>
        <v>0</v>
      </c>
      <c r="AH338" s="650">
        <f ca="1">IFERROR(IF($AA338="NOOS",HLOOKUP(STOCK_OVERVIEW!$AB338&amp;STOCK_OVERVIEW!$AD338,PLANNING_FC!$BB$27:$BP$46,MATCH(STOCK_OVERVIEW!$Y338,PLANNING_FC!$BA$27:$BA$46,0),FALSE),HLOOKUP($AB338&amp;$AD338,PLANNING_FC!$BB$4:$BP$23,MATCH(STOCK_OVERVIEW!$Y338,PLANNING_FC!$BA$4:$BA$23,0),FALSE)),"")</f>
        <v>0</v>
      </c>
      <c r="AI338" s="650">
        <f ca="1">IFERROR(IF($AA338="NOOS",HLOOKUP(STOCK_OVERVIEW!$AB338&amp;STOCK_OVERVIEW!$AD338,PLANNING_FC!$T$27:$AH$46,MATCH(STOCK_OVERVIEW!$Y338,PLANNING_FC!$B$27:$B$46,0),FALSE),HLOOKUP($AB338&amp;$AD338,PLANNING_FC!$T$4:$AH$23,MATCH(STOCK_OVERVIEW!$Y338,PLANNING_FC!$B$4:$B$23,0),FALSE)),"")</f>
        <v>0</v>
      </c>
      <c r="AJ338" s="650">
        <f ca="1">IFERROR(IF($AA338="NOOS",HLOOKUP(STOCK_OVERVIEW!$AB338&amp;STOCK_OVERVIEW!$AD338,PLANNING_FC!$DA$27:$DO$46,MATCH(STOCK_OVERVIEW!$Y338,PLANNING_FC!$CZ$27:$CZ$46,0),FALSE),HLOOKUP($AB338&amp;$AD338,PLANNING_FC!$DA$4:$DO$23,MATCH(STOCK_OVERVIEW!$Y338,PLANNING_FC!$CZ$4:$CZ$23,0),FALSE)),"")</f>
        <v>98685</v>
      </c>
      <c r="AK338" s="651">
        <f ca="1">IFERROR(IF(AA338="NOOS",HLOOKUP(AB338&amp;AD338,PLANNING_FC!$AJ$27:$AY$47,MATCH(STOCK_OVERVIEW!Y338,PLANNING_FC!$AJ$27:$AJ$47,0),FALSE)*1000,HLOOKUP(AB338&amp;AD338,PLANNING_FC!$AJ$4:$AY$24,MATCH(STOCK_OVERVIEW!Y338,PLANNING_FC!$AJ$4:$AJ$24,0),FALSE)*1000),"")</f>
        <v>0</v>
      </c>
      <c r="AL338" s="638"/>
      <c r="AM338" s="638"/>
      <c r="AN338" s="638"/>
      <c r="AO338" s="638"/>
      <c r="AP338" s="638"/>
      <c r="AQ338" s="638"/>
      <c r="AR338" s="638"/>
      <c r="AS338" s="638"/>
    </row>
    <row r="339" spans="1:45" s="61" customFormat="1" x14ac:dyDescent="0.25">
      <c r="A339" s="62"/>
      <c r="F339" s="19"/>
      <c r="J339" s="19"/>
      <c r="N339" s="19"/>
      <c r="R339" s="19"/>
      <c r="S339" s="637"/>
      <c r="T339" s="637"/>
      <c r="U339" s="636"/>
      <c r="V339" s="637"/>
      <c r="W339" s="637"/>
      <c r="X339" s="465" t="str">
        <f t="shared" si="29"/>
        <v>VM</v>
      </c>
      <c r="Y339" s="206" t="str">
        <f t="shared" si="29"/>
        <v>SHIRTS</v>
      </c>
      <c r="Z339" s="25" t="str">
        <f t="shared" ca="1" si="31"/>
        <v>VMSHIRTS18/19Jul</v>
      </c>
      <c r="AA339" s="206" t="s">
        <v>197</v>
      </c>
      <c r="AB339" s="206" t="str">
        <f t="shared" ca="1" si="30"/>
        <v>18/19</v>
      </c>
      <c r="AC339" s="206" t="str">
        <f t="shared" ca="1" si="30"/>
        <v>Q4</v>
      </c>
      <c r="AD339" s="206" t="str">
        <f t="shared" ca="1" si="30"/>
        <v>Jul</v>
      </c>
      <c r="AE339" s="649">
        <f ca="1">IFERROR(HLOOKUP($AB339&amp;$AD339,'NWC_FC_NON-NOOS'!$C$4:$Q$24,MATCH($Y339,'NWC_FC_NON-NOOS'!$B$4:$B$24,0),FALSE),"")</f>
        <v>0</v>
      </c>
      <c r="AF339" s="650">
        <f ca="1">IFERROR(HLOOKUP($AB339&amp;$AD339,'NWC_FC_NON-NOOS'!$S$4:$AH$24,MATCH($Y339,'NWC_FC_NON-NOOS'!$S$4:$S$24,0),FALSE),"")</f>
        <v>0</v>
      </c>
      <c r="AG339" s="650">
        <f ca="1">IFERROR(HLOOKUP($AB339&amp;$AD339,'NWC_FC_NON-NOOS'!$B$50:$U$70,MATCH($Y339,'NWC_FC_NON-NOOS'!$B$50:$B$70,0),FALSE),"")</f>
        <v>0</v>
      </c>
      <c r="AH339" s="650">
        <f ca="1">IFERROR(IF($AA339="NOOS",HLOOKUP(STOCK_OVERVIEW!$AB339&amp;STOCK_OVERVIEW!$AD339,PLANNING_FC!$BB$27:$BP$46,MATCH(STOCK_OVERVIEW!$Y339,PLANNING_FC!$BA$27:$BA$46,0),FALSE),HLOOKUP($AB339&amp;$AD339,PLANNING_FC!$BB$4:$BP$23,MATCH(STOCK_OVERVIEW!$Y339,PLANNING_FC!$BA$4:$BA$23,0),FALSE)),"")</f>
        <v>0</v>
      </c>
      <c r="AI339" s="650">
        <f ca="1">IFERROR(IF($AA339="NOOS",HLOOKUP(STOCK_OVERVIEW!$AB339&amp;STOCK_OVERVIEW!$AD339,PLANNING_FC!$T$27:$AH$46,MATCH(STOCK_OVERVIEW!$Y339,PLANNING_FC!$B$27:$B$46,0),FALSE),HLOOKUP($AB339&amp;$AD339,PLANNING_FC!$T$4:$AH$23,MATCH(STOCK_OVERVIEW!$Y339,PLANNING_FC!$B$4:$B$23,0),FALSE)),"")</f>
        <v>0</v>
      </c>
      <c r="AJ339" s="650">
        <f ca="1">IFERROR(IF($AA339="NOOS",HLOOKUP(STOCK_OVERVIEW!$AB339&amp;STOCK_OVERVIEW!$AD339,PLANNING_FC!$DA$27:$DO$46,MATCH(STOCK_OVERVIEW!$Y339,PLANNING_FC!$CZ$27:$CZ$46,0),FALSE),HLOOKUP($AB339&amp;$AD339,PLANNING_FC!$DA$4:$DO$23,MATCH(STOCK_OVERVIEW!$Y339,PLANNING_FC!$CZ$4:$CZ$23,0),FALSE)),"")</f>
        <v>98685</v>
      </c>
      <c r="AK339" s="651">
        <f ca="1">IFERROR(IF(AA339="NOOS",HLOOKUP(AB339&amp;AD339,PLANNING_FC!$AJ$27:$AY$47,MATCH(STOCK_OVERVIEW!Y339,PLANNING_FC!$AJ$27:$AJ$47,0),FALSE)*1000,HLOOKUP(AB339&amp;AD339,PLANNING_FC!$AJ$4:$AY$24,MATCH(STOCK_OVERVIEW!Y339,PLANNING_FC!$AJ$4:$AJ$24,0),FALSE)*1000),"")</f>
        <v>0</v>
      </c>
      <c r="AL339" s="638"/>
      <c r="AM339" s="638"/>
      <c r="AN339" s="638"/>
      <c r="AO339" s="638"/>
      <c r="AP339" s="638"/>
      <c r="AQ339" s="638"/>
      <c r="AR339" s="638"/>
      <c r="AS339" s="638"/>
    </row>
    <row r="340" spans="1:45" s="61" customFormat="1" x14ac:dyDescent="0.25">
      <c r="A340" s="62"/>
      <c r="F340" s="19"/>
      <c r="J340" s="19"/>
      <c r="N340" s="19"/>
      <c r="R340" s="19"/>
      <c r="S340" s="637"/>
      <c r="T340" s="637"/>
      <c r="U340" s="636"/>
      <c r="V340" s="637"/>
      <c r="W340" s="637"/>
      <c r="X340" s="465" t="str">
        <f t="shared" si="29"/>
        <v>VM</v>
      </c>
      <c r="Y340" s="206" t="str">
        <f t="shared" si="29"/>
        <v>SHIRTS</v>
      </c>
      <c r="Z340" s="25" t="str">
        <f t="shared" ca="1" si="31"/>
        <v>VMSHIRTS19/20Aug</v>
      </c>
      <c r="AA340" s="206" t="s">
        <v>197</v>
      </c>
      <c r="AB340" s="206" t="str">
        <f t="shared" ca="1" si="30"/>
        <v>19/20</v>
      </c>
      <c r="AC340" s="206" t="str">
        <f t="shared" ca="1" si="30"/>
        <v>Q1</v>
      </c>
      <c r="AD340" s="206" t="str">
        <f t="shared" ca="1" si="30"/>
        <v>Aug</v>
      </c>
      <c r="AE340" s="649">
        <f ca="1">IFERROR(HLOOKUP($AB340&amp;$AD340,'NWC_FC_NON-NOOS'!$C$4:$Q$24,MATCH($Y340,'NWC_FC_NON-NOOS'!$B$4:$B$24,0),FALSE),"")</f>
        <v>0</v>
      </c>
      <c r="AF340" s="650">
        <f ca="1">IFERROR(HLOOKUP($AB340&amp;$AD340,'NWC_FC_NON-NOOS'!$S$4:$AH$24,MATCH($Y340,'NWC_FC_NON-NOOS'!$S$4:$S$24,0),FALSE),"")</f>
        <v>0</v>
      </c>
      <c r="AG340" s="650">
        <f ca="1">IFERROR(HLOOKUP($AB340&amp;$AD340,'NWC_FC_NON-NOOS'!$B$50:$U$70,MATCH($Y340,'NWC_FC_NON-NOOS'!$B$50:$B$70,0),FALSE),"")</f>
        <v>0</v>
      </c>
      <c r="AH340" s="650">
        <f ca="1">IFERROR(IF($AA340="NOOS",HLOOKUP(STOCK_OVERVIEW!$AB340&amp;STOCK_OVERVIEW!$AD340,PLANNING_FC!$BB$27:$BP$46,MATCH(STOCK_OVERVIEW!$Y340,PLANNING_FC!$BA$27:$BA$46,0),FALSE),HLOOKUP($AB340&amp;$AD340,PLANNING_FC!$BB$4:$BP$23,MATCH(STOCK_OVERVIEW!$Y340,PLANNING_FC!$BA$4:$BA$23,0),FALSE)),"")</f>
        <v>0</v>
      </c>
      <c r="AI340" s="650">
        <f ca="1">IFERROR(IF($AA340="NOOS",HLOOKUP(STOCK_OVERVIEW!$AB340&amp;STOCK_OVERVIEW!$AD340,PLANNING_FC!$T$27:$AH$46,MATCH(STOCK_OVERVIEW!$Y340,PLANNING_FC!$B$27:$B$46,0),FALSE),HLOOKUP($AB340&amp;$AD340,PLANNING_FC!$T$4:$AH$23,MATCH(STOCK_OVERVIEW!$Y340,PLANNING_FC!$B$4:$B$23,0),FALSE)),"")</f>
        <v>0</v>
      </c>
      <c r="AJ340" s="650">
        <f ca="1">IFERROR(IF($AA340="NOOS",HLOOKUP(STOCK_OVERVIEW!$AB340&amp;STOCK_OVERVIEW!$AD340,PLANNING_FC!$DA$27:$DO$46,MATCH(STOCK_OVERVIEW!$Y340,PLANNING_FC!$CZ$27:$CZ$46,0),FALSE),HLOOKUP($AB340&amp;$AD340,PLANNING_FC!$DA$4:$DO$23,MATCH(STOCK_OVERVIEW!$Y340,PLANNING_FC!$CZ$4:$CZ$23,0),FALSE)),"")</f>
        <v>98685</v>
      </c>
      <c r="AK340" s="651">
        <f ca="1">IFERROR(IF(AA340="NOOS",HLOOKUP(AB340&amp;AD340,PLANNING_FC!$AJ$27:$AY$47,MATCH(STOCK_OVERVIEW!Y340,PLANNING_FC!$AJ$27:$AJ$47,0),FALSE)*1000,HLOOKUP(AB340&amp;AD340,PLANNING_FC!$AJ$4:$AY$24,MATCH(STOCK_OVERVIEW!Y340,PLANNING_FC!$AJ$4:$AJ$24,0),FALSE)*1000),"")</f>
        <v>0</v>
      </c>
      <c r="AL340" s="638"/>
      <c r="AM340" s="638"/>
      <c r="AN340" s="638"/>
      <c r="AO340" s="638"/>
      <c r="AP340" s="638"/>
      <c r="AQ340" s="638"/>
      <c r="AR340" s="638"/>
      <c r="AS340" s="638"/>
    </row>
    <row r="341" spans="1:45" s="61" customFormat="1" x14ac:dyDescent="0.25">
      <c r="A341" s="62"/>
      <c r="F341" s="19"/>
      <c r="J341" s="19"/>
      <c r="N341" s="19"/>
      <c r="R341" s="19"/>
      <c r="S341" s="637"/>
      <c r="T341" s="637"/>
      <c r="U341" s="636"/>
      <c r="V341" s="637"/>
      <c r="W341" s="637"/>
      <c r="X341" s="465" t="str">
        <f t="shared" si="29"/>
        <v>VM</v>
      </c>
      <c r="Y341" s="206" t="str">
        <f t="shared" si="29"/>
        <v>SHIRTS</v>
      </c>
      <c r="Z341" s="25" t="str">
        <f t="shared" ca="1" si="31"/>
        <v>VMSHIRTS19/20Sep</v>
      </c>
      <c r="AA341" s="206" t="s">
        <v>197</v>
      </c>
      <c r="AB341" s="206" t="str">
        <f t="shared" ca="1" si="30"/>
        <v>19/20</v>
      </c>
      <c r="AC341" s="206" t="str">
        <f t="shared" ca="1" si="30"/>
        <v>Q1</v>
      </c>
      <c r="AD341" s="206" t="str">
        <f t="shared" ca="1" si="30"/>
        <v>Sep</v>
      </c>
      <c r="AE341" s="649">
        <f ca="1">IFERROR(HLOOKUP($AB341&amp;$AD341,'NWC_FC_NON-NOOS'!$C$4:$Q$24,MATCH($Y341,'NWC_FC_NON-NOOS'!$B$4:$B$24,0),FALSE),"")</f>
        <v>0</v>
      </c>
      <c r="AF341" s="650">
        <f ca="1">IFERROR(HLOOKUP($AB341&amp;$AD341,'NWC_FC_NON-NOOS'!$S$4:$AH$24,MATCH($Y341,'NWC_FC_NON-NOOS'!$S$4:$S$24,0),FALSE),"")</f>
        <v>0</v>
      </c>
      <c r="AG341" s="650">
        <f ca="1">IFERROR(HLOOKUP($AB341&amp;$AD341,'NWC_FC_NON-NOOS'!$B$50:$U$70,MATCH($Y341,'NWC_FC_NON-NOOS'!$B$50:$B$70,0),FALSE),"")</f>
        <v>0</v>
      </c>
      <c r="AH341" s="650">
        <f ca="1">IFERROR(IF($AA341="NOOS",HLOOKUP(STOCK_OVERVIEW!$AB341&amp;STOCK_OVERVIEW!$AD341,PLANNING_FC!$BB$27:$BP$46,MATCH(STOCK_OVERVIEW!$Y341,PLANNING_FC!$BA$27:$BA$46,0),FALSE),HLOOKUP($AB341&amp;$AD341,PLANNING_FC!$BB$4:$BP$23,MATCH(STOCK_OVERVIEW!$Y341,PLANNING_FC!$BA$4:$BA$23,0),FALSE)),"")</f>
        <v>0</v>
      </c>
      <c r="AI341" s="650">
        <f ca="1">IFERROR(IF($AA341="NOOS",HLOOKUP(STOCK_OVERVIEW!$AB341&amp;STOCK_OVERVIEW!$AD341,PLANNING_FC!$T$27:$AH$46,MATCH(STOCK_OVERVIEW!$Y341,PLANNING_FC!$B$27:$B$46,0),FALSE),HLOOKUP($AB341&amp;$AD341,PLANNING_FC!$T$4:$AH$23,MATCH(STOCK_OVERVIEW!$Y341,PLANNING_FC!$B$4:$B$23,0),FALSE)),"")</f>
        <v>0</v>
      </c>
      <c r="AJ341" s="650">
        <f ca="1">IFERROR(IF($AA341="NOOS",HLOOKUP(STOCK_OVERVIEW!$AB341&amp;STOCK_OVERVIEW!$AD341,PLANNING_FC!$DA$27:$DO$46,MATCH(STOCK_OVERVIEW!$Y341,PLANNING_FC!$CZ$27:$CZ$46,0),FALSE),HLOOKUP($AB341&amp;$AD341,PLANNING_FC!$DA$4:$DO$23,MATCH(STOCK_OVERVIEW!$Y341,PLANNING_FC!$CZ$4:$CZ$23,0),FALSE)),"")</f>
        <v>98685</v>
      </c>
      <c r="AK341" s="651">
        <f ca="1">IFERROR(IF(AA341="NOOS",HLOOKUP(AB341&amp;AD341,PLANNING_FC!$AJ$27:$AY$47,MATCH(STOCK_OVERVIEW!Y341,PLANNING_FC!$AJ$27:$AJ$47,0),FALSE)*1000,HLOOKUP(AB341&amp;AD341,PLANNING_FC!$AJ$4:$AY$24,MATCH(STOCK_OVERVIEW!Y341,PLANNING_FC!$AJ$4:$AJ$24,0),FALSE)*1000),"")</f>
        <v>0</v>
      </c>
      <c r="AL341" s="638"/>
      <c r="AM341" s="638"/>
      <c r="AN341" s="638"/>
      <c r="AO341" s="638"/>
      <c r="AP341" s="638"/>
      <c r="AQ341" s="638"/>
      <c r="AR341" s="638"/>
      <c r="AS341" s="638"/>
    </row>
    <row r="342" spans="1:45" s="61" customFormat="1" x14ac:dyDescent="0.25">
      <c r="A342" s="62"/>
      <c r="F342" s="19"/>
      <c r="J342" s="19"/>
      <c r="N342" s="19"/>
      <c r="R342" s="19"/>
      <c r="S342" s="637"/>
      <c r="T342" s="637"/>
      <c r="U342" s="636"/>
      <c r="V342" s="637"/>
      <c r="W342" s="637"/>
      <c r="X342" s="465" t="str">
        <f t="shared" si="29"/>
        <v>VM</v>
      </c>
      <c r="Y342" s="206" t="str">
        <f t="shared" si="29"/>
        <v>SHIRTS</v>
      </c>
      <c r="Z342" s="25" t="str">
        <f t="shared" ca="1" si="31"/>
        <v>VMSHIRTS19/20Oct</v>
      </c>
      <c r="AA342" s="206" t="s">
        <v>197</v>
      </c>
      <c r="AB342" s="206" t="str">
        <f t="shared" ca="1" si="30"/>
        <v>19/20</v>
      </c>
      <c r="AC342" s="206" t="str">
        <f t="shared" ca="1" si="30"/>
        <v>Q1</v>
      </c>
      <c r="AD342" s="206" t="str">
        <f t="shared" ca="1" si="30"/>
        <v>Oct</v>
      </c>
      <c r="AE342" s="649">
        <f ca="1">IFERROR(HLOOKUP($AB342&amp;$AD342,'NWC_FC_NON-NOOS'!$C$4:$Q$24,MATCH($Y342,'NWC_FC_NON-NOOS'!$B$4:$B$24,0),FALSE),"")</f>
        <v>0</v>
      </c>
      <c r="AF342" s="650">
        <f ca="1">IFERROR(HLOOKUP($AB342&amp;$AD342,'NWC_FC_NON-NOOS'!$S$4:$AH$24,MATCH($Y342,'NWC_FC_NON-NOOS'!$S$4:$S$24,0),FALSE),"")</f>
        <v>0</v>
      </c>
      <c r="AG342" s="650">
        <f ca="1">IFERROR(HLOOKUP($AB342&amp;$AD342,'NWC_FC_NON-NOOS'!$B$50:$U$70,MATCH($Y342,'NWC_FC_NON-NOOS'!$B$50:$B$70,0),FALSE),"")</f>
        <v>0</v>
      </c>
      <c r="AH342" s="650">
        <f ca="1">IFERROR(IF($AA342="NOOS",HLOOKUP(STOCK_OVERVIEW!$AB342&amp;STOCK_OVERVIEW!$AD342,PLANNING_FC!$BB$27:$BP$46,MATCH(STOCK_OVERVIEW!$Y342,PLANNING_FC!$BA$27:$BA$46,0),FALSE),HLOOKUP($AB342&amp;$AD342,PLANNING_FC!$BB$4:$BP$23,MATCH(STOCK_OVERVIEW!$Y342,PLANNING_FC!$BA$4:$BA$23,0),FALSE)),"")</f>
        <v>0</v>
      </c>
      <c r="AI342" s="650">
        <f ca="1">IFERROR(IF($AA342="NOOS",HLOOKUP(STOCK_OVERVIEW!$AB342&amp;STOCK_OVERVIEW!$AD342,PLANNING_FC!$T$27:$AH$46,MATCH(STOCK_OVERVIEW!$Y342,PLANNING_FC!$B$27:$B$46,0),FALSE),HLOOKUP($AB342&amp;$AD342,PLANNING_FC!$T$4:$AH$23,MATCH(STOCK_OVERVIEW!$Y342,PLANNING_FC!$B$4:$B$23,0),FALSE)),"")</f>
        <v>0</v>
      </c>
      <c r="AJ342" s="650">
        <f ca="1">IFERROR(IF($AA342="NOOS",HLOOKUP(STOCK_OVERVIEW!$AB342&amp;STOCK_OVERVIEW!$AD342,PLANNING_FC!$DA$27:$DO$46,MATCH(STOCK_OVERVIEW!$Y342,PLANNING_FC!$CZ$27:$CZ$46,0),FALSE),HLOOKUP($AB342&amp;$AD342,PLANNING_FC!$DA$4:$DO$23,MATCH(STOCK_OVERVIEW!$Y342,PLANNING_FC!$CZ$4:$CZ$23,0),FALSE)),"")</f>
        <v>98685</v>
      </c>
      <c r="AK342" s="651">
        <f ca="1">IFERROR(IF(AA342="NOOS",HLOOKUP(AB342&amp;AD342,PLANNING_FC!$AJ$27:$AY$47,MATCH(STOCK_OVERVIEW!Y342,PLANNING_FC!$AJ$27:$AJ$47,0),FALSE)*1000,HLOOKUP(AB342&amp;AD342,PLANNING_FC!$AJ$4:$AY$24,MATCH(STOCK_OVERVIEW!Y342,PLANNING_FC!$AJ$4:$AJ$24,0),FALSE)*1000),"")</f>
        <v>0</v>
      </c>
      <c r="AL342" s="638"/>
      <c r="AM342" s="638"/>
      <c r="AN342" s="638"/>
      <c r="AO342" s="638"/>
      <c r="AP342" s="638"/>
      <c r="AQ342" s="638"/>
      <c r="AR342" s="638"/>
      <c r="AS342" s="638"/>
    </row>
    <row r="343" spans="1:45" s="61" customFormat="1" x14ac:dyDescent="0.25">
      <c r="A343" s="62"/>
      <c r="F343" s="19"/>
      <c r="J343" s="19"/>
      <c r="N343" s="19"/>
      <c r="R343" s="19"/>
      <c r="S343" s="637"/>
      <c r="T343" s="637"/>
      <c r="U343" s="636"/>
      <c r="V343" s="637"/>
      <c r="W343" s="637"/>
      <c r="X343" s="465" t="str">
        <f t="shared" si="29"/>
        <v>VM</v>
      </c>
      <c r="Y343" s="206" t="str">
        <f t="shared" si="29"/>
        <v>SHIRTS</v>
      </c>
      <c r="Z343" s="25" t="str">
        <f t="shared" ca="1" si="31"/>
        <v>VMSHIRTS19/20Nov</v>
      </c>
      <c r="AA343" s="206" t="s">
        <v>197</v>
      </c>
      <c r="AB343" s="206" t="str">
        <f t="shared" ca="1" si="30"/>
        <v>19/20</v>
      </c>
      <c r="AC343" s="206" t="str">
        <f t="shared" ca="1" si="30"/>
        <v>Q2</v>
      </c>
      <c r="AD343" s="206" t="str">
        <f t="shared" ca="1" si="30"/>
        <v>Nov</v>
      </c>
      <c r="AE343" s="649">
        <f ca="1">IFERROR(HLOOKUP($AB343&amp;$AD343,'NWC_FC_NON-NOOS'!$C$4:$Q$24,MATCH($Y343,'NWC_FC_NON-NOOS'!$B$4:$B$24,0),FALSE),"")</f>
        <v>0</v>
      </c>
      <c r="AF343" s="650">
        <f ca="1">IFERROR(HLOOKUP($AB343&amp;$AD343,'NWC_FC_NON-NOOS'!$S$4:$AH$24,MATCH($Y343,'NWC_FC_NON-NOOS'!$S$4:$S$24,0),FALSE),"")</f>
        <v>0</v>
      </c>
      <c r="AG343" s="650">
        <f ca="1">IFERROR(HLOOKUP($AB343&amp;$AD343,'NWC_FC_NON-NOOS'!$B$50:$U$70,MATCH($Y343,'NWC_FC_NON-NOOS'!$B$50:$B$70,0),FALSE),"")</f>
        <v>0</v>
      </c>
      <c r="AH343" s="650">
        <f ca="1">IFERROR(IF($AA343="NOOS",HLOOKUP(STOCK_OVERVIEW!$AB343&amp;STOCK_OVERVIEW!$AD343,PLANNING_FC!$BB$27:$BP$46,MATCH(STOCK_OVERVIEW!$Y343,PLANNING_FC!$BA$27:$BA$46,0),FALSE),HLOOKUP($AB343&amp;$AD343,PLANNING_FC!$BB$4:$BP$23,MATCH(STOCK_OVERVIEW!$Y343,PLANNING_FC!$BA$4:$BA$23,0),FALSE)),"")</f>
        <v>0</v>
      </c>
      <c r="AI343" s="650">
        <f ca="1">IFERROR(IF($AA343="NOOS",HLOOKUP(STOCK_OVERVIEW!$AB343&amp;STOCK_OVERVIEW!$AD343,PLANNING_FC!$T$27:$AH$46,MATCH(STOCK_OVERVIEW!$Y343,PLANNING_FC!$B$27:$B$46,0),FALSE),HLOOKUP($AB343&amp;$AD343,PLANNING_FC!$T$4:$AH$23,MATCH(STOCK_OVERVIEW!$Y343,PLANNING_FC!$B$4:$B$23,0),FALSE)),"")</f>
        <v>0</v>
      </c>
      <c r="AJ343" s="650">
        <f ca="1">IFERROR(IF($AA343="NOOS",HLOOKUP(STOCK_OVERVIEW!$AB343&amp;STOCK_OVERVIEW!$AD343,PLANNING_FC!$DA$27:$DO$46,MATCH(STOCK_OVERVIEW!$Y343,PLANNING_FC!$CZ$27:$CZ$46,0),FALSE),HLOOKUP($AB343&amp;$AD343,PLANNING_FC!$DA$4:$DO$23,MATCH(STOCK_OVERVIEW!$Y343,PLANNING_FC!$CZ$4:$CZ$23,0),FALSE)),"")</f>
        <v>98685</v>
      </c>
      <c r="AK343" s="651">
        <f ca="1">IFERROR(IF(AA343="NOOS",HLOOKUP(AB343&amp;AD343,PLANNING_FC!$AJ$27:$AY$47,MATCH(STOCK_OVERVIEW!Y343,PLANNING_FC!$AJ$27:$AJ$47,0),FALSE)*1000,HLOOKUP(AB343&amp;AD343,PLANNING_FC!$AJ$4:$AY$24,MATCH(STOCK_OVERVIEW!Y343,PLANNING_FC!$AJ$4:$AJ$24,0),FALSE)*1000),"")</f>
        <v>0</v>
      </c>
      <c r="AL343" s="638"/>
      <c r="AM343" s="638"/>
      <c r="AN343" s="638"/>
      <c r="AO343" s="638"/>
      <c r="AP343" s="638"/>
      <c r="AQ343" s="638"/>
      <c r="AR343" s="638"/>
      <c r="AS343" s="638"/>
    </row>
    <row r="344" spans="1:45" s="61" customFormat="1" x14ac:dyDescent="0.25">
      <c r="A344" s="62"/>
      <c r="F344" s="19"/>
      <c r="J344" s="19"/>
      <c r="N344" s="19"/>
      <c r="R344" s="19"/>
      <c r="S344" s="637"/>
      <c r="T344" s="637"/>
      <c r="U344" s="636"/>
      <c r="V344" s="637"/>
      <c r="W344" s="637"/>
      <c r="X344" s="465" t="str">
        <f t="shared" ref="X344:Y363" si="32">X104</f>
        <v>VM</v>
      </c>
      <c r="Y344" s="206" t="str">
        <f t="shared" si="32"/>
        <v>SHIRTS</v>
      </c>
      <c r="Z344" s="25" t="str">
        <f t="shared" ca="1" si="31"/>
        <v>VMSHIRTS19/20Dec</v>
      </c>
      <c r="AA344" s="206" t="s">
        <v>197</v>
      </c>
      <c r="AB344" s="206" t="str">
        <f t="shared" ref="AB344:AD363" ca="1" si="33">AB104</f>
        <v>19/20</v>
      </c>
      <c r="AC344" s="206" t="str">
        <f t="shared" ca="1" si="33"/>
        <v>Q2</v>
      </c>
      <c r="AD344" s="206" t="str">
        <f t="shared" ca="1" si="33"/>
        <v>Dec</v>
      </c>
      <c r="AE344" s="649">
        <f ca="1">IFERROR(HLOOKUP($AB344&amp;$AD344,'NWC_FC_NON-NOOS'!$C$4:$Q$24,MATCH($Y344,'NWC_FC_NON-NOOS'!$B$4:$B$24,0),FALSE),"")</f>
        <v>0</v>
      </c>
      <c r="AF344" s="650">
        <f ca="1">IFERROR(HLOOKUP($AB344&amp;$AD344,'NWC_FC_NON-NOOS'!$S$4:$AH$24,MATCH($Y344,'NWC_FC_NON-NOOS'!$S$4:$S$24,0),FALSE),"")</f>
        <v>0</v>
      </c>
      <c r="AG344" s="650">
        <f ca="1">IFERROR(HLOOKUP($AB344&amp;$AD344,'NWC_FC_NON-NOOS'!$B$50:$U$70,MATCH($Y344,'NWC_FC_NON-NOOS'!$B$50:$B$70,0),FALSE),"")</f>
        <v>0</v>
      </c>
      <c r="AH344" s="650">
        <f ca="1">IFERROR(IF($AA344="NOOS",HLOOKUP(STOCK_OVERVIEW!$AB344&amp;STOCK_OVERVIEW!$AD344,PLANNING_FC!$BB$27:$BP$46,MATCH(STOCK_OVERVIEW!$Y344,PLANNING_FC!$BA$27:$BA$46,0),FALSE),HLOOKUP($AB344&amp;$AD344,PLANNING_FC!$BB$4:$BP$23,MATCH(STOCK_OVERVIEW!$Y344,PLANNING_FC!$BA$4:$BA$23,0),FALSE)),"")</f>
        <v>0</v>
      </c>
      <c r="AI344" s="650">
        <f ca="1">IFERROR(IF($AA344="NOOS",HLOOKUP(STOCK_OVERVIEW!$AB344&amp;STOCK_OVERVIEW!$AD344,PLANNING_FC!$T$27:$AH$46,MATCH(STOCK_OVERVIEW!$Y344,PLANNING_FC!$B$27:$B$46,0),FALSE),HLOOKUP($AB344&amp;$AD344,PLANNING_FC!$T$4:$AH$23,MATCH(STOCK_OVERVIEW!$Y344,PLANNING_FC!$B$4:$B$23,0),FALSE)),"")</f>
        <v>0</v>
      </c>
      <c r="AJ344" s="650">
        <f ca="1">IFERROR(IF($AA344="NOOS",HLOOKUP(STOCK_OVERVIEW!$AB344&amp;STOCK_OVERVIEW!$AD344,PLANNING_FC!$DA$27:$DO$46,MATCH(STOCK_OVERVIEW!$Y344,PLANNING_FC!$CZ$27:$CZ$46,0),FALSE),HLOOKUP($AB344&amp;$AD344,PLANNING_FC!$DA$4:$DO$23,MATCH(STOCK_OVERVIEW!$Y344,PLANNING_FC!$CZ$4:$CZ$23,0),FALSE)),"")</f>
        <v>98685</v>
      </c>
      <c r="AK344" s="651">
        <f ca="1">IFERROR(IF(AA344="NOOS",HLOOKUP(AB344&amp;AD344,PLANNING_FC!$AJ$27:$AY$47,MATCH(STOCK_OVERVIEW!Y344,PLANNING_FC!$AJ$27:$AJ$47,0),FALSE)*1000,HLOOKUP(AB344&amp;AD344,PLANNING_FC!$AJ$4:$AY$24,MATCH(STOCK_OVERVIEW!Y344,PLANNING_FC!$AJ$4:$AJ$24,0),FALSE)*1000),"")</f>
        <v>0</v>
      </c>
      <c r="AL344" s="638"/>
      <c r="AM344" s="638"/>
      <c r="AN344" s="638"/>
      <c r="AO344" s="638"/>
      <c r="AP344" s="638"/>
      <c r="AQ344" s="638"/>
      <c r="AR344" s="638"/>
      <c r="AS344" s="638"/>
    </row>
    <row r="345" spans="1:45" s="61" customFormat="1" x14ac:dyDescent="0.25">
      <c r="A345" s="62"/>
      <c r="F345" s="19"/>
      <c r="J345" s="19"/>
      <c r="N345" s="19"/>
      <c r="R345" s="19"/>
      <c r="S345" s="637"/>
      <c r="T345" s="637"/>
      <c r="U345" s="636"/>
      <c r="V345" s="637"/>
      <c r="W345" s="637"/>
      <c r="X345" s="465" t="str">
        <f t="shared" si="32"/>
        <v>VM</v>
      </c>
      <c r="Y345" s="206" t="str">
        <f t="shared" si="32"/>
        <v>SHIRTS</v>
      </c>
      <c r="Z345" s="25" t="str">
        <f t="shared" ca="1" si="31"/>
        <v>VMSHIRTS19/20Jan</v>
      </c>
      <c r="AA345" s="206" t="s">
        <v>197</v>
      </c>
      <c r="AB345" s="206" t="str">
        <f t="shared" ca="1" si="33"/>
        <v>19/20</v>
      </c>
      <c r="AC345" s="206" t="str">
        <f t="shared" ca="1" si="33"/>
        <v>Q2</v>
      </c>
      <c r="AD345" s="206" t="str">
        <f t="shared" ca="1" si="33"/>
        <v>Jan</v>
      </c>
      <c r="AE345" s="649">
        <f ca="1">IFERROR(HLOOKUP($AB345&amp;$AD345,'NWC_FC_NON-NOOS'!$C$4:$Q$24,MATCH($Y345,'NWC_FC_NON-NOOS'!$B$4:$B$24,0),FALSE),"")</f>
        <v>0</v>
      </c>
      <c r="AF345" s="650">
        <f ca="1">IFERROR(HLOOKUP($AB345&amp;$AD345,'NWC_FC_NON-NOOS'!$S$4:$AH$24,MATCH($Y345,'NWC_FC_NON-NOOS'!$S$4:$S$24,0),FALSE),"")</f>
        <v>0</v>
      </c>
      <c r="AG345" s="650">
        <f ca="1">IFERROR(HLOOKUP($AB345&amp;$AD345,'NWC_FC_NON-NOOS'!$B$50:$U$70,MATCH($Y345,'NWC_FC_NON-NOOS'!$B$50:$B$70,0),FALSE),"")</f>
        <v>0</v>
      </c>
      <c r="AH345" s="650">
        <f ca="1">IFERROR(IF($AA345="NOOS",HLOOKUP(STOCK_OVERVIEW!$AB345&amp;STOCK_OVERVIEW!$AD345,PLANNING_FC!$BB$27:$BP$46,MATCH(STOCK_OVERVIEW!$Y345,PLANNING_FC!$BA$27:$BA$46,0),FALSE),HLOOKUP($AB345&amp;$AD345,PLANNING_FC!$BB$4:$BP$23,MATCH(STOCK_OVERVIEW!$Y345,PLANNING_FC!$BA$4:$BA$23,0),FALSE)),"")</f>
        <v>0</v>
      </c>
      <c r="AI345" s="650">
        <f ca="1">IFERROR(IF($AA345="NOOS",HLOOKUP(STOCK_OVERVIEW!$AB345&amp;STOCK_OVERVIEW!$AD345,PLANNING_FC!$T$27:$AH$46,MATCH(STOCK_OVERVIEW!$Y345,PLANNING_FC!$B$27:$B$46,0),FALSE),HLOOKUP($AB345&amp;$AD345,PLANNING_FC!$T$4:$AH$23,MATCH(STOCK_OVERVIEW!$Y345,PLANNING_FC!$B$4:$B$23,0),FALSE)),"")</f>
        <v>0</v>
      </c>
      <c r="AJ345" s="650">
        <f ca="1">IFERROR(IF($AA345="NOOS",HLOOKUP(STOCK_OVERVIEW!$AB345&amp;STOCK_OVERVIEW!$AD345,PLANNING_FC!$DA$27:$DO$46,MATCH(STOCK_OVERVIEW!$Y345,PLANNING_FC!$CZ$27:$CZ$46,0),FALSE),HLOOKUP($AB345&amp;$AD345,PLANNING_FC!$DA$4:$DO$23,MATCH(STOCK_OVERVIEW!$Y345,PLANNING_FC!$CZ$4:$CZ$23,0),FALSE)),"")</f>
        <v>98685</v>
      </c>
      <c r="AK345" s="651">
        <f ca="1">IFERROR(IF(AA345="NOOS",HLOOKUP(AB345&amp;AD345,PLANNING_FC!$AJ$27:$AY$47,MATCH(STOCK_OVERVIEW!Y345,PLANNING_FC!$AJ$27:$AJ$47,0),FALSE)*1000,HLOOKUP(AB345&amp;AD345,PLANNING_FC!$AJ$4:$AY$24,MATCH(STOCK_OVERVIEW!Y345,PLANNING_FC!$AJ$4:$AJ$24,0),FALSE)*1000),"")</f>
        <v>0</v>
      </c>
      <c r="AL345" s="638"/>
      <c r="AM345" s="638"/>
      <c r="AN345" s="638"/>
      <c r="AO345" s="638"/>
      <c r="AP345" s="638"/>
      <c r="AQ345" s="638"/>
      <c r="AR345" s="638"/>
      <c r="AS345" s="638"/>
    </row>
    <row r="346" spans="1:45" s="61" customFormat="1" x14ac:dyDescent="0.25">
      <c r="A346" s="62"/>
      <c r="F346" s="19"/>
      <c r="J346" s="19"/>
      <c r="N346" s="19"/>
      <c r="R346" s="19"/>
      <c r="S346" s="637"/>
      <c r="T346" s="637"/>
      <c r="U346" s="636"/>
      <c r="V346" s="637"/>
      <c r="W346" s="637"/>
      <c r="X346" s="465" t="str">
        <f t="shared" si="32"/>
        <v>VM</v>
      </c>
      <c r="Y346" s="206" t="str">
        <f t="shared" si="32"/>
        <v>SHIRTS</v>
      </c>
      <c r="Z346" s="25" t="str">
        <f t="shared" ca="1" si="31"/>
        <v>VMSHIRTS19/20Feb</v>
      </c>
      <c r="AA346" s="206" t="s">
        <v>197</v>
      </c>
      <c r="AB346" s="206" t="str">
        <f t="shared" ca="1" si="33"/>
        <v>19/20</v>
      </c>
      <c r="AC346" s="206" t="str">
        <f t="shared" ca="1" si="33"/>
        <v>Q3</v>
      </c>
      <c r="AD346" s="206" t="str">
        <f t="shared" ca="1" si="33"/>
        <v>Feb</v>
      </c>
      <c r="AE346" s="649" t="str">
        <f ca="1">IFERROR(HLOOKUP($AB346&amp;$AD346,'NWC_FC_NON-NOOS'!$C$4:$Q$24,MATCH($Y346,'NWC_FC_NON-NOOS'!$B$4:$B$24,0),FALSE),"")</f>
        <v/>
      </c>
      <c r="AF346" s="650" t="str">
        <f ca="1">IFERROR(HLOOKUP($AB346&amp;$AD346,'NWC_FC_NON-NOOS'!$S$4:$AH$24,MATCH($Y346,'NWC_FC_NON-NOOS'!$S$4:$S$24,0),FALSE),"")</f>
        <v/>
      </c>
      <c r="AG346" s="650">
        <f ca="1">IFERROR(HLOOKUP($AB346&amp;$AD346,'NWC_FC_NON-NOOS'!$B$50:$U$70,MATCH($Y346,'NWC_FC_NON-NOOS'!$B$50:$B$70,0),FALSE),"")</f>
        <v>0</v>
      </c>
      <c r="AH346" s="650" t="str">
        <f ca="1">IFERROR(IF($AA346="NOOS",HLOOKUP(STOCK_OVERVIEW!$AB346&amp;STOCK_OVERVIEW!$AD346,PLANNING_FC!$BB$27:$BP$46,MATCH(STOCK_OVERVIEW!$Y346,PLANNING_FC!$BA$27:$BA$46,0),FALSE),HLOOKUP($AB346&amp;$AD346,PLANNING_FC!$BB$4:$BP$23,MATCH(STOCK_OVERVIEW!$Y346,PLANNING_FC!$BA$4:$BA$23,0),FALSE)),"")</f>
        <v/>
      </c>
      <c r="AI346" s="650" t="str">
        <f ca="1">IFERROR(IF($AA346="NOOS",HLOOKUP(STOCK_OVERVIEW!$AB346&amp;STOCK_OVERVIEW!$AD346,PLANNING_FC!$T$27:$AH$46,MATCH(STOCK_OVERVIEW!$Y346,PLANNING_FC!$B$27:$B$46,0),FALSE),HLOOKUP($AB346&amp;$AD346,PLANNING_FC!$T$4:$AH$23,MATCH(STOCK_OVERVIEW!$Y346,PLANNING_FC!$B$4:$B$23,0),FALSE)),"")</f>
        <v/>
      </c>
      <c r="AJ346" s="650" t="str">
        <f ca="1">IFERROR(IF($AA346="NOOS",HLOOKUP(STOCK_OVERVIEW!$AB346&amp;STOCK_OVERVIEW!$AD346,PLANNING_FC!$DA$27:$DO$46,MATCH(STOCK_OVERVIEW!$Y346,PLANNING_FC!$CZ$27:$CZ$46,0),FALSE),HLOOKUP($AB346&amp;$AD346,PLANNING_FC!$DA$4:$DO$23,MATCH(STOCK_OVERVIEW!$Y346,PLANNING_FC!$CZ$4:$CZ$23,0),FALSE)),"")</f>
        <v/>
      </c>
      <c r="AK346" s="651" t="str">
        <f ca="1">IFERROR(IF(AA346="NOOS",HLOOKUP(AB346&amp;AD346,PLANNING_FC!$AJ$27:$AY$47,MATCH(STOCK_OVERVIEW!Y346,PLANNING_FC!$AJ$27:$AJ$47,0),FALSE)*1000,HLOOKUP(AB346&amp;AD346,PLANNING_FC!$AJ$4:$AY$24,MATCH(STOCK_OVERVIEW!Y346,PLANNING_FC!$AJ$4:$AJ$24,0),FALSE)*1000),"")</f>
        <v/>
      </c>
      <c r="AL346" s="638"/>
      <c r="AM346" s="638"/>
      <c r="AN346" s="638"/>
      <c r="AO346" s="638"/>
      <c r="AP346" s="638"/>
      <c r="AQ346" s="638"/>
      <c r="AR346" s="638"/>
      <c r="AS346" s="638"/>
    </row>
    <row r="347" spans="1:45" s="61" customFormat="1" x14ac:dyDescent="0.25">
      <c r="A347" s="62"/>
      <c r="F347" s="19"/>
      <c r="J347" s="19"/>
      <c r="N347" s="19"/>
      <c r="R347" s="19"/>
      <c r="S347" s="637"/>
      <c r="T347" s="637"/>
      <c r="U347" s="636"/>
      <c r="V347" s="637"/>
      <c r="W347" s="637"/>
      <c r="X347" s="465" t="str">
        <f t="shared" si="32"/>
        <v>VM</v>
      </c>
      <c r="Y347" s="206" t="str">
        <f t="shared" si="32"/>
        <v>SHIRTS</v>
      </c>
      <c r="Z347" s="25" t="str">
        <f t="shared" ca="1" si="31"/>
        <v>VMSHIRTS19/20Mar</v>
      </c>
      <c r="AA347" s="206" t="s">
        <v>197</v>
      </c>
      <c r="AB347" s="206" t="str">
        <f t="shared" ca="1" si="33"/>
        <v>19/20</v>
      </c>
      <c r="AC347" s="206" t="str">
        <f t="shared" ca="1" si="33"/>
        <v>Q3</v>
      </c>
      <c r="AD347" s="206" t="str">
        <f t="shared" ca="1" si="33"/>
        <v>Mar</v>
      </c>
      <c r="AE347" s="649" t="str">
        <f ca="1">IFERROR(HLOOKUP($AB347&amp;$AD347,'NWC_FC_NON-NOOS'!$C$4:$Q$24,MATCH($Y347,'NWC_FC_NON-NOOS'!$B$4:$B$24,0),FALSE),"")</f>
        <v/>
      </c>
      <c r="AF347" s="650" t="str">
        <f ca="1">IFERROR(HLOOKUP($AB347&amp;$AD347,'NWC_FC_NON-NOOS'!$S$4:$AH$24,MATCH($Y347,'NWC_FC_NON-NOOS'!$S$4:$S$24,0),FALSE),"")</f>
        <v/>
      </c>
      <c r="AG347" s="650">
        <f ca="1">IFERROR(HLOOKUP($AB347&amp;$AD347,'NWC_FC_NON-NOOS'!$B$50:$U$70,MATCH($Y347,'NWC_FC_NON-NOOS'!$B$50:$B$70,0),FALSE),"")</f>
        <v>0</v>
      </c>
      <c r="AH347" s="650" t="str">
        <f ca="1">IFERROR(IF($AA347="NOOS",HLOOKUP(STOCK_OVERVIEW!$AB347&amp;STOCK_OVERVIEW!$AD347,PLANNING_FC!$BB$27:$BP$46,MATCH(STOCK_OVERVIEW!$Y347,PLANNING_FC!$BA$27:$BA$46,0),FALSE),HLOOKUP($AB347&amp;$AD347,PLANNING_FC!$BB$4:$BP$23,MATCH(STOCK_OVERVIEW!$Y347,PLANNING_FC!$BA$4:$BA$23,0),FALSE)),"")</f>
        <v/>
      </c>
      <c r="AI347" s="650" t="str">
        <f ca="1">IFERROR(IF($AA347="NOOS",HLOOKUP(STOCK_OVERVIEW!$AB347&amp;STOCK_OVERVIEW!$AD347,PLANNING_FC!$T$27:$AH$46,MATCH(STOCK_OVERVIEW!$Y347,PLANNING_FC!$B$27:$B$46,0),FALSE),HLOOKUP($AB347&amp;$AD347,PLANNING_FC!$T$4:$AH$23,MATCH(STOCK_OVERVIEW!$Y347,PLANNING_FC!$B$4:$B$23,0),FALSE)),"")</f>
        <v/>
      </c>
      <c r="AJ347" s="650" t="str">
        <f ca="1">IFERROR(IF($AA347="NOOS",HLOOKUP(STOCK_OVERVIEW!$AB347&amp;STOCK_OVERVIEW!$AD347,PLANNING_FC!$DA$27:$DO$46,MATCH(STOCK_OVERVIEW!$Y347,PLANNING_FC!$CZ$27:$CZ$46,0),FALSE),HLOOKUP($AB347&amp;$AD347,PLANNING_FC!$DA$4:$DO$23,MATCH(STOCK_OVERVIEW!$Y347,PLANNING_FC!$CZ$4:$CZ$23,0),FALSE)),"")</f>
        <v/>
      </c>
      <c r="AK347" s="651" t="str">
        <f ca="1">IFERROR(IF(AA347="NOOS",HLOOKUP(AB347&amp;AD347,PLANNING_FC!$AJ$27:$AY$47,MATCH(STOCK_OVERVIEW!Y347,PLANNING_FC!$AJ$27:$AJ$47,0),FALSE)*1000,HLOOKUP(AB347&amp;AD347,PLANNING_FC!$AJ$4:$AY$24,MATCH(STOCK_OVERVIEW!Y347,PLANNING_FC!$AJ$4:$AJ$24,0),FALSE)*1000),"")</f>
        <v/>
      </c>
      <c r="AL347" s="638"/>
      <c r="AM347" s="638"/>
      <c r="AN347" s="638"/>
      <c r="AO347" s="638"/>
      <c r="AP347" s="638"/>
      <c r="AQ347" s="638"/>
      <c r="AR347" s="638"/>
      <c r="AS347" s="638"/>
    </row>
    <row r="348" spans="1:45" s="61" customFormat="1" x14ac:dyDescent="0.25">
      <c r="A348" s="62"/>
      <c r="F348" s="19"/>
      <c r="J348" s="19"/>
      <c r="N348" s="19"/>
      <c r="R348" s="19"/>
      <c r="S348" s="637"/>
      <c r="T348" s="637"/>
      <c r="U348" s="636"/>
      <c r="V348" s="637"/>
      <c r="W348" s="637"/>
      <c r="X348" s="465" t="str">
        <f t="shared" si="32"/>
        <v>VM</v>
      </c>
      <c r="Y348" s="206" t="str">
        <f t="shared" si="32"/>
        <v>SHIRTS</v>
      </c>
      <c r="Z348" s="25" t="str">
        <f t="shared" ca="1" si="31"/>
        <v>VMSHIRTS19/20Apr</v>
      </c>
      <c r="AA348" s="206" t="s">
        <v>197</v>
      </c>
      <c r="AB348" s="206" t="str">
        <f t="shared" ca="1" si="33"/>
        <v>19/20</v>
      </c>
      <c r="AC348" s="206" t="str">
        <f t="shared" ca="1" si="33"/>
        <v>Q3</v>
      </c>
      <c r="AD348" s="206" t="str">
        <f t="shared" ca="1" si="33"/>
        <v>Apr</v>
      </c>
      <c r="AE348" s="649" t="str">
        <f ca="1">IFERROR(HLOOKUP($AB348&amp;$AD348,'NWC_FC_NON-NOOS'!$C$4:$Q$24,MATCH($Y348,'NWC_FC_NON-NOOS'!$B$4:$B$24,0),FALSE),"")</f>
        <v/>
      </c>
      <c r="AF348" s="650" t="str">
        <f ca="1">IFERROR(HLOOKUP($AB348&amp;$AD348,'NWC_FC_NON-NOOS'!$S$4:$AH$24,MATCH($Y348,'NWC_FC_NON-NOOS'!$S$4:$S$24,0),FALSE),"")</f>
        <v/>
      </c>
      <c r="AG348" s="650">
        <f ca="1">IFERROR(HLOOKUP($AB348&amp;$AD348,'NWC_FC_NON-NOOS'!$B$50:$U$70,MATCH($Y348,'NWC_FC_NON-NOOS'!$B$50:$B$70,0),FALSE),"")</f>
        <v>0</v>
      </c>
      <c r="AH348" s="650" t="str">
        <f ca="1">IFERROR(IF($AA348="NOOS",HLOOKUP(STOCK_OVERVIEW!$AB348&amp;STOCK_OVERVIEW!$AD348,PLANNING_FC!$BB$27:$BP$46,MATCH(STOCK_OVERVIEW!$Y348,PLANNING_FC!$BA$27:$BA$46,0),FALSE),HLOOKUP($AB348&amp;$AD348,PLANNING_FC!$BB$4:$BP$23,MATCH(STOCK_OVERVIEW!$Y348,PLANNING_FC!$BA$4:$BA$23,0),FALSE)),"")</f>
        <v/>
      </c>
      <c r="AI348" s="650" t="str">
        <f ca="1">IFERROR(IF($AA348="NOOS",HLOOKUP(STOCK_OVERVIEW!$AB348&amp;STOCK_OVERVIEW!$AD348,PLANNING_FC!$T$27:$AH$46,MATCH(STOCK_OVERVIEW!$Y348,PLANNING_FC!$B$27:$B$46,0),FALSE),HLOOKUP($AB348&amp;$AD348,PLANNING_FC!$T$4:$AH$23,MATCH(STOCK_OVERVIEW!$Y348,PLANNING_FC!$B$4:$B$23,0),FALSE)),"")</f>
        <v/>
      </c>
      <c r="AJ348" s="650" t="str">
        <f ca="1">IFERROR(IF($AA348="NOOS",HLOOKUP(STOCK_OVERVIEW!$AB348&amp;STOCK_OVERVIEW!$AD348,PLANNING_FC!$DA$27:$DO$46,MATCH(STOCK_OVERVIEW!$Y348,PLANNING_FC!$CZ$27:$CZ$46,0),FALSE),HLOOKUP($AB348&amp;$AD348,PLANNING_FC!$DA$4:$DO$23,MATCH(STOCK_OVERVIEW!$Y348,PLANNING_FC!$CZ$4:$CZ$23,0),FALSE)),"")</f>
        <v/>
      </c>
      <c r="AK348" s="651" t="str">
        <f ca="1">IFERROR(IF(AA348="NOOS",HLOOKUP(AB348&amp;AD348,PLANNING_FC!$AJ$27:$AY$47,MATCH(STOCK_OVERVIEW!Y348,PLANNING_FC!$AJ$27:$AJ$47,0),FALSE)*1000,HLOOKUP(AB348&amp;AD348,PLANNING_FC!$AJ$4:$AY$24,MATCH(STOCK_OVERVIEW!Y348,PLANNING_FC!$AJ$4:$AJ$24,0),FALSE)*1000),"")</f>
        <v/>
      </c>
      <c r="AL348" s="638"/>
      <c r="AM348" s="638"/>
      <c r="AN348" s="638"/>
      <c r="AO348" s="638"/>
      <c r="AP348" s="638"/>
      <c r="AQ348" s="638"/>
      <c r="AR348" s="638"/>
      <c r="AS348" s="638"/>
    </row>
    <row r="349" spans="1:45" s="61" customFormat="1" x14ac:dyDescent="0.25">
      <c r="A349" s="62"/>
      <c r="F349" s="19"/>
      <c r="J349" s="19"/>
      <c r="N349" s="19"/>
      <c r="R349" s="19"/>
      <c r="S349" s="637"/>
      <c r="T349" s="637"/>
      <c r="U349" s="636"/>
      <c r="V349" s="637"/>
      <c r="W349" s="637"/>
      <c r="X349" s="465" t="str">
        <f t="shared" si="32"/>
        <v>VM</v>
      </c>
      <c r="Y349" s="206" t="str">
        <f t="shared" si="32"/>
        <v>SHOES</v>
      </c>
      <c r="Z349" s="25" t="str">
        <f t="shared" ca="1" si="31"/>
        <v>VMSHOES18/19Feb</v>
      </c>
      <c r="AA349" s="206" t="s">
        <v>197</v>
      </c>
      <c r="AB349" s="206" t="str">
        <f t="shared" ca="1" si="33"/>
        <v>18/19</v>
      </c>
      <c r="AC349" s="206" t="str">
        <f t="shared" ca="1" si="33"/>
        <v>Q3</v>
      </c>
      <c r="AD349" s="206" t="str">
        <f t="shared" ca="1" si="33"/>
        <v>Feb</v>
      </c>
      <c r="AE349" s="649">
        <f ca="1">IFERROR(HLOOKUP($AB349&amp;$AD349,'NWC_FC_NON-NOOS'!$C$4:$Q$24,MATCH($Y349,'NWC_FC_NON-NOOS'!$B$4:$B$24,0),FALSE),"")</f>
        <v>0</v>
      </c>
      <c r="AF349" s="650">
        <f ca="1">IFERROR(HLOOKUP($AB349&amp;$AD349,'NWC_FC_NON-NOOS'!$S$4:$AH$24,MATCH($Y349,'NWC_FC_NON-NOOS'!$S$4:$S$24,0),FALSE),"")</f>
        <v>0</v>
      </c>
      <c r="AG349" s="650">
        <f ca="1">IFERROR(HLOOKUP($AB349&amp;$AD349,'NWC_FC_NON-NOOS'!$B$50:$U$70,MATCH($Y349,'NWC_FC_NON-NOOS'!$B$50:$B$70,0),FALSE),"")</f>
        <v>0</v>
      </c>
      <c r="AH349" s="650">
        <f ca="1">IFERROR(IF($AA349="NOOS",HLOOKUP(STOCK_OVERVIEW!$AB349&amp;STOCK_OVERVIEW!$AD349,PLANNING_FC!$BB$27:$BP$46,MATCH(STOCK_OVERVIEW!$Y349,PLANNING_FC!$BA$27:$BA$46,0),FALSE),HLOOKUP($AB349&amp;$AD349,PLANNING_FC!$BB$4:$BP$23,MATCH(STOCK_OVERVIEW!$Y349,PLANNING_FC!$BA$4:$BA$23,0),FALSE)),"")</f>
        <v>0</v>
      </c>
      <c r="AI349" s="650">
        <f ca="1">IFERROR(IF($AA349="NOOS",HLOOKUP(STOCK_OVERVIEW!$AB349&amp;STOCK_OVERVIEW!$AD349,PLANNING_FC!$T$27:$AH$46,MATCH(STOCK_OVERVIEW!$Y349,PLANNING_FC!$B$27:$B$46,0),FALSE),HLOOKUP($AB349&amp;$AD349,PLANNING_FC!$T$4:$AH$23,MATCH(STOCK_OVERVIEW!$Y349,PLANNING_FC!$B$4:$B$23,0),FALSE)),"")</f>
        <v>0</v>
      </c>
      <c r="AJ349" s="650">
        <f ca="1">IFERROR(IF($AA349="NOOS",HLOOKUP(STOCK_OVERVIEW!$AB349&amp;STOCK_OVERVIEW!$AD349,PLANNING_FC!$DA$27:$DO$46,MATCH(STOCK_OVERVIEW!$Y349,PLANNING_FC!$CZ$27:$CZ$46,0),FALSE),HLOOKUP($AB349&amp;$AD349,PLANNING_FC!$DA$4:$DO$23,MATCH(STOCK_OVERVIEW!$Y349,PLANNING_FC!$CZ$4:$CZ$23,0),FALSE)),"")</f>
        <v>0</v>
      </c>
      <c r="AK349" s="651">
        <f ca="1">IFERROR(IF(AA349="NOOS",HLOOKUP(AB349&amp;AD349,PLANNING_FC!$AJ$27:$AY$47,MATCH(STOCK_OVERVIEW!Y349,PLANNING_FC!$AJ$27:$AJ$47,0),FALSE)*1000,HLOOKUP(AB349&amp;AD349,PLANNING_FC!$AJ$4:$AY$24,MATCH(STOCK_OVERVIEW!Y349,PLANNING_FC!$AJ$4:$AJ$24,0),FALSE)*1000),"")</f>
        <v>0</v>
      </c>
      <c r="AL349" s="638"/>
      <c r="AM349" s="638"/>
      <c r="AN349" s="638"/>
      <c r="AO349" s="638"/>
      <c r="AP349" s="638"/>
      <c r="AQ349" s="638"/>
      <c r="AR349" s="638"/>
      <c r="AS349" s="638"/>
    </row>
    <row r="350" spans="1:45" s="61" customFormat="1" x14ac:dyDescent="0.25">
      <c r="A350" s="62"/>
      <c r="F350" s="19"/>
      <c r="J350" s="19"/>
      <c r="N350" s="19"/>
      <c r="R350" s="19"/>
      <c r="S350" s="637"/>
      <c r="T350" s="637"/>
      <c r="U350" s="636"/>
      <c r="V350" s="637"/>
      <c r="W350" s="637"/>
      <c r="X350" s="465" t="str">
        <f t="shared" si="32"/>
        <v>VM</v>
      </c>
      <c r="Y350" s="206" t="str">
        <f t="shared" si="32"/>
        <v>SHOES</v>
      </c>
      <c r="Z350" s="25" t="str">
        <f t="shared" ca="1" si="31"/>
        <v>VMSHOES18/19Mar</v>
      </c>
      <c r="AA350" s="206" t="s">
        <v>197</v>
      </c>
      <c r="AB350" s="206" t="str">
        <f t="shared" ca="1" si="33"/>
        <v>18/19</v>
      </c>
      <c r="AC350" s="206" t="str">
        <f t="shared" ca="1" si="33"/>
        <v>Q3</v>
      </c>
      <c r="AD350" s="206" t="str">
        <f t="shared" ca="1" si="33"/>
        <v>Mar</v>
      </c>
      <c r="AE350" s="649">
        <f ca="1">IFERROR(HLOOKUP($AB350&amp;$AD350,'NWC_FC_NON-NOOS'!$C$4:$Q$24,MATCH($Y350,'NWC_FC_NON-NOOS'!$B$4:$B$24,0),FALSE),"")</f>
        <v>0</v>
      </c>
      <c r="AF350" s="650">
        <f ca="1">IFERROR(HLOOKUP($AB350&amp;$AD350,'NWC_FC_NON-NOOS'!$S$4:$AH$24,MATCH($Y350,'NWC_FC_NON-NOOS'!$S$4:$S$24,0),FALSE),"")</f>
        <v>0</v>
      </c>
      <c r="AG350" s="650">
        <f ca="1">IFERROR(HLOOKUP($AB350&amp;$AD350,'NWC_FC_NON-NOOS'!$B$50:$U$70,MATCH($Y350,'NWC_FC_NON-NOOS'!$B$50:$B$70,0),FALSE),"")</f>
        <v>0</v>
      </c>
      <c r="AH350" s="650">
        <f ca="1">IFERROR(IF($AA350="NOOS",HLOOKUP(STOCK_OVERVIEW!$AB350&amp;STOCK_OVERVIEW!$AD350,PLANNING_FC!$BB$27:$BP$46,MATCH(STOCK_OVERVIEW!$Y350,PLANNING_FC!$BA$27:$BA$46,0),FALSE),HLOOKUP($AB350&amp;$AD350,PLANNING_FC!$BB$4:$BP$23,MATCH(STOCK_OVERVIEW!$Y350,PLANNING_FC!$BA$4:$BA$23,0),FALSE)),"")</f>
        <v>0</v>
      </c>
      <c r="AI350" s="650">
        <f ca="1">IFERROR(IF($AA350="NOOS",HLOOKUP(STOCK_OVERVIEW!$AB350&amp;STOCK_OVERVIEW!$AD350,PLANNING_FC!$T$27:$AH$46,MATCH(STOCK_OVERVIEW!$Y350,PLANNING_FC!$B$27:$B$46,0),FALSE),HLOOKUP($AB350&amp;$AD350,PLANNING_FC!$T$4:$AH$23,MATCH(STOCK_OVERVIEW!$Y350,PLANNING_FC!$B$4:$B$23,0),FALSE)),"")</f>
        <v>0</v>
      </c>
      <c r="AJ350" s="650">
        <f ca="1">IFERROR(IF($AA350="NOOS",HLOOKUP(STOCK_OVERVIEW!$AB350&amp;STOCK_OVERVIEW!$AD350,PLANNING_FC!$DA$27:$DO$46,MATCH(STOCK_OVERVIEW!$Y350,PLANNING_FC!$CZ$27:$CZ$46,0),FALSE),HLOOKUP($AB350&amp;$AD350,PLANNING_FC!$DA$4:$DO$23,MATCH(STOCK_OVERVIEW!$Y350,PLANNING_FC!$CZ$4:$CZ$23,0),FALSE)),"")</f>
        <v>0</v>
      </c>
      <c r="AK350" s="651">
        <f ca="1">IFERROR(IF(AA350="NOOS",HLOOKUP(AB350&amp;AD350,PLANNING_FC!$AJ$27:$AY$47,MATCH(STOCK_OVERVIEW!Y350,PLANNING_FC!$AJ$27:$AJ$47,0),FALSE)*1000,HLOOKUP(AB350&amp;AD350,PLANNING_FC!$AJ$4:$AY$24,MATCH(STOCK_OVERVIEW!Y350,PLANNING_FC!$AJ$4:$AJ$24,0),FALSE)*1000),"")</f>
        <v>0</v>
      </c>
      <c r="AL350" s="638"/>
      <c r="AM350" s="638"/>
      <c r="AN350" s="638"/>
      <c r="AO350" s="638"/>
      <c r="AP350" s="638"/>
      <c r="AQ350" s="638"/>
      <c r="AR350" s="638"/>
      <c r="AS350" s="638"/>
    </row>
    <row r="351" spans="1:45" s="61" customFormat="1" x14ac:dyDescent="0.25">
      <c r="A351" s="62"/>
      <c r="F351" s="19"/>
      <c r="J351" s="19"/>
      <c r="N351" s="19"/>
      <c r="R351" s="19"/>
      <c r="S351" s="637"/>
      <c r="T351" s="637"/>
      <c r="U351" s="636"/>
      <c r="V351" s="637"/>
      <c r="W351" s="637"/>
      <c r="X351" s="465" t="str">
        <f t="shared" si="32"/>
        <v>VM</v>
      </c>
      <c r="Y351" s="206" t="str">
        <f t="shared" si="32"/>
        <v>SHOES</v>
      </c>
      <c r="Z351" s="25" t="str">
        <f t="shared" ca="1" si="31"/>
        <v>VMSHOES18/19Apr</v>
      </c>
      <c r="AA351" s="206" t="s">
        <v>197</v>
      </c>
      <c r="AB351" s="206" t="str">
        <f t="shared" ca="1" si="33"/>
        <v>18/19</v>
      </c>
      <c r="AC351" s="206" t="str">
        <f t="shared" ca="1" si="33"/>
        <v>Q3</v>
      </c>
      <c r="AD351" s="206" t="str">
        <f t="shared" ca="1" si="33"/>
        <v>Apr</v>
      </c>
      <c r="AE351" s="649">
        <f ca="1">IFERROR(HLOOKUP($AB351&amp;$AD351,'NWC_FC_NON-NOOS'!$C$4:$Q$24,MATCH($Y351,'NWC_FC_NON-NOOS'!$B$4:$B$24,0),FALSE),"")</f>
        <v>0</v>
      </c>
      <c r="AF351" s="650">
        <f ca="1">IFERROR(HLOOKUP($AB351&amp;$AD351,'NWC_FC_NON-NOOS'!$S$4:$AH$24,MATCH($Y351,'NWC_FC_NON-NOOS'!$S$4:$S$24,0),FALSE),"")</f>
        <v>0</v>
      </c>
      <c r="AG351" s="650">
        <f ca="1">IFERROR(HLOOKUP($AB351&amp;$AD351,'NWC_FC_NON-NOOS'!$B$50:$U$70,MATCH($Y351,'NWC_FC_NON-NOOS'!$B$50:$B$70,0),FALSE),"")</f>
        <v>0</v>
      </c>
      <c r="AH351" s="650">
        <f ca="1">IFERROR(IF($AA351="NOOS",HLOOKUP(STOCK_OVERVIEW!$AB351&amp;STOCK_OVERVIEW!$AD351,PLANNING_FC!$BB$27:$BP$46,MATCH(STOCK_OVERVIEW!$Y351,PLANNING_FC!$BA$27:$BA$46,0),FALSE),HLOOKUP($AB351&amp;$AD351,PLANNING_FC!$BB$4:$BP$23,MATCH(STOCK_OVERVIEW!$Y351,PLANNING_FC!$BA$4:$BA$23,0),FALSE)),"")</f>
        <v>0</v>
      </c>
      <c r="AI351" s="650">
        <f ca="1">IFERROR(IF($AA351="NOOS",HLOOKUP(STOCK_OVERVIEW!$AB351&amp;STOCK_OVERVIEW!$AD351,PLANNING_FC!$T$27:$AH$46,MATCH(STOCK_OVERVIEW!$Y351,PLANNING_FC!$B$27:$B$46,0),FALSE),HLOOKUP($AB351&amp;$AD351,PLANNING_FC!$T$4:$AH$23,MATCH(STOCK_OVERVIEW!$Y351,PLANNING_FC!$B$4:$B$23,0),FALSE)),"")</f>
        <v>0</v>
      </c>
      <c r="AJ351" s="650">
        <f ca="1">IFERROR(IF($AA351="NOOS",HLOOKUP(STOCK_OVERVIEW!$AB351&amp;STOCK_OVERVIEW!$AD351,PLANNING_FC!$DA$27:$DO$46,MATCH(STOCK_OVERVIEW!$Y351,PLANNING_FC!$CZ$27:$CZ$46,0),FALSE),HLOOKUP($AB351&amp;$AD351,PLANNING_FC!$DA$4:$DO$23,MATCH(STOCK_OVERVIEW!$Y351,PLANNING_FC!$CZ$4:$CZ$23,0),FALSE)),"")</f>
        <v>28598</v>
      </c>
      <c r="AK351" s="651">
        <f ca="1">IFERROR(IF(AA351="NOOS",HLOOKUP(AB351&amp;AD351,PLANNING_FC!$AJ$27:$AY$47,MATCH(STOCK_OVERVIEW!Y351,PLANNING_FC!$AJ$27:$AJ$47,0),FALSE)*1000,HLOOKUP(AB351&amp;AD351,PLANNING_FC!$AJ$4:$AY$24,MATCH(STOCK_OVERVIEW!Y351,PLANNING_FC!$AJ$4:$AJ$24,0),FALSE)*1000),"")</f>
        <v>0</v>
      </c>
      <c r="AL351" s="638"/>
      <c r="AM351" s="638"/>
      <c r="AN351" s="638"/>
      <c r="AO351" s="638"/>
      <c r="AP351" s="638"/>
      <c r="AQ351" s="638"/>
      <c r="AR351" s="638"/>
      <c r="AS351" s="638"/>
    </row>
    <row r="352" spans="1:45" s="61" customFormat="1" x14ac:dyDescent="0.25">
      <c r="A352" s="62"/>
      <c r="F352" s="19"/>
      <c r="J352" s="19"/>
      <c r="N352" s="19"/>
      <c r="R352" s="19"/>
      <c r="S352" s="637"/>
      <c r="T352" s="637"/>
      <c r="U352" s="636"/>
      <c r="V352" s="637"/>
      <c r="W352" s="637"/>
      <c r="X352" s="465" t="str">
        <f t="shared" si="32"/>
        <v>VM</v>
      </c>
      <c r="Y352" s="206" t="str">
        <f t="shared" si="32"/>
        <v>SHOES</v>
      </c>
      <c r="Z352" s="25" t="str">
        <f t="shared" ca="1" si="31"/>
        <v>VMSHOES18/19May</v>
      </c>
      <c r="AA352" s="206" t="s">
        <v>197</v>
      </c>
      <c r="AB352" s="206" t="str">
        <f t="shared" ca="1" si="33"/>
        <v>18/19</v>
      </c>
      <c r="AC352" s="206" t="str">
        <f t="shared" ca="1" si="33"/>
        <v>Q4</v>
      </c>
      <c r="AD352" s="206" t="str">
        <f t="shared" ca="1" si="33"/>
        <v>May</v>
      </c>
      <c r="AE352" s="649">
        <f ca="1">IFERROR(HLOOKUP($AB352&amp;$AD352,'NWC_FC_NON-NOOS'!$C$4:$Q$24,MATCH($Y352,'NWC_FC_NON-NOOS'!$B$4:$B$24,0),FALSE),"")</f>
        <v>0</v>
      </c>
      <c r="AF352" s="650">
        <f ca="1">IFERROR(HLOOKUP($AB352&amp;$AD352,'NWC_FC_NON-NOOS'!$S$4:$AH$24,MATCH($Y352,'NWC_FC_NON-NOOS'!$S$4:$S$24,0),FALSE),"")</f>
        <v>0</v>
      </c>
      <c r="AG352" s="650">
        <f ca="1">IFERROR(HLOOKUP($AB352&amp;$AD352,'NWC_FC_NON-NOOS'!$B$50:$U$70,MATCH($Y352,'NWC_FC_NON-NOOS'!$B$50:$B$70,0),FALSE),"")</f>
        <v>0</v>
      </c>
      <c r="AH352" s="650">
        <f ca="1">IFERROR(IF($AA352="NOOS",HLOOKUP(STOCK_OVERVIEW!$AB352&amp;STOCK_OVERVIEW!$AD352,PLANNING_FC!$BB$27:$BP$46,MATCH(STOCK_OVERVIEW!$Y352,PLANNING_FC!$BA$27:$BA$46,0),FALSE),HLOOKUP($AB352&amp;$AD352,PLANNING_FC!$BB$4:$BP$23,MATCH(STOCK_OVERVIEW!$Y352,PLANNING_FC!$BA$4:$BA$23,0),FALSE)),"")</f>
        <v>0</v>
      </c>
      <c r="AI352" s="650">
        <f ca="1">IFERROR(IF($AA352="NOOS",HLOOKUP(STOCK_OVERVIEW!$AB352&amp;STOCK_OVERVIEW!$AD352,PLANNING_FC!$T$27:$AH$46,MATCH(STOCK_OVERVIEW!$Y352,PLANNING_FC!$B$27:$B$46,0),FALSE),HLOOKUP($AB352&amp;$AD352,PLANNING_FC!$T$4:$AH$23,MATCH(STOCK_OVERVIEW!$Y352,PLANNING_FC!$B$4:$B$23,0),FALSE)),"")</f>
        <v>0</v>
      </c>
      <c r="AJ352" s="650">
        <f ca="1">IFERROR(IF($AA352="NOOS",HLOOKUP(STOCK_OVERVIEW!$AB352&amp;STOCK_OVERVIEW!$AD352,PLANNING_FC!$DA$27:$DO$46,MATCH(STOCK_OVERVIEW!$Y352,PLANNING_FC!$CZ$27:$CZ$46,0),FALSE),HLOOKUP($AB352&amp;$AD352,PLANNING_FC!$DA$4:$DO$23,MATCH(STOCK_OVERVIEW!$Y352,PLANNING_FC!$CZ$4:$CZ$23,0),FALSE)),"")</f>
        <v>31147</v>
      </c>
      <c r="AK352" s="651">
        <f ca="1">IFERROR(IF(AA352="NOOS",HLOOKUP(AB352&amp;AD352,PLANNING_FC!$AJ$27:$AY$47,MATCH(STOCK_OVERVIEW!Y352,PLANNING_FC!$AJ$27:$AJ$47,0),FALSE)*1000,HLOOKUP(AB352&amp;AD352,PLANNING_FC!$AJ$4:$AY$24,MATCH(STOCK_OVERVIEW!Y352,PLANNING_FC!$AJ$4:$AJ$24,0),FALSE)*1000),"")</f>
        <v>0</v>
      </c>
      <c r="AL352" s="638"/>
      <c r="AM352" s="638"/>
      <c r="AN352" s="638"/>
      <c r="AO352" s="638"/>
      <c r="AP352" s="638"/>
      <c r="AQ352" s="638"/>
      <c r="AR352" s="638"/>
      <c r="AS352" s="638"/>
    </row>
    <row r="353" spans="1:45" s="61" customFormat="1" x14ac:dyDescent="0.25">
      <c r="A353" s="62"/>
      <c r="F353" s="19"/>
      <c r="J353" s="19"/>
      <c r="N353" s="19"/>
      <c r="R353" s="19"/>
      <c r="S353" s="637"/>
      <c r="T353" s="637"/>
      <c r="U353" s="636"/>
      <c r="V353" s="637"/>
      <c r="W353" s="637"/>
      <c r="X353" s="465" t="str">
        <f t="shared" si="32"/>
        <v>VM</v>
      </c>
      <c r="Y353" s="206" t="str">
        <f t="shared" si="32"/>
        <v>SHOES</v>
      </c>
      <c r="Z353" s="25" t="str">
        <f t="shared" ca="1" si="31"/>
        <v>VMSHOES18/19Jun</v>
      </c>
      <c r="AA353" s="206" t="s">
        <v>197</v>
      </c>
      <c r="AB353" s="206" t="str">
        <f t="shared" ca="1" si="33"/>
        <v>18/19</v>
      </c>
      <c r="AC353" s="206" t="str">
        <f t="shared" ca="1" si="33"/>
        <v>Q4</v>
      </c>
      <c r="AD353" s="206" t="str">
        <f t="shared" ca="1" si="33"/>
        <v>Jun</v>
      </c>
      <c r="AE353" s="649">
        <f ca="1">IFERROR(HLOOKUP($AB353&amp;$AD353,'NWC_FC_NON-NOOS'!$C$4:$Q$24,MATCH($Y353,'NWC_FC_NON-NOOS'!$B$4:$B$24,0),FALSE),"")</f>
        <v>0</v>
      </c>
      <c r="AF353" s="650">
        <f ca="1">IFERROR(HLOOKUP($AB353&amp;$AD353,'NWC_FC_NON-NOOS'!$S$4:$AH$24,MATCH($Y353,'NWC_FC_NON-NOOS'!$S$4:$S$24,0),FALSE),"")</f>
        <v>0</v>
      </c>
      <c r="AG353" s="650">
        <f ca="1">IFERROR(HLOOKUP($AB353&amp;$AD353,'NWC_FC_NON-NOOS'!$B$50:$U$70,MATCH($Y353,'NWC_FC_NON-NOOS'!$B$50:$B$70,0),FALSE),"")</f>
        <v>0</v>
      </c>
      <c r="AH353" s="650">
        <f ca="1">IFERROR(IF($AA353="NOOS",HLOOKUP(STOCK_OVERVIEW!$AB353&amp;STOCK_OVERVIEW!$AD353,PLANNING_FC!$BB$27:$BP$46,MATCH(STOCK_OVERVIEW!$Y353,PLANNING_FC!$BA$27:$BA$46,0),FALSE),HLOOKUP($AB353&amp;$AD353,PLANNING_FC!$BB$4:$BP$23,MATCH(STOCK_OVERVIEW!$Y353,PLANNING_FC!$BA$4:$BA$23,0),FALSE)),"")</f>
        <v>0</v>
      </c>
      <c r="AI353" s="650">
        <f ca="1">IFERROR(IF($AA353="NOOS",HLOOKUP(STOCK_OVERVIEW!$AB353&amp;STOCK_OVERVIEW!$AD353,PLANNING_FC!$T$27:$AH$46,MATCH(STOCK_OVERVIEW!$Y353,PLANNING_FC!$B$27:$B$46,0),FALSE),HLOOKUP($AB353&amp;$AD353,PLANNING_FC!$T$4:$AH$23,MATCH(STOCK_OVERVIEW!$Y353,PLANNING_FC!$B$4:$B$23,0),FALSE)),"")</f>
        <v>0</v>
      </c>
      <c r="AJ353" s="650">
        <f ca="1">IFERROR(IF($AA353="NOOS",HLOOKUP(STOCK_OVERVIEW!$AB353&amp;STOCK_OVERVIEW!$AD353,PLANNING_FC!$DA$27:$DO$46,MATCH(STOCK_OVERVIEW!$Y353,PLANNING_FC!$CZ$27:$CZ$46,0),FALSE),HLOOKUP($AB353&amp;$AD353,PLANNING_FC!$DA$4:$DO$23,MATCH(STOCK_OVERVIEW!$Y353,PLANNING_FC!$CZ$4:$CZ$23,0),FALSE)),"")</f>
        <v>31147</v>
      </c>
      <c r="AK353" s="651">
        <f ca="1">IFERROR(IF(AA353="NOOS",HLOOKUP(AB353&amp;AD353,PLANNING_FC!$AJ$27:$AY$47,MATCH(STOCK_OVERVIEW!Y353,PLANNING_FC!$AJ$27:$AJ$47,0),FALSE)*1000,HLOOKUP(AB353&amp;AD353,PLANNING_FC!$AJ$4:$AY$24,MATCH(STOCK_OVERVIEW!Y353,PLANNING_FC!$AJ$4:$AJ$24,0),FALSE)*1000),"")</f>
        <v>0</v>
      </c>
      <c r="AL353" s="638"/>
      <c r="AM353" s="638"/>
      <c r="AN353" s="638"/>
      <c r="AO353" s="638"/>
      <c r="AP353" s="638"/>
      <c r="AQ353" s="638"/>
      <c r="AR353" s="638"/>
      <c r="AS353" s="638"/>
    </row>
    <row r="354" spans="1:45" s="61" customFormat="1" x14ac:dyDescent="0.25">
      <c r="A354" s="62"/>
      <c r="F354" s="19"/>
      <c r="J354" s="19"/>
      <c r="N354" s="19"/>
      <c r="R354" s="19"/>
      <c r="S354" s="637"/>
      <c r="T354" s="637"/>
      <c r="U354" s="636"/>
      <c r="V354" s="637"/>
      <c r="W354" s="637"/>
      <c r="X354" s="465" t="str">
        <f t="shared" si="32"/>
        <v>VM</v>
      </c>
      <c r="Y354" s="206" t="str">
        <f t="shared" si="32"/>
        <v>SHOES</v>
      </c>
      <c r="Z354" s="25" t="str">
        <f t="shared" ca="1" si="31"/>
        <v>VMSHOES18/19Jul</v>
      </c>
      <c r="AA354" s="206" t="s">
        <v>197</v>
      </c>
      <c r="AB354" s="206" t="str">
        <f t="shared" ca="1" si="33"/>
        <v>18/19</v>
      </c>
      <c r="AC354" s="206" t="str">
        <f t="shared" ca="1" si="33"/>
        <v>Q4</v>
      </c>
      <c r="AD354" s="206" t="str">
        <f t="shared" ca="1" si="33"/>
        <v>Jul</v>
      </c>
      <c r="AE354" s="649">
        <f ca="1">IFERROR(HLOOKUP($AB354&amp;$AD354,'NWC_FC_NON-NOOS'!$C$4:$Q$24,MATCH($Y354,'NWC_FC_NON-NOOS'!$B$4:$B$24,0),FALSE),"")</f>
        <v>0</v>
      </c>
      <c r="AF354" s="650">
        <f ca="1">IFERROR(HLOOKUP($AB354&amp;$AD354,'NWC_FC_NON-NOOS'!$S$4:$AH$24,MATCH($Y354,'NWC_FC_NON-NOOS'!$S$4:$S$24,0),FALSE),"")</f>
        <v>0</v>
      </c>
      <c r="AG354" s="650">
        <f ca="1">IFERROR(HLOOKUP($AB354&amp;$AD354,'NWC_FC_NON-NOOS'!$B$50:$U$70,MATCH($Y354,'NWC_FC_NON-NOOS'!$B$50:$B$70,0),FALSE),"")</f>
        <v>0</v>
      </c>
      <c r="AH354" s="650">
        <f ca="1">IFERROR(IF($AA354="NOOS",HLOOKUP(STOCK_OVERVIEW!$AB354&amp;STOCK_OVERVIEW!$AD354,PLANNING_FC!$BB$27:$BP$46,MATCH(STOCK_OVERVIEW!$Y354,PLANNING_FC!$BA$27:$BA$46,0),FALSE),HLOOKUP($AB354&amp;$AD354,PLANNING_FC!$BB$4:$BP$23,MATCH(STOCK_OVERVIEW!$Y354,PLANNING_FC!$BA$4:$BA$23,0),FALSE)),"")</f>
        <v>0</v>
      </c>
      <c r="AI354" s="650">
        <f ca="1">IFERROR(IF($AA354="NOOS",HLOOKUP(STOCK_OVERVIEW!$AB354&amp;STOCK_OVERVIEW!$AD354,PLANNING_FC!$T$27:$AH$46,MATCH(STOCK_OVERVIEW!$Y354,PLANNING_FC!$B$27:$B$46,0),FALSE),HLOOKUP($AB354&amp;$AD354,PLANNING_FC!$T$4:$AH$23,MATCH(STOCK_OVERVIEW!$Y354,PLANNING_FC!$B$4:$B$23,0),FALSE)),"")</f>
        <v>0</v>
      </c>
      <c r="AJ354" s="650">
        <f ca="1">IFERROR(IF($AA354="NOOS",HLOOKUP(STOCK_OVERVIEW!$AB354&amp;STOCK_OVERVIEW!$AD354,PLANNING_FC!$DA$27:$DO$46,MATCH(STOCK_OVERVIEW!$Y354,PLANNING_FC!$CZ$27:$CZ$46,0),FALSE),HLOOKUP($AB354&amp;$AD354,PLANNING_FC!$DA$4:$DO$23,MATCH(STOCK_OVERVIEW!$Y354,PLANNING_FC!$CZ$4:$CZ$23,0),FALSE)),"")</f>
        <v>31147</v>
      </c>
      <c r="AK354" s="651">
        <f ca="1">IFERROR(IF(AA354="NOOS",HLOOKUP(AB354&amp;AD354,PLANNING_FC!$AJ$27:$AY$47,MATCH(STOCK_OVERVIEW!Y354,PLANNING_FC!$AJ$27:$AJ$47,0),FALSE)*1000,HLOOKUP(AB354&amp;AD354,PLANNING_FC!$AJ$4:$AY$24,MATCH(STOCK_OVERVIEW!Y354,PLANNING_FC!$AJ$4:$AJ$24,0),FALSE)*1000),"")</f>
        <v>0</v>
      </c>
      <c r="AL354" s="638"/>
      <c r="AM354" s="638"/>
      <c r="AN354" s="638"/>
      <c r="AO354" s="638"/>
      <c r="AP354" s="638"/>
      <c r="AQ354" s="638"/>
      <c r="AR354" s="638"/>
      <c r="AS354" s="638"/>
    </row>
    <row r="355" spans="1:45" s="61" customFormat="1" x14ac:dyDescent="0.25">
      <c r="A355" s="62"/>
      <c r="F355" s="19"/>
      <c r="J355" s="19"/>
      <c r="N355" s="19"/>
      <c r="R355" s="19"/>
      <c r="S355" s="637"/>
      <c r="T355" s="637"/>
      <c r="U355" s="636"/>
      <c r="V355" s="637"/>
      <c r="W355" s="637"/>
      <c r="X355" s="465" t="str">
        <f t="shared" si="32"/>
        <v>VM</v>
      </c>
      <c r="Y355" s="206" t="str">
        <f t="shared" si="32"/>
        <v>SHOES</v>
      </c>
      <c r="Z355" s="25" t="str">
        <f t="shared" ca="1" si="31"/>
        <v>VMSHOES19/20Aug</v>
      </c>
      <c r="AA355" s="206" t="s">
        <v>197</v>
      </c>
      <c r="AB355" s="206" t="str">
        <f t="shared" ca="1" si="33"/>
        <v>19/20</v>
      </c>
      <c r="AC355" s="206" t="str">
        <f t="shared" ca="1" si="33"/>
        <v>Q1</v>
      </c>
      <c r="AD355" s="206" t="str">
        <f t="shared" ca="1" si="33"/>
        <v>Aug</v>
      </c>
      <c r="AE355" s="649">
        <f ca="1">IFERROR(HLOOKUP($AB355&amp;$AD355,'NWC_FC_NON-NOOS'!$C$4:$Q$24,MATCH($Y355,'NWC_FC_NON-NOOS'!$B$4:$B$24,0),FALSE),"")</f>
        <v>0</v>
      </c>
      <c r="AF355" s="650">
        <f ca="1">IFERROR(HLOOKUP($AB355&amp;$AD355,'NWC_FC_NON-NOOS'!$S$4:$AH$24,MATCH($Y355,'NWC_FC_NON-NOOS'!$S$4:$S$24,0),FALSE),"")</f>
        <v>0</v>
      </c>
      <c r="AG355" s="650">
        <f ca="1">IFERROR(HLOOKUP($AB355&amp;$AD355,'NWC_FC_NON-NOOS'!$B$50:$U$70,MATCH($Y355,'NWC_FC_NON-NOOS'!$B$50:$B$70,0),FALSE),"")</f>
        <v>0</v>
      </c>
      <c r="AH355" s="650">
        <f ca="1">IFERROR(IF($AA355="NOOS",HLOOKUP(STOCK_OVERVIEW!$AB355&amp;STOCK_OVERVIEW!$AD355,PLANNING_FC!$BB$27:$BP$46,MATCH(STOCK_OVERVIEW!$Y355,PLANNING_FC!$BA$27:$BA$46,0),FALSE),HLOOKUP($AB355&amp;$AD355,PLANNING_FC!$BB$4:$BP$23,MATCH(STOCK_OVERVIEW!$Y355,PLANNING_FC!$BA$4:$BA$23,0),FALSE)),"")</f>
        <v>0</v>
      </c>
      <c r="AI355" s="650">
        <f ca="1">IFERROR(IF($AA355="NOOS",HLOOKUP(STOCK_OVERVIEW!$AB355&amp;STOCK_OVERVIEW!$AD355,PLANNING_FC!$T$27:$AH$46,MATCH(STOCK_OVERVIEW!$Y355,PLANNING_FC!$B$27:$B$46,0),FALSE),HLOOKUP($AB355&amp;$AD355,PLANNING_FC!$T$4:$AH$23,MATCH(STOCK_OVERVIEW!$Y355,PLANNING_FC!$B$4:$B$23,0),FALSE)),"")</f>
        <v>0</v>
      </c>
      <c r="AJ355" s="650">
        <f ca="1">IFERROR(IF($AA355="NOOS",HLOOKUP(STOCK_OVERVIEW!$AB355&amp;STOCK_OVERVIEW!$AD355,PLANNING_FC!$DA$27:$DO$46,MATCH(STOCK_OVERVIEW!$Y355,PLANNING_FC!$CZ$27:$CZ$46,0),FALSE),HLOOKUP($AB355&amp;$AD355,PLANNING_FC!$DA$4:$DO$23,MATCH(STOCK_OVERVIEW!$Y355,PLANNING_FC!$CZ$4:$CZ$23,0),FALSE)),"")</f>
        <v>31147</v>
      </c>
      <c r="AK355" s="651">
        <f ca="1">IFERROR(IF(AA355="NOOS",HLOOKUP(AB355&amp;AD355,PLANNING_FC!$AJ$27:$AY$47,MATCH(STOCK_OVERVIEW!Y355,PLANNING_FC!$AJ$27:$AJ$47,0),FALSE)*1000,HLOOKUP(AB355&amp;AD355,PLANNING_FC!$AJ$4:$AY$24,MATCH(STOCK_OVERVIEW!Y355,PLANNING_FC!$AJ$4:$AJ$24,0),FALSE)*1000),"")</f>
        <v>0</v>
      </c>
      <c r="AL355" s="638"/>
      <c r="AM355" s="638"/>
      <c r="AN355" s="638"/>
      <c r="AO355" s="638"/>
      <c r="AP355" s="638"/>
      <c r="AQ355" s="638"/>
      <c r="AR355" s="638"/>
      <c r="AS355" s="638"/>
    </row>
    <row r="356" spans="1:45" s="61" customFormat="1" x14ac:dyDescent="0.25">
      <c r="A356" s="62"/>
      <c r="F356" s="19"/>
      <c r="J356" s="19"/>
      <c r="N356" s="19"/>
      <c r="R356" s="19"/>
      <c r="S356" s="637"/>
      <c r="T356" s="637"/>
      <c r="U356" s="636"/>
      <c r="V356" s="637"/>
      <c r="W356" s="637"/>
      <c r="X356" s="465" t="str">
        <f t="shared" si="32"/>
        <v>VM</v>
      </c>
      <c r="Y356" s="206" t="str">
        <f t="shared" si="32"/>
        <v>SHOES</v>
      </c>
      <c r="Z356" s="25" t="str">
        <f t="shared" ca="1" si="31"/>
        <v>VMSHOES19/20Sep</v>
      </c>
      <c r="AA356" s="206" t="s">
        <v>197</v>
      </c>
      <c r="AB356" s="206" t="str">
        <f t="shared" ca="1" si="33"/>
        <v>19/20</v>
      </c>
      <c r="AC356" s="206" t="str">
        <f t="shared" ca="1" si="33"/>
        <v>Q1</v>
      </c>
      <c r="AD356" s="206" t="str">
        <f t="shared" ca="1" si="33"/>
        <v>Sep</v>
      </c>
      <c r="AE356" s="649">
        <f ca="1">IFERROR(HLOOKUP($AB356&amp;$AD356,'NWC_FC_NON-NOOS'!$C$4:$Q$24,MATCH($Y356,'NWC_FC_NON-NOOS'!$B$4:$B$24,0),FALSE),"")</f>
        <v>0</v>
      </c>
      <c r="AF356" s="650">
        <f ca="1">IFERROR(HLOOKUP($AB356&amp;$AD356,'NWC_FC_NON-NOOS'!$S$4:$AH$24,MATCH($Y356,'NWC_FC_NON-NOOS'!$S$4:$S$24,0),FALSE),"")</f>
        <v>0</v>
      </c>
      <c r="AG356" s="650">
        <f ca="1">IFERROR(HLOOKUP($AB356&amp;$AD356,'NWC_FC_NON-NOOS'!$B$50:$U$70,MATCH($Y356,'NWC_FC_NON-NOOS'!$B$50:$B$70,0),FALSE),"")</f>
        <v>0</v>
      </c>
      <c r="AH356" s="650">
        <f ca="1">IFERROR(IF($AA356="NOOS",HLOOKUP(STOCK_OVERVIEW!$AB356&amp;STOCK_OVERVIEW!$AD356,PLANNING_FC!$BB$27:$BP$46,MATCH(STOCK_OVERVIEW!$Y356,PLANNING_FC!$BA$27:$BA$46,0),FALSE),HLOOKUP($AB356&amp;$AD356,PLANNING_FC!$BB$4:$BP$23,MATCH(STOCK_OVERVIEW!$Y356,PLANNING_FC!$BA$4:$BA$23,0),FALSE)),"")</f>
        <v>0</v>
      </c>
      <c r="AI356" s="650">
        <f ca="1">IFERROR(IF($AA356="NOOS",HLOOKUP(STOCK_OVERVIEW!$AB356&amp;STOCK_OVERVIEW!$AD356,PLANNING_FC!$T$27:$AH$46,MATCH(STOCK_OVERVIEW!$Y356,PLANNING_FC!$B$27:$B$46,0),FALSE),HLOOKUP($AB356&amp;$AD356,PLANNING_FC!$T$4:$AH$23,MATCH(STOCK_OVERVIEW!$Y356,PLANNING_FC!$B$4:$B$23,0),FALSE)),"")</f>
        <v>0</v>
      </c>
      <c r="AJ356" s="650">
        <f ca="1">IFERROR(IF($AA356="NOOS",HLOOKUP(STOCK_OVERVIEW!$AB356&amp;STOCK_OVERVIEW!$AD356,PLANNING_FC!$DA$27:$DO$46,MATCH(STOCK_OVERVIEW!$Y356,PLANNING_FC!$CZ$27:$CZ$46,0),FALSE),HLOOKUP($AB356&amp;$AD356,PLANNING_FC!$DA$4:$DO$23,MATCH(STOCK_OVERVIEW!$Y356,PLANNING_FC!$CZ$4:$CZ$23,0),FALSE)),"")</f>
        <v>31147</v>
      </c>
      <c r="AK356" s="651">
        <f ca="1">IFERROR(IF(AA356="NOOS",HLOOKUP(AB356&amp;AD356,PLANNING_FC!$AJ$27:$AY$47,MATCH(STOCK_OVERVIEW!Y356,PLANNING_FC!$AJ$27:$AJ$47,0),FALSE)*1000,HLOOKUP(AB356&amp;AD356,PLANNING_FC!$AJ$4:$AY$24,MATCH(STOCK_OVERVIEW!Y356,PLANNING_FC!$AJ$4:$AJ$24,0),FALSE)*1000),"")</f>
        <v>0</v>
      </c>
      <c r="AL356" s="638"/>
      <c r="AM356" s="638"/>
      <c r="AN356" s="638"/>
      <c r="AO356" s="638"/>
      <c r="AP356" s="638"/>
      <c r="AQ356" s="638"/>
      <c r="AR356" s="638"/>
      <c r="AS356" s="638"/>
    </row>
    <row r="357" spans="1:45" s="61" customFormat="1" x14ac:dyDescent="0.25">
      <c r="A357" s="62"/>
      <c r="F357" s="19"/>
      <c r="J357" s="19"/>
      <c r="N357" s="19"/>
      <c r="R357" s="19"/>
      <c r="S357" s="637"/>
      <c r="T357" s="637"/>
      <c r="U357" s="636"/>
      <c r="V357" s="637"/>
      <c r="W357" s="637"/>
      <c r="X357" s="465" t="str">
        <f t="shared" si="32"/>
        <v>VM</v>
      </c>
      <c r="Y357" s="206" t="str">
        <f t="shared" si="32"/>
        <v>SHOES</v>
      </c>
      <c r="Z357" s="25" t="str">
        <f t="shared" ca="1" si="31"/>
        <v>VMSHOES19/20Oct</v>
      </c>
      <c r="AA357" s="206" t="s">
        <v>197</v>
      </c>
      <c r="AB357" s="206" t="str">
        <f t="shared" ca="1" si="33"/>
        <v>19/20</v>
      </c>
      <c r="AC357" s="206" t="str">
        <f t="shared" ca="1" si="33"/>
        <v>Q1</v>
      </c>
      <c r="AD357" s="206" t="str">
        <f t="shared" ca="1" si="33"/>
        <v>Oct</v>
      </c>
      <c r="AE357" s="649">
        <f ca="1">IFERROR(HLOOKUP($AB357&amp;$AD357,'NWC_FC_NON-NOOS'!$C$4:$Q$24,MATCH($Y357,'NWC_FC_NON-NOOS'!$B$4:$B$24,0),FALSE),"")</f>
        <v>0</v>
      </c>
      <c r="AF357" s="650">
        <f ca="1">IFERROR(HLOOKUP($AB357&amp;$AD357,'NWC_FC_NON-NOOS'!$S$4:$AH$24,MATCH($Y357,'NWC_FC_NON-NOOS'!$S$4:$S$24,0),FALSE),"")</f>
        <v>0</v>
      </c>
      <c r="AG357" s="650">
        <f ca="1">IFERROR(HLOOKUP($AB357&amp;$AD357,'NWC_FC_NON-NOOS'!$B$50:$U$70,MATCH($Y357,'NWC_FC_NON-NOOS'!$B$50:$B$70,0),FALSE),"")</f>
        <v>0</v>
      </c>
      <c r="AH357" s="650">
        <f ca="1">IFERROR(IF($AA357="NOOS",HLOOKUP(STOCK_OVERVIEW!$AB357&amp;STOCK_OVERVIEW!$AD357,PLANNING_FC!$BB$27:$BP$46,MATCH(STOCK_OVERVIEW!$Y357,PLANNING_FC!$BA$27:$BA$46,0),FALSE),HLOOKUP($AB357&amp;$AD357,PLANNING_FC!$BB$4:$BP$23,MATCH(STOCK_OVERVIEW!$Y357,PLANNING_FC!$BA$4:$BA$23,0),FALSE)),"")</f>
        <v>0</v>
      </c>
      <c r="AI357" s="650">
        <f ca="1">IFERROR(IF($AA357="NOOS",HLOOKUP(STOCK_OVERVIEW!$AB357&amp;STOCK_OVERVIEW!$AD357,PLANNING_FC!$T$27:$AH$46,MATCH(STOCK_OVERVIEW!$Y357,PLANNING_FC!$B$27:$B$46,0),FALSE),HLOOKUP($AB357&amp;$AD357,PLANNING_FC!$T$4:$AH$23,MATCH(STOCK_OVERVIEW!$Y357,PLANNING_FC!$B$4:$B$23,0),FALSE)),"")</f>
        <v>0</v>
      </c>
      <c r="AJ357" s="650">
        <f ca="1">IFERROR(IF($AA357="NOOS",HLOOKUP(STOCK_OVERVIEW!$AB357&amp;STOCK_OVERVIEW!$AD357,PLANNING_FC!$DA$27:$DO$46,MATCH(STOCK_OVERVIEW!$Y357,PLANNING_FC!$CZ$27:$CZ$46,0),FALSE),HLOOKUP($AB357&amp;$AD357,PLANNING_FC!$DA$4:$DO$23,MATCH(STOCK_OVERVIEW!$Y357,PLANNING_FC!$CZ$4:$CZ$23,0),FALSE)),"")</f>
        <v>31147</v>
      </c>
      <c r="AK357" s="651">
        <f ca="1">IFERROR(IF(AA357="NOOS",HLOOKUP(AB357&amp;AD357,PLANNING_FC!$AJ$27:$AY$47,MATCH(STOCK_OVERVIEW!Y357,PLANNING_FC!$AJ$27:$AJ$47,0),FALSE)*1000,HLOOKUP(AB357&amp;AD357,PLANNING_FC!$AJ$4:$AY$24,MATCH(STOCK_OVERVIEW!Y357,PLANNING_FC!$AJ$4:$AJ$24,0),FALSE)*1000),"")</f>
        <v>0</v>
      </c>
      <c r="AL357" s="638"/>
      <c r="AM357" s="638"/>
      <c r="AN357" s="638"/>
      <c r="AO357" s="638"/>
      <c r="AP357" s="638"/>
      <c r="AQ357" s="638"/>
      <c r="AR357" s="638"/>
      <c r="AS357" s="638"/>
    </row>
    <row r="358" spans="1:45" s="61" customFormat="1" x14ac:dyDescent="0.25">
      <c r="A358" s="62"/>
      <c r="F358" s="19"/>
      <c r="J358" s="19"/>
      <c r="N358" s="19"/>
      <c r="R358" s="19"/>
      <c r="S358" s="637"/>
      <c r="T358" s="637"/>
      <c r="U358" s="636"/>
      <c r="V358" s="637"/>
      <c r="W358" s="637"/>
      <c r="X358" s="465" t="str">
        <f t="shared" si="32"/>
        <v>VM</v>
      </c>
      <c r="Y358" s="206" t="str">
        <f t="shared" si="32"/>
        <v>SHOES</v>
      </c>
      <c r="Z358" s="25" t="str">
        <f t="shared" ca="1" si="31"/>
        <v>VMSHOES19/20Nov</v>
      </c>
      <c r="AA358" s="206" t="s">
        <v>197</v>
      </c>
      <c r="AB358" s="206" t="str">
        <f t="shared" ca="1" si="33"/>
        <v>19/20</v>
      </c>
      <c r="AC358" s="206" t="str">
        <f t="shared" ca="1" si="33"/>
        <v>Q2</v>
      </c>
      <c r="AD358" s="206" t="str">
        <f t="shared" ca="1" si="33"/>
        <v>Nov</v>
      </c>
      <c r="AE358" s="649">
        <f ca="1">IFERROR(HLOOKUP($AB358&amp;$AD358,'NWC_FC_NON-NOOS'!$C$4:$Q$24,MATCH($Y358,'NWC_FC_NON-NOOS'!$B$4:$B$24,0),FALSE),"")</f>
        <v>0</v>
      </c>
      <c r="AF358" s="650">
        <f ca="1">IFERROR(HLOOKUP($AB358&amp;$AD358,'NWC_FC_NON-NOOS'!$S$4:$AH$24,MATCH($Y358,'NWC_FC_NON-NOOS'!$S$4:$S$24,0),FALSE),"")</f>
        <v>0</v>
      </c>
      <c r="AG358" s="650">
        <f ca="1">IFERROR(HLOOKUP($AB358&amp;$AD358,'NWC_FC_NON-NOOS'!$B$50:$U$70,MATCH($Y358,'NWC_FC_NON-NOOS'!$B$50:$B$70,0),FALSE),"")</f>
        <v>0</v>
      </c>
      <c r="AH358" s="650">
        <f ca="1">IFERROR(IF($AA358="NOOS",HLOOKUP(STOCK_OVERVIEW!$AB358&amp;STOCK_OVERVIEW!$AD358,PLANNING_FC!$BB$27:$BP$46,MATCH(STOCK_OVERVIEW!$Y358,PLANNING_FC!$BA$27:$BA$46,0),FALSE),HLOOKUP($AB358&amp;$AD358,PLANNING_FC!$BB$4:$BP$23,MATCH(STOCK_OVERVIEW!$Y358,PLANNING_FC!$BA$4:$BA$23,0),FALSE)),"")</f>
        <v>0</v>
      </c>
      <c r="AI358" s="650">
        <f ca="1">IFERROR(IF($AA358="NOOS",HLOOKUP(STOCK_OVERVIEW!$AB358&amp;STOCK_OVERVIEW!$AD358,PLANNING_FC!$T$27:$AH$46,MATCH(STOCK_OVERVIEW!$Y358,PLANNING_FC!$B$27:$B$46,0),FALSE),HLOOKUP($AB358&amp;$AD358,PLANNING_FC!$T$4:$AH$23,MATCH(STOCK_OVERVIEW!$Y358,PLANNING_FC!$B$4:$B$23,0),FALSE)),"")</f>
        <v>0</v>
      </c>
      <c r="AJ358" s="650">
        <f ca="1">IFERROR(IF($AA358="NOOS",HLOOKUP(STOCK_OVERVIEW!$AB358&amp;STOCK_OVERVIEW!$AD358,PLANNING_FC!$DA$27:$DO$46,MATCH(STOCK_OVERVIEW!$Y358,PLANNING_FC!$CZ$27:$CZ$46,0),FALSE),HLOOKUP($AB358&amp;$AD358,PLANNING_FC!$DA$4:$DO$23,MATCH(STOCK_OVERVIEW!$Y358,PLANNING_FC!$CZ$4:$CZ$23,0),FALSE)),"")</f>
        <v>31147</v>
      </c>
      <c r="AK358" s="651">
        <f ca="1">IFERROR(IF(AA358="NOOS",HLOOKUP(AB358&amp;AD358,PLANNING_FC!$AJ$27:$AY$47,MATCH(STOCK_OVERVIEW!Y358,PLANNING_FC!$AJ$27:$AJ$47,0),FALSE)*1000,HLOOKUP(AB358&amp;AD358,PLANNING_FC!$AJ$4:$AY$24,MATCH(STOCK_OVERVIEW!Y358,PLANNING_FC!$AJ$4:$AJ$24,0),FALSE)*1000),"")</f>
        <v>0</v>
      </c>
      <c r="AL358" s="638"/>
      <c r="AM358" s="638"/>
      <c r="AN358" s="638"/>
      <c r="AO358" s="638"/>
      <c r="AP358" s="638"/>
      <c r="AQ358" s="638"/>
      <c r="AR358" s="638"/>
      <c r="AS358" s="638"/>
    </row>
    <row r="359" spans="1:45" s="61" customFormat="1" x14ac:dyDescent="0.25">
      <c r="A359" s="62"/>
      <c r="F359" s="19"/>
      <c r="J359" s="19"/>
      <c r="N359" s="19"/>
      <c r="R359" s="19"/>
      <c r="S359" s="637"/>
      <c r="T359" s="637"/>
      <c r="U359" s="636"/>
      <c r="V359" s="637"/>
      <c r="W359" s="637"/>
      <c r="X359" s="465" t="str">
        <f t="shared" si="32"/>
        <v>VM</v>
      </c>
      <c r="Y359" s="206" t="str">
        <f t="shared" si="32"/>
        <v>SHOES</v>
      </c>
      <c r="Z359" s="25" t="str">
        <f t="shared" ca="1" si="31"/>
        <v>VMSHOES19/20Dec</v>
      </c>
      <c r="AA359" s="206" t="s">
        <v>197</v>
      </c>
      <c r="AB359" s="206" t="str">
        <f t="shared" ca="1" si="33"/>
        <v>19/20</v>
      </c>
      <c r="AC359" s="206" t="str">
        <f t="shared" ca="1" si="33"/>
        <v>Q2</v>
      </c>
      <c r="AD359" s="206" t="str">
        <f t="shared" ca="1" si="33"/>
        <v>Dec</v>
      </c>
      <c r="AE359" s="649">
        <f ca="1">IFERROR(HLOOKUP($AB359&amp;$AD359,'NWC_FC_NON-NOOS'!$C$4:$Q$24,MATCH($Y359,'NWC_FC_NON-NOOS'!$B$4:$B$24,0),FALSE),"")</f>
        <v>0</v>
      </c>
      <c r="AF359" s="650">
        <f ca="1">IFERROR(HLOOKUP($AB359&amp;$AD359,'NWC_FC_NON-NOOS'!$S$4:$AH$24,MATCH($Y359,'NWC_FC_NON-NOOS'!$S$4:$S$24,0),FALSE),"")</f>
        <v>0</v>
      </c>
      <c r="AG359" s="650">
        <f ca="1">IFERROR(HLOOKUP($AB359&amp;$AD359,'NWC_FC_NON-NOOS'!$B$50:$U$70,MATCH($Y359,'NWC_FC_NON-NOOS'!$B$50:$B$70,0),FALSE),"")</f>
        <v>0</v>
      </c>
      <c r="AH359" s="650">
        <f ca="1">IFERROR(IF($AA359="NOOS",HLOOKUP(STOCK_OVERVIEW!$AB359&amp;STOCK_OVERVIEW!$AD359,PLANNING_FC!$BB$27:$BP$46,MATCH(STOCK_OVERVIEW!$Y359,PLANNING_FC!$BA$27:$BA$46,0),FALSE),HLOOKUP($AB359&amp;$AD359,PLANNING_FC!$BB$4:$BP$23,MATCH(STOCK_OVERVIEW!$Y359,PLANNING_FC!$BA$4:$BA$23,0),FALSE)),"")</f>
        <v>0</v>
      </c>
      <c r="AI359" s="650">
        <f ca="1">IFERROR(IF($AA359="NOOS",HLOOKUP(STOCK_OVERVIEW!$AB359&amp;STOCK_OVERVIEW!$AD359,PLANNING_FC!$T$27:$AH$46,MATCH(STOCK_OVERVIEW!$Y359,PLANNING_FC!$B$27:$B$46,0),FALSE),HLOOKUP($AB359&amp;$AD359,PLANNING_FC!$T$4:$AH$23,MATCH(STOCK_OVERVIEW!$Y359,PLANNING_FC!$B$4:$B$23,0),FALSE)),"")</f>
        <v>0</v>
      </c>
      <c r="AJ359" s="650">
        <f ca="1">IFERROR(IF($AA359="NOOS",HLOOKUP(STOCK_OVERVIEW!$AB359&amp;STOCK_OVERVIEW!$AD359,PLANNING_FC!$DA$27:$DO$46,MATCH(STOCK_OVERVIEW!$Y359,PLANNING_FC!$CZ$27:$CZ$46,0),FALSE),HLOOKUP($AB359&amp;$AD359,PLANNING_FC!$DA$4:$DO$23,MATCH(STOCK_OVERVIEW!$Y359,PLANNING_FC!$CZ$4:$CZ$23,0),FALSE)),"")</f>
        <v>31147</v>
      </c>
      <c r="AK359" s="651">
        <f ca="1">IFERROR(IF(AA359="NOOS",HLOOKUP(AB359&amp;AD359,PLANNING_FC!$AJ$27:$AY$47,MATCH(STOCK_OVERVIEW!Y359,PLANNING_FC!$AJ$27:$AJ$47,0),FALSE)*1000,HLOOKUP(AB359&amp;AD359,PLANNING_FC!$AJ$4:$AY$24,MATCH(STOCK_OVERVIEW!Y359,PLANNING_FC!$AJ$4:$AJ$24,0),FALSE)*1000),"")</f>
        <v>0</v>
      </c>
      <c r="AL359" s="638"/>
      <c r="AM359" s="638"/>
      <c r="AN359" s="638"/>
      <c r="AO359" s="638"/>
      <c r="AP359" s="638"/>
      <c r="AQ359" s="638"/>
      <c r="AR359" s="638"/>
      <c r="AS359" s="638"/>
    </row>
    <row r="360" spans="1:45" s="61" customFormat="1" x14ac:dyDescent="0.25">
      <c r="A360" s="62"/>
      <c r="F360" s="19"/>
      <c r="J360" s="19"/>
      <c r="N360" s="19"/>
      <c r="R360" s="19"/>
      <c r="S360" s="637"/>
      <c r="T360" s="637"/>
      <c r="U360" s="636"/>
      <c r="V360" s="637"/>
      <c r="W360" s="637"/>
      <c r="X360" s="465" t="str">
        <f t="shared" si="32"/>
        <v>VM</v>
      </c>
      <c r="Y360" s="206" t="str">
        <f t="shared" si="32"/>
        <v>SHOES</v>
      </c>
      <c r="Z360" s="25" t="str">
        <f t="shared" ca="1" si="31"/>
        <v>VMSHOES19/20Jan</v>
      </c>
      <c r="AA360" s="206" t="s">
        <v>197</v>
      </c>
      <c r="AB360" s="206" t="str">
        <f t="shared" ca="1" si="33"/>
        <v>19/20</v>
      </c>
      <c r="AC360" s="206" t="str">
        <f t="shared" ca="1" si="33"/>
        <v>Q2</v>
      </c>
      <c r="AD360" s="206" t="str">
        <f t="shared" ca="1" si="33"/>
        <v>Jan</v>
      </c>
      <c r="AE360" s="649">
        <f ca="1">IFERROR(HLOOKUP($AB360&amp;$AD360,'NWC_FC_NON-NOOS'!$C$4:$Q$24,MATCH($Y360,'NWC_FC_NON-NOOS'!$B$4:$B$24,0),FALSE),"")</f>
        <v>0</v>
      </c>
      <c r="AF360" s="650">
        <f ca="1">IFERROR(HLOOKUP($AB360&amp;$AD360,'NWC_FC_NON-NOOS'!$S$4:$AH$24,MATCH($Y360,'NWC_FC_NON-NOOS'!$S$4:$S$24,0),FALSE),"")</f>
        <v>0</v>
      </c>
      <c r="AG360" s="650">
        <f ca="1">IFERROR(HLOOKUP($AB360&amp;$AD360,'NWC_FC_NON-NOOS'!$B$50:$U$70,MATCH($Y360,'NWC_FC_NON-NOOS'!$B$50:$B$70,0),FALSE),"")</f>
        <v>0</v>
      </c>
      <c r="AH360" s="650">
        <f ca="1">IFERROR(IF($AA360="NOOS",HLOOKUP(STOCK_OVERVIEW!$AB360&amp;STOCK_OVERVIEW!$AD360,PLANNING_FC!$BB$27:$BP$46,MATCH(STOCK_OVERVIEW!$Y360,PLANNING_FC!$BA$27:$BA$46,0),FALSE),HLOOKUP($AB360&amp;$AD360,PLANNING_FC!$BB$4:$BP$23,MATCH(STOCK_OVERVIEW!$Y360,PLANNING_FC!$BA$4:$BA$23,0),FALSE)),"")</f>
        <v>0</v>
      </c>
      <c r="AI360" s="650">
        <f ca="1">IFERROR(IF($AA360="NOOS",HLOOKUP(STOCK_OVERVIEW!$AB360&amp;STOCK_OVERVIEW!$AD360,PLANNING_FC!$T$27:$AH$46,MATCH(STOCK_OVERVIEW!$Y360,PLANNING_FC!$B$27:$B$46,0),FALSE),HLOOKUP($AB360&amp;$AD360,PLANNING_FC!$T$4:$AH$23,MATCH(STOCK_OVERVIEW!$Y360,PLANNING_FC!$B$4:$B$23,0),FALSE)),"")</f>
        <v>0</v>
      </c>
      <c r="AJ360" s="650">
        <f ca="1">IFERROR(IF($AA360="NOOS",HLOOKUP(STOCK_OVERVIEW!$AB360&amp;STOCK_OVERVIEW!$AD360,PLANNING_FC!$DA$27:$DO$46,MATCH(STOCK_OVERVIEW!$Y360,PLANNING_FC!$CZ$27:$CZ$46,0),FALSE),HLOOKUP($AB360&amp;$AD360,PLANNING_FC!$DA$4:$DO$23,MATCH(STOCK_OVERVIEW!$Y360,PLANNING_FC!$CZ$4:$CZ$23,0),FALSE)),"")</f>
        <v>31147</v>
      </c>
      <c r="AK360" s="651">
        <f ca="1">IFERROR(IF(AA360="NOOS",HLOOKUP(AB360&amp;AD360,PLANNING_FC!$AJ$27:$AY$47,MATCH(STOCK_OVERVIEW!Y360,PLANNING_FC!$AJ$27:$AJ$47,0),FALSE)*1000,HLOOKUP(AB360&amp;AD360,PLANNING_FC!$AJ$4:$AY$24,MATCH(STOCK_OVERVIEW!Y360,PLANNING_FC!$AJ$4:$AJ$24,0),FALSE)*1000),"")</f>
        <v>0</v>
      </c>
      <c r="AL360" s="638"/>
      <c r="AM360" s="638"/>
      <c r="AN360" s="638"/>
      <c r="AO360" s="638"/>
      <c r="AP360" s="638"/>
      <c r="AQ360" s="638"/>
      <c r="AR360" s="638"/>
      <c r="AS360" s="638"/>
    </row>
    <row r="361" spans="1:45" s="61" customFormat="1" x14ac:dyDescent="0.25">
      <c r="A361" s="62"/>
      <c r="F361" s="19"/>
      <c r="J361" s="19"/>
      <c r="N361" s="19"/>
      <c r="R361" s="19"/>
      <c r="S361" s="637"/>
      <c r="T361" s="637"/>
      <c r="U361" s="636"/>
      <c r="V361" s="637"/>
      <c r="W361" s="637"/>
      <c r="X361" s="465" t="str">
        <f t="shared" si="32"/>
        <v>VM</v>
      </c>
      <c r="Y361" s="206" t="str">
        <f t="shared" si="32"/>
        <v>SHOES</v>
      </c>
      <c r="Z361" s="25" t="str">
        <f t="shared" ca="1" si="31"/>
        <v>VMSHOES19/20Feb</v>
      </c>
      <c r="AA361" s="206" t="s">
        <v>197</v>
      </c>
      <c r="AB361" s="206" t="str">
        <f t="shared" ca="1" si="33"/>
        <v>19/20</v>
      </c>
      <c r="AC361" s="206" t="str">
        <f t="shared" ca="1" si="33"/>
        <v>Q3</v>
      </c>
      <c r="AD361" s="206" t="str">
        <f t="shared" ca="1" si="33"/>
        <v>Feb</v>
      </c>
      <c r="AE361" s="649" t="str">
        <f ca="1">IFERROR(HLOOKUP($AB361&amp;$AD361,'NWC_FC_NON-NOOS'!$C$4:$Q$24,MATCH($Y361,'NWC_FC_NON-NOOS'!$B$4:$B$24,0),FALSE),"")</f>
        <v/>
      </c>
      <c r="AF361" s="650" t="str">
        <f ca="1">IFERROR(HLOOKUP($AB361&amp;$AD361,'NWC_FC_NON-NOOS'!$S$4:$AH$24,MATCH($Y361,'NWC_FC_NON-NOOS'!$S$4:$S$24,0),FALSE),"")</f>
        <v/>
      </c>
      <c r="AG361" s="650">
        <f ca="1">IFERROR(HLOOKUP($AB361&amp;$AD361,'NWC_FC_NON-NOOS'!$B$50:$U$70,MATCH($Y361,'NWC_FC_NON-NOOS'!$B$50:$B$70,0),FALSE),"")</f>
        <v>0</v>
      </c>
      <c r="AH361" s="650" t="str">
        <f ca="1">IFERROR(IF($AA361="NOOS",HLOOKUP(STOCK_OVERVIEW!$AB361&amp;STOCK_OVERVIEW!$AD361,PLANNING_FC!$BB$27:$BP$46,MATCH(STOCK_OVERVIEW!$Y361,PLANNING_FC!$BA$27:$BA$46,0),FALSE),HLOOKUP($AB361&amp;$AD361,PLANNING_FC!$BB$4:$BP$23,MATCH(STOCK_OVERVIEW!$Y361,PLANNING_FC!$BA$4:$BA$23,0),FALSE)),"")</f>
        <v/>
      </c>
      <c r="AI361" s="650" t="str">
        <f ca="1">IFERROR(IF($AA361="NOOS",HLOOKUP(STOCK_OVERVIEW!$AB361&amp;STOCK_OVERVIEW!$AD361,PLANNING_FC!$T$27:$AH$46,MATCH(STOCK_OVERVIEW!$Y361,PLANNING_FC!$B$27:$B$46,0),FALSE),HLOOKUP($AB361&amp;$AD361,PLANNING_FC!$T$4:$AH$23,MATCH(STOCK_OVERVIEW!$Y361,PLANNING_FC!$B$4:$B$23,0),FALSE)),"")</f>
        <v/>
      </c>
      <c r="AJ361" s="650" t="str">
        <f ca="1">IFERROR(IF($AA361="NOOS",HLOOKUP(STOCK_OVERVIEW!$AB361&amp;STOCK_OVERVIEW!$AD361,PLANNING_FC!$DA$27:$DO$46,MATCH(STOCK_OVERVIEW!$Y361,PLANNING_FC!$CZ$27:$CZ$46,0),FALSE),HLOOKUP($AB361&amp;$AD361,PLANNING_FC!$DA$4:$DO$23,MATCH(STOCK_OVERVIEW!$Y361,PLANNING_FC!$CZ$4:$CZ$23,0),FALSE)),"")</f>
        <v/>
      </c>
      <c r="AK361" s="651" t="str">
        <f ca="1">IFERROR(IF(AA361="NOOS",HLOOKUP(AB361&amp;AD361,PLANNING_FC!$AJ$27:$AY$47,MATCH(STOCK_OVERVIEW!Y361,PLANNING_FC!$AJ$27:$AJ$47,0),FALSE)*1000,HLOOKUP(AB361&amp;AD361,PLANNING_FC!$AJ$4:$AY$24,MATCH(STOCK_OVERVIEW!Y361,PLANNING_FC!$AJ$4:$AJ$24,0),FALSE)*1000),"")</f>
        <v/>
      </c>
      <c r="AL361" s="638"/>
      <c r="AM361" s="638"/>
      <c r="AN361" s="638"/>
      <c r="AO361" s="638"/>
      <c r="AP361" s="638"/>
      <c r="AQ361" s="638"/>
      <c r="AR361" s="638"/>
      <c r="AS361" s="638"/>
    </row>
    <row r="362" spans="1:45" s="61" customFormat="1" x14ac:dyDescent="0.25">
      <c r="A362" s="62"/>
      <c r="F362" s="19"/>
      <c r="J362" s="19"/>
      <c r="N362" s="19"/>
      <c r="R362" s="19"/>
      <c r="S362" s="637"/>
      <c r="T362" s="637"/>
      <c r="U362" s="636"/>
      <c r="V362" s="637"/>
      <c r="W362" s="637"/>
      <c r="X362" s="465" t="str">
        <f t="shared" si="32"/>
        <v>VM</v>
      </c>
      <c r="Y362" s="206" t="str">
        <f t="shared" si="32"/>
        <v>SHOES</v>
      </c>
      <c r="Z362" s="25" t="str">
        <f t="shared" ca="1" si="31"/>
        <v>VMSHOES19/20Mar</v>
      </c>
      <c r="AA362" s="206" t="s">
        <v>197</v>
      </c>
      <c r="AB362" s="206" t="str">
        <f t="shared" ca="1" si="33"/>
        <v>19/20</v>
      </c>
      <c r="AC362" s="206" t="str">
        <f t="shared" ca="1" si="33"/>
        <v>Q3</v>
      </c>
      <c r="AD362" s="206" t="str">
        <f t="shared" ca="1" si="33"/>
        <v>Mar</v>
      </c>
      <c r="AE362" s="649" t="str">
        <f ca="1">IFERROR(HLOOKUP($AB362&amp;$AD362,'NWC_FC_NON-NOOS'!$C$4:$Q$24,MATCH($Y362,'NWC_FC_NON-NOOS'!$B$4:$B$24,0),FALSE),"")</f>
        <v/>
      </c>
      <c r="AF362" s="650" t="str">
        <f ca="1">IFERROR(HLOOKUP($AB362&amp;$AD362,'NWC_FC_NON-NOOS'!$S$4:$AH$24,MATCH($Y362,'NWC_FC_NON-NOOS'!$S$4:$S$24,0),FALSE),"")</f>
        <v/>
      </c>
      <c r="AG362" s="650">
        <f ca="1">IFERROR(HLOOKUP($AB362&amp;$AD362,'NWC_FC_NON-NOOS'!$B$50:$U$70,MATCH($Y362,'NWC_FC_NON-NOOS'!$B$50:$B$70,0),FALSE),"")</f>
        <v>0</v>
      </c>
      <c r="AH362" s="650" t="str">
        <f ca="1">IFERROR(IF($AA362="NOOS",HLOOKUP(STOCK_OVERVIEW!$AB362&amp;STOCK_OVERVIEW!$AD362,PLANNING_FC!$BB$27:$BP$46,MATCH(STOCK_OVERVIEW!$Y362,PLANNING_FC!$BA$27:$BA$46,0),FALSE),HLOOKUP($AB362&amp;$AD362,PLANNING_FC!$BB$4:$BP$23,MATCH(STOCK_OVERVIEW!$Y362,PLANNING_FC!$BA$4:$BA$23,0),FALSE)),"")</f>
        <v/>
      </c>
      <c r="AI362" s="650" t="str">
        <f ca="1">IFERROR(IF($AA362="NOOS",HLOOKUP(STOCK_OVERVIEW!$AB362&amp;STOCK_OVERVIEW!$AD362,PLANNING_FC!$T$27:$AH$46,MATCH(STOCK_OVERVIEW!$Y362,PLANNING_FC!$B$27:$B$46,0),FALSE),HLOOKUP($AB362&amp;$AD362,PLANNING_FC!$T$4:$AH$23,MATCH(STOCK_OVERVIEW!$Y362,PLANNING_FC!$B$4:$B$23,0),FALSE)),"")</f>
        <v/>
      </c>
      <c r="AJ362" s="650" t="str">
        <f ca="1">IFERROR(IF($AA362="NOOS",HLOOKUP(STOCK_OVERVIEW!$AB362&amp;STOCK_OVERVIEW!$AD362,PLANNING_FC!$DA$27:$DO$46,MATCH(STOCK_OVERVIEW!$Y362,PLANNING_FC!$CZ$27:$CZ$46,0),FALSE),HLOOKUP($AB362&amp;$AD362,PLANNING_FC!$DA$4:$DO$23,MATCH(STOCK_OVERVIEW!$Y362,PLANNING_FC!$CZ$4:$CZ$23,0),FALSE)),"")</f>
        <v/>
      </c>
      <c r="AK362" s="651" t="str">
        <f ca="1">IFERROR(IF(AA362="NOOS",HLOOKUP(AB362&amp;AD362,PLANNING_FC!$AJ$27:$AY$47,MATCH(STOCK_OVERVIEW!Y362,PLANNING_FC!$AJ$27:$AJ$47,0),FALSE)*1000,HLOOKUP(AB362&amp;AD362,PLANNING_FC!$AJ$4:$AY$24,MATCH(STOCK_OVERVIEW!Y362,PLANNING_FC!$AJ$4:$AJ$24,0),FALSE)*1000),"")</f>
        <v/>
      </c>
      <c r="AL362" s="638"/>
      <c r="AM362" s="638"/>
      <c r="AN362" s="638"/>
      <c r="AO362" s="638"/>
      <c r="AP362" s="638"/>
      <c r="AQ362" s="638"/>
      <c r="AR362" s="638"/>
      <c r="AS362" s="638"/>
    </row>
    <row r="363" spans="1:45" s="61" customFormat="1" x14ac:dyDescent="0.25">
      <c r="A363" s="62"/>
      <c r="F363" s="19"/>
      <c r="J363" s="19"/>
      <c r="N363" s="19"/>
      <c r="R363" s="19"/>
      <c r="S363" s="637"/>
      <c r="T363" s="637"/>
      <c r="U363" s="636"/>
      <c r="V363" s="637"/>
      <c r="W363" s="637"/>
      <c r="X363" s="465" t="str">
        <f t="shared" si="32"/>
        <v>VM</v>
      </c>
      <c r="Y363" s="206" t="str">
        <f t="shared" si="32"/>
        <v>SHOES</v>
      </c>
      <c r="Z363" s="25" t="str">
        <f t="shared" ca="1" si="31"/>
        <v>VMSHOES19/20Apr</v>
      </c>
      <c r="AA363" s="206" t="s">
        <v>197</v>
      </c>
      <c r="AB363" s="206" t="str">
        <f t="shared" ca="1" si="33"/>
        <v>19/20</v>
      </c>
      <c r="AC363" s="206" t="str">
        <f t="shared" ca="1" si="33"/>
        <v>Q3</v>
      </c>
      <c r="AD363" s="206" t="str">
        <f t="shared" ca="1" si="33"/>
        <v>Apr</v>
      </c>
      <c r="AE363" s="649" t="str">
        <f ca="1">IFERROR(HLOOKUP($AB363&amp;$AD363,'NWC_FC_NON-NOOS'!$C$4:$Q$24,MATCH($Y363,'NWC_FC_NON-NOOS'!$B$4:$B$24,0),FALSE),"")</f>
        <v/>
      </c>
      <c r="AF363" s="650" t="str">
        <f ca="1">IFERROR(HLOOKUP($AB363&amp;$AD363,'NWC_FC_NON-NOOS'!$S$4:$AH$24,MATCH($Y363,'NWC_FC_NON-NOOS'!$S$4:$S$24,0),FALSE),"")</f>
        <v/>
      </c>
      <c r="AG363" s="650">
        <f ca="1">IFERROR(HLOOKUP($AB363&amp;$AD363,'NWC_FC_NON-NOOS'!$B$50:$U$70,MATCH($Y363,'NWC_FC_NON-NOOS'!$B$50:$B$70,0),FALSE),"")</f>
        <v>0</v>
      </c>
      <c r="AH363" s="650" t="str">
        <f ca="1">IFERROR(IF($AA363="NOOS",HLOOKUP(STOCK_OVERVIEW!$AB363&amp;STOCK_OVERVIEW!$AD363,PLANNING_FC!$BB$27:$BP$46,MATCH(STOCK_OVERVIEW!$Y363,PLANNING_FC!$BA$27:$BA$46,0),FALSE),HLOOKUP($AB363&amp;$AD363,PLANNING_FC!$BB$4:$BP$23,MATCH(STOCK_OVERVIEW!$Y363,PLANNING_FC!$BA$4:$BA$23,0),FALSE)),"")</f>
        <v/>
      </c>
      <c r="AI363" s="650" t="str">
        <f ca="1">IFERROR(IF($AA363="NOOS",HLOOKUP(STOCK_OVERVIEW!$AB363&amp;STOCK_OVERVIEW!$AD363,PLANNING_FC!$T$27:$AH$46,MATCH(STOCK_OVERVIEW!$Y363,PLANNING_FC!$B$27:$B$46,0),FALSE),HLOOKUP($AB363&amp;$AD363,PLANNING_FC!$T$4:$AH$23,MATCH(STOCK_OVERVIEW!$Y363,PLANNING_FC!$B$4:$B$23,0),FALSE)),"")</f>
        <v/>
      </c>
      <c r="AJ363" s="650" t="str">
        <f ca="1">IFERROR(IF($AA363="NOOS",HLOOKUP(STOCK_OVERVIEW!$AB363&amp;STOCK_OVERVIEW!$AD363,PLANNING_FC!$DA$27:$DO$46,MATCH(STOCK_OVERVIEW!$Y363,PLANNING_FC!$CZ$27:$CZ$46,0),FALSE),HLOOKUP($AB363&amp;$AD363,PLANNING_FC!$DA$4:$DO$23,MATCH(STOCK_OVERVIEW!$Y363,PLANNING_FC!$CZ$4:$CZ$23,0),FALSE)),"")</f>
        <v/>
      </c>
      <c r="AK363" s="651" t="str">
        <f ca="1">IFERROR(IF(AA363="NOOS",HLOOKUP(AB363&amp;AD363,PLANNING_FC!$AJ$27:$AY$47,MATCH(STOCK_OVERVIEW!Y363,PLANNING_FC!$AJ$27:$AJ$47,0),FALSE)*1000,HLOOKUP(AB363&amp;AD363,PLANNING_FC!$AJ$4:$AY$24,MATCH(STOCK_OVERVIEW!Y363,PLANNING_FC!$AJ$4:$AJ$24,0),FALSE)*1000),"")</f>
        <v/>
      </c>
      <c r="AL363" s="638"/>
      <c r="AM363" s="638"/>
      <c r="AN363" s="638"/>
      <c r="AO363" s="638"/>
      <c r="AP363" s="638"/>
      <c r="AQ363" s="638"/>
      <c r="AR363" s="638"/>
      <c r="AS363" s="638"/>
    </row>
    <row r="364" spans="1:45" s="61" customFormat="1" x14ac:dyDescent="0.25">
      <c r="A364" s="62"/>
      <c r="F364" s="19"/>
      <c r="J364" s="19"/>
      <c r="N364" s="19"/>
      <c r="R364" s="19"/>
      <c r="S364" s="637"/>
      <c r="T364" s="637"/>
      <c r="U364" s="636"/>
      <c r="V364" s="637"/>
      <c r="W364" s="637"/>
      <c r="X364" s="465" t="str">
        <f t="shared" ref="X364:Y383" si="34">X124</f>
        <v>VM</v>
      </c>
      <c r="Y364" s="206" t="str">
        <f t="shared" si="34"/>
        <v>SHORTS</v>
      </c>
      <c r="Z364" s="25" t="str">
        <f t="shared" ca="1" si="31"/>
        <v>VMSHORTS18/19Feb</v>
      </c>
      <c r="AA364" s="206" t="s">
        <v>197</v>
      </c>
      <c r="AB364" s="206" t="str">
        <f t="shared" ref="AB364:AD383" ca="1" si="35">AB124</f>
        <v>18/19</v>
      </c>
      <c r="AC364" s="206" t="str">
        <f t="shared" ca="1" si="35"/>
        <v>Q3</v>
      </c>
      <c r="AD364" s="206" t="str">
        <f t="shared" ca="1" si="35"/>
        <v>Feb</v>
      </c>
      <c r="AE364" s="649">
        <f ca="1">IFERROR(HLOOKUP($AB364&amp;$AD364,'NWC_FC_NON-NOOS'!$C$4:$Q$24,MATCH($Y364,'NWC_FC_NON-NOOS'!$B$4:$B$24,0),FALSE),"")</f>
        <v>0</v>
      </c>
      <c r="AF364" s="650">
        <f ca="1">IFERROR(HLOOKUP($AB364&amp;$AD364,'NWC_FC_NON-NOOS'!$S$4:$AH$24,MATCH($Y364,'NWC_FC_NON-NOOS'!$S$4:$S$24,0),FALSE),"")</f>
        <v>0</v>
      </c>
      <c r="AG364" s="650">
        <f ca="1">IFERROR(HLOOKUP($AB364&amp;$AD364,'NWC_FC_NON-NOOS'!$B$50:$U$70,MATCH($Y364,'NWC_FC_NON-NOOS'!$B$50:$B$70,0),FALSE),"")</f>
        <v>0</v>
      </c>
      <c r="AH364" s="650">
        <f ca="1">IFERROR(IF($AA364="NOOS",HLOOKUP(STOCK_OVERVIEW!$AB364&amp;STOCK_OVERVIEW!$AD364,PLANNING_FC!$BB$27:$BP$46,MATCH(STOCK_OVERVIEW!$Y364,PLANNING_FC!$BA$27:$BA$46,0),FALSE),HLOOKUP($AB364&amp;$AD364,PLANNING_FC!$BB$4:$BP$23,MATCH(STOCK_OVERVIEW!$Y364,PLANNING_FC!$BA$4:$BA$23,0),FALSE)),"")</f>
        <v>0</v>
      </c>
      <c r="AI364" s="650">
        <f ca="1">IFERROR(IF($AA364="NOOS",HLOOKUP(STOCK_OVERVIEW!$AB364&amp;STOCK_OVERVIEW!$AD364,PLANNING_FC!$T$27:$AH$46,MATCH(STOCK_OVERVIEW!$Y364,PLANNING_FC!$B$27:$B$46,0),FALSE),HLOOKUP($AB364&amp;$AD364,PLANNING_FC!$T$4:$AH$23,MATCH(STOCK_OVERVIEW!$Y364,PLANNING_FC!$B$4:$B$23,0),FALSE)),"")</f>
        <v>0</v>
      </c>
      <c r="AJ364" s="650">
        <f ca="1">IFERROR(IF($AA364="NOOS",HLOOKUP(STOCK_OVERVIEW!$AB364&amp;STOCK_OVERVIEW!$AD364,PLANNING_FC!$DA$27:$DO$46,MATCH(STOCK_OVERVIEW!$Y364,PLANNING_FC!$CZ$27:$CZ$46,0),FALSE),HLOOKUP($AB364&amp;$AD364,PLANNING_FC!$DA$4:$DO$23,MATCH(STOCK_OVERVIEW!$Y364,PLANNING_FC!$CZ$4:$CZ$23,0),FALSE)),"")</f>
        <v>0</v>
      </c>
      <c r="AK364" s="651">
        <f ca="1">IFERROR(IF(AA364="NOOS",HLOOKUP(AB364&amp;AD364,PLANNING_FC!$AJ$27:$AY$47,MATCH(STOCK_OVERVIEW!Y364,PLANNING_FC!$AJ$27:$AJ$47,0),FALSE)*1000,HLOOKUP(AB364&amp;AD364,PLANNING_FC!$AJ$4:$AY$24,MATCH(STOCK_OVERVIEW!Y364,PLANNING_FC!$AJ$4:$AJ$24,0),FALSE)*1000),"")</f>
        <v>0</v>
      </c>
      <c r="AL364" s="638"/>
      <c r="AM364" s="638"/>
      <c r="AN364" s="638"/>
      <c r="AO364" s="638"/>
      <c r="AP364" s="638"/>
      <c r="AQ364" s="638"/>
      <c r="AR364" s="638"/>
      <c r="AS364" s="638"/>
    </row>
    <row r="365" spans="1:45" s="61" customFormat="1" x14ac:dyDescent="0.25">
      <c r="A365" s="62"/>
      <c r="F365" s="19"/>
      <c r="J365" s="19"/>
      <c r="N365" s="19"/>
      <c r="R365" s="19"/>
      <c r="S365" s="637"/>
      <c r="T365" s="637"/>
      <c r="U365" s="636"/>
      <c r="V365" s="637"/>
      <c r="W365" s="637"/>
      <c r="X365" s="465" t="str">
        <f t="shared" si="34"/>
        <v>VM</v>
      </c>
      <c r="Y365" s="206" t="str">
        <f t="shared" si="34"/>
        <v>SHORTS</v>
      </c>
      <c r="Z365" s="25" t="str">
        <f t="shared" ca="1" si="31"/>
        <v>VMSHORTS18/19Mar</v>
      </c>
      <c r="AA365" s="206" t="s">
        <v>197</v>
      </c>
      <c r="AB365" s="206" t="str">
        <f t="shared" ca="1" si="35"/>
        <v>18/19</v>
      </c>
      <c r="AC365" s="206" t="str">
        <f t="shared" ca="1" si="35"/>
        <v>Q3</v>
      </c>
      <c r="AD365" s="206" t="str">
        <f t="shared" ca="1" si="35"/>
        <v>Mar</v>
      </c>
      <c r="AE365" s="649">
        <f ca="1">IFERROR(HLOOKUP($AB365&amp;$AD365,'NWC_FC_NON-NOOS'!$C$4:$Q$24,MATCH($Y365,'NWC_FC_NON-NOOS'!$B$4:$B$24,0),FALSE),"")</f>
        <v>0</v>
      </c>
      <c r="AF365" s="650">
        <f ca="1">IFERROR(HLOOKUP($AB365&amp;$AD365,'NWC_FC_NON-NOOS'!$S$4:$AH$24,MATCH($Y365,'NWC_FC_NON-NOOS'!$S$4:$S$24,0),FALSE),"")</f>
        <v>0</v>
      </c>
      <c r="AG365" s="650">
        <f ca="1">IFERROR(HLOOKUP($AB365&amp;$AD365,'NWC_FC_NON-NOOS'!$B$50:$U$70,MATCH($Y365,'NWC_FC_NON-NOOS'!$B$50:$B$70,0),FALSE),"")</f>
        <v>0</v>
      </c>
      <c r="AH365" s="650">
        <f ca="1">IFERROR(IF($AA365="NOOS",HLOOKUP(STOCK_OVERVIEW!$AB365&amp;STOCK_OVERVIEW!$AD365,PLANNING_FC!$BB$27:$BP$46,MATCH(STOCK_OVERVIEW!$Y365,PLANNING_FC!$BA$27:$BA$46,0),FALSE),HLOOKUP($AB365&amp;$AD365,PLANNING_FC!$BB$4:$BP$23,MATCH(STOCK_OVERVIEW!$Y365,PLANNING_FC!$BA$4:$BA$23,0),FALSE)),"")</f>
        <v>0</v>
      </c>
      <c r="AI365" s="650">
        <f ca="1">IFERROR(IF($AA365="NOOS",HLOOKUP(STOCK_OVERVIEW!$AB365&amp;STOCK_OVERVIEW!$AD365,PLANNING_FC!$T$27:$AH$46,MATCH(STOCK_OVERVIEW!$Y365,PLANNING_FC!$B$27:$B$46,0),FALSE),HLOOKUP($AB365&amp;$AD365,PLANNING_FC!$T$4:$AH$23,MATCH(STOCK_OVERVIEW!$Y365,PLANNING_FC!$B$4:$B$23,0),FALSE)),"")</f>
        <v>0</v>
      </c>
      <c r="AJ365" s="650">
        <f ca="1">IFERROR(IF($AA365="NOOS",HLOOKUP(STOCK_OVERVIEW!$AB365&amp;STOCK_OVERVIEW!$AD365,PLANNING_FC!$DA$27:$DO$46,MATCH(STOCK_OVERVIEW!$Y365,PLANNING_FC!$CZ$27:$CZ$46,0),FALSE),HLOOKUP($AB365&amp;$AD365,PLANNING_FC!$DA$4:$DO$23,MATCH(STOCK_OVERVIEW!$Y365,PLANNING_FC!$CZ$4:$CZ$23,0),FALSE)),"")</f>
        <v>0</v>
      </c>
      <c r="AK365" s="651">
        <f ca="1">IFERROR(IF(AA365="NOOS",HLOOKUP(AB365&amp;AD365,PLANNING_FC!$AJ$27:$AY$47,MATCH(STOCK_OVERVIEW!Y365,PLANNING_FC!$AJ$27:$AJ$47,0),FALSE)*1000,HLOOKUP(AB365&amp;AD365,PLANNING_FC!$AJ$4:$AY$24,MATCH(STOCK_OVERVIEW!Y365,PLANNING_FC!$AJ$4:$AJ$24,0),FALSE)*1000),"")</f>
        <v>0</v>
      </c>
      <c r="AL365" s="638"/>
      <c r="AM365" s="638"/>
      <c r="AN365" s="638"/>
      <c r="AO365" s="638"/>
      <c r="AP365" s="638"/>
      <c r="AQ365" s="638"/>
      <c r="AR365" s="638"/>
      <c r="AS365" s="638"/>
    </row>
    <row r="366" spans="1:45" s="61" customFormat="1" x14ac:dyDescent="0.25">
      <c r="A366" s="62"/>
      <c r="F366" s="19"/>
      <c r="J366" s="19"/>
      <c r="N366" s="19"/>
      <c r="R366" s="19"/>
      <c r="S366" s="637"/>
      <c r="T366" s="637"/>
      <c r="U366" s="636"/>
      <c r="V366" s="637"/>
      <c r="W366" s="637"/>
      <c r="X366" s="465" t="str">
        <f t="shared" si="34"/>
        <v>VM</v>
      </c>
      <c r="Y366" s="206" t="str">
        <f t="shared" si="34"/>
        <v>SHORTS</v>
      </c>
      <c r="Z366" s="25" t="str">
        <f t="shared" ca="1" si="31"/>
        <v>VMSHORTS18/19Apr</v>
      </c>
      <c r="AA366" s="206" t="s">
        <v>197</v>
      </c>
      <c r="AB366" s="206" t="str">
        <f t="shared" ca="1" si="35"/>
        <v>18/19</v>
      </c>
      <c r="AC366" s="206" t="str">
        <f t="shared" ca="1" si="35"/>
        <v>Q3</v>
      </c>
      <c r="AD366" s="206" t="str">
        <f t="shared" ca="1" si="35"/>
        <v>Apr</v>
      </c>
      <c r="AE366" s="649">
        <f ca="1">IFERROR(HLOOKUP($AB366&amp;$AD366,'NWC_FC_NON-NOOS'!$C$4:$Q$24,MATCH($Y366,'NWC_FC_NON-NOOS'!$B$4:$B$24,0),FALSE),"")</f>
        <v>0</v>
      </c>
      <c r="AF366" s="650">
        <f ca="1">IFERROR(HLOOKUP($AB366&amp;$AD366,'NWC_FC_NON-NOOS'!$S$4:$AH$24,MATCH($Y366,'NWC_FC_NON-NOOS'!$S$4:$S$24,0),FALSE),"")</f>
        <v>0</v>
      </c>
      <c r="AG366" s="650">
        <f ca="1">IFERROR(HLOOKUP($AB366&amp;$AD366,'NWC_FC_NON-NOOS'!$B$50:$U$70,MATCH($Y366,'NWC_FC_NON-NOOS'!$B$50:$B$70,0),FALSE),"")</f>
        <v>0</v>
      </c>
      <c r="AH366" s="650">
        <f ca="1">IFERROR(IF($AA366="NOOS",HLOOKUP(STOCK_OVERVIEW!$AB366&amp;STOCK_OVERVIEW!$AD366,PLANNING_FC!$BB$27:$BP$46,MATCH(STOCK_OVERVIEW!$Y366,PLANNING_FC!$BA$27:$BA$46,0),FALSE),HLOOKUP($AB366&amp;$AD366,PLANNING_FC!$BB$4:$BP$23,MATCH(STOCK_OVERVIEW!$Y366,PLANNING_FC!$BA$4:$BA$23,0),FALSE)),"")</f>
        <v>0</v>
      </c>
      <c r="AI366" s="650">
        <f ca="1">IFERROR(IF($AA366="NOOS",HLOOKUP(STOCK_OVERVIEW!$AB366&amp;STOCK_OVERVIEW!$AD366,PLANNING_FC!$T$27:$AH$46,MATCH(STOCK_OVERVIEW!$Y366,PLANNING_FC!$B$27:$B$46,0),FALSE),HLOOKUP($AB366&amp;$AD366,PLANNING_FC!$T$4:$AH$23,MATCH(STOCK_OVERVIEW!$Y366,PLANNING_FC!$B$4:$B$23,0),FALSE)),"")</f>
        <v>0</v>
      </c>
      <c r="AJ366" s="650">
        <f ca="1">IFERROR(IF($AA366="NOOS",HLOOKUP(STOCK_OVERVIEW!$AB366&amp;STOCK_OVERVIEW!$AD366,PLANNING_FC!$DA$27:$DO$46,MATCH(STOCK_OVERVIEW!$Y366,PLANNING_FC!$CZ$27:$CZ$46,0),FALSE),HLOOKUP($AB366&amp;$AD366,PLANNING_FC!$DA$4:$DO$23,MATCH(STOCK_OVERVIEW!$Y366,PLANNING_FC!$CZ$4:$CZ$23,0),FALSE)),"")</f>
        <v>165110</v>
      </c>
      <c r="AK366" s="651">
        <f ca="1">IFERROR(IF(AA366="NOOS",HLOOKUP(AB366&amp;AD366,PLANNING_FC!$AJ$27:$AY$47,MATCH(STOCK_OVERVIEW!Y366,PLANNING_FC!$AJ$27:$AJ$47,0),FALSE)*1000,HLOOKUP(AB366&amp;AD366,PLANNING_FC!$AJ$4:$AY$24,MATCH(STOCK_OVERVIEW!Y366,PLANNING_FC!$AJ$4:$AJ$24,0),FALSE)*1000),"")</f>
        <v>0</v>
      </c>
      <c r="AL366" s="638"/>
      <c r="AM366" s="638"/>
      <c r="AN366" s="638"/>
      <c r="AO366" s="638"/>
      <c r="AP366" s="638"/>
      <c r="AQ366" s="638"/>
      <c r="AR366" s="638"/>
      <c r="AS366" s="638"/>
    </row>
    <row r="367" spans="1:45" s="61" customFormat="1" x14ac:dyDescent="0.25">
      <c r="A367" s="62"/>
      <c r="F367" s="19"/>
      <c r="J367" s="19"/>
      <c r="N367" s="19"/>
      <c r="R367" s="19"/>
      <c r="S367" s="637"/>
      <c r="T367" s="637"/>
      <c r="U367" s="636"/>
      <c r="V367" s="637"/>
      <c r="W367" s="637"/>
      <c r="X367" s="465" t="str">
        <f t="shared" si="34"/>
        <v>VM</v>
      </c>
      <c r="Y367" s="206" t="str">
        <f t="shared" si="34"/>
        <v>SHORTS</v>
      </c>
      <c r="Z367" s="25" t="str">
        <f t="shared" ca="1" si="31"/>
        <v>VMSHORTS18/19May</v>
      </c>
      <c r="AA367" s="206" t="s">
        <v>197</v>
      </c>
      <c r="AB367" s="206" t="str">
        <f t="shared" ca="1" si="35"/>
        <v>18/19</v>
      </c>
      <c r="AC367" s="206" t="str">
        <f t="shared" ca="1" si="35"/>
        <v>Q4</v>
      </c>
      <c r="AD367" s="206" t="str">
        <f t="shared" ca="1" si="35"/>
        <v>May</v>
      </c>
      <c r="AE367" s="649">
        <f ca="1">IFERROR(HLOOKUP($AB367&amp;$AD367,'NWC_FC_NON-NOOS'!$C$4:$Q$24,MATCH($Y367,'NWC_FC_NON-NOOS'!$B$4:$B$24,0),FALSE),"")</f>
        <v>0</v>
      </c>
      <c r="AF367" s="650">
        <f ca="1">IFERROR(HLOOKUP($AB367&amp;$AD367,'NWC_FC_NON-NOOS'!$S$4:$AH$24,MATCH($Y367,'NWC_FC_NON-NOOS'!$S$4:$S$24,0),FALSE),"")</f>
        <v>0</v>
      </c>
      <c r="AG367" s="650">
        <f ca="1">IFERROR(HLOOKUP($AB367&amp;$AD367,'NWC_FC_NON-NOOS'!$B$50:$U$70,MATCH($Y367,'NWC_FC_NON-NOOS'!$B$50:$B$70,0),FALSE),"")</f>
        <v>0</v>
      </c>
      <c r="AH367" s="650">
        <f ca="1">IFERROR(IF($AA367="NOOS",HLOOKUP(STOCK_OVERVIEW!$AB367&amp;STOCK_OVERVIEW!$AD367,PLANNING_FC!$BB$27:$BP$46,MATCH(STOCK_OVERVIEW!$Y367,PLANNING_FC!$BA$27:$BA$46,0),FALSE),HLOOKUP($AB367&amp;$AD367,PLANNING_FC!$BB$4:$BP$23,MATCH(STOCK_OVERVIEW!$Y367,PLANNING_FC!$BA$4:$BA$23,0),FALSE)),"")</f>
        <v>0</v>
      </c>
      <c r="AI367" s="650">
        <f ca="1">IFERROR(IF($AA367="NOOS",HLOOKUP(STOCK_OVERVIEW!$AB367&amp;STOCK_OVERVIEW!$AD367,PLANNING_FC!$T$27:$AH$46,MATCH(STOCK_OVERVIEW!$Y367,PLANNING_FC!$B$27:$B$46,0),FALSE),HLOOKUP($AB367&amp;$AD367,PLANNING_FC!$T$4:$AH$23,MATCH(STOCK_OVERVIEW!$Y367,PLANNING_FC!$B$4:$B$23,0),FALSE)),"")</f>
        <v>0</v>
      </c>
      <c r="AJ367" s="650">
        <f ca="1">IFERROR(IF($AA367="NOOS",HLOOKUP(STOCK_OVERVIEW!$AB367&amp;STOCK_OVERVIEW!$AD367,PLANNING_FC!$DA$27:$DO$46,MATCH(STOCK_OVERVIEW!$Y367,PLANNING_FC!$CZ$27:$CZ$46,0),FALSE),HLOOKUP($AB367&amp;$AD367,PLANNING_FC!$DA$4:$DO$23,MATCH(STOCK_OVERVIEW!$Y367,PLANNING_FC!$CZ$4:$CZ$23,0),FALSE)),"")</f>
        <v>187726</v>
      </c>
      <c r="AK367" s="651">
        <f ca="1">IFERROR(IF(AA367="NOOS",HLOOKUP(AB367&amp;AD367,PLANNING_FC!$AJ$27:$AY$47,MATCH(STOCK_OVERVIEW!Y367,PLANNING_FC!$AJ$27:$AJ$47,0),FALSE)*1000,HLOOKUP(AB367&amp;AD367,PLANNING_FC!$AJ$4:$AY$24,MATCH(STOCK_OVERVIEW!Y367,PLANNING_FC!$AJ$4:$AJ$24,0),FALSE)*1000),"")</f>
        <v>0</v>
      </c>
      <c r="AL367" s="638"/>
      <c r="AM367" s="638"/>
      <c r="AN367" s="638"/>
      <c r="AO367" s="638"/>
      <c r="AP367" s="638"/>
      <c r="AQ367" s="638"/>
      <c r="AR367" s="638"/>
      <c r="AS367" s="638"/>
    </row>
    <row r="368" spans="1:45" s="61" customFormat="1" x14ac:dyDescent="0.25">
      <c r="A368" s="62"/>
      <c r="F368" s="19"/>
      <c r="J368" s="19"/>
      <c r="N368" s="19"/>
      <c r="R368" s="19"/>
      <c r="S368" s="637"/>
      <c r="T368" s="637"/>
      <c r="U368" s="636"/>
      <c r="V368" s="637"/>
      <c r="W368" s="637"/>
      <c r="X368" s="465" t="str">
        <f t="shared" si="34"/>
        <v>VM</v>
      </c>
      <c r="Y368" s="206" t="str">
        <f t="shared" si="34"/>
        <v>SHORTS</v>
      </c>
      <c r="Z368" s="25" t="str">
        <f t="shared" ca="1" si="31"/>
        <v>VMSHORTS18/19Jun</v>
      </c>
      <c r="AA368" s="206" t="s">
        <v>197</v>
      </c>
      <c r="AB368" s="206" t="str">
        <f t="shared" ca="1" si="35"/>
        <v>18/19</v>
      </c>
      <c r="AC368" s="206" t="str">
        <f t="shared" ca="1" si="35"/>
        <v>Q4</v>
      </c>
      <c r="AD368" s="206" t="str">
        <f t="shared" ca="1" si="35"/>
        <v>Jun</v>
      </c>
      <c r="AE368" s="649">
        <f ca="1">IFERROR(HLOOKUP($AB368&amp;$AD368,'NWC_FC_NON-NOOS'!$C$4:$Q$24,MATCH($Y368,'NWC_FC_NON-NOOS'!$B$4:$B$24,0),FALSE),"")</f>
        <v>0</v>
      </c>
      <c r="AF368" s="650">
        <f ca="1">IFERROR(HLOOKUP($AB368&amp;$AD368,'NWC_FC_NON-NOOS'!$S$4:$AH$24,MATCH($Y368,'NWC_FC_NON-NOOS'!$S$4:$S$24,0),FALSE),"")</f>
        <v>0</v>
      </c>
      <c r="AG368" s="650">
        <f ca="1">IFERROR(HLOOKUP($AB368&amp;$AD368,'NWC_FC_NON-NOOS'!$B$50:$U$70,MATCH($Y368,'NWC_FC_NON-NOOS'!$B$50:$B$70,0),FALSE),"")</f>
        <v>0</v>
      </c>
      <c r="AH368" s="650">
        <f ca="1">IFERROR(IF($AA368="NOOS",HLOOKUP(STOCK_OVERVIEW!$AB368&amp;STOCK_OVERVIEW!$AD368,PLANNING_FC!$BB$27:$BP$46,MATCH(STOCK_OVERVIEW!$Y368,PLANNING_FC!$BA$27:$BA$46,0),FALSE),HLOOKUP($AB368&amp;$AD368,PLANNING_FC!$BB$4:$BP$23,MATCH(STOCK_OVERVIEW!$Y368,PLANNING_FC!$BA$4:$BA$23,0),FALSE)),"")</f>
        <v>0</v>
      </c>
      <c r="AI368" s="650">
        <f ca="1">IFERROR(IF($AA368="NOOS",HLOOKUP(STOCK_OVERVIEW!$AB368&amp;STOCK_OVERVIEW!$AD368,PLANNING_FC!$T$27:$AH$46,MATCH(STOCK_OVERVIEW!$Y368,PLANNING_FC!$B$27:$B$46,0),FALSE),HLOOKUP($AB368&amp;$AD368,PLANNING_FC!$T$4:$AH$23,MATCH(STOCK_OVERVIEW!$Y368,PLANNING_FC!$B$4:$B$23,0),FALSE)),"")</f>
        <v>0</v>
      </c>
      <c r="AJ368" s="650">
        <f ca="1">IFERROR(IF($AA368="NOOS",HLOOKUP(STOCK_OVERVIEW!$AB368&amp;STOCK_OVERVIEW!$AD368,PLANNING_FC!$DA$27:$DO$46,MATCH(STOCK_OVERVIEW!$Y368,PLANNING_FC!$CZ$27:$CZ$46,0),FALSE),HLOOKUP($AB368&amp;$AD368,PLANNING_FC!$DA$4:$DO$23,MATCH(STOCK_OVERVIEW!$Y368,PLANNING_FC!$CZ$4:$CZ$23,0),FALSE)),"")</f>
        <v>187726</v>
      </c>
      <c r="AK368" s="651">
        <f ca="1">IFERROR(IF(AA368="NOOS",HLOOKUP(AB368&amp;AD368,PLANNING_FC!$AJ$27:$AY$47,MATCH(STOCK_OVERVIEW!Y368,PLANNING_FC!$AJ$27:$AJ$47,0),FALSE)*1000,HLOOKUP(AB368&amp;AD368,PLANNING_FC!$AJ$4:$AY$24,MATCH(STOCK_OVERVIEW!Y368,PLANNING_FC!$AJ$4:$AJ$24,0),FALSE)*1000),"")</f>
        <v>0</v>
      </c>
      <c r="AL368" s="638"/>
      <c r="AM368" s="638"/>
      <c r="AN368" s="638"/>
      <c r="AO368" s="638"/>
      <c r="AP368" s="638"/>
      <c r="AQ368" s="638"/>
      <c r="AR368" s="638"/>
      <c r="AS368" s="638"/>
    </row>
    <row r="369" spans="1:45" s="61" customFormat="1" x14ac:dyDescent="0.25">
      <c r="A369" s="62"/>
      <c r="F369" s="19"/>
      <c r="J369" s="19"/>
      <c r="N369" s="19"/>
      <c r="R369" s="19"/>
      <c r="S369" s="637"/>
      <c r="T369" s="637"/>
      <c r="U369" s="636"/>
      <c r="V369" s="637"/>
      <c r="W369" s="637"/>
      <c r="X369" s="465" t="str">
        <f t="shared" si="34"/>
        <v>VM</v>
      </c>
      <c r="Y369" s="206" t="str">
        <f t="shared" si="34"/>
        <v>SHORTS</v>
      </c>
      <c r="Z369" s="25" t="str">
        <f t="shared" ca="1" si="31"/>
        <v>VMSHORTS18/19Jul</v>
      </c>
      <c r="AA369" s="206" t="s">
        <v>197</v>
      </c>
      <c r="AB369" s="206" t="str">
        <f t="shared" ca="1" si="35"/>
        <v>18/19</v>
      </c>
      <c r="AC369" s="206" t="str">
        <f t="shared" ca="1" si="35"/>
        <v>Q4</v>
      </c>
      <c r="AD369" s="206" t="str">
        <f t="shared" ca="1" si="35"/>
        <v>Jul</v>
      </c>
      <c r="AE369" s="649">
        <f ca="1">IFERROR(HLOOKUP($AB369&amp;$AD369,'NWC_FC_NON-NOOS'!$C$4:$Q$24,MATCH($Y369,'NWC_FC_NON-NOOS'!$B$4:$B$24,0),FALSE),"")</f>
        <v>0</v>
      </c>
      <c r="AF369" s="650">
        <f ca="1">IFERROR(HLOOKUP($AB369&amp;$AD369,'NWC_FC_NON-NOOS'!$S$4:$AH$24,MATCH($Y369,'NWC_FC_NON-NOOS'!$S$4:$S$24,0),FALSE),"")</f>
        <v>0</v>
      </c>
      <c r="AG369" s="650">
        <f ca="1">IFERROR(HLOOKUP($AB369&amp;$AD369,'NWC_FC_NON-NOOS'!$B$50:$U$70,MATCH($Y369,'NWC_FC_NON-NOOS'!$B$50:$B$70,0),FALSE),"")</f>
        <v>0</v>
      </c>
      <c r="AH369" s="650">
        <f ca="1">IFERROR(IF($AA369="NOOS",HLOOKUP(STOCK_OVERVIEW!$AB369&amp;STOCK_OVERVIEW!$AD369,PLANNING_FC!$BB$27:$BP$46,MATCH(STOCK_OVERVIEW!$Y369,PLANNING_FC!$BA$27:$BA$46,0),FALSE),HLOOKUP($AB369&amp;$AD369,PLANNING_FC!$BB$4:$BP$23,MATCH(STOCK_OVERVIEW!$Y369,PLANNING_FC!$BA$4:$BA$23,0),FALSE)),"")</f>
        <v>0</v>
      </c>
      <c r="AI369" s="650">
        <f ca="1">IFERROR(IF($AA369="NOOS",HLOOKUP(STOCK_OVERVIEW!$AB369&amp;STOCK_OVERVIEW!$AD369,PLANNING_FC!$T$27:$AH$46,MATCH(STOCK_OVERVIEW!$Y369,PLANNING_FC!$B$27:$B$46,0),FALSE),HLOOKUP($AB369&amp;$AD369,PLANNING_FC!$T$4:$AH$23,MATCH(STOCK_OVERVIEW!$Y369,PLANNING_FC!$B$4:$B$23,0),FALSE)),"")</f>
        <v>0</v>
      </c>
      <c r="AJ369" s="650">
        <f ca="1">IFERROR(IF($AA369="NOOS",HLOOKUP(STOCK_OVERVIEW!$AB369&amp;STOCK_OVERVIEW!$AD369,PLANNING_FC!$DA$27:$DO$46,MATCH(STOCK_OVERVIEW!$Y369,PLANNING_FC!$CZ$27:$CZ$46,0),FALSE),HLOOKUP($AB369&amp;$AD369,PLANNING_FC!$DA$4:$DO$23,MATCH(STOCK_OVERVIEW!$Y369,PLANNING_FC!$CZ$4:$CZ$23,0),FALSE)),"")</f>
        <v>187726</v>
      </c>
      <c r="AK369" s="651">
        <f ca="1">IFERROR(IF(AA369="NOOS",HLOOKUP(AB369&amp;AD369,PLANNING_FC!$AJ$27:$AY$47,MATCH(STOCK_OVERVIEW!Y369,PLANNING_FC!$AJ$27:$AJ$47,0),FALSE)*1000,HLOOKUP(AB369&amp;AD369,PLANNING_FC!$AJ$4:$AY$24,MATCH(STOCK_OVERVIEW!Y369,PLANNING_FC!$AJ$4:$AJ$24,0),FALSE)*1000),"")</f>
        <v>0</v>
      </c>
      <c r="AL369" s="638"/>
      <c r="AM369" s="638"/>
      <c r="AN369" s="638"/>
      <c r="AO369" s="638"/>
      <c r="AP369" s="638"/>
      <c r="AQ369" s="638"/>
      <c r="AR369" s="638"/>
      <c r="AS369" s="638"/>
    </row>
    <row r="370" spans="1:45" s="61" customFormat="1" x14ac:dyDescent="0.25">
      <c r="A370" s="62"/>
      <c r="F370" s="19"/>
      <c r="J370" s="19"/>
      <c r="N370" s="19"/>
      <c r="R370" s="19"/>
      <c r="S370" s="637"/>
      <c r="T370" s="637"/>
      <c r="U370" s="636"/>
      <c r="V370" s="637"/>
      <c r="W370" s="637"/>
      <c r="X370" s="465" t="str">
        <f t="shared" si="34"/>
        <v>VM</v>
      </c>
      <c r="Y370" s="206" t="str">
        <f t="shared" si="34"/>
        <v>SHORTS</v>
      </c>
      <c r="Z370" s="25" t="str">
        <f t="shared" ca="1" si="31"/>
        <v>VMSHORTS19/20Aug</v>
      </c>
      <c r="AA370" s="206" t="s">
        <v>197</v>
      </c>
      <c r="AB370" s="206" t="str">
        <f t="shared" ca="1" si="35"/>
        <v>19/20</v>
      </c>
      <c r="AC370" s="206" t="str">
        <f t="shared" ca="1" si="35"/>
        <v>Q1</v>
      </c>
      <c r="AD370" s="206" t="str">
        <f t="shared" ca="1" si="35"/>
        <v>Aug</v>
      </c>
      <c r="AE370" s="649">
        <f ca="1">IFERROR(HLOOKUP($AB370&amp;$AD370,'NWC_FC_NON-NOOS'!$C$4:$Q$24,MATCH($Y370,'NWC_FC_NON-NOOS'!$B$4:$B$24,0),FALSE),"")</f>
        <v>0</v>
      </c>
      <c r="AF370" s="650">
        <f ca="1">IFERROR(HLOOKUP($AB370&amp;$AD370,'NWC_FC_NON-NOOS'!$S$4:$AH$24,MATCH($Y370,'NWC_FC_NON-NOOS'!$S$4:$S$24,0),FALSE),"")</f>
        <v>0</v>
      </c>
      <c r="AG370" s="650">
        <f ca="1">IFERROR(HLOOKUP($AB370&amp;$AD370,'NWC_FC_NON-NOOS'!$B$50:$U$70,MATCH($Y370,'NWC_FC_NON-NOOS'!$B$50:$B$70,0),FALSE),"")</f>
        <v>0</v>
      </c>
      <c r="AH370" s="650">
        <f ca="1">IFERROR(IF($AA370="NOOS",HLOOKUP(STOCK_OVERVIEW!$AB370&amp;STOCK_OVERVIEW!$AD370,PLANNING_FC!$BB$27:$BP$46,MATCH(STOCK_OVERVIEW!$Y370,PLANNING_FC!$BA$27:$BA$46,0),FALSE),HLOOKUP($AB370&amp;$AD370,PLANNING_FC!$BB$4:$BP$23,MATCH(STOCK_OVERVIEW!$Y370,PLANNING_FC!$BA$4:$BA$23,0),FALSE)),"")</f>
        <v>0</v>
      </c>
      <c r="AI370" s="650">
        <f ca="1">IFERROR(IF($AA370="NOOS",HLOOKUP(STOCK_OVERVIEW!$AB370&amp;STOCK_OVERVIEW!$AD370,PLANNING_FC!$T$27:$AH$46,MATCH(STOCK_OVERVIEW!$Y370,PLANNING_FC!$B$27:$B$46,0),FALSE),HLOOKUP($AB370&amp;$AD370,PLANNING_FC!$T$4:$AH$23,MATCH(STOCK_OVERVIEW!$Y370,PLANNING_FC!$B$4:$B$23,0),FALSE)),"")</f>
        <v>0</v>
      </c>
      <c r="AJ370" s="650">
        <f ca="1">IFERROR(IF($AA370="NOOS",HLOOKUP(STOCK_OVERVIEW!$AB370&amp;STOCK_OVERVIEW!$AD370,PLANNING_FC!$DA$27:$DO$46,MATCH(STOCK_OVERVIEW!$Y370,PLANNING_FC!$CZ$27:$CZ$46,0),FALSE),HLOOKUP($AB370&amp;$AD370,PLANNING_FC!$DA$4:$DO$23,MATCH(STOCK_OVERVIEW!$Y370,PLANNING_FC!$CZ$4:$CZ$23,0),FALSE)),"")</f>
        <v>187726</v>
      </c>
      <c r="AK370" s="651">
        <f ca="1">IFERROR(IF(AA370="NOOS",HLOOKUP(AB370&amp;AD370,PLANNING_FC!$AJ$27:$AY$47,MATCH(STOCK_OVERVIEW!Y370,PLANNING_FC!$AJ$27:$AJ$47,0),FALSE)*1000,HLOOKUP(AB370&amp;AD370,PLANNING_FC!$AJ$4:$AY$24,MATCH(STOCK_OVERVIEW!Y370,PLANNING_FC!$AJ$4:$AJ$24,0),FALSE)*1000),"")</f>
        <v>0</v>
      </c>
      <c r="AL370" s="638"/>
      <c r="AM370" s="638"/>
      <c r="AN370" s="638"/>
      <c r="AO370" s="638"/>
      <c r="AP370" s="638"/>
      <c r="AQ370" s="638"/>
      <c r="AR370" s="638"/>
      <c r="AS370" s="638"/>
    </row>
    <row r="371" spans="1:45" s="61" customFormat="1" x14ac:dyDescent="0.25">
      <c r="A371" s="62"/>
      <c r="F371" s="19"/>
      <c r="J371" s="19"/>
      <c r="N371" s="19"/>
      <c r="R371" s="19"/>
      <c r="S371" s="637"/>
      <c r="T371" s="637"/>
      <c r="U371" s="636"/>
      <c r="V371" s="637"/>
      <c r="W371" s="637"/>
      <c r="X371" s="465" t="str">
        <f t="shared" si="34"/>
        <v>VM</v>
      </c>
      <c r="Y371" s="206" t="str">
        <f t="shared" si="34"/>
        <v>SHORTS</v>
      </c>
      <c r="Z371" s="25" t="str">
        <f t="shared" ca="1" si="31"/>
        <v>VMSHORTS19/20Sep</v>
      </c>
      <c r="AA371" s="206" t="s">
        <v>197</v>
      </c>
      <c r="AB371" s="206" t="str">
        <f t="shared" ca="1" si="35"/>
        <v>19/20</v>
      </c>
      <c r="AC371" s="206" t="str">
        <f t="shared" ca="1" si="35"/>
        <v>Q1</v>
      </c>
      <c r="AD371" s="206" t="str">
        <f t="shared" ca="1" si="35"/>
        <v>Sep</v>
      </c>
      <c r="AE371" s="649">
        <f ca="1">IFERROR(HLOOKUP($AB371&amp;$AD371,'NWC_FC_NON-NOOS'!$C$4:$Q$24,MATCH($Y371,'NWC_FC_NON-NOOS'!$B$4:$B$24,0),FALSE),"")</f>
        <v>0</v>
      </c>
      <c r="AF371" s="650">
        <f ca="1">IFERROR(HLOOKUP($AB371&amp;$AD371,'NWC_FC_NON-NOOS'!$S$4:$AH$24,MATCH($Y371,'NWC_FC_NON-NOOS'!$S$4:$S$24,0),FALSE),"")</f>
        <v>0</v>
      </c>
      <c r="AG371" s="650">
        <f ca="1">IFERROR(HLOOKUP($AB371&amp;$AD371,'NWC_FC_NON-NOOS'!$B$50:$U$70,MATCH($Y371,'NWC_FC_NON-NOOS'!$B$50:$B$70,0),FALSE),"")</f>
        <v>0</v>
      </c>
      <c r="AH371" s="650">
        <f ca="1">IFERROR(IF($AA371="NOOS",HLOOKUP(STOCK_OVERVIEW!$AB371&amp;STOCK_OVERVIEW!$AD371,PLANNING_FC!$BB$27:$BP$46,MATCH(STOCK_OVERVIEW!$Y371,PLANNING_FC!$BA$27:$BA$46,0),FALSE),HLOOKUP($AB371&amp;$AD371,PLANNING_FC!$BB$4:$BP$23,MATCH(STOCK_OVERVIEW!$Y371,PLANNING_FC!$BA$4:$BA$23,0),FALSE)),"")</f>
        <v>0</v>
      </c>
      <c r="AI371" s="650">
        <f ca="1">IFERROR(IF($AA371="NOOS",HLOOKUP(STOCK_OVERVIEW!$AB371&amp;STOCK_OVERVIEW!$AD371,PLANNING_FC!$T$27:$AH$46,MATCH(STOCK_OVERVIEW!$Y371,PLANNING_FC!$B$27:$B$46,0),FALSE),HLOOKUP($AB371&amp;$AD371,PLANNING_FC!$T$4:$AH$23,MATCH(STOCK_OVERVIEW!$Y371,PLANNING_FC!$B$4:$B$23,0),FALSE)),"")</f>
        <v>0</v>
      </c>
      <c r="AJ371" s="650">
        <f ca="1">IFERROR(IF($AA371="NOOS",HLOOKUP(STOCK_OVERVIEW!$AB371&amp;STOCK_OVERVIEW!$AD371,PLANNING_FC!$DA$27:$DO$46,MATCH(STOCK_OVERVIEW!$Y371,PLANNING_FC!$CZ$27:$CZ$46,0),FALSE),HLOOKUP($AB371&amp;$AD371,PLANNING_FC!$DA$4:$DO$23,MATCH(STOCK_OVERVIEW!$Y371,PLANNING_FC!$CZ$4:$CZ$23,0),FALSE)),"")</f>
        <v>187726</v>
      </c>
      <c r="AK371" s="651">
        <f ca="1">IFERROR(IF(AA371="NOOS",HLOOKUP(AB371&amp;AD371,PLANNING_FC!$AJ$27:$AY$47,MATCH(STOCK_OVERVIEW!Y371,PLANNING_FC!$AJ$27:$AJ$47,0),FALSE)*1000,HLOOKUP(AB371&amp;AD371,PLANNING_FC!$AJ$4:$AY$24,MATCH(STOCK_OVERVIEW!Y371,PLANNING_FC!$AJ$4:$AJ$24,0),FALSE)*1000),"")</f>
        <v>0</v>
      </c>
      <c r="AL371" s="638"/>
      <c r="AM371" s="638"/>
      <c r="AN371" s="638"/>
      <c r="AO371" s="638"/>
      <c r="AP371" s="638"/>
      <c r="AQ371" s="638"/>
      <c r="AR371" s="638"/>
      <c r="AS371" s="638"/>
    </row>
    <row r="372" spans="1:45" s="61" customFormat="1" x14ac:dyDescent="0.25">
      <c r="A372" s="62"/>
      <c r="F372" s="19"/>
      <c r="J372" s="19"/>
      <c r="N372" s="19"/>
      <c r="R372" s="19"/>
      <c r="S372" s="637"/>
      <c r="T372" s="637"/>
      <c r="U372" s="636"/>
      <c r="V372" s="637"/>
      <c r="W372" s="637"/>
      <c r="X372" s="465" t="str">
        <f t="shared" si="34"/>
        <v>VM</v>
      </c>
      <c r="Y372" s="206" t="str">
        <f t="shared" si="34"/>
        <v>SHORTS</v>
      </c>
      <c r="Z372" s="25" t="str">
        <f t="shared" ca="1" si="31"/>
        <v>VMSHORTS19/20Oct</v>
      </c>
      <c r="AA372" s="206" t="s">
        <v>197</v>
      </c>
      <c r="AB372" s="206" t="str">
        <f t="shared" ca="1" si="35"/>
        <v>19/20</v>
      </c>
      <c r="AC372" s="206" t="str">
        <f t="shared" ca="1" si="35"/>
        <v>Q1</v>
      </c>
      <c r="AD372" s="206" t="str">
        <f t="shared" ca="1" si="35"/>
        <v>Oct</v>
      </c>
      <c r="AE372" s="649">
        <f ca="1">IFERROR(HLOOKUP($AB372&amp;$AD372,'NWC_FC_NON-NOOS'!$C$4:$Q$24,MATCH($Y372,'NWC_FC_NON-NOOS'!$B$4:$B$24,0),FALSE),"")</f>
        <v>0</v>
      </c>
      <c r="AF372" s="650">
        <f ca="1">IFERROR(HLOOKUP($AB372&amp;$AD372,'NWC_FC_NON-NOOS'!$S$4:$AH$24,MATCH($Y372,'NWC_FC_NON-NOOS'!$S$4:$S$24,0),FALSE),"")</f>
        <v>0</v>
      </c>
      <c r="AG372" s="650">
        <f ca="1">IFERROR(HLOOKUP($AB372&amp;$AD372,'NWC_FC_NON-NOOS'!$B$50:$U$70,MATCH($Y372,'NWC_FC_NON-NOOS'!$B$50:$B$70,0),FALSE),"")</f>
        <v>0</v>
      </c>
      <c r="AH372" s="650">
        <f ca="1">IFERROR(IF($AA372="NOOS",HLOOKUP(STOCK_OVERVIEW!$AB372&amp;STOCK_OVERVIEW!$AD372,PLANNING_FC!$BB$27:$BP$46,MATCH(STOCK_OVERVIEW!$Y372,PLANNING_FC!$BA$27:$BA$46,0),FALSE),HLOOKUP($AB372&amp;$AD372,PLANNING_FC!$BB$4:$BP$23,MATCH(STOCK_OVERVIEW!$Y372,PLANNING_FC!$BA$4:$BA$23,0),FALSE)),"")</f>
        <v>0</v>
      </c>
      <c r="AI372" s="650">
        <f ca="1">IFERROR(IF($AA372="NOOS",HLOOKUP(STOCK_OVERVIEW!$AB372&amp;STOCK_OVERVIEW!$AD372,PLANNING_FC!$T$27:$AH$46,MATCH(STOCK_OVERVIEW!$Y372,PLANNING_FC!$B$27:$B$46,0),FALSE),HLOOKUP($AB372&amp;$AD372,PLANNING_FC!$T$4:$AH$23,MATCH(STOCK_OVERVIEW!$Y372,PLANNING_FC!$B$4:$B$23,0),FALSE)),"")</f>
        <v>0</v>
      </c>
      <c r="AJ372" s="650">
        <f ca="1">IFERROR(IF($AA372="NOOS",HLOOKUP(STOCK_OVERVIEW!$AB372&amp;STOCK_OVERVIEW!$AD372,PLANNING_FC!$DA$27:$DO$46,MATCH(STOCK_OVERVIEW!$Y372,PLANNING_FC!$CZ$27:$CZ$46,0),FALSE),HLOOKUP($AB372&amp;$AD372,PLANNING_FC!$DA$4:$DO$23,MATCH(STOCK_OVERVIEW!$Y372,PLANNING_FC!$CZ$4:$CZ$23,0),FALSE)),"")</f>
        <v>187726</v>
      </c>
      <c r="AK372" s="651">
        <f ca="1">IFERROR(IF(AA372="NOOS",HLOOKUP(AB372&amp;AD372,PLANNING_FC!$AJ$27:$AY$47,MATCH(STOCK_OVERVIEW!Y372,PLANNING_FC!$AJ$27:$AJ$47,0),FALSE)*1000,HLOOKUP(AB372&amp;AD372,PLANNING_FC!$AJ$4:$AY$24,MATCH(STOCK_OVERVIEW!Y372,PLANNING_FC!$AJ$4:$AJ$24,0),FALSE)*1000),"")</f>
        <v>0</v>
      </c>
      <c r="AL372" s="638"/>
      <c r="AM372" s="638"/>
      <c r="AN372" s="638"/>
      <c r="AO372" s="638"/>
      <c r="AP372" s="638"/>
      <c r="AQ372" s="638"/>
      <c r="AR372" s="638"/>
      <c r="AS372" s="638"/>
    </row>
    <row r="373" spans="1:45" s="61" customFormat="1" x14ac:dyDescent="0.25">
      <c r="A373" s="62"/>
      <c r="F373" s="19"/>
      <c r="J373" s="19"/>
      <c r="N373" s="19"/>
      <c r="R373" s="19"/>
      <c r="S373" s="637"/>
      <c r="T373" s="637"/>
      <c r="U373" s="636"/>
      <c r="V373" s="637"/>
      <c r="W373" s="637"/>
      <c r="X373" s="465" t="str">
        <f t="shared" si="34"/>
        <v>VM</v>
      </c>
      <c r="Y373" s="206" t="str">
        <f t="shared" si="34"/>
        <v>SHORTS</v>
      </c>
      <c r="Z373" s="25" t="str">
        <f t="shared" ca="1" si="31"/>
        <v>VMSHORTS19/20Nov</v>
      </c>
      <c r="AA373" s="206" t="s">
        <v>197</v>
      </c>
      <c r="AB373" s="206" t="str">
        <f t="shared" ca="1" si="35"/>
        <v>19/20</v>
      </c>
      <c r="AC373" s="206" t="str">
        <f t="shared" ca="1" si="35"/>
        <v>Q2</v>
      </c>
      <c r="AD373" s="206" t="str">
        <f t="shared" ca="1" si="35"/>
        <v>Nov</v>
      </c>
      <c r="AE373" s="649">
        <f ca="1">IFERROR(HLOOKUP($AB373&amp;$AD373,'NWC_FC_NON-NOOS'!$C$4:$Q$24,MATCH($Y373,'NWC_FC_NON-NOOS'!$B$4:$B$24,0),FALSE),"")</f>
        <v>0</v>
      </c>
      <c r="AF373" s="650">
        <f ca="1">IFERROR(HLOOKUP($AB373&amp;$AD373,'NWC_FC_NON-NOOS'!$S$4:$AH$24,MATCH($Y373,'NWC_FC_NON-NOOS'!$S$4:$S$24,0),FALSE),"")</f>
        <v>0</v>
      </c>
      <c r="AG373" s="650">
        <f ca="1">IFERROR(HLOOKUP($AB373&amp;$AD373,'NWC_FC_NON-NOOS'!$B$50:$U$70,MATCH($Y373,'NWC_FC_NON-NOOS'!$B$50:$B$70,0),FALSE),"")</f>
        <v>0</v>
      </c>
      <c r="AH373" s="650">
        <f ca="1">IFERROR(IF($AA373="NOOS",HLOOKUP(STOCK_OVERVIEW!$AB373&amp;STOCK_OVERVIEW!$AD373,PLANNING_FC!$BB$27:$BP$46,MATCH(STOCK_OVERVIEW!$Y373,PLANNING_FC!$BA$27:$BA$46,0),FALSE),HLOOKUP($AB373&amp;$AD373,PLANNING_FC!$BB$4:$BP$23,MATCH(STOCK_OVERVIEW!$Y373,PLANNING_FC!$BA$4:$BA$23,0),FALSE)),"")</f>
        <v>0</v>
      </c>
      <c r="AI373" s="650">
        <f ca="1">IFERROR(IF($AA373="NOOS",HLOOKUP(STOCK_OVERVIEW!$AB373&amp;STOCK_OVERVIEW!$AD373,PLANNING_FC!$T$27:$AH$46,MATCH(STOCK_OVERVIEW!$Y373,PLANNING_FC!$B$27:$B$46,0),FALSE),HLOOKUP($AB373&amp;$AD373,PLANNING_FC!$T$4:$AH$23,MATCH(STOCK_OVERVIEW!$Y373,PLANNING_FC!$B$4:$B$23,0),FALSE)),"")</f>
        <v>0</v>
      </c>
      <c r="AJ373" s="650">
        <f ca="1">IFERROR(IF($AA373="NOOS",HLOOKUP(STOCK_OVERVIEW!$AB373&amp;STOCK_OVERVIEW!$AD373,PLANNING_FC!$DA$27:$DO$46,MATCH(STOCK_OVERVIEW!$Y373,PLANNING_FC!$CZ$27:$CZ$46,0),FALSE),HLOOKUP($AB373&amp;$AD373,PLANNING_FC!$DA$4:$DO$23,MATCH(STOCK_OVERVIEW!$Y373,PLANNING_FC!$CZ$4:$CZ$23,0),FALSE)),"")</f>
        <v>187726</v>
      </c>
      <c r="AK373" s="651">
        <f ca="1">IFERROR(IF(AA373="NOOS",HLOOKUP(AB373&amp;AD373,PLANNING_FC!$AJ$27:$AY$47,MATCH(STOCK_OVERVIEW!Y373,PLANNING_FC!$AJ$27:$AJ$47,0),FALSE)*1000,HLOOKUP(AB373&amp;AD373,PLANNING_FC!$AJ$4:$AY$24,MATCH(STOCK_OVERVIEW!Y373,PLANNING_FC!$AJ$4:$AJ$24,0),FALSE)*1000),"")</f>
        <v>0</v>
      </c>
      <c r="AL373" s="638"/>
      <c r="AM373" s="638"/>
      <c r="AN373" s="638"/>
      <c r="AO373" s="638"/>
      <c r="AP373" s="638"/>
      <c r="AQ373" s="638"/>
      <c r="AR373" s="638"/>
      <c r="AS373" s="638"/>
    </row>
    <row r="374" spans="1:45" s="61" customFormat="1" x14ac:dyDescent="0.25">
      <c r="A374" s="62"/>
      <c r="F374" s="19"/>
      <c r="J374" s="19"/>
      <c r="N374" s="19"/>
      <c r="R374" s="19"/>
      <c r="S374" s="637"/>
      <c r="T374" s="637"/>
      <c r="U374" s="636"/>
      <c r="V374" s="637"/>
      <c r="W374" s="637"/>
      <c r="X374" s="465" t="str">
        <f t="shared" si="34"/>
        <v>VM</v>
      </c>
      <c r="Y374" s="206" t="str">
        <f t="shared" si="34"/>
        <v>SHORTS</v>
      </c>
      <c r="Z374" s="25" t="str">
        <f t="shared" ca="1" si="31"/>
        <v>VMSHORTS19/20Dec</v>
      </c>
      <c r="AA374" s="206" t="s">
        <v>197</v>
      </c>
      <c r="AB374" s="206" t="str">
        <f t="shared" ca="1" si="35"/>
        <v>19/20</v>
      </c>
      <c r="AC374" s="206" t="str">
        <f t="shared" ca="1" si="35"/>
        <v>Q2</v>
      </c>
      <c r="AD374" s="206" t="str">
        <f t="shared" ca="1" si="35"/>
        <v>Dec</v>
      </c>
      <c r="AE374" s="649">
        <f ca="1">IFERROR(HLOOKUP($AB374&amp;$AD374,'NWC_FC_NON-NOOS'!$C$4:$Q$24,MATCH($Y374,'NWC_FC_NON-NOOS'!$B$4:$B$24,0),FALSE),"")</f>
        <v>0</v>
      </c>
      <c r="AF374" s="650">
        <f ca="1">IFERROR(HLOOKUP($AB374&amp;$AD374,'NWC_FC_NON-NOOS'!$S$4:$AH$24,MATCH($Y374,'NWC_FC_NON-NOOS'!$S$4:$S$24,0),FALSE),"")</f>
        <v>0</v>
      </c>
      <c r="AG374" s="650">
        <f ca="1">IFERROR(HLOOKUP($AB374&amp;$AD374,'NWC_FC_NON-NOOS'!$B$50:$U$70,MATCH($Y374,'NWC_FC_NON-NOOS'!$B$50:$B$70,0),FALSE),"")</f>
        <v>0</v>
      </c>
      <c r="AH374" s="650">
        <f ca="1">IFERROR(IF($AA374="NOOS",HLOOKUP(STOCK_OVERVIEW!$AB374&amp;STOCK_OVERVIEW!$AD374,PLANNING_FC!$BB$27:$BP$46,MATCH(STOCK_OVERVIEW!$Y374,PLANNING_FC!$BA$27:$BA$46,0),FALSE),HLOOKUP($AB374&amp;$AD374,PLANNING_FC!$BB$4:$BP$23,MATCH(STOCK_OVERVIEW!$Y374,PLANNING_FC!$BA$4:$BA$23,0),FALSE)),"")</f>
        <v>0</v>
      </c>
      <c r="AI374" s="650">
        <f ca="1">IFERROR(IF($AA374="NOOS",HLOOKUP(STOCK_OVERVIEW!$AB374&amp;STOCK_OVERVIEW!$AD374,PLANNING_FC!$T$27:$AH$46,MATCH(STOCK_OVERVIEW!$Y374,PLANNING_FC!$B$27:$B$46,0),FALSE),HLOOKUP($AB374&amp;$AD374,PLANNING_FC!$T$4:$AH$23,MATCH(STOCK_OVERVIEW!$Y374,PLANNING_FC!$B$4:$B$23,0),FALSE)),"")</f>
        <v>0</v>
      </c>
      <c r="AJ374" s="650">
        <f ca="1">IFERROR(IF($AA374="NOOS",HLOOKUP(STOCK_OVERVIEW!$AB374&amp;STOCK_OVERVIEW!$AD374,PLANNING_FC!$DA$27:$DO$46,MATCH(STOCK_OVERVIEW!$Y374,PLANNING_FC!$CZ$27:$CZ$46,0),FALSE),HLOOKUP($AB374&amp;$AD374,PLANNING_FC!$DA$4:$DO$23,MATCH(STOCK_OVERVIEW!$Y374,PLANNING_FC!$CZ$4:$CZ$23,0),FALSE)),"")</f>
        <v>187726</v>
      </c>
      <c r="AK374" s="651">
        <f ca="1">IFERROR(IF(AA374="NOOS",HLOOKUP(AB374&amp;AD374,PLANNING_FC!$AJ$27:$AY$47,MATCH(STOCK_OVERVIEW!Y374,PLANNING_FC!$AJ$27:$AJ$47,0),FALSE)*1000,HLOOKUP(AB374&amp;AD374,PLANNING_FC!$AJ$4:$AY$24,MATCH(STOCK_OVERVIEW!Y374,PLANNING_FC!$AJ$4:$AJ$24,0),FALSE)*1000),"")</f>
        <v>0</v>
      </c>
      <c r="AL374" s="638"/>
      <c r="AM374" s="638"/>
      <c r="AN374" s="638"/>
      <c r="AO374" s="638"/>
      <c r="AP374" s="638"/>
      <c r="AQ374" s="638"/>
      <c r="AR374" s="638"/>
      <c r="AS374" s="638"/>
    </row>
    <row r="375" spans="1:45" s="61" customFormat="1" x14ac:dyDescent="0.25">
      <c r="A375" s="62"/>
      <c r="F375" s="19"/>
      <c r="J375" s="19"/>
      <c r="N375" s="19"/>
      <c r="R375" s="19"/>
      <c r="S375" s="637"/>
      <c r="T375" s="637"/>
      <c r="U375" s="636"/>
      <c r="V375" s="637"/>
      <c r="W375" s="637"/>
      <c r="X375" s="465" t="str">
        <f t="shared" si="34"/>
        <v>VM</v>
      </c>
      <c r="Y375" s="206" t="str">
        <f t="shared" si="34"/>
        <v>SHORTS</v>
      </c>
      <c r="Z375" s="25" t="str">
        <f t="shared" ca="1" si="31"/>
        <v>VMSHORTS19/20Jan</v>
      </c>
      <c r="AA375" s="206" t="s">
        <v>197</v>
      </c>
      <c r="AB375" s="206" t="str">
        <f t="shared" ca="1" si="35"/>
        <v>19/20</v>
      </c>
      <c r="AC375" s="206" t="str">
        <f t="shared" ca="1" si="35"/>
        <v>Q2</v>
      </c>
      <c r="AD375" s="206" t="str">
        <f t="shared" ca="1" si="35"/>
        <v>Jan</v>
      </c>
      <c r="AE375" s="649">
        <f ca="1">IFERROR(HLOOKUP($AB375&amp;$AD375,'NWC_FC_NON-NOOS'!$C$4:$Q$24,MATCH($Y375,'NWC_FC_NON-NOOS'!$B$4:$B$24,0),FALSE),"")</f>
        <v>0</v>
      </c>
      <c r="AF375" s="650">
        <f ca="1">IFERROR(HLOOKUP($AB375&amp;$AD375,'NWC_FC_NON-NOOS'!$S$4:$AH$24,MATCH($Y375,'NWC_FC_NON-NOOS'!$S$4:$S$24,0),FALSE),"")</f>
        <v>0</v>
      </c>
      <c r="AG375" s="650">
        <f ca="1">IFERROR(HLOOKUP($AB375&amp;$AD375,'NWC_FC_NON-NOOS'!$B$50:$U$70,MATCH($Y375,'NWC_FC_NON-NOOS'!$B$50:$B$70,0),FALSE),"")</f>
        <v>0</v>
      </c>
      <c r="AH375" s="650">
        <f ca="1">IFERROR(IF($AA375="NOOS",HLOOKUP(STOCK_OVERVIEW!$AB375&amp;STOCK_OVERVIEW!$AD375,PLANNING_FC!$BB$27:$BP$46,MATCH(STOCK_OVERVIEW!$Y375,PLANNING_FC!$BA$27:$BA$46,0),FALSE),HLOOKUP($AB375&amp;$AD375,PLANNING_FC!$BB$4:$BP$23,MATCH(STOCK_OVERVIEW!$Y375,PLANNING_FC!$BA$4:$BA$23,0),FALSE)),"")</f>
        <v>0</v>
      </c>
      <c r="AI375" s="650">
        <f ca="1">IFERROR(IF($AA375="NOOS",HLOOKUP(STOCK_OVERVIEW!$AB375&amp;STOCK_OVERVIEW!$AD375,PLANNING_FC!$T$27:$AH$46,MATCH(STOCK_OVERVIEW!$Y375,PLANNING_FC!$B$27:$B$46,0),FALSE),HLOOKUP($AB375&amp;$AD375,PLANNING_FC!$T$4:$AH$23,MATCH(STOCK_OVERVIEW!$Y375,PLANNING_FC!$B$4:$B$23,0),FALSE)),"")</f>
        <v>0</v>
      </c>
      <c r="AJ375" s="650">
        <f ca="1">IFERROR(IF($AA375="NOOS",HLOOKUP(STOCK_OVERVIEW!$AB375&amp;STOCK_OVERVIEW!$AD375,PLANNING_FC!$DA$27:$DO$46,MATCH(STOCK_OVERVIEW!$Y375,PLANNING_FC!$CZ$27:$CZ$46,0),FALSE),HLOOKUP($AB375&amp;$AD375,PLANNING_FC!$DA$4:$DO$23,MATCH(STOCK_OVERVIEW!$Y375,PLANNING_FC!$CZ$4:$CZ$23,0),FALSE)),"")</f>
        <v>187726</v>
      </c>
      <c r="AK375" s="651">
        <f ca="1">IFERROR(IF(AA375="NOOS",HLOOKUP(AB375&amp;AD375,PLANNING_FC!$AJ$27:$AY$47,MATCH(STOCK_OVERVIEW!Y375,PLANNING_FC!$AJ$27:$AJ$47,0),FALSE)*1000,HLOOKUP(AB375&amp;AD375,PLANNING_FC!$AJ$4:$AY$24,MATCH(STOCK_OVERVIEW!Y375,PLANNING_FC!$AJ$4:$AJ$24,0),FALSE)*1000),"")</f>
        <v>0</v>
      </c>
      <c r="AL375" s="638"/>
      <c r="AM375" s="638"/>
      <c r="AN375" s="638"/>
      <c r="AO375" s="638"/>
      <c r="AP375" s="638"/>
      <c r="AQ375" s="638"/>
      <c r="AR375" s="638"/>
      <c r="AS375" s="638"/>
    </row>
    <row r="376" spans="1:45" s="61" customFormat="1" x14ac:dyDescent="0.25">
      <c r="A376" s="62"/>
      <c r="F376" s="19"/>
      <c r="J376" s="19"/>
      <c r="N376" s="19"/>
      <c r="R376" s="19"/>
      <c r="S376" s="637"/>
      <c r="T376" s="637"/>
      <c r="U376" s="636"/>
      <c r="V376" s="637"/>
      <c r="W376" s="637"/>
      <c r="X376" s="465" t="str">
        <f t="shared" si="34"/>
        <v>VM</v>
      </c>
      <c r="Y376" s="206" t="str">
        <f t="shared" si="34"/>
        <v>SHORTS</v>
      </c>
      <c r="Z376" s="25" t="str">
        <f t="shared" ca="1" si="31"/>
        <v>VMSHORTS19/20Feb</v>
      </c>
      <c r="AA376" s="206" t="s">
        <v>197</v>
      </c>
      <c r="AB376" s="206" t="str">
        <f t="shared" ca="1" si="35"/>
        <v>19/20</v>
      </c>
      <c r="AC376" s="206" t="str">
        <f t="shared" ca="1" si="35"/>
        <v>Q3</v>
      </c>
      <c r="AD376" s="206" t="str">
        <f t="shared" ca="1" si="35"/>
        <v>Feb</v>
      </c>
      <c r="AE376" s="649" t="str">
        <f ca="1">IFERROR(HLOOKUP($AB376&amp;$AD376,'NWC_FC_NON-NOOS'!$C$4:$Q$24,MATCH($Y376,'NWC_FC_NON-NOOS'!$B$4:$B$24,0),FALSE),"")</f>
        <v/>
      </c>
      <c r="AF376" s="650" t="str">
        <f ca="1">IFERROR(HLOOKUP($AB376&amp;$AD376,'NWC_FC_NON-NOOS'!$S$4:$AH$24,MATCH($Y376,'NWC_FC_NON-NOOS'!$S$4:$S$24,0),FALSE),"")</f>
        <v/>
      </c>
      <c r="AG376" s="650">
        <f ca="1">IFERROR(HLOOKUP($AB376&amp;$AD376,'NWC_FC_NON-NOOS'!$B$50:$U$70,MATCH($Y376,'NWC_FC_NON-NOOS'!$B$50:$B$70,0),FALSE),"")</f>
        <v>0</v>
      </c>
      <c r="AH376" s="650" t="str">
        <f ca="1">IFERROR(IF($AA376="NOOS",HLOOKUP(STOCK_OVERVIEW!$AB376&amp;STOCK_OVERVIEW!$AD376,PLANNING_FC!$BB$27:$BP$46,MATCH(STOCK_OVERVIEW!$Y376,PLANNING_FC!$BA$27:$BA$46,0),FALSE),HLOOKUP($AB376&amp;$AD376,PLANNING_FC!$BB$4:$BP$23,MATCH(STOCK_OVERVIEW!$Y376,PLANNING_FC!$BA$4:$BA$23,0),FALSE)),"")</f>
        <v/>
      </c>
      <c r="AI376" s="650" t="str">
        <f ca="1">IFERROR(IF($AA376="NOOS",HLOOKUP(STOCK_OVERVIEW!$AB376&amp;STOCK_OVERVIEW!$AD376,PLANNING_FC!$T$27:$AH$46,MATCH(STOCK_OVERVIEW!$Y376,PLANNING_FC!$B$27:$B$46,0),FALSE),HLOOKUP($AB376&amp;$AD376,PLANNING_FC!$T$4:$AH$23,MATCH(STOCK_OVERVIEW!$Y376,PLANNING_FC!$B$4:$B$23,0),FALSE)),"")</f>
        <v/>
      </c>
      <c r="AJ376" s="650" t="str">
        <f ca="1">IFERROR(IF($AA376="NOOS",HLOOKUP(STOCK_OVERVIEW!$AB376&amp;STOCK_OVERVIEW!$AD376,PLANNING_FC!$DA$27:$DO$46,MATCH(STOCK_OVERVIEW!$Y376,PLANNING_FC!$CZ$27:$CZ$46,0),FALSE),HLOOKUP($AB376&amp;$AD376,PLANNING_FC!$DA$4:$DO$23,MATCH(STOCK_OVERVIEW!$Y376,PLANNING_FC!$CZ$4:$CZ$23,0),FALSE)),"")</f>
        <v/>
      </c>
      <c r="AK376" s="651" t="str">
        <f ca="1">IFERROR(IF(AA376="NOOS",HLOOKUP(AB376&amp;AD376,PLANNING_FC!$AJ$27:$AY$47,MATCH(STOCK_OVERVIEW!Y376,PLANNING_FC!$AJ$27:$AJ$47,0),FALSE)*1000,HLOOKUP(AB376&amp;AD376,PLANNING_FC!$AJ$4:$AY$24,MATCH(STOCK_OVERVIEW!Y376,PLANNING_FC!$AJ$4:$AJ$24,0),FALSE)*1000),"")</f>
        <v/>
      </c>
      <c r="AL376" s="638"/>
      <c r="AM376" s="638"/>
      <c r="AN376" s="638"/>
      <c r="AO376" s="638"/>
      <c r="AP376" s="638"/>
      <c r="AQ376" s="638"/>
      <c r="AR376" s="638"/>
      <c r="AS376" s="638"/>
    </row>
    <row r="377" spans="1:45" s="61" customFormat="1" x14ac:dyDescent="0.25">
      <c r="A377" s="62"/>
      <c r="F377" s="19"/>
      <c r="J377" s="19"/>
      <c r="N377" s="19"/>
      <c r="R377" s="19"/>
      <c r="S377" s="637"/>
      <c r="T377" s="637"/>
      <c r="U377" s="636"/>
      <c r="V377" s="637"/>
      <c r="W377" s="637"/>
      <c r="X377" s="465" t="str">
        <f t="shared" si="34"/>
        <v>VM</v>
      </c>
      <c r="Y377" s="206" t="str">
        <f t="shared" si="34"/>
        <v>SHORTS</v>
      </c>
      <c r="Z377" s="25" t="str">
        <f t="shared" ca="1" si="31"/>
        <v>VMSHORTS19/20Mar</v>
      </c>
      <c r="AA377" s="206" t="s">
        <v>197</v>
      </c>
      <c r="AB377" s="206" t="str">
        <f t="shared" ca="1" si="35"/>
        <v>19/20</v>
      </c>
      <c r="AC377" s="206" t="str">
        <f t="shared" ca="1" si="35"/>
        <v>Q3</v>
      </c>
      <c r="AD377" s="206" t="str">
        <f t="shared" ca="1" si="35"/>
        <v>Mar</v>
      </c>
      <c r="AE377" s="649" t="str">
        <f ca="1">IFERROR(HLOOKUP($AB377&amp;$AD377,'NWC_FC_NON-NOOS'!$C$4:$Q$24,MATCH($Y377,'NWC_FC_NON-NOOS'!$B$4:$B$24,0),FALSE),"")</f>
        <v/>
      </c>
      <c r="AF377" s="650" t="str">
        <f ca="1">IFERROR(HLOOKUP($AB377&amp;$AD377,'NWC_FC_NON-NOOS'!$S$4:$AH$24,MATCH($Y377,'NWC_FC_NON-NOOS'!$S$4:$S$24,0),FALSE),"")</f>
        <v/>
      </c>
      <c r="AG377" s="650">
        <f ca="1">IFERROR(HLOOKUP($AB377&amp;$AD377,'NWC_FC_NON-NOOS'!$B$50:$U$70,MATCH($Y377,'NWC_FC_NON-NOOS'!$B$50:$B$70,0),FALSE),"")</f>
        <v>0</v>
      </c>
      <c r="AH377" s="650" t="str">
        <f ca="1">IFERROR(IF($AA377="NOOS",HLOOKUP(STOCK_OVERVIEW!$AB377&amp;STOCK_OVERVIEW!$AD377,PLANNING_FC!$BB$27:$BP$46,MATCH(STOCK_OVERVIEW!$Y377,PLANNING_FC!$BA$27:$BA$46,0),FALSE),HLOOKUP($AB377&amp;$AD377,PLANNING_FC!$BB$4:$BP$23,MATCH(STOCK_OVERVIEW!$Y377,PLANNING_FC!$BA$4:$BA$23,0),FALSE)),"")</f>
        <v/>
      </c>
      <c r="AI377" s="650" t="str">
        <f ca="1">IFERROR(IF($AA377="NOOS",HLOOKUP(STOCK_OVERVIEW!$AB377&amp;STOCK_OVERVIEW!$AD377,PLANNING_FC!$T$27:$AH$46,MATCH(STOCK_OVERVIEW!$Y377,PLANNING_FC!$B$27:$B$46,0),FALSE),HLOOKUP($AB377&amp;$AD377,PLANNING_FC!$T$4:$AH$23,MATCH(STOCK_OVERVIEW!$Y377,PLANNING_FC!$B$4:$B$23,0),FALSE)),"")</f>
        <v/>
      </c>
      <c r="AJ377" s="650" t="str">
        <f ca="1">IFERROR(IF($AA377="NOOS",HLOOKUP(STOCK_OVERVIEW!$AB377&amp;STOCK_OVERVIEW!$AD377,PLANNING_FC!$DA$27:$DO$46,MATCH(STOCK_OVERVIEW!$Y377,PLANNING_FC!$CZ$27:$CZ$46,0),FALSE),HLOOKUP($AB377&amp;$AD377,PLANNING_FC!$DA$4:$DO$23,MATCH(STOCK_OVERVIEW!$Y377,PLANNING_FC!$CZ$4:$CZ$23,0),FALSE)),"")</f>
        <v/>
      </c>
      <c r="AK377" s="651" t="str">
        <f ca="1">IFERROR(IF(AA377="NOOS",HLOOKUP(AB377&amp;AD377,PLANNING_FC!$AJ$27:$AY$47,MATCH(STOCK_OVERVIEW!Y377,PLANNING_FC!$AJ$27:$AJ$47,0),FALSE)*1000,HLOOKUP(AB377&amp;AD377,PLANNING_FC!$AJ$4:$AY$24,MATCH(STOCK_OVERVIEW!Y377,PLANNING_FC!$AJ$4:$AJ$24,0),FALSE)*1000),"")</f>
        <v/>
      </c>
      <c r="AL377" s="638"/>
      <c r="AM377" s="638"/>
      <c r="AN377" s="638"/>
      <c r="AO377" s="638"/>
      <c r="AP377" s="638"/>
      <c r="AQ377" s="638"/>
      <c r="AR377" s="638"/>
      <c r="AS377" s="638"/>
    </row>
    <row r="378" spans="1:45" s="61" customFormat="1" x14ac:dyDescent="0.25">
      <c r="A378" s="62"/>
      <c r="F378" s="19"/>
      <c r="J378" s="19"/>
      <c r="N378" s="19"/>
      <c r="R378" s="19"/>
      <c r="S378" s="637"/>
      <c r="T378" s="637"/>
      <c r="U378" s="636"/>
      <c r="V378" s="637"/>
      <c r="W378" s="637"/>
      <c r="X378" s="465" t="str">
        <f t="shared" si="34"/>
        <v>VM</v>
      </c>
      <c r="Y378" s="206" t="str">
        <f t="shared" si="34"/>
        <v>SHORTS</v>
      </c>
      <c r="Z378" s="25" t="str">
        <f t="shared" ca="1" si="31"/>
        <v>VMSHORTS19/20Apr</v>
      </c>
      <c r="AA378" s="206" t="s">
        <v>197</v>
      </c>
      <c r="AB378" s="206" t="str">
        <f t="shared" ca="1" si="35"/>
        <v>19/20</v>
      </c>
      <c r="AC378" s="206" t="str">
        <f t="shared" ca="1" si="35"/>
        <v>Q3</v>
      </c>
      <c r="AD378" s="206" t="str">
        <f t="shared" ca="1" si="35"/>
        <v>Apr</v>
      </c>
      <c r="AE378" s="649" t="str">
        <f ca="1">IFERROR(HLOOKUP($AB378&amp;$AD378,'NWC_FC_NON-NOOS'!$C$4:$Q$24,MATCH($Y378,'NWC_FC_NON-NOOS'!$B$4:$B$24,0),FALSE),"")</f>
        <v/>
      </c>
      <c r="AF378" s="650" t="str">
        <f ca="1">IFERROR(HLOOKUP($AB378&amp;$AD378,'NWC_FC_NON-NOOS'!$S$4:$AH$24,MATCH($Y378,'NWC_FC_NON-NOOS'!$S$4:$S$24,0),FALSE),"")</f>
        <v/>
      </c>
      <c r="AG378" s="650">
        <f ca="1">IFERROR(HLOOKUP($AB378&amp;$AD378,'NWC_FC_NON-NOOS'!$B$50:$U$70,MATCH($Y378,'NWC_FC_NON-NOOS'!$B$50:$B$70,0),FALSE),"")</f>
        <v>0</v>
      </c>
      <c r="AH378" s="650" t="str">
        <f ca="1">IFERROR(IF($AA378="NOOS",HLOOKUP(STOCK_OVERVIEW!$AB378&amp;STOCK_OVERVIEW!$AD378,PLANNING_FC!$BB$27:$BP$46,MATCH(STOCK_OVERVIEW!$Y378,PLANNING_FC!$BA$27:$BA$46,0),FALSE),HLOOKUP($AB378&amp;$AD378,PLANNING_FC!$BB$4:$BP$23,MATCH(STOCK_OVERVIEW!$Y378,PLANNING_FC!$BA$4:$BA$23,0),FALSE)),"")</f>
        <v/>
      </c>
      <c r="AI378" s="650" t="str">
        <f ca="1">IFERROR(IF($AA378="NOOS",HLOOKUP(STOCK_OVERVIEW!$AB378&amp;STOCK_OVERVIEW!$AD378,PLANNING_FC!$T$27:$AH$46,MATCH(STOCK_OVERVIEW!$Y378,PLANNING_FC!$B$27:$B$46,0),FALSE),HLOOKUP($AB378&amp;$AD378,PLANNING_FC!$T$4:$AH$23,MATCH(STOCK_OVERVIEW!$Y378,PLANNING_FC!$B$4:$B$23,0),FALSE)),"")</f>
        <v/>
      </c>
      <c r="AJ378" s="650" t="str">
        <f ca="1">IFERROR(IF($AA378="NOOS",HLOOKUP(STOCK_OVERVIEW!$AB378&amp;STOCK_OVERVIEW!$AD378,PLANNING_FC!$DA$27:$DO$46,MATCH(STOCK_OVERVIEW!$Y378,PLANNING_FC!$CZ$27:$CZ$46,0),FALSE),HLOOKUP($AB378&amp;$AD378,PLANNING_FC!$DA$4:$DO$23,MATCH(STOCK_OVERVIEW!$Y378,PLANNING_FC!$CZ$4:$CZ$23,0),FALSE)),"")</f>
        <v/>
      </c>
      <c r="AK378" s="651" t="str">
        <f ca="1">IFERROR(IF(AA378="NOOS",HLOOKUP(AB378&amp;AD378,PLANNING_FC!$AJ$27:$AY$47,MATCH(STOCK_OVERVIEW!Y378,PLANNING_FC!$AJ$27:$AJ$47,0),FALSE)*1000,HLOOKUP(AB378&amp;AD378,PLANNING_FC!$AJ$4:$AY$24,MATCH(STOCK_OVERVIEW!Y378,PLANNING_FC!$AJ$4:$AJ$24,0),FALSE)*1000),"")</f>
        <v/>
      </c>
      <c r="AL378" s="638"/>
      <c r="AM378" s="638"/>
      <c r="AN378" s="638"/>
      <c r="AO378" s="638"/>
      <c r="AP378" s="638"/>
      <c r="AQ378" s="638"/>
      <c r="AR378" s="638"/>
      <c r="AS378" s="638"/>
    </row>
    <row r="379" spans="1:45" s="61" customFormat="1" x14ac:dyDescent="0.25">
      <c r="A379" s="62"/>
      <c r="F379" s="19"/>
      <c r="J379" s="19"/>
      <c r="N379" s="19"/>
      <c r="R379" s="19"/>
      <c r="S379" s="637"/>
      <c r="T379" s="637"/>
      <c r="U379" s="636"/>
      <c r="V379" s="637"/>
      <c r="W379" s="637"/>
      <c r="X379" s="465" t="str">
        <f t="shared" si="34"/>
        <v>VM</v>
      </c>
      <c r="Y379" s="206" t="str">
        <f t="shared" si="34"/>
        <v>SKIRTS</v>
      </c>
      <c r="Z379" s="25" t="str">
        <f t="shared" ca="1" si="31"/>
        <v>VMSKIRTS18/19Feb</v>
      </c>
      <c r="AA379" s="206" t="s">
        <v>197</v>
      </c>
      <c r="AB379" s="206" t="str">
        <f t="shared" ca="1" si="35"/>
        <v>18/19</v>
      </c>
      <c r="AC379" s="206" t="str">
        <f t="shared" ca="1" si="35"/>
        <v>Q3</v>
      </c>
      <c r="AD379" s="206" t="str">
        <f t="shared" ca="1" si="35"/>
        <v>Feb</v>
      </c>
      <c r="AE379" s="649">
        <f ca="1">IFERROR(HLOOKUP($AB379&amp;$AD379,'NWC_FC_NON-NOOS'!$C$4:$Q$24,MATCH($Y379,'NWC_FC_NON-NOOS'!$B$4:$B$24,0),FALSE),"")</f>
        <v>0</v>
      </c>
      <c r="AF379" s="650">
        <f ca="1">IFERROR(HLOOKUP($AB379&amp;$AD379,'NWC_FC_NON-NOOS'!$S$4:$AH$24,MATCH($Y379,'NWC_FC_NON-NOOS'!$S$4:$S$24,0),FALSE),"")</f>
        <v>0</v>
      </c>
      <c r="AG379" s="650">
        <f ca="1">IFERROR(HLOOKUP($AB379&amp;$AD379,'NWC_FC_NON-NOOS'!$B$50:$U$70,MATCH($Y379,'NWC_FC_NON-NOOS'!$B$50:$B$70,0),FALSE),"")</f>
        <v>0</v>
      </c>
      <c r="AH379" s="650">
        <f ca="1">IFERROR(IF($AA379="NOOS",HLOOKUP(STOCK_OVERVIEW!$AB379&amp;STOCK_OVERVIEW!$AD379,PLANNING_FC!$BB$27:$BP$46,MATCH(STOCK_OVERVIEW!$Y379,PLANNING_FC!$BA$27:$BA$46,0),FALSE),HLOOKUP($AB379&amp;$AD379,PLANNING_FC!$BB$4:$BP$23,MATCH(STOCK_OVERVIEW!$Y379,PLANNING_FC!$BA$4:$BA$23,0),FALSE)),"")</f>
        <v>0</v>
      </c>
      <c r="AI379" s="650">
        <f ca="1">IFERROR(IF($AA379="NOOS",HLOOKUP(STOCK_OVERVIEW!$AB379&amp;STOCK_OVERVIEW!$AD379,PLANNING_FC!$T$27:$AH$46,MATCH(STOCK_OVERVIEW!$Y379,PLANNING_FC!$B$27:$B$46,0),FALSE),HLOOKUP($AB379&amp;$AD379,PLANNING_FC!$T$4:$AH$23,MATCH(STOCK_OVERVIEW!$Y379,PLANNING_FC!$B$4:$B$23,0),FALSE)),"")</f>
        <v>0</v>
      </c>
      <c r="AJ379" s="650">
        <f ca="1">IFERROR(IF($AA379="NOOS",HLOOKUP(STOCK_OVERVIEW!$AB379&amp;STOCK_OVERVIEW!$AD379,PLANNING_FC!$DA$27:$DO$46,MATCH(STOCK_OVERVIEW!$Y379,PLANNING_FC!$CZ$27:$CZ$46,0),FALSE),HLOOKUP($AB379&amp;$AD379,PLANNING_FC!$DA$4:$DO$23,MATCH(STOCK_OVERVIEW!$Y379,PLANNING_FC!$CZ$4:$CZ$23,0),FALSE)),"")</f>
        <v>0</v>
      </c>
      <c r="AK379" s="651">
        <f ca="1">IFERROR(IF(AA379="NOOS",HLOOKUP(AB379&amp;AD379,PLANNING_FC!$AJ$27:$AY$47,MATCH(STOCK_OVERVIEW!Y379,PLANNING_FC!$AJ$27:$AJ$47,0),FALSE)*1000,HLOOKUP(AB379&amp;AD379,PLANNING_FC!$AJ$4:$AY$24,MATCH(STOCK_OVERVIEW!Y379,PLANNING_FC!$AJ$4:$AJ$24,0),FALSE)*1000),"")</f>
        <v>0</v>
      </c>
      <c r="AL379" s="638"/>
      <c r="AM379" s="638"/>
      <c r="AN379" s="638"/>
      <c r="AO379" s="638"/>
      <c r="AP379" s="638"/>
      <c r="AQ379" s="638"/>
      <c r="AR379" s="638"/>
      <c r="AS379" s="638"/>
    </row>
    <row r="380" spans="1:45" s="61" customFormat="1" x14ac:dyDescent="0.25">
      <c r="A380" s="62"/>
      <c r="F380" s="19"/>
      <c r="J380" s="19"/>
      <c r="N380" s="19"/>
      <c r="R380" s="19"/>
      <c r="S380" s="637"/>
      <c r="T380" s="637"/>
      <c r="U380" s="636"/>
      <c r="V380" s="637"/>
      <c r="W380" s="637"/>
      <c r="X380" s="465" t="str">
        <f t="shared" si="34"/>
        <v>VM</v>
      </c>
      <c r="Y380" s="206" t="str">
        <f t="shared" si="34"/>
        <v>SKIRTS</v>
      </c>
      <c r="Z380" s="25" t="str">
        <f t="shared" ca="1" si="31"/>
        <v>VMSKIRTS18/19Mar</v>
      </c>
      <c r="AA380" s="206" t="s">
        <v>197</v>
      </c>
      <c r="AB380" s="206" t="str">
        <f t="shared" ca="1" si="35"/>
        <v>18/19</v>
      </c>
      <c r="AC380" s="206" t="str">
        <f t="shared" ca="1" si="35"/>
        <v>Q3</v>
      </c>
      <c r="AD380" s="206" t="str">
        <f t="shared" ca="1" si="35"/>
        <v>Mar</v>
      </c>
      <c r="AE380" s="649">
        <f ca="1">IFERROR(HLOOKUP($AB380&amp;$AD380,'NWC_FC_NON-NOOS'!$C$4:$Q$24,MATCH($Y380,'NWC_FC_NON-NOOS'!$B$4:$B$24,0),FALSE),"")</f>
        <v>0</v>
      </c>
      <c r="AF380" s="650">
        <f ca="1">IFERROR(HLOOKUP($AB380&amp;$AD380,'NWC_FC_NON-NOOS'!$S$4:$AH$24,MATCH($Y380,'NWC_FC_NON-NOOS'!$S$4:$S$24,0),FALSE),"")</f>
        <v>0</v>
      </c>
      <c r="AG380" s="650">
        <f ca="1">IFERROR(HLOOKUP($AB380&amp;$AD380,'NWC_FC_NON-NOOS'!$B$50:$U$70,MATCH($Y380,'NWC_FC_NON-NOOS'!$B$50:$B$70,0),FALSE),"")</f>
        <v>0</v>
      </c>
      <c r="AH380" s="650">
        <f ca="1">IFERROR(IF($AA380="NOOS",HLOOKUP(STOCK_OVERVIEW!$AB380&amp;STOCK_OVERVIEW!$AD380,PLANNING_FC!$BB$27:$BP$46,MATCH(STOCK_OVERVIEW!$Y380,PLANNING_FC!$BA$27:$BA$46,0),FALSE),HLOOKUP($AB380&amp;$AD380,PLANNING_FC!$BB$4:$BP$23,MATCH(STOCK_OVERVIEW!$Y380,PLANNING_FC!$BA$4:$BA$23,0),FALSE)),"")</f>
        <v>0</v>
      </c>
      <c r="AI380" s="650">
        <f ca="1">IFERROR(IF($AA380="NOOS",HLOOKUP(STOCK_OVERVIEW!$AB380&amp;STOCK_OVERVIEW!$AD380,PLANNING_FC!$T$27:$AH$46,MATCH(STOCK_OVERVIEW!$Y380,PLANNING_FC!$B$27:$B$46,0),FALSE),HLOOKUP($AB380&amp;$AD380,PLANNING_FC!$T$4:$AH$23,MATCH(STOCK_OVERVIEW!$Y380,PLANNING_FC!$B$4:$B$23,0),FALSE)),"")</f>
        <v>0</v>
      </c>
      <c r="AJ380" s="650">
        <f ca="1">IFERROR(IF($AA380="NOOS",HLOOKUP(STOCK_OVERVIEW!$AB380&amp;STOCK_OVERVIEW!$AD380,PLANNING_FC!$DA$27:$DO$46,MATCH(STOCK_OVERVIEW!$Y380,PLANNING_FC!$CZ$27:$CZ$46,0),FALSE),HLOOKUP($AB380&amp;$AD380,PLANNING_FC!$DA$4:$DO$23,MATCH(STOCK_OVERVIEW!$Y380,PLANNING_FC!$CZ$4:$CZ$23,0),FALSE)),"")</f>
        <v>0</v>
      </c>
      <c r="AK380" s="651">
        <f ca="1">IFERROR(IF(AA380="NOOS",HLOOKUP(AB380&amp;AD380,PLANNING_FC!$AJ$27:$AY$47,MATCH(STOCK_OVERVIEW!Y380,PLANNING_FC!$AJ$27:$AJ$47,0),FALSE)*1000,HLOOKUP(AB380&amp;AD380,PLANNING_FC!$AJ$4:$AY$24,MATCH(STOCK_OVERVIEW!Y380,PLANNING_FC!$AJ$4:$AJ$24,0),FALSE)*1000),"")</f>
        <v>0</v>
      </c>
      <c r="AL380" s="638"/>
      <c r="AM380" s="638"/>
      <c r="AN380" s="638"/>
      <c r="AO380" s="638"/>
      <c r="AP380" s="638"/>
      <c r="AQ380" s="638"/>
      <c r="AR380" s="638"/>
      <c r="AS380" s="638"/>
    </row>
    <row r="381" spans="1:45" s="61" customFormat="1" x14ac:dyDescent="0.25">
      <c r="A381" s="62"/>
      <c r="F381" s="19"/>
      <c r="J381" s="19"/>
      <c r="N381" s="19"/>
      <c r="R381" s="19"/>
      <c r="S381" s="637"/>
      <c r="T381" s="637"/>
      <c r="U381" s="636"/>
      <c r="V381" s="637"/>
      <c r="W381" s="637"/>
      <c r="X381" s="465" t="str">
        <f t="shared" si="34"/>
        <v>VM</v>
      </c>
      <c r="Y381" s="206" t="str">
        <f t="shared" si="34"/>
        <v>SKIRTS</v>
      </c>
      <c r="Z381" s="25" t="str">
        <f t="shared" ca="1" si="31"/>
        <v>VMSKIRTS18/19Apr</v>
      </c>
      <c r="AA381" s="206" t="s">
        <v>197</v>
      </c>
      <c r="AB381" s="206" t="str">
        <f t="shared" ca="1" si="35"/>
        <v>18/19</v>
      </c>
      <c r="AC381" s="206" t="str">
        <f t="shared" ca="1" si="35"/>
        <v>Q3</v>
      </c>
      <c r="AD381" s="206" t="str">
        <f t="shared" ca="1" si="35"/>
        <v>Apr</v>
      </c>
      <c r="AE381" s="649">
        <f ca="1">IFERROR(HLOOKUP($AB381&amp;$AD381,'NWC_FC_NON-NOOS'!$C$4:$Q$24,MATCH($Y381,'NWC_FC_NON-NOOS'!$B$4:$B$24,0),FALSE),"")</f>
        <v>0</v>
      </c>
      <c r="AF381" s="650">
        <f ca="1">IFERROR(HLOOKUP($AB381&amp;$AD381,'NWC_FC_NON-NOOS'!$S$4:$AH$24,MATCH($Y381,'NWC_FC_NON-NOOS'!$S$4:$S$24,0),FALSE),"")</f>
        <v>0</v>
      </c>
      <c r="AG381" s="650">
        <f ca="1">IFERROR(HLOOKUP($AB381&amp;$AD381,'NWC_FC_NON-NOOS'!$B$50:$U$70,MATCH($Y381,'NWC_FC_NON-NOOS'!$B$50:$B$70,0),FALSE),"")</f>
        <v>0</v>
      </c>
      <c r="AH381" s="650">
        <f ca="1">IFERROR(IF($AA381="NOOS",HLOOKUP(STOCK_OVERVIEW!$AB381&amp;STOCK_OVERVIEW!$AD381,PLANNING_FC!$BB$27:$BP$46,MATCH(STOCK_OVERVIEW!$Y381,PLANNING_FC!$BA$27:$BA$46,0),FALSE),HLOOKUP($AB381&amp;$AD381,PLANNING_FC!$BB$4:$BP$23,MATCH(STOCK_OVERVIEW!$Y381,PLANNING_FC!$BA$4:$BA$23,0),FALSE)),"")</f>
        <v>0</v>
      </c>
      <c r="AI381" s="650">
        <f ca="1">IFERROR(IF($AA381="NOOS",HLOOKUP(STOCK_OVERVIEW!$AB381&amp;STOCK_OVERVIEW!$AD381,PLANNING_FC!$T$27:$AH$46,MATCH(STOCK_OVERVIEW!$Y381,PLANNING_FC!$B$27:$B$46,0),FALSE),HLOOKUP($AB381&amp;$AD381,PLANNING_FC!$T$4:$AH$23,MATCH(STOCK_OVERVIEW!$Y381,PLANNING_FC!$B$4:$B$23,0),FALSE)),"")</f>
        <v>0</v>
      </c>
      <c r="AJ381" s="650">
        <f ca="1">IFERROR(IF($AA381="NOOS",HLOOKUP(STOCK_OVERVIEW!$AB381&amp;STOCK_OVERVIEW!$AD381,PLANNING_FC!$DA$27:$DO$46,MATCH(STOCK_OVERVIEW!$Y381,PLANNING_FC!$CZ$27:$CZ$46,0),FALSE),HLOOKUP($AB381&amp;$AD381,PLANNING_FC!$DA$4:$DO$23,MATCH(STOCK_OVERVIEW!$Y381,PLANNING_FC!$CZ$4:$CZ$23,0),FALSE)),"")</f>
        <v>200867</v>
      </c>
      <c r="AK381" s="651">
        <f ca="1">IFERROR(IF(AA381="NOOS",HLOOKUP(AB381&amp;AD381,PLANNING_FC!$AJ$27:$AY$47,MATCH(STOCK_OVERVIEW!Y381,PLANNING_FC!$AJ$27:$AJ$47,0),FALSE)*1000,HLOOKUP(AB381&amp;AD381,PLANNING_FC!$AJ$4:$AY$24,MATCH(STOCK_OVERVIEW!Y381,PLANNING_FC!$AJ$4:$AJ$24,0),FALSE)*1000),"")</f>
        <v>0</v>
      </c>
      <c r="AL381" s="638"/>
      <c r="AM381" s="638"/>
      <c r="AN381" s="638"/>
      <c r="AO381" s="638"/>
      <c r="AP381" s="638"/>
      <c r="AQ381" s="638"/>
      <c r="AR381" s="638"/>
      <c r="AS381" s="638"/>
    </row>
    <row r="382" spans="1:45" s="61" customFormat="1" x14ac:dyDescent="0.25">
      <c r="A382" s="62"/>
      <c r="F382" s="19"/>
      <c r="J382" s="19"/>
      <c r="N382" s="19"/>
      <c r="R382" s="19"/>
      <c r="S382" s="637"/>
      <c r="T382" s="637"/>
      <c r="U382" s="636"/>
      <c r="V382" s="637"/>
      <c r="W382" s="637"/>
      <c r="X382" s="465" t="str">
        <f t="shared" si="34"/>
        <v>VM</v>
      </c>
      <c r="Y382" s="206" t="str">
        <f t="shared" si="34"/>
        <v>SKIRTS</v>
      </c>
      <c r="Z382" s="25" t="str">
        <f t="shared" ca="1" si="31"/>
        <v>VMSKIRTS18/19May</v>
      </c>
      <c r="AA382" s="206" t="s">
        <v>197</v>
      </c>
      <c r="AB382" s="206" t="str">
        <f t="shared" ca="1" si="35"/>
        <v>18/19</v>
      </c>
      <c r="AC382" s="206" t="str">
        <f t="shared" ca="1" si="35"/>
        <v>Q4</v>
      </c>
      <c r="AD382" s="206" t="str">
        <f t="shared" ca="1" si="35"/>
        <v>May</v>
      </c>
      <c r="AE382" s="649">
        <f ca="1">IFERROR(HLOOKUP($AB382&amp;$AD382,'NWC_FC_NON-NOOS'!$C$4:$Q$24,MATCH($Y382,'NWC_FC_NON-NOOS'!$B$4:$B$24,0),FALSE),"")</f>
        <v>0</v>
      </c>
      <c r="AF382" s="650">
        <f ca="1">IFERROR(HLOOKUP($AB382&amp;$AD382,'NWC_FC_NON-NOOS'!$S$4:$AH$24,MATCH($Y382,'NWC_FC_NON-NOOS'!$S$4:$S$24,0),FALSE),"")</f>
        <v>0</v>
      </c>
      <c r="AG382" s="650">
        <f ca="1">IFERROR(HLOOKUP($AB382&amp;$AD382,'NWC_FC_NON-NOOS'!$B$50:$U$70,MATCH($Y382,'NWC_FC_NON-NOOS'!$B$50:$B$70,0),FALSE),"")</f>
        <v>0</v>
      </c>
      <c r="AH382" s="650">
        <f ca="1">IFERROR(IF($AA382="NOOS",HLOOKUP(STOCK_OVERVIEW!$AB382&amp;STOCK_OVERVIEW!$AD382,PLANNING_FC!$BB$27:$BP$46,MATCH(STOCK_OVERVIEW!$Y382,PLANNING_FC!$BA$27:$BA$46,0),FALSE),HLOOKUP($AB382&amp;$AD382,PLANNING_FC!$BB$4:$BP$23,MATCH(STOCK_OVERVIEW!$Y382,PLANNING_FC!$BA$4:$BA$23,0),FALSE)),"")</f>
        <v>0</v>
      </c>
      <c r="AI382" s="650">
        <f ca="1">IFERROR(IF($AA382="NOOS",HLOOKUP(STOCK_OVERVIEW!$AB382&amp;STOCK_OVERVIEW!$AD382,PLANNING_FC!$T$27:$AH$46,MATCH(STOCK_OVERVIEW!$Y382,PLANNING_FC!$B$27:$B$46,0),FALSE),HLOOKUP($AB382&amp;$AD382,PLANNING_FC!$T$4:$AH$23,MATCH(STOCK_OVERVIEW!$Y382,PLANNING_FC!$B$4:$B$23,0),FALSE)),"")</f>
        <v>0</v>
      </c>
      <c r="AJ382" s="650">
        <f ca="1">IFERROR(IF($AA382="NOOS",HLOOKUP(STOCK_OVERVIEW!$AB382&amp;STOCK_OVERVIEW!$AD382,PLANNING_FC!$DA$27:$DO$46,MATCH(STOCK_OVERVIEW!$Y382,PLANNING_FC!$CZ$27:$CZ$46,0),FALSE),HLOOKUP($AB382&amp;$AD382,PLANNING_FC!$DA$4:$DO$23,MATCH(STOCK_OVERVIEW!$Y382,PLANNING_FC!$CZ$4:$CZ$23,0),FALSE)),"")</f>
        <v>218187</v>
      </c>
      <c r="AK382" s="651">
        <f ca="1">IFERROR(IF(AA382="NOOS",HLOOKUP(AB382&amp;AD382,PLANNING_FC!$AJ$27:$AY$47,MATCH(STOCK_OVERVIEW!Y382,PLANNING_FC!$AJ$27:$AJ$47,0),FALSE)*1000,HLOOKUP(AB382&amp;AD382,PLANNING_FC!$AJ$4:$AY$24,MATCH(STOCK_OVERVIEW!Y382,PLANNING_FC!$AJ$4:$AJ$24,0),FALSE)*1000),"")</f>
        <v>0</v>
      </c>
      <c r="AL382" s="638"/>
      <c r="AM382" s="638"/>
      <c r="AN382" s="638"/>
      <c r="AO382" s="638"/>
      <c r="AP382" s="638"/>
      <c r="AQ382" s="638"/>
      <c r="AR382" s="638"/>
      <c r="AS382" s="638"/>
    </row>
    <row r="383" spans="1:45" s="61" customFormat="1" x14ac:dyDescent="0.25">
      <c r="A383" s="62"/>
      <c r="F383" s="19"/>
      <c r="J383" s="19"/>
      <c r="N383" s="19"/>
      <c r="R383" s="19"/>
      <c r="S383" s="637"/>
      <c r="T383" s="637"/>
      <c r="U383" s="636"/>
      <c r="V383" s="637"/>
      <c r="W383" s="637"/>
      <c r="X383" s="465" t="str">
        <f t="shared" si="34"/>
        <v>VM</v>
      </c>
      <c r="Y383" s="206" t="str">
        <f t="shared" si="34"/>
        <v>SKIRTS</v>
      </c>
      <c r="Z383" s="25" t="str">
        <f t="shared" ca="1" si="31"/>
        <v>VMSKIRTS18/19Jun</v>
      </c>
      <c r="AA383" s="206" t="s">
        <v>197</v>
      </c>
      <c r="AB383" s="206" t="str">
        <f t="shared" ca="1" si="35"/>
        <v>18/19</v>
      </c>
      <c r="AC383" s="206" t="str">
        <f t="shared" ca="1" si="35"/>
        <v>Q4</v>
      </c>
      <c r="AD383" s="206" t="str">
        <f t="shared" ca="1" si="35"/>
        <v>Jun</v>
      </c>
      <c r="AE383" s="649">
        <f ca="1">IFERROR(HLOOKUP($AB383&amp;$AD383,'NWC_FC_NON-NOOS'!$C$4:$Q$24,MATCH($Y383,'NWC_FC_NON-NOOS'!$B$4:$B$24,0),FALSE),"")</f>
        <v>0</v>
      </c>
      <c r="AF383" s="650">
        <f ca="1">IFERROR(HLOOKUP($AB383&amp;$AD383,'NWC_FC_NON-NOOS'!$S$4:$AH$24,MATCH($Y383,'NWC_FC_NON-NOOS'!$S$4:$S$24,0),FALSE),"")</f>
        <v>0</v>
      </c>
      <c r="AG383" s="650">
        <f ca="1">IFERROR(HLOOKUP($AB383&amp;$AD383,'NWC_FC_NON-NOOS'!$B$50:$U$70,MATCH($Y383,'NWC_FC_NON-NOOS'!$B$50:$B$70,0),FALSE),"")</f>
        <v>0</v>
      </c>
      <c r="AH383" s="650">
        <f ca="1">IFERROR(IF($AA383="NOOS",HLOOKUP(STOCK_OVERVIEW!$AB383&amp;STOCK_OVERVIEW!$AD383,PLANNING_FC!$BB$27:$BP$46,MATCH(STOCK_OVERVIEW!$Y383,PLANNING_FC!$BA$27:$BA$46,0),FALSE),HLOOKUP($AB383&amp;$AD383,PLANNING_FC!$BB$4:$BP$23,MATCH(STOCK_OVERVIEW!$Y383,PLANNING_FC!$BA$4:$BA$23,0),FALSE)),"")</f>
        <v>0</v>
      </c>
      <c r="AI383" s="650">
        <f ca="1">IFERROR(IF($AA383="NOOS",HLOOKUP(STOCK_OVERVIEW!$AB383&amp;STOCK_OVERVIEW!$AD383,PLANNING_FC!$T$27:$AH$46,MATCH(STOCK_OVERVIEW!$Y383,PLANNING_FC!$B$27:$B$46,0),FALSE),HLOOKUP($AB383&amp;$AD383,PLANNING_FC!$T$4:$AH$23,MATCH(STOCK_OVERVIEW!$Y383,PLANNING_FC!$B$4:$B$23,0),FALSE)),"")</f>
        <v>0</v>
      </c>
      <c r="AJ383" s="650">
        <f ca="1">IFERROR(IF($AA383="NOOS",HLOOKUP(STOCK_OVERVIEW!$AB383&amp;STOCK_OVERVIEW!$AD383,PLANNING_FC!$DA$27:$DO$46,MATCH(STOCK_OVERVIEW!$Y383,PLANNING_FC!$CZ$27:$CZ$46,0),FALSE),HLOOKUP($AB383&amp;$AD383,PLANNING_FC!$DA$4:$DO$23,MATCH(STOCK_OVERVIEW!$Y383,PLANNING_FC!$CZ$4:$CZ$23,0),FALSE)),"")</f>
        <v>220099</v>
      </c>
      <c r="AK383" s="651">
        <f ca="1">IFERROR(IF(AA383="NOOS",HLOOKUP(AB383&amp;AD383,PLANNING_FC!$AJ$27:$AY$47,MATCH(STOCK_OVERVIEW!Y383,PLANNING_FC!$AJ$27:$AJ$47,0),FALSE)*1000,HLOOKUP(AB383&amp;AD383,PLANNING_FC!$AJ$4:$AY$24,MATCH(STOCK_OVERVIEW!Y383,PLANNING_FC!$AJ$4:$AJ$24,0),FALSE)*1000),"")</f>
        <v>0</v>
      </c>
      <c r="AL383" s="638"/>
      <c r="AM383" s="638"/>
      <c r="AN383" s="638"/>
      <c r="AO383" s="638"/>
      <c r="AP383" s="638"/>
      <c r="AQ383" s="638"/>
      <c r="AR383" s="638"/>
      <c r="AS383" s="638"/>
    </row>
    <row r="384" spans="1:45" s="61" customFormat="1" x14ac:dyDescent="0.25">
      <c r="A384" s="62"/>
      <c r="F384" s="19"/>
      <c r="J384" s="19"/>
      <c r="N384" s="19"/>
      <c r="R384" s="19"/>
      <c r="S384" s="637"/>
      <c r="T384" s="637"/>
      <c r="U384" s="636"/>
      <c r="V384" s="637"/>
      <c r="W384" s="637"/>
      <c r="X384" s="465" t="str">
        <f t="shared" ref="X384:Y403" si="36">X144</f>
        <v>VM</v>
      </c>
      <c r="Y384" s="206" t="str">
        <f t="shared" si="36"/>
        <v>SKIRTS</v>
      </c>
      <c r="Z384" s="25" t="str">
        <f t="shared" ca="1" si="31"/>
        <v>VMSKIRTS18/19Jul</v>
      </c>
      <c r="AA384" s="206" t="s">
        <v>197</v>
      </c>
      <c r="AB384" s="206" t="str">
        <f t="shared" ref="AB384:AD403" ca="1" si="37">AB144</f>
        <v>18/19</v>
      </c>
      <c r="AC384" s="206" t="str">
        <f t="shared" ca="1" si="37"/>
        <v>Q4</v>
      </c>
      <c r="AD384" s="206" t="str">
        <f t="shared" ca="1" si="37"/>
        <v>Jul</v>
      </c>
      <c r="AE384" s="649">
        <f ca="1">IFERROR(HLOOKUP($AB384&amp;$AD384,'NWC_FC_NON-NOOS'!$C$4:$Q$24,MATCH($Y384,'NWC_FC_NON-NOOS'!$B$4:$B$24,0),FALSE),"")</f>
        <v>0</v>
      </c>
      <c r="AF384" s="650">
        <f ca="1">IFERROR(HLOOKUP($AB384&amp;$AD384,'NWC_FC_NON-NOOS'!$S$4:$AH$24,MATCH($Y384,'NWC_FC_NON-NOOS'!$S$4:$S$24,0),FALSE),"")</f>
        <v>0</v>
      </c>
      <c r="AG384" s="650">
        <f ca="1">IFERROR(HLOOKUP($AB384&amp;$AD384,'NWC_FC_NON-NOOS'!$B$50:$U$70,MATCH($Y384,'NWC_FC_NON-NOOS'!$B$50:$B$70,0),FALSE),"")</f>
        <v>0</v>
      </c>
      <c r="AH384" s="650">
        <f ca="1">IFERROR(IF($AA384="NOOS",HLOOKUP(STOCK_OVERVIEW!$AB384&amp;STOCK_OVERVIEW!$AD384,PLANNING_FC!$BB$27:$BP$46,MATCH(STOCK_OVERVIEW!$Y384,PLANNING_FC!$BA$27:$BA$46,0),FALSE),HLOOKUP($AB384&amp;$AD384,PLANNING_FC!$BB$4:$BP$23,MATCH(STOCK_OVERVIEW!$Y384,PLANNING_FC!$BA$4:$BA$23,0),FALSE)),"")</f>
        <v>0</v>
      </c>
      <c r="AI384" s="650">
        <f ca="1">IFERROR(IF($AA384="NOOS",HLOOKUP(STOCK_OVERVIEW!$AB384&amp;STOCK_OVERVIEW!$AD384,PLANNING_FC!$T$27:$AH$46,MATCH(STOCK_OVERVIEW!$Y384,PLANNING_FC!$B$27:$B$46,0),FALSE),HLOOKUP($AB384&amp;$AD384,PLANNING_FC!$T$4:$AH$23,MATCH(STOCK_OVERVIEW!$Y384,PLANNING_FC!$B$4:$B$23,0),FALSE)),"")</f>
        <v>0</v>
      </c>
      <c r="AJ384" s="650">
        <f ca="1">IFERROR(IF($AA384="NOOS",HLOOKUP(STOCK_OVERVIEW!$AB384&amp;STOCK_OVERVIEW!$AD384,PLANNING_FC!$DA$27:$DO$46,MATCH(STOCK_OVERVIEW!$Y384,PLANNING_FC!$CZ$27:$CZ$46,0),FALSE),HLOOKUP($AB384&amp;$AD384,PLANNING_FC!$DA$4:$DO$23,MATCH(STOCK_OVERVIEW!$Y384,PLANNING_FC!$CZ$4:$CZ$23,0),FALSE)),"")</f>
        <v>220099</v>
      </c>
      <c r="AK384" s="651">
        <f ca="1">IFERROR(IF(AA384="NOOS",HLOOKUP(AB384&amp;AD384,PLANNING_FC!$AJ$27:$AY$47,MATCH(STOCK_OVERVIEW!Y384,PLANNING_FC!$AJ$27:$AJ$47,0),FALSE)*1000,HLOOKUP(AB384&amp;AD384,PLANNING_FC!$AJ$4:$AY$24,MATCH(STOCK_OVERVIEW!Y384,PLANNING_FC!$AJ$4:$AJ$24,0),FALSE)*1000),"")</f>
        <v>0</v>
      </c>
      <c r="AL384" s="638"/>
      <c r="AM384" s="638"/>
      <c r="AN384" s="638"/>
      <c r="AO384" s="638"/>
      <c r="AP384" s="638"/>
      <c r="AQ384" s="638"/>
      <c r="AR384" s="638"/>
      <c r="AS384" s="638"/>
    </row>
    <row r="385" spans="1:45" s="61" customFormat="1" x14ac:dyDescent="0.25">
      <c r="A385" s="62"/>
      <c r="F385" s="19"/>
      <c r="J385" s="19"/>
      <c r="N385" s="19"/>
      <c r="R385" s="19"/>
      <c r="S385" s="637"/>
      <c r="T385" s="637"/>
      <c r="U385" s="636"/>
      <c r="V385" s="637"/>
      <c r="W385" s="637"/>
      <c r="X385" s="465" t="str">
        <f t="shared" si="36"/>
        <v>VM</v>
      </c>
      <c r="Y385" s="206" t="str">
        <f t="shared" si="36"/>
        <v>SKIRTS</v>
      </c>
      <c r="Z385" s="25" t="str">
        <f t="shared" ca="1" si="31"/>
        <v>VMSKIRTS19/20Aug</v>
      </c>
      <c r="AA385" s="206" t="s">
        <v>197</v>
      </c>
      <c r="AB385" s="206" t="str">
        <f t="shared" ca="1" si="37"/>
        <v>19/20</v>
      </c>
      <c r="AC385" s="206" t="str">
        <f t="shared" ca="1" si="37"/>
        <v>Q1</v>
      </c>
      <c r="AD385" s="206" t="str">
        <f t="shared" ca="1" si="37"/>
        <v>Aug</v>
      </c>
      <c r="AE385" s="649">
        <f ca="1">IFERROR(HLOOKUP($AB385&amp;$AD385,'NWC_FC_NON-NOOS'!$C$4:$Q$24,MATCH($Y385,'NWC_FC_NON-NOOS'!$B$4:$B$24,0),FALSE),"")</f>
        <v>0</v>
      </c>
      <c r="AF385" s="650">
        <f ca="1">IFERROR(HLOOKUP($AB385&amp;$AD385,'NWC_FC_NON-NOOS'!$S$4:$AH$24,MATCH($Y385,'NWC_FC_NON-NOOS'!$S$4:$S$24,0),FALSE),"")</f>
        <v>0</v>
      </c>
      <c r="AG385" s="650">
        <f ca="1">IFERROR(HLOOKUP($AB385&amp;$AD385,'NWC_FC_NON-NOOS'!$B$50:$U$70,MATCH($Y385,'NWC_FC_NON-NOOS'!$B$50:$B$70,0),FALSE),"")</f>
        <v>0</v>
      </c>
      <c r="AH385" s="650">
        <f ca="1">IFERROR(IF($AA385="NOOS",HLOOKUP(STOCK_OVERVIEW!$AB385&amp;STOCK_OVERVIEW!$AD385,PLANNING_FC!$BB$27:$BP$46,MATCH(STOCK_OVERVIEW!$Y385,PLANNING_FC!$BA$27:$BA$46,0),FALSE),HLOOKUP($AB385&amp;$AD385,PLANNING_FC!$BB$4:$BP$23,MATCH(STOCK_OVERVIEW!$Y385,PLANNING_FC!$BA$4:$BA$23,0),FALSE)),"")</f>
        <v>0</v>
      </c>
      <c r="AI385" s="650">
        <f ca="1">IFERROR(IF($AA385="NOOS",HLOOKUP(STOCK_OVERVIEW!$AB385&amp;STOCK_OVERVIEW!$AD385,PLANNING_FC!$T$27:$AH$46,MATCH(STOCK_OVERVIEW!$Y385,PLANNING_FC!$B$27:$B$46,0),FALSE),HLOOKUP($AB385&amp;$AD385,PLANNING_FC!$T$4:$AH$23,MATCH(STOCK_OVERVIEW!$Y385,PLANNING_FC!$B$4:$B$23,0),FALSE)),"")</f>
        <v>0</v>
      </c>
      <c r="AJ385" s="650">
        <f ca="1">IFERROR(IF($AA385="NOOS",HLOOKUP(STOCK_OVERVIEW!$AB385&amp;STOCK_OVERVIEW!$AD385,PLANNING_FC!$DA$27:$DO$46,MATCH(STOCK_OVERVIEW!$Y385,PLANNING_FC!$CZ$27:$CZ$46,0),FALSE),HLOOKUP($AB385&amp;$AD385,PLANNING_FC!$DA$4:$DO$23,MATCH(STOCK_OVERVIEW!$Y385,PLANNING_FC!$CZ$4:$CZ$23,0),FALSE)),"")</f>
        <v>220099</v>
      </c>
      <c r="AK385" s="651">
        <f ca="1">IFERROR(IF(AA385="NOOS",HLOOKUP(AB385&amp;AD385,PLANNING_FC!$AJ$27:$AY$47,MATCH(STOCK_OVERVIEW!Y385,PLANNING_FC!$AJ$27:$AJ$47,0),FALSE)*1000,HLOOKUP(AB385&amp;AD385,PLANNING_FC!$AJ$4:$AY$24,MATCH(STOCK_OVERVIEW!Y385,PLANNING_FC!$AJ$4:$AJ$24,0),FALSE)*1000),"")</f>
        <v>0</v>
      </c>
      <c r="AL385" s="638"/>
      <c r="AM385" s="638"/>
      <c r="AN385" s="638"/>
      <c r="AO385" s="638"/>
      <c r="AP385" s="638"/>
      <c r="AQ385" s="638"/>
      <c r="AR385" s="638"/>
      <c r="AS385" s="638"/>
    </row>
    <row r="386" spans="1:45" s="61" customFormat="1" x14ac:dyDescent="0.25">
      <c r="A386" s="62"/>
      <c r="F386" s="19"/>
      <c r="J386" s="19"/>
      <c r="N386" s="19"/>
      <c r="R386" s="19"/>
      <c r="S386" s="637"/>
      <c r="T386" s="637"/>
      <c r="U386" s="636"/>
      <c r="V386" s="637"/>
      <c r="W386" s="637"/>
      <c r="X386" s="465" t="str">
        <f t="shared" si="36"/>
        <v>VM</v>
      </c>
      <c r="Y386" s="206" t="str">
        <f t="shared" si="36"/>
        <v>SKIRTS</v>
      </c>
      <c r="Z386" s="25" t="str">
        <f t="shared" ca="1" si="31"/>
        <v>VMSKIRTS19/20Sep</v>
      </c>
      <c r="AA386" s="206" t="s">
        <v>197</v>
      </c>
      <c r="AB386" s="206" t="str">
        <f t="shared" ca="1" si="37"/>
        <v>19/20</v>
      </c>
      <c r="AC386" s="206" t="str">
        <f t="shared" ca="1" si="37"/>
        <v>Q1</v>
      </c>
      <c r="AD386" s="206" t="str">
        <f t="shared" ca="1" si="37"/>
        <v>Sep</v>
      </c>
      <c r="AE386" s="649">
        <f ca="1">IFERROR(HLOOKUP($AB386&amp;$AD386,'NWC_FC_NON-NOOS'!$C$4:$Q$24,MATCH($Y386,'NWC_FC_NON-NOOS'!$B$4:$B$24,0),FALSE),"")</f>
        <v>0</v>
      </c>
      <c r="AF386" s="650">
        <f ca="1">IFERROR(HLOOKUP($AB386&amp;$AD386,'NWC_FC_NON-NOOS'!$S$4:$AH$24,MATCH($Y386,'NWC_FC_NON-NOOS'!$S$4:$S$24,0),FALSE),"")</f>
        <v>0</v>
      </c>
      <c r="AG386" s="650">
        <f ca="1">IFERROR(HLOOKUP($AB386&amp;$AD386,'NWC_FC_NON-NOOS'!$B$50:$U$70,MATCH($Y386,'NWC_FC_NON-NOOS'!$B$50:$B$70,0),FALSE),"")</f>
        <v>0</v>
      </c>
      <c r="AH386" s="650">
        <f ca="1">IFERROR(IF($AA386="NOOS",HLOOKUP(STOCK_OVERVIEW!$AB386&amp;STOCK_OVERVIEW!$AD386,PLANNING_FC!$BB$27:$BP$46,MATCH(STOCK_OVERVIEW!$Y386,PLANNING_FC!$BA$27:$BA$46,0),FALSE),HLOOKUP($AB386&amp;$AD386,PLANNING_FC!$BB$4:$BP$23,MATCH(STOCK_OVERVIEW!$Y386,PLANNING_FC!$BA$4:$BA$23,0),FALSE)),"")</f>
        <v>0</v>
      </c>
      <c r="AI386" s="650">
        <f ca="1">IFERROR(IF($AA386="NOOS",HLOOKUP(STOCK_OVERVIEW!$AB386&amp;STOCK_OVERVIEW!$AD386,PLANNING_FC!$T$27:$AH$46,MATCH(STOCK_OVERVIEW!$Y386,PLANNING_FC!$B$27:$B$46,0),FALSE),HLOOKUP($AB386&amp;$AD386,PLANNING_FC!$T$4:$AH$23,MATCH(STOCK_OVERVIEW!$Y386,PLANNING_FC!$B$4:$B$23,0),FALSE)),"")</f>
        <v>0</v>
      </c>
      <c r="AJ386" s="650">
        <f ca="1">IFERROR(IF($AA386="NOOS",HLOOKUP(STOCK_OVERVIEW!$AB386&amp;STOCK_OVERVIEW!$AD386,PLANNING_FC!$DA$27:$DO$46,MATCH(STOCK_OVERVIEW!$Y386,PLANNING_FC!$CZ$27:$CZ$46,0),FALSE),HLOOKUP($AB386&amp;$AD386,PLANNING_FC!$DA$4:$DO$23,MATCH(STOCK_OVERVIEW!$Y386,PLANNING_FC!$CZ$4:$CZ$23,0),FALSE)),"")</f>
        <v>220099</v>
      </c>
      <c r="AK386" s="651">
        <f ca="1">IFERROR(IF(AA386="NOOS",HLOOKUP(AB386&amp;AD386,PLANNING_FC!$AJ$27:$AY$47,MATCH(STOCK_OVERVIEW!Y386,PLANNING_FC!$AJ$27:$AJ$47,0),FALSE)*1000,HLOOKUP(AB386&amp;AD386,PLANNING_FC!$AJ$4:$AY$24,MATCH(STOCK_OVERVIEW!Y386,PLANNING_FC!$AJ$4:$AJ$24,0),FALSE)*1000),"")</f>
        <v>0</v>
      </c>
      <c r="AL386" s="638"/>
      <c r="AM386" s="638"/>
      <c r="AN386" s="638"/>
      <c r="AO386" s="638"/>
      <c r="AP386" s="638"/>
      <c r="AQ386" s="638"/>
      <c r="AR386" s="638"/>
      <c r="AS386" s="638"/>
    </row>
    <row r="387" spans="1:45" s="61" customFormat="1" x14ac:dyDescent="0.25">
      <c r="A387" s="62"/>
      <c r="F387" s="19"/>
      <c r="J387" s="19"/>
      <c r="N387" s="19"/>
      <c r="R387" s="19"/>
      <c r="S387" s="637"/>
      <c r="T387" s="637"/>
      <c r="U387" s="636"/>
      <c r="V387" s="637"/>
      <c r="W387" s="637"/>
      <c r="X387" s="465" t="str">
        <f t="shared" si="36"/>
        <v>VM</v>
      </c>
      <c r="Y387" s="206" t="str">
        <f t="shared" si="36"/>
        <v>SKIRTS</v>
      </c>
      <c r="Z387" s="25" t="str">
        <f t="shared" ca="1" si="31"/>
        <v>VMSKIRTS19/20Oct</v>
      </c>
      <c r="AA387" s="206" t="s">
        <v>197</v>
      </c>
      <c r="AB387" s="206" t="str">
        <f t="shared" ca="1" si="37"/>
        <v>19/20</v>
      </c>
      <c r="AC387" s="206" t="str">
        <f t="shared" ca="1" si="37"/>
        <v>Q1</v>
      </c>
      <c r="AD387" s="206" t="str">
        <f t="shared" ca="1" si="37"/>
        <v>Oct</v>
      </c>
      <c r="AE387" s="649">
        <f ca="1">IFERROR(HLOOKUP($AB387&amp;$AD387,'NWC_FC_NON-NOOS'!$C$4:$Q$24,MATCH($Y387,'NWC_FC_NON-NOOS'!$B$4:$B$24,0),FALSE),"")</f>
        <v>0</v>
      </c>
      <c r="AF387" s="650">
        <f ca="1">IFERROR(HLOOKUP($AB387&amp;$AD387,'NWC_FC_NON-NOOS'!$S$4:$AH$24,MATCH($Y387,'NWC_FC_NON-NOOS'!$S$4:$S$24,0),FALSE),"")</f>
        <v>0</v>
      </c>
      <c r="AG387" s="650">
        <f ca="1">IFERROR(HLOOKUP($AB387&amp;$AD387,'NWC_FC_NON-NOOS'!$B$50:$U$70,MATCH($Y387,'NWC_FC_NON-NOOS'!$B$50:$B$70,0),FALSE),"")</f>
        <v>0</v>
      </c>
      <c r="AH387" s="650">
        <f ca="1">IFERROR(IF($AA387="NOOS",HLOOKUP(STOCK_OVERVIEW!$AB387&amp;STOCK_OVERVIEW!$AD387,PLANNING_FC!$BB$27:$BP$46,MATCH(STOCK_OVERVIEW!$Y387,PLANNING_FC!$BA$27:$BA$46,0),FALSE),HLOOKUP($AB387&amp;$AD387,PLANNING_FC!$BB$4:$BP$23,MATCH(STOCK_OVERVIEW!$Y387,PLANNING_FC!$BA$4:$BA$23,0),FALSE)),"")</f>
        <v>0</v>
      </c>
      <c r="AI387" s="650">
        <f ca="1">IFERROR(IF($AA387="NOOS",HLOOKUP(STOCK_OVERVIEW!$AB387&amp;STOCK_OVERVIEW!$AD387,PLANNING_FC!$T$27:$AH$46,MATCH(STOCK_OVERVIEW!$Y387,PLANNING_FC!$B$27:$B$46,0),FALSE),HLOOKUP($AB387&amp;$AD387,PLANNING_FC!$T$4:$AH$23,MATCH(STOCK_OVERVIEW!$Y387,PLANNING_FC!$B$4:$B$23,0),FALSE)),"")</f>
        <v>0</v>
      </c>
      <c r="AJ387" s="650">
        <f ca="1">IFERROR(IF($AA387="NOOS",HLOOKUP(STOCK_OVERVIEW!$AB387&amp;STOCK_OVERVIEW!$AD387,PLANNING_FC!$DA$27:$DO$46,MATCH(STOCK_OVERVIEW!$Y387,PLANNING_FC!$CZ$27:$CZ$46,0),FALSE),HLOOKUP($AB387&amp;$AD387,PLANNING_FC!$DA$4:$DO$23,MATCH(STOCK_OVERVIEW!$Y387,PLANNING_FC!$CZ$4:$CZ$23,0),FALSE)),"")</f>
        <v>220099</v>
      </c>
      <c r="AK387" s="651">
        <f ca="1">IFERROR(IF(AA387="NOOS",HLOOKUP(AB387&amp;AD387,PLANNING_FC!$AJ$27:$AY$47,MATCH(STOCK_OVERVIEW!Y387,PLANNING_FC!$AJ$27:$AJ$47,0),FALSE)*1000,HLOOKUP(AB387&amp;AD387,PLANNING_FC!$AJ$4:$AY$24,MATCH(STOCK_OVERVIEW!Y387,PLANNING_FC!$AJ$4:$AJ$24,0),FALSE)*1000),"")</f>
        <v>0</v>
      </c>
      <c r="AL387" s="638"/>
      <c r="AM387" s="638"/>
      <c r="AN387" s="638"/>
      <c r="AO387" s="638"/>
      <c r="AP387" s="638"/>
      <c r="AQ387" s="638"/>
      <c r="AR387" s="638"/>
      <c r="AS387" s="638"/>
    </row>
    <row r="388" spans="1:45" s="61" customFormat="1" x14ac:dyDescent="0.25">
      <c r="A388" s="62"/>
      <c r="F388" s="19"/>
      <c r="J388" s="19"/>
      <c r="N388" s="19"/>
      <c r="R388" s="19"/>
      <c r="S388" s="637"/>
      <c r="T388" s="637"/>
      <c r="U388" s="636"/>
      <c r="V388" s="637"/>
      <c r="W388" s="637"/>
      <c r="X388" s="465" t="str">
        <f t="shared" si="36"/>
        <v>VM</v>
      </c>
      <c r="Y388" s="206" t="str">
        <f t="shared" si="36"/>
        <v>SKIRTS</v>
      </c>
      <c r="Z388" s="25" t="str">
        <f t="shared" ca="1" si="31"/>
        <v>VMSKIRTS19/20Nov</v>
      </c>
      <c r="AA388" s="206" t="s">
        <v>197</v>
      </c>
      <c r="AB388" s="206" t="str">
        <f t="shared" ca="1" si="37"/>
        <v>19/20</v>
      </c>
      <c r="AC388" s="206" t="str">
        <f t="shared" ca="1" si="37"/>
        <v>Q2</v>
      </c>
      <c r="AD388" s="206" t="str">
        <f t="shared" ca="1" si="37"/>
        <v>Nov</v>
      </c>
      <c r="AE388" s="649">
        <f ca="1">IFERROR(HLOOKUP($AB388&amp;$AD388,'NWC_FC_NON-NOOS'!$C$4:$Q$24,MATCH($Y388,'NWC_FC_NON-NOOS'!$B$4:$B$24,0),FALSE),"")</f>
        <v>0</v>
      </c>
      <c r="AF388" s="650">
        <f ca="1">IFERROR(HLOOKUP($AB388&amp;$AD388,'NWC_FC_NON-NOOS'!$S$4:$AH$24,MATCH($Y388,'NWC_FC_NON-NOOS'!$S$4:$S$24,0),FALSE),"")</f>
        <v>0</v>
      </c>
      <c r="AG388" s="650">
        <f ca="1">IFERROR(HLOOKUP($AB388&amp;$AD388,'NWC_FC_NON-NOOS'!$B$50:$U$70,MATCH($Y388,'NWC_FC_NON-NOOS'!$B$50:$B$70,0),FALSE),"")</f>
        <v>0</v>
      </c>
      <c r="AH388" s="650">
        <f ca="1">IFERROR(IF($AA388="NOOS",HLOOKUP(STOCK_OVERVIEW!$AB388&amp;STOCK_OVERVIEW!$AD388,PLANNING_FC!$BB$27:$BP$46,MATCH(STOCK_OVERVIEW!$Y388,PLANNING_FC!$BA$27:$BA$46,0),FALSE),HLOOKUP($AB388&amp;$AD388,PLANNING_FC!$BB$4:$BP$23,MATCH(STOCK_OVERVIEW!$Y388,PLANNING_FC!$BA$4:$BA$23,0),FALSE)),"")</f>
        <v>0</v>
      </c>
      <c r="AI388" s="650">
        <f ca="1">IFERROR(IF($AA388="NOOS",HLOOKUP(STOCK_OVERVIEW!$AB388&amp;STOCK_OVERVIEW!$AD388,PLANNING_FC!$T$27:$AH$46,MATCH(STOCK_OVERVIEW!$Y388,PLANNING_FC!$B$27:$B$46,0),FALSE),HLOOKUP($AB388&amp;$AD388,PLANNING_FC!$T$4:$AH$23,MATCH(STOCK_OVERVIEW!$Y388,PLANNING_FC!$B$4:$B$23,0),FALSE)),"")</f>
        <v>0</v>
      </c>
      <c r="AJ388" s="650">
        <f ca="1">IFERROR(IF($AA388="NOOS",HLOOKUP(STOCK_OVERVIEW!$AB388&amp;STOCK_OVERVIEW!$AD388,PLANNING_FC!$DA$27:$DO$46,MATCH(STOCK_OVERVIEW!$Y388,PLANNING_FC!$CZ$27:$CZ$46,0),FALSE),HLOOKUP($AB388&amp;$AD388,PLANNING_FC!$DA$4:$DO$23,MATCH(STOCK_OVERVIEW!$Y388,PLANNING_FC!$CZ$4:$CZ$23,0),FALSE)),"")</f>
        <v>220099</v>
      </c>
      <c r="AK388" s="651">
        <f ca="1">IFERROR(IF(AA388="NOOS",HLOOKUP(AB388&amp;AD388,PLANNING_FC!$AJ$27:$AY$47,MATCH(STOCK_OVERVIEW!Y388,PLANNING_FC!$AJ$27:$AJ$47,0),FALSE)*1000,HLOOKUP(AB388&amp;AD388,PLANNING_FC!$AJ$4:$AY$24,MATCH(STOCK_OVERVIEW!Y388,PLANNING_FC!$AJ$4:$AJ$24,0),FALSE)*1000),"")</f>
        <v>0</v>
      </c>
      <c r="AL388" s="638"/>
      <c r="AM388" s="638"/>
      <c r="AN388" s="638"/>
      <c r="AO388" s="638"/>
      <c r="AP388" s="638"/>
      <c r="AQ388" s="638"/>
      <c r="AR388" s="638"/>
      <c r="AS388" s="638"/>
    </row>
    <row r="389" spans="1:45" s="61" customFormat="1" x14ac:dyDescent="0.25">
      <c r="A389" s="62"/>
      <c r="F389" s="19"/>
      <c r="J389" s="19"/>
      <c r="N389" s="19"/>
      <c r="R389" s="19"/>
      <c r="S389" s="637"/>
      <c r="T389" s="637"/>
      <c r="U389" s="636"/>
      <c r="V389" s="637"/>
      <c r="W389" s="637"/>
      <c r="X389" s="465" t="str">
        <f t="shared" si="36"/>
        <v>VM</v>
      </c>
      <c r="Y389" s="206" t="str">
        <f t="shared" si="36"/>
        <v>SKIRTS</v>
      </c>
      <c r="Z389" s="25" t="str">
        <f t="shared" ref="Z389:Z452" ca="1" si="38">X389&amp;Y389&amp;AB389&amp;AD389</f>
        <v>VMSKIRTS19/20Dec</v>
      </c>
      <c r="AA389" s="206" t="s">
        <v>197</v>
      </c>
      <c r="AB389" s="206" t="str">
        <f t="shared" ca="1" si="37"/>
        <v>19/20</v>
      </c>
      <c r="AC389" s="206" t="str">
        <f t="shared" ca="1" si="37"/>
        <v>Q2</v>
      </c>
      <c r="AD389" s="206" t="str">
        <f t="shared" ca="1" si="37"/>
        <v>Dec</v>
      </c>
      <c r="AE389" s="649">
        <f ca="1">IFERROR(HLOOKUP($AB389&amp;$AD389,'NWC_FC_NON-NOOS'!$C$4:$Q$24,MATCH($Y389,'NWC_FC_NON-NOOS'!$B$4:$B$24,0),FALSE),"")</f>
        <v>0</v>
      </c>
      <c r="AF389" s="650">
        <f ca="1">IFERROR(HLOOKUP($AB389&amp;$AD389,'NWC_FC_NON-NOOS'!$S$4:$AH$24,MATCH($Y389,'NWC_FC_NON-NOOS'!$S$4:$S$24,0),FALSE),"")</f>
        <v>0</v>
      </c>
      <c r="AG389" s="650">
        <f ca="1">IFERROR(HLOOKUP($AB389&amp;$AD389,'NWC_FC_NON-NOOS'!$B$50:$U$70,MATCH($Y389,'NWC_FC_NON-NOOS'!$B$50:$B$70,0),FALSE),"")</f>
        <v>0</v>
      </c>
      <c r="AH389" s="650">
        <f ca="1">IFERROR(IF($AA389="NOOS",HLOOKUP(STOCK_OVERVIEW!$AB389&amp;STOCK_OVERVIEW!$AD389,PLANNING_FC!$BB$27:$BP$46,MATCH(STOCK_OVERVIEW!$Y389,PLANNING_FC!$BA$27:$BA$46,0),FALSE),HLOOKUP($AB389&amp;$AD389,PLANNING_FC!$BB$4:$BP$23,MATCH(STOCK_OVERVIEW!$Y389,PLANNING_FC!$BA$4:$BA$23,0),FALSE)),"")</f>
        <v>0</v>
      </c>
      <c r="AI389" s="650">
        <f ca="1">IFERROR(IF($AA389="NOOS",HLOOKUP(STOCK_OVERVIEW!$AB389&amp;STOCK_OVERVIEW!$AD389,PLANNING_FC!$T$27:$AH$46,MATCH(STOCK_OVERVIEW!$Y389,PLANNING_FC!$B$27:$B$46,0),FALSE),HLOOKUP($AB389&amp;$AD389,PLANNING_FC!$T$4:$AH$23,MATCH(STOCK_OVERVIEW!$Y389,PLANNING_FC!$B$4:$B$23,0),FALSE)),"")</f>
        <v>0</v>
      </c>
      <c r="AJ389" s="650">
        <f ca="1">IFERROR(IF($AA389="NOOS",HLOOKUP(STOCK_OVERVIEW!$AB389&amp;STOCK_OVERVIEW!$AD389,PLANNING_FC!$DA$27:$DO$46,MATCH(STOCK_OVERVIEW!$Y389,PLANNING_FC!$CZ$27:$CZ$46,0),FALSE),HLOOKUP($AB389&amp;$AD389,PLANNING_FC!$DA$4:$DO$23,MATCH(STOCK_OVERVIEW!$Y389,PLANNING_FC!$CZ$4:$CZ$23,0),FALSE)),"")</f>
        <v>220099</v>
      </c>
      <c r="AK389" s="651">
        <f ca="1">IFERROR(IF(AA389="NOOS",HLOOKUP(AB389&amp;AD389,PLANNING_FC!$AJ$27:$AY$47,MATCH(STOCK_OVERVIEW!Y389,PLANNING_FC!$AJ$27:$AJ$47,0),FALSE)*1000,HLOOKUP(AB389&amp;AD389,PLANNING_FC!$AJ$4:$AY$24,MATCH(STOCK_OVERVIEW!Y389,PLANNING_FC!$AJ$4:$AJ$24,0),FALSE)*1000),"")</f>
        <v>0</v>
      </c>
      <c r="AL389" s="638"/>
      <c r="AM389" s="638"/>
      <c r="AN389" s="638"/>
      <c r="AO389" s="638"/>
      <c r="AP389" s="638"/>
      <c r="AQ389" s="638"/>
      <c r="AR389" s="638"/>
      <c r="AS389" s="638"/>
    </row>
    <row r="390" spans="1:45" s="61" customFormat="1" x14ac:dyDescent="0.25">
      <c r="A390" s="62"/>
      <c r="F390" s="19"/>
      <c r="J390" s="19"/>
      <c r="N390" s="19"/>
      <c r="R390" s="19"/>
      <c r="S390" s="637"/>
      <c r="T390" s="637"/>
      <c r="U390" s="636"/>
      <c r="V390" s="637"/>
      <c r="W390" s="637"/>
      <c r="X390" s="465" t="str">
        <f t="shared" si="36"/>
        <v>VM</v>
      </c>
      <c r="Y390" s="206" t="str">
        <f t="shared" si="36"/>
        <v>SKIRTS</v>
      </c>
      <c r="Z390" s="25" t="str">
        <f t="shared" ca="1" si="38"/>
        <v>VMSKIRTS19/20Jan</v>
      </c>
      <c r="AA390" s="206" t="s">
        <v>197</v>
      </c>
      <c r="AB390" s="206" t="str">
        <f t="shared" ca="1" si="37"/>
        <v>19/20</v>
      </c>
      <c r="AC390" s="206" t="str">
        <f t="shared" ca="1" si="37"/>
        <v>Q2</v>
      </c>
      <c r="AD390" s="206" t="str">
        <f t="shared" ca="1" si="37"/>
        <v>Jan</v>
      </c>
      <c r="AE390" s="649">
        <f ca="1">IFERROR(HLOOKUP($AB390&amp;$AD390,'NWC_FC_NON-NOOS'!$C$4:$Q$24,MATCH($Y390,'NWC_FC_NON-NOOS'!$B$4:$B$24,0),FALSE),"")</f>
        <v>0</v>
      </c>
      <c r="AF390" s="650">
        <f ca="1">IFERROR(HLOOKUP($AB390&amp;$AD390,'NWC_FC_NON-NOOS'!$S$4:$AH$24,MATCH($Y390,'NWC_FC_NON-NOOS'!$S$4:$S$24,0),FALSE),"")</f>
        <v>0</v>
      </c>
      <c r="AG390" s="650">
        <f ca="1">IFERROR(HLOOKUP($AB390&amp;$AD390,'NWC_FC_NON-NOOS'!$B$50:$U$70,MATCH($Y390,'NWC_FC_NON-NOOS'!$B$50:$B$70,0),FALSE),"")</f>
        <v>0</v>
      </c>
      <c r="AH390" s="650">
        <f ca="1">IFERROR(IF($AA390="NOOS",HLOOKUP(STOCK_OVERVIEW!$AB390&amp;STOCK_OVERVIEW!$AD390,PLANNING_FC!$BB$27:$BP$46,MATCH(STOCK_OVERVIEW!$Y390,PLANNING_FC!$BA$27:$BA$46,0),FALSE),HLOOKUP($AB390&amp;$AD390,PLANNING_FC!$BB$4:$BP$23,MATCH(STOCK_OVERVIEW!$Y390,PLANNING_FC!$BA$4:$BA$23,0),FALSE)),"")</f>
        <v>0</v>
      </c>
      <c r="AI390" s="650">
        <f ca="1">IFERROR(IF($AA390="NOOS",HLOOKUP(STOCK_OVERVIEW!$AB390&amp;STOCK_OVERVIEW!$AD390,PLANNING_FC!$T$27:$AH$46,MATCH(STOCK_OVERVIEW!$Y390,PLANNING_FC!$B$27:$B$46,0),FALSE),HLOOKUP($AB390&amp;$AD390,PLANNING_FC!$T$4:$AH$23,MATCH(STOCK_OVERVIEW!$Y390,PLANNING_FC!$B$4:$B$23,0),FALSE)),"")</f>
        <v>0</v>
      </c>
      <c r="AJ390" s="650">
        <f ca="1">IFERROR(IF($AA390="NOOS",HLOOKUP(STOCK_OVERVIEW!$AB390&amp;STOCK_OVERVIEW!$AD390,PLANNING_FC!$DA$27:$DO$46,MATCH(STOCK_OVERVIEW!$Y390,PLANNING_FC!$CZ$27:$CZ$46,0),FALSE),HLOOKUP($AB390&amp;$AD390,PLANNING_FC!$DA$4:$DO$23,MATCH(STOCK_OVERVIEW!$Y390,PLANNING_FC!$CZ$4:$CZ$23,0),FALSE)),"")</f>
        <v>220099</v>
      </c>
      <c r="AK390" s="651">
        <f ca="1">IFERROR(IF(AA390="NOOS",HLOOKUP(AB390&amp;AD390,PLANNING_FC!$AJ$27:$AY$47,MATCH(STOCK_OVERVIEW!Y390,PLANNING_FC!$AJ$27:$AJ$47,0),FALSE)*1000,HLOOKUP(AB390&amp;AD390,PLANNING_FC!$AJ$4:$AY$24,MATCH(STOCK_OVERVIEW!Y390,PLANNING_FC!$AJ$4:$AJ$24,0),FALSE)*1000),"")</f>
        <v>0</v>
      </c>
      <c r="AL390" s="638"/>
      <c r="AM390" s="638"/>
      <c r="AN390" s="638"/>
      <c r="AO390" s="638"/>
      <c r="AP390" s="638"/>
      <c r="AQ390" s="638"/>
      <c r="AR390" s="638"/>
      <c r="AS390" s="638"/>
    </row>
    <row r="391" spans="1:45" s="61" customFormat="1" x14ac:dyDescent="0.25">
      <c r="A391" s="62"/>
      <c r="F391" s="19"/>
      <c r="J391" s="19"/>
      <c r="N391" s="19"/>
      <c r="R391" s="19"/>
      <c r="S391" s="637"/>
      <c r="T391" s="637"/>
      <c r="U391" s="636"/>
      <c r="V391" s="637"/>
      <c r="W391" s="637"/>
      <c r="X391" s="465" t="str">
        <f t="shared" si="36"/>
        <v>VM</v>
      </c>
      <c r="Y391" s="206" t="str">
        <f t="shared" si="36"/>
        <v>SKIRTS</v>
      </c>
      <c r="Z391" s="25" t="str">
        <f t="shared" ca="1" si="38"/>
        <v>VMSKIRTS19/20Feb</v>
      </c>
      <c r="AA391" s="206" t="s">
        <v>197</v>
      </c>
      <c r="AB391" s="206" t="str">
        <f t="shared" ca="1" si="37"/>
        <v>19/20</v>
      </c>
      <c r="AC391" s="206" t="str">
        <f t="shared" ca="1" si="37"/>
        <v>Q3</v>
      </c>
      <c r="AD391" s="206" t="str">
        <f t="shared" ca="1" si="37"/>
        <v>Feb</v>
      </c>
      <c r="AE391" s="649" t="str">
        <f ca="1">IFERROR(HLOOKUP($AB391&amp;$AD391,'NWC_FC_NON-NOOS'!$C$4:$Q$24,MATCH($Y391,'NWC_FC_NON-NOOS'!$B$4:$B$24,0),FALSE),"")</f>
        <v/>
      </c>
      <c r="AF391" s="650" t="str">
        <f ca="1">IFERROR(HLOOKUP($AB391&amp;$AD391,'NWC_FC_NON-NOOS'!$S$4:$AH$24,MATCH($Y391,'NWC_FC_NON-NOOS'!$S$4:$S$24,0),FALSE),"")</f>
        <v/>
      </c>
      <c r="AG391" s="650">
        <f ca="1">IFERROR(HLOOKUP($AB391&amp;$AD391,'NWC_FC_NON-NOOS'!$B$50:$U$70,MATCH($Y391,'NWC_FC_NON-NOOS'!$B$50:$B$70,0),FALSE),"")</f>
        <v>0</v>
      </c>
      <c r="AH391" s="650" t="str">
        <f ca="1">IFERROR(IF($AA391="NOOS",HLOOKUP(STOCK_OVERVIEW!$AB391&amp;STOCK_OVERVIEW!$AD391,PLANNING_FC!$BB$27:$BP$46,MATCH(STOCK_OVERVIEW!$Y391,PLANNING_FC!$BA$27:$BA$46,0),FALSE),HLOOKUP($AB391&amp;$AD391,PLANNING_FC!$BB$4:$BP$23,MATCH(STOCK_OVERVIEW!$Y391,PLANNING_FC!$BA$4:$BA$23,0),FALSE)),"")</f>
        <v/>
      </c>
      <c r="AI391" s="650" t="str">
        <f ca="1">IFERROR(IF($AA391="NOOS",HLOOKUP(STOCK_OVERVIEW!$AB391&amp;STOCK_OVERVIEW!$AD391,PLANNING_FC!$T$27:$AH$46,MATCH(STOCK_OVERVIEW!$Y391,PLANNING_FC!$B$27:$B$46,0),FALSE),HLOOKUP($AB391&amp;$AD391,PLANNING_FC!$T$4:$AH$23,MATCH(STOCK_OVERVIEW!$Y391,PLANNING_FC!$B$4:$B$23,0),FALSE)),"")</f>
        <v/>
      </c>
      <c r="AJ391" s="650" t="str">
        <f ca="1">IFERROR(IF($AA391="NOOS",HLOOKUP(STOCK_OVERVIEW!$AB391&amp;STOCK_OVERVIEW!$AD391,PLANNING_FC!$DA$27:$DO$46,MATCH(STOCK_OVERVIEW!$Y391,PLANNING_FC!$CZ$27:$CZ$46,0),FALSE),HLOOKUP($AB391&amp;$AD391,PLANNING_FC!$DA$4:$DO$23,MATCH(STOCK_OVERVIEW!$Y391,PLANNING_FC!$CZ$4:$CZ$23,0),FALSE)),"")</f>
        <v/>
      </c>
      <c r="AK391" s="651" t="str">
        <f ca="1">IFERROR(IF(AA391="NOOS",HLOOKUP(AB391&amp;AD391,PLANNING_FC!$AJ$27:$AY$47,MATCH(STOCK_OVERVIEW!Y391,PLANNING_FC!$AJ$27:$AJ$47,0),FALSE)*1000,HLOOKUP(AB391&amp;AD391,PLANNING_FC!$AJ$4:$AY$24,MATCH(STOCK_OVERVIEW!Y391,PLANNING_FC!$AJ$4:$AJ$24,0),FALSE)*1000),"")</f>
        <v/>
      </c>
      <c r="AL391" s="638"/>
      <c r="AM391" s="638"/>
      <c r="AN391" s="638"/>
      <c r="AO391" s="638"/>
      <c r="AP391" s="638"/>
      <c r="AQ391" s="638"/>
      <c r="AR391" s="638"/>
      <c r="AS391" s="638"/>
    </row>
    <row r="392" spans="1:45" s="61" customFormat="1" x14ac:dyDescent="0.25">
      <c r="A392" s="62"/>
      <c r="F392" s="19"/>
      <c r="J392" s="19"/>
      <c r="N392" s="19"/>
      <c r="R392" s="19"/>
      <c r="S392" s="637"/>
      <c r="T392" s="637"/>
      <c r="U392" s="636"/>
      <c r="V392" s="637"/>
      <c r="W392" s="637"/>
      <c r="X392" s="465" t="str">
        <f t="shared" si="36"/>
        <v>VM</v>
      </c>
      <c r="Y392" s="206" t="str">
        <f t="shared" si="36"/>
        <v>SKIRTS</v>
      </c>
      <c r="Z392" s="25" t="str">
        <f t="shared" ca="1" si="38"/>
        <v>VMSKIRTS19/20Mar</v>
      </c>
      <c r="AA392" s="206" t="s">
        <v>197</v>
      </c>
      <c r="AB392" s="206" t="str">
        <f t="shared" ca="1" si="37"/>
        <v>19/20</v>
      </c>
      <c r="AC392" s="206" t="str">
        <f t="shared" ca="1" si="37"/>
        <v>Q3</v>
      </c>
      <c r="AD392" s="206" t="str">
        <f t="shared" ca="1" si="37"/>
        <v>Mar</v>
      </c>
      <c r="AE392" s="649" t="str">
        <f ca="1">IFERROR(HLOOKUP($AB392&amp;$AD392,'NWC_FC_NON-NOOS'!$C$4:$Q$24,MATCH($Y392,'NWC_FC_NON-NOOS'!$B$4:$B$24,0),FALSE),"")</f>
        <v/>
      </c>
      <c r="AF392" s="650" t="str">
        <f ca="1">IFERROR(HLOOKUP($AB392&amp;$AD392,'NWC_FC_NON-NOOS'!$S$4:$AH$24,MATCH($Y392,'NWC_FC_NON-NOOS'!$S$4:$S$24,0),FALSE),"")</f>
        <v/>
      </c>
      <c r="AG392" s="650">
        <f ca="1">IFERROR(HLOOKUP($AB392&amp;$AD392,'NWC_FC_NON-NOOS'!$B$50:$U$70,MATCH($Y392,'NWC_FC_NON-NOOS'!$B$50:$B$70,0),FALSE),"")</f>
        <v>0</v>
      </c>
      <c r="AH392" s="650" t="str">
        <f ca="1">IFERROR(IF($AA392="NOOS",HLOOKUP(STOCK_OVERVIEW!$AB392&amp;STOCK_OVERVIEW!$AD392,PLANNING_FC!$BB$27:$BP$46,MATCH(STOCK_OVERVIEW!$Y392,PLANNING_FC!$BA$27:$BA$46,0),FALSE),HLOOKUP($AB392&amp;$AD392,PLANNING_FC!$BB$4:$BP$23,MATCH(STOCK_OVERVIEW!$Y392,PLANNING_FC!$BA$4:$BA$23,0),FALSE)),"")</f>
        <v/>
      </c>
      <c r="AI392" s="650" t="str">
        <f ca="1">IFERROR(IF($AA392="NOOS",HLOOKUP(STOCK_OVERVIEW!$AB392&amp;STOCK_OVERVIEW!$AD392,PLANNING_FC!$T$27:$AH$46,MATCH(STOCK_OVERVIEW!$Y392,PLANNING_FC!$B$27:$B$46,0),FALSE),HLOOKUP($AB392&amp;$AD392,PLANNING_FC!$T$4:$AH$23,MATCH(STOCK_OVERVIEW!$Y392,PLANNING_FC!$B$4:$B$23,0),FALSE)),"")</f>
        <v/>
      </c>
      <c r="AJ392" s="650" t="str">
        <f ca="1">IFERROR(IF($AA392="NOOS",HLOOKUP(STOCK_OVERVIEW!$AB392&amp;STOCK_OVERVIEW!$AD392,PLANNING_FC!$DA$27:$DO$46,MATCH(STOCK_OVERVIEW!$Y392,PLANNING_FC!$CZ$27:$CZ$46,0),FALSE),HLOOKUP($AB392&amp;$AD392,PLANNING_FC!$DA$4:$DO$23,MATCH(STOCK_OVERVIEW!$Y392,PLANNING_FC!$CZ$4:$CZ$23,0),FALSE)),"")</f>
        <v/>
      </c>
      <c r="AK392" s="651" t="str">
        <f ca="1">IFERROR(IF(AA392="NOOS",HLOOKUP(AB392&amp;AD392,PLANNING_FC!$AJ$27:$AY$47,MATCH(STOCK_OVERVIEW!Y392,PLANNING_FC!$AJ$27:$AJ$47,0),FALSE)*1000,HLOOKUP(AB392&amp;AD392,PLANNING_FC!$AJ$4:$AY$24,MATCH(STOCK_OVERVIEW!Y392,PLANNING_FC!$AJ$4:$AJ$24,0),FALSE)*1000),"")</f>
        <v/>
      </c>
      <c r="AL392" s="638"/>
      <c r="AM392" s="638"/>
      <c r="AN392" s="638"/>
      <c r="AO392" s="638"/>
      <c r="AP392" s="638"/>
      <c r="AQ392" s="638"/>
      <c r="AR392" s="638"/>
      <c r="AS392" s="638"/>
    </row>
    <row r="393" spans="1:45" s="61" customFormat="1" x14ac:dyDescent="0.25">
      <c r="A393" s="62"/>
      <c r="F393" s="19"/>
      <c r="J393" s="19"/>
      <c r="N393" s="19"/>
      <c r="R393" s="19"/>
      <c r="S393" s="637"/>
      <c r="T393" s="637"/>
      <c r="U393" s="636"/>
      <c r="V393" s="637"/>
      <c r="W393" s="637"/>
      <c r="X393" s="465" t="str">
        <f t="shared" si="36"/>
        <v>VM</v>
      </c>
      <c r="Y393" s="206" t="str">
        <f t="shared" si="36"/>
        <v>SKIRTS</v>
      </c>
      <c r="Z393" s="25" t="str">
        <f t="shared" ca="1" si="38"/>
        <v>VMSKIRTS19/20Apr</v>
      </c>
      <c r="AA393" s="206" t="s">
        <v>197</v>
      </c>
      <c r="AB393" s="206" t="str">
        <f t="shared" ca="1" si="37"/>
        <v>19/20</v>
      </c>
      <c r="AC393" s="206" t="str">
        <f t="shared" ca="1" si="37"/>
        <v>Q3</v>
      </c>
      <c r="AD393" s="206" t="str">
        <f t="shared" ca="1" si="37"/>
        <v>Apr</v>
      </c>
      <c r="AE393" s="649" t="str">
        <f ca="1">IFERROR(HLOOKUP($AB393&amp;$AD393,'NWC_FC_NON-NOOS'!$C$4:$Q$24,MATCH($Y393,'NWC_FC_NON-NOOS'!$B$4:$B$24,0),FALSE),"")</f>
        <v/>
      </c>
      <c r="AF393" s="650" t="str">
        <f ca="1">IFERROR(HLOOKUP($AB393&amp;$AD393,'NWC_FC_NON-NOOS'!$S$4:$AH$24,MATCH($Y393,'NWC_FC_NON-NOOS'!$S$4:$S$24,0),FALSE),"")</f>
        <v/>
      </c>
      <c r="AG393" s="650">
        <f ca="1">IFERROR(HLOOKUP($AB393&amp;$AD393,'NWC_FC_NON-NOOS'!$B$50:$U$70,MATCH($Y393,'NWC_FC_NON-NOOS'!$B$50:$B$70,0),FALSE),"")</f>
        <v>0</v>
      </c>
      <c r="AH393" s="650" t="str">
        <f ca="1">IFERROR(IF($AA393="NOOS",HLOOKUP(STOCK_OVERVIEW!$AB393&amp;STOCK_OVERVIEW!$AD393,PLANNING_FC!$BB$27:$BP$46,MATCH(STOCK_OVERVIEW!$Y393,PLANNING_FC!$BA$27:$BA$46,0),FALSE),HLOOKUP($AB393&amp;$AD393,PLANNING_FC!$BB$4:$BP$23,MATCH(STOCK_OVERVIEW!$Y393,PLANNING_FC!$BA$4:$BA$23,0),FALSE)),"")</f>
        <v/>
      </c>
      <c r="AI393" s="650" t="str">
        <f ca="1">IFERROR(IF($AA393="NOOS",HLOOKUP(STOCK_OVERVIEW!$AB393&amp;STOCK_OVERVIEW!$AD393,PLANNING_FC!$T$27:$AH$46,MATCH(STOCK_OVERVIEW!$Y393,PLANNING_FC!$B$27:$B$46,0),FALSE),HLOOKUP($AB393&amp;$AD393,PLANNING_FC!$T$4:$AH$23,MATCH(STOCK_OVERVIEW!$Y393,PLANNING_FC!$B$4:$B$23,0),FALSE)),"")</f>
        <v/>
      </c>
      <c r="AJ393" s="650" t="str">
        <f ca="1">IFERROR(IF($AA393="NOOS",HLOOKUP(STOCK_OVERVIEW!$AB393&amp;STOCK_OVERVIEW!$AD393,PLANNING_FC!$DA$27:$DO$46,MATCH(STOCK_OVERVIEW!$Y393,PLANNING_FC!$CZ$27:$CZ$46,0),FALSE),HLOOKUP($AB393&amp;$AD393,PLANNING_FC!$DA$4:$DO$23,MATCH(STOCK_OVERVIEW!$Y393,PLANNING_FC!$CZ$4:$CZ$23,0),FALSE)),"")</f>
        <v/>
      </c>
      <c r="AK393" s="651" t="str">
        <f ca="1">IFERROR(IF(AA393="NOOS",HLOOKUP(AB393&amp;AD393,PLANNING_FC!$AJ$27:$AY$47,MATCH(STOCK_OVERVIEW!Y393,PLANNING_FC!$AJ$27:$AJ$47,0),FALSE)*1000,HLOOKUP(AB393&amp;AD393,PLANNING_FC!$AJ$4:$AY$24,MATCH(STOCK_OVERVIEW!Y393,PLANNING_FC!$AJ$4:$AJ$24,0),FALSE)*1000),"")</f>
        <v/>
      </c>
      <c r="AL393" s="638"/>
      <c r="AM393" s="638"/>
      <c r="AN393" s="638"/>
      <c r="AO393" s="638"/>
      <c r="AP393" s="638"/>
      <c r="AQ393" s="638"/>
      <c r="AR393" s="638"/>
      <c r="AS393" s="638"/>
    </row>
    <row r="394" spans="1:45" s="61" customFormat="1" x14ac:dyDescent="0.25">
      <c r="A394" s="62"/>
      <c r="F394" s="19"/>
      <c r="J394" s="19"/>
      <c r="N394" s="19"/>
      <c r="R394" s="19"/>
      <c r="S394" s="637"/>
      <c r="T394" s="637"/>
      <c r="U394" s="636"/>
      <c r="V394" s="637"/>
      <c r="W394" s="637"/>
      <c r="X394" s="465" t="str">
        <f t="shared" si="36"/>
        <v>VM</v>
      </c>
      <c r="Y394" s="206" t="str">
        <f t="shared" si="36"/>
        <v>SWEAT</v>
      </c>
      <c r="Z394" s="25" t="str">
        <f t="shared" ca="1" si="38"/>
        <v>VMSWEAT18/19Feb</v>
      </c>
      <c r="AA394" s="206" t="s">
        <v>197</v>
      </c>
      <c r="AB394" s="206" t="str">
        <f t="shared" ca="1" si="37"/>
        <v>18/19</v>
      </c>
      <c r="AC394" s="206" t="str">
        <f t="shared" ca="1" si="37"/>
        <v>Q3</v>
      </c>
      <c r="AD394" s="206" t="str">
        <f t="shared" ca="1" si="37"/>
        <v>Feb</v>
      </c>
      <c r="AE394" s="649">
        <f ca="1">IFERROR(HLOOKUP($AB394&amp;$AD394,'NWC_FC_NON-NOOS'!$C$4:$Q$24,MATCH($Y394,'NWC_FC_NON-NOOS'!$B$4:$B$24,0),FALSE),"")</f>
        <v>0</v>
      </c>
      <c r="AF394" s="650">
        <f ca="1">IFERROR(HLOOKUP($AB394&amp;$AD394,'NWC_FC_NON-NOOS'!$S$4:$AH$24,MATCH($Y394,'NWC_FC_NON-NOOS'!$S$4:$S$24,0),FALSE),"")</f>
        <v>0</v>
      </c>
      <c r="AG394" s="650">
        <f ca="1">IFERROR(HLOOKUP($AB394&amp;$AD394,'NWC_FC_NON-NOOS'!$B$50:$U$70,MATCH($Y394,'NWC_FC_NON-NOOS'!$B$50:$B$70,0),FALSE),"")</f>
        <v>0</v>
      </c>
      <c r="AH394" s="650">
        <f ca="1">IFERROR(IF($AA394="NOOS",HLOOKUP(STOCK_OVERVIEW!$AB394&amp;STOCK_OVERVIEW!$AD394,PLANNING_FC!$BB$27:$BP$46,MATCH(STOCK_OVERVIEW!$Y394,PLANNING_FC!$BA$27:$BA$46,0),FALSE),HLOOKUP($AB394&amp;$AD394,PLANNING_FC!$BB$4:$BP$23,MATCH(STOCK_OVERVIEW!$Y394,PLANNING_FC!$BA$4:$BA$23,0),FALSE)),"")</f>
        <v>0</v>
      </c>
      <c r="AI394" s="650">
        <f ca="1">IFERROR(IF($AA394="NOOS",HLOOKUP(STOCK_OVERVIEW!$AB394&amp;STOCK_OVERVIEW!$AD394,PLANNING_FC!$T$27:$AH$46,MATCH(STOCK_OVERVIEW!$Y394,PLANNING_FC!$B$27:$B$46,0),FALSE),HLOOKUP($AB394&amp;$AD394,PLANNING_FC!$T$4:$AH$23,MATCH(STOCK_OVERVIEW!$Y394,PLANNING_FC!$B$4:$B$23,0),FALSE)),"")</f>
        <v>0</v>
      </c>
      <c r="AJ394" s="650">
        <f ca="1">IFERROR(IF($AA394="NOOS",HLOOKUP(STOCK_OVERVIEW!$AB394&amp;STOCK_OVERVIEW!$AD394,PLANNING_FC!$DA$27:$DO$46,MATCH(STOCK_OVERVIEW!$Y394,PLANNING_FC!$CZ$27:$CZ$46,0),FALSE),HLOOKUP($AB394&amp;$AD394,PLANNING_FC!$DA$4:$DO$23,MATCH(STOCK_OVERVIEW!$Y394,PLANNING_FC!$CZ$4:$CZ$23,0),FALSE)),"")</f>
        <v>0</v>
      </c>
      <c r="AK394" s="651">
        <f ca="1">IFERROR(IF(AA394="NOOS",HLOOKUP(AB394&amp;AD394,PLANNING_FC!$AJ$27:$AY$47,MATCH(STOCK_OVERVIEW!Y394,PLANNING_FC!$AJ$27:$AJ$47,0),FALSE)*1000,HLOOKUP(AB394&amp;AD394,PLANNING_FC!$AJ$4:$AY$24,MATCH(STOCK_OVERVIEW!Y394,PLANNING_FC!$AJ$4:$AJ$24,0),FALSE)*1000),"")</f>
        <v>0</v>
      </c>
      <c r="AL394" s="638"/>
      <c r="AM394" s="638"/>
      <c r="AN394" s="638"/>
      <c r="AO394" s="638"/>
      <c r="AP394" s="638"/>
      <c r="AQ394" s="638"/>
      <c r="AR394" s="638"/>
      <c r="AS394" s="638"/>
    </row>
    <row r="395" spans="1:45" s="61" customFormat="1" x14ac:dyDescent="0.25">
      <c r="A395" s="62"/>
      <c r="F395" s="19"/>
      <c r="J395" s="19"/>
      <c r="N395" s="19"/>
      <c r="R395" s="19"/>
      <c r="S395" s="637"/>
      <c r="T395" s="637"/>
      <c r="U395" s="636"/>
      <c r="V395" s="637"/>
      <c r="W395" s="637"/>
      <c r="X395" s="465" t="str">
        <f t="shared" si="36"/>
        <v>VM</v>
      </c>
      <c r="Y395" s="206" t="str">
        <f t="shared" si="36"/>
        <v>SWEAT</v>
      </c>
      <c r="Z395" s="25" t="str">
        <f t="shared" ca="1" si="38"/>
        <v>VMSWEAT18/19Mar</v>
      </c>
      <c r="AA395" s="206" t="s">
        <v>197</v>
      </c>
      <c r="AB395" s="206" t="str">
        <f t="shared" ca="1" si="37"/>
        <v>18/19</v>
      </c>
      <c r="AC395" s="206" t="str">
        <f t="shared" ca="1" si="37"/>
        <v>Q3</v>
      </c>
      <c r="AD395" s="206" t="str">
        <f t="shared" ca="1" si="37"/>
        <v>Mar</v>
      </c>
      <c r="AE395" s="649">
        <f ca="1">IFERROR(HLOOKUP($AB395&amp;$AD395,'NWC_FC_NON-NOOS'!$C$4:$Q$24,MATCH($Y395,'NWC_FC_NON-NOOS'!$B$4:$B$24,0),FALSE),"")</f>
        <v>0</v>
      </c>
      <c r="AF395" s="650">
        <f ca="1">IFERROR(HLOOKUP($AB395&amp;$AD395,'NWC_FC_NON-NOOS'!$S$4:$AH$24,MATCH($Y395,'NWC_FC_NON-NOOS'!$S$4:$S$24,0),FALSE),"")</f>
        <v>0</v>
      </c>
      <c r="AG395" s="650">
        <f ca="1">IFERROR(HLOOKUP($AB395&amp;$AD395,'NWC_FC_NON-NOOS'!$B$50:$U$70,MATCH($Y395,'NWC_FC_NON-NOOS'!$B$50:$B$70,0),FALSE),"")</f>
        <v>0</v>
      </c>
      <c r="AH395" s="650">
        <f ca="1">IFERROR(IF($AA395="NOOS",HLOOKUP(STOCK_OVERVIEW!$AB395&amp;STOCK_OVERVIEW!$AD395,PLANNING_FC!$BB$27:$BP$46,MATCH(STOCK_OVERVIEW!$Y395,PLANNING_FC!$BA$27:$BA$46,0),FALSE),HLOOKUP($AB395&amp;$AD395,PLANNING_FC!$BB$4:$BP$23,MATCH(STOCK_OVERVIEW!$Y395,PLANNING_FC!$BA$4:$BA$23,0),FALSE)),"")</f>
        <v>0</v>
      </c>
      <c r="AI395" s="650">
        <f ca="1">IFERROR(IF($AA395="NOOS",HLOOKUP(STOCK_OVERVIEW!$AB395&amp;STOCK_OVERVIEW!$AD395,PLANNING_FC!$T$27:$AH$46,MATCH(STOCK_OVERVIEW!$Y395,PLANNING_FC!$B$27:$B$46,0),FALSE),HLOOKUP($AB395&amp;$AD395,PLANNING_FC!$T$4:$AH$23,MATCH(STOCK_OVERVIEW!$Y395,PLANNING_FC!$B$4:$B$23,0),FALSE)),"")</f>
        <v>0</v>
      </c>
      <c r="AJ395" s="650">
        <f ca="1">IFERROR(IF($AA395="NOOS",HLOOKUP(STOCK_OVERVIEW!$AB395&amp;STOCK_OVERVIEW!$AD395,PLANNING_FC!$DA$27:$DO$46,MATCH(STOCK_OVERVIEW!$Y395,PLANNING_FC!$CZ$27:$CZ$46,0),FALSE),HLOOKUP($AB395&amp;$AD395,PLANNING_FC!$DA$4:$DO$23,MATCH(STOCK_OVERVIEW!$Y395,PLANNING_FC!$CZ$4:$CZ$23,0),FALSE)),"")</f>
        <v>0</v>
      </c>
      <c r="AK395" s="651">
        <f ca="1">IFERROR(IF(AA395="NOOS",HLOOKUP(AB395&amp;AD395,PLANNING_FC!$AJ$27:$AY$47,MATCH(STOCK_OVERVIEW!Y395,PLANNING_FC!$AJ$27:$AJ$47,0),FALSE)*1000,HLOOKUP(AB395&amp;AD395,PLANNING_FC!$AJ$4:$AY$24,MATCH(STOCK_OVERVIEW!Y395,PLANNING_FC!$AJ$4:$AJ$24,0),FALSE)*1000),"")</f>
        <v>0</v>
      </c>
      <c r="AL395" s="638"/>
      <c r="AM395" s="638"/>
      <c r="AN395" s="638"/>
      <c r="AO395" s="638"/>
      <c r="AP395" s="638"/>
      <c r="AQ395" s="638"/>
      <c r="AR395" s="638"/>
      <c r="AS395" s="638"/>
    </row>
    <row r="396" spans="1:45" s="61" customFormat="1" x14ac:dyDescent="0.25">
      <c r="A396" s="62"/>
      <c r="F396" s="19"/>
      <c r="J396" s="19"/>
      <c r="N396" s="19"/>
      <c r="R396" s="19"/>
      <c r="S396" s="637"/>
      <c r="T396" s="637"/>
      <c r="U396" s="636"/>
      <c r="V396" s="637"/>
      <c r="W396" s="637"/>
      <c r="X396" s="465" t="str">
        <f t="shared" si="36"/>
        <v>VM</v>
      </c>
      <c r="Y396" s="206" t="str">
        <f t="shared" si="36"/>
        <v>SWEAT</v>
      </c>
      <c r="Z396" s="25" t="str">
        <f t="shared" ca="1" si="38"/>
        <v>VMSWEAT18/19Apr</v>
      </c>
      <c r="AA396" s="206" t="s">
        <v>197</v>
      </c>
      <c r="AB396" s="206" t="str">
        <f t="shared" ca="1" si="37"/>
        <v>18/19</v>
      </c>
      <c r="AC396" s="206" t="str">
        <f t="shared" ca="1" si="37"/>
        <v>Q3</v>
      </c>
      <c r="AD396" s="206" t="str">
        <f t="shared" ca="1" si="37"/>
        <v>Apr</v>
      </c>
      <c r="AE396" s="649">
        <f ca="1">IFERROR(HLOOKUP($AB396&amp;$AD396,'NWC_FC_NON-NOOS'!$C$4:$Q$24,MATCH($Y396,'NWC_FC_NON-NOOS'!$B$4:$B$24,0),FALSE),"")</f>
        <v>0</v>
      </c>
      <c r="AF396" s="650">
        <f ca="1">IFERROR(HLOOKUP($AB396&amp;$AD396,'NWC_FC_NON-NOOS'!$S$4:$AH$24,MATCH($Y396,'NWC_FC_NON-NOOS'!$S$4:$S$24,0),FALSE),"")</f>
        <v>0</v>
      </c>
      <c r="AG396" s="650">
        <f ca="1">IFERROR(HLOOKUP($AB396&amp;$AD396,'NWC_FC_NON-NOOS'!$B$50:$U$70,MATCH($Y396,'NWC_FC_NON-NOOS'!$B$50:$B$70,0),FALSE),"")</f>
        <v>0</v>
      </c>
      <c r="AH396" s="650">
        <f ca="1">IFERROR(IF($AA396="NOOS",HLOOKUP(STOCK_OVERVIEW!$AB396&amp;STOCK_OVERVIEW!$AD396,PLANNING_FC!$BB$27:$BP$46,MATCH(STOCK_OVERVIEW!$Y396,PLANNING_FC!$BA$27:$BA$46,0),FALSE),HLOOKUP($AB396&amp;$AD396,PLANNING_FC!$BB$4:$BP$23,MATCH(STOCK_OVERVIEW!$Y396,PLANNING_FC!$BA$4:$BA$23,0),FALSE)),"")</f>
        <v>0</v>
      </c>
      <c r="AI396" s="650">
        <f ca="1">IFERROR(IF($AA396="NOOS",HLOOKUP(STOCK_OVERVIEW!$AB396&amp;STOCK_OVERVIEW!$AD396,PLANNING_FC!$T$27:$AH$46,MATCH(STOCK_OVERVIEW!$Y396,PLANNING_FC!$B$27:$B$46,0),FALSE),HLOOKUP($AB396&amp;$AD396,PLANNING_FC!$T$4:$AH$23,MATCH(STOCK_OVERVIEW!$Y396,PLANNING_FC!$B$4:$B$23,0),FALSE)),"")</f>
        <v>0</v>
      </c>
      <c r="AJ396" s="650">
        <f ca="1">IFERROR(IF($AA396="NOOS",HLOOKUP(STOCK_OVERVIEW!$AB396&amp;STOCK_OVERVIEW!$AD396,PLANNING_FC!$DA$27:$DO$46,MATCH(STOCK_OVERVIEW!$Y396,PLANNING_FC!$CZ$27:$CZ$46,0),FALSE),HLOOKUP($AB396&amp;$AD396,PLANNING_FC!$DA$4:$DO$23,MATCH(STOCK_OVERVIEW!$Y396,PLANNING_FC!$CZ$4:$CZ$23,0),FALSE)),"")</f>
        <v>15720</v>
      </c>
      <c r="AK396" s="651">
        <f ca="1">IFERROR(IF(AA396="NOOS",HLOOKUP(AB396&amp;AD396,PLANNING_FC!$AJ$27:$AY$47,MATCH(STOCK_OVERVIEW!Y396,PLANNING_FC!$AJ$27:$AJ$47,0),FALSE)*1000,HLOOKUP(AB396&amp;AD396,PLANNING_FC!$AJ$4:$AY$24,MATCH(STOCK_OVERVIEW!Y396,PLANNING_FC!$AJ$4:$AJ$24,0),FALSE)*1000),"")</f>
        <v>0</v>
      </c>
      <c r="AL396" s="638"/>
      <c r="AM396" s="638"/>
      <c r="AN396" s="638"/>
      <c r="AO396" s="638"/>
      <c r="AP396" s="638"/>
      <c r="AQ396" s="638"/>
      <c r="AR396" s="638"/>
      <c r="AS396" s="638"/>
    </row>
    <row r="397" spans="1:45" s="61" customFormat="1" x14ac:dyDescent="0.25">
      <c r="A397" s="62"/>
      <c r="F397" s="19"/>
      <c r="J397" s="19"/>
      <c r="N397" s="19"/>
      <c r="R397" s="19"/>
      <c r="S397" s="637"/>
      <c r="T397" s="637"/>
      <c r="U397" s="636"/>
      <c r="V397" s="637"/>
      <c r="W397" s="637"/>
      <c r="X397" s="465" t="str">
        <f t="shared" si="36"/>
        <v>VM</v>
      </c>
      <c r="Y397" s="206" t="str">
        <f t="shared" si="36"/>
        <v>SWEAT</v>
      </c>
      <c r="Z397" s="25" t="str">
        <f t="shared" ca="1" si="38"/>
        <v>VMSWEAT18/19May</v>
      </c>
      <c r="AA397" s="206" t="s">
        <v>197</v>
      </c>
      <c r="AB397" s="206" t="str">
        <f t="shared" ca="1" si="37"/>
        <v>18/19</v>
      </c>
      <c r="AC397" s="206" t="str">
        <f t="shared" ca="1" si="37"/>
        <v>Q4</v>
      </c>
      <c r="AD397" s="206" t="str">
        <f t="shared" ca="1" si="37"/>
        <v>May</v>
      </c>
      <c r="AE397" s="649">
        <f ca="1">IFERROR(HLOOKUP($AB397&amp;$AD397,'NWC_FC_NON-NOOS'!$C$4:$Q$24,MATCH($Y397,'NWC_FC_NON-NOOS'!$B$4:$B$24,0),FALSE),"")</f>
        <v>0</v>
      </c>
      <c r="AF397" s="650">
        <f ca="1">IFERROR(HLOOKUP($AB397&amp;$AD397,'NWC_FC_NON-NOOS'!$S$4:$AH$24,MATCH($Y397,'NWC_FC_NON-NOOS'!$S$4:$S$24,0),FALSE),"")</f>
        <v>0</v>
      </c>
      <c r="AG397" s="650">
        <f ca="1">IFERROR(HLOOKUP($AB397&amp;$AD397,'NWC_FC_NON-NOOS'!$B$50:$U$70,MATCH($Y397,'NWC_FC_NON-NOOS'!$B$50:$B$70,0),FALSE),"")</f>
        <v>0</v>
      </c>
      <c r="AH397" s="650">
        <f ca="1">IFERROR(IF($AA397="NOOS",HLOOKUP(STOCK_OVERVIEW!$AB397&amp;STOCK_OVERVIEW!$AD397,PLANNING_FC!$BB$27:$BP$46,MATCH(STOCK_OVERVIEW!$Y397,PLANNING_FC!$BA$27:$BA$46,0),FALSE),HLOOKUP($AB397&amp;$AD397,PLANNING_FC!$BB$4:$BP$23,MATCH(STOCK_OVERVIEW!$Y397,PLANNING_FC!$BA$4:$BA$23,0),FALSE)),"")</f>
        <v>0</v>
      </c>
      <c r="AI397" s="650">
        <f ca="1">IFERROR(IF($AA397="NOOS",HLOOKUP(STOCK_OVERVIEW!$AB397&amp;STOCK_OVERVIEW!$AD397,PLANNING_FC!$T$27:$AH$46,MATCH(STOCK_OVERVIEW!$Y397,PLANNING_FC!$B$27:$B$46,0),FALSE),HLOOKUP($AB397&amp;$AD397,PLANNING_FC!$T$4:$AH$23,MATCH(STOCK_OVERVIEW!$Y397,PLANNING_FC!$B$4:$B$23,0),FALSE)),"")</f>
        <v>0</v>
      </c>
      <c r="AJ397" s="650">
        <f ca="1">IFERROR(IF($AA397="NOOS",HLOOKUP(STOCK_OVERVIEW!$AB397&amp;STOCK_OVERVIEW!$AD397,PLANNING_FC!$DA$27:$DO$46,MATCH(STOCK_OVERVIEW!$Y397,PLANNING_FC!$CZ$27:$CZ$46,0),FALSE),HLOOKUP($AB397&amp;$AD397,PLANNING_FC!$DA$4:$DO$23,MATCH(STOCK_OVERVIEW!$Y397,PLANNING_FC!$CZ$4:$CZ$23,0),FALSE)),"")</f>
        <v>15720</v>
      </c>
      <c r="AK397" s="651">
        <f ca="1">IFERROR(IF(AA397="NOOS",HLOOKUP(AB397&amp;AD397,PLANNING_FC!$AJ$27:$AY$47,MATCH(STOCK_OVERVIEW!Y397,PLANNING_FC!$AJ$27:$AJ$47,0),FALSE)*1000,HLOOKUP(AB397&amp;AD397,PLANNING_FC!$AJ$4:$AY$24,MATCH(STOCK_OVERVIEW!Y397,PLANNING_FC!$AJ$4:$AJ$24,0),FALSE)*1000),"")</f>
        <v>0</v>
      </c>
      <c r="AL397" s="638"/>
      <c r="AM397" s="638"/>
      <c r="AN397" s="638"/>
      <c r="AO397" s="638"/>
      <c r="AP397" s="638"/>
      <c r="AQ397" s="638"/>
      <c r="AR397" s="638"/>
      <c r="AS397" s="638"/>
    </row>
    <row r="398" spans="1:45" s="61" customFormat="1" x14ac:dyDescent="0.25">
      <c r="A398" s="62"/>
      <c r="F398" s="19"/>
      <c r="J398" s="19"/>
      <c r="N398" s="19"/>
      <c r="R398" s="19"/>
      <c r="S398" s="637"/>
      <c r="T398" s="637"/>
      <c r="U398" s="636"/>
      <c r="V398" s="637"/>
      <c r="W398" s="637"/>
      <c r="X398" s="465" t="str">
        <f t="shared" si="36"/>
        <v>VM</v>
      </c>
      <c r="Y398" s="206" t="str">
        <f t="shared" si="36"/>
        <v>SWEAT</v>
      </c>
      <c r="Z398" s="25" t="str">
        <f t="shared" ca="1" si="38"/>
        <v>VMSWEAT18/19Jun</v>
      </c>
      <c r="AA398" s="206" t="s">
        <v>197</v>
      </c>
      <c r="AB398" s="206" t="str">
        <f t="shared" ca="1" si="37"/>
        <v>18/19</v>
      </c>
      <c r="AC398" s="206" t="str">
        <f t="shared" ca="1" si="37"/>
        <v>Q4</v>
      </c>
      <c r="AD398" s="206" t="str">
        <f t="shared" ca="1" si="37"/>
        <v>Jun</v>
      </c>
      <c r="AE398" s="649">
        <f ca="1">IFERROR(HLOOKUP($AB398&amp;$AD398,'NWC_FC_NON-NOOS'!$C$4:$Q$24,MATCH($Y398,'NWC_FC_NON-NOOS'!$B$4:$B$24,0),FALSE),"")</f>
        <v>0</v>
      </c>
      <c r="AF398" s="650">
        <f ca="1">IFERROR(HLOOKUP($AB398&amp;$AD398,'NWC_FC_NON-NOOS'!$S$4:$AH$24,MATCH($Y398,'NWC_FC_NON-NOOS'!$S$4:$S$24,0),FALSE),"")</f>
        <v>0</v>
      </c>
      <c r="AG398" s="650">
        <f ca="1">IFERROR(HLOOKUP($AB398&amp;$AD398,'NWC_FC_NON-NOOS'!$B$50:$U$70,MATCH($Y398,'NWC_FC_NON-NOOS'!$B$50:$B$70,0),FALSE),"")</f>
        <v>0</v>
      </c>
      <c r="AH398" s="650">
        <f ca="1">IFERROR(IF($AA398="NOOS",HLOOKUP(STOCK_OVERVIEW!$AB398&amp;STOCK_OVERVIEW!$AD398,PLANNING_FC!$BB$27:$BP$46,MATCH(STOCK_OVERVIEW!$Y398,PLANNING_FC!$BA$27:$BA$46,0),FALSE),HLOOKUP($AB398&amp;$AD398,PLANNING_FC!$BB$4:$BP$23,MATCH(STOCK_OVERVIEW!$Y398,PLANNING_FC!$BA$4:$BA$23,0),FALSE)),"")</f>
        <v>0</v>
      </c>
      <c r="AI398" s="650">
        <f ca="1">IFERROR(IF($AA398="NOOS",HLOOKUP(STOCK_OVERVIEW!$AB398&amp;STOCK_OVERVIEW!$AD398,PLANNING_FC!$T$27:$AH$46,MATCH(STOCK_OVERVIEW!$Y398,PLANNING_FC!$B$27:$B$46,0),FALSE),HLOOKUP($AB398&amp;$AD398,PLANNING_FC!$T$4:$AH$23,MATCH(STOCK_OVERVIEW!$Y398,PLANNING_FC!$B$4:$B$23,0),FALSE)),"")</f>
        <v>0</v>
      </c>
      <c r="AJ398" s="650">
        <f ca="1">IFERROR(IF($AA398="NOOS",HLOOKUP(STOCK_OVERVIEW!$AB398&amp;STOCK_OVERVIEW!$AD398,PLANNING_FC!$DA$27:$DO$46,MATCH(STOCK_OVERVIEW!$Y398,PLANNING_FC!$CZ$27:$CZ$46,0),FALSE),HLOOKUP($AB398&amp;$AD398,PLANNING_FC!$DA$4:$DO$23,MATCH(STOCK_OVERVIEW!$Y398,PLANNING_FC!$CZ$4:$CZ$23,0),FALSE)),"")</f>
        <v>15720</v>
      </c>
      <c r="AK398" s="651">
        <f ca="1">IFERROR(IF(AA398="NOOS",HLOOKUP(AB398&amp;AD398,PLANNING_FC!$AJ$27:$AY$47,MATCH(STOCK_OVERVIEW!Y398,PLANNING_FC!$AJ$27:$AJ$47,0),FALSE)*1000,HLOOKUP(AB398&amp;AD398,PLANNING_FC!$AJ$4:$AY$24,MATCH(STOCK_OVERVIEW!Y398,PLANNING_FC!$AJ$4:$AJ$24,0),FALSE)*1000),"")</f>
        <v>0</v>
      </c>
      <c r="AL398" s="638"/>
      <c r="AM398" s="638"/>
      <c r="AN398" s="638"/>
      <c r="AO398" s="638"/>
      <c r="AP398" s="638"/>
      <c r="AQ398" s="638"/>
      <c r="AR398" s="638"/>
      <c r="AS398" s="638"/>
    </row>
    <row r="399" spans="1:45" x14ac:dyDescent="0.25">
      <c r="B399" s="61"/>
      <c r="C399" s="61"/>
      <c r="D399" s="61"/>
      <c r="E399" s="61"/>
      <c r="F399" s="19"/>
      <c r="G399" s="61"/>
      <c r="H399" s="61"/>
      <c r="I399" s="61"/>
      <c r="J399" s="19"/>
      <c r="K399" s="61"/>
      <c r="L399" s="61"/>
      <c r="M399" s="61"/>
      <c r="N399" s="19"/>
      <c r="O399" s="61"/>
      <c r="P399" s="61"/>
      <c r="Q399" s="61"/>
      <c r="R399" s="19"/>
      <c r="S399" s="637"/>
      <c r="T399" s="637"/>
      <c r="U399" s="636"/>
      <c r="V399" s="637"/>
      <c r="X399" s="465" t="str">
        <f t="shared" si="36"/>
        <v>VM</v>
      </c>
      <c r="Y399" s="206" t="str">
        <f t="shared" si="36"/>
        <v>SWEAT</v>
      </c>
      <c r="Z399" s="25" t="str">
        <f t="shared" ca="1" si="38"/>
        <v>VMSWEAT18/19Jul</v>
      </c>
      <c r="AA399" s="206" t="s">
        <v>197</v>
      </c>
      <c r="AB399" s="206" t="str">
        <f t="shared" ca="1" si="37"/>
        <v>18/19</v>
      </c>
      <c r="AC399" s="206" t="str">
        <f t="shared" ca="1" si="37"/>
        <v>Q4</v>
      </c>
      <c r="AD399" s="206" t="str">
        <f t="shared" ca="1" si="37"/>
        <v>Jul</v>
      </c>
      <c r="AE399" s="649">
        <f ca="1">IFERROR(HLOOKUP($AB399&amp;$AD399,'NWC_FC_NON-NOOS'!$C$4:$Q$24,MATCH($Y399,'NWC_FC_NON-NOOS'!$B$4:$B$24,0),FALSE),"")</f>
        <v>0</v>
      </c>
      <c r="AF399" s="650">
        <f ca="1">IFERROR(HLOOKUP($AB399&amp;$AD399,'NWC_FC_NON-NOOS'!$S$4:$AH$24,MATCH($Y399,'NWC_FC_NON-NOOS'!$S$4:$S$24,0),FALSE),"")</f>
        <v>0</v>
      </c>
      <c r="AG399" s="650">
        <f ca="1">IFERROR(HLOOKUP($AB399&amp;$AD399,'NWC_FC_NON-NOOS'!$B$50:$U$70,MATCH($Y399,'NWC_FC_NON-NOOS'!$B$50:$B$70,0),FALSE),"")</f>
        <v>0</v>
      </c>
      <c r="AH399" s="650">
        <f ca="1">IFERROR(IF($AA399="NOOS",HLOOKUP(STOCK_OVERVIEW!$AB399&amp;STOCK_OVERVIEW!$AD399,PLANNING_FC!$BB$27:$BP$46,MATCH(STOCK_OVERVIEW!$Y399,PLANNING_FC!$BA$27:$BA$46,0),FALSE),HLOOKUP($AB399&amp;$AD399,PLANNING_FC!$BB$4:$BP$23,MATCH(STOCK_OVERVIEW!$Y399,PLANNING_FC!$BA$4:$BA$23,0),FALSE)),"")</f>
        <v>0</v>
      </c>
      <c r="AI399" s="650">
        <f ca="1">IFERROR(IF($AA399="NOOS",HLOOKUP(STOCK_OVERVIEW!$AB399&amp;STOCK_OVERVIEW!$AD399,PLANNING_FC!$T$27:$AH$46,MATCH(STOCK_OVERVIEW!$Y399,PLANNING_FC!$B$27:$B$46,0),FALSE),HLOOKUP($AB399&amp;$AD399,PLANNING_FC!$T$4:$AH$23,MATCH(STOCK_OVERVIEW!$Y399,PLANNING_FC!$B$4:$B$23,0),FALSE)),"")</f>
        <v>0</v>
      </c>
      <c r="AJ399" s="650">
        <f ca="1">IFERROR(IF($AA399="NOOS",HLOOKUP(STOCK_OVERVIEW!$AB399&amp;STOCK_OVERVIEW!$AD399,PLANNING_FC!$DA$27:$DO$46,MATCH(STOCK_OVERVIEW!$Y399,PLANNING_FC!$CZ$27:$CZ$46,0),FALSE),HLOOKUP($AB399&amp;$AD399,PLANNING_FC!$DA$4:$DO$23,MATCH(STOCK_OVERVIEW!$Y399,PLANNING_FC!$CZ$4:$CZ$23,0),FALSE)),"")</f>
        <v>15720</v>
      </c>
      <c r="AK399" s="651">
        <f ca="1">IFERROR(IF(AA399="NOOS",HLOOKUP(AB399&amp;AD399,PLANNING_FC!$AJ$27:$AY$47,MATCH(STOCK_OVERVIEW!Y399,PLANNING_FC!$AJ$27:$AJ$47,0),FALSE)*1000,HLOOKUP(AB399&amp;AD399,PLANNING_FC!$AJ$4:$AY$24,MATCH(STOCK_OVERVIEW!Y399,PLANNING_FC!$AJ$4:$AJ$24,0),FALSE)*1000),"")</f>
        <v>0</v>
      </c>
    </row>
    <row r="400" spans="1:45" x14ac:dyDescent="0.25">
      <c r="B400" s="61"/>
      <c r="C400" s="61"/>
      <c r="D400" s="61"/>
      <c r="E400" s="61"/>
      <c r="F400" s="19"/>
      <c r="G400" s="61"/>
      <c r="H400" s="61"/>
      <c r="I400" s="61"/>
      <c r="J400" s="19"/>
      <c r="K400" s="61"/>
      <c r="L400" s="61"/>
      <c r="M400" s="61"/>
      <c r="N400" s="19"/>
      <c r="O400" s="61"/>
      <c r="P400" s="61"/>
      <c r="Q400" s="61"/>
      <c r="R400" s="19"/>
      <c r="S400" s="637"/>
      <c r="T400" s="637"/>
      <c r="U400" s="636"/>
      <c r="V400" s="637"/>
      <c r="X400" s="465" t="str">
        <f t="shared" si="36"/>
        <v>VM</v>
      </c>
      <c r="Y400" s="206" t="str">
        <f t="shared" si="36"/>
        <v>SWEAT</v>
      </c>
      <c r="Z400" s="25" t="str">
        <f t="shared" ca="1" si="38"/>
        <v>VMSWEAT19/20Aug</v>
      </c>
      <c r="AA400" s="206" t="s">
        <v>197</v>
      </c>
      <c r="AB400" s="206" t="str">
        <f t="shared" ca="1" si="37"/>
        <v>19/20</v>
      </c>
      <c r="AC400" s="206" t="str">
        <f t="shared" ca="1" si="37"/>
        <v>Q1</v>
      </c>
      <c r="AD400" s="206" t="str">
        <f t="shared" ca="1" si="37"/>
        <v>Aug</v>
      </c>
      <c r="AE400" s="649">
        <f ca="1">IFERROR(HLOOKUP($AB400&amp;$AD400,'NWC_FC_NON-NOOS'!$C$4:$Q$24,MATCH($Y400,'NWC_FC_NON-NOOS'!$B$4:$B$24,0),FALSE),"")</f>
        <v>0</v>
      </c>
      <c r="AF400" s="650">
        <f ca="1">IFERROR(HLOOKUP($AB400&amp;$AD400,'NWC_FC_NON-NOOS'!$S$4:$AH$24,MATCH($Y400,'NWC_FC_NON-NOOS'!$S$4:$S$24,0),FALSE),"")</f>
        <v>0</v>
      </c>
      <c r="AG400" s="650">
        <f ca="1">IFERROR(HLOOKUP($AB400&amp;$AD400,'NWC_FC_NON-NOOS'!$B$50:$U$70,MATCH($Y400,'NWC_FC_NON-NOOS'!$B$50:$B$70,0),FALSE),"")</f>
        <v>0</v>
      </c>
      <c r="AH400" s="650">
        <f ca="1">IFERROR(IF($AA400="NOOS",HLOOKUP(STOCK_OVERVIEW!$AB400&amp;STOCK_OVERVIEW!$AD400,PLANNING_FC!$BB$27:$BP$46,MATCH(STOCK_OVERVIEW!$Y400,PLANNING_FC!$BA$27:$BA$46,0),FALSE),HLOOKUP($AB400&amp;$AD400,PLANNING_FC!$BB$4:$BP$23,MATCH(STOCK_OVERVIEW!$Y400,PLANNING_FC!$BA$4:$BA$23,0),FALSE)),"")</f>
        <v>0</v>
      </c>
      <c r="AI400" s="650">
        <f ca="1">IFERROR(IF($AA400="NOOS",HLOOKUP(STOCK_OVERVIEW!$AB400&amp;STOCK_OVERVIEW!$AD400,PLANNING_FC!$T$27:$AH$46,MATCH(STOCK_OVERVIEW!$Y400,PLANNING_FC!$B$27:$B$46,0),FALSE),HLOOKUP($AB400&amp;$AD400,PLANNING_FC!$T$4:$AH$23,MATCH(STOCK_OVERVIEW!$Y400,PLANNING_FC!$B$4:$B$23,0),FALSE)),"")</f>
        <v>0</v>
      </c>
      <c r="AJ400" s="650">
        <f ca="1">IFERROR(IF($AA400="NOOS",HLOOKUP(STOCK_OVERVIEW!$AB400&amp;STOCK_OVERVIEW!$AD400,PLANNING_FC!$DA$27:$DO$46,MATCH(STOCK_OVERVIEW!$Y400,PLANNING_FC!$CZ$27:$CZ$46,0),FALSE),HLOOKUP($AB400&amp;$AD400,PLANNING_FC!$DA$4:$DO$23,MATCH(STOCK_OVERVIEW!$Y400,PLANNING_FC!$CZ$4:$CZ$23,0),FALSE)),"")</f>
        <v>15720</v>
      </c>
      <c r="AK400" s="651">
        <f ca="1">IFERROR(IF(AA400="NOOS",HLOOKUP(AB400&amp;AD400,PLANNING_FC!$AJ$27:$AY$47,MATCH(STOCK_OVERVIEW!Y400,PLANNING_FC!$AJ$27:$AJ$47,0),FALSE)*1000,HLOOKUP(AB400&amp;AD400,PLANNING_FC!$AJ$4:$AY$24,MATCH(STOCK_OVERVIEW!Y400,PLANNING_FC!$AJ$4:$AJ$24,0),FALSE)*1000),"")</f>
        <v>0</v>
      </c>
    </row>
    <row r="401" spans="2:37" x14ac:dyDescent="0.25">
      <c r="B401" s="61"/>
      <c r="C401" s="61"/>
      <c r="D401" s="61"/>
      <c r="E401" s="61"/>
      <c r="F401" s="19"/>
      <c r="G401" s="61"/>
      <c r="H401" s="61"/>
      <c r="I401" s="61"/>
      <c r="J401" s="19"/>
      <c r="K401" s="61"/>
      <c r="L401" s="61"/>
      <c r="M401" s="61"/>
      <c r="N401" s="19"/>
      <c r="O401" s="61"/>
      <c r="P401" s="61"/>
      <c r="Q401" s="61"/>
      <c r="R401" s="19"/>
      <c r="S401" s="637"/>
      <c r="T401" s="637"/>
      <c r="U401" s="636"/>
      <c r="V401" s="637"/>
      <c r="X401" s="465" t="str">
        <f t="shared" si="36"/>
        <v>VM</v>
      </c>
      <c r="Y401" s="206" t="str">
        <f t="shared" si="36"/>
        <v>SWEAT</v>
      </c>
      <c r="Z401" s="25" t="str">
        <f t="shared" ca="1" si="38"/>
        <v>VMSWEAT19/20Sep</v>
      </c>
      <c r="AA401" s="206" t="s">
        <v>197</v>
      </c>
      <c r="AB401" s="206" t="str">
        <f t="shared" ca="1" si="37"/>
        <v>19/20</v>
      </c>
      <c r="AC401" s="206" t="str">
        <f t="shared" ca="1" si="37"/>
        <v>Q1</v>
      </c>
      <c r="AD401" s="206" t="str">
        <f t="shared" ca="1" si="37"/>
        <v>Sep</v>
      </c>
      <c r="AE401" s="649">
        <f ca="1">IFERROR(HLOOKUP($AB401&amp;$AD401,'NWC_FC_NON-NOOS'!$C$4:$Q$24,MATCH($Y401,'NWC_FC_NON-NOOS'!$B$4:$B$24,0),FALSE),"")</f>
        <v>0</v>
      </c>
      <c r="AF401" s="650">
        <f ca="1">IFERROR(HLOOKUP($AB401&amp;$AD401,'NWC_FC_NON-NOOS'!$S$4:$AH$24,MATCH($Y401,'NWC_FC_NON-NOOS'!$S$4:$S$24,0),FALSE),"")</f>
        <v>0</v>
      </c>
      <c r="AG401" s="650">
        <f ca="1">IFERROR(HLOOKUP($AB401&amp;$AD401,'NWC_FC_NON-NOOS'!$B$50:$U$70,MATCH($Y401,'NWC_FC_NON-NOOS'!$B$50:$B$70,0),FALSE),"")</f>
        <v>0</v>
      </c>
      <c r="AH401" s="650">
        <f ca="1">IFERROR(IF($AA401="NOOS",HLOOKUP(STOCK_OVERVIEW!$AB401&amp;STOCK_OVERVIEW!$AD401,PLANNING_FC!$BB$27:$BP$46,MATCH(STOCK_OVERVIEW!$Y401,PLANNING_FC!$BA$27:$BA$46,0),FALSE),HLOOKUP($AB401&amp;$AD401,PLANNING_FC!$BB$4:$BP$23,MATCH(STOCK_OVERVIEW!$Y401,PLANNING_FC!$BA$4:$BA$23,0),FALSE)),"")</f>
        <v>0</v>
      </c>
      <c r="AI401" s="650">
        <f ca="1">IFERROR(IF($AA401="NOOS",HLOOKUP(STOCK_OVERVIEW!$AB401&amp;STOCK_OVERVIEW!$AD401,PLANNING_FC!$T$27:$AH$46,MATCH(STOCK_OVERVIEW!$Y401,PLANNING_FC!$B$27:$B$46,0),FALSE),HLOOKUP($AB401&amp;$AD401,PLANNING_FC!$T$4:$AH$23,MATCH(STOCK_OVERVIEW!$Y401,PLANNING_FC!$B$4:$B$23,0),FALSE)),"")</f>
        <v>0</v>
      </c>
      <c r="AJ401" s="650">
        <f ca="1">IFERROR(IF($AA401="NOOS",HLOOKUP(STOCK_OVERVIEW!$AB401&amp;STOCK_OVERVIEW!$AD401,PLANNING_FC!$DA$27:$DO$46,MATCH(STOCK_OVERVIEW!$Y401,PLANNING_FC!$CZ$27:$CZ$46,0),FALSE),HLOOKUP($AB401&amp;$AD401,PLANNING_FC!$DA$4:$DO$23,MATCH(STOCK_OVERVIEW!$Y401,PLANNING_FC!$CZ$4:$CZ$23,0),FALSE)),"")</f>
        <v>15720</v>
      </c>
      <c r="AK401" s="651">
        <f ca="1">IFERROR(IF(AA401="NOOS",HLOOKUP(AB401&amp;AD401,PLANNING_FC!$AJ$27:$AY$47,MATCH(STOCK_OVERVIEW!Y401,PLANNING_FC!$AJ$27:$AJ$47,0),FALSE)*1000,HLOOKUP(AB401&amp;AD401,PLANNING_FC!$AJ$4:$AY$24,MATCH(STOCK_OVERVIEW!Y401,PLANNING_FC!$AJ$4:$AJ$24,0),FALSE)*1000),"")</f>
        <v>0</v>
      </c>
    </row>
    <row r="402" spans="2:37" x14ac:dyDescent="0.25">
      <c r="X402" s="465" t="str">
        <f t="shared" si="36"/>
        <v>VM</v>
      </c>
      <c r="Y402" s="206" t="str">
        <f t="shared" si="36"/>
        <v>SWEAT</v>
      </c>
      <c r="Z402" s="25" t="str">
        <f t="shared" ca="1" si="38"/>
        <v>VMSWEAT19/20Oct</v>
      </c>
      <c r="AA402" s="206" t="s">
        <v>197</v>
      </c>
      <c r="AB402" s="206" t="str">
        <f t="shared" ca="1" si="37"/>
        <v>19/20</v>
      </c>
      <c r="AC402" s="206" t="str">
        <f t="shared" ca="1" si="37"/>
        <v>Q1</v>
      </c>
      <c r="AD402" s="206" t="str">
        <f t="shared" ca="1" si="37"/>
        <v>Oct</v>
      </c>
      <c r="AE402" s="649">
        <f ca="1">IFERROR(HLOOKUP($AB402&amp;$AD402,'NWC_FC_NON-NOOS'!$C$4:$Q$24,MATCH($Y402,'NWC_FC_NON-NOOS'!$B$4:$B$24,0),FALSE),"")</f>
        <v>0</v>
      </c>
      <c r="AF402" s="650">
        <f ca="1">IFERROR(HLOOKUP($AB402&amp;$AD402,'NWC_FC_NON-NOOS'!$S$4:$AH$24,MATCH($Y402,'NWC_FC_NON-NOOS'!$S$4:$S$24,0),FALSE),"")</f>
        <v>0</v>
      </c>
      <c r="AG402" s="650">
        <f ca="1">IFERROR(HLOOKUP($AB402&amp;$AD402,'NWC_FC_NON-NOOS'!$B$50:$U$70,MATCH($Y402,'NWC_FC_NON-NOOS'!$B$50:$B$70,0),FALSE),"")</f>
        <v>0</v>
      </c>
      <c r="AH402" s="650">
        <f ca="1">IFERROR(IF($AA402="NOOS",HLOOKUP(STOCK_OVERVIEW!$AB402&amp;STOCK_OVERVIEW!$AD402,PLANNING_FC!$BB$27:$BP$46,MATCH(STOCK_OVERVIEW!$Y402,PLANNING_FC!$BA$27:$BA$46,0),FALSE),HLOOKUP($AB402&amp;$AD402,PLANNING_FC!$BB$4:$BP$23,MATCH(STOCK_OVERVIEW!$Y402,PLANNING_FC!$BA$4:$BA$23,0),FALSE)),"")</f>
        <v>0</v>
      </c>
      <c r="AI402" s="650">
        <f ca="1">IFERROR(IF($AA402="NOOS",HLOOKUP(STOCK_OVERVIEW!$AB402&amp;STOCK_OVERVIEW!$AD402,PLANNING_FC!$T$27:$AH$46,MATCH(STOCK_OVERVIEW!$Y402,PLANNING_FC!$B$27:$B$46,0),FALSE),HLOOKUP($AB402&amp;$AD402,PLANNING_FC!$T$4:$AH$23,MATCH(STOCK_OVERVIEW!$Y402,PLANNING_FC!$B$4:$B$23,0),FALSE)),"")</f>
        <v>0</v>
      </c>
      <c r="AJ402" s="650">
        <f ca="1">IFERROR(IF($AA402="NOOS",HLOOKUP(STOCK_OVERVIEW!$AB402&amp;STOCK_OVERVIEW!$AD402,PLANNING_FC!$DA$27:$DO$46,MATCH(STOCK_OVERVIEW!$Y402,PLANNING_FC!$CZ$27:$CZ$46,0),FALSE),HLOOKUP($AB402&amp;$AD402,PLANNING_FC!$DA$4:$DO$23,MATCH(STOCK_OVERVIEW!$Y402,PLANNING_FC!$CZ$4:$CZ$23,0),FALSE)),"")</f>
        <v>15720</v>
      </c>
      <c r="AK402" s="651">
        <f ca="1">IFERROR(IF(AA402="NOOS",HLOOKUP(AB402&amp;AD402,PLANNING_FC!$AJ$27:$AY$47,MATCH(STOCK_OVERVIEW!Y402,PLANNING_FC!$AJ$27:$AJ$47,0),FALSE)*1000,HLOOKUP(AB402&amp;AD402,PLANNING_FC!$AJ$4:$AY$24,MATCH(STOCK_OVERVIEW!Y402,PLANNING_FC!$AJ$4:$AJ$24,0),FALSE)*1000),"")</f>
        <v>0</v>
      </c>
    </row>
    <row r="403" spans="2:37" x14ac:dyDescent="0.25">
      <c r="X403" s="465" t="str">
        <f t="shared" si="36"/>
        <v>VM</v>
      </c>
      <c r="Y403" s="206" t="str">
        <f t="shared" si="36"/>
        <v>SWEAT</v>
      </c>
      <c r="Z403" s="25" t="str">
        <f t="shared" ca="1" si="38"/>
        <v>VMSWEAT19/20Nov</v>
      </c>
      <c r="AA403" s="206" t="s">
        <v>197</v>
      </c>
      <c r="AB403" s="206" t="str">
        <f t="shared" ca="1" si="37"/>
        <v>19/20</v>
      </c>
      <c r="AC403" s="206" t="str">
        <f t="shared" ca="1" si="37"/>
        <v>Q2</v>
      </c>
      <c r="AD403" s="206" t="str">
        <f t="shared" ca="1" si="37"/>
        <v>Nov</v>
      </c>
      <c r="AE403" s="649">
        <f ca="1">IFERROR(HLOOKUP($AB403&amp;$AD403,'NWC_FC_NON-NOOS'!$C$4:$Q$24,MATCH($Y403,'NWC_FC_NON-NOOS'!$B$4:$B$24,0),FALSE),"")</f>
        <v>0</v>
      </c>
      <c r="AF403" s="650">
        <f ca="1">IFERROR(HLOOKUP($AB403&amp;$AD403,'NWC_FC_NON-NOOS'!$S$4:$AH$24,MATCH($Y403,'NWC_FC_NON-NOOS'!$S$4:$S$24,0),FALSE),"")</f>
        <v>0</v>
      </c>
      <c r="AG403" s="650">
        <f ca="1">IFERROR(HLOOKUP($AB403&amp;$AD403,'NWC_FC_NON-NOOS'!$B$50:$U$70,MATCH($Y403,'NWC_FC_NON-NOOS'!$B$50:$B$70,0),FALSE),"")</f>
        <v>0</v>
      </c>
      <c r="AH403" s="650">
        <f ca="1">IFERROR(IF($AA403="NOOS",HLOOKUP(STOCK_OVERVIEW!$AB403&amp;STOCK_OVERVIEW!$AD403,PLANNING_FC!$BB$27:$BP$46,MATCH(STOCK_OVERVIEW!$Y403,PLANNING_FC!$BA$27:$BA$46,0),FALSE),HLOOKUP($AB403&amp;$AD403,PLANNING_FC!$BB$4:$BP$23,MATCH(STOCK_OVERVIEW!$Y403,PLANNING_FC!$BA$4:$BA$23,0),FALSE)),"")</f>
        <v>0</v>
      </c>
      <c r="AI403" s="650">
        <f ca="1">IFERROR(IF($AA403="NOOS",HLOOKUP(STOCK_OVERVIEW!$AB403&amp;STOCK_OVERVIEW!$AD403,PLANNING_FC!$T$27:$AH$46,MATCH(STOCK_OVERVIEW!$Y403,PLANNING_FC!$B$27:$B$46,0),FALSE),HLOOKUP($AB403&amp;$AD403,PLANNING_FC!$T$4:$AH$23,MATCH(STOCK_OVERVIEW!$Y403,PLANNING_FC!$B$4:$B$23,0),FALSE)),"")</f>
        <v>0</v>
      </c>
      <c r="AJ403" s="650">
        <f ca="1">IFERROR(IF($AA403="NOOS",HLOOKUP(STOCK_OVERVIEW!$AB403&amp;STOCK_OVERVIEW!$AD403,PLANNING_FC!$DA$27:$DO$46,MATCH(STOCK_OVERVIEW!$Y403,PLANNING_FC!$CZ$27:$CZ$46,0),FALSE),HLOOKUP($AB403&amp;$AD403,PLANNING_FC!$DA$4:$DO$23,MATCH(STOCK_OVERVIEW!$Y403,PLANNING_FC!$CZ$4:$CZ$23,0),FALSE)),"")</f>
        <v>15720</v>
      </c>
      <c r="AK403" s="651">
        <f ca="1">IFERROR(IF(AA403="NOOS",HLOOKUP(AB403&amp;AD403,PLANNING_FC!$AJ$27:$AY$47,MATCH(STOCK_OVERVIEW!Y403,PLANNING_FC!$AJ$27:$AJ$47,0),FALSE)*1000,HLOOKUP(AB403&amp;AD403,PLANNING_FC!$AJ$4:$AY$24,MATCH(STOCK_OVERVIEW!Y403,PLANNING_FC!$AJ$4:$AJ$24,0),FALSE)*1000),"")</f>
        <v>0</v>
      </c>
    </row>
    <row r="404" spans="2:37" x14ac:dyDescent="0.25">
      <c r="X404" s="465" t="str">
        <f t="shared" ref="X404:Y423" si="39">X164</f>
        <v>VM</v>
      </c>
      <c r="Y404" s="206" t="str">
        <f t="shared" si="39"/>
        <v>SWEAT</v>
      </c>
      <c r="Z404" s="25" t="str">
        <f t="shared" ca="1" si="38"/>
        <v>VMSWEAT19/20Dec</v>
      </c>
      <c r="AA404" s="206" t="s">
        <v>197</v>
      </c>
      <c r="AB404" s="206" t="str">
        <f t="shared" ref="AB404:AD423" ca="1" si="40">AB164</f>
        <v>19/20</v>
      </c>
      <c r="AC404" s="206" t="str">
        <f t="shared" ca="1" si="40"/>
        <v>Q2</v>
      </c>
      <c r="AD404" s="206" t="str">
        <f t="shared" ca="1" si="40"/>
        <v>Dec</v>
      </c>
      <c r="AE404" s="649">
        <f ca="1">IFERROR(HLOOKUP($AB404&amp;$AD404,'NWC_FC_NON-NOOS'!$C$4:$Q$24,MATCH($Y404,'NWC_FC_NON-NOOS'!$B$4:$B$24,0),FALSE),"")</f>
        <v>0</v>
      </c>
      <c r="AF404" s="650">
        <f ca="1">IFERROR(HLOOKUP($AB404&amp;$AD404,'NWC_FC_NON-NOOS'!$S$4:$AH$24,MATCH($Y404,'NWC_FC_NON-NOOS'!$S$4:$S$24,0),FALSE),"")</f>
        <v>0</v>
      </c>
      <c r="AG404" s="650">
        <f ca="1">IFERROR(HLOOKUP($AB404&amp;$AD404,'NWC_FC_NON-NOOS'!$B$50:$U$70,MATCH($Y404,'NWC_FC_NON-NOOS'!$B$50:$B$70,0),FALSE),"")</f>
        <v>0</v>
      </c>
      <c r="AH404" s="650">
        <f ca="1">IFERROR(IF($AA404="NOOS",HLOOKUP(STOCK_OVERVIEW!$AB404&amp;STOCK_OVERVIEW!$AD404,PLANNING_FC!$BB$27:$BP$46,MATCH(STOCK_OVERVIEW!$Y404,PLANNING_FC!$BA$27:$BA$46,0),FALSE),HLOOKUP($AB404&amp;$AD404,PLANNING_FC!$BB$4:$BP$23,MATCH(STOCK_OVERVIEW!$Y404,PLANNING_FC!$BA$4:$BA$23,0),FALSE)),"")</f>
        <v>0</v>
      </c>
      <c r="AI404" s="650">
        <f ca="1">IFERROR(IF($AA404="NOOS",HLOOKUP(STOCK_OVERVIEW!$AB404&amp;STOCK_OVERVIEW!$AD404,PLANNING_FC!$T$27:$AH$46,MATCH(STOCK_OVERVIEW!$Y404,PLANNING_FC!$B$27:$B$46,0),FALSE),HLOOKUP($AB404&amp;$AD404,PLANNING_FC!$T$4:$AH$23,MATCH(STOCK_OVERVIEW!$Y404,PLANNING_FC!$B$4:$B$23,0),FALSE)),"")</f>
        <v>0</v>
      </c>
      <c r="AJ404" s="650">
        <f ca="1">IFERROR(IF($AA404="NOOS",HLOOKUP(STOCK_OVERVIEW!$AB404&amp;STOCK_OVERVIEW!$AD404,PLANNING_FC!$DA$27:$DO$46,MATCH(STOCK_OVERVIEW!$Y404,PLANNING_FC!$CZ$27:$CZ$46,0),FALSE),HLOOKUP($AB404&amp;$AD404,PLANNING_FC!$DA$4:$DO$23,MATCH(STOCK_OVERVIEW!$Y404,PLANNING_FC!$CZ$4:$CZ$23,0),FALSE)),"")</f>
        <v>15720</v>
      </c>
      <c r="AK404" s="651">
        <f ca="1">IFERROR(IF(AA404="NOOS",HLOOKUP(AB404&amp;AD404,PLANNING_FC!$AJ$27:$AY$47,MATCH(STOCK_OVERVIEW!Y404,PLANNING_FC!$AJ$27:$AJ$47,0),FALSE)*1000,HLOOKUP(AB404&amp;AD404,PLANNING_FC!$AJ$4:$AY$24,MATCH(STOCK_OVERVIEW!Y404,PLANNING_FC!$AJ$4:$AJ$24,0),FALSE)*1000),"")</f>
        <v>0</v>
      </c>
    </row>
    <row r="405" spans="2:37" x14ac:dyDescent="0.25">
      <c r="X405" s="465" t="str">
        <f t="shared" si="39"/>
        <v>VM</v>
      </c>
      <c r="Y405" s="206" t="str">
        <f t="shared" si="39"/>
        <v>SWEAT</v>
      </c>
      <c r="Z405" s="25" t="str">
        <f t="shared" ca="1" si="38"/>
        <v>VMSWEAT19/20Jan</v>
      </c>
      <c r="AA405" s="206" t="s">
        <v>197</v>
      </c>
      <c r="AB405" s="206" t="str">
        <f t="shared" ca="1" si="40"/>
        <v>19/20</v>
      </c>
      <c r="AC405" s="206" t="str">
        <f t="shared" ca="1" si="40"/>
        <v>Q2</v>
      </c>
      <c r="AD405" s="206" t="str">
        <f t="shared" ca="1" si="40"/>
        <v>Jan</v>
      </c>
      <c r="AE405" s="649">
        <f ca="1">IFERROR(HLOOKUP($AB405&amp;$AD405,'NWC_FC_NON-NOOS'!$C$4:$Q$24,MATCH($Y405,'NWC_FC_NON-NOOS'!$B$4:$B$24,0),FALSE),"")</f>
        <v>0</v>
      </c>
      <c r="AF405" s="650">
        <f ca="1">IFERROR(HLOOKUP($AB405&amp;$AD405,'NWC_FC_NON-NOOS'!$S$4:$AH$24,MATCH($Y405,'NWC_FC_NON-NOOS'!$S$4:$S$24,0),FALSE),"")</f>
        <v>0</v>
      </c>
      <c r="AG405" s="650">
        <f ca="1">IFERROR(HLOOKUP($AB405&amp;$AD405,'NWC_FC_NON-NOOS'!$B$50:$U$70,MATCH($Y405,'NWC_FC_NON-NOOS'!$B$50:$B$70,0),FALSE),"")</f>
        <v>0</v>
      </c>
      <c r="AH405" s="650">
        <f ca="1">IFERROR(IF($AA405="NOOS",HLOOKUP(STOCK_OVERVIEW!$AB405&amp;STOCK_OVERVIEW!$AD405,PLANNING_FC!$BB$27:$BP$46,MATCH(STOCK_OVERVIEW!$Y405,PLANNING_FC!$BA$27:$BA$46,0),FALSE),HLOOKUP($AB405&amp;$AD405,PLANNING_FC!$BB$4:$BP$23,MATCH(STOCK_OVERVIEW!$Y405,PLANNING_FC!$BA$4:$BA$23,0),FALSE)),"")</f>
        <v>0</v>
      </c>
      <c r="AI405" s="650">
        <f ca="1">IFERROR(IF($AA405="NOOS",HLOOKUP(STOCK_OVERVIEW!$AB405&amp;STOCK_OVERVIEW!$AD405,PLANNING_FC!$T$27:$AH$46,MATCH(STOCK_OVERVIEW!$Y405,PLANNING_FC!$B$27:$B$46,0),FALSE),HLOOKUP($AB405&amp;$AD405,PLANNING_FC!$T$4:$AH$23,MATCH(STOCK_OVERVIEW!$Y405,PLANNING_FC!$B$4:$B$23,0),FALSE)),"")</f>
        <v>0</v>
      </c>
      <c r="AJ405" s="650">
        <f ca="1">IFERROR(IF($AA405="NOOS",HLOOKUP(STOCK_OVERVIEW!$AB405&amp;STOCK_OVERVIEW!$AD405,PLANNING_FC!$DA$27:$DO$46,MATCH(STOCK_OVERVIEW!$Y405,PLANNING_FC!$CZ$27:$CZ$46,0),FALSE),HLOOKUP($AB405&amp;$AD405,PLANNING_FC!$DA$4:$DO$23,MATCH(STOCK_OVERVIEW!$Y405,PLANNING_FC!$CZ$4:$CZ$23,0),FALSE)),"")</f>
        <v>15720</v>
      </c>
      <c r="AK405" s="651">
        <f ca="1">IFERROR(IF(AA405="NOOS",HLOOKUP(AB405&amp;AD405,PLANNING_FC!$AJ$27:$AY$47,MATCH(STOCK_OVERVIEW!Y405,PLANNING_FC!$AJ$27:$AJ$47,0),FALSE)*1000,HLOOKUP(AB405&amp;AD405,PLANNING_FC!$AJ$4:$AY$24,MATCH(STOCK_OVERVIEW!Y405,PLANNING_FC!$AJ$4:$AJ$24,0),FALSE)*1000),"")</f>
        <v>0</v>
      </c>
    </row>
    <row r="406" spans="2:37" x14ac:dyDescent="0.25">
      <c r="X406" s="465" t="str">
        <f t="shared" si="39"/>
        <v>VM</v>
      </c>
      <c r="Y406" s="206" t="str">
        <f t="shared" si="39"/>
        <v>SWEAT</v>
      </c>
      <c r="Z406" s="25" t="str">
        <f t="shared" ca="1" si="38"/>
        <v>VMSWEAT19/20Feb</v>
      </c>
      <c r="AA406" s="206" t="s">
        <v>197</v>
      </c>
      <c r="AB406" s="206" t="str">
        <f t="shared" ca="1" si="40"/>
        <v>19/20</v>
      </c>
      <c r="AC406" s="206" t="str">
        <f t="shared" ca="1" si="40"/>
        <v>Q3</v>
      </c>
      <c r="AD406" s="206" t="str">
        <f t="shared" ca="1" si="40"/>
        <v>Feb</v>
      </c>
      <c r="AE406" s="649" t="str">
        <f ca="1">IFERROR(HLOOKUP($AB406&amp;$AD406,'NWC_FC_NON-NOOS'!$C$4:$Q$24,MATCH($Y406,'NWC_FC_NON-NOOS'!$B$4:$B$24,0),FALSE),"")</f>
        <v/>
      </c>
      <c r="AF406" s="650" t="str">
        <f ca="1">IFERROR(HLOOKUP($AB406&amp;$AD406,'NWC_FC_NON-NOOS'!$S$4:$AH$24,MATCH($Y406,'NWC_FC_NON-NOOS'!$S$4:$S$24,0),FALSE),"")</f>
        <v/>
      </c>
      <c r="AG406" s="650">
        <f ca="1">IFERROR(HLOOKUP($AB406&amp;$AD406,'NWC_FC_NON-NOOS'!$B$50:$U$70,MATCH($Y406,'NWC_FC_NON-NOOS'!$B$50:$B$70,0),FALSE),"")</f>
        <v>0</v>
      </c>
      <c r="AH406" s="650" t="str">
        <f ca="1">IFERROR(IF($AA406="NOOS",HLOOKUP(STOCK_OVERVIEW!$AB406&amp;STOCK_OVERVIEW!$AD406,PLANNING_FC!$BB$27:$BP$46,MATCH(STOCK_OVERVIEW!$Y406,PLANNING_FC!$BA$27:$BA$46,0),FALSE),HLOOKUP($AB406&amp;$AD406,PLANNING_FC!$BB$4:$BP$23,MATCH(STOCK_OVERVIEW!$Y406,PLANNING_FC!$BA$4:$BA$23,0),FALSE)),"")</f>
        <v/>
      </c>
      <c r="AI406" s="650" t="str">
        <f ca="1">IFERROR(IF($AA406="NOOS",HLOOKUP(STOCK_OVERVIEW!$AB406&amp;STOCK_OVERVIEW!$AD406,PLANNING_FC!$T$27:$AH$46,MATCH(STOCK_OVERVIEW!$Y406,PLANNING_FC!$B$27:$B$46,0),FALSE),HLOOKUP($AB406&amp;$AD406,PLANNING_FC!$T$4:$AH$23,MATCH(STOCK_OVERVIEW!$Y406,PLANNING_FC!$B$4:$B$23,0),FALSE)),"")</f>
        <v/>
      </c>
      <c r="AJ406" s="650" t="str">
        <f ca="1">IFERROR(IF($AA406="NOOS",HLOOKUP(STOCK_OVERVIEW!$AB406&amp;STOCK_OVERVIEW!$AD406,PLANNING_FC!$DA$27:$DO$46,MATCH(STOCK_OVERVIEW!$Y406,PLANNING_FC!$CZ$27:$CZ$46,0),FALSE),HLOOKUP($AB406&amp;$AD406,PLANNING_FC!$DA$4:$DO$23,MATCH(STOCK_OVERVIEW!$Y406,PLANNING_FC!$CZ$4:$CZ$23,0),FALSE)),"")</f>
        <v/>
      </c>
      <c r="AK406" s="651" t="str">
        <f ca="1">IFERROR(IF(AA406="NOOS",HLOOKUP(AB406&amp;AD406,PLANNING_FC!$AJ$27:$AY$47,MATCH(STOCK_OVERVIEW!Y406,PLANNING_FC!$AJ$27:$AJ$47,0),FALSE)*1000,HLOOKUP(AB406&amp;AD406,PLANNING_FC!$AJ$4:$AY$24,MATCH(STOCK_OVERVIEW!Y406,PLANNING_FC!$AJ$4:$AJ$24,0),FALSE)*1000),"")</f>
        <v/>
      </c>
    </row>
    <row r="407" spans="2:37" x14ac:dyDescent="0.25">
      <c r="X407" s="465" t="str">
        <f t="shared" si="39"/>
        <v>VM</v>
      </c>
      <c r="Y407" s="206" t="str">
        <f t="shared" si="39"/>
        <v>SWEAT</v>
      </c>
      <c r="Z407" s="25" t="str">
        <f t="shared" ca="1" si="38"/>
        <v>VMSWEAT19/20Mar</v>
      </c>
      <c r="AA407" s="206" t="s">
        <v>197</v>
      </c>
      <c r="AB407" s="206" t="str">
        <f t="shared" ca="1" si="40"/>
        <v>19/20</v>
      </c>
      <c r="AC407" s="206" t="str">
        <f t="shared" ca="1" si="40"/>
        <v>Q3</v>
      </c>
      <c r="AD407" s="206" t="str">
        <f t="shared" ca="1" si="40"/>
        <v>Mar</v>
      </c>
      <c r="AE407" s="649" t="str">
        <f ca="1">IFERROR(HLOOKUP($AB407&amp;$AD407,'NWC_FC_NON-NOOS'!$C$4:$Q$24,MATCH($Y407,'NWC_FC_NON-NOOS'!$B$4:$B$24,0),FALSE),"")</f>
        <v/>
      </c>
      <c r="AF407" s="650" t="str">
        <f ca="1">IFERROR(HLOOKUP($AB407&amp;$AD407,'NWC_FC_NON-NOOS'!$S$4:$AH$24,MATCH($Y407,'NWC_FC_NON-NOOS'!$S$4:$S$24,0),FALSE),"")</f>
        <v/>
      </c>
      <c r="AG407" s="650">
        <f ca="1">IFERROR(HLOOKUP($AB407&amp;$AD407,'NWC_FC_NON-NOOS'!$B$50:$U$70,MATCH($Y407,'NWC_FC_NON-NOOS'!$B$50:$B$70,0),FALSE),"")</f>
        <v>0</v>
      </c>
      <c r="AH407" s="650" t="str">
        <f ca="1">IFERROR(IF($AA407="NOOS",HLOOKUP(STOCK_OVERVIEW!$AB407&amp;STOCK_OVERVIEW!$AD407,PLANNING_FC!$BB$27:$BP$46,MATCH(STOCK_OVERVIEW!$Y407,PLANNING_FC!$BA$27:$BA$46,0),FALSE),HLOOKUP($AB407&amp;$AD407,PLANNING_FC!$BB$4:$BP$23,MATCH(STOCK_OVERVIEW!$Y407,PLANNING_FC!$BA$4:$BA$23,0),FALSE)),"")</f>
        <v/>
      </c>
      <c r="AI407" s="650" t="str">
        <f ca="1">IFERROR(IF($AA407="NOOS",HLOOKUP(STOCK_OVERVIEW!$AB407&amp;STOCK_OVERVIEW!$AD407,PLANNING_FC!$T$27:$AH$46,MATCH(STOCK_OVERVIEW!$Y407,PLANNING_FC!$B$27:$B$46,0),FALSE),HLOOKUP($AB407&amp;$AD407,PLANNING_FC!$T$4:$AH$23,MATCH(STOCK_OVERVIEW!$Y407,PLANNING_FC!$B$4:$B$23,0),FALSE)),"")</f>
        <v/>
      </c>
      <c r="AJ407" s="650" t="str">
        <f ca="1">IFERROR(IF($AA407="NOOS",HLOOKUP(STOCK_OVERVIEW!$AB407&amp;STOCK_OVERVIEW!$AD407,PLANNING_FC!$DA$27:$DO$46,MATCH(STOCK_OVERVIEW!$Y407,PLANNING_FC!$CZ$27:$CZ$46,0),FALSE),HLOOKUP($AB407&amp;$AD407,PLANNING_FC!$DA$4:$DO$23,MATCH(STOCK_OVERVIEW!$Y407,PLANNING_FC!$CZ$4:$CZ$23,0),FALSE)),"")</f>
        <v/>
      </c>
      <c r="AK407" s="651" t="str">
        <f ca="1">IFERROR(IF(AA407="NOOS",HLOOKUP(AB407&amp;AD407,PLANNING_FC!$AJ$27:$AY$47,MATCH(STOCK_OVERVIEW!Y407,PLANNING_FC!$AJ$27:$AJ$47,0),FALSE)*1000,HLOOKUP(AB407&amp;AD407,PLANNING_FC!$AJ$4:$AY$24,MATCH(STOCK_OVERVIEW!Y407,PLANNING_FC!$AJ$4:$AJ$24,0),FALSE)*1000),"")</f>
        <v/>
      </c>
    </row>
    <row r="408" spans="2:37" x14ac:dyDescent="0.25">
      <c r="X408" s="465" t="str">
        <f t="shared" si="39"/>
        <v>VM</v>
      </c>
      <c r="Y408" s="206" t="str">
        <f t="shared" si="39"/>
        <v>SWEAT</v>
      </c>
      <c r="Z408" s="25" t="str">
        <f t="shared" ca="1" si="38"/>
        <v>VMSWEAT19/20Apr</v>
      </c>
      <c r="AA408" s="206" t="s">
        <v>197</v>
      </c>
      <c r="AB408" s="206" t="str">
        <f t="shared" ca="1" si="40"/>
        <v>19/20</v>
      </c>
      <c r="AC408" s="206" t="str">
        <f t="shared" ca="1" si="40"/>
        <v>Q3</v>
      </c>
      <c r="AD408" s="206" t="str">
        <f t="shared" ca="1" si="40"/>
        <v>Apr</v>
      </c>
      <c r="AE408" s="649" t="str">
        <f ca="1">IFERROR(HLOOKUP($AB408&amp;$AD408,'NWC_FC_NON-NOOS'!$C$4:$Q$24,MATCH($Y408,'NWC_FC_NON-NOOS'!$B$4:$B$24,0),FALSE),"")</f>
        <v/>
      </c>
      <c r="AF408" s="650" t="str">
        <f ca="1">IFERROR(HLOOKUP($AB408&amp;$AD408,'NWC_FC_NON-NOOS'!$S$4:$AH$24,MATCH($Y408,'NWC_FC_NON-NOOS'!$S$4:$S$24,0),FALSE),"")</f>
        <v/>
      </c>
      <c r="AG408" s="650">
        <f ca="1">IFERROR(HLOOKUP($AB408&amp;$AD408,'NWC_FC_NON-NOOS'!$B$50:$U$70,MATCH($Y408,'NWC_FC_NON-NOOS'!$B$50:$B$70,0),FALSE),"")</f>
        <v>0</v>
      </c>
      <c r="AH408" s="650" t="str">
        <f ca="1">IFERROR(IF($AA408="NOOS",HLOOKUP(STOCK_OVERVIEW!$AB408&amp;STOCK_OVERVIEW!$AD408,PLANNING_FC!$BB$27:$BP$46,MATCH(STOCK_OVERVIEW!$Y408,PLANNING_FC!$BA$27:$BA$46,0),FALSE),HLOOKUP($AB408&amp;$AD408,PLANNING_FC!$BB$4:$BP$23,MATCH(STOCK_OVERVIEW!$Y408,PLANNING_FC!$BA$4:$BA$23,0),FALSE)),"")</f>
        <v/>
      </c>
      <c r="AI408" s="650" t="str">
        <f ca="1">IFERROR(IF($AA408="NOOS",HLOOKUP(STOCK_OVERVIEW!$AB408&amp;STOCK_OVERVIEW!$AD408,PLANNING_FC!$T$27:$AH$46,MATCH(STOCK_OVERVIEW!$Y408,PLANNING_FC!$B$27:$B$46,0),FALSE),HLOOKUP($AB408&amp;$AD408,PLANNING_FC!$T$4:$AH$23,MATCH(STOCK_OVERVIEW!$Y408,PLANNING_FC!$B$4:$B$23,0),FALSE)),"")</f>
        <v/>
      </c>
      <c r="AJ408" s="650" t="str">
        <f ca="1">IFERROR(IF($AA408="NOOS",HLOOKUP(STOCK_OVERVIEW!$AB408&amp;STOCK_OVERVIEW!$AD408,PLANNING_FC!$DA$27:$DO$46,MATCH(STOCK_OVERVIEW!$Y408,PLANNING_FC!$CZ$27:$CZ$46,0),FALSE),HLOOKUP($AB408&amp;$AD408,PLANNING_FC!$DA$4:$DO$23,MATCH(STOCK_OVERVIEW!$Y408,PLANNING_FC!$CZ$4:$CZ$23,0),FALSE)),"")</f>
        <v/>
      </c>
      <c r="AK408" s="651" t="str">
        <f ca="1">IFERROR(IF(AA408="NOOS",HLOOKUP(AB408&amp;AD408,PLANNING_FC!$AJ$27:$AY$47,MATCH(STOCK_OVERVIEW!Y408,PLANNING_FC!$AJ$27:$AJ$47,0),FALSE)*1000,HLOOKUP(AB408&amp;AD408,PLANNING_FC!$AJ$4:$AY$24,MATCH(STOCK_OVERVIEW!Y408,PLANNING_FC!$AJ$4:$AJ$24,0),FALSE)*1000),"")</f>
        <v/>
      </c>
    </row>
    <row r="409" spans="2:37" x14ac:dyDescent="0.25">
      <c r="X409" s="465" t="str">
        <f t="shared" si="39"/>
        <v>VM</v>
      </c>
      <c r="Y409" s="206" t="str">
        <f t="shared" si="39"/>
        <v>TAILORING</v>
      </c>
      <c r="Z409" s="25" t="str">
        <f t="shared" ca="1" si="38"/>
        <v>VMTAILORING18/19Feb</v>
      </c>
      <c r="AA409" s="206" t="s">
        <v>197</v>
      </c>
      <c r="AB409" s="206" t="str">
        <f t="shared" ca="1" si="40"/>
        <v>18/19</v>
      </c>
      <c r="AC409" s="206" t="str">
        <f t="shared" ca="1" si="40"/>
        <v>Q3</v>
      </c>
      <c r="AD409" s="206" t="str">
        <f t="shared" ca="1" si="40"/>
        <v>Feb</v>
      </c>
      <c r="AE409" s="649">
        <f ca="1">IFERROR(HLOOKUP($AB409&amp;$AD409,'NWC_FC_NON-NOOS'!$C$4:$Q$24,MATCH($Y409,'NWC_FC_NON-NOOS'!$B$4:$B$24,0),FALSE),"")</f>
        <v>0</v>
      </c>
      <c r="AF409" s="650">
        <f ca="1">IFERROR(HLOOKUP($AB409&amp;$AD409,'NWC_FC_NON-NOOS'!$S$4:$AH$24,MATCH($Y409,'NWC_FC_NON-NOOS'!$S$4:$S$24,0),FALSE),"")</f>
        <v>0</v>
      </c>
      <c r="AG409" s="650">
        <f ca="1">IFERROR(HLOOKUP($AB409&amp;$AD409,'NWC_FC_NON-NOOS'!$B$50:$U$70,MATCH($Y409,'NWC_FC_NON-NOOS'!$B$50:$B$70,0),FALSE),"")</f>
        <v>0</v>
      </c>
      <c r="AH409" s="650">
        <f ca="1">IFERROR(IF($AA409="NOOS",HLOOKUP(STOCK_OVERVIEW!$AB409&amp;STOCK_OVERVIEW!$AD409,PLANNING_FC!$BB$27:$BP$46,MATCH(STOCK_OVERVIEW!$Y409,PLANNING_FC!$BA$27:$BA$46,0),FALSE),HLOOKUP($AB409&amp;$AD409,PLANNING_FC!$BB$4:$BP$23,MATCH(STOCK_OVERVIEW!$Y409,PLANNING_FC!$BA$4:$BA$23,0),FALSE)),"")</f>
        <v>0</v>
      </c>
      <c r="AI409" s="650">
        <f ca="1">IFERROR(IF($AA409="NOOS",HLOOKUP(STOCK_OVERVIEW!$AB409&amp;STOCK_OVERVIEW!$AD409,PLANNING_FC!$T$27:$AH$46,MATCH(STOCK_OVERVIEW!$Y409,PLANNING_FC!$B$27:$B$46,0),FALSE),HLOOKUP($AB409&amp;$AD409,PLANNING_FC!$T$4:$AH$23,MATCH(STOCK_OVERVIEW!$Y409,PLANNING_FC!$B$4:$B$23,0),FALSE)),"")</f>
        <v>0</v>
      </c>
      <c r="AJ409" s="650">
        <f ca="1">IFERROR(IF($AA409="NOOS",HLOOKUP(STOCK_OVERVIEW!$AB409&amp;STOCK_OVERVIEW!$AD409,PLANNING_FC!$DA$27:$DO$46,MATCH(STOCK_OVERVIEW!$Y409,PLANNING_FC!$CZ$27:$CZ$46,0),FALSE),HLOOKUP($AB409&amp;$AD409,PLANNING_FC!$DA$4:$DO$23,MATCH(STOCK_OVERVIEW!$Y409,PLANNING_FC!$CZ$4:$CZ$23,0),FALSE)),"")</f>
        <v>0</v>
      </c>
      <c r="AK409" s="651">
        <f ca="1">IFERROR(IF(AA409="NOOS",HLOOKUP(AB409&amp;AD409,PLANNING_FC!$AJ$27:$AY$47,MATCH(STOCK_OVERVIEW!Y409,PLANNING_FC!$AJ$27:$AJ$47,0),FALSE)*1000,HLOOKUP(AB409&amp;AD409,PLANNING_FC!$AJ$4:$AY$24,MATCH(STOCK_OVERVIEW!Y409,PLANNING_FC!$AJ$4:$AJ$24,0),FALSE)*1000),"")</f>
        <v>0</v>
      </c>
    </row>
    <row r="410" spans="2:37" x14ac:dyDescent="0.25">
      <c r="X410" s="465" t="str">
        <f t="shared" si="39"/>
        <v>VM</v>
      </c>
      <c r="Y410" s="206" t="str">
        <f t="shared" si="39"/>
        <v>TAILORING</v>
      </c>
      <c r="Z410" s="25" t="str">
        <f t="shared" ca="1" si="38"/>
        <v>VMTAILORING18/19Mar</v>
      </c>
      <c r="AA410" s="206" t="s">
        <v>197</v>
      </c>
      <c r="AB410" s="206" t="str">
        <f t="shared" ca="1" si="40"/>
        <v>18/19</v>
      </c>
      <c r="AC410" s="206" t="str">
        <f t="shared" ca="1" si="40"/>
        <v>Q3</v>
      </c>
      <c r="AD410" s="206" t="str">
        <f t="shared" ca="1" si="40"/>
        <v>Mar</v>
      </c>
      <c r="AE410" s="649">
        <f ca="1">IFERROR(HLOOKUP($AB410&amp;$AD410,'NWC_FC_NON-NOOS'!$C$4:$Q$24,MATCH($Y410,'NWC_FC_NON-NOOS'!$B$4:$B$24,0),FALSE),"")</f>
        <v>0</v>
      </c>
      <c r="AF410" s="650">
        <f ca="1">IFERROR(HLOOKUP($AB410&amp;$AD410,'NWC_FC_NON-NOOS'!$S$4:$AH$24,MATCH($Y410,'NWC_FC_NON-NOOS'!$S$4:$S$24,0),FALSE),"")</f>
        <v>0</v>
      </c>
      <c r="AG410" s="650">
        <f ca="1">IFERROR(HLOOKUP($AB410&amp;$AD410,'NWC_FC_NON-NOOS'!$B$50:$U$70,MATCH($Y410,'NWC_FC_NON-NOOS'!$B$50:$B$70,0),FALSE),"")</f>
        <v>0</v>
      </c>
      <c r="AH410" s="650">
        <f ca="1">IFERROR(IF($AA410="NOOS",HLOOKUP(STOCK_OVERVIEW!$AB410&amp;STOCK_OVERVIEW!$AD410,PLANNING_FC!$BB$27:$BP$46,MATCH(STOCK_OVERVIEW!$Y410,PLANNING_FC!$BA$27:$BA$46,0),FALSE),HLOOKUP($AB410&amp;$AD410,PLANNING_FC!$BB$4:$BP$23,MATCH(STOCK_OVERVIEW!$Y410,PLANNING_FC!$BA$4:$BA$23,0),FALSE)),"")</f>
        <v>0</v>
      </c>
      <c r="AI410" s="650">
        <f ca="1">IFERROR(IF($AA410="NOOS",HLOOKUP(STOCK_OVERVIEW!$AB410&amp;STOCK_OVERVIEW!$AD410,PLANNING_FC!$T$27:$AH$46,MATCH(STOCK_OVERVIEW!$Y410,PLANNING_FC!$B$27:$B$46,0),FALSE),HLOOKUP($AB410&amp;$AD410,PLANNING_FC!$T$4:$AH$23,MATCH(STOCK_OVERVIEW!$Y410,PLANNING_FC!$B$4:$B$23,0),FALSE)),"")</f>
        <v>0</v>
      </c>
      <c r="AJ410" s="650">
        <f ca="1">IFERROR(IF($AA410="NOOS",HLOOKUP(STOCK_OVERVIEW!$AB410&amp;STOCK_OVERVIEW!$AD410,PLANNING_FC!$DA$27:$DO$46,MATCH(STOCK_OVERVIEW!$Y410,PLANNING_FC!$CZ$27:$CZ$46,0),FALSE),HLOOKUP($AB410&amp;$AD410,PLANNING_FC!$DA$4:$DO$23,MATCH(STOCK_OVERVIEW!$Y410,PLANNING_FC!$CZ$4:$CZ$23,0),FALSE)),"")</f>
        <v>0</v>
      </c>
      <c r="AK410" s="651">
        <f ca="1">IFERROR(IF(AA410="NOOS",HLOOKUP(AB410&amp;AD410,PLANNING_FC!$AJ$27:$AY$47,MATCH(STOCK_OVERVIEW!Y410,PLANNING_FC!$AJ$27:$AJ$47,0),FALSE)*1000,HLOOKUP(AB410&amp;AD410,PLANNING_FC!$AJ$4:$AY$24,MATCH(STOCK_OVERVIEW!Y410,PLANNING_FC!$AJ$4:$AJ$24,0),FALSE)*1000),"")</f>
        <v>0</v>
      </c>
    </row>
    <row r="411" spans="2:37" x14ac:dyDescent="0.25">
      <c r="X411" s="465" t="str">
        <f t="shared" si="39"/>
        <v>VM</v>
      </c>
      <c r="Y411" s="206" t="str">
        <f t="shared" si="39"/>
        <v>TAILORING</v>
      </c>
      <c r="Z411" s="25" t="str">
        <f t="shared" ca="1" si="38"/>
        <v>VMTAILORING18/19Apr</v>
      </c>
      <c r="AA411" s="206" t="s">
        <v>197</v>
      </c>
      <c r="AB411" s="206" t="str">
        <f t="shared" ca="1" si="40"/>
        <v>18/19</v>
      </c>
      <c r="AC411" s="206" t="str">
        <f t="shared" ca="1" si="40"/>
        <v>Q3</v>
      </c>
      <c r="AD411" s="206" t="str">
        <f t="shared" ca="1" si="40"/>
        <v>Apr</v>
      </c>
      <c r="AE411" s="649">
        <f ca="1">IFERROR(HLOOKUP($AB411&amp;$AD411,'NWC_FC_NON-NOOS'!$C$4:$Q$24,MATCH($Y411,'NWC_FC_NON-NOOS'!$B$4:$B$24,0),FALSE),"")</f>
        <v>0</v>
      </c>
      <c r="AF411" s="650">
        <f ca="1">IFERROR(HLOOKUP($AB411&amp;$AD411,'NWC_FC_NON-NOOS'!$S$4:$AH$24,MATCH($Y411,'NWC_FC_NON-NOOS'!$S$4:$S$24,0),FALSE),"")</f>
        <v>0</v>
      </c>
      <c r="AG411" s="650">
        <f ca="1">IFERROR(HLOOKUP($AB411&amp;$AD411,'NWC_FC_NON-NOOS'!$B$50:$U$70,MATCH($Y411,'NWC_FC_NON-NOOS'!$B$50:$B$70,0),FALSE),"")</f>
        <v>0</v>
      </c>
      <c r="AH411" s="650">
        <f ca="1">IFERROR(IF($AA411="NOOS",HLOOKUP(STOCK_OVERVIEW!$AB411&amp;STOCK_OVERVIEW!$AD411,PLANNING_FC!$BB$27:$BP$46,MATCH(STOCK_OVERVIEW!$Y411,PLANNING_FC!$BA$27:$BA$46,0),FALSE),HLOOKUP($AB411&amp;$AD411,PLANNING_FC!$BB$4:$BP$23,MATCH(STOCK_OVERVIEW!$Y411,PLANNING_FC!$BA$4:$BA$23,0),FALSE)),"")</f>
        <v>0</v>
      </c>
      <c r="AI411" s="650">
        <f ca="1">IFERROR(IF($AA411="NOOS",HLOOKUP(STOCK_OVERVIEW!$AB411&amp;STOCK_OVERVIEW!$AD411,PLANNING_FC!$T$27:$AH$46,MATCH(STOCK_OVERVIEW!$Y411,PLANNING_FC!$B$27:$B$46,0),FALSE),HLOOKUP($AB411&amp;$AD411,PLANNING_FC!$T$4:$AH$23,MATCH(STOCK_OVERVIEW!$Y411,PLANNING_FC!$B$4:$B$23,0),FALSE)),"")</f>
        <v>0</v>
      </c>
      <c r="AJ411" s="650">
        <f ca="1">IFERROR(IF($AA411="NOOS",HLOOKUP(STOCK_OVERVIEW!$AB411&amp;STOCK_OVERVIEW!$AD411,PLANNING_FC!$DA$27:$DO$46,MATCH(STOCK_OVERVIEW!$Y411,PLANNING_FC!$CZ$27:$CZ$46,0),FALSE),HLOOKUP($AB411&amp;$AD411,PLANNING_FC!$DA$4:$DO$23,MATCH(STOCK_OVERVIEW!$Y411,PLANNING_FC!$CZ$4:$CZ$23,0),FALSE)),"")</f>
        <v>416189</v>
      </c>
      <c r="AK411" s="651">
        <f ca="1">IFERROR(IF(AA411="NOOS",HLOOKUP(AB411&amp;AD411,PLANNING_FC!$AJ$27:$AY$47,MATCH(STOCK_OVERVIEW!Y411,PLANNING_FC!$AJ$27:$AJ$47,0),FALSE)*1000,HLOOKUP(AB411&amp;AD411,PLANNING_FC!$AJ$4:$AY$24,MATCH(STOCK_OVERVIEW!Y411,PLANNING_FC!$AJ$4:$AJ$24,0),FALSE)*1000),"")</f>
        <v>0</v>
      </c>
    </row>
    <row r="412" spans="2:37" x14ac:dyDescent="0.25">
      <c r="X412" s="465" t="str">
        <f t="shared" si="39"/>
        <v>VM</v>
      </c>
      <c r="Y412" s="206" t="str">
        <f t="shared" si="39"/>
        <v>TAILORING</v>
      </c>
      <c r="Z412" s="25" t="str">
        <f t="shared" ca="1" si="38"/>
        <v>VMTAILORING18/19May</v>
      </c>
      <c r="AA412" s="206" t="s">
        <v>197</v>
      </c>
      <c r="AB412" s="206" t="str">
        <f t="shared" ca="1" si="40"/>
        <v>18/19</v>
      </c>
      <c r="AC412" s="206" t="str">
        <f t="shared" ca="1" si="40"/>
        <v>Q4</v>
      </c>
      <c r="AD412" s="206" t="str">
        <f t="shared" ca="1" si="40"/>
        <v>May</v>
      </c>
      <c r="AE412" s="649">
        <f ca="1">IFERROR(HLOOKUP($AB412&amp;$AD412,'NWC_FC_NON-NOOS'!$C$4:$Q$24,MATCH($Y412,'NWC_FC_NON-NOOS'!$B$4:$B$24,0),FALSE),"")</f>
        <v>0</v>
      </c>
      <c r="AF412" s="650">
        <f ca="1">IFERROR(HLOOKUP($AB412&amp;$AD412,'NWC_FC_NON-NOOS'!$S$4:$AH$24,MATCH($Y412,'NWC_FC_NON-NOOS'!$S$4:$S$24,0),FALSE),"")</f>
        <v>0</v>
      </c>
      <c r="AG412" s="650">
        <f ca="1">IFERROR(HLOOKUP($AB412&amp;$AD412,'NWC_FC_NON-NOOS'!$B$50:$U$70,MATCH($Y412,'NWC_FC_NON-NOOS'!$B$50:$B$70,0),FALSE),"")</f>
        <v>0</v>
      </c>
      <c r="AH412" s="650">
        <f ca="1">IFERROR(IF($AA412="NOOS",HLOOKUP(STOCK_OVERVIEW!$AB412&amp;STOCK_OVERVIEW!$AD412,PLANNING_FC!$BB$27:$BP$46,MATCH(STOCK_OVERVIEW!$Y412,PLANNING_FC!$BA$27:$BA$46,0),FALSE),HLOOKUP($AB412&amp;$AD412,PLANNING_FC!$BB$4:$BP$23,MATCH(STOCK_OVERVIEW!$Y412,PLANNING_FC!$BA$4:$BA$23,0),FALSE)),"")</f>
        <v>0</v>
      </c>
      <c r="AI412" s="650">
        <f ca="1">IFERROR(IF($AA412="NOOS",HLOOKUP(STOCK_OVERVIEW!$AB412&amp;STOCK_OVERVIEW!$AD412,PLANNING_FC!$T$27:$AH$46,MATCH(STOCK_OVERVIEW!$Y412,PLANNING_FC!$B$27:$B$46,0),FALSE),HLOOKUP($AB412&amp;$AD412,PLANNING_FC!$T$4:$AH$23,MATCH(STOCK_OVERVIEW!$Y412,PLANNING_FC!$B$4:$B$23,0),FALSE)),"")</f>
        <v>0</v>
      </c>
      <c r="AJ412" s="650">
        <f ca="1">IFERROR(IF($AA412="NOOS",HLOOKUP(STOCK_OVERVIEW!$AB412&amp;STOCK_OVERVIEW!$AD412,PLANNING_FC!$DA$27:$DO$46,MATCH(STOCK_OVERVIEW!$Y412,PLANNING_FC!$CZ$27:$CZ$46,0),FALSE),HLOOKUP($AB412&amp;$AD412,PLANNING_FC!$DA$4:$DO$23,MATCH(STOCK_OVERVIEW!$Y412,PLANNING_FC!$CZ$4:$CZ$23,0),FALSE)),"")</f>
        <v>418420</v>
      </c>
      <c r="AK412" s="651">
        <f ca="1">IFERROR(IF(AA412="NOOS",HLOOKUP(AB412&amp;AD412,PLANNING_FC!$AJ$27:$AY$47,MATCH(STOCK_OVERVIEW!Y412,PLANNING_FC!$AJ$27:$AJ$47,0),FALSE)*1000,HLOOKUP(AB412&amp;AD412,PLANNING_FC!$AJ$4:$AY$24,MATCH(STOCK_OVERVIEW!Y412,PLANNING_FC!$AJ$4:$AJ$24,0),FALSE)*1000),"")</f>
        <v>0</v>
      </c>
    </row>
    <row r="413" spans="2:37" x14ac:dyDescent="0.25">
      <c r="X413" s="465" t="str">
        <f t="shared" si="39"/>
        <v>VM</v>
      </c>
      <c r="Y413" s="206" t="str">
        <f t="shared" si="39"/>
        <v>TAILORING</v>
      </c>
      <c r="Z413" s="25" t="str">
        <f t="shared" ca="1" si="38"/>
        <v>VMTAILORING18/19Jun</v>
      </c>
      <c r="AA413" s="206" t="s">
        <v>197</v>
      </c>
      <c r="AB413" s="206" t="str">
        <f t="shared" ca="1" si="40"/>
        <v>18/19</v>
      </c>
      <c r="AC413" s="206" t="str">
        <f t="shared" ca="1" si="40"/>
        <v>Q4</v>
      </c>
      <c r="AD413" s="206" t="str">
        <f t="shared" ca="1" si="40"/>
        <v>Jun</v>
      </c>
      <c r="AE413" s="649">
        <f ca="1">IFERROR(HLOOKUP($AB413&amp;$AD413,'NWC_FC_NON-NOOS'!$C$4:$Q$24,MATCH($Y413,'NWC_FC_NON-NOOS'!$B$4:$B$24,0),FALSE),"")</f>
        <v>0</v>
      </c>
      <c r="AF413" s="650">
        <f ca="1">IFERROR(HLOOKUP($AB413&amp;$AD413,'NWC_FC_NON-NOOS'!$S$4:$AH$24,MATCH($Y413,'NWC_FC_NON-NOOS'!$S$4:$S$24,0),FALSE),"")</f>
        <v>0</v>
      </c>
      <c r="AG413" s="650">
        <f ca="1">IFERROR(HLOOKUP($AB413&amp;$AD413,'NWC_FC_NON-NOOS'!$B$50:$U$70,MATCH($Y413,'NWC_FC_NON-NOOS'!$B$50:$B$70,0),FALSE),"")</f>
        <v>0</v>
      </c>
      <c r="AH413" s="650">
        <f ca="1">IFERROR(IF($AA413="NOOS",HLOOKUP(STOCK_OVERVIEW!$AB413&amp;STOCK_OVERVIEW!$AD413,PLANNING_FC!$BB$27:$BP$46,MATCH(STOCK_OVERVIEW!$Y413,PLANNING_FC!$BA$27:$BA$46,0),FALSE),HLOOKUP($AB413&amp;$AD413,PLANNING_FC!$BB$4:$BP$23,MATCH(STOCK_OVERVIEW!$Y413,PLANNING_FC!$BA$4:$BA$23,0),FALSE)),"")</f>
        <v>0</v>
      </c>
      <c r="AI413" s="650">
        <f ca="1">IFERROR(IF($AA413="NOOS",HLOOKUP(STOCK_OVERVIEW!$AB413&amp;STOCK_OVERVIEW!$AD413,PLANNING_FC!$T$27:$AH$46,MATCH(STOCK_OVERVIEW!$Y413,PLANNING_FC!$B$27:$B$46,0),FALSE),HLOOKUP($AB413&amp;$AD413,PLANNING_FC!$T$4:$AH$23,MATCH(STOCK_OVERVIEW!$Y413,PLANNING_FC!$B$4:$B$23,0),FALSE)),"")</f>
        <v>0</v>
      </c>
      <c r="AJ413" s="650">
        <f ca="1">IFERROR(IF($AA413="NOOS",HLOOKUP(STOCK_OVERVIEW!$AB413&amp;STOCK_OVERVIEW!$AD413,PLANNING_FC!$DA$27:$DO$46,MATCH(STOCK_OVERVIEW!$Y413,PLANNING_FC!$CZ$27:$CZ$46,0),FALSE),HLOOKUP($AB413&amp;$AD413,PLANNING_FC!$DA$4:$DO$23,MATCH(STOCK_OVERVIEW!$Y413,PLANNING_FC!$CZ$4:$CZ$23,0),FALSE)),"")</f>
        <v>418420</v>
      </c>
      <c r="AK413" s="651">
        <f ca="1">IFERROR(IF(AA413="NOOS",HLOOKUP(AB413&amp;AD413,PLANNING_FC!$AJ$27:$AY$47,MATCH(STOCK_OVERVIEW!Y413,PLANNING_FC!$AJ$27:$AJ$47,0),FALSE)*1000,HLOOKUP(AB413&amp;AD413,PLANNING_FC!$AJ$4:$AY$24,MATCH(STOCK_OVERVIEW!Y413,PLANNING_FC!$AJ$4:$AJ$24,0),FALSE)*1000),"")</f>
        <v>0</v>
      </c>
    </row>
    <row r="414" spans="2:37" x14ac:dyDescent="0.25">
      <c r="X414" s="465" t="str">
        <f t="shared" si="39"/>
        <v>VM</v>
      </c>
      <c r="Y414" s="206" t="str">
        <f t="shared" si="39"/>
        <v>TAILORING</v>
      </c>
      <c r="Z414" s="25" t="str">
        <f t="shared" ca="1" si="38"/>
        <v>VMTAILORING18/19Jul</v>
      </c>
      <c r="AA414" s="206" t="s">
        <v>197</v>
      </c>
      <c r="AB414" s="206" t="str">
        <f t="shared" ca="1" si="40"/>
        <v>18/19</v>
      </c>
      <c r="AC414" s="206" t="str">
        <f t="shared" ca="1" si="40"/>
        <v>Q4</v>
      </c>
      <c r="AD414" s="206" t="str">
        <f t="shared" ca="1" si="40"/>
        <v>Jul</v>
      </c>
      <c r="AE414" s="649">
        <f ca="1">IFERROR(HLOOKUP($AB414&amp;$AD414,'NWC_FC_NON-NOOS'!$C$4:$Q$24,MATCH($Y414,'NWC_FC_NON-NOOS'!$B$4:$B$24,0),FALSE),"")</f>
        <v>0</v>
      </c>
      <c r="AF414" s="650">
        <f ca="1">IFERROR(HLOOKUP($AB414&amp;$AD414,'NWC_FC_NON-NOOS'!$S$4:$AH$24,MATCH($Y414,'NWC_FC_NON-NOOS'!$S$4:$S$24,0),FALSE),"")</f>
        <v>0</v>
      </c>
      <c r="AG414" s="650">
        <f ca="1">IFERROR(HLOOKUP($AB414&amp;$AD414,'NWC_FC_NON-NOOS'!$B$50:$U$70,MATCH($Y414,'NWC_FC_NON-NOOS'!$B$50:$B$70,0),FALSE),"")</f>
        <v>0</v>
      </c>
      <c r="AH414" s="650">
        <f ca="1">IFERROR(IF($AA414="NOOS",HLOOKUP(STOCK_OVERVIEW!$AB414&amp;STOCK_OVERVIEW!$AD414,PLANNING_FC!$BB$27:$BP$46,MATCH(STOCK_OVERVIEW!$Y414,PLANNING_FC!$BA$27:$BA$46,0),FALSE),HLOOKUP($AB414&amp;$AD414,PLANNING_FC!$BB$4:$BP$23,MATCH(STOCK_OVERVIEW!$Y414,PLANNING_FC!$BA$4:$BA$23,0),FALSE)),"")</f>
        <v>0</v>
      </c>
      <c r="AI414" s="650">
        <f ca="1">IFERROR(IF($AA414="NOOS",HLOOKUP(STOCK_OVERVIEW!$AB414&amp;STOCK_OVERVIEW!$AD414,PLANNING_FC!$T$27:$AH$46,MATCH(STOCK_OVERVIEW!$Y414,PLANNING_FC!$B$27:$B$46,0),FALSE),HLOOKUP($AB414&amp;$AD414,PLANNING_FC!$T$4:$AH$23,MATCH(STOCK_OVERVIEW!$Y414,PLANNING_FC!$B$4:$B$23,0),FALSE)),"")</f>
        <v>0</v>
      </c>
      <c r="AJ414" s="650">
        <f ca="1">IFERROR(IF($AA414="NOOS",HLOOKUP(STOCK_OVERVIEW!$AB414&amp;STOCK_OVERVIEW!$AD414,PLANNING_FC!$DA$27:$DO$46,MATCH(STOCK_OVERVIEW!$Y414,PLANNING_FC!$CZ$27:$CZ$46,0),FALSE),HLOOKUP($AB414&amp;$AD414,PLANNING_FC!$DA$4:$DO$23,MATCH(STOCK_OVERVIEW!$Y414,PLANNING_FC!$CZ$4:$CZ$23,0),FALSE)),"")</f>
        <v>418420</v>
      </c>
      <c r="AK414" s="651">
        <f ca="1">IFERROR(IF(AA414="NOOS",HLOOKUP(AB414&amp;AD414,PLANNING_FC!$AJ$27:$AY$47,MATCH(STOCK_OVERVIEW!Y414,PLANNING_FC!$AJ$27:$AJ$47,0),FALSE)*1000,HLOOKUP(AB414&amp;AD414,PLANNING_FC!$AJ$4:$AY$24,MATCH(STOCK_OVERVIEW!Y414,PLANNING_FC!$AJ$4:$AJ$24,0),FALSE)*1000),"")</f>
        <v>0</v>
      </c>
    </row>
    <row r="415" spans="2:37" x14ac:dyDescent="0.25">
      <c r="X415" s="465" t="str">
        <f t="shared" si="39"/>
        <v>VM</v>
      </c>
      <c r="Y415" s="206" t="str">
        <f t="shared" si="39"/>
        <v>TAILORING</v>
      </c>
      <c r="Z415" s="25" t="str">
        <f t="shared" ca="1" si="38"/>
        <v>VMTAILORING19/20Aug</v>
      </c>
      <c r="AA415" s="206" t="s">
        <v>197</v>
      </c>
      <c r="AB415" s="206" t="str">
        <f t="shared" ca="1" si="40"/>
        <v>19/20</v>
      </c>
      <c r="AC415" s="206" t="str">
        <f t="shared" ca="1" si="40"/>
        <v>Q1</v>
      </c>
      <c r="AD415" s="206" t="str">
        <f t="shared" ca="1" si="40"/>
        <v>Aug</v>
      </c>
      <c r="AE415" s="649">
        <f ca="1">IFERROR(HLOOKUP($AB415&amp;$AD415,'NWC_FC_NON-NOOS'!$C$4:$Q$24,MATCH($Y415,'NWC_FC_NON-NOOS'!$B$4:$B$24,0),FALSE),"")</f>
        <v>0</v>
      </c>
      <c r="AF415" s="650">
        <f ca="1">IFERROR(HLOOKUP($AB415&amp;$AD415,'NWC_FC_NON-NOOS'!$S$4:$AH$24,MATCH($Y415,'NWC_FC_NON-NOOS'!$S$4:$S$24,0),FALSE),"")</f>
        <v>0</v>
      </c>
      <c r="AG415" s="650">
        <f ca="1">IFERROR(HLOOKUP($AB415&amp;$AD415,'NWC_FC_NON-NOOS'!$B$50:$U$70,MATCH($Y415,'NWC_FC_NON-NOOS'!$B$50:$B$70,0),FALSE),"")</f>
        <v>0</v>
      </c>
      <c r="AH415" s="650">
        <f ca="1">IFERROR(IF($AA415="NOOS",HLOOKUP(STOCK_OVERVIEW!$AB415&amp;STOCK_OVERVIEW!$AD415,PLANNING_FC!$BB$27:$BP$46,MATCH(STOCK_OVERVIEW!$Y415,PLANNING_FC!$BA$27:$BA$46,0),FALSE),HLOOKUP($AB415&amp;$AD415,PLANNING_FC!$BB$4:$BP$23,MATCH(STOCK_OVERVIEW!$Y415,PLANNING_FC!$BA$4:$BA$23,0),FALSE)),"")</f>
        <v>0</v>
      </c>
      <c r="AI415" s="650">
        <f ca="1">IFERROR(IF($AA415="NOOS",HLOOKUP(STOCK_OVERVIEW!$AB415&amp;STOCK_OVERVIEW!$AD415,PLANNING_FC!$T$27:$AH$46,MATCH(STOCK_OVERVIEW!$Y415,PLANNING_FC!$B$27:$B$46,0),FALSE),HLOOKUP($AB415&amp;$AD415,PLANNING_FC!$T$4:$AH$23,MATCH(STOCK_OVERVIEW!$Y415,PLANNING_FC!$B$4:$B$23,0),FALSE)),"")</f>
        <v>0</v>
      </c>
      <c r="AJ415" s="650">
        <f ca="1">IFERROR(IF($AA415="NOOS",HLOOKUP(STOCK_OVERVIEW!$AB415&amp;STOCK_OVERVIEW!$AD415,PLANNING_FC!$DA$27:$DO$46,MATCH(STOCK_OVERVIEW!$Y415,PLANNING_FC!$CZ$27:$CZ$46,0),FALSE),HLOOKUP($AB415&amp;$AD415,PLANNING_FC!$DA$4:$DO$23,MATCH(STOCK_OVERVIEW!$Y415,PLANNING_FC!$CZ$4:$CZ$23,0),FALSE)),"")</f>
        <v>418420</v>
      </c>
      <c r="AK415" s="651">
        <f ca="1">IFERROR(IF(AA415="NOOS",HLOOKUP(AB415&amp;AD415,PLANNING_FC!$AJ$27:$AY$47,MATCH(STOCK_OVERVIEW!Y415,PLANNING_FC!$AJ$27:$AJ$47,0),FALSE)*1000,HLOOKUP(AB415&amp;AD415,PLANNING_FC!$AJ$4:$AY$24,MATCH(STOCK_OVERVIEW!Y415,PLANNING_FC!$AJ$4:$AJ$24,0),FALSE)*1000),"")</f>
        <v>0</v>
      </c>
    </row>
    <row r="416" spans="2:37" x14ac:dyDescent="0.25">
      <c r="X416" s="465" t="str">
        <f t="shared" si="39"/>
        <v>VM</v>
      </c>
      <c r="Y416" s="206" t="str">
        <f t="shared" si="39"/>
        <v>TAILORING</v>
      </c>
      <c r="Z416" s="25" t="str">
        <f t="shared" ca="1" si="38"/>
        <v>VMTAILORING19/20Sep</v>
      </c>
      <c r="AA416" s="206" t="s">
        <v>197</v>
      </c>
      <c r="AB416" s="206" t="str">
        <f t="shared" ca="1" si="40"/>
        <v>19/20</v>
      </c>
      <c r="AC416" s="206" t="str">
        <f t="shared" ca="1" si="40"/>
        <v>Q1</v>
      </c>
      <c r="AD416" s="206" t="str">
        <f t="shared" ca="1" si="40"/>
        <v>Sep</v>
      </c>
      <c r="AE416" s="649">
        <f ca="1">IFERROR(HLOOKUP($AB416&amp;$AD416,'NWC_FC_NON-NOOS'!$C$4:$Q$24,MATCH($Y416,'NWC_FC_NON-NOOS'!$B$4:$B$24,0),FALSE),"")</f>
        <v>0</v>
      </c>
      <c r="AF416" s="650">
        <f ca="1">IFERROR(HLOOKUP($AB416&amp;$AD416,'NWC_FC_NON-NOOS'!$S$4:$AH$24,MATCH($Y416,'NWC_FC_NON-NOOS'!$S$4:$S$24,0),FALSE),"")</f>
        <v>0</v>
      </c>
      <c r="AG416" s="650">
        <f ca="1">IFERROR(HLOOKUP($AB416&amp;$AD416,'NWC_FC_NON-NOOS'!$B$50:$U$70,MATCH($Y416,'NWC_FC_NON-NOOS'!$B$50:$B$70,0),FALSE),"")</f>
        <v>0</v>
      </c>
      <c r="AH416" s="650">
        <f ca="1">IFERROR(IF($AA416="NOOS",HLOOKUP(STOCK_OVERVIEW!$AB416&amp;STOCK_OVERVIEW!$AD416,PLANNING_FC!$BB$27:$BP$46,MATCH(STOCK_OVERVIEW!$Y416,PLANNING_FC!$BA$27:$BA$46,0),FALSE),HLOOKUP($AB416&amp;$AD416,PLANNING_FC!$BB$4:$BP$23,MATCH(STOCK_OVERVIEW!$Y416,PLANNING_FC!$BA$4:$BA$23,0),FALSE)),"")</f>
        <v>0</v>
      </c>
      <c r="AI416" s="650">
        <f ca="1">IFERROR(IF($AA416="NOOS",HLOOKUP(STOCK_OVERVIEW!$AB416&amp;STOCK_OVERVIEW!$AD416,PLANNING_FC!$T$27:$AH$46,MATCH(STOCK_OVERVIEW!$Y416,PLANNING_FC!$B$27:$B$46,0),FALSE),HLOOKUP($AB416&amp;$AD416,PLANNING_FC!$T$4:$AH$23,MATCH(STOCK_OVERVIEW!$Y416,PLANNING_FC!$B$4:$B$23,0),FALSE)),"")</f>
        <v>0</v>
      </c>
      <c r="AJ416" s="650">
        <f ca="1">IFERROR(IF($AA416="NOOS",HLOOKUP(STOCK_OVERVIEW!$AB416&amp;STOCK_OVERVIEW!$AD416,PLANNING_FC!$DA$27:$DO$46,MATCH(STOCK_OVERVIEW!$Y416,PLANNING_FC!$CZ$27:$CZ$46,0),FALSE),HLOOKUP($AB416&amp;$AD416,PLANNING_FC!$DA$4:$DO$23,MATCH(STOCK_OVERVIEW!$Y416,PLANNING_FC!$CZ$4:$CZ$23,0),FALSE)),"")</f>
        <v>418420</v>
      </c>
      <c r="AK416" s="651">
        <f ca="1">IFERROR(IF(AA416="NOOS",HLOOKUP(AB416&amp;AD416,PLANNING_FC!$AJ$27:$AY$47,MATCH(STOCK_OVERVIEW!Y416,PLANNING_FC!$AJ$27:$AJ$47,0),FALSE)*1000,HLOOKUP(AB416&amp;AD416,PLANNING_FC!$AJ$4:$AY$24,MATCH(STOCK_OVERVIEW!Y416,PLANNING_FC!$AJ$4:$AJ$24,0),FALSE)*1000),"")</f>
        <v>0</v>
      </c>
    </row>
    <row r="417" spans="24:37" x14ac:dyDescent="0.25">
      <c r="X417" s="465" t="str">
        <f t="shared" si="39"/>
        <v>VM</v>
      </c>
      <c r="Y417" s="206" t="str">
        <f t="shared" si="39"/>
        <v>TAILORING</v>
      </c>
      <c r="Z417" s="25" t="str">
        <f t="shared" ca="1" si="38"/>
        <v>VMTAILORING19/20Oct</v>
      </c>
      <c r="AA417" s="206" t="s">
        <v>197</v>
      </c>
      <c r="AB417" s="206" t="str">
        <f t="shared" ca="1" si="40"/>
        <v>19/20</v>
      </c>
      <c r="AC417" s="206" t="str">
        <f t="shared" ca="1" si="40"/>
        <v>Q1</v>
      </c>
      <c r="AD417" s="206" t="str">
        <f t="shared" ca="1" si="40"/>
        <v>Oct</v>
      </c>
      <c r="AE417" s="649">
        <f ca="1">IFERROR(HLOOKUP($AB417&amp;$AD417,'NWC_FC_NON-NOOS'!$C$4:$Q$24,MATCH($Y417,'NWC_FC_NON-NOOS'!$B$4:$B$24,0),FALSE),"")</f>
        <v>0</v>
      </c>
      <c r="AF417" s="650">
        <f ca="1">IFERROR(HLOOKUP($AB417&amp;$AD417,'NWC_FC_NON-NOOS'!$S$4:$AH$24,MATCH($Y417,'NWC_FC_NON-NOOS'!$S$4:$S$24,0),FALSE),"")</f>
        <v>0</v>
      </c>
      <c r="AG417" s="650">
        <f ca="1">IFERROR(HLOOKUP($AB417&amp;$AD417,'NWC_FC_NON-NOOS'!$B$50:$U$70,MATCH($Y417,'NWC_FC_NON-NOOS'!$B$50:$B$70,0),FALSE),"")</f>
        <v>0</v>
      </c>
      <c r="AH417" s="650">
        <f ca="1">IFERROR(IF($AA417="NOOS",HLOOKUP(STOCK_OVERVIEW!$AB417&amp;STOCK_OVERVIEW!$AD417,PLANNING_FC!$BB$27:$BP$46,MATCH(STOCK_OVERVIEW!$Y417,PLANNING_FC!$BA$27:$BA$46,0),FALSE),HLOOKUP($AB417&amp;$AD417,PLANNING_FC!$BB$4:$BP$23,MATCH(STOCK_OVERVIEW!$Y417,PLANNING_FC!$BA$4:$BA$23,0),FALSE)),"")</f>
        <v>0</v>
      </c>
      <c r="AI417" s="650">
        <f ca="1">IFERROR(IF($AA417="NOOS",HLOOKUP(STOCK_OVERVIEW!$AB417&amp;STOCK_OVERVIEW!$AD417,PLANNING_FC!$T$27:$AH$46,MATCH(STOCK_OVERVIEW!$Y417,PLANNING_FC!$B$27:$B$46,0),FALSE),HLOOKUP($AB417&amp;$AD417,PLANNING_FC!$T$4:$AH$23,MATCH(STOCK_OVERVIEW!$Y417,PLANNING_FC!$B$4:$B$23,0),FALSE)),"")</f>
        <v>0</v>
      </c>
      <c r="AJ417" s="650">
        <f ca="1">IFERROR(IF($AA417="NOOS",HLOOKUP(STOCK_OVERVIEW!$AB417&amp;STOCK_OVERVIEW!$AD417,PLANNING_FC!$DA$27:$DO$46,MATCH(STOCK_OVERVIEW!$Y417,PLANNING_FC!$CZ$27:$CZ$46,0),FALSE),HLOOKUP($AB417&amp;$AD417,PLANNING_FC!$DA$4:$DO$23,MATCH(STOCK_OVERVIEW!$Y417,PLANNING_FC!$CZ$4:$CZ$23,0),FALSE)),"")</f>
        <v>418420</v>
      </c>
      <c r="AK417" s="651">
        <f ca="1">IFERROR(IF(AA417="NOOS",HLOOKUP(AB417&amp;AD417,PLANNING_FC!$AJ$27:$AY$47,MATCH(STOCK_OVERVIEW!Y417,PLANNING_FC!$AJ$27:$AJ$47,0),FALSE)*1000,HLOOKUP(AB417&amp;AD417,PLANNING_FC!$AJ$4:$AY$24,MATCH(STOCK_OVERVIEW!Y417,PLANNING_FC!$AJ$4:$AJ$24,0),FALSE)*1000),"")</f>
        <v>0</v>
      </c>
    </row>
    <row r="418" spans="24:37" x14ac:dyDescent="0.25">
      <c r="X418" s="465" t="str">
        <f t="shared" si="39"/>
        <v>VM</v>
      </c>
      <c r="Y418" s="206" t="str">
        <f t="shared" si="39"/>
        <v>TAILORING</v>
      </c>
      <c r="Z418" s="25" t="str">
        <f t="shared" ca="1" si="38"/>
        <v>VMTAILORING19/20Nov</v>
      </c>
      <c r="AA418" s="206" t="s">
        <v>197</v>
      </c>
      <c r="AB418" s="206" t="str">
        <f t="shared" ca="1" si="40"/>
        <v>19/20</v>
      </c>
      <c r="AC418" s="206" t="str">
        <f t="shared" ca="1" si="40"/>
        <v>Q2</v>
      </c>
      <c r="AD418" s="206" t="str">
        <f t="shared" ca="1" si="40"/>
        <v>Nov</v>
      </c>
      <c r="AE418" s="649">
        <f ca="1">IFERROR(HLOOKUP($AB418&amp;$AD418,'NWC_FC_NON-NOOS'!$C$4:$Q$24,MATCH($Y418,'NWC_FC_NON-NOOS'!$B$4:$B$24,0),FALSE),"")</f>
        <v>0</v>
      </c>
      <c r="AF418" s="650">
        <f ca="1">IFERROR(HLOOKUP($AB418&amp;$AD418,'NWC_FC_NON-NOOS'!$S$4:$AH$24,MATCH($Y418,'NWC_FC_NON-NOOS'!$S$4:$S$24,0),FALSE),"")</f>
        <v>0</v>
      </c>
      <c r="AG418" s="650">
        <f ca="1">IFERROR(HLOOKUP($AB418&amp;$AD418,'NWC_FC_NON-NOOS'!$B$50:$U$70,MATCH($Y418,'NWC_FC_NON-NOOS'!$B$50:$B$70,0),FALSE),"")</f>
        <v>0</v>
      </c>
      <c r="AH418" s="650">
        <f ca="1">IFERROR(IF($AA418="NOOS",HLOOKUP(STOCK_OVERVIEW!$AB418&amp;STOCK_OVERVIEW!$AD418,PLANNING_FC!$BB$27:$BP$46,MATCH(STOCK_OVERVIEW!$Y418,PLANNING_FC!$BA$27:$BA$46,0),FALSE),HLOOKUP($AB418&amp;$AD418,PLANNING_FC!$BB$4:$BP$23,MATCH(STOCK_OVERVIEW!$Y418,PLANNING_FC!$BA$4:$BA$23,0),FALSE)),"")</f>
        <v>0</v>
      </c>
      <c r="AI418" s="650">
        <f ca="1">IFERROR(IF($AA418="NOOS",HLOOKUP(STOCK_OVERVIEW!$AB418&amp;STOCK_OVERVIEW!$AD418,PLANNING_FC!$T$27:$AH$46,MATCH(STOCK_OVERVIEW!$Y418,PLANNING_FC!$B$27:$B$46,0),FALSE),HLOOKUP($AB418&amp;$AD418,PLANNING_FC!$T$4:$AH$23,MATCH(STOCK_OVERVIEW!$Y418,PLANNING_FC!$B$4:$B$23,0),FALSE)),"")</f>
        <v>0</v>
      </c>
      <c r="AJ418" s="650">
        <f ca="1">IFERROR(IF($AA418="NOOS",HLOOKUP(STOCK_OVERVIEW!$AB418&amp;STOCK_OVERVIEW!$AD418,PLANNING_FC!$DA$27:$DO$46,MATCH(STOCK_OVERVIEW!$Y418,PLANNING_FC!$CZ$27:$CZ$46,0),FALSE),HLOOKUP($AB418&amp;$AD418,PLANNING_FC!$DA$4:$DO$23,MATCH(STOCK_OVERVIEW!$Y418,PLANNING_FC!$CZ$4:$CZ$23,0),FALSE)),"")</f>
        <v>418420</v>
      </c>
      <c r="AK418" s="651">
        <f ca="1">IFERROR(IF(AA418="NOOS",HLOOKUP(AB418&amp;AD418,PLANNING_FC!$AJ$27:$AY$47,MATCH(STOCK_OVERVIEW!Y418,PLANNING_FC!$AJ$27:$AJ$47,0),FALSE)*1000,HLOOKUP(AB418&amp;AD418,PLANNING_FC!$AJ$4:$AY$24,MATCH(STOCK_OVERVIEW!Y418,PLANNING_FC!$AJ$4:$AJ$24,0),FALSE)*1000),"")</f>
        <v>0</v>
      </c>
    </row>
    <row r="419" spans="24:37" x14ac:dyDescent="0.25">
      <c r="X419" s="465" t="str">
        <f t="shared" si="39"/>
        <v>VM</v>
      </c>
      <c r="Y419" s="206" t="str">
        <f t="shared" si="39"/>
        <v>TAILORING</v>
      </c>
      <c r="Z419" s="25" t="str">
        <f t="shared" ca="1" si="38"/>
        <v>VMTAILORING19/20Dec</v>
      </c>
      <c r="AA419" s="206" t="s">
        <v>197</v>
      </c>
      <c r="AB419" s="206" t="str">
        <f t="shared" ca="1" si="40"/>
        <v>19/20</v>
      </c>
      <c r="AC419" s="206" t="str">
        <f t="shared" ca="1" si="40"/>
        <v>Q2</v>
      </c>
      <c r="AD419" s="206" t="str">
        <f t="shared" ca="1" si="40"/>
        <v>Dec</v>
      </c>
      <c r="AE419" s="649">
        <f ca="1">IFERROR(HLOOKUP($AB419&amp;$AD419,'NWC_FC_NON-NOOS'!$C$4:$Q$24,MATCH($Y419,'NWC_FC_NON-NOOS'!$B$4:$B$24,0),FALSE),"")</f>
        <v>0</v>
      </c>
      <c r="AF419" s="650">
        <f ca="1">IFERROR(HLOOKUP($AB419&amp;$AD419,'NWC_FC_NON-NOOS'!$S$4:$AH$24,MATCH($Y419,'NWC_FC_NON-NOOS'!$S$4:$S$24,0),FALSE),"")</f>
        <v>0</v>
      </c>
      <c r="AG419" s="650">
        <f ca="1">IFERROR(HLOOKUP($AB419&amp;$AD419,'NWC_FC_NON-NOOS'!$B$50:$U$70,MATCH($Y419,'NWC_FC_NON-NOOS'!$B$50:$B$70,0),FALSE),"")</f>
        <v>0</v>
      </c>
      <c r="AH419" s="650">
        <f ca="1">IFERROR(IF($AA419="NOOS",HLOOKUP(STOCK_OVERVIEW!$AB419&amp;STOCK_OVERVIEW!$AD419,PLANNING_FC!$BB$27:$BP$46,MATCH(STOCK_OVERVIEW!$Y419,PLANNING_FC!$BA$27:$BA$46,0),FALSE),HLOOKUP($AB419&amp;$AD419,PLANNING_FC!$BB$4:$BP$23,MATCH(STOCK_OVERVIEW!$Y419,PLANNING_FC!$BA$4:$BA$23,0),FALSE)),"")</f>
        <v>0</v>
      </c>
      <c r="AI419" s="650">
        <f ca="1">IFERROR(IF($AA419="NOOS",HLOOKUP(STOCK_OVERVIEW!$AB419&amp;STOCK_OVERVIEW!$AD419,PLANNING_FC!$T$27:$AH$46,MATCH(STOCK_OVERVIEW!$Y419,PLANNING_FC!$B$27:$B$46,0),FALSE),HLOOKUP($AB419&amp;$AD419,PLANNING_FC!$T$4:$AH$23,MATCH(STOCK_OVERVIEW!$Y419,PLANNING_FC!$B$4:$B$23,0),FALSE)),"")</f>
        <v>0</v>
      </c>
      <c r="AJ419" s="650">
        <f ca="1">IFERROR(IF($AA419="NOOS",HLOOKUP(STOCK_OVERVIEW!$AB419&amp;STOCK_OVERVIEW!$AD419,PLANNING_FC!$DA$27:$DO$46,MATCH(STOCK_OVERVIEW!$Y419,PLANNING_FC!$CZ$27:$CZ$46,0),FALSE),HLOOKUP($AB419&amp;$AD419,PLANNING_FC!$DA$4:$DO$23,MATCH(STOCK_OVERVIEW!$Y419,PLANNING_FC!$CZ$4:$CZ$23,0),FALSE)),"")</f>
        <v>418420</v>
      </c>
      <c r="AK419" s="651">
        <f ca="1">IFERROR(IF(AA419="NOOS",HLOOKUP(AB419&amp;AD419,PLANNING_FC!$AJ$27:$AY$47,MATCH(STOCK_OVERVIEW!Y419,PLANNING_FC!$AJ$27:$AJ$47,0),FALSE)*1000,HLOOKUP(AB419&amp;AD419,PLANNING_FC!$AJ$4:$AY$24,MATCH(STOCK_OVERVIEW!Y419,PLANNING_FC!$AJ$4:$AJ$24,0),FALSE)*1000),"")</f>
        <v>0</v>
      </c>
    </row>
    <row r="420" spans="24:37" x14ac:dyDescent="0.25">
      <c r="X420" s="465" t="str">
        <f t="shared" si="39"/>
        <v>VM</v>
      </c>
      <c r="Y420" s="206" t="str">
        <f t="shared" si="39"/>
        <v>TAILORING</v>
      </c>
      <c r="Z420" s="25" t="str">
        <f t="shared" ca="1" si="38"/>
        <v>VMTAILORING19/20Jan</v>
      </c>
      <c r="AA420" s="206" t="s">
        <v>197</v>
      </c>
      <c r="AB420" s="206" t="str">
        <f t="shared" ca="1" si="40"/>
        <v>19/20</v>
      </c>
      <c r="AC420" s="206" t="str">
        <f t="shared" ca="1" si="40"/>
        <v>Q2</v>
      </c>
      <c r="AD420" s="206" t="str">
        <f t="shared" ca="1" si="40"/>
        <v>Jan</v>
      </c>
      <c r="AE420" s="649">
        <f ca="1">IFERROR(HLOOKUP($AB420&amp;$AD420,'NWC_FC_NON-NOOS'!$C$4:$Q$24,MATCH($Y420,'NWC_FC_NON-NOOS'!$B$4:$B$24,0),FALSE),"")</f>
        <v>0</v>
      </c>
      <c r="AF420" s="650">
        <f ca="1">IFERROR(HLOOKUP($AB420&amp;$AD420,'NWC_FC_NON-NOOS'!$S$4:$AH$24,MATCH($Y420,'NWC_FC_NON-NOOS'!$S$4:$S$24,0),FALSE),"")</f>
        <v>0</v>
      </c>
      <c r="AG420" s="650">
        <f ca="1">IFERROR(HLOOKUP($AB420&amp;$AD420,'NWC_FC_NON-NOOS'!$B$50:$U$70,MATCH($Y420,'NWC_FC_NON-NOOS'!$B$50:$B$70,0),FALSE),"")</f>
        <v>0</v>
      </c>
      <c r="AH420" s="650">
        <f ca="1">IFERROR(IF($AA420="NOOS",HLOOKUP(STOCK_OVERVIEW!$AB420&amp;STOCK_OVERVIEW!$AD420,PLANNING_FC!$BB$27:$BP$46,MATCH(STOCK_OVERVIEW!$Y420,PLANNING_FC!$BA$27:$BA$46,0),FALSE),HLOOKUP($AB420&amp;$AD420,PLANNING_FC!$BB$4:$BP$23,MATCH(STOCK_OVERVIEW!$Y420,PLANNING_FC!$BA$4:$BA$23,0),FALSE)),"")</f>
        <v>0</v>
      </c>
      <c r="AI420" s="650">
        <f ca="1">IFERROR(IF($AA420="NOOS",HLOOKUP(STOCK_OVERVIEW!$AB420&amp;STOCK_OVERVIEW!$AD420,PLANNING_FC!$T$27:$AH$46,MATCH(STOCK_OVERVIEW!$Y420,PLANNING_FC!$B$27:$B$46,0),FALSE),HLOOKUP($AB420&amp;$AD420,PLANNING_FC!$T$4:$AH$23,MATCH(STOCK_OVERVIEW!$Y420,PLANNING_FC!$B$4:$B$23,0),FALSE)),"")</f>
        <v>0</v>
      </c>
      <c r="AJ420" s="650">
        <f ca="1">IFERROR(IF($AA420="NOOS",HLOOKUP(STOCK_OVERVIEW!$AB420&amp;STOCK_OVERVIEW!$AD420,PLANNING_FC!$DA$27:$DO$46,MATCH(STOCK_OVERVIEW!$Y420,PLANNING_FC!$CZ$27:$CZ$46,0),FALSE),HLOOKUP($AB420&amp;$AD420,PLANNING_FC!$DA$4:$DO$23,MATCH(STOCK_OVERVIEW!$Y420,PLANNING_FC!$CZ$4:$CZ$23,0),FALSE)),"")</f>
        <v>418420</v>
      </c>
      <c r="AK420" s="651">
        <f ca="1">IFERROR(IF(AA420="NOOS",HLOOKUP(AB420&amp;AD420,PLANNING_FC!$AJ$27:$AY$47,MATCH(STOCK_OVERVIEW!Y420,PLANNING_FC!$AJ$27:$AJ$47,0),FALSE)*1000,HLOOKUP(AB420&amp;AD420,PLANNING_FC!$AJ$4:$AY$24,MATCH(STOCK_OVERVIEW!Y420,PLANNING_FC!$AJ$4:$AJ$24,0),FALSE)*1000),"")</f>
        <v>0</v>
      </c>
    </row>
    <row r="421" spans="24:37" x14ac:dyDescent="0.25">
      <c r="X421" s="465" t="str">
        <f t="shared" si="39"/>
        <v>VM</v>
      </c>
      <c r="Y421" s="206" t="str">
        <f t="shared" si="39"/>
        <v>TAILORING</v>
      </c>
      <c r="Z421" s="25" t="str">
        <f t="shared" ca="1" si="38"/>
        <v>VMTAILORING19/20Feb</v>
      </c>
      <c r="AA421" s="206" t="s">
        <v>197</v>
      </c>
      <c r="AB421" s="206" t="str">
        <f t="shared" ca="1" si="40"/>
        <v>19/20</v>
      </c>
      <c r="AC421" s="206" t="str">
        <f t="shared" ca="1" si="40"/>
        <v>Q3</v>
      </c>
      <c r="AD421" s="206" t="str">
        <f t="shared" ca="1" si="40"/>
        <v>Feb</v>
      </c>
      <c r="AE421" s="649" t="str">
        <f ca="1">IFERROR(HLOOKUP($AB421&amp;$AD421,'NWC_FC_NON-NOOS'!$C$4:$Q$24,MATCH($Y421,'NWC_FC_NON-NOOS'!$B$4:$B$24,0),FALSE),"")</f>
        <v/>
      </c>
      <c r="AF421" s="650" t="str">
        <f ca="1">IFERROR(HLOOKUP($AB421&amp;$AD421,'NWC_FC_NON-NOOS'!$S$4:$AH$24,MATCH($Y421,'NWC_FC_NON-NOOS'!$S$4:$S$24,0),FALSE),"")</f>
        <v/>
      </c>
      <c r="AG421" s="650">
        <f ca="1">IFERROR(HLOOKUP($AB421&amp;$AD421,'NWC_FC_NON-NOOS'!$B$50:$U$70,MATCH($Y421,'NWC_FC_NON-NOOS'!$B$50:$B$70,0),FALSE),"")</f>
        <v>0</v>
      </c>
      <c r="AH421" s="650" t="str">
        <f ca="1">IFERROR(IF($AA421="NOOS",HLOOKUP(STOCK_OVERVIEW!$AB421&amp;STOCK_OVERVIEW!$AD421,PLANNING_FC!$BB$27:$BP$46,MATCH(STOCK_OVERVIEW!$Y421,PLANNING_FC!$BA$27:$BA$46,0),FALSE),HLOOKUP($AB421&amp;$AD421,PLANNING_FC!$BB$4:$BP$23,MATCH(STOCK_OVERVIEW!$Y421,PLANNING_FC!$BA$4:$BA$23,0),FALSE)),"")</f>
        <v/>
      </c>
      <c r="AI421" s="650" t="str">
        <f ca="1">IFERROR(IF($AA421="NOOS",HLOOKUP(STOCK_OVERVIEW!$AB421&amp;STOCK_OVERVIEW!$AD421,PLANNING_FC!$T$27:$AH$46,MATCH(STOCK_OVERVIEW!$Y421,PLANNING_FC!$B$27:$B$46,0),FALSE),HLOOKUP($AB421&amp;$AD421,PLANNING_FC!$T$4:$AH$23,MATCH(STOCK_OVERVIEW!$Y421,PLANNING_FC!$B$4:$B$23,0),FALSE)),"")</f>
        <v/>
      </c>
      <c r="AJ421" s="650" t="str">
        <f ca="1">IFERROR(IF($AA421="NOOS",HLOOKUP(STOCK_OVERVIEW!$AB421&amp;STOCK_OVERVIEW!$AD421,PLANNING_FC!$DA$27:$DO$46,MATCH(STOCK_OVERVIEW!$Y421,PLANNING_FC!$CZ$27:$CZ$46,0),FALSE),HLOOKUP($AB421&amp;$AD421,PLANNING_FC!$DA$4:$DO$23,MATCH(STOCK_OVERVIEW!$Y421,PLANNING_FC!$CZ$4:$CZ$23,0),FALSE)),"")</f>
        <v/>
      </c>
      <c r="AK421" s="651" t="str">
        <f ca="1">IFERROR(IF(AA421="NOOS",HLOOKUP(AB421&amp;AD421,PLANNING_FC!$AJ$27:$AY$47,MATCH(STOCK_OVERVIEW!Y421,PLANNING_FC!$AJ$27:$AJ$47,0),FALSE)*1000,HLOOKUP(AB421&amp;AD421,PLANNING_FC!$AJ$4:$AY$24,MATCH(STOCK_OVERVIEW!Y421,PLANNING_FC!$AJ$4:$AJ$24,0),FALSE)*1000),"")</f>
        <v/>
      </c>
    </row>
    <row r="422" spans="24:37" x14ac:dyDescent="0.25">
      <c r="X422" s="465" t="str">
        <f t="shared" si="39"/>
        <v>VM</v>
      </c>
      <c r="Y422" s="206" t="str">
        <f t="shared" si="39"/>
        <v>TAILORING</v>
      </c>
      <c r="Z422" s="25" t="str">
        <f t="shared" ca="1" si="38"/>
        <v>VMTAILORING19/20Mar</v>
      </c>
      <c r="AA422" s="206" t="s">
        <v>197</v>
      </c>
      <c r="AB422" s="206" t="str">
        <f t="shared" ca="1" si="40"/>
        <v>19/20</v>
      </c>
      <c r="AC422" s="206" t="str">
        <f t="shared" ca="1" si="40"/>
        <v>Q3</v>
      </c>
      <c r="AD422" s="206" t="str">
        <f t="shared" ca="1" si="40"/>
        <v>Mar</v>
      </c>
      <c r="AE422" s="649" t="str">
        <f ca="1">IFERROR(HLOOKUP($AB422&amp;$AD422,'NWC_FC_NON-NOOS'!$C$4:$Q$24,MATCH($Y422,'NWC_FC_NON-NOOS'!$B$4:$B$24,0),FALSE),"")</f>
        <v/>
      </c>
      <c r="AF422" s="650" t="str">
        <f ca="1">IFERROR(HLOOKUP($AB422&amp;$AD422,'NWC_FC_NON-NOOS'!$S$4:$AH$24,MATCH($Y422,'NWC_FC_NON-NOOS'!$S$4:$S$24,0),FALSE),"")</f>
        <v/>
      </c>
      <c r="AG422" s="650">
        <f ca="1">IFERROR(HLOOKUP($AB422&amp;$AD422,'NWC_FC_NON-NOOS'!$B$50:$U$70,MATCH($Y422,'NWC_FC_NON-NOOS'!$B$50:$B$70,0),FALSE),"")</f>
        <v>0</v>
      </c>
      <c r="AH422" s="650" t="str">
        <f ca="1">IFERROR(IF($AA422="NOOS",HLOOKUP(STOCK_OVERVIEW!$AB422&amp;STOCK_OVERVIEW!$AD422,PLANNING_FC!$BB$27:$BP$46,MATCH(STOCK_OVERVIEW!$Y422,PLANNING_FC!$BA$27:$BA$46,0),FALSE),HLOOKUP($AB422&amp;$AD422,PLANNING_FC!$BB$4:$BP$23,MATCH(STOCK_OVERVIEW!$Y422,PLANNING_FC!$BA$4:$BA$23,0),FALSE)),"")</f>
        <v/>
      </c>
      <c r="AI422" s="650" t="str">
        <f ca="1">IFERROR(IF($AA422="NOOS",HLOOKUP(STOCK_OVERVIEW!$AB422&amp;STOCK_OVERVIEW!$AD422,PLANNING_FC!$T$27:$AH$46,MATCH(STOCK_OVERVIEW!$Y422,PLANNING_FC!$B$27:$B$46,0),FALSE),HLOOKUP($AB422&amp;$AD422,PLANNING_FC!$T$4:$AH$23,MATCH(STOCK_OVERVIEW!$Y422,PLANNING_FC!$B$4:$B$23,0),FALSE)),"")</f>
        <v/>
      </c>
      <c r="AJ422" s="650" t="str">
        <f ca="1">IFERROR(IF($AA422="NOOS",HLOOKUP(STOCK_OVERVIEW!$AB422&amp;STOCK_OVERVIEW!$AD422,PLANNING_FC!$DA$27:$DO$46,MATCH(STOCK_OVERVIEW!$Y422,PLANNING_FC!$CZ$27:$CZ$46,0),FALSE),HLOOKUP($AB422&amp;$AD422,PLANNING_FC!$DA$4:$DO$23,MATCH(STOCK_OVERVIEW!$Y422,PLANNING_FC!$CZ$4:$CZ$23,0),FALSE)),"")</f>
        <v/>
      </c>
      <c r="AK422" s="651" t="str">
        <f ca="1">IFERROR(IF(AA422="NOOS",HLOOKUP(AB422&amp;AD422,PLANNING_FC!$AJ$27:$AY$47,MATCH(STOCK_OVERVIEW!Y422,PLANNING_FC!$AJ$27:$AJ$47,0),FALSE)*1000,HLOOKUP(AB422&amp;AD422,PLANNING_FC!$AJ$4:$AY$24,MATCH(STOCK_OVERVIEW!Y422,PLANNING_FC!$AJ$4:$AJ$24,0),FALSE)*1000),"")</f>
        <v/>
      </c>
    </row>
    <row r="423" spans="24:37" x14ac:dyDescent="0.25">
      <c r="X423" s="465" t="str">
        <f t="shared" si="39"/>
        <v>VM</v>
      </c>
      <c r="Y423" s="206" t="str">
        <f t="shared" si="39"/>
        <v>TAILORING</v>
      </c>
      <c r="Z423" s="25" t="str">
        <f t="shared" ca="1" si="38"/>
        <v>VMTAILORING19/20Apr</v>
      </c>
      <c r="AA423" s="206" t="s">
        <v>197</v>
      </c>
      <c r="AB423" s="206" t="str">
        <f t="shared" ca="1" si="40"/>
        <v>19/20</v>
      </c>
      <c r="AC423" s="206" t="str">
        <f t="shared" ca="1" si="40"/>
        <v>Q3</v>
      </c>
      <c r="AD423" s="206" t="str">
        <f t="shared" ca="1" si="40"/>
        <v>Apr</v>
      </c>
      <c r="AE423" s="649" t="str">
        <f ca="1">IFERROR(HLOOKUP($AB423&amp;$AD423,'NWC_FC_NON-NOOS'!$C$4:$Q$24,MATCH($Y423,'NWC_FC_NON-NOOS'!$B$4:$B$24,0),FALSE),"")</f>
        <v/>
      </c>
      <c r="AF423" s="650" t="str">
        <f ca="1">IFERROR(HLOOKUP($AB423&amp;$AD423,'NWC_FC_NON-NOOS'!$S$4:$AH$24,MATCH($Y423,'NWC_FC_NON-NOOS'!$S$4:$S$24,0),FALSE),"")</f>
        <v/>
      </c>
      <c r="AG423" s="650">
        <f ca="1">IFERROR(HLOOKUP($AB423&amp;$AD423,'NWC_FC_NON-NOOS'!$B$50:$U$70,MATCH($Y423,'NWC_FC_NON-NOOS'!$B$50:$B$70,0),FALSE),"")</f>
        <v>0</v>
      </c>
      <c r="AH423" s="650" t="str">
        <f ca="1">IFERROR(IF($AA423="NOOS",HLOOKUP(STOCK_OVERVIEW!$AB423&amp;STOCK_OVERVIEW!$AD423,PLANNING_FC!$BB$27:$BP$46,MATCH(STOCK_OVERVIEW!$Y423,PLANNING_FC!$BA$27:$BA$46,0),FALSE),HLOOKUP($AB423&amp;$AD423,PLANNING_FC!$BB$4:$BP$23,MATCH(STOCK_OVERVIEW!$Y423,PLANNING_FC!$BA$4:$BA$23,0),FALSE)),"")</f>
        <v/>
      </c>
      <c r="AI423" s="650" t="str">
        <f ca="1">IFERROR(IF($AA423="NOOS",HLOOKUP(STOCK_OVERVIEW!$AB423&amp;STOCK_OVERVIEW!$AD423,PLANNING_FC!$T$27:$AH$46,MATCH(STOCK_OVERVIEW!$Y423,PLANNING_FC!$B$27:$B$46,0),FALSE),HLOOKUP($AB423&amp;$AD423,PLANNING_FC!$T$4:$AH$23,MATCH(STOCK_OVERVIEW!$Y423,PLANNING_FC!$B$4:$B$23,0),FALSE)),"")</f>
        <v/>
      </c>
      <c r="AJ423" s="650" t="str">
        <f ca="1">IFERROR(IF($AA423="NOOS",HLOOKUP(STOCK_OVERVIEW!$AB423&amp;STOCK_OVERVIEW!$AD423,PLANNING_FC!$DA$27:$DO$46,MATCH(STOCK_OVERVIEW!$Y423,PLANNING_FC!$CZ$27:$CZ$46,0),FALSE),HLOOKUP($AB423&amp;$AD423,PLANNING_FC!$DA$4:$DO$23,MATCH(STOCK_OVERVIEW!$Y423,PLANNING_FC!$CZ$4:$CZ$23,0),FALSE)),"")</f>
        <v/>
      </c>
      <c r="AK423" s="651" t="str">
        <f ca="1">IFERROR(IF(AA423="NOOS",HLOOKUP(AB423&amp;AD423,PLANNING_FC!$AJ$27:$AY$47,MATCH(STOCK_OVERVIEW!Y423,PLANNING_FC!$AJ$27:$AJ$47,0),FALSE)*1000,HLOOKUP(AB423&amp;AD423,PLANNING_FC!$AJ$4:$AY$24,MATCH(STOCK_OVERVIEW!Y423,PLANNING_FC!$AJ$4:$AJ$24,0),FALSE)*1000),"")</f>
        <v/>
      </c>
    </row>
    <row r="424" spans="24:37" x14ac:dyDescent="0.25">
      <c r="X424" s="465" t="str">
        <f t="shared" ref="X424:Y443" si="41">X184</f>
        <v>VM</v>
      </c>
      <c r="Y424" s="206" t="str">
        <f t="shared" si="41"/>
        <v>TOPS</v>
      </c>
      <c r="Z424" s="25" t="str">
        <f t="shared" ca="1" si="38"/>
        <v>VMTOPS18/19Feb</v>
      </c>
      <c r="AA424" s="206" t="s">
        <v>197</v>
      </c>
      <c r="AB424" s="206" t="str">
        <f t="shared" ref="AB424:AD443" ca="1" si="42">AB184</f>
        <v>18/19</v>
      </c>
      <c r="AC424" s="206" t="str">
        <f t="shared" ca="1" si="42"/>
        <v>Q3</v>
      </c>
      <c r="AD424" s="206" t="str">
        <f t="shared" ca="1" si="42"/>
        <v>Feb</v>
      </c>
      <c r="AE424" s="649">
        <f ca="1">IFERROR(HLOOKUP($AB424&amp;$AD424,'NWC_FC_NON-NOOS'!$C$4:$Q$24,MATCH($Y424,'NWC_FC_NON-NOOS'!$B$4:$B$24,0),FALSE),"")</f>
        <v>0</v>
      </c>
      <c r="AF424" s="650">
        <f ca="1">IFERROR(HLOOKUP($AB424&amp;$AD424,'NWC_FC_NON-NOOS'!$S$4:$AH$24,MATCH($Y424,'NWC_FC_NON-NOOS'!$S$4:$S$24,0),FALSE),"")</f>
        <v>0</v>
      </c>
      <c r="AG424" s="650">
        <f ca="1">IFERROR(HLOOKUP($AB424&amp;$AD424,'NWC_FC_NON-NOOS'!$B$50:$U$70,MATCH($Y424,'NWC_FC_NON-NOOS'!$B$50:$B$70,0),FALSE),"")</f>
        <v>0</v>
      </c>
      <c r="AH424" s="650">
        <f ca="1">IFERROR(IF($AA424="NOOS",HLOOKUP(STOCK_OVERVIEW!$AB424&amp;STOCK_OVERVIEW!$AD424,PLANNING_FC!$BB$27:$BP$46,MATCH(STOCK_OVERVIEW!$Y424,PLANNING_FC!$BA$27:$BA$46,0),FALSE),HLOOKUP($AB424&amp;$AD424,PLANNING_FC!$BB$4:$BP$23,MATCH(STOCK_OVERVIEW!$Y424,PLANNING_FC!$BA$4:$BA$23,0),FALSE)),"")</f>
        <v>0</v>
      </c>
      <c r="AI424" s="650">
        <f ca="1">IFERROR(IF($AA424="NOOS",HLOOKUP(STOCK_OVERVIEW!$AB424&amp;STOCK_OVERVIEW!$AD424,PLANNING_FC!$T$27:$AH$46,MATCH(STOCK_OVERVIEW!$Y424,PLANNING_FC!$B$27:$B$46,0),FALSE),HLOOKUP($AB424&amp;$AD424,PLANNING_FC!$T$4:$AH$23,MATCH(STOCK_OVERVIEW!$Y424,PLANNING_FC!$B$4:$B$23,0),FALSE)),"")</f>
        <v>0</v>
      </c>
      <c r="AJ424" s="650">
        <f ca="1">IFERROR(IF($AA424="NOOS",HLOOKUP(STOCK_OVERVIEW!$AB424&amp;STOCK_OVERVIEW!$AD424,PLANNING_FC!$DA$27:$DO$46,MATCH(STOCK_OVERVIEW!$Y424,PLANNING_FC!$CZ$27:$CZ$46,0),FALSE),HLOOKUP($AB424&amp;$AD424,PLANNING_FC!$DA$4:$DO$23,MATCH(STOCK_OVERVIEW!$Y424,PLANNING_FC!$CZ$4:$CZ$23,0),FALSE)),"")</f>
        <v>0</v>
      </c>
      <c r="AK424" s="651">
        <f ca="1">IFERROR(IF(AA424="NOOS",HLOOKUP(AB424&amp;AD424,PLANNING_FC!$AJ$27:$AY$47,MATCH(STOCK_OVERVIEW!Y424,PLANNING_FC!$AJ$27:$AJ$47,0),FALSE)*1000,HLOOKUP(AB424&amp;AD424,PLANNING_FC!$AJ$4:$AY$24,MATCH(STOCK_OVERVIEW!Y424,PLANNING_FC!$AJ$4:$AJ$24,0),FALSE)*1000),"")</f>
        <v>0</v>
      </c>
    </row>
    <row r="425" spans="24:37" x14ac:dyDescent="0.25">
      <c r="X425" s="465" t="str">
        <f t="shared" si="41"/>
        <v>VM</v>
      </c>
      <c r="Y425" s="206" t="str">
        <f t="shared" si="41"/>
        <v>TOPS</v>
      </c>
      <c r="Z425" s="25" t="str">
        <f t="shared" ca="1" si="38"/>
        <v>VMTOPS18/19Mar</v>
      </c>
      <c r="AA425" s="206" t="s">
        <v>197</v>
      </c>
      <c r="AB425" s="206" t="str">
        <f t="shared" ca="1" si="42"/>
        <v>18/19</v>
      </c>
      <c r="AC425" s="206" t="str">
        <f t="shared" ca="1" si="42"/>
        <v>Q3</v>
      </c>
      <c r="AD425" s="206" t="str">
        <f t="shared" ca="1" si="42"/>
        <v>Mar</v>
      </c>
      <c r="AE425" s="649">
        <f ca="1">IFERROR(HLOOKUP($AB425&amp;$AD425,'NWC_FC_NON-NOOS'!$C$4:$Q$24,MATCH($Y425,'NWC_FC_NON-NOOS'!$B$4:$B$24,0),FALSE),"")</f>
        <v>0</v>
      </c>
      <c r="AF425" s="650">
        <f ca="1">IFERROR(HLOOKUP($AB425&amp;$AD425,'NWC_FC_NON-NOOS'!$S$4:$AH$24,MATCH($Y425,'NWC_FC_NON-NOOS'!$S$4:$S$24,0),FALSE),"")</f>
        <v>0</v>
      </c>
      <c r="AG425" s="650">
        <f ca="1">IFERROR(HLOOKUP($AB425&amp;$AD425,'NWC_FC_NON-NOOS'!$B$50:$U$70,MATCH($Y425,'NWC_FC_NON-NOOS'!$B$50:$B$70,0),FALSE),"")</f>
        <v>0</v>
      </c>
      <c r="AH425" s="650">
        <f ca="1">IFERROR(IF($AA425="NOOS",HLOOKUP(STOCK_OVERVIEW!$AB425&amp;STOCK_OVERVIEW!$AD425,PLANNING_FC!$BB$27:$BP$46,MATCH(STOCK_OVERVIEW!$Y425,PLANNING_FC!$BA$27:$BA$46,0),FALSE),HLOOKUP($AB425&amp;$AD425,PLANNING_FC!$BB$4:$BP$23,MATCH(STOCK_OVERVIEW!$Y425,PLANNING_FC!$BA$4:$BA$23,0),FALSE)),"")</f>
        <v>0</v>
      </c>
      <c r="AI425" s="650">
        <f ca="1">IFERROR(IF($AA425="NOOS",HLOOKUP(STOCK_OVERVIEW!$AB425&amp;STOCK_OVERVIEW!$AD425,PLANNING_FC!$T$27:$AH$46,MATCH(STOCK_OVERVIEW!$Y425,PLANNING_FC!$B$27:$B$46,0),FALSE),HLOOKUP($AB425&amp;$AD425,PLANNING_FC!$T$4:$AH$23,MATCH(STOCK_OVERVIEW!$Y425,PLANNING_FC!$B$4:$B$23,0),FALSE)),"")</f>
        <v>0</v>
      </c>
      <c r="AJ425" s="650">
        <f ca="1">IFERROR(IF($AA425="NOOS",HLOOKUP(STOCK_OVERVIEW!$AB425&amp;STOCK_OVERVIEW!$AD425,PLANNING_FC!$DA$27:$DO$46,MATCH(STOCK_OVERVIEW!$Y425,PLANNING_FC!$CZ$27:$CZ$46,0),FALSE),HLOOKUP($AB425&amp;$AD425,PLANNING_FC!$DA$4:$DO$23,MATCH(STOCK_OVERVIEW!$Y425,PLANNING_FC!$CZ$4:$CZ$23,0),FALSE)),"")</f>
        <v>0</v>
      </c>
      <c r="AK425" s="651">
        <f ca="1">IFERROR(IF(AA425="NOOS",HLOOKUP(AB425&amp;AD425,PLANNING_FC!$AJ$27:$AY$47,MATCH(STOCK_OVERVIEW!Y425,PLANNING_FC!$AJ$27:$AJ$47,0),FALSE)*1000,HLOOKUP(AB425&amp;AD425,PLANNING_FC!$AJ$4:$AY$24,MATCH(STOCK_OVERVIEW!Y425,PLANNING_FC!$AJ$4:$AJ$24,0),FALSE)*1000),"")</f>
        <v>0</v>
      </c>
    </row>
    <row r="426" spans="24:37" x14ac:dyDescent="0.25">
      <c r="X426" s="465" t="str">
        <f t="shared" si="41"/>
        <v>VM</v>
      </c>
      <c r="Y426" s="206" t="str">
        <f t="shared" si="41"/>
        <v>TOPS</v>
      </c>
      <c r="Z426" s="25" t="str">
        <f t="shared" ca="1" si="38"/>
        <v>VMTOPS18/19Apr</v>
      </c>
      <c r="AA426" s="206" t="s">
        <v>197</v>
      </c>
      <c r="AB426" s="206" t="str">
        <f t="shared" ca="1" si="42"/>
        <v>18/19</v>
      </c>
      <c r="AC426" s="206" t="str">
        <f t="shared" ca="1" si="42"/>
        <v>Q3</v>
      </c>
      <c r="AD426" s="206" t="str">
        <f t="shared" ca="1" si="42"/>
        <v>Apr</v>
      </c>
      <c r="AE426" s="649">
        <f ca="1">IFERROR(HLOOKUP($AB426&amp;$AD426,'NWC_FC_NON-NOOS'!$C$4:$Q$24,MATCH($Y426,'NWC_FC_NON-NOOS'!$B$4:$B$24,0),FALSE),"")</f>
        <v>0</v>
      </c>
      <c r="AF426" s="650">
        <f ca="1">IFERROR(HLOOKUP($AB426&amp;$AD426,'NWC_FC_NON-NOOS'!$S$4:$AH$24,MATCH($Y426,'NWC_FC_NON-NOOS'!$S$4:$S$24,0),FALSE),"")</f>
        <v>0</v>
      </c>
      <c r="AG426" s="650">
        <f ca="1">IFERROR(HLOOKUP($AB426&amp;$AD426,'NWC_FC_NON-NOOS'!$B$50:$U$70,MATCH($Y426,'NWC_FC_NON-NOOS'!$B$50:$B$70,0),FALSE),"")</f>
        <v>0</v>
      </c>
      <c r="AH426" s="650">
        <f ca="1">IFERROR(IF($AA426="NOOS",HLOOKUP(STOCK_OVERVIEW!$AB426&amp;STOCK_OVERVIEW!$AD426,PLANNING_FC!$BB$27:$BP$46,MATCH(STOCK_OVERVIEW!$Y426,PLANNING_FC!$BA$27:$BA$46,0),FALSE),HLOOKUP($AB426&amp;$AD426,PLANNING_FC!$BB$4:$BP$23,MATCH(STOCK_OVERVIEW!$Y426,PLANNING_FC!$BA$4:$BA$23,0),FALSE)),"")</f>
        <v>0</v>
      </c>
      <c r="AI426" s="650">
        <f ca="1">IFERROR(IF($AA426="NOOS",HLOOKUP(STOCK_OVERVIEW!$AB426&amp;STOCK_OVERVIEW!$AD426,PLANNING_FC!$T$27:$AH$46,MATCH(STOCK_OVERVIEW!$Y426,PLANNING_FC!$B$27:$B$46,0),FALSE),HLOOKUP($AB426&amp;$AD426,PLANNING_FC!$T$4:$AH$23,MATCH(STOCK_OVERVIEW!$Y426,PLANNING_FC!$B$4:$B$23,0),FALSE)),"")</f>
        <v>0</v>
      </c>
      <c r="AJ426" s="650">
        <f ca="1">IFERROR(IF($AA426="NOOS",HLOOKUP(STOCK_OVERVIEW!$AB426&amp;STOCK_OVERVIEW!$AD426,PLANNING_FC!$DA$27:$DO$46,MATCH(STOCK_OVERVIEW!$Y426,PLANNING_FC!$CZ$27:$CZ$46,0),FALSE),HLOOKUP($AB426&amp;$AD426,PLANNING_FC!$DA$4:$DO$23,MATCH(STOCK_OVERVIEW!$Y426,PLANNING_FC!$CZ$4:$CZ$23,0),FALSE)),"")</f>
        <v>334367</v>
      </c>
      <c r="AK426" s="651">
        <f ca="1">IFERROR(IF(AA426="NOOS",HLOOKUP(AB426&amp;AD426,PLANNING_FC!$AJ$27:$AY$47,MATCH(STOCK_OVERVIEW!Y426,PLANNING_FC!$AJ$27:$AJ$47,0),FALSE)*1000,HLOOKUP(AB426&amp;AD426,PLANNING_FC!$AJ$4:$AY$24,MATCH(STOCK_OVERVIEW!Y426,PLANNING_FC!$AJ$4:$AJ$24,0),FALSE)*1000),"")</f>
        <v>0</v>
      </c>
    </row>
    <row r="427" spans="24:37" x14ac:dyDescent="0.25">
      <c r="X427" s="465" t="str">
        <f t="shared" si="41"/>
        <v>VM</v>
      </c>
      <c r="Y427" s="206" t="str">
        <f t="shared" si="41"/>
        <v>TOPS</v>
      </c>
      <c r="Z427" s="25" t="str">
        <f t="shared" ca="1" si="38"/>
        <v>VMTOPS18/19May</v>
      </c>
      <c r="AA427" s="206" t="s">
        <v>197</v>
      </c>
      <c r="AB427" s="206" t="str">
        <f t="shared" ca="1" si="42"/>
        <v>18/19</v>
      </c>
      <c r="AC427" s="206" t="str">
        <f t="shared" ca="1" si="42"/>
        <v>Q4</v>
      </c>
      <c r="AD427" s="206" t="str">
        <f t="shared" ca="1" si="42"/>
        <v>May</v>
      </c>
      <c r="AE427" s="649">
        <f ca="1">IFERROR(HLOOKUP($AB427&amp;$AD427,'NWC_FC_NON-NOOS'!$C$4:$Q$24,MATCH($Y427,'NWC_FC_NON-NOOS'!$B$4:$B$24,0),FALSE),"")</f>
        <v>0</v>
      </c>
      <c r="AF427" s="650">
        <f ca="1">IFERROR(HLOOKUP($AB427&amp;$AD427,'NWC_FC_NON-NOOS'!$S$4:$AH$24,MATCH($Y427,'NWC_FC_NON-NOOS'!$S$4:$S$24,0),FALSE),"")</f>
        <v>0</v>
      </c>
      <c r="AG427" s="650">
        <f ca="1">IFERROR(HLOOKUP($AB427&amp;$AD427,'NWC_FC_NON-NOOS'!$B$50:$U$70,MATCH($Y427,'NWC_FC_NON-NOOS'!$B$50:$B$70,0),FALSE),"")</f>
        <v>0</v>
      </c>
      <c r="AH427" s="650">
        <f ca="1">IFERROR(IF($AA427="NOOS",HLOOKUP(STOCK_OVERVIEW!$AB427&amp;STOCK_OVERVIEW!$AD427,PLANNING_FC!$BB$27:$BP$46,MATCH(STOCK_OVERVIEW!$Y427,PLANNING_FC!$BA$27:$BA$46,0),FALSE),HLOOKUP($AB427&amp;$AD427,PLANNING_FC!$BB$4:$BP$23,MATCH(STOCK_OVERVIEW!$Y427,PLANNING_FC!$BA$4:$BA$23,0),FALSE)),"")</f>
        <v>0</v>
      </c>
      <c r="AI427" s="650">
        <f ca="1">IFERROR(IF($AA427="NOOS",HLOOKUP(STOCK_OVERVIEW!$AB427&amp;STOCK_OVERVIEW!$AD427,PLANNING_FC!$T$27:$AH$46,MATCH(STOCK_OVERVIEW!$Y427,PLANNING_FC!$B$27:$B$46,0),FALSE),HLOOKUP($AB427&amp;$AD427,PLANNING_FC!$T$4:$AH$23,MATCH(STOCK_OVERVIEW!$Y427,PLANNING_FC!$B$4:$B$23,0),FALSE)),"")</f>
        <v>0</v>
      </c>
      <c r="AJ427" s="650">
        <f ca="1">IFERROR(IF($AA427="NOOS",HLOOKUP(STOCK_OVERVIEW!$AB427&amp;STOCK_OVERVIEW!$AD427,PLANNING_FC!$DA$27:$DO$46,MATCH(STOCK_OVERVIEW!$Y427,PLANNING_FC!$CZ$27:$CZ$46,0),FALSE),HLOOKUP($AB427&amp;$AD427,PLANNING_FC!$DA$4:$DO$23,MATCH(STOCK_OVERVIEW!$Y427,PLANNING_FC!$CZ$4:$CZ$23,0),FALSE)),"")</f>
        <v>378523</v>
      </c>
      <c r="AK427" s="651">
        <f ca="1">IFERROR(IF(AA427="NOOS",HLOOKUP(AB427&amp;AD427,PLANNING_FC!$AJ$27:$AY$47,MATCH(STOCK_OVERVIEW!Y427,PLANNING_FC!$AJ$27:$AJ$47,0),FALSE)*1000,HLOOKUP(AB427&amp;AD427,PLANNING_FC!$AJ$4:$AY$24,MATCH(STOCK_OVERVIEW!Y427,PLANNING_FC!$AJ$4:$AJ$24,0),FALSE)*1000),"")</f>
        <v>0</v>
      </c>
    </row>
    <row r="428" spans="24:37" x14ac:dyDescent="0.25">
      <c r="X428" s="465" t="str">
        <f t="shared" si="41"/>
        <v>VM</v>
      </c>
      <c r="Y428" s="206" t="str">
        <f t="shared" si="41"/>
        <v>TOPS</v>
      </c>
      <c r="Z428" s="25" t="str">
        <f t="shared" ca="1" si="38"/>
        <v>VMTOPS18/19Jun</v>
      </c>
      <c r="AA428" s="206" t="s">
        <v>197</v>
      </c>
      <c r="AB428" s="206" t="str">
        <f t="shared" ca="1" si="42"/>
        <v>18/19</v>
      </c>
      <c r="AC428" s="206" t="str">
        <f t="shared" ca="1" si="42"/>
        <v>Q4</v>
      </c>
      <c r="AD428" s="206" t="str">
        <f t="shared" ca="1" si="42"/>
        <v>Jun</v>
      </c>
      <c r="AE428" s="649">
        <f ca="1">IFERROR(HLOOKUP($AB428&amp;$AD428,'NWC_FC_NON-NOOS'!$C$4:$Q$24,MATCH($Y428,'NWC_FC_NON-NOOS'!$B$4:$B$24,0),FALSE),"")</f>
        <v>0</v>
      </c>
      <c r="AF428" s="650">
        <f ca="1">IFERROR(HLOOKUP($AB428&amp;$AD428,'NWC_FC_NON-NOOS'!$S$4:$AH$24,MATCH($Y428,'NWC_FC_NON-NOOS'!$S$4:$S$24,0),FALSE),"")</f>
        <v>0</v>
      </c>
      <c r="AG428" s="650">
        <f ca="1">IFERROR(HLOOKUP($AB428&amp;$AD428,'NWC_FC_NON-NOOS'!$B$50:$U$70,MATCH($Y428,'NWC_FC_NON-NOOS'!$B$50:$B$70,0),FALSE),"")</f>
        <v>0</v>
      </c>
      <c r="AH428" s="650">
        <f ca="1">IFERROR(IF($AA428="NOOS",HLOOKUP(STOCK_OVERVIEW!$AB428&amp;STOCK_OVERVIEW!$AD428,PLANNING_FC!$BB$27:$BP$46,MATCH(STOCK_OVERVIEW!$Y428,PLANNING_FC!$BA$27:$BA$46,0),FALSE),HLOOKUP($AB428&amp;$AD428,PLANNING_FC!$BB$4:$BP$23,MATCH(STOCK_OVERVIEW!$Y428,PLANNING_FC!$BA$4:$BA$23,0),FALSE)),"")</f>
        <v>0</v>
      </c>
      <c r="AI428" s="650">
        <f ca="1">IFERROR(IF($AA428="NOOS",HLOOKUP(STOCK_OVERVIEW!$AB428&amp;STOCK_OVERVIEW!$AD428,PLANNING_FC!$T$27:$AH$46,MATCH(STOCK_OVERVIEW!$Y428,PLANNING_FC!$B$27:$B$46,0),FALSE),HLOOKUP($AB428&amp;$AD428,PLANNING_FC!$T$4:$AH$23,MATCH(STOCK_OVERVIEW!$Y428,PLANNING_FC!$B$4:$B$23,0),FALSE)),"")</f>
        <v>0</v>
      </c>
      <c r="AJ428" s="650">
        <f ca="1">IFERROR(IF($AA428="NOOS",HLOOKUP(STOCK_OVERVIEW!$AB428&amp;STOCK_OVERVIEW!$AD428,PLANNING_FC!$DA$27:$DO$46,MATCH(STOCK_OVERVIEW!$Y428,PLANNING_FC!$CZ$27:$CZ$46,0),FALSE),HLOOKUP($AB428&amp;$AD428,PLANNING_FC!$DA$4:$DO$23,MATCH(STOCK_OVERVIEW!$Y428,PLANNING_FC!$CZ$4:$CZ$23,0),FALSE)),"")</f>
        <v>399397</v>
      </c>
      <c r="AK428" s="651">
        <f ca="1">IFERROR(IF(AA428="NOOS",HLOOKUP(AB428&amp;AD428,PLANNING_FC!$AJ$27:$AY$47,MATCH(STOCK_OVERVIEW!Y428,PLANNING_FC!$AJ$27:$AJ$47,0),FALSE)*1000,HLOOKUP(AB428&amp;AD428,PLANNING_FC!$AJ$4:$AY$24,MATCH(STOCK_OVERVIEW!Y428,PLANNING_FC!$AJ$4:$AJ$24,0),FALSE)*1000),"")</f>
        <v>0</v>
      </c>
    </row>
    <row r="429" spans="24:37" x14ac:dyDescent="0.25">
      <c r="X429" s="465" t="str">
        <f t="shared" si="41"/>
        <v>VM</v>
      </c>
      <c r="Y429" s="206" t="str">
        <f t="shared" si="41"/>
        <v>TOPS</v>
      </c>
      <c r="Z429" s="25" t="str">
        <f t="shared" ca="1" si="38"/>
        <v>VMTOPS18/19Jul</v>
      </c>
      <c r="AA429" s="206" t="s">
        <v>197</v>
      </c>
      <c r="AB429" s="206" t="str">
        <f t="shared" ca="1" si="42"/>
        <v>18/19</v>
      </c>
      <c r="AC429" s="206" t="str">
        <f t="shared" ca="1" si="42"/>
        <v>Q4</v>
      </c>
      <c r="AD429" s="206" t="str">
        <f t="shared" ca="1" si="42"/>
        <v>Jul</v>
      </c>
      <c r="AE429" s="649">
        <f ca="1">IFERROR(HLOOKUP($AB429&amp;$AD429,'NWC_FC_NON-NOOS'!$C$4:$Q$24,MATCH($Y429,'NWC_FC_NON-NOOS'!$B$4:$B$24,0),FALSE),"")</f>
        <v>0</v>
      </c>
      <c r="AF429" s="650">
        <f ca="1">IFERROR(HLOOKUP($AB429&amp;$AD429,'NWC_FC_NON-NOOS'!$S$4:$AH$24,MATCH($Y429,'NWC_FC_NON-NOOS'!$S$4:$S$24,0),FALSE),"")</f>
        <v>0</v>
      </c>
      <c r="AG429" s="650">
        <f ca="1">IFERROR(HLOOKUP($AB429&amp;$AD429,'NWC_FC_NON-NOOS'!$B$50:$U$70,MATCH($Y429,'NWC_FC_NON-NOOS'!$B$50:$B$70,0),FALSE),"")</f>
        <v>0</v>
      </c>
      <c r="AH429" s="650">
        <f ca="1">IFERROR(IF($AA429="NOOS",HLOOKUP(STOCK_OVERVIEW!$AB429&amp;STOCK_OVERVIEW!$AD429,PLANNING_FC!$BB$27:$BP$46,MATCH(STOCK_OVERVIEW!$Y429,PLANNING_FC!$BA$27:$BA$46,0),FALSE),HLOOKUP($AB429&amp;$AD429,PLANNING_FC!$BB$4:$BP$23,MATCH(STOCK_OVERVIEW!$Y429,PLANNING_FC!$BA$4:$BA$23,0),FALSE)),"")</f>
        <v>0</v>
      </c>
      <c r="AI429" s="650">
        <f ca="1">IFERROR(IF($AA429="NOOS",HLOOKUP(STOCK_OVERVIEW!$AB429&amp;STOCK_OVERVIEW!$AD429,PLANNING_FC!$T$27:$AH$46,MATCH(STOCK_OVERVIEW!$Y429,PLANNING_FC!$B$27:$B$46,0),FALSE),HLOOKUP($AB429&amp;$AD429,PLANNING_FC!$T$4:$AH$23,MATCH(STOCK_OVERVIEW!$Y429,PLANNING_FC!$B$4:$B$23,0),FALSE)),"")</f>
        <v>0</v>
      </c>
      <c r="AJ429" s="650">
        <f ca="1">IFERROR(IF($AA429="NOOS",HLOOKUP(STOCK_OVERVIEW!$AB429&amp;STOCK_OVERVIEW!$AD429,PLANNING_FC!$DA$27:$DO$46,MATCH(STOCK_OVERVIEW!$Y429,PLANNING_FC!$CZ$27:$CZ$46,0),FALSE),HLOOKUP($AB429&amp;$AD429,PLANNING_FC!$DA$4:$DO$23,MATCH(STOCK_OVERVIEW!$Y429,PLANNING_FC!$CZ$4:$CZ$23,0),FALSE)),"")</f>
        <v>399397</v>
      </c>
      <c r="AK429" s="651">
        <f ca="1">IFERROR(IF(AA429="NOOS",HLOOKUP(AB429&amp;AD429,PLANNING_FC!$AJ$27:$AY$47,MATCH(STOCK_OVERVIEW!Y429,PLANNING_FC!$AJ$27:$AJ$47,0),FALSE)*1000,HLOOKUP(AB429&amp;AD429,PLANNING_FC!$AJ$4:$AY$24,MATCH(STOCK_OVERVIEW!Y429,PLANNING_FC!$AJ$4:$AJ$24,0),FALSE)*1000),"")</f>
        <v>0</v>
      </c>
    </row>
    <row r="430" spans="24:37" x14ac:dyDescent="0.25">
      <c r="X430" s="465" t="str">
        <f t="shared" si="41"/>
        <v>VM</v>
      </c>
      <c r="Y430" s="206" t="str">
        <f t="shared" si="41"/>
        <v>TOPS</v>
      </c>
      <c r="Z430" s="25" t="str">
        <f t="shared" ca="1" si="38"/>
        <v>VMTOPS19/20Aug</v>
      </c>
      <c r="AA430" s="206" t="s">
        <v>197</v>
      </c>
      <c r="AB430" s="206" t="str">
        <f t="shared" ca="1" si="42"/>
        <v>19/20</v>
      </c>
      <c r="AC430" s="206" t="str">
        <f t="shared" ca="1" si="42"/>
        <v>Q1</v>
      </c>
      <c r="AD430" s="206" t="str">
        <f t="shared" ca="1" si="42"/>
        <v>Aug</v>
      </c>
      <c r="AE430" s="649">
        <f ca="1">IFERROR(HLOOKUP($AB430&amp;$AD430,'NWC_FC_NON-NOOS'!$C$4:$Q$24,MATCH($Y430,'NWC_FC_NON-NOOS'!$B$4:$B$24,0),FALSE),"")</f>
        <v>0</v>
      </c>
      <c r="AF430" s="650">
        <f ca="1">IFERROR(HLOOKUP($AB430&amp;$AD430,'NWC_FC_NON-NOOS'!$S$4:$AH$24,MATCH($Y430,'NWC_FC_NON-NOOS'!$S$4:$S$24,0),FALSE),"")</f>
        <v>0</v>
      </c>
      <c r="AG430" s="650">
        <f ca="1">IFERROR(HLOOKUP($AB430&amp;$AD430,'NWC_FC_NON-NOOS'!$B$50:$U$70,MATCH($Y430,'NWC_FC_NON-NOOS'!$B$50:$B$70,0),FALSE),"")</f>
        <v>0</v>
      </c>
      <c r="AH430" s="650">
        <f ca="1">IFERROR(IF($AA430="NOOS",HLOOKUP(STOCK_OVERVIEW!$AB430&amp;STOCK_OVERVIEW!$AD430,PLANNING_FC!$BB$27:$BP$46,MATCH(STOCK_OVERVIEW!$Y430,PLANNING_FC!$BA$27:$BA$46,0),FALSE),HLOOKUP($AB430&amp;$AD430,PLANNING_FC!$BB$4:$BP$23,MATCH(STOCK_OVERVIEW!$Y430,PLANNING_FC!$BA$4:$BA$23,0),FALSE)),"")</f>
        <v>0</v>
      </c>
      <c r="AI430" s="650">
        <f ca="1">IFERROR(IF($AA430="NOOS",HLOOKUP(STOCK_OVERVIEW!$AB430&amp;STOCK_OVERVIEW!$AD430,PLANNING_FC!$T$27:$AH$46,MATCH(STOCK_OVERVIEW!$Y430,PLANNING_FC!$B$27:$B$46,0),FALSE),HLOOKUP($AB430&amp;$AD430,PLANNING_FC!$T$4:$AH$23,MATCH(STOCK_OVERVIEW!$Y430,PLANNING_FC!$B$4:$B$23,0),FALSE)),"")</f>
        <v>0</v>
      </c>
      <c r="AJ430" s="650">
        <f ca="1">IFERROR(IF($AA430="NOOS",HLOOKUP(STOCK_OVERVIEW!$AB430&amp;STOCK_OVERVIEW!$AD430,PLANNING_FC!$DA$27:$DO$46,MATCH(STOCK_OVERVIEW!$Y430,PLANNING_FC!$CZ$27:$CZ$46,0),FALSE),HLOOKUP($AB430&amp;$AD430,PLANNING_FC!$DA$4:$DO$23,MATCH(STOCK_OVERVIEW!$Y430,PLANNING_FC!$CZ$4:$CZ$23,0),FALSE)),"")</f>
        <v>399397</v>
      </c>
      <c r="AK430" s="651">
        <f ca="1">IFERROR(IF(AA430="NOOS",HLOOKUP(AB430&amp;AD430,PLANNING_FC!$AJ$27:$AY$47,MATCH(STOCK_OVERVIEW!Y430,PLANNING_FC!$AJ$27:$AJ$47,0),FALSE)*1000,HLOOKUP(AB430&amp;AD430,PLANNING_FC!$AJ$4:$AY$24,MATCH(STOCK_OVERVIEW!Y430,PLANNING_FC!$AJ$4:$AJ$24,0),FALSE)*1000),"")</f>
        <v>0</v>
      </c>
    </row>
    <row r="431" spans="24:37" x14ac:dyDescent="0.25">
      <c r="X431" s="465" t="str">
        <f t="shared" si="41"/>
        <v>VM</v>
      </c>
      <c r="Y431" s="206" t="str">
        <f t="shared" si="41"/>
        <v>TOPS</v>
      </c>
      <c r="Z431" s="25" t="str">
        <f t="shared" ca="1" si="38"/>
        <v>VMTOPS19/20Sep</v>
      </c>
      <c r="AA431" s="206" t="s">
        <v>197</v>
      </c>
      <c r="AB431" s="206" t="str">
        <f t="shared" ca="1" si="42"/>
        <v>19/20</v>
      </c>
      <c r="AC431" s="206" t="str">
        <f t="shared" ca="1" si="42"/>
        <v>Q1</v>
      </c>
      <c r="AD431" s="206" t="str">
        <f t="shared" ca="1" si="42"/>
        <v>Sep</v>
      </c>
      <c r="AE431" s="649">
        <f ca="1">IFERROR(HLOOKUP($AB431&amp;$AD431,'NWC_FC_NON-NOOS'!$C$4:$Q$24,MATCH($Y431,'NWC_FC_NON-NOOS'!$B$4:$B$24,0),FALSE),"")</f>
        <v>0</v>
      </c>
      <c r="AF431" s="650">
        <f ca="1">IFERROR(HLOOKUP($AB431&amp;$AD431,'NWC_FC_NON-NOOS'!$S$4:$AH$24,MATCH($Y431,'NWC_FC_NON-NOOS'!$S$4:$S$24,0),FALSE),"")</f>
        <v>0</v>
      </c>
      <c r="AG431" s="650">
        <f ca="1">IFERROR(HLOOKUP($AB431&amp;$AD431,'NWC_FC_NON-NOOS'!$B$50:$U$70,MATCH($Y431,'NWC_FC_NON-NOOS'!$B$50:$B$70,0),FALSE),"")</f>
        <v>0</v>
      </c>
      <c r="AH431" s="650">
        <f ca="1">IFERROR(IF($AA431="NOOS",HLOOKUP(STOCK_OVERVIEW!$AB431&amp;STOCK_OVERVIEW!$AD431,PLANNING_FC!$BB$27:$BP$46,MATCH(STOCK_OVERVIEW!$Y431,PLANNING_FC!$BA$27:$BA$46,0),FALSE),HLOOKUP($AB431&amp;$AD431,PLANNING_FC!$BB$4:$BP$23,MATCH(STOCK_OVERVIEW!$Y431,PLANNING_FC!$BA$4:$BA$23,0),FALSE)),"")</f>
        <v>0</v>
      </c>
      <c r="AI431" s="650">
        <f ca="1">IFERROR(IF($AA431="NOOS",HLOOKUP(STOCK_OVERVIEW!$AB431&amp;STOCK_OVERVIEW!$AD431,PLANNING_FC!$T$27:$AH$46,MATCH(STOCK_OVERVIEW!$Y431,PLANNING_FC!$B$27:$B$46,0),FALSE),HLOOKUP($AB431&amp;$AD431,PLANNING_FC!$T$4:$AH$23,MATCH(STOCK_OVERVIEW!$Y431,PLANNING_FC!$B$4:$B$23,0),FALSE)),"")</f>
        <v>0</v>
      </c>
      <c r="AJ431" s="650">
        <f ca="1">IFERROR(IF($AA431="NOOS",HLOOKUP(STOCK_OVERVIEW!$AB431&amp;STOCK_OVERVIEW!$AD431,PLANNING_FC!$DA$27:$DO$46,MATCH(STOCK_OVERVIEW!$Y431,PLANNING_FC!$CZ$27:$CZ$46,0),FALSE),HLOOKUP($AB431&amp;$AD431,PLANNING_FC!$DA$4:$DO$23,MATCH(STOCK_OVERVIEW!$Y431,PLANNING_FC!$CZ$4:$CZ$23,0),FALSE)),"")</f>
        <v>399397</v>
      </c>
      <c r="AK431" s="651">
        <f ca="1">IFERROR(IF(AA431="NOOS",HLOOKUP(AB431&amp;AD431,PLANNING_FC!$AJ$27:$AY$47,MATCH(STOCK_OVERVIEW!Y431,PLANNING_FC!$AJ$27:$AJ$47,0),FALSE)*1000,HLOOKUP(AB431&amp;AD431,PLANNING_FC!$AJ$4:$AY$24,MATCH(STOCK_OVERVIEW!Y431,PLANNING_FC!$AJ$4:$AJ$24,0),FALSE)*1000),"")</f>
        <v>0</v>
      </c>
    </row>
    <row r="432" spans="24:37" x14ac:dyDescent="0.25">
      <c r="X432" s="465" t="str">
        <f t="shared" si="41"/>
        <v>VM</v>
      </c>
      <c r="Y432" s="206" t="str">
        <f t="shared" si="41"/>
        <v>TOPS</v>
      </c>
      <c r="Z432" s="25" t="str">
        <f t="shared" ca="1" si="38"/>
        <v>VMTOPS19/20Oct</v>
      </c>
      <c r="AA432" s="206" t="s">
        <v>197</v>
      </c>
      <c r="AB432" s="206" t="str">
        <f t="shared" ca="1" si="42"/>
        <v>19/20</v>
      </c>
      <c r="AC432" s="206" t="str">
        <f t="shared" ca="1" si="42"/>
        <v>Q1</v>
      </c>
      <c r="AD432" s="206" t="str">
        <f t="shared" ca="1" si="42"/>
        <v>Oct</v>
      </c>
      <c r="AE432" s="649">
        <f ca="1">IFERROR(HLOOKUP($AB432&amp;$AD432,'NWC_FC_NON-NOOS'!$C$4:$Q$24,MATCH($Y432,'NWC_FC_NON-NOOS'!$B$4:$B$24,0),FALSE),"")</f>
        <v>0</v>
      </c>
      <c r="AF432" s="650">
        <f ca="1">IFERROR(HLOOKUP($AB432&amp;$AD432,'NWC_FC_NON-NOOS'!$S$4:$AH$24,MATCH($Y432,'NWC_FC_NON-NOOS'!$S$4:$S$24,0),FALSE),"")</f>
        <v>0</v>
      </c>
      <c r="AG432" s="650">
        <f ca="1">IFERROR(HLOOKUP($AB432&amp;$AD432,'NWC_FC_NON-NOOS'!$B$50:$U$70,MATCH($Y432,'NWC_FC_NON-NOOS'!$B$50:$B$70,0),FALSE),"")</f>
        <v>0</v>
      </c>
      <c r="AH432" s="650">
        <f ca="1">IFERROR(IF($AA432="NOOS",HLOOKUP(STOCK_OVERVIEW!$AB432&amp;STOCK_OVERVIEW!$AD432,PLANNING_FC!$BB$27:$BP$46,MATCH(STOCK_OVERVIEW!$Y432,PLANNING_FC!$BA$27:$BA$46,0),FALSE),HLOOKUP($AB432&amp;$AD432,PLANNING_FC!$BB$4:$BP$23,MATCH(STOCK_OVERVIEW!$Y432,PLANNING_FC!$BA$4:$BA$23,0),FALSE)),"")</f>
        <v>0</v>
      </c>
      <c r="AI432" s="650">
        <f ca="1">IFERROR(IF($AA432="NOOS",HLOOKUP(STOCK_OVERVIEW!$AB432&amp;STOCK_OVERVIEW!$AD432,PLANNING_FC!$T$27:$AH$46,MATCH(STOCK_OVERVIEW!$Y432,PLANNING_FC!$B$27:$B$46,0),FALSE),HLOOKUP($AB432&amp;$AD432,PLANNING_FC!$T$4:$AH$23,MATCH(STOCK_OVERVIEW!$Y432,PLANNING_FC!$B$4:$B$23,0),FALSE)),"")</f>
        <v>0</v>
      </c>
      <c r="AJ432" s="650">
        <f ca="1">IFERROR(IF($AA432="NOOS",HLOOKUP(STOCK_OVERVIEW!$AB432&amp;STOCK_OVERVIEW!$AD432,PLANNING_FC!$DA$27:$DO$46,MATCH(STOCK_OVERVIEW!$Y432,PLANNING_FC!$CZ$27:$CZ$46,0),FALSE),HLOOKUP($AB432&amp;$AD432,PLANNING_FC!$DA$4:$DO$23,MATCH(STOCK_OVERVIEW!$Y432,PLANNING_FC!$CZ$4:$CZ$23,0),FALSE)),"")</f>
        <v>399397</v>
      </c>
      <c r="AK432" s="651">
        <f ca="1">IFERROR(IF(AA432="NOOS",HLOOKUP(AB432&amp;AD432,PLANNING_FC!$AJ$27:$AY$47,MATCH(STOCK_OVERVIEW!Y432,PLANNING_FC!$AJ$27:$AJ$47,0),FALSE)*1000,HLOOKUP(AB432&amp;AD432,PLANNING_FC!$AJ$4:$AY$24,MATCH(STOCK_OVERVIEW!Y432,PLANNING_FC!$AJ$4:$AJ$24,0),FALSE)*1000),"")</f>
        <v>0</v>
      </c>
    </row>
    <row r="433" spans="24:37" x14ac:dyDescent="0.25">
      <c r="X433" s="465" t="str">
        <f t="shared" si="41"/>
        <v>VM</v>
      </c>
      <c r="Y433" s="206" t="str">
        <f t="shared" si="41"/>
        <v>TOPS</v>
      </c>
      <c r="Z433" s="25" t="str">
        <f t="shared" ca="1" si="38"/>
        <v>VMTOPS19/20Nov</v>
      </c>
      <c r="AA433" s="206" t="s">
        <v>197</v>
      </c>
      <c r="AB433" s="206" t="str">
        <f t="shared" ca="1" si="42"/>
        <v>19/20</v>
      </c>
      <c r="AC433" s="206" t="str">
        <f t="shared" ca="1" si="42"/>
        <v>Q2</v>
      </c>
      <c r="AD433" s="206" t="str">
        <f t="shared" ca="1" si="42"/>
        <v>Nov</v>
      </c>
      <c r="AE433" s="649">
        <f ca="1">IFERROR(HLOOKUP($AB433&amp;$AD433,'NWC_FC_NON-NOOS'!$C$4:$Q$24,MATCH($Y433,'NWC_FC_NON-NOOS'!$B$4:$B$24,0),FALSE),"")</f>
        <v>0</v>
      </c>
      <c r="AF433" s="650">
        <f ca="1">IFERROR(HLOOKUP($AB433&amp;$AD433,'NWC_FC_NON-NOOS'!$S$4:$AH$24,MATCH($Y433,'NWC_FC_NON-NOOS'!$S$4:$S$24,0),FALSE),"")</f>
        <v>0</v>
      </c>
      <c r="AG433" s="650">
        <f ca="1">IFERROR(HLOOKUP($AB433&amp;$AD433,'NWC_FC_NON-NOOS'!$B$50:$U$70,MATCH($Y433,'NWC_FC_NON-NOOS'!$B$50:$B$70,0),FALSE),"")</f>
        <v>0</v>
      </c>
      <c r="AH433" s="650">
        <f ca="1">IFERROR(IF($AA433="NOOS",HLOOKUP(STOCK_OVERVIEW!$AB433&amp;STOCK_OVERVIEW!$AD433,PLANNING_FC!$BB$27:$BP$46,MATCH(STOCK_OVERVIEW!$Y433,PLANNING_FC!$BA$27:$BA$46,0),FALSE),HLOOKUP($AB433&amp;$AD433,PLANNING_FC!$BB$4:$BP$23,MATCH(STOCK_OVERVIEW!$Y433,PLANNING_FC!$BA$4:$BA$23,0),FALSE)),"")</f>
        <v>0</v>
      </c>
      <c r="AI433" s="650">
        <f ca="1">IFERROR(IF($AA433="NOOS",HLOOKUP(STOCK_OVERVIEW!$AB433&amp;STOCK_OVERVIEW!$AD433,PLANNING_FC!$T$27:$AH$46,MATCH(STOCK_OVERVIEW!$Y433,PLANNING_FC!$B$27:$B$46,0),FALSE),HLOOKUP($AB433&amp;$AD433,PLANNING_FC!$T$4:$AH$23,MATCH(STOCK_OVERVIEW!$Y433,PLANNING_FC!$B$4:$B$23,0),FALSE)),"")</f>
        <v>0</v>
      </c>
      <c r="AJ433" s="650">
        <f ca="1">IFERROR(IF($AA433="NOOS",HLOOKUP(STOCK_OVERVIEW!$AB433&amp;STOCK_OVERVIEW!$AD433,PLANNING_FC!$DA$27:$DO$46,MATCH(STOCK_OVERVIEW!$Y433,PLANNING_FC!$CZ$27:$CZ$46,0),FALSE),HLOOKUP($AB433&amp;$AD433,PLANNING_FC!$DA$4:$DO$23,MATCH(STOCK_OVERVIEW!$Y433,PLANNING_FC!$CZ$4:$CZ$23,0),FALSE)),"")</f>
        <v>399397</v>
      </c>
      <c r="AK433" s="651">
        <f ca="1">IFERROR(IF(AA433="NOOS",HLOOKUP(AB433&amp;AD433,PLANNING_FC!$AJ$27:$AY$47,MATCH(STOCK_OVERVIEW!Y433,PLANNING_FC!$AJ$27:$AJ$47,0),FALSE)*1000,HLOOKUP(AB433&amp;AD433,PLANNING_FC!$AJ$4:$AY$24,MATCH(STOCK_OVERVIEW!Y433,PLANNING_FC!$AJ$4:$AJ$24,0),FALSE)*1000),"")</f>
        <v>0</v>
      </c>
    </row>
    <row r="434" spans="24:37" x14ac:dyDescent="0.25">
      <c r="X434" s="465" t="str">
        <f t="shared" si="41"/>
        <v>VM</v>
      </c>
      <c r="Y434" s="206" t="str">
        <f t="shared" si="41"/>
        <v>TOPS</v>
      </c>
      <c r="Z434" s="25" t="str">
        <f t="shared" ca="1" si="38"/>
        <v>VMTOPS19/20Dec</v>
      </c>
      <c r="AA434" s="206" t="s">
        <v>197</v>
      </c>
      <c r="AB434" s="206" t="str">
        <f t="shared" ca="1" si="42"/>
        <v>19/20</v>
      </c>
      <c r="AC434" s="206" t="str">
        <f t="shared" ca="1" si="42"/>
        <v>Q2</v>
      </c>
      <c r="AD434" s="206" t="str">
        <f t="shared" ca="1" si="42"/>
        <v>Dec</v>
      </c>
      <c r="AE434" s="649">
        <f ca="1">IFERROR(HLOOKUP($AB434&amp;$AD434,'NWC_FC_NON-NOOS'!$C$4:$Q$24,MATCH($Y434,'NWC_FC_NON-NOOS'!$B$4:$B$24,0),FALSE),"")</f>
        <v>0</v>
      </c>
      <c r="AF434" s="650">
        <f ca="1">IFERROR(HLOOKUP($AB434&amp;$AD434,'NWC_FC_NON-NOOS'!$S$4:$AH$24,MATCH($Y434,'NWC_FC_NON-NOOS'!$S$4:$S$24,0),FALSE),"")</f>
        <v>0</v>
      </c>
      <c r="AG434" s="650">
        <f ca="1">IFERROR(HLOOKUP($AB434&amp;$AD434,'NWC_FC_NON-NOOS'!$B$50:$U$70,MATCH($Y434,'NWC_FC_NON-NOOS'!$B$50:$B$70,0),FALSE),"")</f>
        <v>0</v>
      </c>
      <c r="AH434" s="650">
        <f ca="1">IFERROR(IF($AA434="NOOS",HLOOKUP(STOCK_OVERVIEW!$AB434&amp;STOCK_OVERVIEW!$AD434,PLANNING_FC!$BB$27:$BP$46,MATCH(STOCK_OVERVIEW!$Y434,PLANNING_FC!$BA$27:$BA$46,0),FALSE),HLOOKUP($AB434&amp;$AD434,PLANNING_FC!$BB$4:$BP$23,MATCH(STOCK_OVERVIEW!$Y434,PLANNING_FC!$BA$4:$BA$23,0),FALSE)),"")</f>
        <v>0</v>
      </c>
      <c r="AI434" s="650">
        <f ca="1">IFERROR(IF($AA434="NOOS",HLOOKUP(STOCK_OVERVIEW!$AB434&amp;STOCK_OVERVIEW!$AD434,PLANNING_FC!$T$27:$AH$46,MATCH(STOCK_OVERVIEW!$Y434,PLANNING_FC!$B$27:$B$46,0),FALSE),HLOOKUP($AB434&amp;$AD434,PLANNING_FC!$T$4:$AH$23,MATCH(STOCK_OVERVIEW!$Y434,PLANNING_FC!$B$4:$B$23,0),FALSE)),"")</f>
        <v>0</v>
      </c>
      <c r="AJ434" s="650">
        <f ca="1">IFERROR(IF($AA434="NOOS",HLOOKUP(STOCK_OVERVIEW!$AB434&amp;STOCK_OVERVIEW!$AD434,PLANNING_FC!$DA$27:$DO$46,MATCH(STOCK_OVERVIEW!$Y434,PLANNING_FC!$CZ$27:$CZ$46,0),FALSE),HLOOKUP($AB434&amp;$AD434,PLANNING_FC!$DA$4:$DO$23,MATCH(STOCK_OVERVIEW!$Y434,PLANNING_FC!$CZ$4:$CZ$23,0),FALSE)),"")</f>
        <v>399397</v>
      </c>
      <c r="AK434" s="651">
        <f ca="1">IFERROR(IF(AA434="NOOS",HLOOKUP(AB434&amp;AD434,PLANNING_FC!$AJ$27:$AY$47,MATCH(STOCK_OVERVIEW!Y434,PLANNING_FC!$AJ$27:$AJ$47,0),FALSE)*1000,HLOOKUP(AB434&amp;AD434,PLANNING_FC!$AJ$4:$AY$24,MATCH(STOCK_OVERVIEW!Y434,PLANNING_FC!$AJ$4:$AJ$24,0),FALSE)*1000),"")</f>
        <v>0</v>
      </c>
    </row>
    <row r="435" spans="24:37" x14ac:dyDescent="0.25">
      <c r="X435" s="465" t="str">
        <f t="shared" si="41"/>
        <v>VM</v>
      </c>
      <c r="Y435" s="206" t="str">
        <f t="shared" si="41"/>
        <v>TOPS</v>
      </c>
      <c r="Z435" s="25" t="str">
        <f t="shared" ca="1" si="38"/>
        <v>VMTOPS19/20Jan</v>
      </c>
      <c r="AA435" s="206" t="s">
        <v>197</v>
      </c>
      <c r="AB435" s="206" t="str">
        <f t="shared" ca="1" si="42"/>
        <v>19/20</v>
      </c>
      <c r="AC435" s="206" t="str">
        <f t="shared" ca="1" si="42"/>
        <v>Q2</v>
      </c>
      <c r="AD435" s="206" t="str">
        <f t="shared" ca="1" si="42"/>
        <v>Jan</v>
      </c>
      <c r="AE435" s="649">
        <f ca="1">IFERROR(HLOOKUP($AB435&amp;$AD435,'NWC_FC_NON-NOOS'!$C$4:$Q$24,MATCH($Y435,'NWC_FC_NON-NOOS'!$B$4:$B$24,0),FALSE),"")</f>
        <v>0</v>
      </c>
      <c r="AF435" s="650">
        <f ca="1">IFERROR(HLOOKUP($AB435&amp;$AD435,'NWC_FC_NON-NOOS'!$S$4:$AH$24,MATCH($Y435,'NWC_FC_NON-NOOS'!$S$4:$S$24,0),FALSE),"")</f>
        <v>0</v>
      </c>
      <c r="AG435" s="650">
        <f ca="1">IFERROR(HLOOKUP($AB435&amp;$AD435,'NWC_FC_NON-NOOS'!$B$50:$U$70,MATCH($Y435,'NWC_FC_NON-NOOS'!$B$50:$B$70,0),FALSE),"")</f>
        <v>0</v>
      </c>
      <c r="AH435" s="650">
        <f ca="1">IFERROR(IF($AA435="NOOS",HLOOKUP(STOCK_OVERVIEW!$AB435&amp;STOCK_OVERVIEW!$AD435,PLANNING_FC!$BB$27:$BP$46,MATCH(STOCK_OVERVIEW!$Y435,PLANNING_FC!$BA$27:$BA$46,0),FALSE),HLOOKUP($AB435&amp;$AD435,PLANNING_FC!$BB$4:$BP$23,MATCH(STOCK_OVERVIEW!$Y435,PLANNING_FC!$BA$4:$BA$23,0),FALSE)),"")</f>
        <v>0</v>
      </c>
      <c r="AI435" s="650">
        <f ca="1">IFERROR(IF($AA435="NOOS",HLOOKUP(STOCK_OVERVIEW!$AB435&amp;STOCK_OVERVIEW!$AD435,PLANNING_FC!$T$27:$AH$46,MATCH(STOCK_OVERVIEW!$Y435,PLANNING_FC!$B$27:$B$46,0),FALSE),HLOOKUP($AB435&amp;$AD435,PLANNING_FC!$T$4:$AH$23,MATCH(STOCK_OVERVIEW!$Y435,PLANNING_FC!$B$4:$B$23,0),FALSE)),"")</f>
        <v>0</v>
      </c>
      <c r="AJ435" s="650">
        <f ca="1">IFERROR(IF($AA435="NOOS",HLOOKUP(STOCK_OVERVIEW!$AB435&amp;STOCK_OVERVIEW!$AD435,PLANNING_FC!$DA$27:$DO$46,MATCH(STOCK_OVERVIEW!$Y435,PLANNING_FC!$CZ$27:$CZ$46,0),FALSE),HLOOKUP($AB435&amp;$AD435,PLANNING_FC!$DA$4:$DO$23,MATCH(STOCK_OVERVIEW!$Y435,PLANNING_FC!$CZ$4:$CZ$23,0),FALSE)),"")</f>
        <v>399397</v>
      </c>
      <c r="AK435" s="651">
        <f ca="1">IFERROR(IF(AA435="NOOS",HLOOKUP(AB435&amp;AD435,PLANNING_FC!$AJ$27:$AY$47,MATCH(STOCK_OVERVIEW!Y435,PLANNING_FC!$AJ$27:$AJ$47,0),FALSE)*1000,HLOOKUP(AB435&amp;AD435,PLANNING_FC!$AJ$4:$AY$24,MATCH(STOCK_OVERVIEW!Y435,PLANNING_FC!$AJ$4:$AJ$24,0),FALSE)*1000),"")</f>
        <v>0</v>
      </c>
    </row>
    <row r="436" spans="24:37" x14ac:dyDescent="0.25">
      <c r="X436" s="465" t="str">
        <f t="shared" si="41"/>
        <v>VM</v>
      </c>
      <c r="Y436" s="206" t="str">
        <f t="shared" si="41"/>
        <v>TOPS</v>
      </c>
      <c r="Z436" s="25" t="str">
        <f t="shared" ca="1" si="38"/>
        <v>VMTOPS19/20Feb</v>
      </c>
      <c r="AA436" s="206" t="s">
        <v>197</v>
      </c>
      <c r="AB436" s="206" t="str">
        <f t="shared" ca="1" si="42"/>
        <v>19/20</v>
      </c>
      <c r="AC436" s="206" t="str">
        <f t="shared" ca="1" si="42"/>
        <v>Q3</v>
      </c>
      <c r="AD436" s="206" t="str">
        <f t="shared" ca="1" si="42"/>
        <v>Feb</v>
      </c>
      <c r="AE436" s="649" t="str">
        <f ca="1">IFERROR(HLOOKUP($AB436&amp;$AD436,'NWC_FC_NON-NOOS'!$C$4:$Q$24,MATCH($Y436,'NWC_FC_NON-NOOS'!$B$4:$B$24,0),FALSE),"")</f>
        <v/>
      </c>
      <c r="AF436" s="650" t="str">
        <f ca="1">IFERROR(HLOOKUP($AB436&amp;$AD436,'NWC_FC_NON-NOOS'!$S$4:$AH$24,MATCH($Y436,'NWC_FC_NON-NOOS'!$S$4:$S$24,0),FALSE),"")</f>
        <v/>
      </c>
      <c r="AG436" s="650">
        <f ca="1">IFERROR(HLOOKUP($AB436&amp;$AD436,'NWC_FC_NON-NOOS'!$B$50:$U$70,MATCH($Y436,'NWC_FC_NON-NOOS'!$B$50:$B$70,0),FALSE),"")</f>
        <v>0</v>
      </c>
      <c r="AH436" s="650" t="str">
        <f ca="1">IFERROR(IF($AA436="NOOS",HLOOKUP(STOCK_OVERVIEW!$AB436&amp;STOCK_OVERVIEW!$AD436,PLANNING_FC!$BB$27:$BP$46,MATCH(STOCK_OVERVIEW!$Y436,PLANNING_FC!$BA$27:$BA$46,0),FALSE),HLOOKUP($AB436&amp;$AD436,PLANNING_FC!$BB$4:$BP$23,MATCH(STOCK_OVERVIEW!$Y436,PLANNING_FC!$BA$4:$BA$23,0),FALSE)),"")</f>
        <v/>
      </c>
      <c r="AI436" s="650" t="str">
        <f ca="1">IFERROR(IF($AA436="NOOS",HLOOKUP(STOCK_OVERVIEW!$AB436&amp;STOCK_OVERVIEW!$AD436,PLANNING_FC!$T$27:$AH$46,MATCH(STOCK_OVERVIEW!$Y436,PLANNING_FC!$B$27:$B$46,0),FALSE),HLOOKUP($AB436&amp;$AD436,PLANNING_FC!$T$4:$AH$23,MATCH(STOCK_OVERVIEW!$Y436,PLANNING_FC!$B$4:$B$23,0),FALSE)),"")</f>
        <v/>
      </c>
      <c r="AJ436" s="650" t="str">
        <f ca="1">IFERROR(IF($AA436="NOOS",HLOOKUP(STOCK_OVERVIEW!$AB436&amp;STOCK_OVERVIEW!$AD436,PLANNING_FC!$DA$27:$DO$46,MATCH(STOCK_OVERVIEW!$Y436,PLANNING_FC!$CZ$27:$CZ$46,0),FALSE),HLOOKUP($AB436&amp;$AD436,PLANNING_FC!$DA$4:$DO$23,MATCH(STOCK_OVERVIEW!$Y436,PLANNING_FC!$CZ$4:$CZ$23,0),FALSE)),"")</f>
        <v/>
      </c>
      <c r="AK436" s="651" t="str">
        <f ca="1">IFERROR(IF(AA436="NOOS",HLOOKUP(AB436&amp;AD436,PLANNING_FC!$AJ$27:$AY$47,MATCH(STOCK_OVERVIEW!Y436,PLANNING_FC!$AJ$27:$AJ$47,0),FALSE)*1000,HLOOKUP(AB436&amp;AD436,PLANNING_FC!$AJ$4:$AY$24,MATCH(STOCK_OVERVIEW!Y436,PLANNING_FC!$AJ$4:$AJ$24,0),FALSE)*1000),"")</f>
        <v/>
      </c>
    </row>
    <row r="437" spans="24:37" x14ac:dyDescent="0.25">
      <c r="X437" s="465" t="str">
        <f t="shared" si="41"/>
        <v>VM</v>
      </c>
      <c r="Y437" s="206" t="str">
        <f t="shared" si="41"/>
        <v>TOPS</v>
      </c>
      <c r="Z437" s="25" t="str">
        <f t="shared" ca="1" si="38"/>
        <v>VMTOPS19/20Mar</v>
      </c>
      <c r="AA437" s="206" t="s">
        <v>197</v>
      </c>
      <c r="AB437" s="206" t="str">
        <f t="shared" ca="1" si="42"/>
        <v>19/20</v>
      </c>
      <c r="AC437" s="206" t="str">
        <f t="shared" ca="1" si="42"/>
        <v>Q3</v>
      </c>
      <c r="AD437" s="206" t="str">
        <f t="shared" ca="1" si="42"/>
        <v>Mar</v>
      </c>
      <c r="AE437" s="649" t="str">
        <f ca="1">IFERROR(HLOOKUP($AB437&amp;$AD437,'NWC_FC_NON-NOOS'!$C$4:$Q$24,MATCH($Y437,'NWC_FC_NON-NOOS'!$B$4:$B$24,0),FALSE),"")</f>
        <v/>
      </c>
      <c r="AF437" s="650" t="str">
        <f ca="1">IFERROR(HLOOKUP($AB437&amp;$AD437,'NWC_FC_NON-NOOS'!$S$4:$AH$24,MATCH($Y437,'NWC_FC_NON-NOOS'!$S$4:$S$24,0),FALSE),"")</f>
        <v/>
      </c>
      <c r="AG437" s="650">
        <f ca="1">IFERROR(HLOOKUP($AB437&amp;$AD437,'NWC_FC_NON-NOOS'!$B$50:$U$70,MATCH($Y437,'NWC_FC_NON-NOOS'!$B$50:$B$70,0),FALSE),"")</f>
        <v>0</v>
      </c>
      <c r="AH437" s="650" t="str">
        <f ca="1">IFERROR(IF($AA437="NOOS",HLOOKUP(STOCK_OVERVIEW!$AB437&amp;STOCK_OVERVIEW!$AD437,PLANNING_FC!$BB$27:$BP$46,MATCH(STOCK_OVERVIEW!$Y437,PLANNING_FC!$BA$27:$BA$46,0),FALSE),HLOOKUP($AB437&amp;$AD437,PLANNING_FC!$BB$4:$BP$23,MATCH(STOCK_OVERVIEW!$Y437,PLANNING_FC!$BA$4:$BA$23,0),FALSE)),"")</f>
        <v/>
      </c>
      <c r="AI437" s="650" t="str">
        <f ca="1">IFERROR(IF($AA437="NOOS",HLOOKUP(STOCK_OVERVIEW!$AB437&amp;STOCK_OVERVIEW!$AD437,PLANNING_FC!$T$27:$AH$46,MATCH(STOCK_OVERVIEW!$Y437,PLANNING_FC!$B$27:$B$46,0),FALSE),HLOOKUP($AB437&amp;$AD437,PLANNING_FC!$T$4:$AH$23,MATCH(STOCK_OVERVIEW!$Y437,PLANNING_FC!$B$4:$B$23,0),FALSE)),"")</f>
        <v/>
      </c>
      <c r="AJ437" s="650" t="str">
        <f ca="1">IFERROR(IF($AA437="NOOS",HLOOKUP(STOCK_OVERVIEW!$AB437&amp;STOCK_OVERVIEW!$AD437,PLANNING_FC!$DA$27:$DO$46,MATCH(STOCK_OVERVIEW!$Y437,PLANNING_FC!$CZ$27:$CZ$46,0),FALSE),HLOOKUP($AB437&amp;$AD437,PLANNING_FC!$DA$4:$DO$23,MATCH(STOCK_OVERVIEW!$Y437,PLANNING_FC!$CZ$4:$CZ$23,0),FALSE)),"")</f>
        <v/>
      </c>
      <c r="AK437" s="651" t="str">
        <f ca="1">IFERROR(IF(AA437="NOOS",HLOOKUP(AB437&amp;AD437,PLANNING_FC!$AJ$27:$AY$47,MATCH(STOCK_OVERVIEW!Y437,PLANNING_FC!$AJ$27:$AJ$47,0),FALSE)*1000,HLOOKUP(AB437&amp;AD437,PLANNING_FC!$AJ$4:$AY$24,MATCH(STOCK_OVERVIEW!Y437,PLANNING_FC!$AJ$4:$AJ$24,0),FALSE)*1000),"")</f>
        <v/>
      </c>
    </row>
    <row r="438" spans="24:37" x14ac:dyDescent="0.25">
      <c r="X438" s="465" t="str">
        <f t="shared" si="41"/>
        <v>VM</v>
      </c>
      <c r="Y438" s="206" t="str">
        <f t="shared" si="41"/>
        <v>TOPS</v>
      </c>
      <c r="Z438" s="25" t="str">
        <f t="shared" ca="1" si="38"/>
        <v>VMTOPS19/20Apr</v>
      </c>
      <c r="AA438" s="206" t="s">
        <v>197</v>
      </c>
      <c r="AB438" s="206" t="str">
        <f t="shared" ca="1" si="42"/>
        <v>19/20</v>
      </c>
      <c r="AC438" s="206" t="str">
        <f t="shared" ca="1" si="42"/>
        <v>Q3</v>
      </c>
      <c r="AD438" s="206" t="str">
        <f t="shared" ca="1" si="42"/>
        <v>Apr</v>
      </c>
      <c r="AE438" s="649" t="str">
        <f ca="1">IFERROR(HLOOKUP($AB438&amp;$AD438,'NWC_FC_NON-NOOS'!$C$4:$Q$24,MATCH($Y438,'NWC_FC_NON-NOOS'!$B$4:$B$24,0),FALSE),"")</f>
        <v/>
      </c>
      <c r="AF438" s="650" t="str">
        <f ca="1">IFERROR(HLOOKUP($AB438&amp;$AD438,'NWC_FC_NON-NOOS'!$S$4:$AH$24,MATCH($Y438,'NWC_FC_NON-NOOS'!$S$4:$S$24,0),FALSE),"")</f>
        <v/>
      </c>
      <c r="AG438" s="650">
        <f ca="1">IFERROR(HLOOKUP($AB438&amp;$AD438,'NWC_FC_NON-NOOS'!$B$50:$U$70,MATCH($Y438,'NWC_FC_NON-NOOS'!$B$50:$B$70,0),FALSE),"")</f>
        <v>0</v>
      </c>
      <c r="AH438" s="650" t="str">
        <f ca="1">IFERROR(IF($AA438="NOOS",HLOOKUP(STOCK_OVERVIEW!$AB438&amp;STOCK_OVERVIEW!$AD438,PLANNING_FC!$BB$27:$BP$46,MATCH(STOCK_OVERVIEW!$Y438,PLANNING_FC!$BA$27:$BA$46,0),FALSE),HLOOKUP($AB438&amp;$AD438,PLANNING_FC!$BB$4:$BP$23,MATCH(STOCK_OVERVIEW!$Y438,PLANNING_FC!$BA$4:$BA$23,0),FALSE)),"")</f>
        <v/>
      </c>
      <c r="AI438" s="650" t="str">
        <f ca="1">IFERROR(IF($AA438="NOOS",HLOOKUP(STOCK_OVERVIEW!$AB438&amp;STOCK_OVERVIEW!$AD438,PLANNING_FC!$T$27:$AH$46,MATCH(STOCK_OVERVIEW!$Y438,PLANNING_FC!$B$27:$B$46,0),FALSE),HLOOKUP($AB438&amp;$AD438,PLANNING_FC!$T$4:$AH$23,MATCH(STOCK_OVERVIEW!$Y438,PLANNING_FC!$B$4:$B$23,0),FALSE)),"")</f>
        <v/>
      </c>
      <c r="AJ438" s="650" t="str">
        <f ca="1">IFERROR(IF($AA438="NOOS",HLOOKUP(STOCK_OVERVIEW!$AB438&amp;STOCK_OVERVIEW!$AD438,PLANNING_FC!$DA$27:$DO$46,MATCH(STOCK_OVERVIEW!$Y438,PLANNING_FC!$CZ$27:$CZ$46,0),FALSE),HLOOKUP($AB438&amp;$AD438,PLANNING_FC!$DA$4:$DO$23,MATCH(STOCK_OVERVIEW!$Y438,PLANNING_FC!$CZ$4:$CZ$23,0),FALSE)),"")</f>
        <v/>
      </c>
      <c r="AK438" s="651" t="str">
        <f ca="1">IFERROR(IF(AA438="NOOS",HLOOKUP(AB438&amp;AD438,PLANNING_FC!$AJ$27:$AY$47,MATCH(STOCK_OVERVIEW!Y438,PLANNING_FC!$AJ$27:$AJ$47,0),FALSE)*1000,HLOOKUP(AB438&amp;AD438,PLANNING_FC!$AJ$4:$AY$24,MATCH(STOCK_OVERVIEW!Y438,PLANNING_FC!$AJ$4:$AJ$24,0),FALSE)*1000),"")</f>
        <v/>
      </c>
    </row>
    <row r="439" spans="24:37" x14ac:dyDescent="0.25">
      <c r="X439" s="465" t="str">
        <f t="shared" si="41"/>
        <v>VM</v>
      </c>
      <c r="Y439" s="206" t="str">
        <f t="shared" si="41"/>
        <v>T-SHIRTS</v>
      </c>
      <c r="Z439" s="25" t="str">
        <f t="shared" ca="1" si="38"/>
        <v>VMT-SHIRTS18/19Feb</v>
      </c>
      <c r="AA439" s="206" t="s">
        <v>197</v>
      </c>
      <c r="AB439" s="206" t="str">
        <f t="shared" ca="1" si="42"/>
        <v>18/19</v>
      </c>
      <c r="AC439" s="206" t="str">
        <f t="shared" ca="1" si="42"/>
        <v>Q3</v>
      </c>
      <c r="AD439" s="206" t="str">
        <f t="shared" ca="1" si="42"/>
        <v>Feb</v>
      </c>
      <c r="AE439" s="649">
        <f ca="1">IFERROR(HLOOKUP($AB439&amp;$AD439,'NWC_FC_NON-NOOS'!$C$4:$Q$24,MATCH($Y439,'NWC_FC_NON-NOOS'!$B$4:$B$24,0),FALSE),"")</f>
        <v>0</v>
      </c>
      <c r="AF439" s="650">
        <f ca="1">IFERROR(HLOOKUP($AB439&amp;$AD439,'NWC_FC_NON-NOOS'!$S$4:$AH$24,MATCH($Y439,'NWC_FC_NON-NOOS'!$S$4:$S$24,0),FALSE),"")</f>
        <v>0</v>
      </c>
      <c r="AG439" s="650">
        <f ca="1">IFERROR(HLOOKUP($AB439&amp;$AD439,'NWC_FC_NON-NOOS'!$B$50:$U$70,MATCH($Y439,'NWC_FC_NON-NOOS'!$B$50:$B$70,0),FALSE),"")</f>
        <v>0</v>
      </c>
      <c r="AH439" s="650">
        <f ca="1">IFERROR(IF($AA439="NOOS",HLOOKUP(STOCK_OVERVIEW!$AB439&amp;STOCK_OVERVIEW!$AD439,PLANNING_FC!$BB$27:$BP$46,MATCH(STOCK_OVERVIEW!$Y439,PLANNING_FC!$BA$27:$BA$46,0),FALSE),HLOOKUP($AB439&amp;$AD439,PLANNING_FC!$BB$4:$BP$23,MATCH(STOCK_OVERVIEW!$Y439,PLANNING_FC!$BA$4:$BA$23,0),FALSE)),"")</f>
        <v>0</v>
      </c>
      <c r="AI439" s="650">
        <f ca="1">IFERROR(IF($AA439="NOOS",HLOOKUP(STOCK_OVERVIEW!$AB439&amp;STOCK_OVERVIEW!$AD439,PLANNING_FC!$T$27:$AH$46,MATCH(STOCK_OVERVIEW!$Y439,PLANNING_FC!$B$27:$B$46,0),FALSE),HLOOKUP($AB439&amp;$AD439,PLANNING_FC!$T$4:$AH$23,MATCH(STOCK_OVERVIEW!$Y439,PLANNING_FC!$B$4:$B$23,0),FALSE)),"")</f>
        <v>0</v>
      </c>
      <c r="AJ439" s="650">
        <f ca="1">IFERROR(IF($AA439="NOOS",HLOOKUP(STOCK_OVERVIEW!$AB439&amp;STOCK_OVERVIEW!$AD439,PLANNING_FC!$DA$27:$DO$46,MATCH(STOCK_OVERVIEW!$Y439,PLANNING_FC!$CZ$27:$CZ$46,0),FALSE),HLOOKUP($AB439&amp;$AD439,PLANNING_FC!$DA$4:$DO$23,MATCH(STOCK_OVERVIEW!$Y439,PLANNING_FC!$CZ$4:$CZ$23,0),FALSE)),"")</f>
        <v>0</v>
      </c>
      <c r="AK439" s="651">
        <f ca="1">IFERROR(IF(AA439="NOOS",HLOOKUP(AB439&amp;AD439,PLANNING_FC!$AJ$27:$AY$47,MATCH(STOCK_OVERVIEW!Y439,PLANNING_FC!$AJ$27:$AJ$47,0),FALSE)*1000,HLOOKUP(AB439&amp;AD439,PLANNING_FC!$AJ$4:$AY$24,MATCH(STOCK_OVERVIEW!Y439,PLANNING_FC!$AJ$4:$AJ$24,0),FALSE)*1000),"")</f>
        <v>0</v>
      </c>
    </row>
    <row r="440" spans="24:37" x14ac:dyDescent="0.25">
      <c r="X440" s="465" t="str">
        <f t="shared" si="41"/>
        <v>VM</v>
      </c>
      <c r="Y440" s="206" t="str">
        <f t="shared" si="41"/>
        <v>T-SHIRTS</v>
      </c>
      <c r="Z440" s="25" t="str">
        <f t="shared" ca="1" si="38"/>
        <v>VMT-SHIRTS18/19Mar</v>
      </c>
      <c r="AA440" s="206" t="s">
        <v>197</v>
      </c>
      <c r="AB440" s="206" t="str">
        <f t="shared" ca="1" si="42"/>
        <v>18/19</v>
      </c>
      <c r="AC440" s="206" t="str">
        <f t="shared" ca="1" si="42"/>
        <v>Q3</v>
      </c>
      <c r="AD440" s="206" t="str">
        <f t="shared" ca="1" si="42"/>
        <v>Mar</v>
      </c>
      <c r="AE440" s="649">
        <f ca="1">IFERROR(HLOOKUP($AB440&amp;$AD440,'NWC_FC_NON-NOOS'!$C$4:$Q$24,MATCH($Y440,'NWC_FC_NON-NOOS'!$B$4:$B$24,0),FALSE),"")</f>
        <v>0</v>
      </c>
      <c r="AF440" s="650">
        <f ca="1">IFERROR(HLOOKUP($AB440&amp;$AD440,'NWC_FC_NON-NOOS'!$S$4:$AH$24,MATCH($Y440,'NWC_FC_NON-NOOS'!$S$4:$S$24,0),FALSE),"")</f>
        <v>0</v>
      </c>
      <c r="AG440" s="650">
        <f ca="1">IFERROR(HLOOKUP($AB440&amp;$AD440,'NWC_FC_NON-NOOS'!$B$50:$U$70,MATCH($Y440,'NWC_FC_NON-NOOS'!$B$50:$B$70,0),FALSE),"")</f>
        <v>0</v>
      </c>
      <c r="AH440" s="650">
        <f ca="1">IFERROR(IF($AA440="NOOS",HLOOKUP(STOCK_OVERVIEW!$AB440&amp;STOCK_OVERVIEW!$AD440,PLANNING_FC!$BB$27:$BP$46,MATCH(STOCK_OVERVIEW!$Y440,PLANNING_FC!$BA$27:$BA$46,0),FALSE),HLOOKUP($AB440&amp;$AD440,PLANNING_FC!$BB$4:$BP$23,MATCH(STOCK_OVERVIEW!$Y440,PLANNING_FC!$BA$4:$BA$23,0),FALSE)),"")</f>
        <v>0</v>
      </c>
      <c r="AI440" s="650">
        <f ca="1">IFERROR(IF($AA440="NOOS",HLOOKUP(STOCK_OVERVIEW!$AB440&amp;STOCK_OVERVIEW!$AD440,PLANNING_FC!$T$27:$AH$46,MATCH(STOCK_OVERVIEW!$Y440,PLANNING_FC!$B$27:$B$46,0),FALSE),HLOOKUP($AB440&amp;$AD440,PLANNING_FC!$T$4:$AH$23,MATCH(STOCK_OVERVIEW!$Y440,PLANNING_FC!$B$4:$B$23,0),FALSE)),"")</f>
        <v>0</v>
      </c>
      <c r="AJ440" s="650">
        <f ca="1">IFERROR(IF($AA440="NOOS",HLOOKUP(STOCK_OVERVIEW!$AB440&amp;STOCK_OVERVIEW!$AD440,PLANNING_FC!$DA$27:$DO$46,MATCH(STOCK_OVERVIEW!$Y440,PLANNING_FC!$CZ$27:$CZ$46,0),FALSE),HLOOKUP($AB440&amp;$AD440,PLANNING_FC!$DA$4:$DO$23,MATCH(STOCK_OVERVIEW!$Y440,PLANNING_FC!$CZ$4:$CZ$23,0),FALSE)),"")</f>
        <v>0</v>
      </c>
      <c r="AK440" s="651">
        <f ca="1">IFERROR(IF(AA440="NOOS",HLOOKUP(AB440&amp;AD440,PLANNING_FC!$AJ$27:$AY$47,MATCH(STOCK_OVERVIEW!Y440,PLANNING_FC!$AJ$27:$AJ$47,0),FALSE)*1000,HLOOKUP(AB440&amp;AD440,PLANNING_FC!$AJ$4:$AY$24,MATCH(STOCK_OVERVIEW!Y440,PLANNING_FC!$AJ$4:$AJ$24,0),FALSE)*1000),"")</f>
        <v>0</v>
      </c>
    </row>
    <row r="441" spans="24:37" x14ac:dyDescent="0.25">
      <c r="X441" s="465" t="str">
        <f t="shared" si="41"/>
        <v>VM</v>
      </c>
      <c r="Y441" s="206" t="str">
        <f t="shared" si="41"/>
        <v>T-SHIRTS</v>
      </c>
      <c r="Z441" s="25" t="str">
        <f t="shared" ca="1" si="38"/>
        <v>VMT-SHIRTS18/19Apr</v>
      </c>
      <c r="AA441" s="206" t="s">
        <v>197</v>
      </c>
      <c r="AB441" s="206" t="str">
        <f t="shared" ca="1" si="42"/>
        <v>18/19</v>
      </c>
      <c r="AC441" s="206" t="str">
        <f t="shared" ca="1" si="42"/>
        <v>Q3</v>
      </c>
      <c r="AD441" s="206" t="str">
        <f t="shared" ca="1" si="42"/>
        <v>Apr</v>
      </c>
      <c r="AE441" s="649">
        <f ca="1">IFERROR(HLOOKUP($AB441&amp;$AD441,'NWC_FC_NON-NOOS'!$C$4:$Q$24,MATCH($Y441,'NWC_FC_NON-NOOS'!$B$4:$B$24,0),FALSE),"")</f>
        <v>0</v>
      </c>
      <c r="AF441" s="650">
        <f ca="1">IFERROR(HLOOKUP($AB441&amp;$AD441,'NWC_FC_NON-NOOS'!$S$4:$AH$24,MATCH($Y441,'NWC_FC_NON-NOOS'!$S$4:$S$24,0),FALSE),"")</f>
        <v>0</v>
      </c>
      <c r="AG441" s="650">
        <f ca="1">IFERROR(HLOOKUP($AB441&amp;$AD441,'NWC_FC_NON-NOOS'!$B$50:$U$70,MATCH($Y441,'NWC_FC_NON-NOOS'!$B$50:$B$70,0),FALSE),"")</f>
        <v>0</v>
      </c>
      <c r="AH441" s="650">
        <f ca="1">IFERROR(IF($AA441="NOOS",HLOOKUP(STOCK_OVERVIEW!$AB441&amp;STOCK_OVERVIEW!$AD441,PLANNING_FC!$BB$27:$BP$46,MATCH(STOCK_OVERVIEW!$Y441,PLANNING_FC!$BA$27:$BA$46,0),FALSE),HLOOKUP($AB441&amp;$AD441,PLANNING_FC!$BB$4:$BP$23,MATCH(STOCK_OVERVIEW!$Y441,PLANNING_FC!$BA$4:$BA$23,0),FALSE)),"")</f>
        <v>0</v>
      </c>
      <c r="AI441" s="650">
        <f ca="1">IFERROR(IF($AA441="NOOS",HLOOKUP(STOCK_OVERVIEW!$AB441&amp;STOCK_OVERVIEW!$AD441,PLANNING_FC!$T$27:$AH$46,MATCH(STOCK_OVERVIEW!$Y441,PLANNING_FC!$B$27:$B$46,0),FALSE),HLOOKUP($AB441&amp;$AD441,PLANNING_FC!$T$4:$AH$23,MATCH(STOCK_OVERVIEW!$Y441,PLANNING_FC!$B$4:$B$23,0),FALSE)),"")</f>
        <v>0</v>
      </c>
      <c r="AJ441" s="650">
        <f ca="1">IFERROR(IF($AA441="NOOS",HLOOKUP(STOCK_OVERVIEW!$AB441&amp;STOCK_OVERVIEW!$AD441,PLANNING_FC!$DA$27:$DO$46,MATCH(STOCK_OVERVIEW!$Y441,PLANNING_FC!$CZ$27:$CZ$46,0),FALSE),HLOOKUP($AB441&amp;$AD441,PLANNING_FC!$DA$4:$DO$23,MATCH(STOCK_OVERVIEW!$Y441,PLANNING_FC!$CZ$4:$CZ$23,0),FALSE)),"")</f>
        <v>130504</v>
      </c>
      <c r="AK441" s="651">
        <f ca="1">IFERROR(IF(AA441="NOOS",HLOOKUP(AB441&amp;AD441,PLANNING_FC!$AJ$27:$AY$47,MATCH(STOCK_OVERVIEW!Y441,PLANNING_FC!$AJ$27:$AJ$47,0),FALSE)*1000,HLOOKUP(AB441&amp;AD441,PLANNING_FC!$AJ$4:$AY$24,MATCH(STOCK_OVERVIEW!Y441,PLANNING_FC!$AJ$4:$AJ$24,0),FALSE)*1000),"")</f>
        <v>0</v>
      </c>
    </row>
    <row r="442" spans="24:37" x14ac:dyDescent="0.25">
      <c r="X442" s="465" t="str">
        <f t="shared" si="41"/>
        <v>VM</v>
      </c>
      <c r="Y442" s="206" t="str">
        <f t="shared" si="41"/>
        <v>T-SHIRTS</v>
      </c>
      <c r="Z442" s="25" t="str">
        <f t="shared" ca="1" si="38"/>
        <v>VMT-SHIRTS18/19May</v>
      </c>
      <c r="AA442" s="206" t="s">
        <v>197</v>
      </c>
      <c r="AB442" s="206" t="str">
        <f t="shared" ca="1" si="42"/>
        <v>18/19</v>
      </c>
      <c r="AC442" s="206" t="str">
        <f t="shared" ca="1" si="42"/>
        <v>Q4</v>
      </c>
      <c r="AD442" s="206" t="str">
        <f t="shared" ca="1" si="42"/>
        <v>May</v>
      </c>
      <c r="AE442" s="649">
        <f ca="1">IFERROR(HLOOKUP($AB442&amp;$AD442,'NWC_FC_NON-NOOS'!$C$4:$Q$24,MATCH($Y442,'NWC_FC_NON-NOOS'!$B$4:$B$24,0),FALSE),"")</f>
        <v>0</v>
      </c>
      <c r="AF442" s="650">
        <f ca="1">IFERROR(HLOOKUP($AB442&amp;$AD442,'NWC_FC_NON-NOOS'!$S$4:$AH$24,MATCH($Y442,'NWC_FC_NON-NOOS'!$S$4:$S$24,0),FALSE),"")</f>
        <v>0</v>
      </c>
      <c r="AG442" s="650">
        <f ca="1">IFERROR(HLOOKUP($AB442&amp;$AD442,'NWC_FC_NON-NOOS'!$B$50:$U$70,MATCH($Y442,'NWC_FC_NON-NOOS'!$B$50:$B$70,0),FALSE),"")</f>
        <v>0</v>
      </c>
      <c r="AH442" s="650">
        <f ca="1">IFERROR(IF($AA442="NOOS",HLOOKUP(STOCK_OVERVIEW!$AB442&amp;STOCK_OVERVIEW!$AD442,PLANNING_FC!$BB$27:$BP$46,MATCH(STOCK_OVERVIEW!$Y442,PLANNING_FC!$BA$27:$BA$46,0),FALSE),HLOOKUP($AB442&amp;$AD442,PLANNING_FC!$BB$4:$BP$23,MATCH(STOCK_OVERVIEW!$Y442,PLANNING_FC!$BA$4:$BA$23,0),FALSE)),"")</f>
        <v>0</v>
      </c>
      <c r="AI442" s="650">
        <f ca="1">IFERROR(IF($AA442="NOOS",HLOOKUP(STOCK_OVERVIEW!$AB442&amp;STOCK_OVERVIEW!$AD442,PLANNING_FC!$T$27:$AH$46,MATCH(STOCK_OVERVIEW!$Y442,PLANNING_FC!$B$27:$B$46,0),FALSE),HLOOKUP($AB442&amp;$AD442,PLANNING_FC!$T$4:$AH$23,MATCH(STOCK_OVERVIEW!$Y442,PLANNING_FC!$B$4:$B$23,0),FALSE)),"")</f>
        <v>0</v>
      </c>
      <c r="AJ442" s="650">
        <f ca="1">IFERROR(IF($AA442="NOOS",HLOOKUP(STOCK_OVERVIEW!$AB442&amp;STOCK_OVERVIEW!$AD442,PLANNING_FC!$DA$27:$DO$46,MATCH(STOCK_OVERVIEW!$Y442,PLANNING_FC!$CZ$27:$CZ$46,0),FALSE),HLOOKUP($AB442&amp;$AD442,PLANNING_FC!$DA$4:$DO$23,MATCH(STOCK_OVERVIEW!$Y442,PLANNING_FC!$CZ$4:$CZ$23,0),FALSE)),"")</f>
        <v>141312</v>
      </c>
      <c r="AK442" s="651">
        <f ca="1">IFERROR(IF(AA442="NOOS",HLOOKUP(AB442&amp;AD442,PLANNING_FC!$AJ$27:$AY$47,MATCH(STOCK_OVERVIEW!Y442,PLANNING_FC!$AJ$27:$AJ$47,0),FALSE)*1000,HLOOKUP(AB442&amp;AD442,PLANNING_FC!$AJ$4:$AY$24,MATCH(STOCK_OVERVIEW!Y442,PLANNING_FC!$AJ$4:$AJ$24,0),FALSE)*1000),"")</f>
        <v>0</v>
      </c>
    </row>
    <row r="443" spans="24:37" x14ac:dyDescent="0.25">
      <c r="X443" s="465" t="str">
        <f t="shared" si="41"/>
        <v>VM</v>
      </c>
      <c r="Y443" s="206" t="str">
        <f t="shared" si="41"/>
        <v>T-SHIRTS</v>
      </c>
      <c r="Z443" s="25" t="str">
        <f t="shared" ca="1" si="38"/>
        <v>VMT-SHIRTS18/19Jun</v>
      </c>
      <c r="AA443" s="206" t="s">
        <v>197</v>
      </c>
      <c r="AB443" s="206" t="str">
        <f t="shared" ca="1" si="42"/>
        <v>18/19</v>
      </c>
      <c r="AC443" s="206" t="str">
        <f t="shared" ca="1" si="42"/>
        <v>Q4</v>
      </c>
      <c r="AD443" s="206" t="str">
        <f t="shared" ca="1" si="42"/>
        <v>Jun</v>
      </c>
      <c r="AE443" s="649">
        <f ca="1">IFERROR(HLOOKUP($AB443&amp;$AD443,'NWC_FC_NON-NOOS'!$C$4:$Q$24,MATCH($Y443,'NWC_FC_NON-NOOS'!$B$4:$B$24,0),FALSE),"")</f>
        <v>0</v>
      </c>
      <c r="AF443" s="650">
        <f ca="1">IFERROR(HLOOKUP($AB443&amp;$AD443,'NWC_FC_NON-NOOS'!$S$4:$AH$24,MATCH($Y443,'NWC_FC_NON-NOOS'!$S$4:$S$24,0),FALSE),"")</f>
        <v>0</v>
      </c>
      <c r="AG443" s="650">
        <f ca="1">IFERROR(HLOOKUP($AB443&amp;$AD443,'NWC_FC_NON-NOOS'!$B$50:$U$70,MATCH($Y443,'NWC_FC_NON-NOOS'!$B$50:$B$70,0),FALSE),"")</f>
        <v>0</v>
      </c>
      <c r="AH443" s="650">
        <f ca="1">IFERROR(IF($AA443="NOOS",HLOOKUP(STOCK_OVERVIEW!$AB443&amp;STOCK_OVERVIEW!$AD443,PLANNING_FC!$BB$27:$BP$46,MATCH(STOCK_OVERVIEW!$Y443,PLANNING_FC!$BA$27:$BA$46,0),FALSE),HLOOKUP($AB443&amp;$AD443,PLANNING_FC!$BB$4:$BP$23,MATCH(STOCK_OVERVIEW!$Y443,PLANNING_FC!$BA$4:$BA$23,0),FALSE)),"")</f>
        <v>0</v>
      </c>
      <c r="AI443" s="650">
        <f ca="1">IFERROR(IF($AA443="NOOS",HLOOKUP(STOCK_OVERVIEW!$AB443&amp;STOCK_OVERVIEW!$AD443,PLANNING_FC!$T$27:$AH$46,MATCH(STOCK_OVERVIEW!$Y443,PLANNING_FC!$B$27:$B$46,0),FALSE),HLOOKUP($AB443&amp;$AD443,PLANNING_FC!$T$4:$AH$23,MATCH(STOCK_OVERVIEW!$Y443,PLANNING_FC!$B$4:$B$23,0),FALSE)),"")</f>
        <v>0</v>
      </c>
      <c r="AJ443" s="650">
        <f ca="1">IFERROR(IF($AA443="NOOS",HLOOKUP(STOCK_OVERVIEW!$AB443&amp;STOCK_OVERVIEW!$AD443,PLANNING_FC!$DA$27:$DO$46,MATCH(STOCK_OVERVIEW!$Y443,PLANNING_FC!$CZ$27:$CZ$46,0),FALSE),HLOOKUP($AB443&amp;$AD443,PLANNING_FC!$DA$4:$DO$23,MATCH(STOCK_OVERVIEW!$Y443,PLANNING_FC!$CZ$4:$CZ$23,0),FALSE)),"")</f>
        <v>144765</v>
      </c>
      <c r="AK443" s="651">
        <f ca="1">IFERROR(IF(AA443="NOOS",HLOOKUP(AB443&amp;AD443,PLANNING_FC!$AJ$27:$AY$47,MATCH(STOCK_OVERVIEW!Y443,PLANNING_FC!$AJ$27:$AJ$47,0),FALSE)*1000,HLOOKUP(AB443&amp;AD443,PLANNING_FC!$AJ$4:$AY$24,MATCH(STOCK_OVERVIEW!Y443,PLANNING_FC!$AJ$4:$AJ$24,0),FALSE)*1000),"")</f>
        <v>0</v>
      </c>
    </row>
    <row r="444" spans="24:37" x14ac:dyDescent="0.25">
      <c r="X444" s="465" t="str">
        <f t="shared" ref="X444:Y463" si="43">X204</f>
        <v>VM</v>
      </c>
      <c r="Y444" s="206" t="str">
        <f t="shared" si="43"/>
        <v>T-SHIRTS</v>
      </c>
      <c r="Z444" s="25" t="str">
        <f t="shared" ca="1" si="38"/>
        <v>VMT-SHIRTS18/19Jul</v>
      </c>
      <c r="AA444" s="206" t="s">
        <v>197</v>
      </c>
      <c r="AB444" s="206" t="str">
        <f t="shared" ref="AB444:AD463" ca="1" si="44">AB204</f>
        <v>18/19</v>
      </c>
      <c r="AC444" s="206" t="str">
        <f t="shared" ca="1" si="44"/>
        <v>Q4</v>
      </c>
      <c r="AD444" s="206" t="str">
        <f t="shared" ca="1" si="44"/>
        <v>Jul</v>
      </c>
      <c r="AE444" s="649">
        <f ca="1">IFERROR(HLOOKUP($AB444&amp;$AD444,'NWC_FC_NON-NOOS'!$C$4:$Q$24,MATCH($Y444,'NWC_FC_NON-NOOS'!$B$4:$B$24,0),FALSE),"")</f>
        <v>0</v>
      </c>
      <c r="AF444" s="650">
        <f ca="1">IFERROR(HLOOKUP($AB444&amp;$AD444,'NWC_FC_NON-NOOS'!$S$4:$AH$24,MATCH($Y444,'NWC_FC_NON-NOOS'!$S$4:$S$24,0),FALSE),"")</f>
        <v>0</v>
      </c>
      <c r="AG444" s="650">
        <f ca="1">IFERROR(HLOOKUP($AB444&amp;$AD444,'NWC_FC_NON-NOOS'!$B$50:$U$70,MATCH($Y444,'NWC_FC_NON-NOOS'!$B$50:$B$70,0),FALSE),"")</f>
        <v>0</v>
      </c>
      <c r="AH444" s="650">
        <f ca="1">IFERROR(IF($AA444="NOOS",HLOOKUP(STOCK_OVERVIEW!$AB444&amp;STOCK_OVERVIEW!$AD444,PLANNING_FC!$BB$27:$BP$46,MATCH(STOCK_OVERVIEW!$Y444,PLANNING_FC!$BA$27:$BA$46,0),FALSE),HLOOKUP($AB444&amp;$AD444,PLANNING_FC!$BB$4:$BP$23,MATCH(STOCK_OVERVIEW!$Y444,PLANNING_FC!$BA$4:$BA$23,0),FALSE)),"")</f>
        <v>0</v>
      </c>
      <c r="AI444" s="650">
        <f ca="1">IFERROR(IF($AA444="NOOS",HLOOKUP(STOCK_OVERVIEW!$AB444&amp;STOCK_OVERVIEW!$AD444,PLANNING_FC!$T$27:$AH$46,MATCH(STOCK_OVERVIEW!$Y444,PLANNING_FC!$B$27:$B$46,0),FALSE),HLOOKUP($AB444&amp;$AD444,PLANNING_FC!$T$4:$AH$23,MATCH(STOCK_OVERVIEW!$Y444,PLANNING_FC!$B$4:$B$23,0),FALSE)),"")</f>
        <v>0</v>
      </c>
      <c r="AJ444" s="650">
        <f ca="1">IFERROR(IF($AA444="NOOS",HLOOKUP(STOCK_OVERVIEW!$AB444&amp;STOCK_OVERVIEW!$AD444,PLANNING_FC!$DA$27:$DO$46,MATCH(STOCK_OVERVIEW!$Y444,PLANNING_FC!$CZ$27:$CZ$46,0),FALSE),HLOOKUP($AB444&amp;$AD444,PLANNING_FC!$DA$4:$DO$23,MATCH(STOCK_OVERVIEW!$Y444,PLANNING_FC!$CZ$4:$CZ$23,0),FALSE)),"")</f>
        <v>144765</v>
      </c>
      <c r="AK444" s="651">
        <f ca="1">IFERROR(IF(AA444="NOOS",HLOOKUP(AB444&amp;AD444,PLANNING_FC!$AJ$27:$AY$47,MATCH(STOCK_OVERVIEW!Y444,PLANNING_FC!$AJ$27:$AJ$47,0),FALSE)*1000,HLOOKUP(AB444&amp;AD444,PLANNING_FC!$AJ$4:$AY$24,MATCH(STOCK_OVERVIEW!Y444,PLANNING_FC!$AJ$4:$AJ$24,0),FALSE)*1000),"")</f>
        <v>0</v>
      </c>
    </row>
    <row r="445" spans="24:37" x14ac:dyDescent="0.25">
      <c r="X445" s="465" t="str">
        <f t="shared" si="43"/>
        <v>VM</v>
      </c>
      <c r="Y445" s="206" t="str">
        <f t="shared" si="43"/>
        <v>T-SHIRTS</v>
      </c>
      <c r="Z445" s="25" t="str">
        <f t="shared" ca="1" si="38"/>
        <v>VMT-SHIRTS19/20Aug</v>
      </c>
      <c r="AA445" s="206" t="s">
        <v>197</v>
      </c>
      <c r="AB445" s="206" t="str">
        <f t="shared" ca="1" si="44"/>
        <v>19/20</v>
      </c>
      <c r="AC445" s="206" t="str">
        <f t="shared" ca="1" si="44"/>
        <v>Q1</v>
      </c>
      <c r="AD445" s="206" t="str">
        <f t="shared" ca="1" si="44"/>
        <v>Aug</v>
      </c>
      <c r="AE445" s="649">
        <f ca="1">IFERROR(HLOOKUP($AB445&amp;$AD445,'NWC_FC_NON-NOOS'!$C$4:$Q$24,MATCH($Y445,'NWC_FC_NON-NOOS'!$B$4:$B$24,0),FALSE),"")</f>
        <v>0</v>
      </c>
      <c r="AF445" s="650">
        <f ca="1">IFERROR(HLOOKUP($AB445&amp;$AD445,'NWC_FC_NON-NOOS'!$S$4:$AH$24,MATCH($Y445,'NWC_FC_NON-NOOS'!$S$4:$S$24,0),FALSE),"")</f>
        <v>0</v>
      </c>
      <c r="AG445" s="650">
        <f ca="1">IFERROR(HLOOKUP($AB445&amp;$AD445,'NWC_FC_NON-NOOS'!$B$50:$U$70,MATCH($Y445,'NWC_FC_NON-NOOS'!$B$50:$B$70,0),FALSE),"")</f>
        <v>0</v>
      </c>
      <c r="AH445" s="650">
        <f ca="1">IFERROR(IF($AA445="NOOS",HLOOKUP(STOCK_OVERVIEW!$AB445&amp;STOCK_OVERVIEW!$AD445,PLANNING_FC!$BB$27:$BP$46,MATCH(STOCK_OVERVIEW!$Y445,PLANNING_FC!$BA$27:$BA$46,0),FALSE),HLOOKUP($AB445&amp;$AD445,PLANNING_FC!$BB$4:$BP$23,MATCH(STOCK_OVERVIEW!$Y445,PLANNING_FC!$BA$4:$BA$23,0),FALSE)),"")</f>
        <v>0</v>
      </c>
      <c r="AI445" s="650">
        <f ca="1">IFERROR(IF($AA445="NOOS",HLOOKUP(STOCK_OVERVIEW!$AB445&amp;STOCK_OVERVIEW!$AD445,PLANNING_FC!$T$27:$AH$46,MATCH(STOCK_OVERVIEW!$Y445,PLANNING_FC!$B$27:$B$46,0),FALSE),HLOOKUP($AB445&amp;$AD445,PLANNING_FC!$T$4:$AH$23,MATCH(STOCK_OVERVIEW!$Y445,PLANNING_FC!$B$4:$B$23,0),FALSE)),"")</f>
        <v>0</v>
      </c>
      <c r="AJ445" s="650">
        <f ca="1">IFERROR(IF($AA445="NOOS",HLOOKUP(STOCK_OVERVIEW!$AB445&amp;STOCK_OVERVIEW!$AD445,PLANNING_FC!$DA$27:$DO$46,MATCH(STOCK_OVERVIEW!$Y445,PLANNING_FC!$CZ$27:$CZ$46,0),FALSE),HLOOKUP($AB445&amp;$AD445,PLANNING_FC!$DA$4:$DO$23,MATCH(STOCK_OVERVIEW!$Y445,PLANNING_FC!$CZ$4:$CZ$23,0),FALSE)),"")</f>
        <v>144765</v>
      </c>
      <c r="AK445" s="651">
        <f ca="1">IFERROR(IF(AA445="NOOS",HLOOKUP(AB445&amp;AD445,PLANNING_FC!$AJ$27:$AY$47,MATCH(STOCK_OVERVIEW!Y445,PLANNING_FC!$AJ$27:$AJ$47,0),FALSE)*1000,HLOOKUP(AB445&amp;AD445,PLANNING_FC!$AJ$4:$AY$24,MATCH(STOCK_OVERVIEW!Y445,PLANNING_FC!$AJ$4:$AJ$24,0),FALSE)*1000),"")</f>
        <v>0</v>
      </c>
    </row>
    <row r="446" spans="24:37" x14ac:dyDescent="0.25">
      <c r="X446" s="465" t="str">
        <f t="shared" si="43"/>
        <v>VM</v>
      </c>
      <c r="Y446" s="206" t="str">
        <f t="shared" si="43"/>
        <v>T-SHIRTS</v>
      </c>
      <c r="Z446" s="25" t="str">
        <f t="shared" ca="1" si="38"/>
        <v>VMT-SHIRTS19/20Sep</v>
      </c>
      <c r="AA446" s="206" t="s">
        <v>197</v>
      </c>
      <c r="AB446" s="206" t="str">
        <f t="shared" ca="1" si="44"/>
        <v>19/20</v>
      </c>
      <c r="AC446" s="206" t="str">
        <f t="shared" ca="1" si="44"/>
        <v>Q1</v>
      </c>
      <c r="AD446" s="206" t="str">
        <f t="shared" ca="1" si="44"/>
        <v>Sep</v>
      </c>
      <c r="AE446" s="649">
        <f ca="1">IFERROR(HLOOKUP($AB446&amp;$AD446,'NWC_FC_NON-NOOS'!$C$4:$Q$24,MATCH($Y446,'NWC_FC_NON-NOOS'!$B$4:$B$24,0),FALSE),"")</f>
        <v>0</v>
      </c>
      <c r="AF446" s="650">
        <f ca="1">IFERROR(HLOOKUP($AB446&amp;$AD446,'NWC_FC_NON-NOOS'!$S$4:$AH$24,MATCH($Y446,'NWC_FC_NON-NOOS'!$S$4:$S$24,0),FALSE),"")</f>
        <v>0</v>
      </c>
      <c r="AG446" s="650">
        <f ca="1">IFERROR(HLOOKUP($AB446&amp;$AD446,'NWC_FC_NON-NOOS'!$B$50:$U$70,MATCH($Y446,'NWC_FC_NON-NOOS'!$B$50:$B$70,0),FALSE),"")</f>
        <v>0</v>
      </c>
      <c r="AH446" s="650">
        <f ca="1">IFERROR(IF($AA446="NOOS",HLOOKUP(STOCK_OVERVIEW!$AB446&amp;STOCK_OVERVIEW!$AD446,PLANNING_FC!$BB$27:$BP$46,MATCH(STOCK_OVERVIEW!$Y446,PLANNING_FC!$BA$27:$BA$46,0),FALSE),HLOOKUP($AB446&amp;$AD446,PLANNING_FC!$BB$4:$BP$23,MATCH(STOCK_OVERVIEW!$Y446,PLANNING_FC!$BA$4:$BA$23,0),FALSE)),"")</f>
        <v>0</v>
      </c>
      <c r="AI446" s="650">
        <f ca="1">IFERROR(IF($AA446="NOOS",HLOOKUP(STOCK_OVERVIEW!$AB446&amp;STOCK_OVERVIEW!$AD446,PLANNING_FC!$T$27:$AH$46,MATCH(STOCK_OVERVIEW!$Y446,PLANNING_FC!$B$27:$B$46,0),FALSE),HLOOKUP($AB446&amp;$AD446,PLANNING_FC!$T$4:$AH$23,MATCH(STOCK_OVERVIEW!$Y446,PLANNING_FC!$B$4:$B$23,0),FALSE)),"")</f>
        <v>0</v>
      </c>
      <c r="AJ446" s="650">
        <f ca="1">IFERROR(IF($AA446="NOOS",HLOOKUP(STOCK_OVERVIEW!$AB446&amp;STOCK_OVERVIEW!$AD446,PLANNING_FC!$DA$27:$DO$46,MATCH(STOCK_OVERVIEW!$Y446,PLANNING_FC!$CZ$27:$CZ$46,0),FALSE),HLOOKUP($AB446&amp;$AD446,PLANNING_FC!$DA$4:$DO$23,MATCH(STOCK_OVERVIEW!$Y446,PLANNING_FC!$CZ$4:$CZ$23,0),FALSE)),"")</f>
        <v>144765</v>
      </c>
      <c r="AK446" s="651">
        <f ca="1">IFERROR(IF(AA446="NOOS",HLOOKUP(AB446&amp;AD446,PLANNING_FC!$AJ$27:$AY$47,MATCH(STOCK_OVERVIEW!Y446,PLANNING_FC!$AJ$27:$AJ$47,0),FALSE)*1000,HLOOKUP(AB446&amp;AD446,PLANNING_FC!$AJ$4:$AY$24,MATCH(STOCK_OVERVIEW!Y446,PLANNING_FC!$AJ$4:$AJ$24,0),FALSE)*1000),"")</f>
        <v>0</v>
      </c>
    </row>
    <row r="447" spans="24:37" x14ac:dyDescent="0.25">
      <c r="X447" s="465" t="str">
        <f t="shared" si="43"/>
        <v>VM</v>
      </c>
      <c r="Y447" s="206" t="str">
        <f t="shared" si="43"/>
        <v>T-SHIRTS</v>
      </c>
      <c r="Z447" s="25" t="str">
        <f t="shared" ca="1" si="38"/>
        <v>VMT-SHIRTS19/20Oct</v>
      </c>
      <c r="AA447" s="206" t="s">
        <v>197</v>
      </c>
      <c r="AB447" s="206" t="str">
        <f t="shared" ca="1" si="44"/>
        <v>19/20</v>
      </c>
      <c r="AC447" s="206" t="str">
        <f t="shared" ca="1" si="44"/>
        <v>Q1</v>
      </c>
      <c r="AD447" s="206" t="str">
        <f t="shared" ca="1" si="44"/>
        <v>Oct</v>
      </c>
      <c r="AE447" s="649">
        <f ca="1">IFERROR(HLOOKUP($AB447&amp;$AD447,'NWC_FC_NON-NOOS'!$C$4:$Q$24,MATCH($Y447,'NWC_FC_NON-NOOS'!$B$4:$B$24,0),FALSE),"")</f>
        <v>0</v>
      </c>
      <c r="AF447" s="650">
        <f ca="1">IFERROR(HLOOKUP($AB447&amp;$AD447,'NWC_FC_NON-NOOS'!$S$4:$AH$24,MATCH($Y447,'NWC_FC_NON-NOOS'!$S$4:$S$24,0),FALSE),"")</f>
        <v>0</v>
      </c>
      <c r="AG447" s="650">
        <f ca="1">IFERROR(HLOOKUP($AB447&amp;$AD447,'NWC_FC_NON-NOOS'!$B$50:$U$70,MATCH($Y447,'NWC_FC_NON-NOOS'!$B$50:$B$70,0),FALSE),"")</f>
        <v>0</v>
      </c>
      <c r="AH447" s="650">
        <f ca="1">IFERROR(IF($AA447="NOOS",HLOOKUP(STOCK_OVERVIEW!$AB447&amp;STOCK_OVERVIEW!$AD447,PLANNING_FC!$BB$27:$BP$46,MATCH(STOCK_OVERVIEW!$Y447,PLANNING_FC!$BA$27:$BA$46,0),FALSE),HLOOKUP($AB447&amp;$AD447,PLANNING_FC!$BB$4:$BP$23,MATCH(STOCK_OVERVIEW!$Y447,PLANNING_FC!$BA$4:$BA$23,0),FALSE)),"")</f>
        <v>0</v>
      </c>
      <c r="AI447" s="650">
        <f ca="1">IFERROR(IF($AA447="NOOS",HLOOKUP(STOCK_OVERVIEW!$AB447&amp;STOCK_OVERVIEW!$AD447,PLANNING_FC!$T$27:$AH$46,MATCH(STOCK_OVERVIEW!$Y447,PLANNING_FC!$B$27:$B$46,0),FALSE),HLOOKUP($AB447&amp;$AD447,PLANNING_FC!$T$4:$AH$23,MATCH(STOCK_OVERVIEW!$Y447,PLANNING_FC!$B$4:$B$23,0),FALSE)),"")</f>
        <v>0</v>
      </c>
      <c r="AJ447" s="650">
        <f ca="1">IFERROR(IF($AA447="NOOS",HLOOKUP(STOCK_OVERVIEW!$AB447&amp;STOCK_OVERVIEW!$AD447,PLANNING_FC!$DA$27:$DO$46,MATCH(STOCK_OVERVIEW!$Y447,PLANNING_FC!$CZ$27:$CZ$46,0),FALSE),HLOOKUP($AB447&amp;$AD447,PLANNING_FC!$DA$4:$DO$23,MATCH(STOCK_OVERVIEW!$Y447,PLANNING_FC!$CZ$4:$CZ$23,0),FALSE)),"")</f>
        <v>144765</v>
      </c>
      <c r="AK447" s="651">
        <f ca="1">IFERROR(IF(AA447="NOOS",HLOOKUP(AB447&amp;AD447,PLANNING_FC!$AJ$27:$AY$47,MATCH(STOCK_OVERVIEW!Y447,PLANNING_FC!$AJ$27:$AJ$47,0),FALSE)*1000,HLOOKUP(AB447&amp;AD447,PLANNING_FC!$AJ$4:$AY$24,MATCH(STOCK_OVERVIEW!Y447,PLANNING_FC!$AJ$4:$AJ$24,0),FALSE)*1000),"")</f>
        <v>0</v>
      </c>
    </row>
    <row r="448" spans="24:37" x14ac:dyDescent="0.25">
      <c r="X448" s="465" t="str">
        <f t="shared" si="43"/>
        <v>VM</v>
      </c>
      <c r="Y448" s="206" t="str">
        <f t="shared" si="43"/>
        <v>T-SHIRTS</v>
      </c>
      <c r="Z448" s="25" t="str">
        <f t="shared" ca="1" si="38"/>
        <v>VMT-SHIRTS19/20Nov</v>
      </c>
      <c r="AA448" s="206" t="s">
        <v>197</v>
      </c>
      <c r="AB448" s="206" t="str">
        <f t="shared" ca="1" si="44"/>
        <v>19/20</v>
      </c>
      <c r="AC448" s="206" t="str">
        <f t="shared" ca="1" si="44"/>
        <v>Q2</v>
      </c>
      <c r="AD448" s="206" t="str">
        <f t="shared" ca="1" si="44"/>
        <v>Nov</v>
      </c>
      <c r="AE448" s="649">
        <f ca="1">IFERROR(HLOOKUP($AB448&amp;$AD448,'NWC_FC_NON-NOOS'!$C$4:$Q$24,MATCH($Y448,'NWC_FC_NON-NOOS'!$B$4:$B$24,0),FALSE),"")</f>
        <v>0</v>
      </c>
      <c r="AF448" s="650">
        <f ca="1">IFERROR(HLOOKUP($AB448&amp;$AD448,'NWC_FC_NON-NOOS'!$S$4:$AH$24,MATCH($Y448,'NWC_FC_NON-NOOS'!$S$4:$S$24,0),FALSE),"")</f>
        <v>0</v>
      </c>
      <c r="AG448" s="650">
        <f ca="1">IFERROR(HLOOKUP($AB448&amp;$AD448,'NWC_FC_NON-NOOS'!$B$50:$U$70,MATCH($Y448,'NWC_FC_NON-NOOS'!$B$50:$B$70,0),FALSE),"")</f>
        <v>0</v>
      </c>
      <c r="AH448" s="650">
        <f ca="1">IFERROR(IF($AA448="NOOS",HLOOKUP(STOCK_OVERVIEW!$AB448&amp;STOCK_OVERVIEW!$AD448,PLANNING_FC!$BB$27:$BP$46,MATCH(STOCK_OVERVIEW!$Y448,PLANNING_FC!$BA$27:$BA$46,0),FALSE),HLOOKUP($AB448&amp;$AD448,PLANNING_FC!$BB$4:$BP$23,MATCH(STOCK_OVERVIEW!$Y448,PLANNING_FC!$BA$4:$BA$23,0),FALSE)),"")</f>
        <v>0</v>
      </c>
      <c r="AI448" s="650">
        <f ca="1">IFERROR(IF($AA448="NOOS",HLOOKUP(STOCK_OVERVIEW!$AB448&amp;STOCK_OVERVIEW!$AD448,PLANNING_FC!$T$27:$AH$46,MATCH(STOCK_OVERVIEW!$Y448,PLANNING_FC!$B$27:$B$46,0),FALSE),HLOOKUP($AB448&amp;$AD448,PLANNING_FC!$T$4:$AH$23,MATCH(STOCK_OVERVIEW!$Y448,PLANNING_FC!$B$4:$B$23,0),FALSE)),"")</f>
        <v>0</v>
      </c>
      <c r="AJ448" s="650">
        <f ca="1">IFERROR(IF($AA448="NOOS",HLOOKUP(STOCK_OVERVIEW!$AB448&amp;STOCK_OVERVIEW!$AD448,PLANNING_FC!$DA$27:$DO$46,MATCH(STOCK_OVERVIEW!$Y448,PLANNING_FC!$CZ$27:$CZ$46,0),FALSE),HLOOKUP($AB448&amp;$AD448,PLANNING_FC!$DA$4:$DO$23,MATCH(STOCK_OVERVIEW!$Y448,PLANNING_FC!$CZ$4:$CZ$23,0),FALSE)),"")</f>
        <v>144765</v>
      </c>
      <c r="AK448" s="651">
        <f ca="1">IFERROR(IF(AA448="NOOS",HLOOKUP(AB448&amp;AD448,PLANNING_FC!$AJ$27:$AY$47,MATCH(STOCK_OVERVIEW!Y448,PLANNING_FC!$AJ$27:$AJ$47,0),FALSE)*1000,HLOOKUP(AB448&amp;AD448,PLANNING_FC!$AJ$4:$AY$24,MATCH(STOCK_OVERVIEW!Y448,PLANNING_FC!$AJ$4:$AJ$24,0),FALSE)*1000),"")</f>
        <v>0</v>
      </c>
    </row>
    <row r="449" spans="24:37" x14ac:dyDescent="0.25">
      <c r="X449" s="465" t="str">
        <f t="shared" si="43"/>
        <v>VM</v>
      </c>
      <c r="Y449" s="206" t="str">
        <f t="shared" si="43"/>
        <v>T-SHIRTS</v>
      </c>
      <c r="Z449" s="25" t="str">
        <f t="shared" ca="1" si="38"/>
        <v>VMT-SHIRTS19/20Dec</v>
      </c>
      <c r="AA449" s="206" t="s">
        <v>197</v>
      </c>
      <c r="AB449" s="206" t="str">
        <f t="shared" ca="1" si="44"/>
        <v>19/20</v>
      </c>
      <c r="AC449" s="206" t="str">
        <f t="shared" ca="1" si="44"/>
        <v>Q2</v>
      </c>
      <c r="AD449" s="206" t="str">
        <f t="shared" ca="1" si="44"/>
        <v>Dec</v>
      </c>
      <c r="AE449" s="649">
        <f ca="1">IFERROR(HLOOKUP($AB449&amp;$AD449,'NWC_FC_NON-NOOS'!$C$4:$Q$24,MATCH($Y449,'NWC_FC_NON-NOOS'!$B$4:$B$24,0),FALSE),"")</f>
        <v>0</v>
      </c>
      <c r="AF449" s="650">
        <f ca="1">IFERROR(HLOOKUP($AB449&amp;$AD449,'NWC_FC_NON-NOOS'!$S$4:$AH$24,MATCH($Y449,'NWC_FC_NON-NOOS'!$S$4:$S$24,0),FALSE),"")</f>
        <v>0</v>
      </c>
      <c r="AG449" s="650">
        <f ca="1">IFERROR(HLOOKUP($AB449&amp;$AD449,'NWC_FC_NON-NOOS'!$B$50:$U$70,MATCH($Y449,'NWC_FC_NON-NOOS'!$B$50:$B$70,0),FALSE),"")</f>
        <v>0</v>
      </c>
      <c r="AH449" s="650">
        <f ca="1">IFERROR(IF($AA449="NOOS",HLOOKUP(STOCK_OVERVIEW!$AB449&amp;STOCK_OVERVIEW!$AD449,PLANNING_FC!$BB$27:$BP$46,MATCH(STOCK_OVERVIEW!$Y449,PLANNING_FC!$BA$27:$BA$46,0),FALSE),HLOOKUP($AB449&amp;$AD449,PLANNING_FC!$BB$4:$BP$23,MATCH(STOCK_OVERVIEW!$Y449,PLANNING_FC!$BA$4:$BA$23,0),FALSE)),"")</f>
        <v>0</v>
      </c>
      <c r="AI449" s="650">
        <f ca="1">IFERROR(IF($AA449="NOOS",HLOOKUP(STOCK_OVERVIEW!$AB449&amp;STOCK_OVERVIEW!$AD449,PLANNING_FC!$T$27:$AH$46,MATCH(STOCK_OVERVIEW!$Y449,PLANNING_FC!$B$27:$B$46,0),FALSE),HLOOKUP($AB449&amp;$AD449,PLANNING_FC!$T$4:$AH$23,MATCH(STOCK_OVERVIEW!$Y449,PLANNING_FC!$B$4:$B$23,0),FALSE)),"")</f>
        <v>0</v>
      </c>
      <c r="AJ449" s="650">
        <f ca="1">IFERROR(IF($AA449="NOOS",HLOOKUP(STOCK_OVERVIEW!$AB449&amp;STOCK_OVERVIEW!$AD449,PLANNING_FC!$DA$27:$DO$46,MATCH(STOCK_OVERVIEW!$Y449,PLANNING_FC!$CZ$27:$CZ$46,0),FALSE),HLOOKUP($AB449&amp;$AD449,PLANNING_FC!$DA$4:$DO$23,MATCH(STOCK_OVERVIEW!$Y449,PLANNING_FC!$CZ$4:$CZ$23,0),FALSE)),"")</f>
        <v>144765</v>
      </c>
      <c r="AK449" s="651">
        <f ca="1">IFERROR(IF(AA449="NOOS",HLOOKUP(AB449&amp;AD449,PLANNING_FC!$AJ$27:$AY$47,MATCH(STOCK_OVERVIEW!Y449,PLANNING_FC!$AJ$27:$AJ$47,0),FALSE)*1000,HLOOKUP(AB449&amp;AD449,PLANNING_FC!$AJ$4:$AY$24,MATCH(STOCK_OVERVIEW!Y449,PLANNING_FC!$AJ$4:$AJ$24,0),FALSE)*1000),"")</f>
        <v>0</v>
      </c>
    </row>
    <row r="450" spans="24:37" x14ac:dyDescent="0.25">
      <c r="X450" s="465" t="str">
        <f t="shared" si="43"/>
        <v>VM</v>
      </c>
      <c r="Y450" s="206" t="str">
        <f t="shared" si="43"/>
        <v>T-SHIRTS</v>
      </c>
      <c r="Z450" s="25" t="str">
        <f t="shared" ca="1" si="38"/>
        <v>VMT-SHIRTS19/20Jan</v>
      </c>
      <c r="AA450" s="206" t="s">
        <v>197</v>
      </c>
      <c r="AB450" s="206" t="str">
        <f t="shared" ca="1" si="44"/>
        <v>19/20</v>
      </c>
      <c r="AC450" s="206" t="str">
        <f t="shared" ca="1" si="44"/>
        <v>Q2</v>
      </c>
      <c r="AD450" s="206" t="str">
        <f t="shared" ca="1" si="44"/>
        <v>Jan</v>
      </c>
      <c r="AE450" s="649">
        <f ca="1">IFERROR(HLOOKUP($AB450&amp;$AD450,'NWC_FC_NON-NOOS'!$C$4:$Q$24,MATCH($Y450,'NWC_FC_NON-NOOS'!$B$4:$B$24,0),FALSE),"")</f>
        <v>0</v>
      </c>
      <c r="AF450" s="650">
        <f ca="1">IFERROR(HLOOKUP($AB450&amp;$AD450,'NWC_FC_NON-NOOS'!$S$4:$AH$24,MATCH($Y450,'NWC_FC_NON-NOOS'!$S$4:$S$24,0),FALSE),"")</f>
        <v>0</v>
      </c>
      <c r="AG450" s="650">
        <f ca="1">IFERROR(HLOOKUP($AB450&amp;$AD450,'NWC_FC_NON-NOOS'!$B$50:$U$70,MATCH($Y450,'NWC_FC_NON-NOOS'!$B$50:$B$70,0),FALSE),"")</f>
        <v>0</v>
      </c>
      <c r="AH450" s="650">
        <f ca="1">IFERROR(IF($AA450="NOOS",HLOOKUP(STOCK_OVERVIEW!$AB450&amp;STOCK_OVERVIEW!$AD450,PLANNING_FC!$BB$27:$BP$46,MATCH(STOCK_OVERVIEW!$Y450,PLANNING_FC!$BA$27:$BA$46,0),FALSE),HLOOKUP($AB450&amp;$AD450,PLANNING_FC!$BB$4:$BP$23,MATCH(STOCK_OVERVIEW!$Y450,PLANNING_FC!$BA$4:$BA$23,0),FALSE)),"")</f>
        <v>0</v>
      </c>
      <c r="AI450" s="650">
        <f ca="1">IFERROR(IF($AA450="NOOS",HLOOKUP(STOCK_OVERVIEW!$AB450&amp;STOCK_OVERVIEW!$AD450,PLANNING_FC!$T$27:$AH$46,MATCH(STOCK_OVERVIEW!$Y450,PLANNING_FC!$B$27:$B$46,0),FALSE),HLOOKUP($AB450&amp;$AD450,PLANNING_FC!$T$4:$AH$23,MATCH(STOCK_OVERVIEW!$Y450,PLANNING_FC!$B$4:$B$23,0),FALSE)),"")</f>
        <v>0</v>
      </c>
      <c r="AJ450" s="650">
        <f ca="1">IFERROR(IF($AA450="NOOS",HLOOKUP(STOCK_OVERVIEW!$AB450&amp;STOCK_OVERVIEW!$AD450,PLANNING_FC!$DA$27:$DO$46,MATCH(STOCK_OVERVIEW!$Y450,PLANNING_FC!$CZ$27:$CZ$46,0),FALSE),HLOOKUP($AB450&amp;$AD450,PLANNING_FC!$DA$4:$DO$23,MATCH(STOCK_OVERVIEW!$Y450,PLANNING_FC!$CZ$4:$CZ$23,0),FALSE)),"")</f>
        <v>144765</v>
      </c>
      <c r="AK450" s="651">
        <f ca="1">IFERROR(IF(AA450="NOOS",HLOOKUP(AB450&amp;AD450,PLANNING_FC!$AJ$27:$AY$47,MATCH(STOCK_OVERVIEW!Y450,PLANNING_FC!$AJ$27:$AJ$47,0),FALSE)*1000,HLOOKUP(AB450&amp;AD450,PLANNING_FC!$AJ$4:$AY$24,MATCH(STOCK_OVERVIEW!Y450,PLANNING_FC!$AJ$4:$AJ$24,0),FALSE)*1000),"")</f>
        <v>0</v>
      </c>
    </row>
    <row r="451" spans="24:37" x14ac:dyDescent="0.25">
      <c r="X451" s="465" t="str">
        <f t="shared" si="43"/>
        <v>VM</v>
      </c>
      <c r="Y451" s="206" t="str">
        <f t="shared" si="43"/>
        <v>T-SHIRTS</v>
      </c>
      <c r="Z451" s="25" t="str">
        <f t="shared" ca="1" si="38"/>
        <v>VMT-SHIRTS19/20Feb</v>
      </c>
      <c r="AA451" s="206" t="s">
        <v>197</v>
      </c>
      <c r="AB451" s="206" t="str">
        <f t="shared" ca="1" si="44"/>
        <v>19/20</v>
      </c>
      <c r="AC451" s="206" t="str">
        <f t="shared" ca="1" si="44"/>
        <v>Q3</v>
      </c>
      <c r="AD451" s="206" t="str">
        <f t="shared" ca="1" si="44"/>
        <v>Feb</v>
      </c>
      <c r="AE451" s="649" t="str">
        <f ca="1">IFERROR(HLOOKUP($AB451&amp;$AD451,'NWC_FC_NON-NOOS'!$C$4:$Q$24,MATCH($Y451,'NWC_FC_NON-NOOS'!$B$4:$B$24,0),FALSE),"")</f>
        <v/>
      </c>
      <c r="AF451" s="650" t="str">
        <f ca="1">IFERROR(HLOOKUP($AB451&amp;$AD451,'NWC_FC_NON-NOOS'!$S$4:$AH$24,MATCH($Y451,'NWC_FC_NON-NOOS'!$S$4:$S$24,0),FALSE),"")</f>
        <v/>
      </c>
      <c r="AG451" s="650">
        <f ca="1">IFERROR(HLOOKUP($AB451&amp;$AD451,'NWC_FC_NON-NOOS'!$B$50:$U$70,MATCH($Y451,'NWC_FC_NON-NOOS'!$B$50:$B$70,0),FALSE),"")</f>
        <v>0</v>
      </c>
      <c r="AH451" s="650" t="str">
        <f ca="1">IFERROR(IF($AA451="NOOS",HLOOKUP(STOCK_OVERVIEW!$AB451&amp;STOCK_OVERVIEW!$AD451,PLANNING_FC!$BB$27:$BP$46,MATCH(STOCK_OVERVIEW!$Y451,PLANNING_FC!$BA$27:$BA$46,0),FALSE),HLOOKUP($AB451&amp;$AD451,PLANNING_FC!$BB$4:$BP$23,MATCH(STOCK_OVERVIEW!$Y451,PLANNING_FC!$BA$4:$BA$23,0),FALSE)),"")</f>
        <v/>
      </c>
      <c r="AI451" s="650" t="str">
        <f ca="1">IFERROR(IF($AA451="NOOS",HLOOKUP(STOCK_OVERVIEW!$AB451&amp;STOCK_OVERVIEW!$AD451,PLANNING_FC!$T$27:$AH$46,MATCH(STOCK_OVERVIEW!$Y451,PLANNING_FC!$B$27:$B$46,0),FALSE),HLOOKUP($AB451&amp;$AD451,PLANNING_FC!$T$4:$AH$23,MATCH(STOCK_OVERVIEW!$Y451,PLANNING_FC!$B$4:$B$23,0),FALSE)),"")</f>
        <v/>
      </c>
      <c r="AJ451" s="650" t="str">
        <f ca="1">IFERROR(IF($AA451="NOOS",HLOOKUP(STOCK_OVERVIEW!$AB451&amp;STOCK_OVERVIEW!$AD451,PLANNING_FC!$DA$27:$DO$46,MATCH(STOCK_OVERVIEW!$Y451,PLANNING_FC!$CZ$27:$CZ$46,0),FALSE),HLOOKUP($AB451&amp;$AD451,PLANNING_FC!$DA$4:$DO$23,MATCH(STOCK_OVERVIEW!$Y451,PLANNING_FC!$CZ$4:$CZ$23,0),FALSE)),"")</f>
        <v/>
      </c>
      <c r="AK451" s="651" t="str">
        <f ca="1">IFERROR(IF(AA451="NOOS",HLOOKUP(AB451&amp;AD451,PLANNING_FC!$AJ$27:$AY$47,MATCH(STOCK_OVERVIEW!Y451,PLANNING_FC!$AJ$27:$AJ$47,0),FALSE)*1000,HLOOKUP(AB451&amp;AD451,PLANNING_FC!$AJ$4:$AY$24,MATCH(STOCK_OVERVIEW!Y451,PLANNING_FC!$AJ$4:$AJ$24,0),FALSE)*1000),"")</f>
        <v/>
      </c>
    </row>
    <row r="452" spans="24:37" x14ac:dyDescent="0.25">
      <c r="X452" s="465" t="str">
        <f t="shared" si="43"/>
        <v>VM</v>
      </c>
      <c r="Y452" s="206" t="str">
        <f t="shared" si="43"/>
        <v>T-SHIRTS</v>
      </c>
      <c r="Z452" s="25" t="str">
        <f t="shared" ca="1" si="38"/>
        <v>VMT-SHIRTS19/20Mar</v>
      </c>
      <c r="AA452" s="206" t="s">
        <v>197</v>
      </c>
      <c r="AB452" s="206" t="str">
        <f t="shared" ca="1" si="44"/>
        <v>19/20</v>
      </c>
      <c r="AC452" s="206" t="str">
        <f t="shared" ca="1" si="44"/>
        <v>Q3</v>
      </c>
      <c r="AD452" s="206" t="str">
        <f t="shared" ca="1" si="44"/>
        <v>Mar</v>
      </c>
      <c r="AE452" s="649" t="str">
        <f ca="1">IFERROR(HLOOKUP($AB452&amp;$AD452,'NWC_FC_NON-NOOS'!$C$4:$Q$24,MATCH($Y452,'NWC_FC_NON-NOOS'!$B$4:$B$24,0),FALSE),"")</f>
        <v/>
      </c>
      <c r="AF452" s="650" t="str">
        <f ca="1">IFERROR(HLOOKUP($AB452&amp;$AD452,'NWC_FC_NON-NOOS'!$S$4:$AH$24,MATCH($Y452,'NWC_FC_NON-NOOS'!$S$4:$S$24,0),FALSE),"")</f>
        <v/>
      </c>
      <c r="AG452" s="650">
        <f ca="1">IFERROR(HLOOKUP($AB452&amp;$AD452,'NWC_FC_NON-NOOS'!$B$50:$U$70,MATCH($Y452,'NWC_FC_NON-NOOS'!$B$50:$B$70,0),FALSE),"")</f>
        <v>0</v>
      </c>
      <c r="AH452" s="650" t="str">
        <f ca="1">IFERROR(IF($AA452="NOOS",HLOOKUP(STOCK_OVERVIEW!$AB452&amp;STOCK_OVERVIEW!$AD452,PLANNING_FC!$BB$27:$BP$46,MATCH(STOCK_OVERVIEW!$Y452,PLANNING_FC!$BA$27:$BA$46,0),FALSE),HLOOKUP($AB452&amp;$AD452,PLANNING_FC!$BB$4:$BP$23,MATCH(STOCK_OVERVIEW!$Y452,PLANNING_FC!$BA$4:$BA$23,0),FALSE)),"")</f>
        <v/>
      </c>
      <c r="AI452" s="650" t="str">
        <f ca="1">IFERROR(IF($AA452="NOOS",HLOOKUP(STOCK_OVERVIEW!$AB452&amp;STOCK_OVERVIEW!$AD452,PLANNING_FC!$T$27:$AH$46,MATCH(STOCK_OVERVIEW!$Y452,PLANNING_FC!$B$27:$B$46,0),FALSE),HLOOKUP($AB452&amp;$AD452,PLANNING_FC!$T$4:$AH$23,MATCH(STOCK_OVERVIEW!$Y452,PLANNING_FC!$B$4:$B$23,0),FALSE)),"")</f>
        <v/>
      </c>
      <c r="AJ452" s="650" t="str">
        <f ca="1">IFERROR(IF($AA452="NOOS",HLOOKUP(STOCK_OVERVIEW!$AB452&amp;STOCK_OVERVIEW!$AD452,PLANNING_FC!$DA$27:$DO$46,MATCH(STOCK_OVERVIEW!$Y452,PLANNING_FC!$CZ$27:$CZ$46,0),FALSE),HLOOKUP($AB452&amp;$AD452,PLANNING_FC!$DA$4:$DO$23,MATCH(STOCK_OVERVIEW!$Y452,PLANNING_FC!$CZ$4:$CZ$23,0),FALSE)),"")</f>
        <v/>
      </c>
      <c r="AK452" s="651" t="str">
        <f ca="1">IFERROR(IF(AA452="NOOS",HLOOKUP(AB452&amp;AD452,PLANNING_FC!$AJ$27:$AY$47,MATCH(STOCK_OVERVIEW!Y452,PLANNING_FC!$AJ$27:$AJ$47,0),FALSE)*1000,HLOOKUP(AB452&amp;AD452,PLANNING_FC!$AJ$4:$AY$24,MATCH(STOCK_OVERVIEW!Y452,PLANNING_FC!$AJ$4:$AJ$24,0),FALSE)*1000),"")</f>
        <v/>
      </c>
    </row>
    <row r="453" spans="24:37" x14ac:dyDescent="0.25">
      <c r="X453" s="465" t="str">
        <f t="shared" si="43"/>
        <v>VM</v>
      </c>
      <c r="Y453" s="206" t="str">
        <f t="shared" si="43"/>
        <v>T-SHIRTS</v>
      </c>
      <c r="Z453" s="25" t="str">
        <f t="shared" ref="Z453:Z483" ca="1" si="45">X453&amp;Y453&amp;AB453&amp;AD453</f>
        <v>VMT-SHIRTS19/20Apr</v>
      </c>
      <c r="AA453" s="206" t="s">
        <v>197</v>
      </c>
      <c r="AB453" s="206" t="str">
        <f t="shared" ca="1" si="44"/>
        <v>19/20</v>
      </c>
      <c r="AC453" s="206" t="str">
        <f t="shared" ca="1" si="44"/>
        <v>Q3</v>
      </c>
      <c r="AD453" s="206" t="str">
        <f t="shared" ca="1" si="44"/>
        <v>Apr</v>
      </c>
      <c r="AE453" s="649" t="str">
        <f ca="1">IFERROR(HLOOKUP($AB453&amp;$AD453,'NWC_FC_NON-NOOS'!$C$4:$Q$24,MATCH($Y453,'NWC_FC_NON-NOOS'!$B$4:$B$24,0),FALSE),"")</f>
        <v/>
      </c>
      <c r="AF453" s="650" t="str">
        <f ca="1">IFERROR(HLOOKUP($AB453&amp;$AD453,'NWC_FC_NON-NOOS'!$S$4:$AH$24,MATCH($Y453,'NWC_FC_NON-NOOS'!$S$4:$S$24,0),FALSE),"")</f>
        <v/>
      </c>
      <c r="AG453" s="650">
        <f ca="1">IFERROR(HLOOKUP($AB453&amp;$AD453,'NWC_FC_NON-NOOS'!$B$50:$U$70,MATCH($Y453,'NWC_FC_NON-NOOS'!$B$50:$B$70,0),FALSE),"")</f>
        <v>0</v>
      </c>
      <c r="AH453" s="650" t="str">
        <f ca="1">IFERROR(IF($AA453="NOOS",HLOOKUP(STOCK_OVERVIEW!$AB453&amp;STOCK_OVERVIEW!$AD453,PLANNING_FC!$BB$27:$BP$46,MATCH(STOCK_OVERVIEW!$Y453,PLANNING_FC!$BA$27:$BA$46,0),FALSE),HLOOKUP($AB453&amp;$AD453,PLANNING_FC!$BB$4:$BP$23,MATCH(STOCK_OVERVIEW!$Y453,PLANNING_FC!$BA$4:$BA$23,0),FALSE)),"")</f>
        <v/>
      </c>
      <c r="AI453" s="650" t="str">
        <f ca="1">IFERROR(IF($AA453="NOOS",HLOOKUP(STOCK_OVERVIEW!$AB453&amp;STOCK_OVERVIEW!$AD453,PLANNING_FC!$T$27:$AH$46,MATCH(STOCK_OVERVIEW!$Y453,PLANNING_FC!$B$27:$B$46,0),FALSE),HLOOKUP($AB453&amp;$AD453,PLANNING_FC!$T$4:$AH$23,MATCH(STOCK_OVERVIEW!$Y453,PLANNING_FC!$B$4:$B$23,0),FALSE)),"")</f>
        <v/>
      </c>
      <c r="AJ453" s="650" t="str">
        <f ca="1">IFERROR(IF($AA453="NOOS",HLOOKUP(STOCK_OVERVIEW!$AB453&amp;STOCK_OVERVIEW!$AD453,PLANNING_FC!$DA$27:$DO$46,MATCH(STOCK_OVERVIEW!$Y453,PLANNING_FC!$CZ$27:$CZ$46,0),FALSE),HLOOKUP($AB453&amp;$AD453,PLANNING_FC!$DA$4:$DO$23,MATCH(STOCK_OVERVIEW!$Y453,PLANNING_FC!$CZ$4:$CZ$23,0),FALSE)),"")</f>
        <v/>
      </c>
      <c r="AK453" s="651" t="str">
        <f ca="1">IFERROR(IF(AA453="NOOS",HLOOKUP(AB453&amp;AD453,PLANNING_FC!$AJ$27:$AY$47,MATCH(STOCK_OVERVIEW!Y453,PLANNING_FC!$AJ$27:$AJ$47,0),FALSE)*1000,HLOOKUP(AB453&amp;AD453,PLANNING_FC!$AJ$4:$AY$24,MATCH(STOCK_OVERVIEW!Y453,PLANNING_FC!$AJ$4:$AJ$24,0),FALSE)*1000),"")</f>
        <v/>
      </c>
    </row>
    <row r="454" spans="24:37" x14ac:dyDescent="0.25">
      <c r="X454" s="465" t="str">
        <f t="shared" si="43"/>
        <v>VM</v>
      </c>
      <c r="Y454" s="206" t="str">
        <f t="shared" si="43"/>
        <v>T-SHIRTS &amp; TOPS</v>
      </c>
      <c r="Z454" s="25" t="str">
        <f t="shared" ca="1" si="45"/>
        <v>VMT-SHIRTS &amp; TOPS18/19Feb</v>
      </c>
      <c r="AA454" s="206" t="s">
        <v>197</v>
      </c>
      <c r="AB454" s="206" t="str">
        <f t="shared" ca="1" si="44"/>
        <v>18/19</v>
      </c>
      <c r="AC454" s="206" t="str">
        <f t="shared" ca="1" si="44"/>
        <v>Q3</v>
      </c>
      <c r="AD454" s="206" t="str">
        <f t="shared" ca="1" si="44"/>
        <v>Feb</v>
      </c>
      <c r="AE454" s="649">
        <f ca="1">IFERROR(HLOOKUP($AB454&amp;$AD454,'NWC_FC_NON-NOOS'!$C$4:$Q$24,MATCH($Y454,'NWC_FC_NON-NOOS'!$B$4:$B$24,0),FALSE),"")</f>
        <v>0</v>
      </c>
      <c r="AF454" s="650">
        <f ca="1">IFERROR(HLOOKUP($AB454&amp;$AD454,'NWC_FC_NON-NOOS'!$S$4:$AH$24,MATCH($Y454,'NWC_FC_NON-NOOS'!$S$4:$S$24,0),FALSE),"")</f>
        <v>0</v>
      </c>
      <c r="AG454" s="650">
        <f ca="1">IFERROR(HLOOKUP($AB454&amp;$AD454,'NWC_FC_NON-NOOS'!$B$50:$U$70,MATCH($Y454,'NWC_FC_NON-NOOS'!$B$50:$B$70,0),FALSE),"")</f>
        <v>0</v>
      </c>
      <c r="AH454" s="650">
        <f ca="1">IFERROR(IF($AA454="NOOS",HLOOKUP(STOCK_OVERVIEW!$AB454&amp;STOCK_OVERVIEW!$AD454,PLANNING_FC!$BB$27:$BP$46,MATCH(STOCK_OVERVIEW!$Y454,PLANNING_FC!$BA$27:$BA$46,0),FALSE),HLOOKUP($AB454&amp;$AD454,PLANNING_FC!$BB$4:$BP$23,MATCH(STOCK_OVERVIEW!$Y454,PLANNING_FC!$BA$4:$BA$23,0),FALSE)),"")</f>
        <v>0</v>
      </c>
      <c r="AI454" s="650">
        <f ca="1">IFERROR(IF($AA454="NOOS",HLOOKUP(STOCK_OVERVIEW!$AB454&amp;STOCK_OVERVIEW!$AD454,PLANNING_FC!$T$27:$AH$46,MATCH(STOCK_OVERVIEW!$Y454,PLANNING_FC!$B$27:$B$46,0),FALSE),HLOOKUP($AB454&amp;$AD454,PLANNING_FC!$T$4:$AH$23,MATCH(STOCK_OVERVIEW!$Y454,PLANNING_FC!$B$4:$B$23,0),FALSE)),"")</f>
        <v>0</v>
      </c>
      <c r="AJ454" s="650">
        <f ca="1">IFERROR(IF($AA454="NOOS",HLOOKUP(STOCK_OVERVIEW!$AB454&amp;STOCK_OVERVIEW!$AD454,PLANNING_FC!$DA$27:$DO$46,MATCH(STOCK_OVERVIEW!$Y454,PLANNING_FC!$CZ$27:$CZ$46,0),FALSE),HLOOKUP($AB454&amp;$AD454,PLANNING_FC!$DA$4:$DO$23,MATCH(STOCK_OVERVIEW!$Y454,PLANNING_FC!$CZ$4:$CZ$23,0),FALSE)),"")</f>
        <v>0</v>
      </c>
      <c r="AK454" s="651">
        <f ca="1">IFERROR(IF(AA454="NOOS",HLOOKUP(AB454&amp;AD454,PLANNING_FC!$AJ$27:$AY$47,MATCH(STOCK_OVERVIEW!Y454,PLANNING_FC!$AJ$27:$AJ$47,0),FALSE)*1000,HLOOKUP(AB454&amp;AD454,PLANNING_FC!$AJ$4:$AY$24,MATCH(STOCK_OVERVIEW!Y454,PLANNING_FC!$AJ$4:$AJ$24,0),FALSE)*1000),"")</f>
        <v>0</v>
      </c>
    </row>
    <row r="455" spans="24:37" x14ac:dyDescent="0.25">
      <c r="X455" s="465" t="str">
        <f t="shared" si="43"/>
        <v>VM</v>
      </c>
      <c r="Y455" s="206" t="str">
        <f t="shared" si="43"/>
        <v>T-SHIRTS &amp; TOPS</v>
      </c>
      <c r="Z455" s="25" t="str">
        <f t="shared" ca="1" si="45"/>
        <v>VMT-SHIRTS &amp; TOPS18/19Mar</v>
      </c>
      <c r="AA455" s="206" t="s">
        <v>197</v>
      </c>
      <c r="AB455" s="206" t="str">
        <f t="shared" ca="1" si="44"/>
        <v>18/19</v>
      </c>
      <c r="AC455" s="206" t="str">
        <f t="shared" ca="1" si="44"/>
        <v>Q3</v>
      </c>
      <c r="AD455" s="206" t="str">
        <f t="shared" ca="1" si="44"/>
        <v>Mar</v>
      </c>
      <c r="AE455" s="649">
        <f ca="1">IFERROR(HLOOKUP($AB455&amp;$AD455,'NWC_FC_NON-NOOS'!$C$4:$Q$24,MATCH($Y455,'NWC_FC_NON-NOOS'!$B$4:$B$24,0),FALSE),"")</f>
        <v>0</v>
      </c>
      <c r="AF455" s="650">
        <f ca="1">IFERROR(HLOOKUP($AB455&amp;$AD455,'NWC_FC_NON-NOOS'!$S$4:$AH$24,MATCH($Y455,'NWC_FC_NON-NOOS'!$S$4:$S$24,0),FALSE),"")</f>
        <v>0</v>
      </c>
      <c r="AG455" s="650">
        <f ca="1">IFERROR(HLOOKUP($AB455&amp;$AD455,'NWC_FC_NON-NOOS'!$B$50:$U$70,MATCH($Y455,'NWC_FC_NON-NOOS'!$B$50:$B$70,0),FALSE),"")</f>
        <v>0</v>
      </c>
      <c r="AH455" s="650">
        <f ca="1">IFERROR(IF($AA455="NOOS",HLOOKUP(STOCK_OVERVIEW!$AB455&amp;STOCK_OVERVIEW!$AD455,PLANNING_FC!$BB$27:$BP$46,MATCH(STOCK_OVERVIEW!$Y455,PLANNING_FC!$BA$27:$BA$46,0),FALSE),HLOOKUP($AB455&amp;$AD455,PLANNING_FC!$BB$4:$BP$23,MATCH(STOCK_OVERVIEW!$Y455,PLANNING_FC!$BA$4:$BA$23,0),FALSE)),"")</f>
        <v>0</v>
      </c>
      <c r="AI455" s="650">
        <f ca="1">IFERROR(IF($AA455="NOOS",HLOOKUP(STOCK_OVERVIEW!$AB455&amp;STOCK_OVERVIEW!$AD455,PLANNING_FC!$T$27:$AH$46,MATCH(STOCK_OVERVIEW!$Y455,PLANNING_FC!$B$27:$B$46,0),FALSE),HLOOKUP($AB455&amp;$AD455,PLANNING_FC!$T$4:$AH$23,MATCH(STOCK_OVERVIEW!$Y455,PLANNING_FC!$B$4:$B$23,0),FALSE)),"")</f>
        <v>0</v>
      </c>
      <c r="AJ455" s="650">
        <f ca="1">IFERROR(IF($AA455="NOOS",HLOOKUP(STOCK_OVERVIEW!$AB455&amp;STOCK_OVERVIEW!$AD455,PLANNING_FC!$DA$27:$DO$46,MATCH(STOCK_OVERVIEW!$Y455,PLANNING_FC!$CZ$27:$CZ$46,0),FALSE),HLOOKUP($AB455&amp;$AD455,PLANNING_FC!$DA$4:$DO$23,MATCH(STOCK_OVERVIEW!$Y455,PLANNING_FC!$CZ$4:$CZ$23,0),FALSE)),"")</f>
        <v>0</v>
      </c>
      <c r="AK455" s="651">
        <f ca="1">IFERROR(IF(AA455="NOOS",HLOOKUP(AB455&amp;AD455,PLANNING_FC!$AJ$27:$AY$47,MATCH(STOCK_OVERVIEW!Y455,PLANNING_FC!$AJ$27:$AJ$47,0),FALSE)*1000,HLOOKUP(AB455&amp;AD455,PLANNING_FC!$AJ$4:$AY$24,MATCH(STOCK_OVERVIEW!Y455,PLANNING_FC!$AJ$4:$AJ$24,0),FALSE)*1000),"")</f>
        <v>0</v>
      </c>
    </row>
    <row r="456" spans="24:37" x14ac:dyDescent="0.25">
      <c r="X456" s="465" t="str">
        <f t="shared" si="43"/>
        <v>VM</v>
      </c>
      <c r="Y456" s="206" t="str">
        <f t="shared" si="43"/>
        <v>T-SHIRTS &amp; TOPS</v>
      </c>
      <c r="Z456" s="25" t="str">
        <f t="shared" ca="1" si="45"/>
        <v>VMT-SHIRTS &amp; TOPS18/19Apr</v>
      </c>
      <c r="AA456" s="206" t="s">
        <v>197</v>
      </c>
      <c r="AB456" s="206" t="str">
        <f t="shared" ca="1" si="44"/>
        <v>18/19</v>
      </c>
      <c r="AC456" s="206" t="str">
        <f t="shared" ca="1" si="44"/>
        <v>Q3</v>
      </c>
      <c r="AD456" s="206" t="str">
        <f t="shared" ca="1" si="44"/>
        <v>Apr</v>
      </c>
      <c r="AE456" s="649">
        <f ca="1">IFERROR(HLOOKUP($AB456&amp;$AD456,'NWC_FC_NON-NOOS'!$C$4:$Q$24,MATCH($Y456,'NWC_FC_NON-NOOS'!$B$4:$B$24,0),FALSE),"")</f>
        <v>0</v>
      </c>
      <c r="AF456" s="650">
        <f ca="1">IFERROR(HLOOKUP($AB456&amp;$AD456,'NWC_FC_NON-NOOS'!$S$4:$AH$24,MATCH($Y456,'NWC_FC_NON-NOOS'!$S$4:$S$24,0),FALSE),"")</f>
        <v>0</v>
      </c>
      <c r="AG456" s="650">
        <f ca="1">IFERROR(HLOOKUP($AB456&amp;$AD456,'NWC_FC_NON-NOOS'!$B$50:$U$70,MATCH($Y456,'NWC_FC_NON-NOOS'!$B$50:$B$70,0),FALSE),"")</f>
        <v>0</v>
      </c>
      <c r="AH456" s="650">
        <f ca="1">IFERROR(IF($AA456="NOOS",HLOOKUP(STOCK_OVERVIEW!$AB456&amp;STOCK_OVERVIEW!$AD456,PLANNING_FC!$BB$27:$BP$46,MATCH(STOCK_OVERVIEW!$Y456,PLANNING_FC!$BA$27:$BA$46,0),FALSE),HLOOKUP($AB456&amp;$AD456,PLANNING_FC!$BB$4:$BP$23,MATCH(STOCK_OVERVIEW!$Y456,PLANNING_FC!$BA$4:$BA$23,0),FALSE)),"")</f>
        <v>0</v>
      </c>
      <c r="AI456" s="650">
        <f ca="1">IFERROR(IF($AA456="NOOS",HLOOKUP(STOCK_OVERVIEW!$AB456&amp;STOCK_OVERVIEW!$AD456,PLANNING_FC!$T$27:$AH$46,MATCH(STOCK_OVERVIEW!$Y456,PLANNING_FC!$B$27:$B$46,0),FALSE),HLOOKUP($AB456&amp;$AD456,PLANNING_FC!$T$4:$AH$23,MATCH(STOCK_OVERVIEW!$Y456,PLANNING_FC!$B$4:$B$23,0),FALSE)),"")</f>
        <v>0</v>
      </c>
      <c r="AJ456" s="650">
        <f ca="1">IFERROR(IF($AA456="NOOS",HLOOKUP(STOCK_OVERVIEW!$AB456&amp;STOCK_OVERVIEW!$AD456,PLANNING_FC!$DA$27:$DO$46,MATCH(STOCK_OVERVIEW!$Y456,PLANNING_FC!$CZ$27:$CZ$46,0),FALSE),HLOOKUP($AB456&amp;$AD456,PLANNING_FC!$DA$4:$DO$23,MATCH(STOCK_OVERVIEW!$Y456,PLANNING_FC!$CZ$4:$CZ$23,0),FALSE)),"")</f>
        <v>63159</v>
      </c>
      <c r="AK456" s="651">
        <f ca="1">IFERROR(IF(AA456="NOOS",HLOOKUP(AB456&amp;AD456,PLANNING_FC!$AJ$27:$AY$47,MATCH(STOCK_OVERVIEW!Y456,PLANNING_FC!$AJ$27:$AJ$47,0),FALSE)*1000,HLOOKUP(AB456&amp;AD456,PLANNING_FC!$AJ$4:$AY$24,MATCH(STOCK_OVERVIEW!Y456,PLANNING_FC!$AJ$4:$AJ$24,0),FALSE)*1000),"")</f>
        <v>0</v>
      </c>
    </row>
    <row r="457" spans="24:37" x14ac:dyDescent="0.25">
      <c r="X457" s="465" t="str">
        <f t="shared" si="43"/>
        <v>VM</v>
      </c>
      <c r="Y457" s="206" t="str">
        <f t="shared" si="43"/>
        <v>T-SHIRTS &amp; TOPS</v>
      </c>
      <c r="Z457" s="25" t="str">
        <f t="shared" ca="1" si="45"/>
        <v>VMT-SHIRTS &amp; TOPS18/19May</v>
      </c>
      <c r="AA457" s="206" t="s">
        <v>197</v>
      </c>
      <c r="AB457" s="206" t="str">
        <f t="shared" ca="1" si="44"/>
        <v>18/19</v>
      </c>
      <c r="AC457" s="206" t="str">
        <f t="shared" ca="1" si="44"/>
        <v>Q4</v>
      </c>
      <c r="AD457" s="206" t="str">
        <f t="shared" ca="1" si="44"/>
        <v>May</v>
      </c>
      <c r="AE457" s="649">
        <f ca="1">IFERROR(HLOOKUP($AB457&amp;$AD457,'NWC_FC_NON-NOOS'!$C$4:$Q$24,MATCH($Y457,'NWC_FC_NON-NOOS'!$B$4:$B$24,0),FALSE),"")</f>
        <v>0</v>
      </c>
      <c r="AF457" s="650">
        <f ca="1">IFERROR(HLOOKUP($AB457&amp;$AD457,'NWC_FC_NON-NOOS'!$S$4:$AH$24,MATCH($Y457,'NWC_FC_NON-NOOS'!$S$4:$S$24,0),FALSE),"")</f>
        <v>0</v>
      </c>
      <c r="AG457" s="650">
        <f ca="1">IFERROR(HLOOKUP($AB457&amp;$AD457,'NWC_FC_NON-NOOS'!$B$50:$U$70,MATCH($Y457,'NWC_FC_NON-NOOS'!$B$50:$B$70,0),FALSE),"")</f>
        <v>0</v>
      </c>
      <c r="AH457" s="650">
        <f ca="1">IFERROR(IF($AA457="NOOS",HLOOKUP(STOCK_OVERVIEW!$AB457&amp;STOCK_OVERVIEW!$AD457,PLANNING_FC!$BB$27:$BP$46,MATCH(STOCK_OVERVIEW!$Y457,PLANNING_FC!$BA$27:$BA$46,0),FALSE),HLOOKUP($AB457&amp;$AD457,PLANNING_FC!$BB$4:$BP$23,MATCH(STOCK_OVERVIEW!$Y457,PLANNING_FC!$BA$4:$BA$23,0),FALSE)),"")</f>
        <v>0</v>
      </c>
      <c r="AI457" s="650">
        <f ca="1">IFERROR(IF($AA457="NOOS",HLOOKUP(STOCK_OVERVIEW!$AB457&amp;STOCK_OVERVIEW!$AD457,PLANNING_FC!$T$27:$AH$46,MATCH(STOCK_OVERVIEW!$Y457,PLANNING_FC!$B$27:$B$46,0),FALSE),HLOOKUP($AB457&amp;$AD457,PLANNING_FC!$T$4:$AH$23,MATCH(STOCK_OVERVIEW!$Y457,PLANNING_FC!$B$4:$B$23,0),FALSE)),"")</f>
        <v>0</v>
      </c>
      <c r="AJ457" s="650">
        <f ca="1">IFERROR(IF($AA457="NOOS",HLOOKUP(STOCK_OVERVIEW!$AB457&amp;STOCK_OVERVIEW!$AD457,PLANNING_FC!$DA$27:$DO$46,MATCH(STOCK_OVERVIEW!$Y457,PLANNING_FC!$CZ$27:$CZ$46,0),FALSE),HLOOKUP($AB457&amp;$AD457,PLANNING_FC!$DA$4:$DO$23,MATCH(STOCK_OVERVIEW!$Y457,PLANNING_FC!$CZ$4:$CZ$23,0),FALSE)),"")</f>
        <v>66453</v>
      </c>
      <c r="AK457" s="651">
        <f ca="1">IFERROR(IF(AA457="NOOS",HLOOKUP(AB457&amp;AD457,PLANNING_FC!$AJ$27:$AY$47,MATCH(STOCK_OVERVIEW!Y457,PLANNING_FC!$AJ$27:$AJ$47,0),FALSE)*1000,HLOOKUP(AB457&amp;AD457,PLANNING_FC!$AJ$4:$AY$24,MATCH(STOCK_OVERVIEW!Y457,PLANNING_FC!$AJ$4:$AJ$24,0),FALSE)*1000),"")</f>
        <v>0</v>
      </c>
    </row>
    <row r="458" spans="24:37" x14ac:dyDescent="0.25">
      <c r="X458" s="465" t="str">
        <f t="shared" si="43"/>
        <v>VM</v>
      </c>
      <c r="Y458" s="206" t="str">
        <f t="shared" si="43"/>
        <v>T-SHIRTS &amp; TOPS</v>
      </c>
      <c r="Z458" s="25" t="str">
        <f t="shared" ca="1" si="45"/>
        <v>VMT-SHIRTS &amp; TOPS18/19Jun</v>
      </c>
      <c r="AA458" s="206" t="s">
        <v>197</v>
      </c>
      <c r="AB458" s="206" t="str">
        <f t="shared" ca="1" si="44"/>
        <v>18/19</v>
      </c>
      <c r="AC458" s="206" t="str">
        <f t="shared" ca="1" si="44"/>
        <v>Q4</v>
      </c>
      <c r="AD458" s="206" t="str">
        <f t="shared" ca="1" si="44"/>
        <v>Jun</v>
      </c>
      <c r="AE458" s="649">
        <f ca="1">IFERROR(HLOOKUP($AB458&amp;$AD458,'NWC_FC_NON-NOOS'!$C$4:$Q$24,MATCH($Y458,'NWC_FC_NON-NOOS'!$B$4:$B$24,0),FALSE),"")</f>
        <v>0</v>
      </c>
      <c r="AF458" s="650">
        <f ca="1">IFERROR(HLOOKUP($AB458&amp;$AD458,'NWC_FC_NON-NOOS'!$S$4:$AH$24,MATCH($Y458,'NWC_FC_NON-NOOS'!$S$4:$S$24,0),FALSE),"")</f>
        <v>0</v>
      </c>
      <c r="AG458" s="650">
        <f ca="1">IFERROR(HLOOKUP($AB458&amp;$AD458,'NWC_FC_NON-NOOS'!$B$50:$U$70,MATCH($Y458,'NWC_FC_NON-NOOS'!$B$50:$B$70,0),FALSE),"")</f>
        <v>0</v>
      </c>
      <c r="AH458" s="650">
        <f ca="1">IFERROR(IF($AA458="NOOS",HLOOKUP(STOCK_OVERVIEW!$AB458&amp;STOCK_OVERVIEW!$AD458,PLANNING_FC!$BB$27:$BP$46,MATCH(STOCK_OVERVIEW!$Y458,PLANNING_FC!$BA$27:$BA$46,0),FALSE),HLOOKUP($AB458&amp;$AD458,PLANNING_FC!$BB$4:$BP$23,MATCH(STOCK_OVERVIEW!$Y458,PLANNING_FC!$BA$4:$BA$23,0),FALSE)),"")</f>
        <v>0</v>
      </c>
      <c r="AI458" s="650">
        <f ca="1">IFERROR(IF($AA458="NOOS",HLOOKUP(STOCK_OVERVIEW!$AB458&amp;STOCK_OVERVIEW!$AD458,PLANNING_FC!$T$27:$AH$46,MATCH(STOCK_OVERVIEW!$Y458,PLANNING_FC!$B$27:$B$46,0),FALSE),HLOOKUP($AB458&amp;$AD458,PLANNING_FC!$T$4:$AH$23,MATCH(STOCK_OVERVIEW!$Y458,PLANNING_FC!$B$4:$B$23,0),FALSE)),"")</f>
        <v>0</v>
      </c>
      <c r="AJ458" s="650">
        <f ca="1">IFERROR(IF($AA458="NOOS",HLOOKUP(STOCK_OVERVIEW!$AB458&amp;STOCK_OVERVIEW!$AD458,PLANNING_FC!$DA$27:$DO$46,MATCH(STOCK_OVERVIEW!$Y458,PLANNING_FC!$CZ$27:$CZ$46,0),FALSE),HLOOKUP($AB458&amp;$AD458,PLANNING_FC!$DA$4:$DO$23,MATCH(STOCK_OVERVIEW!$Y458,PLANNING_FC!$CZ$4:$CZ$23,0),FALSE)),"")</f>
        <v>72016</v>
      </c>
      <c r="AK458" s="651">
        <f ca="1">IFERROR(IF(AA458="NOOS",HLOOKUP(AB458&amp;AD458,PLANNING_FC!$AJ$27:$AY$47,MATCH(STOCK_OVERVIEW!Y458,PLANNING_FC!$AJ$27:$AJ$47,0),FALSE)*1000,HLOOKUP(AB458&amp;AD458,PLANNING_FC!$AJ$4:$AY$24,MATCH(STOCK_OVERVIEW!Y458,PLANNING_FC!$AJ$4:$AJ$24,0),FALSE)*1000),"")</f>
        <v>0</v>
      </c>
    </row>
    <row r="459" spans="24:37" x14ac:dyDescent="0.25">
      <c r="X459" s="465" t="str">
        <f t="shared" si="43"/>
        <v>VM</v>
      </c>
      <c r="Y459" s="206" t="str">
        <f t="shared" si="43"/>
        <v>T-SHIRTS &amp; TOPS</v>
      </c>
      <c r="Z459" s="25" t="str">
        <f t="shared" ca="1" si="45"/>
        <v>VMT-SHIRTS &amp; TOPS18/19Jul</v>
      </c>
      <c r="AA459" s="206" t="s">
        <v>197</v>
      </c>
      <c r="AB459" s="206" t="str">
        <f t="shared" ca="1" si="44"/>
        <v>18/19</v>
      </c>
      <c r="AC459" s="206" t="str">
        <f t="shared" ca="1" si="44"/>
        <v>Q4</v>
      </c>
      <c r="AD459" s="206" t="str">
        <f t="shared" ca="1" si="44"/>
        <v>Jul</v>
      </c>
      <c r="AE459" s="649">
        <f ca="1">IFERROR(HLOOKUP($AB459&amp;$AD459,'NWC_FC_NON-NOOS'!$C$4:$Q$24,MATCH($Y459,'NWC_FC_NON-NOOS'!$B$4:$B$24,0),FALSE),"")</f>
        <v>0</v>
      </c>
      <c r="AF459" s="650">
        <f ca="1">IFERROR(HLOOKUP($AB459&amp;$AD459,'NWC_FC_NON-NOOS'!$S$4:$AH$24,MATCH($Y459,'NWC_FC_NON-NOOS'!$S$4:$S$24,0),FALSE),"")</f>
        <v>0</v>
      </c>
      <c r="AG459" s="650">
        <f ca="1">IFERROR(HLOOKUP($AB459&amp;$AD459,'NWC_FC_NON-NOOS'!$B$50:$U$70,MATCH($Y459,'NWC_FC_NON-NOOS'!$B$50:$B$70,0),FALSE),"")</f>
        <v>0</v>
      </c>
      <c r="AH459" s="650">
        <f ca="1">IFERROR(IF($AA459="NOOS",HLOOKUP(STOCK_OVERVIEW!$AB459&amp;STOCK_OVERVIEW!$AD459,PLANNING_FC!$BB$27:$BP$46,MATCH(STOCK_OVERVIEW!$Y459,PLANNING_FC!$BA$27:$BA$46,0),FALSE),HLOOKUP($AB459&amp;$AD459,PLANNING_FC!$BB$4:$BP$23,MATCH(STOCK_OVERVIEW!$Y459,PLANNING_FC!$BA$4:$BA$23,0),FALSE)),"")</f>
        <v>0</v>
      </c>
      <c r="AI459" s="650">
        <f ca="1">IFERROR(IF($AA459="NOOS",HLOOKUP(STOCK_OVERVIEW!$AB459&amp;STOCK_OVERVIEW!$AD459,PLANNING_FC!$T$27:$AH$46,MATCH(STOCK_OVERVIEW!$Y459,PLANNING_FC!$B$27:$B$46,0),FALSE),HLOOKUP($AB459&amp;$AD459,PLANNING_FC!$T$4:$AH$23,MATCH(STOCK_OVERVIEW!$Y459,PLANNING_FC!$B$4:$B$23,0),FALSE)),"")</f>
        <v>0</v>
      </c>
      <c r="AJ459" s="650">
        <f ca="1">IFERROR(IF($AA459="NOOS",HLOOKUP(STOCK_OVERVIEW!$AB459&amp;STOCK_OVERVIEW!$AD459,PLANNING_FC!$DA$27:$DO$46,MATCH(STOCK_OVERVIEW!$Y459,PLANNING_FC!$CZ$27:$CZ$46,0),FALSE),HLOOKUP($AB459&amp;$AD459,PLANNING_FC!$DA$4:$DO$23,MATCH(STOCK_OVERVIEW!$Y459,PLANNING_FC!$CZ$4:$CZ$23,0),FALSE)),"")</f>
        <v>73595</v>
      </c>
      <c r="AK459" s="651">
        <f ca="1">IFERROR(IF(AA459="NOOS",HLOOKUP(AB459&amp;AD459,PLANNING_FC!$AJ$27:$AY$47,MATCH(STOCK_OVERVIEW!Y459,PLANNING_FC!$AJ$27:$AJ$47,0),FALSE)*1000,HLOOKUP(AB459&amp;AD459,PLANNING_FC!$AJ$4:$AY$24,MATCH(STOCK_OVERVIEW!Y459,PLANNING_FC!$AJ$4:$AJ$24,0),FALSE)*1000),"")</f>
        <v>0</v>
      </c>
    </row>
    <row r="460" spans="24:37" x14ac:dyDescent="0.25">
      <c r="X460" s="465" t="str">
        <f t="shared" si="43"/>
        <v>VM</v>
      </c>
      <c r="Y460" s="206" t="str">
        <f t="shared" si="43"/>
        <v>T-SHIRTS &amp; TOPS</v>
      </c>
      <c r="Z460" s="25" t="str">
        <f t="shared" ca="1" si="45"/>
        <v>VMT-SHIRTS &amp; TOPS19/20Aug</v>
      </c>
      <c r="AA460" s="206" t="s">
        <v>197</v>
      </c>
      <c r="AB460" s="206" t="str">
        <f t="shared" ca="1" si="44"/>
        <v>19/20</v>
      </c>
      <c r="AC460" s="206" t="str">
        <f t="shared" ca="1" si="44"/>
        <v>Q1</v>
      </c>
      <c r="AD460" s="206" t="str">
        <f t="shared" ca="1" si="44"/>
        <v>Aug</v>
      </c>
      <c r="AE460" s="649">
        <f ca="1">IFERROR(HLOOKUP($AB460&amp;$AD460,'NWC_FC_NON-NOOS'!$C$4:$Q$24,MATCH($Y460,'NWC_FC_NON-NOOS'!$B$4:$B$24,0),FALSE),"")</f>
        <v>0</v>
      </c>
      <c r="AF460" s="650">
        <f ca="1">IFERROR(HLOOKUP($AB460&amp;$AD460,'NWC_FC_NON-NOOS'!$S$4:$AH$24,MATCH($Y460,'NWC_FC_NON-NOOS'!$S$4:$S$24,0),FALSE),"")</f>
        <v>0</v>
      </c>
      <c r="AG460" s="650">
        <f ca="1">IFERROR(HLOOKUP($AB460&amp;$AD460,'NWC_FC_NON-NOOS'!$B$50:$U$70,MATCH($Y460,'NWC_FC_NON-NOOS'!$B$50:$B$70,0),FALSE),"")</f>
        <v>0</v>
      </c>
      <c r="AH460" s="650">
        <f ca="1">IFERROR(IF($AA460="NOOS",HLOOKUP(STOCK_OVERVIEW!$AB460&amp;STOCK_OVERVIEW!$AD460,PLANNING_FC!$BB$27:$BP$46,MATCH(STOCK_OVERVIEW!$Y460,PLANNING_FC!$BA$27:$BA$46,0),FALSE),HLOOKUP($AB460&amp;$AD460,PLANNING_FC!$BB$4:$BP$23,MATCH(STOCK_OVERVIEW!$Y460,PLANNING_FC!$BA$4:$BA$23,0),FALSE)),"")</f>
        <v>0</v>
      </c>
      <c r="AI460" s="650">
        <f ca="1">IFERROR(IF($AA460="NOOS",HLOOKUP(STOCK_OVERVIEW!$AB460&amp;STOCK_OVERVIEW!$AD460,PLANNING_FC!$T$27:$AH$46,MATCH(STOCK_OVERVIEW!$Y460,PLANNING_FC!$B$27:$B$46,0),FALSE),HLOOKUP($AB460&amp;$AD460,PLANNING_FC!$T$4:$AH$23,MATCH(STOCK_OVERVIEW!$Y460,PLANNING_FC!$B$4:$B$23,0),FALSE)),"")</f>
        <v>0</v>
      </c>
      <c r="AJ460" s="650">
        <f ca="1">IFERROR(IF($AA460="NOOS",HLOOKUP(STOCK_OVERVIEW!$AB460&amp;STOCK_OVERVIEW!$AD460,PLANNING_FC!$DA$27:$DO$46,MATCH(STOCK_OVERVIEW!$Y460,PLANNING_FC!$CZ$27:$CZ$46,0),FALSE),HLOOKUP($AB460&amp;$AD460,PLANNING_FC!$DA$4:$DO$23,MATCH(STOCK_OVERVIEW!$Y460,PLANNING_FC!$CZ$4:$CZ$23,0),FALSE)),"")</f>
        <v>73595</v>
      </c>
      <c r="AK460" s="651">
        <f ca="1">IFERROR(IF(AA460="NOOS",HLOOKUP(AB460&amp;AD460,PLANNING_FC!$AJ$27:$AY$47,MATCH(STOCK_OVERVIEW!Y460,PLANNING_FC!$AJ$27:$AJ$47,0),FALSE)*1000,HLOOKUP(AB460&amp;AD460,PLANNING_FC!$AJ$4:$AY$24,MATCH(STOCK_OVERVIEW!Y460,PLANNING_FC!$AJ$4:$AJ$24,0),FALSE)*1000),"")</f>
        <v>0</v>
      </c>
    </row>
    <row r="461" spans="24:37" x14ac:dyDescent="0.25">
      <c r="X461" s="465" t="str">
        <f t="shared" si="43"/>
        <v>VM</v>
      </c>
      <c r="Y461" s="206" t="str">
        <f t="shared" si="43"/>
        <v>T-SHIRTS &amp; TOPS</v>
      </c>
      <c r="Z461" s="25" t="str">
        <f t="shared" ca="1" si="45"/>
        <v>VMT-SHIRTS &amp; TOPS19/20Sep</v>
      </c>
      <c r="AA461" s="206" t="s">
        <v>197</v>
      </c>
      <c r="AB461" s="206" t="str">
        <f t="shared" ca="1" si="44"/>
        <v>19/20</v>
      </c>
      <c r="AC461" s="206" t="str">
        <f t="shared" ca="1" si="44"/>
        <v>Q1</v>
      </c>
      <c r="AD461" s="206" t="str">
        <f t="shared" ca="1" si="44"/>
        <v>Sep</v>
      </c>
      <c r="AE461" s="649">
        <f ca="1">IFERROR(HLOOKUP($AB461&amp;$AD461,'NWC_FC_NON-NOOS'!$C$4:$Q$24,MATCH($Y461,'NWC_FC_NON-NOOS'!$B$4:$B$24,0),FALSE),"")</f>
        <v>0</v>
      </c>
      <c r="AF461" s="650">
        <f ca="1">IFERROR(HLOOKUP($AB461&amp;$AD461,'NWC_FC_NON-NOOS'!$S$4:$AH$24,MATCH($Y461,'NWC_FC_NON-NOOS'!$S$4:$S$24,0),FALSE),"")</f>
        <v>0</v>
      </c>
      <c r="AG461" s="650">
        <f ca="1">IFERROR(HLOOKUP($AB461&amp;$AD461,'NWC_FC_NON-NOOS'!$B$50:$U$70,MATCH($Y461,'NWC_FC_NON-NOOS'!$B$50:$B$70,0),FALSE),"")</f>
        <v>0</v>
      </c>
      <c r="AH461" s="650">
        <f ca="1">IFERROR(IF($AA461="NOOS",HLOOKUP(STOCK_OVERVIEW!$AB461&amp;STOCK_OVERVIEW!$AD461,PLANNING_FC!$BB$27:$BP$46,MATCH(STOCK_OVERVIEW!$Y461,PLANNING_FC!$BA$27:$BA$46,0),FALSE),HLOOKUP($AB461&amp;$AD461,PLANNING_FC!$BB$4:$BP$23,MATCH(STOCK_OVERVIEW!$Y461,PLANNING_FC!$BA$4:$BA$23,0),FALSE)),"")</f>
        <v>0</v>
      </c>
      <c r="AI461" s="650">
        <f ca="1">IFERROR(IF($AA461="NOOS",HLOOKUP(STOCK_OVERVIEW!$AB461&amp;STOCK_OVERVIEW!$AD461,PLANNING_FC!$T$27:$AH$46,MATCH(STOCK_OVERVIEW!$Y461,PLANNING_FC!$B$27:$B$46,0),FALSE),HLOOKUP($AB461&amp;$AD461,PLANNING_FC!$T$4:$AH$23,MATCH(STOCK_OVERVIEW!$Y461,PLANNING_FC!$B$4:$B$23,0),FALSE)),"")</f>
        <v>0</v>
      </c>
      <c r="AJ461" s="650">
        <f ca="1">IFERROR(IF($AA461="NOOS",HLOOKUP(STOCK_OVERVIEW!$AB461&amp;STOCK_OVERVIEW!$AD461,PLANNING_FC!$DA$27:$DO$46,MATCH(STOCK_OVERVIEW!$Y461,PLANNING_FC!$CZ$27:$CZ$46,0),FALSE),HLOOKUP($AB461&amp;$AD461,PLANNING_FC!$DA$4:$DO$23,MATCH(STOCK_OVERVIEW!$Y461,PLANNING_FC!$CZ$4:$CZ$23,0),FALSE)),"")</f>
        <v>73595</v>
      </c>
      <c r="AK461" s="651">
        <f ca="1">IFERROR(IF(AA461="NOOS",HLOOKUP(AB461&amp;AD461,PLANNING_FC!$AJ$27:$AY$47,MATCH(STOCK_OVERVIEW!Y461,PLANNING_FC!$AJ$27:$AJ$47,0),FALSE)*1000,HLOOKUP(AB461&amp;AD461,PLANNING_FC!$AJ$4:$AY$24,MATCH(STOCK_OVERVIEW!Y461,PLANNING_FC!$AJ$4:$AJ$24,0),FALSE)*1000),"")</f>
        <v>0</v>
      </c>
    </row>
    <row r="462" spans="24:37" x14ac:dyDescent="0.25">
      <c r="X462" s="465" t="str">
        <f t="shared" si="43"/>
        <v>VM</v>
      </c>
      <c r="Y462" s="206" t="str">
        <f t="shared" si="43"/>
        <v>T-SHIRTS &amp; TOPS</v>
      </c>
      <c r="Z462" s="25" t="str">
        <f t="shared" ca="1" si="45"/>
        <v>VMT-SHIRTS &amp; TOPS19/20Oct</v>
      </c>
      <c r="AA462" s="206" t="s">
        <v>197</v>
      </c>
      <c r="AB462" s="206" t="str">
        <f t="shared" ca="1" si="44"/>
        <v>19/20</v>
      </c>
      <c r="AC462" s="206" t="str">
        <f t="shared" ca="1" si="44"/>
        <v>Q1</v>
      </c>
      <c r="AD462" s="206" t="str">
        <f t="shared" ca="1" si="44"/>
        <v>Oct</v>
      </c>
      <c r="AE462" s="649">
        <f ca="1">IFERROR(HLOOKUP($AB462&amp;$AD462,'NWC_FC_NON-NOOS'!$C$4:$Q$24,MATCH($Y462,'NWC_FC_NON-NOOS'!$B$4:$B$24,0),FALSE),"")</f>
        <v>0</v>
      </c>
      <c r="AF462" s="650">
        <f ca="1">IFERROR(HLOOKUP($AB462&amp;$AD462,'NWC_FC_NON-NOOS'!$S$4:$AH$24,MATCH($Y462,'NWC_FC_NON-NOOS'!$S$4:$S$24,0),FALSE),"")</f>
        <v>0</v>
      </c>
      <c r="AG462" s="650">
        <f ca="1">IFERROR(HLOOKUP($AB462&amp;$AD462,'NWC_FC_NON-NOOS'!$B$50:$U$70,MATCH($Y462,'NWC_FC_NON-NOOS'!$B$50:$B$70,0),FALSE),"")</f>
        <v>0</v>
      </c>
      <c r="AH462" s="650">
        <f ca="1">IFERROR(IF($AA462="NOOS",HLOOKUP(STOCK_OVERVIEW!$AB462&amp;STOCK_OVERVIEW!$AD462,PLANNING_FC!$BB$27:$BP$46,MATCH(STOCK_OVERVIEW!$Y462,PLANNING_FC!$BA$27:$BA$46,0),FALSE),HLOOKUP($AB462&amp;$AD462,PLANNING_FC!$BB$4:$BP$23,MATCH(STOCK_OVERVIEW!$Y462,PLANNING_FC!$BA$4:$BA$23,0),FALSE)),"")</f>
        <v>0</v>
      </c>
      <c r="AI462" s="650">
        <f ca="1">IFERROR(IF($AA462="NOOS",HLOOKUP(STOCK_OVERVIEW!$AB462&amp;STOCK_OVERVIEW!$AD462,PLANNING_FC!$T$27:$AH$46,MATCH(STOCK_OVERVIEW!$Y462,PLANNING_FC!$B$27:$B$46,0),FALSE),HLOOKUP($AB462&amp;$AD462,PLANNING_FC!$T$4:$AH$23,MATCH(STOCK_OVERVIEW!$Y462,PLANNING_FC!$B$4:$B$23,0),FALSE)),"")</f>
        <v>0</v>
      </c>
      <c r="AJ462" s="650">
        <f ca="1">IFERROR(IF($AA462="NOOS",HLOOKUP(STOCK_OVERVIEW!$AB462&amp;STOCK_OVERVIEW!$AD462,PLANNING_FC!$DA$27:$DO$46,MATCH(STOCK_OVERVIEW!$Y462,PLANNING_FC!$CZ$27:$CZ$46,0),FALSE),HLOOKUP($AB462&amp;$AD462,PLANNING_FC!$DA$4:$DO$23,MATCH(STOCK_OVERVIEW!$Y462,PLANNING_FC!$CZ$4:$CZ$23,0),FALSE)),"")</f>
        <v>73595</v>
      </c>
      <c r="AK462" s="651">
        <f ca="1">IFERROR(IF(AA462="NOOS",HLOOKUP(AB462&amp;AD462,PLANNING_FC!$AJ$27:$AY$47,MATCH(STOCK_OVERVIEW!Y462,PLANNING_FC!$AJ$27:$AJ$47,0),FALSE)*1000,HLOOKUP(AB462&amp;AD462,PLANNING_FC!$AJ$4:$AY$24,MATCH(STOCK_OVERVIEW!Y462,PLANNING_FC!$AJ$4:$AJ$24,0),FALSE)*1000),"")</f>
        <v>0</v>
      </c>
    </row>
    <row r="463" spans="24:37" x14ac:dyDescent="0.25">
      <c r="X463" s="465" t="str">
        <f t="shared" si="43"/>
        <v>VM</v>
      </c>
      <c r="Y463" s="206" t="str">
        <f t="shared" si="43"/>
        <v>T-SHIRTS &amp; TOPS</v>
      </c>
      <c r="Z463" s="25" t="str">
        <f t="shared" ca="1" si="45"/>
        <v>VMT-SHIRTS &amp; TOPS19/20Nov</v>
      </c>
      <c r="AA463" s="206" t="s">
        <v>197</v>
      </c>
      <c r="AB463" s="206" t="str">
        <f t="shared" ca="1" si="44"/>
        <v>19/20</v>
      </c>
      <c r="AC463" s="206" t="str">
        <f t="shared" ca="1" si="44"/>
        <v>Q2</v>
      </c>
      <c r="AD463" s="206" t="str">
        <f t="shared" ca="1" si="44"/>
        <v>Nov</v>
      </c>
      <c r="AE463" s="649">
        <f ca="1">IFERROR(HLOOKUP($AB463&amp;$AD463,'NWC_FC_NON-NOOS'!$C$4:$Q$24,MATCH($Y463,'NWC_FC_NON-NOOS'!$B$4:$B$24,0),FALSE),"")</f>
        <v>0</v>
      </c>
      <c r="AF463" s="650">
        <f ca="1">IFERROR(HLOOKUP($AB463&amp;$AD463,'NWC_FC_NON-NOOS'!$S$4:$AH$24,MATCH($Y463,'NWC_FC_NON-NOOS'!$S$4:$S$24,0),FALSE),"")</f>
        <v>0</v>
      </c>
      <c r="AG463" s="650">
        <f ca="1">IFERROR(HLOOKUP($AB463&amp;$AD463,'NWC_FC_NON-NOOS'!$B$50:$U$70,MATCH($Y463,'NWC_FC_NON-NOOS'!$B$50:$B$70,0),FALSE),"")</f>
        <v>0</v>
      </c>
      <c r="AH463" s="650">
        <f ca="1">IFERROR(IF($AA463="NOOS",HLOOKUP(STOCK_OVERVIEW!$AB463&amp;STOCK_OVERVIEW!$AD463,PLANNING_FC!$BB$27:$BP$46,MATCH(STOCK_OVERVIEW!$Y463,PLANNING_FC!$BA$27:$BA$46,0),FALSE),HLOOKUP($AB463&amp;$AD463,PLANNING_FC!$BB$4:$BP$23,MATCH(STOCK_OVERVIEW!$Y463,PLANNING_FC!$BA$4:$BA$23,0),FALSE)),"")</f>
        <v>0</v>
      </c>
      <c r="AI463" s="650">
        <f ca="1">IFERROR(IF($AA463="NOOS",HLOOKUP(STOCK_OVERVIEW!$AB463&amp;STOCK_OVERVIEW!$AD463,PLANNING_FC!$T$27:$AH$46,MATCH(STOCK_OVERVIEW!$Y463,PLANNING_FC!$B$27:$B$46,0),FALSE),HLOOKUP($AB463&amp;$AD463,PLANNING_FC!$T$4:$AH$23,MATCH(STOCK_OVERVIEW!$Y463,PLANNING_FC!$B$4:$B$23,0),FALSE)),"")</f>
        <v>0</v>
      </c>
      <c r="AJ463" s="650">
        <f ca="1">IFERROR(IF($AA463="NOOS",HLOOKUP(STOCK_OVERVIEW!$AB463&amp;STOCK_OVERVIEW!$AD463,PLANNING_FC!$DA$27:$DO$46,MATCH(STOCK_OVERVIEW!$Y463,PLANNING_FC!$CZ$27:$CZ$46,0),FALSE),HLOOKUP($AB463&amp;$AD463,PLANNING_FC!$DA$4:$DO$23,MATCH(STOCK_OVERVIEW!$Y463,PLANNING_FC!$CZ$4:$CZ$23,0),FALSE)),"")</f>
        <v>73595</v>
      </c>
      <c r="AK463" s="651">
        <f ca="1">IFERROR(IF(AA463="NOOS",HLOOKUP(AB463&amp;AD463,PLANNING_FC!$AJ$27:$AY$47,MATCH(STOCK_OVERVIEW!Y463,PLANNING_FC!$AJ$27:$AJ$47,0),FALSE)*1000,HLOOKUP(AB463&amp;AD463,PLANNING_FC!$AJ$4:$AY$24,MATCH(STOCK_OVERVIEW!Y463,PLANNING_FC!$AJ$4:$AJ$24,0),FALSE)*1000),"")</f>
        <v>0</v>
      </c>
    </row>
    <row r="464" spans="24:37" x14ac:dyDescent="0.25">
      <c r="X464" s="465" t="str">
        <f t="shared" ref="X464:Y483" si="46">X224</f>
        <v>VM</v>
      </c>
      <c r="Y464" s="206" t="str">
        <f t="shared" si="46"/>
        <v>T-SHIRTS &amp; TOPS</v>
      </c>
      <c r="Z464" s="25" t="str">
        <f t="shared" ca="1" si="45"/>
        <v>VMT-SHIRTS &amp; TOPS19/20Dec</v>
      </c>
      <c r="AA464" s="206" t="s">
        <v>197</v>
      </c>
      <c r="AB464" s="206" t="str">
        <f t="shared" ref="AB464:AD483" ca="1" si="47">AB224</f>
        <v>19/20</v>
      </c>
      <c r="AC464" s="206" t="str">
        <f t="shared" ca="1" si="47"/>
        <v>Q2</v>
      </c>
      <c r="AD464" s="206" t="str">
        <f t="shared" ca="1" si="47"/>
        <v>Dec</v>
      </c>
      <c r="AE464" s="649">
        <f ca="1">IFERROR(HLOOKUP($AB464&amp;$AD464,'NWC_FC_NON-NOOS'!$C$4:$Q$24,MATCH($Y464,'NWC_FC_NON-NOOS'!$B$4:$B$24,0),FALSE),"")</f>
        <v>0</v>
      </c>
      <c r="AF464" s="650">
        <f ca="1">IFERROR(HLOOKUP($AB464&amp;$AD464,'NWC_FC_NON-NOOS'!$S$4:$AH$24,MATCH($Y464,'NWC_FC_NON-NOOS'!$S$4:$S$24,0),FALSE),"")</f>
        <v>0</v>
      </c>
      <c r="AG464" s="650">
        <f ca="1">IFERROR(HLOOKUP($AB464&amp;$AD464,'NWC_FC_NON-NOOS'!$B$50:$U$70,MATCH($Y464,'NWC_FC_NON-NOOS'!$B$50:$B$70,0),FALSE),"")</f>
        <v>0</v>
      </c>
      <c r="AH464" s="650">
        <f ca="1">IFERROR(IF($AA464="NOOS",HLOOKUP(STOCK_OVERVIEW!$AB464&amp;STOCK_OVERVIEW!$AD464,PLANNING_FC!$BB$27:$BP$46,MATCH(STOCK_OVERVIEW!$Y464,PLANNING_FC!$BA$27:$BA$46,0),FALSE),HLOOKUP($AB464&amp;$AD464,PLANNING_FC!$BB$4:$BP$23,MATCH(STOCK_OVERVIEW!$Y464,PLANNING_FC!$BA$4:$BA$23,0),FALSE)),"")</f>
        <v>0</v>
      </c>
      <c r="AI464" s="650">
        <f ca="1">IFERROR(IF($AA464="NOOS",HLOOKUP(STOCK_OVERVIEW!$AB464&amp;STOCK_OVERVIEW!$AD464,PLANNING_FC!$T$27:$AH$46,MATCH(STOCK_OVERVIEW!$Y464,PLANNING_FC!$B$27:$B$46,0),FALSE),HLOOKUP($AB464&amp;$AD464,PLANNING_FC!$T$4:$AH$23,MATCH(STOCK_OVERVIEW!$Y464,PLANNING_FC!$B$4:$B$23,0),FALSE)),"")</f>
        <v>0</v>
      </c>
      <c r="AJ464" s="650">
        <f ca="1">IFERROR(IF($AA464="NOOS",HLOOKUP(STOCK_OVERVIEW!$AB464&amp;STOCK_OVERVIEW!$AD464,PLANNING_FC!$DA$27:$DO$46,MATCH(STOCK_OVERVIEW!$Y464,PLANNING_FC!$CZ$27:$CZ$46,0),FALSE),HLOOKUP($AB464&amp;$AD464,PLANNING_FC!$DA$4:$DO$23,MATCH(STOCK_OVERVIEW!$Y464,PLANNING_FC!$CZ$4:$CZ$23,0),FALSE)),"")</f>
        <v>73595</v>
      </c>
      <c r="AK464" s="651">
        <f ca="1">IFERROR(IF(AA464="NOOS",HLOOKUP(AB464&amp;AD464,PLANNING_FC!$AJ$27:$AY$47,MATCH(STOCK_OVERVIEW!Y464,PLANNING_FC!$AJ$27:$AJ$47,0),FALSE)*1000,HLOOKUP(AB464&amp;AD464,PLANNING_FC!$AJ$4:$AY$24,MATCH(STOCK_OVERVIEW!Y464,PLANNING_FC!$AJ$4:$AJ$24,0),FALSE)*1000),"")</f>
        <v>0</v>
      </c>
    </row>
    <row r="465" spans="24:37" x14ac:dyDescent="0.25">
      <c r="X465" s="465" t="str">
        <f t="shared" si="46"/>
        <v>VM</v>
      </c>
      <c r="Y465" s="206" t="str">
        <f t="shared" si="46"/>
        <v>T-SHIRTS &amp; TOPS</v>
      </c>
      <c r="Z465" s="25" t="str">
        <f t="shared" ca="1" si="45"/>
        <v>VMT-SHIRTS &amp; TOPS19/20Jan</v>
      </c>
      <c r="AA465" s="206" t="s">
        <v>197</v>
      </c>
      <c r="AB465" s="206" t="str">
        <f t="shared" ca="1" si="47"/>
        <v>19/20</v>
      </c>
      <c r="AC465" s="206" t="str">
        <f t="shared" ca="1" si="47"/>
        <v>Q2</v>
      </c>
      <c r="AD465" s="206" t="str">
        <f t="shared" ca="1" si="47"/>
        <v>Jan</v>
      </c>
      <c r="AE465" s="649">
        <f ca="1">IFERROR(HLOOKUP($AB465&amp;$AD465,'NWC_FC_NON-NOOS'!$C$4:$Q$24,MATCH($Y465,'NWC_FC_NON-NOOS'!$B$4:$B$24,0),FALSE),"")</f>
        <v>0</v>
      </c>
      <c r="AF465" s="650">
        <f ca="1">IFERROR(HLOOKUP($AB465&amp;$AD465,'NWC_FC_NON-NOOS'!$S$4:$AH$24,MATCH($Y465,'NWC_FC_NON-NOOS'!$S$4:$S$24,0),FALSE),"")</f>
        <v>0</v>
      </c>
      <c r="AG465" s="650">
        <f ca="1">IFERROR(HLOOKUP($AB465&amp;$AD465,'NWC_FC_NON-NOOS'!$B$50:$U$70,MATCH($Y465,'NWC_FC_NON-NOOS'!$B$50:$B$70,0),FALSE),"")</f>
        <v>0</v>
      </c>
      <c r="AH465" s="650">
        <f ca="1">IFERROR(IF($AA465="NOOS",HLOOKUP(STOCK_OVERVIEW!$AB465&amp;STOCK_OVERVIEW!$AD465,PLANNING_FC!$BB$27:$BP$46,MATCH(STOCK_OVERVIEW!$Y465,PLANNING_FC!$BA$27:$BA$46,0),FALSE),HLOOKUP($AB465&amp;$AD465,PLANNING_FC!$BB$4:$BP$23,MATCH(STOCK_OVERVIEW!$Y465,PLANNING_FC!$BA$4:$BA$23,0),FALSE)),"")</f>
        <v>0</v>
      </c>
      <c r="AI465" s="650">
        <f ca="1">IFERROR(IF($AA465="NOOS",HLOOKUP(STOCK_OVERVIEW!$AB465&amp;STOCK_OVERVIEW!$AD465,PLANNING_FC!$T$27:$AH$46,MATCH(STOCK_OVERVIEW!$Y465,PLANNING_FC!$B$27:$B$46,0),FALSE),HLOOKUP($AB465&amp;$AD465,PLANNING_FC!$T$4:$AH$23,MATCH(STOCK_OVERVIEW!$Y465,PLANNING_FC!$B$4:$B$23,0),FALSE)),"")</f>
        <v>0</v>
      </c>
      <c r="AJ465" s="650">
        <f ca="1">IFERROR(IF($AA465="NOOS",HLOOKUP(STOCK_OVERVIEW!$AB465&amp;STOCK_OVERVIEW!$AD465,PLANNING_FC!$DA$27:$DO$46,MATCH(STOCK_OVERVIEW!$Y465,PLANNING_FC!$CZ$27:$CZ$46,0),FALSE),HLOOKUP($AB465&amp;$AD465,PLANNING_FC!$DA$4:$DO$23,MATCH(STOCK_OVERVIEW!$Y465,PLANNING_FC!$CZ$4:$CZ$23,0),FALSE)),"")</f>
        <v>73595</v>
      </c>
      <c r="AK465" s="651">
        <f ca="1">IFERROR(IF(AA465="NOOS",HLOOKUP(AB465&amp;AD465,PLANNING_FC!$AJ$27:$AY$47,MATCH(STOCK_OVERVIEW!Y465,PLANNING_FC!$AJ$27:$AJ$47,0),FALSE)*1000,HLOOKUP(AB465&amp;AD465,PLANNING_FC!$AJ$4:$AY$24,MATCH(STOCK_OVERVIEW!Y465,PLANNING_FC!$AJ$4:$AJ$24,0),FALSE)*1000),"")</f>
        <v>0</v>
      </c>
    </row>
    <row r="466" spans="24:37" x14ac:dyDescent="0.25">
      <c r="X466" s="465" t="str">
        <f t="shared" si="46"/>
        <v>VM</v>
      </c>
      <c r="Y466" s="206" t="str">
        <f t="shared" si="46"/>
        <v>T-SHIRTS &amp; TOPS</v>
      </c>
      <c r="Z466" s="25" t="str">
        <f t="shared" ca="1" si="45"/>
        <v>VMT-SHIRTS &amp; TOPS19/20Feb</v>
      </c>
      <c r="AA466" s="206" t="s">
        <v>197</v>
      </c>
      <c r="AB466" s="206" t="str">
        <f t="shared" ca="1" si="47"/>
        <v>19/20</v>
      </c>
      <c r="AC466" s="206" t="str">
        <f t="shared" ca="1" si="47"/>
        <v>Q3</v>
      </c>
      <c r="AD466" s="206" t="str">
        <f t="shared" ca="1" si="47"/>
        <v>Feb</v>
      </c>
      <c r="AE466" s="649" t="str">
        <f ca="1">IFERROR(HLOOKUP($AB466&amp;$AD466,'NWC_FC_NON-NOOS'!$C$4:$Q$24,MATCH($Y466,'NWC_FC_NON-NOOS'!$B$4:$B$24,0),FALSE),"")</f>
        <v/>
      </c>
      <c r="AF466" s="650" t="str">
        <f ca="1">IFERROR(HLOOKUP($AB466&amp;$AD466,'NWC_FC_NON-NOOS'!$S$4:$AH$24,MATCH($Y466,'NWC_FC_NON-NOOS'!$S$4:$S$24,0),FALSE),"")</f>
        <v/>
      </c>
      <c r="AG466" s="650">
        <f ca="1">IFERROR(HLOOKUP($AB466&amp;$AD466,'NWC_FC_NON-NOOS'!$B$50:$U$70,MATCH($Y466,'NWC_FC_NON-NOOS'!$B$50:$B$70,0),FALSE),"")</f>
        <v>0</v>
      </c>
      <c r="AH466" s="650" t="str">
        <f ca="1">IFERROR(IF($AA466="NOOS",HLOOKUP(STOCK_OVERVIEW!$AB466&amp;STOCK_OVERVIEW!$AD466,PLANNING_FC!$BB$27:$BP$46,MATCH(STOCK_OVERVIEW!$Y466,PLANNING_FC!$BA$27:$BA$46,0),FALSE),HLOOKUP($AB466&amp;$AD466,PLANNING_FC!$BB$4:$BP$23,MATCH(STOCK_OVERVIEW!$Y466,PLANNING_FC!$BA$4:$BA$23,0),FALSE)),"")</f>
        <v/>
      </c>
      <c r="AI466" s="650" t="str">
        <f ca="1">IFERROR(IF($AA466="NOOS",HLOOKUP(STOCK_OVERVIEW!$AB466&amp;STOCK_OVERVIEW!$AD466,PLANNING_FC!$T$27:$AH$46,MATCH(STOCK_OVERVIEW!$Y466,PLANNING_FC!$B$27:$B$46,0),FALSE),HLOOKUP($AB466&amp;$AD466,PLANNING_FC!$T$4:$AH$23,MATCH(STOCK_OVERVIEW!$Y466,PLANNING_FC!$B$4:$B$23,0),FALSE)),"")</f>
        <v/>
      </c>
      <c r="AJ466" s="650" t="str">
        <f ca="1">IFERROR(IF($AA466="NOOS",HLOOKUP(STOCK_OVERVIEW!$AB466&amp;STOCK_OVERVIEW!$AD466,PLANNING_FC!$DA$27:$DO$46,MATCH(STOCK_OVERVIEW!$Y466,PLANNING_FC!$CZ$27:$CZ$46,0),FALSE),HLOOKUP($AB466&amp;$AD466,PLANNING_FC!$DA$4:$DO$23,MATCH(STOCK_OVERVIEW!$Y466,PLANNING_FC!$CZ$4:$CZ$23,0),FALSE)),"")</f>
        <v/>
      </c>
      <c r="AK466" s="651" t="str">
        <f ca="1">IFERROR(IF(AA466="NOOS",HLOOKUP(AB466&amp;AD466,PLANNING_FC!$AJ$27:$AY$47,MATCH(STOCK_OVERVIEW!Y466,PLANNING_FC!$AJ$27:$AJ$47,0),FALSE)*1000,HLOOKUP(AB466&amp;AD466,PLANNING_FC!$AJ$4:$AY$24,MATCH(STOCK_OVERVIEW!Y466,PLANNING_FC!$AJ$4:$AJ$24,0),FALSE)*1000),"")</f>
        <v/>
      </c>
    </row>
    <row r="467" spans="24:37" x14ac:dyDescent="0.25">
      <c r="X467" s="465" t="str">
        <f t="shared" si="46"/>
        <v>VM</v>
      </c>
      <c r="Y467" s="206" t="str">
        <f t="shared" si="46"/>
        <v>T-SHIRTS &amp; TOPS</v>
      </c>
      <c r="Z467" s="25" t="str">
        <f t="shared" ca="1" si="45"/>
        <v>VMT-SHIRTS &amp; TOPS19/20Mar</v>
      </c>
      <c r="AA467" s="206" t="s">
        <v>197</v>
      </c>
      <c r="AB467" s="206" t="str">
        <f t="shared" ca="1" si="47"/>
        <v>19/20</v>
      </c>
      <c r="AC467" s="206" t="str">
        <f t="shared" ca="1" si="47"/>
        <v>Q3</v>
      </c>
      <c r="AD467" s="206" t="str">
        <f t="shared" ca="1" si="47"/>
        <v>Mar</v>
      </c>
      <c r="AE467" s="649" t="str">
        <f ca="1">IFERROR(HLOOKUP($AB467&amp;$AD467,'NWC_FC_NON-NOOS'!$C$4:$Q$24,MATCH($Y467,'NWC_FC_NON-NOOS'!$B$4:$B$24,0),FALSE),"")</f>
        <v/>
      </c>
      <c r="AF467" s="650" t="str">
        <f ca="1">IFERROR(HLOOKUP($AB467&amp;$AD467,'NWC_FC_NON-NOOS'!$S$4:$AH$24,MATCH($Y467,'NWC_FC_NON-NOOS'!$S$4:$S$24,0),FALSE),"")</f>
        <v/>
      </c>
      <c r="AG467" s="650">
        <f ca="1">IFERROR(HLOOKUP($AB467&amp;$AD467,'NWC_FC_NON-NOOS'!$B$50:$U$70,MATCH($Y467,'NWC_FC_NON-NOOS'!$B$50:$B$70,0),FALSE),"")</f>
        <v>0</v>
      </c>
      <c r="AH467" s="650" t="str">
        <f ca="1">IFERROR(IF($AA467="NOOS",HLOOKUP(STOCK_OVERVIEW!$AB467&amp;STOCK_OVERVIEW!$AD467,PLANNING_FC!$BB$27:$BP$46,MATCH(STOCK_OVERVIEW!$Y467,PLANNING_FC!$BA$27:$BA$46,0),FALSE),HLOOKUP($AB467&amp;$AD467,PLANNING_FC!$BB$4:$BP$23,MATCH(STOCK_OVERVIEW!$Y467,PLANNING_FC!$BA$4:$BA$23,0),FALSE)),"")</f>
        <v/>
      </c>
      <c r="AI467" s="650" t="str">
        <f ca="1">IFERROR(IF($AA467="NOOS",HLOOKUP(STOCK_OVERVIEW!$AB467&amp;STOCK_OVERVIEW!$AD467,PLANNING_FC!$T$27:$AH$46,MATCH(STOCK_OVERVIEW!$Y467,PLANNING_FC!$B$27:$B$46,0),FALSE),HLOOKUP($AB467&amp;$AD467,PLANNING_FC!$T$4:$AH$23,MATCH(STOCK_OVERVIEW!$Y467,PLANNING_FC!$B$4:$B$23,0),FALSE)),"")</f>
        <v/>
      </c>
      <c r="AJ467" s="650" t="str">
        <f ca="1">IFERROR(IF($AA467="NOOS",HLOOKUP(STOCK_OVERVIEW!$AB467&amp;STOCK_OVERVIEW!$AD467,PLANNING_FC!$DA$27:$DO$46,MATCH(STOCK_OVERVIEW!$Y467,PLANNING_FC!$CZ$27:$CZ$46,0),FALSE),HLOOKUP($AB467&amp;$AD467,PLANNING_FC!$DA$4:$DO$23,MATCH(STOCK_OVERVIEW!$Y467,PLANNING_FC!$CZ$4:$CZ$23,0),FALSE)),"")</f>
        <v/>
      </c>
      <c r="AK467" s="651" t="str">
        <f ca="1">IFERROR(IF(AA467="NOOS",HLOOKUP(AB467&amp;AD467,PLANNING_FC!$AJ$27:$AY$47,MATCH(STOCK_OVERVIEW!Y467,PLANNING_FC!$AJ$27:$AJ$47,0),FALSE)*1000,HLOOKUP(AB467&amp;AD467,PLANNING_FC!$AJ$4:$AY$24,MATCH(STOCK_OVERVIEW!Y467,PLANNING_FC!$AJ$4:$AJ$24,0),FALSE)*1000),"")</f>
        <v/>
      </c>
    </row>
    <row r="468" spans="24:37" x14ac:dyDescent="0.25">
      <c r="X468" s="465" t="str">
        <f t="shared" si="46"/>
        <v>VM</v>
      </c>
      <c r="Y468" s="206" t="str">
        <f t="shared" si="46"/>
        <v>T-SHIRTS &amp; TOPS</v>
      </c>
      <c r="Z468" s="25" t="str">
        <f t="shared" ca="1" si="45"/>
        <v>VMT-SHIRTS &amp; TOPS19/20Apr</v>
      </c>
      <c r="AA468" s="206" t="s">
        <v>197</v>
      </c>
      <c r="AB468" s="206" t="str">
        <f t="shared" ca="1" si="47"/>
        <v>19/20</v>
      </c>
      <c r="AC468" s="206" t="str">
        <f t="shared" ca="1" si="47"/>
        <v>Q3</v>
      </c>
      <c r="AD468" s="206" t="str">
        <f t="shared" ca="1" si="47"/>
        <v>Apr</v>
      </c>
      <c r="AE468" s="649" t="str">
        <f ca="1">IFERROR(HLOOKUP($AB468&amp;$AD468,'NWC_FC_NON-NOOS'!$C$4:$Q$24,MATCH($Y468,'NWC_FC_NON-NOOS'!$B$4:$B$24,0),FALSE),"")</f>
        <v/>
      </c>
      <c r="AF468" s="650" t="str">
        <f ca="1">IFERROR(HLOOKUP($AB468&amp;$AD468,'NWC_FC_NON-NOOS'!$S$4:$AH$24,MATCH($Y468,'NWC_FC_NON-NOOS'!$S$4:$S$24,0),FALSE),"")</f>
        <v/>
      </c>
      <c r="AG468" s="650">
        <f ca="1">IFERROR(HLOOKUP($AB468&amp;$AD468,'NWC_FC_NON-NOOS'!$B$50:$U$70,MATCH($Y468,'NWC_FC_NON-NOOS'!$B$50:$B$70,0),FALSE),"")</f>
        <v>0</v>
      </c>
      <c r="AH468" s="650" t="str">
        <f ca="1">IFERROR(IF($AA468="NOOS",HLOOKUP(STOCK_OVERVIEW!$AB468&amp;STOCK_OVERVIEW!$AD468,PLANNING_FC!$BB$27:$BP$46,MATCH(STOCK_OVERVIEW!$Y468,PLANNING_FC!$BA$27:$BA$46,0),FALSE),HLOOKUP($AB468&amp;$AD468,PLANNING_FC!$BB$4:$BP$23,MATCH(STOCK_OVERVIEW!$Y468,PLANNING_FC!$BA$4:$BA$23,0),FALSE)),"")</f>
        <v/>
      </c>
      <c r="AI468" s="650" t="str">
        <f ca="1">IFERROR(IF($AA468="NOOS",HLOOKUP(STOCK_OVERVIEW!$AB468&amp;STOCK_OVERVIEW!$AD468,PLANNING_FC!$T$27:$AH$46,MATCH(STOCK_OVERVIEW!$Y468,PLANNING_FC!$B$27:$B$46,0),FALSE),HLOOKUP($AB468&amp;$AD468,PLANNING_FC!$T$4:$AH$23,MATCH(STOCK_OVERVIEW!$Y468,PLANNING_FC!$B$4:$B$23,0),FALSE)),"")</f>
        <v/>
      </c>
      <c r="AJ468" s="650" t="str">
        <f ca="1">IFERROR(IF($AA468="NOOS",HLOOKUP(STOCK_OVERVIEW!$AB468&amp;STOCK_OVERVIEW!$AD468,PLANNING_FC!$DA$27:$DO$46,MATCH(STOCK_OVERVIEW!$Y468,PLANNING_FC!$CZ$27:$CZ$46,0),FALSE),HLOOKUP($AB468&amp;$AD468,PLANNING_FC!$DA$4:$DO$23,MATCH(STOCK_OVERVIEW!$Y468,PLANNING_FC!$CZ$4:$CZ$23,0),FALSE)),"")</f>
        <v/>
      </c>
      <c r="AK468" s="651" t="str">
        <f ca="1">IFERROR(IF(AA468="NOOS",HLOOKUP(AB468&amp;AD468,PLANNING_FC!$AJ$27:$AY$47,MATCH(STOCK_OVERVIEW!Y468,PLANNING_FC!$AJ$27:$AJ$47,0),FALSE)*1000,HLOOKUP(AB468&amp;AD468,PLANNING_FC!$AJ$4:$AY$24,MATCH(STOCK_OVERVIEW!Y468,PLANNING_FC!$AJ$4:$AJ$24,0),FALSE)*1000),"")</f>
        <v/>
      </c>
    </row>
    <row r="469" spans="24:37" x14ac:dyDescent="0.25">
      <c r="X469" s="465" t="str">
        <f t="shared" si="46"/>
        <v>VM</v>
      </c>
      <c r="Y469" s="206">
        <f t="shared" si="46"/>
        <v>0</v>
      </c>
      <c r="Z469" s="25" t="str">
        <f t="shared" ca="1" si="45"/>
        <v>VM018/19Feb</v>
      </c>
      <c r="AA469" s="206" t="s">
        <v>197</v>
      </c>
      <c r="AB469" s="206" t="str">
        <f t="shared" ca="1" si="47"/>
        <v>18/19</v>
      </c>
      <c r="AC469" s="206" t="str">
        <f t="shared" ca="1" si="47"/>
        <v>Q3</v>
      </c>
      <c r="AD469" s="206" t="str">
        <f t="shared" ca="1" si="47"/>
        <v>Feb</v>
      </c>
      <c r="AE469" s="649">
        <f ca="1">IFERROR(HLOOKUP($AB469&amp;$AD469,'NWC_FC_NON-NOOS'!$C$4:$Q$24,MATCH($Y469,'NWC_FC_NON-NOOS'!$B$4:$B$24,0),FALSE),"")</f>
        <v>0</v>
      </c>
      <c r="AF469" s="650">
        <f ca="1">IFERROR(HLOOKUP($AB469&amp;$AD469,'NWC_FC_NON-NOOS'!$S$4:$AH$24,MATCH($Y469,'NWC_FC_NON-NOOS'!$S$4:$S$24,0),FALSE),"")</f>
        <v>0</v>
      </c>
      <c r="AG469" s="650">
        <f ca="1">IFERROR(HLOOKUP($AB469&amp;$AD469,'NWC_FC_NON-NOOS'!$B$50:$U$70,MATCH($Y469,'NWC_FC_NON-NOOS'!$B$50:$B$70,0),FALSE),"")</f>
        <v>0</v>
      </c>
      <c r="AH469" s="650">
        <f ca="1">IFERROR(IF($AA469="NOOS",HLOOKUP(STOCK_OVERVIEW!$AB469&amp;STOCK_OVERVIEW!$AD469,PLANNING_FC!$BB$27:$BP$46,MATCH(STOCK_OVERVIEW!$Y469,PLANNING_FC!$BA$27:$BA$46,0),FALSE),HLOOKUP($AB469&amp;$AD469,PLANNING_FC!$BB$4:$BP$23,MATCH(STOCK_OVERVIEW!$Y469,PLANNING_FC!$BA$4:$BA$23,0),FALSE)),"")</f>
        <v>0</v>
      </c>
      <c r="AI469" s="650">
        <f ca="1">IFERROR(IF($AA469="NOOS",HLOOKUP(STOCK_OVERVIEW!$AB469&amp;STOCK_OVERVIEW!$AD469,PLANNING_FC!$T$27:$AH$46,MATCH(STOCK_OVERVIEW!$Y469,PLANNING_FC!$B$27:$B$46,0),FALSE),HLOOKUP($AB469&amp;$AD469,PLANNING_FC!$T$4:$AH$23,MATCH(STOCK_OVERVIEW!$Y469,PLANNING_FC!$B$4:$B$23,0),FALSE)),"")</f>
        <v>0</v>
      </c>
      <c r="AJ469" s="650">
        <f ca="1">IFERROR(IF($AA469="NOOS",HLOOKUP(STOCK_OVERVIEW!$AB469&amp;STOCK_OVERVIEW!$AD469,PLANNING_FC!$DA$27:$DO$46,MATCH(STOCK_OVERVIEW!$Y469,PLANNING_FC!$CZ$27:$CZ$46,0),FALSE),HLOOKUP($AB469&amp;$AD469,PLANNING_FC!$DA$4:$DO$23,MATCH(STOCK_OVERVIEW!$Y469,PLANNING_FC!$CZ$4:$CZ$23,0),FALSE)),"")</f>
        <v>0</v>
      </c>
      <c r="AK469" s="651">
        <f ca="1">IFERROR(IF(AA469="NOOS",HLOOKUP(AB469&amp;AD469,PLANNING_FC!$AJ$27:$AY$47,MATCH(STOCK_OVERVIEW!Y469,PLANNING_FC!$AJ$27:$AJ$47,0),FALSE)*1000,HLOOKUP(AB469&amp;AD469,PLANNING_FC!$AJ$4:$AY$24,MATCH(STOCK_OVERVIEW!Y469,PLANNING_FC!$AJ$4:$AJ$24,0),FALSE)*1000),"")</f>
        <v>0</v>
      </c>
    </row>
    <row r="470" spans="24:37" x14ac:dyDescent="0.25">
      <c r="X470" s="465" t="str">
        <f t="shared" si="46"/>
        <v>VM</v>
      </c>
      <c r="Y470" s="206">
        <f t="shared" si="46"/>
        <v>0</v>
      </c>
      <c r="Z470" s="25" t="str">
        <f t="shared" ca="1" si="45"/>
        <v>VM018/19Mar</v>
      </c>
      <c r="AA470" s="206" t="s">
        <v>197</v>
      </c>
      <c r="AB470" s="206" t="str">
        <f t="shared" ca="1" si="47"/>
        <v>18/19</v>
      </c>
      <c r="AC470" s="206" t="str">
        <f t="shared" ca="1" si="47"/>
        <v>Q3</v>
      </c>
      <c r="AD470" s="206" t="str">
        <f t="shared" ca="1" si="47"/>
        <v>Mar</v>
      </c>
      <c r="AE470" s="649">
        <f ca="1">IFERROR(HLOOKUP($AB470&amp;$AD470,'NWC_FC_NON-NOOS'!$C$4:$Q$24,MATCH($Y470,'NWC_FC_NON-NOOS'!$B$4:$B$24,0),FALSE),"")</f>
        <v>0</v>
      </c>
      <c r="AF470" s="650">
        <f ca="1">IFERROR(HLOOKUP($AB470&amp;$AD470,'NWC_FC_NON-NOOS'!$S$4:$AH$24,MATCH($Y470,'NWC_FC_NON-NOOS'!$S$4:$S$24,0),FALSE),"")</f>
        <v>0</v>
      </c>
      <c r="AG470" s="650">
        <f ca="1">IFERROR(HLOOKUP($AB470&amp;$AD470,'NWC_FC_NON-NOOS'!$B$50:$U$70,MATCH($Y470,'NWC_FC_NON-NOOS'!$B$50:$B$70,0),FALSE),"")</f>
        <v>0</v>
      </c>
      <c r="AH470" s="650">
        <f ca="1">IFERROR(IF($AA470="NOOS",HLOOKUP(STOCK_OVERVIEW!$AB470&amp;STOCK_OVERVIEW!$AD470,PLANNING_FC!$BB$27:$BP$46,MATCH(STOCK_OVERVIEW!$Y470,PLANNING_FC!$BA$27:$BA$46,0),FALSE),HLOOKUP($AB470&amp;$AD470,PLANNING_FC!$BB$4:$BP$23,MATCH(STOCK_OVERVIEW!$Y470,PLANNING_FC!$BA$4:$BA$23,0),FALSE)),"")</f>
        <v>0</v>
      </c>
      <c r="AI470" s="650">
        <f ca="1">IFERROR(IF($AA470="NOOS",HLOOKUP(STOCK_OVERVIEW!$AB470&amp;STOCK_OVERVIEW!$AD470,PLANNING_FC!$T$27:$AH$46,MATCH(STOCK_OVERVIEW!$Y470,PLANNING_FC!$B$27:$B$46,0),FALSE),HLOOKUP($AB470&amp;$AD470,PLANNING_FC!$T$4:$AH$23,MATCH(STOCK_OVERVIEW!$Y470,PLANNING_FC!$B$4:$B$23,0),FALSE)),"")</f>
        <v>0</v>
      </c>
      <c r="AJ470" s="650">
        <f ca="1">IFERROR(IF($AA470="NOOS",HLOOKUP(STOCK_OVERVIEW!$AB470&amp;STOCK_OVERVIEW!$AD470,PLANNING_FC!$DA$27:$DO$46,MATCH(STOCK_OVERVIEW!$Y470,PLANNING_FC!$CZ$27:$CZ$46,0),FALSE),HLOOKUP($AB470&amp;$AD470,PLANNING_FC!$DA$4:$DO$23,MATCH(STOCK_OVERVIEW!$Y470,PLANNING_FC!$CZ$4:$CZ$23,0),FALSE)),"")</f>
        <v>0</v>
      </c>
      <c r="AK470" s="651">
        <f ca="1">IFERROR(IF(AA470="NOOS",HLOOKUP(AB470&amp;AD470,PLANNING_FC!$AJ$27:$AY$47,MATCH(STOCK_OVERVIEW!Y470,PLANNING_FC!$AJ$27:$AJ$47,0),FALSE)*1000,HLOOKUP(AB470&amp;AD470,PLANNING_FC!$AJ$4:$AY$24,MATCH(STOCK_OVERVIEW!Y470,PLANNING_FC!$AJ$4:$AJ$24,0),FALSE)*1000),"")</f>
        <v>0</v>
      </c>
    </row>
    <row r="471" spans="24:37" x14ac:dyDescent="0.25">
      <c r="X471" s="465" t="str">
        <f t="shared" si="46"/>
        <v>VM</v>
      </c>
      <c r="Y471" s="206">
        <f t="shared" si="46"/>
        <v>0</v>
      </c>
      <c r="Z471" s="25" t="str">
        <f t="shared" ca="1" si="45"/>
        <v>VM018/19Apr</v>
      </c>
      <c r="AA471" s="206" t="s">
        <v>197</v>
      </c>
      <c r="AB471" s="206" t="str">
        <f t="shared" ca="1" si="47"/>
        <v>18/19</v>
      </c>
      <c r="AC471" s="206" t="str">
        <f t="shared" ca="1" si="47"/>
        <v>Q3</v>
      </c>
      <c r="AD471" s="206" t="str">
        <f t="shared" ca="1" si="47"/>
        <v>Apr</v>
      </c>
      <c r="AE471" s="649">
        <f ca="1">IFERROR(HLOOKUP($AB471&amp;$AD471,'NWC_FC_NON-NOOS'!$C$4:$Q$24,MATCH($Y471,'NWC_FC_NON-NOOS'!$B$4:$B$24,0),FALSE),"")</f>
        <v>0</v>
      </c>
      <c r="AF471" s="650">
        <f ca="1">IFERROR(HLOOKUP($AB471&amp;$AD471,'NWC_FC_NON-NOOS'!$S$4:$AH$24,MATCH($Y471,'NWC_FC_NON-NOOS'!$S$4:$S$24,0),FALSE),"")</f>
        <v>0</v>
      </c>
      <c r="AG471" s="650">
        <f ca="1">IFERROR(HLOOKUP($AB471&amp;$AD471,'NWC_FC_NON-NOOS'!$B$50:$U$70,MATCH($Y471,'NWC_FC_NON-NOOS'!$B$50:$B$70,0),FALSE),"")</f>
        <v>0</v>
      </c>
      <c r="AH471" s="650">
        <f ca="1">IFERROR(IF($AA471="NOOS",HLOOKUP(STOCK_OVERVIEW!$AB471&amp;STOCK_OVERVIEW!$AD471,PLANNING_FC!$BB$27:$BP$46,MATCH(STOCK_OVERVIEW!$Y471,PLANNING_FC!$BA$27:$BA$46,0),FALSE),HLOOKUP($AB471&amp;$AD471,PLANNING_FC!$BB$4:$BP$23,MATCH(STOCK_OVERVIEW!$Y471,PLANNING_FC!$BA$4:$BA$23,0),FALSE)),"")</f>
        <v>0</v>
      </c>
      <c r="AI471" s="650">
        <f ca="1">IFERROR(IF($AA471="NOOS",HLOOKUP(STOCK_OVERVIEW!$AB471&amp;STOCK_OVERVIEW!$AD471,PLANNING_FC!$T$27:$AH$46,MATCH(STOCK_OVERVIEW!$Y471,PLANNING_FC!$B$27:$B$46,0),FALSE),HLOOKUP($AB471&amp;$AD471,PLANNING_FC!$T$4:$AH$23,MATCH(STOCK_OVERVIEW!$Y471,PLANNING_FC!$B$4:$B$23,0),FALSE)),"")</f>
        <v>0</v>
      </c>
      <c r="AJ471" s="650">
        <f ca="1">IFERROR(IF($AA471="NOOS",HLOOKUP(STOCK_OVERVIEW!$AB471&amp;STOCK_OVERVIEW!$AD471,PLANNING_FC!$DA$27:$DO$46,MATCH(STOCK_OVERVIEW!$Y471,PLANNING_FC!$CZ$27:$CZ$46,0),FALSE),HLOOKUP($AB471&amp;$AD471,PLANNING_FC!$DA$4:$DO$23,MATCH(STOCK_OVERVIEW!$Y471,PLANNING_FC!$CZ$4:$CZ$23,0),FALSE)),"")</f>
        <v>0</v>
      </c>
      <c r="AK471" s="651">
        <f ca="1">IFERROR(IF(AA471="NOOS",HLOOKUP(AB471&amp;AD471,PLANNING_FC!$AJ$27:$AY$47,MATCH(STOCK_OVERVIEW!Y471,PLANNING_FC!$AJ$27:$AJ$47,0),FALSE)*1000,HLOOKUP(AB471&amp;AD471,PLANNING_FC!$AJ$4:$AY$24,MATCH(STOCK_OVERVIEW!Y471,PLANNING_FC!$AJ$4:$AJ$24,0),FALSE)*1000),"")</f>
        <v>0</v>
      </c>
    </row>
    <row r="472" spans="24:37" x14ac:dyDescent="0.25">
      <c r="X472" s="465" t="str">
        <f t="shared" si="46"/>
        <v>VM</v>
      </c>
      <c r="Y472" s="206">
        <f t="shared" si="46"/>
        <v>0</v>
      </c>
      <c r="Z472" s="25" t="str">
        <f t="shared" ca="1" si="45"/>
        <v>VM018/19May</v>
      </c>
      <c r="AA472" s="206" t="s">
        <v>197</v>
      </c>
      <c r="AB472" s="206" t="str">
        <f t="shared" ca="1" si="47"/>
        <v>18/19</v>
      </c>
      <c r="AC472" s="206" t="str">
        <f t="shared" ca="1" si="47"/>
        <v>Q4</v>
      </c>
      <c r="AD472" s="206" t="str">
        <f t="shared" ca="1" si="47"/>
        <v>May</v>
      </c>
      <c r="AE472" s="649">
        <f ca="1">IFERROR(HLOOKUP($AB472&amp;$AD472,'NWC_FC_NON-NOOS'!$C$4:$Q$24,MATCH($Y472,'NWC_FC_NON-NOOS'!$B$4:$B$24,0),FALSE),"")</f>
        <v>0</v>
      </c>
      <c r="AF472" s="650">
        <f ca="1">IFERROR(HLOOKUP($AB472&amp;$AD472,'NWC_FC_NON-NOOS'!$S$4:$AH$24,MATCH($Y472,'NWC_FC_NON-NOOS'!$S$4:$S$24,0),FALSE),"")</f>
        <v>0</v>
      </c>
      <c r="AG472" s="650">
        <f ca="1">IFERROR(HLOOKUP($AB472&amp;$AD472,'NWC_FC_NON-NOOS'!$B$50:$U$70,MATCH($Y472,'NWC_FC_NON-NOOS'!$B$50:$B$70,0),FALSE),"")</f>
        <v>0</v>
      </c>
      <c r="AH472" s="650">
        <f ca="1">IFERROR(IF($AA472="NOOS",HLOOKUP(STOCK_OVERVIEW!$AB472&amp;STOCK_OVERVIEW!$AD472,PLANNING_FC!$BB$27:$BP$46,MATCH(STOCK_OVERVIEW!$Y472,PLANNING_FC!$BA$27:$BA$46,0),FALSE),HLOOKUP($AB472&amp;$AD472,PLANNING_FC!$BB$4:$BP$23,MATCH(STOCK_OVERVIEW!$Y472,PLANNING_FC!$BA$4:$BA$23,0),FALSE)),"")</f>
        <v>0</v>
      </c>
      <c r="AI472" s="650">
        <f ca="1">IFERROR(IF($AA472="NOOS",HLOOKUP(STOCK_OVERVIEW!$AB472&amp;STOCK_OVERVIEW!$AD472,PLANNING_FC!$T$27:$AH$46,MATCH(STOCK_OVERVIEW!$Y472,PLANNING_FC!$B$27:$B$46,0),FALSE),HLOOKUP($AB472&amp;$AD472,PLANNING_FC!$T$4:$AH$23,MATCH(STOCK_OVERVIEW!$Y472,PLANNING_FC!$B$4:$B$23,0),FALSE)),"")</f>
        <v>0</v>
      </c>
      <c r="AJ472" s="650">
        <f ca="1">IFERROR(IF($AA472="NOOS",HLOOKUP(STOCK_OVERVIEW!$AB472&amp;STOCK_OVERVIEW!$AD472,PLANNING_FC!$DA$27:$DO$46,MATCH(STOCK_OVERVIEW!$Y472,PLANNING_FC!$CZ$27:$CZ$46,0),FALSE),HLOOKUP($AB472&amp;$AD472,PLANNING_FC!$DA$4:$DO$23,MATCH(STOCK_OVERVIEW!$Y472,PLANNING_FC!$CZ$4:$CZ$23,0),FALSE)),"")</f>
        <v>0</v>
      </c>
      <c r="AK472" s="651">
        <f ca="1">IFERROR(IF(AA472="NOOS",HLOOKUP(AB472&amp;AD472,PLANNING_FC!$AJ$27:$AY$47,MATCH(STOCK_OVERVIEW!Y472,PLANNING_FC!$AJ$27:$AJ$47,0),FALSE)*1000,HLOOKUP(AB472&amp;AD472,PLANNING_FC!$AJ$4:$AY$24,MATCH(STOCK_OVERVIEW!Y472,PLANNING_FC!$AJ$4:$AJ$24,0),FALSE)*1000),"")</f>
        <v>0</v>
      </c>
    </row>
    <row r="473" spans="24:37" x14ac:dyDescent="0.25">
      <c r="X473" s="465" t="str">
        <f t="shared" si="46"/>
        <v>VM</v>
      </c>
      <c r="Y473" s="206">
        <f t="shared" si="46"/>
        <v>0</v>
      </c>
      <c r="Z473" s="25" t="str">
        <f t="shared" ca="1" si="45"/>
        <v>VM018/19Jun</v>
      </c>
      <c r="AA473" s="206" t="s">
        <v>197</v>
      </c>
      <c r="AB473" s="206" t="str">
        <f t="shared" ca="1" si="47"/>
        <v>18/19</v>
      </c>
      <c r="AC473" s="206" t="str">
        <f t="shared" ca="1" si="47"/>
        <v>Q4</v>
      </c>
      <c r="AD473" s="206" t="str">
        <f t="shared" ca="1" si="47"/>
        <v>Jun</v>
      </c>
      <c r="AE473" s="649">
        <f ca="1">IFERROR(HLOOKUP($AB473&amp;$AD473,'NWC_FC_NON-NOOS'!$C$4:$Q$24,MATCH($Y473,'NWC_FC_NON-NOOS'!$B$4:$B$24,0),FALSE),"")</f>
        <v>0</v>
      </c>
      <c r="AF473" s="650">
        <f ca="1">IFERROR(HLOOKUP($AB473&amp;$AD473,'NWC_FC_NON-NOOS'!$S$4:$AH$24,MATCH($Y473,'NWC_FC_NON-NOOS'!$S$4:$S$24,0),FALSE),"")</f>
        <v>0</v>
      </c>
      <c r="AG473" s="650">
        <f ca="1">IFERROR(HLOOKUP($AB473&amp;$AD473,'NWC_FC_NON-NOOS'!$B$50:$U$70,MATCH($Y473,'NWC_FC_NON-NOOS'!$B$50:$B$70,0),FALSE),"")</f>
        <v>0</v>
      </c>
      <c r="AH473" s="650">
        <f ca="1">IFERROR(IF($AA473="NOOS",HLOOKUP(STOCK_OVERVIEW!$AB473&amp;STOCK_OVERVIEW!$AD473,PLANNING_FC!$BB$27:$BP$46,MATCH(STOCK_OVERVIEW!$Y473,PLANNING_FC!$BA$27:$BA$46,0),FALSE),HLOOKUP($AB473&amp;$AD473,PLANNING_FC!$BB$4:$BP$23,MATCH(STOCK_OVERVIEW!$Y473,PLANNING_FC!$BA$4:$BA$23,0),FALSE)),"")</f>
        <v>0</v>
      </c>
      <c r="AI473" s="650">
        <f ca="1">IFERROR(IF($AA473="NOOS",HLOOKUP(STOCK_OVERVIEW!$AB473&amp;STOCK_OVERVIEW!$AD473,PLANNING_FC!$T$27:$AH$46,MATCH(STOCK_OVERVIEW!$Y473,PLANNING_FC!$B$27:$B$46,0),FALSE),HLOOKUP($AB473&amp;$AD473,PLANNING_FC!$T$4:$AH$23,MATCH(STOCK_OVERVIEW!$Y473,PLANNING_FC!$B$4:$B$23,0),FALSE)),"")</f>
        <v>0</v>
      </c>
      <c r="AJ473" s="650">
        <f ca="1">IFERROR(IF($AA473="NOOS",HLOOKUP(STOCK_OVERVIEW!$AB473&amp;STOCK_OVERVIEW!$AD473,PLANNING_FC!$DA$27:$DO$46,MATCH(STOCK_OVERVIEW!$Y473,PLANNING_FC!$CZ$27:$CZ$46,0),FALSE),HLOOKUP($AB473&amp;$AD473,PLANNING_FC!$DA$4:$DO$23,MATCH(STOCK_OVERVIEW!$Y473,PLANNING_FC!$CZ$4:$CZ$23,0),FALSE)),"")</f>
        <v>0</v>
      </c>
      <c r="AK473" s="651">
        <f ca="1">IFERROR(IF(AA473="NOOS",HLOOKUP(AB473&amp;AD473,PLANNING_FC!$AJ$27:$AY$47,MATCH(STOCK_OVERVIEW!Y473,PLANNING_FC!$AJ$27:$AJ$47,0),FALSE)*1000,HLOOKUP(AB473&amp;AD473,PLANNING_FC!$AJ$4:$AY$24,MATCH(STOCK_OVERVIEW!Y473,PLANNING_FC!$AJ$4:$AJ$24,0),FALSE)*1000),"")</f>
        <v>0</v>
      </c>
    </row>
    <row r="474" spans="24:37" x14ac:dyDescent="0.25">
      <c r="X474" s="465" t="str">
        <f t="shared" si="46"/>
        <v>VM</v>
      </c>
      <c r="Y474" s="206">
        <f t="shared" si="46"/>
        <v>0</v>
      </c>
      <c r="Z474" s="25" t="str">
        <f t="shared" ca="1" si="45"/>
        <v>VM018/19Jul</v>
      </c>
      <c r="AA474" s="206" t="s">
        <v>197</v>
      </c>
      <c r="AB474" s="206" t="str">
        <f t="shared" ca="1" si="47"/>
        <v>18/19</v>
      </c>
      <c r="AC474" s="206" t="str">
        <f t="shared" ca="1" si="47"/>
        <v>Q4</v>
      </c>
      <c r="AD474" s="206" t="str">
        <f t="shared" ca="1" si="47"/>
        <v>Jul</v>
      </c>
      <c r="AE474" s="649">
        <f ca="1">IFERROR(HLOOKUP($AB474&amp;$AD474,'NWC_FC_NON-NOOS'!$C$4:$Q$24,MATCH($Y474,'NWC_FC_NON-NOOS'!$B$4:$B$24,0),FALSE),"")</f>
        <v>0</v>
      </c>
      <c r="AF474" s="650">
        <f ca="1">IFERROR(HLOOKUP($AB474&amp;$AD474,'NWC_FC_NON-NOOS'!$S$4:$AH$24,MATCH($Y474,'NWC_FC_NON-NOOS'!$S$4:$S$24,0),FALSE),"")</f>
        <v>0</v>
      </c>
      <c r="AG474" s="650">
        <f ca="1">IFERROR(HLOOKUP($AB474&amp;$AD474,'NWC_FC_NON-NOOS'!$B$50:$U$70,MATCH($Y474,'NWC_FC_NON-NOOS'!$B$50:$B$70,0),FALSE),"")</f>
        <v>0</v>
      </c>
      <c r="AH474" s="650">
        <f ca="1">IFERROR(IF($AA474="NOOS",HLOOKUP(STOCK_OVERVIEW!$AB474&amp;STOCK_OVERVIEW!$AD474,PLANNING_FC!$BB$27:$BP$46,MATCH(STOCK_OVERVIEW!$Y474,PLANNING_FC!$BA$27:$BA$46,0),FALSE),HLOOKUP($AB474&amp;$AD474,PLANNING_FC!$BB$4:$BP$23,MATCH(STOCK_OVERVIEW!$Y474,PLANNING_FC!$BA$4:$BA$23,0),FALSE)),"")</f>
        <v>0</v>
      </c>
      <c r="AI474" s="650">
        <f ca="1">IFERROR(IF($AA474="NOOS",HLOOKUP(STOCK_OVERVIEW!$AB474&amp;STOCK_OVERVIEW!$AD474,PLANNING_FC!$T$27:$AH$46,MATCH(STOCK_OVERVIEW!$Y474,PLANNING_FC!$B$27:$B$46,0),FALSE),HLOOKUP($AB474&amp;$AD474,PLANNING_FC!$T$4:$AH$23,MATCH(STOCK_OVERVIEW!$Y474,PLANNING_FC!$B$4:$B$23,0),FALSE)),"")</f>
        <v>0</v>
      </c>
      <c r="AJ474" s="650">
        <f ca="1">IFERROR(IF($AA474="NOOS",HLOOKUP(STOCK_OVERVIEW!$AB474&amp;STOCK_OVERVIEW!$AD474,PLANNING_FC!$DA$27:$DO$46,MATCH(STOCK_OVERVIEW!$Y474,PLANNING_FC!$CZ$27:$CZ$46,0),FALSE),HLOOKUP($AB474&amp;$AD474,PLANNING_FC!$DA$4:$DO$23,MATCH(STOCK_OVERVIEW!$Y474,PLANNING_FC!$CZ$4:$CZ$23,0),FALSE)),"")</f>
        <v>0</v>
      </c>
      <c r="AK474" s="651">
        <f ca="1">IFERROR(IF(AA474="NOOS",HLOOKUP(AB474&amp;AD474,PLANNING_FC!$AJ$27:$AY$47,MATCH(STOCK_OVERVIEW!Y474,PLANNING_FC!$AJ$27:$AJ$47,0),FALSE)*1000,HLOOKUP(AB474&amp;AD474,PLANNING_FC!$AJ$4:$AY$24,MATCH(STOCK_OVERVIEW!Y474,PLANNING_FC!$AJ$4:$AJ$24,0),FALSE)*1000),"")</f>
        <v>0</v>
      </c>
    </row>
    <row r="475" spans="24:37" x14ac:dyDescent="0.25">
      <c r="X475" s="465" t="str">
        <f t="shared" si="46"/>
        <v>VM</v>
      </c>
      <c r="Y475" s="206">
        <f t="shared" si="46"/>
        <v>0</v>
      </c>
      <c r="Z475" s="25" t="str">
        <f t="shared" ca="1" si="45"/>
        <v>VM019/20Aug</v>
      </c>
      <c r="AA475" s="206" t="s">
        <v>197</v>
      </c>
      <c r="AB475" s="206" t="str">
        <f t="shared" ca="1" si="47"/>
        <v>19/20</v>
      </c>
      <c r="AC475" s="206" t="str">
        <f t="shared" ca="1" si="47"/>
        <v>Q1</v>
      </c>
      <c r="AD475" s="206" t="str">
        <f t="shared" ca="1" si="47"/>
        <v>Aug</v>
      </c>
      <c r="AE475" s="649">
        <f ca="1">IFERROR(HLOOKUP($AB475&amp;$AD475,'NWC_FC_NON-NOOS'!$C$4:$Q$24,MATCH($Y475,'NWC_FC_NON-NOOS'!$B$4:$B$24,0),FALSE),"")</f>
        <v>0</v>
      </c>
      <c r="AF475" s="650">
        <f ca="1">IFERROR(HLOOKUP($AB475&amp;$AD475,'NWC_FC_NON-NOOS'!$S$4:$AH$24,MATCH($Y475,'NWC_FC_NON-NOOS'!$S$4:$S$24,0),FALSE),"")</f>
        <v>0</v>
      </c>
      <c r="AG475" s="650">
        <f ca="1">IFERROR(HLOOKUP($AB475&amp;$AD475,'NWC_FC_NON-NOOS'!$B$50:$U$70,MATCH($Y475,'NWC_FC_NON-NOOS'!$B$50:$B$70,0),FALSE),"")</f>
        <v>0</v>
      </c>
      <c r="AH475" s="650">
        <f ca="1">IFERROR(IF($AA475="NOOS",HLOOKUP(STOCK_OVERVIEW!$AB475&amp;STOCK_OVERVIEW!$AD475,PLANNING_FC!$BB$27:$BP$46,MATCH(STOCK_OVERVIEW!$Y475,PLANNING_FC!$BA$27:$BA$46,0),FALSE),HLOOKUP($AB475&amp;$AD475,PLANNING_FC!$BB$4:$BP$23,MATCH(STOCK_OVERVIEW!$Y475,PLANNING_FC!$BA$4:$BA$23,0),FALSE)),"")</f>
        <v>0</v>
      </c>
      <c r="AI475" s="650">
        <f ca="1">IFERROR(IF($AA475="NOOS",HLOOKUP(STOCK_OVERVIEW!$AB475&amp;STOCK_OVERVIEW!$AD475,PLANNING_FC!$T$27:$AH$46,MATCH(STOCK_OVERVIEW!$Y475,PLANNING_FC!$B$27:$B$46,0),FALSE),HLOOKUP($AB475&amp;$AD475,PLANNING_FC!$T$4:$AH$23,MATCH(STOCK_OVERVIEW!$Y475,PLANNING_FC!$B$4:$B$23,0),FALSE)),"")</f>
        <v>0</v>
      </c>
      <c r="AJ475" s="650">
        <f ca="1">IFERROR(IF($AA475="NOOS",HLOOKUP(STOCK_OVERVIEW!$AB475&amp;STOCK_OVERVIEW!$AD475,PLANNING_FC!$DA$27:$DO$46,MATCH(STOCK_OVERVIEW!$Y475,PLANNING_FC!$CZ$27:$CZ$46,0),FALSE),HLOOKUP($AB475&amp;$AD475,PLANNING_FC!$DA$4:$DO$23,MATCH(STOCK_OVERVIEW!$Y475,PLANNING_FC!$CZ$4:$CZ$23,0),FALSE)),"")</f>
        <v>0</v>
      </c>
      <c r="AK475" s="651">
        <f ca="1">IFERROR(IF(AA475="NOOS",HLOOKUP(AB475&amp;AD475,PLANNING_FC!$AJ$27:$AY$47,MATCH(STOCK_OVERVIEW!Y475,PLANNING_FC!$AJ$27:$AJ$47,0),FALSE)*1000,HLOOKUP(AB475&amp;AD475,PLANNING_FC!$AJ$4:$AY$24,MATCH(STOCK_OVERVIEW!Y475,PLANNING_FC!$AJ$4:$AJ$24,0),FALSE)*1000),"")</f>
        <v>0</v>
      </c>
    </row>
    <row r="476" spans="24:37" x14ac:dyDescent="0.25">
      <c r="X476" s="465" t="str">
        <f t="shared" si="46"/>
        <v>VM</v>
      </c>
      <c r="Y476" s="206">
        <f t="shared" si="46"/>
        <v>0</v>
      </c>
      <c r="Z476" s="25" t="str">
        <f t="shared" ca="1" si="45"/>
        <v>VM019/20Sep</v>
      </c>
      <c r="AA476" s="206" t="s">
        <v>197</v>
      </c>
      <c r="AB476" s="206" t="str">
        <f t="shared" ca="1" si="47"/>
        <v>19/20</v>
      </c>
      <c r="AC476" s="206" t="str">
        <f t="shared" ca="1" si="47"/>
        <v>Q1</v>
      </c>
      <c r="AD476" s="206" t="str">
        <f t="shared" ca="1" si="47"/>
        <v>Sep</v>
      </c>
      <c r="AE476" s="649">
        <f ca="1">IFERROR(HLOOKUP($AB476&amp;$AD476,'NWC_FC_NON-NOOS'!$C$4:$Q$24,MATCH($Y476,'NWC_FC_NON-NOOS'!$B$4:$B$24,0),FALSE),"")</f>
        <v>0</v>
      </c>
      <c r="AF476" s="650">
        <f ca="1">IFERROR(HLOOKUP($AB476&amp;$AD476,'NWC_FC_NON-NOOS'!$S$4:$AH$24,MATCH($Y476,'NWC_FC_NON-NOOS'!$S$4:$S$24,0),FALSE),"")</f>
        <v>0</v>
      </c>
      <c r="AG476" s="650">
        <f ca="1">IFERROR(HLOOKUP($AB476&amp;$AD476,'NWC_FC_NON-NOOS'!$B$50:$U$70,MATCH($Y476,'NWC_FC_NON-NOOS'!$B$50:$B$70,0),FALSE),"")</f>
        <v>0</v>
      </c>
      <c r="AH476" s="650">
        <f ca="1">IFERROR(IF($AA476="NOOS",HLOOKUP(STOCK_OVERVIEW!$AB476&amp;STOCK_OVERVIEW!$AD476,PLANNING_FC!$BB$27:$BP$46,MATCH(STOCK_OVERVIEW!$Y476,PLANNING_FC!$BA$27:$BA$46,0),FALSE),HLOOKUP($AB476&amp;$AD476,PLANNING_FC!$BB$4:$BP$23,MATCH(STOCK_OVERVIEW!$Y476,PLANNING_FC!$BA$4:$BA$23,0),FALSE)),"")</f>
        <v>0</v>
      </c>
      <c r="AI476" s="650">
        <f ca="1">IFERROR(IF($AA476="NOOS",HLOOKUP(STOCK_OVERVIEW!$AB476&amp;STOCK_OVERVIEW!$AD476,PLANNING_FC!$T$27:$AH$46,MATCH(STOCK_OVERVIEW!$Y476,PLANNING_FC!$B$27:$B$46,0),FALSE),HLOOKUP($AB476&amp;$AD476,PLANNING_FC!$T$4:$AH$23,MATCH(STOCK_OVERVIEW!$Y476,PLANNING_FC!$B$4:$B$23,0),FALSE)),"")</f>
        <v>0</v>
      </c>
      <c r="AJ476" s="650">
        <f ca="1">IFERROR(IF($AA476="NOOS",HLOOKUP(STOCK_OVERVIEW!$AB476&amp;STOCK_OVERVIEW!$AD476,PLANNING_FC!$DA$27:$DO$46,MATCH(STOCK_OVERVIEW!$Y476,PLANNING_FC!$CZ$27:$CZ$46,0),FALSE),HLOOKUP($AB476&amp;$AD476,PLANNING_FC!$DA$4:$DO$23,MATCH(STOCK_OVERVIEW!$Y476,PLANNING_FC!$CZ$4:$CZ$23,0),FALSE)),"")</f>
        <v>0</v>
      </c>
      <c r="AK476" s="651">
        <f ca="1">IFERROR(IF(AA476="NOOS",HLOOKUP(AB476&amp;AD476,PLANNING_FC!$AJ$27:$AY$47,MATCH(STOCK_OVERVIEW!Y476,PLANNING_FC!$AJ$27:$AJ$47,0),FALSE)*1000,HLOOKUP(AB476&amp;AD476,PLANNING_FC!$AJ$4:$AY$24,MATCH(STOCK_OVERVIEW!Y476,PLANNING_FC!$AJ$4:$AJ$24,0),FALSE)*1000),"")</f>
        <v>0</v>
      </c>
    </row>
    <row r="477" spans="24:37" x14ac:dyDescent="0.25">
      <c r="X477" s="465" t="str">
        <f t="shared" si="46"/>
        <v>VM</v>
      </c>
      <c r="Y477" s="206">
        <f t="shared" si="46"/>
        <v>0</v>
      </c>
      <c r="Z477" s="25" t="str">
        <f t="shared" ca="1" si="45"/>
        <v>VM019/20Oct</v>
      </c>
      <c r="AA477" s="206" t="s">
        <v>197</v>
      </c>
      <c r="AB477" s="206" t="str">
        <f t="shared" ca="1" si="47"/>
        <v>19/20</v>
      </c>
      <c r="AC477" s="206" t="str">
        <f t="shared" ca="1" si="47"/>
        <v>Q1</v>
      </c>
      <c r="AD477" s="206" t="str">
        <f t="shared" ca="1" si="47"/>
        <v>Oct</v>
      </c>
      <c r="AE477" s="649">
        <f ca="1">IFERROR(HLOOKUP($AB477&amp;$AD477,'NWC_FC_NON-NOOS'!$C$4:$Q$24,MATCH($Y477,'NWC_FC_NON-NOOS'!$B$4:$B$24,0),FALSE),"")</f>
        <v>0</v>
      </c>
      <c r="AF477" s="650">
        <f ca="1">IFERROR(HLOOKUP($AB477&amp;$AD477,'NWC_FC_NON-NOOS'!$S$4:$AH$24,MATCH($Y477,'NWC_FC_NON-NOOS'!$S$4:$S$24,0),FALSE),"")</f>
        <v>0</v>
      </c>
      <c r="AG477" s="650">
        <f ca="1">IFERROR(HLOOKUP($AB477&amp;$AD477,'NWC_FC_NON-NOOS'!$B$50:$U$70,MATCH($Y477,'NWC_FC_NON-NOOS'!$B$50:$B$70,0),FALSE),"")</f>
        <v>0</v>
      </c>
      <c r="AH477" s="650">
        <f ca="1">IFERROR(IF($AA477="NOOS",HLOOKUP(STOCK_OVERVIEW!$AB477&amp;STOCK_OVERVIEW!$AD477,PLANNING_FC!$BB$27:$BP$46,MATCH(STOCK_OVERVIEW!$Y477,PLANNING_FC!$BA$27:$BA$46,0),FALSE),HLOOKUP($AB477&amp;$AD477,PLANNING_FC!$BB$4:$BP$23,MATCH(STOCK_OVERVIEW!$Y477,PLANNING_FC!$BA$4:$BA$23,0),FALSE)),"")</f>
        <v>0</v>
      </c>
      <c r="AI477" s="650">
        <f ca="1">IFERROR(IF($AA477="NOOS",HLOOKUP(STOCK_OVERVIEW!$AB477&amp;STOCK_OVERVIEW!$AD477,PLANNING_FC!$T$27:$AH$46,MATCH(STOCK_OVERVIEW!$Y477,PLANNING_FC!$B$27:$B$46,0),FALSE),HLOOKUP($AB477&amp;$AD477,PLANNING_FC!$T$4:$AH$23,MATCH(STOCK_OVERVIEW!$Y477,PLANNING_FC!$B$4:$B$23,0),FALSE)),"")</f>
        <v>0</v>
      </c>
      <c r="AJ477" s="650">
        <f ca="1">IFERROR(IF($AA477="NOOS",HLOOKUP(STOCK_OVERVIEW!$AB477&amp;STOCK_OVERVIEW!$AD477,PLANNING_FC!$DA$27:$DO$46,MATCH(STOCK_OVERVIEW!$Y477,PLANNING_FC!$CZ$27:$CZ$46,0),FALSE),HLOOKUP($AB477&amp;$AD477,PLANNING_FC!$DA$4:$DO$23,MATCH(STOCK_OVERVIEW!$Y477,PLANNING_FC!$CZ$4:$CZ$23,0),FALSE)),"")</f>
        <v>0</v>
      </c>
      <c r="AK477" s="651">
        <f ca="1">IFERROR(IF(AA477="NOOS",HLOOKUP(AB477&amp;AD477,PLANNING_FC!$AJ$27:$AY$47,MATCH(STOCK_OVERVIEW!Y477,PLANNING_FC!$AJ$27:$AJ$47,0),FALSE)*1000,HLOOKUP(AB477&amp;AD477,PLANNING_FC!$AJ$4:$AY$24,MATCH(STOCK_OVERVIEW!Y477,PLANNING_FC!$AJ$4:$AJ$24,0),FALSE)*1000),"")</f>
        <v>0</v>
      </c>
    </row>
    <row r="478" spans="24:37" x14ac:dyDescent="0.25">
      <c r="X478" s="465" t="str">
        <f t="shared" si="46"/>
        <v>VM</v>
      </c>
      <c r="Y478" s="206">
        <f t="shared" si="46"/>
        <v>0</v>
      </c>
      <c r="Z478" s="25" t="str">
        <f t="shared" ca="1" si="45"/>
        <v>VM019/20Nov</v>
      </c>
      <c r="AA478" s="206" t="s">
        <v>197</v>
      </c>
      <c r="AB478" s="206" t="str">
        <f t="shared" ca="1" si="47"/>
        <v>19/20</v>
      </c>
      <c r="AC478" s="206" t="str">
        <f t="shared" ca="1" si="47"/>
        <v>Q2</v>
      </c>
      <c r="AD478" s="206" t="str">
        <f t="shared" ca="1" si="47"/>
        <v>Nov</v>
      </c>
      <c r="AE478" s="649">
        <f ca="1">IFERROR(HLOOKUP($AB478&amp;$AD478,'NWC_FC_NON-NOOS'!$C$4:$Q$24,MATCH($Y478,'NWC_FC_NON-NOOS'!$B$4:$B$24,0),FALSE),"")</f>
        <v>0</v>
      </c>
      <c r="AF478" s="650">
        <f ca="1">IFERROR(HLOOKUP($AB478&amp;$AD478,'NWC_FC_NON-NOOS'!$S$4:$AH$24,MATCH($Y478,'NWC_FC_NON-NOOS'!$S$4:$S$24,0),FALSE),"")</f>
        <v>0</v>
      </c>
      <c r="AG478" s="650">
        <f ca="1">IFERROR(HLOOKUP($AB478&amp;$AD478,'NWC_FC_NON-NOOS'!$B$50:$U$70,MATCH($Y478,'NWC_FC_NON-NOOS'!$B$50:$B$70,0),FALSE),"")</f>
        <v>0</v>
      </c>
      <c r="AH478" s="650">
        <f ca="1">IFERROR(IF($AA478="NOOS",HLOOKUP(STOCK_OVERVIEW!$AB478&amp;STOCK_OVERVIEW!$AD478,PLANNING_FC!$BB$27:$BP$46,MATCH(STOCK_OVERVIEW!$Y478,PLANNING_FC!$BA$27:$BA$46,0),FALSE),HLOOKUP($AB478&amp;$AD478,PLANNING_FC!$BB$4:$BP$23,MATCH(STOCK_OVERVIEW!$Y478,PLANNING_FC!$BA$4:$BA$23,0),FALSE)),"")</f>
        <v>0</v>
      </c>
      <c r="AI478" s="650">
        <f ca="1">IFERROR(IF($AA478="NOOS",HLOOKUP(STOCK_OVERVIEW!$AB478&amp;STOCK_OVERVIEW!$AD478,PLANNING_FC!$T$27:$AH$46,MATCH(STOCK_OVERVIEW!$Y478,PLANNING_FC!$B$27:$B$46,0),FALSE),HLOOKUP($AB478&amp;$AD478,PLANNING_FC!$T$4:$AH$23,MATCH(STOCK_OVERVIEW!$Y478,PLANNING_FC!$B$4:$B$23,0),FALSE)),"")</f>
        <v>0</v>
      </c>
      <c r="AJ478" s="650">
        <f ca="1">IFERROR(IF($AA478="NOOS",HLOOKUP(STOCK_OVERVIEW!$AB478&amp;STOCK_OVERVIEW!$AD478,PLANNING_FC!$DA$27:$DO$46,MATCH(STOCK_OVERVIEW!$Y478,PLANNING_FC!$CZ$27:$CZ$46,0),FALSE),HLOOKUP($AB478&amp;$AD478,PLANNING_FC!$DA$4:$DO$23,MATCH(STOCK_OVERVIEW!$Y478,PLANNING_FC!$CZ$4:$CZ$23,0),FALSE)),"")</f>
        <v>0</v>
      </c>
      <c r="AK478" s="651">
        <f ca="1">IFERROR(IF(AA478="NOOS",HLOOKUP(AB478&amp;AD478,PLANNING_FC!$AJ$27:$AY$47,MATCH(STOCK_OVERVIEW!Y478,PLANNING_FC!$AJ$27:$AJ$47,0),FALSE)*1000,HLOOKUP(AB478&amp;AD478,PLANNING_FC!$AJ$4:$AY$24,MATCH(STOCK_OVERVIEW!Y478,PLANNING_FC!$AJ$4:$AJ$24,0),FALSE)*1000),"")</f>
        <v>0</v>
      </c>
    </row>
    <row r="479" spans="24:37" x14ac:dyDescent="0.25">
      <c r="X479" s="465" t="str">
        <f t="shared" si="46"/>
        <v>VM</v>
      </c>
      <c r="Y479" s="206">
        <f t="shared" si="46"/>
        <v>0</v>
      </c>
      <c r="Z479" s="25" t="str">
        <f t="shared" ca="1" si="45"/>
        <v>VM019/20Dec</v>
      </c>
      <c r="AA479" s="206" t="s">
        <v>197</v>
      </c>
      <c r="AB479" s="206" t="str">
        <f t="shared" ca="1" si="47"/>
        <v>19/20</v>
      </c>
      <c r="AC479" s="206" t="str">
        <f t="shared" ca="1" si="47"/>
        <v>Q2</v>
      </c>
      <c r="AD479" s="206" t="str">
        <f t="shared" ca="1" si="47"/>
        <v>Dec</v>
      </c>
      <c r="AE479" s="649">
        <f ca="1">IFERROR(HLOOKUP($AB479&amp;$AD479,'NWC_FC_NON-NOOS'!$C$4:$Q$24,MATCH($Y479,'NWC_FC_NON-NOOS'!$B$4:$B$24,0),FALSE),"")</f>
        <v>0</v>
      </c>
      <c r="AF479" s="650">
        <f ca="1">IFERROR(HLOOKUP($AB479&amp;$AD479,'NWC_FC_NON-NOOS'!$S$4:$AH$24,MATCH($Y479,'NWC_FC_NON-NOOS'!$S$4:$S$24,0),FALSE),"")</f>
        <v>0</v>
      </c>
      <c r="AG479" s="650">
        <f ca="1">IFERROR(HLOOKUP($AB479&amp;$AD479,'NWC_FC_NON-NOOS'!$B$50:$U$70,MATCH($Y479,'NWC_FC_NON-NOOS'!$B$50:$B$70,0),FALSE),"")</f>
        <v>0</v>
      </c>
      <c r="AH479" s="650">
        <f ca="1">IFERROR(IF($AA479="NOOS",HLOOKUP(STOCK_OVERVIEW!$AB479&amp;STOCK_OVERVIEW!$AD479,PLANNING_FC!$BB$27:$BP$46,MATCH(STOCK_OVERVIEW!$Y479,PLANNING_FC!$BA$27:$BA$46,0),FALSE),HLOOKUP($AB479&amp;$AD479,PLANNING_FC!$BB$4:$BP$23,MATCH(STOCK_OVERVIEW!$Y479,PLANNING_FC!$BA$4:$BA$23,0),FALSE)),"")</f>
        <v>0</v>
      </c>
      <c r="AI479" s="650">
        <f ca="1">IFERROR(IF($AA479="NOOS",HLOOKUP(STOCK_OVERVIEW!$AB479&amp;STOCK_OVERVIEW!$AD479,PLANNING_FC!$T$27:$AH$46,MATCH(STOCK_OVERVIEW!$Y479,PLANNING_FC!$B$27:$B$46,0),FALSE),HLOOKUP($AB479&amp;$AD479,PLANNING_FC!$T$4:$AH$23,MATCH(STOCK_OVERVIEW!$Y479,PLANNING_FC!$B$4:$B$23,0),FALSE)),"")</f>
        <v>0</v>
      </c>
      <c r="AJ479" s="650">
        <f ca="1">IFERROR(IF($AA479="NOOS",HLOOKUP(STOCK_OVERVIEW!$AB479&amp;STOCK_OVERVIEW!$AD479,PLANNING_FC!$DA$27:$DO$46,MATCH(STOCK_OVERVIEW!$Y479,PLANNING_FC!$CZ$27:$CZ$46,0),FALSE),HLOOKUP($AB479&amp;$AD479,PLANNING_FC!$DA$4:$DO$23,MATCH(STOCK_OVERVIEW!$Y479,PLANNING_FC!$CZ$4:$CZ$23,0),FALSE)),"")</f>
        <v>0</v>
      </c>
      <c r="AK479" s="651">
        <f ca="1">IFERROR(IF(AA479="NOOS",HLOOKUP(AB479&amp;AD479,PLANNING_FC!$AJ$27:$AY$47,MATCH(STOCK_OVERVIEW!Y479,PLANNING_FC!$AJ$27:$AJ$47,0),FALSE)*1000,HLOOKUP(AB479&amp;AD479,PLANNING_FC!$AJ$4:$AY$24,MATCH(STOCK_OVERVIEW!Y479,PLANNING_FC!$AJ$4:$AJ$24,0),FALSE)*1000),"")</f>
        <v>0</v>
      </c>
    </row>
    <row r="480" spans="24:37" x14ac:dyDescent="0.25">
      <c r="X480" s="465" t="str">
        <f t="shared" si="46"/>
        <v>VM</v>
      </c>
      <c r="Y480" s="206">
        <f t="shared" si="46"/>
        <v>0</v>
      </c>
      <c r="Z480" s="25" t="str">
        <f t="shared" ca="1" si="45"/>
        <v>VM019/20Jan</v>
      </c>
      <c r="AA480" s="206" t="s">
        <v>197</v>
      </c>
      <c r="AB480" s="206" t="str">
        <f t="shared" ca="1" si="47"/>
        <v>19/20</v>
      </c>
      <c r="AC480" s="206" t="str">
        <f t="shared" ca="1" si="47"/>
        <v>Q2</v>
      </c>
      <c r="AD480" s="206" t="str">
        <f t="shared" ca="1" si="47"/>
        <v>Jan</v>
      </c>
      <c r="AE480" s="649">
        <f ca="1">IFERROR(HLOOKUP($AB480&amp;$AD480,'NWC_FC_NON-NOOS'!$C$4:$Q$24,MATCH($Y480,'NWC_FC_NON-NOOS'!$B$4:$B$24,0),FALSE),"")</f>
        <v>0</v>
      </c>
      <c r="AF480" s="650">
        <f ca="1">IFERROR(HLOOKUP($AB480&amp;$AD480,'NWC_FC_NON-NOOS'!$S$4:$AH$24,MATCH($Y480,'NWC_FC_NON-NOOS'!$S$4:$S$24,0),FALSE),"")</f>
        <v>0</v>
      </c>
      <c r="AG480" s="650">
        <f ca="1">IFERROR(HLOOKUP($AB480&amp;$AD480,'NWC_FC_NON-NOOS'!$B$50:$U$70,MATCH($Y480,'NWC_FC_NON-NOOS'!$B$50:$B$70,0),FALSE),"")</f>
        <v>0</v>
      </c>
      <c r="AH480" s="650">
        <f ca="1">IFERROR(IF($AA480="NOOS",HLOOKUP(STOCK_OVERVIEW!$AB480&amp;STOCK_OVERVIEW!$AD480,PLANNING_FC!$BB$27:$BP$46,MATCH(STOCK_OVERVIEW!$Y480,PLANNING_FC!$BA$27:$BA$46,0),FALSE),HLOOKUP($AB480&amp;$AD480,PLANNING_FC!$BB$4:$BP$23,MATCH(STOCK_OVERVIEW!$Y480,PLANNING_FC!$BA$4:$BA$23,0),FALSE)),"")</f>
        <v>0</v>
      </c>
      <c r="AI480" s="650">
        <f ca="1">IFERROR(IF($AA480="NOOS",HLOOKUP(STOCK_OVERVIEW!$AB480&amp;STOCK_OVERVIEW!$AD480,PLANNING_FC!$T$27:$AH$46,MATCH(STOCK_OVERVIEW!$Y480,PLANNING_FC!$B$27:$B$46,0),FALSE),HLOOKUP($AB480&amp;$AD480,PLANNING_FC!$T$4:$AH$23,MATCH(STOCK_OVERVIEW!$Y480,PLANNING_FC!$B$4:$B$23,0),FALSE)),"")</f>
        <v>0</v>
      </c>
      <c r="AJ480" s="650">
        <f ca="1">IFERROR(IF($AA480="NOOS",HLOOKUP(STOCK_OVERVIEW!$AB480&amp;STOCK_OVERVIEW!$AD480,PLANNING_FC!$DA$27:$DO$46,MATCH(STOCK_OVERVIEW!$Y480,PLANNING_FC!$CZ$27:$CZ$46,0),FALSE),HLOOKUP($AB480&amp;$AD480,PLANNING_FC!$DA$4:$DO$23,MATCH(STOCK_OVERVIEW!$Y480,PLANNING_FC!$CZ$4:$CZ$23,0),FALSE)),"")</f>
        <v>0</v>
      </c>
      <c r="AK480" s="651">
        <f ca="1">IFERROR(IF(AA480="NOOS",HLOOKUP(AB480&amp;AD480,PLANNING_FC!$AJ$27:$AY$47,MATCH(STOCK_OVERVIEW!Y480,PLANNING_FC!$AJ$27:$AJ$47,0),FALSE)*1000,HLOOKUP(AB480&amp;AD480,PLANNING_FC!$AJ$4:$AY$24,MATCH(STOCK_OVERVIEW!Y480,PLANNING_FC!$AJ$4:$AJ$24,0),FALSE)*1000),"")</f>
        <v>0</v>
      </c>
    </row>
    <row r="481" spans="24:37" x14ac:dyDescent="0.25">
      <c r="X481" s="465" t="str">
        <f t="shared" si="46"/>
        <v>VM</v>
      </c>
      <c r="Y481" s="206">
        <f t="shared" si="46"/>
        <v>0</v>
      </c>
      <c r="Z481" s="25" t="str">
        <f t="shared" ca="1" si="45"/>
        <v>VM019/20Feb</v>
      </c>
      <c r="AA481" s="206" t="s">
        <v>197</v>
      </c>
      <c r="AB481" s="206" t="str">
        <f t="shared" ca="1" si="47"/>
        <v>19/20</v>
      </c>
      <c r="AC481" s="206" t="str">
        <f t="shared" ca="1" si="47"/>
        <v>Q3</v>
      </c>
      <c r="AD481" s="206" t="str">
        <f t="shared" ca="1" si="47"/>
        <v>Feb</v>
      </c>
      <c r="AE481" s="649" t="str">
        <f ca="1">IFERROR(HLOOKUP($AB481&amp;$AD481,'NWC_FC_NON-NOOS'!$C$4:$Q$24,MATCH($Y481,'NWC_FC_NON-NOOS'!$B$4:$B$24,0),FALSE),"")</f>
        <v/>
      </c>
      <c r="AF481" s="650" t="str">
        <f ca="1">IFERROR(HLOOKUP($AB481&amp;$AD481,'NWC_FC_NON-NOOS'!$S$4:$AH$24,MATCH($Y481,'NWC_FC_NON-NOOS'!$S$4:$S$24,0),FALSE),"")</f>
        <v/>
      </c>
      <c r="AG481" s="650">
        <f ca="1">IFERROR(HLOOKUP($AB481&amp;$AD481,'NWC_FC_NON-NOOS'!$B$50:$U$70,MATCH($Y481,'NWC_FC_NON-NOOS'!$B$50:$B$70,0),FALSE),"")</f>
        <v>0</v>
      </c>
      <c r="AH481" s="650" t="str">
        <f ca="1">IFERROR(IF($AA481="NOOS",HLOOKUP(STOCK_OVERVIEW!$AB481&amp;STOCK_OVERVIEW!$AD481,PLANNING_FC!$BB$27:$BP$46,MATCH(STOCK_OVERVIEW!$Y481,PLANNING_FC!$BA$27:$BA$46,0),FALSE),HLOOKUP($AB481&amp;$AD481,PLANNING_FC!$BB$4:$BP$23,MATCH(STOCK_OVERVIEW!$Y481,PLANNING_FC!$BA$4:$BA$23,0),FALSE)),"")</f>
        <v/>
      </c>
      <c r="AI481" s="650" t="str">
        <f ca="1">IFERROR(IF($AA481="NOOS",HLOOKUP(STOCK_OVERVIEW!$AB481&amp;STOCK_OVERVIEW!$AD481,PLANNING_FC!$T$27:$AH$46,MATCH(STOCK_OVERVIEW!$Y481,PLANNING_FC!$B$27:$B$46,0),FALSE),HLOOKUP($AB481&amp;$AD481,PLANNING_FC!$T$4:$AH$23,MATCH(STOCK_OVERVIEW!$Y481,PLANNING_FC!$B$4:$B$23,0),FALSE)),"")</f>
        <v/>
      </c>
      <c r="AJ481" s="650" t="str">
        <f ca="1">IFERROR(IF($AA481="NOOS",HLOOKUP(STOCK_OVERVIEW!$AB481&amp;STOCK_OVERVIEW!$AD481,PLANNING_FC!$DA$27:$DO$46,MATCH(STOCK_OVERVIEW!$Y481,PLANNING_FC!$CZ$27:$CZ$46,0),FALSE),HLOOKUP($AB481&amp;$AD481,PLANNING_FC!$DA$4:$DO$23,MATCH(STOCK_OVERVIEW!$Y481,PLANNING_FC!$CZ$4:$CZ$23,0),FALSE)),"")</f>
        <v/>
      </c>
      <c r="AK481" s="651" t="str">
        <f ca="1">IFERROR(IF(AA481="NOOS",HLOOKUP(AB481&amp;AD481,PLANNING_FC!$AJ$27:$AY$47,MATCH(STOCK_OVERVIEW!Y481,PLANNING_FC!$AJ$27:$AJ$47,0),FALSE)*1000,HLOOKUP(AB481&amp;AD481,PLANNING_FC!$AJ$4:$AY$24,MATCH(STOCK_OVERVIEW!Y481,PLANNING_FC!$AJ$4:$AJ$24,0),FALSE)*1000),"")</f>
        <v/>
      </c>
    </row>
    <row r="482" spans="24:37" x14ac:dyDescent="0.25">
      <c r="X482" s="465" t="str">
        <f t="shared" si="46"/>
        <v>VM</v>
      </c>
      <c r="Y482" s="206">
        <f t="shared" si="46"/>
        <v>0</v>
      </c>
      <c r="Z482" s="25" t="str">
        <f t="shared" ca="1" si="45"/>
        <v>VM019/20Mar</v>
      </c>
      <c r="AA482" s="206" t="s">
        <v>197</v>
      </c>
      <c r="AB482" s="206" t="str">
        <f t="shared" ca="1" si="47"/>
        <v>19/20</v>
      </c>
      <c r="AC482" s="206" t="str">
        <f t="shared" ca="1" si="47"/>
        <v>Q3</v>
      </c>
      <c r="AD482" s="206" t="str">
        <f t="shared" ca="1" si="47"/>
        <v>Mar</v>
      </c>
      <c r="AE482" s="649" t="str">
        <f ca="1">IFERROR(HLOOKUP($AB482&amp;$AD482,'NWC_FC_NON-NOOS'!$C$4:$Q$24,MATCH($Y482,'NWC_FC_NON-NOOS'!$B$4:$B$24,0),FALSE),"")</f>
        <v/>
      </c>
      <c r="AF482" s="650" t="str">
        <f ca="1">IFERROR(HLOOKUP($AB482&amp;$AD482,'NWC_FC_NON-NOOS'!$S$4:$AH$24,MATCH($Y482,'NWC_FC_NON-NOOS'!$S$4:$S$24,0),FALSE),"")</f>
        <v/>
      </c>
      <c r="AG482" s="650">
        <f ca="1">IFERROR(HLOOKUP($AB482&amp;$AD482,'NWC_FC_NON-NOOS'!$B$50:$U$70,MATCH($Y482,'NWC_FC_NON-NOOS'!$B$50:$B$70,0),FALSE),"")</f>
        <v>0</v>
      </c>
      <c r="AH482" s="650" t="str">
        <f ca="1">IFERROR(IF($AA482="NOOS",HLOOKUP(STOCK_OVERVIEW!$AB482&amp;STOCK_OVERVIEW!$AD482,PLANNING_FC!$BB$27:$BP$46,MATCH(STOCK_OVERVIEW!$Y482,PLANNING_FC!$BA$27:$BA$46,0),FALSE),HLOOKUP($AB482&amp;$AD482,PLANNING_FC!$BB$4:$BP$23,MATCH(STOCK_OVERVIEW!$Y482,PLANNING_FC!$BA$4:$BA$23,0),FALSE)),"")</f>
        <v/>
      </c>
      <c r="AI482" s="650" t="str">
        <f ca="1">IFERROR(IF($AA482="NOOS",HLOOKUP(STOCK_OVERVIEW!$AB482&amp;STOCK_OVERVIEW!$AD482,PLANNING_FC!$T$27:$AH$46,MATCH(STOCK_OVERVIEW!$Y482,PLANNING_FC!$B$27:$B$46,0),FALSE),HLOOKUP($AB482&amp;$AD482,PLANNING_FC!$T$4:$AH$23,MATCH(STOCK_OVERVIEW!$Y482,PLANNING_FC!$B$4:$B$23,0),FALSE)),"")</f>
        <v/>
      </c>
      <c r="AJ482" s="650" t="str">
        <f ca="1">IFERROR(IF($AA482="NOOS",HLOOKUP(STOCK_OVERVIEW!$AB482&amp;STOCK_OVERVIEW!$AD482,PLANNING_FC!$DA$27:$DO$46,MATCH(STOCK_OVERVIEW!$Y482,PLANNING_FC!$CZ$27:$CZ$46,0),FALSE),HLOOKUP($AB482&amp;$AD482,PLANNING_FC!$DA$4:$DO$23,MATCH(STOCK_OVERVIEW!$Y482,PLANNING_FC!$CZ$4:$CZ$23,0),FALSE)),"")</f>
        <v/>
      </c>
      <c r="AK482" s="651" t="str">
        <f ca="1">IFERROR(IF(AA482="NOOS",HLOOKUP(AB482&amp;AD482,PLANNING_FC!$AJ$27:$AY$47,MATCH(STOCK_OVERVIEW!Y482,PLANNING_FC!$AJ$27:$AJ$47,0),FALSE)*1000,HLOOKUP(AB482&amp;AD482,PLANNING_FC!$AJ$4:$AY$24,MATCH(STOCK_OVERVIEW!Y482,PLANNING_FC!$AJ$4:$AJ$24,0),FALSE)*1000),"")</f>
        <v/>
      </c>
    </row>
    <row r="483" spans="24:37" x14ac:dyDescent="0.25">
      <c r="X483" s="654" t="str">
        <f t="shared" si="46"/>
        <v>VM</v>
      </c>
      <c r="Y483" s="655">
        <f t="shared" si="46"/>
        <v>0</v>
      </c>
      <c r="Z483" s="202" t="str">
        <f t="shared" ca="1" si="45"/>
        <v>VM019/20Apr</v>
      </c>
      <c r="AA483" s="655" t="s">
        <v>197</v>
      </c>
      <c r="AB483" s="655" t="str">
        <f t="shared" ca="1" si="47"/>
        <v>19/20</v>
      </c>
      <c r="AC483" s="655" t="str">
        <f t="shared" ca="1" si="47"/>
        <v>Q3</v>
      </c>
      <c r="AD483" s="655" t="str">
        <f t="shared" ca="1" si="47"/>
        <v>Apr</v>
      </c>
      <c r="AE483" s="652" t="str">
        <f ca="1">IFERROR(HLOOKUP($AB483&amp;$AD483,'NWC_FC_NON-NOOS'!$C$4:$Q$24,MATCH($Y483,'NWC_FC_NON-NOOS'!$B$4:$B$24,0),FALSE),"")</f>
        <v/>
      </c>
      <c r="AF483" s="653" t="str">
        <f ca="1">IFERROR(HLOOKUP($AB483&amp;$AD483,'NWC_FC_NON-NOOS'!$S$4:$AH$24,MATCH($Y483,'NWC_FC_NON-NOOS'!$S$4:$S$24,0),FALSE),"")</f>
        <v/>
      </c>
      <c r="AG483" s="653">
        <f ca="1">IFERROR(HLOOKUP($AB483&amp;$AD483,'NWC_FC_NON-NOOS'!$B$50:$U$70,MATCH($Y483,'NWC_FC_NON-NOOS'!$B$50:$B$70,0),FALSE),"")</f>
        <v>0</v>
      </c>
      <c r="AH483" s="653" t="str">
        <f ca="1">IFERROR(IF($AA483="NOOS",HLOOKUP(STOCK_OVERVIEW!$AB483&amp;STOCK_OVERVIEW!$AD483,PLANNING_FC!$BB$27:$BP$46,MATCH(STOCK_OVERVIEW!$Y483,PLANNING_FC!$BA$27:$BA$46,0),FALSE),HLOOKUP($AB483&amp;$AD483,PLANNING_FC!$BB$4:$BP$23,MATCH(STOCK_OVERVIEW!$Y483,PLANNING_FC!$BA$4:$BA$23,0),FALSE)),"")</f>
        <v/>
      </c>
      <c r="AI483" s="653" t="str">
        <f ca="1">IFERROR(IF($AA483="NOOS",HLOOKUP(STOCK_OVERVIEW!$AB483&amp;STOCK_OVERVIEW!$AD483,PLANNING_FC!$T$27:$AH$46,MATCH(STOCK_OVERVIEW!$Y483,PLANNING_FC!$B$27:$B$46,0),FALSE),HLOOKUP($AB483&amp;$AD483,PLANNING_FC!$T$4:$AH$23,MATCH(STOCK_OVERVIEW!$Y483,PLANNING_FC!$B$4:$B$23,0),FALSE)),"")</f>
        <v/>
      </c>
      <c r="AJ483" s="653" t="str">
        <f ca="1">IFERROR(IF($AA483="NOOS",HLOOKUP(STOCK_OVERVIEW!$AB483&amp;STOCK_OVERVIEW!$AD483,PLANNING_FC!$DA$27:$DO$46,MATCH(STOCK_OVERVIEW!$Y483,PLANNING_FC!$CZ$27:$CZ$46,0),FALSE),HLOOKUP($AB483&amp;$AD483,PLANNING_FC!$DA$4:$DO$23,MATCH(STOCK_OVERVIEW!$Y483,PLANNING_FC!$CZ$4:$CZ$23,0),FALSE)),"")</f>
        <v/>
      </c>
      <c r="AK483" s="694" t="str">
        <f ca="1">IFERROR(IF(AA483="NOOS",HLOOKUP(AB483&amp;AD483,PLANNING_FC!$AJ$27:$AY$47,MATCH(STOCK_OVERVIEW!Y483,PLANNING_FC!$AJ$27:$AJ$47,0),FALSE)*1000,HLOOKUP(AB483&amp;AD483,PLANNING_FC!$AJ$4:$AY$24,MATCH(STOCK_OVERVIEW!Y483,PLANNING_FC!$AJ$4:$AJ$24,0),FALSE)*1000),"")</f>
        <v/>
      </c>
    </row>
  </sheetData>
  <sheetProtection pivotTables="0"/>
  <protectedRanges>
    <protectedRange sqref="I1 M1" name="select"/>
  </protectedRanges>
  <dataConsolidate/>
  <mergeCells count="19">
    <mergeCell ref="I1:K1"/>
    <mergeCell ref="M1:O1"/>
    <mergeCell ref="B3:V3"/>
    <mergeCell ref="B33:Q33"/>
    <mergeCell ref="C6:E6"/>
    <mergeCell ref="G6:I6"/>
    <mergeCell ref="K6:M6"/>
    <mergeCell ref="O6:Q6"/>
    <mergeCell ref="S6:U6"/>
    <mergeCell ref="T1:V1"/>
    <mergeCell ref="C38:E38"/>
    <mergeCell ref="G38:I38"/>
    <mergeCell ref="K38:M38"/>
    <mergeCell ref="S33:V33"/>
    <mergeCell ref="C39:E39"/>
    <mergeCell ref="G39:I39"/>
    <mergeCell ref="K39:M39"/>
    <mergeCell ref="O39:Q39"/>
    <mergeCell ref="O38:Q38"/>
  </mergeCells>
  <dataValidations disablePrompts="1" count="1">
    <dataValidation type="decimal" operator="greaterThan" allowBlank="1" showInputMessage="1" showErrorMessage="1" sqref="J63:Q63 H130:I130 C130:F130" xr:uid="{D6518C13-70EA-45DF-B400-896CF39943B9}">
      <formula1>0</formula1>
    </dataValidation>
  </dataValidations>
  <hyperlinks>
    <hyperlink ref="T1" location="FRONT_PAGE!A1" display="BACK TO FRONT PAGE" xr:uid="{2FB585E0-817D-4259-9FDF-2267CEFBFEA7}"/>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5E0BD02-D3A5-47DA-9F0D-5F121F513A2C}">
          <x14:formula1>
            <xm:f>'PIVOT TABLE'!$H$4:$H$6</xm:f>
          </x14:formula1>
          <xm:sqref>I1:I2</xm:sqref>
        </x14:dataValidation>
        <x14:dataValidation type="list" allowBlank="1" showInputMessage="1" showErrorMessage="1" xr:uid="{FF2C9CB4-24B4-461B-B659-0D4E08188BE1}">
          <x14:formula1>
            <xm:f>'PIVOT TABLE'!$C$4:$C$19</xm:f>
          </x14:formula1>
          <xm:sqref>M1:M2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BC1000"/>
  <sheetViews>
    <sheetView showGridLines="0" workbookViewId="0">
      <pane ySplit="1" topLeftCell="A2" activePane="bottomLeft" state="frozen"/>
      <selection activeCell="AO1" sqref="AO1"/>
      <selection pane="bottomLeft" activeCell="H31" sqref="H31"/>
    </sheetView>
  </sheetViews>
  <sheetFormatPr defaultColWidth="8.7109375" defaultRowHeight="15" x14ac:dyDescent="0.25"/>
  <cols>
    <col min="1" max="1" width="38.28515625" style="53" customWidth="1"/>
    <col min="2" max="2" width="10.140625" style="53" customWidth="1"/>
    <col min="3" max="3" width="9.42578125" style="53" bestFit="1" customWidth="1"/>
    <col min="4" max="4" width="12.5703125" style="53" bestFit="1" customWidth="1"/>
    <col min="5" max="5" width="19.28515625" style="53" bestFit="1" customWidth="1"/>
    <col min="6" max="6" width="5.5703125" style="53" bestFit="1" customWidth="1"/>
    <col min="7" max="7" width="5.42578125" style="53" bestFit="1" customWidth="1"/>
    <col min="8" max="8" width="5.42578125" style="53" customWidth="1"/>
    <col min="9" max="9" width="11.85546875" style="357" bestFit="1" customWidth="1"/>
    <col min="10" max="10" width="13.7109375" style="54" bestFit="1" customWidth="1"/>
    <col min="11" max="11" width="11.85546875" style="55" bestFit="1" customWidth="1"/>
    <col min="12" max="12" width="11.85546875" style="226" customWidth="1"/>
    <col min="13" max="13" width="12.42578125" style="229" customWidth="1"/>
    <col min="14" max="14" width="11.85546875" style="56" bestFit="1" customWidth="1"/>
    <col min="15" max="15" width="11.85546875" style="57" bestFit="1" customWidth="1"/>
    <col min="16" max="16" width="11.85546875" style="57" customWidth="1"/>
    <col min="17" max="17" width="5.140625" style="204" customWidth="1"/>
    <col min="18" max="18" width="34.140625" style="347" customWidth="1"/>
    <col min="19" max="19" width="12.42578125" style="356" bestFit="1" customWidth="1"/>
    <col min="20" max="20" width="12.42578125" style="353" customWidth="1"/>
    <col min="21" max="21" width="10.5703125" style="353" bestFit="1" customWidth="1"/>
    <col min="22" max="22" width="13.140625" style="353" bestFit="1" customWidth="1"/>
    <col min="23" max="23" width="24.28515625" style="353" bestFit="1" customWidth="1"/>
    <col min="24" max="24" width="8" style="353" customWidth="1"/>
    <col min="25" max="25" width="5" style="353" bestFit="1" customWidth="1"/>
    <col min="26" max="26" width="18.28515625" style="353" bestFit="1" customWidth="1"/>
    <col min="27" max="27" width="18.28515625" style="353" customWidth="1"/>
    <col min="28" max="29" width="14.85546875" style="594" bestFit="1" customWidth="1"/>
    <col min="30" max="30" width="20.7109375" style="354" bestFit="1" customWidth="1"/>
    <col min="31" max="31" width="16.7109375" style="364" bestFit="1" customWidth="1"/>
    <col min="32" max="32" width="10.7109375" style="355" bestFit="1" customWidth="1"/>
    <col min="33" max="33" width="12.5703125" style="415" bestFit="1" customWidth="1"/>
    <col min="34" max="34" width="13.85546875" style="416" bestFit="1" customWidth="1"/>
    <col min="35" max="35" width="8.5703125" style="416" bestFit="1" customWidth="1"/>
    <col min="36" max="36" width="13.5703125" style="416" bestFit="1" customWidth="1"/>
    <col min="37" max="37" width="18.42578125" style="416" bestFit="1" customWidth="1"/>
    <col min="38" max="38" width="19.85546875" style="416" bestFit="1" customWidth="1"/>
    <col min="39" max="39" width="28.140625" style="417" bestFit="1" customWidth="1"/>
    <col min="40" max="40" width="17.140625" style="58" bestFit="1" customWidth="1"/>
    <col min="41" max="41" width="31" style="57" bestFit="1" customWidth="1"/>
    <col min="42" max="42" width="24.5703125" style="57" bestFit="1" customWidth="1"/>
    <col min="43" max="43" width="22.42578125" style="58" bestFit="1" customWidth="1"/>
    <col min="44" max="44" width="36.28515625" style="57" bestFit="1" customWidth="1"/>
    <col min="45" max="45" width="30" style="57" bestFit="1" customWidth="1"/>
    <col min="46" max="46" width="32" style="57" bestFit="1" customWidth="1"/>
    <col min="47" max="47" width="25.42578125" style="57" bestFit="1" customWidth="1"/>
    <col min="48" max="48" width="27.7109375" style="58" bestFit="1" customWidth="1"/>
    <col min="49" max="49" width="33" style="58" bestFit="1" customWidth="1"/>
    <col min="50" max="50" width="23.140625" style="58" bestFit="1" customWidth="1"/>
    <col min="51" max="51" width="28.5703125" style="58" bestFit="1" customWidth="1"/>
    <col min="52" max="52" width="18" style="58" bestFit="1" customWidth="1"/>
    <col min="53" max="53" width="22.42578125" style="58" bestFit="1" customWidth="1"/>
    <col min="54" max="54" width="16.28515625" style="58" bestFit="1" customWidth="1"/>
    <col min="55" max="55" width="20.42578125" style="58" bestFit="1" customWidth="1"/>
    <col min="56" max="16384" width="8.7109375" style="58"/>
  </cols>
  <sheetData>
    <row r="1" spans="1:55" s="52" customFormat="1" x14ac:dyDescent="0.25">
      <c r="A1" s="50" t="s">
        <v>81</v>
      </c>
      <c r="B1" s="50" t="s">
        <v>131</v>
      </c>
      <c r="C1" s="50" t="s">
        <v>79</v>
      </c>
      <c r="D1" s="50" t="s">
        <v>76</v>
      </c>
      <c r="E1" s="50" t="s">
        <v>77</v>
      </c>
      <c r="F1" s="50" t="s">
        <v>7</v>
      </c>
      <c r="G1" s="50" t="s">
        <v>8</v>
      </c>
      <c r="H1" s="352" t="s">
        <v>125</v>
      </c>
      <c r="I1" s="572" t="s">
        <v>214</v>
      </c>
      <c r="J1" s="573" t="s">
        <v>215</v>
      </c>
      <c r="K1" s="574" t="s">
        <v>216</v>
      </c>
      <c r="L1" s="703" t="s">
        <v>106</v>
      </c>
      <c r="M1" s="704" t="s">
        <v>138</v>
      </c>
      <c r="N1" s="51" t="s">
        <v>119</v>
      </c>
      <c r="O1" s="705" t="s">
        <v>120</v>
      </c>
      <c r="P1" s="706" t="s">
        <v>176</v>
      </c>
      <c r="Q1" s="707" t="s">
        <v>117</v>
      </c>
      <c r="R1" s="708"/>
      <c r="S1" s="709" t="s">
        <v>131</v>
      </c>
      <c r="T1" s="711" t="s">
        <v>81</v>
      </c>
      <c r="U1" s="710" t="s">
        <v>79</v>
      </c>
      <c r="V1" s="710" t="s">
        <v>76</v>
      </c>
      <c r="W1" s="711" t="s">
        <v>114</v>
      </c>
      <c r="X1" s="710" t="s">
        <v>7</v>
      </c>
      <c r="Y1" s="710" t="s">
        <v>8</v>
      </c>
      <c r="Z1" s="710" t="s">
        <v>156</v>
      </c>
      <c r="AA1" s="711" t="s">
        <v>1717</v>
      </c>
      <c r="AB1" s="712" t="s">
        <v>121</v>
      </c>
      <c r="AC1" s="712" t="s">
        <v>122</v>
      </c>
      <c r="AD1" s="713" t="s">
        <v>123</v>
      </c>
      <c r="AE1" s="714" t="s">
        <v>118</v>
      </c>
      <c r="AF1" s="715" t="s">
        <v>138</v>
      </c>
      <c r="AG1" s="716" t="s">
        <v>173</v>
      </c>
      <c r="AH1" s="717" t="s">
        <v>126</v>
      </c>
      <c r="AI1" s="717" t="s">
        <v>127</v>
      </c>
      <c r="AJ1" s="717" t="s">
        <v>128</v>
      </c>
      <c r="AK1" s="717" t="s">
        <v>129</v>
      </c>
      <c r="AL1" s="717" t="s">
        <v>140</v>
      </c>
      <c r="AM1" s="718" t="s">
        <v>141</v>
      </c>
      <c r="AN1" s="379" t="s">
        <v>227</v>
      </c>
      <c r="AO1" s="719" t="s">
        <v>228</v>
      </c>
      <c r="AP1" s="719" t="s">
        <v>229</v>
      </c>
      <c r="AQ1" s="379" t="s">
        <v>1786</v>
      </c>
      <c r="AR1" s="719" t="s">
        <v>1787</v>
      </c>
      <c r="AS1" s="719" t="s">
        <v>1788</v>
      </c>
      <c r="AT1" s="719" t="s">
        <v>230</v>
      </c>
      <c r="AU1" s="719" t="s">
        <v>231</v>
      </c>
      <c r="AV1" s="379" t="s">
        <v>263</v>
      </c>
      <c r="AW1" s="379" t="s">
        <v>1789</v>
      </c>
      <c r="AX1" s="379" t="s">
        <v>1790</v>
      </c>
      <c r="AY1" s="379" t="s">
        <v>1791</v>
      </c>
      <c r="AZ1" s="379" t="s">
        <v>1792</v>
      </c>
      <c r="BA1" s="379" t="s">
        <v>1793</v>
      </c>
      <c r="BB1" s="882" t="s">
        <v>1794</v>
      </c>
      <c r="BC1" s="882" t="s">
        <v>1795</v>
      </c>
    </row>
    <row r="2" spans="1:55" x14ac:dyDescent="0.25">
      <c r="A2" s="509"/>
      <c r="B2" s="549"/>
      <c r="C2" s="509"/>
      <c r="D2" s="509"/>
      <c r="E2" s="509"/>
      <c r="F2" s="509"/>
      <c r="G2" s="509"/>
      <c r="H2" s="511"/>
      <c r="I2" s="512"/>
      <c r="J2" s="513"/>
      <c r="K2" s="879"/>
      <c r="L2" s="515"/>
      <c r="M2" s="516"/>
      <c r="N2" s="56">
        <f t="shared" ref="N2:N33" si="0">IFERROR(I2/(1-J2)*J2,0)</f>
        <v>0</v>
      </c>
      <c r="O2" s="57">
        <f t="shared" ref="O2:O33" si="1">IFERROR(I2+N2,0)</f>
        <v>0</v>
      </c>
      <c r="P2" s="57">
        <f ca="1">IFERROR(IF(ISBLANK(H2),SUMIFS($AC:$AC,$V:$V,V2,$W:$W,W2,$X:$X,X2,$Y:$Y,Y2)*J2/(1-J2)*VLOOKUP(_xlfn.CONCAT(C2,D2,E2,TIME!$M$12,Z2),HIS_SALES!$B$2:$W$4859,20,FALSE),AC2*J2/(1-J2)),0)</f>
        <v>0</v>
      </c>
      <c r="Q2" s="541" t="str">
        <f t="shared" ref="Q2:Q33" si="2">IF(AND(A2&lt;&gt;"",H2=""),IF(A2=A1,Q1+1,1),"")</f>
        <v/>
      </c>
      <c r="R2" s="346" t="str">
        <f t="shared" ref="R2:R65" si="3">U2&amp;V2&amp;W2&amp;X2&amp;Z2</f>
        <v>00000</v>
      </c>
      <c r="S2" s="344">
        <f t="shared" ref="S2:S33" si="4">B2</f>
        <v>0</v>
      </c>
      <c r="T2" s="345" t="str">
        <f>U2&amp;V2&amp;W2&amp;AA2</f>
        <v>000</v>
      </c>
      <c r="U2" s="345">
        <f t="shared" ref="U2:U33" si="5">C2</f>
        <v>0</v>
      </c>
      <c r="V2" s="345">
        <f t="shared" ref="V2:V33" si="6">D2</f>
        <v>0</v>
      </c>
      <c r="W2" s="345">
        <f t="shared" ref="W2:W33" si="7">E2</f>
        <v>0</v>
      </c>
      <c r="X2" s="345">
        <f t="shared" ref="X2:X33" si="8">F2</f>
        <v>0</v>
      </c>
      <c r="Y2" s="345">
        <f t="shared" ref="Y2:Y33" si="9">G2</f>
        <v>0</v>
      </c>
      <c r="Z2" s="345">
        <f>IF(Q2&lt;&gt;"",VLOOKUP(Y2,TIME!$R$21:$V$24,MATCH(FC_DATA!Q2,TIME!$R$20:$V$20,0),FALSE),H2)</f>
        <v>0</v>
      </c>
      <c r="AA2" s="345" t="str">
        <f>IFERROR(VLOOKUP(X2&amp;Z2,TIME!$A$12:$D$71,4,FALSE),"")</f>
        <v/>
      </c>
      <c r="AB2" s="592">
        <f t="shared" ref="AB2:AB65" ca="1" si="10">IFERROR(AC2+P2,0)</f>
        <v>0</v>
      </c>
      <c r="AC2" s="593" t="e">
        <f ca="1">IF(ISBLANK(H2)=FALSE,IF(D2="BRAND.com",I2,IF(ISNA(VLOOKUP(_xlfn.CONCAT(X2,Z2),TIME!$M$40:$M$42,1,FALSE)),I2,VLOOKUP(_xlfn.CONCAT(D2,G2,H2),M_BUSAREA_FC!$AF$5:$AJ$10,5,FALSE)*HLOOKUP(_xlfn.CONCAT(F2,H2),ST_OVERVIEW!$G$99:$I$130,MATCH(_xlfn.CONCAT(D2,E2),ST_OVERVIEW!$F$99:$F$130,0),FALSE))),IF(D2="BRAND.com",VLOOKUP(_xlfn.CONCAT(C2,D2,E2,TIME!$F$1,Z2),HIS_SALES!$B$2:$V$4859,19,FALSE)*I2,VLOOKUP(_xlfn.CONCAT(D2,F2,G2),Q_BUSAREA_FC!$AE$5:$AI$12,5,FALSE)*HLOOKUP(_xlfn.CONCAT(FC_DATA!F2,FC_DATA!G2),LT_OVERVIEW!$I$99:$M$130,MATCH(_xlfn.CONCAT(D2,FC_DATA!E2),LT_OVERVIEW!$H$99:$H$130,0),FALSE)*IFERROR(VLOOKUP(_xlfn.CONCAT(C2,D2,E2,TIME!$F$1,Z2),HIS_SALES!$B$2:$V$4859,19,FALSE),0)))</f>
        <v>#N/A</v>
      </c>
      <c r="AD2" s="341">
        <f t="shared" ref="AD2:AD33" ca="1" si="11">IFERROR(IF(D2="PARTNER.com",0,1-AC2/AB2),0)</f>
        <v>0</v>
      </c>
      <c r="AE2" s="363" t="str">
        <f t="shared" ref="AE2:AE33" si="12">IF(A2&lt;&gt;"",K2,"")</f>
        <v/>
      </c>
      <c r="AF2" s="342" t="str">
        <f t="shared" ref="AF2:AF33" si="13">IF(B2&lt;&gt;"",M2,"")</f>
        <v/>
      </c>
      <c r="AG2" s="411" t="e">
        <f ca="1">VLOOKUP(_xlfn.CONCAT(U2,V2,W2,VLOOKUP(X2&amp;Y2,TIME!$L$27:$O$34,4,FALSE),Y2),HIS_SALES!$A$2:$R$5093,18,FALSE)</f>
        <v>#N/A</v>
      </c>
      <c r="AH2" s="412" t="e">
        <f ca="1">IFERROR(IF(AND(V2=V1,W2=W1),0.5*(AB2+AB1)*AG2,(VLOOKUP(_xlfn.CONCAT(U2,V2,W2,X2,VLOOKUP(Z2,TIME!$S$28:$T$39,2,FALSE)),FC_DATA!$R$2:$AB$5000,MATCH("GS_I_M",FC_DATA!$R$1:$AB$1,0),FALSE)+FC_DATA!AB2)*0.5*FC_DATA!AG2),NA())</f>
        <v>#N/A</v>
      </c>
      <c r="AI2" s="491" t="e">
        <f ca="1">IF(V2="PARTNER.com",AH2,IF(AND(V2=V1,W2=W1),(1-AVERAGE(AD1,AD2))*AH2,(1-AVERAGE(AD2,VLOOKUP(_xlfn.CONCAT(U2,V2,W2,X2,M_BRAND_FC!$F$6),FC_DATA!$R$2:$AD$5000,MATCH("DISCOUNT_%_M",FC_DATA!$R$1:$AD$1,0),FALSE)))*AH2))</f>
        <v>#N/A</v>
      </c>
      <c r="AJ2" s="412" t="str">
        <f t="shared" ref="AJ2:AJ65" ca="1" si="14">IFERROR(AC2-AI2,"")</f>
        <v/>
      </c>
      <c r="AK2" s="413" t="str">
        <f>IFERROR(AE2/(Q_BRAND_FC!$T$24+1),"")</f>
        <v/>
      </c>
      <c r="AL2" s="88" t="str">
        <f t="shared" ref="AL2:AL65" ca="1" si="15">IFERROR((AB2-AH2)/AK2*AF2,"")</f>
        <v/>
      </c>
      <c r="AM2" s="414" t="str">
        <f t="shared" ref="AM2:AM65" ca="1" si="16">IFERROR((AB2-AH2)/AK2*(1-AF2),"")</f>
        <v/>
      </c>
      <c r="AN2" s="58">
        <f>IFERROR(IF($V2="BRAND.com",HLOOKUP($X2&amp;$Z2,NWC_FC_NOOS!$C$4:$Q$23,MATCH(W2,NWC_FC_NOOS!$B$4:$B$23,0),FALSE),0),0)</f>
        <v>0</v>
      </c>
      <c r="AO2" s="57">
        <f>IFERROR(IF($V2="BRAND.com",HLOOKUP($X2&amp;$Z2,NWC_FC_NOOS!$T$4:$AH$23,MATCH(W2,NWC_FC_NOOS!$S$4:$S$23,0),FALSE),0),0)</f>
        <v>0</v>
      </c>
      <c r="AP2" s="57">
        <f>IFERROR(IF($V2="BRAND.com",HLOOKUP($X2&amp;$Z2,NWC_FC_NOOS!$C$50:$U$69,MATCH(W2,NWC_FC_NOOS!$B$50:$B$69,0),FALSE),0),0)</f>
        <v>0</v>
      </c>
      <c r="AQ2" s="58">
        <f>IFERROR(IF($V2="BRAND.com",HLOOKUP($X2&amp;$Z2,'NWC_FC_NON-NOOS'!$C$4:$Q$23,MATCH(W2,'NWC_FC_NON-NOOS'!$B$4:$B$23,0),FALSE),0),0)</f>
        <v>0</v>
      </c>
      <c r="AR2" s="57">
        <f>IFERROR(IF($V2="BRAND.com",HLOOKUP($X2&amp;$Z2,'NWC_FC_NON-NOOS'!$T$4:$AH$23,MATCH(W2,'NWC_FC_NON-NOOS'!$S$4:$S$23,0),FALSE),0),0)</f>
        <v>0</v>
      </c>
      <c r="AS2" s="57">
        <f>IFERROR(IF($V2="BRAND.com",HLOOKUP($X2&amp;$Z2,'NWC_FC_NON-NOOS'!$C$50:$U$69,MATCH(W2,'NWC_FC_NON-NOOS'!$B$50:$B$69,0),FALSE),0),0)</f>
        <v>0</v>
      </c>
      <c r="AT2" s="57">
        <f>AO2+AR2</f>
        <v>0</v>
      </c>
      <c r="AU2" s="57">
        <f>AP2+AS2</f>
        <v>0</v>
      </c>
      <c r="AV2" s="58">
        <f>IFERROR(IF($V2="BRAND.com",HLOOKUP($X2&amp;$Z2,PLANNING_FC!$BB$27:$BP$46,MATCH($W2,PLANNING_FC!$BA$27:$BA$46,0),FALSE),0),0)</f>
        <v>0</v>
      </c>
      <c r="AW2" s="58">
        <f>IFERROR(IF($V2="BRAND.com",HLOOKUP($X2&amp;$Z2,PLANNING_FC!$BB$4:$BP$23,MATCH($W2,PLANNING_FC!$BA$4:$BA$23,0),FALSE),0),0)</f>
        <v>0</v>
      </c>
      <c r="AX2" s="58">
        <f>IFERROR(IF($V2="BRAND.com",HLOOKUP($X2&amp;$Z2,PLANNING_FC!$T$27:$AH$46,MATCH($W2,PLANNING_FC!$B$27:$B$46,0),FALSE),0),0)</f>
        <v>0</v>
      </c>
      <c r="AY2" s="58">
        <f>IFERROR(IF($V2="BRAND.com",HLOOKUP($X2&amp;$Z2,PLANNING_FC!$T$4:$AH$23,MATCH($W2,PLANNING_FC!$B$4:$B$23,0),FALSE),0),0)</f>
        <v>0</v>
      </c>
      <c r="AZ2" s="58">
        <f>IFERROR(IF($V2="BRAND.com",HLOOKUP($X2&amp;$Z2,PLANNING_FC!$DA$27:$DO$46,MATCH($W2,PLANNING_FC!$CZ$27:$CZ$46,0),FALSE),0),0)</f>
        <v>0</v>
      </c>
      <c r="BA2" s="58">
        <f>IFERROR(IF($V2="BRAND.com",HLOOKUP($X2&amp;$Z2,PLANNING_FC!$DA$4:$DO$23,MATCH($W2,PLANNING_FC!$CZ$4:$CZ$23,0),FALSE),0),0)</f>
        <v>0</v>
      </c>
      <c r="BB2" s="883" t="str">
        <f>IF(V2="BRAND.com",IFERROR(HLOOKUP(X2&amp;Z2,PLANNING_FC!$AK$4:$AY$23,MATCH(W2,PLANNING_FC!$AJ$4:$AJ$23,0),FALSE)*1000,""),"")</f>
        <v/>
      </c>
      <c r="BC2" s="883" t="str">
        <f>IF(V2="BRAND.com",IFERROR(HLOOKUP(X2&amp;Z2,PLANNING_FC!$AK$27:$AY$46,MATCH(W2,PLANNING_FC!$AJ$27:$AJ$46,0),FALSE)*1000,""),"")</f>
        <v/>
      </c>
    </row>
    <row r="3" spans="1:55" x14ac:dyDescent="0.25">
      <c r="A3" s="509"/>
      <c r="B3" s="510"/>
      <c r="C3" s="509"/>
      <c r="D3" s="509"/>
      <c r="E3" s="509"/>
      <c r="F3" s="509"/>
      <c r="G3" s="509"/>
      <c r="H3" s="509"/>
      <c r="I3" s="512"/>
      <c r="J3" s="513"/>
      <c r="K3" s="879"/>
      <c r="L3" s="515"/>
      <c r="M3" s="516"/>
      <c r="N3" s="56">
        <f t="shared" si="0"/>
        <v>0</v>
      </c>
      <c r="O3" s="57">
        <f t="shared" si="1"/>
        <v>0</v>
      </c>
      <c r="P3" s="57">
        <f ca="1">IFERROR(IF(ISBLANK(H3),SUMIFS($AC:$AC,$V:$V,V3,$W:$W,W3,$X:$X,X3,$Y:$Y,Y3)*J3/(1-J3)*VLOOKUP(_xlfn.CONCAT(C3,D3,E3,TIME!$M$12,Z3),HIS_SALES!$B$2:$W$4859,20,FALSE),AC3*J3/(1-J3)),0)</f>
        <v>0</v>
      </c>
      <c r="Q3" s="541" t="str">
        <f t="shared" si="2"/>
        <v/>
      </c>
      <c r="R3" s="346" t="str">
        <f t="shared" si="3"/>
        <v>00000</v>
      </c>
      <c r="S3" s="344">
        <f t="shared" si="4"/>
        <v>0</v>
      </c>
      <c r="T3" s="345" t="str">
        <f t="shared" ref="T3:T66" si="17">U3&amp;V3&amp;W3&amp;AA3</f>
        <v>000</v>
      </c>
      <c r="U3" s="345">
        <f t="shared" si="5"/>
        <v>0</v>
      </c>
      <c r="V3" s="345">
        <f t="shared" si="6"/>
        <v>0</v>
      </c>
      <c r="W3" s="345">
        <f t="shared" si="7"/>
        <v>0</v>
      </c>
      <c r="X3" s="345">
        <f t="shared" si="8"/>
        <v>0</v>
      </c>
      <c r="Y3" s="345">
        <f t="shared" si="9"/>
        <v>0</v>
      </c>
      <c r="Z3" s="345">
        <f>IF(Q3&lt;&gt;"",VLOOKUP(Y3,TIME!$R$21:$V$24,MATCH(FC_DATA!Q3,TIME!$R$20:$V$20,0),FALSE),H3)</f>
        <v>0</v>
      </c>
      <c r="AA3" s="345" t="str">
        <f>IFERROR(VLOOKUP(X3&amp;Z3,TIME!$A$12:$D$71,4,FALSE),"")</f>
        <v/>
      </c>
      <c r="AB3" s="592">
        <f t="shared" ca="1" si="10"/>
        <v>0</v>
      </c>
      <c r="AC3" s="593" t="e">
        <f ca="1">IF(ISBLANK(H3)=FALSE,IF(D3="BRAND.com",I3,IF(ISNA(VLOOKUP(_xlfn.CONCAT(X3,Z3),TIME!$M$40:$M$42,1,FALSE)),I3,VLOOKUP(_xlfn.CONCAT(D3,G3,H3),M_BUSAREA_FC!$AF$5:$AJ$10,5,FALSE)*HLOOKUP(_xlfn.CONCAT(F3,H3),ST_OVERVIEW!$G$99:$I$130,MATCH(_xlfn.CONCAT(D3,E3),ST_OVERVIEW!$F$99:$F$130,0),FALSE))),IF(D3="BRAND.com",VLOOKUP(_xlfn.CONCAT(C3,D3,E3,TIME!$F$1,Z3),HIS_SALES!$B$2:$V$4859,19,FALSE)*I3,VLOOKUP(_xlfn.CONCAT(D3,F3,G3),Q_BUSAREA_FC!$AE$5:$AI$12,5,FALSE)*HLOOKUP(_xlfn.CONCAT(FC_DATA!F3,FC_DATA!G3),LT_OVERVIEW!$I$99:$M$130,MATCH(_xlfn.CONCAT(D3,FC_DATA!E3),LT_OVERVIEW!$H$99:$H$130,0),FALSE)*IFERROR(VLOOKUP(_xlfn.CONCAT(C3,D3,E3,TIME!$F$1,Z3),HIS_SALES!$B$2:$V$4859,19,FALSE),0)))</f>
        <v>#N/A</v>
      </c>
      <c r="AD3" s="341">
        <f t="shared" ca="1" si="11"/>
        <v>0</v>
      </c>
      <c r="AE3" s="363" t="str">
        <f t="shared" si="12"/>
        <v/>
      </c>
      <c r="AF3" s="342" t="str">
        <f t="shared" si="13"/>
        <v/>
      </c>
      <c r="AG3" s="411" t="e">
        <f ca="1">VLOOKUP(_xlfn.CONCAT(U3,V3,W3,VLOOKUP(X3&amp;Y3,TIME!$L$27:$O$34,4,FALSE),Y3),HIS_SALES!$A$2:$R$5093,18,FALSE)</f>
        <v>#N/A</v>
      </c>
      <c r="AH3" s="412" t="e">
        <f ca="1">IFERROR(IF(AND(V3=V2,W3=W2),0.5*(AB3+AB2)*AG3,(VLOOKUP(_xlfn.CONCAT(U3,V3,W3,X3,VLOOKUP(Z3,TIME!$S$28:$T$39,2,FALSE)),FC_DATA!$R$2:$AB$5000,MATCH("GS_I_M",FC_DATA!$R$1:$AB$1,0),FALSE)+FC_DATA!AB3)*0.5*FC_DATA!AG3),NA())</f>
        <v>#N/A</v>
      </c>
      <c r="AI3" s="491" t="e">
        <f ca="1">IF(V3="PARTNER.com",AH3,IF(AND(V3=V2,W3=W2),(1-AVERAGE(AD2,AD3))*AH3,(1-AVERAGE(AD3,VLOOKUP(_xlfn.CONCAT(U3,V3,W3,X3,M_BRAND_FC!$F$6),FC_DATA!$R$2:$AD$5000,MATCH("DISCOUNT_%_M",FC_DATA!$R$1:$AD$1,0),FALSE)))*AH3))</f>
        <v>#N/A</v>
      </c>
      <c r="AJ3" s="412" t="str">
        <f t="shared" ca="1" si="14"/>
        <v/>
      </c>
      <c r="AK3" s="413" t="str">
        <f>IFERROR(AE3/(Q_BRAND_FC!$T$24+1),"")</f>
        <v/>
      </c>
      <c r="AL3" s="88" t="str">
        <f t="shared" ca="1" si="15"/>
        <v/>
      </c>
      <c r="AM3" s="414" t="str">
        <f t="shared" ca="1" si="16"/>
        <v/>
      </c>
      <c r="AN3" s="58">
        <f>IFERROR(IF($V3="BRAND.com",HLOOKUP($X3&amp;$Z3,NWC_FC_NOOS!$C$4:$Q$23,MATCH(W3,NWC_FC_NOOS!$B$4:$B$23,0),FALSE),0),0)</f>
        <v>0</v>
      </c>
      <c r="AO3" s="57">
        <f>IFERROR(IF($V3="BRAND.com",HLOOKUP($X3&amp;$Z3,NWC_FC_NOOS!$T$4:$AH$23,MATCH(W3,NWC_FC_NOOS!$S$4:$S$23,0),FALSE),0),0)</f>
        <v>0</v>
      </c>
      <c r="AP3" s="57">
        <f>IFERROR(IF($V3="BRAND.com",HLOOKUP($X3&amp;$Z3,NWC_FC_NOOS!$C$50:$U$69,MATCH(W3,NWC_FC_NOOS!$B$50:$B$69,0),FALSE),0),0)</f>
        <v>0</v>
      </c>
      <c r="AQ3" s="58">
        <f>IFERROR(IF($V3="BRAND.com",HLOOKUP($X3&amp;$Z3,'NWC_FC_NON-NOOS'!$C$4:$Q$23,MATCH(W3,'NWC_FC_NON-NOOS'!$B$4:$B$23,0),FALSE),0),0)</f>
        <v>0</v>
      </c>
      <c r="AR3" s="57">
        <f>IFERROR(IF($V3="BRAND.com",HLOOKUP($X3&amp;$Z3,'NWC_FC_NON-NOOS'!$T$4:$AH$23,MATCH(W3,'NWC_FC_NON-NOOS'!$S$4:$S$23,0),FALSE),0),0)</f>
        <v>0</v>
      </c>
      <c r="AS3" s="57">
        <f>IFERROR(IF($V3="BRAND.com",HLOOKUP($X3&amp;$Z3,'NWC_FC_NON-NOOS'!$C$50:$U$69,MATCH(W3,'NWC_FC_NON-NOOS'!$B$50:$B$69,0),FALSE),0),0)</f>
        <v>0</v>
      </c>
      <c r="AT3" s="57">
        <f t="shared" ref="AT3:AT66" si="18">AO3+AR3</f>
        <v>0</v>
      </c>
      <c r="AU3" s="57">
        <f t="shared" ref="AU3:AU66" si="19">AP3+AS3</f>
        <v>0</v>
      </c>
      <c r="AV3" s="58">
        <f>IFERROR(IF($V3="BRAND.com",HLOOKUP($X3&amp;$Z3,PLANNING_FC!$BB$27:$BP$46,MATCH($W3,PLANNING_FC!$BA$27:$BA$46,0),FALSE),0),0)</f>
        <v>0</v>
      </c>
      <c r="AW3" s="58">
        <f>IFERROR(IF($V3="BRAND.com",HLOOKUP($X3&amp;$Z3,PLANNING_FC!$BB$4:$BP$23,MATCH($W3,PLANNING_FC!$BA$4:$BA$23,0),FALSE),0),0)</f>
        <v>0</v>
      </c>
      <c r="AX3" s="58">
        <f>IFERROR(IF($V3="BRAND.com",HLOOKUP($X3&amp;$Z3,PLANNING_FC!$T$27:$AH$46,MATCH($W3,PLANNING_FC!$B$27:$B$46,0),FALSE),0),0)</f>
        <v>0</v>
      </c>
      <c r="AY3" s="58">
        <f>IFERROR(IF($V3="BRAND.com",HLOOKUP($X3&amp;$Z3,PLANNING_FC!$T$4:$AH$23,MATCH($W3,PLANNING_FC!$B$4:$B$23,0),FALSE),0),0)</f>
        <v>0</v>
      </c>
      <c r="AZ3" s="58">
        <f>IFERROR(IF($V3="BRAND.com",HLOOKUP($X3&amp;$Z3,PLANNING_FC!$DA$27:$DO$46,MATCH($W3,PLANNING_FC!$CZ$27:$CZ$46,0),FALSE),0),0)</f>
        <v>0</v>
      </c>
      <c r="BA3" s="58">
        <f>IFERROR(IF($V3="BRAND.com",HLOOKUP($X3&amp;$Z3,PLANNING_FC!$DA$4:$DO$23,MATCH($W3,PLANNING_FC!$CZ$4:$CZ$23,0),FALSE),0),0)</f>
        <v>0</v>
      </c>
      <c r="BB3" s="883" t="str">
        <f>IF(V3="BRAND.com",IFERROR(HLOOKUP(X3&amp;Z3,PLANNING_FC!$AK$4:$AY$23,MATCH(W3,PLANNING_FC!$AJ$4:$AJ$23,0),FALSE)*1000,""),"")</f>
        <v/>
      </c>
      <c r="BC3" s="883" t="str">
        <f>IF(V3="BRAND.com",IFERROR(HLOOKUP(X3&amp;Z3,PLANNING_FC!$AK$27:$AY$46,MATCH(W3,PLANNING_FC!$AJ$27:$AJ$46,0),FALSE)*1000,""),"")</f>
        <v/>
      </c>
    </row>
    <row r="4" spans="1:55" x14ac:dyDescent="0.25">
      <c r="A4" s="509"/>
      <c r="B4" s="510"/>
      <c r="C4" s="509"/>
      <c r="D4" s="509"/>
      <c r="E4" s="509"/>
      <c r="F4" s="509"/>
      <c r="G4" s="509"/>
      <c r="H4" s="509"/>
      <c r="I4" s="512"/>
      <c r="J4" s="513"/>
      <c r="K4" s="879"/>
      <c r="L4" s="515"/>
      <c r="M4" s="516"/>
      <c r="N4" s="56">
        <f t="shared" si="0"/>
        <v>0</v>
      </c>
      <c r="O4" s="57">
        <f t="shared" si="1"/>
        <v>0</v>
      </c>
      <c r="P4" s="57">
        <f ca="1">IFERROR(IF(ISBLANK(H4),SUMIFS($AC:$AC,$V:$V,V4,$W:$W,W4,$X:$X,X4,$Y:$Y,Y4)*J4/(1-J4)*VLOOKUP(_xlfn.CONCAT(C4,D4,E4,TIME!$M$12,Z4),HIS_SALES!$B$2:$W$4859,20,FALSE),AC4*J4/(1-J4)),0)</f>
        <v>0</v>
      </c>
      <c r="Q4" s="541" t="str">
        <f t="shared" si="2"/>
        <v/>
      </c>
      <c r="R4" s="346" t="str">
        <f t="shared" si="3"/>
        <v>00000</v>
      </c>
      <c r="S4" s="344">
        <f t="shared" si="4"/>
        <v>0</v>
      </c>
      <c r="T4" s="345" t="str">
        <f t="shared" si="17"/>
        <v>000</v>
      </c>
      <c r="U4" s="345">
        <f t="shared" si="5"/>
        <v>0</v>
      </c>
      <c r="V4" s="345">
        <f t="shared" si="6"/>
        <v>0</v>
      </c>
      <c r="W4" s="345">
        <f t="shared" si="7"/>
        <v>0</v>
      </c>
      <c r="X4" s="345">
        <f t="shared" si="8"/>
        <v>0</v>
      </c>
      <c r="Y4" s="345">
        <f t="shared" si="9"/>
        <v>0</v>
      </c>
      <c r="Z4" s="345">
        <f>IF(Q4&lt;&gt;"",VLOOKUP(Y4,TIME!$R$21:$V$24,MATCH(FC_DATA!Q4,TIME!$R$20:$V$20,0),FALSE),H4)</f>
        <v>0</v>
      </c>
      <c r="AA4" s="345" t="str">
        <f>IFERROR(VLOOKUP(X4&amp;Z4,TIME!$A$12:$D$71,4,FALSE),"")</f>
        <v/>
      </c>
      <c r="AB4" s="592">
        <f t="shared" ca="1" si="10"/>
        <v>0</v>
      </c>
      <c r="AC4" s="593" t="e">
        <f ca="1">IF(ISBLANK(H4)=FALSE,IF(D4="BRAND.com",I4,IF(ISNA(VLOOKUP(_xlfn.CONCAT(X4,Z4),TIME!$M$40:$M$42,1,FALSE)),I4,VLOOKUP(_xlfn.CONCAT(D4,G4,H4),M_BUSAREA_FC!$AF$5:$AJ$10,5,FALSE)*HLOOKUP(_xlfn.CONCAT(F4,H4),ST_OVERVIEW!$G$99:$I$130,MATCH(_xlfn.CONCAT(D4,E4),ST_OVERVIEW!$F$99:$F$130,0),FALSE))),IF(D4="BRAND.com",VLOOKUP(_xlfn.CONCAT(C4,D4,E4,TIME!$F$1,Z4),HIS_SALES!$B$2:$V$4859,19,FALSE)*I4,VLOOKUP(_xlfn.CONCAT(D4,F4,G4),Q_BUSAREA_FC!$AE$5:$AI$12,5,FALSE)*HLOOKUP(_xlfn.CONCAT(FC_DATA!F4,FC_DATA!G4),LT_OVERVIEW!$I$99:$M$130,MATCH(_xlfn.CONCAT(D4,FC_DATA!E4),LT_OVERVIEW!$H$99:$H$130,0),FALSE)*IFERROR(VLOOKUP(_xlfn.CONCAT(C4,D4,E4,TIME!$F$1,Z4),HIS_SALES!$B$2:$V$4859,19,FALSE),0)))</f>
        <v>#N/A</v>
      </c>
      <c r="AD4" s="341">
        <f t="shared" ca="1" si="11"/>
        <v>0</v>
      </c>
      <c r="AE4" s="363" t="str">
        <f t="shared" si="12"/>
        <v/>
      </c>
      <c r="AF4" s="342" t="str">
        <f t="shared" si="13"/>
        <v/>
      </c>
      <c r="AG4" s="411" t="e">
        <f ca="1">VLOOKUP(_xlfn.CONCAT(U4,V4,W4,VLOOKUP(X4&amp;Y4,TIME!$L$27:$O$34,4,FALSE),Y4),HIS_SALES!$A$2:$R$5093,18,FALSE)</f>
        <v>#N/A</v>
      </c>
      <c r="AH4" s="412" t="e">
        <f ca="1">IFERROR(IF(AND(V4=V3,W4=W3),0.5*(AB4+AB3)*AG4,(VLOOKUP(_xlfn.CONCAT(U4,V4,W4,X4,VLOOKUP(Z4,TIME!$S$28:$T$39,2,FALSE)),FC_DATA!$R$2:$AB$5000,MATCH("GS_I_M",FC_DATA!$R$1:$AB$1,0),FALSE)+FC_DATA!AB4)*0.5*FC_DATA!AG4),NA())</f>
        <v>#N/A</v>
      </c>
      <c r="AI4" s="491" t="e">
        <f ca="1">IF(V4="PARTNER.com",AH4,IF(AND(V4=V3,W4=W3),(1-AVERAGE(AD3,AD4))*AH4,(1-AVERAGE(AD4,VLOOKUP(_xlfn.CONCAT(U4,V4,W4,X4,M_BRAND_FC!$F$6),FC_DATA!$R$2:$AD$5000,MATCH("DISCOUNT_%_M",FC_DATA!$R$1:$AD$1,0),FALSE)))*AH4))</f>
        <v>#N/A</v>
      </c>
      <c r="AJ4" s="412" t="str">
        <f t="shared" ca="1" si="14"/>
        <v/>
      </c>
      <c r="AK4" s="413" t="str">
        <f>IFERROR(AE4/(Q_BRAND_FC!$T$24+1),"")</f>
        <v/>
      </c>
      <c r="AL4" s="88" t="str">
        <f t="shared" ca="1" si="15"/>
        <v/>
      </c>
      <c r="AM4" s="414" t="str">
        <f t="shared" ca="1" si="16"/>
        <v/>
      </c>
      <c r="AN4" s="58">
        <f>IFERROR(IF($V4="BRAND.com",HLOOKUP($X4&amp;$Z4,NWC_FC_NOOS!$C$4:$Q$23,MATCH(W4,NWC_FC_NOOS!$B$4:$B$23,0),FALSE),0),0)</f>
        <v>0</v>
      </c>
      <c r="AO4" s="57">
        <f>IFERROR(IF($V4="BRAND.com",HLOOKUP($X4&amp;$Z4,NWC_FC_NOOS!$T$4:$AH$23,MATCH(W4,NWC_FC_NOOS!$S$4:$S$23,0),FALSE),0),0)</f>
        <v>0</v>
      </c>
      <c r="AP4" s="57">
        <f>IFERROR(IF($V4="BRAND.com",HLOOKUP($X4&amp;$Z4,NWC_FC_NOOS!$C$50:$U$69,MATCH(W4,NWC_FC_NOOS!$B$50:$B$69,0),FALSE),0),0)</f>
        <v>0</v>
      </c>
      <c r="AQ4" s="58">
        <f>IFERROR(IF($V4="BRAND.com",HLOOKUP($X4&amp;$Z4,'NWC_FC_NON-NOOS'!$C$4:$Q$23,MATCH(W4,'NWC_FC_NON-NOOS'!$B$4:$B$23,0),FALSE),0),0)</f>
        <v>0</v>
      </c>
      <c r="AR4" s="57">
        <f>IFERROR(IF($V4="BRAND.com",HLOOKUP($X4&amp;$Z4,'NWC_FC_NON-NOOS'!$T$4:$AH$23,MATCH(W4,'NWC_FC_NON-NOOS'!$S$4:$S$23,0),FALSE),0),0)</f>
        <v>0</v>
      </c>
      <c r="AS4" s="57">
        <f>IFERROR(IF($V4="BRAND.com",HLOOKUP($X4&amp;$Z4,'NWC_FC_NON-NOOS'!$C$50:$U$69,MATCH(W4,'NWC_FC_NON-NOOS'!$B$50:$B$69,0),FALSE),0),0)</f>
        <v>0</v>
      </c>
      <c r="AT4" s="57">
        <f t="shared" si="18"/>
        <v>0</v>
      </c>
      <c r="AU4" s="57">
        <f t="shared" si="19"/>
        <v>0</v>
      </c>
      <c r="AV4" s="58">
        <f>IFERROR(IF($V4="BRAND.com",HLOOKUP($X4&amp;$Z4,PLANNING_FC!$BB$27:$BP$46,MATCH($W4,PLANNING_FC!$BA$27:$BA$46,0),FALSE),0),0)</f>
        <v>0</v>
      </c>
      <c r="AW4" s="58">
        <f>IFERROR(IF($V4="BRAND.com",HLOOKUP($X4&amp;$Z4,PLANNING_FC!$BB$4:$BP$23,MATCH($W4,PLANNING_FC!$BA$4:$BA$23,0),FALSE),0),0)</f>
        <v>0</v>
      </c>
      <c r="AX4" s="58">
        <f>IFERROR(IF($V4="BRAND.com",HLOOKUP($X4&amp;$Z4,PLANNING_FC!$T$27:$AH$46,MATCH($W4,PLANNING_FC!$B$27:$B$46,0),FALSE),0),0)</f>
        <v>0</v>
      </c>
      <c r="AY4" s="58">
        <f>IFERROR(IF($V4="BRAND.com",HLOOKUP($X4&amp;$Z4,PLANNING_FC!$T$4:$AH$23,MATCH($W4,PLANNING_FC!$B$4:$B$23,0),FALSE),0),0)</f>
        <v>0</v>
      </c>
      <c r="AZ4" s="58">
        <f>IFERROR(IF($V4="BRAND.com",HLOOKUP($X4&amp;$Z4,PLANNING_FC!$DA$27:$DO$46,MATCH($W4,PLANNING_FC!$CZ$27:$CZ$46,0),FALSE),0),0)</f>
        <v>0</v>
      </c>
      <c r="BA4" s="58">
        <f>IFERROR(IF($V4="BRAND.com",HLOOKUP($X4&amp;$Z4,PLANNING_FC!$DA$4:$DO$23,MATCH($W4,PLANNING_FC!$CZ$4:$CZ$23,0),FALSE),0),0)</f>
        <v>0</v>
      </c>
      <c r="BB4" s="883" t="str">
        <f>IF(V4="BRAND.com",IFERROR(HLOOKUP(X4&amp;Z4,PLANNING_FC!$AK$4:$AY$23,MATCH(W4,PLANNING_FC!$AJ$4:$AJ$23,0),FALSE)*1000,""),"")</f>
        <v/>
      </c>
      <c r="BC4" s="883" t="str">
        <f>IF(V4="BRAND.com",IFERROR(HLOOKUP(X4&amp;Z4,PLANNING_FC!$AK$27:$AY$46,MATCH(W4,PLANNING_FC!$AJ$27:$AJ$46,0),FALSE)*1000,""),"")</f>
        <v/>
      </c>
    </row>
    <row r="5" spans="1:55" x14ac:dyDescent="0.25">
      <c r="A5" s="509"/>
      <c r="B5" s="510"/>
      <c r="C5" s="509"/>
      <c r="D5" s="509"/>
      <c r="E5" s="509"/>
      <c r="F5" s="509"/>
      <c r="G5" s="509"/>
      <c r="H5" s="509"/>
      <c r="I5" s="512"/>
      <c r="J5" s="513"/>
      <c r="K5" s="879"/>
      <c r="L5" s="515"/>
      <c r="M5" s="516"/>
      <c r="N5" s="56">
        <f t="shared" si="0"/>
        <v>0</v>
      </c>
      <c r="O5" s="57">
        <f t="shared" si="1"/>
        <v>0</v>
      </c>
      <c r="P5" s="57">
        <f ca="1">IFERROR(IF(ISBLANK(H5),SUMIFS($AC:$AC,$V:$V,V5,$W:$W,W5,$X:$X,X5,$Y:$Y,Y5)*J5/(1-J5)*VLOOKUP(_xlfn.CONCAT(C5,D5,E5,TIME!$M$12,Z5),HIS_SALES!$B$2:$W$4859,20,FALSE),AC5*J5/(1-J5)),0)</f>
        <v>0</v>
      </c>
      <c r="Q5" s="541" t="str">
        <f t="shared" si="2"/>
        <v/>
      </c>
      <c r="R5" s="346" t="str">
        <f t="shared" si="3"/>
        <v>00000</v>
      </c>
      <c r="S5" s="344">
        <f t="shared" si="4"/>
        <v>0</v>
      </c>
      <c r="T5" s="345" t="str">
        <f t="shared" si="17"/>
        <v>000</v>
      </c>
      <c r="U5" s="345">
        <f t="shared" si="5"/>
        <v>0</v>
      </c>
      <c r="V5" s="345">
        <f t="shared" si="6"/>
        <v>0</v>
      </c>
      <c r="W5" s="345">
        <f t="shared" si="7"/>
        <v>0</v>
      </c>
      <c r="X5" s="345">
        <f t="shared" si="8"/>
        <v>0</v>
      </c>
      <c r="Y5" s="345">
        <f t="shared" si="9"/>
        <v>0</v>
      </c>
      <c r="Z5" s="345">
        <f>IF(Q5&lt;&gt;"",VLOOKUP(Y5,TIME!$R$21:$V$24,MATCH(FC_DATA!Q5,TIME!$R$20:$V$20,0),FALSE),H5)</f>
        <v>0</v>
      </c>
      <c r="AA5" s="345" t="str">
        <f>IFERROR(VLOOKUP(X5&amp;Z5,TIME!$A$12:$D$71,4,FALSE),"")</f>
        <v/>
      </c>
      <c r="AB5" s="592">
        <f t="shared" ca="1" si="10"/>
        <v>0</v>
      </c>
      <c r="AC5" s="593" t="e">
        <f ca="1">IF(ISBLANK(H5)=FALSE,IF(D5="BRAND.com",I5,IF(ISNA(VLOOKUP(_xlfn.CONCAT(X5,Z5),TIME!$M$40:$M$42,1,FALSE)),I5,VLOOKUP(_xlfn.CONCAT(D5,G5,H5),M_BUSAREA_FC!$AF$5:$AJ$10,5,FALSE)*HLOOKUP(_xlfn.CONCAT(F5,H5),ST_OVERVIEW!$G$99:$I$130,MATCH(_xlfn.CONCAT(D5,E5),ST_OVERVIEW!$F$99:$F$130,0),FALSE))),IF(D5="BRAND.com",VLOOKUP(_xlfn.CONCAT(C5,D5,E5,TIME!$F$1,Z5),HIS_SALES!$B$2:$V$4859,19,FALSE)*I5,VLOOKUP(_xlfn.CONCAT(D5,F5,G5),Q_BUSAREA_FC!$AE$5:$AI$12,5,FALSE)*HLOOKUP(_xlfn.CONCAT(FC_DATA!F5,FC_DATA!G5),LT_OVERVIEW!$I$99:$M$130,MATCH(_xlfn.CONCAT(D5,FC_DATA!E5),LT_OVERVIEW!$H$99:$H$130,0),FALSE)*IFERROR(VLOOKUP(_xlfn.CONCAT(C5,D5,E5,TIME!$F$1,Z5),HIS_SALES!$B$2:$V$4859,19,FALSE),0)))</f>
        <v>#N/A</v>
      </c>
      <c r="AD5" s="341">
        <f t="shared" ca="1" si="11"/>
        <v>0</v>
      </c>
      <c r="AE5" s="363" t="str">
        <f t="shared" si="12"/>
        <v/>
      </c>
      <c r="AF5" s="342" t="str">
        <f t="shared" si="13"/>
        <v/>
      </c>
      <c r="AG5" s="411" t="e">
        <f ca="1">VLOOKUP(_xlfn.CONCAT(U5,V5,W5,VLOOKUP(X5&amp;Y5,TIME!$L$27:$O$34,4,FALSE),Y5),HIS_SALES!$A$2:$R$5093,18,FALSE)</f>
        <v>#N/A</v>
      </c>
      <c r="AH5" s="412" t="e">
        <f ca="1">IFERROR(IF(AND(V5=V4,W5=W4),0.5*(AB5+AB4)*AG5,(VLOOKUP(_xlfn.CONCAT(U5,V5,W5,X5,VLOOKUP(Z5,TIME!$S$28:$T$39,2,FALSE)),FC_DATA!$R$2:$AB$5000,MATCH("GS_I_M",FC_DATA!$R$1:$AB$1,0),FALSE)+FC_DATA!AB5)*0.5*FC_DATA!AG5),NA())</f>
        <v>#N/A</v>
      </c>
      <c r="AI5" s="491" t="e">
        <f ca="1">IF(V5="PARTNER.com",AH5,IF(AND(V5=V4,W5=W4),(1-AVERAGE(AD4,AD5))*AH5,(1-AVERAGE(AD5,VLOOKUP(_xlfn.CONCAT(U5,V5,W5,X5,M_BRAND_FC!$F$6),FC_DATA!$R$2:$AD$5000,MATCH("DISCOUNT_%_M",FC_DATA!$R$1:$AD$1,0),FALSE)))*AH5))</f>
        <v>#N/A</v>
      </c>
      <c r="AJ5" s="412" t="str">
        <f t="shared" ca="1" si="14"/>
        <v/>
      </c>
      <c r="AK5" s="413" t="str">
        <f>IFERROR(AE5/(Q_BRAND_FC!$T$24+1),"")</f>
        <v/>
      </c>
      <c r="AL5" s="88" t="str">
        <f t="shared" ca="1" si="15"/>
        <v/>
      </c>
      <c r="AM5" s="414" t="str">
        <f t="shared" ca="1" si="16"/>
        <v/>
      </c>
      <c r="AN5" s="58">
        <f>IFERROR(IF($V5="BRAND.com",HLOOKUP($X5&amp;$Z5,NWC_FC_NOOS!$C$4:$Q$23,MATCH(W5,NWC_FC_NOOS!$B$4:$B$23,0),FALSE),0),0)</f>
        <v>0</v>
      </c>
      <c r="AO5" s="57">
        <f>IFERROR(IF($V5="BRAND.com",HLOOKUP($X5&amp;$Z5,NWC_FC_NOOS!$T$4:$AH$23,MATCH(W5,NWC_FC_NOOS!$S$4:$S$23,0),FALSE),0),0)</f>
        <v>0</v>
      </c>
      <c r="AP5" s="57">
        <f>IFERROR(IF($V5="BRAND.com",HLOOKUP($X5&amp;$Z5,NWC_FC_NOOS!$C$50:$U$69,MATCH(W5,NWC_FC_NOOS!$B$50:$B$69,0),FALSE),0),0)</f>
        <v>0</v>
      </c>
      <c r="AQ5" s="58">
        <f>IFERROR(IF($V5="BRAND.com",HLOOKUP($X5&amp;$Z5,'NWC_FC_NON-NOOS'!$C$4:$Q$23,MATCH(W5,'NWC_FC_NON-NOOS'!$B$4:$B$23,0),FALSE),0),0)</f>
        <v>0</v>
      </c>
      <c r="AR5" s="57">
        <f>IFERROR(IF($V5="BRAND.com",HLOOKUP($X5&amp;$Z5,'NWC_FC_NON-NOOS'!$T$4:$AH$23,MATCH(W5,'NWC_FC_NON-NOOS'!$S$4:$S$23,0),FALSE),0),0)</f>
        <v>0</v>
      </c>
      <c r="AS5" s="57">
        <f>IFERROR(IF($V5="BRAND.com",HLOOKUP($X5&amp;$Z5,'NWC_FC_NON-NOOS'!$C$50:$U$69,MATCH(W5,'NWC_FC_NON-NOOS'!$B$50:$B$69,0),FALSE),0),0)</f>
        <v>0</v>
      </c>
      <c r="AT5" s="57">
        <f t="shared" si="18"/>
        <v>0</v>
      </c>
      <c r="AU5" s="57">
        <f t="shared" si="19"/>
        <v>0</v>
      </c>
      <c r="AV5" s="58">
        <f>IFERROR(IF($V5="BRAND.com",HLOOKUP($X5&amp;$Z5,PLANNING_FC!$BB$27:$BP$46,MATCH($W5,PLANNING_FC!$BA$27:$BA$46,0),FALSE),0),0)</f>
        <v>0</v>
      </c>
      <c r="AW5" s="58">
        <f>IFERROR(IF($V5="BRAND.com",HLOOKUP($X5&amp;$Z5,PLANNING_FC!$BB$4:$BP$23,MATCH($W5,PLANNING_FC!$BA$4:$BA$23,0),FALSE),0),0)</f>
        <v>0</v>
      </c>
      <c r="AX5" s="58">
        <f>IFERROR(IF($V5="BRAND.com",HLOOKUP($X5&amp;$Z5,PLANNING_FC!$T$27:$AH$46,MATCH($W5,PLANNING_FC!$B$27:$B$46,0),FALSE),0),0)</f>
        <v>0</v>
      </c>
      <c r="AY5" s="58">
        <f>IFERROR(IF($V5="BRAND.com",HLOOKUP($X5&amp;$Z5,PLANNING_FC!$T$4:$AH$23,MATCH($W5,PLANNING_FC!$B$4:$B$23,0),FALSE),0),0)</f>
        <v>0</v>
      </c>
      <c r="AZ5" s="58">
        <f>IFERROR(IF($V5="BRAND.com",HLOOKUP($X5&amp;$Z5,PLANNING_FC!$DA$27:$DO$46,MATCH($W5,PLANNING_FC!$CZ$27:$CZ$46,0),FALSE),0),0)</f>
        <v>0</v>
      </c>
      <c r="BA5" s="58">
        <f>IFERROR(IF($V5="BRAND.com",HLOOKUP($X5&amp;$Z5,PLANNING_FC!$DA$4:$DO$23,MATCH($W5,PLANNING_FC!$CZ$4:$CZ$23,0),FALSE),0),0)</f>
        <v>0</v>
      </c>
      <c r="BB5" s="883" t="str">
        <f>IF(V5="BRAND.com",IFERROR(HLOOKUP(X5&amp;Z5,PLANNING_FC!$AK$4:$AY$23,MATCH(W5,PLANNING_FC!$AJ$4:$AJ$23,0),FALSE)*1000,""),"")</f>
        <v/>
      </c>
      <c r="BC5" s="883" t="str">
        <f>IF(V5="BRAND.com",IFERROR(HLOOKUP(X5&amp;Z5,PLANNING_FC!$AK$27:$AY$46,MATCH(W5,PLANNING_FC!$AJ$27:$AJ$46,0),FALSE)*1000,""),"")</f>
        <v/>
      </c>
    </row>
    <row r="6" spans="1:55" x14ac:dyDescent="0.25">
      <c r="A6" s="509"/>
      <c r="B6" s="510"/>
      <c r="C6" s="509"/>
      <c r="D6" s="509"/>
      <c r="E6" s="509"/>
      <c r="F6" s="509"/>
      <c r="G6" s="509"/>
      <c r="H6" s="509"/>
      <c r="I6" s="512"/>
      <c r="J6" s="513"/>
      <c r="K6" s="879"/>
      <c r="L6" s="515"/>
      <c r="M6" s="516"/>
      <c r="N6" s="56">
        <f t="shared" si="0"/>
        <v>0</v>
      </c>
      <c r="O6" s="57">
        <f t="shared" si="1"/>
        <v>0</v>
      </c>
      <c r="P6" s="57">
        <f ca="1">IFERROR(IF(ISBLANK(H6),SUMIFS($AC:$AC,$V:$V,V6,$W:$W,W6,$X:$X,X6,$Y:$Y,Y6)*J6/(1-J6)*VLOOKUP(_xlfn.CONCAT(C6,D6,E6,TIME!$M$12,Z6),HIS_SALES!$B$2:$W$4859,20,FALSE),AC6*J6/(1-J6)),0)</f>
        <v>0</v>
      </c>
      <c r="Q6" s="541" t="str">
        <f t="shared" si="2"/>
        <v/>
      </c>
      <c r="R6" s="346" t="str">
        <f t="shared" si="3"/>
        <v>00000</v>
      </c>
      <c r="S6" s="344">
        <f t="shared" si="4"/>
        <v>0</v>
      </c>
      <c r="T6" s="345" t="str">
        <f t="shared" si="17"/>
        <v>000</v>
      </c>
      <c r="U6" s="345">
        <f t="shared" si="5"/>
        <v>0</v>
      </c>
      <c r="V6" s="345">
        <f t="shared" si="6"/>
        <v>0</v>
      </c>
      <c r="W6" s="345">
        <f t="shared" si="7"/>
        <v>0</v>
      </c>
      <c r="X6" s="345">
        <f t="shared" si="8"/>
        <v>0</v>
      </c>
      <c r="Y6" s="345">
        <f t="shared" si="9"/>
        <v>0</v>
      </c>
      <c r="Z6" s="345">
        <f>IF(Q6&lt;&gt;"",VLOOKUP(Y6,TIME!$R$21:$V$24,MATCH(FC_DATA!Q6,TIME!$R$20:$V$20,0),FALSE),H6)</f>
        <v>0</v>
      </c>
      <c r="AA6" s="345" t="str">
        <f>IFERROR(VLOOKUP(X6&amp;Z6,TIME!$A$12:$D$71,4,FALSE),"")</f>
        <v/>
      </c>
      <c r="AB6" s="592">
        <f t="shared" ca="1" si="10"/>
        <v>0</v>
      </c>
      <c r="AC6" s="593" t="e">
        <f ca="1">IF(ISBLANK(H6)=FALSE,IF(D6="BRAND.com",I6,IF(ISNA(VLOOKUP(_xlfn.CONCAT(X6,Z6),TIME!$M$40:$M$42,1,FALSE)),I6,VLOOKUP(_xlfn.CONCAT(D6,G6,H6),M_BUSAREA_FC!$AF$5:$AJ$10,5,FALSE)*HLOOKUP(_xlfn.CONCAT(F6,H6),ST_OVERVIEW!$G$99:$I$130,MATCH(_xlfn.CONCAT(D6,E6),ST_OVERVIEW!$F$99:$F$130,0),FALSE))),IF(D6="BRAND.com",VLOOKUP(_xlfn.CONCAT(C6,D6,E6,TIME!$F$1,Z6),HIS_SALES!$B$2:$V$4859,19,FALSE)*I6,VLOOKUP(_xlfn.CONCAT(D6,F6,G6),Q_BUSAREA_FC!$AE$5:$AI$12,5,FALSE)*HLOOKUP(_xlfn.CONCAT(FC_DATA!F6,FC_DATA!G6),LT_OVERVIEW!$I$99:$M$130,MATCH(_xlfn.CONCAT(D6,FC_DATA!E6),LT_OVERVIEW!$H$99:$H$130,0),FALSE)*IFERROR(VLOOKUP(_xlfn.CONCAT(C6,D6,E6,TIME!$F$1,Z6),HIS_SALES!$B$2:$V$4859,19,FALSE),0)))</f>
        <v>#N/A</v>
      </c>
      <c r="AD6" s="341">
        <f t="shared" ca="1" si="11"/>
        <v>0</v>
      </c>
      <c r="AE6" s="363" t="str">
        <f t="shared" si="12"/>
        <v/>
      </c>
      <c r="AF6" s="342" t="str">
        <f t="shared" si="13"/>
        <v/>
      </c>
      <c r="AG6" s="411" t="e">
        <f ca="1">VLOOKUP(_xlfn.CONCAT(U6,V6,W6,VLOOKUP(X6&amp;Y6,TIME!$L$27:$O$34,4,FALSE),Y6),HIS_SALES!$A$2:$R$5093,18,FALSE)</f>
        <v>#N/A</v>
      </c>
      <c r="AH6" s="412" t="e">
        <f ca="1">IFERROR(IF(AND(V6=V5,W6=W5),0.5*(AB6+AB5)*AG6,(VLOOKUP(_xlfn.CONCAT(U6,V6,W6,X6,VLOOKUP(Z6,TIME!$S$28:$T$39,2,FALSE)),FC_DATA!$R$2:$AB$5000,MATCH("GS_I_M",FC_DATA!$R$1:$AB$1,0),FALSE)+FC_DATA!AB6)*0.5*FC_DATA!AG6),NA())</f>
        <v>#N/A</v>
      </c>
      <c r="AI6" s="491" t="e">
        <f ca="1">IF(V6="PARTNER.com",AH6,IF(AND(V6=V5,W6=W5),(1-AVERAGE(AD5,AD6))*AH6,(1-AVERAGE(AD6,VLOOKUP(_xlfn.CONCAT(U6,V6,W6,X6,M_BRAND_FC!$F$6),FC_DATA!$R$2:$AD$5000,MATCH("DISCOUNT_%_M",FC_DATA!$R$1:$AD$1,0),FALSE)))*AH6))</f>
        <v>#N/A</v>
      </c>
      <c r="AJ6" s="412" t="str">
        <f t="shared" ca="1" si="14"/>
        <v/>
      </c>
      <c r="AK6" s="413" t="str">
        <f>IFERROR(AE6/(Q_BRAND_FC!$T$24+1),"")</f>
        <v/>
      </c>
      <c r="AL6" s="88" t="str">
        <f t="shared" ca="1" si="15"/>
        <v/>
      </c>
      <c r="AM6" s="414" t="str">
        <f t="shared" ca="1" si="16"/>
        <v/>
      </c>
      <c r="AN6" s="58">
        <f>IFERROR(IF($V6="BRAND.com",HLOOKUP($X6&amp;$Z6,NWC_FC_NOOS!$C$4:$Q$23,MATCH(W6,NWC_FC_NOOS!$B$4:$B$23,0),FALSE),0),0)</f>
        <v>0</v>
      </c>
      <c r="AO6" s="57">
        <f>IFERROR(IF($V6="BRAND.com",HLOOKUP($X6&amp;$Z6,NWC_FC_NOOS!$T$4:$AH$23,MATCH(W6,NWC_FC_NOOS!$S$4:$S$23,0),FALSE),0),0)</f>
        <v>0</v>
      </c>
      <c r="AP6" s="57">
        <f>IFERROR(IF($V6="BRAND.com",HLOOKUP($X6&amp;$Z6,NWC_FC_NOOS!$C$50:$U$69,MATCH(W6,NWC_FC_NOOS!$B$50:$B$69,0),FALSE),0),0)</f>
        <v>0</v>
      </c>
      <c r="AQ6" s="58">
        <f>IFERROR(IF($V6="BRAND.com",HLOOKUP($X6&amp;$Z6,'NWC_FC_NON-NOOS'!$C$4:$Q$23,MATCH(W6,'NWC_FC_NON-NOOS'!$B$4:$B$23,0),FALSE),0),0)</f>
        <v>0</v>
      </c>
      <c r="AR6" s="57">
        <f>IFERROR(IF($V6="BRAND.com",HLOOKUP($X6&amp;$Z6,'NWC_FC_NON-NOOS'!$T$4:$AH$23,MATCH(W6,'NWC_FC_NON-NOOS'!$S$4:$S$23,0),FALSE),0),0)</f>
        <v>0</v>
      </c>
      <c r="AS6" s="57">
        <f>IFERROR(IF($V6="BRAND.com",HLOOKUP($X6&amp;$Z6,'NWC_FC_NON-NOOS'!$C$50:$U$69,MATCH(W6,'NWC_FC_NON-NOOS'!$B$50:$B$69,0),FALSE),0),0)</f>
        <v>0</v>
      </c>
      <c r="AT6" s="57">
        <f t="shared" si="18"/>
        <v>0</v>
      </c>
      <c r="AU6" s="57">
        <f t="shared" si="19"/>
        <v>0</v>
      </c>
      <c r="AV6" s="58">
        <f>IFERROR(IF($V6="BRAND.com",HLOOKUP($X6&amp;$Z6,PLANNING_FC!$BB$27:$BP$46,MATCH($W6,PLANNING_FC!$BA$27:$BA$46,0),FALSE),0),0)</f>
        <v>0</v>
      </c>
      <c r="AW6" s="58">
        <f>IFERROR(IF($V6="BRAND.com",HLOOKUP($X6&amp;$Z6,PLANNING_FC!$BB$4:$BP$23,MATCH($W6,PLANNING_FC!$BA$4:$BA$23,0),FALSE),0),0)</f>
        <v>0</v>
      </c>
      <c r="AX6" s="58">
        <f>IFERROR(IF($V6="BRAND.com",HLOOKUP($X6&amp;$Z6,PLANNING_FC!$T$27:$AH$46,MATCH($W6,PLANNING_FC!$B$27:$B$46,0),FALSE),0),0)</f>
        <v>0</v>
      </c>
      <c r="AY6" s="58">
        <f>IFERROR(IF($V6="BRAND.com",HLOOKUP($X6&amp;$Z6,PLANNING_FC!$T$4:$AH$23,MATCH($W6,PLANNING_FC!$B$4:$B$23,0),FALSE),0),0)</f>
        <v>0</v>
      </c>
      <c r="AZ6" s="58">
        <f>IFERROR(IF($V6="BRAND.com",HLOOKUP($X6&amp;$Z6,PLANNING_FC!$DA$27:$DO$46,MATCH($W6,PLANNING_FC!$CZ$27:$CZ$46,0),FALSE),0),0)</f>
        <v>0</v>
      </c>
      <c r="BA6" s="58">
        <f>IFERROR(IF($V6="BRAND.com",HLOOKUP($X6&amp;$Z6,PLANNING_FC!$DA$4:$DO$23,MATCH($W6,PLANNING_FC!$CZ$4:$CZ$23,0),FALSE),0),0)</f>
        <v>0</v>
      </c>
      <c r="BB6" s="883" t="str">
        <f>IF(V6="BRAND.com",IFERROR(HLOOKUP(X6&amp;Z6,PLANNING_FC!$AK$4:$AY$23,MATCH(W6,PLANNING_FC!$AJ$4:$AJ$23,0),FALSE)*1000,""),"")</f>
        <v/>
      </c>
      <c r="BC6" s="883" t="str">
        <f>IF(V6="BRAND.com",IFERROR(HLOOKUP(X6&amp;Z6,PLANNING_FC!$AK$27:$AY$46,MATCH(W6,PLANNING_FC!$AJ$27:$AJ$46,0),FALSE)*1000,""),"")</f>
        <v/>
      </c>
    </row>
    <row r="7" spans="1:55" x14ac:dyDescent="0.25">
      <c r="A7" s="509"/>
      <c r="B7" s="510"/>
      <c r="C7" s="509"/>
      <c r="D7" s="509"/>
      <c r="E7" s="509"/>
      <c r="F7" s="509"/>
      <c r="G7" s="509"/>
      <c r="H7" s="509"/>
      <c r="I7" s="512"/>
      <c r="J7" s="513"/>
      <c r="K7" s="879"/>
      <c r="L7" s="515"/>
      <c r="M7" s="516"/>
      <c r="N7" s="56">
        <f t="shared" si="0"/>
        <v>0</v>
      </c>
      <c r="O7" s="57">
        <f t="shared" si="1"/>
        <v>0</v>
      </c>
      <c r="P7" s="57">
        <f ca="1">IFERROR(IF(ISBLANK(H7),SUMIFS($AC:$AC,$V:$V,V7,$W:$W,W7,$X:$X,X7,$Y:$Y,Y7)*J7/(1-J7)*VLOOKUP(_xlfn.CONCAT(C7,D7,E7,TIME!$M$12,Z7),HIS_SALES!$B$2:$W$4859,20,FALSE),AC7*J7/(1-J7)),0)</f>
        <v>0</v>
      </c>
      <c r="Q7" s="541" t="str">
        <f t="shared" si="2"/>
        <v/>
      </c>
      <c r="R7" s="346" t="str">
        <f t="shared" si="3"/>
        <v>00000</v>
      </c>
      <c r="S7" s="344">
        <f t="shared" si="4"/>
        <v>0</v>
      </c>
      <c r="T7" s="345" t="str">
        <f t="shared" si="17"/>
        <v>000</v>
      </c>
      <c r="U7" s="345">
        <f t="shared" si="5"/>
        <v>0</v>
      </c>
      <c r="V7" s="345">
        <f t="shared" si="6"/>
        <v>0</v>
      </c>
      <c r="W7" s="345">
        <f t="shared" si="7"/>
        <v>0</v>
      </c>
      <c r="X7" s="345">
        <f t="shared" si="8"/>
        <v>0</v>
      </c>
      <c r="Y7" s="345">
        <f t="shared" si="9"/>
        <v>0</v>
      </c>
      <c r="Z7" s="345">
        <f>IF(Q7&lt;&gt;"",VLOOKUP(Y7,TIME!$R$21:$V$24,MATCH(FC_DATA!Q7,TIME!$R$20:$V$20,0),FALSE),H7)</f>
        <v>0</v>
      </c>
      <c r="AA7" s="345" t="str">
        <f>IFERROR(VLOOKUP(X7&amp;Z7,TIME!$A$12:$D$71,4,FALSE),"")</f>
        <v/>
      </c>
      <c r="AB7" s="592">
        <f t="shared" ca="1" si="10"/>
        <v>0</v>
      </c>
      <c r="AC7" s="593" t="e">
        <f ca="1">IF(ISBLANK(H7)=FALSE,IF(D7="BRAND.com",I7,IF(ISNA(VLOOKUP(_xlfn.CONCAT(X7,Z7),TIME!$M$40:$M$42,1,FALSE)),I7,VLOOKUP(_xlfn.CONCAT(D7,G7,H7),M_BUSAREA_FC!$AF$5:$AJ$10,5,FALSE)*HLOOKUP(_xlfn.CONCAT(F7,H7),ST_OVERVIEW!$G$99:$I$130,MATCH(_xlfn.CONCAT(D7,E7),ST_OVERVIEW!$F$99:$F$130,0),FALSE))),IF(D7="BRAND.com",VLOOKUP(_xlfn.CONCAT(C7,D7,E7,TIME!$F$1,Z7),HIS_SALES!$B$2:$V$4859,19,FALSE)*I7,VLOOKUP(_xlfn.CONCAT(D7,F7,G7),Q_BUSAREA_FC!$AE$5:$AI$12,5,FALSE)*HLOOKUP(_xlfn.CONCAT(FC_DATA!F7,FC_DATA!G7),LT_OVERVIEW!$I$99:$M$130,MATCH(_xlfn.CONCAT(D7,FC_DATA!E7),LT_OVERVIEW!$H$99:$H$130,0),FALSE)*IFERROR(VLOOKUP(_xlfn.CONCAT(C7,D7,E7,TIME!$F$1,Z7),HIS_SALES!$B$2:$V$4859,19,FALSE),0)))</f>
        <v>#N/A</v>
      </c>
      <c r="AD7" s="341">
        <f t="shared" ca="1" si="11"/>
        <v>0</v>
      </c>
      <c r="AE7" s="363" t="str">
        <f t="shared" si="12"/>
        <v/>
      </c>
      <c r="AF7" s="342" t="str">
        <f t="shared" si="13"/>
        <v/>
      </c>
      <c r="AG7" s="411" t="e">
        <f ca="1">VLOOKUP(_xlfn.CONCAT(U7,V7,W7,VLOOKUP(X7&amp;Y7,TIME!$L$27:$O$34,4,FALSE),Y7),HIS_SALES!$A$2:$R$5093,18,FALSE)</f>
        <v>#N/A</v>
      </c>
      <c r="AH7" s="412" t="e">
        <f ca="1">IFERROR(IF(AND(V7=V6,W7=W6),0.5*(AB7+AB6)*AG7,(VLOOKUP(_xlfn.CONCAT(U7,V7,W7,X7,VLOOKUP(Z7,TIME!$S$28:$T$39,2,FALSE)),FC_DATA!$R$2:$AB$5000,MATCH("GS_I_M",FC_DATA!$R$1:$AB$1,0),FALSE)+FC_DATA!AB7)*0.5*FC_DATA!AG7),NA())</f>
        <v>#N/A</v>
      </c>
      <c r="AI7" s="491" t="e">
        <f ca="1">IF(V7="PARTNER.com",AH7,IF(AND(V7=V6,W7=W6),(1-AVERAGE(AD6,AD7))*AH7,(1-AVERAGE(AD7,VLOOKUP(_xlfn.CONCAT(U7,V7,W7,X7,M_BRAND_FC!$F$6),FC_DATA!$R$2:$AD$5000,MATCH("DISCOUNT_%_M",FC_DATA!$R$1:$AD$1,0),FALSE)))*AH7))</f>
        <v>#N/A</v>
      </c>
      <c r="AJ7" s="412" t="str">
        <f t="shared" ca="1" si="14"/>
        <v/>
      </c>
      <c r="AK7" s="413" t="str">
        <f>IFERROR(AE7/(Q_BRAND_FC!$T$24+1),"")</f>
        <v/>
      </c>
      <c r="AL7" s="88" t="str">
        <f t="shared" ca="1" si="15"/>
        <v/>
      </c>
      <c r="AM7" s="414" t="str">
        <f t="shared" ca="1" si="16"/>
        <v/>
      </c>
      <c r="AN7" s="58">
        <f>IFERROR(IF($V7="BRAND.com",HLOOKUP($X7&amp;$Z7,NWC_FC_NOOS!$C$4:$Q$23,MATCH(W7,NWC_FC_NOOS!$B$4:$B$23,0),FALSE),0),0)</f>
        <v>0</v>
      </c>
      <c r="AO7" s="57">
        <f>IFERROR(IF($V7="BRAND.com",HLOOKUP($X7&amp;$Z7,NWC_FC_NOOS!$T$4:$AH$23,MATCH(W7,NWC_FC_NOOS!$S$4:$S$23,0),FALSE),0),0)</f>
        <v>0</v>
      </c>
      <c r="AP7" s="57">
        <f>IFERROR(IF($V7="BRAND.com",HLOOKUP($X7&amp;$Z7,NWC_FC_NOOS!$C$50:$U$69,MATCH(W7,NWC_FC_NOOS!$B$50:$B$69,0),FALSE),0),0)</f>
        <v>0</v>
      </c>
      <c r="AQ7" s="58">
        <f>IFERROR(IF($V7="BRAND.com",HLOOKUP($X7&amp;$Z7,'NWC_FC_NON-NOOS'!$C$4:$Q$23,MATCH(W7,'NWC_FC_NON-NOOS'!$B$4:$B$23,0),FALSE),0),0)</f>
        <v>0</v>
      </c>
      <c r="AR7" s="57">
        <f>IFERROR(IF($V7="BRAND.com",HLOOKUP($X7&amp;$Z7,'NWC_FC_NON-NOOS'!$T$4:$AH$23,MATCH(W7,'NWC_FC_NON-NOOS'!$S$4:$S$23,0),FALSE),0),0)</f>
        <v>0</v>
      </c>
      <c r="AS7" s="57">
        <f>IFERROR(IF($V7="BRAND.com",HLOOKUP($X7&amp;$Z7,'NWC_FC_NON-NOOS'!$C$50:$U$69,MATCH(W7,'NWC_FC_NON-NOOS'!$B$50:$B$69,0),FALSE),0),0)</f>
        <v>0</v>
      </c>
      <c r="AT7" s="57">
        <f t="shared" si="18"/>
        <v>0</v>
      </c>
      <c r="AU7" s="57">
        <f t="shared" si="19"/>
        <v>0</v>
      </c>
      <c r="AV7" s="58">
        <f>IFERROR(IF($V7="BRAND.com",HLOOKUP($X7&amp;$Z7,PLANNING_FC!$BB$27:$BP$46,MATCH($W7,PLANNING_FC!$BA$27:$BA$46,0),FALSE),0),0)</f>
        <v>0</v>
      </c>
      <c r="AW7" s="58">
        <f>IFERROR(IF($V7="BRAND.com",HLOOKUP($X7&amp;$Z7,PLANNING_FC!$BB$4:$BP$23,MATCH($W7,PLANNING_FC!$BA$4:$BA$23,0),FALSE),0),0)</f>
        <v>0</v>
      </c>
      <c r="AX7" s="58">
        <f>IFERROR(IF($V7="BRAND.com",HLOOKUP($X7&amp;$Z7,PLANNING_FC!$T$27:$AH$46,MATCH($W7,PLANNING_FC!$B$27:$B$46,0),FALSE),0),0)</f>
        <v>0</v>
      </c>
      <c r="AY7" s="58">
        <f>IFERROR(IF($V7="BRAND.com",HLOOKUP($X7&amp;$Z7,PLANNING_FC!$T$4:$AH$23,MATCH($W7,PLANNING_FC!$B$4:$B$23,0),FALSE),0),0)</f>
        <v>0</v>
      </c>
      <c r="AZ7" s="58">
        <f>IFERROR(IF($V7="BRAND.com",HLOOKUP($X7&amp;$Z7,PLANNING_FC!$DA$27:$DO$46,MATCH($W7,PLANNING_FC!$CZ$27:$CZ$46,0),FALSE),0),0)</f>
        <v>0</v>
      </c>
      <c r="BA7" s="58">
        <f>IFERROR(IF($V7="BRAND.com",HLOOKUP($X7&amp;$Z7,PLANNING_FC!$DA$4:$DO$23,MATCH($W7,PLANNING_FC!$CZ$4:$CZ$23,0),FALSE),0),0)</f>
        <v>0</v>
      </c>
      <c r="BB7" s="883" t="str">
        <f>IF(V7="BRAND.com",IFERROR(HLOOKUP(X7&amp;Z7,PLANNING_FC!$AK$4:$AY$23,MATCH(W7,PLANNING_FC!$AJ$4:$AJ$23,0),FALSE)*1000,""),"")</f>
        <v/>
      </c>
      <c r="BC7" s="883" t="str">
        <f>IF(V7="BRAND.com",IFERROR(HLOOKUP(X7&amp;Z7,PLANNING_FC!$AK$27:$AY$46,MATCH(W7,PLANNING_FC!$AJ$27:$AJ$46,0),FALSE)*1000,""),"")</f>
        <v/>
      </c>
    </row>
    <row r="8" spans="1:55" x14ac:dyDescent="0.25">
      <c r="A8" s="509"/>
      <c r="B8" s="510"/>
      <c r="C8" s="509"/>
      <c r="D8" s="509"/>
      <c r="E8" s="509"/>
      <c r="F8" s="509"/>
      <c r="G8" s="509"/>
      <c r="H8" s="509"/>
      <c r="I8" s="512"/>
      <c r="J8" s="513"/>
      <c r="K8" s="879"/>
      <c r="L8" s="515"/>
      <c r="M8" s="516"/>
      <c r="N8" s="56">
        <f t="shared" si="0"/>
        <v>0</v>
      </c>
      <c r="O8" s="57">
        <f t="shared" si="1"/>
        <v>0</v>
      </c>
      <c r="P8" s="57">
        <f ca="1">IFERROR(IF(ISBLANK(H8),SUMIFS($AC:$AC,$V:$V,V8,$W:$W,W8,$X:$X,X8,$Y:$Y,Y8)*J8/(1-J8)*VLOOKUP(_xlfn.CONCAT(C8,D8,E8,TIME!$M$12,Z8),HIS_SALES!$B$2:$W$4859,20,FALSE),AC8*J8/(1-J8)),0)</f>
        <v>0</v>
      </c>
      <c r="Q8" s="541" t="str">
        <f t="shared" si="2"/>
        <v/>
      </c>
      <c r="R8" s="346" t="str">
        <f t="shared" si="3"/>
        <v>00000</v>
      </c>
      <c r="S8" s="344">
        <f t="shared" si="4"/>
        <v>0</v>
      </c>
      <c r="T8" s="345" t="str">
        <f t="shared" si="17"/>
        <v>000</v>
      </c>
      <c r="U8" s="345">
        <f t="shared" si="5"/>
        <v>0</v>
      </c>
      <c r="V8" s="345">
        <f t="shared" si="6"/>
        <v>0</v>
      </c>
      <c r="W8" s="345">
        <f t="shared" si="7"/>
        <v>0</v>
      </c>
      <c r="X8" s="345">
        <f t="shared" si="8"/>
        <v>0</v>
      </c>
      <c r="Y8" s="345">
        <f t="shared" si="9"/>
        <v>0</v>
      </c>
      <c r="Z8" s="345">
        <f>IF(Q8&lt;&gt;"",VLOOKUP(Y8,TIME!$R$21:$V$24,MATCH(FC_DATA!Q8,TIME!$R$20:$V$20,0),FALSE),H8)</f>
        <v>0</v>
      </c>
      <c r="AA8" s="345" t="str">
        <f>IFERROR(VLOOKUP(X8&amp;Z8,TIME!$A$12:$D$71,4,FALSE),"")</f>
        <v/>
      </c>
      <c r="AB8" s="592">
        <f t="shared" ca="1" si="10"/>
        <v>0</v>
      </c>
      <c r="AC8" s="593" t="e">
        <f ca="1">IF(ISBLANK(H8)=FALSE,IF(D8="BRAND.com",I8,IF(ISNA(VLOOKUP(_xlfn.CONCAT(X8,Z8),TIME!$M$40:$M$42,1,FALSE)),I8,VLOOKUP(_xlfn.CONCAT(D8,G8,H8),M_BUSAREA_FC!$AF$5:$AJ$10,5,FALSE)*HLOOKUP(_xlfn.CONCAT(F8,H8),ST_OVERVIEW!$G$99:$I$130,MATCH(_xlfn.CONCAT(D8,E8),ST_OVERVIEW!$F$99:$F$130,0),FALSE))),IF(D8="BRAND.com",VLOOKUP(_xlfn.CONCAT(C8,D8,E8,TIME!$F$1,Z8),HIS_SALES!$B$2:$V$4859,19,FALSE)*I8,VLOOKUP(_xlfn.CONCAT(D8,F8,G8),Q_BUSAREA_FC!$AE$5:$AI$12,5,FALSE)*HLOOKUP(_xlfn.CONCAT(FC_DATA!F8,FC_DATA!G8),LT_OVERVIEW!$I$99:$M$130,MATCH(_xlfn.CONCAT(D8,FC_DATA!E8),LT_OVERVIEW!$H$99:$H$130,0),FALSE)*IFERROR(VLOOKUP(_xlfn.CONCAT(C8,D8,E8,TIME!$F$1,Z8),HIS_SALES!$B$2:$V$4859,19,FALSE),0)))</f>
        <v>#N/A</v>
      </c>
      <c r="AD8" s="341">
        <f t="shared" ca="1" si="11"/>
        <v>0</v>
      </c>
      <c r="AE8" s="363" t="str">
        <f t="shared" si="12"/>
        <v/>
      </c>
      <c r="AF8" s="342" t="str">
        <f t="shared" si="13"/>
        <v/>
      </c>
      <c r="AG8" s="411" t="e">
        <f ca="1">VLOOKUP(_xlfn.CONCAT(U8,V8,W8,VLOOKUP(X8&amp;Y8,TIME!$L$27:$O$34,4,FALSE),Y8),HIS_SALES!$A$2:$R$5093,18,FALSE)</f>
        <v>#N/A</v>
      </c>
      <c r="AH8" s="412" t="e">
        <f ca="1">IFERROR(IF(AND(V8=V7,W8=W7),0.5*(AB8+AB7)*AG8,(VLOOKUP(_xlfn.CONCAT(U8,V8,W8,X8,VLOOKUP(Z8,TIME!$S$28:$T$39,2,FALSE)),FC_DATA!$R$2:$AB$5000,MATCH("GS_I_M",FC_DATA!$R$1:$AB$1,0),FALSE)+FC_DATA!AB8)*0.5*FC_DATA!AG8),NA())</f>
        <v>#N/A</v>
      </c>
      <c r="AI8" s="491" t="e">
        <f ca="1">IF(V8="PARTNER.com",AH8,IF(AND(V8=V7,W8=W7),(1-AVERAGE(AD7,AD8))*AH8,(1-AVERAGE(AD8,VLOOKUP(_xlfn.CONCAT(U8,V8,W8,X8,M_BRAND_FC!$F$6),FC_DATA!$R$2:$AD$5000,MATCH("DISCOUNT_%_M",FC_DATA!$R$1:$AD$1,0),FALSE)))*AH8))</f>
        <v>#N/A</v>
      </c>
      <c r="AJ8" s="412" t="str">
        <f t="shared" ca="1" si="14"/>
        <v/>
      </c>
      <c r="AK8" s="413" t="str">
        <f>IFERROR(AE8/(Q_BRAND_FC!$T$24+1),"")</f>
        <v/>
      </c>
      <c r="AL8" s="88" t="str">
        <f t="shared" ca="1" si="15"/>
        <v/>
      </c>
      <c r="AM8" s="414" t="str">
        <f t="shared" ca="1" si="16"/>
        <v/>
      </c>
      <c r="AN8" s="58">
        <f>IFERROR(IF($V8="BRAND.com",HLOOKUP($X8&amp;$Z8,NWC_FC_NOOS!$C$4:$Q$23,MATCH(W8,NWC_FC_NOOS!$B$4:$B$23,0),FALSE),0),0)</f>
        <v>0</v>
      </c>
      <c r="AO8" s="57">
        <f>IFERROR(IF($V8="BRAND.com",HLOOKUP($X8&amp;$Z8,NWC_FC_NOOS!$T$4:$AH$23,MATCH(W8,NWC_FC_NOOS!$S$4:$S$23,0),FALSE),0),0)</f>
        <v>0</v>
      </c>
      <c r="AP8" s="57">
        <f>IFERROR(IF($V8="BRAND.com",HLOOKUP($X8&amp;$Z8,NWC_FC_NOOS!$C$50:$U$69,MATCH(W8,NWC_FC_NOOS!$B$50:$B$69,0),FALSE),0),0)</f>
        <v>0</v>
      </c>
      <c r="AQ8" s="58">
        <f>IFERROR(IF($V8="BRAND.com",HLOOKUP($X8&amp;$Z8,'NWC_FC_NON-NOOS'!$C$4:$Q$23,MATCH(W8,'NWC_FC_NON-NOOS'!$B$4:$B$23,0),FALSE),0),0)</f>
        <v>0</v>
      </c>
      <c r="AR8" s="57">
        <f>IFERROR(IF($V8="BRAND.com",HLOOKUP($X8&amp;$Z8,'NWC_FC_NON-NOOS'!$T$4:$AH$23,MATCH(W8,'NWC_FC_NON-NOOS'!$S$4:$S$23,0),FALSE),0),0)</f>
        <v>0</v>
      </c>
      <c r="AS8" s="57">
        <f>IFERROR(IF($V8="BRAND.com",HLOOKUP($X8&amp;$Z8,'NWC_FC_NON-NOOS'!$C$50:$U$69,MATCH(W8,'NWC_FC_NON-NOOS'!$B$50:$B$69,0),FALSE),0),0)</f>
        <v>0</v>
      </c>
      <c r="AT8" s="57">
        <f t="shared" si="18"/>
        <v>0</v>
      </c>
      <c r="AU8" s="57">
        <f t="shared" si="19"/>
        <v>0</v>
      </c>
      <c r="AV8" s="58">
        <f>IFERROR(IF($V8="BRAND.com",HLOOKUP($X8&amp;$Z8,PLANNING_FC!$BB$27:$BP$46,MATCH($W8,PLANNING_FC!$BA$27:$BA$46,0),FALSE),0),0)</f>
        <v>0</v>
      </c>
      <c r="AW8" s="58">
        <f>IFERROR(IF($V8="BRAND.com",HLOOKUP($X8&amp;$Z8,PLANNING_FC!$BB$4:$BP$23,MATCH($W8,PLANNING_FC!$BA$4:$BA$23,0),FALSE),0),0)</f>
        <v>0</v>
      </c>
      <c r="AX8" s="58">
        <f>IFERROR(IF($V8="BRAND.com",HLOOKUP($X8&amp;$Z8,PLANNING_FC!$T$27:$AH$46,MATCH($W8,PLANNING_FC!$B$27:$B$46,0),FALSE),0),0)</f>
        <v>0</v>
      </c>
      <c r="AY8" s="58">
        <f>IFERROR(IF($V8="BRAND.com",HLOOKUP($X8&amp;$Z8,PLANNING_FC!$T$4:$AH$23,MATCH($W8,PLANNING_FC!$B$4:$B$23,0),FALSE),0),0)</f>
        <v>0</v>
      </c>
      <c r="AZ8" s="58">
        <f>IFERROR(IF($V8="BRAND.com",HLOOKUP($X8&amp;$Z8,PLANNING_FC!$DA$27:$DO$46,MATCH($W8,PLANNING_FC!$CZ$27:$CZ$46,0),FALSE),0),0)</f>
        <v>0</v>
      </c>
      <c r="BA8" s="58">
        <f>IFERROR(IF($V8="BRAND.com",HLOOKUP($X8&amp;$Z8,PLANNING_FC!$DA$4:$DO$23,MATCH($W8,PLANNING_FC!$CZ$4:$CZ$23,0),FALSE),0),0)</f>
        <v>0</v>
      </c>
      <c r="BB8" s="883" t="str">
        <f>IF(V8="BRAND.com",IFERROR(HLOOKUP(X8&amp;Z8,PLANNING_FC!$AK$4:$AY$23,MATCH(W8,PLANNING_FC!$AJ$4:$AJ$23,0),FALSE)*1000,""),"")</f>
        <v/>
      </c>
      <c r="BC8" s="883" t="str">
        <f>IF(V8="BRAND.com",IFERROR(HLOOKUP(X8&amp;Z8,PLANNING_FC!$AK$27:$AY$46,MATCH(W8,PLANNING_FC!$AJ$27:$AJ$46,0),FALSE)*1000,""),"")</f>
        <v/>
      </c>
    </row>
    <row r="9" spans="1:55" x14ac:dyDescent="0.25">
      <c r="A9" s="509"/>
      <c r="B9" s="510"/>
      <c r="C9" s="509"/>
      <c r="D9" s="509"/>
      <c r="E9" s="509"/>
      <c r="F9" s="509"/>
      <c r="G9" s="509"/>
      <c r="H9" s="509"/>
      <c r="I9" s="512"/>
      <c r="J9" s="513"/>
      <c r="K9" s="879"/>
      <c r="L9" s="515"/>
      <c r="M9" s="516"/>
      <c r="N9" s="56">
        <f t="shared" si="0"/>
        <v>0</v>
      </c>
      <c r="O9" s="57">
        <f t="shared" si="1"/>
        <v>0</v>
      </c>
      <c r="P9" s="57">
        <f ca="1">IFERROR(IF(ISBLANK(H9),SUMIFS($AC:$AC,$V:$V,V9,$W:$W,W9,$X:$X,X9,$Y:$Y,Y9)*J9/(1-J9)*VLOOKUP(_xlfn.CONCAT(C9,D9,E9,TIME!$M$12,Z9),HIS_SALES!$B$2:$W$4859,20,FALSE),AC9*J9/(1-J9)),0)</f>
        <v>0</v>
      </c>
      <c r="Q9" s="541" t="str">
        <f t="shared" si="2"/>
        <v/>
      </c>
      <c r="R9" s="346" t="str">
        <f t="shared" si="3"/>
        <v>00000</v>
      </c>
      <c r="S9" s="344">
        <f t="shared" si="4"/>
        <v>0</v>
      </c>
      <c r="T9" s="345" t="str">
        <f t="shared" si="17"/>
        <v>000</v>
      </c>
      <c r="U9" s="345">
        <f t="shared" si="5"/>
        <v>0</v>
      </c>
      <c r="V9" s="345">
        <f t="shared" si="6"/>
        <v>0</v>
      </c>
      <c r="W9" s="345">
        <f t="shared" si="7"/>
        <v>0</v>
      </c>
      <c r="X9" s="345">
        <f t="shared" si="8"/>
        <v>0</v>
      </c>
      <c r="Y9" s="345">
        <f t="shared" si="9"/>
        <v>0</v>
      </c>
      <c r="Z9" s="345">
        <f>IF(Q9&lt;&gt;"",VLOOKUP(Y9,TIME!$R$21:$V$24,MATCH(FC_DATA!Q9,TIME!$R$20:$V$20,0),FALSE),H9)</f>
        <v>0</v>
      </c>
      <c r="AA9" s="345" t="str">
        <f>IFERROR(VLOOKUP(X9&amp;Z9,TIME!$A$12:$D$71,4,FALSE),"")</f>
        <v/>
      </c>
      <c r="AB9" s="592">
        <f t="shared" ca="1" si="10"/>
        <v>0</v>
      </c>
      <c r="AC9" s="593" t="e">
        <f ca="1">IF(ISBLANK(H9)=FALSE,IF(D9="BRAND.com",I9,IF(ISNA(VLOOKUP(_xlfn.CONCAT(X9,Z9),TIME!$M$40:$M$42,1,FALSE)),I9,VLOOKUP(_xlfn.CONCAT(D9,G9,H9),M_BUSAREA_FC!$AF$5:$AJ$10,5,FALSE)*HLOOKUP(_xlfn.CONCAT(F9,H9),ST_OVERVIEW!$G$99:$I$130,MATCH(_xlfn.CONCAT(D9,E9),ST_OVERVIEW!$F$99:$F$130,0),FALSE))),IF(D9="BRAND.com",VLOOKUP(_xlfn.CONCAT(C9,D9,E9,TIME!$F$1,Z9),HIS_SALES!$B$2:$V$4859,19,FALSE)*I9,VLOOKUP(_xlfn.CONCAT(D9,F9,G9),Q_BUSAREA_FC!$AE$5:$AI$12,5,FALSE)*HLOOKUP(_xlfn.CONCAT(FC_DATA!F9,FC_DATA!G9),LT_OVERVIEW!$I$99:$M$130,MATCH(_xlfn.CONCAT(D9,FC_DATA!E9),LT_OVERVIEW!$H$99:$H$130,0),FALSE)*IFERROR(VLOOKUP(_xlfn.CONCAT(C9,D9,E9,TIME!$F$1,Z9),HIS_SALES!$B$2:$V$4859,19,FALSE),0)))</f>
        <v>#N/A</v>
      </c>
      <c r="AD9" s="341">
        <f t="shared" ca="1" si="11"/>
        <v>0</v>
      </c>
      <c r="AE9" s="363" t="str">
        <f t="shared" si="12"/>
        <v/>
      </c>
      <c r="AF9" s="342" t="str">
        <f t="shared" si="13"/>
        <v/>
      </c>
      <c r="AG9" s="411" t="e">
        <f ca="1">VLOOKUP(_xlfn.CONCAT(U9,V9,W9,VLOOKUP(X9&amp;Y9,TIME!$L$27:$O$34,4,FALSE),Y9),HIS_SALES!$A$2:$R$5093,18,FALSE)</f>
        <v>#N/A</v>
      </c>
      <c r="AH9" s="412" t="e">
        <f ca="1">IFERROR(IF(AND(V9=V8,W9=W8),0.5*(AB9+AB8)*AG9,(VLOOKUP(_xlfn.CONCAT(U9,V9,W9,X9,VLOOKUP(Z9,TIME!$S$28:$T$39,2,FALSE)),FC_DATA!$R$2:$AB$5000,MATCH("GS_I_M",FC_DATA!$R$1:$AB$1,0),FALSE)+FC_DATA!AB9)*0.5*FC_DATA!AG9),NA())</f>
        <v>#N/A</v>
      </c>
      <c r="AI9" s="491" t="e">
        <f ca="1">IF(V9="PARTNER.com",AH9,IF(AND(V9=V8,W9=W8),(1-AVERAGE(AD8,AD9))*AH9,(1-AVERAGE(AD9,VLOOKUP(_xlfn.CONCAT(U9,V9,W9,X9,M_BRAND_FC!$F$6),FC_DATA!$R$2:$AD$5000,MATCH("DISCOUNT_%_M",FC_DATA!$R$1:$AD$1,0),FALSE)))*AH9))</f>
        <v>#N/A</v>
      </c>
      <c r="AJ9" s="412" t="str">
        <f t="shared" ca="1" si="14"/>
        <v/>
      </c>
      <c r="AK9" s="413" t="str">
        <f>IFERROR(AE9/(Q_BRAND_FC!$T$24+1),"")</f>
        <v/>
      </c>
      <c r="AL9" s="88" t="str">
        <f t="shared" ca="1" si="15"/>
        <v/>
      </c>
      <c r="AM9" s="414" t="str">
        <f t="shared" ca="1" si="16"/>
        <v/>
      </c>
      <c r="AN9" s="58">
        <f>IFERROR(IF($V9="BRAND.com",HLOOKUP($X9&amp;$Z9,NWC_FC_NOOS!$C$4:$Q$23,MATCH(W9,NWC_FC_NOOS!$B$4:$B$23,0),FALSE),0),0)</f>
        <v>0</v>
      </c>
      <c r="AO9" s="57">
        <f>IFERROR(IF($V9="BRAND.com",HLOOKUP($X9&amp;$Z9,NWC_FC_NOOS!$T$4:$AH$23,MATCH(W9,NWC_FC_NOOS!$S$4:$S$23,0),FALSE),0),0)</f>
        <v>0</v>
      </c>
      <c r="AP9" s="57">
        <f>IFERROR(IF($V9="BRAND.com",HLOOKUP($X9&amp;$Z9,NWC_FC_NOOS!$C$50:$U$69,MATCH(W9,NWC_FC_NOOS!$B$50:$B$69,0),FALSE),0),0)</f>
        <v>0</v>
      </c>
      <c r="AQ9" s="58">
        <f>IFERROR(IF($V9="BRAND.com",HLOOKUP($X9&amp;$Z9,'NWC_FC_NON-NOOS'!$C$4:$Q$23,MATCH(W9,'NWC_FC_NON-NOOS'!$B$4:$B$23,0),FALSE),0),0)</f>
        <v>0</v>
      </c>
      <c r="AR9" s="57">
        <f>IFERROR(IF($V9="BRAND.com",HLOOKUP($X9&amp;$Z9,'NWC_FC_NON-NOOS'!$T$4:$AH$23,MATCH(W9,'NWC_FC_NON-NOOS'!$S$4:$S$23,0),FALSE),0),0)</f>
        <v>0</v>
      </c>
      <c r="AS9" s="57">
        <f>IFERROR(IF($V9="BRAND.com",HLOOKUP($X9&amp;$Z9,'NWC_FC_NON-NOOS'!$C$50:$U$69,MATCH(W9,'NWC_FC_NON-NOOS'!$B$50:$B$69,0),FALSE),0),0)</f>
        <v>0</v>
      </c>
      <c r="AT9" s="57">
        <f t="shared" si="18"/>
        <v>0</v>
      </c>
      <c r="AU9" s="57">
        <f t="shared" si="19"/>
        <v>0</v>
      </c>
      <c r="AV9" s="58">
        <f>IFERROR(IF($V9="BRAND.com",HLOOKUP($X9&amp;$Z9,PLANNING_FC!$BB$27:$BP$46,MATCH($W9,PLANNING_FC!$BA$27:$BA$46,0),FALSE),0),0)</f>
        <v>0</v>
      </c>
      <c r="AW9" s="58">
        <f>IFERROR(IF($V9="BRAND.com",HLOOKUP($X9&amp;$Z9,PLANNING_FC!$BB$4:$BP$23,MATCH($W9,PLANNING_FC!$BA$4:$BA$23,0),FALSE),0),0)</f>
        <v>0</v>
      </c>
      <c r="AX9" s="58">
        <f>IFERROR(IF($V9="BRAND.com",HLOOKUP($X9&amp;$Z9,PLANNING_FC!$T$27:$AH$46,MATCH($W9,PLANNING_FC!$B$27:$B$46,0),FALSE),0),0)</f>
        <v>0</v>
      </c>
      <c r="AY9" s="58">
        <f>IFERROR(IF($V9="BRAND.com",HLOOKUP($X9&amp;$Z9,PLANNING_FC!$T$4:$AH$23,MATCH($W9,PLANNING_FC!$B$4:$B$23,0),FALSE),0),0)</f>
        <v>0</v>
      </c>
      <c r="AZ9" s="58">
        <f>IFERROR(IF($V9="BRAND.com",HLOOKUP($X9&amp;$Z9,PLANNING_FC!$DA$27:$DO$46,MATCH($W9,PLANNING_FC!$CZ$27:$CZ$46,0),FALSE),0),0)</f>
        <v>0</v>
      </c>
      <c r="BA9" s="58">
        <f>IFERROR(IF($V9="BRAND.com",HLOOKUP($X9&amp;$Z9,PLANNING_FC!$DA$4:$DO$23,MATCH($W9,PLANNING_FC!$CZ$4:$CZ$23,0),FALSE),0),0)</f>
        <v>0</v>
      </c>
      <c r="BB9" s="883" t="str">
        <f>IF(V9="BRAND.com",IFERROR(HLOOKUP(X9&amp;Z9,PLANNING_FC!$AK$4:$AY$23,MATCH(W9,PLANNING_FC!$AJ$4:$AJ$23,0),FALSE)*1000,""),"")</f>
        <v/>
      </c>
      <c r="BC9" s="883" t="str">
        <f>IF(V9="BRAND.com",IFERROR(HLOOKUP(X9&amp;Z9,PLANNING_FC!$AK$27:$AY$46,MATCH(W9,PLANNING_FC!$AJ$27:$AJ$46,0),FALSE)*1000,""),"")</f>
        <v/>
      </c>
    </row>
    <row r="10" spans="1:55" x14ac:dyDescent="0.25">
      <c r="A10" s="509"/>
      <c r="B10" s="510"/>
      <c r="C10" s="509"/>
      <c r="D10" s="509"/>
      <c r="E10" s="509"/>
      <c r="F10" s="509"/>
      <c r="G10" s="509"/>
      <c r="H10" s="509"/>
      <c r="I10" s="512"/>
      <c r="J10" s="513"/>
      <c r="K10" s="879"/>
      <c r="L10" s="515"/>
      <c r="M10" s="516"/>
      <c r="N10" s="56">
        <f t="shared" si="0"/>
        <v>0</v>
      </c>
      <c r="O10" s="57">
        <f t="shared" si="1"/>
        <v>0</v>
      </c>
      <c r="P10" s="57">
        <f ca="1">IFERROR(IF(ISBLANK(H10),SUMIFS($AC:$AC,$V:$V,V10,$W:$W,W10,$X:$X,X10,$Y:$Y,Y10)*J10/(1-J10)*VLOOKUP(_xlfn.CONCAT(C10,D10,E10,TIME!$M$12,Z10),HIS_SALES!$B$2:$W$4859,20,FALSE),AC10*J10/(1-J10)),0)</f>
        <v>0</v>
      </c>
      <c r="Q10" s="541" t="str">
        <f t="shared" si="2"/>
        <v/>
      </c>
      <c r="R10" s="346" t="str">
        <f t="shared" si="3"/>
        <v>00000</v>
      </c>
      <c r="S10" s="344">
        <f t="shared" si="4"/>
        <v>0</v>
      </c>
      <c r="T10" s="345" t="str">
        <f t="shared" si="17"/>
        <v>000</v>
      </c>
      <c r="U10" s="345">
        <f t="shared" si="5"/>
        <v>0</v>
      </c>
      <c r="V10" s="345">
        <f t="shared" si="6"/>
        <v>0</v>
      </c>
      <c r="W10" s="345">
        <f t="shared" si="7"/>
        <v>0</v>
      </c>
      <c r="X10" s="345">
        <f t="shared" si="8"/>
        <v>0</v>
      </c>
      <c r="Y10" s="345">
        <f t="shared" si="9"/>
        <v>0</v>
      </c>
      <c r="Z10" s="345">
        <f>IF(Q10&lt;&gt;"",VLOOKUP(Y10,TIME!$R$21:$V$24,MATCH(FC_DATA!Q10,TIME!$R$20:$V$20,0),FALSE),H10)</f>
        <v>0</v>
      </c>
      <c r="AA10" s="345" t="str">
        <f>IFERROR(VLOOKUP(X10&amp;Z10,TIME!$A$12:$D$71,4,FALSE),"")</f>
        <v/>
      </c>
      <c r="AB10" s="592">
        <f t="shared" ca="1" si="10"/>
        <v>0</v>
      </c>
      <c r="AC10" s="593" t="e">
        <f ca="1">IF(ISBLANK(H10)=FALSE,IF(D10="BRAND.com",I10,IF(ISNA(VLOOKUP(_xlfn.CONCAT(X10,Z10),TIME!$M$40:$M$42,1,FALSE)),I10,VLOOKUP(_xlfn.CONCAT(D10,G10,H10),M_BUSAREA_FC!$AF$5:$AJ$10,5,FALSE)*HLOOKUP(_xlfn.CONCAT(F10,H10),ST_OVERVIEW!$G$99:$I$130,MATCH(_xlfn.CONCAT(D10,E10),ST_OVERVIEW!$F$99:$F$130,0),FALSE))),IF(D10="BRAND.com",VLOOKUP(_xlfn.CONCAT(C10,D10,E10,TIME!$F$1,Z10),HIS_SALES!$B$2:$V$4859,19,FALSE)*I10,VLOOKUP(_xlfn.CONCAT(D10,F10,G10),Q_BUSAREA_FC!$AE$5:$AI$12,5,FALSE)*HLOOKUP(_xlfn.CONCAT(FC_DATA!F10,FC_DATA!G10),LT_OVERVIEW!$I$99:$M$130,MATCH(_xlfn.CONCAT(D10,FC_DATA!E10),LT_OVERVIEW!$H$99:$H$130,0),FALSE)*IFERROR(VLOOKUP(_xlfn.CONCAT(C10,D10,E10,TIME!$F$1,Z10),HIS_SALES!$B$2:$V$4859,19,FALSE),0)))</f>
        <v>#N/A</v>
      </c>
      <c r="AD10" s="341">
        <f t="shared" ca="1" si="11"/>
        <v>0</v>
      </c>
      <c r="AE10" s="363" t="str">
        <f t="shared" si="12"/>
        <v/>
      </c>
      <c r="AF10" s="342" t="str">
        <f t="shared" si="13"/>
        <v/>
      </c>
      <c r="AG10" s="411" t="e">
        <f ca="1">VLOOKUP(_xlfn.CONCAT(U10,V10,W10,VLOOKUP(X10&amp;Y10,TIME!$L$27:$O$34,4,FALSE),Y10),HIS_SALES!$A$2:$R$5093,18,FALSE)</f>
        <v>#N/A</v>
      </c>
      <c r="AH10" s="412" t="e">
        <f ca="1">IFERROR(IF(AND(V10=V9,W10=W9),0.5*(AB10+AB9)*AG10,(VLOOKUP(_xlfn.CONCAT(U10,V10,W10,X10,VLOOKUP(Z10,TIME!$S$28:$T$39,2,FALSE)),FC_DATA!$R$2:$AB$5000,MATCH("GS_I_M",FC_DATA!$R$1:$AB$1,0),FALSE)+FC_DATA!AB10)*0.5*FC_DATA!AG10),NA())</f>
        <v>#N/A</v>
      </c>
      <c r="AI10" s="491" t="e">
        <f ca="1">IF(V10="PARTNER.com",AH10,IF(AND(V10=V9,W10=W9),(1-AVERAGE(AD9,AD10))*AH10,(1-AVERAGE(AD10,VLOOKUP(_xlfn.CONCAT(U10,V10,W10,X10,M_BRAND_FC!$F$6),FC_DATA!$R$2:$AD$5000,MATCH("DISCOUNT_%_M",FC_DATA!$R$1:$AD$1,0),FALSE)))*AH10))</f>
        <v>#N/A</v>
      </c>
      <c r="AJ10" s="412" t="str">
        <f t="shared" ca="1" si="14"/>
        <v/>
      </c>
      <c r="AK10" s="413" t="str">
        <f>IFERROR(AE10/(Q_BRAND_FC!$T$24+1),"")</f>
        <v/>
      </c>
      <c r="AL10" s="88" t="str">
        <f t="shared" ca="1" si="15"/>
        <v/>
      </c>
      <c r="AM10" s="414" t="str">
        <f t="shared" ca="1" si="16"/>
        <v/>
      </c>
      <c r="AN10" s="58">
        <f>IFERROR(IF($V10="BRAND.com",HLOOKUP($X10&amp;$Z10,NWC_FC_NOOS!$C$4:$Q$23,MATCH(W10,NWC_FC_NOOS!$B$4:$B$23,0),FALSE),0),0)</f>
        <v>0</v>
      </c>
      <c r="AO10" s="57">
        <f>IFERROR(IF($V10="BRAND.com",HLOOKUP($X10&amp;$Z10,NWC_FC_NOOS!$T$4:$AH$23,MATCH(W10,NWC_FC_NOOS!$S$4:$S$23,0),FALSE),0),0)</f>
        <v>0</v>
      </c>
      <c r="AP10" s="57">
        <f>IFERROR(IF($V10="BRAND.com",HLOOKUP($X10&amp;$Z10,NWC_FC_NOOS!$C$50:$U$69,MATCH(W10,NWC_FC_NOOS!$B$50:$B$69,0),FALSE),0),0)</f>
        <v>0</v>
      </c>
      <c r="AQ10" s="58">
        <f>IFERROR(IF($V10="BRAND.com",HLOOKUP($X10&amp;$Z10,'NWC_FC_NON-NOOS'!$C$4:$Q$23,MATCH(W10,'NWC_FC_NON-NOOS'!$B$4:$B$23,0),FALSE),0),0)</f>
        <v>0</v>
      </c>
      <c r="AR10" s="57">
        <f>IFERROR(IF($V10="BRAND.com",HLOOKUP($X10&amp;$Z10,'NWC_FC_NON-NOOS'!$T$4:$AH$23,MATCH(W10,'NWC_FC_NON-NOOS'!$S$4:$S$23,0),FALSE),0),0)</f>
        <v>0</v>
      </c>
      <c r="AS10" s="57">
        <f>IFERROR(IF($V10="BRAND.com",HLOOKUP($X10&amp;$Z10,'NWC_FC_NON-NOOS'!$C$50:$U$69,MATCH(W10,'NWC_FC_NON-NOOS'!$B$50:$B$69,0),FALSE),0),0)</f>
        <v>0</v>
      </c>
      <c r="AT10" s="57">
        <f t="shared" si="18"/>
        <v>0</v>
      </c>
      <c r="AU10" s="57">
        <f t="shared" si="19"/>
        <v>0</v>
      </c>
      <c r="AV10" s="58">
        <f>IFERROR(IF($V10="BRAND.com",HLOOKUP($X10&amp;$Z10,PLANNING_FC!$BB$27:$BP$46,MATCH($W10,PLANNING_FC!$BA$27:$BA$46,0),FALSE),0),0)</f>
        <v>0</v>
      </c>
      <c r="AW10" s="58">
        <f>IFERROR(IF($V10="BRAND.com",HLOOKUP($X10&amp;$Z10,PLANNING_FC!$BB$4:$BP$23,MATCH($W10,PLANNING_FC!$BA$4:$BA$23,0),FALSE),0),0)</f>
        <v>0</v>
      </c>
      <c r="AX10" s="58">
        <f>IFERROR(IF($V10="BRAND.com",HLOOKUP($X10&amp;$Z10,PLANNING_FC!$T$27:$AH$46,MATCH($W10,PLANNING_FC!$B$27:$B$46,0),FALSE),0),0)</f>
        <v>0</v>
      </c>
      <c r="AY10" s="58">
        <f>IFERROR(IF($V10="BRAND.com",HLOOKUP($X10&amp;$Z10,PLANNING_FC!$T$4:$AH$23,MATCH($W10,PLANNING_FC!$B$4:$B$23,0),FALSE),0),0)</f>
        <v>0</v>
      </c>
      <c r="AZ10" s="58">
        <f>IFERROR(IF($V10="BRAND.com",HLOOKUP($X10&amp;$Z10,PLANNING_FC!$DA$27:$DO$46,MATCH($W10,PLANNING_FC!$CZ$27:$CZ$46,0),FALSE),0),0)</f>
        <v>0</v>
      </c>
      <c r="BA10" s="58">
        <f>IFERROR(IF($V10="BRAND.com",HLOOKUP($X10&amp;$Z10,PLANNING_FC!$DA$4:$DO$23,MATCH($W10,PLANNING_FC!$CZ$4:$CZ$23,0),FALSE),0),0)</f>
        <v>0</v>
      </c>
      <c r="BB10" s="883" t="str">
        <f>IF(V10="BRAND.com",IFERROR(HLOOKUP(X10&amp;Z10,PLANNING_FC!$AK$4:$AY$23,MATCH(W10,PLANNING_FC!$AJ$4:$AJ$23,0),FALSE)*1000,""),"")</f>
        <v/>
      </c>
      <c r="BC10" s="883" t="str">
        <f>IF(V10="BRAND.com",IFERROR(HLOOKUP(X10&amp;Z10,PLANNING_FC!$AK$27:$AY$46,MATCH(W10,PLANNING_FC!$AJ$27:$AJ$46,0),FALSE)*1000,""),"")</f>
        <v/>
      </c>
    </row>
    <row r="11" spans="1:55" x14ac:dyDescent="0.25">
      <c r="A11" s="509"/>
      <c r="B11" s="510"/>
      <c r="C11" s="509"/>
      <c r="D11" s="509"/>
      <c r="E11" s="509"/>
      <c r="F11" s="509"/>
      <c r="G11" s="509"/>
      <c r="H11" s="509"/>
      <c r="I11" s="512"/>
      <c r="J11" s="513"/>
      <c r="K11" s="879"/>
      <c r="L11" s="515"/>
      <c r="M11" s="516"/>
      <c r="N11" s="56">
        <f t="shared" si="0"/>
        <v>0</v>
      </c>
      <c r="O11" s="57">
        <f t="shared" si="1"/>
        <v>0</v>
      </c>
      <c r="P11" s="57">
        <f ca="1">IFERROR(IF(ISBLANK(H11),SUMIFS($AC:$AC,$V:$V,V11,$W:$W,W11,$X:$X,X11,$Y:$Y,Y11)*J11/(1-J11)*VLOOKUP(_xlfn.CONCAT(C11,D11,E11,TIME!$M$12,Z11),HIS_SALES!$B$2:$W$4859,20,FALSE),AC11*J11/(1-J11)),0)</f>
        <v>0</v>
      </c>
      <c r="Q11" s="541" t="str">
        <f t="shared" si="2"/>
        <v/>
      </c>
      <c r="R11" s="346" t="str">
        <f t="shared" si="3"/>
        <v>00000</v>
      </c>
      <c r="S11" s="344">
        <f t="shared" si="4"/>
        <v>0</v>
      </c>
      <c r="T11" s="345" t="str">
        <f t="shared" si="17"/>
        <v>000</v>
      </c>
      <c r="U11" s="345">
        <f t="shared" si="5"/>
        <v>0</v>
      </c>
      <c r="V11" s="345">
        <f t="shared" si="6"/>
        <v>0</v>
      </c>
      <c r="W11" s="345">
        <f t="shared" si="7"/>
        <v>0</v>
      </c>
      <c r="X11" s="345">
        <f t="shared" si="8"/>
        <v>0</v>
      </c>
      <c r="Y11" s="345">
        <f t="shared" si="9"/>
        <v>0</v>
      </c>
      <c r="Z11" s="345">
        <f>IF(Q11&lt;&gt;"",VLOOKUP(Y11,TIME!$R$21:$V$24,MATCH(FC_DATA!Q11,TIME!$R$20:$V$20,0),FALSE),H11)</f>
        <v>0</v>
      </c>
      <c r="AA11" s="345" t="str">
        <f>IFERROR(VLOOKUP(X11&amp;Z11,TIME!$A$12:$D$71,4,FALSE),"")</f>
        <v/>
      </c>
      <c r="AB11" s="592">
        <f t="shared" ca="1" si="10"/>
        <v>0</v>
      </c>
      <c r="AC11" s="593" t="e">
        <f ca="1">IF(ISBLANK(H11)=FALSE,IF(D11="BRAND.com",I11,IF(ISNA(VLOOKUP(_xlfn.CONCAT(X11,Z11),TIME!$M$40:$M$42,1,FALSE)),I11,VLOOKUP(_xlfn.CONCAT(D11,G11,H11),M_BUSAREA_FC!$AF$5:$AJ$10,5,FALSE)*HLOOKUP(_xlfn.CONCAT(F11,H11),ST_OVERVIEW!$G$99:$I$130,MATCH(_xlfn.CONCAT(D11,E11),ST_OVERVIEW!$F$99:$F$130,0),FALSE))),IF(D11="BRAND.com",VLOOKUP(_xlfn.CONCAT(C11,D11,E11,TIME!$F$1,Z11),HIS_SALES!$B$2:$V$4859,19,FALSE)*I11,VLOOKUP(_xlfn.CONCAT(D11,F11,G11),Q_BUSAREA_FC!$AE$5:$AI$12,5,FALSE)*HLOOKUP(_xlfn.CONCAT(FC_DATA!F11,FC_DATA!G11),LT_OVERVIEW!$I$99:$M$130,MATCH(_xlfn.CONCAT(D11,FC_DATA!E11),LT_OVERVIEW!$H$99:$H$130,0),FALSE)*IFERROR(VLOOKUP(_xlfn.CONCAT(C11,D11,E11,TIME!$F$1,Z11),HIS_SALES!$B$2:$V$4859,19,FALSE),0)))</f>
        <v>#N/A</v>
      </c>
      <c r="AD11" s="341">
        <f t="shared" ca="1" si="11"/>
        <v>0</v>
      </c>
      <c r="AE11" s="363" t="str">
        <f t="shared" si="12"/>
        <v/>
      </c>
      <c r="AF11" s="342" t="str">
        <f t="shared" si="13"/>
        <v/>
      </c>
      <c r="AG11" s="411" t="e">
        <f ca="1">VLOOKUP(_xlfn.CONCAT(U11,V11,W11,VLOOKUP(X11&amp;Y11,TIME!$L$27:$O$34,4,FALSE),Y11),HIS_SALES!$A$2:$R$5093,18,FALSE)</f>
        <v>#N/A</v>
      </c>
      <c r="AH11" s="412" t="e">
        <f ca="1">IFERROR(IF(AND(V11=V10,W11=W10),0.5*(AB11+AB10)*AG11,(VLOOKUP(_xlfn.CONCAT(U11,V11,W11,X11,VLOOKUP(Z11,TIME!$S$28:$T$39,2,FALSE)),FC_DATA!$R$2:$AB$5000,MATCH("GS_I_M",FC_DATA!$R$1:$AB$1,0),FALSE)+FC_DATA!AB11)*0.5*FC_DATA!AG11),NA())</f>
        <v>#N/A</v>
      </c>
      <c r="AI11" s="491" t="e">
        <f ca="1">IF(V11="PARTNER.com",AH11,IF(AND(V11=V10,W11=W10),(1-AVERAGE(AD10,AD11))*AH11,(1-AVERAGE(AD11,VLOOKUP(_xlfn.CONCAT(U11,V11,W11,X11,M_BRAND_FC!$F$6),FC_DATA!$R$2:$AD$5000,MATCH("DISCOUNT_%_M",FC_DATA!$R$1:$AD$1,0),FALSE)))*AH11))</f>
        <v>#N/A</v>
      </c>
      <c r="AJ11" s="412" t="str">
        <f t="shared" ca="1" si="14"/>
        <v/>
      </c>
      <c r="AK11" s="413" t="str">
        <f>IFERROR(AE11/(Q_BRAND_FC!$T$24+1),"")</f>
        <v/>
      </c>
      <c r="AL11" s="88" t="str">
        <f t="shared" ca="1" si="15"/>
        <v/>
      </c>
      <c r="AM11" s="414" t="str">
        <f t="shared" ca="1" si="16"/>
        <v/>
      </c>
      <c r="AN11" s="58">
        <f>IFERROR(IF($V11="BRAND.com",HLOOKUP($X11&amp;$Z11,NWC_FC_NOOS!$C$4:$Q$23,MATCH(W11,NWC_FC_NOOS!$B$4:$B$23,0),FALSE),0),0)</f>
        <v>0</v>
      </c>
      <c r="AO11" s="57">
        <f>IFERROR(IF($V11="BRAND.com",HLOOKUP($X11&amp;$Z11,NWC_FC_NOOS!$T$4:$AH$23,MATCH(W11,NWC_FC_NOOS!$S$4:$S$23,0),FALSE),0),0)</f>
        <v>0</v>
      </c>
      <c r="AP11" s="57">
        <f>IFERROR(IF($V11="BRAND.com",HLOOKUP($X11&amp;$Z11,NWC_FC_NOOS!$C$50:$U$69,MATCH(W11,NWC_FC_NOOS!$B$50:$B$69,0),FALSE),0),0)</f>
        <v>0</v>
      </c>
      <c r="AQ11" s="58">
        <f>IFERROR(IF($V11="BRAND.com",HLOOKUP($X11&amp;$Z11,'NWC_FC_NON-NOOS'!$C$4:$Q$23,MATCH(W11,'NWC_FC_NON-NOOS'!$B$4:$B$23,0),FALSE),0),0)</f>
        <v>0</v>
      </c>
      <c r="AR11" s="57">
        <f>IFERROR(IF($V11="BRAND.com",HLOOKUP($X11&amp;$Z11,'NWC_FC_NON-NOOS'!$T$4:$AH$23,MATCH(W11,'NWC_FC_NON-NOOS'!$S$4:$S$23,0),FALSE),0),0)</f>
        <v>0</v>
      </c>
      <c r="AS11" s="57">
        <f>IFERROR(IF($V11="BRAND.com",HLOOKUP($X11&amp;$Z11,'NWC_FC_NON-NOOS'!$C$50:$U$69,MATCH(W11,'NWC_FC_NON-NOOS'!$B$50:$B$69,0),FALSE),0),0)</f>
        <v>0</v>
      </c>
      <c r="AT11" s="57">
        <f t="shared" si="18"/>
        <v>0</v>
      </c>
      <c r="AU11" s="57">
        <f t="shared" si="19"/>
        <v>0</v>
      </c>
      <c r="AV11" s="58">
        <f>IFERROR(IF($V11="BRAND.com",HLOOKUP($X11&amp;$Z11,PLANNING_FC!$BB$27:$BP$46,MATCH($W11,PLANNING_FC!$BA$27:$BA$46,0),FALSE),0),0)</f>
        <v>0</v>
      </c>
      <c r="AW11" s="58">
        <f>IFERROR(IF($V11="BRAND.com",HLOOKUP($X11&amp;$Z11,PLANNING_FC!$BB$4:$BP$23,MATCH($W11,PLANNING_FC!$BA$4:$BA$23,0),FALSE),0),0)</f>
        <v>0</v>
      </c>
      <c r="AX11" s="58">
        <f>IFERROR(IF($V11="BRAND.com",HLOOKUP($X11&amp;$Z11,PLANNING_FC!$T$27:$AH$46,MATCH($W11,PLANNING_FC!$B$27:$B$46,0),FALSE),0),0)</f>
        <v>0</v>
      </c>
      <c r="AY11" s="58">
        <f>IFERROR(IF($V11="BRAND.com",HLOOKUP($X11&amp;$Z11,PLANNING_FC!$T$4:$AH$23,MATCH($W11,PLANNING_FC!$B$4:$B$23,0),FALSE),0),0)</f>
        <v>0</v>
      </c>
      <c r="AZ11" s="58">
        <f>IFERROR(IF($V11="BRAND.com",HLOOKUP($X11&amp;$Z11,PLANNING_FC!$DA$27:$DO$46,MATCH($W11,PLANNING_FC!$CZ$27:$CZ$46,0),FALSE),0),0)</f>
        <v>0</v>
      </c>
      <c r="BA11" s="58">
        <f>IFERROR(IF($V11="BRAND.com",HLOOKUP($X11&amp;$Z11,PLANNING_FC!$DA$4:$DO$23,MATCH($W11,PLANNING_FC!$CZ$4:$CZ$23,0),FALSE),0),0)</f>
        <v>0</v>
      </c>
      <c r="BB11" s="883" t="str">
        <f>IF(V11="BRAND.com",IFERROR(HLOOKUP(X11&amp;Z11,PLANNING_FC!$AK$4:$AY$23,MATCH(W11,PLANNING_FC!$AJ$4:$AJ$23,0),FALSE)*1000,""),"")</f>
        <v/>
      </c>
      <c r="BC11" s="883" t="str">
        <f>IF(V11="BRAND.com",IFERROR(HLOOKUP(X11&amp;Z11,PLANNING_FC!$AK$27:$AY$46,MATCH(W11,PLANNING_FC!$AJ$27:$AJ$46,0),FALSE)*1000,""),"")</f>
        <v/>
      </c>
    </row>
    <row r="12" spans="1:55" x14ac:dyDescent="0.25">
      <c r="A12" s="509"/>
      <c r="B12" s="510"/>
      <c r="C12" s="509"/>
      <c r="D12" s="509"/>
      <c r="E12" s="509"/>
      <c r="F12" s="509"/>
      <c r="G12" s="509"/>
      <c r="H12" s="509"/>
      <c r="I12" s="512"/>
      <c r="J12" s="513"/>
      <c r="K12" s="879"/>
      <c r="L12" s="515"/>
      <c r="M12" s="516"/>
      <c r="N12" s="56">
        <f t="shared" si="0"/>
        <v>0</v>
      </c>
      <c r="O12" s="57">
        <f t="shared" si="1"/>
        <v>0</v>
      </c>
      <c r="P12" s="57">
        <f ca="1">IFERROR(IF(ISBLANK(H12),SUMIFS($AC:$AC,$V:$V,V12,$W:$W,W12,$X:$X,X12,$Y:$Y,Y12)*J12/(1-J12)*VLOOKUP(_xlfn.CONCAT(C12,D12,E12,TIME!$M$12,Z12),HIS_SALES!$B$2:$W$4859,20,FALSE),AC12*J12/(1-J12)),0)</f>
        <v>0</v>
      </c>
      <c r="Q12" s="541" t="str">
        <f t="shared" si="2"/>
        <v/>
      </c>
      <c r="R12" s="346" t="str">
        <f t="shared" si="3"/>
        <v>00000</v>
      </c>
      <c r="S12" s="344">
        <f t="shared" si="4"/>
        <v>0</v>
      </c>
      <c r="T12" s="345" t="str">
        <f t="shared" si="17"/>
        <v>000</v>
      </c>
      <c r="U12" s="345">
        <f t="shared" si="5"/>
        <v>0</v>
      </c>
      <c r="V12" s="345">
        <f t="shared" si="6"/>
        <v>0</v>
      </c>
      <c r="W12" s="345">
        <f t="shared" si="7"/>
        <v>0</v>
      </c>
      <c r="X12" s="345">
        <f t="shared" si="8"/>
        <v>0</v>
      </c>
      <c r="Y12" s="345">
        <f t="shared" si="9"/>
        <v>0</v>
      </c>
      <c r="Z12" s="345">
        <f>IF(Q12&lt;&gt;"",VLOOKUP(Y12,TIME!$R$21:$V$24,MATCH(FC_DATA!Q12,TIME!$R$20:$V$20,0),FALSE),H12)</f>
        <v>0</v>
      </c>
      <c r="AA12" s="345" t="str">
        <f>IFERROR(VLOOKUP(X12&amp;Z12,TIME!$A$12:$D$71,4,FALSE),"")</f>
        <v/>
      </c>
      <c r="AB12" s="592">
        <f t="shared" ca="1" si="10"/>
        <v>0</v>
      </c>
      <c r="AC12" s="593" t="e">
        <f ca="1">IF(ISBLANK(H12)=FALSE,IF(D12="BRAND.com",I12,IF(ISNA(VLOOKUP(_xlfn.CONCAT(X12,Z12),TIME!$M$40:$M$42,1,FALSE)),I12,VLOOKUP(_xlfn.CONCAT(D12,G12,H12),M_BUSAREA_FC!$AF$5:$AJ$10,5,FALSE)*HLOOKUP(_xlfn.CONCAT(F12,H12),ST_OVERVIEW!$G$99:$I$130,MATCH(_xlfn.CONCAT(D12,E12),ST_OVERVIEW!$F$99:$F$130,0),FALSE))),IF(D12="BRAND.com",VLOOKUP(_xlfn.CONCAT(C12,D12,E12,TIME!$F$1,Z12),HIS_SALES!$B$2:$V$4859,19,FALSE)*I12,VLOOKUP(_xlfn.CONCAT(D12,F12,G12),Q_BUSAREA_FC!$AE$5:$AI$12,5,FALSE)*HLOOKUP(_xlfn.CONCAT(FC_DATA!F12,FC_DATA!G12),LT_OVERVIEW!$I$99:$M$130,MATCH(_xlfn.CONCAT(D12,FC_DATA!E12),LT_OVERVIEW!$H$99:$H$130,0),FALSE)*IFERROR(VLOOKUP(_xlfn.CONCAT(C12,D12,E12,TIME!$F$1,Z12),HIS_SALES!$B$2:$V$4859,19,FALSE),0)))</f>
        <v>#N/A</v>
      </c>
      <c r="AD12" s="341">
        <f t="shared" ca="1" si="11"/>
        <v>0</v>
      </c>
      <c r="AE12" s="363" t="str">
        <f t="shared" si="12"/>
        <v/>
      </c>
      <c r="AF12" s="342" t="str">
        <f t="shared" si="13"/>
        <v/>
      </c>
      <c r="AG12" s="411" t="e">
        <f ca="1">VLOOKUP(_xlfn.CONCAT(U12,V12,W12,VLOOKUP(X12&amp;Y12,TIME!$L$27:$O$34,4,FALSE),Y12),HIS_SALES!$A$2:$R$5093,18,FALSE)</f>
        <v>#N/A</v>
      </c>
      <c r="AH12" s="412" t="e">
        <f ca="1">IFERROR(IF(AND(V12=V11,W12=W11),0.5*(AB12+AB11)*AG12,(VLOOKUP(_xlfn.CONCAT(U12,V12,W12,X12,VLOOKUP(Z12,TIME!$S$28:$T$39,2,FALSE)),FC_DATA!$R$2:$AB$5000,MATCH("GS_I_M",FC_DATA!$R$1:$AB$1,0),FALSE)+FC_DATA!AB12)*0.5*FC_DATA!AG12),NA())</f>
        <v>#N/A</v>
      </c>
      <c r="AI12" s="491" t="e">
        <f ca="1">IF(V12="PARTNER.com",AH12,IF(AND(V12=V11,W12=W11),(1-AVERAGE(AD11,AD12))*AH12,(1-AVERAGE(AD12,VLOOKUP(_xlfn.CONCAT(U12,V12,W12,X12,M_BRAND_FC!$F$6),FC_DATA!$R$2:$AD$5000,MATCH("DISCOUNT_%_M",FC_DATA!$R$1:$AD$1,0),FALSE)))*AH12))</f>
        <v>#N/A</v>
      </c>
      <c r="AJ12" s="412" t="str">
        <f t="shared" ca="1" si="14"/>
        <v/>
      </c>
      <c r="AK12" s="413" t="str">
        <f>IFERROR(AE12/(Q_BRAND_FC!$T$24+1),"")</f>
        <v/>
      </c>
      <c r="AL12" s="88" t="str">
        <f t="shared" ca="1" si="15"/>
        <v/>
      </c>
      <c r="AM12" s="414" t="str">
        <f t="shared" ca="1" si="16"/>
        <v/>
      </c>
      <c r="AN12" s="58">
        <f>IFERROR(IF($V12="BRAND.com",HLOOKUP($X12&amp;$Z12,NWC_FC_NOOS!$C$4:$Q$23,MATCH(W12,NWC_FC_NOOS!$B$4:$B$23,0),FALSE),0),0)</f>
        <v>0</v>
      </c>
      <c r="AO12" s="57">
        <f>IFERROR(IF($V12="BRAND.com",HLOOKUP($X12&amp;$Z12,NWC_FC_NOOS!$T$4:$AH$23,MATCH(W12,NWC_FC_NOOS!$S$4:$S$23,0),FALSE),0),0)</f>
        <v>0</v>
      </c>
      <c r="AP12" s="57">
        <f>IFERROR(IF($V12="BRAND.com",HLOOKUP($X12&amp;$Z12,NWC_FC_NOOS!$C$50:$U$69,MATCH(W12,NWC_FC_NOOS!$B$50:$B$69,0),FALSE),0),0)</f>
        <v>0</v>
      </c>
      <c r="AQ12" s="58">
        <f>IFERROR(IF($V12="BRAND.com",HLOOKUP($X12&amp;$Z12,'NWC_FC_NON-NOOS'!$C$4:$Q$23,MATCH(W12,'NWC_FC_NON-NOOS'!$B$4:$B$23,0),FALSE),0),0)</f>
        <v>0</v>
      </c>
      <c r="AR12" s="57">
        <f>IFERROR(IF($V12="BRAND.com",HLOOKUP($X12&amp;$Z12,'NWC_FC_NON-NOOS'!$T$4:$AH$23,MATCH(W12,'NWC_FC_NON-NOOS'!$S$4:$S$23,0),FALSE),0),0)</f>
        <v>0</v>
      </c>
      <c r="AS12" s="57">
        <f>IFERROR(IF($V12="BRAND.com",HLOOKUP($X12&amp;$Z12,'NWC_FC_NON-NOOS'!$C$50:$U$69,MATCH(W12,'NWC_FC_NON-NOOS'!$B$50:$B$69,0),FALSE),0),0)</f>
        <v>0</v>
      </c>
      <c r="AT12" s="57">
        <f t="shared" si="18"/>
        <v>0</v>
      </c>
      <c r="AU12" s="57">
        <f t="shared" si="19"/>
        <v>0</v>
      </c>
      <c r="AV12" s="58">
        <f>IFERROR(IF($V12="BRAND.com",HLOOKUP($X12&amp;$Z12,PLANNING_FC!$BB$27:$BP$46,MATCH($W12,PLANNING_FC!$BA$27:$BA$46,0),FALSE),0),0)</f>
        <v>0</v>
      </c>
      <c r="AW12" s="58">
        <f>IFERROR(IF($V12="BRAND.com",HLOOKUP($X12&amp;$Z12,PLANNING_FC!$BB$4:$BP$23,MATCH($W12,PLANNING_FC!$BA$4:$BA$23,0),FALSE),0),0)</f>
        <v>0</v>
      </c>
      <c r="AX12" s="58">
        <f>IFERROR(IF($V12="BRAND.com",HLOOKUP($X12&amp;$Z12,PLANNING_FC!$T$27:$AH$46,MATCH($W12,PLANNING_FC!$B$27:$B$46,0),FALSE),0),0)</f>
        <v>0</v>
      </c>
      <c r="AY12" s="58">
        <f>IFERROR(IF($V12="BRAND.com",HLOOKUP($X12&amp;$Z12,PLANNING_FC!$T$4:$AH$23,MATCH($W12,PLANNING_FC!$B$4:$B$23,0),FALSE),0),0)</f>
        <v>0</v>
      </c>
      <c r="AZ12" s="58">
        <f>IFERROR(IF($V12="BRAND.com",HLOOKUP($X12&amp;$Z12,PLANNING_FC!$DA$27:$DO$46,MATCH($W12,PLANNING_FC!$CZ$27:$CZ$46,0),FALSE),0),0)</f>
        <v>0</v>
      </c>
      <c r="BA12" s="58">
        <f>IFERROR(IF($V12="BRAND.com",HLOOKUP($X12&amp;$Z12,PLANNING_FC!$DA$4:$DO$23,MATCH($W12,PLANNING_FC!$CZ$4:$CZ$23,0),FALSE),0),0)</f>
        <v>0</v>
      </c>
      <c r="BB12" s="883" t="str">
        <f>IF(V12="BRAND.com",IFERROR(HLOOKUP(X12&amp;Z12,PLANNING_FC!$AK$4:$AY$23,MATCH(W12,PLANNING_FC!$AJ$4:$AJ$23,0),FALSE)*1000,""),"")</f>
        <v/>
      </c>
      <c r="BC12" s="883" t="str">
        <f>IF(V12="BRAND.com",IFERROR(HLOOKUP(X12&amp;Z12,PLANNING_FC!$AK$27:$AY$46,MATCH(W12,PLANNING_FC!$AJ$27:$AJ$46,0),FALSE)*1000,""),"")</f>
        <v/>
      </c>
    </row>
    <row r="13" spans="1:55" x14ac:dyDescent="0.25">
      <c r="A13" s="509"/>
      <c r="B13" s="510"/>
      <c r="C13" s="509"/>
      <c r="D13" s="509"/>
      <c r="E13" s="509"/>
      <c r="F13" s="509"/>
      <c r="G13" s="509"/>
      <c r="H13" s="509"/>
      <c r="I13" s="512"/>
      <c r="J13" s="513"/>
      <c r="K13" s="879"/>
      <c r="L13" s="515"/>
      <c r="M13" s="516"/>
      <c r="N13" s="56">
        <f t="shared" si="0"/>
        <v>0</v>
      </c>
      <c r="O13" s="57">
        <f t="shared" si="1"/>
        <v>0</v>
      </c>
      <c r="P13" s="57">
        <f ca="1">IFERROR(IF(ISBLANK(H13),SUMIFS($AC:$AC,$V:$V,V13,$W:$W,W13,$X:$X,X13,$Y:$Y,Y13)*J13/(1-J13)*VLOOKUP(_xlfn.CONCAT(C13,D13,E13,TIME!$M$12,Z13),HIS_SALES!$B$2:$W$4859,20,FALSE),AC13*J13/(1-J13)),0)</f>
        <v>0</v>
      </c>
      <c r="Q13" s="541" t="str">
        <f t="shared" si="2"/>
        <v/>
      </c>
      <c r="R13" s="346" t="str">
        <f t="shared" si="3"/>
        <v>00000</v>
      </c>
      <c r="S13" s="344">
        <f t="shared" si="4"/>
        <v>0</v>
      </c>
      <c r="T13" s="345" t="str">
        <f t="shared" si="17"/>
        <v>000</v>
      </c>
      <c r="U13" s="345">
        <f t="shared" si="5"/>
        <v>0</v>
      </c>
      <c r="V13" s="345">
        <f t="shared" si="6"/>
        <v>0</v>
      </c>
      <c r="W13" s="345">
        <f t="shared" si="7"/>
        <v>0</v>
      </c>
      <c r="X13" s="345">
        <f t="shared" si="8"/>
        <v>0</v>
      </c>
      <c r="Y13" s="345">
        <f t="shared" si="9"/>
        <v>0</v>
      </c>
      <c r="Z13" s="345">
        <f>IF(Q13&lt;&gt;"",VLOOKUP(Y13,TIME!$R$21:$V$24,MATCH(FC_DATA!Q13,TIME!$R$20:$V$20,0),FALSE),H13)</f>
        <v>0</v>
      </c>
      <c r="AA13" s="345" t="str">
        <f>IFERROR(VLOOKUP(X13&amp;Z13,TIME!$A$12:$D$71,4,FALSE),"")</f>
        <v/>
      </c>
      <c r="AB13" s="592">
        <f t="shared" ca="1" si="10"/>
        <v>0</v>
      </c>
      <c r="AC13" s="593" t="e">
        <f ca="1">IF(ISBLANK(H13)=FALSE,IF(D13="BRAND.com",I13,IF(ISNA(VLOOKUP(_xlfn.CONCAT(X13,Z13),TIME!$M$40:$M$42,1,FALSE)),I13,VLOOKUP(_xlfn.CONCAT(D13,G13,H13),M_BUSAREA_FC!$AF$5:$AJ$10,5,FALSE)*HLOOKUP(_xlfn.CONCAT(F13,H13),ST_OVERVIEW!$G$99:$I$130,MATCH(_xlfn.CONCAT(D13,E13),ST_OVERVIEW!$F$99:$F$130,0),FALSE))),IF(D13="BRAND.com",VLOOKUP(_xlfn.CONCAT(C13,D13,E13,TIME!$F$1,Z13),HIS_SALES!$B$2:$V$4859,19,FALSE)*I13,VLOOKUP(_xlfn.CONCAT(D13,F13,G13),Q_BUSAREA_FC!$AE$5:$AI$12,5,FALSE)*HLOOKUP(_xlfn.CONCAT(FC_DATA!F13,FC_DATA!G13),LT_OVERVIEW!$I$99:$M$130,MATCH(_xlfn.CONCAT(D13,FC_DATA!E13),LT_OVERVIEW!$H$99:$H$130,0),FALSE)*IFERROR(VLOOKUP(_xlfn.CONCAT(C13,D13,E13,TIME!$F$1,Z13),HIS_SALES!$B$2:$V$4859,19,FALSE),0)))</f>
        <v>#N/A</v>
      </c>
      <c r="AD13" s="341">
        <f t="shared" ca="1" si="11"/>
        <v>0</v>
      </c>
      <c r="AE13" s="363" t="str">
        <f t="shared" si="12"/>
        <v/>
      </c>
      <c r="AF13" s="342" t="str">
        <f t="shared" si="13"/>
        <v/>
      </c>
      <c r="AG13" s="411" t="e">
        <f ca="1">VLOOKUP(_xlfn.CONCAT(U13,V13,W13,VLOOKUP(X13&amp;Y13,TIME!$L$27:$O$34,4,FALSE),Y13),HIS_SALES!$A$2:$R$5093,18,FALSE)</f>
        <v>#N/A</v>
      </c>
      <c r="AH13" s="412" t="e">
        <f ca="1">IFERROR(IF(AND(V13=V12,W13=W12),0.5*(AB13+AB12)*AG13,(VLOOKUP(_xlfn.CONCAT(U13,V13,W13,X13,VLOOKUP(Z13,TIME!$S$28:$T$39,2,FALSE)),FC_DATA!$R$2:$AB$5000,MATCH("GS_I_M",FC_DATA!$R$1:$AB$1,0),FALSE)+FC_DATA!AB13)*0.5*FC_DATA!AG13),NA())</f>
        <v>#N/A</v>
      </c>
      <c r="AI13" s="491" t="e">
        <f ca="1">IF(V13="PARTNER.com",AH13,IF(AND(V13=V12,W13=W12),(1-AVERAGE(AD12,AD13))*AH13,(1-AVERAGE(AD13,VLOOKUP(_xlfn.CONCAT(U13,V13,W13,X13,M_BRAND_FC!$F$6),FC_DATA!$R$2:$AD$5000,MATCH("DISCOUNT_%_M",FC_DATA!$R$1:$AD$1,0),FALSE)))*AH13))</f>
        <v>#N/A</v>
      </c>
      <c r="AJ13" s="412" t="str">
        <f t="shared" ca="1" si="14"/>
        <v/>
      </c>
      <c r="AK13" s="413" t="str">
        <f>IFERROR(AE13/(Q_BRAND_FC!$T$24+1),"")</f>
        <v/>
      </c>
      <c r="AL13" s="88" t="str">
        <f t="shared" ca="1" si="15"/>
        <v/>
      </c>
      <c r="AM13" s="414" t="str">
        <f t="shared" ca="1" si="16"/>
        <v/>
      </c>
      <c r="AN13" s="58">
        <f>IFERROR(IF($V13="BRAND.com",HLOOKUP($X13&amp;$Z13,NWC_FC_NOOS!$C$4:$Q$23,MATCH(W13,NWC_FC_NOOS!$B$4:$B$23,0),FALSE),0),0)</f>
        <v>0</v>
      </c>
      <c r="AO13" s="57">
        <f>IFERROR(IF($V13="BRAND.com",HLOOKUP($X13&amp;$Z13,NWC_FC_NOOS!$T$4:$AH$23,MATCH(W13,NWC_FC_NOOS!$S$4:$S$23,0),FALSE),0),0)</f>
        <v>0</v>
      </c>
      <c r="AP13" s="57">
        <f>IFERROR(IF($V13="BRAND.com",HLOOKUP($X13&amp;$Z13,NWC_FC_NOOS!$C$50:$U$69,MATCH(W13,NWC_FC_NOOS!$B$50:$B$69,0),FALSE),0),0)</f>
        <v>0</v>
      </c>
      <c r="AQ13" s="58">
        <f>IFERROR(IF($V13="BRAND.com",HLOOKUP($X13&amp;$Z13,'NWC_FC_NON-NOOS'!$C$4:$Q$23,MATCH(W13,'NWC_FC_NON-NOOS'!$B$4:$B$23,0),FALSE),0),0)</f>
        <v>0</v>
      </c>
      <c r="AR13" s="57">
        <f>IFERROR(IF($V13="BRAND.com",HLOOKUP($X13&amp;$Z13,'NWC_FC_NON-NOOS'!$T$4:$AH$23,MATCH(W13,'NWC_FC_NON-NOOS'!$S$4:$S$23,0),FALSE),0),0)</f>
        <v>0</v>
      </c>
      <c r="AS13" s="57">
        <f>IFERROR(IF($V13="BRAND.com",HLOOKUP($X13&amp;$Z13,'NWC_FC_NON-NOOS'!$C$50:$U$69,MATCH(W13,'NWC_FC_NON-NOOS'!$B$50:$B$69,0),FALSE),0),0)</f>
        <v>0</v>
      </c>
      <c r="AT13" s="57">
        <f t="shared" si="18"/>
        <v>0</v>
      </c>
      <c r="AU13" s="57">
        <f t="shared" si="19"/>
        <v>0</v>
      </c>
      <c r="AV13" s="58">
        <f>IFERROR(IF($V13="BRAND.com",HLOOKUP($X13&amp;$Z13,PLANNING_FC!$BB$27:$BP$46,MATCH($W13,PLANNING_FC!$BA$27:$BA$46,0),FALSE),0),0)</f>
        <v>0</v>
      </c>
      <c r="AW13" s="58">
        <f>IFERROR(IF($V13="BRAND.com",HLOOKUP($X13&amp;$Z13,PLANNING_FC!$BB$4:$BP$23,MATCH($W13,PLANNING_FC!$BA$4:$BA$23,0),FALSE),0),0)</f>
        <v>0</v>
      </c>
      <c r="AX13" s="58">
        <f>IFERROR(IF($V13="BRAND.com",HLOOKUP($X13&amp;$Z13,PLANNING_FC!$T$27:$AH$46,MATCH($W13,PLANNING_FC!$B$27:$B$46,0),FALSE),0),0)</f>
        <v>0</v>
      </c>
      <c r="AY13" s="58">
        <f>IFERROR(IF($V13="BRAND.com",HLOOKUP($X13&amp;$Z13,PLANNING_FC!$T$4:$AH$23,MATCH($W13,PLANNING_FC!$B$4:$B$23,0),FALSE),0),0)</f>
        <v>0</v>
      </c>
      <c r="AZ13" s="58">
        <f>IFERROR(IF($V13="BRAND.com",HLOOKUP($X13&amp;$Z13,PLANNING_FC!$DA$27:$DO$46,MATCH($W13,PLANNING_FC!$CZ$27:$CZ$46,0),FALSE),0),0)</f>
        <v>0</v>
      </c>
      <c r="BA13" s="58">
        <f>IFERROR(IF($V13="BRAND.com",HLOOKUP($X13&amp;$Z13,PLANNING_FC!$DA$4:$DO$23,MATCH($W13,PLANNING_FC!$CZ$4:$CZ$23,0),FALSE),0),0)</f>
        <v>0</v>
      </c>
      <c r="BB13" s="883" t="str">
        <f>IF(V13="BRAND.com",IFERROR(HLOOKUP(X13&amp;Z13,PLANNING_FC!$AK$4:$AY$23,MATCH(W13,PLANNING_FC!$AJ$4:$AJ$23,0),FALSE)*1000,""),"")</f>
        <v/>
      </c>
      <c r="BC13" s="883" t="str">
        <f>IF(V13="BRAND.com",IFERROR(HLOOKUP(X13&amp;Z13,PLANNING_FC!$AK$27:$AY$46,MATCH(W13,PLANNING_FC!$AJ$27:$AJ$46,0),FALSE)*1000,""),"")</f>
        <v/>
      </c>
    </row>
    <row r="14" spans="1:55" x14ac:dyDescent="0.25">
      <c r="A14" s="509"/>
      <c r="B14" s="510"/>
      <c r="C14" s="509"/>
      <c r="D14" s="509"/>
      <c r="E14" s="509"/>
      <c r="F14" s="509"/>
      <c r="G14" s="509"/>
      <c r="H14" s="509"/>
      <c r="I14" s="512"/>
      <c r="J14" s="513"/>
      <c r="K14" s="879"/>
      <c r="L14" s="515"/>
      <c r="M14" s="516"/>
      <c r="N14" s="56">
        <f t="shared" si="0"/>
        <v>0</v>
      </c>
      <c r="O14" s="57">
        <f t="shared" si="1"/>
        <v>0</v>
      </c>
      <c r="P14" s="57">
        <f ca="1">IFERROR(IF(ISBLANK(H14),SUMIFS($AC:$AC,$V:$V,V14,$W:$W,W14,$X:$X,X14,$Y:$Y,Y14)*J14/(1-J14)*VLOOKUP(_xlfn.CONCAT(C14,D14,E14,TIME!$M$12,Z14),HIS_SALES!$B$2:$W$4859,20,FALSE),AC14*J14/(1-J14)),0)</f>
        <v>0</v>
      </c>
      <c r="Q14" s="541" t="str">
        <f t="shared" si="2"/>
        <v/>
      </c>
      <c r="R14" s="346" t="str">
        <f t="shared" si="3"/>
        <v>00000</v>
      </c>
      <c r="S14" s="344">
        <f t="shared" si="4"/>
        <v>0</v>
      </c>
      <c r="T14" s="345" t="str">
        <f t="shared" si="17"/>
        <v>000</v>
      </c>
      <c r="U14" s="345">
        <f t="shared" si="5"/>
        <v>0</v>
      </c>
      <c r="V14" s="345">
        <f t="shared" si="6"/>
        <v>0</v>
      </c>
      <c r="W14" s="345">
        <f t="shared" si="7"/>
        <v>0</v>
      </c>
      <c r="X14" s="345">
        <f t="shared" si="8"/>
        <v>0</v>
      </c>
      <c r="Y14" s="345">
        <f t="shared" si="9"/>
        <v>0</v>
      </c>
      <c r="Z14" s="345">
        <f>IF(Q14&lt;&gt;"",VLOOKUP(Y14,TIME!$R$21:$V$24,MATCH(FC_DATA!Q14,TIME!$R$20:$V$20,0),FALSE),H14)</f>
        <v>0</v>
      </c>
      <c r="AA14" s="345" t="str">
        <f>IFERROR(VLOOKUP(X14&amp;Z14,TIME!$A$12:$D$71,4,FALSE),"")</f>
        <v/>
      </c>
      <c r="AB14" s="592">
        <f t="shared" ca="1" si="10"/>
        <v>0</v>
      </c>
      <c r="AC14" s="593" t="e">
        <f ca="1">IF(ISBLANK(H14)=FALSE,IF(D14="BRAND.com",I14,IF(ISNA(VLOOKUP(_xlfn.CONCAT(X14,Z14),TIME!$M$40:$M$42,1,FALSE)),I14,VLOOKUP(_xlfn.CONCAT(D14,G14,H14),M_BUSAREA_FC!$AF$5:$AJ$10,5,FALSE)*HLOOKUP(_xlfn.CONCAT(F14,H14),ST_OVERVIEW!$G$99:$I$130,MATCH(_xlfn.CONCAT(D14,E14),ST_OVERVIEW!$F$99:$F$130,0),FALSE))),IF(D14="BRAND.com",VLOOKUP(_xlfn.CONCAT(C14,D14,E14,TIME!$F$1,Z14),HIS_SALES!$B$2:$V$4859,19,FALSE)*I14,VLOOKUP(_xlfn.CONCAT(D14,F14,G14),Q_BUSAREA_FC!$AE$5:$AI$12,5,FALSE)*HLOOKUP(_xlfn.CONCAT(FC_DATA!F14,FC_DATA!G14),LT_OVERVIEW!$I$99:$M$130,MATCH(_xlfn.CONCAT(D14,FC_DATA!E14),LT_OVERVIEW!$H$99:$H$130,0),FALSE)*IFERROR(VLOOKUP(_xlfn.CONCAT(C14,D14,E14,TIME!$F$1,Z14),HIS_SALES!$B$2:$V$4859,19,FALSE),0)))</f>
        <v>#N/A</v>
      </c>
      <c r="AD14" s="341">
        <f t="shared" ca="1" si="11"/>
        <v>0</v>
      </c>
      <c r="AE14" s="363" t="str">
        <f t="shared" si="12"/>
        <v/>
      </c>
      <c r="AF14" s="342" t="str">
        <f t="shared" si="13"/>
        <v/>
      </c>
      <c r="AG14" s="411" t="e">
        <f ca="1">VLOOKUP(_xlfn.CONCAT(U14,V14,W14,VLOOKUP(X14&amp;Y14,TIME!$L$27:$O$34,4,FALSE),Y14),HIS_SALES!$A$2:$R$5093,18,FALSE)</f>
        <v>#N/A</v>
      </c>
      <c r="AH14" s="412" t="e">
        <f ca="1">IFERROR(IF(AND(V14=V13,W14=W13),0.5*(AB14+AB13)*AG14,(VLOOKUP(_xlfn.CONCAT(U14,V14,W14,X14,VLOOKUP(Z14,TIME!$S$28:$T$39,2,FALSE)),FC_DATA!$R$2:$AB$5000,MATCH("GS_I_M",FC_DATA!$R$1:$AB$1,0),FALSE)+FC_DATA!AB14)*0.5*FC_DATA!AG14),NA())</f>
        <v>#N/A</v>
      </c>
      <c r="AI14" s="491" t="e">
        <f ca="1">IF(V14="PARTNER.com",AH14,IF(AND(V14=V13,W14=W13),(1-AVERAGE(AD13,AD14))*AH14,(1-AVERAGE(AD14,VLOOKUP(_xlfn.CONCAT(U14,V14,W14,X14,M_BRAND_FC!$F$6),FC_DATA!$R$2:$AD$5000,MATCH("DISCOUNT_%_M",FC_DATA!$R$1:$AD$1,0),FALSE)))*AH14))</f>
        <v>#N/A</v>
      </c>
      <c r="AJ14" s="412" t="str">
        <f t="shared" ca="1" si="14"/>
        <v/>
      </c>
      <c r="AK14" s="413" t="str">
        <f>IFERROR(AE14/(Q_BRAND_FC!$T$24+1),"")</f>
        <v/>
      </c>
      <c r="AL14" s="88" t="str">
        <f t="shared" ca="1" si="15"/>
        <v/>
      </c>
      <c r="AM14" s="414" t="str">
        <f t="shared" ca="1" si="16"/>
        <v/>
      </c>
      <c r="AN14" s="58">
        <f>IFERROR(IF($V14="BRAND.com",HLOOKUP($X14&amp;$Z14,NWC_FC_NOOS!$C$4:$Q$23,MATCH(W14,NWC_FC_NOOS!$B$4:$B$23,0),FALSE),0),0)</f>
        <v>0</v>
      </c>
      <c r="AO14" s="57">
        <f>IFERROR(IF($V14="BRAND.com",HLOOKUP($X14&amp;$Z14,NWC_FC_NOOS!$T$4:$AH$23,MATCH(W14,NWC_FC_NOOS!$S$4:$S$23,0),FALSE),0),0)</f>
        <v>0</v>
      </c>
      <c r="AP14" s="57">
        <f>IFERROR(IF($V14="BRAND.com",HLOOKUP($X14&amp;$Z14,NWC_FC_NOOS!$C$50:$U$69,MATCH(W14,NWC_FC_NOOS!$B$50:$B$69,0),FALSE),0),0)</f>
        <v>0</v>
      </c>
      <c r="AQ14" s="58">
        <f>IFERROR(IF($V14="BRAND.com",HLOOKUP($X14&amp;$Z14,'NWC_FC_NON-NOOS'!$C$4:$Q$23,MATCH(W14,'NWC_FC_NON-NOOS'!$B$4:$B$23,0),FALSE),0),0)</f>
        <v>0</v>
      </c>
      <c r="AR14" s="57">
        <f>IFERROR(IF($V14="BRAND.com",HLOOKUP($X14&amp;$Z14,'NWC_FC_NON-NOOS'!$T$4:$AH$23,MATCH(W14,'NWC_FC_NON-NOOS'!$S$4:$S$23,0),FALSE),0),0)</f>
        <v>0</v>
      </c>
      <c r="AS14" s="57">
        <f>IFERROR(IF($V14="BRAND.com",HLOOKUP($X14&amp;$Z14,'NWC_FC_NON-NOOS'!$C$50:$U$69,MATCH(W14,'NWC_FC_NON-NOOS'!$B$50:$B$69,0),FALSE),0),0)</f>
        <v>0</v>
      </c>
      <c r="AT14" s="57">
        <f t="shared" si="18"/>
        <v>0</v>
      </c>
      <c r="AU14" s="57">
        <f t="shared" si="19"/>
        <v>0</v>
      </c>
      <c r="AV14" s="58">
        <f>IFERROR(IF($V14="BRAND.com",HLOOKUP($X14&amp;$Z14,PLANNING_FC!$BB$27:$BP$46,MATCH($W14,PLANNING_FC!$BA$27:$BA$46,0),FALSE),0),0)</f>
        <v>0</v>
      </c>
      <c r="AW14" s="58">
        <f>IFERROR(IF($V14="BRAND.com",HLOOKUP($X14&amp;$Z14,PLANNING_FC!$BB$4:$BP$23,MATCH($W14,PLANNING_FC!$BA$4:$BA$23,0),FALSE),0),0)</f>
        <v>0</v>
      </c>
      <c r="AX14" s="58">
        <f>IFERROR(IF($V14="BRAND.com",HLOOKUP($X14&amp;$Z14,PLANNING_FC!$T$27:$AH$46,MATCH($W14,PLANNING_FC!$B$27:$B$46,0),FALSE),0),0)</f>
        <v>0</v>
      </c>
      <c r="AY14" s="58">
        <f>IFERROR(IF($V14="BRAND.com",HLOOKUP($X14&amp;$Z14,PLANNING_FC!$T$4:$AH$23,MATCH($W14,PLANNING_FC!$B$4:$B$23,0),FALSE),0),0)</f>
        <v>0</v>
      </c>
      <c r="AZ14" s="58">
        <f>IFERROR(IF($V14="BRAND.com",HLOOKUP($X14&amp;$Z14,PLANNING_FC!$DA$27:$DO$46,MATCH($W14,PLANNING_FC!$CZ$27:$CZ$46,0),FALSE),0),0)</f>
        <v>0</v>
      </c>
      <c r="BA14" s="58">
        <f>IFERROR(IF($V14="BRAND.com",HLOOKUP($X14&amp;$Z14,PLANNING_FC!$DA$4:$DO$23,MATCH($W14,PLANNING_FC!$CZ$4:$CZ$23,0),FALSE),0),0)</f>
        <v>0</v>
      </c>
      <c r="BB14" s="883" t="str">
        <f>IF(V14="BRAND.com",IFERROR(HLOOKUP(X14&amp;Z14,PLANNING_FC!$AK$4:$AY$23,MATCH(W14,PLANNING_FC!$AJ$4:$AJ$23,0),FALSE)*1000,""),"")</f>
        <v/>
      </c>
      <c r="BC14" s="883" t="str">
        <f>IF(V14="BRAND.com",IFERROR(HLOOKUP(X14&amp;Z14,PLANNING_FC!$AK$27:$AY$46,MATCH(W14,PLANNING_FC!$AJ$27:$AJ$46,0),FALSE)*1000,""),"")</f>
        <v/>
      </c>
    </row>
    <row r="15" spans="1:55" x14ac:dyDescent="0.25">
      <c r="A15" s="509"/>
      <c r="B15" s="510"/>
      <c r="C15" s="509"/>
      <c r="D15" s="509"/>
      <c r="E15" s="509"/>
      <c r="F15" s="509"/>
      <c r="G15" s="509"/>
      <c r="H15" s="509"/>
      <c r="I15" s="512"/>
      <c r="J15" s="513"/>
      <c r="K15" s="879"/>
      <c r="L15" s="515"/>
      <c r="M15" s="516"/>
      <c r="N15" s="56">
        <f t="shared" si="0"/>
        <v>0</v>
      </c>
      <c r="O15" s="57">
        <f t="shared" si="1"/>
        <v>0</v>
      </c>
      <c r="P15" s="57">
        <f ca="1">IFERROR(IF(ISBLANK(H15),SUMIFS($AC:$AC,$V:$V,V15,$W:$W,W15,$X:$X,X15,$Y:$Y,Y15)*J15/(1-J15)*VLOOKUP(_xlfn.CONCAT(C15,D15,E15,TIME!$M$12,Z15),HIS_SALES!$B$2:$W$4859,20,FALSE),AC15*J15/(1-J15)),0)</f>
        <v>0</v>
      </c>
      <c r="Q15" s="541" t="str">
        <f t="shared" si="2"/>
        <v/>
      </c>
      <c r="R15" s="346" t="str">
        <f t="shared" si="3"/>
        <v>00000</v>
      </c>
      <c r="S15" s="344">
        <f t="shared" si="4"/>
        <v>0</v>
      </c>
      <c r="T15" s="345" t="str">
        <f t="shared" si="17"/>
        <v>000</v>
      </c>
      <c r="U15" s="345">
        <f t="shared" si="5"/>
        <v>0</v>
      </c>
      <c r="V15" s="345">
        <f t="shared" si="6"/>
        <v>0</v>
      </c>
      <c r="W15" s="345">
        <f t="shared" si="7"/>
        <v>0</v>
      </c>
      <c r="X15" s="345">
        <f t="shared" si="8"/>
        <v>0</v>
      </c>
      <c r="Y15" s="345">
        <f t="shared" si="9"/>
        <v>0</v>
      </c>
      <c r="Z15" s="345">
        <f>IF(Q15&lt;&gt;"",VLOOKUP(Y15,TIME!$R$21:$V$24,MATCH(FC_DATA!Q15,TIME!$R$20:$V$20,0),FALSE),H15)</f>
        <v>0</v>
      </c>
      <c r="AA15" s="345" t="str">
        <f>IFERROR(VLOOKUP(X15&amp;Z15,TIME!$A$12:$D$71,4,FALSE),"")</f>
        <v/>
      </c>
      <c r="AB15" s="592">
        <f t="shared" ca="1" si="10"/>
        <v>0</v>
      </c>
      <c r="AC15" s="593" t="e">
        <f ca="1">IF(ISBLANK(H15)=FALSE,IF(D15="BRAND.com",I15,IF(ISNA(VLOOKUP(_xlfn.CONCAT(X15,Z15),TIME!$M$40:$M$42,1,FALSE)),I15,VLOOKUP(_xlfn.CONCAT(D15,G15,H15),M_BUSAREA_FC!$AF$5:$AJ$10,5,FALSE)*HLOOKUP(_xlfn.CONCAT(F15,H15),ST_OVERVIEW!$G$99:$I$130,MATCH(_xlfn.CONCAT(D15,E15),ST_OVERVIEW!$F$99:$F$130,0),FALSE))),IF(D15="BRAND.com",VLOOKUP(_xlfn.CONCAT(C15,D15,E15,TIME!$F$1,Z15),HIS_SALES!$B$2:$V$4859,19,FALSE)*I15,VLOOKUP(_xlfn.CONCAT(D15,F15,G15),Q_BUSAREA_FC!$AE$5:$AI$12,5,FALSE)*HLOOKUP(_xlfn.CONCAT(FC_DATA!F15,FC_DATA!G15),LT_OVERVIEW!$I$99:$M$130,MATCH(_xlfn.CONCAT(D15,FC_DATA!E15),LT_OVERVIEW!$H$99:$H$130,0),FALSE)*IFERROR(VLOOKUP(_xlfn.CONCAT(C15,D15,E15,TIME!$F$1,Z15),HIS_SALES!$B$2:$V$4859,19,FALSE),0)))</f>
        <v>#N/A</v>
      </c>
      <c r="AD15" s="341">
        <f t="shared" ca="1" si="11"/>
        <v>0</v>
      </c>
      <c r="AE15" s="363" t="str">
        <f t="shared" si="12"/>
        <v/>
      </c>
      <c r="AF15" s="342" t="str">
        <f t="shared" si="13"/>
        <v/>
      </c>
      <c r="AG15" s="411" t="e">
        <f ca="1">VLOOKUP(_xlfn.CONCAT(U15,V15,W15,VLOOKUP(X15&amp;Y15,TIME!$L$27:$O$34,4,FALSE),Y15),HIS_SALES!$A$2:$R$5093,18,FALSE)</f>
        <v>#N/A</v>
      </c>
      <c r="AH15" s="412" t="e">
        <f ca="1">IFERROR(IF(AND(V15=V14,W15=W14),0.5*(AB15+AB14)*AG15,(VLOOKUP(_xlfn.CONCAT(U15,V15,W15,X15,VLOOKUP(Z15,TIME!$S$28:$T$39,2,FALSE)),FC_DATA!$R$2:$AB$5000,MATCH("GS_I_M",FC_DATA!$R$1:$AB$1,0),FALSE)+FC_DATA!AB15)*0.5*FC_DATA!AG15),NA())</f>
        <v>#N/A</v>
      </c>
      <c r="AI15" s="491" t="e">
        <f ca="1">IF(V15="PARTNER.com",AH15,IF(AND(V15=V14,W15=W14),(1-AVERAGE(AD14,AD15))*AH15,(1-AVERAGE(AD15,VLOOKUP(_xlfn.CONCAT(U15,V15,W15,X15,M_BRAND_FC!$F$6),FC_DATA!$R$2:$AD$5000,MATCH("DISCOUNT_%_M",FC_DATA!$R$1:$AD$1,0),FALSE)))*AH15))</f>
        <v>#N/A</v>
      </c>
      <c r="AJ15" s="412" t="str">
        <f t="shared" ca="1" si="14"/>
        <v/>
      </c>
      <c r="AK15" s="413" t="str">
        <f>IFERROR(AE15/(Q_BRAND_FC!$T$24+1),"")</f>
        <v/>
      </c>
      <c r="AL15" s="88" t="str">
        <f t="shared" ca="1" si="15"/>
        <v/>
      </c>
      <c r="AM15" s="414" t="str">
        <f t="shared" ca="1" si="16"/>
        <v/>
      </c>
      <c r="AN15" s="58">
        <f>IFERROR(IF($V15="BRAND.com",HLOOKUP($X15&amp;$Z15,NWC_FC_NOOS!$C$4:$Q$23,MATCH(W15,NWC_FC_NOOS!$B$4:$B$23,0),FALSE),0),0)</f>
        <v>0</v>
      </c>
      <c r="AO15" s="57">
        <f>IFERROR(IF($V15="BRAND.com",HLOOKUP($X15&amp;$Z15,NWC_FC_NOOS!$T$4:$AH$23,MATCH(W15,NWC_FC_NOOS!$S$4:$S$23,0),FALSE),0),0)</f>
        <v>0</v>
      </c>
      <c r="AP15" s="57">
        <f>IFERROR(IF($V15="BRAND.com",HLOOKUP($X15&amp;$Z15,NWC_FC_NOOS!$C$50:$U$69,MATCH(W15,NWC_FC_NOOS!$B$50:$B$69,0),FALSE),0),0)</f>
        <v>0</v>
      </c>
      <c r="AQ15" s="58">
        <f>IFERROR(IF($V15="BRAND.com",HLOOKUP($X15&amp;$Z15,'NWC_FC_NON-NOOS'!$C$4:$Q$23,MATCH(W15,'NWC_FC_NON-NOOS'!$B$4:$B$23,0),FALSE),0),0)</f>
        <v>0</v>
      </c>
      <c r="AR15" s="57">
        <f>IFERROR(IF($V15="BRAND.com",HLOOKUP($X15&amp;$Z15,'NWC_FC_NON-NOOS'!$T$4:$AH$23,MATCH(W15,'NWC_FC_NON-NOOS'!$S$4:$S$23,0),FALSE),0),0)</f>
        <v>0</v>
      </c>
      <c r="AS15" s="57">
        <f>IFERROR(IF($V15="BRAND.com",HLOOKUP($X15&amp;$Z15,'NWC_FC_NON-NOOS'!$C$50:$U$69,MATCH(W15,'NWC_FC_NON-NOOS'!$B$50:$B$69,0),FALSE),0),0)</f>
        <v>0</v>
      </c>
      <c r="AT15" s="57">
        <f t="shared" si="18"/>
        <v>0</v>
      </c>
      <c r="AU15" s="57">
        <f t="shared" si="19"/>
        <v>0</v>
      </c>
      <c r="AV15" s="58">
        <f>IFERROR(IF($V15="BRAND.com",HLOOKUP($X15&amp;$Z15,PLANNING_FC!$BB$27:$BP$46,MATCH($W15,PLANNING_FC!$BA$27:$BA$46,0),FALSE),0),0)</f>
        <v>0</v>
      </c>
      <c r="AW15" s="58">
        <f>IFERROR(IF($V15="BRAND.com",HLOOKUP($X15&amp;$Z15,PLANNING_FC!$BB$4:$BP$23,MATCH($W15,PLANNING_FC!$BA$4:$BA$23,0),FALSE),0),0)</f>
        <v>0</v>
      </c>
      <c r="AX15" s="58">
        <f>IFERROR(IF($V15="BRAND.com",HLOOKUP($X15&amp;$Z15,PLANNING_FC!$T$27:$AH$46,MATCH($W15,PLANNING_FC!$B$27:$B$46,0),FALSE),0),0)</f>
        <v>0</v>
      </c>
      <c r="AY15" s="58">
        <f>IFERROR(IF($V15="BRAND.com",HLOOKUP($X15&amp;$Z15,PLANNING_FC!$T$4:$AH$23,MATCH($W15,PLANNING_FC!$B$4:$B$23,0),FALSE),0),0)</f>
        <v>0</v>
      </c>
      <c r="AZ15" s="58">
        <f>IFERROR(IF($V15="BRAND.com",HLOOKUP($X15&amp;$Z15,PLANNING_FC!$DA$27:$DO$46,MATCH($W15,PLANNING_FC!$CZ$27:$CZ$46,0),FALSE),0),0)</f>
        <v>0</v>
      </c>
      <c r="BA15" s="58">
        <f>IFERROR(IF($V15="BRAND.com",HLOOKUP($X15&amp;$Z15,PLANNING_FC!$DA$4:$DO$23,MATCH($W15,PLANNING_FC!$CZ$4:$CZ$23,0),FALSE),0),0)</f>
        <v>0</v>
      </c>
      <c r="BB15" s="883" t="str">
        <f>IF(V15="BRAND.com",IFERROR(HLOOKUP(X15&amp;Z15,PLANNING_FC!$AK$4:$AY$23,MATCH(W15,PLANNING_FC!$AJ$4:$AJ$23,0),FALSE)*1000,""),"")</f>
        <v/>
      </c>
      <c r="BC15" s="883" t="str">
        <f>IF(V15="BRAND.com",IFERROR(HLOOKUP(X15&amp;Z15,PLANNING_FC!$AK$27:$AY$46,MATCH(W15,PLANNING_FC!$AJ$27:$AJ$46,0),FALSE)*1000,""),"")</f>
        <v/>
      </c>
    </row>
    <row r="16" spans="1:55" x14ac:dyDescent="0.25">
      <c r="A16" s="509"/>
      <c r="B16" s="510"/>
      <c r="C16" s="509"/>
      <c r="D16" s="509"/>
      <c r="E16" s="509"/>
      <c r="F16" s="509"/>
      <c r="G16" s="509"/>
      <c r="H16" s="509"/>
      <c r="I16" s="512"/>
      <c r="J16" s="513"/>
      <c r="K16" s="879"/>
      <c r="L16" s="515"/>
      <c r="M16" s="516"/>
      <c r="N16" s="56">
        <f t="shared" si="0"/>
        <v>0</v>
      </c>
      <c r="O16" s="57">
        <f t="shared" si="1"/>
        <v>0</v>
      </c>
      <c r="P16" s="57">
        <f ca="1">IFERROR(IF(ISBLANK(H16),SUMIFS($AC:$AC,$V:$V,V16,$W:$W,W16,$X:$X,X16,$Y:$Y,Y16)*J16/(1-J16)*VLOOKUP(_xlfn.CONCAT(C16,D16,E16,TIME!$M$12,Z16),HIS_SALES!$B$2:$W$4859,20,FALSE),AC16*J16/(1-J16)),0)</f>
        <v>0</v>
      </c>
      <c r="Q16" s="541" t="str">
        <f t="shared" si="2"/>
        <v/>
      </c>
      <c r="R16" s="346" t="str">
        <f t="shared" si="3"/>
        <v>00000</v>
      </c>
      <c r="S16" s="344">
        <f t="shared" si="4"/>
        <v>0</v>
      </c>
      <c r="T16" s="345" t="str">
        <f t="shared" si="17"/>
        <v>000</v>
      </c>
      <c r="U16" s="345">
        <f t="shared" si="5"/>
        <v>0</v>
      </c>
      <c r="V16" s="345">
        <f t="shared" si="6"/>
        <v>0</v>
      </c>
      <c r="W16" s="345">
        <f t="shared" si="7"/>
        <v>0</v>
      </c>
      <c r="X16" s="345">
        <f t="shared" si="8"/>
        <v>0</v>
      </c>
      <c r="Y16" s="345">
        <f t="shared" si="9"/>
        <v>0</v>
      </c>
      <c r="Z16" s="345">
        <f>IF(Q16&lt;&gt;"",VLOOKUP(Y16,TIME!$R$21:$V$24,MATCH(FC_DATA!Q16,TIME!$R$20:$V$20,0),FALSE),H16)</f>
        <v>0</v>
      </c>
      <c r="AA16" s="345" t="str">
        <f>IFERROR(VLOOKUP(X16&amp;Z16,TIME!$A$12:$D$71,4,FALSE),"")</f>
        <v/>
      </c>
      <c r="AB16" s="592">
        <f t="shared" ca="1" si="10"/>
        <v>0</v>
      </c>
      <c r="AC16" s="593" t="e">
        <f ca="1">IF(ISBLANK(H16)=FALSE,IF(D16="BRAND.com",I16,IF(ISNA(VLOOKUP(_xlfn.CONCAT(X16,Z16),TIME!$M$40:$M$42,1,FALSE)),I16,VLOOKUP(_xlfn.CONCAT(D16,G16,H16),M_BUSAREA_FC!$AF$5:$AJ$10,5,FALSE)*HLOOKUP(_xlfn.CONCAT(F16,H16),ST_OVERVIEW!$G$99:$I$130,MATCH(_xlfn.CONCAT(D16,E16),ST_OVERVIEW!$F$99:$F$130,0),FALSE))),IF(D16="BRAND.com",VLOOKUP(_xlfn.CONCAT(C16,D16,E16,TIME!$F$1,Z16),HIS_SALES!$B$2:$V$4859,19,FALSE)*I16,VLOOKUP(_xlfn.CONCAT(D16,F16,G16),Q_BUSAREA_FC!$AE$5:$AI$12,5,FALSE)*HLOOKUP(_xlfn.CONCAT(FC_DATA!F16,FC_DATA!G16),LT_OVERVIEW!$I$99:$M$130,MATCH(_xlfn.CONCAT(D16,FC_DATA!E16),LT_OVERVIEW!$H$99:$H$130,0),FALSE)*IFERROR(VLOOKUP(_xlfn.CONCAT(C16,D16,E16,TIME!$F$1,Z16),HIS_SALES!$B$2:$V$4859,19,FALSE),0)))</f>
        <v>#N/A</v>
      </c>
      <c r="AD16" s="341">
        <f t="shared" ca="1" si="11"/>
        <v>0</v>
      </c>
      <c r="AE16" s="363" t="str">
        <f t="shared" si="12"/>
        <v/>
      </c>
      <c r="AF16" s="342" t="str">
        <f t="shared" si="13"/>
        <v/>
      </c>
      <c r="AG16" s="411" t="e">
        <f ca="1">VLOOKUP(_xlfn.CONCAT(U16,V16,W16,VLOOKUP(X16&amp;Y16,TIME!$L$27:$O$34,4,FALSE),Y16),HIS_SALES!$A$2:$R$5093,18,FALSE)</f>
        <v>#N/A</v>
      </c>
      <c r="AH16" s="412" t="e">
        <f ca="1">IFERROR(IF(AND(V16=V15,W16=W15),0.5*(AB16+AB15)*AG16,(VLOOKUP(_xlfn.CONCAT(U16,V16,W16,X16,VLOOKUP(Z16,TIME!$S$28:$T$39,2,FALSE)),FC_DATA!$R$2:$AB$5000,MATCH("GS_I_M",FC_DATA!$R$1:$AB$1,0),FALSE)+FC_DATA!AB16)*0.5*FC_DATA!AG16),NA())</f>
        <v>#N/A</v>
      </c>
      <c r="AI16" s="491" t="e">
        <f ca="1">IF(V16="PARTNER.com",AH16,IF(AND(V16=V15,W16=W15),(1-AVERAGE(AD15,AD16))*AH16,(1-AVERAGE(AD16,VLOOKUP(_xlfn.CONCAT(U16,V16,W16,X16,M_BRAND_FC!$F$6),FC_DATA!$R$2:$AD$5000,MATCH("DISCOUNT_%_M",FC_DATA!$R$1:$AD$1,0),FALSE)))*AH16))</f>
        <v>#N/A</v>
      </c>
      <c r="AJ16" s="412" t="str">
        <f t="shared" ca="1" si="14"/>
        <v/>
      </c>
      <c r="AK16" s="413" t="str">
        <f>IFERROR(AE16/(Q_BRAND_FC!$T$24+1),"")</f>
        <v/>
      </c>
      <c r="AL16" s="88" t="str">
        <f t="shared" ca="1" si="15"/>
        <v/>
      </c>
      <c r="AM16" s="414" t="str">
        <f t="shared" ca="1" si="16"/>
        <v/>
      </c>
      <c r="AN16" s="58">
        <f>IFERROR(IF($V16="BRAND.com",HLOOKUP($X16&amp;$Z16,NWC_FC_NOOS!$C$4:$Q$23,MATCH(W16,NWC_FC_NOOS!$B$4:$B$23,0),FALSE),0),0)</f>
        <v>0</v>
      </c>
      <c r="AO16" s="57">
        <f>IFERROR(IF($V16="BRAND.com",HLOOKUP($X16&amp;$Z16,NWC_FC_NOOS!$T$4:$AH$23,MATCH(W16,NWC_FC_NOOS!$S$4:$S$23,0),FALSE),0),0)</f>
        <v>0</v>
      </c>
      <c r="AP16" s="57">
        <f>IFERROR(IF($V16="BRAND.com",HLOOKUP($X16&amp;$Z16,NWC_FC_NOOS!$C$50:$U$69,MATCH(W16,NWC_FC_NOOS!$B$50:$B$69,0),FALSE),0),0)</f>
        <v>0</v>
      </c>
      <c r="AQ16" s="58">
        <f>IFERROR(IF($V16="BRAND.com",HLOOKUP($X16&amp;$Z16,'NWC_FC_NON-NOOS'!$C$4:$Q$23,MATCH(W16,'NWC_FC_NON-NOOS'!$B$4:$B$23,0),FALSE),0),0)</f>
        <v>0</v>
      </c>
      <c r="AR16" s="57">
        <f>IFERROR(IF($V16="BRAND.com",HLOOKUP($X16&amp;$Z16,'NWC_FC_NON-NOOS'!$T$4:$AH$23,MATCH(W16,'NWC_FC_NON-NOOS'!$S$4:$S$23,0),FALSE),0),0)</f>
        <v>0</v>
      </c>
      <c r="AS16" s="57">
        <f>IFERROR(IF($V16="BRAND.com",HLOOKUP($X16&amp;$Z16,'NWC_FC_NON-NOOS'!$C$50:$U$69,MATCH(W16,'NWC_FC_NON-NOOS'!$B$50:$B$69,0),FALSE),0),0)</f>
        <v>0</v>
      </c>
      <c r="AT16" s="57">
        <f t="shared" si="18"/>
        <v>0</v>
      </c>
      <c r="AU16" s="57">
        <f t="shared" si="19"/>
        <v>0</v>
      </c>
      <c r="AV16" s="58">
        <f>IFERROR(IF($V16="BRAND.com",HLOOKUP($X16&amp;$Z16,PLANNING_FC!$BB$27:$BP$46,MATCH($W16,PLANNING_FC!$BA$27:$BA$46,0),FALSE),0),0)</f>
        <v>0</v>
      </c>
      <c r="AW16" s="58">
        <f>IFERROR(IF($V16="BRAND.com",HLOOKUP($X16&amp;$Z16,PLANNING_FC!$BB$4:$BP$23,MATCH($W16,PLANNING_FC!$BA$4:$BA$23,0),FALSE),0),0)</f>
        <v>0</v>
      </c>
      <c r="AX16" s="58">
        <f>IFERROR(IF($V16="BRAND.com",HLOOKUP($X16&amp;$Z16,PLANNING_FC!$T$27:$AH$46,MATCH($W16,PLANNING_FC!$B$27:$B$46,0),FALSE),0),0)</f>
        <v>0</v>
      </c>
      <c r="AY16" s="58">
        <f>IFERROR(IF($V16="BRAND.com",HLOOKUP($X16&amp;$Z16,PLANNING_FC!$T$4:$AH$23,MATCH($W16,PLANNING_FC!$B$4:$B$23,0),FALSE),0),0)</f>
        <v>0</v>
      </c>
      <c r="AZ16" s="58">
        <f>IFERROR(IF($V16="BRAND.com",HLOOKUP($X16&amp;$Z16,PLANNING_FC!$DA$27:$DO$46,MATCH($W16,PLANNING_FC!$CZ$27:$CZ$46,0),FALSE),0),0)</f>
        <v>0</v>
      </c>
      <c r="BA16" s="58">
        <f>IFERROR(IF($V16="BRAND.com",HLOOKUP($X16&amp;$Z16,PLANNING_FC!$DA$4:$DO$23,MATCH($W16,PLANNING_FC!$CZ$4:$CZ$23,0),FALSE),0),0)</f>
        <v>0</v>
      </c>
      <c r="BB16" s="883" t="str">
        <f>IF(V16="BRAND.com",IFERROR(HLOOKUP(X16&amp;Z16,PLANNING_FC!$AK$4:$AY$23,MATCH(W16,PLANNING_FC!$AJ$4:$AJ$23,0),FALSE)*1000,""),"")</f>
        <v/>
      </c>
      <c r="BC16" s="883" t="str">
        <f>IF(V16="BRAND.com",IFERROR(HLOOKUP(X16&amp;Z16,PLANNING_FC!$AK$27:$AY$46,MATCH(W16,PLANNING_FC!$AJ$27:$AJ$46,0),FALSE)*1000,""),"")</f>
        <v/>
      </c>
    </row>
    <row r="17" spans="1:55" x14ac:dyDescent="0.25">
      <c r="A17" s="509"/>
      <c r="B17" s="510"/>
      <c r="C17" s="509"/>
      <c r="D17" s="509"/>
      <c r="E17" s="509"/>
      <c r="F17" s="509"/>
      <c r="G17" s="509"/>
      <c r="H17" s="509"/>
      <c r="I17" s="512"/>
      <c r="J17" s="513"/>
      <c r="K17" s="879"/>
      <c r="L17" s="515"/>
      <c r="M17" s="516"/>
      <c r="N17" s="56">
        <f t="shared" si="0"/>
        <v>0</v>
      </c>
      <c r="O17" s="57">
        <f t="shared" si="1"/>
        <v>0</v>
      </c>
      <c r="P17" s="57">
        <f ca="1">IFERROR(IF(ISBLANK(H17),SUMIFS($AC:$AC,$V:$V,V17,$W:$W,W17,$X:$X,X17,$Y:$Y,Y17)*J17/(1-J17)*VLOOKUP(_xlfn.CONCAT(C17,D17,E17,TIME!$M$12,Z17),HIS_SALES!$B$2:$W$4859,20,FALSE),AC17*J17/(1-J17)),0)</f>
        <v>0</v>
      </c>
      <c r="Q17" s="541" t="str">
        <f t="shared" si="2"/>
        <v/>
      </c>
      <c r="R17" s="346" t="str">
        <f t="shared" si="3"/>
        <v>00000</v>
      </c>
      <c r="S17" s="344">
        <f t="shared" si="4"/>
        <v>0</v>
      </c>
      <c r="T17" s="345" t="str">
        <f t="shared" si="17"/>
        <v>000</v>
      </c>
      <c r="U17" s="345">
        <f t="shared" si="5"/>
        <v>0</v>
      </c>
      <c r="V17" s="345">
        <f t="shared" si="6"/>
        <v>0</v>
      </c>
      <c r="W17" s="345">
        <f t="shared" si="7"/>
        <v>0</v>
      </c>
      <c r="X17" s="345">
        <f t="shared" si="8"/>
        <v>0</v>
      </c>
      <c r="Y17" s="345">
        <f t="shared" si="9"/>
        <v>0</v>
      </c>
      <c r="Z17" s="345">
        <f>IF(Q17&lt;&gt;"",VLOOKUP(Y17,TIME!$R$21:$V$24,MATCH(FC_DATA!Q17,TIME!$R$20:$V$20,0),FALSE),H17)</f>
        <v>0</v>
      </c>
      <c r="AA17" s="345" t="str">
        <f>IFERROR(VLOOKUP(X17&amp;Z17,TIME!$A$12:$D$71,4,FALSE),"")</f>
        <v/>
      </c>
      <c r="AB17" s="592">
        <f t="shared" ca="1" si="10"/>
        <v>0</v>
      </c>
      <c r="AC17" s="593" t="e">
        <f ca="1">IF(ISBLANK(H17)=FALSE,IF(D17="BRAND.com",I17,IF(ISNA(VLOOKUP(_xlfn.CONCAT(X17,Z17),TIME!$M$40:$M$42,1,FALSE)),I17,VLOOKUP(_xlfn.CONCAT(D17,G17,H17),M_BUSAREA_FC!$AF$5:$AJ$10,5,FALSE)*HLOOKUP(_xlfn.CONCAT(F17,H17),ST_OVERVIEW!$G$99:$I$130,MATCH(_xlfn.CONCAT(D17,E17),ST_OVERVIEW!$F$99:$F$130,0),FALSE))),IF(D17="BRAND.com",VLOOKUP(_xlfn.CONCAT(C17,D17,E17,TIME!$F$1,Z17),HIS_SALES!$B$2:$V$4859,19,FALSE)*I17,VLOOKUP(_xlfn.CONCAT(D17,F17,G17),Q_BUSAREA_FC!$AE$5:$AI$12,5,FALSE)*HLOOKUP(_xlfn.CONCAT(FC_DATA!F17,FC_DATA!G17),LT_OVERVIEW!$I$99:$M$130,MATCH(_xlfn.CONCAT(D17,FC_DATA!E17),LT_OVERVIEW!$H$99:$H$130,0),FALSE)*IFERROR(VLOOKUP(_xlfn.CONCAT(C17,D17,E17,TIME!$F$1,Z17),HIS_SALES!$B$2:$V$4859,19,FALSE),0)))</f>
        <v>#N/A</v>
      </c>
      <c r="AD17" s="341">
        <f t="shared" ca="1" si="11"/>
        <v>0</v>
      </c>
      <c r="AE17" s="363" t="str">
        <f t="shared" si="12"/>
        <v/>
      </c>
      <c r="AF17" s="342" t="str">
        <f t="shared" si="13"/>
        <v/>
      </c>
      <c r="AG17" s="411" t="e">
        <f ca="1">VLOOKUP(_xlfn.CONCAT(U17,V17,W17,VLOOKUP(X17&amp;Y17,TIME!$L$27:$O$34,4,FALSE),Y17),HIS_SALES!$A$2:$R$5093,18,FALSE)</f>
        <v>#N/A</v>
      </c>
      <c r="AH17" s="412" t="e">
        <f ca="1">IFERROR(IF(AND(V17=V16,W17=W16),0.5*(AB17+AB16)*AG17,(VLOOKUP(_xlfn.CONCAT(U17,V17,W17,X17,VLOOKUP(Z17,TIME!$S$28:$T$39,2,FALSE)),FC_DATA!$R$2:$AB$5000,MATCH("GS_I_M",FC_DATA!$R$1:$AB$1,0),FALSE)+FC_DATA!AB17)*0.5*FC_DATA!AG17),NA())</f>
        <v>#N/A</v>
      </c>
      <c r="AI17" s="491" t="e">
        <f ca="1">IF(V17="PARTNER.com",AH17,IF(AND(V17=V16,W17=W16),(1-AVERAGE(AD16,AD17))*AH17,(1-AVERAGE(AD17,VLOOKUP(_xlfn.CONCAT(U17,V17,W17,X17,M_BRAND_FC!$F$6),FC_DATA!$R$2:$AD$5000,MATCH("DISCOUNT_%_M",FC_DATA!$R$1:$AD$1,0),FALSE)))*AH17))</f>
        <v>#N/A</v>
      </c>
      <c r="AJ17" s="412" t="str">
        <f t="shared" ca="1" si="14"/>
        <v/>
      </c>
      <c r="AK17" s="413" t="str">
        <f>IFERROR(AE17/(Q_BRAND_FC!$T$24+1),"")</f>
        <v/>
      </c>
      <c r="AL17" s="88" t="str">
        <f t="shared" ca="1" si="15"/>
        <v/>
      </c>
      <c r="AM17" s="414" t="str">
        <f t="shared" ca="1" si="16"/>
        <v/>
      </c>
      <c r="AN17" s="58">
        <f>IFERROR(IF($V17="BRAND.com",HLOOKUP($X17&amp;$Z17,NWC_FC_NOOS!$C$4:$Q$23,MATCH(W17,NWC_FC_NOOS!$B$4:$B$23,0),FALSE),0),0)</f>
        <v>0</v>
      </c>
      <c r="AO17" s="57">
        <f>IFERROR(IF($V17="BRAND.com",HLOOKUP($X17&amp;$Z17,NWC_FC_NOOS!$T$4:$AH$23,MATCH(W17,NWC_FC_NOOS!$S$4:$S$23,0),FALSE),0),0)</f>
        <v>0</v>
      </c>
      <c r="AP17" s="57">
        <f>IFERROR(IF($V17="BRAND.com",HLOOKUP($X17&amp;$Z17,NWC_FC_NOOS!$C$50:$U$69,MATCH(W17,NWC_FC_NOOS!$B$50:$B$69,0),FALSE),0),0)</f>
        <v>0</v>
      </c>
      <c r="AQ17" s="58">
        <f>IFERROR(IF($V17="BRAND.com",HLOOKUP($X17&amp;$Z17,'NWC_FC_NON-NOOS'!$C$4:$Q$23,MATCH(W17,'NWC_FC_NON-NOOS'!$B$4:$B$23,0),FALSE),0),0)</f>
        <v>0</v>
      </c>
      <c r="AR17" s="57">
        <f>IFERROR(IF($V17="BRAND.com",HLOOKUP($X17&amp;$Z17,'NWC_FC_NON-NOOS'!$T$4:$AH$23,MATCH(W17,'NWC_FC_NON-NOOS'!$S$4:$S$23,0),FALSE),0),0)</f>
        <v>0</v>
      </c>
      <c r="AS17" s="57">
        <f>IFERROR(IF($V17="BRAND.com",HLOOKUP($X17&amp;$Z17,'NWC_FC_NON-NOOS'!$C$50:$U$69,MATCH(W17,'NWC_FC_NON-NOOS'!$B$50:$B$69,0),FALSE),0),0)</f>
        <v>0</v>
      </c>
      <c r="AT17" s="57">
        <f t="shared" si="18"/>
        <v>0</v>
      </c>
      <c r="AU17" s="57">
        <f t="shared" si="19"/>
        <v>0</v>
      </c>
      <c r="AV17" s="58">
        <f>IFERROR(IF($V17="BRAND.com",HLOOKUP($X17&amp;$Z17,PLANNING_FC!$BB$27:$BP$46,MATCH($W17,PLANNING_FC!$BA$27:$BA$46,0),FALSE),0),0)</f>
        <v>0</v>
      </c>
      <c r="AW17" s="58">
        <f>IFERROR(IF($V17="BRAND.com",HLOOKUP($X17&amp;$Z17,PLANNING_FC!$BB$4:$BP$23,MATCH($W17,PLANNING_FC!$BA$4:$BA$23,0),FALSE),0),0)</f>
        <v>0</v>
      </c>
      <c r="AX17" s="58">
        <f>IFERROR(IF($V17="BRAND.com",HLOOKUP($X17&amp;$Z17,PLANNING_FC!$T$27:$AH$46,MATCH($W17,PLANNING_FC!$B$27:$B$46,0),FALSE),0),0)</f>
        <v>0</v>
      </c>
      <c r="AY17" s="58">
        <f>IFERROR(IF($V17="BRAND.com",HLOOKUP($X17&amp;$Z17,PLANNING_FC!$T$4:$AH$23,MATCH($W17,PLANNING_FC!$B$4:$B$23,0),FALSE),0),0)</f>
        <v>0</v>
      </c>
      <c r="AZ17" s="58">
        <f>IFERROR(IF($V17="BRAND.com",HLOOKUP($X17&amp;$Z17,PLANNING_FC!$DA$27:$DO$46,MATCH($W17,PLANNING_FC!$CZ$27:$CZ$46,0),FALSE),0),0)</f>
        <v>0</v>
      </c>
      <c r="BA17" s="58">
        <f>IFERROR(IF($V17="BRAND.com",HLOOKUP($X17&amp;$Z17,PLANNING_FC!$DA$4:$DO$23,MATCH($W17,PLANNING_FC!$CZ$4:$CZ$23,0),FALSE),0),0)</f>
        <v>0</v>
      </c>
      <c r="BB17" s="883" t="str">
        <f>IF(V17="BRAND.com",IFERROR(HLOOKUP(X17&amp;Z17,PLANNING_FC!$AK$4:$AY$23,MATCH(W17,PLANNING_FC!$AJ$4:$AJ$23,0),FALSE)*1000,""),"")</f>
        <v/>
      </c>
      <c r="BC17" s="883" t="str">
        <f>IF(V17="BRAND.com",IFERROR(HLOOKUP(X17&amp;Z17,PLANNING_FC!$AK$27:$AY$46,MATCH(W17,PLANNING_FC!$AJ$27:$AJ$46,0),FALSE)*1000,""),"")</f>
        <v/>
      </c>
    </row>
    <row r="18" spans="1:55" x14ac:dyDescent="0.25">
      <c r="A18" s="509"/>
      <c r="B18" s="510"/>
      <c r="C18" s="509"/>
      <c r="D18" s="509"/>
      <c r="E18" s="509"/>
      <c r="F18" s="509"/>
      <c r="G18" s="509"/>
      <c r="H18" s="509"/>
      <c r="I18" s="512"/>
      <c r="J18" s="513"/>
      <c r="K18" s="879"/>
      <c r="L18" s="515"/>
      <c r="M18" s="516"/>
      <c r="N18" s="56">
        <f t="shared" si="0"/>
        <v>0</v>
      </c>
      <c r="O18" s="57">
        <f t="shared" si="1"/>
        <v>0</v>
      </c>
      <c r="P18" s="57">
        <f ca="1">IFERROR(IF(ISBLANK(H18),SUMIFS($AC:$AC,$V:$V,V18,$W:$W,W18,$X:$X,X18,$Y:$Y,Y18)*J18/(1-J18)*VLOOKUP(_xlfn.CONCAT(C18,D18,E18,TIME!$M$12,Z18),HIS_SALES!$B$2:$W$4859,20,FALSE),AC18*J18/(1-J18)),0)</f>
        <v>0</v>
      </c>
      <c r="Q18" s="541" t="str">
        <f t="shared" si="2"/>
        <v/>
      </c>
      <c r="R18" s="346" t="str">
        <f t="shared" si="3"/>
        <v>00000</v>
      </c>
      <c r="S18" s="344">
        <f t="shared" si="4"/>
        <v>0</v>
      </c>
      <c r="T18" s="345" t="str">
        <f t="shared" si="17"/>
        <v>000</v>
      </c>
      <c r="U18" s="345">
        <f t="shared" si="5"/>
        <v>0</v>
      </c>
      <c r="V18" s="345">
        <f t="shared" si="6"/>
        <v>0</v>
      </c>
      <c r="W18" s="345">
        <f t="shared" si="7"/>
        <v>0</v>
      </c>
      <c r="X18" s="345">
        <f t="shared" si="8"/>
        <v>0</v>
      </c>
      <c r="Y18" s="345">
        <f t="shared" si="9"/>
        <v>0</v>
      </c>
      <c r="Z18" s="345">
        <f>IF(Q18&lt;&gt;"",VLOOKUP(Y18,TIME!$R$21:$V$24,MATCH(FC_DATA!Q18,TIME!$R$20:$V$20,0),FALSE),H18)</f>
        <v>0</v>
      </c>
      <c r="AA18" s="345" t="str">
        <f>IFERROR(VLOOKUP(X18&amp;Z18,TIME!$A$12:$D$71,4,FALSE),"")</f>
        <v/>
      </c>
      <c r="AB18" s="592">
        <f t="shared" ca="1" si="10"/>
        <v>0</v>
      </c>
      <c r="AC18" s="593" t="e">
        <f ca="1">IF(ISBLANK(H18)=FALSE,IF(D18="BRAND.com",I18,IF(ISNA(VLOOKUP(_xlfn.CONCAT(X18,Z18),TIME!$M$40:$M$42,1,FALSE)),I18,VLOOKUP(_xlfn.CONCAT(D18,G18,H18),M_BUSAREA_FC!$AF$5:$AJ$10,5,FALSE)*HLOOKUP(_xlfn.CONCAT(F18,H18),ST_OVERVIEW!$G$99:$I$130,MATCH(_xlfn.CONCAT(D18,E18),ST_OVERVIEW!$F$99:$F$130,0),FALSE))),IF(D18="BRAND.com",VLOOKUP(_xlfn.CONCAT(C18,D18,E18,TIME!$F$1,Z18),HIS_SALES!$B$2:$V$4859,19,FALSE)*I18,VLOOKUP(_xlfn.CONCAT(D18,F18,G18),Q_BUSAREA_FC!$AE$5:$AI$12,5,FALSE)*HLOOKUP(_xlfn.CONCAT(FC_DATA!F18,FC_DATA!G18),LT_OVERVIEW!$I$99:$M$130,MATCH(_xlfn.CONCAT(D18,FC_DATA!E18),LT_OVERVIEW!$H$99:$H$130,0),FALSE)*IFERROR(VLOOKUP(_xlfn.CONCAT(C18,D18,E18,TIME!$F$1,Z18),HIS_SALES!$B$2:$V$4859,19,FALSE),0)))</f>
        <v>#N/A</v>
      </c>
      <c r="AD18" s="341">
        <f t="shared" ca="1" si="11"/>
        <v>0</v>
      </c>
      <c r="AE18" s="363" t="str">
        <f t="shared" si="12"/>
        <v/>
      </c>
      <c r="AF18" s="342" t="str">
        <f t="shared" si="13"/>
        <v/>
      </c>
      <c r="AG18" s="411" t="e">
        <f ca="1">VLOOKUP(_xlfn.CONCAT(U18,V18,W18,VLOOKUP(X18&amp;Y18,TIME!$L$27:$O$34,4,FALSE),Y18),HIS_SALES!$A$2:$R$5093,18,FALSE)</f>
        <v>#N/A</v>
      </c>
      <c r="AH18" s="412" t="e">
        <f ca="1">IFERROR(IF(AND(V18=V17,W18=W17),0.5*(AB18+AB17)*AG18,(VLOOKUP(_xlfn.CONCAT(U18,V18,W18,X18,VLOOKUP(Z18,TIME!$S$28:$T$39,2,FALSE)),FC_DATA!$R$2:$AB$5000,MATCH("GS_I_M",FC_DATA!$R$1:$AB$1,0),FALSE)+FC_DATA!AB18)*0.5*FC_DATA!AG18),NA())</f>
        <v>#N/A</v>
      </c>
      <c r="AI18" s="491" t="e">
        <f ca="1">IF(V18="PARTNER.com",AH18,IF(AND(V18=V17,W18=W17),(1-AVERAGE(AD17,AD18))*AH18,(1-AVERAGE(AD18,VLOOKUP(_xlfn.CONCAT(U18,V18,W18,X18,M_BRAND_FC!$F$6),FC_DATA!$R$2:$AD$5000,MATCH("DISCOUNT_%_M",FC_DATA!$R$1:$AD$1,0),FALSE)))*AH18))</f>
        <v>#N/A</v>
      </c>
      <c r="AJ18" s="412" t="str">
        <f t="shared" ca="1" si="14"/>
        <v/>
      </c>
      <c r="AK18" s="413" t="str">
        <f>IFERROR(AE18/(Q_BRAND_FC!$T$24+1),"")</f>
        <v/>
      </c>
      <c r="AL18" s="88" t="str">
        <f t="shared" ca="1" si="15"/>
        <v/>
      </c>
      <c r="AM18" s="414" t="str">
        <f t="shared" ca="1" si="16"/>
        <v/>
      </c>
      <c r="AN18" s="58">
        <f>IFERROR(IF($V18="BRAND.com",HLOOKUP($X18&amp;$Z18,NWC_FC_NOOS!$C$4:$Q$23,MATCH(W18,NWC_FC_NOOS!$B$4:$B$23,0),FALSE),0),0)</f>
        <v>0</v>
      </c>
      <c r="AO18" s="57">
        <f>IFERROR(IF($V18="BRAND.com",HLOOKUP($X18&amp;$Z18,NWC_FC_NOOS!$T$4:$AH$23,MATCH(W18,NWC_FC_NOOS!$S$4:$S$23,0),FALSE),0),0)</f>
        <v>0</v>
      </c>
      <c r="AP18" s="57">
        <f>IFERROR(IF($V18="BRAND.com",HLOOKUP($X18&amp;$Z18,NWC_FC_NOOS!$C$50:$U$69,MATCH(W18,NWC_FC_NOOS!$B$50:$B$69,0),FALSE),0),0)</f>
        <v>0</v>
      </c>
      <c r="AQ18" s="58">
        <f>IFERROR(IF($V18="BRAND.com",HLOOKUP($X18&amp;$Z18,'NWC_FC_NON-NOOS'!$C$4:$Q$23,MATCH(W18,'NWC_FC_NON-NOOS'!$B$4:$B$23,0),FALSE),0),0)</f>
        <v>0</v>
      </c>
      <c r="AR18" s="57">
        <f>IFERROR(IF($V18="BRAND.com",HLOOKUP($X18&amp;$Z18,'NWC_FC_NON-NOOS'!$T$4:$AH$23,MATCH(W18,'NWC_FC_NON-NOOS'!$S$4:$S$23,0),FALSE),0),0)</f>
        <v>0</v>
      </c>
      <c r="AS18" s="57">
        <f>IFERROR(IF($V18="BRAND.com",HLOOKUP($X18&amp;$Z18,'NWC_FC_NON-NOOS'!$C$50:$U$69,MATCH(W18,'NWC_FC_NON-NOOS'!$B$50:$B$69,0),FALSE),0),0)</f>
        <v>0</v>
      </c>
      <c r="AT18" s="57">
        <f t="shared" si="18"/>
        <v>0</v>
      </c>
      <c r="AU18" s="57">
        <f t="shared" si="19"/>
        <v>0</v>
      </c>
      <c r="AV18" s="58">
        <f>IFERROR(IF($V18="BRAND.com",HLOOKUP($X18&amp;$Z18,PLANNING_FC!$BB$27:$BP$46,MATCH($W18,PLANNING_FC!$BA$27:$BA$46,0),FALSE),0),0)</f>
        <v>0</v>
      </c>
      <c r="AW18" s="58">
        <f>IFERROR(IF($V18="BRAND.com",HLOOKUP($X18&amp;$Z18,PLANNING_FC!$BB$4:$BP$23,MATCH($W18,PLANNING_FC!$BA$4:$BA$23,0),FALSE),0),0)</f>
        <v>0</v>
      </c>
      <c r="AX18" s="58">
        <f>IFERROR(IF($V18="BRAND.com",HLOOKUP($X18&amp;$Z18,PLANNING_FC!$T$27:$AH$46,MATCH($W18,PLANNING_FC!$B$27:$B$46,0),FALSE),0),0)</f>
        <v>0</v>
      </c>
      <c r="AY18" s="58">
        <f>IFERROR(IF($V18="BRAND.com",HLOOKUP($X18&amp;$Z18,PLANNING_FC!$T$4:$AH$23,MATCH($W18,PLANNING_FC!$B$4:$B$23,0),FALSE),0),0)</f>
        <v>0</v>
      </c>
      <c r="AZ18" s="58">
        <f>IFERROR(IF($V18="BRAND.com",HLOOKUP($X18&amp;$Z18,PLANNING_FC!$DA$27:$DO$46,MATCH($W18,PLANNING_FC!$CZ$27:$CZ$46,0),FALSE),0),0)</f>
        <v>0</v>
      </c>
      <c r="BA18" s="58">
        <f>IFERROR(IF($V18="BRAND.com",HLOOKUP($X18&amp;$Z18,PLANNING_FC!$DA$4:$DO$23,MATCH($W18,PLANNING_FC!$CZ$4:$CZ$23,0),FALSE),0),0)</f>
        <v>0</v>
      </c>
      <c r="BB18" s="883" t="str">
        <f>IF(V18="BRAND.com",IFERROR(HLOOKUP(X18&amp;Z18,PLANNING_FC!$AK$4:$AY$23,MATCH(W18,PLANNING_FC!$AJ$4:$AJ$23,0),FALSE)*1000,""),"")</f>
        <v/>
      </c>
      <c r="BC18" s="883" t="str">
        <f>IF(V18="BRAND.com",IFERROR(HLOOKUP(X18&amp;Z18,PLANNING_FC!$AK$27:$AY$46,MATCH(W18,PLANNING_FC!$AJ$27:$AJ$46,0),FALSE)*1000,""),"")</f>
        <v/>
      </c>
    </row>
    <row r="19" spans="1:55" x14ac:dyDescent="0.25">
      <c r="A19" s="509"/>
      <c r="B19" s="510"/>
      <c r="C19" s="509"/>
      <c r="D19" s="509"/>
      <c r="E19" s="509"/>
      <c r="F19" s="509"/>
      <c r="G19" s="509"/>
      <c r="H19" s="509"/>
      <c r="I19" s="512"/>
      <c r="J19" s="513"/>
      <c r="K19" s="879"/>
      <c r="L19" s="515"/>
      <c r="M19" s="516"/>
      <c r="N19" s="56">
        <f t="shared" si="0"/>
        <v>0</v>
      </c>
      <c r="O19" s="57">
        <f t="shared" si="1"/>
        <v>0</v>
      </c>
      <c r="P19" s="57">
        <f ca="1">IFERROR(IF(ISBLANK(H19),SUMIFS($AC:$AC,$V:$V,V19,$W:$W,W19,$X:$X,X19,$Y:$Y,Y19)*J19/(1-J19)*VLOOKUP(_xlfn.CONCAT(C19,D19,E19,TIME!$M$12,Z19),HIS_SALES!$B$2:$W$4859,20,FALSE),AC19*J19/(1-J19)),0)</f>
        <v>0</v>
      </c>
      <c r="Q19" s="541" t="str">
        <f t="shared" si="2"/>
        <v/>
      </c>
      <c r="R19" s="346" t="str">
        <f t="shared" si="3"/>
        <v>00000</v>
      </c>
      <c r="S19" s="344">
        <f t="shared" si="4"/>
        <v>0</v>
      </c>
      <c r="T19" s="345" t="str">
        <f t="shared" si="17"/>
        <v>000</v>
      </c>
      <c r="U19" s="345">
        <f t="shared" si="5"/>
        <v>0</v>
      </c>
      <c r="V19" s="345">
        <f t="shared" si="6"/>
        <v>0</v>
      </c>
      <c r="W19" s="345">
        <f t="shared" si="7"/>
        <v>0</v>
      </c>
      <c r="X19" s="345">
        <f t="shared" si="8"/>
        <v>0</v>
      </c>
      <c r="Y19" s="345">
        <f t="shared" si="9"/>
        <v>0</v>
      </c>
      <c r="Z19" s="345">
        <f>IF(Q19&lt;&gt;"",VLOOKUP(Y19,TIME!$R$21:$V$24,MATCH(FC_DATA!Q19,TIME!$R$20:$V$20,0),FALSE),H19)</f>
        <v>0</v>
      </c>
      <c r="AA19" s="345" t="str">
        <f>IFERROR(VLOOKUP(X19&amp;Z19,TIME!$A$12:$D$71,4,FALSE),"")</f>
        <v/>
      </c>
      <c r="AB19" s="592">
        <f t="shared" ca="1" si="10"/>
        <v>0</v>
      </c>
      <c r="AC19" s="593" t="e">
        <f ca="1">IF(ISBLANK(H19)=FALSE,IF(D19="BRAND.com",I19,IF(ISNA(VLOOKUP(_xlfn.CONCAT(X19,Z19),TIME!$M$40:$M$42,1,FALSE)),I19,VLOOKUP(_xlfn.CONCAT(D19,G19,H19),M_BUSAREA_FC!$AF$5:$AJ$10,5,FALSE)*HLOOKUP(_xlfn.CONCAT(F19,H19),ST_OVERVIEW!$G$99:$I$130,MATCH(_xlfn.CONCAT(D19,E19),ST_OVERVIEW!$F$99:$F$130,0),FALSE))),IF(D19="BRAND.com",VLOOKUP(_xlfn.CONCAT(C19,D19,E19,TIME!$F$1,Z19),HIS_SALES!$B$2:$V$4859,19,FALSE)*I19,VLOOKUP(_xlfn.CONCAT(D19,F19,G19),Q_BUSAREA_FC!$AE$5:$AI$12,5,FALSE)*HLOOKUP(_xlfn.CONCAT(FC_DATA!F19,FC_DATA!G19),LT_OVERVIEW!$I$99:$M$130,MATCH(_xlfn.CONCAT(D19,FC_DATA!E19),LT_OVERVIEW!$H$99:$H$130,0),FALSE)*IFERROR(VLOOKUP(_xlfn.CONCAT(C19,D19,E19,TIME!$F$1,Z19),HIS_SALES!$B$2:$V$4859,19,FALSE),0)))</f>
        <v>#N/A</v>
      </c>
      <c r="AD19" s="341">
        <f t="shared" ca="1" si="11"/>
        <v>0</v>
      </c>
      <c r="AE19" s="363" t="str">
        <f t="shared" si="12"/>
        <v/>
      </c>
      <c r="AF19" s="342" t="str">
        <f t="shared" si="13"/>
        <v/>
      </c>
      <c r="AG19" s="411" t="e">
        <f ca="1">VLOOKUP(_xlfn.CONCAT(U19,V19,W19,VLOOKUP(X19&amp;Y19,TIME!$L$27:$O$34,4,FALSE),Y19),HIS_SALES!$A$2:$R$5093,18,FALSE)</f>
        <v>#N/A</v>
      </c>
      <c r="AH19" s="412" t="e">
        <f ca="1">IFERROR(IF(AND(V19=V18,W19=W18),0.5*(AB19+AB18)*AG19,(VLOOKUP(_xlfn.CONCAT(U19,V19,W19,X19,VLOOKUP(Z19,TIME!$S$28:$T$39,2,FALSE)),FC_DATA!$R$2:$AB$5000,MATCH("GS_I_M",FC_DATA!$R$1:$AB$1,0),FALSE)+FC_DATA!AB19)*0.5*FC_DATA!AG19),NA())</f>
        <v>#N/A</v>
      </c>
      <c r="AI19" s="491" t="e">
        <f ca="1">IF(V19="PARTNER.com",AH19,IF(AND(V19=V18,W19=W18),(1-AVERAGE(AD18,AD19))*AH19,(1-AVERAGE(AD19,VLOOKUP(_xlfn.CONCAT(U19,V19,W19,X19,M_BRAND_FC!$F$6),FC_DATA!$R$2:$AD$5000,MATCH("DISCOUNT_%_M",FC_DATA!$R$1:$AD$1,0),FALSE)))*AH19))</f>
        <v>#N/A</v>
      </c>
      <c r="AJ19" s="412" t="str">
        <f t="shared" ca="1" si="14"/>
        <v/>
      </c>
      <c r="AK19" s="413" t="str">
        <f>IFERROR(AE19/(Q_BRAND_FC!$T$24+1),"")</f>
        <v/>
      </c>
      <c r="AL19" s="88" t="str">
        <f t="shared" ca="1" si="15"/>
        <v/>
      </c>
      <c r="AM19" s="414" t="str">
        <f t="shared" ca="1" si="16"/>
        <v/>
      </c>
      <c r="AN19" s="58">
        <f>IFERROR(IF($V19="BRAND.com",HLOOKUP($X19&amp;$Z19,NWC_FC_NOOS!$C$4:$Q$23,MATCH(W19,NWC_FC_NOOS!$B$4:$B$23,0),FALSE),0),0)</f>
        <v>0</v>
      </c>
      <c r="AO19" s="57">
        <f>IFERROR(IF($V19="BRAND.com",HLOOKUP($X19&amp;$Z19,NWC_FC_NOOS!$T$4:$AH$23,MATCH(W19,NWC_FC_NOOS!$S$4:$S$23,0),FALSE),0),0)</f>
        <v>0</v>
      </c>
      <c r="AP19" s="57">
        <f>IFERROR(IF($V19="BRAND.com",HLOOKUP($X19&amp;$Z19,NWC_FC_NOOS!$C$50:$U$69,MATCH(W19,NWC_FC_NOOS!$B$50:$B$69,0),FALSE),0),0)</f>
        <v>0</v>
      </c>
      <c r="AQ19" s="58">
        <f>IFERROR(IF($V19="BRAND.com",HLOOKUP($X19&amp;$Z19,'NWC_FC_NON-NOOS'!$C$4:$Q$23,MATCH(W19,'NWC_FC_NON-NOOS'!$B$4:$B$23,0),FALSE),0),0)</f>
        <v>0</v>
      </c>
      <c r="AR19" s="57">
        <f>IFERROR(IF($V19="BRAND.com",HLOOKUP($X19&amp;$Z19,'NWC_FC_NON-NOOS'!$T$4:$AH$23,MATCH(W19,'NWC_FC_NON-NOOS'!$S$4:$S$23,0),FALSE),0),0)</f>
        <v>0</v>
      </c>
      <c r="AS19" s="57">
        <f>IFERROR(IF($V19="BRAND.com",HLOOKUP($X19&amp;$Z19,'NWC_FC_NON-NOOS'!$C$50:$U$69,MATCH(W19,'NWC_FC_NON-NOOS'!$B$50:$B$69,0),FALSE),0),0)</f>
        <v>0</v>
      </c>
      <c r="AT19" s="57">
        <f t="shared" si="18"/>
        <v>0</v>
      </c>
      <c r="AU19" s="57">
        <f t="shared" si="19"/>
        <v>0</v>
      </c>
      <c r="AV19" s="58">
        <f>IFERROR(IF($V19="BRAND.com",HLOOKUP($X19&amp;$Z19,PLANNING_FC!$BB$27:$BP$46,MATCH($W19,PLANNING_FC!$BA$27:$BA$46,0),FALSE),0),0)</f>
        <v>0</v>
      </c>
      <c r="AW19" s="58">
        <f>IFERROR(IF($V19="BRAND.com",HLOOKUP($X19&amp;$Z19,PLANNING_FC!$BB$4:$BP$23,MATCH($W19,PLANNING_FC!$BA$4:$BA$23,0),FALSE),0),0)</f>
        <v>0</v>
      </c>
      <c r="AX19" s="58">
        <f>IFERROR(IF($V19="BRAND.com",HLOOKUP($X19&amp;$Z19,PLANNING_FC!$T$27:$AH$46,MATCH($W19,PLANNING_FC!$B$27:$B$46,0),FALSE),0),0)</f>
        <v>0</v>
      </c>
      <c r="AY19" s="58">
        <f>IFERROR(IF($V19="BRAND.com",HLOOKUP($X19&amp;$Z19,PLANNING_FC!$T$4:$AH$23,MATCH($W19,PLANNING_FC!$B$4:$B$23,0),FALSE),0),0)</f>
        <v>0</v>
      </c>
      <c r="AZ19" s="58">
        <f>IFERROR(IF($V19="BRAND.com",HLOOKUP($X19&amp;$Z19,PLANNING_FC!$DA$27:$DO$46,MATCH($W19,PLANNING_FC!$CZ$27:$CZ$46,0),FALSE),0),0)</f>
        <v>0</v>
      </c>
      <c r="BA19" s="58">
        <f>IFERROR(IF($V19="BRAND.com",HLOOKUP($X19&amp;$Z19,PLANNING_FC!$DA$4:$DO$23,MATCH($W19,PLANNING_FC!$CZ$4:$CZ$23,0),FALSE),0),0)</f>
        <v>0</v>
      </c>
      <c r="BB19" s="883" t="str">
        <f>IF(V19="BRAND.com",IFERROR(HLOOKUP(X19&amp;Z19,PLANNING_FC!$AK$4:$AY$23,MATCH(W19,PLANNING_FC!$AJ$4:$AJ$23,0),FALSE)*1000,""),"")</f>
        <v/>
      </c>
      <c r="BC19" s="883" t="str">
        <f>IF(V19="BRAND.com",IFERROR(HLOOKUP(X19&amp;Z19,PLANNING_FC!$AK$27:$AY$46,MATCH(W19,PLANNING_FC!$AJ$27:$AJ$46,0),FALSE)*1000,""),"")</f>
        <v/>
      </c>
    </row>
    <row r="20" spans="1:55" x14ac:dyDescent="0.25">
      <c r="A20" s="509"/>
      <c r="B20" s="510"/>
      <c r="C20" s="509"/>
      <c r="D20" s="509"/>
      <c r="E20" s="509"/>
      <c r="F20" s="509"/>
      <c r="G20" s="509"/>
      <c r="H20" s="509"/>
      <c r="I20" s="512"/>
      <c r="J20" s="513"/>
      <c r="K20" s="879"/>
      <c r="L20" s="515"/>
      <c r="M20" s="516"/>
      <c r="N20" s="56">
        <f t="shared" si="0"/>
        <v>0</v>
      </c>
      <c r="O20" s="57">
        <f t="shared" si="1"/>
        <v>0</v>
      </c>
      <c r="P20" s="57">
        <f ca="1">IFERROR(IF(ISBLANK(H20),SUMIFS($AC:$AC,$V:$V,V20,$W:$W,W20,$X:$X,X20,$Y:$Y,Y20)*J20/(1-J20)*VLOOKUP(_xlfn.CONCAT(C20,D20,E20,TIME!$M$12,Z20),HIS_SALES!$B$2:$W$4859,20,FALSE),AC20*J20/(1-J20)),0)</f>
        <v>0</v>
      </c>
      <c r="Q20" s="541" t="str">
        <f t="shared" si="2"/>
        <v/>
      </c>
      <c r="R20" s="346" t="str">
        <f t="shared" si="3"/>
        <v>00000</v>
      </c>
      <c r="S20" s="344">
        <f t="shared" si="4"/>
        <v>0</v>
      </c>
      <c r="T20" s="345" t="str">
        <f t="shared" si="17"/>
        <v>000</v>
      </c>
      <c r="U20" s="345">
        <f t="shared" si="5"/>
        <v>0</v>
      </c>
      <c r="V20" s="345">
        <f t="shared" si="6"/>
        <v>0</v>
      </c>
      <c r="W20" s="345">
        <f t="shared" si="7"/>
        <v>0</v>
      </c>
      <c r="X20" s="345">
        <f t="shared" si="8"/>
        <v>0</v>
      </c>
      <c r="Y20" s="345">
        <f t="shared" si="9"/>
        <v>0</v>
      </c>
      <c r="Z20" s="345">
        <f>IF(Q20&lt;&gt;"",VLOOKUP(Y20,TIME!$R$21:$V$24,MATCH(FC_DATA!Q20,TIME!$R$20:$V$20,0),FALSE),H20)</f>
        <v>0</v>
      </c>
      <c r="AA20" s="345" t="str">
        <f>IFERROR(VLOOKUP(X20&amp;Z20,TIME!$A$12:$D$71,4,FALSE),"")</f>
        <v/>
      </c>
      <c r="AB20" s="592">
        <f t="shared" ca="1" si="10"/>
        <v>0</v>
      </c>
      <c r="AC20" s="593" t="e">
        <f ca="1">IF(ISBLANK(H20)=FALSE,IF(D20="BRAND.com",I20,IF(ISNA(VLOOKUP(_xlfn.CONCAT(X20,Z20),TIME!$M$40:$M$42,1,FALSE)),I20,VLOOKUP(_xlfn.CONCAT(D20,G20,H20),M_BUSAREA_FC!$AF$5:$AJ$10,5,FALSE)*HLOOKUP(_xlfn.CONCAT(F20,H20),ST_OVERVIEW!$G$99:$I$130,MATCH(_xlfn.CONCAT(D20,E20),ST_OVERVIEW!$F$99:$F$130,0),FALSE))),IF(D20="BRAND.com",VLOOKUP(_xlfn.CONCAT(C20,D20,E20,TIME!$F$1,Z20),HIS_SALES!$B$2:$V$4859,19,FALSE)*I20,VLOOKUP(_xlfn.CONCAT(D20,F20,G20),Q_BUSAREA_FC!$AE$5:$AI$12,5,FALSE)*HLOOKUP(_xlfn.CONCAT(FC_DATA!F20,FC_DATA!G20),LT_OVERVIEW!$I$99:$M$130,MATCH(_xlfn.CONCAT(D20,FC_DATA!E20),LT_OVERVIEW!$H$99:$H$130,0),FALSE)*IFERROR(VLOOKUP(_xlfn.CONCAT(C20,D20,E20,TIME!$F$1,Z20),HIS_SALES!$B$2:$V$4859,19,FALSE),0)))</f>
        <v>#N/A</v>
      </c>
      <c r="AD20" s="341">
        <f t="shared" ca="1" si="11"/>
        <v>0</v>
      </c>
      <c r="AE20" s="363" t="str">
        <f t="shared" si="12"/>
        <v/>
      </c>
      <c r="AF20" s="342" t="str">
        <f t="shared" si="13"/>
        <v/>
      </c>
      <c r="AG20" s="411" t="e">
        <f ca="1">VLOOKUP(_xlfn.CONCAT(U20,V20,W20,VLOOKUP(X20&amp;Y20,TIME!$L$27:$O$34,4,FALSE),Y20),HIS_SALES!$A$2:$R$5093,18,FALSE)</f>
        <v>#N/A</v>
      </c>
      <c r="AH20" s="412" t="e">
        <f ca="1">IFERROR(IF(AND(V20=V19,W20=W19),0.5*(AB20+AB19)*AG20,(VLOOKUP(_xlfn.CONCAT(U20,V20,W20,X20,VLOOKUP(Z20,TIME!$S$28:$T$39,2,FALSE)),FC_DATA!$R$2:$AB$5000,MATCH("GS_I_M",FC_DATA!$R$1:$AB$1,0),FALSE)+FC_DATA!AB20)*0.5*FC_DATA!AG20),NA())</f>
        <v>#N/A</v>
      </c>
      <c r="AI20" s="491" t="e">
        <f ca="1">IF(V20="PARTNER.com",AH20,IF(AND(V20=V19,W20=W19),(1-AVERAGE(AD19,AD20))*AH20,(1-AVERAGE(AD20,VLOOKUP(_xlfn.CONCAT(U20,V20,W20,X20,M_BRAND_FC!$F$6),FC_DATA!$R$2:$AD$5000,MATCH("DISCOUNT_%_M",FC_DATA!$R$1:$AD$1,0),FALSE)))*AH20))</f>
        <v>#N/A</v>
      </c>
      <c r="AJ20" s="412" t="str">
        <f t="shared" ca="1" si="14"/>
        <v/>
      </c>
      <c r="AK20" s="413" t="str">
        <f>IFERROR(AE20/(Q_BRAND_FC!$T$24+1),"")</f>
        <v/>
      </c>
      <c r="AL20" s="88" t="str">
        <f t="shared" ca="1" si="15"/>
        <v/>
      </c>
      <c r="AM20" s="414" t="str">
        <f t="shared" ca="1" si="16"/>
        <v/>
      </c>
      <c r="AN20" s="58">
        <f>IFERROR(IF($V20="BRAND.com",HLOOKUP($X20&amp;$Z20,NWC_FC_NOOS!$C$4:$Q$23,MATCH(W20,NWC_FC_NOOS!$B$4:$B$23,0),FALSE),0),0)</f>
        <v>0</v>
      </c>
      <c r="AO20" s="57">
        <f>IFERROR(IF($V20="BRAND.com",HLOOKUP($X20&amp;$Z20,NWC_FC_NOOS!$T$4:$AH$23,MATCH(W20,NWC_FC_NOOS!$S$4:$S$23,0),FALSE),0),0)</f>
        <v>0</v>
      </c>
      <c r="AP20" s="57">
        <f>IFERROR(IF($V20="BRAND.com",HLOOKUP($X20&amp;$Z20,NWC_FC_NOOS!$C$50:$U$69,MATCH(W20,NWC_FC_NOOS!$B$50:$B$69,0),FALSE),0),0)</f>
        <v>0</v>
      </c>
      <c r="AQ20" s="58">
        <f>IFERROR(IF($V20="BRAND.com",HLOOKUP($X20&amp;$Z20,'NWC_FC_NON-NOOS'!$C$4:$Q$23,MATCH(W20,'NWC_FC_NON-NOOS'!$B$4:$B$23,0),FALSE),0),0)</f>
        <v>0</v>
      </c>
      <c r="AR20" s="57">
        <f>IFERROR(IF($V20="BRAND.com",HLOOKUP($X20&amp;$Z20,'NWC_FC_NON-NOOS'!$T$4:$AH$23,MATCH(W20,'NWC_FC_NON-NOOS'!$S$4:$S$23,0),FALSE),0),0)</f>
        <v>0</v>
      </c>
      <c r="AS20" s="57">
        <f>IFERROR(IF($V20="BRAND.com",HLOOKUP($X20&amp;$Z20,'NWC_FC_NON-NOOS'!$C$50:$U$69,MATCH(W20,'NWC_FC_NON-NOOS'!$B$50:$B$69,0),FALSE),0),0)</f>
        <v>0</v>
      </c>
      <c r="AT20" s="57">
        <f t="shared" si="18"/>
        <v>0</v>
      </c>
      <c r="AU20" s="57">
        <f t="shared" si="19"/>
        <v>0</v>
      </c>
      <c r="AV20" s="58">
        <f>IFERROR(IF($V20="BRAND.com",HLOOKUP($X20&amp;$Z20,PLANNING_FC!$BB$27:$BP$46,MATCH($W20,PLANNING_FC!$BA$27:$BA$46,0),FALSE),0),0)</f>
        <v>0</v>
      </c>
      <c r="AW20" s="58">
        <f>IFERROR(IF($V20="BRAND.com",HLOOKUP($X20&amp;$Z20,PLANNING_FC!$BB$4:$BP$23,MATCH($W20,PLANNING_FC!$BA$4:$BA$23,0),FALSE),0),0)</f>
        <v>0</v>
      </c>
      <c r="AX20" s="58">
        <f>IFERROR(IF($V20="BRAND.com",HLOOKUP($X20&amp;$Z20,PLANNING_FC!$T$27:$AH$46,MATCH($W20,PLANNING_FC!$B$27:$B$46,0),FALSE),0),0)</f>
        <v>0</v>
      </c>
      <c r="AY20" s="58">
        <f>IFERROR(IF($V20="BRAND.com",HLOOKUP($X20&amp;$Z20,PLANNING_FC!$T$4:$AH$23,MATCH($W20,PLANNING_FC!$B$4:$B$23,0),FALSE),0),0)</f>
        <v>0</v>
      </c>
      <c r="AZ20" s="58">
        <f>IFERROR(IF($V20="BRAND.com",HLOOKUP($X20&amp;$Z20,PLANNING_FC!$DA$27:$DO$46,MATCH($W20,PLANNING_FC!$CZ$27:$CZ$46,0),FALSE),0),0)</f>
        <v>0</v>
      </c>
      <c r="BA20" s="58">
        <f>IFERROR(IF($V20="BRAND.com",HLOOKUP($X20&amp;$Z20,PLANNING_FC!$DA$4:$DO$23,MATCH($W20,PLANNING_FC!$CZ$4:$CZ$23,0),FALSE),0),0)</f>
        <v>0</v>
      </c>
      <c r="BB20" s="883" t="str">
        <f>IF(V20="BRAND.com",IFERROR(HLOOKUP(X20&amp;Z20,PLANNING_FC!$AK$4:$AY$23,MATCH(W20,PLANNING_FC!$AJ$4:$AJ$23,0),FALSE)*1000,""),"")</f>
        <v/>
      </c>
      <c r="BC20" s="883" t="str">
        <f>IF(V20="BRAND.com",IFERROR(HLOOKUP(X20&amp;Z20,PLANNING_FC!$AK$27:$AY$46,MATCH(W20,PLANNING_FC!$AJ$27:$AJ$46,0),FALSE)*1000,""),"")</f>
        <v/>
      </c>
    </row>
    <row r="21" spans="1:55" x14ac:dyDescent="0.25">
      <c r="A21" s="509"/>
      <c r="B21" s="510"/>
      <c r="C21" s="509"/>
      <c r="D21" s="509"/>
      <c r="E21" s="509"/>
      <c r="F21" s="509"/>
      <c r="G21" s="509"/>
      <c r="H21" s="509"/>
      <c r="I21" s="512"/>
      <c r="J21" s="513"/>
      <c r="K21" s="879"/>
      <c r="L21" s="515"/>
      <c r="M21" s="516"/>
      <c r="N21" s="56">
        <f t="shared" si="0"/>
        <v>0</v>
      </c>
      <c r="O21" s="57">
        <f t="shared" si="1"/>
        <v>0</v>
      </c>
      <c r="P21" s="57">
        <f ca="1">IFERROR(IF(ISBLANK(H21),SUMIFS($AC:$AC,$V:$V,V21,$W:$W,W21,$X:$X,X21,$Y:$Y,Y21)*J21/(1-J21)*VLOOKUP(_xlfn.CONCAT(C21,D21,E21,TIME!$M$12,Z21),HIS_SALES!$B$2:$W$4859,20,FALSE),AC21*J21/(1-J21)),0)</f>
        <v>0</v>
      </c>
      <c r="Q21" s="541" t="str">
        <f t="shared" si="2"/>
        <v/>
      </c>
      <c r="R21" s="346" t="str">
        <f t="shared" si="3"/>
        <v>00000</v>
      </c>
      <c r="S21" s="344">
        <f t="shared" si="4"/>
        <v>0</v>
      </c>
      <c r="T21" s="345" t="str">
        <f t="shared" si="17"/>
        <v>000</v>
      </c>
      <c r="U21" s="345">
        <f t="shared" si="5"/>
        <v>0</v>
      </c>
      <c r="V21" s="345">
        <f t="shared" si="6"/>
        <v>0</v>
      </c>
      <c r="W21" s="345">
        <f t="shared" si="7"/>
        <v>0</v>
      </c>
      <c r="X21" s="345">
        <f t="shared" si="8"/>
        <v>0</v>
      </c>
      <c r="Y21" s="345">
        <f t="shared" si="9"/>
        <v>0</v>
      </c>
      <c r="Z21" s="345">
        <f>IF(Q21&lt;&gt;"",VLOOKUP(Y21,TIME!$R$21:$V$24,MATCH(FC_DATA!Q21,TIME!$R$20:$V$20,0),FALSE),H21)</f>
        <v>0</v>
      </c>
      <c r="AA21" s="345" t="str">
        <f>IFERROR(VLOOKUP(X21&amp;Z21,TIME!$A$12:$D$71,4,FALSE),"")</f>
        <v/>
      </c>
      <c r="AB21" s="592">
        <f t="shared" ca="1" si="10"/>
        <v>0</v>
      </c>
      <c r="AC21" s="593" t="e">
        <f ca="1">IF(ISBLANK(H21)=FALSE,IF(D21="BRAND.com",I21,IF(ISNA(VLOOKUP(_xlfn.CONCAT(X21,Z21),TIME!$M$40:$M$42,1,FALSE)),I21,VLOOKUP(_xlfn.CONCAT(D21,G21,H21),M_BUSAREA_FC!$AF$5:$AJ$10,5,FALSE)*HLOOKUP(_xlfn.CONCAT(F21,H21),ST_OVERVIEW!$G$99:$I$130,MATCH(_xlfn.CONCAT(D21,E21),ST_OVERVIEW!$F$99:$F$130,0),FALSE))),IF(D21="BRAND.com",VLOOKUP(_xlfn.CONCAT(C21,D21,E21,TIME!$F$1,Z21),HIS_SALES!$B$2:$V$4859,19,FALSE)*I21,VLOOKUP(_xlfn.CONCAT(D21,F21,G21),Q_BUSAREA_FC!$AE$5:$AI$12,5,FALSE)*HLOOKUP(_xlfn.CONCAT(FC_DATA!F21,FC_DATA!G21),LT_OVERVIEW!$I$99:$M$130,MATCH(_xlfn.CONCAT(D21,FC_DATA!E21),LT_OVERVIEW!$H$99:$H$130,0),FALSE)*IFERROR(VLOOKUP(_xlfn.CONCAT(C21,D21,E21,TIME!$F$1,Z21),HIS_SALES!$B$2:$V$4859,19,FALSE),0)))</f>
        <v>#N/A</v>
      </c>
      <c r="AD21" s="341">
        <f t="shared" ca="1" si="11"/>
        <v>0</v>
      </c>
      <c r="AE21" s="363" t="str">
        <f t="shared" si="12"/>
        <v/>
      </c>
      <c r="AF21" s="342" t="str">
        <f t="shared" si="13"/>
        <v/>
      </c>
      <c r="AG21" s="411" t="e">
        <f ca="1">VLOOKUP(_xlfn.CONCAT(U21,V21,W21,VLOOKUP(X21&amp;Y21,TIME!$L$27:$O$34,4,FALSE),Y21),HIS_SALES!$A$2:$R$5093,18,FALSE)</f>
        <v>#N/A</v>
      </c>
      <c r="AH21" s="412" t="e">
        <f ca="1">IFERROR(IF(AND(V21=V20,W21=W20),0.5*(AB21+AB20)*AG21,(VLOOKUP(_xlfn.CONCAT(U21,V21,W21,X21,VLOOKUP(Z21,TIME!$S$28:$T$39,2,FALSE)),FC_DATA!$R$2:$AB$5000,MATCH("GS_I_M",FC_DATA!$R$1:$AB$1,0),FALSE)+FC_DATA!AB21)*0.5*FC_DATA!AG21),NA())</f>
        <v>#N/A</v>
      </c>
      <c r="AI21" s="491" t="e">
        <f ca="1">IF(V21="PARTNER.com",AH21,IF(AND(V21=V20,W21=W20),(1-AVERAGE(AD20,AD21))*AH21,(1-AVERAGE(AD21,VLOOKUP(_xlfn.CONCAT(U21,V21,W21,X21,M_BRAND_FC!$F$6),FC_DATA!$R$2:$AD$5000,MATCH("DISCOUNT_%_M",FC_DATA!$R$1:$AD$1,0),FALSE)))*AH21))</f>
        <v>#N/A</v>
      </c>
      <c r="AJ21" s="412" t="str">
        <f t="shared" ca="1" si="14"/>
        <v/>
      </c>
      <c r="AK21" s="413" t="str">
        <f>IFERROR(AE21/(Q_BRAND_FC!$T$24+1),"")</f>
        <v/>
      </c>
      <c r="AL21" s="88" t="str">
        <f t="shared" ca="1" si="15"/>
        <v/>
      </c>
      <c r="AM21" s="414" t="str">
        <f t="shared" ca="1" si="16"/>
        <v/>
      </c>
      <c r="AN21" s="58">
        <f>IFERROR(IF($V21="BRAND.com",HLOOKUP($X21&amp;$Z21,NWC_FC_NOOS!$C$4:$Q$23,MATCH(W21,NWC_FC_NOOS!$B$4:$B$23,0),FALSE),0),0)</f>
        <v>0</v>
      </c>
      <c r="AO21" s="57">
        <f>IFERROR(IF($V21="BRAND.com",HLOOKUP($X21&amp;$Z21,NWC_FC_NOOS!$T$4:$AH$23,MATCH(W21,NWC_FC_NOOS!$S$4:$S$23,0),FALSE),0),0)</f>
        <v>0</v>
      </c>
      <c r="AP21" s="57">
        <f>IFERROR(IF($V21="BRAND.com",HLOOKUP($X21&amp;$Z21,NWC_FC_NOOS!$C$50:$U$69,MATCH(W21,NWC_FC_NOOS!$B$50:$B$69,0),FALSE),0),0)</f>
        <v>0</v>
      </c>
      <c r="AQ21" s="58">
        <f>IFERROR(IF($V21="BRAND.com",HLOOKUP($X21&amp;$Z21,'NWC_FC_NON-NOOS'!$C$4:$Q$23,MATCH(W21,'NWC_FC_NON-NOOS'!$B$4:$B$23,0),FALSE),0),0)</f>
        <v>0</v>
      </c>
      <c r="AR21" s="57">
        <f>IFERROR(IF($V21="BRAND.com",HLOOKUP($X21&amp;$Z21,'NWC_FC_NON-NOOS'!$T$4:$AH$23,MATCH(W21,'NWC_FC_NON-NOOS'!$S$4:$S$23,0),FALSE),0),0)</f>
        <v>0</v>
      </c>
      <c r="AS21" s="57">
        <f>IFERROR(IF($V21="BRAND.com",HLOOKUP($X21&amp;$Z21,'NWC_FC_NON-NOOS'!$C$50:$U$69,MATCH(W21,'NWC_FC_NON-NOOS'!$B$50:$B$69,0),FALSE),0),0)</f>
        <v>0</v>
      </c>
      <c r="AT21" s="57">
        <f t="shared" si="18"/>
        <v>0</v>
      </c>
      <c r="AU21" s="57">
        <f t="shared" si="19"/>
        <v>0</v>
      </c>
      <c r="AV21" s="58">
        <f>IFERROR(IF($V21="BRAND.com",HLOOKUP($X21&amp;$Z21,PLANNING_FC!$BB$27:$BP$46,MATCH($W21,PLANNING_FC!$BA$27:$BA$46,0),FALSE),0),0)</f>
        <v>0</v>
      </c>
      <c r="AW21" s="58">
        <f>IFERROR(IF($V21="BRAND.com",HLOOKUP($X21&amp;$Z21,PLANNING_FC!$BB$4:$BP$23,MATCH($W21,PLANNING_FC!$BA$4:$BA$23,0),FALSE),0),0)</f>
        <v>0</v>
      </c>
      <c r="AX21" s="58">
        <f>IFERROR(IF($V21="BRAND.com",HLOOKUP($X21&amp;$Z21,PLANNING_FC!$T$27:$AH$46,MATCH($W21,PLANNING_FC!$B$27:$B$46,0),FALSE),0),0)</f>
        <v>0</v>
      </c>
      <c r="AY21" s="58">
        <f>IFERROR(IF($V21="BRAND.com",HLOOKUP($X21&amp;$Z21,PLANNING_FC!$T$4:$AH$23,MATCH($W21,PLANNING_FC!$B$4:$B$23,0),FALSE),0),0)</f>
        <v>0</v>
      </c>
      <c r="AZ21" s="58">
        <f>IFERROR(IF($V21="BRAND.com",HLOOKUP($X21&amp;$Z21,PLANNING_FC!$DA$27:$DO$46,MATCH($W21,PLANNING_FC!$CZ$27:$CZ$46,0),FALSE),0),0)</f>
        <v>0</v>
      </c>
      <c r="BA21" s="58">
        <f>IFERROR(IF($V21="BRAND.com",HLOOKUP($X21&amp;$Z21,PLANNING_FC!$DA$4:$DO$23,MATCH($W21,PLANNING_FC!$CZ$4:$CZ$23,0),FALSE),0),0)</f>
        <v>0</v>
      </c>
      <c r="BB21" s="883" t="str">
        <f>IF(V21="BRAND.com",IFERROR(HLOOKUP(X21&amp;Z21,PLANNING_FC!$AK$4:$AY$23,MATCH(W21,PLANNING_FC!$AJ$4:$AJ$23,0),FALSE)*1000,""),"")</f>
        <v/>
      </c>
      <c r="BC21" s="883" t="str">
        <f>IF(V21="BRAND.com",IFERROR(HLOOKUP(X21&amp;Z21,PLANNING_FC!$AK$27:$AY$46,MATCH(W21,PLANNING_FC!$AJ$27:$AJ$46,0),FALSE)*1000,""),"")</f>
        <v/>
      </c>
    </row>
    <row r="22" spans="1:55" x14ac:dyDescent="0.25">
      <c r="A22" s="509"/>
      <c r="B22" s="510"/>
      <c r="C22" s="509"/>
      <c r="D22" s="509"/>
      <c r="E22" s="511"/>
      <c r="F22" s="509"/>
      <c r="G22" s="509"/>
      <c r="H22" s="509"/>
      <c r="I22" s="512"/>
      <c r="J22" s="513"/>
      <c r="K22" s="879"/>
      <c r="L22" s="515"/>
      <c r="M22" s="516"/>
      <c r="N22" s="56">
        <f t="shared" si="0"/>
        <v>0</v>
      </c>
      <c r="O22" s="57">
        <f t="shared" si="1"/>
        <v>0</v>
      </c>
      <c r="P22" s="57">
        <f ca="1">IFERROR(IF(ISBLANK(H22),SUMIFS($AC:$AC,$V:$V,V22,$W:$W,W22,$X:$X,X22,$Y:$Y,Y22)*J22/(1-J22)*VLOOKUP(_xlfn.CONCAT(C22,D22,E22,TIME!$M$12,Z22),HIS_SALES!$B$2:$W$4859,20,FALSE),AC22*J22/(1-J22)),0)</f>
        <v>0</v>
      </c>
      <c r="Q22" s="541" t="str">
        <f t="shared" si="2"/>
        <v/>
      </c>
      <c r="R22" s="346" t="str">
        <f t="shared" si="3"/>
        <v>00000</v>
      </c>
      <c r="S22" s="344">
        <f t="shared" si="4"/>
        <v>0</v>
      </c>
      <c r="T22" s="345" t="str">
        <f t="shared" si="17"/>
        <v>000</v>
      </c>
      <c r="U22" s="345">
        <f t="shared" si="5"/>
        <v>0</v>
      </c>
      <c r="V22" s="345">
        <f t="shared" si="6"/>
        <v>0</v>
      </c>
      <c r="W22" s="345">
        <f t="shared" si="7"/>
        <v>0</v>
      </c>
      <c r="X22" s="345">
        <f t="shared" si="8"/>
        <v>0</v>
      </c>
      <c r="Y22" s="345">
        <f t="shared" si="9"/>
        <v>0</v>
      </c>
      <c r="Z22" s="345">
        <f>IF(Q22&lt;&gt;"",VLOOKUP(Y22,TIME!$R$21:$V$24,MATCH(FC_DATA!Q22,TIME!$R$20:$V$20,0),FALSE),H22)</f>
        <v>0</v>
      </c>
      <c r="AA22" s="345" t="str">
        <f>IFERROR(VLOOKUP(X22&amp;Z22,TIME!$A$12:$D$71,4,FALSE),"")</f>
        <v/>
      </c>
      <c r="AB22" s="592">
        <f t="shared" ca="1" si="10"/>
        <v>0</v>
      </c>
      <c r="AC22" s="593" t="e">
        <f ca="1">IF(ISBLANK(H22)=FALSE,IF(D22="BRAND.com",I22,IF(ISNA(VLOOKUP(_xlfn.CONCAT(X22,Z22),TIME!$M$40:$M$42,1,FALSE)),I22,VLOOKUP(_xlfn.CONCAT(D22,G22,H22),M_BUSAREA_FC!$AF$5:$AJ$10,5,FALSE)*HLOOKUP(_xlfn.CONCAT(F22,H22),ST_OVERVIEW!$G$99:$I$130,MATCH(_xlfn.CONCAT(D22,E22),ST_OVERVIEW!$F$99:$F$130,0),FALSE))),IF(D22="BRAND.com",VLOOKUP(_xlfn.CONCAT(C22,D22,E22,TIME!$F$1,Z22),HIS_SALES!$B$2:$V$4859,19,FALSE)*I22,VLOOKUP(_xlfn.CONCAT(D22,F22,G22),Q_BUSAREA_FC!$AE$5:$AI$12,5,FALSE)*HLOOKUP(_xlfn.CONCAT(FC_DATA!F22,FC_DATA!G22),LT_OVERVIEW!$I$99:$M$130,MATCH(_xlfn.CONCAT(D22,FC_DATA!E22),LT_OVERVIEW!$H$99:$H$130,0),FALSE)*IFERROR(VLOOKUP(_xlfn.CONCAT(C22,D22,E22,TIME!$F$1,Z22),HIS_SALES!$B$2:$V$4859,19,FALSE),0)))</f>
        <v>#N/A</v>
      </c>
      <c r="AD22" s="341">
        <f t="shared" ca="1" si="11"/>
        <v>0</v>
      </c>
      <c r="AE22" s="363" t="str">
        <f t="shared" si="12"/>
        <v/>
      </c>
      <c r="AF22" s="342" t="str">
        <f t="shared" si="13"/>
        <v/>
      </c>
      <c r="AG22" s="411" t="e">
        <f ca="1">VLOOKUP(_xlfn.CONCAT(U22,V22,W22,VLOOKUP(X22&amp;Y22,TIME!$L$27:$O$34,4,FALSE),Y22),HIS_SALES!$A$2:$R$5093,18,FALSE)</f>
        <v>#N/A</v>
      </c>
      <c r="AH22" s="412" t="e">
        <f ca="1">IFERROR(IF(AND(V22=V21,W22=W21),0.5*(AB22+AB21)*AG22,(VLOOKUP(_xlfn.CONCAT(U22,V22,W22,X22,VLOOKUP(Z22,TIME!$S$28:$T$39,2,FALSE)),FC_DATA!$R$2:$AB$5000,MATCH("GS_I_M",FC_DATA!$R$1:$AB$1,0),FALSE)+FC_DATA!AB22)*0.5*FC_DATA!AG22),NA())</f>
        <v>#N/A</v>
      </c>
      <c r="AI22" s="491" t="e">
        <f ca="1">IF(V22="PARTNER.com",AH22,IF(AND(V22=V21,W22=W21),(1-AVERAGE(AD21,AD22))*AH22,(1-AVERAGE(AD22,VLOOKUP(_xlfn.CONCAT(U22,V22,W22,X22,M_BRAND_FC!$F$6),FC_DATA!$R$2:$AD$5000,MATCH("DISCOUNT_%_M",FC_DATA!$R$1:$AD$1,0),FALSE)))*AH22))</f>
        <v>#N/A</v>
      </c>
      <c r="AJ22" s="412" t="str">
        <f t="shared" ca="1" si="14"/>
        <v/>
      </c>
      <c r="AK22" s="413" t="str">
        <f>IFERROR(AE22/(Q_BRAND_FC!$T$24+1),"")</f>
        <v/>
      </c>
      <c r="AL22" s="88" t="str">
        <f t="shared" ca="1" si="15"/>
        <v/>
      </c>
      <c r="AM22" s="414" t="str">
        <f t="shared" ca="1" si="16"/>
        <v/>
      </c>
      <c r="AN22" s="58">
        <f>IFERROR(IF($V22="BRAND.com",HLOOKUP($X22&amp;$Z22,NWC_FC_NOOS!$C$4:$Q$23,MATCH(W22,NWC_FC_NOOS!$B$4:$B$23,0),FALSE),0),0)</f>
        <v>0</v>
      </c>
      <c r="AO22" s="57">
        <f>IFERROR(IF($V22="BRAND.com",HLOOKUP($X22&amp;$Z22,NWC_FC_NOOS!$T$4:$AH$23,MATCH(W22,NWC_FC_NOOS!$S$4:$S$23,0),FALSE),0),0)</f>
        <v>0</v>
      </c>
      <c r="AP22" s="57">
        <f>IFERROR(IF($V22="BRAND.com",HLOOKUP($X22&amp;$Z22,NWC_FC_NOOS!$C$50:$U$69,MATCH(W22,NWC_FC_NOOS!$B$50:$B$69,0),FALSE),0),0)</f>
        <v>0</v>
      </c>
      <c r="AQ22" s="58">
        <f>IFERROR(IF($V22="BRAND.com",HLOOKUP($X22&amp;$Z22,'NWC_FC_NON-NOOS'!$C$4:$Q$23,MATCH(W22,'NWC_FC_NON-NOOS'!$B$4:$B$23,0),FALSE),0),0)</f>
        <v>0</v>
      </c>
      <c r="AR22" s="57">
        <f>IFERROR(IF($V22="BRAND.com",HLOOKUP($X22&amp;$Z22,'NWC_FC_NON-NOOS'!$T$4:$AH$23,MATCH(W22,'NWC_FC_NON-NOOS'!$S$4:$S$23,0),FALSE),0),0)</f>
        <v>0</v>
      </c>
      <c r="AS22" s="57">
        <f>IFERROR(IF($V22="BRAND.com",HLOOKUP($X22&amp;$Z22,'NWC_FC_NON-NOOS'!$C$50:$U$69,MATCH(W22,'NWC_FC_NON-NOOS'!$B$50:$B$69,0),FALSE),0),0)</f>
        <v>0</v>
      </c>
      <c r="AT22" s="57">
        <f t="shared" si="18"/>
        <v>0</v>
      </c>
      <c r="AU22" s="57">
        <f t="shared" si="19"/>
        <v>0</v>
      </c>
      <c r="AV22" s="58">
        <f>IFERROR(IF($V22="BRAND.com",HLOOKUP($X22&amp;$Z22,PLANNING_FC!$BB$27:$BP$46,MATCH($W22,PLANNING_FC!$BA$27:$BA$46,0),FALSE),0),0)</f>
        <v>0</v>
      </c>
      <c r="AW22" s="58">
        <f>IFERROR(IF($V22="BRAND.com",HLOOKUP($X22&amp;$Z22,PLANNING_FC!$BB$4:$BP$23,MATCH($W22,PLANNING_FC!$BA$4:$BA$23,0),FALSE),0),0)</f>
        <v>0</v>
      </c>
      <c r="AX22" s="58">
        <f>IFERROR(IF($V22="BRAND.com",HLOOKUP($X22&amp;$Z22,PLANNING_FC!$T$27:$AH$46,MATCH($W22,PLANNING_FC!$B$27:$B$46,0),FALSE),0),0)</f>
        <v>0</v>
      </c>
      <c r="AY22" s="58">
        <f>IFERROR(IF($V22="BRAND.com",HLOOKUP($X22&amp;$Z22,PLANNING_FC!$T$4:$AH$23,MATCH($W22,PLANNING_FC!$B$4:$B$23,0),FALSE),0),0)</f>
        <v>0</v>
      </c>
      <c r="AZ22" s="58">
        <f>IFERROR(IF($V22="BRAND.com",HLOOKUP($X22&amp;$Z22,PLANNING_FC!$DA$27:$DO$46,MATCH($W22,PLANNING_FC!$CZ$27:$CZ$46,0),FALSE),0),0)</f>
        <v>0</v>
      </c>
      <c r="BA22" s="58">
        <f>IFERROR(IF($V22="BRAND.com",HLOOKUP($X22&amp;$Z22,PLANNING_FC!$DA$4:$DO$23,MATCH($W22,PLANNING_FC!$CZ$4:$CZ$23,0),FALSE),0),0)</f>
        <v>0</v>
      </c>
      <c r="BB22" s="883" t="str">
        <f>IF(V22="BRAND.com",IFERROR(HLOOKUP(X22&amp;Z22,PLANNING_FC!$AK$4:$AY$23,MATCH(W22,PLANNING_FC!$AJ$4:$AJ$23,0),FALSE)*1000,""),"")</f>
        <v/>
      </c>
      <c r="BC22" s="883" t="str">
        <f>IF(V22="BRAND.com",IFERROR(HLOOKUP(X22&amp;Z22,PLANNING_FC!$AK$27:$AY$46,MATCH(W22,PLANNING_FC!$AJ$27:$AJ$46,0),FALSE)*1000,""),"")</f>
        <v/>
      </c>
    </row>
    <row r="23" spans="1:55" x14ac:dyDescent="0.25">
      <c r="A23" s="509"/>
      <c r="B23" s="510"/>
      <c r="C23" s="509"/>
      <c r="D23" s="509"/>
      <c r="E23" s="509"/>
      <c r="F23" s="509"/>
      <c r="G23" s="509"/>
      <c r="H23" s="509"/>
      <c r="I23" s="512"/>
      <c r="J23" s="513"/>
      <c r="K23" s="879"/>
      <c r="L23" s="515"/>
      <c r="M23" s="516"/>
      <c r="N23" s="56">
        <f t="shared" si="0"/>
        <v>0</v>
      </c>
      <c r="O23" s="57">
        <f t="shared" si="1"/>
        <v>0</v>
      </c>
      <c r="P23" s="57">
        <f ca="1">IFERROR(IF(ISBLANK(H23),SUMIFS($AC:$AC,$V:$V,V23,$W:$W,W23,$X:$X,X23,$Y:$Y,Y23)*J23/(1-J23)*VLOOKUP(_xlfn.CONCAT(C23,D23,E23,TIME!$M$12,Z23),HIS_SALES!$B$2:$W$4859,20,FALSE),AC23*J23/(1-J23)),0)</f>
        <v>0</v>
      </c>
      <c r="Q23" s="541" t="str">
        <f t="shared" si="2"/>
        <v/>
      </c>
      <c r="R23" s="346" t="str">
        <f t="shared" si="3"/>
        <v>00000</v>
      </c>
      <c r="S23" s="344">
        <f t="shared" si="4"/>
        <v>0</v>
      </c>
      <c r="T23" s="345" t="str">
        <f t="shared" si="17"/>
        <v>000</v>
      </c>
      <c r="U23" s="345">
        <f t="shared" si="5"/>
        <v>0</v>
      </c>
      <c r="V23" s="345">
        <f t="shared" si="6"/>
        <v>0</v>
      </c>
      <c r="W23" s="345">
        <f t="shared" si="7"/>
        <v>0</v>
      </c>
      <c r="X23" s="345">
        <f t="shared" si="8"/>
        <v>0</v>
      </c>
      <c r="Y23" s="345">
        <f t="shared" si="9"/>
        <v>0</v>
      </c>
      <c r="Z23" s="345">
        <f>IF(Q23&lt;&gt;"",VLOOKUP(Y23,TIME!$R$21:$V$24,MATCH(FC_DATA!Q23,TIME!$R$20:$V$20,0),FALSE),H23)</f>
        <v>0</v>
      </c>
      <c r="AA23" s="345" t="str">
        <f>IFERROR(VLOOKUP(X23&amp;Z23,TIME!$A$12:$D$71,4,FALSE),"")</f>
        <v/>
      </c>
      <c r="AB23" s="592">
        <f t="shared" ca="1" si="10"/>
        <v>0</v>
      </c>
      <c r="AC23" s="593" t="e">
        <f ca="1">IF(ISBLANK(H23)=FALSE,IF(D23="BRAND.com",I23,IF(ISNA(VLOOKUP(_xlfn.CONCAT(X23,Z23),TIME!$M$40:$M$42,1,FALSE)),I23,VLOOKUP(_xlfn.CONCAT(D23,G23,H23),M_BUSAREA_FC!$AF$5:$AJ$10,5,FALSE)*HLOOKUP(_xlfn.CONCAT(F23,H23),ST_OVERVIEW!$G$99:$I$130,MATCH(_xlfn.CONCAT(D23,E23),ST_OVERVIEW!$F$99:$F$130,0),FALSE))),IF(D23="BRAND.com",VLOOKUP(_xlfn.CONCAT(C23,D23,E23,TIME!$F$1,Z23),HIS_SALES!$B$2:$V$4859,19,FALSE)*I23,VLOOKUP(_xlfn.CONCAT(D23,F23,G23),Q_BUSAREA_FC!$AE$5:$AI$12,5,FALSE)*HLOOKUP(_xlfn.CONCAT(FC_DATA!F23,FC_DATA!G23),LT_OVERVIEW!$I$99:$M$130,MATCH(_xlfn.CONCAT(D23,FC_DATA!E23),LT_OVERVIEW!$H$99:$H$130,0),FALSE)*IFERROR(VLOOKUP(_xlfn.CONCAT(C23,D23,E23,TIME!$F$1,Z23),HIS_SALES!$B$2:$V$4859,19,FALSE),0)))</f>
        <v>#N/A</v>
      </c>
      <c r="AD23" s="341">
        <f t="shared" ca="1" si="11"/>
        <v>0</v>
      </c>
      <c r="AE23" s="363" t="str">
        <f t="shared" si="12"/>
        <v/>
      </c>
      <c r="AF23" s="342" t="str">
        <f t="shared" si="13"/>
        <v/>
      </c>
      <c r="AG23" s="411" t="e">
        <f ca="1">VLOOKUP(_xlfn.CONCAT(U23,V23,W23,VLOOKUP(X23&amp;Y23,TIME!$L$27:$O$34,4,FALSE),Y23),HIS_SALES!$A$2:$R$5093,18,FALSE)</f>
        <v>#N/A</v>
      </c>
      <c r="AH23" s="412" t="e">
        <f ca="1">IFERROR(IF(AND(V23=V22,W23=W22),0.5*(AB23+AB22)*AG23,(VLOOKUP(_xlfn.CONCAT(U23,V23,W23,X23,VLOOKUP(Z23,TIME!$S$28:$T$39,2,FALSE)),FC_DATA!$R$2:$AB$5000,MATCH("GS_I_M",FC_DATA!$R$1:$AB$1,0),FALSE)+FC_DATA!AB23)*0.5*FC_DATA!AG23),NA())</f>
        <v>#N/A</v>
      </c>
      <c r="AI23" s="491" t="e">
        <f ca="1">IF(V23="PARTNER.com",AH23,IF(AND(V23=V22,W23=W22),(1-AVERAGE(AD22,AD23))*AH23,(1-AVERAGE(AD23,VLOOKUP(_xlfn.CONCAT(U23,V23,W23,X23,M_BRAND_FC!$F$6),FC_DATA!$R$2:$AD$5000,MATCH("DISCOUNT_%_M",FC_DATA!$R$1:$AD$1,0),FALSE)))*AH23))</f>
        <v>#N/A</v>
      </c>
      <c r="AJ23" s="412" t="str">
        <f t="shared" ca="1" si="14"/>
        <v/>
      </c>
      <c r="AK23" s="413" t="str">
        <f>IFERROR(AE23/(Q_BRAND_FC!$T$24+1),"")</f>
        <v/>
      </c>
      <c r="AL23" s="88" t="str">
        <f t="shared" ca="1" si="15"/>
        <v/>
      </c>
      <c r="AM23" s="414" t="str">
        <f t="shared" ca="1" si="16"/>
        <v/>
      </c>
      <c r="AN23" s="58">
        <f>IFERROR(IF($V23="BRAND.com",HLOOKUP($X23&amp;$Z23,NWC_FC_NOOS!$C$4:$Q$23,MATCH(W23,NWC_FC_NOOS!$B$4:$B$23,0),FALSE),0),0)</f>
        <v>0</v>
      </c>
      <c r="AO23" s="57">
        <f>IFERROR(IF($V23="BRAND.com",HLOOKUP($X23&amp;$Z23,NWC_FC_NOOS!$T$4:$AH$23,MATCH(W23,NWC_FC_NOOS!$S$4:$S$23,0),FALSE),0),0)</f>
        <v>0</v>
      </c>
      <c r="AP23" s="57">
        <f>IFERROR(IF($V23="BRAND.com",HLOOKUP($X23&amp;$Z23,NWC_FC_NOOS!$C$50:$U$69,MATCH(W23,NWC_FC_NOOS!$B$50:$B$69,0),FALSE),0),0)</f>
        <v>0</v>
      </c>
      <c r="AQ23" s="58">
        <f>IFERROR(IF($V23="BRAND.com",HLOOKUP($X23&amp;$Z23,'NWC_FC_NON-NOOS'!$C$4:$Q$23,MATCH(W23,'NWC_FC_NON-NOOS'!$B$4:$B$23,0),FALSE),0),0)</f>
        <v>0</v>
      </c>
      <c r="AR23" s="57">
        <f>IFERROR(IF($V23="BRAND.com",HLOOKUP($X23&amp;$Z23,'NWC_FC_NON-NOOS'!$T$4:$AH$23,MATCH(W23,'NWC_FC_NON-NOOS'!$S$4:$S$23,0),FALSE),0),0)</f>
        <v>0</v>
      </c>
      <c r="AS23" s="57">
        <f>IFERROR(IF($V23="BRAND.com",HLOOKUP($X23&amp;$Z23,'NWC_FC_NON-NOOS'!$C$50:$U$69,MATCH(W23,'NWC_FC_NON-NOOS'!$B$50:$B$69,0),FALSE),0),0)</f>
        <v>0</v>
      </c>
      <c r="AT23" s="57">
        <f t="shared" si="18"/>
        <v>0</v>
      </c>
      <c r="AU23" s="57">
        <f t="shared" si="19"/>
        <v>0</v>
      </c>
      <c r="AV23" s="58">
        <f>IFERROR(IF($V23="BRAND.com",HLOOKUP($X23&amp;$Z23,PLANNING_FC!$BB$27:$BP$46,MATCH($W23,PLANNING_FC!$BA$27:$BA$46,0),FALSE),0),0)</f>
        <v>0</v>
      </c>
      <c r="AW23" s="58">
        <f>IFERROR(IF($V23="BRAND.com",HLOOKUP($X23&amp;$Z23,PLANNING_FC!$BB$4:$BP$23,MATCH($W23,PLANNING_FC!$BA$4:$BA$23,0),FALSE),0),0)</f>
        <v>0</v>
      </c>
      <c r="AX23" s="58">
        <f>IFERROR(IF($V23="BRAND.com",HLOOKUP($X23&amp;$Z23,PLANNING_FC!$T$27:$AH$46,MATCH($W23,PLANNING_FC!$B$27:$B$46,0),FALSE),0),0)</f>
        <v>0</v>
      </c>
      <c r="AY23" s="58">
        <f>IFERROR(IF($V23="BRAND.com",HLOOKUP($X23&amp;$Z23,PLANNING_FC!$T$4:$AH$23,MATCH($W23,PLANNING_FC!$B$4:$B$23,0),FALSE),0),0)</f>
        <v>0</v>
      </c>
      <c r="AZ23" s="58">
        <f>IFERROR(IF($V23="BRAND.com",HLOOKUP($X23&amp;$Z23,PLANNING_FC!$DA$27:$DO$46,MATCH($W23,PLANNING_FC!$CZ$27:$CZ$46,0),FALSE),0),0)</f>
        <v>0</v>
      </c>
      <c r="BA23" s="58">
        <f>IFERROR(IF($V23="BRAND.com",HLOOKUP($X23&amp;$Z23,PLANNING_FC!$DA$4:$DO$23,MATCH($W23,PLANNING_FC!$CZ$4:$CZ$23,0),FALSE),0),0)</f>
        <v>0</v>
      </c>
      <c r="BB23" s="883" t="str">
        <f>IF(V23="BRAND.com",IFERROR(HLOOKUP(X23&amp;Z23,PLANNING_FC!$AK$4:$AY$23,MATCH(W23,PLANNING_FC!$AJ$4:$AJ$23,0),FALSE)*1000,""),"")</f>
        <v/>
      </c>
      <c r="BC23" s="883" t="str">
        <f>IF(V23="BRAND.com",IFERROR(HLOOKUP(X23&amp;Z23,PLANNING_FC!$AK$27:$AY$46,MATCH(W23,PLANNING_FC!$AJ$27:$AJ$46,0),FALSE)*1000,""),"")</f>
        <v/>
      </c>
    </row>
    <row r="24" spans="1:55" x14ac:dyDescent="0.25">
      <c r="A24" s="509"/>
      <c r="B24" s="510"/>
      <c r="C24" s="509"/>
      <c r="D24" s="509"/>
      <c r="E24" s="509"/>
      <c r="F24" s="509"/>
      <c r="G24" s="509"/>
      <c r="H24" s="509"/>
      <c r="I24" s="512"/>
      <c r="J24" s="513"/>
      <c r="K24" s="879"/>
      <c r="L24" s="515"/>
      <c r="M24" s="516"/>
      <c r="N24" s="56">
        <f t="shared" si="0"/>
        <v>0</v>
      </c>
      <c r="O24" s="57">
        <f t="shared" si="1"/>
        <v>0</v>
      </c>
      <c r="P24" s="57">
        <f ca="1">IFERROR(IF(ISBLANK(H24),SUMIFS($AC:$AC,$V:$V,V24,$W:$W,W24,$X:$X,X24,$Y:$Y,Y24)*J24/(1-J24)*VLOOKUP(_xlfn.CONCAT(C24,D24,E24,TIME!$M$12,Z24),HIS_SALES!$B$2:$W$4859,20,FALSE),AC24*J24/(1-J24)),0)</f>
        <v>0</v>
      </c>
      <c r="Q24" s="541" t="str">
        <f t="shared" si="2"/>
        <v/>
      </c>
      <c r="R24" s="346" t="str">
        <f t="shared" si="3"/>
        <v>00000</v>
      </c>
      <c r="S24" s="344">
        <f t="shared" si="4"/>
        <v>0</v>
      </c>
      <c r="T24" s="345" t="str">
        <f t="shared" si="17"/>
        <v>000</v>
      </c>
      <c r="U24" s="345">
        <f t="shared" si="5"/>
        <v>0</v>
      </c>
      <c r="V24" s="345">
        <f t="shared" si="6"/>
        <v>0</v>
      </c>
      <c r="W24" s="345">
        <f t="shared" si="7"/>
        <v>0</v>
      </c>
      <c r="X24" s="345">
        <f t="shared" si="8"/>
        <v>0</v>
      </c>
      <c r="Y24" s="345">
        <f t="shared" si="9"/>
        <v>0</v>
      </c>
      <c r="Z24" s="345">
        <f>IF(Q24&lt;&gt;"",VLOOKUP(Y24,TIME!$R$21:$V$24,MATCH(FC_DATA!Q24,TIME!$R$20:$V$20,0),FALSE),H24)</f>
        <v>0</v>
      </c>
      <c r="AA24" s="345" t="str">
        <f>IFERROR(VLOOKUP(X24&amp;Z24,TIME!$A$12:$D$71,4,FALSE),"")</f>
        <v/>
      </c>
      <c r="AB24" s="592">
        <f t="shared" ca="1" si="10"/>
        <v>0</v>
      </c>
      <c r="AC24" s="593" t="e">
        <f ca="1">IF(ISBLANK(H24)=FALSE,IF(D24="BRAND.com",I24,IF(ISNA(VLOOKUP(_xlfn.CONCAT(X24,Z24),TIME!$M$40:$M$42,1,FALSE)),I24,VLOOKUP(_xlfn.CONCAT(D24,G24,H24),M_BUSAREA_FC!$AF$5:$AJ$10,5,FALSE)*HLOOKUP(_xlfn.CONCAT(F24,H24),ST_OVERVIEW!$G$99:$I$130,MATCH(_xlfn.CONCAT(D24,E24),ST_OVERVIEW!$F$99:$F$130,0),FALSE))),IF(D24="BRAND.com",VLOOKUP(_xlfn.CONCAT(C24,D24,E24,TIME!$F$1,Z24),HIS_SALES!$B$2:$V$4859,19,FALSE)*I24,VLOOKUP(_xlfn.CONCAT(D24,F24,G24),Q_BUSAREA_FC!$AE$5:$AI$12,5,FALSE)*HLOOKUP(_xlfn.CONCAT(FC_DATA!F24,FC_DATA!G24),LT_OVERVIEW!$I$99:$M$130,MATCH(_xlfn.CONCAT(D24,FC_DATA!E24),LT_OVERVIEW!$H$99:$H$130,0),FALSE)*IFERROR(VLOOKUP(_xlfn.CONCAT(C24,D24,E24,TIME!$F$1,Z24),HIS_SALES!$B$2:$V$4859,19,FALSE),0)))</f>
        <v>#N/A</v>
      </c>
      <c r="AD24" s="341">
        <f t="shared" ca="1" si="11"/>
        <v>0</v>
      </c>
      <c r="AE24" s="363" t="str">
        <f t="shared" si="12"/>
        <v/>
      </c>
      <c r="AF24" s="342" t="str">
        <f t="shared" si="13"/>
        <v/>
      </c>
      <c r="AG24" s="411" t="e">
        <f ca="1">VLOOKUP(_xlfn.CONCAT(U24,V24,W24,VLOOKUP(X24&amp;Y24,TIME!$L$27:$O$34,4,FALSE),Y24),HIS_SALES!$A$2:$R$5093,18,FALSE)</f>
        <v>#N/A</v>
      </c>
      <c r="AH24" s="412" t="e">
        <f ca="1">IFERROR(IF(AND(V24=V23,W24=W23),0.5*(AB24+AB23)*AG24,(VLOOKUP(_xlfn.CONCAT(U24,V24,W24,X24,VLOOKUP(Z24,TIME!$S$28:$T$39,2,FALSE)),FC_DATA!$R$2:$AB$5000,MATCH("GS_I_M",FC_DATA!$R$1:$AB$1,0),FALSE)+FC_DATA!AB24)*0.5*FC_DATA!AG24),NA())</f>
        <v>#N/A</v>
      </c>
      <c r="AI24" s="491" t="e">
        <f ca="1">IF(V24="PARTNER.com",AH24,IF(AND(V24=V23,W24=W23),(1-AVERAGE(AD23,AD24))*AH24,(1-AVERAGE(AD24,VLOOKUP(_xlfn.CONCAT(U24,V24,W24,X24,M_BRAND_FC!$F$6),FC_DATA!$R$2:$AD$5000,MATCH("DISCOUNT_%_M",FC_DATA!$R$1:$AD$1,0),FALSE)))*AH24))</f>
        <v>#N/A</v>
      </c>
      <c r="AJ24" s="412" t="str">
        <f t="shared" ca="1" si="14"/>
        <v/>
      </c>
      <c r="AK24" s="413" t="str">
        <f>IFERROR(AE24/(Q_BRAND_FC!$T$24+1),"")</f>
        <v/>
      </c>
      <c r="AL24" s="88" t="str">
        <f t="shared" ca="1" si="15"/>
        <v/>
      </c>
      <c r="AM24" s="414" t="str">
        <f t="shared" ca="1" si="16"/>
        <v/>
      </c>
      <c r="AN24" s="58">
        <f>IFERROR(IF($V24="BRAND.com",HLOOKUP($X24&amp;$Z24,NWC_FC_NOOS!$C$4:$Q$23,MATCH(W24,NWC_FC_NOOS!$B$4:$B$23,0),FALSE),0),0)</f>
        <v>0</v>
      </c>
      <c r="AO24" s="57">
        <f>IFERROR(IF($V24="BRAND.com",HLOOKUP($X24&amp;$Z24,NWC_FC_NOOS!$T$4:$AH$23,MATCH(W24,NWC_FC_NOOS!$S$4:$S$23,0),FALSE),0),0)</f>
        <v>0</v>
      </c>
      <c r="AP24" s="57">
        <f>IFERROR(IF($V24="BRAND.com",HLOOKUP($X24&amp;$Z24,NWC_FC_NOOS!$C$50:$U$69,MATCH(W24,NWC_FC_NOOS!$B$50:$B$69,0),FALSE),0),0)</f>
        <v>0</v>
      </c>
      <c r="AQ24" s="58">
        <f>IFERROR(IF($V24="BRAND.com",HLOOKUP($X24&amp;$Z24,'NWC_FC_NON-NOOS'!$C$4:$Q$23,MATCH(W24,'NWC_FC_NON-NOOS'!$B$4:$B$23,0),FALSE),0),0)</f>
        <v>0</v>
      </c>
      <c r="AR24" s="57">
        <f>IFERROR(IF($V24="BRAND.com",HLOOKUP($X24&amp;$Z24,'NWC_FC_NON-NOOS'!$T$4:$AH$23,MATCH(W24,'NWC_FC_NON-NOOS'!$S$4:$S$23,0),FALSE),0),0)</f>
        <v>0</v>
      </c>
      <c r="AS24" s="57">
        <f>IFERROR(IF($V24="BRAND.com",HLOOKUP($X24&amp;$Z24,'NWC_FC_NON-NOOS'!$C$50:$U$69,MATCH(W24,'NWC_FC_NON-NOOS'!$B$50:$B$69,0),FALSE),0),0)</f>
        <v>0</v>
      </c>
      <c r="AT24" s="57">
        <f t="shared" si="18"/>
        <v>0</v>
      </c>
      <c r="AU24" s="57">
        <f t="shared" si="19"/>
        <v>0</v>
      </c>
      <c r="AV24" s="58">
        <f>IFERROR(IF($V24="BRAND.com",HLOOKUP($X24&amp;$Z24,PLANNING_FC!$BB$27:$BP$46,MATCH($W24,PLANNING_FC!$BA$27:$BA$46,0),FALSE),0),0)</f>
        <v>0</v>
      </c>
      <c r="AW24" s="58">
        <f>IFERROR(IF($V24="BRAND.com",HLOOKUP($X24&amp;$Z24,PLANNING_FC!$BB$4:$BP$23,MATCH($W24,PLANNING_FC!$BA$4:$BA$23,0),FALSE),0),0)</f>
        <v>0</v>
      </c>
      <c r="AX24" s="58">
        <f>IFERROR(IF($V24="BRAND.com",HLOOKUP($X24&amp;$Z24,PLANNING_FC!$T$27:$AH$46,MATCH($W24,PLANNING_FC!$B$27:$B$46,0),FALSE),0),0)</f>
        <v>0</v>
      </c>
      <c r="AY24" s="58">
        <f>IFERROR(IF($V24="BRAND.com",HLOOKUP($X24&amp;$Z24,PLANNING_FC!$T$4:$AH$23,MATCH($W24,PLANNING_FC!$B$4:$B$23,0),FALSE),0),0)</f>
        <v>0</v>
      </c>
      <c r="AZ24" s="58">
        <f>IFERROR(IF($V24="BRAND.com",HLOOKUP($X24&amp;$Z24,PLANNING_FC!$DA$27:$DO$46,MATCH($W24,PLANNING_FC!$CZ$27:$CZ$46,0),FALSE),0),0)</f>
        <v>0</v>
      </c>
      <c r="BA24" s="58">
        <f>IFERROR(IF($V24="BRAND.com",HLOOKUP($X24&amp;$Z24,PLANNING_FC!$DA$4:$DO$23,MATCH($W24,PLANNING_FC!$CZ$4:$CZ$23,0),FALSE),0),0)</f>
        <v>0</v>
      </c>
      <c r="BB24" s="883" t="str">
        <f>IF(V24="BRAND.com",IFERROR(HLOOKUP(X24&amp;Z24,PLANNING_FC!$AK$4:$AY$23,MATCH(W24,PLANNING_FC!$AJ$4:$AJ$23,0),FALSE)*1000,""),"")</f>
        <v/>
      </c>
      <c r="BC24" s="883" t="str">
        <f>IF(V24="BRAND.com",IFERROR(HLOOKUP(X24&amp;Z24,PLANNING_FC!$AK$27:$AY$46,MATCH(W24,PLANNING_FC!$AJ$27:$AJ$46,0),FALSE)*1000,""),"")</f>
        <v/>
      </c>
    </row>
    <row r="25" spans="1:55" x14ac:dyDescent="0.25">
      <c r="A25" s="509"/>
      <c r="B25" s="510"/>
      <c r="C25" s="509"/>
      <c r="D25" s="509"/>
      <c r="E25" s="509"/>
      <c r="F25" s="509"/>
      <c r="G25" s="509"/>
      <c r="H25" s="509"/>
      <c r="I25" s="512"/>
      <c r="J25" s="513"/>
      <c r="K25" s="879"/>
      <c r="L25" s="515"/>
      <c r="M25" s="516"/>
      <c r="N25" s="56">
        <f t="shared" si="0"/>
        <v>0</v>
      </c>
      <c r="O25" s="57">
        <f t="shared" si="1"/>
        <v>0</v>
      </c>
      <c r="P25" s="57">
        <f ca="1">IFERROR(IF(ISBLANK(H25),SUMIFS($AC:$AC,$V:$V,V25,$W:$W,W25,$X:$X,X25,$Y:$Y,Y25)*J25/(1-J25)*VLOOKUP(_xlfn.CONCAT(C25,D25,E25,TIME!$M$12,Z25),HIS_SALES!$B$2:$W$4859,20,FALSE),AC25*J25/(1-J25)),0)</f>
        <v>0</v>
      </c>
      <c r="Q25" s="541" t="str">
        <f t="shared" si="2"/>
        <v/>
      </c>
      <c r="R25" s="346" t="str">
        <f t="shared" si="3"/>
        <v>00000</v>
      </c>
      <c r="S25" s="344">
        <f t="shared" si="4"/>
        <v>0</v>
      </c>
      <c r="T25" s="345" t="str">
        <f t="shared" si="17"/>
        <v>000</v>
      </c>
      <c r="U25" s="345">
        <f t="shared" si="5"/>
        <v>0</v>
      </c>
      <c r="V25" s="345">
        <f t="shared" si="6"/>
        <v>0</v>
      </c>
      <c r="W25" s="345">
        <f t="shared" si="7"/>
        <v>0</v>
      </c>
      <c r="X25" s="345">
        <f t="shared" si="8"/>
        <v>0</v>
      </c>
      <c r="Y25" s="345">
        <f t="shared" si="9"/>
        <v>0</v>
      </c>
      <c r="Z25" s="345">
        <f>IF(Q25&lt;&gt;"",VLOOKUP(Y25,TIME!$R$21:$V$24,MATCH(FC_DATA!Q25,TIME!$R$20:$V$20,0),FALSE),H25)</f>
        <v>0</v>
      </c>
      <c r="AA25" s="345" t="str">
        <f>IFERROR(VLOOKUP(X25&amp;Z25,TIME!$A$12:$D$71,4,FALSE),"")</f>
        <v/>
      </c>
      <c r="AB25" s="592">
        <f t="shared" ca="1" si="10"/>
        <v>0</v>
      </c>
      <c r="AC25" s="593" t="e">
        <f ca="1">IF(ISBLANK(H25)=FALSE,IF(D25="BRAND.com",I25,IF(ISNA(VLOOKUP(_xlfn.CONCAT(X25,Z25),TIME!$M$40:$M$42,1,FALSE)),I25,VLOOKUP(_xlfn.CONCAT(D25,G25,H25),M_BUSAREA_FC!$AF$5:$AJ$10,5,FALSE)*HLOOKUP(_xlfn.CONCAT(F25,H25),ST_OVERVIEW!$G$99:$I$130,MATCH(_xlfn.CONCAT(D25,E25),ST_OVERVIEW!$F$99:$F$130,0),FALSE))),IF(D25="BRAND.com",VLOOKUP(_xlfn.CONCAT(C25,D25,E25,TIME!$F$1,Z25),HIS_SALES!$B$2:$V$4859,19,FALSE)*I25,VLOOKUP(_xlfn.CONCAT(D25,F25,G25),Q_BUSAREA_FC!$AE$5:$AI$12,5,FALSE)*HLOOKUP(_xlfn.CONCAT(FC_DATA!F25,FC_DATA!G25),LT_OVERVIEW!$I$99:$M$130,MATCH(_xlfn.CONCAT(D25,FC_DATA!E25),LT_OVERVIEW!$H$99:$H$130,0),FALSE)*IFERROR(VLOOKUP(_xlfn.CONCAT(C25,D25,E25,TIME!$F$1,Z25),HIS_SALES!$B$2:$V$4859,19,FALSE),0)))</f>
        <v>#N/A</v>
      </c>
      <c r="AD25" s="341">
        <f t="shared" ca="1" si="11"/>
        <v>0</v>
      </c>
      <c r="AE25" s="363" t="str">
        <f t="shared" si="12"/>
        <v/>
      </c>
      <c r="AF25" s="342" t="str">
        <f t="shared" si="13"/>
        <v/>
      </c>
      <c r="AG25" s="411" t="e">
        <f ca="1">VLOOKUP(_xlfn.CONCAT(U25,V25,W25,VLOOKUP(X25&amp;Y25,TIME!$L$27:$O$34,4,FALSE),Y25),HIS_SALES!$A$2:$R$5093,18,FALSE)</f>
        <v>#N/A</v>
      </c>
      <c r="AH25" s="412" t="e">
        <f ca="1">IFERROR(IF(AND(V25=V24,W25=W24),0.5*(AB25+AB24)*AG25,(VLOOKUP(_xlfn.CONCAT(U25,V25,W25,X25,VLOOKUP(Z25,TIME!$S$28:$T$39,2,FALSE)),FC_DATA!$R$2:$AB$5000,MATCH("GS_I_M",FC_DATA!$R$1:$AB$1,0),FALSE)+FC_DATA!AB25)*0.5*FC_DATA!AG25),NA())</f>
        <v>#N/A</v>
      </c>
      <c r="AI25" s="491" t="e">
        <f ca="1">IF(V25="PARTNER.com",AH25,IF(AND(V25=V24,W25=W24),(1-AVERAGE(AD24,AD25))*AH25,(1-AVERAGE(AD25,VLOOKUP(_xlfn.CONCAT(U25,V25,W25,X25,M_BRAND_FC!$F$6),FC_DATA!$R$2:$AD$5000,MATCH("DISCOUNT_%_M",FC_DATA!$R$1:$AD$1,0),FALSE)))*AH25))</f>
        <v>#N/A</v>
      </c>
      <c r="AJ25" s="412" t="str">
        <f t="shared" ca="1" si="14"/>
        <v/>
      </c>
      <c r="AK25" s="413" t="str">
        <f>IFERROR(AE25/(Q_BRAND_FC!$T$24+1),"")</f>
        <v/>
      </c>
      <c r="AL25" s="88" t="str">
        <f t="shared" ca="1" si="15"/>
        <v/>
      </c>
      <c r="AM25" s="414" t="str">
        <f t="shared" ca="1" si="16"/>
        <v/>
      </c>
      <c r="AN25" s="58">
        <f>IFERROR(IF($V25="BRAND.com",HLOOKUP($X25&amp;$Z25,NWC_FC_NOOS!$C$4:$Q$23,MATCH(W25,NWC_FC_NOOS!$B$4:$B$23,0),FALSE),0),0)</f>
        <v>0</v>
      </c>
      <c r="AO25" s="57">
        <f>IFERROR(IF($V25="BRAND.com",HLOOKUP($X25&amp;$Z25,NWC_FC_NOOS!$T$4:$AH$23,MATCH(W25,NWC_FC_NOOS!$S$4:$S$23,0),FALSE),0),0)</f>
        <v>0</v>
      </c>
      <c r="AP25" s="57">
        <f>IFERROR(IF($V25="BRAND.com",HLOOKUP($X25&amp;$Z25,NWC_FC_NOOS!$C$50:$U$69,MATCH(W25,NWC_FC_NOOS!$B$50:$B$69,0),FALSE),0),0)</f>
        <v>0</v>
      </c>
      <c r="AQ25" s="58">
        <f>IFERROR(IF($V25="BRAND.com",HLOOKUP($X25&amp;$Z25,'NWC_FC_NON-NOOS'!$C$4:$Q$23,MATCH(W25,'NWC_FC_NON-NOOS'!$B$4:$B$23,0),FALSE),0),0)</f>
        <v>0</v>
      </c>
      <c r="AR25" s="57">
        <f>IFERROR(IF($V25="BRAND.com",HLOOKUP($X25&amp;$Z25,'NWC_FC_NON-NOOS'!$T$4:$AH$23,MATCH(W25,'NWC_FC_NON-NOOS'!$S$4:$S$23,0),FALSE),0),0)</f>
        <v>0</v>
      </c>
      <c r="AS25" s="57">
        <f>IFERROR(IF($V25="BRAND.com",HLOOKUP($X25&amp;$Z25,'NWC_FC_NON-NOOS'!$C$50:$U$69,MATCH(W25,'NWC_FC_NON-NOOS'!$B$50:$B$69,0),FALSE),0),0)</f>
        <v>0</v>
      </c>
      <c r="AT25" s="57">
        <f t="shared" si="18"/>
        <v>0</v>
      </c>
      <c r="AU25" s="57">
        <f t="shared" si="19"/>
        <v>0</v>
      </c>
      <c r="AV25" s="58">
        <f>IFERROR(IF($V25="BRAND.com",HLOOKUP($X25&amp;$Z25,PLANNING_FC!$BB$27:$BP$46,MATCH($W25,PLANNING_FC!$BA$27:$BA$46,0),FALSE),0),0)</f>
        <v>0</v>
      </c>
      <c r="AW25" s="58">
        <f>IFERROR(IF($V25="BRAND.com",HLOOKUP($X25&amp;$Z25,PLANNING_FC!$BB$4:$BP$23,MATCH($W25,PLANNING_FC!$BA$4:$BA$23,0),FALSE),0),0)</f>
        <v>0</v>
      </c>
      <c r="AX25" s="58">
        <f>IFERROR(IF($V25="BRAND.com",HLOOKUP($X25&amp;$Z25,PLANNING_FC!$T$27:$AH$46,MATCH($W25,PLANNING_FC!$B$27:$B$46,0),FALSE),0),0)</f>
        <v>0</v>
      </c>
      <c r="AY25" s="58">
        <f>IFERROR(IF($V25="BRAND.com",HLOOKUP($X25&amp;$Z25,PLANNING_FC!$T$4:$AH$23,MATCH($W25,PLANNING_FC!$B$4:$B$23,0),FALSE),0),0)</f>
        <v>0</v>
      </c>
      <c r="AZ25" s="58">
        <f>IFERROR(IF($V25="BRAND.com",HLOOKUP($X25&amp;$Z25,PLANNING_FC!$DA$27:$DO$46,MATCH($W25,PLANNING_FC!$CZ$27:$CZ$46,0),FALSE),0),0)</f>
        <v>0</v>
      </c>
      <c r="BA25" s="58">
        <f>IFERROR(IF($V25="BRAND.com",HLOOKUP($X25&amp;$Z25,PLANNING_FC!$DA$4:$DO$23,MATCH($W25,PLANNING_FC!$CZ$4:$CZ$23,0),FALSE),0),0)</f>
        <v>0</v>
      </c>
      <c r="BB25" s="883" t="str">
        <f>IF(V25="BRAND.com",IFERROR(HLOOKUP(X25&amp;Z25,PLANNING_FC!$AK$4:$AY$23,MATCH(W25,PLANNING_FC!$AJ$4:$AJ$23,0),FALSE)*1000,""),"")</f>
        <v/>
      </c>
      <c r="BC25" s="883" t="str">
        <f>IF(V25="BRAND.com",IFERROR(HLOOKUP(X25&amp;Z25,PLANNING_FC!$AK$27:$AY$46,MATCH(W25,PLANNING_FC!$AJ$27:$AJ$46,0),FALSE)*1000,""),"")</f>
        <v/>
      </c>
    </row>
    <row r="26" spans="1:55" x14ac:dyDescent="0.25">
      <c r="A26" s="509"/>
      <c r="B26" s="510"/>
      <c r="C26" s="509"/>
      <c r="D26" s="509"/>
      <c r="E26" s="509"/>
      <c r="F26" s="509"/>
      <c r="G26" s="509"/>
      <c r="H26" s="509"/>
      <c r="I26" s="512"/>
      <c r="J26" s="513"/>
      <c r="K26" s="879"/>
      <c r="L26" s="515"/>
      <c r="M26" s="516"/>
      <c r="N26" s="56">
        <f t="shared" si="0"/>
        <v>0</v>
      </c>
      <c r="O26" s="57">
        <f t="shared" si="1"/>
        <v>0</v>
      </c>
      <c r="P26" s="57">
        <f ca="1">IFERROR(IF(ISBLANK(H26),SUMIFS($AC:$AC,$V:$V,V26,$W:$W,W26,$X:$X,X26,$Y:$Y,Y26)*J26/(1-J26)*VLOOKUP(_xlfn.CONCAT(C26,D26,E26,TIME!$M$12,Z26),HIS_SALES!$B$2:$W$4859,20,FALSE),AC26*J26/(1-J26)),0)</f>
        <v>0</v>
      </c>
      <c r="Q26" s="541" t="str">
        <f t="shared" si="2"/>
        <v/>
      </c>
      <c r="R26" s="346" t="str">
        <f t="shared" si="3"/>
        <v>00000</v>
      </c>
      <c r="S26" s="344">
        <f t="shared" si="4"/>
        <v>0</v>
      </c>
      <c r="T26" s="345" t="str">
        <f t="shared" si="17"/>
        <v>000</v>
      </c>
      <c r="U26" s="345">
        <f t="shared" si="5"/>
        <v>0</v>
      </c>
      <c r="V26" s="345">
        <f t="shared" si="6"/>
        <v>0</v>
      </c>
      <c r="W26" s="345">
        <f t="shared" si="7"/>
        <v>0</v>
      </c>
      <c r="X26" s="345">
        <f t="shared" si="8"/>
        <v>0</v>
      </c>
      <c r="Y26" s="345">
        <f t="shared" si="9"/>
        <v>0</v>
      </c>
      <c r="Z26" s="345">
        <f>IF(Q26&lt;&gt;"",VLOOKUP(Y26,TIME!$R$21:$V$24,MATCH(FC_DATA!Q26,TIME!$R$20:$V$20,0),FALSE),H26)</f>
        <v>0</v>
      </c>
      <c r="AA26" s="345" t="str">
        <f>IFERROR(VLOOKUP(X26&amp;Z26,TIME!$A$12:$D$71,4,FALSE),"")</f>
        <v/>
      </c>
      <c r="AB26" s="592">
        <f t="shared" ca="1" si="10"/>
        <v>0</v>
      </c>
      <c r="AC26" s="593" t="e">
        <f ca="1">IF(ISBLANK(H26)=FALSE,IF(D26="BRAND.com",I26,IF(ISNA(VLOOKUP(_xlfn.CONCAT(X26,Z26),TIME!$M$40:$M$42,1,FALSE)),I26,VLOOKUP(_xlfn.CONCAT(D26,G26,H26),M_BUSAREA_FC!$AF$5:$AJ$10,5,FALSE)*HLOOKUP(_xlfn.CONCAT(F26,H26),ST_OVERVIEW!$G$99:$I$130,MATCH(_xlfn.CONCAT(D26,E26),ST_OVERVIEW!$F$99:$F$130,0),FALSE))),IF(D26="BRAND.com",VLOOKUP(_xlfn.CONCAT(C26,D26,E26,TIME!$F$1,Z26),HIS_SALES!$B$2:$V$4859,19,FALSE)*I26,VLOOKUP(_xlfn.CONCAT(D26,F26,G26),Q_BUSAREA_FC!$AE$5:$AI$12,5,FALSE)*HLOOKUP(_xlfn.CONCAT(FC_DATA!F26,FC_DATA!G26),LT_OVERVIEW!$I$99:$M$130,MATCH(_xlfn.CONCAT(D26,FC_DATA!E26),LT_OVERVIEW!$H$99:$H$130,0),FALSE)*IFERROR(VLOOKUP(_xlfn.CONCAT(C26,D26,E26,TIME!$F$1,Z26),HIS_SALES!$B$2:$V$4859,19,FALSE),0)))</f>
        <v>#N/A</v>
      </c>
      <c r="AD26" s="341">
        <f t="shared" ca="1" si="11"/>
        <v>0</v>
      </c>
      <c r="AE26" s="363" t="str">
        <f t="shared" si="12"/>
        <v/>
      </c>
      <c r="AF26" s="342" t="str">
        <f t="shared" si="13"/>
        <v/>
      </c>
      <c r="AG26" s="411" t="e">
        <f ca="1">VLOOKUP(_xlfn.CONCAT(U26,V26,W26,VLOOKUP(X26&amp;Y26,TIME!$L$27:$O$34,4,FALSE),Y26),HIS_SALES!$A$2:$R$5093,18,FALSE)</f>
        <v>#N/A</v>
      </c>
      <c r="AH26" s="412" t="e">
        <f ca="1">IFERROR(IF(AND(V26=V25,W26=W25),0.5*(AB26+AB25)*AG26,(VLOOKUP(_xlfn.CONCAT(U26,V26,W26,X26,VLOOKUP(Z26,TIME!$S$28:$T$39,2,FALSE)),FC_DATA!$R$2:$AB$5000,MATCH("GS_I_M",FC_DATA!$R$1:$AB$1,0),FALSE)+FC_DATA!AB26)*0.5*FC_DATA!AG26),NA())</f>
        <v>#N/A</v>
      </c>
      <c r="AI26" s="491" t="e">
        <f ca="1">IF(V26="PARTNER.com",AH26,IF(AND(V26=V25,W26=W25),(1-AVERAGE(AD25,AD26))*AH26,(1-AVERAGE(AD26,VLOOKUP(_xlfn.CONCAT(U26,V26,W26,X26,M_BRAND_FC!$F$6),FC_DATA!$R$2:$AD$5000,MATCH("DISCOUNT_%_M",FC_DATA!$R$1:$AD$1,0),FALSE)))*AH26))</f>
        <v>#N/A</v>
      </c>
      <c r="AJ26" s="412" t="str">
        <f t="shared" ca="1" si="14"/>
        <v/>
      </c>
      <c r="AK26" s="413" t="str">
        <f>IFERROR(AE26/(Q_BRAND_FC!$T$24+1),"")</f>
        <v/>
      </c>
      <c r="AL26" s="88" t="str">
        <f t="shared" ca="1" si="15"/>
        <v/>
      </c>
      <c r="AM26" s="414" t="str">
        <f t="shared" ca="1" si="16"/>
        <v/>
      </c>
      <c r="AN26" s="58">
        <f>IFERROR(IF($V26="BRAND.com",HLOOKUP($X26&amp;$Z26,NWC_FC_NOOS!$C$4:$Q$23,MATCH(W26,NWC_FC_NOOS!$B$4:$B$23,0),FALSE),0),0)</f>
        <v>0</v>
      </c>
      <c r="AO26" s="57">
        <f>IFERROR(IF($V26="BRAND.com",HLOOKUP($X26&amp;$Z26,NWC_FC_NOOS!$T$4:$AH$23,MATCH(W26,NWC_FC_NOOS!$S$4:$S$23,0),FALSE),0),0)</f>
        <v>0</v>
      </c>
      <c r="AP26" s="57">
        <f>IFERROR(IF($V26="BRAND.com",HLOOKUP($X26&amp;$Z26,NWC_FC_NOOS!$C$50:$U$69,MATCH(W26,NWC_FC_NOOS!$B$50:$B$69,0),FALSE),0),0)</f>
        <v>0</v>
      </c>
      <c r="AQ26" s="58">
        <f>IFERROR(IF($V26="BRAND.com",HLOOKUP($X26&amp;$Z26,'NWC_FC_NON-NOOS'!$C$4:$Q$23,MATCH(W26,'NWC_FC_NON-NOOS'!$B$4:$B$23,0),FALSE),0),0)</f>
        <v>0</v>
      </c>
      <c r="AR26" s="57">
        <f>IFERROR(IF($V26="BRAND.com",HLOOKUP($X26&amp;$Z26,'NWC_FC_NON-NOOS'!$T$4:$AH$23,MATCH(W26,'NWC_FC_NON-NOOS'!$S$4:$S$23,0),FALSE),0),0)</f>
        <v>0</v>
      </c>
      <c r="AS26" s="57">
        <f>IFERROR(IF($V26="BRAND.com",HLOOKUP($X26&amp;$Z26,'NWC_FC_NON-NOOS'!$C$50:$U$69,MATCH(W26,'NWC_FC_NON-NOOS'!$B$50:$B$69,0),FALSE),0),0)</f>
        <v>0</v>
      </c>
      <c r="AT26" s="57">
        <f t="shared" si="18"/>
        <v>0</v>
      </c>
      <c r="AU26" s="57">
        <f t="shared" si="19"/>
        <v>0</v>
      </c>
      <c r="AV26" s="58">
        <f>IFERROR(IF($V26="BRAND.com",HLOOKUP($X26&amp;$Z26,PLANNING_FC!$BB$27:$BP$46,MATCH($W26,PLANNING_FC!$BA$27:$BA$46,0),FALSE),0),0)</f>
        <v>0</v>
      </c>
      <c r="AW26" s="58">
        <f>IFERROR(IF($V26="BRAND.com",HLOOKUP($X26&amp;$Z26,PLANNING_FC!$BB$4:$BP$23,MATCH($W26,PLANNING_FC!$BA$4:$BA$23,0),FALSE),0),0)</f>
        <v>0</v>
      </c>
      <c r="AX26" s="58">
        <f>IFERROR(IF($V26="BRAND.com",HLOOKUP($X26&amp;$Z26,PLANNING_FC!$T$27:$AH$46,MATCH($W26,PLANNING_FC!$B$27:$B$46,0),FALSE),0),0)</f>
        <v>0</v>
      </c>
      <c r="AY26" s="58">
        <f>IFERROR(IF($V26="BRAND.com",HLOOKUP($X26&amp;$Z26,PLANNING_FC!$T$4:$AH$23,MATCH($W26,PLANNING_FC!$B$4:$B$23,0),FALSE),0),0)</f>
        <v>0</v>
      </c>
      <c r="AZ26" s="58">
        <f>IFERROR(IF($V26="BRAND.com",HLOOKUP($X26&amp;$Z26,PLANNING_FC!$DA$27:$DO$46,MATCH($W26,PLANNING_FC!$CZ$27:$CZ$46,0),FALSE),0),0)</f>
        <v>0</v>
      </c>
      <c r="BA26" s="58">
        <f>IFERROR(IF($V26="BRAND.com",HLOOKUP($X26&amp;$Z26,PLANNING_FC!$DA$4:$DO$23,MATCH($W26,PLANNING_FC!$CZ$4:$CZ$23,0),FALSE),0),0)</f>
        <v>0</v>
      </c>
      <c r="BB26" s="883" t="str">
        <f>IF(V26="BRAND.com",IFERROR(HLOOKUP(X26&amp;Z26,PLANNING_FC!$AK$4:$AY$23,MATCH(W26,PLANNING_FC!$AJ$4:$AJ$23,0),FALSE)*1000,""),"")</f>
        <v/>
      </c>
      <c r="BC26" s="883" t="str">
        <f>IF(V26="BRAND.com",IFERROR(HLOOKUP(X26&amp;Z26,PLANNING_FC!$AK$27:$AY$46,MATCH(W26,PLANNING_FC!$AJ$27:$AJ$46,0),FALSE)*1000,""),"")</f>
        <v/>
      </c>
    </row>
    <row r="27" spans="1:55" x14ac:dyDescent="0.25">
      <c r="A27" s="509"/>
      <c r="B27" s="510"/>
      <c r="C27" s="509"/>
      <c r="D27" s="509"/>
      <c r="E27" s="509"/>
      <c r="F27" s="509"/>
      <c r="G27" s="509"/>
      <c r="H27" s="509"/>
      <c r="I27" s="512"/>
      <c r="J27" s="513"/>
      <c r="K27" s="879"/>
      <c r="L27" s="515"/>
      <c r="M27" s="516"/>
      <c r="N27" s="56">
        <f t="shared" si="0"/>
        <v>0</v>
      </c>
      <c r="O27" s="57">
        <f t="shared" si="1"/>
        <v>0</v>
      </c>
      <c r="P27" s="57">
        <f ca="1">IFERROR(IF(ISBLANK(H27),SUMIFS($AC:$AC,$V:$V,V27,$W:$W,W27,$X:$X,X27,$Y:$Y,Y27)*J27/(1-J27)*VLOOKUP(_xlfn.CONCAT(C27,D27,E27,TIME!$M$12,Z27),HIS_SALES!$B$2:$W$4859,20,FALSE),AC27*J27/(1-J27)),0)</f>
        <v>0</v>
      </c>
      <c r="Q27" s="541" t="str">
        <f t="shared" si="2"/>
        <v/>
      </c>
      <c r="R27" s="346" t="str">
        <f t="shared" si="3"/>
        <v>00000</v>
      </c>
      <c r="S27" s="344">
        <f t="shared" si="4"/>
        <v>0</v>
      </c>
      <c r="T27" s="345" t="str">
        <f t="shared" si="17"/>
        <v>000</v>
      </c>
      <c r="U27" s="345">
        <f t="shared" si="5"/>
        <v>0</v>
      </c>
      <c r="V27" s="345">
        <f t="shared" si="6"/>
        <v>0</v>
      </c>
      <c r="W27" s="345">
        <f t="shared" si="7"/>
        <v>0</v>
      </c>
      <c r="X27" s="345">
        <f t="shared" si="8"/>
        <v>0</v>
      </c>
      <c r="Y27" s="345">
        <f t="shared" si="9"/>
        <v>0</v>
      </c>
      <c r="Z27" s="345">
        <f>IF(Q27&lt;&gt;"",VLOOKUP(Y27,TIME!$R$21:$V$24,MATCH(FC_DATA!Q27,TIME!$R$20:$V$20,0),FALSE),H27)</f>
        <v>0</v>
      </c>
      <c r="AA27" s="345" t="str">
        <f>IFERROR(VLOOKUP(X27&amp;Z27,TIME!$A$12:$D$71,4,FALSE),"")</f>
        <v/>
      </c>
      <c r="AB27" s="592">
        <f t="shared" ca="1" si="10"/>
        <v>0</v>
      </c>
      <c r="AC27" s="593" t="e">
        <f ca="1">IF(ISBLANK(H27)=FALSE,IF(D27="BRAND.com",I27,IF(ISNA(VLOOKUP(_xlfn.CONCAT(X27,Z27),TIME!$M$40:$M$42,1,FALSE)),I27,VLOOKUP(_xlfn.CONCAT(D27,G27,H27),M_BUSAREA_FC!$AF$5:$AJ$10,5,FALSE)*HLOOKUP(_xlfn.CONCAT(F27,H27),ST_OVERVIEW!$G$99:$I$130,MATCH(_xlfn.CONCAT(D27,E27),ST_OVERVIEW!$F$99:$F$130,0),FALSE))),IF(D27="BRAND.com",VLOOKUP(_xlfn.CONCAT(C27,D27,E27,TIME!$F$1,Z27),HIS_SALES!$B$2:$V$4859,19,FALSE)*I27,VLOOKUP(_xlfn.CONCAT(D27,F27,G27),Q_BUSAREA_FC!$AE$5:$AI$12,5,FALSE)*HLOOKUP(_xlfn.CONCAT(FC_DATA!F27,FC_DATA!G27),LT_OVERVIEW!$I$99:$M$130,MATCH(_xlfn.CONCAT(D27,FC_DATA!E27),LT_OVERVIEW!$H$99:$H$130,0),FALSE)*IFERROR(VLOOKUP(_xlfn.CONCAT(C27,D27,E27,TIME!$F$1,Z27),HIS_SALES!$B$2:$V$4859,19,FALSE),0)))</f>
        <v>#N/A</v>
      </c>
      <c r="AD27" s="341">
        <f t="shared" ca="1" si="11"/>
        <v>0</v>
      </c>
      <c r="AE27" s="363" t="str">
        <f t="shared" si="12"/>
        <v/>
      </c>
      <c r="AF27" s="342" t="str">
        <f t="shared" si="13"/>
        <v/>
      </c>
      <c r="AG27" s="411" t="e">
        <f ca="1">VLOOKUP(_xlfn.CONCAT(U27,V27,W27,VLOOKUP(X27&amp;Y27,TIME!$L$27:$O$34,4,FALSE),Y27),HIS_SALES!$A$2:$R$5093,18,FALSE)</f>
        <v>#N/A</v>
      </c>
      <c r="AH27" s="412" t="e">
        <f ca="1">IFERROR(IF(AND(V27=V26,W27=W26),0.5*(AB27+AB26)*AG27,(VLOOKUP(_xlfn.CONCAT(U27,V27,W27,X27,VLOOKUP(Z27,TIME!$S$28:$T$39,2,FALSE)),FC_DATA!$R$2:$AB$5000,MATCH("GS_I_M",FC_DATA!$R$1:$AB$1,0),FALSE)+FC_DATA!AB27)*0.5*FC_DATA!AG27),NA())</f>
        <v>#N/A</v>
      </c>
      <c r="AI27" s="491" t="e">
        <f ca="1">IF(V27="PARTNER.com",AH27,IF(AND(V27=V26,W27=W26),(1-AVERAGE(AD26,AD27))*AH27,(1-AVERAGE(AD27,VLOOKUP(_xlfn.CONCAT(U27,V27,W27,X27,M_BRAND_FC!$F$6),FC_DATA!$R$2:$AD$5000,MATCH("DISCOUNT_%_M",FC_DATA!$R$1:$AD$1,0),FALSE)))*AH27))</f>
        <v>#N/A</v>
      </c>
      <c r="AJ27" s="412" t="str">
        <f t="shared" ca="1" si="14"/>
        <v/>
      </c>
      <c r="AK27" s="413" t="str">
        <f>IFERROR(AE27/(Q_BRAND_FC!$T$24+1),"")</f>
        <v/>
      </c>
      <c r="AL27" s="88" t="str">
        <f t="shared" ca="1" si="15"/>
        <v/>
      </c>
      <c r="AM27" s="414" t="str">
        <f t="shared" ca="1" si="16"/>
        <v/>
      </c>
      <c r="AN27" s="58">
        <f>IFERROR(IF($V27="BRAND.com",HLOOKUP($X27&amp;$Z27,NWC_FC_NOOS!$C$4:$Q$23,MATCH(W27,NWC_FC_NOOS!$B$4:$B$23,0),FALSE),0),0)</f>
        <v>0</v>
      </c>
      <c r="AO27" s="57">
        <f>IFERROR(IF($V27="BRAND.com",HLOOKUP($X27&amp;$Z27,NWC_FC_NOOS!$T$4:$AH$23,MATCH(W27,NWC_FC_NOOS!$S$4:$S$23,0),FALSE),0),0)</f>
        <v>0</v>
      </c>
      <c r="AP27" s="57">
        <f>IFERROR(IF($V27="BRAND.com",HLOOKUP($X27&amp;$Z27,NWC_FC_NOOS!$C$50:$U$69,MATCH(W27,NWC_FC_NOOS!$B$50:$B$69,0),FALSE),0),0)</f>
        <v>0</v>
      </c>
      <c r="AQ27" s="58">
        <f>IFERROR(IF($V27="BRAND.com",HLOOKUP($X27&amp;$Z27,'NWC_FC_NON-NOOS'!$C$4:$Q$23,MATCH(W27,'NWC_FC_NON-NOOS'!$B$4:$B$23,0),FALSE),0),0)</f>
        <v>0</v>
      </c>
      <c r="AR27" s="57">
        <f>IFERROR(IF($V27="BRAND.com",HLOOKUP($X27&amp;$Z27,'NWC_FC_NON-NOOS'!$T$4:$AH$23,MATCH(W27,'NWC_FC_NON-NOOS'!$S$4:$S$23,0),FALSE),0),0)</f>
        <v>0</v>
      </c>
      <c r="AS27" s="57">
        <f>IFERROR(IF($V27="BRAND.com",HLOOKUP($X27&amp;$Z27,'NWC_FC_NON-NOOS'!$C$50:$U$69,MATCH(W27,'NWC_FC_NON-NOOS'!$B$50:$B$69,0),FALSE),0),0)</f>
        <v>0</v>
      </c>
      <c r="AT27" s="57">
        <f t="shared" si="18"/>
        <v>0</v>
      </c>
      <c r="AU27" s="57">
        <f t="shared" si="19"/>
        <v>0</v>
      </c>
      <c r="AV27" s="58">
        <f>IFERROR(IF($V27="BRAND.com",HLOOKUP($X27&amp;$Z27,PLANNING_FC!$BB$27:$BP$46,MATCH($W27,PLANNING_FC!$BA$27:$BA$46,0),FALSE),0),0)</f>
        <v>0</v>
      </c>
      <c r="AW27" s="58">
        <f>IFERROR(IF($V27="BRAND.com",HLOOKUP($X27&amp;$Z27,PLANNING_FC!$BB$4:$BP$23,MATCH($W27,PLANNING_FC!$BA$4:$BA$23,0),FALSE),0),0)</f>
        <v>0</v>
      </c>
      <c r="AX27" s="58">
        <f>IFERROR(IF($V27="BRAND.com",HLOOKUP($X27&amp;$Z27,PLANNING_FC!$T$27:$AH$46,MATCH($W27,PLANNING_FC!$B$27:$B$46,0),FALSE),0),0)</f>
        <v>0</v>
      </c>
      <c r="AY27" s="58">
        <f>IFERROR(IF($V27="BRAND.com",HLOOKUP($X27&amp;$Z27,PLANNING_FC!$T$4:$AH$23,MATCH($W27,PLANNING_FC!$B$4:$B$23,0),FALSE),0),0)</f>
        <v>0</v>
      </c>
      <c r="AZ27" s="58">
        <f>IFERROR(IF($V27="BRAND.com",HLOOKUP($X27&amp;$Z27,PLANNING_FC!$DA$27:$DO$46,MATCH($W27,PLANNING_FC!$CZ$27:$CZ$46,0),FALSE),0),0)</f>
        <v>0</v>
      </c>
      <c r="BA27" s="58">
        <f>IFERROR(IF($V27="BRAND.com",HLOOKUP($X27&amp;$Z27,PLANNING_FC!$DA$4:$DO$23,MATCH($W27,PLANNING_FC!$CZ$4:$CZ$23,0),FALSE),0),0)</f>
        <v>0</v>
      </c>
      <c r="BB27" s="883" t="str">
        <f>IF(V27="BRAND.com",IFERROR(HLOOKUP(X27&amp;Z27,PLANNING_FC!$AK$4:$AY$23,MATCH(W27,PLANNING_FC!$AJ$4:$AJ$23,0),FALSE)*1000,""),"")</f>
        <v/>
      </c>
      <c r="BC27" s="883" t="str">
        <f>IF(V27="BRAND.com",IFERROR(HLOOKUP(X27&amp;Z27,PLANNING_FC!$AK$27:$AY$46,MATCH(W27,PLANNING_FC!$AJ$27:$AJ$46,0),FALSE)*1000,""),"")</f>
        <v/>
      </c>
    </row>
    <row r="28" spans="1:55" x14ac:dyDescent="0.25">
      <c r="A28" s="509"/>
      <c r="B28" s="510"/>
      <c r="C28" s="509"/>
      <c r="D28" s="509"/>
      <c r="E28" s="509"/>
      <c r="F28" s="509"/>
      <c r="G28" s="509"/>
      <c r="H28" s="509"/>
      <c r="I28" s="512"/>
      <c r="J28" s="513"/>
      <c r="K28" s="879"/>
      <c r="L28" s="515"/>
      <c r="M28" s="516"/>
      <c r="N28" s="56">
        <f t="shared" si="0"/>
        <v>0</v>
      </c>
      <c r="O28" s="57">
        <f t="shared" si="1"/>
        <v>0</v>
      </c>
      <c r="P28" s="57">
        <f ca="1">IFERROR(IF(ISBLANK(H28),SUMIFS($AC:$AC,$V:$V,V28,$W:$W,W28,$X:$X,X28,$Y:$Y,Y28)*J28/(1-J28)*VLOOKUP(_xlfn.CONCAT(C28,D28,E28,TIME!$M$12,Z28),HIS_SALES!$B$2:$W$4859,20,FALSE),AC28*J28/(1-J28)),0)</f>
        <v>0</v>
      </c>
      <c r="Q28" s="541" t="str">
        <f t="shared" si="2"/>
        <v/>
      </c>
      <c r="R28" s="346" t="str">
        <f t="shared" si="3"/>
        <v>00000</v>
      </c>
      <c r="S28" s="344">
        <f t="shared" si="4"/>
        <v>0</v>
      </c>
      <c r="T28" s="345" t="str">
        <f t="shared" si="17"/>
        <v>000</v>
      </c>
      <c r="U28" s="345">
        <f t="shared" si="5"/>
        <v>0</v>
      </c>
      <c r="V28" s="345">
        <f t="shared" si="6"/>
        <v>0</v>
      </c>
      <c r="W28" s="345">
        <f t="shared" si="7"/>
        <v>0</v>
      </c>
      <c r="X28" s="345">
        <f t="shared" si="8"/>
        <v>0</v>
      </c>
      <c r="Y28" s="345">
        <f t="shared" si="9"/>
        <v>0</v>
      </c>
      <c r="Z28" s="345">
        <f>IF(Q28&lt;&gt;"",VLOOKUP(Y28,TIME!$R$21:$V$24,MATCH(FC_DATA!Q28,TIME!$R$20:$V$20,0),FALSE),H28)</f>
        <v>0</v>
      </c>
      <c r="AA28" s="345" t="str">
        <f>IFERROR(VLOOKUP(X28&amp;Z28,TIME!$A$12:$D$71,4,FALSE),"")</f>
        <v/>
      </c>
      <c r="AB28" s="592">
        <f t="shared" ca="1" si="10"/>
        <v>0</v>
      </c>
      <c r="AC28" s="593" t="e">
        <f ca="1">IF(ISBLANK(H28)=FALSE,IF(D28="BRAND.com",I28,IF(ISNA(VLOOKUP(_xlfn.CONCAT(X28,Z28),TIME!$M$40:$M$42,1,FALSE)),I28,VLOOKUP(_xlfn.CONCAT(D28,G28,H28),M_BUSAREA_FC!$AF$5:$AJ$10,5,FALSE)*HLOOKUP(_xlfn.CONCAT(F28,H28),ST_OVERVIEW!$G$99:$I$130,MATCH(_xlfn.CONCAT(D28,E28),ST_OVERVIEW!$F$99:$F$130,0),FALSE))),IF(D28="BRAND.com",VLOOKUP(_xlfn.CONCAT(C28,D28,E28,TIME!$F$1,Z28),HIS_SALES!$B$2:$V$4859,19,FALSE)*I28,VLOOKUP(_xlfn.CONCAT(D28,F28,G28),Q_BUSAREA_FC!$AE$5:$AI$12,5,FALSE)*HLOOKUP(_xlfn.CONCAT(FC_DATA!F28,FC_DATA!G28),LT_OVERVIEW!$I$99:$M$130,MATCH(_xlfn.CONCAT(D28,FC_DATA!E28),LT_OVERVIEW!$H$99:$H$130,0),FALSE)*IFERROR(VLOOKUP(_xlfn.CONCAT(C28,D28,E28,TIME!$F$1,Z28),HIS_SALES!$B$2:$V$4859,19,FALSE),0)))</f>
        <v>#N/A</v>
      </c>
      <c r="AD28" s="341">
        <f t="shared" ca="1" si="11"/>
        <v>0</v>
      </c>
      <c r="AE28" s="363" t="str">
        <f t="shared" si="12"/>
        <v/>
      </c>
      <c r="AF28" s="342" t="str">
        <f t="shared" si="13"/>
        <v/>
      </c>
      <c r="AG28" s="411" t="e">
        <f ca="1">VLOOKUP(_xlfn.CONCAT(U28,V28,W28,VLOOKUP(X28&amp;Y28,TIME!$L$27:$O$34,4,FALSE),Y28),HIS_SALES!$A$2:$R$5093,18,FALSE)</f>
        <v>#N/A</v>
      </c>
      <c r="AH28" s="412" t="e">
        <f ca="1">IFERROR(IF(AND(V28=V27,W28=W27),0.5*(AB28+AB27)*AG28,(VLOOKUP(_xlfn.CONCAT(U28,V28,W28,X28,VLOOKUP(Z28,TIME!$S$28:$T$39,2,FALSE)),FC_DATA!$R$2:$AB$5000,MATCH("GS_I_M",FC_DATA!$R$1:$AB$1,0),FALSE)+FC_DATA!AB28)*0.5*FC_DATA!AG28),NA())</f>
        <v>#N/A</v>
      </c>
      <c r="AI28" s="491" t="e">
        <f ca="1">IF(V28="PARTNER.com",AH28,IF(AND(V28=V27,W28=W27),(1-AVERAGE(AD27,AD28))*AH28,(1-AVERAGE(AD28,VLOOKUP(_xlfn.CONCAT(U28,V28,W28,X28,M_BRAND_FC!$F$6),FC_DATA!$R$2:$AD$5000,MATCH("DISCOUNT_%_M",FC_DATA!$R$1:$AD$1,0),FALSE)))*AH28))</f>
        <v>#N/A</v>
      </c>
      <c r="AJ28" s="412" t="str">
        <f t="shared" ca="1" si="14"/>
        <v/>
      </c>
      <c r="AK28" s="413" t="str">
        <f>IFERROR(AE28/(Q_BRAND_FC!$T$24+1),"")</f>
        <v/>
      </c>
      <c r="AL28" s="88" t="str">
        <f t="shared" ca="1" si="15"/>
        <v/>
      </c>
      <c r="AM28" s="414" t="str">
        <f t="shared" ca="1" si="16"/>
        <v/>
      </c>
      <c r="AN28" s="58">
        <f>IFERROR(IF($V28="BRAND.com",HLOOKUP($X28&amp;$Z28,NWC_FC_NOOS!$C$4:$Q$23,MATCH(W28,NWC_FC_NOOS!$B$4:$B$23,0),FALSE),0),0)</f>
        <v>0</v>
      </c>
      <c r="AO28" s="57">
        <f>IFERROR(IF($V28="BRAND.com",HLOOKUP($X28&amp;$Z28,NWC_FC_NOOS!$T$4:$AH$23,MATCH(W28,NWC_FC_NOOS!$S$4:$S$23,0),FALSE),0),0)</f>
        <v>0</v>
      </c>
      <c r="AP28" s="57">
        <f>IFERROR(IF($V28="BRAND.com",HLOOKUP($X28&amp;$Z28,NWC_FC_NOOS!$C$50:$U$69,MATCH(W28,NWC_FC_NOOS!$B$50:$B$69,0),FALSE),0),0)</f>
        <v>0</v>
      </c>
      <c r="AQ28" s="58">
        <f>IFERROR(IF($V28="BRAND.com",HLOOKUP($X28&amp;$Z28,'NWC_FC_NON-NOOS'!$C$4:$Q$23,MATCH(W28,'NWC_FC_NON-NOOS'!$B$4:$B$23,0),FALSE),0),0)</f>
        <v>0</v>
      </c>
      <c r="AR28" s="57">
        <f>IFERROR(IF($V28="BRAND.com",HLOOKUP($X28&amp;$Z28,'NWC_FC_NON-NOOS'!$T$4:$AH$23,MATCH(W28,'NWC_FC_NON-NOOS'!$S$4:$S$23,0),FALSE),0),0)</f>
        <v>0</v>
      </c>
      <c r="AS28" s="57">
        <f>IFERROR(IF($V28="BRAND.com",HLOOKUP($X28&amp;$Z28,'NWC_FC_NON-NOOS'!$C$50:$U$69,MATCH(W28,'NWC_FC_NON-NOOS'!$B$50:$B$69,0),FALSE),0),0)</f>
        <v>0</v>
      </c>
      <c r="AT28" s="57">
        <f t="shared" si="18"/>
        <v>0</v>
      </c>
      <c r="AU28" s="57">
        <f t="shared" si="19"/>
        <v>0</v>
      </c>
      <c r="AV28" s="58">
        <f>IFERROR(IF($V28="BRAND.com",HLOOKUP($X28&amp;$Z28,PLANNING_FC!$BB$27:$BP$46,MATCH($W28,PLANNING_FC!$BA$27:$BA$46,0),FALSE),0),0)</f>
        <v>0</v>
      </c>
      <c r="AW28" s="58">
        <f>IFERROR(IF($V28="BRAND.com",HLOOKUP($X28&amp;$Z28,PLANNING_FC!$BB$4:$BP$23,MATCH($W28,PLANNING_FC!$BA$4:$BA$23,0),FALSE),0),0)</f>
        <v>0</v>
      </c>
      <c r="AX28" s="58">
        <f>IFERROR(IF($V28="BRAND.com",HLOOKUP($X28&amp;$Z28,PLANNING_FC!$T$27:$AH$46,MATCH($W28,PLANNING_FC!$B$27:$B$46,0),FALSE),0),0)</f>
        <v>0</v>
      </c>
      <c r="AY28" s="58">
        <f>IFERROR(IF($V28="BRAND.com",HLOOKUP($X28&amp;$Z28,PLANNING_FC!$T$4:$AH$23,MATCH($W28,PLANNING_FC!$B$4:$B$23,0),FALSE),0),0)</f>
        <v>0</v>
      </c>
      <c r="AZ28" s="58">
        <f>IFERROR(IF($V28="BRAND.com",HLOOKUP($X28&amp;$Z28,PLANNING_FC!$DA$27:$DO$46,MATCH($W28,PLANNING_FC!$CZ$27:$CZ$46,0),FALSE),0),0)</f>
        <v>0</v>
      </c>
      <c r="BA28" s="58">
        <f>IFERROR(IF($V28="BRAND.com",HLOOKUP($X28&amp;$Z28,PLANNING_FC!$DA$4:$DO$23,MATCH($W28,PLANNING_FC!$CZ$4:$CZ$23,0),FALSE),0),0)</f>
        <v>0</v>
      </c>
      <c r="BB28" s="883" t="str">
        <f>IF(V28="BRAND.com",IFERROR(HLOOKUP(X28&amp;Z28,PLANNING_FC!$AK$4:$AY$23,MATCH(W28,PLANNING_FC!$AJ$4:$AJ$23,0),FALSE)*1000,""),"")</f>
        <v/>
      </c>
      <c r="BC28" s="883" t="str">
        <f>IF(V28="BRAND.com",IFERROR(HLOOKUP(X28&amp;Z28,PLANNING_FC!$AK$27:$AY$46,MATCH(W28,PLANNING_FC!$AJ$27:$AJ$46,0),FALSE)*1000,""),"")</f>
        <v/>
      </c>
    </row>
    <row r="29" spans="1:55" x14ac:dyDescent="0.25">
      <c r="A29" s="509"/>
      <c r="B29" s="510"/>
      <c r="C29" s="509"/>
      <c r="D29" s="509"/>
      <c r="E29" s="509"/>
      <c r="F29" s="509"/>
      <c r="G29" s="509"/>
      <c r="H29" s="509"/>
      <c r="I29" s="512"/>
      <c r="J29" s="513"/>
      <c r="K29" s="879"/>
      <c r="L29" s="515"/>
      <c r="M29" s="516"/>
      <c r="N29" s="56">
        <f t="shared" si="0"/>
        <v>0</v>
      </c>
      <c r="O29" s="57">
        <f t="shared" si="1"/>
        <v>0</v>
      </c>
      <c r="P29" s="57">
        <f ca="1">IFERROR(IF(ISBLANK(H29),SUMIFS($AC:$AC,$V:$V,V29,$W:$W,W29,$X:$X,X29,$Y:$Y,Y29)*J29/(1-J29)*VLOOKUP(_xlfn.CONCAT(C29,D29,E29,TIME!$M$12,Z29),HIS_SALES!$B$2:$W$4859,20,FALSE),AC29*J29/(1-J29)),0)</f>
        <v>0</v>
      </c>
      <c r="Q29" s="541" t="str">
        <f t="shared" si="2"/>
        <v/>
      </c>
      <c r="R29" s="346" t="str">
        <f t="shared" si="3"/>
        <v>00000</v>
      </c>
      <c r="S29" s="344">
        <f t="shared" si="4"/>
        <v>0</v>
      </c>
      <c r="T29" s="345" t="str">
        <f t="shared" si="17"/>
        <v>000</v>
      </c>
      <c r="U29" s="345">
        <f t="shared" si="5"/>
        <v>0</v>
      </c>
      <c r="V29" s="345">
        <f t="shared" si="6"/>
        <v>0</v>
      </c>
      <c r="W29" s="345">
        <f t="shared" si="7"/>
        <v>0</v>
      </c>
      <c r="X29" s="345">
        <f t="shared" si="8"/>
        <v>0</v>
      </c>
      <c r="Y29" s="345">
        <f t="shared" si="9"/>
        <v>0</v>
      </c>
      <c r="Z29" s="345">
        <f>IF(Q29&lt;&gt;"",VLOOKUP(Y29,TIME!$R$21:$V$24,MATCH(FC_DATA!Q29,TIME!$R$20:$V$20,0),FALSE),H29)</f>
        <v>0</v>
      </c>
      <c r="AA29" s="345" t="str">
        <f>IFERROR(VLOOKUP(X29&amp;Z29,TIME!$A$12:$D$71,4,FALSE),"")</f>
        <v/>
      </c>
      <c r="AB29" s="592">
        <f t="shared" ca="1" si="10"/>
        <v>0</v>
      </c>
      <c r="AC29" s="593" t="e">
        <f ca="1">IF(ISBLANK(H29)=FALSE,IF(D29="BRAND.com",I29,IF(ISNA(VLOOKUP(_xlfn.CONCAT(X29,Z29),TIME!$M$40:$M$42,1,FALSE)),I29,VLOOKUP(_xlfn.CONCAT(D29,G29,H29),M_BUSAREA_FC!$AF$5:$AJ$10,5,FALSE)*HLOOKUP(_xlfn.CONCAT(F29,H29),ST_OVERVIEW!$G$99:$I$130,MATCH(_xlfn.CONCAT(D29,E29),ST_OVERVIEW!$F$99:$F$130,0),FALSE))),IF(D29="BRAND.com",VLOOKUP(_xlfn.CONCAT(C29,D29,E29,TIME!$F$1,Z29),HIS_SALES!$B$2:$V$4859,19,FALSE)*I29,VLOOKUP(_xlfn.CONCAT(D29,F29,G29),Q_BUSAREA_FC!$AE$5:$AI$12,5,FALSE)*HLOOKUP(_xlfn.CONCAT(FC_DATA!F29,FC_DATA!G29),LT_OVERVIEW!$I$99:$M$130,MATCH(_xlfn.CONCAT(D29,FC_DATA!E29),LT_OVERVIEW!$H$99:$H$130,0),FALSE)*IFERROR(VLOOKUP(_xlfn.CONCAT(C29,D29,E29,TIME!$F$1,Z29),HIS_SALES!$B$2:$V$4859,19,FALSE),0)))</f>
        <v>#N/A</v>
      </c>
      <c r="AD29" s="341">
        <f t="shared" ca="1" si="11"/>
        <v>0</v>
      </c>
      <c r="AE29" s="363" t="str">
        <f t="shared" si="12"/>
        <v/>
      </c>
      <c r="AF29" s="342" t="str">
        <f t="shared" si="13"/>
        <v/>
      </c>
      <c r="AG29" s="411" t="e">
        <f ca="1">VLOOKUP(_xlfn.CONCAT(U29,V29,W29,VLOOKUP(X29&amp;Y29,TIME!$L$27:$O$34,4,FALSE),Y29),HIS_SALES!$A$2:$R$5093,18,FALSE)</f>
        <v>#N/A</v>
      </c>
      <c r="AH29" s="412" t="e">
        <f ca="1">IFERROR(IF(AND(V29=V28,W29=W28),0.5*(AB29+AB28)*AG29,(VLOOKUP(_xlfn.CONCAT(U29,V29,W29,X29,VLOOKUP(Z29,TIME!$S$28:$T$39,2,FALSE)),FC_DATA!$R$2:$AB$5000,MATCH("GS_I_M",FC_DATA!$R$1:$AB$1,0),FALSE)+FC_DATA!AB29)*0.5*FC_DATA!AG29),NA())</f>
        <v>#N/A</v>
      </c>
      <c r="AI29" s="491" t="e">
        <f ca="1">IF(V29="PARTNER.com",AH29,IF(AND(V29=V28,W29=W28),(1-AVERAGE(AD28,AD29))*AH29,(1-AVERAGE(AD29,VLOOKUP(_xlfn.CONCAT(U29,V29,W29,X29,M_BRAND_FC!$F$6),FC_DATA!$R$2:$AD$5000,MATCH("DISCOUNT_%_M",FC_DATA!$R$1:$AD$1,0),FALSE)))*AH29))</f>
        <v>#N/A</v>
      </c>
      <c r="AJ29" s="412" t="str">
        <f t="shared" ca="1" si="14"/>
        <v/>
      </c>
      <c r="AK29" s="413" t="str">
        <f>IFERROR(AE29/(Q_BRAND_FC!$T$24+1),"")</f>
        <v/>
      </c>
      <c r="AL29" s="88" t="str">
        <f t="shared" ca="1" si="15"/>
        <v/>
      </c>
      <c r="AM29" s="414" t="str">
        <f t="shared" ca="1" si="16"/>
        <v/>
      </c>
      <c r="AN29" s="58">
        <f>IFERROR(IF($V29="BRAND.com",HLOOKUP($X29&amp;$Z29,NWC_FC_NOOS!$C$4:$Q$23,MATCH(W29,NWC_FC_NOOS!$B$4:$B$23,0),FALSE),0),0)</f>
        <v>0</v>
      </c>
      <c r="AO29" s="57">
        <f>IFERROR(IF($V29="BRAND.com",HLOOKUP($X29&amp;$Z29,NWC_FC_NOOS!$T$4:$AH$23,MATCH(W29,NWC_FC_NOOS!$S$4:$S$23,0),FALSE),0),0)</f>
        <v>0</v>
      </c>
      <c r="AP29" s="57">
        <f>IFERROR(IF($V29="BRAND.com",HLOOKUP($X29&amp;$Z29,NWC_FC_NOOS!$C$50:$U$69,MATCH(W29,NWC_FC_NOOS!$B$50:$B$69,0),FALSE),0),0)</f>
        <v>0</v>
      </c>
      <c r="AQ29" s="58">
        <f>IFERROR(IF($V29="BRAND.com",HLOOKUP($X29&amp;$Z29,'NWC_FC_NON-NOOS'!$C$4:$Q$23,MATCH(W29,'NWC_FC_NON-NOOS'!$B$4:$B$23,0),FALSE),0),0)</f>
        <v>0</v>
      </c>
      <c r="AR29" s="57">
        <f>IFERROR(IF($V29="BRAND.com",HLOOKUP($X29&amp;$Z29,'NWC_FC_NON-NOOS'!$T$4:$AH$23,MATCH(W29,'NWC_FC_NON-NOOS'!$S$4:$S$23,0),FALSE),0),0)</f>
        <v>0</v>
      </c>
      <c r="AS29" s="57">
        <f>IFERROR(IF($V29="BRAND.com",HLOOKUP($X29&amp;$Z29,'NWC_FC_NON-NOOS'!$C$50:$U$69,MATCH(W29,'NWC_FC_NON-NOOS'!$B$50:$B$69,0),FALSE),0),0)</f>
        <v>0</v>
      </c>
      <c r="AT29" s="57">
        <f t="shared" si="18"/>
        <v>0</v>
      </c>
      <c r="AU29" s="57">
        <f t="shared" si="19"/>
        <v>0</v>
      </c>
      <c r="AV29" s="58">
        <f>IFERROR(IF($V29="BRAND.com",HLOOKUP($X29&amp;$Z29,PLANNING_FC!$BB$27:$BP$46,MATCH($W29,PLANNING_FC!$BA$27:$BA$46,0),FALSE),0),0)</f>
        <v>0</v>
      </c>
      <c r="AW29" s="58">
        <f>IFERROR(IF($V29="BRAND.com",HLOOKUP($X29&amp;$Z29,PLANNING_FC!$BB$4:$BP$23,MATCH($W29,PLANNING_FC!$BA$4:$BA$23,0),FALSE),0),0)</f>
        <v>0</v>
      </c>
      <c r="AX29" s="58">
        <f>IFERROR(IF($V29="BRAND.com",HLOOKUP($X29&amp;$Z29,PLANNING_FC!$T$27:$AH$46,MATCH($W29,PLANNING_FC!$B$27:$B$46,0),FALSE),0),0)</f>
        <v>0</v>
      </c>
      <c r="AY29" s="58">
        <f>IFERROR(IF($V29="BRAND.com",HLOOKUP($X29&amp;$Z29,PLANNING_FC!$T$4:$AH$23,MATCH($W29,PLANNING_FC!$B$4:$B$23,0),FALSE),0),0)</f>
        <v>0</v>
      </c>
      <c r="AZ29" s="58">
        <f>IFERROR(IF($V29="BRAND.com",HLOOKUP($X29&amp;$Z29,PLANNING_FC!$DA$27:$DO$46,MATCH($W29,PLANNING_FC!$CZ$27:$CZ$46,0),FALSE),0),0)</f>
        <v>0</v>
      </c>
      <c r="BA29" s="58">
        <f>IFERROR(IF($V29="BRAND.com",HLOOKUP($X29&amp;$Z29,PLANNING_FC!$DA$4:$DO$23,MATCH($W29,PLANNING_FC!$CZ$4:$CZ$23,0),FALSE),0),0)</f>
        <v>0</v>
      </c>
      <c r="BB29" s="883" t="str">
        <f>IF(V29="BRAND.com",IFERROR(HLOOKUP(X29&amp;Z29,PLANNING_FC!$AK$4:$AY$23,MATCH(W29,PLANNING_FC!$AJ$4:$AJ$23,0),FALSE)*1000,""),"")</f>
        <v/>
      </c>
      <c r="BC29" s="883" t="str">
        <f>IF(V29="BRAND.com",IFERROR(HLOOKUP(X29&amp;Z29,PLANNING_FC!$AK$27:$AY$46,MATCH(W29,PLANNING_FC!$AJ$27:$AJ$46,0),FALSE)*1000,""),"")</f>
        <v/>
      </c>
    </row>
    <row r="30" spans="1:55" x14ac:dyDescent="0.25">
      <c r="A30" s="509"/>
      <c r="B30" s="510"/>
      <c r="C30" s="509"/>
      <c r="D30" s="509"/>
      <c r="E30" s="509"/>
      <c r="F30" s="509"/>
      <c r="G30" s="509"/>
      <c r="H30" s="509"/>
      <c r="I30" s="512"/>
      <c r="J30" s="513"/>
      <c r="K30" s="879"/>
      <c r="L30" s="515"/>
      <c r="M30" s="516"/>
      <c r="N30" s="56">
        <f t="shared" si="0"/>
        <v>0</v>
      </c>
      <c r="O30" s="57">
        <f t="shared" si="1"/>
        <v>0</v>
      </c>
      <c r="P30" s="57">
        <f ca="1">IFERROR(IF(ISBLANK(H30),SUMIFS($AC:$AC,$V:$V,V30,$W:$W,W30,$X:$X,X30,$Y:$Y,Y30)*J30/(1-J30)*VLOOKUP(_xlfn.CONCAT(C30,D30,E30,TIME!$M$12,Z30),HIS_SALES!$B$2:$W$4859,20,FALSE),AC30*J30/(1-J30)),0)</f>
        <v>0</v>
      </c>
      <c r="Q30" s="541" t="str">
        <f t="shared" si="2"/>
        <v/>
      </c>
      <c r="R30" s="346" t="str">
        <f t="shared" si="3"/>
        <v>00000</v>
      </c>
      <c r="S30" s="344">
        <f t="shared" si="4"/>
        <v>0</v>
      </c>
      <c r="T30" s="345" t="str">
        <f t="shared" si="17"/>
        <v>000</v>
      </c>
      <c r="U30" s="345">
        <f t="shared" si="5"/>
        <v>0</v>
      </c>
      <c r="V30" s="345">
        <f t="shared" si="6"/>
        <v>0</v>
      </c>
      <c r="W30" s="345">
        <f t="shared" si="7"/>
        <v>0</v>
      </c>
      <c r="X30" s="345">
        <f t="shared" si="8"/>
        <v>0</v>
      </c>
      <c r="Y30" s="345">
        <f t="shared" si="9"/>
        <v>0</v>
      </c>
      <c r="Z30" s="345">
        <f>IF(Q30&lt;&gt;"",VLOOKUP(Y30,TIME!$R$21:$V$24,MATCH(FC_DATA!Q30,TIME!$R$20:$V$20,0),FALSE),H30)</f>
        <v>0</v>
      </c>
      <c r="AA30" s="345" t="str">
        <f>IFERROR(VLOOKUP(X30&amp;Z30,TIME!$A$12:$D$71,4,FALSE),"")</f>
        <v/>
      </c>
      <c r="AB30" s="592">
        <f t="shared" ca="1" si="10"/>
        <v>0</v>
      </c>
      <c r="AC30" s="593" t="e">
        <f ca="1">IF(ISBLANK(H30)=FALSE,IF(D30="BRAND.com",I30,IF(ISNA(VLOOKUP(_xlfn.CONCAT(X30,Z30),TIME!$M$40:$M$42,1,FALSE)),I30,VLOOKUP(_xlfn.CONCAT(D30,G30,H30),M_BUSAREA_FC!$AF$5:$AJ$10,5,FALSE)*HLOOKUP(_xlfn.CONCAT(F30,H30),ST_OVERVIEW!$G$99:$I$130,MATCH(_xlfn.CONCAT(D30,E30),ST_OVERVIEW!$F$99:$F$130,0),FALSE))),IF(D30="BRAND.com",VLOOKUP(_xlfn.CONCAT(C30,D30,E30,TIME!$F$1,Z30),HIS_SALES!$B$2:$V$4859,19,FALSE)*I30,VLOOKUP(_xlfn.CONCAT(D30,F30,G30),Q_BUSAREA_FC!$AE$5:$AI$12,5,FALSE)*HLOOKUP(_xlfn.CONCAT(FC_DATA!F30,FC_DATA!G30),LT_OVERVIEW!$I$99:$M$130,MATCH(_xlfn.CONCAT(D30,FC_DATA!E30),LT_OVERVIEW!$H$99:$H$130,0),FALSE)*IFERROR(VLOOKUP(_xlfn.CONCAT(C30,D30,E30,TIME!$F$1,Z30),HIS_SALES!$B$2:$V$4859,19,FALSE),0)))</f>
        <v>#N/A</v>
      </c>
      <c r="AD30" s="341">
        <f t="shared" ca="1" si="11"/>
        <v>0</v>
      </c>
      <c r="AE30" s="363" t="str">
        <f t="shared" si="12"/>
        <v/>
      </c>
      <c r="AF30" s="342" t="str">
        <f t="shared" si="13"/>
        <v/>
      </c>
      <c r="AG30" s="411" t="e">
        <f ca="1">VLOOKUP(_xlfn.CONCAT(U30,V30,W30,VLOOKUP(X30&amp;Y30,TIME!$L$27:$O$34,4,FALSE),Y30),HIS_SALES!$A$2:$R$5093,18,FALSE)</f>
        <v>#N/A</v>
      </c>
      <c r="AH30" s="412" t="e">
        <f ca="1">IFERROR(IF(AND(V30=V29,W30=W29),0.5*(AB30+AB29)*AG30,(VLOOKUP(_xlfn.CONCAT(U30,V30,W30,X30,VLOOKUP(Z30,TIME!$S$28:$T$39,2,FALSE)),FC_DATA!$R$2:$AB$5000,MATCH("GS_I_M",FC_DATA!$R$1:$AB$1,0),FALSE)+FC_DATA!AB30)*0.5*FC_DATA!AG30),NA())</f>
        <v>#N/A</v>
      </c>
      <c r="AI30" s="491" t="e">
        <f ca="1">IF(V30="PARTNER.com",AH30,IF(AND(V30=V29,W30=W29),(1-AVERAGE(AD29,AD30))*AH30,(1-AVERAGE(AD30,VLOOKUP(_xlfn.CONCAT(U30,V30,W30,X30,M_BRAND_FC!$F$6),FC_DATA!$R$2:$AD$5000,MATCH("DISCOUNT_%_M",FC_DATA!$R$1:$AD$1,0),FALSE)))*AH30))</f>
        <v>#N/A</v>
      </c>
      <c r="AJ30" s="412" t="str">
        <f t="shared" ca="1" si="14"/>
        <v/>
      </c>
      <c r="AK30" s="413" t="str">
        <f>IFERROR(AE30/(Q_BRAND_FC!$T$24+1),"")</f>
        <v/>
      </c>
      <c r="AL30" s="88" t="str">
        <f t="shared" ca="1" si="15"/>
        <v/>
      </c>
      <c r="AM30" s="414" t="str">
        <f t="shared" ca="1" si="16"/>
        <v/>
      </c>
      <c r="AN30" s="58">
        <f>IFERROR(IF($V30="BRAND.com",HLOOKUP($X30&amp;$Z30,NWC_FC_NOOS!$C$4:$Q$23,MATCH(W30,NWC_FC_NOOS!$B$4:$B$23,0),FALSE),0),0)</f>
        <v>0</v>
      </c>
      <c r="AO30" s="57">
        <f>IFERROR(IF($V30="BRAND.com",HLOOKUP($X30&amp;$Z30,NWC_FC_NOOS!$T$4:$AH$23,MATCH(W30,NWC_FC_NOOS!$S$4:$S$23,0),FALSE),0),0)</f>
        <v>0</v>
      </c>
      <c r="AP30" s="57">
        <f>IFERROR(IF($V30="BRAND.com",HLOOKUP($X30&amp;$Z30,NWC_FC_NOOS!$C$50:$U$69,MATCH(W30,NWC_FC_NOOS!$B$50:$B$69,0),FALSE),0),0)</f>
        <v>0</v>
      </c>
      <c r="AQ30" s="58">
        <f>IFERROR(IF($V30="BRAND.com",HLOOKUP($X30&amp;$Z30,'NWC_FC_NON-NOOS'!$C$4:$Q$23,MATCH(W30,'NWC_FC_NON-NOOS'!$B$4:$B$23,0),FALSE),0),0)</f>
        <v>0</v>
      </c>
      <c r="AR30" s="57">
        <f>IFERROR(IF($V30="BRAND.com",HLOOKUP($X30&amp;$Z30,'NWC_FC_NON-NOOS'!$T$4:$AH$23,MATCH(W30,'NWC_FC_NON-NOOS'!$S$4:$S$23,0),FALSE),0),0)</f>
        <v>0</v>
      </c>
      <c r="AS30" s="57">
        <f>IFERROR(IF($V30="BRAND.com",HLOOKUP($X30&amp;$Z30,'NWC_FC_NON-NOOS'!$C$50:$U$69,MATCH(W30,'NWC_FC_NON-NOOS'!$B$50:$B$69,0),FALSE),0),0)</f>
        <v>0</v>
      </c>
      <c r="AT30" s="57">
        <f t="shared" si="18"/>
        <v>0</v>
      </c>
      <c r="AU30" s="57">
        <f t="shared" si="19"/>
        <v>0</v>
      </c>
      <c r="AV30" s="58">
        <f>IFERROR(IF($V30="BRAND.com",HLOOKUP($X30&amp;$Z30,PLANNING_FC!$BB$27:$BP$46,MATCH($W30,PLANNING_FC!$BA$27:$BA$46,0),FALSE),0),0)</f>
        <v>0</v>
      </c>
      <c r="AW30" s="58">
        <f>IFERROR(IF($V30="BRAND.com",HLOOKUP($X30&amp;$Z30,PLANNING_FC!$BB$4:$BP$23,MATCH($W30,PLANNING_FC!$BA$4:$BA$23,0),FALSE),0),0)</f>
        <v>0</v>
      </c>
      <c r="AX30" s="58">
        <f>IFERROR(IF($V30="BRAND.com",HLOOKUP($X30&amp;$Z30,PLANNING_FC!$T$27:$AH$46,MATCH($W30,PLANNING_FC!$B$27:$B$46,0),FALSE),0),0)</f>
        <v>0</v>
      </c>
      <c r="AY30" s="58">
        <f>IFERROR(IF($V30="BRAND.com",HLOOKUP($X30&amp;$Z30,PLANNING_FC!$T$4:$AH$23,MATCH($W30,PLANNING_FC!$B$4:$B$23,0),FALSE),0),0)</f>
        <v>0</v>
      </c>
      <c r="AZ30" s="58">
        <f>IFERROR(IF($V30="BRAND.com",HLOOKUP($X30&amp;$Z30,PLANNING_FC!$DA$27:$DO$46,MATCH($W30,PLANNING_FC!$CZ$27:$CZ$46,0),FALSE),0),0)</f>
        <v>0</v>
      </c>
      <c r="BA30" s="58">
        <f>IFERROR(IF($V30="BRAND.com",HLOOKUP($X30&amp;$Z30,PLANNING_FC!$DA$4:$DO$23,MATCH($W30,PLANNING_FC!$CZ$4:$CZ$23,0),FALSE),0),0)</f>
        <v>0</v>
      </c>
      <c r="BB30" s="883" t="str">
        <f>IF(V30="BRAND.com",IFERROR(HLOOKUP(X30&amp;Z30,PLANNING_FC!$AK$4:$AY$23,MATCH(W30,PLANNING_FC!$AJ$4:$AJ$23,0),FALSE)*1000,""),"")</f>
        <v/>
      </c>
      <c r="BC30" s="883" t="str">
        <f>IF(V30="BRAND.com",IFERROR(HLOOKUP(X30&amp;Z30,PLANNING_FC!$AK$27:$AY$46,MATCH(W30,PLANNING_FC!$AJ$27:$AJ$46,0),FALSE)*1000,""),"")</f>
        <v/>
      </c>
    </row>
    <row r="31" spans="1:55" x14ac:dyDescent="0.25">
      <c r="A31" s="509"/>
      <c r="B31" s="510"/>
      <c r="C31" s="509"/>
      <c r="D31" s="509"/>
      <c r="E31" s="509"/>
      <c r="F31" s="509"/>
      <c r="G31" s="509"/>
      <c r="H31" s="509"/>
      <c r="I31" s="512"/>
      <c r="J31" s="513"/>
      <c r="K31" s="879"/>
      <c r="L31" s="515"/>
      <c r="M31" s="516"/>
      <c r="N31" s="56">
        <f t="shared" si="0"/>
        <v>0</v>
      </c>
      <c r="O31" s="57">
        <f t="shared" si="1"/>
        <v>0</v>
      </c>
      <c r="P31" s="57">
        <f ca="1">IFERROR(IF(ISBLANK(H31),SUMIFS($AC:$AC,$V:$V,V31,$W:$W,W31,$X:$X,X31,$Y:$Y,Y31)*J31/(1-J31)*VLOOKUP(_xlfn.CONCAT(C31,D31,E31,TIME!$M$12,Z31),HIS_SALES!$B$2:$W$4859,20,FALSE),AC31*J31/(1-J31)),0)</f>
        <v>0</v>
      </c>
      <c r="Q31" s="541" t="str">
        <f t="shared" si="2"/>
        <v/>
      </c>
      <c r="R31" s="346" t="str">
        <f t="shared" si="3"/>
        <v>00000</v>
      </c>
      <c r="S31" s="344">
        <f t="shared" si="4"/>
        <v>0</v>
      </c>
      <c r="T31" s="345" t="str">
        <f t="shared" si="17"/>
        <v>000</v>
      </c>
      <c r="U31" s="345">
        <f t="shared" si="5"/>
        <v>0</v>
      </c>
      <c r="V31" s="345">
        <f t="shared" si="6"/>
        <v>0</v>
      </c>
      <c r="W31" s="345">
        <f t="shared" si="7"/>
        <v>0</v>
      </c>
      <c r="X31" s="345">
        <f t="shared" si="8"/>
        <v>0</v>
      </c>
      <c r="Y31" s="345">
        <f t="shared" si="9"/>
        <v>0</v>
      </c>
      <c r="Z31" s="345">
        <f>IF(Q31&lt;&gt;"",VLOOKUP(Y31,TIME!$R$21:$V$24,MATCH(FC_DATA!Q31,TIME!$R$20:$V$20,0),FALSE),H31)</f>
        <v>0</v>
      </c>
      <c r="AA31" s="345" t="str">
        <f>IFERROR(VLOOKUP(X31&amp;Z31,TIME!$A$12:$D$71,4,FALSE),"")</f>
        <v/>
      </c>
      <c r="AB31" s="592">
        <f t="shared" ca="1" si="10"/>
        <v>0</v>
      </c>
      <c r="AC31" s="593" t="e">
        <f ca="1">IF(ISBLANK(H31)=FALSE,IF(D31="BRAND.com",I31,IF(ISNA(VLOOKUP(_xlfn.CONCAT(X31,Z31),TIME!$M$40:$M$42,1,FALSE)),I31,VLOOKUP(_xlfn.CONCAT(D31,G31,H31),M_BUSAREA_FC!$AF$5:$AJ$10,5,FALSE)*HLOOKUP(_xlfn.CONCAT(F31,H31),ST_OVERVIEW!$G$99:$I$130,MATCH(_xlfn.CONCAT(D31,E31),ST_OVERVIEW!$F$99:$F$130,0),FALSE))),IF(D31="BRAND.com",VLOOKUP(_xlfn.CONCAT(C31,D31,E31,TIME!$F$1,Z31),HIS_SALES!$B$2:$V$4859,19,FALSE)*I31,VLOOKUP(_xlfn.CONCAT(D31,F31,G31),Q_BUSAREA_FC!$AE$5:$AI$12,5,FALSE)*HLOOKUP(_xlfn.CONCAT(FC_DATA!F31,FC_DATA!G31),LT_OVERVIEW!$I$99:$M$130,MATCH(_xlfn.CONCAT(D31,FC_DATA!E31),LT_OVERVIEW!$H$99:$H$130,0),FALSE)*IFERROR(VLOOKUP(_xlfn.CONCAT(C31,D31,E31,TIME!$F$1,Z31),HIS_SALES!$B$2:$V$4859,19,FALSE),0)))</f>
        <v>#N/A</v>
      </c>
      <c r="AD31" s="341">
        <f t="shared" ca="1" si="11"/>
        <v>0</v>
      </c>
      <c r="AE31" s="363" t="str">
        <f t="shared" si="12"/>
        <v/>
      </c>
      <c r="AF31" s="342" t="str">
        <f t="shared" si="13"/>
        <v/>
      </c>
      <c r="AG31" s="411" t="e">
        <f ca="1">VLOOKUP(_xlfn.CONCAT(U31,V31,W31,VLOOKUP(X31&amp;Y31,TIME!$L$27:$O$34,4,FALSE),Y31),HIS_SALES!$A$2:$R$5093,18,FALSE)</f>
        <v>#N/A</v>
      </c>
      <c r="AH31" s="412" t="e">
        <f ca="1">IFERROR(IF(AND(V31=V30,W31=W30),0.5*(AB31+AB30)*AG31,(VLOOKUP(_xlfn.CONCAT(U31,V31,W31,X31,VLOOKUP(Z31,TIME!$S$28:$T$39,2,FALSE)),FC_DATA!$R$2:$AB$5000,MATCH("GS_I_M",FC_DATA!$R$1:$AB$1,0),FALSE)+FC_DATA!AB31)*0.5*FC_DATA!AG31),NA())</f>
        <v>#N/A</v>
      </c>
      <c r="AI31" s="491" t="e">
        <f ca="1">IF(V31="PARTNER.com",AH31,IF(AND(V31=V30,W31=W30),(1-AVERAGE(AD30,AD31))*AH31,(1-AVERAGE(AD31,VLOOKUP(_xlfn.CONCAT(U31,V31,W31,X31,M_BRAND_FC!$F$6),FC_DATA!$R$2:$AD$5000,MATCH("DISCOUNT_%_M",FC_DATA!$R$1:$AD$1,0),FALSE)))*AH31))</f>
        <v>#N/A</v>
      </c>
      <c r="AJ31" s="412" t="str">
        <f t="shared" ca="1" si="14"/>
        <v/>
      </c>
      <c r="AK31" s="413" t="str">
        <f>IFERROR(AE31/(Q_BRAND_FC!$T$24+1),"")</f>
        <v/>
      </c>
      <c r="AL31" s="88" t="str">
        <f t="shared" ca="1" si="15"/>
        <v/>
      </c>
      <c r="AM31" s="414" t="str">
        <f t="shared" ca="1" si="16"/>
        <v/>
      </c>
      <c r="AN31" s="58">
        <f>IFERROR(IF($V31="BRAND.com",HLOOKUP($X31&amp;$Z31,NWC_FC_NOOS!$C$4:$Q$23,MATCH(W31,NWC_FC_NOOS!$B$4:$B$23,0),FALSE),0),0)</f>
        <v>0</v>
      </c>
      <c r="AO31" s="57">
        <f>IFERROR(IF($V31="BRAND.com",HLOOKUP($X31&amp;$Z31,NWC_FC_NOOS!$T$4:$AH$23,MATCH(W31,NWC_FC_NOOS!$S$4:$S$23,0),FALSE),0),0)</f>
        <v>0</v>
      </c>
      <c r="AP31" s="57">
        <f>IFERROR(IF($V31="BRAND.com",HLOOKUP($X31&amp;$Z31,NWC_FC_NOOS!$C$50:$U$69,MATCH(W31,NWC_FC_NOOS!$B$50:$B$69,0),FALSE),0),0)</f>
        <v>0</v>
      </c>
      <c r="AQ31" s="58">
        <f>IFERROR(IF($V31="BRAND.com",HLOOKUP($X31&amp;$Z31,'NWC_FC_NON-NOOS'!$C$4:$Q$23,MATCH(W31,'NWC_FC_NON-NOOS'!$B$4:$B$23,0),FALSE),0),0)</f>
        <v>0</v>
      </c>
      <c r="AR31" s="57">
        <f>IFERROR(IF($V31="BRAND.com",HLOOKUP($X31&amp;$Z31,'NWC_FC_NON-NOOS'!$T$4:$AH$23,MATCH(W31,'NWC_FC_NON-NOOS'!$S$4:$S$23,0),FALSE),0),0)</f>
        <v>0</v>
      </c>
      <c r="AS31" s="57">
        <f>IFERROR(IF($V31="BRAND.com",HLOOKUP($X31&amp;$Z31,'NWC_FC_NON-NOOS'!$C$50:$U$69,MATCH(W31,'NWC_FC_NON-NOOS'!$B$50:$B$69,0),FALSE),0),0)</f>
        <v>0</v>
      </c>
      <c r="AT31" s="57">
        <f t="shared" si="18"/>
        <v>0</v>
      </c>
      <c r="AU31" s="57">
        <f t="shared" si="19"/>
        <v>0</v>
      </c>
      <c r="AV31" s="58">
        <f>IFERROR(IF($V31="BRAND.com",HLOOKUP($X31&amp;$Z31,PLANNING_FC!$BB$27:$BP$46,MATCH($W31,PLANNING_FC!$BA$27:$BA$46,0),FALSE),0),0)</f>
        <v>0</v>
      </c>
      <c r="AW31" s="58">
        <f>IFERROR(IF($V31="BRAND.com",HLOOKUP($X31&amp;$Z31,PLANNING_FC!$BB$4:$BP$23,MATCH($W31,PLANNING_FC!$BA$4:$BA$23,0),FALSE),0),0)</f>
        <v>0</v>
      </c>
      <c r="AX31" s="58">
        <f>IFERROR(IF($V31="BRAND.com",HLOOKUP($X31&amp;$Z31,PLANNING_FC!$T$27:$AH$46,MATCH($W31,PLANNING_FC!$B$27:$B$46,0),FALSE),0),0)</f>
        <v>0</v>
      </c>
      <c r="AY31" s="58">
        <f>IFERROR(IF($V31="BRAND.com",HLOOKUP($X31&amp;$Z31,PLANNING_FC!$T$4:$AH$23,MATCH($W31,PLANNING_FC!$B$4:$B$23,0),FALSE),0),0)</f>
        <v>0</v>
      </c>
      <c r="AZ31" s="58">
        <f>IFERROR(IF($V31="BRAND.com",HLOOKUP($X31&amp;$Z31,PLANNING_FC!$DA$27:$DO$46,MATCH($W31,PLANNING_FC!$CZ$27:$CZ$46,0),FALSE),0),0)</f>
        <v>0</v>
      </c>
      <c r="BA31" s="58">
        <f>IFERROR(IF($V31="BRAND.com",HLOOKUP($X31&amp;$Z31,PLANNING_FC!$DA$4:$DO$23,MATCH($W31,PLANNING_FC!$CZ$4:$CZ$23,0),FALSE),0),0)</f>
        <v>0</v>
      </c>
      <c r="BB31" s="883" t="str">
        <f>IF(V31="BRAND.com",IFERROR(HLOOKUP(X31&amp;Z31,PLANNING_FC!$AK$4:$AY$23,MATCH(W31,PLANNING_FC!$AJ$4:$AJ$23,0),FALSE)*1000,""),"")</f>
        <v/>
      </c>
      <c r="BC31" s="883" t="str">
        <f>IF(V31="BRAND.com",IFERROR(HLOOKUP(X31&amp;Z31,PLANNING_FC!$AK$27:$AY$46,MATCH(W31,PLANNING_FC!$AJ$27:$AJ$46,0),FALSE)*1000,""),"")</f>
        <v/>
      </c>
    </row>
    <row r="32" spans="1:55" x14ac:dyDescent="0.25">
      <c r="A32" s="509"/>
      <c r="B32" s="510"/>
      <c r="C32" s="509"/>
      <c r="D32" s="509"/>
      <c r="E32" s="509"/>
      <c r="F32" s="509"/>
      <c r="G32" s="509"/>
      <c r="H32" s="509"/>
      <c r="I32" s="512"/>
      <c r="J32" s="513"/>
      <c r="K32" s="879"/>
      <c r="L32" s="515"/>
      <c r="M32" s="516"/>
      <c r="N32" s="56">
        <f t="shared" si="0"/>
        <v>0</v>
      </c>
      <c r="O32" s="57">
        <f t="shared" si="1"/>
        <v>0</v>
      </c>
      <c r="P32" s="57">
        <f ca="1">IFERROR(IF(ISBLANK(H32),SUMIFS($AC:$AC,$V:$V,V32,$W:$W,W32,$X:$X,X32,$Y:$Y,Y32)*J32/(1-J32)*VLOOKUP(_xlfn.CONCAT(C32,D32,E32,TIME!$M$12,Z32),HIS_SALES!$B$2:$W$4859,20,FALSE),AC32*J32/(1-J32)),0)</f>
        <v>0</v>
      </c>
      <c r="Q32" s="541" t="str">
        <f t="shared" si="2"/>
        <v/>
      </c>
      <c r="R32" s="346" t="str">
        <f t="shared" si="3"/>
        <v>00000</v>
      </c>
      <c r="S32" s="344">
        <f t="shared" si="4"/>
        <v>0</v>
      </c>
      <c r="T32" s="345" t="str">
        <f t="shared" si="17"/>
        <v>000</v>
      </c>
      <c r="U32" s="345">
        <f t="shared" si="5"/>
        <v>0</v>
      </c>
      <c r="V32" s="345">
        <f t="shared" si="6"/>
        <v>0</v>
      </c>
      <c r="W32" s="345">
        <f t="shared" si="7"/>
        <v>0</v>
      </c>
      <c r="X32" s="345">
        <f t="shared" si="8"/>
        <v>0</v>
      </c>
      <c r="Y32" s="345">
        <f t="shared" si="9"/>
        <v>0</v>
      </c>
      <c r="Z32" s="345">
        <f>IF(Q32&lt;&gt;"",VLOOKUP(Y32,TIME!$R$21:$V$24,MATCH(FC_DATA!Q32,TIME!$R$20:$V$20,0),FALSE),H32)</f>
        <v>0</v>
      </c>
      <c r="AA32" s="345" t="str">
        <f>IFERROR(VLOOKUP(X32&amp;Z32,TIME!$A$12:$D$71,4,FALSE),"")</f>
        <v/>
      </c>
      <c r="AB32" s="592">
        <f t="shared" ca="1" si="10"/>
        <v>0</v>
      </c>
      <c r="AC32" s="593" t="e">
        <f ca="1">IF(ISBLANK(H32)=FALSE,IF(D32="BRAND.com",I32,IF(ISNA(VLOOKUP(_xlfn.CONCAT(X32,Z32),TIME!$M$40:$M$42,1,FALSE)),I32,VLOOKUP(_xlfn.CONCAT(D32,G32,H32),M_BUSAREA_FC!$AF$5:$AJ$10,5,FALSE)*HLOOKUP(_xlfn.CONCAT(F32,H32),ST_OVERVIEW!$G$99:$I$130,MATCH(_xlfn.CONCAT(D32,E32),ST_OVERVIEW!$F$99:$F$130,0),FALSE))),IF(D32="BRAND.com",VLOOKUP(_xlfn.CONCAT(C32,D32,E32,TIME!$F$1,Z32),HIS_SALES!$B$2:$V$4859,19,FALSE)*I32,VLOOKUP(_xlfn.CONCAT(D32,F32,G32),Q_BUSAREA_FC!$AE$5:$AI$12,5,FALSE)*HLOOKUP(_xlfn.CONCAT(FC_DATA!F32,FC_DATA!G32),LT_OVERVIEW!$I$99:$M$130,MATCH(_xlfn.CONCAT(D32,FC_DATA!E32),LT_OVERVIEW!$H$99:$H$130,0),FALSE)*IFERROR(VLOOKUP(_xlfn.CONCAT(C32,D32,E32,TIME!$F$1,Z32),HIS_SALES!$B$2:$V$4859,19,FALSE),0)))</f>
        <v>#N/A</v>
      </c>
      <c r="AD32" s="341">
        <f t="shared" ca="1" si="11"/>
        <v>0</v>
      </c>
      <c r="AE32" s="363" t="str">
        <f t="shared" si="12"/>
        <v/>
      </c>
      <c r="AF32" s="342" t="str">
        <f t="shared" si="13"/>
        <v/>
      </c>
      <c r="AG32" s="411" t="e">
        <f ca="1">VLOOKUP(_xlfn.CONCAT(U32,V32,W32,VLOOKUP(X32&amp;Y32,TIME!$L$27:$O$34,4,FALSE),Y32),HIS_SALES!$A$2:$R$5093,18,FALSE)</f>
        <v>#N/A</v>
      </c>
      <c r="AH32" s="412" t="e">
        <f ca="1">IFERROR(IF(AND(V32=V31,W32=W31),0.5*(AB32+AB31)*AG32,(VLOOKUP(_xlfn.CONCAT(U32,V32,W32,X32,VLOOKUP(Z32,TIME!$S$28:$T$39,2,FALSE)),FC_DATA!$R$2:$AB$5000,MATCH("GS_I_M",FC_DATA!$R$1:$AB$1,0),FALSE)+FC_DATA!AB32)*0.5*FC_DATA!AG32),NA())</f>
        <v>#N/A</v>
      </c>
      <c r="AI32" s="491" t="e">
        <f ca="1">IF(V32="PARTNER.com",AH32,IF(AND(V32=V31,W32=W31),(1-AVERAGE(AD31,AD32))*AH32,(1-AVERAGE(AD32,VLOOKUP(_xlfn.CONCAT(U32,V32,W32,X32,M_BRAND_FC!$F$6),FC_DATA!$R$2:$AD$5000,MATCH("DISCOUNT_%_M",FC_DATA!$R$1:$AD$1,0),FALSE)))*AH32))</f>
        <v>#N/A</v>
      </c>
      <c r="AJ32" s="412" t="str">
        <f t="shared" ca="1" si="14"/>
        <v/>
      </c>
      <c r="AK32" s="413" t="str">
        <f>IFERROR(AE32/(Q_BRAND_FC!$T$24+1),"")</f>
        <v/>
      </c>
      <c r="AL32" s="88" t="str">
        <f t="shared" ca="1" si="15"/>
        <v/>
      </c>
      <c r="AM32" s="414" t="str">
        <f t="shared" ca="1" si="16"/>
        <v/>
      </c>
      <c r="AN32" s="58">
        <f>IFERROR(IF($V32="BRAND.com",HLOOKUP($X32&amp;$Z32,NWC_FC_NOOS!$C$4:$Q$23,MATCH(W32,NWC_FC_NOOS!$B$4:$B$23,0),FALSE),0),0)</f>
        <v>0</v>
      </c>
      <c r="AO32" s="57">
        <f>IFERROR(IF($V32="BRAND.com",HLOOKUP($X32&amp;$Z32,NWC_FC_NOOS!$T$4:$AH$23,MATCH(W32,NWC_FC_NOOS!$S$4:$S$23,0),FALSE),0),0)</f>
        <v>0</v>
      </c>
      <c r="AP32" s="57">
        <f>IFERROR(IF($V32="BRAND.com",HLOOKUP($X32&amp;$Z32,NWC_FC_NOOS!$C$50:$U$69,MATCH(W32,NWC_FC_NOOS!$B$50:$B$69,0),FALSE),0),0)</f>
        <v>0</v>
      </c>
      <c r="AQ32" s="58">
        <f>IFERROR(IF($V32="BRAND.com",HLOOKUP($X32&amp;$Z32,'NWC_FC_NON-NOOS'!$C$4:$Q$23,MATCH(W32,'NWC_FC_NON-NOOS'!$B$4:$B$23,0),FALSE),0),0)</f>
        <v>0</v>
      </c>
      <c r="AR32" s="57">
        <f>IFERROR(IF($V32="BRAND.com",HLOOKUP($X32&amp;$Z32,'NWC_FC_NON-NOOS'!$T$4:$AH$23,MATCH(W32,'NWC_FC_NON-NOOS'!$S$4:$S$23,0),FALSE),0),0)</f>
        <v>0</v>
      </c>
      <c r="AS32" s="57">
        <f>IFERROR(IF($V32="BRAND.com",HLOOKUP($X32&amp;$Z32,'NWC_FC_NON-NOOS'!$C$50:$U$69,MATCH(W32,'NWC_FC_NON-NOOS'!$B$50:$B$69,0),FALSE),0),0)</f>
        <v>0</v>
      </c>
      <c r="AT32" s="57">
        <f t="shared" si="18"/>
        <v>0</v>
      </c>
      <c r="AU32" s="57">
        <f t="shared" si="19"/>
        <v>0</v>
      </c>
      <c r="AV32" s="58">
        <f>IFERROR(IF($V32="BRAND.com",HLOOKUP($X32&amp;$Z32,PLANNING_FC!$BB$27:$BP$46,MATCH($W32,PLANNING_FC!$BA$27:$BA$46,0),FALSE),0),0)</f>
        <v>0</v>
      </c>
      <c r="AW32" s="58">
        <f>IFERROR(IF($V32="BRAND.com",HLOOKUP($X32&amp;$Z32,PLANNING_FC!$BB$4:$BP$23,MATCH($W32,PLANNING_FC!$BA$4:$BA$23,0),FALSE),0),0)</f>
        <v>0</v>
      </c>
      <c r="AX32" s="58">
        <f>IFERROR(IF($V32="BRAND.com",HLOOKUP($X32&amp;$Z32,PLANNING_FC!$T$27:$AH$46,MATCH($W32,PLANNING_FC!$B$27:$B$46,0),FALSE),0),0)</f>
        <v>0</v>
      </c>
      <c r="AY32" s="58">
        <f>IFERROR(IF($V32="BRAND.com",HLOOKUP($X32&amp;$Z32,PLANNING_FC!$T$4:$AH$23,MATCH($W32,PLANNING_FC!$B$4:$B$23,0),FALSE),0),0)</f>
        <v>0</v>
      </c>
      <c r="AZ32" s="58">
        <f>IFERROR(IF($V32="BRAND.com",HLOOKUP($X32&amp;$Z32,PLANNING_FC!$DA$27:$DO$46,MATCH($W32,PLANNING_FC!$CZ$27:$CZ$46,0),FALSE),0),0)</f>
        <v>0</v>
      </c>
      <c r="BA32" s="58">
        <f>IFERROR(IF($V32="BRAND.com",HLOOKUP($X32&amp;$Z32,PLANNING_FC!$DA$4:$DO$23,MATCH($W32,PLANNING_FC!$CZ$4:$CZ$23,0),FALSE),0),0)</f>
        <v>0</v>
      </c>
      <c r="BB32" s="883" t="str">
        <f>IF(V32="BRAND.com",IFERROR(HLOOKUP(X32&amp;Z32,PLANNING_FC!$AK$4:$AY$23,MATCH(W32,PLANNING_FC!$AJ$4:$AJ$23,0),FALSE)*1000,""),"")</f>
        <v/>
      </c>
      <c r="BC32" s="883" t="str">
        <f>IF(V32="BRAND.com",IFERROR(HLOOKUP(X32&amp;Z32,PLANNING_FC!$AK$27:$AY$46,MATCH(W32,PLANNING_FC!$AJ$27:$AJ$46,0),FALSE)*1000,""),"")</f>
        <v/>
      </c>
    </row>
    <row r="33" spans="1:55" x14ac:dyDescent="0.25">
      <c r="A33" s="509"/>
      <c r="B33" s="510"/>
      <c r="C33" s="509"/>
      <c r="D33" s="509"/>
      <c r="E33" s="509"/>
      <c r="F33" s="509"/>
      <c r="G33" s="509"/>
      <c r="H33" s="509"/>
      <c r="I33" s="512"/>
      <c r="J33" s="513"/>
      <c r="K33" s="879"/>
      <c r="L33" s="515"/>
      <c r="M33" s="516"/>
      <c r="N33" s="56">
        <f t="shared" si="0"/>
        <v>0</v>
      </c>
      <c r="O33" s="57">
        <f t="shared" si="1"/>
        <v>0</v>
      </c>
      <c r="P33" s="57">
        <f ca="1">IFERROR(IF(ISBLANK(H33),SUMIFS($AC:$AC,$V:$V,V33,$W:$W,W33,$X:$X,X33,$Y:$Y,Y33)*J33/(1-J33)*VLOOKUP(_xlfn.CONCAT(C33,D33,E33,TIME!$M$12,Z33),HIS_SALES!$B$2:$W$4859,20,FALSE),AC33*J33/(1-J33)),0)</f>
        <v>0</v>
      </c>
      <c r="Q33" s="541" t="str">
        <f t="shared" si="2"/>
        <v/>
      </c>
      <c r="R33" s="346" t="str">
        <f t="shared" si="3"/>
        <v>00000</v>
      </c>
      <c r="S33" s="344">
        <f t="shared" si="4"/>
        <v>0</v>
      </c>
      <c r="T33" s="345" t="str">
        <f t="shared" si="17"/>
        <v>000</v>
      </c>
      <c r="U33" s="345">
        <f t="shared" si="5"/>
        <v>0</v>
      </c>
      <c r="V33" s="345">
        <f t="shared" si="6"/>
        <v>0</v>
      </c>
      <c r="W33" s="345">
        <f t="shared" si="7"/>
        <v>0</v>
      </c>
      <c r="X33" s="345">
        <f t="shared" si="8"/>
        <v>0</v>
      </c>
      <c r="Y33" s="345">
        <f t="shared" si="9"/>
        <v>0</v>
      </c>
      <c r="Z33" s="345">
        <f>IF(Q33&lt;&gt;"",VLOOKUP(Y33,TIME!$R$21:$V$24,MATCH(FC_DATA!Q33,TIME!$R$20:$V$20,0),FALSE),H33)</f>
        <v>0</v>
      </c>
      <c r="AA33" s="345" t="str">
        <f>IFERROR(VLOOKUP(X33&amp;Z33,TIME!$A$12:$D$71,4,FALSE),"")</f>
        <v/>
      </c>
      <c r="AB33" s="592">
        <f t="shared" ca="1" si="10"/>
        <v>0</v>
      </c>
      <c r="AC33" s="593" t="e">
        <f ca="1">IF(ISBLANK(H33)=FALSE,IF(D33="BRAND.com",I33,IF(ISNA(VLOOKUP(_xlfn.CONCAT(X33,Z33),TIME!$M$40:$M$42,1,FALSE)),I33,VLOOKUP(_xlfn.CONCAT(D33,G33,H33),M_BUSAREA_FC!$AF$5:$AJ$10,5,FALSE)*HLOOKUP(_xlfn.CONCAT(F33,H33),ST_OVERVIEW!$G$99:$I$130,MATCH(_xlfn.CONCAT(D33,E33),ST_OVERVIEW!$F$99:$F$130,0),FALSE))),IF(D33="BRAND.com",VLOOKUP(_xlfn.CONCAT(C33,D33,E33,TIME!$F$1,Z33),HIS_SALES!$B$2:$V$4859,19,FALSE)*I33,VLOOKUP(_xlfn.CONCAT(D33,F33,G33),Q_BUSAREA_FC!$AE$5:$AI$12,5,FALSE)*HLOOKUP(_xlfn.CONCAT(FC_DATA!F33,FC_DATA!G33),LT_OVERVIEW!$I$99:$M$130,MATCH(_xlfn.CONCAT(D33,FC_DATA!E33),LT_OVERVIEW!$H$99:$H$130,0),FALSE)*IFERROR(VLOOKUP(_xlfn.CONCAT(C33,D33,E33,TIME!$F$1,Z33),HIS_SALES!$B$2:$V$4859,19,FALSE),0)))</f>
        <v>#N/A</v>
      </c>
      <c r="AD33" s="341">
        <f t="shared" ca="1" si="11"/>
        <v>0</v>
      </c>
      <c r="AE33" s="363" t="str">
        <f t="shared" si="12"/>
        <v/>
      </c>
      <c r="AF33" s="342" t="str">
        <f t="shared" si="13"/>
        <v/>
      </c>
      <c r="AG33" s="411" t="e">
        <f ca="1">VLOOKUP(_xlfn.CONCAT(U33,V33,W33,VLOOKUP(X33&amp;Y33,TIME!$L$27:$O$34,4,FALSE),Y33),HIS_SALES!$A$2:$R$5093,18,FALSE)</f>
        <v>#N/A</v>
      </c>
      <c r="AH33" s="412" t="e">
        <f ca="1">IFERROR(IF(AND(V33=V32,W33=W32),0.5*(AB33+AB32)*AG33,(VLOOKUP(_xlfn.CONCAT(U33,V33,W33,X33,VLOOKUP(Z33,TIME!$S$28:$T$39,2,FALSE)),FC_DATA!$R$2:$AB$5000,MATCH("GS_I_M",FC_DATA!$R$1:$AB$1,0),FALSE)+FC_DATA!AB33)*0.5*FC_DATA!AG33),NA())</f>
        <v>#N/A</v>
      </c>
      <c r="AI33" s="491" t="e">
        <f ca="1">IF(V33="PARTNER.com",AH33,IF(AND(V33=V32,W33=W32),(1-AVERAGE(AD32,AD33))*AH33,(1-AVERAGE(AD33,VLOOKUP(_xlfn.CONCAT(U33,V33,W33,X33,M_BRAND_FC!$F$6),FC_DATA!$R$2:$AD$5000,MATCH("DISCOUNT_%_M",FC_DATA!$R$1:$AD$1,0),FALSE)))*AH33))</f>
        <v>#N/A</v>
      </c>
      <c r="AJ33" s="412" t="str">
        <f t="shared" ca="1" si="14"/>
        <v/>
      </c>
      <c r="AK33" s="413" t="str">
        <f>IFERROR(AE33/(Q_BRAND_FC!$T$24+1),"")</f>
        <v/>
      </c>
      <c r="AL33" s="88" t="str">
        <f t="shared" ca="1" si="15"/>
        <v/>
      </c>
      <c r="AM33" s="414" t="str">
        <f t="shared" ca="1" si="16"/>
        <v/>
      </c>
      <c r="AN33" s="58">
        <f>IFERROR(IF($V33="BRAND.com",HLOOKUP($X33&amp;$Z33,NWC_FC_NOOS!$C$4:$Q$23,MATCH(W33,NWC_FC_NOOS!$B$4:$B$23,0),FALSE),0),0)</f>
        <v>0</v>
      </c>
      <c r="AO33" s="57">
        <f>IFERROR(IF($V33="BRAND.com",HLOOKUP($X33&amp;$Z33,NWC_FC_NOOS!$T$4:$AH$23,MATCH(W33,NWC_FC_NOOS!$S$4:$S$23,0),FALSE),0),0)</f>
        <v>0</v>
      </c>
      <c r="AP33" s="57">
        <f>IFERROR(IF($V33="BRAND.com",HLOOKUP($X33&amp;$Z33,NWC_FC_NOOS!$C$50:$U$69,MATCH(W33,NWC_FC_NOOS!$B$50:$B$69,0),FALSE),0),0)</f>
        <v>0</v>
      </c>
      <c r="AQ33" s="58">
        <f>IFERROR(IF($V33="BRAND.com",HLOOKUP($X33&amp;$Z33,'NWC_FC_NON-NOOS'!$C$4:$Q$23,MATCH(W33,'NWC_FC_NON-NOOS'!$B$4:$B$23,0),FALSE),0),0)</f>
        <v>0</v>
      </c>
      <c r="AR33" s="57">
        <f>IFERROR(IF($V33="BRAND.com",HLOOKUP($X33&amp;$Z33,'NWC_FC_NON-NOOS'!$T$4:$AH$23,MATCH(W33,'NWC_FC_NON-NOOS'!$S$4:$S$23,0),FALSE),0),0)</f>
        <v>0</v>
      </c>
      <c r="AS33" s="57">
        <f>IFERROR(IF($V33="BRAND.com",HLOOKUP($X33&amp;$Z33,'NWC_FC_NON-NOOS'!$C$50:$U$69,MATCH(W33,'NWC_FC_NON-NOOS'!$B$50:$B$69,0),FALSE),0),0)</f>
        <v>0</v>
      </c>
      <c r="AT33" s="57">
        <f t="shared" si="18"/>
        <v>0</v>
      </c>
      <c r="AU33" s="57">
        <f t="shared" si="19"/>
        <v>0</v>
      </c>
      <c r="AV33" s="58">
        <f>IFERROR(IF($V33="BRAND.com",HLOOKUP($X33&amp;$Z33,PLANNING_FC!$BB$27:$BP$46,MATCH($W33,PLANNING_FC!$BA$27:$BA$46,0),FALSE),0),0)</f>
        <v>0</v>
      </c>
      <c r="AW33" s="58">
        <f>IFERROR(IF($V33="BRAND.com",HLOOKUP($X33&amp;$Z33,PLANNING_FC!$BB$4:$BP$23,MATCH($W33,PLANNING_FC!$BA$4:$BA$23,0),FALSE),0),0)</f>
        <v>0</v>
      </c>
      <c r="AX33" s="58">
        <f>IFERROR(IF($V33="BRAND.com",HLOOKUP($X33&amp;$Z33,PLANNING_FC!$T$27:$AH$46,MATCH($W33,PLANNING_FC!$B$27:$B$46,0),FALSE),0),0)</f>
        <v>0</v>
      </c>
      <c r="AY33" s="58">
        <f>IFERROR(IF($V33="BRAND.com",HLOOKUP($X33&amp;$Z33,PLANNING_FC!$T$4:$AH$23,MATCH($W33,PLANNING_FC!$B$4:$B$23,0),FALSE),0),0)</f>
        <v>0</v>
      </c>
      <c r="AZ33" s="58">
        <f>IFERROR(IF($V33="BRAND.com",HLOOKUP($X33&amp;$Z33,PLANNING_FC!$DA$27:$DO$46,MATCH($W33,PLANNING_FC!$CZ$27:$CZ$46,0),FALSE),0),0)</f>
        <v>0</v>
      </c>
      <c r="BA33" s="58">
        <f>IFERROR(IF($V33="BRAND.com",HLOOKUP($X33&amp;$Z33,PLANNING_FC!$DA$4:$DO$23,MATCH($W33,PLANNING_FC!$CZ$4:$CZ$23,0),FALSE),0),0)</f>
        <v>0</v>
      </c>
      <c r="BB33" s="883" t="str">
        <f>IF(V33="BRAND.com",IFERROR(HLOOKUP(X33&amp;Z33,PLANNING_FC!$AK$4:$AY$23,MATCH(W33,PLANNING_FC!$AJ$4:$AJ$23,0),FALSE)*1000,""),"")</f>
        <v/>
      </c>
      <c r="BC33" s="883" t="str">
        <f>IF(V33="BRAND.com",IFERROR(HLOOKUP(X33&amp;Z33,PLANNING_FC!$AK$27:$AY$46,MATCH(W33,PLANNING_FC!$AJ$27:$AJ$46,0),FALSE)*1000,""),"")</f>
        <v/>
      </c>
    </row>
    <row r="34" spans="1:55" x14ac:dyDescent="0.25">
      <c r="A34" s="509"/>
      <c r="B34" s="510"/>
      <c r="C34" s="509"/>
      <c r="D34" s="509"/>
      <c r="E34" s="509"/>
      <c r="F34" s="509"/>
      <c r="G34" s="509"/>
      <c r="H34" s="509"/>
      <c r="I34" s="512"/>
      <c r="J34" s="513"/>
      <c r="K34" s="879"/>
      <c r="L34" s="515"/>
      <c r="M34" s="516"/>
      <c r="N34" s="56">
        <f t="shared" ref="N34:N65" si="20">IFERROR(I34/(1-J34)*J34,0)</f>
        <v>0</v>
      </c>
      <c r="O34" s="57">
        <f t="shared" ref="O34:O65" si="21">IFERROR(I34+N34,0)</f>
        <v>0</v>
      </c>
      <c r="P34" s="57">
        <f ca="1">IFERROR(IF(ISBLANK(H34),SUMIFS($AC:$AC,$V:$V,V34,$W:$W,W34,$X:$X,X34,$Y:$Y,Y34)*J34/(1-J34)*VLOOKUP(_xlfn.CONCAT(C34,D34,E34,TIME!$M$12,Z34),HIS_SALES!$B$2:$W$4859,20,FALSE),AC34*J34/(1-J34)),0)</f>
        <v>0</v>
      </c>
      <c r="Q34" s="541" t="str">
        <f t="shared" ref="Q34:Q65" si="22">IF(AND(A34&lt;&gt;"",H34=""),IF(A34=A33,Q33+1,1),"")</f>
        <v/>
      </c>
      <c r="R34" s="346" t="str">
        <f t="shared" si="3"/>
        <v>00000</v>
      </c>
      <c r="S34" s="344">
        <f t="shared" ref="S34:S65" si="23">B34</f>
        <v>0</v>
      </c>
      <c r="T34" s="345" t="str">
        <f t="shared" si="17"/>
        <v>000</v>
      </c>
      <c r="U34" s="345">
        <f t="shared" ref="U34:U65" si="24">C34</f>
        <v>0</v>
      </c>
      <c r="V34" s="345">
        <f t="shared" ref="V34:V65" si="25">D34</f>
        <v>0</v>
      </c>
      <c r="W34" s="345">
        <f t="shared" ref="W34:W65" si="26">E34</f>
        <v>0</v>
      </c>
      <c r="X34" s="345">
        <f t="shared" ref="X34:X65" si="27">F34</f>
        <v>0</v>
      </c>
      <c r="Y34" s="345">
        <f t="shared" ref="Y34:Y65" si="28">G34</f>
        <v>0</v>
      </c>
      <c r="Z34" s="345">
        <f>IF(Q34&lt;&gt;"",VLOOKUP(Y34,TIME!$R$21:$V$24,MATCH(FC_DATA!Q34,TIME!$R$20:$V$20,0),FALSE),H34)</f>
        <v>0</v>
      </c>
      <c r="AA34" s="345" t="str">
        <f>IFERROR(VLOOKUP(X34&amp;Z34,TIME!$A$12:$D$71,4,FALSE),"")</f>
        <v/>
      </c>
      <c r="AB34" s="592">
        <f t="shared" ca="1" si="10"/>
        <v>0</v>
      </c>
      <c r="AC34" s="593" t="e">
        <f ca="1">IF(ISBLANK(H34)=FALSE,IF(D34="BRAND.com",I34,IF(ISNA(VLOOKUP(_xlfn.CONCAT(X34,Z34),TIME!$M$40:$M$42,1,FALSE)),I34,VLOOKUP(_xlfn.CONCAT(D34,G34,H34),M_BUSAREA_FC!$AF$5:$AJ$10,5,FALSE)*HLOOKUP(_xlfn.CONCAT(F34,H34),ST_OVERVIEW!$G$99:$I$130,MATCH(_xlfn.CONCAT(D34,E34),ST_OVERVIEW!$F$99:$F$130,0),FALSE))),IF(D34="BRAND.com",VLOOKUP(_xlfn.CONCAT(C34,D34,E34,TIME!$F$1,Z34),HIS_SALES!$B$2:$V$4859,19,FALSE)*I34,VLOOKUP(_xlfn.CONCAT(D34,F34,G34),Q_BUSAREA_FC!$AE$5:$AI$12,5,FALSE)*HLOOKUP(_xlfn.CONCAT(FC_DATA!F34,FC_DATA!G34),LT_OVERVIEW!$I$99:$M$130,MATCH(_xlfn.CONCAT(D34,FC_DATA!E34),LT_OVERVIEW!$H$99:$H$130,0),FALSE)*IFERROR(VLOOKUP(_xlfn.CONCAT(C34,D34,E34,TIME!$F$1,Z34),HIS_SALES!$B$2:$V$4859,19,FALSE),0)))</f>
        <v>#N/A</v>
      </c>
      <c r="AD34" s="341">
        <f t="shared" ref="AD34:AD65" ca="1" si="29">IFERROR(IF(D34="PARTNER.com",0,1-AC34/AB34),0)</f>
        <v>0</v>
      </c>
      <c r="AE34" s="363" t="str">
        <f t="shared" ref="AE34:AE65" si="30">IF(A34&lt;&gt;"",K34,"")</f>
        <v/>
      </c>
      <c r="AF34" s="342" t="str">
        <f t="shared" ref="AF34:AF65" si="31">IF(B34&lt;&gt;"",M34,"")</f>
        <v/>
      </c>
      <c r="AG34" s="411" t="e">
        <f ca="1">VLOOKUP(_xlfn.CONCAT(U34,V34,W34,VLOOKUP(X34&amp;Y34,TIME!$L$27:$O$34,4,FALSE),Y34),HIS_SALES!$A$2:$R$5093,18,FALSE)</f>
        <v>#N/A</v>
      </c>
      <c r="AH34" s="412" t="e">
        <f ca="1">IFERROR(IF(AND(V34=V33,W34=W33),0.5*(AB34+AB33)*AG34,(VLOOKUP(_xlfn.CONCAT(U34,V34,W34,X34,VLOOKUP(Z34,TIME!$S$28:$T$39,2,FALSE)),FC_DATA!$R$2:$AB$5000,MATCH("GS_I_M",FC_DATA!$R$1:$AB$1,0),FALSE)+FC_DATA!AB34)*0.5*FC_DATA!AG34),NA())</f>
        <v>#N/A</v>
      </c>
      <c r="AI34" s="491" t="e">
        <f ca="1">IF(V34="PARTNER.com",AH34,IF(AND(V34=V33,W34=W33),(1-AVERAGE(AD33,AD34))*AH34,(1-AVERAGE(AD34,VLOOKUP(_xlfn.CONCAT(U34,V34,W34,X34,M_BRAND_FC!$F$6),FC_DATA!$R$2:$AD$5000,MATCH("DISCOUNT_%_M",FC_DATA!$R$1:$AD$1,0),FALSE)))*AH34))</f>
        <v>#N/A</v>
      </c>
      <c r="AJ34" s="412" t="str">
        <f t="shared" ca="1" si="14"/>
        <v/>
      </c>
      <c r="AK34" s="413" t="str">
        <f>IFERROR(AE34/(Q_BRAND_FC!$T$24+1),"")</f>
        <v/>
      </c>
      <c r="AL34" s="88" t="str">
        <f t="shared" ca="1" si="15"/>
        <v/>
      </c>
      <c r="AM34" s="414" t="str">
        <f t="shared" ca="1" si="16"/>
        <v/>
      </c>
      <c r="AN34" s="58">
        <f>IFERROR(IF($V34="BRAND.com",HLOOKUP($X34&amp;$Z34,NWC_FC_NOOS!$C$4:$Q$23,MATCH(W34,NWC_FC_NOOS!$B$4:$B$23,0),FALSE),0),0)</f>
        <v>0</v>
      </c>
      <c r="AO34" s="57">
        <f>IFERROR(IF($V34="BRAND.com",HLOOKUP($X34&amp;$Z34,NWC_FC_NOOS!$T$4:$AH$23,MATCH(W34,NWC_FC_NOOS!$S$4:$S$23,0),FALSE),0),0)</f>
        <v>0</v>
      </c>
      <c r="AP34" s="57">
        <f>IFERROR(IF($V34="BRAND.com",HLOOKUP($X34&amp;$Z34,NWC_FC_NOOS!$C$50:$U$69,MATCH(W34,NWC_FC_NOOS!$B$50:$B$69,0),FALSE),0),0)</f>
        <v>0</v>
      </c>
      <c r="AQ34" s="58">
        <f>IFERROR(IF($V34="BRAND.com",HLOOKUP($X34&amp;$Z34,'NWC_FC_NON-NOOS'!$C$4:$Q$23,MATCH(W34,'NWC_FC_NON-NOOS'!$B$4:$B$23,0),FALSE),0),0)</f>
        <v>0</v>
      </c>
      <c r="AR34" s="57">
        <f>IFERROR(IF($V34="BRAND.com",HLOOKUP($X34&amp;$Z34,'NWC_FC_NON-NOOS'!$T$4:$AH$23,MATCH(W34,'NWC_FC_NON-NOOS'!$S$4:$S$23,0),FALSE),0),0)</f>
        <v>0</v>
      </c>
      <c r="AS34" s="57">
        <f>IFERROR(IF($V34="BRAND.com",HLOOKUP($X34&amp;$Z34,'NWC_FC_NON-NOOS'!$C$50:$U$69,MATCH(W34,'NWC_FC_NON-NOOS'!$B$50:$B$69,0),FALSE),0),0)</f>
        <v>0</v>
      </c>
      <c r="AT34" s="57">
        <f t="shared" si="18"/>
        <v>0</v>
      </c>
      <c r="AU34" s="57">
        <f t="shared" si="19"/>
        <v>0</v>
      </c>
      <c r="AV34" s="58">
        <f>IFERROR(IF($V34="BRAND.com",HLOOKUP($X34&amp;$Z34,PLANNING_FC!$BB$27:$BP$46,MATCH($W34,PLANNING_FC!$BA$27:$BA$46,0),FALSE),0),0)</f>
        <v>0</v>
      </c>
      <c r="AW34" s="58">
        <f>IFERROR(IF($V34="BRAND.com",HLOOKUP($X34&amp;$Z34,PLANNING_FC!$BB$4:$BP$23,MATCH($W34,PLANNING_FC!$BA$4:$BA$23,0),FALSE),0),0)</f>
        <v>0</v>
      </c>
      <c r="AX34" s="58">
        <f>IFERROR(IF($V34="BRAND.com",HLOOKUP($X34&amp;$Z34,PLANNING_FC!$T$27:$AH$46,MATCH($W34,PLANNING_FC!$B$27:$B$46,0),FALSE),0),0)</f>
        <v>0</v>
      </c>
      <c r="AY34" s="58">
        <f>IFERROR(IF($V34="BRAND.com",HLOOKUP($X34&amp;$Z34,PLANNING_FC!$T$4:$AH$23,MATCH($W34,PLANNING_FC!$B$4:$B$23,0),FALSE),0),0)</f>
        <v>0</v>
      </c>
      <c r="AZ34" s="58">
        <f>IFERROR(IF($V34="BRAND.com",HLOOKUP($X34&amp;$Z34,PLANNING_FC!$DA$27:$DO$46,MATCH($W34,PLANNING_FC!$CZ$27:$CZ$46,0),FALSE),0),0)</f>
        <v>0</v>
      </c>
      <c r="BA34" s="58">
        <f>IFERROR(IF($V34="BRAND.com",HLOOKUP($X34&amp;$Z34,PLANNING_FC!$DA$4:$DO$23,MATCH($W34,PLANNING_FC!$CZ$4:$CZ$23,0),FALSE),0),0)</f>
        <v>0</v>
      </c>
      <c r="BB34" s="883" t="str">
        <f>IF(V34="BRAND.com",IFERROR(HLOOKUP(X34&amp;Z34,PLANNING_FC!$AK$4:$AY$23,MATCH(W34,PLANNING_FC!$AJ$4:$AJ$23,0),FALSE)*1000,""),"")</f>
        <v/>
      </c>
      <c r="BC34" s="883" t="str">
        <f>IF(V34="BRAND.com",IFERROR(HLOOKUP(X34&amp;Z34,PLANNING_FC!$AK$27:$AY$46,MATCH(W34,PLANNING_FC!$AJ$27:$AJ$46,0),FALSE)*1000,""),"")</f>
        <v/>
      </c>
    </row>
    <row r="35" spans="1:55" x14ac:dyDescent="0.25">
      <c r="A35" s="509"/>
      <c r="B35" s="510"/>
      <c r="C35" s="509"/>
      <c r="D35" s="509"/>
      <c r="E35" s="509"/>
      <c r="F35" s="509"/>
      <c r="G35" s="509"/>
      <c r="H35" s="509"/>
      <c r="I35" s="512"/>
      <c r="J35" s="513"/>
      <c r="K35" s="879"/>
      <c r="L35" s="515"/>
      <c r="M35" s="516"/>
      <c r="N35" s="56">
        <f t="shared" si="20"/>
        <v>0</v>
      </c>
      <c r="O35" s="57">
        <f t="shared" si="21"/>
        <v>0</v>
      </c>
      <c r="P35" s="57">
        <f ca="1">IFERROR(IF(ISBLANK(H35),SUMIFS($AC:$AC,$V:$V,V35,$W:$W,W35,$X:$X,X35,$Y:$Y,Y35)*J35/(1-J35)*VLOOKUP(_xlfn.CONCAT(C35,D35,E35,TIME!$M$12,Z35),HIS_SALES!$B$2:$W$4859,20,FALSE),AC35*J35/(1-J35)),0)</f>
        <v>0</v>
      </c>
      <c r="Q35" s="541" t="str">
        <f t="shared" si="22"/>
        <v/>
      </c>
      <c r="R35" s="346" t="str">
        <f t="shared" si="3"/>
        <v>00000</v>
      </c>
      <c r="S35" s="344">
        <f t="shared" si="23"/>
        <v>0</v>
      </c>
      <c r="T35" s="345" t="str">
        <f t="shared" si="17"/>
        <v>000</v>
      </c>
      <c r="U35" s="345">
        <f t="shared" si="24"/>
        <v>0</v>
      </c>
      <c r="V35" s="345">
        <f t="shared" si="25"/>
        <v>0</v>
      </c>
      <c r="W35" s="345">
        <f t="shared" si="26"/>
        <v>0</v>
      </c>
      <c r="X35" s="345">
        <f t="shared" si="27"/>
        <v>0</v>
      </c>
      <c r="Y35" s="345">
        <f t="shared" si="28"/>
        <v>0</v>
      </c>
      <c r="Z35" s="345">
        <f>IF(Q35&lt;&gt;"",VLOOKUP(Y35,TIME!$R$21:$V$24,MATCH(FC_DATA!Q35,TIME!$R$20:$V$20,0),FALSE),H35)</f>
        <v>0</v>
      </c>
      <c r="AA35" s="345" t="str">
        <f>IFERROR(VLOOKUP(X35&amp;Z35,TIME!$A$12:$D$71,4,FALSE),"")</f>
        <v/>
      </c>
      <c r="AB35" s="592">
        <f t="shared" ca="1" si="10"/>
        <v>0</v>
      </c>
      <c r="AC35" s="593" t="e">
        <f ca="1">IF(ISBLANK(H35)=FALSE,IF(D35="BRAND.com",I35,IF(ISNA(VLOOKUP(_xlfn.CONCAT(X35,Z35),TIME!$M$40:$M$42,1,FALSE)),I35,VLOOKUP(_xlfn.CONCAT(D35,G35,H35),M_BUSAREA_FC!$AF$5:$AJ$10,5,FALSE)*HLOOKUP(_xlfn.CONCAT(F35,H35),ST_OVERVIEW!$G$99:$I$130,MATCH(_xlfn.CONCAT(D35,E35),ST_OVERVIEW!$F$99:$F$130,0),FALSE))),IF(D35="BRAND.com",VLOOKUP(_xlfn.CONCAT(C35,D35,E35,TIME!$F$1,Z35),HIS_SALES!$B$2:$V$4859,19,FALSE)*I35,VLOOKUP(_xlfn.CONCAT(D35,F35,G35),Q_BUSAREA_FC!$AE$5:$AI$12,5,FALSE)*HLOOKUP(_xlfn.CONCAT(FC_DATA!F35,FC_DATA!G35),LT_OVERVIEW!$I$99:$M$130,MATCH(_xlfn.CONCAT(D35,FC_DATA!E35),LT_OVERVIEW!$H$99:$H$130,0),FALSE)*IFERROR(VLOOKUP(_xlfn.CONCAT(C35,D35,E35,TIME!$F$1,Z35),HIS_SALES!$B$2:$V$4859,19,FALSE),0)))</f>
        <v>#N/A</v>
      </c>
      <c r="AD35" s="341">
        <f t="shared" ca="1" si="29"/>
        <v>0</v>
      </c>
      <c r="AE35" s="363" t="str">
        <f t="shared" si="30"/>
        <v/>
      </c>
      <c r="AF35" s="342" t="str">
        <f t="shared" si="31"/>
        <v/>
      </c>
      <c r="AG35" s="411" t="e">
        <f ca="1">VLOOKUP(_xlfn.CONCAT(U35,V35,W35,VLOOKUP(X35&amp;Y35,TIME!$L$27:$O$34,4,FALSE),Y35),HIS_SALES!$A$2:$R$5093,18,FALSE)</f>
        <v>#N/A</v>
      </c>
      <c r="AH35" s="412" t="e">
        <f ca="1">IFERROR(IF(AND(V35=V34,W35=W34),0.5*(AB35+AB34)*AG35,(VLOOKUP(_xlfn.CONCAT(U35,V35,W35,X35,VLOOKUP(Z35,TIME!$S$28:$T$39,2,FALSE)),FC_DATA!$R$2:$AB$5000,MATCH("GS_I_M",FC_DATA!$R$1:$AB$1,0),FALSE)+FC_DATA!AB35)*0.5*FC_DATA!AG35),NA())</f>
        <v>#N/A</v>
      </c>
      <c r="AI35" s="491" t="e">
        <f ca="1">IF(V35="PARTNER.com",AH35,IF(AND(V35=V34,W35=W34),(1-AVERAGE(AD34,AD35))*AH35,(1-AVERAGE(AD35,VLOOKUP(_xlfn.CONCAT(U35,V35,W35,X35,M_BRAND_FC!$F$6),FC_DATA!$R$2:$AD$5000,MATCH("DISCOUNT_%_M",FC_DATA!$R$1:$AD$1,0),FALSE)))*AH35))</f>
        <v>#N/A</v>
      </c>
      <c r="AJ35" s="412" t="str">
        <f t="shared" ca="1" si="14"/>
        <v/>
      </c>
      <c r="AK35" s="413" t="str">
        <f>IFERROR(AE35/(Q_BRAND_FC!$T$24+1),"")</f>
        <v/>
      </c>
      <c r="AL35" s="88" t="str">
        <f t="shared" ca="1" si="15"/>
        <v/>
      </c>
      <c r="AM35" s="414" t="str">
        <f t="shared" ca="1" si="16"/>
        <v/>
      </c>
      <c r="AN35" s="58">
        <f>IFERROR(IF($V35="BRAND.com",HLOOKUP($X35&amp;$Z35,NWC_FC_NOOS!$C$4:$Q$23,MATCH(W35,NWC_FC_NOOS!$B$4:$B$23,0),FALSE),0),0)</f>
        <v>0</v>
      </c>
      <c r="AO35" s="57">
        <f>IFERROR(IF($V35="BRAND.com",HLOOKUP($X35&amp;$Z35,NWC_FC_NOOS!$T$4:$AH$23,MATCH(W35,NWC_FC_NOOS!$S$4:$S$23,0),FALSE),0),0)</f>
        <v>0</v>
      </c>
      <c r="AP35" s="57">
        <f>IFERROR(IF($V35="BRAND.com",HLOOKUP($X35&amp;$Z35,NWC_FC_NOOS!$C$50:$U$69,MATCH(W35,NWC_FC_NOOS!$B$50:$B$69,0),FALSE),0),0)</f>
        <v>0</v>
      </c>
      <c r="AQ35" s="58">
        <f>IFERROR(IF($V35="BRAND.com",HLOOKUP($X35&amp;$Z35,'NWC_FC_NON-NOOS'!$C$4:$Q$23,MATCH(W35,'NWC_FC_NON-NOOS'!$B$4:$B$23,0),FALSE),0),0)</f>
        <v>0</v>
      </c>
      <c r="AR35" s="57">
        <f>IFERROR(IF($V35="BRAND.com",HLOOKUP($X35&amp;$Z35,'NWC_FC_NON-NOOS'!$T$4:$AH$23,MATCH(W35,'NWC_FC_NON-NOOS'!$S$4:$S$23,0),FALSE),0),0)</f>
        <v>0</v>
      </c>
      <c r="AS35" s="57">
        <f>IFERROR(IF($V35="BRAND.com",HLOOKUP($X35&amp;$Z35,'NWC_FC_NON-NOOS'!$C$50:$U$69,MATCH(W35,'NWC_FC_NON-NOOS'!$B$50:$B$69,0),FALSE),0),0)</f>
        <v>0</v>
      </c>
      <c r="AT35" s="57">
        <f t="shared" si="18"/>
        <v>0</v>
      </c>
      <c r="AU35" s="57">
        <f t="shared" si="19"/>
        <v>0</v>
      </c>
      <c r="AV35" s="58">
        <f>IFERROR(IF($V35="BRAND.com",HLOOKUP($X35&amp;$Z35,PLANNING_FC!$BB$27:$BP$46,MATCH($W35,PLANNING_FC!$BA$27:$BA$46,0),FALSE),0),0)</f>
        <v>0</v>
      </c>
      <c r="AW35" s="58">
        <f>IFERROR(IF($V35="BRAND.com",HLOOKUP($X35&amp;$Z35,PLANNING_FC!$BB$4:$BP$23,MATCH($W35,PLANNING_FC!$BA$4:$BA$23,0),FALSE),0),0)</f>
        <v>0</v>
      </c>
      <c r="AX35" s="58">
        <f>IFERROR(IF($V35="BRAND.com",HLOOKUP($X35&amp;$Z35,PLANNING_FC!$T$27:$AH$46,MATCH($W35,PLANNING_FC!$B$27:$B$46,0),FALSE),0),0)</f>
        <v>0</v>
      </c>
      <c r="AY35" s="58">
        <f>IFERROR(IF($V35="BRAND.com",HLOOKUP($X35&amp;$Z35,PLANNING_FC!$T$4:$AH$23,MATCH($W35,PLANNING_FC!$B$4:$B$23,0),FALSE),0),0)</f>
        <v>0</v>
      </c>
      <c r="AZ35" s="58">
        <f>IFERROR(IF($V35="BRAND.com",HLOOKUP($X35&amp;$Z35,PLANNING_FC!$DA$27:$DO$46,MATCH($W35,PLANNING_FC!$CZ$27:$CZ$46,0),FALSE),0),0)</f>
        <v>0</v>
      </c>
      <c r="BA35" s="58">
        <f>IFERROR(IF($V35="BRAND.com",HLOOKUP($X35&amp;$Z35,PLANNING_FC!$DA$4:$DO$23,MATCH($W35,PLANNING_FC!$CZ$4:$CZ$23,0),FALSE),0),0)</f>
        <v>0</v>
      </c>
      <c r="BB35" s="883" t="str">
        <f>IF(V35="BRAND.com",IFERROR(HLOOKUP(X35&amp;Z35,PLANNING_FC!$AK$4:$AY$23,MATCH(W35,PLANNING_FC!$AJ$4:$AJ$23,0),FALSE)*1000,""),"")</f>
        <v/>
      </c>
      <c r="BC35" s="883" t="str">
        <f>IF(V35="BRAND.com",IFERROR(HLOOKUP(X35&amp;Z35,PLANNING_FC!$AK$27:$AY$46,MATCH(W35,PLANNING_FC!$AJ$27:$AJ$46,0),FALSE)*1000,""),"")</f>
        <v/>
      </c>
    </row>
    <row r="36" spans="1:55" x14ac:dyDescent="0.25">
      <c r="A36" s="509"/>
      <c r="B36" s="510"/>
      <c r="C36" s="509"/>
      <c r="D36" s="509"/>
      <c r="E36" s="509"/>
      <c r="F36" s="509"/>
      <c r="G36" s="509"/>
      <c r="H36" s="509"/>
      <c r="I36" s="512"/>
      <c r="J36" s="513"/>
      <c r="K36" s="879"/>
      <c r="L36" s="515"/>
      <c r="M36" s="516"/>
      <c r="N36" s="56">
        <f t="shared" si="20"/>
        <v>0</v>
      </c>
      <c r="O36" s="57">
        <f t="shared" si="21"/>
        <v>0</v>
      </c>
      <c r="P36" s="57">
        <f ca="1">IFERROR(IF(ISBLANK(H36),SUMIFS($AC:$AC,$V:$V,V36,$W:$W,W36,$X:$X,X36,$Y:$Y,Y36)*J36/(1-J36)*VLOOKUP(_xlfn.CONCAT(C36,D36,E36,TIME!$M$12,Z36),HIS_SALES!$B$2:$W$4859,20,FALSE),AC36*J36/(1-J36)),0)</f>
        <v>0</v>
      </c>
      <c r="Q36" s="541" t="str">
        <f t="shared" si="22"/>
        <v/>
      </c>
      <c r="R36" s="346" t="str">
        <f t="shared" si="3"/>
        <v>00000</v>
      </c>
      <c r="S36" s="344">
        <f t="shared" si="23"/>
        <v>0</v>
      </c>
      <c r="T36" s="345" t="str">
        <f t="shared" si="17"/>
        <v>000</v>
      </c>
      <c r="U36" s="345">
        <f t="shared" si="24"/>
        <v>0</v>
      </c>
      <c r="V36" s="345">
        <f t="shared" si="25"/>
        <v>0</v>
      </c>
      <c r="W36" s="345">
        <f t="shared" si="26"/>
        <v>0</v>
      </c>
      <c r="X36" s="345">
        <f t="shared" si="27"/>
        <v>0</v>
      </c>
      <c r="Y36" s="345">
        <f t="shared" si="28"/>
        <v>0</v>
      </c>
      <c r="Z36" s="345">
        <f>IF(Q36&lt;&gt;"",VLOOKUP(Y36,TIME!$R$21:$V$24,MATCH(FC_DATA!Q36,TIME!$R$20:$V$20,0),FALSE),H36)</f>
        <v>0</v>
      </c>
      <c r="AA36" s="345" t="str">
        <f>IFERROR(VLOOKUP(X36&amp;Z36,TIME!$A$12:$D$71,4,FALSE),"")</f>
        <v/>
      </c>
      <c r="AB36" s="592">
        <f t="shared" ca="1" si="10"/>
        <v>0</v>
      </c>
      <c r="AC36" s="593" t="e">
        <f ca="1">IF(ISBLANK(H36)=FALSE,IF(D36="BRAND.com",I36,IF(ISNA(VLOOKUP(_xlfn.CONCAT(X36,Z36),TIME!$M$40:$M$42,1,FALSE)),I36,VLOOKUP(_xlfn.CONCAT(D36,G36,H36),M_BUSAREA_FC!$AF$5:$AJ$10,5,FALSE)*HLOOKUP(_xlfn.CONCAT(F36,H36),ST_OVERVIEW!$G$99:$I$130,MATCH(_xlfn.CONCAT(D36,E36),ST_OVERVIEW!$F$99:$F$130,0),FALSE))),IF(D36="BRAND.com",VLOOKUP(_xlfn.CONCAT(C36,D36,E36,TIME!$F$1,Z36),HIS_SALES!$B$2:$V$4859,19,FALSE)*I36,VLOOKUP(_xlfn.CONCAT(D36,F36,G36),Q_BUSAREA_FC!$AE$5:$AI$12,5,FALSE)*HLOOKUP(_xlfn.CONCAT(FC_DATA!F36,FC_DATA!G36),LT_OVERVIEW!$I$99:$M$130,MATCH(_xlfn.CONCAT(D36,FC_DATA!E36),LT_OVERVIEW!$H$99:$H$130,0),FALSE)*IFERROR(VLOOKUP(_xlfn.CONCAT(C36,D36,E36,TIME!$F$1,Z36),HIS_SALES!$B$2:$V$4859,19,FALSE),0)))</f>
        <v>#N/A</v>
      </c>
      <c r="AD36" s="341">
        <f t="shared" ca="1" si="29"/>
        <v>0</v>
      </c>
      <c r="AE36" s="363" t="str">
        <f t="shared" si="30"/>
        <v/>
      </c>
      <c r="AF36" s="342" t="str">
        <f t="shared" si="31"/>
        <v/>
      </c>
      <c r="AG36" s="411" t="e">
        <f ca="1">VLOOKUP(_xlfn.CONCAT(U36,V36,W36,VLOOKUP(X36&amp;Y36,TIME!$L$27:$O$34,4,FALSE),Y36),HIS_SALES!$A$2:$R$5093,18,FALSE)</f>
        <v>#N/A</v>
      </c>
      <c r="AH36" s="412" t="e">
        <f ca="1">IFERROR(IF(AND(V36=V35,W36=W35),0.5*(AB36+AB35)*AG36,(VLOOKUP(_xlfn.CONCAT(U36,V36,W36,X36,VLOOKUP(Z36,TIME!$S$28:$T$39,2,FALSE)),FC_DATA!$R$2:$AB$5000,MATCH("GS_I_M",FC_DATA!$R$1:$AB$1,0),FALSE)+FC_DATA!AB36)*0.5*FC_DATA!AG36),NA())</f>
        <v>#N/A</v>
      </c>
      <c r="AI36" s="491" t="e">
        <f ca="1">IF(V36="PARTNER.com",AH36,IF(AND(V36=V35,W36=W35),(1-AVERAGE(AD35,AD36))*AH36,(1-AVERAGE(AD36,VLOOKUP(_xlfn.CONCAT(U36,V36,W36,X36,M_BRAND_FC!$F$6),FC_DATA!$R$2:$AD$5000,MATCH("DISCOUNT_%_M",FC_DATA!$R$1:$AD$1,0),FALSE)))*AH36))</f>
        <v>#N/A</v>
      </c>
      <c r="AJ36" s="412" t="str">
        <f t="shared" ca="1" si="14"/>
        <v/>
      </c>
      <c r="AK36" s="413" t="str">
        <f>IFERROR(AE36/(Q_BRAND_FC!$T$24+1),"")</f>
        <v/>
      </c>
      <c r="AL36" s="88" t="str">
        <f t="shared" ca="1" si="15"/>
        <v/>
      </c>
      <c r="AM36" s="414" t="str">
        <f t="shared" ca="1" si="16"/>
        <v/>
      </c>
      <c r="AN36" s="58">
        <f>IFERROR(IF($V36="BRAND.com",HLOOKUP($X36&amp;$Z36,NWC_FC_NOOS!$C$4:$Q$23,MATCH(W36,NWC_FC_NOOS!$B$4:$B$23,0),FALSE),0),0)</f>
        <v>0</v>
      </c>
      <c r="AO36" s="57">
        <f>IFERROR(IF($V36="BRAND.com",HLOOKUP($X36&amp;$Z36,NWC_FC_NOOS!$T$4:$AH$23,MATCH(W36,NWC_FC_NOOS!$S$4:$S$23,0),FALSE),0),0)</f>
        <v>0</v>
      </c>
      <c r="AP36" s="57">
        <f>IFERROR(IF($V36="BRAND.com",HLOOKUP($X36&amp;$Z36,NWC_FC_NOOS!$C$50:$U$69,MATCH(W36,NWC_FC_NOOS!$B$50:$B$69,0),FALSE),0),0)</f>
        <v>0</v>
      </c>
      <c r="AQ36" s="58">
        <f>IFERROR(IF($V36="BRAND.com",HLOOKUP($X36&amp;$Z36,'NWC_FC_NON-NOOS'!$C$4:$Q$23,MATCH(W36,'NWC_FC_NON-NOOS'!$B$4:$B$23,0),FALSE),0),0)</f>
        <v>0</v>
      </c>
      <c r="AR36" s="57">
        <f>IFERROR(IF($V36="BRAND.com",HLOOKUP($X36&amp;$Z36,'NWC_FC_NON-NOOS'!$T$4:$AH$23,MATCH(W36,'NWC_FC_NON-NOOS'!$S$4:$S$23,0),FALSE),0),0)</f>
        <v>0</v>
      </c>
      <c r="AS36" s="57">
        <f>IFERROR(IF($V36="BRAND.com",HLOOKUP($X36&amp;$Z36,'NWC_FC_NON-NOOS'!$C$50:$U$69,MATCH(W36,'NWC_FC_NON-NOOS'!$B$50:$B$69,0),FALSE),0),0)</f>
        <v>0</v>
      </c>
      <c r="AT36" s="57">
        <f t="shared" si="18"/>
        <v>0</v>
      </c>
      <c r="AU36" s="57">
        <f t="shared" si="19"/>
        <v>0</v>
      </c>
      <c r="AV36" s="58">
        <f>IFERROR(IF($V36="BRAND.com",HLOOKUP($X36&amp;$Z36,PLANNING_FC!$BB$27:$BP$46,MATCH($W36,PLANNING_FC!$BA$27:$BA$46,0),FALSE),0),0)</f>
        <v>0</v>
      </c>
      <c r="AW36" s="58">
        <f>IFERROR(IF($V36="BRAND.com",HLOOKUP($X36&amp;$Z36,PLANNING_FC!$BB$4:$BP$23,MATCH($W36,PLANNING_FC!$BA$4:$BA$23,0),FALSE),0),0)</f>
        <v>0</v>
      </c>
      <c r="AX36" s="58">
        <f>IFERROR(IF($V36="BRAND.com",HLOOKUP($X36&amp;$Z36,PLANNING_FC!$T$27:$AH$46,MATCH($W36,PLANNING_FC!$B$27:$B$46,0),FALSE),0),0)</f>
        <v>0</v>
      </c>
      <c r="AY36" s="58">
        <f>IFERROR(IF($V36="BRAND.com",HLOOKUP($X36&amp;$Z36,PLANNING_FC!$T$4:$AH$23,MATCH($W36,PLANNING_FC!$B$4:$B$23,0),FALSE),0),0)</f>
        <v>0</v>
      </c>
      <c r="AZ36" s="58">
        <f>IFERROR(IF($V36="BRAND.com",HLOOKUP($X36&amp;$Z36,PLANNING_FC!$DA$27:$DO$46,MATCH($W36,PLANNING_FC!$CZ$27:$CZ$46,0),FALSE),0),0)</f>
        <v>0</v>
      </c>
      <c r="BA36" s="58">
        <f>IFERROR(IF($V36="BRAND.com",HLOOKUP($X36&amp;$Z36,PLANNING_FC!$DA$4:$DO$23,MATCH($W36,PLANNING_FC!$CZ$4:$CZ$23,0),FALSE),0),0)</f>
        <v>0</v>
      </c>
      <c r="BB36" s="883" t="str">
        <f>IF(V36="BRAND.com",IFERROR(HLOOKUP(X36&amp;Z36,PLANNING_FC!$AK$4:$AY$23,MATCH(W36,PLANNING_FC!$AJ$4:$AJ$23,0),FALSE)*1000,""),"")</f>
        <v/>
      </c>
      <c r="BC36" s="883" t="str">
        <f>IF(V36="BRAND.com",IFERROR(HLOOKUP(X36&amp;Z36,PLANNING_FC!$AK$27:$AY$46,MATCH(W36,PLANNING_FC!$AJ$27:$AJ$46,0),FALSE)*1000,""),"")</f>
        <v/>
      </c>
    </row>
    <row r="37" spans="1:55" x14ac:dyDescent="0.25">
      <c r="A37" s="509"/>
      <c r="B37" s="510"/>
      <c r="C37" s="509"/>
      <c r="D37" s="509"/>
      <c r="E37" s="509"/>
      <c r="F37" s="509"/>
      <c r="G37" s="509"/>
      <c r="H37" s="509"/>
      <c r="I37" s="512"/>
      <c r="J37" s="513"/>
      <c r="K37" s="879"/>
      <c r="L37" s="515"/>
      <c r="M37" s="516"/>
      <c r="N37" s="56">
        <f t="shared" si="20"/>
        <v>0</v>
      </c>
      <c r="O37" s="57">
        <f t="shared" si="21"/>
        <v>0</v>
      </c>
      <c r="P37" s="57">
        <f ca="1">IFERROR(IF(ISBLANK(H37),SUMIFS($AC:$AC,$V:$V,V37,$W:$W,W37,$X:$X,X37,$Y:$Y,Y37)*J37/(1-J37)*VLOOKUP(_xlfn.CONCAT(C37,D37,E37,TIME!$M$12,Z37),HIS_SALES!$B$2:$W$4859,20,FALSE),AC37*J37/(1-J37)),0)</f>
        <v>0</v>
      </c>
      <c r="Q37" s="541" t="str">
        <f t="shared" si="22"/>
        <v/>
      </c>
      <c r="R37" s="346" t="str">
        <f t="shared" si="3"/>
        <v>00000</v>
      </c>
      <c r="S37" s="344">
        <f t="shared" si="23"/>
        <v>0</v>
      </c>
      <c r="T37" s="345" t="str">
        <f t="shared" si="17"/>
        <v>000</v>
      </c>
      <c r="U37" s="345">
        <f t="shared" si="24"/>
        <v>0</v>
      </c>
      <c r="V37" s="345">
        <f t="shared" si="25"/>
        <v>0</v>
      </c>
      <c r="W37" s="345">
        <f t="shared" si="26"/>
        <v>0</v>
      </c>
      <c r="X37" s="345">
        <f t="shared" si="27"/>
        <v>0</v>
      </c>
      <c r="Y37" s="345">
        <f t="shared" si="28"/>
        <v>0</v>
      </c>
      <c r="Z37" s="345">
        <f>IF(Q37&lt;&gt;"",VLOOKUP(Y37,TIME!$R$21:$V$24,MATCH(FC_DATA!Q37,TIME!$R$20:$V$20,0),FALSE),H37)</f>
        <v>0</v>
      </c>
      <c r="AA37" s="345" t="str">
        <f>IFERROR(VLOOKUP(X37&amp;Z37,TIME!$A$12:$D$71,4,FALSE),"")</f>
        <v/>
      </c>
      <c r="AB37" s="592">
        <f t="shared" ca="1" si="10"/>
        <v>0</v>
      </c>
      <c r="AC37" s="593" t="e">
        <f ca="1">IF(ISBLANK(H37)=FALSE,IF(D37="BRAND.com",I37,IF(ISNA(VLOOKUP(_xlfn.CONCAT(X37,Z37),TIME!$M$40:$M$42,1,FALSE)),I37,VLOOKUP(_xlfn.CONCAT(D37,G37,H37),M_BUSAREA_FC!$AF$5:$AJ$10,5,FALSE)*HLOOKUP(_xlfn.CONCAT(F37,H37),ST_OVERVIEW!$G$99:$I$130,MATCH(_xlfn.CONCAT(D37,E37),ST_OVERVIEW!$F$99:$F$130,0),FALSE))),IF(D37="BRAND.com",VLOOKUP(_xlfn.CONCAT(C37,D37,E37,TIME!$F$1,Z37),HIS_SALES!$B$2:$V$4859,19,FALSE)*I37,VLOOKUP(_xlfn.CONCAT(D37,F37,G37),Q_BUSAREA_FC!$AE$5:$AI$12,5,FALSE)*HLOOKUP(_xlfn.CONCAT(FC_DATA!F37,FC_DATA!G37),LT_OVERVIEW!$I$99:$M$130,MATCH(_xlfn.CONCAT(D37,FC_DATA!E37),LT_OVERVIEW!$H$99:$H$130,0),FALSE)*IFERROR(VLOOKUP(_xlfn.CONCAT(C37,D37,E37,TIME!$F$1,Z37),HIS_SALES!$B$2:$V$4859,19,FALSE),0)))</f>
        <v>#N/A</v>
      </c>
      <c r="AD37" s="341">
        <f t="shared" ca="1" si="29"/>
        <v>0</v>
      </c>
      <c r="AE37" s="363" t="str">
        <f t="shared" si="30"/>
        <v/>
      </c>
      <c r="AF37" s="342" t="str">
        <f t="shared" si="31"/>
        <v/>
      </c>
      <c r="AG37" s="411" t="e">
        <f ca="1">VLOOKUP(_xlfn.CONCAT(U37,V37,W37,VLOOKUP(X37&amp;Y37,TIME!$L$27:$O$34,4,FALSE),Y37),HIS_SALES!$A$2:$R$5093,18,FALSE)</f>
        <v>#N/A</v>
      </c>
      <c r="AH37" s="412" t="e">
        <f ca="1">IFERROR(IF(AND(V37=V36,W37=W36),0.5*(AB37+AB36)*AG37,(VLOOKUP(_xlfn.CONCAT(U37,V37,W37,X37,VLOOKUP(Z37,TIME!$S$28:$T$39,2,FALSE)),FC_DATA!$R$2:$AB$5000,MATCH("GS_I_M",FC_DATA!$R$1:$AB$1,0),FALSE)+FC_DATA!AB37)*0.5*FC_DATA!AG37),NA())</f>
        <v>#N/A</v>
      </c>
      <c r="AI37" s="491" t="e">
        <f ca="1">IF(V37="PARTNER.com",AH37,IF(AND(V37=V36,W37=W36),(1-AVERAGE(AD36,AD37))*AH37,(1-AVERAGE(AD37,VLOOKUP(_xlfn.CONCAT(U37,V37,W37,X37,M_BRAND_FC!$F$6),FC_DATA!$R$2:$AD$5000,MATCH("DISCOUNT_%_M",FC_DATA!$R$1:$AD$1,0),FALSE)))*AH37))</f>
        <v>#N/A</v>
      </c>
      <c r="AJ37" s="412" t="str">
        <f t="shared" ca="1" si="14"/>
        <v/>
      </c>
      <c r="AK37" s="413" t="str">
        <f>IFERROR(AE37/(Q_BRAND_FC!$T$24+1),"")</f>
        <v/>
      </c>
      <c r="AL37" s="88" t="str">
        <f t="shared" ca="1" si="15"/>
        <v/>
      </c>
      <c r="AM37" s="414" t="str">
        <f t="shared" ca="1" si="16"/>
        <v/>
      </c>
      <c r="AN37" s="58">
        <f>IFERROR(IF($V37="BRAND.com",HLOOKUP($X37&amp;$Z37,NWC_FC_NOOS!$C$4:$Q$23,MATCH(W37,NWC_FC_NOOS!$B$4:$B$23,0),FALSE),0),0)</f>
        <v>0</v>
      </c>
      <c r="AO37" s="57">
        <f>IFERROR(IF($V37="BRAND.com",HLOOKUP($X37&amp;$Z37,NWC_FC_NOOS!$T$4:$AH$23,MATCH(W37,NWC_FC_NOOS!$S$4:$S$23,0),FALSE),0),0)</f>
        <v>0</v>
      </c>
      <c r="AP37" s="57">
        <f>IFERROR(IF($V37="BRAND.com",HLOOKUP($X37&amp;$Z37,NWC_FC_NOOS!$C$50:$U$69,MATCH(W37,NWC_FC_NOOS!$B$50:$B$69,0),FALSE),0),0)</f>
        <v>0</v>
      </c>
      <c r="AQ37" s="58">
        <f>IFERROR(IF($V37="BRAND.com",HLOOKUP($X37&amp;$Z37,'NWC_FC_NON-NOOS'!$C$4:$Q$23,MATCH(W37,'NWC_FC_NON-NOOS'!$B$4:$B$23,0),FALSE),0),0)</f>
        <v>0</v>
      </c>
      <c r="AR37" s="57">
        <f>IFERROR(IF($V37="BRAND.com",HLOOKUP($X37&amp;$Z37,'NWC_FC_NON-NOOS'!$T$4:$AH$23,MATCH(W37,'NWC_FC_NON-NOOS'!$S$4:$S$23,0),FALSE),0),0)</f>
        <v>0</v>
      </c>
      <c r="AS37" s="57">
        <f>IFERROR(IF($V37="BRAND.com",HLOOKUP($X37&amp;$Z37,'NWC_FC_NON-NOOS'!$C$50:$U$69,MATCH(W37,'NWC_FC_NON-NOOS'!$B$50:$B$69,0),FALSE),0),0)</f>
        <v>0</v>
      </c>
      <c r="AT37" s="57">
        <f t="shared" si="18"/>
        <v>0</v>
      </c>
      <c r="AU37" s="57">
        <f t="shared" si="19"/>
        <v>0</v>
      </c>
      <c r="AV37" s="58">
        <f>IFERROR(IF($V37="BRAND.com",HLOOKUP($X37&amp;$Z37,PLANNING_FC!$BB$27:$BP$46,MATCH($W37,PLANNING_FC!$BA$27:$BA$46,0),FALSE),0),0)</f>
        <v>0</v>
      </c>
      <c r="AW37" s="58">
        <f>IFERROR(IF($V37="BRAND.com",HLOOKUP($X37&amp;$Z37,PLANNING_FC!$BB$4:$BP$23,MATCH($W37,PLANNING_FC!$BA$4:$BA$23,0),FALSE),0),0)</f>
        <v>0</v>
      </c>
      <c r="AX37" s="58">
        <f>IFERROR(IF($V37="BRAND.com",HLOOKUP($X37&amp;$Z37,PLANNING_FC!$T$27:$AH$46,MATCH($W37,PLANNING_FC!$B$27:$B$46,0),FALSE),0),0)</f>
        <v>0</v>
      </c>
      <c r="AY37" s="58">
        <f>IFERROR(IF($V37="BRAND.com",HLOOKUP($X37&amp;$Z37,PLANNING_FC!$T$4:$AH$23,MATCH($W37,PLANNING_FC!$B$4:$B$23,0),FALSE),0),0)</f>
        <v>0</v>
      </c>
      <c r="AZ37" s="58">
        <f>IFERROR(IF($V37="BRAND.com",HLOOKUP($X37&amp;$Z37,PLANNING_FC!$DA$27:$DO$46,MATCH($W37,PLANNING_FC!$CZ$27:$CZ$46,0),FALSE),0),0)</f>
        <v>0</v>
      </c>
      <c r="BA37" s="58">
        <f>IFERROR(IF($V37="BRAND.com",HLOOKUP($X37&amp;$Z37,PLANNING_FC!$DA$4:$DO$23,MATCH($W37,PLANNING_FC!$CZ$4:$CZ$23,0),FALSE),0),0)</f>
        <v>0</v>
      </c>
      <c r="BB37" s="883" t="str">
        <f>IF(V37="BRAND.com",IFERROR(HLOOKUP(X37&amp;Z37,PLANNING_FC!$AK$4:$AY$23,MATCH(W37,PLANNING_FC!$AJ$4:$AJ$23,0),FALSE)*1000,""),"")</f>
        <v/>
      </c>
      <c r="BC37" s="883" t="str">
        <f>IF(V37="BRAND.com",IFERROR(HLOOKUP(X37&amp;Z37,PLANNING_FC!$AK$27:$AY$46,MATCH(W37,PLANNING_FC!$AJ$27:$AJ$46,0),FALSE)*1000,""),"")</f>
        <v/>
      </c>
    </row>
    <row r="38" spans="1:55" x14ac:dyDescent="0.25">
      <c r="A38" s="509"/>
      <c r="B38" s="510"/>
      <c r="C38" s="509"/>
      <c r="D38" s="509"/>
      <c r="E38" s="509"/>
      <c r="F38" s="509"/>
      <c r="G38" s="509"/>
      <c r="H38" s="509"/>
      <c r="I38" s="512"/>
      <c r="J38" s="513"/>
      <c r="K38" s="879"/>
      <c r="L38" s="515"/>
      <c r="M38" s="516"/>
      <c r="N38" s="56">
        <f t="shared" si="20"/>
        <v>0</v>
      </c>
      <c r="O38" s="57">
        <f t="shared" si="21"/>
        <v>0</v>
      </c>
      <c r="P38" s="57">
        <f ca="1">IFERROR(IF(ISBLANK(H38),SUMIFS($AC:$AC,$V:$V,V38,$W:$W,W38,$X:$X,X38,$Y:$Y,Y38)*J38/(1-J38)*VLOOKUP(_xlfn.CONCAT(C38,D38,E38,TIME!$M$12,Z38),HIS_SALES!$B$2:$W$4859,20,FALSE),AC38*J38/(1-J38)),0)</f>
        <v>0</v>
      </c>
      <c r="Q38" s="541" t="str">
        <f t="shared" si="22"/>
        <v/>
      </c>
      <c r="R38" s="346" t="str">
        <f t="shared" si="3"/>
        <v>00000</v>
      </c>
      <c r="S38" s="344">
        <f t="shared" si="23"/>
        <v>0</v>
      </c>
      <c r="T38" s="345" t="str">
        <f t="shared" si="17"/>
        <v>000</v>
      </c>
      <c r="U38" s="345">
        <f t="shared" si="24"/>
        <v>0</v>
      </c>
      <c r="V38" s="345">
        <f t="shared" si="25"/>
        <v>0</v>
      </c>
      <c r="W38" s="345">
        <f t="shared" si="26"/>
        <v>0</v>
      </c>
      <c r="X38" s="345">
        <f t="shared" si="27"/>
        <v>0</v>
      </c>
      <c r="Y38" s="345">
        <f t="shared" si="28"/>
        <v>0</v>
      </c>
      <c r="Z38" s="345">
        <f>IF(Q38&lt;&gt;"",VLOOKUP(Y38,TIME!$R$21:$V$24,MATCH(FC_DATA!Q38,TIME!$R$20:$V$20,0),FALSE),H38)</f>
        <v>0</v>
      </c>
      <c r="AA38" s="345" t="str">
        <f>IFERROR(VLOOKUP(X38&amp;Z38,TIME!$A$12:$D$71,4,FALSE),"")</f>
        <v/>
      </c>
      <c r="AB38" s="592">
        <f t="shared" ca="1" si="10"/>
        <v>0</v>
      </c>
      <c r="AC38" s="593" t="e">
        <f ca="1">IF(ISBLANK(H38)=FALSE,IF(D38="BRAND.com",I38,IF(ISNA(VLOOKUP(_xlfn.CONCAT(X38,Z38),TIME!$M$40:$M$42,1,FALSE)),I38,VLOOKUP(_xlfn.CONCAT(D38,G38,H38),M_BUSAREA_FC!$AF$5:$AJ$10,5,FALSE)*HLOOKUP(_xlfn.CONCAT(F38,H38),ST_OVERVIEW!$G$99:$I$130,MATCH(_xlfn.CONCAT(D38,E38),ST_OVERVIEW!$F$99:$F$130,0),FALSE))),IF(D38="BRAND.com",VLOOKUP(_xlfn.CONCAT(C38,D38,E38,TIME!$F$1,Z38),HIS_SALES!$B$2:$V$4859,19,FALSE)*I38,VLOOKUP(_xlfn.CONCAT(D38,F38,G38),Q_BUSAREA_FC!$AE$5:$AI$12,5,FALSE)*HLOOKUP(_xlfn.CONCAT(FC_DATA!F38,FC_DATA!G38),LT_OVERVIEW!$I$99:$M$130,MATCH(_xlfn.CONCAT(D38,FC_DATA!E38),LT_OVERVIEW!$H$99:$H$130,0),FALSE)*IFERROR(VLOOKUP(_xlfn.CONCAT(C38,D38,E38,TIME!$F$1,Z38),HIS_SALES!$B$2:$V$4859,19,FALSE),0)))</f>
        <v>#N/A</v>
      </c>
      <c r="AD38" s="341">
        <f t="shared" ca="1" si="29"/>
        <v>0</v>
      </c>
      <c r="AE38" s="363" t="str">
        <f t="shared" si="30"/>
        <v/>
      </c>
      <c r="AF38" s="342" t="str">
        <f t="shared" si="31"/>
        <v/>
      </c>
      <c r="AG38" s="411" t="e">
        <f ca="1">VLOOKUP(_xlfn.CONCAT(U38,V38,W38,VLOOKUP(X38&amp;Y38,TIME!$L$27:$O$34,4,FALSE),Y38),HIS_SALES!$A$2:$R$5093,18,FALSE)</f>
        <v>#N/A</v>
      </c>
      <c r="AH38" s="412" t="e">
        <f ca="1">IFERROR(IF(AND(V38=V37,W38=W37),0.5*(AB38+AB37)*AG38,(VLOOKUP(_xlfn.CONCAT(U38,V38,W38,X38,VLOOKUP(Z38,TIME!$S$28:$T$39,2,FALSE)),FC_DATA!$R$2:$AB$5000,MATCH("GS_I_M",FC_DATA!$R$1:$AB$1,0),FALSE)+FC_DATA!AB38)*0.5*FC_DATA!AG38),NA())</f>
        <v>#N/A</v>
      </c>
      <c r="AI38" s="491" t="e">
        <f ca="1">IF(V38="PARTNER.com",AH38,IF(AND(V38=V37,W38=W37),(1-AVERAGE(AD37,AD38))*AH38,(1-AVERAGE(AD38,VLOOKUP(_xlfn.CONCAT(U38,V38,W38,X38,M_BRAND_FC!$F$6),FC_DATA!$R$2:$AD$5000,MATCH("DISCOUNT_%_M",FC_DATA!$R$1:$AD$1,0),FALSE)))*AH38))</f>
        <v>#N/A</v>
      </c>
      <c r="AJ38" s="412" t="str">
        <f t="shared" ca="1" si="14"/>
        <v/>
      </c>
      <c r="AK38" s="413" t="str">
        <f>IFERROR(AE38/(Q_BRAND_FC!$T$24+1),"")</f>
        <v/>
      </c>
      <c r="AL38" s="88" t="str">
        <f t="shared" ca="1" si="15"/>
        <v/>
      </c>
      <c r="AM38" s="414" t="str">
        <f t="shared" ca="1" si="16"/>
        <v/>
      </c>
      <c r="AN38" s="58">
        <f>IFERROR(IF($V38="BRAND.com",HLOOKUP($X38&amp;$Z38,NWC_FC_NOOS!$C$4:$Q$23,MATCH(W38,NWC_FC_NOOS!$B$4:$B$23,0),FALSE),0),0)</f>
        <v>0</v>
      </c>
      <c r="AO38" s="57">
        <f>IFERROR(IF($V38="BRAND.com",HLOOKUP($X38&amp;$Z38,NWC_FC_NOOS!$T$4:$AH$23,MATCH(W38,NWC_FC_NOOS!$S$4:$S$23,0),FALSE),0),0)</f>
        <v>0</v>
      </c>
      <c r="AP38" s="57">
        <f>IFERROR(IF($V38="BRAND.com",HLOOKUP($X38&amp;$Z38,NWC_FC_NOOS!$C$50:$U$69,MATCH(W38,NWC_FC_NOOS!$B$50:$B$69,0),FALSE),0),0)</f>
        <v>0</v>
      </c>
      <c r="AQ38" s="58">
        <f>IFERROR(IF($V38="BRAND.com",HLOOKUP($X38&amp;$Z38,'NWC_FC_NON-NOOS'!$C$4:$Q$23,MATCH(W38,'NWC_FC_NON-NOOS'!$B$4:$B$23,0),FALSE),0),0)</f>
        <v>0</v>
      </c>
      <c r="AR38" s="57">
        <f>IFERROR(IF($V38="BRAND.com",HLOOKUP($X38&amp;$Z38,'NWC_FC_NON-NOOS'!$T$4:$AH$23,MATCH(W38,'NWC_FC_NON-NOOS'!$S$4:$S$23,0),FALSE),0),0)</f>
        <v>0</v>
      </c>
      <c r="AS38" s="57">
        <f>IFERROR(IF($V38="BRAND.com",HLOOKUP($X38&amp;$Z38,'NWC_FC_NON-NOOS'!$C$50:$U$69,MATCH(W38,'NWC_FC_NON-NOOS'!$B$50:$B$69,0),FALSE),0),0)</f>
        <v>0</v>
      </c>
      <c r="AT38" s="57">
        <f t="shared" si="18"/>
        <v>0</v>
      </c>
      <c r="AU38" s="57">
        <f t="shared" si="19"/>
        <v>0</v>
      </c>
      <c r="AV38" s="58">
        <f>IFERROR(IF($V38="BRAND.com",HLOOKUP($X38&amp;$Z38,PLANNING_FC!$BB$27:$BP$46,MATCH($W38,PLANNING_FC!$BA$27:$BA$46,0),FALSE),0),0)</f>
        <v>0</v>
      </c>
      <c r="AW38" s="58">
        <f>IFERROR(IF($V38="BRAND.com",HLOOKUP($X38&amp;$Z38,PLANNING_FC!$BB$4:$BP$23,MATCH($W38,PLANNING_FC!$BA$4:$BA$23,0),FALSE),0),0)</f>
        <v>0</v>
      </c>
      <c r="AX38" s="58">
        <f>IFERROR(IF($V38="BRAND.com",HLOOKUP($X38&amp;$Z38,PLANNING_FC!$T$27:$AH$46,MATCH($W38,PLANNING_FC!$B$27:$B$46,0),FALSE),0),0)</f>
        <v>0</v>
      </c>
      <c r="AY38" s="58">
        <f>IFERROR(IF($V38="BRAND.com",HLOOKUP($X38&amp;$Z38,PLANNING_FC!$T$4:$AH$23,MATCH($W38,PLANNING_FC!$B$4:$B$23,0),FALSE),0),0)</f>
        <v>0</v>
      </c>
      <c r="AZ38" s="58">
        <f>IFERROR(IF($V38="BRAND.com",HLOOKUP($X38&amp;$Z38,PLANNING_FC!$DA$27:$DO$46,MATCH($W38,PLANNING_FC!$CZ$27:$CZ$46,0),FALSE),0),0)</f>
        <v>0</v>
      </c>
      <c r="BA38" s="58">
        <f>IFERROR(IF($V38="BRAND.com",HLOOKUP($X38&amp;$Z38,PLANNING_FC!$DA$4:$DO$23,MATCH($W38,PLANNING_FC!$CZ$4:$CZ$23,0),FALSE),0),0)</f>
        <v>0</v>
      </c>
      <c r="BB38" s="883" t="str">
        <f>IF(V38="BRAND.com",IFERROR(HLOOKUP(X38&amp;Z38,PLANNING_FC!$AK$4:$AY$23,MATCH(W38,PLANNING_FC!$AJ$4:$AJ$23,0),FALSE)*1000,""),"")</f>
        <v/>
      </c>
      <c r="BC38" s="883" t="str">
        <f>IF(V38="BRAND.com",IFERROR(HLOOKUP(X38&amp;Z38,PLANNING_FC!$AK$27:$AY$46,MATCH(W38,PLANNING_FC!$AJ$27:$AJ$46,0),FALSE)*1000,""),"")</f>
        <v/>
      </c>
    </row>
    <row r="39" spans="1:55" x14ac:dyDescent="0.25">
      <c r="A39" s="509"/>
      <c r="B39" s="510"/>
      <c r="C39" s="509"/>
      <c r="D39" s="509"/>
      <c r="E39" s="509"/>
      <c r="F39" s="509"/>
      <c r="G39" s="509"/>
      <c r="H39" s="509"/>
      <c r="I39" s="512"/>
      <c r="J39" s="513"/>
      <c r="K39" s="879"/>
      <c r="L39" s="515"/>
      <c r="M39" s="516"/>
      <c r="N39" s="56">
        <f t="shared" si="20"/>
        <v>0</v>
      </c>
      <c r="O39" s="57">
        <f t="shared" si="21"/>
        <v>0</v>
      </c>
      <c r="P39" s="57">
        <f ca="1">IFERROR(IF(ISBLANK(H39),SUMIFS($AC:$AC,$V:$V,V39,$W:$W,W39,$X:$X,X39,$Y:$Y,Y39)*J39/(1-J39)*VLOOKUP(_xlfn.CONCAT(C39,D39,E39,TIME!$M$12,Z39),HIS_SALES!$B$2:$W$4859,20,FALSE),AC39*J39/(1-J39)),0)</f>
        <v>0</v>
      </c>
      <c r="Q39" s="541" t="str">
        <f t="shared" si="22"/>
        <v/>
      </c>
      <c r="R39" s="346" t="str">
        <f t="shared" si="3"/>
        <v>00000</v>
      </c>
      <c r="S39" s="344">
        <f t="shared" si="23"/>
        <v>0</v>
      </c>
      <c r="T39" s="345" t="str">
        <f t="shared" si="17"/>
        <v>000</v>
      </c>
      <c r="U39" s="345">
        <f t="shared" si="24"/>
        <v>0</v>
      </c>
      <c r="V39" s="345">
        <f t="shared" si="25"/>
        <v>0</v>
      </c>
      <c r="W39" s="345">
        <f t="shared" si="26"/>
        <v>0</v>
      </c>
      <c r="X39" s="345">
        <f t="shared" si="27"/>
        <v>0</v>
      </c>
      <c r="Y39" s="345">
        <f t="shared" si="28"/>
        <v>0</v>
      </c>
      <c r="Z39" s="345">
        <f>IF(Q39&lt;&gt;"",VLOOKUP(Y39,TIME!$R$21:$V$24,MATCH(FC_DATA!Q39,TIME!$R$20:$V$20,0),FALSE),H39)</f>
        <v>0</v>
      </c>
      <c r="AA39" s="345" t="str">
        <f>IFERROR(VLOOKUP(X39&amp;Z39,TIME!$A$12:$D$71,4,FALSE),"")</f>
        <v/>
      </c>
      <c r="AB39" s="592">
        <f t="shared" ca="1" si="10"/>
        <v>0</v>
      </c>
      <c r="AC39" s="593" t="e">
        <f ca="1">IF(ISBLANK(H39)=FALSE,IF(D39="BRAND.com",I39,IF(ISNA(VLOOKUP(_xlfn.CONCAT(X39,Z39),TIME!$M$40:$M$42,1,FALSE)),I39,VLOOKUP(_xlfn.CONCAT(D39,G39,H39),M_BUSAREA_FC!$AF$5:$AJ$10,5,FALSE)*HLOOKUP(_xlfn.CONCAT(F39,H39),ST_OVERVIEW!$G$99:$I$130,MATCH(_xlfn.CONCAT(D39,E39),ST_OVERVIEW!$F$99:$F$130,0),FALSE))),IF(D39="BRAND.com",VLOOKUP(_xlfn.CONCAT(C39,D39,E39,TIME!$F$1,Z39),HIS_SALES!$B$2:$V$4859,19,FALSE)*I39,VLOOKUP(_xlfn.CONCAT(D39,F39,G39),Q_BUSAREA_FC!$AE$5:$AI$12,5,FALSE)*HLOOKUP(_xlfn.CONCAT(FC_DATA!F39,FC_DATA!G39),LT_OVERVIEW!$I$99:$M$130,MATCH(_xlfn.CONCAT(D39,FC_DATA!E39),LT_OVERVIEW!$H$99:$H$130,0),FALSE)*IFERROR(VLOOKUP(_xlfn.CONCAT(C39,D39,E39,TIME!$F$1,Z39),HIS_SALES!$B$2:$V$4859,19,FALSE),0)))</f>
        <v>#N/A</v>
      </c>
      <c r="AD39" s="341">
        <f t="shared" ca="1" si="29"/>
        <v>0</v>
      </c>
      <c r="AE39" s="363" t="str">
        <f t="shared" si="30"/>
        <v/>
      </c>
      <c r="AF39" s="342" t="str">
        <f t="shared" si="31"/>
        <v/>
      </c>
      <c r="AG39" s="411" t="e">
        <f ca="1">VLOOKUP(_xlfn.CONCAT(U39,V39,W39,VLOOKUP(X39&amp;Y39,TIME!$L$27:$O$34,4,FALSE),Y39),HIS_SALES!$A$2:$R$5093,18,FALSE)</f>
        <v>#N/A</v>
      </c>
      <c r="AH39" s="412" t="e">
        <f ca="1">IFERROR(IF(AND(V39=V38,W39=W38),0.5*(AB39+AB38)*AG39,(VLOOKUP(_xlfn.CONCAT(U39,V39,W39,X39,VLOOKUP(Z39,TIME!$S$28:$T$39,2,FALSE)),FC_DATA!$R$2:$AB$5000,MATCH("GS_I_M",FC_DATA!$R$1:$AB$1,0),FALSE)+FC_DATA!AB39)*0.5*FC_DATA!AG39),NA())</f>
        <v>#N/A</v>
      </c>
      <c r="AI39" s="491" t="e">
        <f ca="1">IF(V39="PARTNER.com",AH39,IF(AND(V39=V38,W39=W38),(1-AVERAGE(AD38,AD39))*AH39,(1-AVERAGE(AD39,VLOOKUP(_xlfn.CONCAT(U39,V39,W39,X39,M_BRAND_FC!$F$6),FC_DATA!$R$2:$AD$5000,MATCH("DISCOUNT_%_M",FC_DATA!$R$1:$AD$1,0),FALSE)))*AH39))</f>
        <v>#N/A</v>
      </c>
      <c r="AJ39" s="412" t="str">
        <f t="shared" ca="1" si="14"/>
        <v/>
      </c>
      <c r="AK39" s="413" t="str">
        <f>IFERROR(AE39/(Q_BRAND_FC!$T$24+1),"")</f>
        <v/>
      </c>
      <c r="AL39" s="88" t="str">
        <f t="shared" ca="1" si="15"/>
        <v/>
      </c>
      <c r="AM39" s="414" t="str">
        <f t="shared" ca="1" si="16"/>
        <v/>
      </c>
      <c r="AN39" s="58">
        <f>IFERROR(IF($V39="BRAND.com",HLOOKUP($X39&amp;$Z39,NWC_FC_NOOS!$C$4:$Q$23,MATCH(W39,NWC_FC_NOOS!$B$4:$B$23,0),FALSE),0),0)</f>
        <v>0</v>
      </c>
      <c r="AO39" s="57">
        <f>IFERROR(IF($V39="BRAND.com",HLOOKUP($X39&amp;$Z39,NWC_FC_NOOS!$T$4:$AH$23,MATCH(W39,NWC_FC_NOOS!$S$4:$S$23,0),FALSE),0),0)</f>
        <v>0</v>
      </c>
      <c r="AP39" s="57">
        <f>IFERROR(IF($V39="BRAND.com",HLOOKUP($X39&amp;$Z39,NWC_FC_NOOS!$C$50:$U$69,MATCH(W39,NWC_FC_NOOS!$B$50:$B$69,0),FALSE),0),0)</f>
        <v>0</v>
      </c>
      <c r="AQ39" s="58">
        <f>IFERROR(IF($V39="BRAND.com",HLOOKUP($X39&amp;$Z39,'NWC_FC_NON-NOOS'!$C$4:$Q$23,MATCH(W39,'NWC_FC_NON-NOOS'!$B$4:$B$23,0),FALSE),0),0)</f>
        <v>0</v>
      </c>
      <c r="AR39" s="57">
        <f>IFERROR(IF($V39="BRAND.com",HLOOKUP($X39&amp;$Z39,'NWC_FC_NON-NOOS'!$T$4:$AH$23,MATCH(W39,'NWC_FC_NON-NOOS'!$S$4:$S$23,0),FALSE),0),0)</f>
        <v>0</v>
      </c>
      <c r="AS39" s="57">
        <f>IFERROR(IF($V39="BRAND.com",HLOOKUP($X39&amp;$Z39,'NWC_FC_NON-NOOS'!$C$50:$U$69,MATCH(W39,'NWC_FC_NON-NOOS'!$B$50:$B$69,0),FALSE),0),0)</f>
        <v>0</v>
      </c>
      <c r="AT39" s="57">
        <f t="shared" si="18"/>
        <v>0</v>
      </c>
      <c r="AU39" s="57">
        <f t="shared" si="19"/>
        <v>0</v>
      </c>
      <c r="AV39" s="58">
        <f>IFERROR(IF($V39="BRAND.com",HLOOKUP($X39&amp;$Z39,PLANNING_FC!$BB$27:$BP$46,MATCH($W39,PLANNING_FC!$BA$27:$BA$46,0),FALSE),0),0)</f>
        <v>0</v>
      </c>
      <c r="AW39" s="58">
        <f>IFERROR(IF($V39="BRAND.com",HLOOKUP($X39&amp;$Z39,PLANNING_FC!$BB$4:$BP$23,MATCH($W39,PLANNING_FC!$BA$4:$BA$23,0),FALSE),0),0)</f>
        <v>0</v>
      </c>
      <c r="AX39" s="58">
        <f>IFERROR(IF($V39="BRAND.com",HLOOKUP($X39&amp;$Z39,PLANNING_FC!$T$27:$AH$46,MATCH($W39,PLANNING_FC!$B$27:$B$46,0),FALSE),0),0)</f>
        <v>0</v>
      </c>
      <c r="AY39" s="58">
        <f>IFERROR(IF($V39="BRAND.com",HLOOKUP($X39&amp;$Z39,PLANNING_FC!$T$4:$AH$23,MATCH($W39,PLANNING_FC!$B$4:$B$23,0),FALSE),0),0)</f>
        <v>0</v>
      </c>
      <c r="AZ39" s="58">
        <f>IFERROR(IF($V39="BRAND.com",HLOOKUP($X39&amp;$Z39,PLANNING_FC!$DA$27:$DO$46,MATCH($W39,PLANNING_FC!$CZ$27:$CZ$46,0),FALSE),0),0)</f>
        <v>0</v>
      </c>
      <c r="BA39" s="58">
        <f>IFERROR(IF($V39="BRAND.com",HLOOKUP($X39&amp;$Z39,PLANNING_FC!$DA$4:$DO$23,MATCH($W39,PLANNING_FC!$CZ$4:$CZ$23,0),FALSE),0),0)</f>
        <v>0</v>
      </c>
      <c r="BB39" s="883" t="str">
        <f>IF(V39="BRAND.com",IFERROR(HLOOKUP(X39&amp;Z39,PLANNING_FC!$AK$4:$AY$23,MATCH(W39,PLANNING_FC!$AJ$4:$AJ$23,0),FALSE)*1000,""),"")</f>
        <v/>
      </c>
      <c r="BC39" s="883" t="str">
        <f>IF(V39="BRAND.com",IFERROR(HLOOKUP(X39&amp;Z39,PLANNING_FC!$AK$27:$AY$46,MATCH(W39,PLANNING_FC!$AJ$27:$AJ$46,0),FALSE)*1000,""),"")</f>
        <v/>
      </c>
    </row>
    <row r="40" spans="1:55" x14ac:dyDescent="0.25">
      <c r="A40" s="509"/>
      <c r="B40" s="510"/>
      <c r="C40" s="509"/>
      <c r="D40" s="509"/>
      <c r="E40" s="509"/>
      <c r="F40" s="509"/>
      <c r="G40" s="509"/>
      <c r="H40" s="509"/>
      <c r="I40" s="512"/>
      <c r="J40" s="513"/>
      <c r="K40" s="879"/>
      <c r="L40" s="515"/>
      <c r="M40" s="516"/>
      <c r="N40" s="56">
        <f t="shared" si="20"/>
        <v>0</v>
      </c>
      <c r="O40" s="57">
        <f t="shared" si="21"/>
        <v>0</v>
      </c>
      <c r="P40" s="57">
        <f ca="1">IFERROR(IF(ISBLANK(H40),SUMIFS($AC:$AC,$V:$V,V40,$W:$W,W40,$X:$X,X40,$Y:$Y,Y40)*J40/(1-J40)*VLOOKUP(_xlfn.CONCAT(C40,D40,E40,TIME!$M$12,Z40),HIS_SALES!$B$2:$W$4859,20,FALSE),AC40*J40/(1-J40)),0)</f>
        <v>0</v>
      </c>
      <c r="Q40" s="541" t="str">
        <f t="shared" si="22"/>
        <v/>
      </c>
      <c r="R40" s="346" t="str">
        <f t="shared" si="3"/>
        <v>00000</v>
      </c>
      <c r="S40" s="344">
        <f t="shared" si="23"/>
        <v>0</v>
      </c>
      <c r="T40" s="345" t="str">
        <f t="shared" si="17"/>
        <v>000</v>
      </c>
      <c r="U40" s="345">
        <f t="shared" si="24"/>
        <v>0</v>
      </c>
      <c r="V40" s="345">
        <f t="shared" si="25"/>
        <v>0</v>
      </c>
      <c r="W40" s="345">
        <f t="shared" si="26"/>
        <v>0</v>
      </c>
      <c r="X40" s="345">
        <f t="shared" si="27"/>
        <v>0</v>
      </c>
      <c r="Y40" s="345">
        <f t="shared" si="28"/>
        <v>0</v>
      </c>
      <c r="Z40" s="345">
        <f>IF(Q40&lt;&gt;"",VLOOKUP(Y40,TIME!$R$21:$V$24,MATCH(FC_DATA!Q40,TIME!$R$20:$V$20,0),FALSE),H40)</f>
        <v>0</v>
      </c>
      <c r="AA40" s="345" t="str">
        <f>IFERROR(VLOOKUP(X40&amp;Z40,TIME!$A$12:$D$71,4,FALSE),"")</f>
        <v/>
      </c>
      <c r="AB40" s="592">
        <f t="shared" ca="1" si="10"/>
        <v>0</v>
      </c>
      <c r="AC40" s="593" t="e">
        <f ca="1">IF(ISBLANK(H40)=FALSE,IF(D40="BRAND.com",I40,IF(ISNA(VLOOKUP(_xlfn.CONCAT(X40,Z40),TIME!$M$40:$M$42,1,FALSE)),I40,VLOOKUP(_xlfn.CONCAT(D40,G40,H40),M_BUSAREA_FC!$AF$5:$AJ$10,5,FALSE)*HLOOKUP(_xlfn.CONCAT(F40,H40),ST_OVERVIEW!$G$99:$I$130,MATCH(_xlfn.CONCAT(D40,E40),ST_OVERVIEW!$F$99:$F$130,0),FALSE))),IF(D40="BRAND.com",VLOOKUP(_xlfn.CONCAT(C40,D40,E40,TIME!$F$1,Z40),HIS_SALES!$B$2:$V$4859,19,FALSE)*I40,VLOOKUP(_xlfn.CONCAT(D40,F40,G40),Q_BUSAREA_FC!$AE$5:$AI$12,5,FALSE)*HLOOKUP(_xlfn.CONCAT(FC_DATA!F40,FC_DATA!G40),LT_OVERVIEW!$I$99:$M$130,MATCH(_xlfn.CONCAT(D40,FC_DATA!E40),LT_OVERVIEW!$H$99:$H$130,0),FALSE)*IFERROR(VLOOKUP(_xlfn.CONCAT(C40,D40,E40,TIME!$F$1,Z40),HIS_SALES!$B$2:$V$4859,19,FALSE),0)))</f>
        <v>#N/A</v>
      </c>
      <c r="AD40" s="341">
        <f t="shared" ca="1" si="29"/>
        <v>0</v>
      </c>
      <c r="AE40" s="363" t="str">
        <f t="shared" si="30"/>
        <v/>
      </c>
      <c r="AF40" s="342" t="str">
        <f t="shared" si="31"/>
        <v/>
      </c>
      <c r="AG40" s="411" t="e">
        <f ca="1">VLOOKUP(_xlfn.CONCAT(U40,V40,W40,VLOOKUP(X40&amp;Y40,TIME!$L$27:$O$34,4,FALSE),Y40),HIS_SALES!$A$2:$R$5093,18,FALSE)</f>
        <v>#N/A</v>
      </c>
      <c r="AH40" s="412" t="e">
        <f ca="1">IFERROR(IF(AND(V40=V39,W40=W39),0.5*(AB40+AB39)*AG40,(VLOOKUP(_xlfn.CONCAT(U40,V40,W40,X40,VLOOKUP(Z40,TIME!$S$28:$T$39,2,FALSE)),FC_DATA!$R$2:$AB$5000,MATCH("GS_I_M",FC_DATA!$R$1:$AB$1,0),FALSE)+FC_DATA!AB40)*0.5*FC_DATA!AG40),NA())</f>
        <v>#N/A</v>
      </c>
      <c r="AI40" s="491" t="e">
        <f ca="1">IF(V40="PARTNER.com",AH40,IF(AND(V40=V39,W40=W39),(1-AVERAGE(AD39,AD40))*AH40,(1-AVERAGE(AD40,VLOOKUP(_xlfn.CONCAT(U40,V40,W40,X40,M_BRAND_FC!$F$6),FC_DATA!$R$2:$AD$5000,MATCH("DISCOUNT_%_M",FC_DATA!$R$1:$AD$1,0),FALSE)))*AH40))</f>
        <v>#N/A</v>
      </c>
      <c r="AJ40" s="412" t="str">
        <f t="shared" ca="1" si="14"/>
        <v/>
      </c>
      <c r="AK40" s="413" t="str">
        <f>IFERROR(AE40/(Q_BRAND_FC!$T$24+1),"")</f>
        <v/>
      </c>
      <c r="AL40" s="88" t="str">
        <f t="shared" ca="1" si="15"/>
        <v/>
      </c>
      <c r="AM40" s="414" t="str">
        <f t="shared" ca="1" si="16"/>
        <v/>
      </c>
      <c r="AN40" s="58">
        <f>IFERROR(IF($V40="BRAND.com",HLOOKUP($X40&amp;$Z40,NWC_FC_NOOS!$C$4:$Q$23,MATCH(W40,NWC_FC_NOOS!$B$4:$B$23,0),FALSE),0),0)</f>
        <v>0</v>
      </c>
      <c r="AO40" s="57">
        <f>IFERROR(IF($V40="BRAND.com",HLOOKUP($X40&amp;$Z40,NWC_FC_NOOS!$T$4:$AH$23,MATCH(W40,NWC_FC_NOOS!$S$4:$S$23,0),FALSE),0),0)</f>
        <v>0</v>
      </c>
      <c r="AP40" s="57">
        <f>IFERROR(IF($V40="BRAND.com",HLOOKUP($X40&amp;$Z40,NWC_FC_NOOS!$C$50:$U$69,MATCH(W40,NWC_FC_NOOS!$B$50:$B$69,0),FALSE),0),0)</f>
        <v>0</v>
      </c>
      <c r="AQ40" s="58">
        <f>IFERROR(IF($V40="BRAND.com",HLOOKUP($X40&amp;$Z40,'NWC_FC_NON-NOOS'!$C$4:$Q$23,MATCH(W40,'NWC_FC_NON-NOOS'!$B$4:$B$23,0),FALSE),0),0)</f>
        <v>0</v>
      </c>
      <c r="AR40" s="57">
        <f>IFERROR(IF($V40="BRAND.com",HLOOKUP($X40&amp;$Z40,'NWC_FC_NON-NOOS'!$T$4:$AH$23,MATCH(W40,'NWC_FC_NON-NOOS'!$S$4:$S$23,0),FALSE),0),0)</f>
        <v>0</v>
      </c>
      <c r="AS40" s="57">
        <f>IFERROR(IF($V40="BRAND.com",HLOOKUP($X40&amp;$Z40,'NWC_FC_NON-NOOS'!$C$50:$U$69,MATCH(W40,'NWC_FC_NON-NOOS'!$B$50:$B$69,0),FALSE),0),0)</f>
        <v>0</v>
      </c>
      <c r="AT40" s="57">
        <f t="shared" si="18"/>
        <v>0</v>
      </c>
      <c r="AU40" s="57">
        <f t="shared" si="19"/>
        <v>0</v>
      </c>
      <c r="AV40" s="58">
        <f>IFERROR(IF($V40="BRAND.com",HLOOKUP($X40&amp;$Z40,PLANNING_FC!$BB$27:$BP$46,MATCH($W40,PLANNING_FC!$BA$27:$BA$46,0),FALSE),0),0)</f>
        <v>0</v>
      </c>
      <c r="AW40" s="58">
        <f>IFERROR(IF($V40="BRAND.com",HLOOKUP($X40&amp;$Z40,PLANNING_FC!$BB$4:$BP$23,MATCH($W40,PLANNING_FC!$BA$4:$BA$23,0),FALSE),0),0)</f>
        <v>0</v>
      </c>
      <c r="AX40" s="58">
        <f>IFERROR(IF($V40="BRAND.com",HLOOKUP($X40&amp;$Z40,PLANNING_FC!$T$27:$AH$46,MATCH($W40,PLANNING_FC!$B$27:$B$46,0),FALSE),0),0)</f>
        <v>0</v>
      </c>
      <c r="AY40" s="58">
        <f>IFERROR(IF($V40="BRAND.com",HLOOKUP($X40&amp;$Z40,PLANNING_FC!$T$4:$AH$23,MATCH($W40,PLANNING_FC!$B$4:$B$23,0),FALSE),0),0)</f>
        <v>0</v>
      </c>
      <c r="AZ40" s="58">
        <f>IFERROR(IF($V40="BRAND.com",HLOOKUP($X40&amp;$Z40,PLANNING_FC!$DA$27:$DO$46,MATCH($W40,PLANNING_FC!$CZ$27:$CZ$46,0),FALSE),0),0)</f>
        <v>0</v>
      </c>
      <c r="BA40" s="58">
        <f>IFERROR(IF($V40="BRAND.com",HLOOKUP($X40&amp;$Z40,PLANNING_FC!$DA$4:$DO$23,MATCH($W40,PLANNING_FC!$CZ$4:$CZ$23,0),FALSE),0),0)</f>
        <v>0</v>
      </c>
      <c r="BB40" s="883" t="str">
        <f>IF(V40="BRAND.com",IFERROR(HLOOKUP(X40&amp;Z40,PLANNING_FC!$AK$4:$AY$23,MATCH(W40,PLANNING_FC!$AJ$4:$AJ$23,0),FALSE)*1000,""),"")</f>
        <v/>
      </c>
      <c r="BC40" s="883" t="str">
        <f>IF(V40="BRAND.com",IFERROR(HLOOKUP(X40&amp;Z40,PLANNING_FC!$AK$27:$AY$46,MATCH(W40,PLANNING_FC!$AJ$27:$AJ$46,0),FALSE)*1000,""),"")</f>
        <v/>
      </c>
    </row>
    <row r="41" spans="1:55" x14ac:dyDescent="0.25">
      <c r="A41" s="509"/>
      <c r="B41" s="510"/>
      <c r="C41" s="509"/>
      <c r="D41" s="509"/>
      <c r="E41" s="509"/>
      <c r="F41" s="509"/>
      <c r="G41" s="509"/>
      <c r="H41" s="509"/>
      <c r="I41" s="512"/>
      <c r="J41" s="513"/>
      <c r="K41" s="879"/>
      <c r="L41" s="515"/>
      <c r="M41" s="516"/>
      <c r="N41" s="56">
        <f t="shared" si="20"/>
        <v>0</v>
      </c>
      <c r="O41" s="57">
        <f t="shared" si="21"/>
        <v>0</v>
      </c>
      <c r="P41" s="57">
        <f ca="1">IFERROR(IF(ISBLANK(H41),SUMIFS($AC:$AC,$V:$V,V41,$W:$W,W41,$X:$X,X41,$Y:$Y,Y41)*J41/(1-J41)*VLOOKUP(_xlfn.CONCAT(C41,D41,E41,TIME!$M$12,Z41),HIS_SALES!$B$2:$W$4859,20,FALSE),AC41*J41/(1-J41)),0)</f>
        <v>0</v>
      </c>
      <c r="Q41" s="541" t="str">
        <f t="shared" si="22"/>
        <v/>
      </c>
      <c r="R41" s="346" t="str">
        <f t="shared" si="3"/>
        <v>00000</v>
      </c>
      <c r="S41" s="344">
        <f t="shared" si="23"/>
        <v>0</v>
      </c>
      <c r="T41" s="345" t="str">
        <f t="shared" si="17"/>
        <v>000</v>
      </c>
      <c r="U41" s="345">
        <f t="shared" si="24"/>
        <v>0</v>
      </c>
      <c r="V41" s="345">
        <f t="shared" si="25"/>
        <v>0</v>
      </c>
      <c r="W41" s="345">
        <f t="shared" si="26"/>
        <v>0</v>
      </c>
      <c r="X41" s="345">
        <f t="shared" si="27"/>
        <v>0</v>
      </c>
      <c r="Y41" s="345">
        <f t="shared" si="28"/>
        <v>0</v>
      </c>
      <c r="Z41" s="345">
        <f>IF(Q41&lt;&gt;"",VLOOKUP(Y41,TIME!$R$21:$V$24,MATCH(FC_DATA!Q41,TIME!$R$20:$V$20,0),FALSE),H41)</f>
        <v>0</v>
      </c>
      <c r="AA41" s="345" t="str">
        <f>IFERROR(VLOOKUP(X41&amp;Z41,TIME!$A$12:$D$71,4,FALSE),"")</f>
        <v/>
      </c>
      <c r="AB41" s="592">
        <f t="shared" ca="1" si="10"/>
        <v>0</v>
      </c>
      <c r="AC41" s="593" t="e">
        <f ca="1">IF(ISBLANK(H41)=FALSE,IF(D41="BRAND.com",I41,IF(ISNA(VLOOKUP(_xlfn.CONCAT(X41,Z41),TIME!$M$40:$M$42,1,FALSE)),I41,VLOOKUP(_xlfn.CONCAT(D41,G41,H41),M_BUSAREA_FC!$AF$5:$AJ$10,5,FALSE)*HLOOKUP(_xlfn.CONCAT(F41,H41),ST_OVERVIEW!$G$99:$I$130,MATCH(_xlfn.CONCAT(D41,E41),ST_OVERVIEW!$F$99:$F$130,0),FALSE))),IF(D41="BRAND.com",VLOOKUP(_xlfn.CONCAT(C41,D41,E41,TIME!$F$1,Z41),HIS_SALES!$B$2:$V$4859,19,FALSE)*I41,VLOOKUP(_xlfn.CONCAT(D41,F41,G41),Q_BUSAREA_FC!$AE$5:$AI$12,5,FALSE)*HLOOKUP(_xlfn.CONCAT(FC_DATA!F41,FC_DATA!G41),LT_OVERVIEW!$I$99:$M$130,MATCH(_xlfn.CONCAT(D41,FC_DATA!E41),LT_OVERVIEW!$H$99:$H$130,0),FALSE)*IFERROR(VLOOKUP(_xlfn.CONCAT(C41,D41,E41,TIME!$F$1,Z41),HIS_SALES!$B$2:$V$4859,19,FALSE),0)))</f>
        <v>#N/A</v>
      </c>
      <c r="AD41" s="341">
        <f t="shared" ca="1" si="29"/>
        <v>0</v>
      </c>
      <c r="AE41" s="363" t="str">
        <f t="shared" si="30"/>
        <v/>
      </c>
      <c r="AF41" s="342" t="str">
        <f t="shared" si="31"/>
        <v/>
      </c>
      <c r="AG41" s="411" t="e">
        <f ca="1">VLOOKUP(_xlfn.CONCAT(U41,V41,W41,VLOOKUP(X41&amp;Y41,TIME!$L$27:$O$34,4,FALSE),Y41),HIS_SALES!$A$2:$R$5093,18,FALSE)</f>
        <v>#N/A</v>
      </c>
      <c r="AH41" s="412" t="e">
        <f ca="1">IFERROR(IF(AND(V41=V40,W41=W40),0.5*(AB41+AB40)*AG41,(VLOOKUP(_xlfn.CONCAT(U41,V41,W41,X41,VLOOKUP(Z41,TIME!$S$28:$T$39,2,FALSE)),FC_DATA!$R$2:$AB$5000,MATCH("GS_I_M",FC_DATA!$R$1:$AB$1,0),FALSE)+FC_DATA!AB41)*0.5*FC_DATA!AG41),NA())</f>
        <v>#N/A</v>
      </c>
      <c r="AI41" s="491" t="e">
        <f ca="1">IF(V41="PARTNER.com",AH41,IF(AND(V41=V40,W41=W40),(1-AVERAGE(AD40,AD41))*AH41,(1-AVERAGE(AD41,VLOOKUP(_xlfn.CONCAT(U41,V41,W41,X41,M_BRAND_FC!$F$6),FC_DATA!$R$2:$AD$5000,MATCH("DISCOUNT_%_M",FC_DATA!$R$1:$AD$1,0),FALSE)))*AH41))</f>
        <v>#N/A</v>
      </c>
      <c r="AJ41" s="412" t="str">
        <f t="shared" ca="1" si="14"/>
        <v/>
      </c>
      <c r="AK41" s="413" t="str">
        <f>IFERROR(AE41/(Q_BRAND_FC!$T$24+1),"")</f>
        <v/>
      </c>
      <c r="AL41" s="88" t="str">
        <f t="shared" ca="1" si="15"/>
        <v/>
      </c>
      <c r="AM41" s="414" t="str">
        <f t="shared" ca="1" si="16"/>
        <v/>
      </c>
      <c r="AN41" s="58">
        <f>IFERROR(IF($V41="BRAND.com",HLOOKUP($X41&amp;$Z41,NWC_FC_NOOS!$C$4:$Q$23,MATCH(W41,NWC_FC_NOOS!$B$4:$B$23,0),FALSE),0),0)</f>
        <v>0</v>
      </c>
      <c r="AO41" s="57">
        <f>IFERROR(IF($V41="BRAND.com",HLOOKUP($X41&amp;$Z41,NWC_FC_NOOS!$T$4:$AH$23,MATCH(W41,NWC_FC_NOOS!$S$4:$S$23,0),FALSE),0),0)</f>
        <v>0</v>
      </c>
      <c r="AP41" s="57">
        <f>IFERROR(IF($V41="BRAND.com",HLOOKUP($X41&amp;$Z41,NWC_FC_NOOS!$C$50:$U$69,MATCH(W41,NWC_FC_NOOS!$B$50:$B$69,0),FALSE),0),0)</f>
        <v>0</v>
      </c>
      <c r="AQ41" s="58">
        <f>IFERROR(IF($V41="BRAND.com",HLOOKUP($X41&amp;$Z41,'NWC_FC_NON-NOOS'!$C$4:$Q$23,MATCH(W41,'NWC_FC_NON-NOOS'!$B$4:$B$23,0),FALSE),0),0)</f>
        <v>0</v>
      </c>
      <c r="AR41" s="57">
        <f>IFERROR(IF($V41="BRAND.com",HLOOKUP($X41&amp;$Z41,'NWC_FC_NON-NOOS'!$T$4:$AH$23,MATCH(W41,'NWC_FC_NON-NOOS'!$S$4:$S$23,0),FALSE),0),0)</f>
        <v>0</v>
      </c>
      <c r="AS41" s="57">
        <f>IFERROR(IF($V41="BRAND.com",HLOOKUP($X41&amp;$Z41,'NWC_FC_NON-NOOS'!$C$50:$U$69,MATCH(W41,'NWC_FC_NON-NOOS'!$B$50:$B$69,0),FALSE),0),0)</f>
        <v>0</v>
      </c>
      <c r="AT41" s="57">
        <f t="shared" si="18"/>
        <v>0</v>
      </c>
      <c r="AU41" s="57">
        <f t="shared" si="19"/>
        <v>0</v>
      </c>
      <c r="AV41" s="58">
        <f>IFERROR(IF($V41="BRAND.com",HLOOKUP($X41&amp;$Z41,PLANNING_FC!$BB$27:$BP$46,MATCH($W41,PLANNING_FC!$BA$27:$BA$46,0),FALSE),0),0)</f>
        <v>0</v>
      </c>
      <c r="AW41" s="58">
        <f>IFERROR(IF($V41="BRAND.com",HLOOKUP($X41&amp;$Z41,PLANNING_FC!$BB$4:$BP$23,MATCH($W41,PLANNING_FC!$BA$4:$BA$23,0),FALSE),0),0)</f>
        <v>0</v>
      </c>
      <c r="AX41" s="58">
        <f>IFERROR(IF($V41="BRAND.com",HLOOKUP($X41&amp;$Z41,PLANNING_FC!$T$27:$AH$46,MATCH($W41,PLANNING_FC!$B$27:$B$46,0),FALSE),0),0)</f>
        <v>0</v>
      </c>
      <c r="AY41" s="58">
        <f>IFERROR(IF($V41="BRAND.com",HLOOKUP($X41&amp;$Z41,PLANNING_FC!$T$4:$AH$23,MATCH($W41,PLANNING_FC!$B$4:$B$23,0),FALSE),0),0)</f>
        <v>0</v>
      </c>
      <c r="AZ41" s="58">
        <f>IFERROR(IF($V41="BRAND.com",HLOOKUP($X41&amp;$Z41,PLANNING_FC!$DA$27:$DO$46,MATCH($W41,PLANNING_FC!$CZ$27:$CZ$46,0),FALSE),0),0)</f>
        <v>0</v>
      </c>
      <c r="BA41" s="58">
        <f>IFERROR(IF($V41="BRAND.com",HLOOKUP($X41&amp;$Z41,PLANNING_FC!$DA$4:$DO$23,MATCH($W41,PLANNING_FC!$CZ$4:$CZ$23,0),FALSE),0),0)</f>
        <v>0</v>
      </c>
      <c r="BB41" s="883" t="str">
        <f>IF(V41="BRAND.com",IFERROR(HLOOKUP(X41&amp;Z41,PLANNING_FC!$AK$4:$AY$23,MATCH(W41,PLANNING_FC!$AJ$4:$AJ$23,0),FALSE)*1000,""),"")</f>
        <v/>
      </c>
      <c r="BC41" s="883" t="str">
        <f>IF(V41="BRAND.com",IFERROR(HLOOKUP(X41&amp;Z41,PLANNING_FC!$AK$27:$AY$46,MATCH(W41,PLANNING_FC!$AJ$27:$AJ$46,0),FALSE)*1000,""),"")</f>
        <v/>
      </c>
    </row>
    <row r="42" spans="1:55" x14ac:dyDescent="0.25">
      <c r="A42" s="509"/>
      <c r="B42" s="510"/>
      <c r="C42" s="509"/>
      <c r="D42" s="509"/>
      <c r="E42" s="509"/>
      <c r="F42" s="509"/>
      <c r="G42" s="509"/>
      <c r="H42" s="509"/>
      <c r="I42" s="512"/>
      <c r="J42" s="513"/>
      <c r="K42" s="879"/>
      <c r="L42" s="515"/>
      <c r="M42" s="516"/>
      <c r="N42" s="56">
        <f t="shared" si="20"/>
        <v>0</v>
      </c>
      <c r="O42" s="57">
        <f t="shared" si="21"/>
        <v>0</v>
      </c>
      <c r="P42" s="57">
        <f ca="1">IFERROR(IF(ISBLANK(H42),SUMIFS($AC:$AC,$V:$V,V42,$W:$W,W42,$X:$X,X42,$Y:$Y,Y42)*J42/(1-J42)*VLOOKUP(_xlfn.CONCAT(C42,D42,E42,TIME!$M$12,Z42),HIS_SALES!$B$2:$W$4859,20,FALSE),AC42*J42/(1-J42)),0)</f>
        <v>0</v>
      </c>
      <c r="Q42" s="541" t="str">
        <f t="shared" si="22"/>
        <v/>
      </c>
      <c r="R42" s="346" t="str">
        <f t="shared" si="3"/>
        <v>00000</v>
      </c>
      <c r="S42" s="344">
        <f t="shared" si="23"/>
        <v>0</v>
      </c>
      <c r="T42" s="345" t="str">
        <f t="shared" si="17"/>
        <v>000</v>
      </c>
      <c r="U42" s="345">
        <f t="shared" si="24"/>
        <v>0</v>
      </c>
      <c r="V42" s="345">
        <f t="shared" si="25"/>
        <v>0</v>
      </c>
      <c r="W42" s="345">
        <f t="shared" si="26"/>
        <v>0</v>
      </c>
      <c r="X42" s="345">
        <f t="shared" si="27"/>
        <v>0</v>
      </c>
      <c r="Y42" s="345">
        <f t="shared" si="28"/>
        <v>0</v>
      </c>
      <c r="Z42" s="345">
        <f>IF(Q42&lt;&gt;"",VLOOKUP(Y42,TIME!$R$21:$V$24,MATCH(FC_DATA!Q42,TIME!$R$20:$V$20,0),FALSE),H42)</f>
        <v>0</v>
      </c>
      <c r="AA42" s="345" t="str">
        <f>IFERROR(VLOOKUP(X42&amp;Z42,TIME!$A$12:$D$71,4,FALSE),"")</f>
        <v/>
      </c>
      <c r="AB42" s="592">
        <f t="shared" ca="1" si="10"/>
        <v>0</v>
      </c>
      <c r="AC42" s="593" t="e">
        <f ca="1">IF(ISBLANK(H42)=FALSE,IF(D42="BRAND.com",I42,IF(ISNA(VLOOKUP(_xlfn.CONCAT(X42,Z42),TIME!$M$40:$M$42,1,FALSE)),I42,VLOOKUP(_xlfn.CONCAT(D42,G42,H42),M_BUSAREA_FC!$AF$5:$AJ$10,5,FALSE)*HLOOKUP(_xlfn.CONCAT(F42,H42),ST_OVERVIEW!$G$99:$I$130,MATCH(_xlfn.CONCAT(D42,E42),ST_OVERVIEW!$F$99:$F$130,0),FALSE))),IF(D42="BRAND.com",VLOOKUP(_xlfn.CONCAT(C42,D42,E42,TIME!$F$1,Z42),HIS_SALES!$B$2:$V$4859,19,FALSE)*I42,VLOOKUP(_xlfn.CONCAT(D42,F42,G42),Q_BUSAREA_FC!$AE$5:$AI$12,5,FALSE)*HLOOKUP(_xlfn.CONCAT(FC_DATA!F42,FC_DATA!G42),LT_OVERVIEW!$I$99:$M$130,MATCH(_xlfn.CONCAT(D42,FC_DATA!E42),LT_OVERVIEW!$H$99:$H$130,0),FALSE)*IFERROR(VLOOKUP(_xlfn.CONCAT(C42,D42,E42,TIME!$F$1,Z42),HIS_SALES!$B$2:$V$4859,19,FALSE),0)))</f>
        <v>#N/A</v>
      </c>
      <c r="AD42" s="341">
        <f t="shared" ca="1" si="29"/>
        <v>0</v>
      </c>
      <c r="AE42" s="363" t="str">
        <f t="shared" si="30"/>
        <v/>
      </c>
      <c r="AF42" s="342" t="str">
        <f t="shared" si="31"/>
        <v/>
      </c>
      <c r="AG42" s="411" t="e">
        <f ca="1">VLOOKUP(_xlfn.CONCAT(U42,V42,W42,VLOOKUP(X42&amp;Y42,TIME!$L$27:$O$34,4,FALSE),Y42),HIS_SALES!$A$2:$R$5093,18,FALSE)</f>
        <v>#N/A</v>
      </c>
      <c r="AH42" s="412" t="e">
        <f ca="1">IFERROR(IF(AND(V42=V41,W42=W41),0.5*(AB42+AB41)*AG42,(VLOOKUP(_xlfn.CONCAT(U42,V42,W42,X42,VLOOKUP(Z42,TIME!$S$28:$T$39,2,FALSE)),FC_DATA!$R$2:$AB$5000,MATCH("GS_I_M",FC_DATA!$R$1:$AB$1,0),FALSE)+FC_DATA!AB42)*0.5*FC_DATA!AG42),NA())</f>
        <v>#N/A</v>
      </c>
      <c r="AI42" s="491" t="e">
        <f ca="1">IF(V42="PARTNER.com",AH42,IF(AND(V42=V41,W42=W41),(1-AVERAGE(AD41,AD42))*AH42,(1-AVERAGE(AD42,VLOOKUP(_xlfn.CONCAT(U42,V42,W42,X42,M_BRAND_FC!$F$6),FC_DATA!$R$2:$AD$5000,MATCH("DISCOUNT_%_M",FC_DATA!$R$1:$AD$1,0),FALSE)))*AH42))</f>
        <v>#N/A</v>
      </c>
      <c r="AJ42" s="412" t="str">
        <f t="shared" ca="1" si="14"/>
        <v/>
      </c>
      <c r="AK42" s="413" t="str">
        <f>IFERROR(AE42/(Q_BRAND_FC!$T$24+1),"")</f>
        <v/>
      </c>
      <c r="AL42" s="88" t="str">
        <f t="shared" ca="1" si="15"/>
        <v/>
      </c>
      <c r="AM42" s="414" t="str">
        <f t="shared" ca="1" si="16"/>
        <v/>
      </c>
      <c r="AN42" s="58">
        <f>IFERROR(IF($V42="BRAND.com",HLOOKUP($X42&amp;$Z42,NWC_FC_NOOS!$C$4:$Q$23,MATCH(W42,NWC_FC_NOOS!$B$4:$B$23,0),FALSE),0),0)</f>
        <v>0</v>
      </c>
      <c r="AO42" s="57">
        <f>IFERROR(IF($V42="BRAND.com",HLOOKUP($X42&amp;$Z42,NWC_FC_NOOS!$T$4:$AH$23,MATCH(W42,NWC_FC_NOOS!$S$4:$S$23,0),FALSE),0),0)</f>
        <v>0</v>
      </c>
      <c r="AP42" s="57">
        <f>IFERROR(IF($V42="BRAND.com",HLOOKUP($X42&amp;$Z42,NWC_FC_NOOS!$C$50:$U$69,MATCH(W42,NWC_FC_NOOS!$B$50:$B$69,0),FALSE),0),0)</f>
        <v>0</v>
      </c>
      <c r="AQ42" s="58">
        <f>IFERROR(IF($V42="BRAND.com",HLOOKUP($X42&amp;$Z42,'NWC_FC_NON-NOOS'!$C$4:$Q$23,MATCH(W42,'NWC_FC_NON-NOOS'!$B$4:$B$23,0),FALSE),0),0)</f>
        <v>0</v>
      </c>
      <c r="AR42" s="57">
        <f>IFERROR(IF($V42="BRAND.com",HLOOKUP($X42&amp;$Z42,'NWC_FC_NON-NOOS'!$T$4:$AH$23,MATCH(W42,'NWC_FC_NON-NOOS'!$S$4:$S$23,0),FALSE),0),0)</f>
        <v>0</v>
      </c>
      <c r="AS42" s="57">
        <f>IFERROR(IF($V42="BRAND.com",HLOOKUP($X42&amp;$Z42,'NWC_FC_NON-NOOS'!$C$50:$U$69,MATCH(W42,'NWC_FC_NON-NOOS'!$B$50:$B$69,0),FALSE),0),0)</f>
        <v>0</v>
      </c>
      <c r="AT42" s="57">
        <f t="shared" si="18"/>
        <v>0</v>
      </c>
      <c r="AU42" s="57">
        <f t="shared" si="19"/>
        <v>0</v>
      </c>
      <c r="AV42" s="58">
        <f>IFERROR(IF($V42="BRAND.com",HLOOKUP($X42&amp;$Z42,PLANNING_FC!$BB$27:$BP$46,MATCH($W42,PLANNING_FC!$BA$27:$BA$46,0),FALSE),0),0)</f>
        <v>0</v>
      </c>
      <c r="AW42" s="58">
        <f>IFERROR(IF($V42="BRAND.com",HLOOKUP($X42&amp;$Z42,PLANNING_FC!$BB$4:$BP$23,MATCH($W42,PLANNING_FC!$BA$4:$BA$23,0),FALSE),0),0)</f>
        <v>0</v>
      </c>
      <c r="AX42" s="58">
        <f>IFERROR(IF($V42="BRAND.com",HLOOKUP($X42&amp;$Z42,PLANNING_FC!$T$27:$AH$46,MATCH($W42,PLANNING_FC!$B$27:$B$46,0),FALSE),0),0)</f>
        <v>0</v>
      </c>
      <c r="AY42" s="58">
        <f>IFERROR(IF($V42="BRAND.com",HLOOKUP($X42&amp;$Z42,PLANNING_FC!$T$4:$AH$23,MATCH($W42,PLANNING_FC!$B$4:$B$23,0),FALSE),0),0)</f>
        <v>0</v>
      </c>
      <c r="AZ42" s="58">
        <f>IFERROR(IF($V42="BRAND.com",HLOOKUP($X42&amp;$Z42,PLANNING_FC!$DA$27:$DO$46,MATCH($W42,PLANNING_FC!$CZ$27:$CZ$46,0),FALSE),0),0)</f>
        <v>0</v>
      </c>
      <c r="BA42" s="58">
        <f>IFERROR(IF($V42="BRAND.com",HLOOKUP($X42&amp;$Z42,PLANNING_FC!$DA$4:$DO$23,MATCH($W42,PLANNING_FC!$CZ$4:$CZ$23,0),FALSE),0),0)</f>
        <v>0</v>
      </c>
      <c r="BB42" s="883" t="str">
        <f>IF(V42="BRAND.com",IFERROR(HLOOKUP(X42&amp;Z42,PLANNING_FC!$AK$4:$AY$23,MATCH(W42,PLANNING_FC!$AJ$4:$AJ$23,0),FALSE)*1000,""),"")</f>
        <v/>
      </c>
      <c r="BC42" s="883" t="str">
        <f>IF(V42="BRAND.com",IFERROR(HLOOKUP(X42&amp;Z42,PLANNING_FC!$AK$27:$AY$46,MATCH(W42,PLANNING_FC!$AJ$27:$AJ$46,0),FALSE)*1000,""),"")</f>
        <v/>
      </c>
    </row>
    <row r="43" spans="1:55" x14ac:dyDescent="0.25">
      <c r="A43" s="509"/>
      <c r="B43" s="510"/>
      <c r="C43" s="509"/>
      <c r="D43" s="509"/>
      <c r="E43" s="509"/>
      <c r="F43" s="509"/>
      <c r="G43" s="509"/>
      <c r="H43" s="509"/>
      <c r="I43" s="512"/>
      <c r="J43" s="513"/>
      <c r="K43" s="879"/>
      <c r="L43" s="515"/>
      <c r="M43" s="516"/>
      <c r="N43" s="56">
        <f t="shared" si="20"/>
        <v>0</v>
      </c>
      <c r="O43" s="57">
        <f t="shared" si="21"/>
        <v>0</v>
      </c>
      <c r="P43" s="57">
        <f ca="1">IFERROR(IF(ISBLANK(H43),SUMIFS($AC:$AC,$V:$V,V43,$W:$W,W43,$X:$X,X43,$Y:$Y,Y43)*J43/(1-J43)*VLOOKUP(_xlfn.CONCAT(C43,D43,E43,TIME!$M$12,Z43),HIS_SALES!$B$2:$W$4859,20,FALSE),AC43*J43/(1-J43)),0)</f>
        <v>0</v>
      </c>
      <c r="Q43" s="541" t="str">
        <f t="shared" si="22"/>
        <v/>
      </c>
      <c r="R43" s="346" t="str">
        <f t="shared" si="3"/>
        <v>00000</v>
      </c>
      <c r="S43" s="344">
        <f t="shared" si="23"/>
        <v>0</v>
      </c>
      <c r="T43" s="345" t="str">
        <f t="shared" si="17"/>
        <v>000</v>
      </c>
      <c r="U43" s="345">
        <f t="shared" si="24"/>
        <v>0</v>
      </c>
      <c r="V43" s="345">
        <f t="shared" si="25"/>
        <v>0</v>
      </c>
      <c r="W43" s="345">
        <f t="shared" si="26"/>
        <v>0</v>
      </c>
      <c r="X43" s="345">
        <f t="shared" si="27"/>
        <v>0</v>
      </c>
      <c r="Y43" s="345">
        <f t="shared" si="28"/>
        <v>0</v>
      </c>
      <c r="Z43" s="345">
        <f>IF(Q43&lt;&gt;"",VLOOKUP(Y43,TIME!$R$21:$V$24,MATCH(FC_DATA!Q43,TIME!$R$20:$V$20,0),FALSE),H43)</f>
        <v>0</v>
      </c>
      <c r="AA43" s="345" t="str">
        <f>IFERROR(VLOOKUP(X43&amp;Z43,TIME!$A$12:$D$71,4,FALSE),"")</f>
        <v/>
      </c>
      <c r="AB43" s="592">
        <f t="shared" ca="1" si="10"/>
        <v>0</v>
      </c>
      <c r="AC43" s="593" t="e">
        <f ca="1">IF(ISBLANK(H43)=FALSE,IF(D43="BRAND.com",I43,IF(ISNA(VLOOKUP(_xlfn.CONCAT(X43,Z43),TIME!$M$40:$M$42,1,FALSE)),I43,VLOOKUP(_xlfn.CONCAT(D43,G43,H43),M_BUSAREA_FC!$AF$5:$AJ$10,5,FALSE)*HLOOKUP(_xlfn.CONCAT(F43,H43),ST_OVERVIEW!$G$99:$I$130,MATCH(_xlfn.CONCAT(D43,E43),ST_OVERVIEW!$F$99:$F$130,0),FALSE))),IF(D43="BRAND.com",VLOOKUP(_xlfn.CONCAT(C43,D43,E43,TIME!$F$1,Z43),HIS_SALES!$B$2:$V$4859,19,FALSE)*I43,VLOOKUP(_xlfn.CONCAT(D43,F43,G43),Q_BUSAREA_FC!$AE$5:$AI$12,5,FALSE)*HLOOKUP(_xlfn.CONCAT(FC_DATA!F43,FC_DATA!G43),LT_OVERVIEW!$I$99:$M$130,MATCH(_xlfn.CONCAT(D43,FC_DATA!E43),LT_OVERVIEW!$H$99:$H$130,0),FALSE)*IFERROR(VLOOKUP(_xlfn.CONCAT(C43,D43,E43,TIME!$F$1,Z43),HIS_SALES!$B$2:$V$4859,19,FALSE),0)))</f>
        <v>#N/A</v>
      </c>
      <c r="AD43" s="341">
        <f t="shared" ca="1" si="29"/>
        <v>0</v>
      </c>
      <c r="AE43" s="363" t="str">
        <f t="shared" si="30"/>
        <v/>
      </c>
      <c r="AF43" s="342" t="str">
        <f t="shared" si="31"/>
        <v/>
      </c>
      <c r="AG43" s="411" t="e">
        <f ca="1">VLOOKUP(_xlfn.CONCAT(U43,V43,W43,VLOOKUP(X43&amp;Y43,TIME!$L$27:$O$34,4,FALSE),Y43),HIS_SALES!$A$2:$R$5093,18,FALSE)</f>
        <v>#N/A</v>
      </c>
      <c r="AH43" s="412" t="e">
        <f ca="1">IFERROR(IF(AND(V43=V42,W43=W42),0.5*(AB43+AB42)*AG43,(VLOOKUP(_xlfn.CONCAT(U43,V43,W43,X43,VLOOKUP(Z43,TIME!$S$28:$T$39,2,FALSE)),FC_DATA!$R$2:$AB$5000,MATCH("GS_I_M",FC_DATA!$R$1:$AB$1,0),FALSE)+FC_DATA!AB43)*0.5*FC_DATA!AG43),NA())</f>
        <v>#N/A</v>
      </c>
      <c r="AI43" s="491" t="e">
        <f ca="1">IF(V43="PARTNER.com",AH43,IF(AND(V43=V42,W43=W42),(1-AVERAGE(AD42,AD43))*AH43,(1-AVERAGE(AD43,VLOOKUP(_xlfn.CONCAT(U43,V43,W43,X43,M_BRAND_FC!$F$6),FC_DATA!$R$2:$AD$5000,MATCH("DISCOUNT_%_M",FC_DATA!$R$1:$AD$1,0),FALSE)))*AH43))</f>
        <v>#N/A</v>
      </c>
      <c r="AJ43" s="412" t="str">
        <f t="shared" ca="1" si="14"/>
        <v/>
      </c>
      <c r="AK43" s="413" t="str">
        <f>IFERROR(AE43/(Q_BRAND_FC!$T$24+1),"")</f>
        <v/>
      </c>
      <c r="AL43" s="88" t="str">
        <f t="shared" ca="1" si="15"/>
        <v/>
      </c>
      <c r="AM43" s="414" t="str">
        <f t="shared" ca="1" si="16"/>
        <v/>
      </c>
      <c r="AN43" s="58">
        <f>IFERROR(IF($V43="BRAND.com",HLOOKUP($X43&amp;$Z43,NWC_FC_NOOS!$C$4:$Q$23,MATCH(W43,NWC_FC_NOOS!$B$4:$B$23,0),FALSE),0),0)</f>
        <v>0</v>
      </c>
      <c r="AO43" s="57">
        <f>IFERROR(IF($V43="BRAND.com",HLOOKUP($X43&amp;$Z43,NWC_FC_NOOS!$T$4:$AH$23,MATCH(W43,NWC_FC_NOOS!$S$4:$S$23,0),FALSE),0),0)</f>
        <v>0</v>
      </c>
      <c r="AP43" s="57">
        <f>IFERROR(IF($V43="BRAND.com",HLOOKUP($X43&amp;$Z43,NWC_FC_NOOS!$C$50:$U$69,MATCH(W43,NWC_FC_NOOS!$B$50:$B$69,0),FALSE),0),0)</f>
        <v>0</v>
      </c>
      <c r="AQ43" s="58">
        <f>IFERROR(IF($V43="BRAND.com",HLOOKUP($X43&amp;$Z43,'NWC_FC_NON-NOOS'!$C$4:$Q$23,MATCH(W43,'NWC_FC_NON-NOOS'!$B$4:$B$23,0),FALSE),0),0)</f>
        <v>0</v>
      </c>
      <c r="AR43" s="57">
        <f>IFERROR(IF($V43="BRAND.com",HLOOKUP($X43&amp;$Z43,'NWC_FC_NON-NOOS'!$T$4:$AH$23,MATCH(W43,'NWC_FC_NON-NOOS'!$S$4:$S$23,0),FALSE),0),0)</f>
        <v>0</v>
      </c>
      <c r="AS43" s="57">
        <f>IFERROR(IF($V43="BRAND.com",HLOOKUP($X43&amp;$Z43,'NWC_FC_NON-NOOS'!$C$50:$U$69,MATCH(W43,'NWC_FC_NON-NOOS'!$B$50:$B$69,0),FALSE),0),0)</f>
        <v>0</v>
      </c>
      <c r="AT43" s="57">
        <f t="shared" si="18"/>
        <v>0</v>
      </c>
      <c r="AU43" s="57">
        <f t="shared" si="19"/>
        <v>0</v>
      </c>
      <c r="AV43" s="58">
        <f>IFERROR(IF($V43="BRAND.com",HLOOKUP($X43&amp;$Z43,PLANNING_FC!$BB$27:$BP$46,MATCH($W43,PLANNING_FC!$BA$27:$BA$46,0),FALSE),0),0)</f>
        <v>0</v>
      </c>
      <c r="AW43" s="58">
        <f>IFERROR(IF($V43="BRAND.com",HLOOKUP($X43&amp;$Z43,PLANNING_FC!$BB$4:$BP$23,MATCH($W43,PLANNING_FC!$BA$4:$BA$23,0),FALSE),0),0)</f>
        <v>0</v>
      </c>
      <c r="AX43" s="58">
        <f>IFERROR(IF($V43="BRAND.com",HLOOKUP($X43&amp;$Z43,PLANNING_FC!$T$27:$AH$46,MATCH($W43,PLANNING_FC!$B$27:$B$46,0),FALSE),0),0)</f>
        <v>0</v>
      </c>
      <c r="AY43" s="58">
        <f>IFERROR(IF($V43="BRAND.com",HLOOKUP($X43&amp;$Z43,PLANNING_FC!$T$4:$AH$23,MATCH($W43,PLANNING_FC!$B$4:$B$23,0),FALSE),0),0)</f>
        <v>0</v>
      </c>
      <c r="AZ43" s="58">
        <f>IFERROR(IF($V43="BRAND.com",HLOOKUP($X43&amp;$Z43,PLANNING_FC!$DA$27:$DO$46,MATCH($W43,PLANNING_FC!$CZ$27:$CZ$46,0),FALSE),0),0)</f>
        <v>0</v>
      </c>
      <c r="BA43" s="58">
        <f>IFERROR(IF($V43="BRAND.com",HLOOKUP($X43&amp;$Z43,PLANNING_FC!$DA$4:$DO$23,MATCH($W43,PLANNING_FC!$CZ$4:$CZ$23,0),FALSE),0),0)</f>
        <v>0</v>
      </c>
      <c r="BB43" s="883" t="str">
        <f>IF(V43="BRAND.com",IFERROR(HLOOKUP(X43&amp;Z43,PLANNING_FC!$AK$4:$AY$23,MATCH(W43,PLANNING_FC!$AJ$4:$AJ$23,0),FALSE)*1000,""),"")</f>
        <v/>
      </c>
      <c r="BC43" s="883" t="str">
        <f>IF(V43="BRAND.com",IFERROR(HLOOKUP(X43&amp;Z43,PLANNING_FC!$AK$27:$AY$46,MATCH(W43,PLANNING_FC!$AJ$27:$AJ$46,0),FALSE)*1000,""),"")</f>
        <v/>
      </c>
    </row>
    <row r="44" spans="1:55" x14ac:dyDescent="0.25">
      <c r="A44" s="509"/>
      <c r="B44" s="510"/>
      <c r="C44" s="509"/>
      <c r="D44" s="509"/>
      <c r="E44" s="509"/>
      <c r="F44" s="509"/>
      <c r="G44" s="509"/>
      <c r="H44" s="509"/>
      <c r="I44" s="512"/>
      <c r="J44" s="513"/>
      <c r="K44" s="879"/>
      <c r="L44" s="515"/>
      <c r="M44" s="516"/>
      <c r="N44" s="56">
        <f t="shared" si="20"/>
        <v>0</v>
      </c>
      <c r="O44" s="57">
        <f t="shared" si="21"/>
        <v>0</v>
      </c>
      <c r="P44" s="57">
        <f ca="1">IFERROR(IF(ISBLANK(H44),SUMIFS($AC:$AC,$V:$V,V44,$W:$W,W44,$X:$X,X44,$Y:$Y,Y44)*J44/(1-J44)*VLOOKUP(_xlfn.CONCAT(C44,D44,E44,TIME!$M$12,Z44),HIS_SALES!$B$2:$W$4859,20,FALSE),AC44*J44/(1-J44)),0)</f>
        <v>0</v>
      </c>
      <c r="Q44" s="541" t="str">
        <f t="shared" si="22"/>
        <v/>
      </c>
      <c r="R44" s="346" t="str">
        <f t="shared" si="3"/>
        <v>00000</v>
      </c>
      <c r="S44" s="344">
        <f t="shared" si="23"/>
        <v>0</v>
      </c>
      <c r="T44" s="345" t="str">
        <f t="shared" si="17"/>
        <v>000</v>
      </c>
      <c r="U44" s="345">
        <f t="shared" si="24"/>
        <v>0</v>
      </c>
      <c r="V44" s="345">
        <f t="shared" si="25"/>
        <v>0</v>
      </c>
      <c r="W44" s="345">
        <f t="shared" si="26"/>
        <v>0</v>
      </c>
      <c r="X44" s="345">
        <f t="shared" si="27"/>
        <v>0</v>
      </c>
      <c r="Y44" s="345">
        <f t="shared" si="28"/>
        <v>0</v>
      </c>
      <c r="Z44" s="345">
        <f>IF(Q44&lt;&gt;"",VLOOKUP(Y44,TIME!$R$21:$V$24,MATCH(FC_DATA!Q44,TIME!$R$20:$V$20,0),FALSE),H44)</f>
        <v>0</v>
      </c>
      <c r="AA44" s="345" t="str">
        <f>IFERROR(VLOOKUP(X44&amp;Z44,TIME!$A$12:$D$71,4,FALSE),"")</f>
        <v/>
      </c>
      <c r="AB44" s="592">
        <f t="shared" ca="1" si="10"/>
        <v>0</v>
      </c>
      <c r="AC44" s="593" t="e">
        <f ca="1">IF(ISBLANK(H44)=FALSE,IF(D44="BRAND.com",I44,IF(ISNA(VLOOKUP(_xlfn.CONCAT(X44,Z44),TIME!$M$40:$M$42,1,FALSE)),I44,VLOOKUP(_xlfn.CONCAT(D44,G44,H44),M_BUSAREA_FC!$AF$5:$AJ$10,5,FALSE)*HLOOKUP(_xlfn.CONCAT(F44,H44),ST_OVERVIEW!$G$99:$I$130,MATCH(_xlfn.CONCAT(D44,E44),ST_OVERVIEW!$F$99:$F$130,0),FALSE))),IF(D44="BRAND.com",VLOOKUP(_xlfn.CONCAT(C44,D44,E44,TIME!$F$1,Z44),HIS_SALES!$B$2:$V$4859,19,FALSE)*I44,VLOOKUP(_xlfn.CONCAT(D44,F44,G44),Q_BUSAREA_FC!$AE$5:$AI$12,5,FALSE)*HLOOKUP(_xlfn.CONCAT(FC_DATA!F44,FC_DATA!G44),LT_OVERVIEW!$I$99:$M$130,MATCH(_xlfn.CONCAT(D44,FC_DATA!E44),LT_OVERVIEW!$H$99:$H$130,0),FALSE)*IFERROR(VLOOKUP(_xlfn.CONCAT(C44,D44,E44,TIME!$F$1,Z44),HIS_SALES!$B$2:$V$4859,19,FALSE),0)))</f>
        <v>#N/A</v>
      </c>
      <c r="AD44" s="341">
        <f t="shared" ca="1" si="29"/>
        <v>0</v>
      </c>
      <c r="AE44" s="363" t="str">
        <f t="shared" si="30"/>
        <v/>
      </c>
      <c r="AF44" s="342" t="str">
        <f t="shared" si="31"/>
        <v/>
      </c>
      <c r="AG44" s="411" t="e">
        <f ca="1">VLOOKUP(_xlfn.CONCAT(U44,V44,W44,VLOOKUP(X44&amp;Y44,TIME!$L$27:$O$34,4,FALSE),Y44),HIS_SALES!$A$2:$R$5093,18,FALSE)</f>
        <v>#N/A</v>
      </c>
      <c r="AH44" s="412" t="e">
        <f ca="1">IFERROR(IF(AND(V44=V43,W44=W43),0.5*(AB44+AB43)*AG44,(VLOOKUP(_xlfn.CONCAT(U44,V44,W44,X44,VLOOKUP(Z44,TIME!$S$28:$T$39,2,FALSE)),FC_DATA!$R$2:$AB$5000,MATCH("GS_I_M",FC_DATA!$R$1:$AB$1,0),FALSE)+FC_DATA!AB44)*0.5*FC_DATA!AG44),NA())</f>
        <v>#N/A</v>
      </c>
      <c r="AI44" s="491" t="e">
        <f ca="1">IF(V44="PARTNER.com",AH44,IF(AND(V44=V43,W44=W43),(1-AVERAGE(AD43,AD44))*AH44,(1-AVERAGE(AD44,VLOOKUP(_xlfn.CONCAT(U44,V44,W44,X44,M_BRAND_FC!$F$6),FC_DATA!$R$2:$AD$5000,MATCH("DISCOUNT_%_M",FC_DATA!$R$1:$AD$1,0),FALSE)))*AH44))</f>
        <v>#N/A</v>
      </c>
      <c r="AJ44" s="412" t="str">
        <f t="shared" ca="1" si="14"/>
        <v/>
      </c>
      <c r="AK44" s="413" t="str">
        <f>IFERROR(AE44/(Q_BRAND_FC!$T$24+1),"")</f>
        <v/>
      </c>
      <c r="AL44" s="88" t="str">
        <f t="shared" ca="1" si="15"/>
        <v/>
      </c>
      <c r="AM44" s="414" t="str">
        <f t="shared" ca="1" si="16"/>
        <v/>
      </c>
      <c r="AN44" s="58">
        <f>IFERROR(IF($V44="BRAND.com",HLOOKUP($X44&amp;$Z44,NWC_FC_NOOS!$C$4:$Q$23,MATCH(W44,NWC_FC_NOOS!$B$4:$B$23,0),FALSE),0),0)</f>
        <v>0</v>
      </c>
      <c r="AO44" s="57">
        <f>IFERROR(IF($V44="BRAND.com",HLOOKUP($X44&amp;$Z44,NWC_FC_NOOS!$T$4:$AH$23,MATCH(W44,NWC_FC_NOOS!$S$4:$S$23,0),FALSE),0),0)</f>
        <v>0</v>
      </c>
      <c r="AP44" s="57">
        <f>IFERROR(IF($V44="BRAND.com",HLOOKUP($X44&amp;$Z44,NWC_FC_NOOS!$C$50:$U$69,MATCH(W44,NWC_FC_NOOS!$B$50:$B$69,0),FALSE),0),0)</f>
        <v>0</v>
      </c>
      <c r="AQ44" s="58">
        <f>IFERROR(IF($V44="BRAND.com",HLOOKUP($X44&amp;$Z44,'NWC_FC_NON-NOOS'!$C$4:$Q$23,MATCH(W44,'NWC_FC_NON-NOOS'!$B$4:$B$23,0),FALSE),0),0)</f>
        <v>0</v>
      </c>
      <c r="AR44" s="57">
        <f>IFERROR(IF($V44="BRAND.com",HLOOKUP($X44&amp;$Z44,'NWC_FC_NON-NOOS'!$T$4:$AH$23,MATCH(W44,'NWC_FC_NON-NOOS'!$S$4:$S$23,0),FALSE),0),0)</f>
        <v>0</v>
      </c>
      <c r="AS44" s="57">
        <f>IFERROR(IF($V44="BRAND.com",HLOOKUP($X44&amp;$Z44,'NWC_FC_NON-NOOS'!$C$50:$U$69,MATCH(W44,'NWC_FC_NON-NOOS'!$B$50:$B$69,0),FALSE),0),0)</f>
        <v>0</v>
      </c>
      <c r="AT44" s="57">
        <f t="shared" si="18"/>
        <v>0</v>
      </c>
      <c r="AU44" s="57">
        <f t="shared" si="19"/>
        <v>0</v>
      </c>
      <c r="AV44" s="58">
        <f>IFERROR(IF($V44="BRAND.com",HLOOKUP($X44&amp;$Z44,PLANNING_FC!$BB$27:$BP$46,MATCH($W44,PLANNING_FC!$BA$27:$BA$46,0),FALSE),0),0)</f>
        <v>0</v>
      </c>
      <c r="AW44" s="58">
        <f>IFERROR(IF($V44="BRAND.com",HLOOKUP($X44&amp;$Z44,PLANNING_FC!$BB$4:$BP$23,MATCH($W44,PLANNING_FC!$BA$4:$BA$23,0),FALSE),0),0)</f>
        <v>0</v>
      </c>
      <c r="AX44" s="58">
        <f>IFERROR(IF($V44="BRAND.com",HLOOKUP($X44&amp;$Z44,PLANNING_FC!$T$27:$AH$46,MATCH($W44,PLANNING_FC!$B$27:$B$46,0),FALSE),0),0)</f>
        <v>0</v>
      </c>
      <c r="AY44" s="58">
        <f>IFERROR(IF($V44="BRAND.com",HLOOKUP($X44&amp;$Z44,PLANNING_FC!$T$4:$AH$23,MATCH($W44,PLANNING_FC!$B$4:$B$23,0),FALSE),0),0)</f>
        <v>0</v>
      </c>
      <c r="AZ44" s="58">
        <f>IFERROR(IF($V44="BRAND.com",HLOOKUP($X44&amp;$Z44,PLANNING_FC!$DA$27:$DO$46,MATCH($W44,PLANNING_FC!$CZ$27:$CZ$46,0),FALSE),0),0)</f>
        <v>0</v>
      </c>
      <c r="BA44" s="58">
        <f>IFERROR(IF($V44="BRAND.com",HLOOKUP($X44&amp;$Z44,PLANNING_FC!$DA$4:$DO$23,MATCH($W44,PLANNING_FC!$CZ$4:$CZ$23,0),FALSE),0),0)</f>
        <v>0</v>
      </c>
      <c r="BB44" s="883" t="str">
        <f>IF(V44="BRAND.com",IFERROR(HLOOKUP(X44&amp;Z44,PLANNING_FC!$AK$4:$AY$23,MATCH(W44,PLANNING_FC!$AJ$4:$AJ$23,0),FALSE)*1000,""),"")</f>
        <v/>
      </c>
      <c r="BC44" s="883" t="str">
        <f>IF(V44="BRAND.com",IFERROR(HLOOKUP(X44&amp;Z44,PLANNING_FC!$AK$27:$AY$46,MATCH(W44,PLANNING_FC!$AJ$27:$AJ$46,0),FALSE)*1000,""),"")</f>
        <v/>
      </c>
    </row>
    <row r="45" spans="1:55" x14ac:dyDescent="0.25">
      <c r="A45" s="509"/>
      <c r="B45" s="510"/>
      <c r="C45" s="509"/>
      <c r="D45" s="509"/>
      <c r="E45" s="509"/>
      <c r="F45" s="509"/>
      <c r="G45" s="509"/>
      <c r="H45" s="509"/>
      <c r="I45" s="512"/>
      <c r="J45" s="513"/>
      <c r="K45" s="879"/>
      <c r="L45" s="515"/>
      <c r="M45" s="516"/>
      <c r="N45" s="56">
        <f t="shared" si="20"/>
        <v>0</v>
      </c>
      <c r="O45" s="57">
        <f t="shared" si="21"/>
        <v>0</v>
      </c>
      <c r="P45" s="57">
        <f ca="1">IFERROR(IF(ISBLANK(H45),SUMIFS($AC:$AC,$V:$V,V45,$W:$W,W45,$X:$X,X45,$Y:$Y,Y45)*J45/(1-J45)*VLOOKUP(_xlfn.CONCAT(C45,D45,E45,TIME!$M$12,Z45),HIS_SALES!$B$2:$W$4859,20,FALSE),AC45*J45/(1-J45)),0)</f>
        <v>0</v>
      </c>
      <c r="Q45" s="541" t="str">
        <f t="shared" si="22"/>
        <v/>
      </c>
      <c r="R45" s="346" t="str">
        <f t="shared" si="3"/>
        <v>00000</v>
      </c>
      <c r="S45" s="344">
        <f t="shared" si="23"/>
        <v>0</v>
      </c>
      <c r="T45" s="345" t="str">
        <f t="shared" si="17"/>
        <v>000</v>
      </c>
      <c r="U45" s="345">
        <f t="shared" si="24"/>
        <v>0</v>
      </c>
      <c r="V45" s="345">
        <f t="shared" si="25"/>
        <v>0</v>
      </c>
      <c r="W45" s="345">
        <f t="shared" si="26"/>
        <v>0</v>
      </c>
      <c r="X45" s="345">
        <f t="shared" si="27"/>
        <v>0</v>
      </c>
      <c r="Y45" s="345">
        <f t="shared" si="28"/>
        <v>0</v>
      </c>
      <c r="Z45" s="345">
        <f>IF(Q45&lt;&gt;"",VLOOKUP(Y45,TIME!$R$21:$V$24,MATCH(FC_DATA!Q45,TIME!$R$20:$V$20,0),FALSE),H45)</f>
        <v>0</v>
      </c>
      <c r="AA45" s="345" t="str">
        <f>IFERROR(VLOOKUP(X45&amp;Z45,TIME!$A$12:$D$71,4,FALSE),"")</f>
        <v/>
      </c>
      <c r="AB45" s="592">
        <f t="shared" ca="1" si="10"/>
        <v>0</v>
      </c>
      <c r="AC45" s="593" t="e">
        <f ca="1">IF(ISBLANK(H45)=FALSE,IF(D45="BRAND.com",I45,IF(ISNA(VLOOKUP(_xlfn.CONCAT(X45,Z45),TIME!$M$40:$M$42,1,FALSE)),I45,VLOOKUP(_xlfn.CONCAT(D45,G45,H45),M_BUSAREA_FC!$AF$5:$AJ$10,5,FALSE)*HLOOKUP(_xlfn.CONCAT(F45,H45),ST_OVERVIEW!$G$99:$I$130,MATCH(_xlfn.CONCAT(D45,E45),ST_OVERVIEW!$F$99:$F$130,0),FALSE))),IF(D45="BRAND.com",VLOOKUP(_xlfn.CONCAT(C45,D45,E45,TIME!$F$1,Z45),HIS_SALES!$B$2:$V$4859,19,FALSE)*I45,VLOOKUP(_xlfn.CONCAT(D45,F45,G45),Q_BUSAREA_FC!$AE$5:$AI$12,5,FALSE)*HLOOKUP(_xlfn.CONCAT(FC_DATA!F45,FC_DATA!G45),LT_OVERVIEW!$I$99:$M$130,MATCH(_xlfn.CONCAT(D45,FC_DATA!E45),LT_OVERVIEW!$H$99:$H$130,0),FALSE)*IFERROR(VLOOKUP(_xlfn.CONCAT(C45,D45,E45,TIME!$F$1,Z45),HIS_SALES!$B$2:$V$4859,19,FALSE),0)))</f>
        <v>#N/A</v>
      </c>
      <c r="AD45" s="341">
        <f t="shared" ca="1" si="29"/>
        <v>0</v>
      </c>
      <c r="AE45" s="363" t="str">
        <f t="shared" si="30"/>
        <v/>
      </c>
      <c r="AF45" s="342" t="str">
        <f t="shared" si="31"/>
        <v/>
      </c>
      <c r="AG45" s="411" t="e">
        <f ca="1">VLOOKUP(_xlfn.CONCAT(U45,V45,W45,VLOOKUP(X45&amp;Y45,TIME!$L$27:$O$34,4,FALSE),Y45),HIS_SALES!$A$2:$R$5093,18,FALSE)</f>
        <v>#N/A</v>
      </c>
      <c r="AH45" s="412" t="e">
        <f ca="1">IFERROR(IF(AND(V45=V44,W45=W44),0.5*(AB45+AB44)*AG45,(VLOOKUP(_xlfn.CONCAT(U45,V45,W45,X45,VLOOKUP(Z45,TIME!$S$28:$T$39,2,FALSE)),FC_DATA!$R$2:$AB$5000,MATCH("GS_I_M",FC_DATA!$R$1:$AB$1,0),FALSE)+FC_DATA!AB45)*0.5*FC_DATA!AG45),NA())</f>
        <v>#N/A</v>
      </c>
      <c r="AI45" s="491" t="e">
        <f ca="1">IF(V45="PARTNER.com",AH45,IF(AND(V45=V44,W45=W44),(1-AVERAGE(AD44,AD45))*AH45,(1-AVERAGE(AD45,VLOOKUP(_xlfn.CONCAT(U45,V45,W45,X45,M_BRAND_FC!$F$6),FC_DATA!$R$2:$AD$5000,MATCH("DISCOUNT_%_M",FC_DATA!$R$1:$AD$1,0),FALSE)))*AH45))</f>
        <v>#N/A</v>
      </c>
      <c r="AJ45" s="412" t="str">
        <f t="shared" ca="1" si="14"/>
        <v/>
      </c>
      <c r="AK45" s="413" t="str">
        <f>IFERROR(AE45/(Q_BRAND_FC!$T$24+1),"")</f>
        <v/>
      </c>
      <c r="AL45" s="88" t="str">
        <f t="shared" ca="1" si="15"/>
        <v/>
      </c>
      <c r="AM45" s="414" t="str">
        <f t="shared" ca="1" si="16"/>
        <v/>
      </c>
      <c r="AN45" s="58">
        <f>IFERROR(IF($V45="BRAND.com",HLOOKUP($X45&amp;$Z45,NWC_FC_NOOS!$C$4:$Q$23,MATCH(W45,NWC_FC_NOOS!$B$4:$B$23,0),FALSE),0),0)</f>
        <v>0</v>
      </c>
      <c r="AO45" s="57">
        <f>IFERROR(IF($V45="BRAND.com",HLOOKUP($X45&amp;$Z45,NWC_FC_NOOS!$T$4:$AH$23,MATCH(W45,NWC_FC_NOOS!$S$4:$S$23,0),FALSE),0),0)</f>
        <v>0</v>
      </c>
      <c r="AP45" s="57">
        <f>IFERROR(IF($V45="BRAND.com",HLOOKUP($X45&amp;$Z45,NWC_FC_NOOS!$C$50:$U$69,MATCH(W45,NWC_FC_NOOS!$B$50:$B$69,0),FALSE),0),0)</f>
        <v>0</v>
      </c>
      <c r="AQ45" s="58">
        <f>IFERROR(IF($V45="BRAND.com",HLOOKUP($X45&amp;$Z45,'NWC_FC_NON-NOOS'!$C$4:$Q$23,MATCH(W45,'NWC_FC_NON-NOOS'!$B$4:$B$23,0),FALSE),0),0)</f>
        <v>0</v>
      </c>
      <c r="AR45" s="57">
        <f>IFERROR(IF($V45="BRAND.com",HLOOKUP($X45&amp;$Z45,'NWC_FC_NON-NOOS'!$T$4:$AH$23,MATCH(W45,'NWC_FC_NON-NOOS'!$S$4:$S$23,0),FALSE),0),0)</f>
        <v>0</v>
      </c>
      <c r="AS45" s="57">
        <f>IFERROR(IF($V45="BRAND.com",HLOOKUP($X45&amp;$Z45,'NWC_FC_NON-NOOS'!$C$50:$U$69,MATCH(W45,'NWC_FC_NON-NOOS'!$B$50:$B$69,0),FALSE),0),0)</f>
        <v>0</v>
      </c>
      <c r="AT45" s="57">
        <f t="shared" si="18"/>
        <v>0</v>
      </c>
      <c r="AU45" s="57">
        <f t="shared" si="19"/>
        <v>0</v>
      </c>
      <c r="AV45" s="58">
        <f>IFERROR(IF($V45="BRAND.com",HLOOKUP($X45&amp;$Z45,PLANNING_FC!$BB$27:$BP$46,MATCH($W45,PLANNING_FC!$BA$27:$BA$46,0),FALSE),0),0)</f>
        <v>0</v>
      </c>
      <c r="AW45" s="58">
        <f>IFERROR(IF($V45="BRAND.com",HLOOKUP($X45&amp;$Z45,PLANNING_FC!$BB$4:$BP$23,MATCH($W45,PLANNING_FC!$BA$4:$BA$23,0),FALSE),0),0)</f>
        <v>0</v>
      </c>
      <c r="AX45" s="58">
        <f>IFERROR(IF($V45="BRAND.com",HLOOKUP($X45&amp;$Z45,PLANNING_FC!$T$27:$AH$46,MATCH($W45,PLANNING_FC!$B$27:$B$46,0),FALSE),0),0)</f>
        <v>0</v>
      </c>
      <c r="AY45" s="58">
        <f>IFERROR(IF($V45="BRAND.com",HLOOKUP($X45&amp;$Z45,PLANNING_FC!$T$4:$AH$23,MATCH($W45,PLANNING_FC!$B$4:$B$23,0),FALSE),0),0)</f>
        <v>0</v>
      </c>
      <c r="AZ45" s="58">
        <f>IFERROR(IF($V45="BRAND.com",HLOOKUP($X45&amp;$Z45,PLANNING_FC!$DA$27:$DO$46,MATCH($W45,PLANNING_FC!$CZ$27:$CZ$46,0),FALSE),0),0)</f>
        <v>0</v>
      </c>
      <c r="BA45" s="58">
        <f>IFERROR(IF($V45="BRAND.com",HLOOKUP($X45&amp;$Z45,PLANNING_FC!$DA$4:$DO$23,MATCH($W45,PLANNING_FC!$CZ$4:$CZ$23,0),FALSE),0),0)</f>
        <v>0</v>
      </c>
      <c r="BB45" s="883" t="str">
        <f>IF(V45="BRAND.com",IFERROR(HLOOKUP(X45&amp;Z45,PLANNING_FC!$AK$4:$AY$23,MATCH(W45,PLANNING_FC!$AJ$4:$AJ$23,0),FALSE)*1000,""),"")</f>
        <v/>
      </c>
      <c r="BC45" s="883" t="str">
        <f>IF(V45="BRAND.com",IFERROR(HLOOKUP(X45&amp;Z45,PLANNING_FC!$AK$27:$AY$46,MATCH(W45,PLANNING_FC!$AJ$27:$AJ$46,0),FALSE)*1000,""),"")</f>
        <v/>
      </c>
    </row>
    <row r="46" spans="1:55" x14ac:dyDescent="0.25">
      <c r="A46" s="509"/>
      <c r="B46" s="510"/>
      <c r="C46" s="509"/>
      <c r="D46" s="509"/>
      <c r="E46" s="509"/>
      <c r="F46" s="509"/>
      <c r="G46" s="509"/>
      <c r="H46" s="509"/>
      <c r="I46" s="512"/>
      <c r="J46" s="513"/>
      <c r="K46" s="879"/>
      <c r="L46" s="515"/>
      <c r="M46" s="516"/>
      <c r="N46" s="56">
        <f t="shared" si="20"/>
        <v>0</v>
      </c>
      <c r="O46" s="57">
        <f t="shared" si="21"/>
        <v>0</v>
      </c>
      <c r="P46" s="57">
        <f ca="1">IFERROR(IF(ISBLANK(H46),SUMIFS($AC:$AC,$V:$V,V46,$W:$W,W46,$X:$X,X46,$Y:$Y,Y46)*J46/(1-J46)*VLOOKUP(_xlfn.CONCAT(C46,D46,E46,TIME!$M$12,Z46),HIS_SALES!$B$2:$W$4859,20,FALSE),AC46*J46/(1-J46)),0)</f>
        <v>0</v>
      </c>
      <c r="Q46" s="541" t="str">
        <f t="shared" si="22"/>
        <v/>
      </c>
      <c r="R46" s="346" t="str">
        <f t="shared" si="3"/>
        <v>00000</v>
      </c>
      <c r="S46" s="344">
        <f t="shared" si="23"/>
        <v>0</v>
      </c>
      <c r="T46" s="345" t="str">
        <f t="shared" si="17"/>
        <v>000</v>
      </c>
      <c r="U46" s="345">
        <f t="shared" si="24"/>
        <v>0</v>
      </c>
      <c r="V46" s="345">
        <f t="shared" si="25"/>
        <v>0</v>
      </c>
      <c r="W46" s="345">
        <f t="shared" si="26"/>
        <v>0</v>
      </c>
      <c r="X46" s="345">
        <f t="shared" si="27"/>
        <v>0</v>
      </c>
      <c r="Y46" s="345">
        <f t="shared" si="28"/>
        <v>0</v>
      </c>
      <c r="Z46" s="345">
        <f>IF(Q46&lt;&gt;"",VLOOKUP(Y46,TIME!$R$21:$V$24,MATCH(FC_DATA!Q46,TIME!$R$20:$V$20,0),FALSE),H46)</f>
        <v>0</v>
      </c>
      <c r="AA46" s="345" t="str">
        <f>IFERROR(VLOOKUP(X46&amp;Z46,TIME!$A$12:$D$71,4,FALSE),"")</f>
        <v/>
      </c>
      <c r="AB46" s="592">
        <f t="shared" ca="1" si="10"/>
        <v>0</v>
      </c>
      <c r="AC46" s="593" t="e">
        <f ca="1">IF(ISBLANK(H46)=FALSE,IF(D46="BRAND.com",I46,IF(ISNA(VLOOKUP(_xlfn.CONCAT(X46,Z46),TIME!$M$40:$M$42,1,FALSE)),I46,VLOOKUP(_xlfn.CONCAT(D46,G46,H46),M_BUSAREA_FC!$AF$5:$AJ$10,5,FALSE)*HLOOKUP(_xlfn.CONCAT(F46,H46),ST_OVERVIEW!$G$99:$I$130,MATCH(_xlfn.CONCAT(D46,E46),ST_OVERVIEW!$F$99:$F$130,0),FALSE))),IF(D46="BRAND.com",VLOOKUP(_xlfn.CONCAT(C46,D46,E46,TIME!$F$1,Z46),HIS_SALES!$B$2:$V$4859,19,FALSE)*I46,VLOOKUP(_xlfn.CONCAT(D46,F46,G46),Q_BUSAREA_FC!$AE$5:$AI$12,5,FALSE)*HLOOKUP(_xlfn.CONCAT(FC_DATA!F46,FC_DATA!G46),LT_OVERVIEW!$I$99:$M$130,MATCH(_xlfn.CONCAT(D46,FC_DATA!E46),LT_OVERVIEW!$H$99:$H$130,0),FALSE)*IFERROR(VLOOKUP(_xlfn.CONCAT(C46,D46,E46,TIME!$F$1,Z46),HIS_SALES!$B$2:$V$4859,19,FALSE),0)))</f>
        <v>#N/A</v>
      </c>
      <c r="AD46" s="341">
        <f t="shared" ca="1" si="29"/>
        <v>0</v>
      </c>
      <c r="AE46" s="363" t="str">
        <f t="shared" si="30"/>
        <v/>
      </c>
      <c r="AF46" s="342" t="str">
        <f t="shared" si="31"/>
        <v/>
      </c>
      <c r="AG46" s="411" t="e">
        <f ca="1">VLOOKUP(_xlfn.CONCAT(U46,V46,W46,VLOOKUP(X46&amp;Y46,TIME!$L$27:$O$34,4,FALSE),Y46),HIS_SALES!$A$2:$R$5093,18,FALSE)</f>
        <v>#N/A</v>
      </c>
      <c r="AH46" s="412" t="e">
        <f ca="1">IFERROR(IF(AND(V46=V45,W46=W45),0.5*(AB46+AB45)*AG46,(VLOOKUP(_xlfn.CONCAT(U46,V46,W46,X46,VLOOKUP(Z46,TIME!$S$28:$T$39,2,FALSE)),FC_DATA!$R$2:$AB$5000,MATCH("GS_I_M",FC_DATA!$R$1:$AB$1,0),FALSE)+FC_DATA!AB46)*0.5*FC_DATA!AG46),NA())</f>
        <v>#N/A</v>
      </c>
      <c r="AI46" s="491" t="e">
        <f ca="1">IF(V46="PARTNER.com",AH46,IF(AND(V46=V45,W46=W45),(1-AVERAGE(AD45,AD46))*AH46,(1-AVERAGE(AD46,VLOOKUP(_xlfn.CONCAT(U46,V46,W46,X46,M_BRAND_FC!$F$6),FC_DATA!$R$2:$AD$5000,MATCH("DISCOUNT_%_M",FC_DATA!$R$1:$AD$1,0),FALSE)))*AH46))</f>
        <v>#N/A</v>
      </c>
      <c r="AJ46" s="412" t="str">
        <f t="shared" ca="1" si="14"/>
        <v/>
      </c>
      <c r="AK46" s="413" t="str">
        <f>IFERROR(AE46/(Q_BRAND_FC!$T$24+1),"")</f>
        <v/>
      </c>
      <c r="AL46" s="88" t="str">
        <f t="shared" ca="1" si="15"/>
        <v/>
      </c>
      <c r="AM46" s="414" t="str">
        <f t="shared" ca="1" si="16"/>
        <v/>
      </c>
      <c r="AN46" s="58">
        <f>IFERROR(IF($V46="BRAND.com",HLOOKUP($X46&amp;$Z46,NWC_FC_NOOS!$C$4:$Q$23,MATCH(W46,NWC_FC_NOOS!$B$4:$B$23,0),FALSE),0),0)</f>
        <v>0</v>
      </c>
      <c r="AO46" s="57">
        <f>IFERROR(IF($V46="BRAND.com",HLOOKUP($X46&amp;$Z46,NWC_FC_NOOS!$T$4:$AH$23,MATCH(W46,NWC_FC_NOOS!$S$4:$S$23,0),FALSE),0),0)</f>
        <v>0</v>
      </c>
      <c r="AP46" s="57">
        <f>IFERROR(IF($V46="BRAND.com",HLOOKUP($X46&amp;$Z46,NWC_FC_NOOS!$C$50:$U$69,MATCH(W46,NWC_FC_NOOS!$B$50:$B$69,0),FALSE),0),0)</f>
        <v>0</v>
      </c>
      <c r="AQ46" s="58">
        <f>IFERROR(IF($V46="BRAND.com",HLOOKUP($X46&amp;$Z46,'NWC_FC_NON-NOOS'!$C$4:$Q$23,MATCH(W46,'NWC_FC_NON-NOOS'!$B$4:$B$23,0),FALSE),0),0)</f>
        <v>0</v>
      </c>
      <c r="AR46" s="57">
        <f>IFERROR(IF($V46="BRAND.com",HLOOKUP($X46&amp;$Z46,'NWC_FC_NON-NOOS'!$T$4:$AH$23,MATCH(W46,'NWC_FC_NON-NOOS'!$S$4:$S$23,0),FALSE),0),0)</f>
        <v>0</v>
      </c>
      <c r="AS46" s="57">
        <f>IFERROR(IF($V46="BRAND.com",HLOOKUP($X46&amp;$Z46,'NWC_FC_NON-NOOS'!$C$50:$U$69,MATCH(W46,'NWC_FC_NON-NOOS'!$B$50:$B$69,0),FALSE),0),0)</f>
        <v>0</v>
      </c>
      <c r="AT46" s="57">
        <f t="shared" si="18"/>
        <v>0</v>
      </c>
      <c r="AU46" s="57">
        <f t="shared" si="19"/>
        <v>0</v>
      </c>
      <c r="AV46" s="58">
        <f>IFERROR(IF($V46="BRAND.com",HLOOKUP($X46&amp;$Z46,PLANNING_FC!$BB$27:$BP$46,MATCH($W46,PLANNING_FC!$BA$27:$BA$46,0),FALSE),0),0)</f>
        <v>0</v>
      </c>
      <c r="AW46" s="58">
        <f>IFERROR(IF($V46="BRAND.com",HLOOKUP($X46&amp;$Z46,PLANNING_FC!$BB$4:$BP$23,MATCH($W46,PLANNING_FC!$BA$4:$BA$23,0),FALSE),0),0)</f>
        <v>0</v>
      </c>
      <c r="AX46" s="58">
        <f>IFERROR(IF($V46="BRAND.com",HLOOKUP($X46&amp;$Z46,PLANNING_FC!$T$27:$AH$46,MATCH($W46,PLANNING_FC!$B$27:$B$46,0),FALSE),0),0)</f>
        <v>0</v>
      </c>
      <c r="AY46" s="58">
        <f>IFERROR(IF($V46="BRAND.com",HLOOKUP($X46&amp;$Z46,PLANNING_FC!$T$4:$AH$23,MATCH($W46,PLANNING_FC!$B$4:$B$23,0),FALSE),0),0)</f>
        <v>0</v>
      </c>
      <c r="AZ46" s="58">
        <f>IFERROR(IF($V46="BRAND.com",HLOOKUP($X46&amp;$Z46,PLANNING_FC!$DA$27:$DO$46,MATCH($W46,PLANNING_FC!$CZ$27:$CZ$46,0),FALSE),0),0)</f>
        <v>0</v>
      </c>
      <c r="BA46" s="58">
        <f>IFERROR(IF($V46="BRAND.com",HLOOKUP($X46&amp;$Z46,PLANNING_FC!$DA$4:$DO$23,MATCH($W46,PLANNING_FC!$CZ$4:$CZ$23,0),FALSE),0),0)</f>
        <v>0</v>
      </c>
      <c r="BB46" s="883" t="str">
        <f>IF(V46="BRAND.com",IFERROR(HLOOKUP(X46&amp;Z46,PLANNING_FC!$AK$4:$AY$23,MATCH(W46,PLANNING_FC!$AJ$4:$AJ$23,0),FALSE)*1000,""),"")</f>
        <v/>
      </c>
      <c r="BC46" s="883" t="str">
        <f>IF(V46="BRAND.com",IFERROR(HLOOKUP(X46&amp;Z46,PLANNING_FC!$AK$27:$AY$46,MATCH(W46,PLANNING_FC!$AJ$27:$AJ$46,0),FALSE)*1000,""),"")</f>
        <v/>
      </c>
    </row>
    <row r="47" spans="1:55" x14ac:dyDescent="0.25">
      <c r="A47" s="509"/>
      <c r="B47" s="510"/>
      <c r="C47" s="509"/>
      <c r="D47" s="509"/>
      <c r="E47" s="509"/>
      <c r="F47" s="509"/>
      <c r="G47" s="509"/>
      <c r="H47" s="509"/>
      <c r="I47" s="512"/>
      <c r="J47" s="513"/>
      <c r="K47" s="879"/>
      <c r="L47" s="515"/>
      <c r="M47" s="516"/>
      <c r="N47" s="56">
        <f t="shared" si="20"/>
        <v>0</v>
      </c>
      <c r="O47" s="57">
        <f t="shared" si="21"/>
        <v>0</v>
      </c>
      <c r="P47" s="57">
        <f ca="1">IFERROR(IF(ISBLANK(H47),SUMIFS($AC:$AC,$V:$V,V47,$W:$W,W47,$X:$X,X47,$Y:$Y,Y47)*J47/(1-J47)*VLOOKUP(_xlfn.CONCAT(C47,D47,E47,TIME!$M$12,Z47),HIS_SALES!$B$2:$W$4859,20,FALSE),AC47*J47/(1-J47)),0)</f>
        <v>0</v>
      </c>
      <c r="Q47" s="541" t="str">
        <f t="shared" si="22"/>
        <v/>
      </c>
      <c r="R47" s="346" t="str">
        <f t="shared" si="3"/>
        <v>00000</v>
      </c>
      <c r="S47" s="344">
        <f t="shared" si="23"/>
        <v>0</v>
      </c>
      <c r="T47" s="345" t="str">
        <f t="shared" si="17"/>
        <v>000</v>
      </c>
      <c r="U47" s="345">
        <f t="shared" si="24"/>
        <v>0</v>
      </c>
      <c r="V47" s="345">
        <f t="shared" si="25"/>
        <v>0</v>
      </c>
      <c r="W47" s="345">
        <f t="shared" si="26"/>
        <v>0</v>
      </c>
      <c r="X47" s="345">
        <f t="shared" si="27"/>
        <v>0</v>
      </c>
      <c r="Y47" s="345">
        <f t="shared" si="28"/>
        <v>0</v>
      </c>
      <c r="Z47" s="345">
        <f>IF(Q47&lt;&gt;"",VLOOKUP(Y47,TIME!$R$21:$V$24,MATCH(FC_DATA!Q47,TIME!$R$20:$V$20,0),FALSE),H47)</f>
        <v>0</v>
      </c>
      <c r="AA47" s="345" t="str">
        <f>IFERROR(VLOOKUP(X47&amp;Z47,TIME!$A$12:$D$71,4,FALSE),"")</f>
        <v/>
      </c>
      <c r="AB47" s="592">
        <f t="shared" ca="1" si="10"/>
        <v>0</v>
      </c>
      <c r="AC47" s="593" t="e">
        <f ca="1">IF(ISBLANK(H47)=FALSE,IF(D47="BRAND.com",I47,IF(ISNA(VLOOKUP(_xlfn.CONCAT(X47,Z47),TIME!$M$40:$M$42,1,FALSE)),I47,VLOOKUP(_xlfn.CONCAT(D47,G47,H47),M_BUSAREA_FC!$AF$5:$AJ$10,5,FALSE)*HLOOKUP(_xlfn.CONCAT(F47,H47),ST_OVERVIEW!$G$99:$I$130,MATCH(_xlfn.CONCAT(D47,E47),ST_OVERVIEW!$F$99:$F$130,0),FALSE))),IF(D47="BRAND.com",VLOOKUP(_xlfn.CONCAT(C47,D47,E47,TIME!$F$1,Z47),HIS_SALES!$B$2:$V$4859,19,FALSE)*I47,VLOOKUP(_xlfn.CONCAT(D47,F47,G47),Q_BUSAREA_FC!$AE$5:$AI$12,5,FALSE)*HLOOKUP(_xlfn.CONCAT(FC_DATA!F47,FC_DATA!G47),LT_OVERVIEW!$I$99:$M$130,MATCH(_xlfn.CONCAT(D47,FC_DATA!E47),LT_OVERVIEW!$H$99:$H$130,0),FALSE)*IFERROR(VLOOKUP(_xlfn.CONCAT(C47,D47,E47,TIME!$F$1,Z47),HIS_SALES!$B$2:$V$4859,19,FALSE),0)))</f>
        <v>#N/A</v>
      </c>
      <c r="AD47" s="341">
        <f t="shared" ca="1" si="29"/>
        <v>0</v>
      </c>
      <c r="AE47" s="363" t="str">
        <f t="shared" si="30"/>
        <v/>
      </c>
      <c r="AF47" s="342" t="str">
        <f t="shared" si="31"/>
        <v/>
      </c>
      <c r="AG47" s="411" t="e">
        <f ca="1">VLOOKUP(_xlfn.CONCAT(U47,V47,W47,VLOOKUP(X47&amp;Y47,TIME!$L$27:$O$34,4,FALSE),Y47),HIS_SALES!$A$2:$R$5093,18,FALSE)</f>
        <v>#N/A</v>
      </c>
      <c r="AH47" s="412" t="e">
        <f ca="1">IFERROR(IF(AND(V47=V46,W47=W46),0.5*(AB47+AB46)*AG47,(VLOOKUP(_xlfn.CONCAT(U47,V47,W47,X47,VLOOKUP(Z47,TIME!$S$28:$T$39,2,FALSE)),FC_DATA!$R$2:$AB$5000,MATCH("GS_I_M",FC_DATA!$R$1:$AB$1,0),FALSE)+FC_DATA!AB47)*0.5*FC_DATA!AG47),NA())</f>
        <v>#N/A</v>
      </c>
      <c r="AI47" s="491" t="e">
        <f ca="1">IF(V47="PARTNER.com",AH47,IF(AND(V47=V46,W47=W46),(1-AVERAGE(AD46,AD47))*AH47,(1-AVERAGE(AD47,VLOOKUP(_xlfn.CONCAT(U47,V47,W47,X47,M_BRAND_FC!$F$6),FC_DATA!$R$2:$AD$5000,MATCH("DISCOUNT_%_M",FC_DATA!$R$1:$AD$1,0),FALSE)))*AH47))</f>
        <v>#N/A</v>
      </c>
      <c r="AJ47" s="412" t="str">
        <f t="shared" ca="1" si="14"/>
        <v/>
      </c>
      <c r="AK47" s="413" t="str">
        <f>IFERROR(AE47/(Q_BRAND_FC!$T$24+1),"")</f>
        <v/>
      </c>
      <c r="AL47" s="88" t="str">
        <f t="shared" ca="1" si="15"/>
        <v/>
      </c>
      <c r="AM47" s="414" t="str">
        <f t="shared" ca="1" si="16"/>
        <v/>
      </c>
      <c r="AN47" s="58">
        <f>IFERROR(IF($V47="BRAND.com",HLOOKUP($X47&amp;$Z47,NWC_FC_NOOS!$C$4:$Q$23,MATCH(W47,NWC_FC_NOOS!$B$4:$B$23,0),FALSE),0),0)</f>
        <v>0</v>
      </c>
      <c r="AO47" s="57">
        <f>IFERROR(IF($V47="BRAND.com",HLOOKUP($X47&amp;$Z47,NWC_FC_NOOS!$T$4:$AH$23,MATCH(W47,NWC_FC_NOOS!$S$4:$S$23,0),FALSE),0),0)</f>
        <v>0</v>
      </c>
      <c r="AP47" s="57">
        <f>IFERROR(IF($V47="BRAND.com",HLOOKUP($X47&amp;$Z47,NWC_FC_NOOS!$C$50:$U$69,MATCH(W47,NWC_FC_NOOS!$B$50:$B$69,0),FALSE),0),0)</f>
        <v>0</v>
      </c>
      <c r="AQ47" s="58">
        <f>IFERROR(IF($V47="BRAND.com",HLOOKUP($X47&amp;$Z47,'NWC_FC_NON-NOOS'!$C$4:$Q$23,MATCH(W47,'NWC_FC_NON-NOOS'!$B$4:$B$23,0),FALSE),0),0)</f>
        <v>0</v>
      </c>
      <c r="AR47" s="57">
        <f>IFERROR(IF($V47="BRAND.com",HLOOKUP($X47&amp;$Z47,'NWC_FC_NON-NOOS'!$T$4:$AH$23,MATCH(W47,'NWC_FC_NON-NOOS'!$S$4:$S$23,0),FALSE),0),0)</f>
        <v>0</v>
      </c>
      <c r="AS47" s="57">
        <f>IFERROR(IF($V47="BRAND.com",HLOOKUP($X47&amp;$Z47,'NWC_FC_NON-NOOS'!$C$50:$U$69,MATCH(W47,'NWC_FC_NON-NOOS'!$B$50:$B$69,0),FALSE),0),0)</f>
        <v>0</v>
      </c>
      <c r="AT47" s="57">
        <f t="shared" si="18"/>
        <v>0</v>
      </c>
      <c r="AU47" s="57">
        <f t="shared" si="19"/>
        <v>0</v>
      </c>
      <c r="AV47" s="58">
        <f>IFERROR(IF($V47="BRAND.com",HLOOKUP($X47&amp;$Z47,PLANNING_FC!$BB$27:$BP$46,MATCH($W47,PLANNING_FC!$BA$27:$BA$46,0),FALSE),0),0)</f>
        <v>0</v>
      </c>
      <c r="AW47" s="58">
        <f>IFERROR(IF($V47="BRAND.com",HLOOKUP($X47&amp;$Z47,PLANNING_FC!$BB$4:$BP$23,MATCH($W47,PLANNING_FC!$BA$4:$BA$23,0),FALSE),0),0)</f>
        <v>0</v>
      </c>
      <c r="AX47" s="58">
        <f>IFERROR(IF($V47="BRAND.com",HLOOKUP($X47&amp;$Z47,PLANNING_FC!$T$27:$AH$46,MATCH($W47,PLANNING_FC!$B$27:$B$46,0),FALSE),0),0)</f>
        <v>0</v>
      </c>
      <c r="AY47" s="58">
        <f>IFERROR(IF($V47="BRAND.com",HLOOKUP($X47&amp;$Z47,PLANNING_FC!$T$4:$AH$23,MATCH($W47,PLANNING_FC!$B$4:$B$23,0),FALSE),0),0)</f>
        <v>0</v>
      </c>
      <c r="AZ47" s="58">
        <f>IFERROR(IF($V47="BRAND.com",HLOOKUP($X47&amp;$Z47,PLANNING_FC!$DA$27:$DO$46,MATCH($W47,PLANNING_FC!$CZ$27:$CZ$46,0),FALSE),0),0)</f>
        <v>0</v>
      </c>
      <c r="BA47" s="58">
        <f>IFERROR(IF($V47="BRAND.com",HLOOKUP($X47&amp;$Z47,PLANNING_FC!$DA$4:$DO$23,MATCH($W47,PLANNING_FC!$CZ$4:$CZ$23,0),FALSE),0),0)</f>
        <v>0</v>
      </c>
      <c r="BB47" s="883" t="str">
        <f>IF(V47="BRAND.com",IFERROR(HLOOKUP(X47&amp;Z47,PLANNING_FC!$AK$4:$AY$23,MATCH(W47,PLANNING_FC!$AJ$4:$AJ$23,0),FALSE)*1000,""),"")</f>
        <v/>
      </c>
      <c r="BC47" s="883" t="str">
        <f>IF(V47="BRAND.com",IFERROR(HLOOKUP(X47&amp;Z47,PLANNING_FC!$AK$27:$AY$46,MATCH(W47,PLANNING_FC!$AJ$27:$AJ$46,0),FALSE)*1000,""),"")</f>
        <v/>
      </c>
    </row>
    <row r="48" spans="1:55" x14ac:dyDescent="0.25">
      <c r="A48" s="509"/>
      <c r="B48" s="510"/>
      <c r="C48" s="509"/>
      <c r="D48" s="509"/>
      <c r="E48" s="509"/>
      <c r="F48" s="509"/>
      <c r="G48" s="509"/>
      <c r="H48" s="509"/>
      <c r="I48" s="512"/>
      <c r="J48" s="513"/>
      <c r="K48" s="879"/>
      <c r="L48" s="515"/>
      <c r="M48" s="516"/>
      <c r="N48" s="56">
        <f t="shared" si="20"/>
        <v>0</v>
      </c>
      <c r="O48" s="57">
        <f t="shared" si="21"/>
        <v>0</v>
      </c>
      <c r="P48" s="57">
        <f ca="1">IFERROR(IF(ISBLANK(H48),SUMIFS($AC:$AC,$V:$V,V48,$W:$W,W48,$X:$X,X48,$Y:$Y,Y48)*J48/(1-J48)*VLOOKUP(_xlfn.CONCAT(C48,D48,E48,TIME!$M$12,Z48),HIS_SALES!$B$2:$W$4859,20,FALSE),AC48*J48/(1-J48)),0)</f>
        <v>0</v>
      </c>
      <c r="Q48" s="541" t="str">
        <f t="shared" si="22"/>
        <v/>
      </c>
      <c r="R48" s="346" t="str">
        <f t="shared" si="3"/>
        <v>00000</v>
      </c>
      <c r="S48" s="344">
        <f t="shared" si="23"/>
        <v>0</v>
      </c>
      <c r="T48" s="345" t="str">
        <f t="shared" si="17"/>
        <v>000</v>
      </c>
      <c r="U48" s="345">
        <f t="shared" si="24"/>
        <v>0</v>
      </c>
      <c r="V48" s="345">
        <f t="shared" si="25"/>
        <v>0</v>
      </c>
      <c r="W48" s="345">
        <f t="shared" si="26"/>
        <v>0</v>
      </c>
      <c r="X48" s="345">
        <f t="shared" si="27"/>
        <v>0</v>
      </c>
      <c r="Y48" s="345">
        <f t="shared" si="28"/>
        <v>0</v>
      </c>
      <c r="Z48" s="345">
        <f>IF(Q48&lt;&gt;"",VLOOKUP(Y48,TIME!$R$21:$V$24,MATCH(FC_DATA!Q48,TIME!$R$20:$V$20,0),FALSE),H48)</f>
        <v>0</v>
      </c>
      <c r="AA48" s="345" t="str">
        <f>IFERROR(VLOOKUP(X48&amp;Z48,TIME!$A$12:$D$71,4,FALSE),"")</f>
        <v/>
      </c>
      <c r="AB48" s="592">
        <f t="shared" ca="1" si="10"/>
        <v>0</v>
      </c>
      <c r="AC48" s="593" t="e">
        <f ca="1">IF(ISBLANK(H48)=FALSE,IF(D48="BRAND.com",I48,IF(ISNA(VLOOKUP(_xlfn.CONCAT(X48,Z48),TIME!$M$40:$M$42,1,FALSE)),I48,VLOOKUP(_xlfn.CONCAT(D48,G48,H48),M_BUSAREA_FC!$AF$5:$AJ$10,5,FALSE)*HLOOKUP(_xlfn.CONCAT(F48,H48),ST_OVERVIEW!$G$99:$I$130,MATCH(_xlfn.CONCAT(D48,E48),ST_OVERVIEW!$F$99:$F$130,0),FALSE))),IF(D48="BRAND.com",VLOOKUP(_xlfn.CONCAT(C48,D48,E48,TIME!$F$1,Z48),HIS_SALES!$B$2:$V$4859,19,FALSE)*I48,VLOOKUP(_xlfn.CONCAT(D48,F48,G48),Q_BUSAREA_FC!$AE$5:$AI$12,5,FALSE)*HLOOKUP(_xlfn.CONCAT(FC_DATA!F48,FC_DATA!G48),LT_OVERVIEW!$I$99:$M$130,MATCH(_xlfn.CONCAT(D48,FC_DATA!E48),LT_OVERVIEW!$H$99:$H$130,0),FALSE)*IFERROR(VLOOKUP(_xlfn.CONCAT(C48,D48,E48,TIME!$F$1,Z48),HIS_SALES!$B$2:$V$4859,19,FALSE),0)))</f>
        <v>#N/A</v>
      </c>
      <c r="AD48" s="341">
        <f t="shared" ca="1" si="29"/>
        <v>0</v>
      </c>
      <c r="AE48" s="363" t="str">
        <f t="shared" si="30"/>
        <v/>
      </c>
      <c r="AF48" s="342" t="str">
        <f t="shared" si="31"/>
        <v/>
      </c>
      <c r="AG48" s="411" t="e">
        <f ca="1">VLOOKUP(_xlfn.CONCAT(U48,V48,W48,VLOOKUP(X48&amp;Y48,TIME!$L$27:$O$34,4,FALSE),Y48),HIS_SALES!$A$2:$R$5093,18,FALSE)</f>
        <v>#N/A</v>
      </c>
      <c r="AH48" s="412" t="e">
        <f ca="1">IFERROR(IF(AND(V48=V47,W48=W47),0.5*(AB48+AB47)*AG48,(VLOOKUP(_xlfn.CONCAT(U48,V48,W48,X48,VLOOKUP(Z48,TIME!$S$28:$T$39,2,FALSE)),FC_DATA!$R$2:$AB$5000,MATCH("GS_I_M",FC_DATA!$R$1:$AB$1,0),FALSE)+FC_DATA!AB48)*0.5*FC_DATA!AG48),NA())</f>
        <v>#N/A</v>
      </c>
      <c r="AI48" s="491" t="e">
        <f ca="1">IF(V48="PARTNER.com",AH48,IF(AND(V48=V47,W48=W47),(1-AVERAGE(AD47,AD48))*AH48,(1-AVERAGE(AD48,VLOOKUP(_xlfn.CONCAT(U48,V48,W48,X48,M_BRAND_FC!$F$6),FC_DATA!$R$2:$AD$5000,MATCH("DISCOUNT_%_M",FC_DATA!$R$1:$AD$1,0),FALSE)))*AH48))</f>
        <v>#N/A</v>
      </c>
      <c r="AJ48" s="412" t="str">
        <f t="shared" ca="1" si="14"/>
        <v/>
      </c>
      <c r="AK48" s="413" t="str">
        <f>IFERROR(AE48/(Q_BRAND_FC!$T$24+1),"")</f>
        <v/>
      </c>
      <c r="AL48" s="88" t="str">
        <f t="shared" ca="1" si="15"/>
        <v/>
      </c>
      <c r="AM48" s="414" t="str">
        <f t="shared" ca="1" si="16"/>
        <v/>
      </c>
      <c r="AN48" s="58">
        <f>IFERROR(IF($V48="BRAND.com",HLOOKUP($X48&amp;$Z48,NWC_FC_NOOS!$C$4:$Q$23,MATCH(W48,NWC_FC_NOOS!$B$4:$B$23,0),FALSE),0),0)</f>
        <v>0</v>
      </c>
      <c r="AO48" s="57">
        <f>IFERROR(IF($V48="BRAND.com",HLOOKUP($X48&amp;$Z48,NWC_FC_NOOS!$T$4:$AH$23,MATCH(W48,NWC_FC_NOOS!$S$4:$S$23,0),FALSE),0),0)</f>
        <v>0</v>
      </c>
      <c r="AP48" s="57">
        <f>IFERROR(IF($V48="BRAND.com",HLOOKUP($X48&amp;$Z48,NWC_FC_NOOS!$C$50:$U$69,MATCH(W48,NWC_FC_NOOS!$B$50:$B$69,0),FALSE),0),0)</f>
        <v>0</v>
      </c>
      <c r="AQ48" s="58">
        <f>IFERROR(IF($V48="BRAND.com",HLOOKUP($X48&amp;$Z48,'NWC_FC_NON-NOOS'!$C$4:$Q$23,MATCH(W48,'NWC_FC_NON-NOOS'!$B$4:$B$23,0),FALSE),0),0)</f>
        <v>0</v>
      </c>
      <c r="AR48" s="57">
        <f>IFERROR(IF($V48="BRAND.com",HLOOKUP($X48&amp;$Z48,'NWC_FC_NON-NOOS'!$T$4:$AH$23,MATCH(W48,'NWC_FC_NON-NOOS'!$S$4:$S$23,0),FALSE),0),0)</f>
        <v>0</v>
      </c>
      <c r="AS48" s="57">
        <f>IFERROR(IF($V48="BRAND.com",HLOOKUP($X48&amp;$Z48,'NWC_FC_NON-NOOS'!$C$50:$U$69,MATCH(W48,'NWC_FC_NON-NOOS'!$B$50:$B$69,0),FALSE),0),0)</f>
        <v>0</v>
      </c>
      <c r="AT48" s="57">
        <f t="shared" si="18"/>
        <v>0</v>
      </c>
      <c r="AU48" s="57">
        <f t="shared" si="19"/>
        <v>0</v>
      </c>
      <c r="AV48" s="58">
        <f>IFERROR(IF($V48="BRAND.com",HLOOKUP($X48&amp;$Z48,PLANNING_FC!$BB$27:$BP$46,MATCH($W48,PLANNING_FC!$BA$27:$BA$46,0),FALSE),0),0)</f>
        <v>0</v>
      </c>
      <c r="AW48" s="58">
        <f>IFERROR(IF($V48="BRAND.com",HLOOKUP($X48&amp;$Z48,PLANNING_FC!$BB$4:$BP$23,MATCH($W48,PLANNING_FC!$BA$4:$BA$23,0),FALSE),0),0)</f>
        <v>0</v>
      </c>
      <c r="AX48" s="58">
        <f>IFERROR(IF($V48="BRAND.com",HLOOKUP($X48&amp;$Z48,PLANNING_FC!$T$27:$AH$46,MATCH($W48,PLANNING_FC!$B$27:$B$46,0),FALSE),0),0)</f>
        <v>0</v>
      </c>
      <c r="AY48" s="58">
        <f>IFERROR(IF($V48="BRAND.com",HLOOKUP($X48&amp;$Z48,PLANNING_FC!$T$4:$AH$23,MATCH($W48,PLANNING_FC!$B$4:$B$23,0),FALSE),0),0)</f>
        <v>0</v>
      </c>
      <c r="AZ48" s="58">
        <f>IFERROR(IF($V48="BRAND.com",HLOOKUP($X48&amp;$Z48,PLANNING_FC!$DA$27:$DO$46,MATCH($W48,PLANNING_FC!$CZ$27:$CZ$46,0),FALSE),0),0)</f>
        <v>0</v>
      </c>
      <c r="BA48" s="58">
        <f>IFERROR(IF($V48="BRAND.com",HLOOKUP($X48&amp;$Z48,PLANNING_FC!$DA$4:$DO$23,MATCH($W48,PLANNING_FC!$CZ$4:$CZ$23,0),FALSE),0),0)</f>
        <v>0</v>
      </c>
      <c r="BB48" s="883" t="str">
        <f>IF(V48="BRAND.com",IFERROR(HLOOKUP(X48&amp;Z48,PLANNING_FC!$AK$4:$AY$23,MATCH(W48,PLANNING_FC!$AJ$4:$AJ$23,0),FALSE)*1000,""),"")</f>
        <v/>
      </c>
      <c r="BC48" s="883" t="str">
        <f>IF(V48="BRAND.com",IFERROR(HLOOKUP(X48&amp;Z48,PLANNING_FC!$AK$27:$AY$46,MATCH(W48,PLANNING_FC!$AJ$27:$AJ$46,0),FALSE)*1000,""),"")</f>
        <v/>
      </c>
    </row>
    <row r="49" spans="1:55" x14ac:dyDescent="0.25">
      <c r="A49" s="509"/>
      <c r="B49" s="510"/>
      <c r="C49" s="509"/>
      <c r="D49" s="509"/>
      <c r="E49" s="509"/>
      <c r="F49" s="509"/>
      <c r="G49" s="509"/>
      <c r="H49" s="509"/>
      <c r="I49" s="512"/>
      <c r="J49" s="513"/>
      <c r="K49" s="879"/>
      <c r="L49" s="515"/>
      <c r="M49" s="516"/>
      <c r="N49" s="56">
        <f t="shared" si="20"/>
        <v>0</v>
      </c>
      <c r="O49" s="57">
        <f t="shared" si="21"/>
        <v>0</v>
      </c>
      <c r="P49" s="57">
        <f ca="1">IFERROR(IF(ISBLANK(H49),SUMIFS($AC:$AC,$V:$V,V49,$W:$W,W49,$X:$X,X49,$Y:$Y,Y49)*J49/(1-J49)*VLOOKUP(_xlfn.CONCAT(C49,D49,E49,TIME!$M$12,Z49),HIS_SALES!$B$2:$W$4859,20,FALSE),AC49*J49/(1-J49)),0)</f>
        <v>0</v>
      </c>
      <c r="Q49" s="541" t="str">
        <f t="shared" si="22"/>
        <v/>
      </c>
      <c r="R49" s="346" t="str">
        <f t="shared" si="3"/>
        <v>00000</v>
      </c>
      <c r="S49" s="344">
        <f t="shared" si="23"/>
        <v>0</v>
      </c>
      <c r="T49" s="345" t="str">
        <f t="shared" si="17"/>
        <v>000</v>
      </c>
      <c r="U49" s="345">
        <f t="shared" si="24"/>
        <v>0</v>
      </c>
      <c r="V49" s="345">
        <f t="shared" si="25"/>
        <v>0</v>
      </c>
      <c r="W49" s="345">
        <f t="shared" si="26"/>
        <v>0</v>
      </c>
      <c r="X49" s="345">
        <f t="shared" si="27"/>
        <v>0</v>
      </c>
      <c r="Y49" s="345">
        <f t="shared" si="28"/>
        <v>0</v>
      </c>
      <c r="Z49" s="345">
        <f>IF(Q49&lt;&gt;"",VLOOKUP(Y49,TIME!$R$21:$V$24,MATCH(FC_DATA!Q49,TIME!$R$20:$V$20,0),FALSE),H49)</f>
        <v>0</v>
      </c>
      <c r="AA49" s="345" t="str">
        <f>IFERROR(VLOOKUP(X49&amp;Z49,TIME!$A$12:$D$71,4,FALSE),"")</f>
        <v/>
      </c>
      <c r="AB49" s="592">
        <f t="shared" ca="1" si="10"/>
        <v>0</v>
      </c>
      <c r="AC49" s="593" t="e">
        <f ca="1">IF(ISBLANK(H49)=FALSE,IF(D49="BRAND.com",I49,IF(ISNA(VLOOKUP(_xlfn.CONCAT(X49,Z49),TIME!$M$40:$M$42,1,FALSE)),I49,VLOOKUP(_xlfn.CONCAT(D49,G49,H49),M_BUSAREA_FC!$AF$5:$AJ$10,5,FALSE)*HLOOKUP(_xlfn.CONCAT(F49,H49),ST_OVERVIEW!$G$99:$I$130,MATCH(_xlfn.CONCAT(D49,E49),ST_OVERVIEW!$F$99:$F$130,0),FALSE))),IF(D49="BRAND.com",VLOOKUP(_xlfn.CONCAT(C49,D49,E49,TIME!$F$1,Z49),HIS_SALES!$B$2:$V$4859,19,FALSE)*I49,VLOOKUP(_xlfn.CONCAT(D49,F49,G49),Q_BUSAREA_FC!$AE$5:$AI$12,5,FALSE)*HLOOKUP(_xlfn.CONCAT(FC_DATA!F49,FC_DATA!G49),LT_OVERVIEW!$I$99:$M$130,MATCH(_xlfn.CONCAT(D49,FC_DATA!E49),LT_OVERVIEW!$H$99:$H$130,0),FALSE)*IFERROR(VLOOKUP(_xlfn.CONCAT(C49,D49,E49,TIME!$F$1,Z49),HIS_SALES!$B$2:$V$4859,19,FALSE),0)))</f>
        <v>#N/A</v>
      </c>
      <c r="AD49" s="341">
        <f t="shared" ca="1" si="29"/>
        <v>0</v>
      </c>
      <c r="AE49" s="363" t="str">
        <f t="shared" si="30"/>
        <v/>
      </c>
      <c r="AF49" s="342" t="str">
        <f t="shared" si="31"/>
        <v/>
      </c>
      <c r="AG49" s="411" t="e">
        <f ca="1">VLOOKUP(_xlfn.CONCAT(U49,V49,W49,VLOOKUP(X49&amp;Y49,TIME!$L$27:$O$34,4,FALSE),Y49),HIS_SALES!$A$2:$R$5093,18,FALSE)</f>
        <v>#N/A</v>
      </c>
      <c r="AH49" s="412" t="e">
        <f ca="1">IFERROR(IF(AND(V49=V48,W49=W48),0.5*(AB49+AB48)*AG49,(VLOOKUP(_xlfn.CONCAT(U49,V49,W49,X49,VLOOKUP(Z49,TIME!$S$28:$T$39,2,FALSE)),FC_DATA!$R$2:$AB$5000,MATCH("GS_I_M",FC_DATA!$R$1:$AB$1,0),FALSE)+FC_DATA!AB49)*0.5*FC_DATA!AG49),NA())</f>
        <v>#N/A</v>
      </c>
      <c r="AI49" s="491" t="e">
        <f ca="1">IF(V49="PARTNER.com",AH49,IF(AND(V49=V48,W49=W48),(1-AVERAGE(AD48,AD49))*AH49,(1-AVERAGE(AD49,VLOOKUP(_xlfn.CONCAT(U49,V49,W49,X49,M_BRAND_FC!$F$6),FC_DATA!$R$2:$AD$5000,MATCH("DISCOUNT_%_M",FC_DATA!$R$1:$AD$1,0),FALSE)))*AH49))</f>
        <v>#N/A</v>
      </c>
      <c r="AJ49" s="412" t="str">
        <f t="shared" ca="1" si="14"/>
        <v/>
      </c>
      <c r="AK49" s="413" t="str">
        <f>IFERROR(AE49/(Q_BRAND_FC!$T$24+1),"")</f>
        <v/>
      </c>
      <c r="AL49" s="88" t="str">
        <f t="shared" ca="1" si="15"/>
        <v/>
      </c>
      <c r="AM49" s="414" t="str">
        <f t="shared" ca="1" si="16"/>
        <v/>
      </c>
      <c r="AN49" s="58">
        <f>IFERROR(IF($V49="BRAND.com",HLOOKUP($X49&amp;$Z49,NWC_FC_NOOS!$C$4:$Q$23,MATCH(W49,NWC_FC_NOOS!$B$4:$B$23,0),FALSE),0),0)</f>
        <v>0</v>
      </c>
      <c r="AO49" s="57">
        <f>IFERROR(IF($V49="BRAND.com",HLOOKUP($X49&amp;$Z49,NWC_FC_NOOS!$T$4:$AH$23,MATCH(W49,NWC_FC_NOOS!$S$4:$S$23,0),FALSE),0),0)</f>
        <v>0</v>
      </c>
      <c r="AP49" s="57">
        <f>IFERROR(IF($V49="BRAND.com",HLOOKUP($X49&amp;$Z49,NWC_FC_NOOS!$C$50:$U$69,MATCH(W49,NWC_FC_NOOS!$B$50:$B$69,0),FALSE),0),0)</f>
        <v>0</v>
      </c>
      <c r="AQ49" s="58">
        <f>IFERROR(IF($V49="BRAND.com",HLOOKUP($X49&amp;$Z49,'NWC_FC_NON-NOOS'!$C$4:$Q$23,MATCH(W49,'NWC_FC_NON-NOOS'!$B$4:$B$23,0),FALSE),0),0)</f>
        <v>0</v>
      </c>
      <c r="AR49" s="57">
        <f>IFERROR(IF($V49="BRAND.com",HLOOKUP($X49&amp;$Z49,'NWC_FC_NON-NOOS'!$T$4:$AH$23,MATCH(W49,'NWC_FC_NON-NOOS'!$S$4:$S$23,0),FALSE),0),0)</f>
        <v>0</v>
      </c>
      <c r="AS49" s="57">
        <f>IFERROR(IF($V49="BRAND.com",HLOOKUP($X49&amp;$Z49,'NWC_FC_NON-NOOS'!$C$50:$U$69,MATCH(W49,'NWC_FC_NON-NOOS'!$B$50:$B$69,0),FALSE),0),0)</f>
        <v>0</v>
      </c>
      <c r="AT49" s="57">
        <f t="shared" si="18"/>
        <v>0</v>
      </c>
      <c r="AU49" s="57">
        <f t="shared" si="19"/>
        <v>0</v>
      </c>
      <c r="AV49" s="58">
        <f>IFERROR(IF($V49="BRAND.com",HLOOKUP($X49&amp;$Z49,PLANNING_FC!$BB$27:$BP$46,MATCH($W49,PLANNING_FC!$BA$27:$BA$46,0),FALSE),0),0)</f>
        <v>0</v>
      </c>
      <c r="AW49" s="58">
        <f>IFERROR(IF($V49="BRAND.com",HLOOKUP($X49&amp;$Z49,PLANNING_FC!$BB$4:$BP$23,MATCH($W49,PLANNING_FC!$BA$4:$BA$23,0),FALSE),0),0)</f>
        <v>0</v>
      </c>
      <c r="AX49" s="58">
        <f>IFERROR(IF($V49="BRAND.com",HLOOKUP($X49&amp;$Z49,PLANNING_FC!$T$27:$AH$46,MATCH($W49,PLANNING_FC!$B$27:$B$46,0),FALSE),0),0)</f>
        <v>0</v>
      </c>
      <c r="AY49" s="58">
        <f>IFERROR(IF($V49="BRAND.com",HLOOKUP($X49&amp;$Z49,PLANNING_FC!$T$4:$AH$23,MATCH($W49,PLANNING_FC!$B$4:$B$23,0),FALSE),0),0)</f>
        <v>0</v>
      </c>
      <c r="AZ49" s="58">
        <f>IFERROR(IF($V49="BRAND.com",HLOOKUP($X49&amp;$Z49,PLANNING_FC!$DA$27:$DO$46,MATCH($W49,PLANNING_FC!$CZ$27:$CZ$46,0),FALSE),0),0)</f>
        <v>0</v>
      </c>
      <c r="BA49" s="58">
        <f>IFERROR(IF($V49="BRAND.com",HLOOKUP($X49&amp;$Z49,PLANNING_FC!$DA$4:$DO$23,MATCH($W49,PLANNING_FC!$CZ$4:$CZ$23,0),FALSE),0),0)</f>
        <v>0</v>
      </c>
      <c r="BB49" s="883" t="str">
        <f>IF(V49="BRAND.com",IFERROR(HLOOKUP(X49&amp;Z49,PLANNING_FC!$AK$4:$AY$23,MATCH(W49,PLANNING_FC!$AJ$4:$AJ$23,0),FALSE)*1000,""),"")</f>
        <v/>
      </c>
      <c r="BC49" s="883" t="str">
        <f>IF(V49="BRAND.com",IFERROR(HLOOKUP(X49&amp;Z49,PLANNING_FC!$AK$27:$AY$46,MATCH(W49,PLANNING_FC!$AJ$27:$AJ$46,0),FALSE)*1000,""),"")</f>
        <v/>
      </c>
    </row>
    <row r="50" spans="1:55" x14ac:dyDescent="0.25">
      <c r="A50" s="509"/>
      <c r="B50" s="510"/>
      <c r="C50" s="509"/>
      <c r="D50" s="509"/>
      <c r="E50" s="509"/>
      <c r="F50" s="509"/>
      <c r="G50" s="509"/>
      <c r="H50" s="509"/>
      <c r="I50" s="512"/>
      <c r="J50" s="513"/>
      <c r="K50" s="879"/>
      <c r="L50" s="515"/>
      <c r="M50" s="516"/>
      <c r="N50" s="56">
        <f t="shared" si="20"/>
        <v>0</v>
      </c>
      <c r="O50" s="57">
        <f t="shared" si="21"/>
        <v>0</v>
      </c>
      <c r="P50" s="57">
        <f ca="1">IFERROR(IF(ISBLANK(H50),SUMIFS($AC:$AC,$V:$V,V50,$W:$W,W50,$X:$X,X50,$Y:$Y,Y50)*J50/(1-J50)*VLOOKUP(_xlfn.CONCAT(C50,D50,E50,TIME!$M$12,Z50),HIS_SALES!$B$2:$W$4859,20,FALSE),AC50*J50/(1-J50)),0)</f>
        <v>0</v>
      </c>
      <c r="Q50" s="541" t="str">
        <f t="shared" si="22"/>
        <v/>
      </c>
      <c r="R50" s="346" t="str">
        <f t="shared" si="3"/>
        <v>00000</v>
      </c>
      <c r="S50" s="344">
        <f t="shared" si="23"/>
        <v>0</v>
      </c>
      <c r="T50" s="345" t="str">
        <f t="shared" si="17"/>
        <v>000</v>
      </c>
      <c r="U50" s="345">
        <f t="shared" si="24"/>
        <v>0</v>
      </c>
      <c r="V50" s="345">
        <f t="shared" si="25"/>
        <v>0</v>
      </c>
      <c r="W50" s="345">
        <f t="shared" si="26"/>
        <v>0</v>
      </c>
      <c r="X50" s="345">
        <f t="shared" si="27"/>
        <v>0</v>
      </c>
      <c r="Y50" s="345">
        <f t="shared" si="28"/>
        <v>0</v>
      </c>
      <c r="Z50" s="345">
        <f>IF(Q50&lt;&gt;"",VLOOKUP(Y50,TIME!$R$21:$V$24,MATCH(FC_DATA!Q50,TIME!$R$20:$V$20,0),FALSE),H50)</f>
        <v>0</v>
      </c>
      <c r="AA50" s="345" t="str">
        <f>IFERROR(VLOOKUP(X50&amp;Z50,TIME!$A$12:$D$71,4,FALSE),"")</f>
        <v/>
      </c>
      <c r="AB50" s="592">
        <f t="shared" ca="1" si="10"/>
        <v>0</v>
      </c>
      <c r="AC50" s="593" t="e">
        <f ca="1">IF(ISBLANK(H50)=FALSE,IF(D50="BRAND.com",I50,IF(ISNA(VLOOKUP(_xlfn.CONCAT(X50,Z50),TIME!$M$40:$M$42,1,FALSE)),I50,VLOOKUP(_xlfn.CONCAT(D50,G50,H50),M_BUSAREA_FC!$AF$5:$AJ$10,5,FALSE)*HLOOKUP(_xlfn.CONCAT(F50,H50),ST_OVERVIEW!$G$99:$I$130,MATCH(_xlfn.CONCAT(D50,E50),ST_OVERVIEW!$F$99:$F$130,0),FALSE))),IF(D50="BRAND.com",VLOOKUP(_xlfn.CONCAT(C50,D50,E50,TIME!$F$1,Z50),HIS_SALES!$B$2:$V$4859,19,FALSE)*I50,VLOOKUP(_xlfn.CONCAT(D50,F50,G50),Q_BUSAREA_FC!$AE$5:$AI$12,5,FALSE)*HLOOKUP(_xlfn.CONCAT(FC_DATA!F50,FC_DATA!G50),LT_OVERVIEW!$I$99:$M$130,MATCH(_xlfn.CONCAT(D50,FC_DATA!E50),LT_OVERVIEW!$H$99:$H$130,0),FALSE)*IFERROR(VLOOKUP(_xlfn.CONCAT(C50,D50,E50,TIME!$F$1,Z50),HIS_SALES!$B$2:$V$4859,19,FALSE),0)))</f>
        <v>#N/A</v>
      </c>
      <c r="AD50" s="341">
        <f t="shared" ca="1" si="29"/>
        <v>0</v>
      </c>
      <c r="AE50" s="363" t="str">
        <f t="shared" si="30"/>
        <v/>
      </c>
      <c r="AF50" s="342" t="str">
        <f t="shared" si="31"/>
        <v/>
      </c>
      <c r="AG50" s="411" t="e">
        <f ca="1">VLOOKUP(_xlfn.CONCAT(U50,V50,W50,VLOOKUP(X50&amp;Y50,TIME!$L$27:$O$34,4,FALSE),Y50),HIS_SALES!$A$2:$R$5093,18,FALSE)</f>
        <v>#N/A</v>
      </c>
      <c r="AH50" s="412" t="e">
        <f ca="1">IFERROR(IF(AND(V50=V49,W50=W49),0.5*(AB50+AB49)*AG50,(VLOOKUP(_xlfn.CONCAT(U50,V50,W50,X50,VLOOKUP(Z50,TIME!$S$28:$T$39,2,FALSE)),FC_DATA!$R$2:$AB$5000,MATCH("GS_I_M",FC_DATA!$R$1:$AB$1,0),FALSE)+FC_DATA!AB50)*0.5*FC_DATA!AG50),NA())</f>
        <v>#N/A</v>
      </c>
      <c r="AI50" s="491" t="e">
        <f ca="1">IF(V50="PARTNER.com",AH50,IF(AND(V50=V49,W50=W49),(1-AVERAGE(AD49,AD50))*AH50,(1-AVERAGE(AD50,VLOOKUP(_xlfn.CONCAT(U50,V50,W50,X50,M_BRAND_FC!$F$6),FC_DATA!$R$2:$AD$5000,MATCH("DISCOUNT_%_M",FC_DATA!$R$1:$AD$1,0),FALSE)))*AH50))</f>
        <v>#N/A</v>
      </c>
      <c r="AJ50" s="412" t="str">
        <f t="shared" ca="1" si="14"/>
        <v/>
      </c>
      <c r="AK50" s="413" t="str">
        <f>IFERROR(AE50/(Q_BRAND_FC!$T$24+1),"")</f>
        <v/>
      </c>
      <c r="AL50" s="88" t="str">
        <f t="shared" ca="1" si="15"/>
        <v/>
      </c>
      <c r="AM50" s="414" t="str">
        <f t="shared" ca="1" si="16"/>
        <v/>
      </c>
      <c r="AN50" s="58">
        <f>IFERROR(IF($V50="BRAND.com",HLOOKUP($X50&amp;$Z50,NWC_FC_NOOS!$C$4:$Q$23,MATCH(W50,NWC_FC_NOOS!$B$4:$B$23,0),FALSE),0),0)</f>
        <v>0</v>
      </c>
      <c r="AO50" s="57">
        <f>IFERROR(IF($V50="BRAND.com",HLOOKUP($X50&amp;$Z50,NWC_FC_NOOS!$T$4:$AH$23,MATCH(W50,NWC_FC_NOOS!$S$4:$S$23,0),FALSE),0),0)</f>
        <v>0</v>
      </c>
      <c r="AP50" s="57">
        <f>IFERROR(IF($V50="BRAND.com",HLOOKUP($X50&amp;$Z50,NWC_FC_NOOS!$C$50:$U$69,MATCH(W50,NWC_FC_NOOS!$B$50:$B$69,0),FALSE),0),0)</f>
        <v>0</v>
      </c>
      <c r="AQ50" s="58">
        <f>IFERROR(IF($V50="BRAND.com",HLOOKUP($X50&amp;$Z50,'NWC_FC_NON-NOOS'!$C$4:$Q$23,MATCH(W50,'NWC_FC_NON-NOOS'!$B$4:$B$23,0),FALSE),0),0)</f>
        <v>0</v>
      </c>
      <c r="AR50" s="57">
        <f>IFERROR(IF($V50="BRAND.com",HLOOKUP($X50&amp;$Z50,'NWC_FC_NON-NOOS'!$T$4:$AH$23,MATCH(W50,'NWC_FC_NON-NOOS'!$S$4:$S$23,0),FALSE),0),0)</f>
        <v>0</v>
      </c>
      <c r="AS50" s="57">
        <f>IFERROR(IF($V50="BRAND.com",HLOOKUP($X50&amp;$Z50,'NWC_FC_NON-NOOS'!$C$50:$U$69,MATCH(W50,'NWC_FC_NON-NOOS'!$B$50:$B$69,0),FALSE),0),0)</f>
        <v>0</v>
      </c>
      <c r="AT50" s="57">
        <f t="shared" si="18"/>
        <v>0</v>
      </c>
      <c r="AU50" s="57">
        <f t="shared" si="19"/>
        <v>0</v>
      </c>
      <c r="AV50" s="58">
        <f>IFERROR(IF($V50="BRAND.com",HLOOKUP($X50&amp;$Z50,PLANNING_FC!$BB$27:$BP$46,MATCH($W50,PLANNING_FC!$BA$27:$BA$46,0),FALSE),0),0)</f>
        <v>0</v>
      </c>
      <c r="AW50" s="58">
        <f>IFERROR(IF($V50="BRAND.com",HLOOKUP($X50&amp;$Z50,PLANNING_FC!$BB$4:$BP$23,MATCH($W50,PLANNING_FC!$BA$4:$BA$23,0),FALSE),0),0)</f>
        <v>0</v>
      </c>
      <c r="AX50" s="58">
        <f>IFERROR(IF($V50="BRAND.com",HLOOKUP($X50&amp;$Z50,PLANNING_FC!$T$27:$AH$46,MATCH($W50,PLANNING_FC!$B$27:$B$46,0),FALSE),0),0)</f>
        <v>0</v>
      </c>
      <c r="AY50" s="58">
        <f>IFERROR(IF($V50="BRAND.com",HLOOKUP($X50&amp;$Z50,PLANNING_FC!$T$4:$AH$23,MATCH($W50,PLANNING_FC!$B$4:$B$23,0),FALSE),0),0)</f>
        <v>0</v>
      </c>
      <c r="AZ50" s="58">
        <f>IFERROR(IF($V50="BRAND.com",HLOOKUP($X50&amp;$Z50,PLANNING_FC!$DA$27:$DO$46,MATCH($W50,PLANNING_FC!$CZ$27:$CZ$46,0),FALSE),0),0)</f>
        <v>0</v>
      </c>
      <c r="BA50" s="58">
        <f>IFERROR(IF($V50="BRAND.com",HLOOKUP($X50&amp;$Z50,PLANNING_FC!$DA$4:$DO$23,MATCH($W50,PLANNING_FC!$CZ$4:$CZ$23,0),FALSE),0),0)</f>
        <v>0</v>
      </c>
      <c r="BB50" s="883" t="str">
        <f>IF(V50="BRAND.com",IFERROR(HLOOKUP(X50&amp;Z50,PLANNING_FC!$AK$4:$AY$23,MATCH(W50,PLANNING_FC!$AJ$4:$AJ$23,0),FALSE)*1000,""),"")</f>
        <v/>
      </c>
      <c r="BC50" s="883" t="str">
        <f>IF(V50="BRAND.com",IFERROR(HLOOKUP(X50&amp;Z50,PLANNING_FC!$AK$27:$AY$46,MATCH(W50,PLANNING_FC!$AJ$27:$AJ$46,0),FALSE)*1000,""),"")</f>
        <v/>
      </c>
    </row>
    <row r="51" spans="1:55" x14ac:dyDescent="0.25">
      <c r="A51" s="509"/>
      <c r="B51" s="510"/>
      <c r="C51" s="509"/>
      <c r="D51" s="509"/>
      <c r="E51" s="509"/>
      <c r="F51" s="509"/>
      <c r="G51" s="509"/>
      <c r="H51" s="509"/>
      <c r="I51" s="512"/>
      <c r="J51" s="513"/>
      <c r="K51" s="879"/>
      <c r="L51" s="515"/>
      <c r="M51" s="516"/>
      <c r="N51" s="56">
        <f t="shared" si="20"/>
        <v>0</v>
      </c>
      <c r="O51" s="57">
        <f t="shared" si="21"/>
        <v>0</v>
      </c>
      <c r="P51" s="57">
        <f ca="1">IFERROR(IF(ISBLANK(H51),SUMIFS($AC:$AC,$V:$V,V51,$W:$W,W51,$X:$X,X51,$Y:$Y,Y51)*J51/(1-J51)*VLOOKUP(_xlfn.CONCAT(C51,D51,E51,TIME!$M$12,Z51),HIS_SALES!$B$2:$W$4859,20,FALSE),AC51*J51/(1-J51)),0)</f>
        <v>0</v>
      </c>
      <c r="Q51" s="541" t="str">
        <f t="shared" si="22"/>
        <v/>
      </c>
      <c r="R51" s="346" t="str">
        <f t="shared" si="3"/>
        <v>00000</v>
      </c>
      <c r="S51" s="344">
        <f t="shared" si="23"/>
        <v>0</v>
      </c>
      <c r="T51" s="345" t="str">
        <f t="shared" si="17"/>
        <v>000</v>
      </c>
      <c r="U51" s="345">
        <f t="shared" si="24"/>
        <v>0</v>
      </c>
      <c r="V51" s="345">
        <f t="shared" si="25"/>
        <v>0</v>
      </c>
      <c r="W51" s="345">
        <f t="shared" si="26"/>
        <v>0</v>
      </c>
      <c r="X51" s="345">
        <f t="shared" si="27"/>
        <v>0</v>
      </c>
      <c r="Y51" s="345">
        <f t="shared" si="28"/>
        <v>0</v>
      </c>
      <c r="Z51" s="345">
        <f>IF(Q51&lt;&gt;"",VLOOKUP(Y51,TIME!$R$21:$V$24,MATCH(FC_DATA!Q51,TIME!$R$20:$V$20,0),FALSE),H51)</f>
        <v>0</v>
      </c>
      <c r="AA51" s="345" t="str">
        <f>IFERROR(VLOOKUP(X51&amp;Z51,TIME!$A$12:$D$71,4,FALSE),"")</f>
        <v/>
      </c>
      <c r="AB51" s="592">
        <f t="shared" ca="1" si="10"/>
        <v>0</v>
      </c>
      <c r="AC51" s="593" t="e">
        <f ca="1">IF(ISBLANK(H51)=FALSE,IF(D51="BRAND.com",I51,IF(ISNA(VLOOKUP(_xlfn.CONCAT(X51,Z51),TIME!$M$40:$M$42,1,FALSE)),I51,VLOOKUP(_xlfn.CONCAT(D51,G51,H51),M_BUSAREA_FC!$AF$5:$AJ$10,5,FALSE)*HLOOKUP(_xlfn.CONCAT(F51,H51),ST_OVERVIEW!$G$99:$I$130,MATCH(_xlfn.CONCAT(D51,E51),ST_OVERVIEW!$F$99:$F$130,0),FALSE))),IF(D51="BRAND.com",VLOOKUP(_xlfn.CONCAT(C51,D51,E51,TIME!$F$1,Z51),HIS_SALES!$B$2:$V$4859,19,FALSE)*I51,VLOOKUP(_xlfn.CONCAT(D51,F51,G51),Q_BUSAREA_FC!$AE$5:$AI$12,5,FALSE)*HLOOKUP(_xlfn.CONCAT(FC_DATA!F51,FC_DATA!G51),LT_OVERVIEW!$I$99:$M$130,MATCH(_xlfn.CONCAT(D51,FC_DATA!E51),LT_OVERVIEW!$H$99:$H$130,0),FALSE)*IFERROR(VLOOKUP(_xlfn.CONCAT(C51,D51,E51,TIME!$F$1,Z51),HIS_SALES!$B$2:$V$4859,19,FALSE),0)))</f>
        <v>#N/A</v>
      </c>
      <c r="AD51" s="341">
        <f t="shared" ca="1" si="29"/>
        <v>0</v>
      </c>
      <c r="AE51" s="363" t="str">
        <f t="shared" si="30"/>
        <v/>
      </c>
      <c r="AF51" s="342" t="str">
        <f t="shared" si="31"/>
        <v/>
      </c>
      <c r="AG51" s="411" t="e">
        <f ca="1">VLOOKUP(_xlfn.CONCAT(U51,V51,W51,VLOOKUP(X51&amp;Y51,TIME!$L$27:$O$34,4,FALSE),Y51),HIS_SALES!$A$2:$R$5093,18,FALSE)</f>
        <v>#N/A</v>
      </c>
      <c r="AH51" s="412" t="e">
        <f ca="1">IFERROR(IF(AND(V51=V50,W51=W50),0.5*(AB51+AB50)*AG51,(VLOOKUP(_xlfn.CONCAT(U51,V51,W51,X51,VLOOKUP(Z51,TIME!$S$28:$T$39,2,FALSE)),FC_DATA!$R$2:$AB$5000,MATCH("GS_I_M",FC_DATA!$R$1:$AB$1,0),FALSE)+FC_DATA!AB51)*0.5*FC_DATA!AG51),NA())</f>
        <v>#N/A</v>
      </c>
      <c r="AI51" s="491" t="e">
        <f ca="1">IF(V51="PARTNER.com",AH51,IF(AND(V51=V50,W51=W50),(1-AVERAGE(AD50,AD51))*AH51,(1-AVERAGE(AD51,VLOOKUP(_xlfn.CONCAT(U51,V51,W51,X51,M_BRAND_FC!$F$6),FC_DATA!$R$2:$AD$5000,MATCH("DISCOUNT_%_M",FC_DATA!$R$1:$AD$1,0),FALSE)))*AH51))</f>
        <v>#N/A</v>
      </c>
      <c r="AJ51" s="412" t="str">
        <f t="shared" ca="1" si="14"/>
        <v/>
      </c>
      <c r="AK51" s="413" t="str">
        <f>IFERROR(AE51/(Q_BRAND_FC!$T$24+1),"")</f>
        <v/>
      </c>
      <c r="AL51" s="88" t="str">
        <f t="shared" ca="1" si="15"/>
        <v/>
      </c>
      <c r="AM51" s="414" t="str">
        <f t="shared" ca="1" si="16"/>
        <v/>
      </c>
      <c r="AN51" s="58">
        <f>IFERROR(IF($V51="BRAND.com",HLOOKUP($X51&amp;$Z51,NWC_FC_NOOS!$C$4:$Q$23,MATCH(W51,NWC_FC_NOOS!$B$4:$B$23,0),FALSE),0),0)</f>
        <v>0</v>
      </c>
      <c r="AO51" s="57">
        <f>IFERROR(IF($V51="BRAND.com",HLOOKUP($X51&amp;$Z51,NWC_FC_NOOS!$T$4:$AH$23,MATCH(W51,NWC_FC_NOOS!$S$4:$S$23,0),FALSE),0),0)</f>
        <v>0</v>
      </c>
      <c r="AP51" s="57">
        <f>IFERROR(IF($V51="BRAND.com",HLOOKUP($X51&amp;$Z51,NWC_FC_NOOS!$C$50:$U$69,MATCH(W51,NWC_FC_NOOS!$B$50:$B$69,0),FALSE),0),0)</f>
        <v>0</v>
      </c>
      <c r="AQ51" s="58">
        <f>IFERROR(IF($V51="BRAND.com",HLOOKUP($X51&amp;$Z51,'NWC_FC_NON-NOOS'!$C$4:$Q$23,MATCH(W51,'NWC_FC_NON-NOOS'!$B$4:$B$23,0),FALSE),0),0)</f>
        <v>0</v>
      </c>
      <c r="AR51" s="57">
        <f>IFERROR(IF($V51="BRAND.com",HLOOKUP($X51&amp;$Z51,'NWC_FC_NON-NOOS'!$T$4:$AH$23,MATCH(W51,'NWC_FC_NON-NOOS'!$S$4:$S$23,0),FALSE),0),0)</f>
        <v>0</v>
      </c>
      <c r="AS51" s="57">
        <f>IFERROR(IF($V51="BRAND.com",HLOOKUP($X51&amp;$Z51,'NWC_FC_NON-NOOS'!$C$50:$U$69,MATCH(W51,'NWC_FC_NON-NOOS'!$B$50:$B$69,0),FALSE),0),0)</f>
        <v>0</v>
      </c>
      <c r="AT51" s="57">
        <f t="shared" si="18"/>
        <v>0</v>
      </c>
      <c r="AU51" s="57">
        <f t="shared" si="19"/>
        <v>0</v>
      </c>
      <c r="AV51" s="58">
        <f>IFERROR(IF($V51="BRAND.com",HLOOKUP($X51&amp;$Z51,PLANNING_FC!$BB$27:$BP$46,MATCH($W51,PLANNING_FC!$BA$27:$BA$46,0),FALSE),0),0)</f>
        <v>0</v>
      </c>
      <c r="AW51" s="58">
        <f>IFERROR(IF($V51="BRAND.com",HLOOKUP($X51&amp;$Z51,PLANNING_FC!$BB$4:$BP$23,MATCH($W51,PLANNING_FC!$BA$4:$BA$23,0),FALSE),0),0)</f>
        <v>0</v>
      </c>
      <c r="AX51" s="58">
        <f>IFERROR(IF($V51="BRAND.com",HLOOKUP($X51&amp;$Z51,PLANNING_FC!$T$27:$AH$46,MATCH($W51,PLANNING_FC!$B$27:$B$46,0),FALSE),0),0)</f>
        <v>0</v>
      </c>
      <c r="AY51" s="58">
        <f>IFERROR(IF($V51="BRAND.com",HLOOKUP($X51&amp;$Z51,PLANNING_FC!$T$4:$AH$23,MATCH($W51,PLANNING_FC!$B$4:$B$23,0),FALSE),0),0)</f>
        <v>0</v>
      </c>
      <c r="AZ51" s="58">
        <f>IFERROR(IF($V51="BRAND.com",HLOOKUP($X51&amp;$Z51,PLANNING_FC!$DA$27:$DO$46,MATCH($W51,PLANNING_FC!$CZ$27:$CZ$46,0),FALSE),0),0)</f>
        <v>0</v>
      </c>
      <c r="BA51" s="58">
        <f>IFERROR(IF($V51="BRAND.com",HLOOKUP($X51&amp;$Z51,PLANNING_FC!$DA$4:$DO$23,MATCH($W51,PLANNING_FC!$CZ$4:$CZ$23,0),FALSE),0),0)</f>
        <v>0</v>
      </c>
      <c r="BB51" s="883" t="str">
        <f>IF(V51="BRAND.com",IFERROR(HLOOKUP(X51&amp;Z51,PLANNING_FC!$AK$4:$AY$23,MATCH(W51,PLANNING_FC!$AJ$4:$AJ$23,0),FALSE)*1000,""),"")</f>
        <v/>
      </c>
      <c r="BC51" s="883" t="str">
        <f>IF(V51="BRAND.com",IFERROR(HLOOKUP(X51&amp;Z51,PLANNING_FC!$AK$27:$AY$46,MATCH(W51,PLANNING_FC!$AJ$27:$AJ$46,0),FALSE)*1000,""),"")</f>
        <v/>
      </c>
    </row>
    <row r="52" spans="1:55" x14ac:dyDescent="0.25">
      <c r="A52" s="509"/>
      <c r="B52" s="510"/>
      <c r="C52" s="509"/>
      <c r="D52" s="509"/>
      <c r="E52" s="509"/>
      <c r="F52" s="509"/>
      <c r="G52" s="509"/>
      <c r="H52" s="509"/>
      <c r="I52" s="512"/>
      <c r="J52" s="513"/>
      <c r="K52" s="879"/>
      <c r="L52" s="515"/>
      <c r="M52" s="516"/>
      <c r="N52" s="56">
        <f t="shared" si="20"/>
        <v>0</v>
      </c>
      <c r="O52" s="57">
        <f t="shared" si="21"/>
        <v>0</v>
      </c>
      <c r="P52" s="57">
        <f ca="1">IFERROR(IF(ISBLANK(H52),SUMIFS($AC:$AC,$V:$V,V52,$W:$W,W52,$X:$X,X52,$Y:$Y,Y52)*J52/(1-J52)*VLOOKUP(_xlfn.CONCAT(C52,D52,E52,TIME!$M$12,Z52),HIS_SALES!$B$2:$W$4859,20,FALSE),AC52*J52/(1-J52)),0)</f>
        <v>0</v>
      </c>
      <c r="Q52" s="541" t="str">
        <f t="shared" si="22"/>
        <v/>
      </c>
      <c r="R52" s="346" t="str">
        <f t="shared" si="3"/>
        <v>00000</v>
      </c>
      <c r="S52" s="344">
        <f t="shared" si="23"/>
        <v>0</v>
      </c>
      <c r="T52" s="345" t="str">
        <f t="shared" si="17"/>
        <v>000</v>
      </c>
      <c r="U52" s="345">
        <f t="shared" si="24"/>
        <v>0</v>
      </c>
      <c r="V52" s="345">
        <f t="shared" si="25"/>
        <v>0</v>
      </c>
      <c r="W52" s="345">
        <f t="shared" si="26"/>
        <v>0</v>
      </c>
      <c r="X52" s="345">
        <f t="shared" si="27"/>
        <v>0</v>
      </c>
      <c r="Y52" s="345">
        <f t="shared" si="28"/>
        <v>0</v>
      </c>
      <c r="Z52" s="345">
        <f>IF(Q52&lt;&gt;"",VLOOKUP(Y52,TIME!$R$21:$V$24,MATCH(FC_DATA!Q52,TIME!$R$20:$V$20,0),FALSE),H52)</f>
        <v>0</v>
      </c>
      <c r="AA52" s="345" t="str">
        <f>IFERROR(VLOOKUP(X52&amp;Z52,TIME!$A$12:$D$71,4,FALSE),"")</f>
        <v/>
      </c>
      <c r="AB52" s="592">
        <f t="shared" ca="1" si="10"/>
        <v>0</v>
      </c>
      <c r="AC52" s="593" t="e">
        <f ca="1">IF(ISBLANK(H52)=FALSE,IF(D52="BRAND.com",I52,IF(ISNA(VLOOKUP(_xlfn.CONCAT(X52,Z52),TIME!$M$40:$M$42,1,FALSE)),I52,VLOOKUP(_xlfn.CONCAT(D52,G52,H52),M_BUSAREA_FC!$AF$5:$AJ$10,5,FALSE)*HLOOKUP(_xlfn.CONCAT(F52,H52),ST_OVERVIEW!$G$99:$I$130,MATCH(_xlfn.CONCAT(D52,E52),ST_OVERVIEW!$F$99:$F$130,0),FALSE))),IF(D52="BRAND.com",VLOOKUP(_xlfn.CONCAT(C52,D52,E52,TIME!$F$1,Z52),HIS_SALES!$B$2:$V$4859,19,FALSE)*I52,VLOOKUP(_xlfn.CONCAT(D52,F52,G52),Q_BUSAREA_FC!$AE$5:$AI$12,5,FALSE)*HLOOKUP(_xlfn.CONCAT(FC_DATA!F52,FC_DATA!G52),LT_OVERVIEW!$I$99:$M$130,MATCH(_xlfn.CONCAT(D52,FC_DATA!E52),LT_OVERVIEW!$H$99:$H$130,0),FALSE)*IFERROR(VLOOKUP(_xlfn.CONCAT(C52,D52,E52,TIME!$F$1,Z52),HIS_SALES!$B$2:$V$4859,19,FALSE),0)))</f>
        <v>#N/A</v>
      </c>
      <c r="AD52" s="341">
        <f t="shared" ca="1" si="29"/>
        <v>0</v>
      </c>
      <c r="AE52" s="363" t="str">
        <f t="shared" si="30"/>
        <v/>
      </c>
      <c r="AF52" s="342" t="str">
        <f t="shared" si="31"/>
        <v/>
      </c>
      <c r="AG52" s="411" t="e">
        <f ca="1">VLOOKUP(_xlfn.CONCAT(U52,V52,W52,VLOOKUP(X52&amp;Y52,TIME!$L$27:$O$34,4,FALSE),Y52),HIS_SALES!$A$2:$R$5093,18,FALSE)</f>
        <v>#N/A</v>
      </c>
      <c r="AH52" s="412" t="e">
        <f ca="1">IFERROR(IF(AND(V52=V51,W52=W51),0.5*(AB52+AB51)*AG52,(VLOOKUP(_xlfn.CONCAT(U52,V52,W52,X52,VLOOKUP(Z52,TIME!$S$28:$T$39,2,FALSE)),FC_DATA!$R$2:$AB$5000,MATCH("GS_I_M",FC_DATA!$R$1:$AB$1,0),FALSE)+FC_DATA!AB52)*0.5*FC_DATA!AG52),NA())</f>
        <v>#N/A</v>
      </c>
      <c r="AI52" s="491" t="e">
        <f ca="1">IF(V52="PARTNER.com",AH52,IF(AND(V52=V51,W52=W51),(1-AVERAGE(AD51,AD52))*AH52,(1-AVERAGE(AD52,VLOOKUP(_xlfn.CONCAT(U52,V52,W52,X52,M_BRAND_FC!$F$6),FC_DATA!$R$2:$AD$5000,MATCH("DISCOUNT_%_M",FC_DATA!$R$1:$AD$1,0),FALSE)))*AH52))</f>
        <v>#N/A</v>
      </c>
      <c r="AJ52" s="412" t="str">
        <f t="shared" ca="1" si="14"/>
        <v/>
      </c>
      <c r="AK52" s="413" t="str">
        <f>IFERROR(AE52/(Q_BRAND_FC!$T$24+1),"")</f>
        <v/>
      </c>
      <c r="AL52" s="88" t="str">
        <f t="shared" ca="1" si="15"/>
        <v/>
      </c>
      <c r="AM52" s="414" t="str">
        <f t="shared" ca="1" si="16"/>
        <v/>
      </c>
      <c r="AN52" s="58">
        <f>IFERROR(IF($V52="BRAND.com",HLOOKUP($X52&amp;$Z52,NWC_FC_NOOS!$C$4:$Q$23,MATCH(W52,NWC_FC_NOOS!$B$4:$B$23,0),FALSE),0),0)</f>
        <v>0</v>
      </c>
      <c r="AO52" s="57">
        <f>IFERROR(IF($V52="BRAND.com",HLOOKUP($X52&amp;$Z52,NWC_FC_NOOS!$T$4:$AH$23,MATCH(W52,NWC_FC_NOOS!$S$4:$S$23,0),FALSE),0),0)</f>
        <v>0</v>
      </c>
      <c r="AP52" s="57">
        <f>IFERROR(IF($V52="BRAND.com",HLOOKUP($X52&amp;$Z52,NWC_FC_NOOS!$C$50:$U$69,MATCH(W52,NWC_FC_NOOS!$B$50:$B$69,0),FALSE),0),0)</f>
        <v>0</v>
      </c>
      <c r="AQ52" s="58">
        <f>IFERROR(IF($V52="BRAND.com",HLOOKUP($X52&amp;$Z52,'NWC_FC_NON-NOOS'!$C$4:$Q$23,MATCH(W52,'NWC_FC_NON-NOOS'!$B$4:$B$23,0),FALSE),0),0)</f>
        <v>0</v>
      </c>
      <c r="AR52" s="57">
        <f>IFERROR(IF($V52="BRAND.com",HLOOKUP($X52&amp;$Z52,'NWC_FC_NON-NOOS'!$T$4:$AH$23,MATCH(W52,'NWC_FC_NON-NOOS'!$S$4:$S$23,0),FALSE),0),0)</f>
        <v>0</v>
      </c>
      <c r="AS52" s="57">
        <f>IFERROR(IF($V52="BRAND.com",HLOOKUP($X52&amp;$Z52,'NWC_FC_NON-NOOS'!$C$50:$U$69,MATCH(W52,'NWC_FC_NON-NOOS'!$B$50:$B$69,0),FALSE),0),0)</f>
        <v>0</v>
      </c>
      <c r="AT52" s="57">
        <f t="shared" si="18"/>
        <v>0</v>
      </c>
      <c r="AU52" s="57">
        <f t="shared" si="19"/>
        <v>0</v>
      </c>
      <c r="AV52" s="58">
        <f>IFERROR(IF($V52="BRAND.com",HLOOKUP($X52&amp;$Z52,PLANNING_FC!$BB$27:$BP$46,MATCH($W52,PLANNING_FC!$BA$27:$BA$46,0),FALSE),0),0)</f>
        <v>0</v>
      </c>
      <c r="AW52" s="58">
        <f>IFERROR(IF($V52="BRAND.com",HLOOKUP($X52&amp;$Z52,PLANNING_FC!$BB$4:$BP$23,MATCH($W52,PLANNING_FC!$BA$4:$BA$23,0),FALSE),0),0)</f>
        <v>0</v>
      </c>
      <c r="AX52" s="58">
        <f>IFERROR(IF($V52="BRAND.com",HLOOKUP($X52&amp;$Z52,PLANNING_FC!$T$27:$AH$46,MATCH($W52,PLANNING_FC!$B$27:$B$46,0),FALSE),0),0)</f>
        <v>0</v>
      </c>
      <c r="AY52" s="58">
        <f>IFERROR(IF($V52="BRAND.com",HLOOKUP($X52&amp;$Z52,PLANNING_FC!$T$4:$AH$23,MATCH($W52,PLANNING_FC!$B$4:$B$23,0),FALSE),0),0)</f>
        <v>0</v>
      </c>
      <c r="AZ52" s="58">
        <f>IFERROR(IF($V52="BRAND.com",HLOOKUP($X52&amp;$Z52,PLANNING_FC!$DA$27:$DO$46,MATCH($W52,PLANNING_FC!$CZ$27:$CZ$46,0),FALSE),0),0)</f>
        <v>0</v>
      </c>
      <c r="BA52" s="58">
        <f>IFERROR(IF($V52="BRAND.com",HLOOKUP($X52&amp;$Z52,PLANNING_FC!$DA$4:$DO$23,MATCH($W52,PLANNING_FC!$CZ$4:$CZ$23,0),FALSE),0),0)</f>
        <v>0</v>
      </c>
      <c r="BB52" s="883" t="str">
        <f>IF(V52="BRAND.com",IFERROR(HLOOKUP(X52&amp;Z52,PLANNING_FC!$AK$4:$AY$23,MATCH(W52,PLANNING_FC!$AJ$4:$AJ$23,0),FALSE)*1000,""),"")</f>
        <v/>
      </c>
      <c r="BC52" s="883" t="str">
        <f>IF(V52="BRAND.com",IFERROR(HLOOKUP(X52&amp;Z52,PLANNING_FC!$AK$27:$AY$46,MATCH(W52,PLANNING_FC!$AJ$27:$AJ$46,0),FALSE)*1000,""),"")</f>
        <v/>
      </c>
    </row>
    <row r="53" spans="1:55" x14ac:dyDescent="0.25">
      <c r="A53" s="509"/>
      <c r="B53" s="510"/>
      <c r="C53" s="509"/>
      <c r="D53" s="509"/>
      <c r="E53" s="509"/>
      <c r="F53" s="509"/>
      <c r="G53" s="509"/>
      <c r="H53" s="509"/>
      <c r="I53" s="512"/>
      <c r="J53" s="513"/>
      <c r="K53" s="879"/>
      <c r="L53" s="515"/>
      <c r="M53" s="516"/>
      <c r="N53" s="56">
        <f t="shared" si="20"/>
        <v>0</v>
      </c>
      <c r="O53" s="57">
        <f t="shared" si="21"/>
        <v>0</v>
      </c>
      <c r="P53" s="57">
        <f ca="1">IFERROR(IF(ISBLANK(H53),SUMIFS($AC:$AC,$V:$V,V53,$W:$W,W53,$X:$X,X53,$Y:$Y,Y53)*J53/(1-J53)*VLOOKUP(_xlfn.CONCAT(C53,D53,E53,TIME!$M$12,Z53),HIS_SALES!$B$2:$W$4859,20,FALSE),AC53*J53/(1-J53)),0)</f>
        <v>0</v>
      </c>
      <c r="Q53" s="541" t="str">
        <f t="shared" si="22"/>
        <v/>
      </c>
      <c r="R53" s="346" t="str">
        <f t="shared" si="3"/>
        <v>00000</v>
      </c>
      <c r="S53" s="344">
        <f t="shared" si="23"/>
        <v>0</v>
      </c>
      <c r="T53" s="345" t="str">
        <f t="shared" si="17"/>
        <v>000</v>
      </c>
      <c r="U53" s="345">
        <f t="shared" si="24"/>
        <v>0</v>
      </c>
      <c r="V53" s="345">
        <f t="shared" si="25"/>
        <v>0</v>
      </c>
      <c r="W53" s="345">
        <f t="shared" si="26"/>
        <v>0</v>
      </c>
      <c r="X53" s="345">
        <f t="shared" si="27"/>
        <v>0</v>
      </c>
      <c r="Y53" s="345">
        <f t="shared" si="28"/>
        <v>0</v>
      </c>
      <c r="Z53" s="345">
        <f>IF(Q53&lt;&gt;"",VLOOKUP(Y53,TIME!$R$21:$V$24,MATCH(FC_DATA!Q53,TIME!$R$20:$V$20,0),FALSE),H53)</f>
        <v>0</v>
      </c>
      <c r="AA53" s="345" t="str">
        <f>IFERROR(VLOOKUP(X53&amp;Z53,TIME!$A$12:$D$71,4,FALSE),"")</f>
        <v/>
      </c>
      <c r="AB53" s="592">
        <f t="shared" ca="1" si="10"/>
        <v>0</v>
      </c>
      <c r="AC53" s="593" t="e">
        <f ca="1">IF(ISBLANK(H53)=FALSE,IF(D53="BRAND.com",I53,IF(ISNA(VLOOKUP(_xlfn.CONCAT(X53,Z53),TIME!$M$40:$M$42,1,FALSE)),I53,VLOOKUP(_xlfn.CONCAT(D53,G53,H53),M_BUSAREA_FC!$AF$5:$AJ$10,5,FALSE)*HLOOKUP(_xlfn.CONCAT(F53,H53),ST_OVERVIEW!$G$99:$I$130,MATCH(_xlfn.CONCAT(D53,E53),ST_OVERVIEW!$F$99:$F$130,0),FALSE))),IF(D53="BRAND.com",VLOOKUP(_xlfn.CONCAT(C53,D53,E53,TIME!$F$1,Z53),HIS_SALES!$B$2:$V$4859,19,FALSE)*I53,VLOOKUP(_xlfn.CONCAT(D53,F53,G53),Q_BUSAREA_FC!$AE$5:$AI$12,5,FALSE)*HLOOKUP(_xlfn.CONCAT(FC_DATA!F53,FC_DATA!G53),LT_OVERVIEW!$I$99:$M$130,MATCH(_xlfn.CONCAT(D53,FC_DATA!E53),LT_OVERVIEW!$H$99:$H$130,0),FALSE)*IFERROR(VLOOKUP(_xlfn.CONCAT(C53,D53,E53,TIME!$F$1,Z53),HIS_SALES!$B$2:$V$4859,19,FALSE),0)))</f>
        <v>#N/A</v>
      </c>
      <c r="AD53" s="341">
        <f t="shared" ca="1" si="29"/>
        <v>0</v>
      </c>
      <c r="AE53" s="363" t="str">
        <f t="shared" si="30"/>
        <v/>
      </c>
      <c r="AF53" s="342" t="str">
        <f t="shared" si="31"/>
        <v/>
      </c>
      <c r="AG53" s="411" t="e">
        <f ca="1">VLOOKUP(_xlfn.CONCAT(U53,V53,W53,VLOOKUP(X53&amp;Y53,TIME!$L$27:$O$34,4,FALSE),Y53),HIS_SALES!$A$2:$R$5093,18,FALSE)</f>
        <v>#N/A</v>
      </c>
      <c r="AH53" s="412" t="e">
        <f ca="1">IFERROR(IF(AND(V53=V52,W53=W52),0.5*(AB53+AB52)*AG53,(VLOOKUP(_xlfn.CONCAT(U53,V53,W53,X53,VLOOKUP(Z53,TIME!$S$28:$T$39,2,FALSE)),FC_DATA!$R$2:$AB$5000,MATCH("GS_I_M",FC_DATA!$R$1:$AB$1,0),FALSE)+FC_DATA!AB53)*0.5*FC_DATA!AG53),NA())</f>
        <v>#N/A</v>
      </c>
      <c r="AI53" s="491" t="e">
        <f ca="1">IF(V53="PARTNER.com",AH53,IF(AND(V53=V52,W53=W52),(1-AVERAGE(AD52,AD53))*AH53,(1-AVERAGE(AD53,VLOOKUP(_xlfn.CONCAT(U53,V53,W53,X53,M_BRAND_FC!$F$6),FC_DATA!$R$2:$AD$5000,MATCH("DISCOUNT_%_M",FC_DATA!$R$1:$AD$1,0),FALSE)))*AH53))</f>
        <v>#N/A</v>
      </c>
      <c r="AJ53" s="412" t="str">
        <f t="shared" ca="1" si="14"/>
        <v/>
      </c>
      <c r="AK53" s="413" t="str">
        <f>IFERROR(AE53/(Q_BRAND_FC!$T$24+1),"")</f>
        <v/>
      </c>
      <c r="AL53" s="88" t="str">
        <f t="shared" ca="1" si="15"/>
        <v/>
      </c>
      <c r="AM53" s="414" t="str">
        <f t="shared" ca="1" si="16"/>
        <v/>
      </c>
      <c r="AN53" s="58">
        <f>IFERROR(IF($V53="BRAND.com",HLOOKUP($X53&amp;$Z53,NWC_FC_NOOS!$C$4:$Q$23,MATCH(W53,NWC_FC_NOOS!$B$4:$B$23,0),FALSE),0),0)</f>
        <v>0</v>
      </c>
      <c r="AO53" s="57">
        <f>IFERROR(IF($V53="BRAND.com",HLOOKUP($X53&amp;$Z53,NWC_FC_NOOS!$T$4:$AH$23,MATCH(W53,NWC_FC_NOOS!$S$4:$S$23,0),FALSE),0),0)</f>
        <v>0</v>
      </c>
      <c r="AP53" s="57">
        <f>IFERROR(IF($V53="BRAND.com",HLOOKUP($X53&amp;$Z53,NWC_FC_NOOS!$C$50:$U$69,MATCH(W53,NWC_FC_NOOS!$B$50:$B$69,0),FALSE),0),0)</f>
        <v>0</v>
      </c>
      <c r="AQ53" s="58">
        <f>IFERROR(IF($V53="BRAND.com",HLOOKUP($X53&amp;$Z53,'NWC_FC_NON-NOOS'!$C$4:$Q$23,MATCH(W53,'NWC_FC_NON-NOOS'!$B$4:$B$23,0),FALSE),0),0)</f>
        <v>0</v>
      </c>
      <c r="AR53" s="57">
        <f>IFERROR(IF($V53="BRAND.com",HLOOKUP($X53&amp;$Z53,'NWC_FC_NON-NOOS'!$T$4:$AH$23,MATCH(W53,'NWC_FC_NON-NOOS'!$S$4:$S$23,0),FALSE),0),0)</f>
        <v>0</v>
      </c>
      <c r="AS53" s="57">
        <f>IFERROR(IF($V53="BRAND.com",HLOOKUP($X53&amp;$Z53,'NWC_FC_NON-NOOS'!$C$50:$U$69,MATCH(W53,'NWC_FC_NON-NOOS'!$B$50:$B$69,0),FALSE),0),0)</f>
        <v>0</v>
      </c>
      <c r="AT53" s="57">
        <f t="shared" si="18"/>
        <v>0</v>
      </c>
      <c r="AU53" s="57">
        <f t="shared" si="19"/>
        <v>0</v>
      </c>
      <c r="AV53" s="58">
        <f>IFERROR(IF($V53="BRAND.com",HLOOKUP($X53&amp;$Z53,PLANNING_FC!$BB$27:$BP$46,MATCH($W53,PLANNING_FC!$BA$27:$BA$46,0),FALSE),0),0)</f>
        <v>0</v>
      </c>
      <c r="AW53" s="58">
        <f>IFERROR(IF($V53="BRAND.com",HLOOKUP($X53&amp;$Z53,PLANNING_FC!$BB$4:$BP$23,MATCH($W53,PLANNING_FC!$BA$4:$BA$23,0),FALSE),0),0)</f>
        <v>0</v>
      </c>
      <c r="AX53" s="58">
        <f>IFERROR(IF($V53="BRAND.com",HLOOKUP($X53&amp;$Z53,PLANNING_FC!$T$27:$AH$46,MATCH($W53,PLANNING_FC!$B$27:$B$46,0),FALSE),0),0)</f>
        <v>0</v>
      </c>
      <c r="AY53" s="58">
        <f>IFERROR(IF($V53="BRAND.com",HLOOKUP($X53&amp;$Z53,PLANNING_FC!$T$4:$AH$23,MATCH($W53,PLANNING_FC!$B$4:$B$23,0),FALSE),0),0)</f>
        <v>0</v>
      </c>
      <c r="AZ53" s="58">
        <f>IFERROR(IF($V53="BRAND.com",HLOOKUP($X53&amp;$Z53,PLANNING_FC!$DA$27:$DO$46,MATCH($W53,PLANNING_FC!$CZ$27:$CZ$46,0),FALSE),0),0)</f>
        <v>0</v>
      </c>
      <c r="BA53" s="58">
        <f>IFERROR(IF($V53="BRAND.com",HLOOKUP($X53&amp;$Z53,PLANNING_FC!$DA$4:$DO$23,MATCH($W53,PLANNING_FC!$CZ$4:$CZ$23,0),FALSE),0),0)</f>
        <v>0</v>
      </c>
      <c r="BB53" s="883" t="str">
        <f>IF(V53="BRAND.com",IFERROR(HLOOKUP(X53&amp;Z53,PLANNING_FC!$AK$4:$AY$23,MATCH(W53,PLANNING_FC!$AJ$4:$AJ$23,0),FALSE)*1000,""),"")</f>
        <v/>
      </c>
      <c r="BC53" s="883" t="str">
        <f>IF(V53="BRAND.com",IFERROR(HLOOKUP(X53&amp;Z53,PLANNING_FC!$AK$27:$AY$46,MATCH(W53,PLANNING_FC!$AJ$27:$AJ$46,0),FALSE)*1000,""),"")</f>
        <v/>
      </c>
    </row>
    <row r="54" spans="1:55" x14ac:dyDescent="0.25">
      <c r="A54" s="509"/>
      <c r="B54" s="510"/>
      <c r="C54" s="509"/>
      <c r="D54" s="509"/>
      <c r="E54" s="509"/>
      <c r="F54" s="509"/>
      <c r="G54" s="509"/>
      <c r="H54" s="509"/>
      <c r="I54" s="512"/>
      <c r="J54" s="513"/>
      <c r="K54" s="879"/>
      <c r="L54" s="515"/>
      <c r="M54" s="516"/>
      <c r="N54" s="56">
        <f t="shared" si="20"/>
        <v>0</v>
      </c>
      <c r="O54" s="57">
        <f t="shared" si="21"/>
        <v>0</v>
      </c>
      <c r="P54" s="57">
        <f ca="1">IFERROR(IF(ISBLANK(H54),SUMIFS($AC:$AC,$V:$V,V54,$W:$W,W54,$X:$X,X54,$Y:$Y,Y54)*J54/(1-J54)*VLOOKUP(_xlfn.CONCAT(C54,D54,E54,TIME!$M$12,Z54),HIS_SALES!$B$2:$W$4859,20,FALSE),AC54*J54/(1-J54)),0)</f>
        <v>0</v>
      </c>
      <c r="Q54" s="541" t="str">
        <f t="shared" si="22"/>
        <v/>
      </c>
      <c r="R54" s="346" t="str">
        <f t="shared" si="3"/>
        <v>00000</v>
      </c>
      <c r="S54" s="344">
        <f t="shared" si="23"/>
        <v>0</v>
      </c>
      <c r="T54" s="345" t="str">
        <f t="shared" si="17"/>
        <v>000</v>
      </c>
      <c r="U54" s="345">
        <f t="shared" si="24"/>
        <v>0</v>
      </c>
      <c r="V54" s="345">
        <f t="shared" si="25"/>
        <v>0</v>
      </c>
      <c r="W54" s="345">
        <f t="shared" si="26"/>
        <v>0</v>
      </c>
      <c r="X54" s="345">
        <f t="shared" si="27"/>
        <v>0</v>
      </c>
      <c r="Y54" s="345">
        <f t="shared" si="28"/>
        <v>0</v>
      </c>
      <c r="Z54" s="345">
        <f>IF(Q54&lt;&gt;"",VLOOKUP(Y54,TIME!$R$21:$V$24,MATCH(FC_DATA!Q54,TIME!$R$20:$V$20,0),FALSE),H54)</f>
        <v>0</v>
      </c>
      <c r="AA54" s="345" t="str">
        <f>IFERROR(VLOOKUP(X54&amp;Z54,TIME!$A$12:$D$71,4,FALSE),"")</f>
        <v/>
      </c>
      <c r="AB54" s="592">
        <f t="shared" ca="1" si="10"/>
        <v>0</v>
      </c>
      <c r="AC54" s="593" t="e">
        <f ca="1">IF(ISBLANK(H54)=FALSE,IF(D54="BRAND.com",I54,IF(ISNA(VLOOKUP(_xlfn.CONCAT(X54,Z54),TIME!$M$40:$M$42,1,FALSE)),I54,VLOOKUP(_xlfn.CONCAT(D54,G54,H54),M_BUSAREA_FC!$AF$5:$AJ$10,5,FALSE)*HLOOKUP(_xlfn.CONCAT(F54,H54),ST_OVERVIEW!$G$99:$I$130,MATCH(_xlfn.CONCAT(D54,E54),ST_OVERVIEW!$F$99:$F$130,0),FALSE))),IF(D54="BRAND.com",VLOOKUP(_xlfn.CONCAT(C54,D54,E54,TIME!$F$1,Z54),HIS_SALES!$B$2:$V$4859,19,FALSE)*I54,VLOOKUP(_xlfn.CONCAT(D54,F54,G54),Q_BUSAREA_FC!$AE$5:$AI$12,5,FALSE)*HLOOKUP(_xlfn.CONCAT(FC_DATA!F54,FC_DATA!G54),LT_OVERVIEW!$I$99:$M$130,MATCH(_xlfn.CONCAT(D54,FC_DATA!E54),LT_OVERVIEW!$H$99:$H$130,0),FALSE)*IFERROR(VLOOKUP(_xlfn.CONCAT(C54,D54,E54,TIME!$F$1,Z54),HIS_SALES!$B$2:$V$4859,19,FALSE),0)))</f>
        <v>#N/A</v>
      </c>
      <c r="AD54" s="341">
        <f t="shared" ca="1" si="29"/>
        <v>0</v>
      </c>
      <c r="AE54" s="363" t="str">
        <f t="shared" si="30"/>
        <v/>
      </c>
      <c r="AF54" s="342" t="str">
        <f t="shared" si="31"/>
        <v/>
      </c>
      <c r="AG54" s="411" t="e">
        <f ca="1">VLOOKUP(_xlfn.CONCAT(U54,V54,W54,VLOOKUP(X54&amp;Y54,TIME!$L$27:$O$34,4,FALSE),Y54),HIS_SALES!$A$2:$R$5093,18,FALSE)</f>
        <v>#N/A</v>
      </c>
      <c r="AH54" s="412" t="e">
        <f ca="1">IFERROR(IF(AND(V54=V53,W54=W53),0.5*(AB54+AB53)*AG54,(VLOOKUP(_xlfn.CONCAT(U54,V54,W54,X54,VLOOKUP(Z54,TIME!$S$28:$T$39,2,FALSE)),FC_DATA!$R$2:$AB$5000,MATCH("GS_I_M",FC_DATA!$R$1:$AB$1,0),FALSE)+FC_DATA!AB54)*0.5*FC_DATA!AG54),NA())</f>
        <v>#N/A</v>
      </c>
      <c r="AI54" s="491" t="e">
        <f ca="1">IF(V54="PARTNER.com",AH54,IF(AND(V54=V53,W54=W53),(1-AVERAGE(AD53,AD54))*AH54,(1-AVERAGE(AD54,VLOOKUP(_xlfn.CONCAT(U54,V54,W54,X54,M_BRAND_FC!$F$6),FC_DATA!$R$2:$AD$5000,MATCH("DISCOUNT_%_M",FC_DATA!$R$1:$AD$1,0),FALSE)))*AH54))</f>
        <v>#N/A</v>
      </c>
      <c r="AJ54" s="412" t="str">
        <f t="shared" ca="1" si="14"/>
        <v/>
      </c>
      <c r="AK54" s="413" t="str">
        <f>IFERROR(AE54/(Q_BRAND_FC!$T$24+1),"")</f>
        <v/>
      </c>
      <c r="AL54" s="88" t="str">
        <f t="shared" ca="1" si="15"/>
        <v/>
      </c>
      <c r="AM54" s="414" t="str">
        <f t="shared" ca="1" si="16"/>
        <v/>
      </c>
      <c r="AN54" s="58">
        <f>IFERROR(IF($V54="BRAND.com",HLOOKUP($X54&amp;$Z54,NWC_FC_NOOS!$C$4:$Q$23,MATCH(W54,NWC_FC_NOOS!$B$4:$B$23,0),FALSE),0),0)</f>
        <v>0</v>
      </c>
      <c r="AO54" s="57">
        <f>IFERROR(IF($V54="BRAND.com",HLOOKUP($X54&amp;$Z54,NWC_FC_NOOS!$T$4:$AH$23,MATCH(W54,NWC_FC_NOOS!$S$4:$S$23,0),FALSE),0),0)</f>
        <v>0</v>
      </c>
      <c r="AP54" s="57">
        <f>IFERROR(IF($V54="BRAND.com",HLOOKUP($X54&amp;$Z54,NWC_FC_NOOS!$C$50:$U$69,MATCH(W54,NWC_FC_NOOS!$B$50:$B$69,0),FALSE),0),0)</f>
        <v>0</v>
      </c>
      <c r="AQ54" s="58">
        <f>IFERROR(IF($V54="BRAND.com",HLOOKUP($X54&amp;$Z54,'NWC_FC_NON-NOOS'!$C$4:$Q$23,MATCH(W54,'NWC_FC_NON-NOOS'!$B$4:$B$23,0),FALSE),0),0)</f>
        <v>0</v>
      </c>
      <c r="AR54" s="57">
        <f>IFERROR(IF($V54="BRAND.com",HLOOKUP($X54&amp;$Z54,'NWC_FC_NON-NOOS'!$T$4:$AH$23,MATCH(W54,'NWC_FC_NON-NOOS'!$S$4:$S$23,0),FALSE),0),0)</f>
        <v>0</v>
      </c>
      <c r="AS54" s="57">
        <f>IFERROR(IF($V54="BRAND.com",HLOOKUP($X54&amp;$Z54,'NWC_FC_NON-NOOS'!$C$50:$U$69,MATCH(W54,'NWC_FC_NON-NOOS'!$B$50:$B$69,0),FALSE),0),0)</f>
        <v>0</v>
      </c>
      <c r="AT54" s="57">
        <f t="shared" si="18"/>
        <v>0</v>
      </c>
      <c r="AU54" s="57">
        <f t="shared" si="19"/>
        <v>0</v>
      </c>
      <c r="AV54" s="58">
        <f>IFERROR(IF($V54="BRAND.com",HLOOKUP($X54&amp;$Z54,PLANNING_FC!$BB$27:$BP$46,MATCH($W54,PLANNING_FC!$BA$27:$BA$46,0),FALSE),0),0)</f>
        <v>0</v>
      </c>
      <c r="AW54" s="58">
        <f>IFERROR(IF($V54="BRAND.com",HLOOKUP($X54&amp;$Z54,PLANNING_FC!$BB$4:$BP$23,MATCH($W54,PLANNING_FC!$BA$4:$BA$23,0),FALSE),0),0)</f>
        <v>0</v>
      </c>
      <c r="AX54" s="58">
        <f>IFERROR(IF($V54="BRAND.com",HLOOKUP($X54&amp;$Z54,PLANNING_FC!$T$27:$AH$46,MATCH($W54,PLANNING_FC!$B$27:$B$46,0),FALSE),0),0)</f>
        <v>0</v>
      </c>
      <c r="AY54" s="58">
        <f>IFERROR(IF($V54="BRAND.com",HLOOKUP($X54&amp;$Z54,PLANNING_FC!$T$4:$AH$23,MATCH($W54,PLANNING_FC!$B$4:$B$23,0),FALSE),0),0)</f>
        <v>0</v>
      </c>
      <c r="AZ54" s="58">
        <f>IFERROR(IF($V54="BRAND.com",HLOOKUP($X54&amp;$Z54,PLANNING_FC!$DA$27:$DO$46,MATCH($W54,PLANNING_FC!$CZ$27:$CZ$46,0),FALSE),0),0)</f>
        <v>0</v>
      </c>
      <c r="BA54" s="58">
        <f>IFERROR(IF($V54="BRAND.com",HLOOKUP($X54&amp;$Z54,PLANNING_FC!$DA$4:$DO$23,MATCH($W54,PLANNING_FC!$CZ$4:$CZ$23,0),FALSE),0),0)</f>
        <v>0</v>
      </c>
      <c r="BB54" s="883" t="str">
        <f>IF(V54="BRAND.com",IFERROR(HLOOKUP(X54&amp;Z54,PLANNING_FC!$AK$4:$AY$23,MATCH(W54,PLANNING_FC!$AJ$4:$AJ$23,0),FALSE)*1000,""),"")</f>
        <v/>
      </c>
      <c r="BC54" s="883" t="str">
        <f>IF(V54="BRAND.com",IFERROR(HLOOKUP(X54&amp;Z54,PLANNING_FC!$AK$27:$AY$46,MATCH(W54,PLANNING_FC!$AJ$27:$AJ$46,0),FALSE)*1000,""),"")</f>
        <v/>
      </c>
    </row>
    <row r="55" spans="1:55" x14ac:dyDescent="0.25">
      <c r="A55" s="509"/>
      <c r="B55" s="510"/>
      <c r="C55" s="509"/>
      <c r="D55" s="509"/>
      <c r="E55" s="509"/>
      <c r="F55" s="509"/>
      <c r="G55" s="509"/>
      <c r="H55" s="509"/>
      <c r="I55" s="512"/>
      <c r="J55" s="513"/>
      <c r="K55" s="879"/>
      <c r="L55" s="515"/>
      <c r="M55" s="516"/>
      <c r="N55" s="56">
        <f t="shared" si="20"/>
        <v>0</v>
      </c>
      <c r="O55" s="57">
        <f t="shared" si="21"/>
        <v>0</v>
      </c>
      <c r="P55" s="57">
        <f ca="1">IFERROR(IF(ISBLANK(H55),SUMIFS($AC:$AC,$V:$V,V55,$W:$W,W55,$X:$X,X55,$Y:$Y,Y55)*J55/(1-J55)*VLOOKUP(_xlfn.CONCAT(C55,D55,E55,TIME!$M$12,Z55),HIS_SALES!$B$2:$W$4859,20,FALSE),AC55*J55/(1-J55)),0)</f>
        <v>0</v>
      </c>
      <c r="Q55" s="541" t="str">
        <f t="shared" si="22"/>
        <v/>
      </c>
      <c r="R55" s="346" t="str">
        <f t="shared" si="3"/>
        <v>00000</v>
      </c>
      <c r="S55" s="344">
        <f t="shared" si="23"/>
        <v>0</v>
      </c>
      <c r="T55" s="345" t="str">
        <f t="shared" si="17"/>
        <v>000</v>
      </c>
      <c r="U55" s="345">
        <f t="shared" si="24"/>
        <v>0</v>
      </c>
      <c r="V55" s="345">
        <f t="shared" si="25"/>
        <v>0</v>
      </c>
      <c r="W55" s="345">
        <f t="shared" si="26"/>
        <v>0</v>
      </c>
      <c r="X55" s="345">
        <f t="shared" si="27"/>
        <v>0</v>
      </c>
      <c r="Y55" s="345">
        <f t="shared" si="28"/>
        <v>0</v>
      </c>
      <c r="Z55" s="345">
        <f>IF(Q55&lt;&gt;"",VLOOKUP(Y55,TIME!$R$21:$V$24,MATCH(FC_DATA!Q55,TIME!$R$20:$V$20,0),FALSE),H55)</f>
        <v>0</v>
      </c>
      <c r="AA55" s="345" t="str">
        <f>IFERROR(VLOOKUP(X55&amp;Z55,TIME!$A$12:$D$71,4,FALSE),"")</f>
        <v/>
      </c>
      <c r="AB55" s="592">
        <f t="shared" ca="1" si="10"/>
        <v>0</v>
      </c>
      <c r="AC55" s="593" t="e">
        <f ca="1">IF(ISBLANK(H55)=FALSE,IF(D55="BRAND.com",I55,IF(ISNA(VLOOKUP(_xlfn.CONCAT(X55,Z55),TIME!$M$40:$M$42,1,FALSE)),I55,VLOOKUP(_xlfn.CONCAT(D55,G55,H55),M_BUSAREA_FC!$AF$5:$AJ$10,5,FALSE)*HLOOKUP(_xlfn.CONCAT(F55,H55),ST_OVERVIEW!$G$99:$I$130,MATCH(_xlfn.CONCAT(D55,E55),ST_OVERVIEW!$F$99:$F$130,0),FALSE))),IF(D55="BRAND.com",VLOOKUP(_xlfn.CONCAT(C55,D55,E55,TIME!$F$1,Z55),HIS_SALES!$B$2:$V$4859,19,FALSE)*I55,VLOOKUP(_xlfn.CONCAT(D55,F55,G55),Q_BUSAREA_FC!$AE$5:$AI$12,5,FALSE)*HLOOKUP(_xlfn.CONCAT(FC_DATA!F55,FC_DATA!G55),LT_OVERVIEW!$I$99:$M$130,MATCH(_xlfn.CONCAT(D55,FC_DATA!E55),LT_OVERVIEW!$H$99:$H$130,0),FALSE)*IFERROR(VLOOKUP(_xlfn.CONCAT(C55,D55,E55,TIME!$F$1,Z55),HIS_SALES!$B$2:$V$4859,19,FALSE),0)))</f>
        <v>#N/A</v>
      </c>
      <c r="AD55" s="341">
        <f t="shared" ca="1" si="29"/>
        <v>0</v>
      </c>
      <c r="AE55" s="363" t="str">
        <f t="shared" si="30"/>
        <v/>
      </c>
      <c r="AF55" s="342" t="str">
        <f t="shared" si="31"/>
        <v/>
      </c>
      <c r="AG55" s="411" t="e">
        <f ca="1">VLOOKUP(_xlfn.CONCAT(U55,V55,W55,VLOOKUP(X55&amp;Y55,TIME!$L$27:$O$34,4,FALSE),Y55),HIS_SALES!$A$2:$R$5093,18,FALSE)</f>
        <v>#N/A</v>
      </c>
      <c r="AH55" s="412" t="e">
        <f ca="1">IFERROR(IF(AND(V55=V54,W55=W54),0.5*(AB55+AB54)*AG55,(VLOOKUP(_xlfn.CONCAT(U55,V55,W55,X55,VLOOKUP(Z55,TIME!$S$28:$T$39,2,FALSE)),FC_DATA!$R$2:$AB$5000,MATCH("GS_I_M",FC_DATA!$R$1:$AB$1,0),FALSE)+FC_DATA!AB55)*0.5*FC_DATA!AG55),NA())</f>
        <v>#N/A</v>
      </c>
      <c r="AI55" s="491" t="e">
        <f ca="1">IF(V55="PARTNER.com",AH55,IF(AND(V55=V54,W55=W54),(1-AVERAGE(AD54,AD55))*AH55,(1-AVERAGE(AD55,VLOOKUP(_xlfn.CONCAT(U55,V55,W55,X55,M_BRAND_FC!$F$6),FC_DATA!$R$2:$AD$5000,MATCH("DISCOUNT_%_M",FC_DATA!$R$1:$AD$1,0),FALSE)))*AH55))</f>
        <v>#N/A</v>
      </c>
      <c r="AJ55" s="412" t="str">
        <f t="shared" ca="1" si="14"/>
        <v/>
      </c>
      <c r="AK55" s="413" t="str">
        <f>IFERROR(AE55/(Q_BRAND_FC!$T$24+1),"")</f>
        <v/>
      </c>
      <c r="AL55" s="88" t="str">
        <f t="shared" ca="1" si="15"/>
        <v/>
      </c>
      <c r="AM55" s="414" t="str">
        <f t="shared" ca="1" si="16"/>
        <v/>
      </c>
      <c r="AN55" s="58">
        <f>IFERROR(IF($V55="BRAND.com",HLOOKUP($X55&amp;$Z55,NWC_FC_NOOS!$C$4:$Q$23,MATCH(W55,NWC_FC_NOOS!$B$4:$B$23,0),FALSE),0),0)</f>
        <v>0</v>
      </c>
      <c r="AO55" s="57">
        <f>IFERROR(IF($V55="BRAND.com",HLOOKUP($X55&amp;$Z55,NWC_FC_NOOS!$T$4:$AH$23,MATCH(W55,NWC_FC_NOOS!$S$4:$S$23,0),FALSE),0),0)</f>
        <v>0</v>
      </c>
      <c r="AP55" s="57">
        <f>IFERROR(IF($V55="BRAND.com",HLOOKUP($X55&amp;$Z55,NWC_FC_NOOS!$C$50:$U$69,MATCH(W55,NWC_FC_NOOS!$B$50:$B$69,0),FALSE),0),0)</f>
        <v>0</v>
      </c>
      <c r="AQ55" s="58">
        <f>IFERROR(IF($V55="BRAND.com",HLOOKUP($X55&amp;$Z55,'NWC_FC_NON-NOOS'!$C$4:$Q$23,MATCH(W55,'NWC_FC_NON-NOOS'!$B$4:$B$23,0),FALSE),0),0)</f>
        <v>0</v>
      </c>
      <c r="AR55" s="57">
        <f>IFERROR(IF($V55="BRAND.com",HLOOKUP($X55&amp;$Z55,'NWC_FC_NON-NOOS'!$T$4:$AH$23,MATCH(W55,'NWC_FC_NON-NOOS'!$S$4:$S$23,0),FALSE),0),0)</f>
        <v>0</v>
      </c>
      <c r="AS55" s="57">
        <f>IFERROR(IF($V55="BRAND.com",HLOOKUP($X55&amp;$Z55,'NWC_FC_NON-NOOS'!$C$50:$U$69,MATCH(W55,'NWC_FC_NON-NOOS'!$B$50:$B$69,0),FALSE),0),0)</f>
        <v>0</v>
      </c>
      <c r="AT55" s="57">
        <f t="shared" si="18"/>
        <v>0</v>
      </c>
      <c r="AU55" s="57">
        <f t="shared" si="19"/>
        <v>0</v>
      </c>
      <c r="AV55" s="58">
        <f>IFERROR(IF($V55="BRAND.com",HLOOKUP($X55&amp;$Z55,PLANNING_FC!$BB$27:$BP$46,MATCH($W55,PLANNING_FC!$BA$27:$BA$46,0),FALSE),0),0)</f>
        <v>0</v>
      </c>
      <c r="AW55" s="58">
        <f>IFERROR(IF($V55="BRAND.com",HLOOKUP($X55&amp;$Z55,PLANNING_FC!$BB$4:$BP$23,MATCH($W55,PLANNING_FC!$BA$4:$BA$23,0),FALSE),0),0)</f>
        <v>0</v>
      </c>
      <c r="AX55" s="58">
        <f>IFERROR(IF($V55="BRAND.com",HLOOKUP($X55&amp;$Z55,PLANNING_FC!$T$27:$AH$46,MATCH($W55,PLANNING_FC!$B$27:$B$46,0),FALSE),0),0)</f>
        <v>0</v>
      </c>
      <c r="AY55" s="58">
        <f>IFERROR(IF($V55="BRAND.com",HLOOKUP($X55&amp;$Z55,PLANNING_FC!$T$4:$AH$23,MATCH($W55,PLANNING_FC!$B$4:$B$23,0),FALSE),0),0)</f>
        <v>0</v>
      </c>
      <c r="AZ55" s="58">
        <f>IFERROR(IF($V55="BRAND.com",HLOOKUP($X55&amp;$Z55,PLANNING_FC!$DA$27:$DO$46,MATCH($W55,PLANNING_FC!$CZ$27:$CZ$46,0),FALSE),0),0)</f>
        <v>0</v>
      </c>
      <c r="BA55" s="58">
        <f>IFERROR(IF($V55="BRAND.com",HLOOKUP($X55&amp;$Z55,PLANNING_FC!$DA$4:$DO$23,MATCH($W55,PLANNING_FC!$CZ$4:$CZ$23,0),FALSE),0),0)</f>
        <v>0</v>
      </c>
      <c r="BB55" s="883" t="str">
        <f>IF(V55="BRAND.com",IFERROR(HLOOKUP(X55&amp;Z55,PLANNING_FC!$AK$4:$AY$23,MATCH(W55,PLANNING_FC!$AJ$4:$AJ$23,0),FALSE)*1000,""),"")</f>
        <v/>
      </c>
      <c r="BC55" s="883" t="str">
        <f>IF(V55="BRAND.com",IFERROR(HLOOKUP(X55&amp;Z55,PLANNING_FC!$AK$27:$AY$46,MATCH(W55,PLANNING_FC!$AJ$27:$AJ$46,0),FALSE)*1000,""),"")</f>
        <v/>
      </c>
    </row>
    <row r="56" spans="1:55" x14ac:dyDescent="0.25">
      <c r="A56" s="509"/>
      <c r="B56" s="510"/>
      <c r="C56" s="509"/>
      <c r="D56" s="509"/>
      <c r="E56" s="509"/>
      <c r="F56" s="509"/>
      <c r="G56" s="509"/>
      <c r="H56" s="509"/>
      <c r="I56" s="512"/>
      <c r="J56" s="513"/>
      <c r="K56" s="879"/>
      <c r="L56" s="515"/>
      <c r="M56" s="516"/>
      <c r="N56" s="56">
        <f t="shared" si="20"/>
        <v>0</v>
      </c>
      <c r="O56" s="57">
        <f t="shared" si="21"/>
        <v>0</v>
      </c>
      <c r="P56" s="57">
        <f ca="1">IFERROR(IF(ISBLANK(H56),SUMIFS($AC:$AC,$V:$V,V56,$W:$W,W56,$X:$X,X56,$Y:$Y,Y56)*J56/(1-J56)*VLOOKUP(_xlfn.CONCAT(C56,D56,E56,TIME!$M$12,Z56),HIS_SALES!$B$2:$W$4859,20,FALSE),AC56*J56/(1-J56)),0)</f>
        <v>0</v>
      </c>
      <c r="Q56" s="541" t="str">
        <f t="shared" si="22"/>
        <v/>
      </c>
      <c r="R56" s="346" t="str">
        <f t="shared" si="3"/>
        <v>00000</v>
      </c>
      <c r="S56" s="344">
        <f t="shared" si="23"/>
        <v>0</v>
      </c>
      <c r="T56" s="345" t="str">
        <f t="shared" si="17"/>
        <v>000</v>
      </c>
      <c r="U56" s="345">
        <f t="shared" si="24"/>
        <v>0</v>
      </c>
      <c r="V56" s="345">
        <f t="shared" si="25"/>
        <v>0</v>
      </c>
      <c r="W56" s="345">
        <f t="shared" si="26"/>
        <v>0</v>
      </c>
      <c r="X56" s="345">
        <f t="shared" si="27"/>
        <v>0</v>
      </c>
      <c r="Y56" s="345">
        <f t="shared" si="28"/>
        <v>0</v>
      </c>
      <c r="Z56" s="345">
        <f>IF(Q56&lt;&gt;"",VLOOKUP(Y56,TIME!$R$21:$V$24,MATCH(FC_DATA!Q56,TIME!$R$20:$V$20,0),FALSE),H56)</f>
        <v>0</v>
      </c>
      <c r="AA56" s="345" t="str">
        <f>IFERROR(VLOOKUP(X56&amp;Z56,TIME!$A$12:$D$71,4,FALSE),"")</f>
        <v/>
      </c>
      <c r="AB56" s="592">
        <f t="shared" ca="1" si="10"/>
        <v>0</v>
      </c>
      <c r="AC56" s="593" t="e">
        <f ca="1">IF(ISBLANK(H56)=FALSE,IF(D56="BRAND.com",I56,IF(ISNA(VLOOKUP(_xlfn.CONCAT(X56,Z56),TIME!$M$40:$M$42,1,FALSE)),I56,VLOOKUP(_xlfn.CONCAT(D56,G56,H56),M_BUSAREA_FC!$AF$5:$AJ$10,5,FALSE)*HLOOKUP(_xlfn.CONCAT(F56,H56),ST_OVERVIEW!$G$99:$I$130,MATCH(_xlfn.CONCAT(D56,E56),ST_OVERVIEW!$F$99:$F$130,0),FALSE))),IF(D56="BRAND.com",VLOOKUP(_xlfn.CONCAT(C56,D56,E56,TIME!$F$1,Z56),HIS_SALES!$B$2:$V$4859,19,FALSE)*I56,VLOOKUP(_xlfn.CONCAT(D56,F56,G56),Q_BUSAREA_FC!$AE$5:$AI$12,5,FALSE)*HLOOKUP(_xlfn.CONCAT(FC_DATA!F56,FC_DATA!G56),LT_OVERVIEW!$I$99:$M$130,MATCH(_xlfn.CONCAT(D56,FC_DATA!E56),LT_OVERVIEW!$H$99:$H$130,0),FALSE)*IFERROR(VLOOKUP(_xlfn.CONCAT(C56,D56,E56,TIME!$F$1,Z56),HIS_SALES!$B$2:$V$4859,19,FALSE),0)))</f>
        <v>#N/A</v>
      </c>
      <c r="AD56" s="341">
        <f t="shared" ca="1" si="29"/>
        <v>0</v>
      </c>
      <c r="AE56" s="363" t="str">
        <f t="shared" si="30"/>
        <v/>
      </c>
      <c r="AF56" s="342" t="str">
        <f t="shared" si="31"/>
        <v/>
      </c>
      <c r="AG56" s="411" t="e">
        <f ca="1">VLOOKUP(_xlfn.CONCAT(U56,V56,W56,VLOOKUP(X56&amp;Y56,TIME!$L$27:$O$34,4,FALSE),Y56),HIS_SALES!$A$2:$R$5093,18,FALSE)</f>
        <v>#N/A</v>
      </c>
      <c r="AH56" s="412" t="e">
        <f ca="1">IFERROR(IF(AND(V56=V55,W56=W55),0.5*(AB56+AB55)*AG56,(VLOOKUP(_xlfn.CONCAT(U56,V56,W56,X56,VLOOKUP(Z56,TIME!$S$28:$T$39,2,FALSE)),FC_DATA!$R$2:$AB$5000,MATCH("GS_I_M",FC_DATA!$R$1:$AB$1,0),FALSE)+FC_DATA!AB56)*0.5*FC_DATA!AG56),NA())</f>
        <v>#N/A</v>
      </c>
      <c r="AI56" s="491" t="e">
        <f ca="1">IF(V56="PARTNER.com",AH56,IF(AND(V56=V55,W56=W55),(1-AVERAGE(AD55,AD56))*AH56,(1-AVERAGE(AD56,VLOOKUP(_xlfn.CONCAT(U56,V56,W56,X56,M_BRAND_FC!$F$6),FC_DATA!$R$2:$AD$5000,MATCH("DISCOUNT_%_M",FC_DATA!$R$1:$AD$1,0),FALSE)))*AH56))</f>
        <v>#N/A</v>
      </c>
      <c r="AJ56" s="412" t="str">
        <f t="shared" ca="1" si="14"/>
        <v/>
      </c>
      <c r="AK56" s="413" t="str">
        <f>IFERROR(AE56/(Q_BRAND_FC!$T$24+1),"")</f>
        <v/>
      </c>
      <c r="AL56" s="88" t="str">
        <f t="shared" ca="1" si="15"/>
        <v/>
      </c>
      <c r="AM56" s="414" t="str">
        <f t="shared" ca="1" si="16"/>
        <v/>
      </c>
      <c r="AN56" s="58">
        <f>IFERROR(IF($V56="BRAND.com",HLOOKUP($X56&amp;$Z56,NWC_FC_NOOS!$C$4:$Q$23,MATCH(W56,NWC_FC_NOOS!$B$4:$B$23,0),FALSE),0),0)</f>
        <v>0</v>
      </c>
      <c r="AO56" s="57">
        <f>IFERROR(IF($V56="BRAND.com",HLOOKUP($X56&amp;$Z56,NWC_FC_NOOS!$T$4:$AH$23,MATCH(W56,NWC_FC_NOOS!$S$4:$S$23,0),FALSE),0),0)</f>
        <v>0</v>
      </c>
      <c r="AP56" s="57">
        <f>IFERROR(IF($V56="BRAND.com",HLOOKUP($X56&amp;$Z56,NWC_FC_NOOS!$C$50:$U$69,MATCH(W56,NWC_FC_NOOS!$B$50:$B$69,0),FALSE),0),0)</f>
        <v>0</v>
      </c>
      <c r="AQ56" s="58">
        <f>IFERROR(IF($V56="BRAND.com",HLOOKUP($X56&amp;$Z56,'NWC_FC_NON-NOOS'!$C$4:$Q$23,MATCH(W56,'NWC_FC_NON-NOOS'!$B$4:$B$23,0),FALSE),0),0)</f>
        <v>0</v>
      </c>
      <c r="AR56" s="57">
        <f>IFERROR(IF($V56="BRAND.com",HLOOKUP($X56&amp;$Z56,'NWC_FC_NON-NOOS'!$T$4:$AH$23,MATCH(W56,'NWC_FC_NON-NOOS'!$S$4:$S$23,0),FALSE),0),0)</f>
        <v>0</v>
      </c>
      <c r="AS56" s="57">
        <f>IFERROR(IF($V56="BRAND.com",HLOOKUP($X56&amp;$Z56,'NWC_FC_NON-NOOS'!$C$50:$U$69,MATCH(W56,'NWC_FC_NON-NOOS'!$B$50:$B$69,0),FALSE),0),0)</f>
        <v>0</v>
      </c>
      <c r="AT56" s="57">
        <f t="shared" si="18"/>
        <v>0</v>
      </c>
      <c r="AU56" s="57">
        <f t="shared" si="19"/>
        <v>0</v>
      </c>
      <c r="AV56" s="58">
        <f>IFERROR(IF($V56="BRAND.com",HLOOKUP($X56&amp;$Z56,PLANNING_FC!$BB$27:$BP$46,MATCH($W56,PLANNING_FC!$BA$27:$BA$46,0),FALSE),0),0)</f>
        <v>0</v>
      </c>
      <c r="AW56" s="58">
        <f>IFERROR(IF($V56="BRAND.com",HLOOKUP($X56&amp;$Z56,PLANNING_FC!$BB$4:$BP$23,MATCH($W56,PLANNING_FC!$BA$4:$BA$23,0),FALSE),0),0)</f>
        <v>0</v>
      </c>
      <c r="AX56" s="58">
        <f>IFERROR(IF($V56="BRAND.com",HLOOKUP($X56&amp;$Z56,PLANNING_FC!$T$27:$AH$46,MATCH($W56,PLANNING_FC!$B$27:$B$46,0),FALSE),0),0)</f>
        <v>0</v>
      </c>
      <c r="AY56" s="58">
        <f>IFERROR(IF($V56="BRAND.com",HLOOKUP($X56&amp;$Z56,PLANNING_FC!$T$4:$AH$23,MATCH($W56,PLANNING_FC!$B$4:$B$23,0),FALSE),0),0)</f>
        <v>0</v>
      </c>
      <c r="AZ56" s="58">
        <f>IFERROR(IF($V56="BRAND.com",HLOOKUP($X56&amp;$Z56,PLANNING_FC!$DA$27:$DO$46,MATCH($W56,PLANNING_FC!$CZ$27:$CZ$46,0),FALSE),0),0)</f>
        <v>0</v>
      </c>
      <c r="BA56" s="58">
        <f>IFERROR(IF($V56="BRAND.com",HLOOKUP($X56&amp;$Z56,PLANNING_FC!$DA$4:$DO$23,MATCH($W56,PLANNING_FC!$CZ$4:$CZ$23,0),FALSE),0),0)</f>
        <v>0</v>
      </c>
      <c r="BB56" s="883" t="str">
        <f>IF(V56="BRAND.com",IFERROR(HLOOKUP(X56&amp;Z56,PLANNING_FC!$AK$4:$AY$23,MATCH(W56,PLANNING_FC!$AJ$4:$AJ$23,0),FALSE)*1000,""),"")</f>
        <v/>
      </c>
      <c r="BC56" s="883" t="str">
        <f>IF(V56="BRAND.com",IFERROR(HLOOKUP(X56&amp;Z56,PLANNING_FC!$AK$27:$AY$46,MATCH(W56,PLANNING_FC!$AJ$27:$AJ$46,0),FALSE)*1000,""),"")</f>
        <v/>
      </c>
    </row>
    <row r="57" spans="1:55" x14ac:dyDescent="0.25">
      <c r="A57" s="509"/>
      <c r="B57" s="510"/>
      <c r="C57" s="509"/>
      <c r="D57" s="509"/>
      <c r="E57" s="509"/>
      <c r="F57" s="509"/>
      <c r="G57" s="509"/>
      <c r="H57" s="509"/>
      <c r="I57" s="512"/>
      <c r="J57" s="513"/>
      <c r="K57" s="879"/>
      <c r="L57" s="515"/>
      <c r="M57" s="516"/>
      <c r="N57" s="56">
        <f t="shared" si="20"/>
        <v>0</v>
      </c>
      <c r="O57" s="57">
        <f t="shared" si="21"/>
        <v>0</v>
      </c>
      <c r="P57" s="57">
        <f ca="1">IFERROR(IF(ISBLANK(H57),SUMIFS($AC:$AC,$V:$V,V57,$W:$W,W57,$X:$X,X57,$Y:$Y,Y57)*J57/(1-J57)*VLOOKUP(_xlfn.CONCAT(C57,D57,E57,TIME!$M$12,Z57),HIS_SALES!$B$2:$W$4859,20,FALSE),AC57*J57/(1-J57)),0)</f>
        <v>0</v>
      </c>
      <c r="Q57" s="541" t="str">
        <f t="shared" si="22"/>
        <v/>
      </c>
      <c r="R57" s="346" t="str">
        <f t="shared" si="3"/>
        <v>00000</v>
      </c>
      <c r="S57" s="344">
        <f t="shared" si="23"/>
        <v>0</v>
      </c>
      <c r="T57" s="345" t="str">
        <f t="shared" si="17"/>
        <v>000</v>
      </c>
      <c r="U57" s="345">
        <f t="shared" si="24"/>
        <v>0</v>
      </c>
      <c r="V57" s="345">
        <f t="shared" si="25"/>
        <v>0</v>
      </c>
      <c r="W57" s="345">
        <f t="shared" si="26"/>
        <v>0</v>
      </c>
      <c r="X57" s="345">
        <f t="shared" si="27"/>
        <v>0</v>
      </c>
      <c r="Y57" s="345">
        <f t="shared" si="28"/>
        <v>0</v>
      </c>
      <c r="Z57" s="345">
        <f>IF(Q57&lt;&gt;"",VLOOKUP(Y57,TIME!$R$21:$V$24,MATCH(FC_DATA!Q57,TIME!$R$20:$V$20,0),FALSE),H57)</f>
        <v>0</v>
      </c>
      <c r="AA57" s="345" t="str">
        <f>IFERROR(VLOOKUP(X57&amp;Z57,TIME!$A$12:$D$71,4,FALSE),"")</f>
        <v/>
      </c>
      <c r="AB57" s="592">
        <f t="shared" ca="1" si="10"/>
        <v>0</v>
      </c>
      <c r="AC57" s="593" t="e">
        <f ca="1">IF(ISBLANK(H57)=FALSE,IF(D57="BRAND.com",I57,IF(ISNA(VLOOKUP(_xlfn.CONCAT(X57,Z57),TIME!$M$40:$M$42,1,FALSE)),I57,VLOOKUP(_xlfn.CONCAT(D57,G57,H57),M_BUSAREA_FC!$AF$5:$AJ$10,5,FALSE)*HLOOKUP(_xlfn.CONCAT(F57,H57),ST_OVERVIEW!$G$99:$I$130,MATCH(_xlfn.CONCAT(D57,E57),ST_OVERVIEW!$F$99:$F$130,0),FALSE))),IF(D57="BRAND.com",VLOOKUP(_xlfn.CONCAT(C57,D57,E57,TIME!$F$1,Z57),HIS_SALES!$B$2:$V$4859,19,FALSE)*I57,VLOOKUP(_xlfn.CONCAT(D57,F57,G57),Q_BUSAREA_FC!$AE$5:$AI$12,5,FALSE)*HLOOKUP(_xlfn.CONCAT(FC_DATA!F57,FC_DATA!G57),LT_OVERVIEW!$I$99:$M$130,MATCH(_xlfn.CONCAT(D57,FC_DATA!E57),LT_OVERVIEW!$H$99:$H$130,0),FALSE)*IFERROR(VLOOKUP(_xlfn.CONCAT(C57,D57,E57,TIME!$F$1,Z57),HIS_SALES!$B$2:$V$4859,19,FALSE),0)))</f>
        <v>#N/A</v>
      </c>
      <c r="AD57" s="341">
        <f t="shared" ca="1" si="29"/>
        <v>0</v>
      </c>
      <c r="AE57" s="363" t="str">
        <f t="shared" si="30"/>
        <v/>
      </c>
      <c r="AF57" s="342" t="str">
        <f t="shared" si="31"/>
        <v/>
      </c>
      <c r="AG57" s="411" t="e">
        <f ca="1">VLOOKUP(_xlfn.CONCAT(U57,V57,W57,VLOOKUP(X57&amp;Y57,TIME!$L$27:$O$34,4,FALSE),Y57),HIS_SALES!$A$2:$R$5093,18,FALSE)</f>
        <v>#N/A</v>
      </c>
      <c r="AH57" s="412" t="e">
        <f ca="1">IFERROR(IF(AND(V57=V56,W57=W56),0.5*(AB57+AB56)*AG57,(VLOOKUP(_xlfn.CONCAT(U57,V57,W57,X57,VLOOKUP(Z57,TIME!$S$28:$T$39,2,FALSE)),FC_DATA!$R$2:$AB$5000,MATCH("GS_I_M",FC_DATA!$R$1:$AB$1,0),FALSE)+FC_DATA!AB57)*0.5*FC_DATA!AG57),NA())</f>
        <v>#N/A</v>
      </c>
      <c r="AI57" s="491" t="e">
        <f ca="1">IF(V57="PARTNER.com",AH57,IF(AND(V57=V56,W57=W56),(1-AVERAGE(AD56,AD57))*AH57,(1-AVERAGE(AD57,VLOOKUP(_xlfn.CONCAT(U57,V57,W57,X57,M_BRAND_FC!$F$6),FC_DATA!$R$2:$AD$5000,MATCH("DISCOUNT_%_M",FC_DATA!$R$1:$AD$1,0),FALSE)))*AH57))</f>
        <v>#N/A</v>
      </c>
      <c r="AJ57" s="412" t="str">
        <f t="shared" ca="1" si="14"/>
        <v/>
      </c>
      <c r="AK57" s="413" t="str">
        <f>IFERROR(AE57/(Q_BRAND_FC!$T$24+1),"")</f>
        <v/>
      </c>
      <c r="AL57" s="88" t="str">
        <f t="shared" ca="1" si="15"/>
        <v/>
      </c>
      <c r="AM57" s="414" t="str">
        <f t="shared" ca="1" si="16"/>
        <v/>
      </c>
      <c r="AN57" s="58">
        <f>IFERROR(IF($V57="BRAND.com",HLOOKUP($X57&amp;$Z57,NWC_FC_NOOS!$C$4:$Q$23,MATCH(W57,NWC_FC_NOOS!$B$4:$B$23,0),FALSE),0),0)</f>
        <v>0</v>
      </c>
      <c r="AO57" s="57">
        <f>IFERROR(IF($V57="BRAND.com",HLOOKUP($X57&amp;$Z57,NWC_FC_NOOS!$T$4:$AH$23,MATCH(W57,NWC_FC_NOOS!$S$4:$S$23,0),FALSE),0),0)</f>
        <v>0</v>
      </c>
      <c r="AP57" s="57">
        <f>IFERROR(IF($V57="BRAND.com",HLOOKUP($X57&amp;$Z57,NWC_FC_NOOS!$C$50:$U$69,MATCH(W57,NWC_FC_NOOS!$B$50:$B$69,0),FALSE),0),0)</f>
        <v>0</v>
      </c>
      <c r="AQ57" s="58">
        <f>IFERROR(IF($V57="BRAND.com",HLOOKUP($X57&amp;$Z57,'NWC_FC_NON-NOOS'!$C$4:$Q$23,MATCH(W57,'NWC_FC_NON-NOOS'!$B$4:$B$23,0),FALSE),0),0)</f>
        <v>0</v>
      </c>
      <c r="AR57" s="57">
        <f>IFERROR(IF($V57="BRAND.com",HLOOKUP($X57&amp;$Z57,'NWC_FC_NON-NOOS'!$T$4:$AH$23,MATCH(W57,'NWC_FC_NON-NOOS'!$S$4:$S$23,0),FALSE),0),0)</f>
        <v>0</v>
      </c>
      <c r="AS57" s="57">
        <f>IFERROR(IF($V57="BRAND.com",HLOOKUP($X57&amp;$Z57,'NWC_FC_NON-NOOS'!$C$50:$U$69,MATCH(W57,'NWC_FC_NON-NOOS'!$B$50:$B$69,0),FALSE),0),0)</f>
        <v>0</v>
      </c>
      <c r="AT57" s="57">
        <f t="shared" si="18"/>
        <v>0</v>
      </c>
      <c r="AU57" s="57">
        <f t="shared" si="19"/>
        <v>0</v>
      </c>
      <c r="AV57" s="58">
        <f>IFERROR(IF($V57="BRAND.com",HLOOKUP($X57&amp;$Z57,PLANNING_FC!$BB$27:$BP$46,MATCH($W57,PLANNING_FC!$BA$27:$BA$46,0),FALSE),0),0)</f>
        <v>0</v>
      </c>
      <c r="AW57" s="58">
        <f>IFERROR(IF($V57="BRAND.com",HLOOKUP($X57&amp;$Z57,PLANNING_FC!$BB$4:$BP$23,MATCH($W57,PLANNING_FC!$BA$4:$BA$23,0),FALSE),0),0)</f>
        <v>0</v>
      </c>
      <c r="AX57" s="58">
        <f>IFERROR(IF($V57="BRAND.com",HLOOKUP($X57&amp;$Z57,PLANNING_FC!$T$27:$AH$46,MATCH($W57,PLANNING_FC!$B$27:$B$46,0),FALSE),0),0)</f>
        <v>0</v>
      </c>
      <c r="AY57" s="58">
        <f>IFERROR(IF($V57="BRAND.com",HLOOKUP($X57&amp;$Z57,PLANNING_FC!$T$4:$AH$23,MATCH($W57,PLANNING_FC!$B$4:$B$23,0),FALSE),0),0)</f>
        <v>0</v>
      </c>
      <c r="AZ57" s="58">
        <f>IFERROR(IF($V57="BRAND.com",HLOOKUP($X57&amp;$Z57,PLANNING_FC!$DA$27:$DO$46,MATCH($W57,PLANNING_FC!$CZ$27:$CZ$46,0),FALSE),0),0)</f>
        <v>0</v>
      </c>
      <c r="BA57" s="58">
        <f>IFERROR(IF($V57="BRAND.com",HLOOKUP($X57&amp;$Z57,PLANNING_FC!$DA$4:$DO$23,MATCH($W57,PLANNING_FC!$CZ$4:$CZ$23,0),FALSE),0),0)</f>
        <v>0</v>
      </c>
      <c r="BB57" s="883" t="str">
        <f>IF(V57="BRAND.com",IFERROR(HLOOKUP(X57&amp;Z57,PLANNING_FC!$AK$4:$AY$23,MATCH(W57,PLANNING_FC!$AJ$4:$AJ$23,0),FALSE)*1000,""),"")</f>
        <v/>
      </c>
      <c r="BC57" s="883" t="str">
        <f>IF(V57="BRAND.com",IFERROR(HLOOKUP(X57&amp;Z57,PLANNING_FC!$AK$27:$AY$46,MATCH(W57,PLANNING_FC!$AJ$27:$AJ$46,0),FALSE)*1000,""),"")</f>
        <v/>
      </c>
    </row>
    <row r="58" spans="1:55" x14ac:dyDescent="0.25">
      <c r="A58" s="509"/>
      <c r="B58" s="510"/>
      <c r="C58" s="509"/>
      <c r="D58" s="509"/>
      <c r="E58" s="511"/>
      <c r="F58" s="509"/>
      <c r="G58" s="509"/>
      <c r="H58" s="509"/>
      <c r="I58" s="512"/>
      <c r="J58" s="513"/>
      <c r="K58" s="879"/>
      <c r="L58" s="515"/>
      <c r="M58" s="516"/>
      <c r="N58" s="56">
        <f t="shared" si="20"/>
        <v>0</v>
      </c>
      <c r="O58" s="57">
        <f t="shared" si="21"/>
        <v>0</v>
      </c>
      <c r="P58" s="57">
        <f ca="1">IFERROR(IF(ISBLANK(H58),SUMIFS($AC:$AC,$V:$V,V58,$W:$W,W58,$X:$X,X58,$Y:$Y,Y58)*J58/(1-J58)*VLOOKUP(_xlfn.CONCAT(C58,D58,E58,TIME!$M$12,Z58),HIS_SALES!$B$2:$W$4859,20,FALSE),AC58*J58/(1-J58)),0)</f>
        <v>0</v>
      </c>
      <c r="Q58" s="541" t="str">
        <f t="shared" si="22"/>
        <v/>
      </c>
      <c r="R58" s="346" t="str">
        <f t="shared" si="3"/>
        <v>00000</v>
      </c>
      <c r="S58" s="344">
        <f t="shared" si="23"/>
        <v>0</v>
      </c>
      <c r="T58" s="345" t="str">
        <f t="shared" si="17"/>
        <v>000</v>
      </c>
      <c r="U58" s="345">
        <f t="shared" si="24"/>
        <v>0</v>
      </c>
      <c r="V58" s="345">
        <f t="shared" si="25"/>
        <v>0</v>
      </c>
      <c r="W58" s="345">
        <f t="shared" si="26"/>
        <v>0</v>
      </c>
      <c r="X58" s="345">
        <f t="shared" si="27"/>
        <v>0</v>
      </c>
      <c r="Y58" s="345">
        <f t="shared" si="28"/>
        <v>0</v>
      </c>
      <c r="Z58" s="345">
        <f>IF(Q58&lt;&gt;"",VLOOKUP(Y58,TIME!$R$21:$V$24,MATCH(FC_DATA!Q58,TIME!$R$20:$V$20,0),FALSE),H58)</f>
        <v>0</v>
      </c>
      <c r="AA58" s="345" t="str">
        <f>IFERROR(VLOOKUP(X58&amp;Z58,TIME!$A$12:$D$71,4,FALSE),"")</f>
        <v/>
      </c>
      <c r="AB58" s="592">
        <f t="shared" ca="1" si="10"/>
        <v>0</v>
      </c>
      <c r="AC58" s="593" t="e">
        <f ca="1">IF(ISBLANK(H58)=FALSE,IF(D58="BRAND.com",I58,IF(ISNA(VLOOKUP(_xlfn.CONCAT(X58,Z58),TIME!$M$40:$M$42,1,FALSE)),I58,VLOOKUP(_xlfn.CONCAT(D58,G58,H58),M_BUSAREA_FC!$AF$5:$AJ$10,5,FALSE)*HLOOKUP(_xlfn.CONCAT(F58,H58),ST_OVERVIEW!$G$99:$I$130,MATCH(_xlfn.CONCAT(D58,E58),ST_OVERVIEW!$F$99:$F$130,0),FALSE))),IF(D58="BRAND.com",VLOOKUP(_xlfn.CONCAT(C58,D58,E58,TIME!$F$1,Z58),HIS_SALES!$B$2:$V$4859,19,FALSE)*I58,VLOOKUP(_xlfn.CONCAT(D58,F58,G58),Q_BUSAREA_FC!$AE$5:$AI$12,5,FALSE)*HLOOKUP(_xlfn.CONCAT(FC_DATA!F58,FC_DATA!G58),LT_OVERVIEW!$I$99:$M$130,MATCH(_xlfn.CONCAT(D58,FC_DATA!E58),LT_OVERVIEW!$H$99:$H$130,0),FALSE)*IFERROR(VLOOKUP(_xlfn.CONCAT(C58,D58,E58,TIME!$F$1,Z58),HIS_SALES!$B$2:$V$4859,19,FALSE),0)))</f>
        <v>#N/A</v>
      </c>
      <c r="AD58" s="341">
        <f t="shared" ca="1" si="29"/>
        <v>0</v>
      </c>
      <c r="AE58" s="363" t="str">
        <f t="shared" si="30"/>
        <v/>
      </c>
      <c r="AF58" s="342" t="str">
        <f t="shared" si="31"/>
        <v/>
      </c>
      <c r="AG58" s="411" t="e">
        <f ca="1">VLOOKUP(_xlfn.CONCAT(U58,V58,W58,VLOOKUP(X58&amp;Y58,TIME!$L$27:$O$34,4,FALSE),Y58),HIS_SALES!$A$2:$R$5093,18,FALSE)</f>
        <v>#N/A</v>
      </c>
      <c r="AH58" s="412" t="e">
        <f ca="1">IFERROR(IF(AND(V58=V57,W58=W57),0.5*(AB58+AB57)*AG58,(VLOOKUP(_xlfn.CONCAT(U58,V58,W58,X58,VLOOKUP(Z58,TIME!$S$28:$T$39,2,FALSE)),FC_DATA!$R$2:$AB$5000,MATCH("GS_I_M",FC_DATA!$R$1:$AB$1,0),FALSE)+FC_DATA!AB58)*0.5*FC_DATA!AG58),NA())</f>
        <v>#N/A</v>
      </c>
      <c r="AI58" s="491" t="e">
        <f ca="1">IF(V58="PARTNER.com",AH58,IF(AND(V58=V57,W58=W57),(1-AVERAGE(AD57,AD58))*AH58,(1-AVERAGE(AD58,VLOOKUP(_xlfn.CONCAT(U58,V58,W58,X58,M_BRAND_FC!$F$6),FC_DATA!$R$2:$AD$5000,MATCH("DISCOUNT_%_M",FC_DATA!$R$1:$AD$1,0),FALSE)))*AH58))</f>
        <v>#N/A</v>
      </c>
      <c r="AJ58" s="412" t="str">
        <f t="shared" ca="1" si="14"/>
        <v/>
      </c>
      <c r="AK58" s="413" t="str">
        <f>IFERROR(AE58/(Q_BRAND_FC!$T$24+1),"")</f>
        <v/>
      </c>
      <c r="AL58" s="88" t="str">
        <f t="shared" ca="1" si="15"/>
        <v/>
      </c>
      <c r="AM58" s="414" t="str">
        <f t="shared" ca="1" si="16"/>
        <v/>
      </c>
      <c r="AN58" s="58">
        <f>IFERROR(IF($V58="BRAND.com",HLOOKUP($X58&amp;$Z58,NWC_FC_NOOS!$C$4:$Q$23,MATCH(W58,NWC_FC_NOOS!$B$4:$B$23,0),FALSE),0),0)</f>
        <v>0</v>
      </c>
      <c r="AO58" s="57">
        <f>IFERROR(IF($V58="BRAND.com",HLOOKUP($X58&amp;$Z58,NWC_FC_NOOS!$T$4:$AH$23,MATCH(W58,NWC_FC_NOOS!$S$4:$S$23,0),FALSE),0),0)</f>
        <v>0</v>
      </c>
      <c r="AP58" s="57">
        <f>IFERROR(IF($V58="BRAND.com",HLOOKUP($X58&amp;$Z58,NWC_FC_NOOS!$C$50:$U$69,MATCH(W58,NWC_FC_NOOS!$B$50:$B$69,0),FALSE),0),0)</f>
        <v>0</v>
      </c>
      <c r="AQ58" s="58">
        <f>IFERROR(IF($V58="BRAND.com",HLOOKUP($X58&amp;$Z58,'NWC_FC_NON-NOOS'!$C$4:$Q$23,MATCH(W58,'NWC_FC_NON-NOOS'!$B$4:$B$23,0),FALSE),0),0)</f>
        <v>0</v>
      </c>
      <c r="AR58" s="57">
        <f>IFERROR(IF($V58="BRAND.com",HLOOKUP($X58&amp;$Z58,'NWC_FC_NON-NOOS'!$T$4:$AH$23,MATCH(W58,'NWC_FC_NON-NOOS'!$S$4:$S$23,0),FALSE),0),0)</f>
        <v>0</v>
      </c>
      <c r="AS58" s="57">
        <f>IFERROR(IF($V58="BRAND.com",HLOOKUP($X58&amp;$Z58,'NWC_FC_NON-NOOS'!$C$50:$U$69,MATCH(W58,'NWC_FC_NON-NOOS'!$B$50:$B$69,0),FALSE),0),0)</f>
        <v>0</v>
      </c>
      <c r="AT58" s="57">
        <f t="shared" si="18"/>
        <v>0</v>
      </c>
      <c r="AU58" s="57">
        <f t="shared" si="19"/>
        <v>0</v>
      </c>
      <c r="AV58" s="58">
        <f>IFERROR(IF($V58="BRAND.com",HLOOKUP($X58&amp;$Z58,PLANNING_FC!$BB$27:$BP$46,MATCH($W58,PLANNING_FC!$BA$27:$BA$46,0),FALSE),0),0)</f>
        <v>0</v>
      </c>
      <c r="AW58" s="58">
        <f>IFERROR(IF($V58="BRAND.com",HLOOKUP($X58&amp;$Z58,PLANNING_FC!$BB$4:$BP$23,MATCH($W58,PLANNING_FC!$BA$4:$BA$23,0),FALSE),0),0)</f>
        <v>0</v>
      </c>
      <c r="AX58" s="58">
        <f>IFERROR(IF($V58="BRAND.com",HLOOKUP($X58&amp;$Z58,PLANNING_FC!$T$27:$AH$46,MATCH($W58,PLANNING_FC!$B$27:$B$46,0),FALSE),0),0)</f>
        <v>0</v>
      </c>
      <c r="AY58" s="58">
        <f>IFERROR(IF($V58="BRAND.com",HLOOKUP($X58&amp;$Z58,PLANNING_FC!$T$4:$AH$23,MATCH($W58,PLANNING_FC!$B$4:$B$23,0),FALSE),0),0)</f>
        <v>0</v>
      </c>
      <c r="AZ58" s="58">
        <f>IFERROR(IF($V58="BRAND.com",HLOOKUP($X58&amp;$Z58,PLANNING_FC!$DA$27:$DO$46,MATCH($W58,PLANNING_FC!$CZ$27:$CZ$46,0),FALSE),0),0)</f>
        <v>0</v>
      </c>
      <c r="BA58" s="58">
        <f>IFERROR(IF($V58="BRAND.com",HLOOKUP($X58&amp;$Z58,PLANNING_FC!$DA$4:$DO$23,MATCH($W58,PLANNING_FC!$CZ$4:$CZ$23,0),FALSE),0),0)</f>
        <v>0</v>
      </c>
      <c r="BB58" s="883" t="str">
        <f>IF(V58="BRAND.com",IFERROR(HLOOKUP(X58&amp;Z58,PLANNING_FC!$AK$4:$AY$23,MATCH(W58,PLANNING_FC!$AJ$4:$AJ$23,0),FALSE)*1000,""),"")</f>
        <v/>
      </c>
      <c r="BC58" s="883" t="str">
        <f>IF(V58="BRAND.com",IFERROR(HLOOKUP(X58&amp;Z58,PLANNING_FC!$AK$27:$AY$46,MATCH(W58,PLANNING_FC!$AJ$27:$AJ$46,0),FALSE)*1000,""),"")</f>
        <v/>
      </c>
    </row>
    <row r="59" spans="1:55" x14ac:dyDescent="0.25">
      <c r="A59" s="509"/>
      <c r="B59" s="510"/>
      <c r="C59" s="509"/>
      <c r="D59" s="509"/>
      <c r="E59" s="509"/>
      <c r="F59" s="509"/>
      <c r="G59" s="509"/>
      <c r="H59" s="509"/>
      <c r="I59" s="512"/>
      <c r="J59" s="513"/>
      <c r="K59" s="879"/>
      <c r="L59" s="515"/>
      <c r="M59" s="516"/>
      <c r="N59" s="56">
        <f t="shared" si="20"/>
        <v>0</v>
      </c>
      <c r="O59" s="57">
        <f t="shared" si="21"/>
        <v>0</v>
      </c>
      <c r="P59" s="57">
        <f ca="1">IFERROR(IF(ISBLANK(H59),SUMIFS($AC:$AC,$V:$V,V59,$W:$W,W59,$X:$X,X59,$Y:$Y,Y59)*J59/(1-J59)*VLOOKUP(_xlfn.CONCAT(C59,D59,E59,TIME!$M$12,Z59),HIS_SALES!$B$2:$W$4859,20,FALSE),AC59*J59/(1-J59)),0)</f>
        <v>0</v>
      </c>
      <c r="Q59" s="541" t="str">
        <f t="shared" si="22"/>
        <v/>
      </c>
      <c r="R59" s="346" t="str">
        <f t="shared" si="3"/>
        <v>00000</v>
      </c>
      <c r="S59" s="344">
        <f t="shared" si="23"/>
        <v>0</v>
      </c>
      <c r="T59" s="345" t="str">
        <f t="shared" si="17"/>
        <v>000</v>
      </c>
      <c r="U59" s="345">
        <f t="shared" si="24"/>
        <v>0</v>
      </c>
      <c r="V59" s="345">
        <f t="shared" si="25"/>
        <v>0</v>
      </c>
      <c r="W59" s="345">
        <f t="shared" si="26"/>
        <v>0</v>
      </c>
      <c r="X59" s="345">
        <f t="shared" si="27"/>
        <v>0</v>
      </c>
      <c r="Y59" s="345">
        <f t="shared" si="28"/>
        <v>0</v>
      </c>
      <c r="Z59" s="345">
        <f>IF(Q59&lt;&gt;"",VLOOKUP(Y59,TIME!$R$21:$V$24,MATCH(FC_DATA!Q59,TIME!$R$20:$V$20,0),FALSE),H59)</f>
        <v>0</v>
      </c>
      <c r="AA59" s="345" t="str">
        <f>IFERROR(VLOOKUP(X59&amp;Z59,TIME!$A$12:$D$71,4,FALSE),"")</f>
        <v/>
      </c>
      <c r="AB59" s="592">
        <f t="shared" ca="1" si="10"/>
        <v>0</v>
      </c>
      <c r="AC59" s="593" t="e">
        <f ca="1">IF(ISBLANK(H59)=FALSE,IF(D59="BRAND.com",I59,IF(ISNA(VLOOKUP(_xlfn.CONCAT(X59,Z59),TIME!$M$40:$M$42,1,FALSE)),I59,VLOOKUP(_xlfn.CONCAT(D59,G59,H59),M_BUSAREA_FC!$AF$5:$AJ$10,5,FALSE)*HLOOKUP(_xlfn.CONCAT(F59,H59),ST_OVERVIEW!$G$99:$I$130,MATCH(_xlfn.CONCAT(D59,E59),ST_OVERVIEW!$F$99:$F$130,0),FALSE))),IF(D59="BRAND.com",VLOOKUP(_xlfn.CONCAT(C59,D59,E59,TIME!$F$1,Z59),HIS_SALES!$B$2:$V$4859,19,FALSE)*I59,VLOOKUP(_xlfn.CONCAT(D59,F59,G59),Q_BUSAREA_FC!$AE$5:$AI$12,5,FALSE)*HLOOKUP(_xlfn.CONCAT(FC_DATA!F59,FC_DATA!G59),LT_OVERVIEW!$I$99:$M$130,MATCH(_xlfn.CONCAT(D59,FC_DATA!E59),LT_OVERVIEW!$H$99:$H$130,0),FALSE)*IFERROR(VLOOKUP(_xlfn.CONCAT(C59,D59,E59,TIME!$F$1,Z59),HIS_SALES!$B$2:$V$4859,19,FALSE),0)))</f>
        <v>#N/A</v>
      </c>
      <c r="AD59" s="341">
        <f t="shared" ca="1" si="29"/>
        <v>0</v>
      </c>
      <c r="AE59" s="363" t="str">
        <f t="shared" si="30"/>
        <v/>
      </c>
      <c r="AF59" s="342" t="str">
        <f t="shared" si="31"/>
        <v/>
      </c>
      <c r="AG59" s="411" t="e">
        <f ca="1">VLOOKUP(_xlfn.CONCAT(U59,V59,W59,VLOOKUP(X59&amp;Y59,TIME!$L$27:$O$34,4,FALSE),Y59),HIS_SALES!$A$2:$R$5093,18,FALSE)</f>
        <v>#N/A</v>
      </c>
      <c r="AH59" s="412" t="e">
        <f ca="1">IFERROR(IF(AND(V59=V58,W59=W58),0.5*(AB59+AB58)*AG59,(VLOOKUP(_xlfn.CONCAT(U59,V59,W59,X59,VLOOKUP(Z59,TIME!$S$28:$T$39,2,FALSE)),FC_DATA!$R$2:$AB$5000,MATCH("GS_I_M",FC_DATA!$R$1:$AB$1,0),FALSE)+FC_DATA!AB59)*0.5*FC_DATA!AG59),NA())</f>
        <v>#N/A</v>
      </c>
      <c r="AI59" s="491" t="e">
        <f ca="1">IF(V59="PARTNER.com",AH59,IF(AND(V59=V58,W59=W58),(1-AVERAGE(AD58,AD59))*AH59,(1-AVERAGE(AD59,VLOOKUP(_xlfn.CONCAT(U59,V59,W59,X59,M_BRAND_FC!$F$6),FC_DATA!$R$2:$AD$5000,MATCH("DISCOUNT_%_M",FC_DATA!$R$1:$AD$1,0),FALSE)))*AH59))</f>
        <v>#N/A</v>
      </c>
      <c r="AJ59" s="412" t="str">
        <f t="shared" ca="1" si="14"/>
        <v/>
      </c>
      <c r="AK59" s="413" t="str">
        <f>IFERROR(AE59/(Q_BRAND_FC!$T$24+1),"")</f>
        <v/>
      </c>
      <c r="AL59" s="88" t="str">
        <f t="shared" ca="1" si="15"/>
        <v/>
      </c>
      <c r="AM59" s="414" t="str">
        <f t="shared" ca="1" si="16"/>
        <v/>
      </c>
      <c r="AN59" s="58">
        <f>IFERROR(IF($V59="BRAND.com",HLOOKUP($X59&amp;$Z59,NWC_FC_NOOS!$C$4:$Q$23,MATCH(W59,NWC_FC_NOOS!$B$4:$B$23,0),FALSE),0),0)</f>
        <v>0</v>
      </c>
      <c r="AO59" s="57">
        <f>IFERROR(IF($V59="BRAND.com",HLOOKUP($X59&amp;$Z59,NWC_FC_NOOS!$T$4:$AH$23,MATCH(W59,NWC_FC_NOOS!$S$4:$S$23,0),FALSE),0),0)</f>
        <v>0</v>
      </c>
      <c r="AP59" s="57">
        <f>IFERROR(IF($V59="BRAND.com",HLOOKUP($X59&amp;$Z59,NWC_FC_NOOS!$C$50:$U$69,MATCH(W59,NWC_FC_NOOS!$B$50:$B$69,0),FALSE),0),0)</f>
        <v>0</v>
      </c>
      <c r="AQ59" s="58">
        <f>IFERROR(IF($V59="BRAND.com",HLOOKUP($X59&amp;$Z59,'NWC_FC_NON-NOOS'!$C$4:$Q$23,MATCH(W59,'NWC_FC_NON-NOOS'!$B$4:$B$23,0),FALSE),0),0)</f>
        <v>0</v>
      </c>
      <c r="AR59" s="57">
        <f>IFERROR(IF($V59="BRAND.com",HLOOKUP($X59&amp;$Z59,'NWC_FC_NON-NOOS'!$T$4:$AH$23,MATCH(W59,'NWC_FC_NON-NOOS'!$S$4:$S$23,0),FALSE),0),0)</f>
        <v>0</v>
      </c>
      <c r="AS59" s="57">
        <f>IFERROR(IF($V59="BRAND.com",HLOOKUP($X59&amp;$Z59,'NWC_FC_NON-NOOS'!$C$50:$U$69,MATCH(W59,'NWC_FC_NON-NOOS'!$B$50:$B$69,0),FALSE),0),0)</f>
        <v>0</v>
      </c>
      <c r="AT59" s="57">
        <f t="shared" si="18"/>
        <v>0</v>
      </c>
      <c r="AU59" s="57">
        <f t="shared" si="19"/>
        <v>0</v>
      </c>
      <c r="AV59" s="58">
        <f>IFERROR(IF($V59="BRAND.com",HLOOKUP($X59&amp;$Z59,PLANNING_FC!$BB$27:$BP$46,MATCH($W59,PLANNING_FC!$BA$27:$BA$46,0),FALSE),0),0)</f>
        <v>0</v>
      </c>
      <c r="AW59" s="58">
        <f>IFERROR(IF($V59="BRAND.com",HLOOKUP($X59&amp;$Z59,PLANNING_FC!$BB$4:$BP$23,MATCH($W59,PLANNING_FC!$BA$4:$BA$23,0),FALSE),0),0)</f>
        <v>0</v>
      </c>
      <c r="AX59" s="58">
        <f>IFERROR(IF($V59="BRAND.com",HLOOKUP($X59&amp;$Z59,PLANNING_FC!$T$27:$AH$46,MATCH($W59,PLANNING_FC!$B$27:$B$46,0),FALSE),0),0)</f>
        <v>0</v>
      </c>
      <c r="AY59" s="58">
        <f>IFERROR(IF($V59="BRAND.com",HLOOKUP($X59&amp;$Z59,PLANNING_FC!$T$4:$AH$23,MATCH($W59,PLANNING_FC!$B$4:$B$23,0),FALSE),0),0)</f>
        <v>0</v>
      </c>
      <c r="AZ59" s="58">
        <f>IFERROR(IF($V59="BRAND.com",HLOOKUP($X59&amp;$Z59,PLANNING_FC!$DA$27:$DO$46,MATCH($W59,PLANNING_FC!$CZ$27:$CZ$46,0),FALSE),0),0)</f>
        <v>0</v>
      </c>
      <c r="BA59" s="58">
        <f>IFERROR(IF($V59="BRAND.com",HLOOKUP($X59&amp;$Z59,PLANNING_FC!$DA$4:$DO$23,MATCH($W59,PLANNING_FC!$CZ$4:$CZ$23,0),FALSE),0),0)</f>
        <v>0</v>
      </c>
      <c r="BB59" s="883" t="str">
        <f>IF(V59="BRAND.com",IFERROR(HLOOKUP(X59&amp;Z59,PLANNING_FC!$AK$4:$AY$23,MATCH(W59,PLANNING_FC!$AJ$4:$AJ$23,0),FALSE)*1000,""),"")</f>
        <v/>
      </c>
      <c r="BC59" s="883" t="str">
        <f>IF(V59="BRAND.com",IFERROR(HLOOKUP(X59&amp;Z59,PLANNING_FC!$AK$27:$AY$46,MATCH(W59,PLANNING_FC!$AJ$27:$AJ$46,0),FALSE)*1000,""),"")</f>
        <v/>
      </c>
    </row>
    <row r="60" spans="1:55" x14ac:dyDescent="0.25">
      <c r="A60" s="509"/>
      <c r="B60" s="510"/>
      <c r="C60" s="509"/>
      <c r="D60" s="509"/>
      <c r="E60" s="509"/>
      <c r="F60" s="509"/>
      <c r="G60" s="509"/>
      <c r="H60" s="509"/>
      <c r="I60" s="512"/>
      <c r="J60" s="513"/>
      <c r="K60" s="879"/>
      <c r="L60" s="515"/>
      <c r="M60" s="516"/>
      <c r="N60" s="56">
        <f t="shared" si="20"/>
        <v>0</v>
      </c>
      <c r="O60" s="57">
        <f t="shared" si="21"/>
        <v>0</v>
      </c>
      <c r="P60" s="57">
        <f ca="1">IFERROR(IF(ISBLANK(H60),SUMIFS($AC:$AC,$V:$V,V60,$W:$W,W60,$X:$X,X60,$Y:$Y,Y60)*J60/(1-J60)*VLOOKUP(_xlfn.CONCAT(C60,D60,E60,TIME!$M$12,Z60),HIS_SALES!$B$2:$W$4859,20,FALSE),AC60*J60/(1-J60)),0)</f>
        <v>0</v>
      </c>
      <c r="Q60" s="541" t="str">
        <f t="shared" si="22"/>
        <v/>
      </c>
      <c r="R60" s="346" t="str">
        <f t="shared" si="3"/>
        <v>00000</v>
      </c>
      <c r="S60" s="344">
        <f t="shared" si="23"/>
        <v>0</v>
      </c>
      <c r="T60" s="345" t="str">
        <f t="shared" si="17"/>
        <v>000</v>
      </c>
      <c r="U60" s="345">
        <f t="shared" si="24"/>
        <v>0</v>
      </c>
      <c r="V60" s="345">
        <f t="shared" si="25"/>
        <v>0</v>
      </c>
      <c r="W60" s="345">
        <f t="shared" si="26"/>
        <v>0</v>
      </c>
      <c r="X60" s="345">
        <f t="shared" si="27"/>
        <v>0</v>
      </c>
      <c r="Y60" s="345">
        <f t="shared" si="28"/>
        <v>0</v>
      </c>
      <c r="Z60" s="345">
        <f>IF(Q60&lt;&gt;"",VLOOKUP(Y60,TIME!$R$21:$V$24,MATCH(FC_DATA!Q60,TIME!$R$20:$V$20,0),FALSE),H60)</f>
        <v>0</v>
      </c>
      <c r="AA60" s="345" t="str">
        <f>IFERROR(VLOOKUP(X60&amp;Z60,TIME!$A$12:$D$71,4,FALSE),"")</f>
        <v/>
      </c>
      <c r="AB60" s="592">
        <f t="shared" ca="1" si="10"/>
        <v>0</v>
      </c>
      <c r="AC60" s="593" t="e">
        <f ca="1">IF(ISBLANK(H60)=FALSE,IF(D60="BRAND.com",I60,IF(ISNA(VLOOKUP(_xlfn.CONCAT(X60,Z60),TIME!$M$40:$M$42,1,FALSE)),I60,VLOOKUP(_xlfn.CONCAT(D60,G60,H60),M_BUSAREA_FC!$AF$5:$AJ$10,5,FALSE)*HLOOKUP(_xlfn.CONCAT(F60,H60),ST_OVERVIEW!$G$99:$I$130,MATCH(_xlfn.CONCAT(D60,E60),ST_OVERVIEW!$F$99:$F$130,0),FALSE))),IF(D60="BRAND.com",VLOOKUP(_xlfn.CONCAT(C60,D60,E60,TIME!$F$1,Z60),HIS_SALES!$B$2:$V$4859,19,FALSE)*I60,VLOOKUP(_xlfn.CONCAT(D60,F60,G60),Q_BUSAREA_FC!$AE$5:$AI$12,5,FALSE)*HLOOKUP(_xlfn.CONCAT(FC_DATA!F60,FC_DATA!G60),LT_OVERVIEW!$I$99:$M$130,MATCH(_xlfn.CONCAT(D60,FC_DATA!E60),LT_OVERVIEW!$H$99:$H$130,0),FALSE)*IFERROR(VLOOKUP(_xlfn.CONCAT(C60,D60,E60,TIME!$F$1,Z60),HIS_SALES!$B$2:$V$4859,19,FALSE),0)))</f>
        <v>#N/A</v>
      </c>
      <c r="AD60" s="341">
        <f t="shared" ca="1" si="29"/>
        <v>0</v>
      </c>
      <c r="AE60" s="363" t="str">
        <f t="shared" si="30"/>
        <v/>
      </c>
      <c r="AF60" s="342" t="str">
        <f t="shared" si="31"/>
        <v/>
      </c>
      <c r="AG60" s="411" t="e">
        <f ca="1">VLOOKUP(_xlfn.CONCAT(U60,V60,W60,VLOOKUP(X60&amp;Y60,TIME!$L$27:$O$34,4,FALSE),Y60),HIS_SALES!$A$2:$R$5093,18,FALSE)</f>
        <v>#N/A</v>
      </c>
      <c r="AH60" s="412" t="e">
        <f ca="1">IFERROR(IF(AND(V60=V59,W60=W59),0.5*(AB60+AB59)*AG60,(VLOOKUP(_xlfn.CONCAT(U60,V60,W60,X60,VLOOKUP(Z60,TIME!$S$28:$T$39,2,FALSE)),FC_DATA!$R$2:$AB$5000,MATCH("GS_I_M",FC_DATA!$R$1:$AB$1,0),FALSE)+FC_DATA!AB60)*0.5*FC_DATA!AG60),NA())</f>
        <v>#N/A</v>
      </c>
      <c r="AI60" s="491" t="e">
        <f ca="1">IF(V60="PARTNER.com",AH60,IF(AND(V60=V59,W60=W59),(1-AVERAGE(AD59,AD60))*AH60,(1-AVERAGE(AD60,VLOOKUP(_xlfn.CONCAT(U60,V60,W60,X60,M_BRAND_FC!$F$6),FC_DATA!$R$2:$AD$5000,MATCH("DISCOUNT_%_M",FC_DATA!$R$1:$AD$1,0),FALSE)))*AH60))</f>
        <v>#N/A</v>
      </c>
      <c r="AJ60" s="412" t="str">
        <f t="shared" ca="1" si="14"/>
        <v/>
      </c>
      <c r="AK60" s="413" t="str">
        <f>IFERROR(AE60/(Q_BRAND_FC!$T$24+1),"")</f>
        <v/>
      </c>
      <c r="AL60" s="88" t="str">
        <f t="shared" ca="1" si="15"/>
        <v/>
      </c>
      <c r="AM60" s="414" t="str">
        <f t="shared" ca="1" si="16"/>
        <v/>
      </c>
      <c r="AN60" s="58">
        <f>IFERROR(IF($V60="BRAND.com",HLOOKUP($X60&amp;$Z60,NWC_FC_NOOS!$C$4:$Q$23,MATCH(W60,NWC_FC_NOOS!$B$4:$B$23,0),FALSE),0),0)</f>
        <v>0</v>
      </c>
      <c r="AO60" s="57">
        <f>IFERROR(IF($V60="BRAND.com",HLOOKUP($X60&amp;$Z60,NWC_FC_NOOS!$T$4:$AH$23,MATCH(W60,NWC_FC_NOOS!$S$4:$S$23,0),FALSE),0),0)</f>
        <v>0</v>
      </c>
      <c r="AP60" s="57">
        <f>IFERROR(IF($V60="BRAND.com",HLOOKUP($X60&amp;$Z60,NWC_FC_NOOS!$C$50:$U$69,MATCH(W60,NWC_FC_NOOS!$B$50:$B$69,0),FALSE),0),0)</f>
        <v>0</v>
      </c>
      <c r="AQ60" s="58">
        <f>IFERROR(IF($V60="BRAND.com",HLOOKUP($X60&amp;$Z60,'NWC_FC_NON-NOOS'!$C$4:$Q$23,MATCH(W60,'NWC_FC_NON-NOOS'!$B$4:$B$23,0),FALSE),0),0)</f>
        <v>0</v>
      </c>
      <c r="AR60" s="57">
        <f>IFERROR(IF($V60="BRAND.com",HLOOKUP($X60&amp;$Z60,'NWC_FC_NON-NOOS'!$T$4:$AH$23,MATCH(W60,'NWC_FC_NON-NOOS'!$S$4:$S$23,0),FALSE),0),0)</f>
        <v>0</v>
      </c>
      <c r="AS60" s="57">
        <f>IFERROR(IF($V60="BRAND.com",HLOOKUP($X60&amp;$Z60,'NWC_FC_NON-NOOS'!$C$50:$U$69,MATCH(W60,'NWC_FC_NON-NOOS'!$B$50:$B$69,0),FALSE),0),0)</f>
        <v>0</v>
      </c>
      <c r="AT60" s="57">
        <f t="shared" si="18"/>
        <v>0</v>
      </c>
      <c r="AU60" s="57">
        <f t="shared" si="19"/>
        <v>0</v>
      </c>
      <c r="AV60" s="58">
        <f>IFERROR(IF($V60="BRAND.com",HLOOKUP($X60&amp;$Z60,PLANNING_FC!$BB$27:$BP$46,MATCH($W60,PLANNING_FC!$BA$27:$BA$46,0),FALSE),0),0)</f>
        <v>0</v>
      </c>
      <c r="AW60" s="58">
        <f>IFERROR(IF($V60="BRAND.com",HLOOKUP($X60&amp;$Z60,PLANNING_FC!$BB$4:$BP$23,MATCH($W60,PLANNING_FC!$BA$4:$BA$23,0),FALSE),0),0)</f>
        <v>0</v>
      </c>
      <c r="AX60" s="58">
        <f>IFERROR(IF($V60="BRAND.com",HLOOKUP($X60&amp;$Z60,PLANNING_FC!$T$27:$AH$46,MATCH($W60,PLANNING_FC!$B$27:$B$46,0),FALSE),0),0)</f>
        <v>0</v>
      </c>
      <c r="AY60" s="58">
        <f>IFERROR(IF($V60="BRAND.com",HLOOKUP($X60&amp;$Z60,PLANNING_FC!$T$4:$AH$23,MATCH($W60,PLANNING_FC!$B$4:$B$23,0),FALSE),0),0)</f>
        <v>0</v>
      </c>
      <c r="AZ60" s="58">
        <f>IFERROR(IF($V60="BRAND.com",HLOOKUP($X60&amp;$Z60,PLANNING_FC!$DA$27:$DO$46,MATCH($W60,PLANNING_FC!$CZ$27:$CZ$46,0),FALSE),0),0)</f>
        <v>0</v>
      </c>
      <c r="BA60" s="58">
        <f>IFERROR(IF($V60="BRAND.com",HLOOKUP($X60&amp;$Z60,PLANNING_FC!$DA$4:$DO$23,MATCH($W60,PLANNING_FC!$CZ$4:$CZ$23,0),FALSE),0),0)</f>
        <v>0</v>
      </c>
      <c r="BB60" s="883" t="str">
        <f>IF(V60="BRAND.com",IFERROR(HLOOKUP(X60&amp;Z60,PLANNING_FC!$AK$4:$AY$23,MATCH(W60,PLANNING_FC!$AJ$4:$AJ$23,0),FALSE)*1000,""),"")</f>
        <v/>
      </c>
      <c r="BC60" s="883" t="str">
        <f>IF(V60="BRAND.com",IFERROR(HLOOKUP(X60&amp;Z60,PLANNING_FC!$AK$27:$AY$46,MATCH(W60,PLANNING_FC!$AJ$27:$AJ$46,0),FALSE)*1000,""),"")</f>
        <v/>
      </c>
    </row>
    <row r="61" spans="1:55" x14ac:dyDescent="0.25">
      <c r="A61" s="509"/>
      <c r="B61" s="510"/>
      <c r="C61" s="509"/>
      <c r="D61" s="509"/>
      <c r="E61" s="509"/>
      <c r="F61" s="509"/>
      <c r="G61" s="509"/>
      <c r="H61" s="509"/>
      <c r="I61" s="512"/>
      <c r="J61" s="513"/>
      <c r="K61" s="879"/>
      <c r="L61" s="515"/>
      <c r="M61" s="516"/>
      <c r="N61" s="56">
        <f t="shared" si="20"/>
        <v>0</v>
      </c>
      <c r="O61" s="57">
        <f t="shared" si="21"/>
        <v>0</v>
      </c>
      <c r="P61" s="57">
        <f ca="1">IFERROR(IF(ISBLANK(H61),SUMIFS($AC:$AC,$V:$V,V61,$W:$W,W61,$X:$X,X61,$Y:$Y,Y61)*J61/(1-J61)*VLOOKUP(_xlfn.CONCAT(C61,D61,E61,TIME!$M$12,Z61),HIS_SALES!$B$2:$W$4859,20,FALSE),AC61*J61/(1-J61)),0)</f>
        <v>0</v>
      </c>
      <c r="Q61" s="541" t="str">
        <f t="shared" si="22"/>
        <v/>
      </c>
      <c r="R61" s="346" t="str">
        <f t="shared" si="3"/>
        <v>00000</v>
      </c>
      <c r="S61" s="344">
        <f t="shared" si="23"/>
        <v>0</v>
      </c>
      <c r="T61" s="345" t="str">
        <f t="shared" si="17"/>
        <v>000</v>
      </c>
      <c r="U61" s="345">
        <f t="shared" si="24"/>
        <v>0</v>
      </c>
      <c r="V61" s="345">
        <f t="shared" si="25"/>
        <v>0</v>
      </c>
      <c r="W61" s="345">
        <f t="shared" si="26"/>
        <v>0</v>
      </c>
      <c r="X61" s="345">
        <f t="shared" si="27"/>
        <v>0</v>
      </c>
      <c r="Y61" s="345">
        <f t="shared" si="28"/>
        <v>0</v>
      </c>
      <c r="Z61" s="345">
        <f>IF(Q61&lt;&gt;"",VLOOKUP(Y61,TIME!$R$21:$V$24,MATCH(FC_DATA!Q61,TIME!$R$20:$V$20,0),FALSE),H61)</f>
        <v>0</v>
      </c>
      <c r="AA61" s="345" t="str">
        <f>IFERROR(VLOOKUP(X61&amp;Z61,TIME!$A$12:$D$71,4,FALSE),"")</f>
        <v/>
      </c>
      <c r="AB61" s="592">
        <f t="shared" ca="1" si="10"/>
        <v>0</v>
      </c>
      <c r="AC61" s="593" t="e">
        <f ca="1">IF(ISBLANK(H61)=FALSE,IF(D61="BRAND.com",I61,IF(ISNA(VLOOKUP(_xlfn.CONCAT(X61,Z61),TIME!$M$40:$M$42,1,FALSE)),I61,VLOOKUP(_xlfn.CONCAT(D61,G61,H61),M_BUSAREA_FC!$AF$5:$AJ$10,5,FALSE)*HLOOKUP(_xlfn.CONCAT(F61,H61),ST_OVERVIEW!$G$99:$I$130,MATCH(_xlfn.CONCAT(D61,E61),ST_OVERVIEW!$F$99:$F$130,0),FALSE))),IF(D61="BRAND.com",VLOOKUP(_xlfn.CONCAT(C61,D61,E61,TIME!$F$1,Z61),HIS_SALES!$B$2:$V$4859,19,FALSE)*I61,VLOOKUP(_xlfn.CONCAT(D61,F61,G61),Q_BUSAREA_FC!$AE$5:$AI$12,5,FALSE)*HLOOKUP(_xlfn.CONCAT(FC_DATA!F61,FC_DATA!G61),LT_OVERVIEW!$I$99:$M$130,MATCH(_xlfn.CONCAT(D61,FC_DATA!E61),LT_OVERVIEW!$H$99:$H$130,0),FALSE)*IFERROR(VLOOKUP(_xlfn.CONCAT(C61,D61,E61,TIME!$F$1,Z61),HIS_SALES!$B$2:$V$4859,19,FALSE),0)))</f>
        <v>#N/A</v>
      </c>
      <c r="AD61" s="341">
        <f t="shared" ca="1" si="29"/>
        <v>0</v>
      </c>
      <c r="AE61" s="363" t="str">
        <f t="shared" si="30"/>
        <v/>
      </c>
      <c r="AF61" s="342" t="str">
        <f t="shared" si="31"/>
        <v/>
      </c>
      <c r="AG61" s="411" t="e">
        <f ca="1">VLOOKUP(_xlfn.CONCAT(U61,V61,W61,VLOOKUP(X61&amp;Y61,TIME!$L$27:$O$34,4,FALSE),Y61),HIS_SALES!$A$2:$R$5093,18,FALSE)</f>
        <v>#N/A</v>
      </c>
      <c r="AH61" s="412" t="e">
        <f ca="1">IFERROR(IF(AND(V61=V60,W61=W60),0.5*(AB61+AB60)*AG61,(VLOOKUP(_xlfn.CONCAT(U61,V61,W61,X61,VLOOKUP(Z61,TIME!$S$28:$T$39,2,FALSE)),FC_DATA!$R$2:$AB$5000,MATCH("GS_I_M",FC_DATA!$R$1:$AB$1,0),FALSE)+FC_DATA!AB61)*0.5*FC_DATA!AG61),NA())</f>
        <v>#N/A</v>
      </c>
      <c r="AI61" s="491" t="e">
        <f ca="1">IF(V61="PARTNER.com",AH61,IF(AND(V61=V60,W61=W60),(1-AVERAGE(AD60,AD61))*AH61,(1-AVERAGE(AD61,VLOOKUP(_xlfn.CONCAT(U61,V61,W61,X61,M_BRAND_FC!$F$6),FC_DATA!$R$2:$AD$5000,MATCH("DISCOUNT_%_M",FC_DATA!$R$1:$AD$1,0),FALSE)))*AH61))</f>
        <v>#N/A</v>
      </c>
      <c r="AJ61" s="412" t="str">
        <f t="shared" ca="1" si="14"/>
        <v/>
      </c>
      <c r="AK61" s="413" t="str">
        <f>IFERROR(AE61/(Q_BRAND_FC!$T$24+1),"")</f>
        <v/>
      </c>
      <c r="AL61" s="88" t="str">
        <f t="shared" ca="1" si="15"/>
        <v/>
      </c>
      <c r="AM61" s="414" t="str">
        <f t="shared" ca="1" si="16"/>
        <v/>
      </c>
      <c r="AN61" s="58">
        <f>IFERROR(IF($V61="BRAND.com",HLOOKUP($X61&amp;$Z61,NWC_FC_NOOS!$C$4:$Q$23,MATCH(W61,NWC_FC_NOOS!$B$4:$B$23,0),FALSE),0),0)</f>
        <v>0</v>
      </c>
      <c r="AO61" s="57">
        <f>IFERROR(IF($V61="BRAND.com",HLOOKUP($X61&amp;$Z61,NWC_FC_NOOS!$T$4:$AH$23,MATCH(W61,NWC_FC_NOOS!$S$4:$S$23,0),FALSE),0),0)</f>
        <v>0</v>
      </c>
      <c r="AP61" s="57">
        <f>IFERROR(IF($V61="BRAND.com",HLOOKUP($X61&amp;$Z61,NWC_FC_NOOS!$C$50:$U$69,MATCH(W61,NWC_FC_NOOS!$B$50:$B$69,0),FALSE),0),0)</f>
        <v>0</v>
      </c>
      <c r="AQ61" s="58">
        <f>IFERROR(IF($V61="BRAND.com",HLOOKUP($X61&amp;$Z61,'NWC_FC_NON-NOOS'!$C$4:$Q$23,MATCH(W61,'NWC_FC_NON-NOOS'!$B$4:$B$23,0),FALSE),0),0)</f>
        <v>0</v>
      </c>
      <c r="AR61" s="57">
        <f>IFERROR(IF($V61="BRAND.com",HLOOKUP($X61&amp;$Z61,'NWC_FC_NON-NOOS'!$T$4:$AH$23,MATCH(W61,'NWC_FC_NON-NOOS'!$S$4:$S$23,0),FALSE),0),0)</f>
        <v>0</v>
      </c>
      <c r="AS61" s="57">
        <f>IFERROR(IF($V61="BRAND.com",HLOOKUP($X61&amp;$Z61,'NWC_FC_NON-NOOS'!$C$50:$U$69,MATCH(W61,'NWC_FC_NON-NOOS'!$B$50:$B$69,0),FALSE),0),0)</f>
        <v>0</v>
      </c>
      <c r="AT61" s="57">
        <f t="shared" si="18"/>
        <v>0</v>
      </c>
      <c r="AU61" s="57">
        <f t="shared" si="19"/>
        <v>0</v>
      </c>
      <c r="AV61" s="58">
        <f>IFERROR(IF($V61="BRAND.com",HLOOKUP($X61&amp;$Z61,PLANNING_FC!$BB$27:$BP$46,MATCH($W61,PLANNING_FC!$BA$27:$BA$46,0),FALSE),0),0)</f>
        <v>0</v>
      </c>
      <c r="AW61" s="58">
        <f>IFERROR(IF($V61="BRAND.com",HLOOKUP($X61&amp;$Z61,PLANNING_FC!$BB$4:$BP$23,MATCH($W61,PLANNING_FC!$BA$4:$BA$23,0),FALSE),0),0)</f>
        <v>0</v>
      </c>
      <c r="AX61" s="58">
        <f>IFERROR(IF($V61="BRAND.com",HLOOKUP($X61&amp;$Z61,PLANNING_FC!$T$27:$AH$46,MATCH($W61,PLANNING_FC!$B$27:$B$46,0),FALSE),0),0)</f>
        <v>0</v>
      </c>
      <c r="AY61" s="58">
        <f>IFERROR(IF($V61="BRAND.com",HLOOKUP($X61&amp;$Z61,PLANNING_FC!$T$4:$AH$23,MATCH($W61,PLANNING_FC!$B$4:$B$23,0),FALSE),0),0)</f>
        <v>0</v>
      </c>
      <c r="AZ61" s="58">
        <f>IFERROR(IF($V61="BRAND.com",HLOOKUP($X61&amp;$Z61,PLANNING_FC!$DA$27:$DO$46,MATCH($W61,PLANNING_FC!$CZ$27:$CZ$46,0),FALSE),0),0)</f>
        <v>0</v>
      </c>
      <c r="BA61" s="58">
        <f>IFERROR(IF($V61="BRAND.com",HLOOKUP($X61&amp;$Z61,PLANNING_FC!$DA$4:$DO$23,MATCH($W61,PLANNING_FC!$CZ$4:$CZ$23,0),FALSE),0),0)</f>
        <v>0</v>
      </c>
      <c r="BB61" s="883" t="str">
        <f>IF(V61="BRAND.com",IFERROR(HLOOKUP(X61&amp;Z61,PLANNING_FC!$AK$4:$AY$23,MATCH(W61,PLANNING_FC!$AJ$4:$AJ$23,0),FALSE)*1000,""),"")</f>
        <v/>
      </c>
      <c r="BC61" s="883" t="str">
        <f>IF(V61="BRAND.com",IFERROR(HLOOKUP(X61&amp;Z61,PLANNING_FC!$AK$27:$AY$46,MATCH(W61,PLANNING_FC!$AJ$27:$AJ$46,0),FALSE)*1000,""),"")</f>
        <v/>
      </c>
    </row>
    <row r="62" spans="1:55" x14ac:dyDescent="0.25">
      <c r="A62" s="509"/>
      <c r="B62" s="510"/>
      <c r="C62" s="509"/>
      <c r="D62" s="509"/>
      <c r="E62" s="509"/>
      <c r="F62" s="509"/>
      <c r="G62" s="509"/>
      <c r="H62" s="509"/>
      <c r="I62" s="512"/>
      <c r="J62" s="513"/>
      <c r="K62" s="879"/>
      <c r="L62" s="515"/>
      <c r="M62" s="516"/>
      <c r="N62" s="56">
        <f t="shared" si="20"/>
        <v>0</v>
      </c>
      <c r="O62" s="57">
        <f t="shared" si="21"/>
        <v>0</v>
      </c>
      <c r="P62" s="57">
        <f ca="1">IFERROR(IF(ISBLANK(H62),SUMIFS($AC:$AC,$V:$V,V62,$W:$W,W62,$X:$X,X62,$Y:$Y,Y62)*J62/(1-J62)*VLOOKUP(_xlfn.CONCAT(C62,D62,E62,TIME!$M$12,Z62),HIS_SALES!$B$2:$W$4859,20,FALSE),AC62*J62/(1-J62)),0)</f>
        <v>0</v>
      </c>
      <c r="Q62" s="541" t="str">
        <f t="shared" si="22"/>
        <v/>
      </c>
      <c r="R62" s="346" t="str">
        <f t="shared" si="3"/>
        <v>00000</v>
      </c>
      <c r="S62" s="344">
        <f t="shared" si="23"/>
        <v>0</v>
      </c>
      <c r="T62" s="345" t="str">
        <f t="shared" si="17"/>
        <v>000</v>
      </c>
      <c r="U62" s="345">
        <f t="shared" si="24"/>
        <v>0</v>
      </c>
      <c r="V62" s="345">
        <f t="shared" si="25"/>
        <v>0</v>
      </c>
      <c r="W62" s="345">
        <f t="shared" si="26"/>
        <v>0</v>
      </c>
      <c r="X62" s="345">
        <f t="shared" si="27"/>
        <v>0</v>
      </c>
      <c r="Y62" s="345">
        <f t="shared" si="28"/>
        <v>0</v>
      </c>
      <c r="Z62" s="345">
        <f>IF(Q62&lt;&gt;"",VLOOKUP(Y62,TIME!$R$21:$V$24,MATCH(FC_DATA!Q62,TIME!$R$20:$V$20,0),FALSE),H62)</f>
        <v>0</v>
      </c>
      <c r="AA62" s="345" t="str">
        <f>IFERROR(VLOOKUP(X62&amp;Z62,TIME!$A$12:$D$71,4,FALSE),"")</f>
        <v/>
      </c>
      <c r="AB62" s="592">
        <f t="shared" ca="1" si="10"/>
        <v>0</v>
      </c>
      <c r="AC62" s="593" t="e">
        <f ca="1">IF(ISBLANK(H62)=FALSE,IF(D62="BRAND.com",I62,IF(ISNA(VLOOKUP(_xlfn.CONCAT(X62,Z62),TIME!$M$40:$M$42,1,FALSE)),I62,VLOOKUP(_xlfn.CONCAT(D62,G62,H62),M_BUSAREA_FC!$AF$5:$AJ$10,5,FALSE)*HLOOKUP(_xlfn.CONCAT(F62,H62),ST_OVERVIEW!$G$99:$I$130,MATCH(_xlfn.CONCAT(D62,E62),ST_OVERVIEW!$F$99:$F$130,0),FALSE))),IF(D62="BRAND.com",VLOOKUP(_xlfn.CONCAT(C62,D62,E62,TIME!$F$1,Z62),HIS_SALES!$B$2:$V$4859,19,FALSE)*I62,VLOOKUP(_xlfn.CONCAT(D62,F62,G62),Q_BUSAREA_FC!$AE$5:$AI$12,5,FALSE)*HLOOKUP(_xlfn.CONCAT(FC_DATA!F62,FC_DATA!G62),LT_OVERVIEW!$I$99:$M$130,MATCH(_xlfn.CONCAT(D62,FC_DATA!E62),LT_OVERVIEW!$H$99:$H$130,0),FALSE)*IFERROR(VLOOKUP(_xlfn.CONCAT(C62,D62,E62,TIME!$F$1,Z62),HIS_SALES!$B$2:$V$4859,19,FALSE),0)))</f>
        <v>#N/A</v>
      </c>
      <c r="AD62" s="341">
        <f t="shared" ca="1" si="29"/>
        <v>0</v>
      </c>
      <c r="AE62" s="363" t="str">
        <f t="shared" si="30"/>
        <v/>
      </c>
      <c r="AF62" s="342" t="str">
        <f t="shared" si="31"/>
        <v/>
      </c>
      <c r="AG62" s="411" t="e">
        <f ca="1">VLOOKUP(_xlfn.CONCAT(U62,V62,W62,VLOOKUP(X62&amp;Y62,TIME!$L$27:$O$34,4,FALSE),Y62),HIS_SALES!$A$2:$R$5093,18,FALSE)</f>
        <v>#N/A</v>
      </c>
      <c r="AH62" s="412" t="e">
        <f ca="1">IFERROR(IF(AND(V62=V61,W62=W61),0.5*(AB62+AB61)*AG62,(VLOOKUP(_xlfn.CONCAT(U62,V62,W62,X62,VLOOKUP(Z62,TIME!$S$28:$T$39,2,FALSE)),FC_DATA!$R$2:$AB$5000,MATCH("GS_I_M",FC_DATA!$R$1:$AB$1,0),FALSE)+FC_DATA!AB62)*0.5*FC_DATA!AG62),NA())</f>
        <v>#N/A</v>
      </c>
      <c r="AI62" s="491" t="e">
        <f ca="1">IF(V62="PARTNER.com",AH62,IF(AND(V62=V61,W62=W61),(1-AVERAGE(AD61,AD62))*AH62,(1-AVERAGE(AD62,VLOOKUP(_xlfn.CONCAT(U62,V62,W62,X62,M_BRAND_FC!$F$6),FC_DATA!$R$2:$AD$5000,MATCH("DISCOUNT_%_M",FC_DATA!$R$1:$AD$1,0),FALSE)))*AH62))</f>
        <v>#N/A</v>
      </c>
      <c r="AJ62" s="412" t="str">
        <f t="shared" ca="1" si="14"/>
        <v/>
      </c>
      <c r="AK62" s="413" t="str">
        <f>IFERROR(AE62/(Q_BRAND_FC!$T$24+1),"")</f>
        <v/>
      </c>
      <c r="AL62" s="88" t="str">
        <f t="shared" ca="1" si="15"/>
        <v/>
      </c>
      <c r="AM62" s="414" t="str">
        <f t="shared" ca="1" si="16"/>
        <v/>
      </c>
      <c r="AN62" s="58">
        <f>IFERROR(IF($V62="BRAND.com",HLOOKUP($X62&amp;$Z62,NWC_FC_NOOS!$C$4:$Q$23,MATCH(W62,NWC_FC_NOOS!$B$4:$B$23,0),FALSE),0),0)</f>
        <v>0</v>
      </c>
      <c r="AO62" s="57">
        <f>IFERROR(IF($V62="BRAND.com",HLOOKUP($X62&amp;$Z62,NWC_FC_NOOS!$T$4:$AH$23,MATCH(W62,NWC_FC_NOOS!$S$4:$S$23,0),FALSE),0),0)</f>
        <v>0</v>
      </c>
      <c r="AP62" s="57">
        <f>IFERROR(IF($V62="BRAND.com",HLOOKUP($X62&amp;$Z62,NWC_FC_NOOS!$C$50:$U$69,MATCH(W62,NWC_FC_NOOS!$B$50:$B$69,0),FALSE),0),0)</f>
        <v>0</v>
      </c>
      <c r="AQ62" s="58">
        <f>IFERROR(IF($V62="BRAND.com",HLOOKUP($X62&amp;$Z62,'NWC_FC_NON-NOOS'!$C$4:$Q$23,MATCH(W62,'NWC_FC_NON-NOOS'!$B$4:$B$23,0),FALSE),0),0)</f>
        <v>0</v>
      </c>
      <c r="AR62" s="57">
        <f>IFERROR(IF($V62="BRAND.com",HLOOKUP($X62&amp;$Z62,'NWC_FC_NON-NOOS'!$T$4:$AH$23,MATCH(W62,'NWC_FC_NON-NOOS'!$S$4:$S$23,0),FALSE),0),0)</f>
        <v>0</v>
      </c>
      <c r="AS62" s="57">
        <f>IFERROR(IF($V62="BRAND.com",HLOOKUP($X62&amp;$Z62,'NWC_FC_NON-NOOS'!$C$50:$U$69,MATCH(W62,'NWC_FC_NON-NOOS'!$B$50:$B$69,0),FALSE),0),0)</f>
        <v>0</v>
      </c>
      <c r="AT62" s="57">
        <f t="shared" si="18"/>
        <v>0</v>
      </c>
      <c r="AU62" s="57">
        <f t="shared" si="19"/>
        <v>0</v>
      </c>
      <c r="AV62" s="58">
        <f>IFERROR(IF($V62="BRAND.com",HLOOKUP($X62&amp;$Z62,PLANNING_FC!$BB$27:$BP$46,MATCH($W62,PLANNING_FC!$BA$27:$BA$46,0),FALSE),0),0)</f>
        <v>0</v>
      </c>
      <c r="AW62" s="58">
        <f>IFERROR(IF($V62="BRAND.com",HLOOKUP($X62&amp;$Z62,PLANNING_FC!$BB$4:$BP$23,MATCH($W62,PLANNING_FC!$BA$4:$BA$23,0),FALSE),0),0)</f>
        <v>0</v>
      </c>
      <c r="AX62" s="58">
        <f>IFERROR(IF($V62="BRAND.com",HLOOKUP($X62&amp;$Z62,PLANNING_FC!$T$27:$AH$46,MATCH($W62,PLANNING_FC!$B$27:$B$46,0),FALSE),0),0)</f>
        <v>0</v>
      </c>
      <c r="AY62" s="58">
        <f>IFERROR(IF($V62="BRAND.com",HLOOKUP($X62&amp;$Z62,PLANNING_FC!$T$4:$AH$23,MATCH($W62,PLANNING_FC!$B$4:$B$23,0),FALSE),0),0)</f>
        <v>0</v>
      </c>
      <c r="AZ62" s="58">
        <f>IFERROR(IF($V62="BRAND.com",HLOOKUP($X62&amp;$Z62,PLANNING_FC!$DA$27:$DO$46,MATCH($W62,PLANNING_FC!$CZ$27:$CZ$46,0),FALSE),0),0)</f>
        <v>0</v>
      </c>
      <c r="BA62" s="58">
        <f>IFERROR(IF($V62="BRAND.com",HLOOKUP($X62&amp;$Z62,PLANNING_FC!$DA$4:$DO$23,MATCH($W62,PLANNING_FC!$CZ$4:$CZ$23,0),FALSE),0),0)</f>
        <v>0</v>
      </c>
      <c r="BB62" s="883" t="str">
        <f>IF(V62="BRAND.com",IFERROR(HLOOKUP(X62&amp;Z62,PLANNING_FC!$AK$4:$AY$23,MATCH(W62,PLANNING_FC!$AJ$4:$AJ$23,0),FALSE)*1000,""),"")</f>
        <v/>
      </c>
      <c r="BC62" s="883" t="str">
        <f>IF(V62="BRAND.com",IFERROR(HLOOKUP(X62&amp;Z62,PLANNING_FC!$AK$27:$AY$46,MATCH(W62,PLANNING_FC!$AJ$27:$AJ$46,0),FALSE)*1000,""),"")</f>
        <v/>
      </c>
    </row>
    <row r="63" spans="1:55" x14ac:dyDescent="0.25">
      <c r="A63" s="509"/>
      <c r="B63" s="510"/>
      <c r="C63" s="509"/>
      <c r="D63" s="509"/>
      <c r="E63" s="509"/>
      <c r="F63" s="509"/>
      <c r="G63" s="509"/>
      <c r="H63" s="509"/>
      <c r="I63" s="512"/>
      <c r="J63" s="513"/>
      <c r="K63" s="879"/>
      <c r="L63" s="515"/>
      <c r="M63" s="516"/>
      <c r="N63" s="56">
        <f t="shared" si="20"/>
        <v>0</v>
      </c>
      <c r="O63" s="57">
        <f t="shared" si="21"/>
        <v>0</v>
      </c>
      <c r="P63" s="57">
        <f ca="1">IFERROR(IF(ISBLANK(H63),SUMIFS($AC:$AC,$V:$V,V63,$W:$W,W63,$X:$X,X63,$Y:$Y,Y63)*J63/(1-J63)*VLOOKUP(_xlfn.CONCAT(C63,D63,E63,TIME!$M$12,Z63),HIS_SALES!$B$2:$W$4859,20,FALSE),AC63*J63/(1-J63)),0)</f>
        <v>0</v>
      </c>
      <c r="Q63" s="541" t="str">
        <f t="shared" si="22"/>
        <v/>
      </c>
      <c r="R63" s="346" t="str">
        <f t="shared" si="3"/>
        <v>00000</v>
      </c>
      <c r="S63" s="344">
        <f t="shared" si="23"/>
        <v>0</v>
      </c>
      <c r="T63" s="345" t="str">
        <f t="shared" si="17"/>
        <v>000</v>
      </c>
      <c r="U63" s="345">
        <f t="shared" si="24"/>
        <v>0</v>
      </c>
      <c r="V63" s="345">
        <f t="shared" si="25"/>
        <v>0</v>
      </c>
      <c r="W63" s="345">
        <f t="shared" si="26"/>
        <v>0</v>
      </c>
      <c r="X63" s="345">
        <f t="shared" si="27"/>
        <v>0</v>
      </c>
      <c r="Y63" s="345">
        <f t="shared" si="28"/>
        <v>0</v>
      </c>
      <c r="Z63" s="345">
        <f>IF(Q63&lt;&gt;"",VLOOKUP(Y63,TIME!$R$21:$V$24,MATCH(FC_DATA!Q63,TIME!$R$20:$V$20,0),FALSE),H63)</f>
        <v>0</v>
      </c>
      <c r="AA63" s="345" t="str">
        <f>IFERROR(VLOOKUP(X63&amp;Z63,TIME!$A$12:$D$71,4,FALSE),"")</f>
        <v/>
      </c>
      <c r="AB63" s="592">
        <f t="shared" ca="1" si="10"/>
        <v>0</v>
      </c>
      <c r="AC63" s="593" t="e">
        <f ca="1">IF(ISBLANK(H63)=FALSE,IF(D63="BRAND.com",I63,IF(ISNA(VLOOKUP(_xlfn.CONCAT(X63,Z63),TIME!$M$40:$M$42,1,FALSE)),I63,VLOOKUP(_xlfn.CONCAT(D63,G63,H63),M_BUSAREA_FC!$AF$5:$AJ$10,5,FALSE)*HLOOKUP(_xlfn.CONCAT(F63,H63),ST_OVERVIEW!$G$99:$I$130,MATCH(_xlfn.CONCAT(D63,E63),ST_OVERVIEW!$F$99:$F$130,0),FALSE))),IF(D63="BRAND.com",VLOOKUP(_xlfn.CONCAT(C63,D63,E63,TIME!$F$1,Z63),HIS_SALES!$B$2:$V$4859,19,FALSE)*I63,VLOOKUP(_xlfn.CONCAT(D63,F63,G63),Q_BUSAREA_FC!$AE$5:$AI$12,5,FALSE)*HLOOKUP(_xlfn.CONCAT(FC_DATA!F63,FC_DATA!G63),LT_OVERVIEW!$I$99:$M$130,MATCH(_xlfn.CONCAT(D63,FC_DATA!E63),LT_OVERVIEW!$H$99:$H$130,0),FALSE)*IFERROR(VLOOKUP(_xlfn.CONCAT(C63,D63,E63,TIME!$F$1,Z63),HIS_SALES!$B$2:$V$4859,19,FALSE),0)))</f>
        <v>#N/A</v>
      </c>
      <c r="AD63" s="341">
        <f t="shared" ca="1" si="29"/>
        <v>0</v>
      </c>
      <c r="AE63" s="363" t="str">
        <f t="shared" si="30"/>
        <v/>
      </c>
      <c r="AF63" s="342" t="str">
        <f t="shared" si="31"/>
        <v/>
      </c>
      <c r="AG63" s="411" t="e">
        <f ca="1">VLOOKUP(_xlfn.CONCAT(U63,V63,W63,VLOOKUP(X63&amp;Y63,TIME!$L$27:$O$34,4,FALSE),Y63),HIS_SALES!$A$2:$R$5093,18,FALSE)</f>
        <v>#N/A</v>
      </c>
      <c r="AH63" s="412" t="e">
        <f ca="1">IFERROR(IF(AND(V63=V62,W63=W62),0.5*(AB63+AB62)*AG63,(VLOOKUP(_xlfn.CONCAT(U63,V63,W63,X63,VLOOKUP(Z63,TIME!$S$28:$T$39,2,FALSE)),FC_DATA!$R$2:$AB$5000,MATCH("GS_I_M",FC_DATA!$R$1:$AB$1,0),FALSE)+FC_DATA!AB63)*0.5*FC_DATA!AG63),NA())</f>
        <v>#N/A</v>
      </c>
      <c r="AI63" s="491" t="e">
        <f ca="1">IF(V63="PARTNER.com",AH63,IF(AND(V63=V62,W63=W62),(1-AVERAGE(AD62,AD63))*AH63,(1-AVERAGE(AD63,VLOOKUP(_xlfn.CONCAT(U63,V63,W63,X63,M_BRAND_FC!$F$6),FC_DATA!$R$2:$AD$5000,MATCH("DISCOUNT_%_M",FC_DATA!$R$1:$AD$1,0),FALSE)))*AH63))</f>
        <v>#N/A</v>
      </c>
      <c r="AJ63" s="412" t="str">
        <f t="shared" ca="1" si="14"/>
        <v/>
      </c>
      <c r="AK63" s="413" t="str">
        <f>IFERROR(AE63/(Q_BRAND_FC!$T$24+1),"")</f>
        <v/>
      </c>
      <c r="AL63" s="88" t="str">
        <f t="shared" ca="1" si="15"/>
        <v/>
      </c>
      <c r="AM63" s="414" t="str">
        <f t="shared" ca="1" si="16"/>
        <v/>
      </c>
      <c r="AN63" s="58">
        <f>IFERROR(IF($V63="BRAND.com",HLOOKUP($X63&amp;$Z63,NWC_FC_NOOS!$C$4:$Q$23,MATCH(W63,NWC_FC_NOOS!$B$4:$B$23,0),FALSE),0),0)</f>
        <v>0</v>
      </c>
      <c r="AO63" s="57">
        <f>IFERROR(IF($V63="BRAND.com",HLOOKUP($X63&amp;$Z63,NWC_FC_NOOS!$T$4:$AH$23,MATCH(W63,NWC_FC_NOOS!$S$4:$S$23,0),FALSE),0),0)</f>
        <v>0</v>
      </c>
      <c r="AP63" s="57">
        <f>IFERROR(IF($V63="BRAND.com",HLOOKUP($X63&amp;$Z63,NWC_FC_NOOS!$C$50:$U$69,MATCH(W63,NWC_FC_NOOS!$B$50:$B$69,0),FALSE),0),0)</f>
        <v>0</v>
      </c>
      <c r="AQ63" s="58">
        <f>IFERROR(IF($V63="BRAND.com",HLOOKUP($X63&amp;$Z63,'NWC_FC_NON-NOOS'!$C$4:$Q$23,MATCH(W63,'NWC_FC_NON-NOOS'!$B$4:$B$23,0),FALSE),0),0)</f>
        <v>0</v>
      </c>
      <c r="AR63" s="57">
        <f>IFERROR(IF($V63="BRAND.com",HLOOKUP($X63&amp;$Z63,'NWC_FC_NON-NOOS'!$T$4:$AH$23,MATCH(W63,'NWC_FC_NON-NOOS'!$S$4:$S$23,0),FALSE),0),0)</f>
        <v>0</v>
      </c>
      <c r="AS63" s="57">
        <f>IFERROR(IF($V63="BRAND.com",HLOOKUP($X63&amp;$Z63,'NWC_FC_NON-NOOS'!$C$50:$U$69,MATCH(W63,'NWC_FC_NON-NOOS'!$B$50:$B$69,0),FALSE),0),0)</f>
        <v>0</v>
      </c>
      <c r="AT63" s="57">
        <f t="shared" si="18"/>
        <v>0</v>
      </c>
      <c r="AU63" s="57">
        <f t="shared" si="19"/>
        <v>0</v>
      </c>
      <c r="AV63" s="58">
        <f>IFERROR(IF($V63="BRAND.com",HLOOKUP($X63&amp;$Z63,PLANNING_FC!$BB$27:$BP$46,MATCH($W63,PLANNING_FC!$BA$27:$BA$46,0),FALSE),0),0)</f>
        <v>0</v>
      </c>
      <c r="AW63" s="58">
        <f>IFERROR(IF($V63="BRAND.com",HLOOKUP($X63&amp;$Z63,PLANNING_FC!$BB$4:$BP$23,MATCH($W63,PLANNING_FC!$BA$4:$BA$23,0),FALSE),0),0)</f>
        <v>0</v>
      </c>
      <c r="AX63" s="58">
        <f>IFERROR(IF($V63="BRAND.com",HLOOKUP($X63&amp;$Z63,PLANNING_FC!$T$27:$AH$46,MATCH($W63,PLANNING_FC!$B$27:$B$46,0),FALSE),0),0)</f>
        <v>0</v>
      </c>
      <c r="AY63" s="58">
        <f>IFERROR(IF($V63="BRAND.com",HLOOKUP($X63&amp;$Z63,PLANNING_FC!$T$4:$AH$23,MATCH($W63,PLANNING_FC!$B$4:$B$23,0),FALSE),0),0)</f>
        <v>0</v>
      </c>
      <c r="AZ63" s="58">
        <f>IFERROR(IF($V63="BRAND.com",HLOOKUP($X63&amp;$Z63,PLANNING_FC!$DA$27:$DO$46,MATCH($W63,PLANNING_FC!$CZ$27:$CZ$46,0),FALSE),0),0)</f>
        <v>0</v>
      </c>
      <c r="BA63" s="58">
        <f>IFERROR(IF($V63="BRAND.com",HLOOKUP($X63&amp;$Z63,PLANNING_FC!$DA$4:$DO$23,MATCH($W63,PLANNING_FC!$CZ$4:$CZ$23,0),FALSE),0),0)</f>
        <v>0</v>
      </c>
      <c r="BB63" s="883" t="str">
        <f>IF(V63="BRAND.com",IFERROR(HLOOKUP(X63&amp;Z63,PLANNING_FC!$AK$4:$AY$23,MATCH(W63,PLANNING_FC!$AJ$4:$AJ$23,0),FALSE)*1000,""),"")</f>
        <v/>
      </c>
      <c r="BC63" s="883" t="str">
        <f>IF(V63="BRAND.com",IFERROR(HLOOKUP(X63&amp;Z63,PLANNING_FC!$AK$27:$AY$46,MATCH(W63,PLANNING_FC!$AJ$27:$AJ$46,0),FALSE)*1000,""),"")</f>
        <v/>
      </c>
    </row>
    <row r="64" spans="1:55" x14ac:dyDescent="0.25">
      <c r="A64" s="509"/>
      <c r="B64" s="510"/>
      <c r="C64" s="509"/>
      <c r="D64" s="509"/>
      <c r="E64" s="509"/>
      <c r="F64" s="509"/>
      <c r="G64" s="509"/>
      <c r="H64" s="509"/>
      <c r="I64" s="512"/>
      <c r="J64" s="513"/>
      <c r="K64" s="879"/>
      <c r="L64" s="515"/>
      <c r="M64" s="516"/>
      <c r="N64" s="56">
        <f t="shared" si="20"/>
        <v>0</v>
      </c>
      <c r="O64" s="57">
        <f t="shared" si="21"/>
        <v>0</v>
      </c>
      <c r="P64" s="57">
        <f ca="1">IFERROR(IF(ISBLANK(H64),SUMIFS($AC:$AC,$V:$V,V64,$W:$W,W64,$X:$X,X64,$Y:$Y,Y64)*J64/(1-J64)*VLOOKUP(_xlfn.CONCAT(C64,D64,E64,TIME!$M$12,Z64),HIS_SALES!$B$2:$W$4859,20,FALSE),AC64*J64/(1-J64)),0)</f>
        <v>0</v>
      </c>
      <c r="Q64" s="541" t="str">
        <f t="shared" si="22"/>
        <v/>
      </c>
      <c r="R64" s="346" t="str">
        <f t="shared" si="3"/>
        <v>00000</v>
      </c>
      <c r="S64" s="344">
        <f t="shared" si="23"/>
        <v>0</v>
      </c>
      <c r="T64" s="345" t="str">
        <f t="shared" si="17"/>
        <v>000</v>
      </c>
      <c r="U64" s="345">
        <f t="shared" si="24"/>
        <v>0</v>
      </c>
      <c r="V64" s="345">
        <f t="shared" si="25"/>
        <v>0</v>
      </c>
      <c r="W64" s="345">
        <f t="shared" si="26"/>
        <v>0</v>
      </c>
      <c r="X64" s="345">
        <f t="shared" si="27"/>
        <v>0</v>
      </c>
      <c r="Y64" s="345">
        <f t="shared" si="28"/>
        <v>0</v>
      </c>
      <c r="Z64" s="345">
        <f>IF(Q64&lt;&gt;"",VLOOKUP(Y64,TIME!$R$21:$V$24,MATCH(FC_DATA!Q64,TIME!$R$20:$V$20,0),FALSE),H64)</f>
        <v>0</v>
      </c>
      <c r="AA64" s="345" t="str">
        <f>IFERROR(VLOOKUP(X64&amp;Z64,TIME!$A$12:$D$71,4,FALSE),"")</f>
        <v/>
      </c>
      <c r="AB64" s="592">
        <f t="shared" ca="1" si="10"/>
        <v>0</v>
      </c>
      <c r="AC64" s="593" t="e">
        <f ca="1">IF(ISBLANK(H64)=FALSE,IF(D64="BRAND.com",I64,IF(ISNA(VLOOKUP(_xlfn.CONCAT(X64,Z64),TIME!$M$40:$M$42,1,FALSE)),I64,VLOOKUP(_xlfn.CONCAT(D64,G64,H64),M_BUSAREA_FC!$AF$5:$AJ$10,5,FALSE)*HLOOKUP(_xlfn.CONCAT(F64,H64),ST_OVERVIEW!$G$99:$I$130,MATCH(_xlfn.CONCAT(D64,E64),ST_OVERVIEW!$F$99:$F$130,0),FALSE))),IF(D64="BRAND.com",VLOOKUP(_xlfn.CONCAT(C64,D64,E64,TIME!$F$1,Z64),HIS_SALES!$B$2:$V$4859,19,FALSE)*I64,VLOOKUP(_xlfn.CONCAT(D64,F64,G64),Q_BUSAREA_FC!$AE$5:$AI$12,5,FALSE)*HLOOKUP(_xlfn.CONCAT(FC_DATA!F64,FC_DATA!G64),LT_OVERVIEW!$I$99:$M$130,MATCH(_xlfn.CONCAT(D64,FC_DATA!E64),LT_OVERVIEW!$H$99:$H$130,0),FALSE)*IFERROR(VLOOKUP(_xlfn.CONCAT(C64,D64,E64,TIME!$F$1,Z64),HIS_SALES!$B$2:$V$4859,19,FALSE),0)))</f>
        <v>#N/A</v>
      </c>
      <c r="AD64" s="341">
        <f t="shared" ca="1" si="29"/>
        <v>0</v>
      </c>
      <c r="AE64" s="363" t="str">
        <f t="shared" si="30"/>
        <v/>
      </c>
      <c r="AF64" s="342" t="str">
        <f t="shared" si="31"/>
        <v/>
      </c>
      <c r="AG64" s="411" t="e">
        <f ca="1">VLOOKUP(_xlfn.CONCAT(U64,V64,W64,VLOOKUP(X64&amp;Y64,TIME!$L$27:$O$34,4,FALSE),Y64),HIS_SALES!$A$2:$R$5093,18,FALSE)</f>
        <v>#N/A</v>
      </c>
      <c r="AH64" s="412" t="e">
        <f ca="1">IFERROR(IF(AND(V64=V63,W64=W63),0.5*(AB64+AB63)*AG64,(VLOOKUP(_xlfn.CONCAT(U64,V64,W64,X64,VLOOKUP(Z64,TIME!$S$28:$T$39,2,FALSE)),FC_DATA!$R$2:$AB$5000,MATCH("GS_I_M",FC_DATA!$R$1:$AB$1,0),FALSE)+FC_DATA!AB64)*0.5*FC_DATA!AG64),NA())</f>
        <v>#N/A</v>
      </c>
      <c r="AI64" s="491" t="e">
        <f ca="1">IF(V64="PARTNER.com",AH64,IF(AND(V64=V63,W64=W63),(1-AVERAGE(AD63,AD64))*AH64,(1-AVERAGE(AD64,VLOOKUP(_xlfn.CONCAT(U64,V64,W64,X64,M_BRAND_FC!$F$6),FC_DATA!$R$2:$AD$5000,MATCH("DISCOUNT_%_M",FC_DATA!$R$1:$AD$1,0),FALSE)))*AH64))</f>
        <v>#N/A</v>
      </c>
      <c r="AJ64" s="412" t="str">
        <f t="shared" ca="1" si="14"/>
        <v/>
      </c>
      <c r="AK64" s="413" t="str">
        <f>IFERROR(AE64/(Q_BRAND_FC!$T$24+1),"")</f>
        <v/>
      </c>
      <c r="AL64" s="88" t="str">
        <f t="shared" ca="1" si="15"/>
        <v/>
      </c>
      <c r="AM64" s="414" t="str">
        <f t="shared" ca="1" si="16"/>
        <v/>
      </c>
      <c r="AN64" s="58">
        <f>IFERROR(IF($V64="BRAND.com",HLOOKUP($X64&amp;$Z64,NWC_FC_NOOS!$C$4:$Q$23,MATCH(W64,NWC_FC_NOOS!$B$4:$B$23,0),FALSE),0),0)</f>
        <v>0</v>
      </c>
      <c r="AO64" s="57">
        <f>IFERROR(IF($V64="BRAND.com",HLOOKUP($X64&amp;$Z64,NWC_FC_NOOS!$T$4:$AH$23,MATCH(W64,NWC_FC_NOOS!$S$4:$S$23,0),FALSE),0),0)</f>
        <v>0</v>
      </c>
      <c r="AP64" s="57">
        <f>IFERROR(IF($V64="BRAND.com",HLOOKUP($X64&amp;$Z64,NWC_FC_NOOS!$C$50:$U$69,MATCH(W64,NWC_FC_NOOS!$B$50:$B$69,0),FALSE),0),0)</f>
        <v>0</v>
      </c>
      <c r="AQ64" s="58">
        <f>IFERROR(IF($V64="BRAND.com",HLOOKUP($X64&amp;$Z64,'NWC_FC_NON-NOOS'!$C$4:$Q$23,MATCH(W64,'NWC_FC_NON-NOOS'!$B$4:$B$23,0),FALSE),0),0)</f>
        <v>0</v>
      </c>
      <c r="AR64" s="57">
        <f>IFERROR(IF($V64="BRAND.com",HLOOKUP($X64&amp;$Z64,'NWC_FC_NON-NOOS'!$T$4:$AH$23,MATCH(W64,'NWC_FC_NON-NOOS'!$S$4:$S$23,0),FALSE),0),0)</f>
        <v>0</v>
      </c>
      <c r="AS64" s="57">
        <f>IFERROR(IF($V64="BRAND.com",HLOOKUP($X64&amp;$Z64,'NWC_FC_NON-NOOS'!$C$50:$U$69,MATCH(W64,'NWC_FC_NON-NOOS'!$B$50:$B$69,0),FALSE),0),0)</f>
        <v>0</v>
      </c>
      <c r="AT64" s="57">
        <f t="shared" si="18"/>
        <v>0</v>
      </c>
      <c r="AU64" s="57">
        <f t="shared" si="19"/>
        <v>0</v>
      </c>
      <c r="AV64" s="58">
        <f>IFERROR(IF($V64="BRAND.com",HLOOKUP($X64&amp;$Z64,PLANNING_FC!$BB$27:$BP$46,MATCH($W64,PLANNING_FC!$BA$27:$BA$46,0),FALSE),0),0)</f>
        <v>0</v>
      </c>
      <c r="AW64" s="58">
        <f>IFERROR(IF($V64="BRAND.com",HLOOKUP($X64&amp;$Z64,PLANNING_FC!$BB$4:$BP$23,MATCH($W64,PLANNING_FC!$BA$4:$BA$23,0),FALSE),0),0)</f>
        <v>0</v>
      </c>
      <c r="AX64" s="58">
        <f>IFERROR(IF($V64="BRAND.com",HLOOKUP($X64&amp;$Z64,PLANNING_FC!$T$27:$AH$46,MATCH($W64,PLANNING_FC!$B$27:$B$46,0),FALSE),0),0)</f>
        <v>0</v>
      </c>
      <c r="AY64" s="58">
        <f>IFERROR(IF($V64="BRAND.com",HLOOKUP($X64&amp;$Z64,PLANNING_FC!$T$4:$AH$23,MATCH($W64,PLANNING_FC!$B$4:$B$23,0),FALSE),0),0)</f>
        <v>0</v>
      </c>
      <c r="AZ64" s="58">
        <f>IFERROR(IF($V64="BRAND.com",HLOOKUP($X64&amp;$Z64,PLANNING_FC!$DA$27:$DO$46,MATCH($W64,PLANNING_FC!$CZ$27:$CZ$46,0),FALSE),0),0)</f>
        <v>0</v>
      </c>
      <c r="BA64" s="58">
        <f>IFERROR(IF($V64="BRAND.com",HLOOKUP($X64&amp;$Z64,PLANNING_FC!$DA$4:$DO$23,MATCH($W64,PLANNING_FC!$CZ$4:$CZ$23,0),FALSE),0),0)</f>
        <v>0</v>
      </c>
      <c r="BB64" s="883" t="str">
        <f>IF(V64="BRAND.com",IFERROR(HLOOKUP(X64&amp;Z64,PLANNING_FC!$AK$4:$AY$23,MATCH(W64,PLANNING_FC!$AJ$4:$AJ$23,0),FALSE)*1000,""),"")</f>
        <v/>
      </c>
      <c r="BC64" s="883" t="str">
        <f>IF(V64="BRAND.com",IFERROR(HLOOKUP(X64&amp;Z64,PLANNING_FC!$AK$27:$AY$46,MATCH(W64,PLANNING_FC!$AJ$27:$AJ$46,0),FALSE)*1000,""),"")</f>
        <v/>
      </c>
    </row>
    <row r="65" spans="1:55" x14ac:dyDescent="0.25">
      <c r="A65" s="509"/>
      <c r="B65" s="510"/>
      <c r="C65" s="509"/>
      <c r="D65" s="509"/>
      <c r="E65" s="509"/>
      <c r="F65" s="509"/>
      <c r="G65" s="509"/>
      <c r="H65" s="509"/>
      <c r="I65" s="512"/>
      <c r="J65" s="513"/>
      <c r="K65" s="879"/>
      <c r="L65" s="515"/>
      <c r="M65" s="516"/>
      <c r="N65" s="56">
        <f t="shared" si="20"/>
        <v>0</v>
      </c>
      <c r="O65" s="57">
        <f t="shared" si="21"/>
        <v>0</v>
      </c>
      <c r="P65" s="57">
        <f ca="1">IFERROR(IF(ISBLANK(H65),SUMIFS($AC:$AC,$V:$V,V65,$W:$W,W65,$X:$X,X65,$Y:$Y,Y65)*J65/(1-J65)*VLOOKUP(_xlfn.CONCAT(C65,D65,E65,TIME!$M$12,Z65),HIS_SALES!$B$2:$W$4859,20,FALSE),AC65*J65/(1-J65)),0)</f>
        <v>0</v>
      </c>
      <c r="Q65" s="541" t="str">
        <f t="shared" si="22"/>
        <v/>
      </c>
      <c r="R65" s="346" t="str">
        <f t="shared" si="3"/>
        <v>00000</v>
      </c>
      <c r="S65" s="344">
        <f t="shared" si="23"/>
        <v>0</v>
      </c>
      <c r="T65" s="345" t="str">
        <f t="shared" si="17"/>
        <v>000</v>
      </c>
      <c r="U65" s="345">
        <f t="shared" si="24"/>
        <v>0</v>
      </c>
      <c r="V65" s="345">
        <f t="shared" si="25"/>
        <v>0</v>
      </c>
      <c r="W65" s="345">
        <f t="shared" si="26"/>
        <v>0</v>
      </c>
      <c r="X65" s="345">
        <f t="shared" si="27"/>
        <v>0</v>
      </c>
      <c r="Y65" s="345">
        <f t="shared" si="28"/>
        <v>0</v>
      </c>
      <c r="Z65" s="345">
        <f>IF(Q65&lt;&gt;"",VLOOKUP(Y65,TIME!$R$21:$V$24,MATCH(FC_DATA!Q65,TIME!$R$20:$V$20,0),FALSE),H65)</f>
        <v>0</v>
      </c>
      <c r="AA65" s="345" t="str">
        <f>IFERROR(VLOOKUP(X65&amp;Z65,TIME!$A$12:$D$71,4,FALSE),"")</f>
        <v/>
      </c>
      <c r="AB65" s="592">
        <f t="shared" ca="1" si="10"/>
        <v>0</v>
      </c>
      <c r="AC65" s="593" t="e">
        <f ca="1">IF(ISBLANK(H65)=FALSE,IF(D65="BRAND.com",I65,IF(ISNA(VLOOKUP(_xlfn.CONCAT(X65,Z65),TIME!$M$40:$M$42,1,FALSE)),I65,VLOOKUP(_xlfn.CONCAT(D65,G65,H65),M_BUSAREA_FC!$AF$5:$AJ$10,5,FALSE)*HLOOKUP(_xlfn.CONCAT(F65,H65),ST_OVERVIEW!$G$99:$I$130,MATCH(_xlfn.CONCAT(D65,E65),ST_OVERVIEW!$F$99:$F$130,0),FALSE))),IF(D65="BRAND.com",VLOOKUP(_xlfn.CONCAT(C65,D65,E65,TIME!$F$1,Z65),HIS_SALES!$B$2:$V$4859,19,FALSE)*I65,VLOOKUP(_xlfn.CONCAT(D65,F65,G65),Q_BUSAREA_FC!$AE$5:$AI$12,5,FALSE)*HLOOKUP(_xlfn.CONCAT(FC_DATA!F65,FC_DATA!G65),LT_OVERVIEW!$I$99:$M$130,MATCH(_xlfn.CONCAT(D65,FC_DATA!E65),LT_OVERVIEW!$H$99:$H$130,0),FALSE)*IFERROR(VLOOKUP(_xlfn.CONCAT(C65,D65,E65,TIME!$F$1,Z65),HIS_SALES!$B$2:$V$4859,19,FALSE),0)))</f>
        <v>#N/A</v>
      </c>
      <c r="AD65" s="341">
        <f t="shared" ca="1" si="29"/>
        <v>0</v>
      </c>
      <c r="AE65" s="363" t="str">
        <f t="shared" si="30"/>
        <v/>
      </c>
      <c r="AF65" s="342" t="str">
        <f t="shared" si="31"/>
        <v/>
      </c>
      <c r="AG65" s="411" t="e">
        <f ca="1">VLOOKUP(_xlfn.CONCAT(U65,V65,W65,VLOOKUP(X65&amp;Y65,TIME!$L$27:$O$34,4,FALSE),Y65),HIS_SALES!$A$2:$R$5093,18,FALSE)</f>
        <v>#N/A</v>
      </c>
      <c r="AH65" s="412" t="e">
        <f ca="1">IFERROR(IF(AND(V65=V64,W65=W64),0.5*(AB65+AB64)*AG65,(VLOOKUP(_xlfn.CONCAT(U65,V65,W65,X65,VLOOKUP(Z65,TIME!$S$28:$T$39,2,FALSE)),FC_DATA!$R$2:$AB$5000,MATCH("GS_I_M",FC_DATA!$R$1:$AB$1,0),FALSE)+FC_DATA!AB65)*0.5*FC_DATA!AG65),NA())</f>
        <v>#N/A</v>
      </c>
      <c r="AI65" s="491" t="e">
        <f ca="1">IF(V65="PARTNER.com",AH65,IF(AND(V65=V64,W65=W64),(1-AVERAGE(AD64,AD65))*AH65,(1-AVERAGE(AD65,VLOOKUP(_xlfn.CONCAT(U65,V65,W65,X65,M_BRAND_FC!$F$6),FC_DATA!$R$2:$AD$5000,MATCH("DISCOUNT_%_M",FC_DATA!$R$1:$AD$1,0),FALSE)))*AH65))</f>
        <v>#N/A</v>
      </c>
      <c r="AJ65" s="412" t="str">
        <f t="shared" ca="1" si="14"/>
        <v/>
      </c>
      <c r="AK65" s="413" t="str">
        <f>IFERROR(AE65/(Q_BRAND_FC!$T$24+1),"")</f>
        <v/>
      </c>
      <c r="AL65" s="88" t="str">
        <f t="shared" ca="1" si="15"/>
        <v/>
      </c>
      <c r="AM65" s="414" t="str">
        <f t="shared" ca="1" si="16"/>
        <v/>
      </c>
      <c r="AN65" s="58">
        <f>IFERROR(IF($V65="BRAND.com",HLOOKUP($X65&amp;$Z65,NWC_FC_NOOS!$C$4:$Q$23,MATCH(W65,NWC_FC_NOOS!$B$4:$B$23,0),FALSE),0),0)</f>
        <v>0</v>
      </c>
      <c r="AO65" s="57">
        <f>IFERROR(IF($V65="BRAND.com",HLOOKUP($X65&amp;$Z65,NWC_FC_NOOS!$T$4:$AH$23,MATCH(W65,NWC_FC_NOOS!$S$4:$S$23,0),FALSE),0),0)</f>
        <v>0</v>
      </c>
      <c r="AP65" s="57">
        <f>IFERROR(IF($V65="BRAND.com",HLOOKUP($X65&amp;$Z65,NWC_FC_NOOS!$C$50:$U$69,MATCH(W65,NWC_FC_NOOS!$B$50:$B$69,0),FALSE),0),0)</f>
        <v>0</v>
      </c>
      <c r="AQ65" s="58">
        <f>IFERROR(IF($V65="BRAND.com",HLOOKUP($X65&amp;$Z65,'NWC_FC_NON-NOOS'!$C$4:$Q$23,MATCH(W65,'NWC_FC_NON-NOOS'!$B$4:$B$23,0),FALSE),0),0)</f>
        <v>0</v>
      </c>
      <c r="AR65" s="57">
        <f>IFERROR(IF($V65="BRAND.com",HLOOKUP($X65&amp;$Z65,'NWC_FC_NON-NOOS'!$T$4:$AH$23,MATCH(W65,'NWC_FC_NON-NOOS'!$S$4:$S$23,0),FALSE),0),0)</f>
        <v>0</v>
      </c>
      <c r="AS65" s="57">
        <f>IFERROR(IF($V65="BRAND.com",HLOOKUP($X65&amp;$Z65,'NWC_FC_NON-NOOS'!$C$50:$U$69,MATCH(W65,'NWC_FC_NON-NOOS'!$B$50:$B$69,0),FALSE),0),0)</f>
        <v>0</v>
      </c>
      <c r="AT65" s="57">
        <f t="shared" si="18"/>
        <v>0</v>
      </c>
      <c r="AU65" s="57">
        <f t="shared" si="19"/>
        <v>0</v>
      </c>
      <c r="AV65" s="58">
        <f>IFERROR(IF($V65="BRAND.com",HLOOKUP($X65&amp;$Z65,PLANNING_FC!$BB$27:$BP$46,MATCH($W65,PLANNING_FC!$BA$27:$BA$46,0),FALSE),0),0)</f>
        <v>0</v>
      </c>
      <c r="AW65" s="58">
        <f>IFERROR(IF($V65="BRAND.com",HLOOKUP($X65&amp;$Z65,PLANNING_FC!$BB$4:$BP$23,MATCH($W65,PLANNING_FC!$BA$4:$BA$23,0),FALSE),0),0)</f>
        <v>0</v>
      </c>
      <c r="AX65" s="58">
        <f>IFERROR(IF($V65="BRAND.com",HLOOKUP($X65&amp;$Z65,PLANNING_FC!$T$27:$AH$46,MATCH($W65,PLANNING_FC!$B$27:$B$46,0),FALSE),0),0)</f>
        <v>0</v>
      </c>
      <c r="AY65" s="58">
        <f>IFERROR(IF($V65="BRAND.com",HLOOKUP($X65&amp;$Z65,PLANNING_FC!$T$4:$AH$23,MATCH($W65,PLANNING_FC!$B$4:$B$23,0),FALSE),0),0)</f>
        <v>0</v>
      </c>
      <c r="AZ65" s="58">
        <f>IFERROR(IF($V65="BRAND.com",HLOOKUP($X65&amp;$Z65,PLANNING_FC!$DA$27:$DO$46,MATCH($W65,PLANNING_FC!$CZ$27:$CZ$46,0),FALSE),0),0)</f>
        <v>0</v>
      </c>
      <c r="BA65" s="58">
        <f>IFERROR(IF($V65="BRAND.com",HLOOKUP($X65&amp;$Z65,PLANNING_FC!$DA$4:$DO$23,MATCH($W65,PLANNING_FC!$CZ$4:$CZ$23,0),FALSE),0),0)</f>
        <v>0</v>
      </c>
      <c r="BB65" s="883" t="str">
        <f>IF(V65="BRAND.com",IFERROR(HLOOKUP(X65&amp;Z65,PLANNING_FC!$AK$4:$AY$23,MATCH(W65,PLANNING_FC!$AJ$4:$AJ$23,0),FALSE)*1000,""),"")</f>
        <v/>
      </c>
      <c r="BC65" s="883" t="str">
        <f>IF(V65="BRAND.com",IFERROR(HLOOKUP(X65&amp;Z65,PLANNING_FC!$AK$27:$AY$46,MATCH(W65,PLANNING_FC!$AJ$27:$AJ$46,0),FALSE)*1000,""),"")</f>
        <v/>
      </c>
    </row>
    <row r="66" spans="1:55" x14ac:dyDescent="0.25">
      <c r="A66" s="509"/>
      <c r="B66" s="510"/>
      <c r="C66" s="509"/>
      <c r="D66" s="509"/>
      <c r="E66" s="509"/>
      <c r="F66" s="509"/>
      <c r="G66" s="509"/>
      <c r="H66" s="509"/>
      <c r="I66" s="512"/>
      <c r="J66" s="513"/>
      <c r="K66" s="879"/>
      <c r="L66" s="515"/>
      <c r="M66" s="516"/>
      <c r="N66" s="56">
        <f t="shared" ref="N66:N97" si="32">IFERROR(I66/(1-J66)*J66,0)</f>
        <v>0</v>
      </c>
      <c r="O66" s="57">
        <f t="shared" ref="O66:O97" si="33">IFERROR(I66+N66,0)</f>
        <v>0</v>
      </c>
      <c r="P66" s="57">
        <f ca="1">IFERROR(IF(ISBLANK(H66),SUMIFS($AC:$AC,$V:$V,V66,$W:$W,W66,$X:$X,X66,$Y:$Y,Y66)*J66/(1-J66)*VLOOKUP(_xlfn.CONCAT(C66,D66,E66,TIME!$M$12,Z66),HIS_SALES!$B$2:$W$4859,20,FALSE),AC66*J66/(1-J66)),0)</f>
        <v>0</v>
      </c>
      <c r="Q66" s="541" t="str">
        <f t="shared" ref="Q66:Q97" si="34">IF(AND(A66&lt;&gt;"",H66=""),IF(A66=A65,Q65+1,1),"")</f>
        <v/>
      </c>
      <c r="R66" s="346" t="str">
        <f t="shared" ref="R66:R129" si="35">U66&amp;V66&amp;W66&amp;X66&amp;Z66</f>
        <v>00000</v>
      </c>
      <c r="S66" s="344">
        <f t="shared" ref="S66:S97" si="36">B66</f>
        <v>0</v>
      </c>
      <c r="T66" s="345" t="str">
        <f t="shared" si="17"/>
        <v>000</v>
      </c>
      <c r="U66" s="345">
        <f t="shared" ref="U66:U97" si="37">C66</f>
        <v>0</v>
      </c>
      <c r="V66" s="345">
        <f t="shared" ref="V66:V97" si="38">D66</f>
        <v>0</v>
      </c>
      <c r="W66" s="345">
        <f t="shared" ref="W66:W97" si="39">E66</f>
        <v>0</v>
      </c>
      <c r="X66" s="345">
        <f t="shared" ref="X66:X97" si="40">F66</f>
        <v>0</v>
      </c>
      <c r="Y66" s="345">
        <f t="shared" ref="Y66:Y97" si="41">G66</f>
        <v>0</v>
      </c>
      <c r="Z66" s="345">
        <f>IF(Q66&lt;&gt;"",VLOOKUP(Y66,TIME!$R$21:$V$24,MATCH(FC_DATA!Q66,TIME!$R$20:$V$20,0),FALSE),H66)</f>
        <v>0</v>
      </c>
      <c r="AA66" s="345" t="str">
        <f>IFERROR(VLOOKUP(X66&amp;Z66,TIME!$A$12:$D$71,4,FALSE),"")</f>
        <v/>
      </c>
      <c r="AB66" s="592">
        <f t="shared" ref="AB66:AB129" ca="1" si="42">IFERROR(AC66+P66,0)</f>
        <v>0</v>
      </c>
      <c r="AC66" s="593" t="e">
        <f ca="1">IF(ISBLANK(H66)=FALSE,IF(D66="BRAND.com",I66,IF(ISNA(VLOOKUP(_xlfn.CONCAT(X66,Z66),TIME!$M$40:$M$42,1,FALSE)),I66,VLOOKUP(_xlfn.CONCAT(D66,G66,H66),M_BUSAREA_FC!$AF$5:$AJ$10,5,FALSE)*HLOOKUP(_xlfn.CONCAT(F66,H66),ST_OVERVIEW!$G$99:$I$130,MATCH(_xlfn.CONCAT(D66,E66),ST_OVERVIEW!$F$99:$F$130,0),FALSE))),IF(D66="BRAND.com",VLOOKUP(_xlfn.CONCAT(C66,D66,E66,TIME!$F$1,Z66),HIS_SALES!$B$2:$V$4859,19,FALSE)*I66,VLOOKUP(_xlfn.CONCAT(D66,F66,G66),Q_BUSAREA_FC!$AE$5:$AI$12,5,FALSE)*HLOOKUP(_xlfn.CONCAT(FC_DATA!F66,FC_DATA!G66),LT_OVERVIEW!$I$99:$M$130,MATCH(_xlfn.CONCAT(D66,FC_DATA!E66),LT_OVERVIEW!$H$99:$H$130,0),FALSE)*IFERROR(VLOOKUP(_xlfn.CONCAT(C66,D66,E66,TIME!$F$1,Z66),HIS_SALES!$B$2:$V$4859,19,FALSE),0)))</f>
        <v>#N/A</v>
      </c>
      <c r="AD66" s="341">
        <f t="shared" ref="AD66:AD97" ca="1" si="43">IFERROR(IF(D66="PARTNER.com",0,1-AC66/AB66),0)</f>
        <v>0</v>
      </c>
      <c r="AE66" s="363" t="str">
        <f t="shared" ref="AE66:AE97" si="44">IF(A66&lt;&gt;"",K66,"")</f>
        <v/>
      </c>
      <c r="AF66" s="342" t="str">
        <f t="shared" ref="AF66:AF97" si="45">IF(B66&lt;&gt;"",M66,"")</f>
        <v/>
      </c>
      <c r="AG66" s="411" t="e">
        <f ca="1">VLOOKUP(_xlfn.CONCAT(U66,V66,W66,VLOOKUP(X66&amp;Y66,TIME!$L$27:$O$34,4,FALSE),Y66),HIS_SALES!$A$2:$R$5093,18,FALSE)</f>
        <v>#N/A</v>
      </c>
      <c r="AH66" s="412" t="e">
        <f ca="1">IFERROR(IF(AND(V66=V65,W66=W65),0.5*(AB66+AB65)*AG66,(VLOOKUP(_xlfn.CONCAT(U66,V66,W66,X66,VLOOKUP(Z66,TIME!$S$28:$T$39,2,FALSE)),FC_DATA!$R$2:$AB$5000,MATCH("GS_I_M",FC_DATA!$R$1:$AB$1,0),FALSE)+FC_DATA!AB66)*0.5*FC_DATA!AG66),NA())</f>
        <v>#N/A</v>
      </c>
      <c r="AI66" s="491" t="e">
        <f ca="1">IF(V66="PARTNER.com",AH66,IF(AND(V66=V65,W66=W65),(1-AVERAGE(AD65,AD66))*AH66,(1-AVERAGE(AD66,VLOOKUP(_xlfn.CONCAT(U66,V66,W66,X66,M_BRAND_FC!$F$6),FC_DATA!$R$2:$AD$5000,MATCH("DISCOUNT_%_M",FC_DATA!$R$1:$AD$1,0),FALSE)))*AH66))</f>
        <v>#N/A</v>
      </c>
      <c r="AJ66" s="412" t="str">
        <f t="shared" ref="AJ66:AJ129" ca="1" si="46">IFERROR(AC66-AI66,"")</f>
        <v/>
      </c>
      <c r="AK66" s="413" t="str">
        <f>IFERROR(AE66/(Q_BRAND_FC!$T$24+1),"")</f>
        <v/>
      </c>
      <c r="AL66" s="88" t="str">
        <f t="shared" ref="AL66:AL129" ca="1" si="47">IFERROR((AB66-AH66)/AK66*AF66,"")</f>
        <v/>
      </c>
      <c r="AM66" s="414" t="str">
        <f t="shared" ref="AM66:AM129" ca="1" si="48">IFERROR((AB66-AH66)/AK66*(1-AF66),"")</f>
        <v/>
      </c>
      <c r="AN66" s="58">
        <f>IFERROR(IF($V66="BRAND.com",HLOOKUP($X66&amp;$Z66,NWC_FC_NOOS!$C$4:$Q$23,MATCH(W66,NWC_FC_NOOS!$B$4:$B$23,0),FALSE),0),0)</f>
        <v>0</v>
      </c>
      <c r="AO66" s="57">
        <f>IFERROR(IF($V66="BRAND.com",HLOOKUP($X66&amp;$Z66,NWC_FC_NOOS!$T$4:$AH$23,MATCH(W66,NWC_FC_NOOS!$S$4:$S$23,0),FALSE),0),0)</f>
        <v>0</v>
      </c>
      <c r="AP66" s="57">
        <f>IFERROR(IF($V66="BRAND.com",HLOOKUP($X66&amp;$Z66,NWC_FC_NOOS!$C$50:$U$69,MATCH(W66,NWC_FC_NOOS!$B$50:$B$69,0),FALSE),0),0)</f>
        <v>0</v>
      </c>
      <c r="AQ66" s="58">
        <f>IFERROR(IF($V66="BRAND.com",HLOOKUP($X66&amp;$Z66,'NWC_FC_NON-NOOS'!$C$4:$Q$23,MATCH(W66,'NWC_FC_NON-NOOS'!$B$4:$B$23,0),FALSE),0),0)</f>
        <v>0</v>
      </c>
      <c r="AR66" s="57">
        <f>IFERROR(IF($V66="BRAND.com",HLOOKUP($X66&amp;$Z66,'NWC_FC_NON-NOOS'!$T$4:$AH$23,MATCH(W66,'NWC_FC_NON-NOOS'!$S$4:$S$23,0),FALSE),0),0)</f>
        <v>0</v>
      </c>
      <c r="AS66" s="57">
        <f>IFERROR(IF($V66="BRAND.com",HLOOKUP($X66&amp;$Z66,'NWC_FC_NON-NOOS'!$C$50:$U$69,MATCH(W66,'NWC_FC_NON-NOOS'!$B$50:$B$69,0),FALSE),0),0)</f>
        <v>0</v>
      </c>
      <c r="AT66" s="57">
        <f t="shared" si="18"/>
        <v>0</v>
      </c>
      <c r="AU66" s="57">
        <f t="shared" si="19"/>
        <v>0</v>
      </c>
      <c r="AV66" s="58">
        <f>IFERROR(IF($V66="BRAND.com",HLOOKUP($X66&amp;$Z66,PLANNING_FC!$BB$27:$BP$46,MATCH($W66,PLANNING_FC!$BA$27:$BA$46,0),FALSE),0),0)</f>
        <v>0</v>
      </c>
      <c r="AW66" s="58">
        <f>IFERROR(IF($V66="BRAND.com",HLOOKUP($X66&amp;$Z66,PLANNING_FC!$BB$4:$BP$23,MATCH($W66,PLANNING_FC!$BA$4:$BA$23,0),FALSE),0),0)</f>
        <v>0</v>
      </c>
      <c r="AX66" s="58">
        <f>IFERROR(IF($V66="BRAND.com",HLOOKUP($X66&amp;$Z66,PLANNING_FC!$T$27:$AH$46,MATCH($W66,PLANNING_FC!$B$27:$B$46,0),FALSE),0),0)</f>
        <v>0</v>
      </c>
      <c r="AY66" s="58">
        <f>IFERROR(IF($V66="BRAND.com",HLOOKUP($X66&amp;$Z66,PLANNING_FC!$T$4:$AH$23,MATCH($W66,PLANNING_FC!$B$4:$B$23,0),FALSE),0),0)</f>
        <v>0</v>
      </c>
      <c r="AZ66" s="58">
        <f>IFERROR(IF($V66="BRAND.com",HLOOKUP($X66&amp;$Z66,PLANNING_FC!$DA$27:$DO$46,MATCH($W66,PLANNING_FC!$CZ$27:$CZ$46,0),FALSE),0),0)</f>
        <v>0</v>
      </c>
      <c r="BA66" s="58">
        <f>IFERROR(IF($V66="BRAND.com",HLOOKUP($X66&amp;$Z66,PLANNING_FC!$DA$4:$DO$23,MATCH($W66,PLANNING_FC!$CZ$4:$CZ$23,0),FALSE),0),0)</f>
        <v>0</v>
      </c>
      <c r="BB66" s="883" t="str">
        <f>IF(V66="BRAND.com",IFERROR(HLOOKUP(X66&amp;Z66,PLANNING_FC!$AK$4:$AY$23,MATCH(W66,PLANNING_FC!$AJ$4:$AJ$23,0),FALSE)*1000,""),"")</f>
        <v/>
      </c>
      <c r="BC66" s="883" t="str">
        <f>IF(V66="BRAND.com",IFERROR(HLOOKUP(X66&amp;Z66,PLANNING_FC!$AK$27:$AY$46,MATCH(W66,PLANNING_FC!$AJ$27:$AJ$46,0),FALSE)*1000,""),"")</f>
        <v/>
      </c>
    </row>
    <row r="67" spans="1:55" x14ac:dyDescent="0.25">
      <c r="A67" s="509"/>
      <c r="B67" s="510"/>
      <c r="C67" s="509"/>
      <c r="D67" s="509"/>
      <c r="E67" s="509"/>
      <c r="F67" s="509"/>
      <c r="G67" s="509"/>
      <c r="H67" s="509"/>
      <c r="I67" s="512"/>
      <c r="J67" s="513"/>
      <c r="K67" s="879"/>
      <c r="L67" s="515"/>
      <c r="M67" s="516"/>
      <c r="N67" s="56">
        <f t="shared" si="32"/>
        <v>0</v>
      </c>
      <c r="O67" s="57">
        <f t="shared" si="33"/>
        <v>0</v>
      </c>
      <c r="P67" s="57">
        <f ca="1">IFERROR(IF(ISBLANK(H67),SUMIFS($AC:$AC,$V:$V,V67,$W:$W,W67,$X:$X,X67,$Y:$Y,Y67)*J67/(1-J67)*VLOOKUP(_xlfn.CONCAT(C67,D67,E67,TIME!$M$12,Z67),HIS_SALES!$B$2:$W$4859,20,FALSE),AC67*J67/(1-J67)),0)</f>
        <v>0</v>
      </c>
      <c r="Q67" s="541" t="str">
        <f t="shared" si="34"/>
        <v/>
      </c>
      <c r="R67" s="346" t="str">
        <f t="shared" si="35"/>
        <v>00000</v>
      </c>
      <c r="S67" s="344">
        <f t="shared" si="36"/>
        <v>0</v>
      </c>
      <c r="T67" s="345" t="str">
        <f t="shared" ref="T67:T130" si="49">U67&amp;V67&amp;W67&amp;AA67</f>
        <v>000</v>
      </c>
      <c r="U67" s="345">
        <f t="shared" si="37"/>
        <v>0</v>
      </c>
      <c r="V67" s="345">
        <f t="shared" si="38"/>
        <v>0</v>
      </c>
      <c r="W67" s="345">
        <f t="shared" si="39"/>
        <v>0</v>
      </c>
      <c r="X67" s="345">
        <f t="shared" si="40"/>
        <v>0</v>
      </c>
      <c r="Y67" s="345">
        <f t="shared" si="41"/>
        <v>0</v>
      </c>
      <c r="Z67" s="345">
        <f>IF(Q67&lt;&gt;"",VLOOKUP(Y67,TIME!$R$21:$V$24,MATCH(FC_DATA!Q67,TIME!$R$20:$V$20,0),FALSE),H67)</f>
        <v>0</v>
      </c>
      <c r="AA67" s="345" t="str">
        <f>IFERROR(VLOOKUP(X67&amp;Z67,TIME!$A$12:$D$71,4,FALSE),"")</f>
        <v/>
      </c>
      <c r="AB67" s="592">
        <f t="shared" ca="1" si="42"/>
        <v>0</v>
      </c>
      <c r="AC67" s="593" t="e">
        <f ca="1">IF(ISBLANK(H67)=FALSE,IF(D67="BRAND.com",I67,IF(ISNA(VLOOKUP(_xlfn.CONCAT(X67,Z67),TIME!$M$40:$M$42,1,FALSE)),I67,VLOOKUP(_xlfn.CONCAT(D67,G67,H67),M_BUSAREA_FC!$AF$5:$AJ$10,5,FALSE)*HLOOKUP(_xlfn.CONCAT(F67,H67),ST_OVERVIEW!$G$99:$I$130,MATCH(_xlfn.CONCAT(D67,E67),ST_OVERVIEW!$F$99:$F$130,0),FALSE))),IF(D67="BRAND.com",VLOOKUP(_xlfn.CONCAT(C67,D67,E67,TIME!$F$1,Z67),HIS_SALES!$B$2:$V$4859,19,FALSE)*I67,VLOOKUP(_xlfn.CONCAT(D67,F67,G67),Q_BUSAREA_FC!$AE$5:$AI$12,5,FALSE)*HLOOKUP(_xlfn.CONCAT(FC_DATA!F67,FC_DATA!G67),LT_OVERVIEW!$I$99:$M$130,MATCH(_xlfn.CONCAT(D67,FC_DATA!E67),LT_OVERVIEW!$H$99:$H$130,0),FALSE)*IFERROR(VLOOKUP(_xlfn.CONCAT(C67,D67,E67,TIME!$F$1,Z67),HIS_SALES!$B$2:$V$4859,19,FALSE),0)))</f>
        <v>#N/A</v>
      </c>
      <c r="AD67" s="341">
        <f t="shared" ca="1" si="43"/>
        <v>0</v>
      </c>
      <c r="AE67" s="363" t="str">
        <f t="shared" si="44"/>
        <v/>
      </c>
      <c r="AF67" s="342" t="str">
        <f t="shared" si="45"/>
        <v/>
      </c>
      <c r="AG67" s="411" t="e">
        <f ca="1">VLOOKUP(_xlfn.CONCAT(U67,V67,W67,VLOOKUP(X67&amp;Y67,TIME!$L$27:$O$34,4,FALSE),Y67),HIS_SALES!$A$2:$R$5093,18,FALSE)</f>
        <v>#N/A</v>
      </c>
      <c r="AH67" s="412" t="e">
        <f ca="1">IFERROR(IF(AND(V67=V66,W67=W66),0.5*(AB67+AB66)*AG67,(VLOOKUP(_xlfn.CONCAT(U67,V67,W67,X67,VLOOKUP(Z67,TIME!$S$28:$T$39,2,FALSE)),FC_DATA!$R$2:$AB$5000,MATCH("GS_I_M",FC_DATA!$R$1:$AB$1,0),FALSE)+FC_DATA!AB67)*0.5*FC_DATA!AG67),NA())</f>
        <v>#N/A</v>
      </c>
      <c r="AI67" s="491" t="e">
        <f ca="1">IF(V67="PARTNER.com",AH67,IF(AND(V67=V66,W67=W66),(1-AVERAGE(AD66,AD67))*AH67,(1-AVERAGE(AD67,VLOOKUP(_xlfn.CONCAT(U67,V67,W67,X67,M_BRAND_FC!$F$6),FC_DATA!$R$2:$AD$5000,MATCH("DISCOUNT_%_M",FC_DATA!$R$1:$AD$1,0),FALSE)))*AH67))</f>
        <v>#N/A</v>
      </c>
      <c r="AJ67" s="412" t="str">
        <f t="shared" ca="1" si="46"/>
        <v/>
      </c>
      <c r="AK67" s="413" t="str">
        <f>IFERROR(AE67/(Q_BRAND_FC!$T$24+1),"")</f>
        <v/>
      </c>
      <c r="AL67" s="88" t="str">
        <f t="shared" ca="1" si="47"/>
        <v/>
      </c>
      <c r="AM67" s="414" t="str">
        <f t="shared" ca="1" si="48"/>
        <v/>
      </c>
      <c r="AN67" s="58">
        <f>IFERROR(IF($V67="BRAND.com",HLOOKUP($X67&amp;$Z67,NWC_FC_NOOS!$C$4:$Q$23,MATCH(W67,NWC_FC_NOOS!$B$4:$B$23,0),FALSE),0),0)</f>
        <v>0</v>
      </c>
      <c r="AO67" s="57">
        <f>IFERROR(IF($V67="BRAND.com",HLOOKUP($X67&amp;$Z67,NWC_FC_NOOS!$T$4:$AH$23,MATCH(W67,NWC_FC_NOOS!$S$4:$S$23,0),FALSE),0),0)</f>
        <v>0</v>
      </c>
      <c r="AP67" s="57">
        <f>IFERROR(IF($V67="BRAND.com",HLOOKUP($X67&amp;$Z67,NWC_FC_NOOS!$C$50:$U$69,MATCH(W67,NWC_FC_NOOS!$B$50:$B$69,0),FALSE),0),0)</f>
        <v>0</v>
      </c>
      <c r="AQ67" s="58">
        <f>IFERROR(IF($V67="BRAND.com",HLOOKUP($X67&amp;$Z67,'NWC_FC_NON-NOOS'!$C$4:$Q$23,MATCH(W67,'NWC_FC_NON-NOOS'!$B$4:$B$23,0),FALSE),0),0)</f>
        <v>0</v>
      </c>
      <c r="AR67" s="57">
        <f>IFERROR(IF($V67="BRAND.com",HLOOKUP($X67&amp;$Z67,'NWC_FC_NON-NOOS'!$T$4:$AH$23,MATCH(W67,'NWC_FC_NON-NOOS'!$S$4:$S$23,0),FALSE),0),0)</f>
        <v>0</v>
      </c>
      <c r="AS67" s="57">
        <f>IFERROR(IF($V67="BRAND.com",HLOOKUP($X67&amp;$Z67,'NWC_FC_NON-NOOS'!$C$50:$U$69,MATCH(W67,'NWC_FC_NON-NOOS'!$B$50:$B$69,0),FALSE),0),0)</f>
        <v>0</v>
      </c>
      <c r="AT67" s="57">
        <f t="shared" ref="AT67:AT130" si="50">AO67+AR67</f>
        <v>0</v>
      </c>
      <c r="AU67" s="57">
        <f t="shared" ref="AU67:AU130" si="51">AP67+AS67</f>
        <v>0</v>
      </c>
      <c r="AV67" s="58">
        <f>IFERROR(IF($V67="BRAND.com",HLOOKUP($X67&amp;$Z67,PLANNING_FC!$BB$27:$BP$46,MATCH($W67,PLANNING_FC!$BA$27:$BA$46,0),FALSE),0),0)</f>
        <v>0</v>
      </c>
      <c r="AW67" s="58">
        <f>IFERROR(IF($V67="BRAND.com",HLOOKUP($X67&amp;$Z67,PLANNING_FC!$BB$4:$BP$23,MATCH($W67,PLANNING_FC!$BA$4:$BA$23,0),FALSE),0),0)</f>
        <v>0</v>
      </c>
      <c r="AX67" s="58">
        <f>IFERROR(IF($V67="BRAND.com",HLOOKUP($X67&amp;$Z67,PLANNING_FC!$T$27:$AH$46,MATCH($W67,PLANNING_FC!$B$27:$B$46,0),FALSE),0),0)</f>
        <v>0</v>
      </c>
      <c r="AY67" s="58">
        <f>IFERROR(IF($V67="BRAND.com",HLOOKUP($X67&amp;$Z67,PLANNING_FC!$T$4:$AH$23,MATCH($W67,PLANNING_FC!$B$4:$B$23,0),FALSE),0),0)</f>
        <v>0</v>
      </c>
      <c r="AZ67" s="58">
        <f>IFERROR(IF($V67="BRAND.com",HLOOKUP($X67&amp;$Z67,PLANNING_FC!$DA$27:$DO$46,MATCH($W67,PLANNING_FC!$CZ$27:$CZ$46,0),FALSE),0),0)</f>
        <v>0</v>
      </c>
      <c r="BA67" s="58">
        <f>IFERROR(IF($V67="BRAND.com",HLOOKUP($X67&amp;$Z67,PLANNING_FC!$DA$4:$DO$23,MATCH($W67,PLANNING_FC!$CZ$4:$CZ$23,0),FALSE),0),0)</f>
        <v>0</v>
      </c>
      <c r="BB67" s="883" t="str">
        <f>IF(V67="BRAND.com",IFERROR(HLOOKUP(X67&amp;Z67,PLANNING_FC!$AK$4:$AY$23,MATCH(W67,PLANNING_FC!$AJ$4:$AJ$23,0),FALSE)*1000,""),"")</f>
        <v/>
      </c>
      <c r="BC67" s="883" t="str">
        <f>IF(V67="BRAND.com",IFERROR(HLOOKUP(X67&amp;Z67,PLANNING_FC!$AK$27:$AY$46,MATCH(W67,PLANNING_FC!$AJ$27:$AJ$46,0),FALSE)*1000,""),"")</f>
        <v/>
      </c>
    </row>
    <row r="68" spans="1:55" x14ac:dyDescent="0.25">
      <c r="A68" s="509"/>
      <c r="B68" s="510"/>
      <c r="C68" s="509"/>
      <c r="D68" s="509"/>
      <c r="E68" s="509"/>
      <c r="F68" s="509"/>
      <c r="G68" s="509"/>
      <c r="H68" s="509"/>
      <c r="I68" s="512"/>
      <c r="J68" s="513"/>
      <c r="K68" s="879"/>
      <c r="L68" s="515"/>
      <c r="M68" s="516"/>
      <c r="N68" s="56">
        <f t="shared" si="32"/>
        <v>0</v>
      </c>
      <c r="O68" s="57">
        <f t="shared" si="33"/>
        <v>0</v>
      </c>
      <c r="P68" s="57">
        <f ca="1">IFERROR(IF(ISBLANK(H68),SUMIFS($AC:$AC,$V:$V,V68,$W:$W,W68,$X:$X,X68,$Y:$Y,Y68)*J68/(1-J68)*VLOOKUP(_xlfn.CONCAT(C68,D68,E68,TIME!$M$12,Z68),HIS_SALES!$B$2:$W$4859,20,FALSE),AC68*J68/(1-J68)),0)</f>
        <v>0</v>
      </c>
      <c r="Q68" s="541" t="str">
        <f t="shared" si="34"/>
        <v/>
      </c>
      <c r="R68" s="346" t="str">
        <f t="shared" si="35"/>
        <v>00000</v>
      </c>
      <c r="S68" s="344">
        <f t="shared" si="36"/>
        <v>0</v>
      </c>
      <c r="T68" s="345" t="str">
        <f t="shared" si="49"/>
        <v>000</v>
      </c>
      <c r="U68" s="345">
        <f t="shared" si="37"/>
        <v>0</v>
      </c>
      <c r="V68" s="345">
        <f t="shared" si="38"/>
        <v>0</v>
      </c>
      <c r="W68" s="345">
        <f t="shared" si="39"/>
        <v>0</v>
      </c>
      <c r="X68" s="345">
        <f t="shared" si="40"/>
        <v>0</v>
      </c>
      <c r="Y68" s="345">
        <f t="shared" si="41"/>
        <v>0</v>
      </c>
      <c r="Z68" s="345">
        <f>IF(Q68&lt;&gt;"",VLOOKUP(Y68,TIME!$R$21:$V$24,MATCH(FC_DATA!Q68,TIME!$R$20:$V$20,0),FALSE),H68)</f>
        <v>0</v>
      </c>
      <c r="AA68" s="345" t="str">
        <f>IFERROR(VLOOKUP(X68&amp;Z68,TIME!$A$12:$D$71,4,FALSE),"")</f>
        <v/>
      </c>
      <c r="AB68" s="592">
        <f t="shared" ca="1" si="42"/>
        <v>0</v>
      </c>
      <c r="AC68" s="593" t="e">
        <f ca="1">IF(ISBLANK(H68)=FALSE,IF(D68="BRAND.com",I68,IF(ISNA(VLOOKUP(_xlfn.CONCAT(X68,Z68),TIME!$M$40:$M$42,1,FALSE)),I68,VLOOKUP(_xlfn.CONCAT(D68,G68,H68),M_BUSAREA_FC!$AF$5:$AJ$10,5,FALSE)*HLOOKUP(_xlfn.CONCAT(F68,H68),ST_OVERVIEW!$G$99:$I$130,MATCH(_xlfn.CONCAT(D68,E68),ST_OVERVIEW!$F$99:$F$130,0),FALSE))),IF(D68="BRAND.com",VLOOKUP(_xlfn.CONCAT(C68,D68,E68,TIME!$F$1,Z68),HIS_SALES!$B$2:$V$4859,19,FALSE)*I68,VLOOKUP(_xlfn.CONCAT(D68,F68,G68),Q_BUSAREA_FC!$AE$5:$AI$12,5,FALSE)*HLOOKUP(_xlfn.CONCAT(FC_DATA!F68,FC_DATA!G68),LT_OVERVIEW!$I$99:$M$130,MATCH(_xlfn.CONCAT(D68,FC_DATA!E68),LT_OVERVIEW!$H$99:$H$130,0),FALSE)*IFERROR(VLOOKUP(_xlfn.CONCAT(C68,D68,E68,TIME!$F$1,Z68),HIS_SALES!$B$2:$V$4859,19,FALSE),0)))</f>
        <v>#N/A</v>
      </c>
      <c r="AD68" s="341">
        <f t="shared" ca="1" si="43"/>
        <v>0</v>
      </c>
      <c r="AE68" s="363" t="str">
        <f t="shared" si="44"/>
        <v/>
      </c>
      <c r="AF68" s="342" t="str">
        <f t="shared" si="45"/>
        <v/>
      </c>
      <c r="AG68" s="411" t="e">
        <f ca="1">VLOOKUP(_xlfn.CONCAT(U68,V68,W68,VLOOKUP(X68&amp;Y68,TIME!$L$27:$O$34,4,FALSE),Y68),HIS_SALES!$A$2:$R$5093,18,FALSE)</f>
        <v>#N/A</v>
      </c>
      <c r="AH68" s="412" t="e">
        <f ca="1">IFERROR(IF(AND(V68=V67,W68=W67),0.5*(AB68+AB67)*AG68,(VLOOKUP(_xlfn.CONCAT(U68,V68,W68,X68,VLOOKUP(Z68,TIME!$S$28:$T$39,2,FALSE)),FC_DATA!$R$2:$AB$5000,MATCH("GS_I_M",FC_DATA!$R$1:$AB$1,0),FALSE)+FC_DATA!AB68)*0.5*FC_DATA!AG68),NA())</f>
        <v>#N/A</v>
      </c>
      <c r="AI68" s="491" t="e">
        <f ca="1">IF(V68="PARTNER.com",AH68,IF(AND(V68=V67,W68=W67),(1-AVERAGE(AD67,AD68))*AH68,(1-AVERAGE(AD68,VLOOKUP(_xlfn.CONCAT(U68,V68,W68,X68,M_BRAND_FC!$F$6),FC_DATA!$R$2:$AD$5000,MATCH("DISCOUNT_%_M",FC_DATA!$R$1:$AD$1,0),FALSE)))*AH68))</f>
        <v>#N/A</v>
      </c>
      <c r="AJ68" s="412" t="str">
        <f t="shared" ca="1" si="46"/>
        <v/>
      </c>
      <c r="AK68" s="413" t="str">
        <f>IFERROR(AE68/(Q_BRAND_FC!$T$24+1),"")</f>
        <v/>
      </c>
      <c r="AL68" s="88" t="str">
        <f t="shared" ca="1" si="47"/>
        <v/>
      </c>
      <c r="AM68" s="414" t="str">
        <f t="shared" ca="1" si="48"/>
        <v/>
      </c>
      <c r="AN68" s="58">
        <f>IFERROR(IF($V68="BRAND.com",HLOOKUP($X68&amp;$Z68,NWC_FC_NOOS!$C$4:$Q$23,MATCH(W68,NWC_FC_NOOS!$B$4:$B$23,0),FALSE),0),0)</f>
        <v>0</v>
      </c>
      <c r="AO68" s="57">
        <f>IFERROR(IF($V68="BRAND.com",HLOOKUP($X68&amp;$Z68,NWC_FC_NOOS!$T$4:$AH$23,MATCH(W68,NWC_FC_NOOS!$S$4:$S$23,0),FALSE),0),0)</f>
        <v>0</v>
      </c>
      <c r="AP68" s="57">
        <f>IFERROR(IF($V68="BRAND.com",HLOOKUP($X68&amp;$Z68,NWC_FC_NOOS!$C$50:$U$69,MATCH(W68,NWC_FC_NOOS!$B$50:$B$69,0),FALSE),0),0)</f>
        <v>0</v>
      </c>
      <c r="AQ68" s="58">
        <f>IFERROR(IF($V68="BRAND.com",HLOOKUP($X68&amp;$Z68,'NWC_FC_NON-NOOS'!$C$4:$Q$23,MATCH(W68,'NWC_FC_NON-NOOS'!$B$4:$B$23,0),FALSE),0),0)</f>
        <v>0</v>
      </c>
      <c r="AR68" s="57">
        <f>IFERROR(IF($V68="BRAND.com",HLOOKUP($X68&amp;$Z68,'NWC_FC_NON-NOOS'!$T$4:$AH$23,MATCH(W68,'NWC_FC_NON-NOOS'!$S$4:$S$23,0),FALSE),0),0)</f>
        <v>0</v>
      </c>
      <c r="AS68" s="57">
        <f>IFERROR(IF($V68="BRAND.com",HLOOKUP($X68&amp;$Z68,'NWC_FC_NON-NOOS'!$C$50:$U$69,MATCH(W68,'NWC_FC_NON-NOOS'!$B$50:$B$69,0),FALSE),0),0)</f>
        <v>0</v>
      </c>
      <c r="AT68" s="57">
        <f t="shared" si="50"/>
        <v>0</v>
      </c>
      <c r="AU68" s="57">
        <f t="shared" si="51"/>
        <v>0</v>
      </c>
      <c r="AV68" s="58">
        <f>IFERROR(IF($V68="BRAND.com",HLOOKUP($X68&amp;$Z68,PLANNING_FC!$BB$27:$BP$46,MATCH($W68,PLANNING_FC!$BA$27:$BA$46,0),FALSE),0),0)</f>
        <v>0</v>
      </c>
      <c r="AW68" s="58">
        <f>IFERROR(IF($V68="BRAND.com",HLOOKUP($X68&amp;$Z68,PLANNING_FC!$BB$4:$BP$23,MATCH($W68,PLANNING_FC!$BA$4:$BA$23,0),FALSE),0),0)</f>
        <v>0</v>
      </c>
      <c r="AX68" s="58">
        <f>IFERROR(IF($V68="BRAND.com",HLOOKUP($X68&amp;$Z68,PLANNING_FC!$T$27:$AH$46,MATCH($W68,PLANNING_FC!$B$27:$B$46,0),FALSE),0),0)</f>
        <v>0</v>
      </c>
      <c r="AY68" s="58">
        <f>IFERROR(IF($V68="BRAND.com",HLOOKUP($X68&amp;$Z68,PLANNING_FC!$T$4:$AH$23,MATCH($W68,PLANNING_FC!$B$4:$B$23,0),FALSE),0),0)</f>
        <v>0</v>
      </c>
      <c r="AZ68" s="58">
        <f>IFERROR(IF($V68="BRAND.com",HLOOKUP($X68&amp;$Z68,PLANNING_FC!$DA$27:$DO$46,MATCH($W68,PLANNING_FC!$CZ$27:$CZ$46,0),FALSE),0),0)</f>
        <v>0</v>
      </c>
      <c r="BA68" s="58">
        <f>IFERROR(IF($V68="BRAND.com",HLOOKUP($X68&amp;$Z68,PLANNING_FC!$DA$4:$DO$23,MATCH($W68,PLANNING_FC!$CZ$4:$CZ$23,0),FALSE),0),0)</f>
        <v>0</v>
      </c>
      <c r="BB68" s="883" t="str">
        <f>IF(V68="BRAND.com",IFERROR(HLOOKUP(X68&amp;Z68,PLANNING_FC!$AK$4:$AY$23,MATCH(W68,PLANNING_FC!$AJ$4:$AJ$23,0),FALSE)*1000,""),"")</f>
        <v/>
      </c>
      <c r="BC68" s="883" t="str">
        <f>IF(V68="BRAND.com",IFERROR(HLOOKUP(X68&amp;Z68,PLANNING_FC!$AK$27:$AY$46,MATCH(W68,PLANNING_FC!$AJ$27:$AJ$46,0),FALSE)*1000,""),"")</f>
        <v/>
      </c>
    </row>
    <row r="69" spans="1:55" x14ac:dyDescent="0.25">
      <c r="A69" s="509"/>
      <c r="B69" s="510"/>
      <c r="C69" s="509"/>
      <c r="D69" s="509"/>
      <c r="E69" s="509"/>
      <c r="F69" s="509"/>
      <c r="G69" s="509"/>
      <c r="H69" s="509"/>
      <c r="I69" s="512"/>
      <c r="J69" s="513"/>
      <c r="K69" s="879"/>
      <c r="L69" s="515"/>
      <c r="M69" s="516"/>
      <c r="N69" s="56">
        <f t="shared" si="32"/>
        <v>0</v>
      </c>
      <c r="O69" s="57">
        <f t="shared" si="33"/>
        <v>0</v>
      </c>
      <c r="P69" s="57">
        <f ca="1">IFERROR(IF(ISBLANK(H69),SUMIFS($AC:$AC,$V:$V,V69,$W:$W,W69,$X:$X,X69,$Y:$Y,Y69)*J69/(1-J69)*VLOOKUP(_xlfn.CONCAT(C69,D69,E69,TIME!$M$12,Z69),HIS_SALES!$B$2:$W$4859,20,FALSE),AC69*J69/(1-J69)),0)</f>
        <v>0</v>
      </c>
      <c r="Q69" s="541" t="str">
        <f t="shared" si="34"/>
        <v/>
      </c>
      <c r="R69" s="346" t="str">
        <f t="shared" si="35"/>
        <v>00000</v>
      </c>
      <c r="S69" s="344">
        <f t="shared" si="36"/>
        <v>0</v>
      </c>
      <c r="T69" s="345" t="str">
        <f t="shared" si="49"/>
        <v>000</v>
      </c>
      <c r="U69" s="345">
        <f t="shared" si="37"/>
        <v>0</v>
      </c>
      <c r="V69" s="345">
        <f t="shared" si="38"/>
        <v>0</v>
      </c>
      <c r="W69" s="345">
        <f t="shared" si="39"/>
        <v>0</v>
      </c>
      <c r="X69" s="345">
        <f t="shared" si="40"/>
        <v>0</v>
      </c>
      <c r="Y69" s="345">
        <f t="shared" si="41"/>
        <v>0</v>
      </c>
      <c r="Z69" s="345">
        <f>IF(Q69&lt;&gt;"",VLOOKUP(Y69,TIME!$R$21:$V$24,MATCH(FC_DATA!Q69,TIME!$R$20:$V$20,0),FALSE),H69)</f>
        <v>0</v>
      </c>
      <c r="AA69" s="345" t="str">
        <f>IFERROR(VLOOKUP(X69&amp;Z69,TIME!$A$12:$D$71,4,FALSE),"")</f>
        <v/>
      </c>
      <c r="AB69" s="592">
        <f t="shared" ca="1" si="42"/>
        <v>0</v>
      </c>
      <c r="AC69" s="593" t="e">
        <f ca="1">IF(ISBLANK(H69)=FALSE,IF(D69="BRAND.com",I69,IF(ISNA(VLOOKUP(_xlfn.CONCAT(X69,Z69),TIME!$M$40:$M$42,1,FALSE)),I69,VLOOKUP(_xlfn.CONCAT(D69,G69,H69),M_BUSAREA_FC!$AF$5:$AJ$10,5,FALSE)*HLOOKUP(_xlfn.CONCAT(F69,H69),ST_OVERVIEW!$G$99:$I$130,MATCH(_xlfn.CONCAT(D69,E69),ST_OVERVIEW!$F$99:$F$130,0),FALSE))),IF(D69="BRAND.com",VLOOKUP(_xlfn.CONCAT(C69,D69,E69,TIME!$F$1,Z69),HIS_SALES!$B$2:$V$4859,19,FALSE)*I69,VLOOKUP(_xlfn.CONCAT(D69,F69,G69),Q_BUSAREA_FC!$AE$5:$AI$12,5,FALSE)*HLOOKUP(_xlfn.CONCAT(FC_DATA!F69,FC_DATA!G69),LT_OVERVIEW!$I$99:$M$130,MATCH(_xlfn.CONCAT(D69,FC_DATA!E69),LT_OVERVIEW!$H$99:$H$130,0),FALSE)*IFERROR(VLOOKUP(_xlfn.CONCAT(C69,D69,E69,TIME!$F$1,Z69),HIS_SALES!$B$2:$V$4859,19,FALSE),0)))</f>
        <v>#N/A</v>
      </c>
      <c r="AD69" s="341">
        <f t="shared" ca="1" si="43"/>
        <v>0</v>
      </c>
      <c r="AE69" s="363" t="str">
        <f t="shared" si="44"/>
        <v/>
      </c>
      <c r="AF69" s="342" t="str">
        <f t="shared" si="45"/>
        <v/>
      </c>
      <c r="AG69" s="411" t="e">
        <f ca="1">VLOOKUP(_xlfn.CONCAT(U69,V69,W69,VLOOKUP(X69&amp;Y69,TIME!$L$27:$O$34,4,FALSE),Y69),HIS_SALES!$A$2:$R$5093,18,FALSE)</f>
        <v>#N/A</v>
      </c>
      <c r="AH69" s="412" t="e">
        <f ca="1">IFERROR(IF(AND(V69=V68,W69=W68),0.5*(AB69+AB68)*AG69,(VLOOKUP(_xlfn.CONCAT(U69,V69,W69,X69,VLOOKUP(Z69,TIME!$S$28:$T$39,2,FALSE)),FC_DATA!$R$2:$AB$5000,MATCH("GS_I_M",FC_DATA!$R$1:$AB$1,0),FALSE)+FC_DATA!AB69)*0.5*FC_DATA!AG69),NA())</f>
        <v>#N/A</v>
      </c>
      <c r="AI69" s="491" t="e">
        <f ca="1">IF(V69="PARTNER.com",AH69,IF(AND(V69=V68,W69=W68),(1-AVERAGE(AD68,AD69))*AH69,(1-AVERAGE(AD69,VLOOKUP(_xlfn.CONCAT(U69,V69,W69,X69,M_BRAND_FC!$F$6),FC_DATA!$R$2:$AD$5000,MATCH("DISCOUNT_%_M",FC_DATA!$R$1:$AD$1,0),FALSE)))*AH69))</f>
        <v>#N/A</v>
      </c>
      <c r="AJ69" s="412" t="str">
        <f t="shared" ca="1" si="46"/>
        <v/>
      </c>
      <c r="AK69" s="413" t="str">
        <f>IFERROR(AE69/(Q_BRAND_FC!$T$24+1),"")</f>
        <v/>
      </c>
      <c r="AL69" s="88" t="str">
        <f t="shared" ca="1" si="47"/>
        <v/>
      </c>
      <c r="AM69" s="414" t="str">
        <f t="shared" ca="1" si="48"/>
        <v/>
      </c>
      <c r="AN69" s="58">
        <f>IFERROR(IF($V69="BRAND.com",HLOOKUP($X69&amp;$Z69,NWC_FC_NOOS!$C$4:$Q$23,MATCH(W69,NWC_FC_NOOS!$B$4:$B$23,0),FALSE),0),0)</f>
        <v>0</v>
      </c>
      <c r="AO69" s="57">
        <f>IFERROR(IF($V69="BRAND.com",HLOOKUP($X69&amp;$Z69,NWC_FC_NOOS!$T$4:$AH$23,MATCH(W69,NWC_FC_NOOS!$S$4:$S$23,0),FALSE),0),0)</f>
        <v>0</v>
      </c>
      <c r="AP69" s="57">
        <f>IFERROR(IF($V69="BRAND.com",HLOOKUP($X69&amp;$Z69,NWC_FC_NOOS!$C$50:$U$69,MATCH(W69,NWC_FC_NOOS!$B$50:$B$69,0),FALSE),0),0)</f>
        <v>0</v>
      </c>
      <c r="AQ69" s="58">
        <f>IFERROR(IF($V69="BRAND.com",HLOOKUP($X69&amp;$Z69,'NWC_FC_NON-NOOS'!$C$4:$Q$23,MATCH(W69,'NWC_FC_NON-NOOS'!$B$4:$B$23,0),FALSE),0),0)</f>
        <v>0</v>
      </c>
      <c r="AR69" s="57">
        <f>IFERROR(IF($V69="BRAND.com",HLOOKUP($X69&amp;$Z69,'NWC_FC_NON-NOOS'!$T$4:$AH$23,MATCH(W69,'NWC_FC_NON-NOOS'!$S$4:$S$23,0),FALSE),0),0)</f>
        <v>0</v>
      </c>
      <c r="AS69" s="57">
        <f>IFERROR(IF($V69="BRAND.com",HLOOKUP($X69&amp;$Z69,'NWC_FC_NON-NOOS'!$C$50:$U$69,MATCH(W69,'NWC_FC_NON-NOOS'!$B$50:$B$69,0),FALSE),0),0)</f>
        <v>0</v>
      </c>
      <c r="AT69" s="57">
        <f t="shared" si="50"/>
        <v>0</v>
      </c>
      <c r="AU69" s="57">
        <f t="shared" si="51"/>
        <v>0</v>
      </c>
      <c r="AV69" s="58">
        <f>IFERROR(IF($V69="BRAND.com",HLOOKUP($X69&amp;$Z69,PLANNING_FC!$BB$27:$BP$46,MATCH($W69,PLANNING_FC!$BA$27:$BA$46,0),FALSE),0),0)</f>
        <v>0</v>
      </c>
      <c r="AW69" s="58">
        <f>IFERROR(IF($V69="BRAND.com",HLOOKUP($X69&amp;$Z69,PLANNING_FC!$BB$4:$BP$23,MATCH($W69,PLANNING_FC!$BA$4:$BA$23,0),FALSE),0),0)</f>
        <v>0</v>
      </c>
      <c r="AX69" s="58">
        <f>IFERROR(IF($V69="BRAND.com",HLOOKUP($X69&amp;$Z69,PLANNING_FC!$T$27:$AH$46,MATCH($W69,PLANNING_FC!$B$27:$B$46,0),FALSE),0),0)</f>
        <v>0</v>
      </c>
      <c r="AY69" s="58">
        <f>IFERROR(IF($V69="BRAND.com",HLOOKUP($X69&amp;$Z69,PLANNING_FC!$T$4:$AH$23,MATCH($W69,PLANNING_FC!$B$4:$B$23,0),FALSE),0),0)</f>
        <v>0</v>
      </c>
      <c r="AZ69" s="58">
        <f>IFERROR(IF($V69="BRAND.com",HLOOKUP($X69&amp;$Z69,PLANNING_FC!$DA$27:$DO$46,MATCH($W69,PLANNING_FC!$CZ$27:$CZ$46,0),FALSE),0),0)</f>
        <v>0</v>
      </c>
      <c r="BA69" s="58">
        <f>IFERROR(IF($V69="BRAND.com",HLOOKUP($X69&amp;$Z69,PLANNING_FC!$DA$4:$DO$23,MATCH($W69,PLANNING_FC!$CZ$4:$CZ$23,0),FALSE),0),0)</f>
        <v>0</v>
      </c>
      <c r="BB69" s="883" t="str">
        <f>IF(V69="BRAND.com",IFERROR(HLOOKUP(X69&amp;Z69,PLANNING_FC!$AK$4:$AY$23,MATCH(W69,PLANNING_FC!$AJ$4:$AJ$23,0),FALSE)*1000,""),"")</f>
        <v/>
      </c>
      <c r="BC69" s="883" t="str">
        <f>IF(V69="BRAND.com",IFERROR(HLOOKUP(X69&amp;Z69,PLANNING_FC!$AK$27:$AY$46,MATCH(W69,PLANNING_FC!$AJ$27:$AJ$46,0),FALSE)*1000,""),"")</f>
        <v/>
      </c>
    </row>
    <row r="70" spans="1:55" x14ac:dyDescent="0.25">
      <c r="A70" s="509"/>
      <c r="B70" s="510"/>
      <c r="C70" s="509"/>
      <c r="D70" s="509"/>
      <c r="E70" s="509"/>
      <c r="F70" s="509"/>
      <c r="G70" s="509"/>
      <c r="H70" s="509"/>
      <c r="I70" s="512"/>
      <c r="J70" s="513"/>
      <c r="K70" s="879"/>
      <c r="L70" s="515"/>
      <c r="M70" s="516"/>
      <c r="N70" s="56">
        <f t="shared" si="32"/>
        <v>0</v>
      </c>
      <c r="O70" s="57">
        <f t="shared" si="33"/>
        <v>0</v>
      </c>
      <c r="P70" s="57">
        <f ca="1">IFERROR(IF(ISBLANK(H70),SUMIFS($AC:$AC,$V:$V,V70,$W:$W,W70,$X:$X,X70,$Y:$Y,Y70)*J70/(1-J70)*VLOOKUP(_xlfn.CONCAT(C70,D70,E70,TIME!$M$12,Z70),HIS_SALES!$B$2:$W$4859,20,FALSE),AC70*J70/(1-J70)),0)</f>
        <v>0</v>
      </c>
      <c r="Q70" s="541" t="str">
        <f t="shared" si="34"/>
        <v/>
      </c>
      <c r="R70" s="346" t="str">
        <f t="shared" si="35"/>
        <v>00000</v>
      </c>
      <c r="S70" s="344">
        <f t="shared" si="36"/>
        <v>0</v>
      </c>
      <c r="T70" s="345" t="str">
        <f t="shared" si="49"/>
        <v>000</v>
      </c>
      <c r="U70" s="345">
        <f t="shared" si="37"/>
        <v>0</v>
      </c>
      <c r="V70" s="345">
        <f t="shared" si="38"/>
        <v>0</v>
      </c>
      <c r="W70" s="345">
        <f t="shared" si="39"/>
        <v>0</v>
      </c>
      <c r="X70" s="345">
        <f t="shared" si="40"/>
        <v>0</v>
      </c>
      <c r="Y70" s="345">
        <f t="shared" si="41"/>
        <v>0</v>
      </c>
      <c r="Z70" s="345">
        <f>IF(Q70&lt;&gt;"",VLOOKUP(Y70,TIME!$R$21:$V$24,MATCH(FC_DATA!Q70,TIME!$R$20:$V$20,0),FALSE),H70)</f>
        <v>0</v>
      </c>
      <c r="AA70" s="345" t="str">
        <f>IFERROR(VLOOKUP(X70&amp;Z70,TIME!$A$12:$D$71,4,FALSE),"")</f>
        <v/>
      </c>
      <c r="AB70" s="592">
        <f t="shared" ca="1" si="42"/>
        <v>0</v>
      </c>
      <c r="AC70" s="593" t="e">
        <f ca="1">IF(ISBLANK(H70)=FALSE,IF(D70="BRAND.com",I70,IF(ISNA(VLOOKUP(_xlfn.CONCAT(X70,Z70),TIME!$M$40:$M$42,1,FALSE)),I70,VLOOKUP(_xlfn.CONCAT(D70,G70,H70),M_BUSAREA_FC!$AF$5:$AJ$10,5,FALSE)*HLOOKUP(_xlfn.CONCAT(F70,H70),ST_OVERVIEW!$G$99:$I$130,MATCH(_xlfn.CONCAT(D70,E70),ST_OVERVIEW!$F$99:$F$130,0),FALSE))),IF(D70="BRAND.com",VLOOKUP(_xlfn.CONCAT(C70,D70,E70,TIME!$F$1,Z70),HIS_SALES!$B$2:$V$4859,19,FALSE)*I70,VLOOKUP(_xlfn.CONCAT(D70,F70,G70),Q_BUSAREA_FC!$AE$5:$AI$12,5,FALSE)*HLOOKUP(_xlfn.CONCAT(FC_DATA!F70,FC_DATA!G70),LT_OVERVIEW!$I$99:$M$130,MATCH(_xlfn.CONCAT(D70,FC_DATA!E70),LT_OVERVIEW!$H$99:$H$130,0),FALSE)*IFERROR(VLOOKUP(_xlfn.CONCAT(C70,D70,E70,TIME!$F$1,Z70),HIS_SALES!$B$2:$V$4859,19,FALSE),0)))</f>
        <v>#N/A</v>
      </c>
      <c r="AD70" s="341">
        <f t="shared" ca="1" si="43"/>
        <v>0</v>
      </c>
      <c r="AE70" s="363" t="str">
        <f t="shared" si="44"/>
        <v/>
      </c>
      <c r="AF70" s="342" t="str">
        <f t="shared" si="45"/>
        <v/>
      </c>
      <c r="AG70" s="411" t="e">
        <f ca="1">VLOOKUP(_xlfn.CONCAT(U70,V70,W70,VLOOKUP(X70&amp;Y70,TIME!$L$27:$O$34,4,FALSE),Y70),HIS_SALES!$A$2:$R$5093,18,FALSE)</f>
        <v>#N/A</v>
      </c>
      <c r="AH70" s="412" t="e">
        <f ca="1">IFERROR(IF(AND(V70=V69,W70=W69),0.5*(AB70+AB69)*AG70,(VLOOKUP(_xlfn.CONCAT(U70,V70,W70,X70,VLOOKUP(Z70,TIME!$S$28:$T$39,2,FALSE)),FC_DATA!$R$2:$AB$5000,MATCH("GS_I_M",FC_DATA!$R$1:$AB$1,0),FALSE)+FC_DATA!AB70)*0.5*FC_DATA!AG70),NA())</f>
        <v>#N/A</v>
      </c>
      <c r="AI70" s="491" t="e">
        <f ca="1">IF(V70="PARTNER.com",AH70,IF(AND(V70=V69,W70=W69),(1-AVERAGE(AD69,AD70))*AH70,(1-AVERAGE(AD70,VLOOKUP(_xlfn.CONCAT(U70,V70,W70,X70,M_BRAND_FC!$F$6),FC_DATA!$R$2:$AD$5000,MATCH("DISCOUNT_%_M",FC_DATA!$R$1:$AD$1,0),FALSE)))*AH70))</f>
        <v>#N/A</v>
      </c>
      <c r="AJ70" s="412" t="str">
        <f t="shared" ca="1" si="46"/>
        <v/>
      </c>
      <c r="AK70" s="413" t="str">
        <f>IFERROR(AE70/(Q_BRAND_FC!$T$24+1),"")</f>
        <v/>
      </c>
      <c r="AL70" s="88" t="str">
        <f t="shared" ca="1" si="47"/>
        <v/>
      </c>
      <c r="AM70" s="414" t="str">
        <f t="shared" ca="1" si="48"/>
        <v/>
      </c>
      <c r="AN70" s="58">
        <f>IFERROR(IF($V70="BRAND.com",HLOOKUP($X70&amp;$Z70,NWC_FC_NOOS!$C$4:$Q$23,MATCH(W70,NWC_FC_NOOS!$B$4:$B$23,0),FALSE),0),0)</f>
        <v>0</v>
      </c>
      <c r="AO70" s="57">
        <f>IFERROR(IF($V70="BRAND.com",HLOOKUP($X70&amp;$Z70,NWC_FC_NOOS!$T$4:$AH$23,MATCH(W70,NWC_FC_NOOS!$S$4:$S$23,0),FALSE),0),0)</f>
        <v>0</v>
      </c>
      <c r="AP70" s="57">
        <f>IFERROR(IF($V70="BRAND.com",HLOOKUP($X70&amp;$Z70,NWC_FC_NOOS!$C$50:$U$69,MATCH(W70,NWC_FC_NOOS!$B$50:$B$69,0),FALSE),0),0)</f>
        <v>0</v>
      </c>
      <c r="AQ70" s="58">
        <f>IFERROR(IF($V70="BRAND.com",HLOOKUP($X70&amp;$Z70,'NWC_FC_NON-NOOS'!$C$4:$Q$23,MATCH(W70,'NWC_FC_NON-NOOS'!$B$4:$B$23,0),FALSE),0),0)</f>
        <v>0</v>
      </c>
      <c r="AR70" s="57">
        <f>IFERROR(IF($V70="BRAND.com",HLOOKUP($X70&amp;$Z70,'NWC_FC_NON-NOOS'!$T$4:$AH$23,MATCH(W70,'NWC_FC_NON-NOOS'!$S$4:$S$23,0),FALSE),0),0)</f>
        <v>0</v>
      </c>
      <c r="AS70" s="57">
        <f>IFERROR(IF($V70="BRAND.com",HLOOKUP($X70&amp;$Z70,'NWC_FC_NON-NOOS'!$C$50:$U$69,MATCH(W70,'NWC_FC_NON-NOOS'!$B$50:$B$69,0),FALSE),0),0)</f>
        <v>0</v>
      </c>
      <c r="AT70" s="57">
        <f t="shared" si="50"/>
        <v>0</v>
      </c>
      <c r="AU70" s="57">
        <f t="shared" si="51"/>
        <v>0</v>
      </c>
      <c r="AV70" s="58">
        <f>IFERROR(IF($V70="BRAND.com",HLOOKUP($X70&amp;$Z70,PLANNING_FC!$BB$27:$BP$46,MATCH($W70,PLANNING_FC!$BA$27:$BA$46,0),FALSE),0),0)</f>
        <v>0</v>
      </c>
      <c r="AW70" s="58">
        <f>IFERROR(IF($V70="BRAND.com",HLOOKUP($X70&amp;$Z70,PLANNING_FC!$BB$4:$BP$23,MATCH($W70,PLANNING_FC!$BA$4:$BA$23,0),FALSE),0),0)</f>
        <v>0</v>
      </c>
      <c r="AX70" s="58">
        <f>IFERROR(IF($V70="BRAND.com",HLOOKUP($X70&amp;$Z70,PLANNING_FC!$T$27:$AH$46,MATCH($W70,PLANNING_FC!$B$27:$B$46,0),FALSE),0),0)</f>
        <v>0</v>
      </c>
      <c r="AY70" s="58">
        <f>IFERROR(IF($V70="BRAND.com",HLOOKUP($X70&amp;$Z70,PLANNING_FC!$T$4:$AH$23,MATCH($W70,PLANNING_FC!$B$4:$B$23,0),FALSE),0),0)</f>
        <v>0</v>
      </c>
      <c r="AZ70" s="58">
        <f>IFERROR(IF($V70="BRAND.com",HLOOKUP($X70&amp;$Z70,PLANNING_FC!$DA$27:$DO$46,MATCH($W70,PLANNING_FC!$CZ$27:$CZ$46,0),FALSE),0),0)</f>
        <v>0</v>
      </c>
      <c r="BA70" s="58">
        <f>IFERROR(IF($V70="BRAND.com",HLOOKUP($X70&amp;$Z70,PLANNING_FC!$DA$4:$DO$23,MATCH($W70,PLANNING_FC!$CZ$4:$CZ$23,0),FALSE),0),0)</f>
        <v>0</v>
      </c>
      <c r="BB70" s="883" t="str">
        <f>IF(V70="BRAND.com",IFERROR(HLOOKUP(X70&amp;Z70,PLANNING_FC!$AK$4:$AY$23,MATCH(W70,PLANNING_FC!$AJ$4:$AJ$23,0),FALSE)*1000,""),"")</f>
        <v/>
      </c>
      <c r="BC70" s="883" t="str">
        <f>IF(V70="BRAND.com",IFERROR(HLOOKUP(X70&amp;Z70,PLANNING_FC!$AK$27:$AY$46,MATCH(W70,PLANNING_FC!$AJ$27:$AJ$46,0),FALSE)*1000,""),"")</f>
        <v/>
      </c>
    </row>
    <row r="71" spans="1:55" x14ac:dyDescent="0.25">
      <c r="A71" s="509"/>
      <c r="B71" s="510"/>
      <c r="C71" s="509"/>
      <c r="D71" s="509"/>
      <c r="E71" s="509"/>
      <c r="F71" s="509"/>
      <c r="G71" s="509"/>
      <c r="H71" s="509"/>
      <c r="I71" s="512"/>
      <c r="J71" s="513"/>
      <c r="K71" s="879"/>
      <c r="L71" s="515"/>
      <c r="M71" s="516"/>
      <c r="N71" s="56">
        <f t="shared" si="32"/>
        <v>0</v>
      </c>
      <c r="O71" s="57">
        <f t="shared" si="33"/>
        <v>0</v>
      </c>
      <c r="P71" s="57">
        <f ca="1">IFERROR(IF(ISBLANK(H71),SUMIFS($AC:$AC,$V:$V,V71,$W:$W,W71,$X:$X,X71,$Y:$Y,Y71)*J71/(1-J71)*VLOOKUP(_xlfn.CONCAT(C71,D71,E71,TIME!$M$12,Z71),HIS_SALES!$B$2:$W$4859,20,FALSE),AC71*J71/(1-J71)),0)</f>
        <v>0</v>
      </c>
      <c r="Q71" s="541" t="str">
        <f t="shared" si="34"/>
        <v/>
      </c>
      <c r="R71" s="346" t="str">
        <f t="shared" si="35"/>
        <v>00000</v>
      </c>
      <c r="S71" s="344">
        <f t="shared" si="36"/>
        <v>0</v>
      </c>
      <c r="T71" s="345" t="str">
        <f t="shared" si="49"/>
        <v>000</v>
      </c>
      <c r="U71" s="345">
        <f t="shared" si="37"/>
        <v>0</v>
      </c>
      <c r="V71" s="345">
        <f t="shared" si="38"/>
        <v>0</v>
      </c>
      <c r="W71" s="345">
        <f t="shared" si="39"/>
        <v>0</v>
      </c>
      <c r="X71" s="345">
        <f t="shared" si="40"/>
        <v>0</v>
      </c>
      <c r="Y71" s="345">
        <f t="shared" si="41"/>
        <v>0</v>
      </c>
      <c r="Z71" s="345">
        <f>IF(Q71&lt;&gt;"",VLOOKUP(Y71,TIME!$R$21:$V$24,MATCH(FC_DATA!Q71,TIME!$R$20:$V$20,0),FALSE),H71)</f>
        <v>0</v>
      </c>
      <c r="AA71" s="345" t="str">
        <f>IFERROR(VLOOKUP(X71&amp;Z71,TIME!$A$12:$D$71,4,FALSE),"")</f>
        <v/>
      </c>
      <c r="AB71" s="592">
        <f t="shared" ca="1" si="42"/>
        <v>0</v>
      </c>
      <c r="AC71" s="593" t="e">
        <f ca="1">IF(ISBLANK(H71)=FALSE,IF(D71="BRAND.com",I71,IF(ISNA(VLOOKUP(_xlfn.CONCAT(X71,Z71),TIME!$M$40:$M$42,1,FALSE)),I71,VLOOKUP(_xlfn.CONCAT(D71,G71,H71),M_BUSAREA_FC!$AF$5:$AJ$10,5,FALSE)*HLOOKUP(_xlfn.CONCAT(F71,H71),ST_OVERVIEW!$G$99:$I$130,MATCH(_xlfn.CONCAT(D71,E71),ST_OVERVIEW!$F$99:$F$130,0),FALSE))),IF(D71="BRAND.com",VLOOKUP(_xlfn.CONCAT(C71,D71,E71,TIME!$F$1,Z71),HIS_SALES!$B$2:$V$4859,19,FALSE)*I71,VLOOKUP(_xlfn.CONCAT(D71,F71,G71),Q_BUSAREA_FC!$AE$5:$AI$12,5,FALSE)*HLOOKUP(_xlfn.CONCAT(FC_DATA!F71,FC_DATA!G71),LT_OVERVIEW!$I$99:$M$130,MATCH(_xlfn.CONCAT(D71,FC_DATA!E71),LT_OVERVIEW!$H$99:$H$130,0),FALSE)*IFERROR(VLOOKUP(_xlfn.CONCAT(C71,D71,E71,TIME!$F$1,Z71),HIS_SALES!$B$2:$V$4859,19,FALSE),0)))</f>
        <v>#N/A</v>
      </c>
      <c r="AD71" s="341">
        <f t="shared" ca="1" si="43"/>
        <v>0</v>
      </c>
      <c r="AE71" s="363" t="str">
        <f t="shared" si="44"/>
        <v/>
      </c>
      <c r="AF71" s="342" t="str">
        <f t="shared" si="45"/>
        <v/>
      </c>
      <c r="AG71" s="411" t="e">
        <f ca="1">VLOOKUP(_xlfn.CONCAT(U71,V71,W71,VLOOKUP(X71&amp;Y71,TIME!$L$27:$O$34,4,FALSE),Y71),HIS_SALES!$A$2:$R$5093,18,FALSE)</f>
        <v>#N/A</v>
      </c>
      <c r="AH71" s="412" t="e">
        <f ca="1">IFERROR(IF(AND(V71=V70,W71=W70),0.5*(AB71+AB70)*AG71,(VLOOKUP(_xlfn.CONCAT(U71,V71,W71,X71,VLOOKUP(Z71,TIME!$S$28:$T$39,2,FALSE)),FC_DATA!$R$2:$AB$5000,MATCH("GS_I_M",FC_DATA!$R$1:$AB$1,0),FALSE)+FC_DATA!AB71)*0.5*FC_DATA!AG71),NA())</f>
        <v>#N/A</v>
      </c>
      <c r="AI71" s="491" t="e">
        <f ca="1">IF(V71="PARTNER.com",AH71,IF(AND(V71=V70,W71=W70),(1-AVERAGE(AD70,AD71))*AH71,(1-AVERAGE(AD71,VLOOKUP(_xlfn.CONCAT(U71,V71,W71,X71,M_BRAND_FC!$F$6),FC_DATA!$R$2:$AD$5000,MATCH("DISCOUNT_%_M",FC_DATA!$R$1:$AD$1,0),FALSE)))*AH71))</f>
        <v>#N/A</v>
      </c>
      <c r="AJ71" s="412" t="str">
        <f t="shared" ca="1" si="46"/>
        <v/>
      </c>
      <c r="AK71" s="413" t="str">
        <f>IFERROR(AE71/(Q_BRAND_FC!$T$24+1),"")</f>
        <v/>
      </c>
      <c r="AL71" s="88" t="str">
        <f t="shared" ca="1" si="47"/>
        <v/>
      </c>
      <c r="AM71" s="414" t="str">
        <f t="shared" ca="1" si="48"/>
        <v/>
      </c>
      <c r="AN71" s="58">
        <f>IFERROR(IF($V71="BRAND.com",HLOOKUP($X71&amp;$Z71,NWC_FC_NOOS!$C$4:$Q$23,MATCH(W71,NWC_FC_NOOS!$B$4:$B$23,0),FALSE),0),0)</f>
        <v>0</v>
      </c>
      <c r="AO71" s="57">
        <f>IFERROR(IF($V71="BRAND.com",HLOOKUP($X71&amp;$Z71,NWC_FC_NOOS!$T$4:$AH$23,MATCH(W71,NWC_FC_NOOS!$S$4:$S$23,0),FALSE),0),0)</f>
        <v>0</v>
      </c>
      <c r="AP71" s="57">
        <f>IFERROR(IF($V71="BRAND.com",HLOOKUP($X71&amp;$Z71,NWC_FC_NOOS!$C$50:$U$69,MATCH(W71,NWC_FC_NOOS!$B$50:$B$69,0),FALSE),0),0)</f>
        <v>0</v>
      </c>
      <c r="AQ71" s="58">
        <f>IFERROR(IF($V71="BRAND.com",HLOOKUP($X71&amp;$Z71,'NWC_FC_NON-NOOS'!$C$4:$Q$23,MATCH(W71,'NWC_FC_NON-NOOS'!$B$4:$B$23,0),FALSE),0),0)</f>
        <v>0</v>
      </c>
      <c r="AR71" s="57">
        <f>IFERROR(IF($V71="BRAND.com",HLOOKUP($X71&amp;$Z71,'NWC_FC_NON-NOOS'!$T$4:$AH$23,MATCH(W71,'NWC_FC_NON-NOOS'!$S$4:$S$23,0),FALSE),0),0)</f>
        <v>0</v>
      </c>
      <c r="AS71" s="57">
        <f>IFERROR(IF($V71="BRAND.com",HLOOKUP($X71&amp;$Z71,'NWC_FC_NON-NOOS'!$C$50:$U$69,MATCH(W71,'NWC_FC_NON-NOOS'!$B$50:$B$69,0),FALSE),0),0)</f>
        <v>0</v>
      </c>
      <c r="AT71" s="57">
        <f t="shared" si="50"/>
        <v>0</v>
      </c>
      <c r="AU71" s="57">
        <f t="shared" si="51"/>
        <v>0</v>
      </c>
      <c r="AV71" s="58">
        <f>IFERROR(IF($V71="BRAND.com",HLOOKUP($X71&amp;$Z71,PLANNING_FC!$BB$27:$BP$46,MATCH($W71,PLANNING_FC!$BA$27:$BA$46,0),FALSE),0),0)</f>
        <v>0</v>
      </c>
      <c r="AW71" s="58">
        <f>IFERROR(IF($V71="BRAND.com",HLOOKUP($X71&amp;$Z71,PLANNING_FC!$BB$4:$BP$23,MATCH($W71,PLANNING_FC!$BA$4:$BA$23,0),FALSE),0),0)</f>
        <v>0</v>
      </c>
      <c r="AX71" s="58">
        <f>IFERROR(IF($V71="BRAND.com",HLOOKUP($X71&amp;$Z71,PLANNING_FC!$T$27:$AH$46,MATCH($W71,PLANNING_FC!$B$27:$B$46,0),FALSE),0),0)</f>
        <v>0</v>
      </c>
      <c r="AY71" s="58">
        <f>IFERROR(IF($V71="BRAND.com",HLOOKUP($X71&amp;$Z71,PLANNING_FC!$T$4:$AH$23,MATCH($W71,PLANNING_FC!$B$4:$B$23,0),FALSE),0),0)</f>
        <v>0</v>
      </c>
      <c r="AZ71" s="58">
        <f>IFERROR(IF($V71="BRAND.com",HLOOKUP($X71&amp;$Z71,PLANNING_FC!$DA$27:$DO$46,MATCH($W71,PLANNING_FC!$CZ$27:$CZ$46,0),FALSE),0),0)</f>
        <v>0</v>
      </c>
      <c r="BA71" s="58">
        <f>IFERROR(IF($V71="BRAND.com",HLOOKUP($X71&amp;$Z71,PLANNING_FC!$DA$4:$DO$23,MATCH($W71,PLANNING_FC!$CZ$4:$CZ$23,0),FALSE),0),0)</f>
        <v>0</v>
      </c>
      <c r="BB71" s="883" t="str">
        <f>IF(V71="BRAND.com",IFERROR(HLOOKUP(X71&amp;Z71,PLANNING_FC!$AK$4:$AY$23,MATCH(W71,PLANNING_FC!$AJ$4:$AJ$23,0),FALSE)*1000,""),"")</f>
        <v/>
      </c>
      <c r="BC71" s="883" t="str">
        <f>IF(V71="BRAND.com",IFERROR(HLOOKUP(X71&amp;Z71,PLANNING_FC!$AK$27:$AY$46,MATCH(W71,PLANNING_FC!$AJ$27:$AJ$46,0),FALSE)*1000,""),"")</f>
        <v/>
      </c>
    </row>
    <row r="72" spans="1:55" x14ac:dyDescent="0.25">
      <c r="A72" s="509"/>
      <c r="B72" s="510"/>
      <c r="C72" s="509"/>
      <c r="D72" s="509"/>
      <c r="E72" s="509"/>
      <c r="F72" s="509"/>
      <c r="G72" s="509"/>
      <c r="H72" s="509"/>
      <c r="I72" s="512"/>
      <c r="J72" s="513"/>
      <c r="K72" s="879"/>
      <c r="L72" s="515"/>
      <c r="M72" s="516"/>
      <c r="N72" s="56">
        <f t="shared" si="32"/>
        <v>0</v>
      </c>
      <c r="O72" s="57">
        <f t="shared" si="33"/>
        <v>0</v>
      </c>
      <c r="P72" s="57">
        <f ca="1">IFERROR(IF(ISBLANK(H72),SUMIFS($AC:$AC,$V:$V,V72,$W:$W,W72,$X:$X,X72,$Y:$Y,Y72)*J72/(1-J72)*VLOOKUP(_xlfn.CONCAT(C72,D72,E72,TIME!$M$12,Z72),HIS_SALES!$B$2:$W$4859,20,FALSE),AC72*J72/(1-J72)),0)</f>
        <v>0</v>
      </c>
      <c r="Q72" s="541" t="str">
        <f t="shared" si="34"/>
        <v/>
      </c>
      <c r="R72" s="346" t="str">
        <f t="shared" si="35"/>
        <v>00000</v>
      </c>
      <c r="S72" s="344">
        <f t="shared" si="36"/>
        <v>0</v>
      </c>
      <c r="T72" s="345" t="str">
        <f t="shared" si="49"/>
        <v>000</v>
      </c>
      <c r="U72" s="345">
        <f t="shared" si="37"/>
        <v>0</v>
      </c>
      <c r="V72" s="345">
        <f t="shared" si="38"/>
        <v>0</v>
      </c>
      <c r="W72" s="345">
        <f t="shared" si="39"/>
        <v>0</v>
      </c>
      <c r="X72" s="345">
        <f t="shared" si="40"/>
        <v>0</v>
      </c>
      <c r="Y72" s="345">
        <f t="shared" si="41"/>
        <v>0</v>
      </c>
      <c r="Z72" s="345">
        <f>IF(Q72&lt;&gt;"",VLOOKUP(Y72,TIME!$R$21:$V$24,MATCH(FC_DATA!Q72,TIME!$R$20:$V$20,0),FALSE),H72)</f>
        <v>0</v>
      </c>
      <c r="AA72" s="345" t="str">
        <f>IFERROR(VLOOKUP(X72&amp;Z72,TIME!$A$12:$D$71,4,FALSE),"")</f>
        <v/>
      </c>
      <c r="AB72" s="592">
        <f t="shared" ca="1" si="42"/>
        <v>0</v>
      </c>
      <c r="AC72" s="593" t="e">
        <f ca="1">IF(ISBLANK(H72)=FALSE,IF(D72="BRAND.com",I72,IF(ISNA(VLOOKUP(_xlfn.CONCAT(X72,Z72),TIME!$M$40:$M$42,1,FALSE)),I72,VLOOKUP(_xlfn.CONCAT(D72,G72,H72),M_BUSAREA_FC!$AF$5:$AJ$10,5,FALSE)*HLOOKUP(_xlfn.CONCAT(F72,H72),ST_OVERVIEW!$G$99:$I$130,MATCH(_xlfn.CONCAT(D72,E72),ST_OVERVIEW!$F$99:$F$130,0),FALSE))),IF(D72="BRAND.com",VLOOKUP(_xlfn.CONCAT(C72,D72,E72,TIME!$F$1,Z72),HIS_SALES!$B$2:$V$4859,19,FALSE)*I72,VLOOKUP(_xlfn.CONCAT(D72,F72,G72),Q_BUSAREA_FC!$AE$5:$AI$12,5,FALSE)*HLOOKUP(_xlfn.CONCAT(FC_DATA!F72,FC_DATA!G72),LT_OVERVIEW!$I$99:$M$130,MATCH(_xlfn.CONCAT(D72,FC_DATA!E72),LT_OVERVIEW!$H$99:$H$130,0),FALSE)*IFERROR(VLOOKUP(_xlfn.CONCAT(C72,D72,E72,TIME!$F$1,Z72),HIS_SALES!$B$2:$V$4859,19,FALSE),0)))</f>
        <v>#N/A</v>
      </c>
      <c r="AD72" s="341">
        <f t="shared" ca="1" si="43"/>
        <v>0</v>
      </c>
      <c r="AE72" s="363" t="str">
        <f t="shared" si="44"/>
        <v/>
      </c>
      <c r="AF72" s="342" t="str">
        <f t="shared" si="45"/>
        <v/>
      </c>
      <c r="AG72" s="411" t="e">
        <f ca="1">VLOOKUP(_xlfn.CONCAT(U72,V72,W72,VLOOKUP(X72&amp;Y72,TIME!$L$27:$O$34,4,FALSE),Y72),HIS_SALES!$A$2:$R$5093,18,FALSE)</f>
        <v>#N/A</v>
      </c>
      <c r="AH72" s="412" t="e">
        <f ca="1">IFERROR(IF(AND(V72=V71,W72=W71),0.5*(AB72+AB71)*AG72,(VLOOKUP(_xlfn.CONCAT(U72,V72,W72,X72,VLOOKUP(Z72,TIME!$S$28:$T$39,2,FALSE)),FC_DATA!$R$2:$AB$5000,MATCH("GS_I_M",FC_DATA!$R$1:$AB$1,0),FALSE)+FC_DATA!AB72)*0.5*FC_DATA!AG72),NA())</f>
        <v>#N/A</v>
      </c>
      <c r="AI72" s="491" t="e">
        <f ca="1">IF(V72="PARTNER.com",AH72,IF(AND(V72=V71,W72=W71),(1-AVERAGE(AD71,AD72))*AH72,(1-AVERAGE(AD72,VLOOKUP(_xlfn.CONCAT(U72,V72,W72,X72,M_BRAND_FC!$F$6),FC_DATA!$R$2:$AD$5000,MATCH("DISCOUNT_%_M",FC_DATA!$R$1:$AD$1,0),FALSE)))*AH72))</f>
        <v>#N/A</v>
      </c>
      <c r="AJ72" s="412" t="str">
        <f t="shared" ca="1" si="46"/>
        <v/>
      </c>
      <c r="AK72" s="413" t="str">
        <f>IFERROR(AE72/(Q_BRAND_FC!$T$24+1),"")</f>
        <v/>
      </c>
      <c r="AL72" s="88" t="str">
        <f t="shared" ca="1" si="47"/>
        <v/>
      </c>
      <c r="AM72" s="414" t="str">
        <f t="shared" ca="1" si="48"/>
        <v/>
      </c>
      <c r="AN72" s="58">
        <f>IFERROR(IF($V72="BRAND.com",HLOOKUP($X72&amp;$Z72,NWC_FC_NOOS!$C$4:$Q$23,MATCH(W72,NWC_FC_NOOS!$B$4:$B$23,0),FALSE),0),0)</f>
        <v>0</v>
      </c>
      <c r="AO72" s="57">
        <f>IFERROR(IF($V72="BRAND.com",HLOOKUP($X72&amp;$Z72,NWC_FC_NOOS!$T$4:$AH$23,MATCH(W72,NWC_FC_NOOS!$S$4:$S$23,0),FALSE),0),0)</f>
        <v>0</v>
      </c>
      <c r="AP72" s="57">
        <f>IFERROR(IF($V72="BRAND.com",HLOOKUP($X72&amp;$Z72,NWC_FC_NOOS!$C$50:$U$69,MATCH(W72,NWC_FC_NOOS!$B$50:$B$69,0),FALSE),0),0)</f>
        <v>0</v>
      </c>
      <c r="AQ72" s="58">
        <f>IFERROR(IF($V72="BRAND.com",HLOOKUP($X72&amp;$Z72,'NWC_FC_NON-NOOS'!$C$4:$Q$23,MATCH(W72,'NWC_FC_NON-NOOS'!$B$4:$B$23,0),FALSE),0),0)</f>
        <v>0</v>
      </c>
      <c r="AR72" s="57">
        <f>IFERROR(IF($V72="BRAND.com",HLOOKUP($X72&amp;$Z72,'NWC_FC_NON-NOOS'!$T$4:$AH$23,MATCH(W72,'NWC_FC_NON-NOOS'!$S$4:$S$23,0),FALSE),0),0)</f>
        <v>0</v>
      </c>
      <c r="AS72" s="57">
        <f>IFERROR(IF($V72="BRAND.com",HLOOKUP($X72&amp;$Z72,'NWC_FC_NON-NOOS'!$C$50:$U$69,MATCH(W72,'NWC_FC_NON-NOOS'!$B$50:$B$69,0),FALSE),0),0)</f>
        <v>0</v>
      </c>
      <c r="AT72" s="57">
        <f t="shared" si="50"/>
        <v>0</v>
      </c>
      <c r="AU72" s="57">
        <f t="shared" si="51"/>
        <v>0</v>
      </c>
      <c r="AV72" s="58">
        <f>IFERROR(IF($V72="BRAND.com",HLOOKUP($X72&amp;$Z72,PLANNING_FC!$BB$27:$BP$46,MATCH($W72,PLANNING_FC!$BA$27:$BA$46,0),FALSE),0),0)</f>
        <v>0</v>
      </c>
      <c r="AW72" s="58">
        <f>IFERROR(IF($V72="BRAND.com",HLOOKUP($X72&amp;$Z72,PLANNING_FC!$BB$4:$BP$23,MATCH($W72,PLANNING_FC!$BA$4:$BA$23,0),FALSE),0),0)</f>
        <v>0</v>
      </c>
      <c r="AX72" s="58">
        <f>IFERROR(IF($V72="BRAND.com",HLOOKUP($X72&amp;$Z72,PLANNING_FC!$T$27:$AH$46,MATCH($W72,PLANNING_FC!$B$27:$B$46,0),FALSE),0),0)</f>
        <v>0</v>
      </c>
      <c r="AY72" s="58">
        <f>IFERROR(IF($V72="BRAND.com",HLOOKUP($X72&amp;$Z72,PLANNING_FC!$T$4:$AH$23,MATCH($W72,PLANNING_FC!$B$4:$B$23,0),FALSE),0),0)</f>
        <v>0</v>
      </c>
      <c r="AZ72" s="58">
        <f>IFERROR(IF($V72="BRAND.com",HLOOKUP($X72&amp;$Z72,PLANNING_FC!$DA$27:$DO$46,MATCH($W72,PLANNING_FC!$CZ$27:$CZ$46,0),FALSE),0),0)</f>
        <v>0</v>
      </c>
      <c r="BA72" s="58">
        <f>IFERROR(IF($V72="BRAND.com",HLOOKUP($X72&amp;$Z72,PLANNING_FC!$DA$4:$DO$23,MATCH($W72,PLANNING_FC!$CZ$4:$CZ$23,0),FALSE),0),0)</f>
        <v>0</v>
      </c>
      <c r="BB72" s="883" t="str">
        <f>IF(V72="BRAND.com",IFERROR(HLOOKUP(X72&amp;Z72,PLANNING_FC!$AK$4:$AY$23,MATCH(W72,PLANNING_FC!$AJ$4:$AJ$23,0),FALSE)*1000,""),"")</f>
        <v/>
      </c>
      <c r="BC72" s="883" t="str">
        <f>IF(V72="BRAND.com",IFERROR(HLOOKUP(X72&amp;Z72,PLANNING_FC!$AK$27:$AY$46,MATCH(W72,PLANNING_FC!$AJ$27:$AJ$46,0),FALSE)*1000,""),"")</f>
        <v/>
      </c>
    </row>
    <row r="73" spans="1:55" x14ac:dyDescent="0.25">
      <c r="A73" s="509"/>
      <c r="B73" s="510"/>
      <c r="C73" s="509"/>
      <c r="D73" s="509"/>
      <c r="E73" s="509"/>
      <c r="F73" s="509"/>
      <c r="G73" s="509"/>
      <c r="H73" s="509"/>
      <c r="I73" s="512"/>
      <c r="J73" s="513"/>
      <c r="K73" s="879"/>
      <c r="L73" s="515"/>
      <c r="M73" s="516"/>
      <c r="N73" s="56">
        <f t="shared" si="32"/>
        <v>0</v>
      </c>
      <c r="O73" s="57">
        <f t="shared" si="33"/>
        <v>0</v>
      </c>
      <c r="P73" s="57">
        <f ca="1">IFERROR(IF(ISBLANK(H73),SUMIFS($AC:$AC,$V:$V,V73,$W:$W,W73,$X:$X,X73,$Y:$Y,Y73)*J73/(1-J73)*VLOOKUP(_xlfn.CONCAT(C73,D73,E73,TIME!$M$12,Z73),HIS_SALES!$B$2:$W$4859,20,FALSE),AC73*J73/(1-J73)),0)</f>
        <v>0</v>
      </c>
      <c r="Q73" s="541" t="str">
        <f t="shared" si="34"/>
        <v/>
      </c>
      <c r="R73" s="346" t="str">
        <f t="shared" si="35"/>
        <v>00000</v>
      </c>
      <c r="S73" s="344">
        <f t="shared" si="36"/>
        <v>0</v>
      </c>
      <c r="T73" s="345" t="str">
        <f t="shared" si="49"/>
        <v>000</v>
      </c>
      <c r="U73" s="345">
        <f t="shared" si="37"/>
        <v>0</v>
      </c>
      <c r="V73" s="345">
        <f t="shared" si="38"/>
        <v>0</v>
      </c>
      <c r="W73" s="345">
        <f t="shared" si="39"/>
        <v>0</v>
      </c>
      <c r="X73" s="345">
        <f t="shared" si="40"/>
        <v>0</v>
      </c>
      <c r="Y73" s="345">
        <f t="shared" si="41"/>
        <v>0</v>
      </c>
      <c r="Z73" s="345">
        <f>IF(Q73&lt;&gt;"",VLOOKUP(Y73,TIME!$R$21:$V$24,MATCH(FC_DATA!Q73,TIME!$R$20:$V$20,0),FALSE),H73)</f>
        <v>0</v>
      </c>
      <c r="AA73" s="345" t="str">
        <f>IFERROR(VLOOKUP(X73&amp;Z73,TIME!$A$12:$D$71,4,FALSE),"")</f>
        <v/>
      </c>
      <c r="AB73" s="592">
        <f t="shared" ca="1" si="42"/>
        <v>0</v>
      </c>
      <c r="AC73" s="593" t="e">
        <f ca="1">IF(ISBLANK(H73)=FALSE,IF(D73="BRAND.com",I73,IF(ISNA(VLOOKUP(_xlfn.CONCAT(X73,Z73),TIME!$M$40:$M$42,1,FALSE)),I73,VLOOKUP(_xlfn.CONCAT(D73,G73,H73),M_BUSAREA_FC!$AF$5:$AJ$10,5,FALSE)*HLOOKUP(_xlfn.CONCAT(F73,H73),ST_OVERVIEW!$G$99:$I$130,MATCH(_xlfn.CONCAT(D73,E73),ST_OVERVIEW!$F$99:$F$130,0),FALSE))),IF(D73="BRAND.com",VLOOKUP(_xlfn.CONCAT(C73,D73,E73,TIME!$F$1,Z73),HIS_SALES!$B$2:$V$4859,19,FALSE)*I73,VLOOKUP(_xlfn.CONCAT(D73,F73,G73),Q_BUSAREA_FC!$AE$5:$AI$12,5,FALSE)*HLOOKUP(_xlfn.CONCAT(FC_DATA!F73,FC_DATA!G73),LT_OVERVIEW!$I$99:$M$130,MATCH(_xlfn.CONCAT(D73,FC_DATA!E73),LT_OVERVIEW!$H$99:$H$130,0),FALSE)*IFERROR(VLOOKUP(_xlfn.CONCAT(C73,D73,E73,TIME!$F$1,Z73),HIS_SALES!$B$2:$V$4859,19,FALSE),0)))</f>
        <v>#N/A</v>
      </c>
      <c r="AD73" s="341">
        <f t="shared" ca="1" si="43"/>
        <v>0</v>
      </c>
      <c r="AE73" s="363" t="str">
        <f t="shared" si="44"/>
        <v/>
      </c>
      <c r="AF73" s="342" t="str">
        <f t="shared" si="45"/>
        <v/>
      </c>
      <c r="AG73" s="411" t="e">
        <f ca="1">VLOOKUP(_xlfn.CONCAT(U73,V73,W73,VLOOKUP(X73&amp;Y73,TIME!$L$27:$O$34,4,FALSE),Y73),HIS_SALES!$A$2:$R$5093,18,FALSE)</f>
        <v>#N/A</v>
      </c>
      <c r="AH73" s="412" t="e">
        <f ca="1">IFERROR(IF(AND(V73=V72,W73=W72),0.5*(AB73+AB72)*AG73,(VLOOKUP(_xlfn.CONCAT(U73,V73,W73,X73,VLOOKUP(Z73,TIME!$S$28:$T$39,2,FALSE)),FC_DATA!$R$2:$AB$5000,MATCH("GS_I_M",FC_DATA!$R$1:$AB$1,0),FALSE)+FC_DATA!AB73)*0.5*FC_DATA!AG73),NA())</f>
        <v>#N/A</v>
      </c>
      <c r="AI73" s="491" t="e">
        <f ca="1">IF(V73="PARTNER.com",AH73,IF(AND(V73=V72,W73=W72),(1-AVERAGE(AD72,AD73))*AH73,(1-AVERAGE(AD73,VLOOKUP(_xlfn.CONCAT(U73,V73,W73,X73,M_BRAND_FC!$F$6),FC_DATA!$R$2:$AD$5000,MATCH("DISCOUNT_%_M",FC_DATA!$R$1:$AD$1,0),FALSE)))*AH73))</f>
        <v>#N/A</v>
      </c>
      <c r="AJ73" s="412" t="str">
        <f t="shared" ca="1" si="46"/>
        <v/>
      </c>
      <c r="AK73" s="413" t="str">
        <f>IFERROR(AE73/(Q_BRAND_FC!$T$24+1),"")</f>
        <v/>
      </c>
      <c r="AL73" s="88" t="str">
        <f t="shared" ca="1" si="47"/>
        <v/>
      </c>
      <c r="AM73" s="414" t="str">
        <f t="shared" ca="1" si="48"/>
        <v/>
      </c>
      <c r="AN73" s="58">
        <f>IFERROR(IF($V73="BRAND.com",HLOOKUP($X73&amp;$Z73,NWC_FC_NOOS!$C$4:$Q$23,MATCH(W73,NWC_FC_NOOS!$B$4:$B$23,0),FALSE),0),0)</f>
        <v>0</v>
      </c>
      <c r="AO73" s="57">
        <f>IFERROR(IF($V73="BRAND.com",HLOOKUP($X73&amp;$Z73,NWC_FC_NOOS!$T$4:$AH$23,MATCH(W73,NWC_FC_NOOS!$S$4:$S$23,0),FALSE),0),0)</f>
        <v>0</v>
      </c>
      <c r="AP73" s="57">
        <f>IFERROR(IF($V73="BRAND.com",HLOOKUP($X73&amp;$Z73,NWC_FC_NOOS!$C$50:$U$69,MATCH(W73,NWC_FC_NOOS!$B$50:$B$69,0),FALSE),0),0)</f>
        <v>0</v>
      </c>
      <c r="AQ73" s="58">
        <f>IFERROR(IF($V73="BRAND.com",HLOOKUP($X73&amp;$Z73,'NWC_FC_NON-NOOS'!$C$4:$Q$23,MATCH(W73,'NWC_FC_NON-NOOS'!$B$4:$B$23,0),FALSE),0),0)</f>
        <v>0</v>
      </c>
      <c r="AR73" s="57">
        <f>IFERROR(IF($V73="BRAND.com",HLOOKUP($X73&amp;$Z73,'NWC_FC_NON-NOOS'!$T$4:$AH$23,MATCH(W73,'NWC_FC_NON-NOOS'!$S$4:$S$23,0),FALSE),0),0)</f>
        <v>0</v>
      </c>
      <c r="AS73" s="57">
        <f>IFERROR(IF($V73="BRAND.com",HLOOKUP($X73&amp;$Z73,'NWC_FC_NON-NOOS'!$C$50:$U$69,MATCH(W73,'NWC_FC_NON-NOOS'!$B$50:$B$69,0),FALSE),0),0)</f>
        <v>0</v>
      </c>
      <c r="AT73" s="57">
        <f t="shared" si="50"/>
        <v>0</v>
      </c>
      <c r="AU73" s="57">
        <f t="shared" si="51"/>
        <v>0</v>
      </c>
      <c r="AV73" s="58">
        <f>IFERROR(IF($V73="BRAND.com",HLOOKUP($X73&amp;$Z73,PLANNING_FC!$BB$27:$BP$46,MATCH($W73,PLANNING_FC!$BA$27:$BA$46,0),FALSE),0),0)</f>
        <v>0</v>
      </c>
      <c r="AW73" s="58">
        <f>IFERROR(IF($V73="BRAND.com",HLOOKUP($X73&amp;$Z73,PLANNING_FC!$BB$4:$BP$23,MATCH($W73,PLANNING_FC!$BA$4:$BA$23,0),FALSE),0),0)</f>
        <v>0</v>
      </c>
      <c r="AX73" s="58">
        <f>IFERROR(IF($V73="BRAND.com",HLOOKUP($X73&amp;$Z73,PLANNING_FC!$T$27:$AH$46,MATCH($W73,PLANNING_FC!$B$27:$B$46,0),FALSE),0),0)</f>
        <v>0</v>
      </c>
      <c r="AY73" s="58">
        <f>IFERROR(IF($V73="BRAND.com",HLOOKUP($X73&amp;$Z73,PLANNING_FC!$T$4:$AH$23,MATCH($W73,PLANNING_FC!$B$4:$B$23,0),FALSE),0),0)</f>
        <v>0</v>
      </c>
      <c r="AZ73" s="58">
        <f>IFERROR(IF($V73="BRAND.com",HLOOKUP($X73&amp;$Z73,PLANNING_FC!$DA$27:$DO$46,MATCH($W73,PLANNING_FC!$CZ$27:$CZ$46,0),FALSE),0),0)</f>
        <v>0</v>
      </c>
      <c r="BA73" s="58">
        <f>IFERROR(IF($V73="BRAND.com",HLOOKUP($X73&amp;$Z73,PLANNING_FC!$DA$4:$DO$23,MATCH($W73,PLANNING_FC!$CZ$4:$CZ$23,0),FALSE),0),0)</f>
        <v>0</v>
      </c>
      <c r="BB73" s="883" t="str">
        <f>IF(V73="BRAND.com",IFERROR(HLOOKUP(X73&amp;Z73,PLANNING_FC!$AK$4:$AY$23,MATCH(W73,PLANNING_FC!$AJ$4:$AJ$23,0),FALSE)*1000,""),"")</f>
        <v/>
      </c>
      <c r="BC73" s="883" t="str">
        <f>IF(V73="BRAND.com",IFERROR(HLOOKUP(X73&amp;Z73,PLANNING_FC!$AK$27:$AY$46,MATCH(W73,PLANNING_FC!$AJ$27:$AJ$46,0),FALSE)*1000,""),"")</f>
        <v/>
      </c>
    </row>
    <row r="74" spans="1:55" x14ac:dyDescent="0.25">
      <c r="A74" s="509"/>
      <c r="B74" s="510"/>
      <c r="C74" s="509"/>
      <c r="D74" s="509"/>
      <c r="E74" s="509"/>
      <c r="F74" s="509"/>
      <c r="G74" s="509"/>
      <c r="H74" s="509"/>
      <c r="I74" s="512"/>
      <c r="J74" s="513"/>
      <c r="K74" s="879"/>
      <c r="L74" s="515"/>
      <c r="M74" s="516"/>
      <c r="N74" s="56">
        <f t="shared" si="32"/>
        <v>0</v>
      </c>
      <c r="O74" s="57">
        <f t="shared" si="33"/>
        <v>0</v>
      </c>
      <c r="P74" s="57">
        <f ca="1">IFERROR(IF(ISBLANK(H74),SUMIFS($AC:$AC,$V:$V,V74,$W:$W,W74,$X:$X,X74,$Y:$Y,Y74)*J74/(1-J74)*VLOOKUP(_xlfn.CONCAT(C74,D74,E74,TIME!$M$12,Z74),HIS_SALES!$B$2:$W$4859,20,FALSE),AC74*J74/(1-J74)),0)</f>
        <v>0</v>
      </c>
      <c r="Q74" s="541" t="str">
        <f t="shared" si="34"/>
        <v/>
      </c>
      <c r="R74" s="346" t="str">
        <f t="shared" si="35"/>
        <v>00000</v>
      </c>
      <c r="S74" s="344">
        <f t="shared" si="36"/>
        <v>0</v>
      </c>
      <c r="T74" s="345" t="str">
        <f t="shared" si="49"/>
        <v>000</v>
      </c>
      <c r="U74" s="345">
        <f t="shared" si="37"/>
        <v>0</v>
      </c>
      <c r="V74" s="345">
        <f t="shared" si="38"/>
        <v>0</v>
      </c>
      <c r="W74" s="345">
        <f t="shared" si="39"/>
        <v>0</v>
      </c>
      <c r="X74" s="345">
        <f t="shared" si="40"/>
        <v>0</v>
      </c>
      <c r="Y74" s="345">
        <f t="shared" si="41"/>
        <v>0</v>
      </c>
      <c r="Z74" s="345">
        <f>IF(Q74&lt;&gt;"",VLOOKUP(Y74,TIME!$R$21:$V$24,MATCH(FC_DATA!Q74,TIME!$R$20:$V$20,0),FALSE),H74)</f>
        <v>0</v>
      </c>
      <c r="AA74" s="345" t="str">
        <f>IFERROR(VLOOKUP(X74&amp;Z74,TIME!$A$12:$D$71,4,FALSE),"")</f>
        <v/>
      </c>
      <c r="AB74" s="592">
        <f t="shared" ca="1" si="42"/>
        <v>0</v>
      </c>
      <c r="AC74" s="593" t="e">
        <f ca="1">IF(ISBLANK(H74)=FALSE,IF(D74="BRAND.com",I74,IF(ISNA(VLOOKUP(_xlfn.CONCAT(X74,Z74),TIME!$M$40:$M$42,1,FALSE)),I74,VLOOKUP(_xlfn.CONCAT(D74,G74,H74),M_BUSAREA_FC!$AF$5:$AJ$10,5,FALSE)*HLOOKUP(_xlfn.CONCAT(F74,H74),ST_OVERVIEW!$G$99:$I$130,MATCH(_xlfn.CONCAT(D74,E74),ST_OVERVIEW!$F$99:$F$130,0),FALSE))),IF(D74="BRAND.com",VLOOKUP(_xlfn.CONCAT(C74,D74,E74,TIME!$F$1,Z74),HIS_SALES!$B$2:$V$4859,19,FALSE)*I74,VLOOKUP(_xlfn.CONCAT(D74,F74,G74),Q_BUSAREA_FC!$AE$5:$AI$12,5,FALSE)*HLOOKUP(_xlfn.CONCAT(FC_DATA!F74,FC_DATA!G74),LT_OVERVIEW!$I$99:$M$130,MATCH(_xlfn.CONCAT(D74,FC_DATA!E74),LT_OVERVIEW!$H$99:$H$130,0),FALSE)*IFERROR(VLOOKUP(_xlfn.CONCAT(C74,D74,E74,TIME!$F$1,Z74),HIS_SALES!$B$2:$V$4859,19,FALSE),0)))</f>
        <v>#N/A</v>
      </c>
      <c r="AD74" s="341">
        <f t="shared" ca="1" si="43"/>
        <v>0</v>
      </c>
      <c r="AE74" s="363" t="str">
        <f t="shared" si="44"/>
        <v/>
      </c>
      <c r="AF74" s="342" t="str">
        <f t="shared" si="45"/>
        <v/>
      </c>
      <c r="AG74" s="411" t="e">
        <f ca="1">VLOOKUP(_xlfn.CONCAT(U74,V74,W74,VLOOKUP(X74&amp;Y74,TIME!$L$27:$O$34,4,FALSE),Y74),HIS_SALES!$A$2:$R$5093,18,FALSE)</f>
        <v>#N/A</v>
      </c>
      <c r="AH74" s="412" t="e">
        <f ca="1">IFERROR(IF(AND(V74=V73,W74=W73),0.5*(AB74+AB73)*AG74,(VLOOKUP(_xlfn.CONCAT(U74,V74,W74,X74,VLOOKUP(Z74,TIME!$S$28:$T$39,2,FALSE)),FC_DATA!$R$2:$AB$5000,MATCH("GS_I_M",FC_DATA!$R$1:$AB$1,0),FALSE)+FC_DATA!AB74)*0.5*FC_DATA!AG74),NA())</f>
        <v>#N/A</v>
      </c>
      <c r="AI74" s="491" t="e">
        <f ca="1">IF(V74="PARTNER.com",AH74,IF(AND(V74=V73,W74=W73),(1-AVERAGE(AD73,AD74))*AH74,(1-AVERAGE(AD74,VLOOKUP(_xlfn.CONCAT(U74,V74,W74,X74,M_BRAND_FC!$F$6),FC_DATA!$R$2:$AD$5000,MATCH("DISCOUNT_%_M",FC_DATA!$R$1:$AD$1,0),FALSE)))*AH74))</f>
        <v>#N/A</v>
      </c>
      <c r="AJ74" s="412" t="str">
        <f t="shared" ca="1" si="46"/>
        <v/>
      </c>
      <c r="AK74" s="413" t="str">
        <f>IFERROR(AE74/(Q_BRAND_FC!$T$24+1),"")</f>
        <v/>
      </c>
      <c r="AL74" s="88" t="str">
        <f t="shared" ca="1" si="47"/>
        <v/>
      </c>
      <c r="AM74" s="414" t="str">
        <f t="shared" ca="1" si="48"/>
        <v/>
      </c>
      <c r="AN74" s="58">
        <f>IFERROR(IF($V74="BRAND.com",HLOOKUP($X74&amp;$Z74,NWC_FC_NOOS!$C$4:$Q$23,MATCH(W74,NWC_FC_NOOS!$B$4:$B$23,0),FALSE),0),0)</f>
        <v>0</v>
      </c>
      <c r="AO74" s="57">
        <f>IFERROR(IF($V74="BRAND.com",HLOOKUP($X74&amp;$Z74,NWC_FC_NOOS!$T$4:$AH$23,MATCH(W74,NWC_FC_NOOS!$S$4:$S$23,0),FALSE),0),0)</f>
        <v>0</v>
      </c>
      <c r="AP74" s="57">
        <f>IFERROR(IF($V74="BRAND.com",HLOOKUP($X74&amp;$Z74,NWC_FC_NOOS!$C$50:$U$69,MATCH(W74,NWC_FC_NOOS!$B$50:$B$69,0),FALSE),0),0)</f>
        <v>0</v>
      </c>
      <c r="AQ74" s="58">
        <f>IFERROR(IF($V74="BRAND.com",HLOOKUP($X74&amp;$Z74,'NWC_FC_NON-NOOS'!$C$4:$Q$23,MATCH(W74,'NWC_FC_NON-NOOS'!$B$4:$B$23,0),FALSE),0),0)</f>
        <v>0</v>
      </c>
      <c r="AR74" s="57">
        <f>IFERROR(IF($V74="BRAND.com",HLOOKUP($X74&amp;$Z74,'NWC_FC_NON-NOOS'!$T$4:$AH$23,MATCH(W74,'NWC_FC_NON-NOOS'!$S$4:$S$23,0),FALSE),0),0)</f>
        <v>0</v>
      </c>
      <c r="AS74" s="57">
        <f>IFERROR(IF($V74="BRAND.com",HLOOKUP($X74&amp;$Z74,'NWC_FC_NON-NOOS'!$C$50:$U$69,MATCH(W74,'NWC_FC_NON-NOOS'!$B$50:$B$69,0),FALSE),0),0)</f>
        <v>0</v>
      </c>
      <c r="AT74" s="57">
        <f t="shared" si="50"/>
        <v>0</v>
      </c>
      <c r="AU74" s="57">
        <f t="shared" si="51"/>
        <v>0</v>
      </c>
      <c r="AV74" s="58">
        <f>IFERROR(IF($V74="BRAND.com",HLOOKUP($X74&amp;$Z74,PLANNING_FC!$BB$27:$BP$46,MATCH($W74,PLANNING_FC!$BA$27:$BA$46,0),FALSE),0),0)</f>
        <v>0</v>
      </c>
      <c r="AW74" s="58">
        <f>IFERROR(IF($V74="BRAND.com",HLOOKUP($X74&amp;$Z74,PLANNING_FC!$BB$4:$BP$23,MATCH($W74,PLANNING_FC!$BA$4:$BA$23,0),FALSE),0),0)</f>
        <v>0</v>
      </c>
      <c r="AX74" s="58">
        <f>IFERROR(IF($V74="BRAND.com",HLOOKUP($X74&amp;$Z74,PLANNING_FC!$T$27:$AH$46,MATCH($W74,PLANNING_FC!$B$27:$B$46,0),FALSE),0),0)</f>
        <v>0</v>
      </c>
      <c r="AY74" s="58">
        <f>IFERROR(IF($V74="BRAND.com",HLOOKUP($X74&amp;$Z74,PLANNING_FC!$T$4:$AH$23,MATCH($W74,PLANNING_FC!$B$4:$B$23,0),FALSE),0),0)</f>
        <v>0</v>
      </c>
      <c r="AZ74" s="58">
        <f>IFERROR(IF($V74="BRAND.com",HLOOKUP($X74&amp;$Z74,PLANNING_FC!$DA$27:$DO$46,MATCH($W74,PLANNING_FC!$CZ$27:$CZ$46,0),FALSE),0),0)</f>
        <v>0</v>
      </c>
      <c r="BA74" s="58">
        <f>IFERROR(IF($V74="BRAND.com",HLOOKUP($X74&amp;$Z74,PLANNING_FC!$DA$4:$DO$23,MATCH($W74,PLANNING_FC!$CZ$4:$CZ$23,0),FALSE),0),0)</f>
        <v>0</v>
      </c>
      <c r="BB74" s="883" t="str">
        <f>IF(V74="BRAND.com",IFERROR(HLOOKUP(X74&amp;Z74,PLANNING_FC!$AK$4:$AY$23,MATCH(W74,PLANNING_FC!$AJ$4:$AJ$23,0),FALSE)*1000,""),"")</f>
        <v/>
      </c>
      <c r="BC74" s="883" t="str">
        <f>IF(V74="BRAND.com",IFERROR(HLOOKUP(X74&amp;Z74,PLANNING_FC!$AK$27:$AY$46,MATCH(W74,PLANNING_FC!$AJ$27:$AJ$46,0),FALSE)*1000,""),"")</f>
        <v/>
      </c>
    </row>
    <row r="75" spans="1:55" x14ac:dyDescent="0.25">
      <c r="A75" s="509"/>
      <c r="B75" s="510"/>
      <c r="C75" s="509"/>
      <c r="D75" s="509"/>
      <c r="E75" s="509"/>
      <c r="F75" s="509"/>
      <c r="G75" s="509"/>
      <c r="H75" s="509"/>
      <c r="I75" s="512"/>
      <c r="J75" s="513"/>
      <c r="K75" s="879"/>
      <c r="L75" s="515"/>
      <c r="M75" s="516"/>
      <c r="N75" s="56">
        <f t="shared" si="32"/>
        <v>0</v>
      </c>
      <c r="O75" s="57">
        <f t="shared" si="33"/>
        <v>0</v>
      </c>
      <c r="P75" s="57">
        <f ca="1">IFERROR(IF(ISBLANK(H75),SUMIFS($AC:$AC,$V:$V,V75,$W:$W,W75,$X:$X,X75,$Y:$Y,Y75)*J75/(1-J75)*VLOOKUP(_xlfn.CONCAT(C75,D75,E75,TIME!$M$12,Z75),HIS_SALES!$B$2:$W$4859,20,FALSE),AC75*J75/(1-J75)),0)</f>
        <v>0</v>
      </c>
      <c r="Q75" s="541" t="str">
        <f t="shared" si="34"/>
        <v/>
      </c>
      <c r="R75" s="346" t="str">
        <f t="shared" si="35"/>
        <v>00000</v>
      </c>
      <c r="S75" s="344">
        <f t="shared" si="36"/>
        <v>0</v>
      </c>
      <c r="T75" s="345" t="str">
        <f t="shared" si="49"/>
        <v>000</v>
      </c>
      <c r="U75" s="345">
        <f t="shared" si="37"/>
        <v>0</v>
      </c>
      <c r="V75" s="345">
        <f t="shared" si="38"/>
        <v>0</v>
      </c>
      <c r="W75" s="345">
        <f t="shared" si="39"/>
        <v>0</v>
      </c>
      <c r="X75" s="345">
        <f t="shared" si="40"/>
        <v>0</v>
      </c>
      <c r="Y75" s="345">
        <f t="shared" si="41"/>
        <v>0</v>
      </c>
      <c r="Z75" s="345">
        <f>IF(Q75&lt;&gt;"",VLOOKUP(Y75,TIME!$R$21:$V$24,MATCH(FC_DATA!Q75,TIME!$R$20:$V$20,0),FALSE),H75)</f>
        <v>0</v>
      </c>
      <c r="AA75" s="345" t="str">
        <f>IFERROR(VLOOKUP(X75&amp;Z75,TIME!$A$12:$D$71,4,FALSE),"")</f>
        <v/>
      </c>
      <c r="AB75" s="592">
        <f t="shared" ca="1" si="42"/>
        <v>0</v>
      </c>
      <c r="AC75" s="593" t="e">
        <f ca="1">IF(ISBLANK(H75)=FALSE,IF(D75="BRAND.com",I75,IF(ISNA(VLOOKUP(_xlfn.CONCAT(X75,Z75),TIME!$M$40:$M$42,1,FALSE)),I75,VLOOKUP(_xlfn.CONCAT(D75,G75,H75),M_BUSAREA_FC!$AF$5:$AJ$10,5,FALSE)*HLOOKUP(_xlfn.CONCAT(F75,H75),ST_OVERVIEW!$G$99:$I$130,MATCH(_xlfn.CONCAT(D75,E75),ST_OVERVIEW!$F$99:$F$130,0),FALSE))),IF(D75="BRAND.com",VLOOKUP(_xlfn.CONCAT(C75,D75,E75,TIME!$F$1,Z75),HIS_SALES!$B$2:$V$4859,19,FALSE)*I75,VLOOKUP(_xlfn.CONCAT(D75,F75,G75),Q_BUSAREA_FC!$AE$5:$AI$12,5,FALSE)*HLOOKUP(_xlfn.CONCAT(FC_DATA!F75,FC_DATA!G75),LT_OVERVIEW!$I$99:$M$130,MATCH(_xlfn.CONCAT(D75,FC_DATA!E75),LT_OVERVIEW!$H$99:$H$130,0),FALSE)*IFERROR(VLOOKUP(_xlfn.CONCAT(C75,D75,E75,TIME!$F$1,Z75),HIS_SALES!$B$2:$V$4859,19,FALSE),0)))</f>
        <v>#N/A</v>
      </c>
      <c r="AD75" s="341">
        <f t="shared" ca="1" si="43"/>
        <v>0</v>
      </c>
      <c r="AE75" s="363" t="str">
        <f t="shared" si="44"/>
        <v/>
      </c>
      <c r="AF75" s="342" t="str">
        <f t="shared" si="45"/>
        <v/>
      </c>
      <c r="AG75" s="411" t="e">
        <f ca="1">VLOOKUP(_xlfn.CONCAT(U75,V75,W75,VLOOKUP(X75&amp;Y75,TIME!$L$27:$O$34,4,FALSE),Y75),HIS_SALES!$A$2:$R$5093,18,FALSE)</f>
        <v>#N/A</v>
      </c>
      <c r="AH75" s="412" t="e">
        <f ca="1">IFERROR(IF(AND(V75=V74,W75=W74),0.5*(AB75+AB74)*AG75,(VLOOKUP(_xlfn.CONCAT(U75,V75,W75,X75,VLOOKUP(Z75,TIME!$S$28:$T$39,2,FALSE)),FC_DATA!$R$2:$AB$5000,MATCH("GS_I_M",FC_DATA!$R$1:$AB$1,0),FALSE)+FC_DATA!AB75)*0.5*FC_DATA!AG75),NA())</f>
        <v>#N/A</v>
      </c>
      <c r="AI75" s="491" t="e">
        <f ca="1">IF(V75="PARTNER.com",AH75,IF(AND(V75=V74,W75=W74),(1-AVERAGE(AD74,AD75))*AH75,(1-AVERAGE(AD75,VLOOKUP(_xlfn.CONCAT(U75,V75,W75,X75,M_BRAND_FC!$F$6),FC_DATA!$R$2:$AD$5000,MATCH("DISCOUNT_%_M",FC_DATA!$R$1:$AD$1,0),FALSE)))*AH75))</f>
        <v>#N/A</v>
      </c>
      <c r="AJ75" s="412" t="str">
        <f t="shared" ca="1" si="46"/>
        <v/>
      </c>
      <c r="AK75" s="413" t="str">
        <f>IFERROR(AE75/(Q_BRAND_FC!$T$24+1),"")</f>
        <v/>
      </c>
      <c r="AL75" s="88" t="str">
        <f t="shared" ca="1" si="47"/>
        <v/>
      </c>
      <c r="AM75" s="414" t="str">
        <f t="shared" ca="1" si="48"/>
        <v/>
      </c>
      <c r="AN75" s="58">
        <f>IFERROR(IF($V75="BRAND.com",HLOOKUP($X75&amp;$Z75,NWC_FC_NOOS!$C$4:$Q$23,MATCH(W75,NWC_FC_NOOS!$B$4:$B$23,0),FALSE),0),0)</f>
        <v>0</v>
      </c>
      <c r="AO75" s="57">
        <f>IFERROR(IF($V75="BRAND.com",HLOOKUP($X75&amp;$Z75,NWC_FC_NOOS!$T$4:$AH$23,MATCH(W75,NWC_FC_NOOS!$S$4:$S$23,0),FALSE),0),0)</f>
        <v>0</v>
      </c>
      <c r="AP75" s="57">
        <f>IFERROR(IF($V75="BRAND.com",HLOOKUP($X75&amp;$Z75,NWC_FC_NOOS!$C$50:$U$69,MATCH(W75,NWC_FC_NOOS!$B$50:$B$69,0),FALSE),0),0)</f>
        <v>0</v>
      </c>
      <c r="AQ75" s="58">
        <f>IFERROR(IF($V75="BRAND.com",HLOOKUP($X75&amp;$Z75,'NWC_FC_NON-NOOS'!$C$4:$Q$23,MATCH(W75,'NWC_FC_NON-NOOS'!$B$4:$B$23,0),FALSE),0),0)</f>
        <v>0</v>
      </c>
      <c r="AR75" s="57">
        <f>IFERROR(IF($V75="BRAND.com",HLOOKUP($X75&amp;$Z75,'NWC_FC_NON-NOOS'!$T$4:$AH$23,MATCH(W75,'NWC_FC_NON-NOOS'!$S$4:$S$23,0),FALSE),0),0)</f>
        <v>0</v>
      </c>
      <c r="AS75" s="57">
        <f>IFERROR(IF($V75="BRAND.com",HLOOKUP($X75&amp;$Z75,'NWC_FC_NON-NOOS'!$C$50:$U$69,MATCH(W75,'NWC_FC_NON-NOOS'!$B$50:$B$69,0),FALSE),0),0)</f>
        <v>0</v>
      </c>
      <c r="AT75" s="57">
        <f t="shared" si="50"/>
        <v>0</v>
      </c>
      <c r="AU75" s="57">
        <f t="shared" si="51"/>
        <v>0</v>
      </c>
      <c r="AV75" s="58">
        <f>IFERROR(IF($V75="BRAND.com",HLOOKUP($X75&amp;$Z75,PLANNING_FC!$BB$27:$BP$46,MATCH($W75,PLANNING_FC!$BA$27:$BA$46,0),FALSE),0),0)</f>
        <v>0</v>
      </c>
      <c r="AW75" s="58">
        <f>IFERROR(IF($V75="BRAND.com",HLOOKUP($X75&amp;$Z75,PLANNING_FC!$BB$4:$BP$23,MATCH($W75,PLANNING_FC!$BA$4:$BA$23,0),FALSE),0),0)</f>
        <v>0</v>
      </c>
      <c r="AX75" s="58">
        <f>IFERROR(IF($V75="BRAND.com",HLOOKUP($X75&amp;$Z75,PLANNING_FC!$T$27:$AH$46,MATCH($W75,PLANNING_FC!$B$27:$B$46,0),FALSE),0),0)</f>
        <v>0</v>
      </c>
      <c r="AY75" s="58">
        <f>IFERROR(IF($V75="BRAND.com",HLOOKUP($X75&amp;$Z75,PLANNING_FC!$T$4:$AH$23,MATCH($W75,PLANNING_FC!$B$4:$B$23,0),FALSE),0),0)</f>
        <v>0</v>
      </c>
      <c r="AZ75" s="58">
        <f>IFERROR(IF($V75="BRAND.com",HLOOKUP($X75&amp;$Z75,PLANNING_FC!$DA$27:$DO$46,MATCH($W75,PLANNING_FC!$CZ$27:$CZ$46,0),FALSE),0),0)</f>
        <v>0</v>
      </c>
      <c r="BA75" s="58">
        <f>IFERROR(IF($V75="BRAND.com",HLOOKUP($X75&amp;$Z75,PLANNING_FC!$DA$4:$DO$23,MATCH($W75,PLANNING_FC!$CZ$4:$CZ$23,0),FALSE),0),0)</f>
        <v>0</v>
      </c>
      <c r="BB75" s="883" t="str">
        <f>IF(V75="BRAND.com",IFERROR(HLOOKUP(X75&amp;Z75,PLANNING_FC!$AK$4:$AY$23,MATCH(W75,PLANNING_FC!$AJ$4:$AJ$23,0),FALSE)*1000,""),"")</f>
        <v/>
      </c>
      <c r="BC75" s="883" t="str">
        <f>IF(V75="BRAND.com",IFERROR(HLOOKUP(X75&amp;Z75,PLANNING_FC!$AK$27:$AY$46,MATCH(W75,PLANNING_FC!$AJ$27:$AJ$46,0),FALSE)*1000,""),"")</f>
        <v/>
      </c>
    </row>
    <row r="76" spans="1:55" x14ac:dyDescent="0.25">
      <c r="A76" s="509"/>
      <c r="B76" s="510"/>
      <c r="C76" s="509"/>
      <c r="D76" s="509"/>
      <c r="E76" s="509"/>
      <c r="F76" s="509"/>
      <c r="G76" s="509"/>
      <c r="H76" s="509"/>
      <c r="I76" s="512"/>
      <c r="J76" s="513"/>
      <c r="K76" s="879"/>
      <c r="L76" s="515"/>
      <c r="M76" s="516"/>
      <c r="N76" s="56">
        <f t="shared" si="32"/>
        <v>0</v>
      </c>
      <c r="O76" s="57">
        <f t="shared" si="33"/>
        <v>0</v>
      </c>
      <c r="P76" s="57">
        <f ca="1">IFERROR(IF(ISBLANK(H76),SUMIFS($AC:$AC,$V:$V,V76,$W:$W,W76,$X:$X,X76,$Y:$Y,Y76)*J76/(1-J76)*VLOOKUP(_xlfn.CONCAT(C76,D76,E76,TIME!$M$12,Z76),HIS_SALES!$B$2:$W$4859,20,FALSE),AC76*J76/(1-J76)),0)</f>
        <v>0</v>
      </c>
      <c r="Q76" s="541" t="str">
        <f t="shared" si="34"/>
        <v/>
      </c>
      <c r="R76" s="346" t="str">
        <f t="shared" si="35"/>
        <v>00000</v>
      </c>
      <c r="S76" s="344">
        <f t="shared" si="36"/>
        <v>0</v>
      </c>
      <c r="T76" s="345" t="str">
        <f t="shared" si="49"/>
        <v>000</v>
      </c>
      <c r="U76" s="345">
        <f t="shared" si="37"/>
        <v>0</v>
      </c>
      <c r="V76" s="345">
        <f t="shared" si="38"/>
        <v>0</v>
      </c>
      <c r="W76" s="345">
        <f t="shared" si="39"/>
        <v>0</v>
      </c>
      <c r="X76" s="345">
        <f t="shared" si="40"/>
        <v>0</v>
      </c>
      <c r="Y76" s="345">
        <f t="shared" si="41"/>
        <v>0</v>
      </c>
      <c r="Z76" s="345">
        <f>IF(Q76&lt;&gt;"",VLOOKUP(Y76,TIME!$R$21:$V$24,MATCH(FC_DATA!Q76,TIME!$R$20:$V$20,0),FALSE),H76)</f>
        <v>0</v>
      </c>
      <c r="AA76" s="345" t="str">
        <f>IFERROR(VLOOKUP(X76&amp;Z76,TIME!$A$12:$D$71,4,FALSE),"")</f>
        <v/>
      </c>
      <c r="AB76" s="592">
        <f t="shared" ca="1" si="42"/>
        <v>0</v>
      </c>
      <c r="AC76" s="593" t="e">
        <f ca="1">IF(ISBLANK(H76)=FALSE,IF(D76="BRAND.com",I76,IF(ISNA(VLOOKUP(_xlfn.CONCAT(X76,Z76),TIME!$M$40:$M$42,1,FALSE)),I76,VLOOKUP(_xlfn.CONCAT(D76,G76,H76),M_BUSAREA_FC!$AF$5:$AJ$10,5,FALSE)*HLOOKUP(_xlfn.CONCAT(F76,H76),ST_OVERVIEW!$G$99:$I$130,MATCH(_xlfn.CONCAT(D76,E76),ST_OVERVIEW!$F$99:$F$130,0),FALSE))),IF(D76="BRAND.com",VLOOKUP(_xlfn.CONCAT(C76,D76,E76,TIME!$F$1,Z76),HIS_SALES!$B$2:$V$4859,19,FALSE)*I76,VLOOKUP(_xlfn.CONCAT(D76,F76,G76),Q_BUSAREA_FC!$AE$5:$AI$12,5,FALSE)*HLOOKUP(_xlfn.CONCAT(FC_DATA!F76,FC_DATA!G76),LT_OVERVIEW!$I$99:$M$130,MATCH(_xlfn.CONCAT(D76,FC_DATA!E76),LT_OVERVIEW!$H$99:$H$130,0),FALSE)*IFERROR(VLOOKUP(_xlfn.CONCAT(C76,D76,E76,TIME!$F$1,Z76),HIS_SALES!$B$2:$V$4859,19,FALSE),0)))</f>
        <v>#N/A</v>
      </c>
      <c r="AD76" s="341">
        <f t="shared" ca="1" si="43"/>
        <v>0</v>
      </c>
      <c r="AE76" s="363" t="str">
        <f t="shared" si="44"/>
        <v/>
      </c>
      <c r="AF76" s="342" t="str">
        <f t="shared" si="45"/>
        <v/>
      </c>
      <c r="AG76" s="411" t="e">
        <f ca="1">VLOOKUP(_xlfn.CONCAT(U76,V76,W76,VLOOKUP(X76&amp;Y76,TIME!$L$27:$O$34,4,FALSE),Y76),HIS_SALES!$A$2:$R$5093,18,FALSE)</f>
        <v>#N/A</v>
      </c>
      <c r="AH76" s="412" t="e">
        <f ca="1">IFERROR(IF(AND(V76=V75,W76=W75),0.5*(AB76+AB75)*AG76,(VLOOKUP(_xlfn.CONCAT(U76,V76,W76,X76,VLOOKUP(Z76,TIME!$S$28:$T$39,2,FALSE)),FC_DATA!$R$2:$AB$5000,MATCH("GS_I_M",FC_DATA!$R$1:$AB$1,0),FALSE)+FC_DATA!AB76)*0.5*FC_DATA!AG76),NA())</f>
        <v>#N/A</v>
      </c>
      <c r="AI76" s="491" t="e">
        <f ca="1">IF(V76="PARTNER.com",AH76,IF(AND(V76=V75,W76=W75),(1-AVERAGE(AD75,AD76))*AH76,(1-AVERAGE(AD76,VLOOKUP(_xlfn.CONCAT(U76,V76,W76,X76,M_BRAND_FC!$F$6),FC_DATA!$R$2:$AD$5000,MATCH("DISCOUNT_%_M",FC_DATA!$R$1:$AD$1,0),FALSE)))*AH76))</f>
        <v>#N/A</v>
      </c>
      <c r="AJ76" s="412" t="str">
        <f t="shared" ca="1" si="46"/>
        <v/>
      </c>
      <c r="AK76" s="413" t="str">
        <f>IFERROR(AE76/(Q_BRAND_FC!$T$24+1),"")</f>
        <v/>
      </c>
      <c r="AL76" s="88" t="str">
        <f t="shared" ca="1" si="47"/>
        <v/>
      </c>
      <c r="AM76" s="414" t="str">
        <f t="shared" ca="1" si="48"/>
        <v/>
      </c>
      <c r="AN76" s="58">
        <f>IFERROR(IF($V76="BRAND.com",HLOOKUP($X76&amp;$Z76,NWC_FC_NOOS!$C$4:$Q$23,MATCH(W76,NWC_FC_NOOS!$B$4:$B$23,0),FALSE),0),0)</f>
        <v>0</v>
      </c>
      <c r="AO76" s="57">
        <f>IFERROR(IF($V76="BRAND.com",HLOOKUP($X76&amp;$Z76,NWC_FC_NOOS!$T$4:$AH$23,MATCH(W76,NWC_FC_NOOS!$S$4:$S$23,0),FALSE),0),0)</f>
        <v>0</v>
      </c>
      <c r="AP76" s="57">
        <f>IFERROR(IF($V76="BRAND.com",HLOOKUP($X76&amp;$Z76,NWC_FC_NOOS!$C$50:$U$69,MATCH(W76,NWC_FC_NOOS!$B$50:$B$69,0),FALSE),0),0)</f>
        <v>0</v>
      </c>
      <c r="AQ76" s="58">
        <f>IFERROR(IF($V76="BRAND.com",HLOOKUP($X76&amp;$Z76,'NWC_FC_NON-NOOS'!$C$4:$Q$23,MATCH(W76,'NWC_FC_NON-NOOS'!$B$4:$B$23,0),FALSE),0),0)</f>
        <v>0</v>
      </c>
      <c r="AR76" s="57">
        <f>IFERROR(IF($V76="BRAND.com",HLOOKUP($X76&amp;$Z76,'NWC_FC_NON-NOOS'!$T$4:$AH$23,MATCH(W76,'NWC_FC_NON-NOOS'!$S$4:$S$23,0),FALSE),0),0)</f>
        <v>0</v>
      </c>
      <c r="AS76" s="57">
        <f>IFERROR(IF($V76="BRAND.com",HLOOKUP($X76&amp;$Z76,'NWC_FC_NON-NOOS'!$C$50:$U$69,MATCH(W76,'NWC_FC_NON-NOOS'!$B$50:$B$69,0),FALSE),0),0)</f>
        <v>0</v>
      </c>
      <c r="AT76" s="57">
        <f t="shared" si="50"/>
        <v>0</v>
      </c>
      <c r="AU76" s="57">
        <f t="shared" si="51"/>
        <v>0</v>
      </c>
      <c r="AV76" s="58">
        <f>IFERROR(IF($V76="BRAND.com",HLOOKUP($X76&amp;$Z76,PLANNING_FC!$BB$27:$BP$46,MATCH($W76,PLANNING_FC!$BA$27:$BA$46,0),FALSE),0),0)</f>
        <v>0</v>
      </c>
      <c r="AW76" s="58">
        <f>IFERROR(IF($V76="BRAND.com",HLOOKUP($X76&amp;$Z76,PLANNING_FC!$BB$4:$BP$23,MATCH($W76,PLANNING_FC!$BA$4:$BA$23,0),FALSE),0),0)</f>
        <v>0</v>
      </c>
      <c r="AX76" s="58">
        <f>IFERROR(IF($V76="BRAND.com",HLOOKUP($X76&amp;$Z76,PLANNING_FC!$T$27:$AH$46,MATCH($W76,PLANNING_FC!$B$27:$B$46,0),FALSE),0),0)</f>
        <v>0</v>
      </c>
      <c r="AY76" s="58">
        <f>IFERROR(IF($V76="BRAND.com",HLOOKUP($X76&amp;$Z76,PLANNING_FC!$T$4:$AH$23,MATCH($W76,PLANNING_FC!$B$4:$B$23,0),FALSE),0),0)</f>
        <v>0</v>
      </c>
      <c r="AZ76" s="58">
        <f>IFERROR(IF($V76="BRAND.com",HLOOKUP($X76&amp;$Z76,PLANNING_FC!$DA$27:$DO$46,MATCH($W76,PLANNING_FC!$CZ$27:$CZ$46,0),FALSE),0),0)</f>
        <v>0</v>
      </c>
      <c r="BA76" s="58">
        <f>IFERROR(IF($V76="BRAND.com",HLOOKUP($X76&amp;$Z76,PLANNING_FC!$DA$4:$DO$23,MATCH($W76,PLANNING_FC!$CZ$4:$CZ$23,0),FALSE),0),0)</f>
        <v>0</v>
      </c>
      <c r="BB76" s="883" t="str">
        <f>IF(V76="BRAND.com",IFERROR(HLOOKUP(X76&amp;Z76,PLANNING_FC!$AK$4:$AY$23,MATCH(W76,PLANNING_FC!$AJ$4:$AJ$23,0),FALSE)*1000,""),"")</f>
        <v/>
      </c>
      <c r="BC76" s="883" t="str">
        <f>IF(V76="BRAND.com",IFERROR(HLOOKUP(X76&amp;Z76,PLANNING_FC!$AK$27:$AY$46,MATCH(W76,PLANNING_FC!$AJ$27:$AJ$46,0),FALSE)*1000,""),"")</f>
        <v/>
      </c>
    </row>
    <row r="77" spans="1:55" x14ac:dyDescent="0.25">
      <c r="A77" s="509"/>
      <c r="B77" s="510"/>
      <c r="C77" s="509"/>
      <c r="D77" s="509"/>
      <c r="E77" s="509"/>
      <c r="F77" s="509"/>
      <c r="G77" s="509"/>
      <c r="H77" s="509"/>
      <c r="I77" s="512"/>
      <c r="J77" s="513"/>
      <c r="K77" s="879"/>
      <c r="L77" s="515"/>
      <c r="M77" s="516"/>
      <c r="N77" s="56">
        <f t="shared" si="32"/>
        <v>0</v>
      </c>
      <c r="O77" s="57">
        <f t="shared" si="33"/>
        <v>0</v>
      </c>
      <c r="P77" s="57">
        <f ca="1">IFERROR(IF(ISBLANK(H77),SUMIFS($AC:$AC,$V:$V,V77,$W:$W,W77,$X:$X,X77,$Y:$Y,Y77)*J77/(1-J77)*VLOOKUP(_xlfn.CONCAT(C77,D77,E77,TIME!$M$12,Z77),HIS_SALES!$B$2:$W$4859,20,FALSE),AC77*J77/(1-J77)),0)</f>
        <v>0</v>
      </c>
      <c r="Q77" s="541" t="str">
        <f t="shared" si="34"/>
        <v/>
      </c>
      <c r="R77" s="346" t="str">
        <f t="shared" si="35"/>
        <v>00000</v>
      </c>
      <c r="S77" s="344">
        <f t="shared" si="36"/>
        <v>0</v>
      </c>
      <c r="T77" s="345" t="str">
        <f t="shared" si="49"/>
        <v>000</v>
      </c>
      <c r="U77" s="345">
        <f t="shared" si="37"/>
        <v>0</v>
      </c>
      <c r="V77" s="345">
        <f t="shared" si="38"/>
        <v>0</v>
      </c>
      <c r="W77" s="345">
        <f t="shared" si="39"/>
        <v>0</v>
      </c>
      <c r="X77" s="345">
        <f t="shared" si="40"/>
        <v>0</v>
      </c>
      <c r="Y77" s="345">
        <f t="shared" si="41"/>
        <v>0</v>
      </c>
      <c r="Z77" s="345">
        <f>IF(Q77&lt;&gt;"",VLOOKUP(Y77,TIME!$R$21:$V$24,MATCH(FC_DATA!Q77,TIME!$R$20:$V$20,0),FALSE),H77)</f>
        <v>0</v>
      </c>
      <c r="AA77" s="345" t="str">
        <f>IFERROR(VLOOKUP(X77&amp;Z77,TIME!$A$12:$D$71,4,FALSE),"")</f>
        <v/>
      </c>
      <c r="AB77" s="592">
        <f t="shared" ca="1" si="42"/>
        <v>0</v>
      </c>
      <c r="AC77" s="593" t="e">
        <f ca="1">IF(ISBLANK(H77)=FALSE,IF(D77="BRAND.com",I77,IF(ISNA(VLOOKUP(_xlfn.CONCAT(X77,Z77),TIME!$M$40:$M$42,1,FALSE)),I77,VLOOKUP(_xlfn.CONCAT(D77,G77,H77),M_BUSAREA_FC!$AF$5:$AJ$10,5,FALSE)*HLOOKUP(_xlfn.CONCAT(F77,H77),ST_OVERVIEW!$G$99:$I$130,MATCH(_xlfn.CONCAT(D77,E77),ST_OVERVIEW!$F$99:$F$130,0),FALSE))),IF(D77="BRAND.com",VLOOKUP(_xlfn.CONCAT(C77,D77,E77,TIME!$F$1,Z77),HIS_SALES!$B$2:$V$4859,19,FALSE)*I77,VLOOKUP(_xlfn.CONCAT(D77,F77,G77),Q_BUSAREA_FC!$AE$5:$AI$12,5,FALSE)*HLOOKUP(_xlfn.CONCAT(FC_DATA!F77,FC_DATA!G77),LT_OVERVIEW!$I$99:$M$130,MATCH(_xlfn.CONCAT(D77,FC_DATA!E77),LT_OVERVIEW!$H$99:$H$130,0),FALSE)*IFERROR(VLOOKUP(_xlfn.CONCAT(C77,D77,E77,TIME!$F$1,Z77),HIS_SALES!$B$2:$V$4859,19,FALSE),0)))</f>
        <v>#N/A</v>
      </c>
      <c r="AD77" s="341">
        <f t="shared" ca="1" si="43"/>
        <v>0</v>
      </c>
      <c r="AE77" s="363" t="str">
        <f t="shared" si="44"/>
        <v/>
      </c>
      <c r="AF77" s="342" t="str">
        <f t="shared" si="45"/>
        <v/>
      </c>
      <c r="AG77" s="411" t="e">
        <f ca="1">VLOOKUP(_xlfn.CONCAT(U77,V77,W77,VLOOKUP(X77&amp;Y77,TIME!$L$27:$O$34,4,FALSE),Y77),HIS_SALES!$A$2:$R$5093,18,FALSE)</f>
        <v>#N/A</v>
      </c>
      <c r="AH77" s="412" t="e">
        <f ca="1">IFERROR(IF(AND(V77=V76,W77=W76),0.5*(AB77+AB76)*AG77,(VLOOKUP(_xlfn.CONCAT(U77,V77,W77,X77,VLOOKUP(Z77,TIME!$S$28:$T$39,2,FALSE)),FC_DATA!$R$2:$AB$5000,MATCH("GS_I_M",FC_DATA!$R$1:$AB$1,0),FALSE)+FC_DATA!AB77)*0.5*FC_DATA!AG77),NA())</f>
        <v>#N/A</v>
      </c>
      <c r="AI77" s="491" t="e">
        <f ca="1">IF(V77="PARTNER.com",AH77,IF(AND(V77=V76,W77=W76),(1-AVERAGE(AD76,AD77))*AH77,(1-AVERAGE(AD77,VLOOKUP(_xlfn.CONCAT(U77,V77,W77,X77,M_BRAND_FC!$F$6),FC_DATA!$R$2:$AD$5000,MATCH("DISCOUNT_%_M",FC_DATA!$R$1:$AD$1,0),FALSE)))*AH77))</f>
        <v>#N/A</v>
      </c>
      <c r="AJ77" s="412" t="str">
        <f t="shared" ca="1" si="46"/>
        <v/>
      </c>
      <c r="AK77" s="413" t="str">
        <f>IFERROR(AE77/(Q_BRAND_FC!$T$24+1),"")</f>
        <v/>
      </c>
      <c r="AL77" s="88" t="str">
        <f t="shared" ca="1" si="47"/>
        <v/>
      </c>
      <c r="AM77" s="414" t="str">
        <f t="shared" ca="1" si="48"/>
        <v/>
      </c>
      <c r="AN77" s="58">
        <f>IFERROR(IF($V77="BRAND.com",HLOOKUP($X77&amp;$Z77,NWC_FC_NOOS!$C$4:$Q$23,MATCH(W77,NWC_FC_NOOS!$B$4:$B$23,0),FALSE),0),0)</f>
        <v>0</v>
      </c>
      <c r="AO77" s="57">
        <f>IFERROR(IF($V77="BRAND.com",HLOOKUP($X77&amp;$Z77,NWC_FC_NOOS!$T$4:$AH$23,MATCH(W77,NWC_FC_NOOS!$S$4:$S$23,0),FALSE),0),0)</f>
        <v>0</v>
      </c>
      <c r="AP77" s="57">
        <f>IFERROR(IF($V77="BRAND.com",HLOOKUP($X77&amp;$Z77,NWC_FC_NOOS!$C$50:$U$69,MATCH(W77,NWC_FC_NOOS!$B$50:$B$69,0),FALSE),0),0)</f>
        <v>0</v>
      </c>
      <c r="AQ77" s="58">
        <f>IFERROR(IF($V77="BRAND.com",HLOOKUP($X77&amp;$Z77,'NWC_FC_NON-NOOS'!$C$4:$Q$23,MATCH(W77,'NWC_FC_NON-NOOS'!$B$4:$B$23,0),FALSE),0),0)</f>
        <v>0</v>
      </c>
      <c r="AR77" s="57">
        <f>IFERROR(IF($V77="BRAND.com",HLOOKUP($X77&amp;$Z77,'NWC_FC_NON-NOOS'!$T$4:$AH$23,MATCH(W77,'NWC_FC_NON-NOOS'!$S$4:$S$23,0),FALSE),0),0)</f>
        <v>0</v>
      </c>
      <c r="AS77" s="57">
        <f>IFERROR(IF($V77="BRAND.com",HLOOKUP($X77&amp;$Z77,'NWC_FC_NON-NOOS'!$C$50:$U$69,MATCH(W77,'NWC_FC_NON-NOOS'!$B$50:$B$69,0),FALSE),0),0)</f>
        <v>0</v>
      </c>
      <c r="AT77" s="57">
        <f t="shared" si="50"/>
        <v>0</v>
      </c>
      <c r="AU77" s="57">
        <f t="shared" si="51"/>
        <v>0</v>
      </c>
      <c r="AV77" s="58">
        <f>IFERROR(IF($V77="BRAND.com",HLOOKUP($X77&amp;$Z77,PLANNING_FC!$BB$27:$BP$46,MATCH($W77,PLANNING_FC!$BA$27:$BA$46,0),FALSE),0),0)</f>
        <v>0</v>
      </c>
      <c r="AW77" s="58">
        <f>IFERROR(IF($V77="BRAND.com",HLOOKUP($X77&amp;$Z77,PLANNING_FC!$BB$4:$BP$23,MATCH($W77,PLANNING_FC!$BA$4:$BA$23,0),FALSE),0),0)</f>
        <v>0</v>
      </c>
      <c r="AX77" s="58">
        <f>IFERROR(IF($V77="BRAND.com",HLOOKUP($X77&amp;$Z77,PLANNING_FC!$T$27:$AH$46,MATCH($W77,PLANNING_FC!$B$27:$B$46,0),FALSE),0),0)</f>
        <v>0</v>
      </c>
      <c r="AY77" s="58">
        <f>IFERROR(IF($V77="BRAND.com",HLOOKUP($X77&amp;$Z77,PLANNING_FC!$T$4:$AH$23,MATCH($W77,PLANNING_FC!$B$4:$B$23,0),FALSE),0),0)</f>
        <v>0</v>
      </c>
      <c r="AZ77" s="58">
        <f>IFERROR(IF($V77="BRAND.com",HLOOKUP($X77&amp;$Z77,PLANNING_FC!$DA$27:$DO$46,MATCH($W77,PLANNING_FC!$CZ$27:$CZ$46,0),FALSE),0),0)</f>
        <v>0</v>
      </c>
      <c r="BA77" s="58">
        <f>IFERROR(IF($V77="BRAND.com",HLOOKUP($X77&amp;$Z77,PLANNING_FC!$DA$4:$DO$23,MATCH($W77,PLANNING_FC!$CZ$4:$CZ$23,0),FALSE),0),0)</f>
        <v>0</v>
      </c>
      <c r="BB77" s="883" t="str">
        <f>IF(V77="BRAND.com",IFERROR(HLOOKUP(X77&amp;Z77,PLANNING_FC!$AK$4:$AY$23,MATCH(W77,PLANNING_FC!$AJ$4:$AJ$23,0),FALSE)*1000,""),"")</f>
        <v/>
      </c>
      <c r="BC77" s="883" t="str">
        <f>IF(V77="BRAND.com",IFERROR(HLOOKUP(X77&amp;Z77,PLANNING_FC!$AK$27:$AY$46,MATCH(W77,PLANNING_FC!$AJ$27:$AJ$46,0),FALSE)*1000,""),"")</f>
        <v/>
      </c>
    </row>
    <row r="78" spans="1:55" x14ac:dyDescent="0.25">
      <c r="A78" s="509"/>
      <c r="B78" s="510"/>
      <c r="C78" s="509"/>
      <c r="D78" s="509"/>
      <c r="E78" s="509"/>
      <c r="F78" s="509"/>
      <c r="G78" s="509"/>
      <c r="H78" s="509"/>
      <c r="I78" s="512"/>
      <c r="J78" s="513"/>
      <c r="K78" s="879"/>
      <c r="L78" s="515"/>
      <c r="M78" s="516"/>
      <c r="N78" s="56">
        <f t="shared" si="32"/>
        <v>0</v>
      </c>
      <c r="O78" s="57">
        <f t="shared" si="33"/>
        <v>0</v>
      </c>
      <c r="P78" s="57">
        <f ca="1">IFERROR(IF(ISBLANK(H78),SUMIFS($AC:$AC,$V:$V,V78,$W:$W,W78,$X:$X,X78,$Y:$Y,Y78)*J78/(1-J78)*VLOOKUP(_xlfn.CONCAT(C78,D78,E78,TIME!$M$12,Z78),HIS_SALES!$B$2:$W$4859,20,FALSE),AC78*J78/(1-J78)),0)</f>
        <v>0</v>
      </c>
      <c r="Q78" s="541" t="str">
        <f t="shared" si="34"/>
        <v/>
      </c>
      <c r="R78" s="346" t="str">
        <f t="shared" si="35"/>
        <v>00000</v>
      </c>
      <c r="S78" s="344">
        <f t="shared" si="36"/>
        <v>0</v>
      </c>
      <c r="T78" s="345" t="str">
        <f t="shared" si="49"/>
        <v>000</v>
      </c>
      <c r="U78" s="345">
        <f t="shared" si="37"/>
        <v>0</v>
      </c>
      <c r="V78" s="345">
        <f t="shared" si="38"/>
        <v>0</v>
      </c>
      <c r="W78" s="345">
        <f t="shared" si="39"/>
        <v>0</v>
      </c>
      <c r="X78" s="345">
        <f t="shared" si="40"/>
        <v>0</v>
      </c>
      <c r="Y78" s="345">
        <f t="shared" si="41"/>
        <v>0</v>
      </c>
      <c r="Z78" s="345">
        <f>IF(Q78&lt;&gt;"",VLOOKUP(Y78,TIME!$R$21:$V$24,MATCH(FC_DATA!Q78,TIME!$R$20:$V$20,0),FALSE),H78)</f>
        <v>0</v>
      </c>
      <c r="AA78" s="345" t="str">
        <f>IFERROR(VLOOKUP(X78&amp;Z78,TIME!$A$12:$D$71,4,FALSE),"")</f>
        <v/>
      </c>
      <c r="AB78" s="592">
        <f t="shared" ca="1" si="42"/>
        <v>0</v>
      </c>
      <c r="AC78" s="593" t="e">
        <f ca="1">IF(ISBLANK(H78)=FALSE,IF(D78="BRAND.com",I78,IF(ISNA(VLOOKUP(_xlfn.CONCAT(X78,Z78),TIME!$M$40:$M$42,1,FALSE)),I78,VLOOKUP(_xlfn.CONCAT(D78,G78,H78),M_BUSAREA_FC!$AF$5:$AJ$10,5,FALSE)*HLOOKUP(_xlfn.CONCAT(F78,H78),ST_OVERVIEW!$G$99:$I$130,MATCH(_xlfn.CONCAT(D78,E78),ST_OVERVIEW!$F$99:$F$130,0),FALSE))),IF(D78="BRAND.com",VLOOKUP(_xlfn.CONCAT(C78,D78,E78,TIME!$F$1,Z78),HIS_SALES!$B$2:$V$4859,19,FALSE)*I78,VLOOKUP(_xlfn.CONCAT(D78,F78,G78),Q_BUSAREA_FC!$AE$5:$AI$12,5,FALSE)*HLOOKUP(_xlfn.CONCAT(FC_DATA!F78,FC_DATA!G78),LT_OVERVIEW!$I$99:$M$130,MATCH(_xlfn.CONCAT(D78,FC_DATA!E78),LT_OVERVIEW!$H$99:$H$130,0),FALSE)*IFERROR(VLOOKUP(_xlfn.CONCAT(C78,D78,E78,TIME!$F$1,Z78),HIS_SALES!$B$2:$V$4859,19,FALSE),0)))</f>
        <v>#N/A</v>
      </c>
      <c r="AD78" s="341">
        <f t="shared" ca="1" si="43"/>
        <v>0</v>
      </c>
      <c r="AE78" s="363" t="str">
        <f t="shared" si="44"/>
        <v/>
      </c>
      <c r="AF78" s="342" t="str">
        <f t="shared" si="45"/>
        <v/>
      </c>
      <c r="AG78" s="411" t="e">
        <f ca="1">VLOOKUP(_xlfn.CONCAT(U78,V78,W78,VLOOKUP(X78&amp;Y78,TIME!$L$27:$O$34,4,FALSE),Y78),HIS_SALES!$A$2:$R$5093,18,FALSE)</f>
        <v>#N/A</v>
      </c>
      <c r="AH78" s="412" t="e">
        <f ca="1">IFERROR(IF(AND(V78=V77,W78=W77),0.5*(AB78+AB77)*AG78,(VLOOKUP(_xlfn.CONCAT(U78,V78,W78,X78,VLOOKUP(Z78,TIME!$S$28:$T$39,2,FALSE)),FC_DATA!$R$2:$AB$5000,MATCH("GS_I_M",FC_DATA!$R$1:$AB$1,0),FALSE)+FC_DATA!AB78)*0.5*FC_DATA!AG78),NA())</f>
        <v>#N/A</v>
      </c>
      <c r="AI78" s="491" t="e">
        <f ca="1">IF(V78="PARTNER.com",AH78,IF(AND(V78=V77,W78=W77),(1-AVERAGE(AD77,AD78))*AH78,(1-AVERAGE(AD78,VLOOKUP(_xlfn.CONCAT(U78,V78,W78,X78,M_BRAND_FC!$F$6),FC_DATA!$R$2:$AD$5000,MATCH("DISCOUNT_%_M",FC_DATA!$R$1:$AD$1,0),FALSE)))*AH78))</f>
        <v>#N/A</v>
      </c>
      <c r="AJ78" s="412" t="str">
        <f t="shared" ca="1" si="46"/>
        <v/>
      </c>
      <c r="AK78" s="413" t="str">
        <f>IFERROR(AE78/(Q_BRAND_FC!$T$24+1),"")</f>
        <v/>
      </c>
      <c r="AL78" s="88" t="str">
        <f t="shared" ca="1" si="47"/>
        <v/>
      </c>
      <c r="AM78" s="414" t="str">
        <f t="shared" ca="1" si="48"/>
        <v/>
      </c>
      <c r="AN78" s="58">
        <f>IFERROR(IF($V78="BRAND.com",HLOOKUP($X78&amp;$Z78,NWC_FC_NOOS!$C$4:$Q$23,MATCH(W78,NWC_FC_NOOS!$B$4:$B$23,0),FALSE),0),0)</f>
        <v>0</v>
      </c>
      <c r="AO78" s="57">
        <f>IFERROR(IF($V78="BRAND.com",HLOOKUP($X78&amp;$Z78,NWC_FC_NOOS!$T$4:$AH$23,MATCH(W78,NWC_FC_NOOS!$S$4:$S$23,0),FALSE),0),0)</f>
        <v>0</v>
      </c>
      <c r="AP78" s="57">
        <f>IFERROR(IF($V78="BRAND.com",HLOOKUP($X78&amp;$Z78,NWC_FC_NOOS!$C$50:$U$69,MATCH(W78,NWC_FC_NOOS!$B$50:$B$69,0),FALSE),0),0)</f>
        <v>0</v>
      </c>
      <c r="AQ78" s="58">
        <f>IFERROR(IF($V78="BRAND.com",HLOOKUP($X78&amp;$Z78,'NWC_FC_NON-NOOS'!$C$4:$Q$23,MATCH(W78,'NWC_FC_NON-NOOS'!$B$4:$B$23,0),FALSE),0),0)</f>
        <v>0</v>
      </c>
      <c r="AR78" s="57">
        <f>IFERROR(IF($V78="BRAND.com",HLOOKUP($X78&amp;$Z78,'NWC_FC_NON-NOOS'!$T$4:$AH$23,MATCH(W78,'NWC_FC_NON-NOOS'!$S$4:$S$23,0),FALSE),0),0)</f>
        <v>0</v>
      </c>
      <c r="AS78" s="57">
        <f>IFERROR(IF($V78="BRAND.com",HLOOKUP($X78&amp;$Z78,'NWC_FC_NON-NOOS'!$C$50:$U$69,MATCH(W78,'NWC_FC_NON-NOOS'!$B$50:$B$69,0),FALSE),0),0)</f>
        <v>0</v>
      </c>
      <c r="AT78" s="57">
        <f t="shared" si="50"/>
        <v>0</v>
      </c>
      <c r="AU78" s="57">
        <f t="shared" si="51"/>
        <v>0</v>
      </c>
      <c r="AV78" s="58">
        <f>IFERROR(IF($V78="BRAND.com",HLOOKUP($X78&amp;$Z78,PLANNING_FC!$BB$27:$BP$46,MATCH($W78,PLANNING_FC!$BA$27:$BA$46,0),FALSE),0),0)</f>
        <v>0</v>
      </c>
      <c r="AW78" s="58">
        <f>IFERROR(IF($V78="BRAND.com",HLOOKUP($X78&amp;$Z78,PLANNING_FC!$BB$4:$BP$23,MATCH($W78,PLANNING_FC!$BA$4:$BA$23,0),FALSE),0),0)</f>
        <v>0</v>
      </c>
      <c r="AX78" s="58">
        <f>IFERROR(IF($V78="BRAND.com",HLOOKUP($X78&amp;$Z78,PLANNING_FC!$T$27:$AH$46,MATCH($W78,PLANNING_FC!$B$27:$B$46,0),FALSE),0),0)</f>
        <v>0</v>
      </c>
      <c r="AY78" s="58">
        <f>IFERROR(IF($V78="BRAND.com",HLOOKUP($X78&amp;$Z78,PLANNING_FC!$T$4:$AH$23,MATCH($W78,PLANNING_FC!$B$4:$B$23,0),FALSE),0),0)</f>
        <v>0</v>
      </c>
      <c r="AZ78" s="58">
        <f>IFERROR(IF($V78="BRAND.com",HLOOKUP($X78&amp;$Z78,PLANNING_FC!$DA$27:$DO$46,MATCH($W78,PLANNING_FC!$CZ$27:$CZ$46,0),FALSE),0),0)</f>
        <v>0</v>
      </c>
      <c r="BA78" s="58">
        <f>IFERROR(IF($V78="BRAND.com",HLOOKUP($X78&amp;$Z78,PLANNING_FC!$DA$4:$DO$23,MATCH($W78,PLANNING_FC!$CZ$4:$CZ$23,0),FALSE),0),0)</f>
        <v>0</v>
      </c>
      <c r="BB78" s="883" t="str">
        <f>IF(V78="BRAND.com",IFERROR(HLOOKUP(X78&amp;Z78,PLANNING_FC!$AK$4:$AY$23,MATCH(W78,PLANNING_FC!$AJ$4:$AJ$23,0),FALSE)*1000,""),"")</f>
        <v/>
      </c>
      <c r="BC78" s="883" t="str">
        <f>IF(V78="BRAND.com",IFERROR(HLOOKUP(X78&amp;Z78,PLANNING_FC!$AK$27:$AY$46,MATCH(W78,PLANNING_FC!$AJ$27:$AJ$46,0),FALSE)*1000,""),"")</f>
        <v/>
      </c>
    </row>
    <row r="79" spans="1:55" x14ac:dyDescent="0.25">
      <c r="A79" s="509"/>
      <c r="B79" s="510"/>
      <c r="C79" s="509"/>
      <c r="D79" s="509"/>
      <c r="E79" s="509"/>
      <c r="F79" s="509"/>
      <c r="G79" s="509"/>
      <c r="H79" s="509"/>
      <c r="I79" s="512"/>
      <c r="J79" s="513"/>
      <c r="K79" s="879"/>
      <c r="L79" s="515"/>
      <c r="M79" s="516"/>
      <c r="N79" s="56">
        <f t="shared" si="32"/>
        <v>0</v>
      </c>
      <c r="O79" s="57">
        <f t="shared" si="33"/>
        <v>0</v>
      </c>
      <c r="P79" s="57">
        <f ca="1">IFERROR(IF(ISBLANK(H79),SUMIFS($AC:$AC,$V:$V,V79,$W:$W,W79,$X:$X,X79,$Y:$Y,Y79)*J79/(1-J79)*VLOOKUP(_xlfn.CONCAT(C79,D79,E79,TIME!$M$12,Z79),HIS_SALES!$B$2:$W$4859,20,FALSE),AC79*J79/(1-J79)),0)</f>
        <v>0</v>
      </c>
      <c r="Q79" s="541" t="str">
        <f t="shared" si="34"/>
        <v/>
      </c>
      <c r="R79" s="346" t="str">
        <f t="shared" si="35"/>
        <v>00000</v>
      </c>
      <c r="S79" s="344">
        <f t="shared" si="36"/>
        <v>0</v>
      </c>
      <c r="T79" s="345" t="str">
        <f t="shared" si="49"/>
        <v>000</v>
      </c>
      <c r="U79" s="345">
        <f t="shared" si="37"/>
        <v>0</v>
      </c>
      <c r="V79" s="345">
        <f t="shared" si="38"/>
        <v>0</v>
      </c>
      <c r="W79" s="345">
        <f t="shared" si="39"/>
        <v>0</v>
      </c>
      <c r="X79" s="345">
        <f t="shared" si="40"/>
        <v>0</v>
      </c>
      <c r="Y79" s="345">
        <f t="shared" si="41"/>
        <v>0</v>
      </c>
      <c r="Z79" s="345">
        <f>IF(Q79&lt;&gt;"",VLOOKUP(Y79,TIME!$R$21:$V$24,MATCH(FC_DATA!Q79,TIME!$R$20:$V$20,0),FALSE),H79)</f>
        <v>0</v>
      </c>
      <c r="AA79" s="345" t="str">
        <f>IFERROR(VLOOKUP(X79&amp;Z79,TIME!$A$12:$D$71,4,FALSE),"")</f>
        <v/>
      </c>
      <c r="AB79" s="592">
        <f t="shared" ca="1" si="42"/>
        <v>0</v>
      </c>
      <c r="AC79" s="593" t="e">
        <f ca="1">IF(ISBLANK(H79)=FALSE,IF(D79="BRAND.com",I79,IF(ISNA(VLOOKUP(_xlfn.CONCAT(X79,Z79),TIME!$M$40:$M$42,1,FALSE)),I79,VLOOKUP(_xlfn.CONCAT(D79,G79,H79),M_BUSAREA_FC!$AF$5:$AJ$10,5,FALSE)*HLOOKUP(_xlfn.CONCAT(F79,H79),ST_OVERVIEW!$G$99:$I$130,MATCH(_xlfn.CONCAT(D79,E79),ST_OVERVIEW!$F$99:$F$130,0),FALSE))),IF(D79="BRAND.com",VLOOKUP(_xlfn.CONCAT(C79,D79,E79,TIME!$F$1,Z79),HIS_SALES!$B$2:$V$4859,19,FALSE)*I79,VLOOKUP(_xlfn.CONCAT(D79,F79,G79),Q_BUSAREA_FC!$AE$5:$AI$12,5,FALSE)*HLOOKUP(_xlfn.CONCAT(FC_DATA!F79,FC_DATA!G79),LT_OVERVIEW!$I$99:$M$130,MATCH(_xlfn.CONCAT(D79,FC_DATA!E79),LT_OVERVIEW!$H$99:$H$130,0),FALSE)*IFERROR(VLOOKUP(_xlfn.CONCAT(C79,D79,E79,TIME!$F$1,Z79),HIS_SALES!$B$2:$V$4859,19,FALSE),0)))</f>
        <v>#N/A</v>
      </c>
      <c r="AD79" s="341">
        <f t="shared" ca="1" si="43"/>
        <v>0</v>
      </c>
      <c r="AE79" s="363" t="str">
        <f t="shared" si="44"/>
        <v/>
      </c>
      <c r="AF79" s="342" t="str">
        <f t="shared" si="45"/>
        <v/>
      </c>
      <c r="AG79" s="411" t="e">
        <f ca="1">VLOOKUP(_xlfn.CONCAT(U79,V79,W79,VLOOKUP(X79&amp;Y79,TIME!$L$27:$O$34,4,FALSE),Y79),HIS_SALES!$A$2:$R$5093,18,FALSE)</f>
        <v>#N/A</v>
      </c>
      <c r="AH79" s="412" t="e">
        <f ca="1">IFERROR(IF(AND(V79=V78,W79=W78),0.5*(AB79+AB78)*AG79,(VLOOKUP(_xlfn.CONCAT(U79,V79,W79,X79,VLOOKUP(Z79,TIME!$S$28:$T$39,2,FALSE)),FC_DATA!$R$2:$AB$5000,MATCH("GS_I_M",FC_DATA!$R$1:$AB$1,0),FALSE)+FC_DATA!AB79)*0.5*FC_DATA!AG79),NA())</f>
        <v>#N/A</v>
      </c>
      <c r="AI79" s="491" t="e">
        <f ca="1">IF(V79="PARTNER.com",AH79,IF(AND(V79=V78,W79=W78),(1-AVERAGE(AD78,AD79))*AH79,(1-AVERAGE(AD79,VLOOKUP(_xlfn.CONCAT(U79,V79,W79,X79,M_BRAND_FC!$F$6),FC_DATA!$R$2:$AD$5000,MATCH("DISCOUNT_%_M",FC_DATA!$R$1:$AD$1,0),FALSE)))*AH79))</f>
        <v>#N/A</v>
      </c>
      <c r="AJ79" s="412" t="str">
        <f t="shared" ca="1" si="46"/>
        <v/>
      </c>
      <c r="AK79" s="413" t="str">
        <f>IFERROR(AE79/(Q_BRAND_FC!$T$24+1),"")</f>
        <v/>
      </c>
      <c r="AL79" s="88" t="str">
        <f t="shared" ca="1" si="47"/>
        <v/>
      </c>
      <c r="AM79" s="414" t="str">
        <f t="shared" ca="1" si="48"/>
        <v/>
      </c>
      <c r="AN79" s="58">
        <f>IFERROR(IF($V79="BRAND.com",HLOOKUP($X79&amp;$Z79,NWC_FC_NOOS!$C$4:$Q$23,MATCH(W79,NWC_FC_NOOS!$B$4:$B$23,0),FALSE),0),0)</f>
        <v>0</v>
      </c>
      <c r="AO79" s="57">
        <f>IFERROR(IF($V79="BRAND.com",HLOOKUP($X79&amp;$Z79,NWC_FC_NOOS!$T$4:$AH$23,MATCH(W79,NWC_FC_NOOS!$S$4:$S$23,0),FALSE),0),0)</f>
        <v>0</v>
      </c>
      <c r="AP79" s="57">
        <f>IFERROR(IF($V79="BRAND.com",HLOOKUP($X79&amp;$Z79,NWC_FC_NOOS!$C$50:$U$69,MATCH(W79,NWC_FC_NOOS!$B$50:$B$69,0),FALSE),0),0)</f>
        <v>0</v>
      </c>
      <c r="AQ79" s="58">
        <f>IFERROR(IF($V79="BRAND.com",HLOOKUP($X79&amp;$Z79,'NWC_FC_NON-NOOS'!$C$4:$Q$23,MATCH(W79,'NWC_FC_NON-NOOS'!$B$4:$B$23,0),FALSE),0),0)</f>
        <v>0</v>
      </c>
      <c r="AR79" s="57">
        <f>IFERROR(IF($V79="BRAND.com",HLOOKUP($X79&amp;$Z79,'NWC_FC_NON-NOOS'!$T$4:$AH$23,MATCH(W79,'NWC_FC_NON-NOOS'!$S$4:$S$23,0),FALSE),0),0)</f>
        <v>0</v>
      </c>
      <c r="AS79" s="57">
        <f>IFERROR(IF($V79="BRAND.com",HLOOKUP($X79&amp;$Z79,'NWC_FC_NON-NOOS'!$C$50:$U$69,MATCH(W79,'NWC_FC_NON-NOOS'!$B$50:$B$69,0),FALSE),0),0)</f>
        <v>0</v>
      </c>
      <c r="AT79" s="57">
        <f t="shared" si="50"/>
        <v>0</v>
      </c>
      <c r="AU79" s="57">
        <f t="shared" si="51"/>
        <v>0</v>
      </c>
      <c r="AV79" s="58">
        <f>IFERROR(IF($V79="BRAND.com",HLOOKUP($X79&amp;$Z79,PLANNING_FC!$BB$27:$BP$46,MATCH($W79,PLANNING_FC!$BA$27:$BA$46,0),FALSE),0),0)</f>
        <v>0</v>
      </c>
      <c r="AW79" s="58">
        <f>IFERROR(IF($V79="BRAND.com",HLOOKUP($X79&amp;$Z79,PLANNING_FC!$BB$4:$BP$23,MATCH($W79,PLANNING_FC!$BA$4:$BA$23,0),FALSE),0),0)</f>
        <v>0</v>
      </c>
      <c r="AX79" s="58">
        <f>IFERROR(IF($V79="BRAND.com",HLOOKUP($X79&amp;$Z79,PLANNING_FC!$T$27:$AH$46,MATCH($W79,PLANNING_FC!$B$27:$B$46,0),FALSE),0),0)</f>
        <v>0</v>
      </c>
      <c r="AY79" s="58">
        <f>IFERROR(IF($V79="BRAND.com",HLOOKUP($X79&amp;$Z79,PLANNING_FC!$T$4:$AH$23,MATCH($W79,PLANNING_FC!$B$4:$B$23,0),FALSE),0),0)</f>
        <v>0</v>
      </c>
      <c r="AZ79" s="58">
        <f>IFERROR(IF($V79="BRAND.com",HLOOKUP($X79&amp;$Z79,PLANNING_FC!$DA$27:$DO$46,MATCH($W79,PLANNING_FC!$CZ$27:$CZ$46,0),FALSE),0),0)</f>
        <v>0</v>
      </c>
      <c r="BA79" s="58">
        <f>IFERROR(IF($V79="BRAND.com",HLOOKUP($X79&amp;$Z79,PLANNING_FC!$DA$4:$DO$23,MATCH($W79,PLANNING_FC!$CZ$4:$CZ$23,0),FALSE),0),0)</f>
        <v>0</v>
      </c>
      <c r="BB79" s="883" t="str">
        <f>IF(V79="BRAND.com",IFERROR(HLOOKUP(X79&amp;Z79,PLANNING_FC!$AK$4:$AY$23,MATCH(W79,PLANNING_FC!$AJ$4:$AJ$23,0),FALSE)*1000,""),"")</f>
        <v/>
      </c>
      <c r="BC79" s="883" t="str">
        <f>IF(V79="BRAND.com",IFERROR(HLOOKUP(X79&amp;Z79,PLANNING_FC!$AK$27:$AY$46,MATCH(W79,PLANNING_FC!$AJ$27:$AJ$46,0),FALSE)*1000,""),"")</f>
        <v/>
      </c>
    </row>
    <row r="80" spans="1:55" x14ac:dyDescent="0.25">
      <c r="A80" s="509"/>
      <c r="B80" s="510"/>
      <c r="C80" s="509"/>
      <c r="D80" s="509"/>
      <c r="E80" s="509"/>
      <c r="F80" s="509"/>
      <c r="G80" s="509"/>
      <c r="H80" s="509"/>
      <c r="I80" s="512"/>
      <c r="J80" s="513"/>
      <c r="K80" s="879"/>
      <c r="L80" s="515"/>
      <c r="M80" s="516"/>
      <c r="N80" s="56">
        <f t="shared" si="32"/>
        <v>0</v>
      </c>
      <c r="O80" s="57">
        <f t="shared" si="33"/>
        <v>0</v>
      </c>
      <c r="P80" s="57">
        <f ca="1">IFERROR(IF(ISBLANK(H80),SUMIFS($AC:$AC,$V:$V,V80,$W:$W,W80,$X:$X,X80,$Y:$Y,Y80)*J80/(1-J80)*VLOOKUP(_xlfn.CONCAT(C80,D80,E80,TIME!$M$12,Z80),HIS_SALES!$B$2:$W$4859,20,FALSE),AC80*J80/(1-J80)),0)</f>
        <v>0</v>
      </c>
      <c r="Q80" s="541" t="str">
        <f t="shared" si="34"/>
        <v/>
      </c>
      <c r="R80" s="346" t="str">
        <f t="shared" si="35"/>
        <v>00000</v>
      </c>
      <c r="S80" s="344">
        <f t="shared" si="36"/>
        <v>0</v>
      </c>
      <c r="T80" s="345" t="str">
        <f t="shared" si="49"/>
        <v>000</v>
      </c>
      <c r="U80" s="345">
        <f t="shared" si="37"/>
        <v>0</v>
      </c>
      <c r="V80" s="345">
        <f t="shared" si="38"/>
        <v>0</v>
      </c>
      <c r="W80" s="345">
        <f t="shared" si="39"/>
        <v>0</v>
      </c>
      <c r="X80" s="345">
        <f t="shared" si="40"/>
        <v>0</v>
      </c>
      <c r="Y80" s="345">
        <f t="shared" si="41"/>
        <v>0</v>
      </c>
      <c r="Z80" s="345">
        <f>IF(Q80&lt;&gt;"",VLOOKUP(Y80,TIME!$R$21:$V$24,MATCH(FC_DATA!Q80,TIME!$R$20:$V$20,0),FALSE),H80)</f>
        <v>0</v>
      </c>
      <c r="AA80" s="345" t="str">
        <f>IFERROR(VLOOKUP(X80&amp;Z80,TIME!$A$12:$D$71,4,FALSE),"")</f>
        <v/>
      </c>
      <c r="AB80" s="592">
        <f t="shared" ca="1" si="42"/>
        <v>0</v>
      </c>
      <c r="AC80" s="593" t="e">
        <f ca="1">IF(ISBLANK(H80)=FALSE,IF(D80="BRAND.com",I80,IF(ISNA(VLOOKUP(_xlfn.CONCAT(X80,Z80),TIME!$M$40:$M$42,1,FALSE)),I80,VLOOKUP(_xlfn.CONCAT(D80,G80,H80),M_BUSAREA_FC!$AF$5:$AJ$10,5,FALSE)*HLOOKUP(_xlfn.CONCAT(F80,H80),ST_OVERVIEW!$G$99:$I$130,MATCH(_xlfn.CONCAT(D80,E80),ST_OVERVIEW!$F$99:$F$130,0),FALSE))),IF(D80="BRAND.com",VLOOKUP(_xlfn.CONCAT(C80,D80,E80,TIME!$F$1,Z80),HIS_SALES!$B$2:$V$4859,19,FALSE)*I80,VLOOKUP(_xlfn.CONCAT(D80,F80,G80),Q_BUSAREA_FC!$AE$5:$AI$12,5,FALSE)*HLOOKUP(_xlfn.CONCAT(FC_DATA!F80,FC_DATA!G80),LT_OVERVIEW!$I$99:$M$130,MATCH(_xlfn.CONCAT(D80,FC_DATA!E80),LT_OVERVIEW!$H$99:$H$130,0),FALSE)*IFERROR(VLOOKUP(_xlfn.CONCAT(C80,D80,E80,TIME!$F$1,Z80),HIS_SALES!$B$2:$V$4859,19,FALSE),0)))</f>
        <v>#N/A</v>
      </c>
      <c r="AD80" s="341">
        <f t="shared" ca="1" si="43"/>
        <v>0</v>
      </c>
      <c r="AE80" s="363" t="str">
        <f t="shared" si="44"/>
        <v/>
      </c>
      <c r="AF80" s="342" t="str">
        <f t="shared" si="45"/>
        <v/>
      </c>
      <c r="AG80" s="411" t="e">
        <f ca="1">VLOOKUP(_xlfn.CONCAT(U80,V80,W80,VLOOKUP(X80&amp;Y80,TIME!$L$27:$O$34,4,FALSE),Y80),HIS_SALES!$A$2:$R$5093,18,FALSE)</f>
        <v>#N/A</v>
      </c>
      <c r="AH80" s="412" t="e">
        <f ca="1">IFERROR(IF(AND(V80=V79,W80=W79),0.5*(AB80+AB79)*AG80,(VLOOKUP(_xlfn.CONCAT(U80,V80,W80,X80,VLOOKUP(Z80,TIME!$S$28:$T$39,2,FALSE)),FC_DATA!$R$2:$AB$5000,MATCH("GS_I_M",FC_DATA!$R$1:$AB$1,0),FALSE)+FC_DATA!AB80)*0.5*FC_DATA!AG80),NA())</f>
        <v>#N/A</v>
      </c>
      <c r="AI80" s="491" t="e">
        <f ca="1">IF(V80="PARTNER.com",AH80,IF(AND(V80=V79,W80=W79),(1-AVERAGE(AD79,AD80))*AH80,(1-AVERAGE(AD80,VLOOKUP(_xlfn.CONCAT(U80,V80,W80,X80,M_BRAND_FC!$F$6),FC_DATA!$R$2:$AD$5000,MATCH("DISCOUNT_%_M",FC_DATA!$R$1:$AD$1,0),FALSE)))*AH80))</f>
        <v>#N/A</v>
      </c>
      <c r="AJ80" s="412" t="str">
        <f t="shared" ca="1" si="46"/>
        <v/>
      </c>
      <c r="AK80" s="413" t="str">
        <f>IFERROR(AE80/(Q_BRAND_FC!$T$24+1),"")</f>
        <v/>
      </c>
      <c r="AL80" s="88" t="str">
        <f t="shared" ca="1" si="47"/>
        <v/>
      </c>
      <c r="AM80" s="414" t="str">
        <f t="shared" ca="1" si="48"/>
        <v/>
      </c>
      <c r="AN80" s="58">
        <f>IFERROR(IF($V80="BRAND.com",HLOOKUP($X80&amp;$Z80,NWC_FC_NOOS!$C$4:$Q$23,MATCH(W80,NWC_FC_NOOS!$B$4:$B$23,0),FALSE),0),0)</f>
        <v>0</v>
      </c>
      <c r="AO80" s="57">
        <f>IFERROR(IF($V80="BRAND.com",HLOOKUP($X80&amp;$Z80,NWC_FC_NOOS!$T$4:$AH$23,MATCH(W80,NWC_FC_NOOS!$S$4:$S$23,0),FALSE),0),0)</f>
        <v>0</v>
      </c>
      <c r="AP80" s="57">
        <f>IFERROR(IF($V80="BRAND.com",HLOOKUP($X80&amp;$Z80,NWC_FC_NOOS!$C$50:$U$69,MATCH(W80,NWC_FC_NOOS!$B$50:$B$69,0),FALSE),0),0)</f>
        <v>0</v>
      </c>
      <c r="AQ80" s="58">
        <f>IFERROR(IF($V80="BRAND.com",HLOOKUP($X80&amp;$Z80,'NWC_FC_NON-NOOS'!$C$4:$Q$23,MATCH(W80,'NWC_FC_NON-NOOS'!$B$4:$B$23,0),FALSE),0),0)</f>
        <v>0</v>
      </c>
      <c r="AR80" s="57">
        <f>IFERROR(IF($V80="BRAND.com",HLOOKUP($X80&amp;$Z80,'NWC_FC_NON-NOOS'!$T$4:$AH$23,MATCH(W80,'NWC_FC_NON-NOOS'!$S$4:$S$23,0),FALSE),0),0)</f>
        <v>0</v>
      </c>
      <c r="AS80" s="57">
        <f>IFERROR(IF($V80="BRAND.com",HLOOKUP($X80&amp;$Z80,'NWC_FC_NON-NOOS'!$C$50:$U$69,MATCH(W80,'NWC_FC_NON-NOOS'!$B$50:$B$69,0),FALSE),0),0)</f>
        <v>0</v>
      </c>
      <c r="AT80" s="57">
        <f t="shared" si="50"/>
        <v>0</v>
      </c>
      <c r="AU80" s="57">
        <f t="shared" si="51"/>
        <v>0</v>
      </c>
      <c r="AV80" s="58">
        <f>IFERROR(IF($V80="BRAND.com",HLOOKUP($X80&amp;$Z80,PLANNING_FC!$BB$27:$BP$46,MATCH($W80,PLANNING_FC!$BA$27:$BA$46,0),FALSE),0),0)</f>
        <v>0</v>
      </c>
      <c r="AW80" s="58">
        <f>IFERROR(IF($V80="BRAND.com",HLOOKUP($X80&amp;$Z80,PLANNING_FC!$BB$4:$BP$23,MATCH($W80,PLANNING_FC!$BA$4:$BA$23,0),FALSE),0),0)</f>
        <v>0</v>
      </c>
      <c r="AX80" s="58">
        <f>IFERROR(IF($V80="BRAND.com",HLOOKUP($X80&amp;$Z80,PLANNING_FC!$T$27:$AH$46,MATCH($W80,PLANNING_FC!$B$27:$B$46,0),FALSE),0),0)</f>
        <v>0</v>
      </c>
      <c r="AY80" s="58">
        <f>IFERROR(IF($V80="BRAND.com",HLOOKUP($X80&amp;$Z80,PLANNING_FC!$T$4:$AH$23,MATCH($W80,PLANNING_FC!$B$4:$B$23,0),FALSE),0),0)</f>
        <v>0</v>
      </c>
      <c r="AZ80" s="58">
        <f>IFERROR(IF($V80="BRAND.com",HLOOKUP($X80&amp;$Z80,PLANNING_FC!$DA$27:$DO$46,MATCH($W80,PLANNING_FC!$CZ$27:$CZ$46,0),FALSE),0),0)</f>
        <v>0</v>
      </c>
      <c r="BA80" s="58">
        <f>IFERROR(IF($V80="BRAND.com",HLOOKUP($X80&amp;$Z80,PLANNING_FC!$DA$4:$DO$23,MATCH($W80,PLANNING_FC!$CZ$4:$CZ$23,0),FALSE),0),0)</f>
        <v>0</v>
      </c>
      <c r="BB80" s="883" t="str">
        <f>IF(V80="BRAND.com",IFERROR(HLOOKUP(X80&amp;Z80,PLANNING_FC!$AK$4:$AY$23,MATCH(W80,PLANNING_FC!$AJ$4:$AJ$23,0),FALSE)*1000,""),"")</f>
        <v/>
      </c>
      <c r="BC80" s="883" t="str">
        <f>IF(V80="BRAND.com",IFERROR(HLOOKUP(X80&amp;Z80,PLANNING_FC!$AK$27:$AY$46,MATCH(W80,PLANNING_FC!$AJ$27:$AJ$46,0),FALSE)*1000,""),"")</f>
        <v/>
      </c>
    </row>
    <row r="81" spans="1:55" x14ac:dyDescent="0.25">
      <c r="A81" s="509"/>
      <c r="B81" s="510"/>
      <c r="C81" s="509"/>
      <c r="D81" s="509"/>
      <c r="E81" s="509"/>
      <c r="F81" s="509"/>
      <c r="G81" s="509"/>
      <c r="H81" s="509"/>
      <c r="I81" s="512"/>
      <c r="J81" s="513"/>
      <c r="K81" s="879"/>
      <c r="L81" s="515"/>
      <c r="M81" s="516"/>
      <c r="N81" s="56">
        <f t="shared" si="32"/>
        <v>0</v>
      </c>
      <c r="O81" s="57">
        <f t="shared" si="33"/>
        <v>0</v>
      </c>
      <c r="P81" s="57">
        <f ca="1">IFERROR(IF(ISBLANK(H81),SUMIFS($AC:$AC,$V:$V,V81,$W:$W,W81,$X:$X,X81,$Y:$Y,Y81)*J81/(1-J81)*VLOOKUP(_xlfn.CONCAT(C81,D81,E81,TIME!$M$12,Z81),HIS_SALES!$B$2:$W$4859,20,FALSE),AC81*J81/(1-J81)),0)</f>
        <v>0</v>
      </c>
      <c r="Q81" s="541" t="str">
        <f t="shared" si="34"/>
        <v/>
      </c>
      <c r="R81" s="346" t="str">
        <f t="shared" si="35"/>
        <v>00000</v>
      </c>
      <c r="S81" s="344">
        <f t="shared" si="36"/>
        <v>0</v>
      </c>
      <c r="T81" s="345" t="str">
        <f t="shared" si="49"/>
        <v>000</v>
      </c>
      <c r="U81" s="345">
        <f t="shared" si="37"/>
        <v>0</v>
      </c>
      <c r="V81" s="345">
        <f t="shared" si="38"/>
        <v>0</v>
      </c>
      <c r="W81" s="345">
        <f t="shared" si="39"/>
        <v>0</v>
      </c>
      <c r="X81" s="345">
        <f t="shared" si="40"/>
        <v>0</v>
      </c>
      <c r="Y81" s="345">
        <f t="shared" si="41"/>
        <v>0</v>
      </c>
      <c r="Z81" s="345">
        <f>IF(Q81&lt;&gt;"",VLOOKUP(Y81,TIME!$R$21:$V$24,MATCH(FC_DATA!Q81,TIME!$R$20:$V$20,0),FALSE),H81)</f>
        <v>0</v>
      </c>
      <c r="AA81" s="345" t="str">
        <f>IFERROR(VLOOKUP(X81&amp;Z81,TIME!$A$12:$D$71,4,FALSE),"")</f>
        <v/>
      </c>
      <c r="AB81" s="592">
        <f t="shared" ca="1" si="42"/>
        <v>0</v>
      </c>
      <c r="AC81" s="593" t="e">
        <f ca="1">IF(ISBLANK(H81)=FALSE,IF(D81="BRAND.com",I81,IF(ISNA(VLOOKUP(_xlfn.CONCAT(X81,Z81),TIME!$M$40:$M$42,1,FALSE)),I81,VLOOKUP(_xlfn.CONCAT(D81,G81,H81),M_BUSAREA_FC!$AF$5:$AJ$10,5,FALSE)*HLOOKUP(_xlfn.CONCAT(F81,H81),ST_OVERVIEW!$G$99:$I$130,MATCH(_xlfn.CONCAT(D81,E81),ST_OVERVIEW!$F$99:$F$130,0),FALSE))),IF(D81="BRAND.com",VLOOKUP(_xlfn.CONCAT(C81,D81,E81,TIME!$F$1,Z81),HIS_SALES!$B$2:$V$4859,19,FALSE)*I81,VLOOKUP(_xlfn.CONCAT(D81,F81,G81),Q_BUSAREA_FC!$AE$5:$AI$12,5,FALSE)*HLOOKUP(_xlfn.CONCAT(FC_DATA!F81,FC_DATA!G81),LT_OVERVIEW!$I$99:$M$130,MATCH(_xlfn.CONCAT(D81,FC_DATA!E81),LT_OVERVIEW!$H$99:$H$130,0),FALSE)*IFERROR(VLOOKUP(_xlfn.CONCAT(C81,D81,E81,TIME!$F$1,Z81),HIS_SALES!$B$2:$V$4859,19,FALSE),0)))</f>
        <v>#N/A</v>
      </c>
      <c r="AD81" s="341">
        <f t="shared" ca="1" si="43"/>
        <v>0</v>
      </c>
      <c r="AE81" s="363" t="str">
        <f t="shared" si="44"/>
        <v/>
      </c>
      <c r="AF81" s="342" t="str">
        <f t="shared" si="45"/>
        <v/>
      </c>
      <c r="AG81" s="411" t="e">
        <f ca="1">VLOOKUP(_xlfn.CONCAT(U81,V81,W81,VLOOKUP(X81&amp;Y81,TIME!$L$27:$O$34,4,FALSE),Y81),HIS_SALES!$A$2:$R$5093,18,FALSE)</f>
        <v>#N/A</v>
      </c>
      <c r="AH81" s="412" t="e">
        <f ca="1">IFERROR(IF(AND(V81=V80,W81=W80),0.5*(AB81+AB80)*AG81,(VLOOKUP(_xlfn.CONCAT(U81,V81,W81,X81,VLOOKUP(Z81,TIME!$S$28:$T$39,2,FALSE)),FC_DATA!$R$2:$AB$5000,MATCH("GS_I_M",FC_DATA!$R$1:$AB$1,0),FALSE)+FC_DATA!AB81)*0.5*FC_DATA!AG81),NA())</f>
        <v>#N/A</v>
      </c>
      <c r="AI81" s="491" t="e">
        <f ca="1">IF(V81="PARTNER.com",AH81,IF(AND(V81=V80,W81=W80),(1-AVERAGE(AD80,AD81))*AH81,(1-AVERAGE(AD81,VLOOKUP(_xlfn.CONCAT(U81,V81,W81,X81,M_BRAND_FC!$F$6),FC_DATA!$R$2:$AD$5000,MATCH("DISCOUNT_%_M",FC_DATA!$R$1:$AD$1,0),FALSE)))*AH81))</f>
        <v>#N/A</v>
      </c>
      <c r="AJ81" s="412" t="str">
        <f t="shared" ca="1" si="46"/>
        <v/>
      </c>
      <c r="AK81" s="413" t="str">
        <f>IFERROR(AE81/(Q_BRAND_FC!$T$24+1),"")</f>
        <v/>
      </c>
      <c r="AL81" s="88" t="str">
        <f t="shared" ca="1" si="47"/>
        <v/>
      </c>
      <c r="AM81" s="414" t="str">
        <f t="shared" ca="1" si="48"/>
        <v/>
      </c>
      <c r="AN81" s="58">
        <f>IFERROR(IF($V81="BRAND.com",HLOOKUP($X81&amp;$Z81,NWC_FC_NOOS!$C$4:$Q$23,MATCH(W81,NWC_FC_NOOS!$B$4:$B$23,0),FALSE),0),0)</f>
        <v>0</v>
      </c>
      <c r="AO81" s="57">
        <f>IFERROR(IF($V81="BRAND.com",HLOOKUP($X81&amp;$Z81,NWC_FC_NOOS!$T$4:$AH$23,MATCH(W81,NWC_FC_NOOS!$S$4:$S$23,0),FALSE),0),0)</f>
        <v>0</v>
      </c>
      <c r="AP81" s="57">
        <f>IFERROR(IF($V81="BRAND.com",HLOOKUP($X81&amp;$Z81,NWC_FC_NOOS!$C$50:$U$69,MATCH(W81,NWC_FC_NOOS!$B$50:$B$69,0),FALSE),0),0)</f>
        <v>0</v>
      </c>
      <c r="AQ81" s="58">
        <f>IFERROR(IF($V81="BRAND.com",HLOOKUP($X81&amp;$Z81,'NWC_FC_NON-NOOS'!$C$4:$Q$23,MATCH(W81,'NWC_FC_NON-NOOS'!$B$4:$B$23,0),FALSE),0),0)</f>
        <v>0</v>
      </c>
      <c r="AR81" s="57">
        <f>IFERROR(IF($V81="BRAND.com",HLOOKUP($X81&amp;$Z81,'NWC_FC_NON-NOOS'!$T$4:$AH$23,MATCH(W81,'NWC_FC_NON-NOOS'!$S$4:$S$23,0),FALSE),0),0)</f>
        <v>0</v>
      </c>
      <c r="AS81" s="57">
        <f>IFERROR(IF($V81="BRAND.com",HLOOKUP($X81&amp;$Z81,'NWC_FC_NON-NOOS'!$C$50:$U$69,MATCH(W81,'NWC_FC_NON-NOOS'!$B$50:$B$69,0),FALSE),0),0)</f>
        <v>0</v>
      </c>
      <c r="AT81" s="57">
        <f t="shared" si="50"/>
        <v>0</v>
      </c>
      <c r="AU81" s="57">
        <f t="shared" si="51"/>
        <v>0</v>
      </c>
      <c r="AV81" s="58">
        <f>IFERROR(IF($V81="BRAND.com",HLOOKUP($X81&amp;$Z81,PLANNING_FC!$BB$27:$BP$46,MATCH($W81,PLANNING_FC!$BA$27:$BA$46,0),FALSE),0),0)</f>
        <v>0</v>
      </c>
      <c r="AW81" s="58">
        <f>IFERROR(IF($V81="BRAND.com",HLOOKUP($X81&amp;$Z81,PLANNING_FC!$BB$4:$BP$23,MATCH($W81,PLANNING_FC!$BA$4:$BA$23,0),FALSE),0),0)</f>
        <v>0</v>
      </c>
      <c r="AX81" s="58">
        <f>IFERROR(IF($V81="BRAND.com",HLOOKUP($X81&amp;$Z81,PLANNING_FC!$T$27:$AH$46,MATCH($W81,PLANNING_FC!$B$27:$B$46,0),FALSE),0),0)</f>
        <v>0</v>
      </c>
      <c r="AY81" s="58">
        <f>IFERROR(IF($V81="BRAND.com",HLOOKUP($X81&amp;$Z81,PLANNING_FC!$T$4:$AH$23,MATCH($W81,PLANNING_FC!$B$4:$B$23,0),FALSE),0),0)</f>
        <v>0</v>
      </c>
      <c r="AZ81" s="58">
        <f>IFERROR(IF($V81="BRAND.com",HLOOKUP($X81&amp;$Z81,PLANNING_FC!$DA$27:$DO$46,MATCH($W81,PLANNING_FC!$CZ$27:$CZ$46,0),FALSE),0),0)</f>
        <v>0</v>
      </c>
      <c r="BA81" s="58">
        <f>IFERROR(IF($V81="BRAND.com",HLOOKUP($X81&amp;$Z81,PLANNING_FC!$DA$4:$DO$23,MATCH($W81,PLANNING_FC!$CZ$4:$CZ$23,0),FALSE),0),0)</f>
        <v>0</v>
      </c>
      <c r="BB81" s="883" t="str">
        <f>IF(V81="BRAND.com",IFERROR(HLOOKUP(X81&amp;Z81,PLANNING_FC!$AK$4:$AY$23,MATCH(W81,PLANNING_FC!$AJ$4:$AJ$23,0),FALSE)*1000,""),"")</f>
        <v/>
      </c>
      <c r="BC81" s="883" t="str">
        <f>IF(V81="BRAND.com",IFERROR(HLOOKUP(X81&amp;Z81,PLANNING_FC!$AK$27:$AY$46,MATCH(W81,PLANNING_FC!$AJ$27:$AJ$46,0),FALSE)*1000,""),"")</f>
        <v/>
      </c>
    </row>
    <row r="82" spans="1:55" x14ac:dyDescent="0.25">
      <c r="A82" s="509"/>
      <c r="B82" s="510"/>
      <c r="C82" s="509"/>
      <c r="D82" s="509"/>
      <c r="E82" s="509"/>
      <c r="F82" s="509"/>
      <c r="G82" s="509"/>
      <c r="H82" s="509"/>
      <c r="I82" s="512"/>
      <c r="J82" s="513"/>
      <c r="K82" s="879"/>
      <c r="L82" s="515"/>
      <c r="M82" s="516"/>
      <c r="N82" s="56">
        <f t="shared" si="32"/>
        <v>0</v>
      </c>
      <c r="O82" s="57">
        <f t="shared" si="33"/>
        <v>0</v>
      </c>
      <c r="P82" s="57">
        <f ca="1">IFERROR(IF(ISBLANK(H82),SUMIFS($AC:$AC,$V:$V,V82,$W:$W,W82,$X:$X,X82,$Y:$Y,Y82)*J82/(1-J82)*VLOOKUP(_xlfn.CONCAT(C82,D82,E82,TIME!$M$12,Z82),HIS_SALES!$B$2:$W$4859,20,FALSE),AC82*J82/(1-J82)),0)</f>
        <v>0</v>
      </c>
      <c r="Q82" s="541" t="str">
        <f t="shared" si="34"/>
        <v/>
      </c>
      <c r="R82" s="346" t="str">
        <f t="shared" si="35"/>
        <v>00000</v>
      </c>
      <c r="S82" s="344">
        <f t="shared" si="36"/>
        <v>0</v>
      </c>
      <c r="T82" s="345" t="str">
        <f t="shared" si="49"/>
        <v>000</v>
      </c>
      <c r="U82" s="345">
        <f t="shared" si="37"/>
        <v>0</v>
      </c>
      <c r="V82" s="345">
        <f t="shared" si="38"/>
        <v>0</v>
      </c>
      <c r="W82" s="345">
        <f t="shared" si="39"/>
        <v>0</v>
      </c>
      <c r="X82" s="345">
        <f t="shared" si="40"/>
        <v>0</v>
      </c>
      <c r="Y82" s="345">
        <f t="shared" si="41"/>
        <v>0</v>
      </c>
      <c r="Z82" s="345">
        <f>IF(Q82&lt;&gt;"",VLOOKUP(Y82,TIME!$R$21:$V$24,MATCH(FC_DATA!Q82,TIME!$R$20:$V$20,0),FALSE),H82)</f>
        <v>0</v>
      </c>
      <c r="AA82" s="345" t="str">
        <f>IFERROR(VLOOKUP(X82&amp;Z82,TIME!$A$12:$D$71,4,FALSE),"")</f>
        <v/>
      </c>
      <c r="AB82" s="592">
        <f t="shared" ca="1" si="42"/>
        <v>0</v>
      </c>
      <c r="AC82" s="593" t="e">
        <f ca="1">IF(ISBLANK(H82)=FALSE,IF(D82="BRAND.com",I82,IF(ISNA(VLOOKUP(_xlfn.CONCAT(X82,Z82),TIME!$M$40:$M$42,1,FALSE)),I82,VLOOKUP(_xlfn.CONCAT(D82,G82,H82),M_BUSAREA_FC!$AF$5:$AJ$10,5,FALSE)*HLOOKUP(_xlfn.CONCAT(F82,H82),ST_OVERVIEW!$G$99:$I$130,MATCH(_xlfn.CONCAT(D82,E82),ST_OVERVIEW!$F$99:$F$130,0),FALSE))),IF(D82="BRAND.com",VLOOKUP(_xlfn.CONCAT(C82,D82,E82,TIME!$F$1,Z82),HIS_SALES!$B$2:$V$4859,19,FALSE)*I82,VLOOKUP(_xlfn.CONCAT(D82,F82,G82),Q_BUSAREA_FC!$AE$5:$AI$12,5,FALSE)*HLOOKUP(_xlfn.CONCAT(FC_DATA!F82,FC_DATA!G82),LT_OVERVIEW!$I$99:$M$130,MATCH(_xlfn.CONCAT(D82,FC_DATA!E82),LT_OVERVIEW!$H$99:$H$130,0),FALSE)*IFERROR(VLOOKUP(_xlfn.CONCAT(C82,D82,E82,TIME!$F$1,Z82),HIS_SALES!$B$2:$V$4859,19,FALSE),0)))</f>
        <v>#N/A</v>
      </c>
      <c r="AD82" s="341">
        <f t="shared" ca="1" si="43"/>
        <v>0</v>
      </c>
      <c r="AE82" s="363" t="str">
        <f t="shared" si="44"/>
        <v/>
      </c>
      <c r="AF82" s="342" t="str">
        <f t="shared" si="45"/>
        <v/>
      </c>
      <c r="AG82" s="411" t="e">
        <f ca="1">VLOOKUP(_xlfn.CONCAT(U82,V82,W82,VLOOKUP(X82&amp;Y82,TIME!$L$27:$O$34,4,FALSE),Y82),HIS_SALES!$A$2:$R$5093,18,FALSE)</f>
        <v>#N/A</v>
      </c>
      <c r="AH82" s="412" t="e">
        <f ca="1">IFERROR(IF(AND(V82=V81,W82=W81),0.5*(AB82+AB81)*AG82,(VLOOKUP(_xlfn.CONCAT(U82,V82,W82,X82,VLOOKUP(Z82,TIME!$S$28:$T$39,2,FALSE)),FC_DATA!$R$2:$AB$5000,MATCH("GS_I_M",FC_DATA!$R$1:$AB$1,0),FALSE)+FC_DATA!AB82)*0.5*FC_DATA!AG82),NA())</f>
        <v>#N/A</v>
      </c>
      <c r="AI82" s="491" t="e">
        <f ca="1">IF(V82="PARTNER.com",AH82,IF(AND(V82=V81,W82=W81),(1-AVERAGE(AD81,AD82))*AH82,(1-AVERAGE(AD82,VLOOKUP(_xlfn.CONCAT(U82,V82,W82,X82,M_BRAND_FC!$F$6),FC_DATA!$R$2:$AD$5000,MATCH("DISCOUNT_%_M",FC_DATA!$R$1:$AD$1,0),FALSE)))*AH82))</f>
        <v>#N/A</v>
      </c>
      <c r="AJ82" s="412" t="str">
        <f t="shared" ca="1" si="46"/>
        <v/>
      </c>
      <c r="AK82" s="413" t="str">
        <f>IFERROR(AE82/(Q_BRAND_FC!$T$24+1),"")</f>
        <v/>
      </c>
      <c r="AL82" s="88" t="str">
        <f t="shared" ca="1" si="47"/>
        <v/>
      </c>
      <c r="AM82" s="414" t="str">
        <f t="shared" ca="1" si="48"/>
        <v/>
      </c>
      <c r="AN82" s="58">
        <f>IFERROR(IF($V82="BRAND.com",HLOOKUP($X82&amp;$Z82,NWC_FC_NOOS!$C$4:$Q$23,MATCH(W82,NWC_FC_NOOS!$B$4:$B$23,0),FALSE),0),0)</f>
        <v>0</v>
      </c>
      <c r="AO82" s="57">
        <f>IFERROR(IF($V82="BRAND.com",HLOOKUP($X82&amp;$Z82,NWC_FC_NOOS!$T$4:$AH$23,MATCH(W82,NWC_FC_NOOS!$S$4:$S$23,0),FALSE),0),0)</f>
        <v>0</v>
      </c>
      <c r="AP82" s="57">
        <f>IFERROR(IF($V82="BRAND.com",HLOOKUP($X82&amp;$Z82,NWC_FC_NOOS!$C$50:$U$69,MATCH(W82,NWC_FC_NOOS!$B$50:$B$69,0),FALSE),0),0)</f>
        <v>0</v>
      </c>
      <c r="AQ82" s="58">
        <f>IFERROR(IF($V82="BRAND.com",HLOOKUP($X82&amp;$Z82,'NWC_FC_NON-NOOS'!$C$4:$Q$23,MATCH(W82,'NWC_FC_NON-NOOS'!$B$4:$B$23,0),FALSE),0),0)</f>
        <v>0</v>
      </c>
      <c r="AR82" s="57">
        <f>IFERROR(IF($V82="BRAND.com",HLOOKUP($X82&amp;$Z82,'NWC_FC_NON-NOOS'!$T$4:$AH$23,MATCH(W82,'NWC_FC_NON-NOOS'!$S$4:$S$23,0),FALSE),0),0)</f>
        <v>0</v>
      </c>
      <c r="AS82" s="57">
        <f>IFERROR(IF($V82="BRAND.com",HLOOKUP($X82&amp;$Z82,'NWC_FC_NON-NOOS'!$C$50:$U$69,MATCH(W82,'NWC_FC_NON-NOOS'!$B$50:$B$69,0),FALSE),0),0)</f>
        <v>0</v>
      </c>
      <c r="AT82" s="57">
        <f t="shared" si="50"/>
        <v>0</v>
      </c>
      <c r="AU82" s="57">
        <f t="shared" si="51"/>
        <v>0</v>
      </c>
      <c r="AV82" s="58">
        <f>IFERROR(IF($V82="BRAND.com",HLOOKUP($X82&amp;$Z82,PLANNING_FC!$BB$27:$BP$46,MATCH($W82,PLANNING_FC!$BA$27:$BA$46,0),FALSE),0),0)</f>
        <v>0</v>
      </c>
      <c r="AW82" s="58">
        <f>IFERROR(IF($V82="BRAND.com",HLOOKUP($X82&amp;$Z82,PLANNING_FC!$BB$4:$BP$23,MATCH($W82,PLANNING_FC!$BA$4:$BA$23,0),FALSE),0),0)</f>
        <v>0</v>
      </c>
      <c r="AX82" s="58">
        <f>IFERROR(IF($V82="BRAND.com",HLOOKUP($X82&amp;$Z82,PLANNING_FC!$T$27:$AH$46,MATCH($W82,PLANNING_FC!$B$27:$B$46,0),FALSE),0),0)</f>
        <v>0</v>
      </c>
      <c r="AY82" s="58">
        <f>IFERROR(IF($V82="BRAND.com",HLOOKUP($X82&amp;$Z82,PLANNING_FC!$T$4:$AH$23,MATCH($W82,PLANNING_FC!$B$4:$B$23,0),FALSE),0),0)</f>
        <v>0</v>
      </c>
      <c r="AZ82" s="58">
        <f>IFERROR(IF($V82="BRAND.com",HLOOKUP($X82&amp;$Z82,PLANNING_FC!$DA$27:$DO$46,MATCH($W82,PLANNING_FC!$CZ$27:$CZ$46,0),FALSE),0),0)</f>
        <v>0</v>
      </c>
      <c r="BA82" s="58">
        <f>IFERROR(IF($V82="BRAND.com",HLOOKUP($X82&amp;$Z82,PLANNING_FC!$DA$4:$DO$23,MATCH($W82,PLANNING_FC!$CZ$4:$CZ$23,0),FALSE),0),0)</f>
        <v>0</v>
      </c>
      <c r="BB82" s="883" t="str">
        <f>IF(V82="BRAND.com",IFERROR(HLOOKUP(X82&amp;Z82,PLANNING_FC!$AK$4:$AY$23,MATCH(W82,PLANNING_FC!$AJ$4:$AJ$23,0),FALSE)*1000,""),"")</f>
        <v/>
      </c>
      <c r="BC82" s="883" t="str">
        <f>IF(V82="BRAND.com",IFERROR(HLOOKUP(X82&amp;Z82,PLANNING_FC!$AK$27:$AY$46,MATCH(W82,PLANNING_FC!$AJ$27:$AJ$46,0),FALSE)*1000,""),"")</f>
        <v/>
      </c>
    </row>
    <row r="83" spans="1:55" x14ac:dyDescent="0.25">
      <c r="A83" s="509"/>
      <c r="B83" s="510"/>
      <c r="C83" s="509"/>
      <c r="D83" s="509"/>
      <c r="E83" s="509"/>
      <c r="F83" s="509"/>
      <c r="G83" s="509"/>
      <c r="H83" s="509"/>
      <c r="I83" s="512"/>
      <c r="J83" s="513"/>
      <c r="K83" s="879"/>
      <c r="L83" s="515"/>
      <c r="M83" s="516"/>
      <c r="N83" s="56">
        <f t="shared" si="32"/>
        <v>0</v>
      </c>
      <c r="O83" s="57">
        <f t="shared" si="33"/>
        <v>0</v>
      </c>
      <c r="P83" s="57">
        <f ca="1">IFERROR(IF(ISBLANK(H83),SUMIFS($AC:$AC,$V:$V,V83,$W:$W,W83,$X:$X,X83,$Y:$Y,Y83)*J83/(1-J83)*VLOOKUP(_xlfn.CONCAT(C83,D83,E83,TIME!$M$12,Z83),HIS_SALES!$B$2:$W$4859,20,FALSE),AC83*J83/(1-J83)),0)</f>
        <v>0</v>
      </c>
      <c r="Q83" s="541" t="str">
        <f t="shared" si="34"/>
        <v/>
      </c>
      <c r="R83" s="346" t="str">
        <f t="shared" si="35"/>
        <v>00000</v>
      </c>
      <c r="S83" s="344">
        <f t="shared" si="36"/>
        <v>0</v>
      </c>
      <c r="T83" s="345" t="str">
        <f t="shared" si="49"/>
        <v>000</v>
      </c>
      <c r="U83" s="345">
        <f t="shared" si="37"/>
        <v>0</v>
      </c>
      <c r="V83" s="345">
        <f t="shared" si="38"/>
        <v>0</v>
      </c>
      <c r="W83" s="345">
        <f t="shared" si="39"/>
        <v>0</v>
      </c>
      <c r="X83" s="345">
        <f t="shared" si="40"/>
        <v>0</v>
      </c>
      <c r="Y83" s="345">
        <f t="shared" si="41"/>
        <v>0</v>
      </c>
      <c r="Z83" s="345">
        <f>IF(Q83&lt;&gt;"",VLOOKUP(Y83,TIME!$R$21:$V$24,MATCH(FC_DATA!Q83,TIME!$R$20:$V$20,0),FALSE),H83)</f>
        <v>0</v>
      </c>
      <c r="AA83" s="345" t="str">
        <f>IFERROR(VLOOKUP(X83&amp;Z83,TIME!$A$12:$D$71,4,FALSE),"")</f>
        <v/>
      </c>
      <c r="AB83" s="592">
        <f t="shared" ca="1" si="42"/>
        <v>0</v>
      </c>
      <c r="AC83" s="593" t="e">
        <f ca="1">IF(ISBLANK(H83)=FALSE,IF(D83="BRAND.com",I83,IF(ISNA(VLOOKUP(_xlfn.CONCAT(X83,Z83),TIME!$M$40:$M$42,1,FALSE)),I83,VLOOKUP(_xlfn.CONCAT(D83,G83,H83),M_BUSAREA_FC!$AF$5:$AJ$10,5,FALSE)*HLOOKUP(_xlfn.CONCAT(F83,H83),ST_OVERVIEW!$G$99:$I$130,MATCH(_xlfn.CONCAT(D83,E83),ST_OVERVIEW!$F$99:$F$130,0),FALSE))),IF(D83="BRAND.com",VLOOKUP(_xlfn.CONCAT(C83,D83,E83,TIME!$F$1,Z83),HIS_SALES!$B$2:$V$4859,19,FALSE)*I83,VLOOKUP(_xlfn.CONCAT(D83,F83,G83),Q_BUSAREA_FC!$AE$5:$AI$12,5,FALSE)*HLOOKUP(_xlfn.CONCAT(FC_DATA!F83,FC_DATA!G83),LT_OVERVIEW!$I$99:$M$130,MATCH(_xlfn.CONCAT(D83,FC_DATA!E83),LT_OVERVIEW!$H$99:$H$130,0),FALSE)*IFERROR(VLOOKUP(_xlfn.CONCAT(C83,D83,E83,TIME!$F$1,Z83),HIS_SALES!$B$2:$V$4859,19,FALSE),0)))</f>
        <v>#N/A</v>
      </c>
      <c r="AD83" s="341">
        <f t="shared" ca="1" si="43"/>
        <v>0</v>
      </c>
      <c r="AE83" s="363" t="str">
        <f t="shared" si="44"/>
        <v/>
      </c>
      <c r="AF83" s="342" t="str">
        <f t="shared" si="45"/>
        <v/>
      </c>
      <c r="AG83" s="411" t="e">
        <f ca="1">VLOOKUP(_xlfn.CONCAT(U83,V83,W83,VLOOKUP(X83&amp;Y83,TIME!$L$27:$O$34,4,FALSE),Y83),HIS_SALES!$A$2:$R$5093,18,FALSE)</f>
        <v>#N/A</v>
      </c>
      <c r="AH83" s="412" t="e">
        <f ca="1">IFERROR(IF(AND(V83=V82,W83=W82),0.5*(AB83+AB82)*AG83,(VLOOKUP(_xlfn.CONCAT(U83,V83,W83,X83,VLOOKUP(Z83,TIME!$S$28:$T$39,2,FALSE)),FC_DATA!$R$2:$AB$5000,MATCH("GS_I_M",FC_DATA!$R$1:$AB$1,0),FALSE)+FC_DATA!AB83)*0.5*FC_DATA!AG83),NA())</f>
        <v>#N/A</v>
      </c>
      <c r="AI83" s="491" t="e">
        <f ca="1">IF(V83="PARTNER.com",AH83,IF(AND(V83=V82,W83=W82),(1-AVERAGE(AD82,AD83))*AH83,(1-AVERAGE(AD83,VLOOKUP(_xlfn.CONCAT(U83,V83,W83,X83,M_BRAND_FC!$F$6),FC_DATA!$R$2:$AD$5000,MATCH("DISCOUNT_%_M",FC_DATA!$R$1:$AD$1,0),FALSE)))*AH83))</f>
        <v>#N/A</v>
      </c>
      <c r="AJ83" s="412" t="str">
        <f t="shared" ca="1" si="46"/>
        <v/>
      </c>
      <c r="AK83" s="413" t="str">
        <f>IFERROR(AE83/(Q_BRAND_FC!$T$24+1),"")</f>
        <v/>
      </c>
      <c r="AL83" s="88" t="str">
        <f t="shared" ca="1" si="47"/>
        <v/>
      </c>
      <c r="AM83" s="414" t="str">
        <f t="shared" ca="1" si="48"/>
        <v/>
      </c>
      <c r="AN83" s="58">
        <f>IFERROR(IF($V83="BRAND.com",HLOOKUP($X83&amp;$Z83,NWC_FC_NOOS!$C$4:$Q$23,MATCH(W83,NWC_FC_NOOS!$B$4:$B$23,0),FALSE),0),0)</f>
        <v>0</v>
      </c>
      <c r="AO83" s="57">
        <f>IFERROR(IF($V83="BRAND.com",HLOOKUP($X83&amp;$Z83,NWC_FC_NOOS!$T$4:$AH$23,MATCH(W83,NWC_FC_NOOS!$S$4:$S$23,0),FALSE),0),0)</f>
        <v>0</v>
      </c>
      <c r="AP83" s="57">
        <f>IFERROR(IF($V83="BRAND.com",HLOOKUP($X83&amp;$Z83,NWC_FC_NOOS!$C$50:$U$69,MATCH(W83,NWC_FC_NOOS!$B$50:$B$69,0),FALSE),0),0)</f>
        <v>0</v>
      </c>
      <c r="AQ83" s="58">
        <f>IFERROR(IF($V83="BRAND.com",HLOOKUP($X83&amp;$Z83,'NWC_FC_NON-NOOS'!$C$4:$Q$23,MATCH(W83,'NWC_FC_NON-NOOS'!$B$4:$B$23,0),FALSE),0),0)</f>
        <v>0</v>
      </c>
      <c r="AR83" s="57">
        <f>IFERROR(IF($V83="BRAND.com",HLOOKUP($X83&amp;$Z83,'NWC_FC_NON-NOOS'!$T$4:$AH$23,MATCH(W83,'NWC_FC_NON-NOOS'!$S$4:$S$23,0),FALSE),0),0)</f>
        <v>0</v>
      </c>
      <c r="AS83" s="57">
        <f>IFERROR(IF($V83="BRAND.com",HLOOKUP($X83&amp;$Z83,'NWC_FC_NON-NOOS'!$C$50:$U$69,MATCH(W83,'NWC_FC_NON-NOOS'!$B$50:$B$69,0),FALSE),0),0)</f>
        <v>0</v>
      </c>
      <c r="AT83" s="57">
        <f t="shared" si="50"/>
        <v>0</v>
      </c>
      <c r="AU83" s="57">
        <f t="shared" si="51"/>
        <v>0</v>
      </c>
      <c r="AV83" s="58">
        <f>IFERROR(IF($V83="BRAND.com",HLOOKUP($X83&amp;$Z83,PLANNING_FC!$BB$27:$BP$46,MATCH($W83,PLANNING_FC!$BA$27:$BA$46,0),FALSE),0),0)</f>
        <v>0</v>
      </c>
      <c r="AW83" s="58">
        <f>IFERROR(IF($V83="BRAND.com",HLOOKUP($X83&amp;$Z83,PLANNING_FC!$BB$4:$BP$23,MATCH($W83,PLANNING_FC!$BA$4:$BA$23,0),FALSE),0),0)</f>
        <v>0</v>
      </c>
      <c r="AX83" s="58">
        <f>IFERROR(IF($V83="BRAND.com",HLOOKUP($X83&amp;$Z83,PLANNING_FC!$T$27:$AH$46,MATCH($W83,PLANNING_FC!$B$27:$B$46,0),FALSE),0),0)</f>
        <v>0</v>
      </c>
      <c r="AY83" s="58">
        <f>IFERROR(IF($V83="BRAND.com",HLOOKUP($X83&amp;$Z83,PLANNING_FC!$T$4:$AH$23,MATCH($W83,PLANNING_FC!$B$4:$B$23,0),FALSE),0),0)</f>
        <v>0</v>
      </c>
      <c r="AZ83" s="58">
        <f>IFERROR(IF($V83="BRAND.com",HLOOKUP($X83&amp;$Z83,PLANNING_FC!$DA$27:$DO$46,MATCH($W83,PLANNING_FC!$CZ$27:$CZ$46,0),FALSE),0),0)</f>
        <v>0</v>
      </c>
      <c r="BA83" s="58">
        <f>IFERROR(IF($V83="BRAND.com",HLOOKUP($X83&amp;$Z83,PLANNING_FC!$DA$4:$DO$23,MATCH($W83,PLANNING_FC!$CZ$4:$CZ$23,0),FALSE),0),0)</f>
        <v>0</v>
      </c>
      <c r="BB83" s="883" t="str">
        <f>IF(V83="BRAND.com",IFERROR(HLOOKUP(X83&amp;Z83,PLANNING_FC!$AK$4:$AY$23,MATCH(W83,PLANNING_FC!$AJ$4:$AJ$23,0),FALSE)*1000,""),"")</f>
        <v/>
      </c>
      <c r="BC83" s="883" t="str">
        <f>IF(V83="BRAND.com",IFERROR(HLOOKUP(X83&amp;Z83,PLANNING_FC!$AK$27:$AY$46,MATCH(W83,PLANNING_FC!$AJ$27:$AJ$46,0),FALSE)*1000,""),"")</f>
        <v/>
      </c>
    </row>
    <row r="84" spans="1:55" x14ac:dyDescent="0.25">
      <c r="A84" s="509"/>
      <c r="B84" s="510"/>
      <c r="C84" s="509"/>
      <c r="D84" s="509"/>
      <c r="E84" s="509"/>
      <c r="F84" s="509"/>
      <c r="G84" s="509"/>
      <c r="H84" s="509"/>
      <c r="I84" s="512"/>
      <c r="J84" s="513"/>
      <c r="K84" s="879"/>
      <c r="L84" s="515"/>
      <c r="M84" s="516"/>
      <c r="N84" s="56">
        <f t="shared" si="32"/>
        <v>0</v>
      </c>
      <c r="O84" s="57">
        <f t="shared" si="33"/>
        <v>0</v>
      </c>
      <c r="P84" s="57">
        <f ca="1">IFERROR(IF(ISBLANK(H84),SUMIFS($AC:$AC,$V:$V,V84,$W:$W,W84,$X:$X,X84,$Y:$Y,Y84)*J84/(1-J84)*VLOOKUP(_xlfn.CONCAT(C84,D84,E84,TIME!$M$12,Z84),HIS_SALES!$B$2:$W$4859,20,FALSE),AC84*J84/(1-J84)),0)</f>
        <v>0</v>
      </c>
      <c r="Q84" s="541" t="str">
        <f t="shared" si="34"/>
        <v/>
      </c>
      <c r="R84" s="346" t="str">
        <f t="shared" si="35"/>
        <v>00000</v>
      </c>
      <c r="S84" s="344">
        <f t="shared" si="36"/>
        <v>0</v>
      </c>
      <c r="T84" s="345" t="str">
        <f t="shared" si="49"/>
        <v>000</v>
      </c>
      <c r="U84" s="345">
        <f t="shared" si="37"/>
        <v>0</v>
      </c>
      <c r="V84" s="345">
        <f t="shared" si="38"/>
        <v>0</v>
      </c>
      <c r="W84" s="345">
        <f t="shared" si="39"/>
        <v>0</v>
      </c>
      <c r="X84" s="345">
        <f t="shared" si="40"/>
        <v>0</v>
      </c>
      <c r="Y84" s="345">
        <f t="shared" si="41"/>
        <v>0</v>
      </c>
      <c r="Z84" s="345">
        <f>IF(Q84&lt;&gt;"",VLOOKUP(Y84,TIME!$R$21:$V$24,MATCH(FC_DATA!Q84,TIME!$R$20:$V$20,0),FALSE),H84)</f>
        <v>0</v>
      </c>
      <c r="AA84" s="345" t="str">
        <f>IFERROR(VLOOKUP(X84&amp;Z84,TIME!$A$12:$D$71,4,FALSE),"")</f>
        <v/>
      </c>
      <c r="AB84" s="592">
        <f t="shared" ca="1" si="42"/>
        <v>0</v>
      </c>
      <c r="AC84" s="593" t="e">
        <f ca="1">IF(ISBLANK(H84)=FALSE,IF(D84="BRAND.com",I84,IF(ISNA(VLOOKUP(_xlfn.CONCAT(X84,Z84),TIME!$M$40:$M$42,1,FALSE)),I84,VLOOKUP(_xlfn.CONCAT(D84,G84,H84),M_BUSAREA_FC!$AF$5:$AJ$10,5,FALSE)*HLOOKUP(_xlfn.CONCAT(F84,H84),ST_OVERVIEW!$G$99:$I$130,MATCH(_xlfn.CONCAT(D84,E84),ST_OVERVIEW!$F$99:$F$130,0),FALSE))),IF(D84="BRAND.com",VLOOKUP(_xlfn.CONCAT(C84,D84,E84,TIME!$F$1,Z84),HIS_SALES!$B$2:$V$4859,19,FALSE)*I84,VLOOKUP(_xlfn.CONCAT(D84,F84,G84),Q_BUSAREA_FC!$AE$5:$AI$12,5,FALSE)*HLOOKUP(_xlfn.CONCAT(FC_DATA!F84,FC_DATA!G84),LT_OVERVIEW!$I$99:$M$130,MATCH(_xlfn.CONCAT(D84,FC_DATA!E84),LT_OVERVIEW!$H$99:$H$130,0),FALSE)*IFERROR(VLOOKUP(_xlfn.CONCAT(C84,D84,E84,TIME!$F$1,Z84),HIS_SALES!$B$2:$V$4859,19,FALSE),0)))</f>
        <v>#N/A</v>
      </c>
      <c r="AD84" s="341">
        <f t="shared" ca="1" si="43"/>
        <v>0</v>
      </c>
      <c r="AE84" s="363" t="str">
        <f t="shared" si="44"/>
        <v/>
      </c>
      <c r="AF84" s="342" t="str">
        <f t="shared" si="45"/>
        <v/>
      </c>
      <c r="AG84" s="411" t="e">
        <f ca="1">VLOOKUP(_xlfn.CONCAT(U84,V84,W84,VLOOKUP(X84&amp;Y84,TIME!$L$27:$O$34,4,FALSE),Y84),HIS_SALES!$A$2:$R$5093,18,FALSE)</f>
        <v>#N/A</v>
      </c>
      <c r="AH84" s="412" t="e">
        <f ca="1">IFERROR(IF(AND(V84=V83,W84=W83),0.5*(AB84+AB83)*AG84,(VLOOKUP(_xlfn.CONCAT(U84,V84,W84,X84,VLOOKUP(Z84,TIME!$S$28:$T$39,2,FALSE)),FC_DATA!$R$2:$AB$5000,MATCH("GS_I_M",FC_DATA!$R$1:$AB$1,0),FALSE)+FC_DATA!AB84)*0.5*FC_DATA!AG84),NA())</f>
        <v>#N/A</v>
      </c>
      <c r="AI84" s="491" t="e">
        <f ca="1">IF(V84="PARTNER.com",AH84,IF(AND(V84=V83,W84=W83),(1-AVERAGE(AD83,AD84))*AH84,(1-AVERAGE(AD84,VLOOKUP(_xlfn.CONCAT(U84,V84,W84,X84,M_BRAND_FC!$F$6),FC_DATA!$R$2:$AD$5000,MATCH("DISCOUNT_%_M",FC_DATA!$R$1:$AD$1,0),FALSE)))*AH84))</f>
        <v>#N/A</v>
      </c>
      <c r="AJ84" s="412" t="str">
        <f t="shared" ca="1" si="46"/>
        <v/>
      </c>
      <c r="AK84" s="413" t="str">
        <f>IFERROR(AE84/(Q_BRAND_FC!$T$24+1),"")</f>
        <v/>
      </c>
      <c r="AL84" s="88" t="str">
        <f t="shared" ca="1" si="47"/>
        <v/>
      </c>
      <c r="AM84" s="414" t="str">
        <f t="shared" ca="1" si="48"/>
        <v/>
      </c>
      <c r="AN84" s="58">
        <f>IFERROR(IF($V84="BRAND.com",HLOOKUP($X84&amp;$Z84,NWC_FC_NOOS!$C$4:$Q$23,MATCH(W84,NWC_FC_NOOS!$B$4:$B$23,0),FALSE),0),0)</f>
        <v>0</v>
      </c>
      <c r="AO84" s="57">
        <f>IFERROR(IF($V84="BRAND.com",HLOOKUP($X84&amp;$Z84,NWC_FC_NOOS!$T$4:$AH$23,MATCH(W84,NWC_FC_NOOS!$S$4:$S$23,0),FALSE),0),0)</f>
        <v>0</v>
      </c>
      <c r="AP84" s="57">
        <f>IFERROR(IF($V84="BRAND.com",HLOOKUP($X84&amp;$Z84,NWC_FC_NOOS!$C$50:$U$69,MATCH(W84,NWC_FC_NOOS!$B$50:$B$69,0),FALSE),0),0)</f>
        <v>0</v>
      </c>
      <c r="AQ84" s="58">
        <f>IFERROR(IF($V84="BRAND.com",HLOOKUP($X84&amp;$Z84,'NWC_FC_NON-NOOS'!$C$4:$Q$23,MATCH(W84,'NWC_FC_NON-NOOS'!$B$4:$B$23,0),FALSE),0),0)</f>
        <v>0</v>
      </c>
      <c r="AR84" s="57">
        <f>IFERROR(IF($V84="BRAND.com",HLOOKUP($X84&amp;$Z84,'NWC_FC_NON-NOOS'!$T$4:$AH$23,MATCH(W84,'NWC_FC_NON-NOOS'!$S$4:$S$23,0),FALSE),0),0)</f>
        <v>0</v>
      </c>
      <c r="AS84" s="57">
        <f>IFERROR(IF($V84="BRAND.com",HLOOKUP($X84&amp;$Z84,'NWC_FC_NON-NOOS'!$C$50:$U$69,MATCH(W84,'NWC_FC_NON-NOOS'!$B$50:$B$69,0),FALSE),0),0)</f>
        <v>0</v>
      </c>
      <c r="AT84" s="57">
        <f t="shared" si="50"/>
        <v>0</v>
      </c>
      <c r="AU84" s="57">
        <f t="shared" si="51"/>
        <v>0</v>
      </c>
      <c r="AV84" s="58">
        <f>IFERROR(IF($V84="BRAND.com",HLOOKUP($X84&amp;$Z84,PLANNING_FC!$BB$27:$BP$46,MATCH($W84,PLANNING_FC!$BA$27:$BA$46,0),FALSE),0),0)</f>
        <v>0</v>
      </c>
      <c r="AW84" s="58">
        <f>IFERROR(IF($V84="BRAND.com",HLOOKUP($X84&amp;$Z84,PLANNING_FC!$BB$4:$BP$23,MATCH($W84,PLANNING_FC!$BA$4:$BA$23,0),FALSE),0),0)</f>
        <v>0</v>
      </c>
      <c r="AX84" s="58">
        <f>IFERROR(IF($V84="BRAND.com",HLOOKUP($X84&amp;$Z84,PLANNING_FC!$T$27:$AH$46,MATCH($W84,PLANNING_FC!$B$27:$B$46,0),FALSE),0),0)</f>
        <v>0</v>
      </c>
      <c r="AY84" s="58">
        <f>IFERROR(IF($V84="BRAND.com",HLOOKUP($X84&amp;$Z84,PLANNING_FC!$T$4:$AH$23,MATCH($W84,PLANNING_FC!$B$4:$B$23,0),FALSE),0),0)</f>
        <v>0</v>
      </c>
      <c r="AZ84" s="58">
        <f>IFERROR(IF($V84="BRAND.com",HLOOKUP($X84&amp;$Z84,PLANNING_FC!$DA$27:$DO$46,MATCH($W84,PLANNING_FC!$CZ$27:$CZ$46,0),FALSE),0),0)</f>
        <v>0</v>
      </c>
      <c r="BA84" s="58">
        <f>IFERROR(IF($V84="BRAND.com",HLOOKUP($X84&amp;$Z84,PLANNING_FC!$DA$4:$DO$23,MATCH($W84,PLANNING_FC!$CZ$4:$CZ$23,0),FALSE),0),0)</f>
        <v>0</v>
      </c>
      <c r="BB84" s="883" t="str">
        <f>IF(V84="BRAND.com",IFERROR(HLOOKUP(X84&amp;Z84,PLANNING_FC!$AK$4:$AY$23,MATCH(W84,PLANNING_FC!$AJ$4:$AJ$23,0),FALSE)*1000,""),"")</f>
        <v/>
      </c>
      <c r="BC84" s="883" t="str">
        <f>IF(V84="BRAND.com",IFERROR(HLOOKUP(X84&amp;Z84,PLANNING_FC!$AK$27:$AY$46,MATCH(W84,PLANNING_FC!$AJ$27:$AJ$46,0),FALSE)*1000,""),"")</f>
        <v/>
      </c>
    </row>
    <row r="85" spans="1:55" x14ac:dyDescent="0.25">
      <c r="A85" s="509"/>
      <c r="B85" s="510"/>
      <c r="C85" s="509"/>
      <c r="D85" s="509"/>
      <c r="E85" s="509"/>
      <c r="F85" s="509"/>
      <c r="G85" s="509"/>
      <c r="H85" s="509"/>
      <c r="I85" s="512"/>
      <c r="J85" s="513"/>
      <c r="K85" s="879"/>
      <c r="L85" s="515"/>
      <c r="M85" s="516"/>
      <c r="N85" s="56">
        <f t="shared" si="32"/>
        <v>0</v>
      </c>
      <c r="O85" s="57">
        <f t="shared" si="33"/>
        <v>0</v>
      </c>
      <c r="P85" s="57">
        <f ca="1">IFERROR(IF(ISBLANK(H85),SUMIFS($AC:$AC,$V:$V,V85,$W:$W,W85,$X:$X,X85,$Y:$Y,Y85)*J85/(1-J85)*VLOOKUP(_xlfn.CONCAT(C85,D85,E85,TIME!$M$12,Z85),HIS_SALES!$B$2:$W$4859,20,FALSE),AC85*J85/(1-J85)),0)</f>
        <v>0</v>
      </c>
      <c r="Q85" s="541" t="str">
        <f t="shared" si="34"/>
        <v/>
      </c>
      <c r="R85" s="346" t="str">
        <f t="shared" si="35"/>
        <v>00000</v>
      </c>
      <c r="S85" s="344">
        <f t="shared" si="36"/>
        <v>0</v>
      </c>
      <c r="T85" s="345" t="str">
        <f t="shared" si="49"/>
        <v>000</v>
      </c>
      <c r="U85" s="345">
        <f t="shared" si="37"/>
        <v>0</v>
      </c>
      <c r="V85" s="345">
        <f t="shared" si="38"/>
        <v>0</v>
      </c>
      <c r="W85" s="345">
        <f t="shared" si="39"/>
        <v>0</v>
      </c>
      <c r="X85" s="345">
        <f t="shared" si="40"/>
        <v>0</v>
      </c>
      <c r="Y85" s="345">
        <f t="shared" si="41"/>
        <v>0</v>
      </c>
      <c r="Z85" s="345">
        <f>IF(Q85&lt;&gt;"",VLOOKUP(Y85,TIME!$R$21:$V$24,MATCH(FC_DATA!Q85,TIME!$R$20:$V$20,0),FALSE),H85)</f>
        <v>0</v>
      </c>
      <c r="AA85" s="345" t="str">
        <f>IFERROR(VLOOKUP(X85&amp;Z85,TIME!$A$12:$D$71,4,FALSE),"")</f>
        <v/>
      </c>
      <c r="AB85" s="592">
        <f t="shared" ca="1" si="42"/>
        <v>0</v>
      </c>
      <c r="AC85" s="593" t="e">
        <f ca="1">IF(ISBLANK(H85)=FALSE,IF(D85="BRAND.com",I85,IF(ISNA(VLOOKUP(_xlfn.CONCAT(X85,Z85),TIME!$M$40:$M$42,1,FALSE)),I85,VLOOKUP(_xlfn.CONCAT(D85,G85,H85),M_BUSAREA_FC!$AF$5:$AJ$10,5,FALSE)*HLOOKUP(_xlfn.CONCAT(F85,H85),ST_OVERVIEW!$G$99:$I$130,MATCH(_xlfn.CONCAT(D85,E85),ST_OVERVIEW!$F$99:$F$130,0),FALSE))),IF(D85="BRAND.com",VLOOKUP(_xlfn.CONCAT(C85,D85,E85,TIME!$F$1,Z85),HIS_SALES!$B$2:$V$4859,19,FALSE)*I85,VLOOKUP(_xlfn.CONCAT(D85,F85,G85),Q_BUSAREA_FC!$AE$5:$AI$12,5,FALSE)*HLOOKUP(_xlfn.CONCAT(FC_DATA!F85,FC_DATA!G85),LT_OVERVIEW!$I$99:$M$130,MATCH(_xlfn.CONCAT(D85,FC_DATA!E85),LT_OVERVIEW!$H$99:$H$130,0),FALSE)*IFERROR(VLOOKUP(_xlfn.CONCAT(C85,D85,E85,TIME!$F$1,Z85),HIS_SALES!$B$2:$V$4859,19,FALSE),0)))</f>
        <v>#N/A</v>
      </c>
      <c r="AD85" s="341">
        <f t="shared" ca="1" si="43"/>
        <v>0</v>
      </c>
      <c r="AE85" s="363" t="str">
        <f t="shared" si="44"/>
        <v/>
      </c>
      <c r="AF85" s="342" t="str">
        <f t="shared" si="45"/>
        <v/>
      </c>
      <c r="AG85" s="411" t="e">
        <f ca="1">VLOOKUP(_xlfn.CONCAT(U85,V85,W85,VLOOKUP(X85&amp;Y85,TIME!$L$27:$O$34,4,FALSE),Y85),HIS_SALES!$A$2:$R$5093,18,FALSE)</f>
        <v>#N/A</v>
      </c>
      <c r="AH85" s="412" t="e">
        <f ca="1">IFERROR(IF(AND(V85=V84,W85=W84),0.5*(AB85+AB84)*AG85,(VLOOKUP(_xlfn.CONCAT(U85,V85,W85,X85,VLOOKUP(Z85,TIME!$S$28:$T$39,2,FALSE)),FC_DATA!$R$2:$AB$5000,MATCH("GS_I_M",FC_DATA!$R$1:$AB$1,0),FALSE)+FC_DATA!AB85)*0.5*FC_DATA!AG85),NA())</f>
        <v>#N/A</v>
      </c>
      <c r="AI85" s="491" t="e">
        <f ca="1">IF(V85="PARTNER.com",AH85,IF(AND(V85=V84,W85=W84),(1-AVERAGE(AD84,AD85))*AH85,(1-AVERAGE(AD85,VLOOKUP(_xlfn.CONCAT(U85,V85,W85,X85,M_BRAND_FC!$F$6),FC_DATA!$R$2:$AD$5000,MATCH("DISCOUNT_%_M",FC_DATA!$R$1:$AD$1,0),FALSE)))*AH85))</f>
        <v>#N/A</v>
      </c>
      <c r="AJ85" s="412" t="str">
        <f t="shared" ca="1" si="46"/>
        <v/>
      </c>
      <c r="AK85" s="413" t="str">
        <f>IFERROR(AE85/(Q_BRAND_FC!$T$24+1),"")</f>
        <v/>
      </c>
      <c r="AL85" s="88" t="str">
        <f t="shared" ca="1" si="47"/>
        <v/>
      </c>
      <c r="AM85" s="414" t="str">
        <f t="shared" ca="1" si="48"/>
        <v/>
      </c>
      <c r="AN85" s="58">
        <f>IFERROR(IF($V85="BRAND.com",HLOOKUP($X85&amp;$Z85,NWC_FC_NOOS!$C$4:$Q$23,MATCH(W85,NWC_FC_NOOS!$B$4:$B$23,0),FALSE),0),0)</f>
        <v>0</v>
      </c>
      <c r="AO85" s="57">
        <f>IFERROR(IF($V85="BRAND.com",HLOOKUP($X85&amp;$Z85,NWC_FC_NOOS!$T$4:$AH$23,MATCH(W85,NWC_FC_NOOS!$S$4:$S$23,0),FALSE),0),0)</f>
        <v>0</v>
      </c>
      <c r="AP85" s="57">
        <f>IFERROR(IF($V85="BRAND.com",HLOOKUP($X85&amp;$Z85,NWC_FC_NOOS!$C$50:$U$69,MATCH(W85,NWC_FC_NOOS!$B$50:$B$69,0),FALSE),0),0)</f>
        <v>0</v>
      </c>
      <c r="AQ85" s="58">
        <f>IFERROR(IF($V85="BRAND.com",HLOOKUP($X85&amp;$Z85,'NWC_FC_NON-NOOS'!$C$4:$Q$23,MATCH(W85,'NWC_FC_NON-NOOS'!$B$4:$B$23,0),FALSE),0),0)</f>
        <v>0</v>
      </c>
      <c r="AR85" s="57">
        <f>IFERROR(IF($V85="BRAND.com",HLOOKUP($X85&amp;$Z85,'NWC_FC_NON-NOOS'!$T$4:$AH$23,MATCH(W85,'NWC_FC_NON-NOOS'!$S$4:$S$23,0),FALSE),0),0)</f>
        <v>0</v>
      </c>
      <c r="AS85" s="57">
        <f>IFERROR(IF($V85="BRAND.com",HLOOKUP($X85&amp;$Z85,'NWC_FC_NON-NOOS'!$C$50:$U$69,MATCH(W85,'NWC_FC_NON-NOOS'!$B$50:$B$69,0),FALSE),0),0)</f>
        <v>0</v>
      </c>
      <c r="AT85" s="57">
        <f t="shared" si="50"/>
        <v>0</v>
      </c>
      <c r="AU85" s="57">
        <f t="shared" si="51"/>
        <v>0</v>
      </c>
      <c r="AV85" s="58">
        <f>IFERROR(IF($V85="BRAND.com",HLOOKUP($X85&amp;$Z85,PLANNING_FC!$BB$27:$BP$46,MATCH($W85,PLANNING_FC!$BA$27:$BA$46,0),FALSE),0),0)</f>
        <v>0</v>
      </c>
      <c r="AW85" s="58">
        <f>IFERROR(IF($V85="BRAND.com",HLOOKUP($X85&amp;$Z85,PLANNING_FC!$BB$4:$BP$23,MATCH($W85,PLANNING_FC!$BA$4:$BA$23,0),FALSE),0),0)</f>
        <v>0</v>
      </c>
      <c r="AX85" s="58">
        <f>IFERROR(IF($V85="BRAND.com",HLOOKUP($X85&amp;$Z85,PLANNING_FC!$T$27:$AH$46,MATCH($W85,PLANNING_FC!$B$27:$B$46,0),FALSE),0),0)</f>
        <v>0</v>
      </c>
      <c r="AY85" s="58">
        <f>IFERROR(IF($V85="BRAND.com",HLOOKUP($X85&amp;$Z85,PLANNING_FC!$T$4:$AH$23,MATCH($W85,PLANNING_FC!$B$4:$B$23,0),FALSE),0),0)</f>
        <v>0</v>
      </c>
      <c r="AZ85" s="58">
        <f>IFERROR(IF($V85="BRAND.com",HLOOKUP($X85&amp;$Z85,PLANNING_FC!$DA$27:$DO$46,MATCH($W85,PLANNING_FC!$CZ$27:$CZ$46,0),FALSE),0),0)</f>
        <v>0</v>
      </c>
      <c r="BA85" s="58">
        <f>IFERROR(IF($V85="BRAND.com",HLOOKUP($X85&amp;$Z85,PLANNING_FC!$DA$4:$DO$23,MATCH($W85,PLANNING_FC!$CZ$4:$CZ$23,0),FALSE),0),0)</f>
        <v>0</v>
      </c>
      <c r="BB85" s="883" t="str">
        <f>IF(V85="BRAND.com",IFERROR(HLOOKUP(X85&amp;Z85,PLANNING_FC!$AK$4:$AY$23,MATCH(W85,PLANNING_FC!$AJ$4:$AJ$23,0),FALSE)*1000,""),"")</f>
        <v/>
      </c>
      <c r="BC85" s="883" t="str">
        <f>IF(V85="BRAND.com",IFERROR(HLOOKUP(X85&amp;Z85,PLANNING_FC!$AK$27:$AY$46,MATCH(W85,PLANNING_FC!$AJ$27:$AJ$46,0),FALSE)*1000,""),"")</f>
        <v/>
      </c>
    </row>
    <row r="86" spans="1:55" x14ac:dyDescent="0.25">
      <c r="A86" s="509"/>
      <c r="B86" s="510"/>
      <c r="C86" s="509"/>
      <c r="D86" s="509"/>
      <c r="E86" s="509"/>
      <c r="F86" s="509"/>
      <c r="G86" s="509"/>
      <c r="H86" s="509"/>
      <c r="I86" s="512"/>
      <c r="J86" s="513"/>
      <c r="K86" s="879"/>
      <c r="L86" s="515"/>
      <c r="M86" s="516"/>
      <c r="N86" s="56">
        <f t="shared" si="32"/>
        <v>0</v>
      </c>
      <c r="O86" s="57">
        <f t="shared" si="33"/>
        <v>0</v>
      </c>
      <c r="P86" s="57">
        <f ca="1">IFERROR(IF(ISBLANK(H86),SUMIFS($AC:$AC,$V:$V,V86,$W:$W,W86,$X:$X,X86,$Y:$Y,Y86)*J86/(1-J86)*VLOOKUP(_xlfn.CONCAT(C86,D86,E86,TIME!$M$12,Z86),HIS_SALES!$B$2:$W$4859,20,FALSE),AC86*J86/(1-J86)),0)</f>
        <v>0</v>
      </c>
      <c r="Q86" s="541" t="str">
        <f t="shared" si="34"/>
        <v/>
      </c>
      <c r="R86" s="346" t="str">
        <f t="shared" si="35"/>
        <v>00000</v>
      </c>
      <c r="S86" s="344">
        <f t="shared" si="36"/>
        <v>0</v>
      </c>
      <c r="T86" s="345" t="str">
        <f t="shared" si="49"/>
        <v>000</v>
      </c>
      <c r="U86" s="345">
        <f t="shared" si="37"/>
        <v>0</v>
      </c>
      <c r="V86" s="345">
        <f t="shared" si="38"/>
        <v>0</v>
      </c>
      <c r="W86" s="345">
        <f t="shared" si="39"/>
        <v>0</v>
      </c>
      <c r="X86" s="345">
        <f t="shared" si="40"/>
        <v>0</v>
      </c>
      <c r="Y86" s="345">
        <f t="shared" si="41"/>
        <v>0</v>
      </c>
      <c r="Z86" s="345">
        <f>IF(Q86&lt;&gt;"",VLOOKUP(Y86,TIME!$R$21:$V$24,MATCH(FC_DATA!Q86,TIME!$R$20:$V$20,0),FALSE),H86)</f>
        <v>0</v>
      </c>
      <c r="AA86" s="345" t="str">
        <f>IFERROR(VLOOKUP(X86&amp;Z86,TIME!$A$12:$D$71,4,FALSE),"")</f>
        <v/>
      </c>
      <c r="AB86" s="592">
        <f t="shared" ca="1" si="42"/>
        <v>0</v>
      </c>
      <c r="AC86" s="593" t="e">
        <f ca="1">IF(ISBLANK(H86)=FALSE,IF(D86="BRAND.com",I86,IF(ISNA(VLOOKUP(_xlfn.CONCAT(X86,Z86),TIME!$M$40:$M$42,1,FALSE)),I86,VLOOKUP(_xlfn.CONCAT(D86,G86,H86),M_BUSAREA_FC!$AF$5:$AJ$10,5,FALSE)*HLOOKUP(_xlfn.CONCAT(F86,H86),ST_OVERVIEW!$G$99:$I$130,MATCH(_xlfn.CONCAT(D86,E86),ST_OVERVIEW!$F$99:$F$130,0),FALSE))),IF(D86="BRAND.com",VLOOKUP(_xlfn.CONCAT(C86,D86,E86,TIME!$F$1,Z86),HIS_SALES!$B$2:$V$4859,19,FALSE)*I86,VLOOKUP(_xlfn.CONCAT(D86,F86,G86),Q_BUSAREA_FC!$AE$5:$AI$12,5,FALSE)*HLOOKUP(_xlfn.CONCAT(FC_DATA!F86,FC_DATA!G86),LT_OVERVIEW!$I$99:$M$130,MATCH(_xlfn.CONCAT(D86,FC_DATA!E86),LT_OVERVIEW!$H$99:$H$130,0),FALSE)*IFERROR(VLOOKUP(_xlfn.CONCAT(C86,D86,E86,TIME!$F$1,Z86),HIS_SALES!$B$2:$V$4859,19,FALSE),0)))</f>
        <v>#N/A</v>
      </c>
      <c r="AD86" s="341">
        <f t="shared" ca="1" si="43"/>
        <v>0</v>
      </c>
      <c r="AE86" s="363" t="str">
        <f t="shared" si="44"/>
        <v/>
      </c>
      <c r="AF86" s="342" t="str">
        <f t="shared" si="45"/>
        <v/>
      </c>
      <c r="AG86" s="411" t="e">
        <f ca="1">VLOOKUP(_xlfn.CONCAT(U86,V86,W86,VLOOKUP(X86&amp;Y86,TIME!$L$27:$O$34,4,FALSE),Y86),HIS_SALES!$A$2:$R$5093,18,FALSE)</f>
        <v>#N/A</v>
      </c>
      <c r="AH86" s="412" t="e">
        <f ca="1">IFERROR(IF(AND(V86=V85,W86=W85),0.5*(AB86+AB85)*AG86,(VLOOKUP(_xlfn.CONCAT(U86,V86,W86,X86,VLOOKUP(Z86,TIME!$S$28:$T$39,2,FALSE)),FC_DATA!$R$2:$AB$5000,MATCH("GS_I_M",FC_DATA!$R$1:$AB$1,0),FALSE)+FC_DATA!AB86)*0.5*FC_DATA!AG86),NA())</f>
        <v>#N/A</v>
      </c>
      <c r="AI86" s="491" t="e">
        <f ca="1">IF(V86="PARTNER.com",AH86,IF(AND(V86=V85,W86=W85),(1-AVERAGE(AD85,AD86))*AH86,(1-AVERAGE(AD86,VLOOKUP(_xlfn.CONCAT(U86,V86,W86,X86,M_BRAND_FC!$F$6),FC_DATA!$R$2:$AD$5000,MATCH("DISCOUNT_%_M",FC_DATA!$R$1:$AD$1,0),FALSE)))*AH86))</f>
        <v>#N/A</v>
      </c>
      <c r="AJ86" s="412" t="str">
        <f t="shared" ca="1" si="46"/>
        <v/>
      </c>
      <c r="AK86" s="413" t="str">
        <f>IFERROR(AE86/(Q_BRAND_FC!$T$24+1),"")</f>
        <v/>
      </c>
      <c r="AL86" s="88" t="str">
        <f t="shared" ca="1" si="47"/>
        <v/>
      </c>
      <c r="AM86" s="414" t="str">
        <f t="shared" ca="1" si="48"/>
        <v/>
      </c>
      <c r="AN86" s="58">
        <f>IFERROR(IF($V86="BRAND.com",HLOOKUP($X86&amp;$Z86,NWC_FC_NOOS!$C$4:$Q$23,MATCH(W86,NWC_FC_NOOS!$B$4:$B$23,0),FALSE),0),0)</f>
        <v>0</v>
      </c>
      <c r="AO86" s="57">
        <f>IFERROR(IF($V86="BRAND.com",HLOOKUP($X86&amp;$Z86,NWC_FC_NOOS!$T$4:$AH$23,MATCH(W86,NWC_FC_NOOS!$S$4:$S$23,0),FALSE),0),0)</f>
        <v>0</v>
      </c>
      <c r="AP86" s="57">
        <f>IFERROR(IF($V86="BRAND.com",HLOOKUP($X86&amp;$Z86,NWC_FC_NOOS!$C$50:$U$69,MATCH(W86,NWC_FC_NOOS!$B$50:$B$69,0),FALSE),0),0)</f>
        <v>0</v>
      </c>
      <c r="AQ86" s="58">
        <f>IFERROR(IF($V86="BRAND.com",HLOOKUP($X86&amp;$Z86,'NWC_FC_NON-NOOS'!$C$4:$Q$23,MATCH(W86,'NWC_FC_NON-NOOS'!$B$4:$B$23,0),FALSE),0),0)</f>
        <v>0</v>
      </c>
      <c r="AR86" s="57">
        <f>IFERROR(IF($V86="BRAND.com",HLOOKUP($X86&amp;$Z86,'NWC_FC_NON-NOOS'!$T$4:$AH$23,MATCH(W86,'NWC_FC_NON-NOOS'!$S$4:$S$23,0),FALSE),0),0)</f>
        <v>0</v>
      </c>
      <c r="AS86" s="57">
        <f>IFERROR(IF($V86="BRAND.com",HLOOKUP($X86&amp;$Z86,'NWC_FC_NON-NOOS'!$C$50:$U$69,MATCH(W86,'NWC_FC_NON-NOOS'!$B$50:$B$69,0),FALSE),0),0)</f>
        <v>0</v>
      </c>
      <c r="AT86" s="57">
        <f t="shared" si="50"/>
        <v>0</v>
      </c>
      <c r="AU86" s="57">
        <f t="shared" si="51"/>
        <v>0</v>
      </c>
      <c r="AV86" s="58">
        <f>IFERROR(IF($V86="BRAND.com",HLOOKUP($X86&amp;$Z86,PLANNING_FC!$BB$27:$BP$46,MATCH($W86,PLANNING_FC!$BA$27:$BA$46,0),FALSE),0),0)</f>
        <v>0</v>
      </c>
      <c r="AW86" s="58">
        <f>IFERROR(IF($V86="BRAND.com",HLOOKUP($X86&amp;$Z86,PLANNING_FC!$BB$4:$BP$23,MATCH($W86,PLANNING_FC!$BA$4:$BA$23,0),FALSE),0),0)</f>
        <v>0</v>
      </c>
      <c r="AX86" s="58">
        <f>IFERROR(IF($V86="BRAND.com",HLOOKUP($X86&amp;$Z86,PLANNING_FC!$T$27:$AH$46,MATCH($W86,PLANNING_FC!$B$27:$B$46,0),FALSE),0),0)</f>
        <v>0</v>
      </c>
      <c r="AY86" s="58">
        <f>IFERROR(IF($V86="BRAND.com",HLOOKUP($X86&amp;$Z86,PLANNING_FC!$T$4:$AH$23,MATCH($W86,PLANNING_FC!$B$4:$B$23,0),FALSE),0),0)</f>
        <v>0</v>
      </c>
      <c r="AZ86" s="58">
        <f>IFERROR(IF($V86="BRAND.com",HLOOKUP($X86&amp;$Z86,PLANNING_FC!$DA$27:$DO$46,MATCH($W86,PLANNING_FC!$CZ$27:$CZ$46,0),FALSE),0),0)</f>
        <v>0</v>
      </c>
      <c r="BA86" s="58">
        <f>IFERROR(IF($V86="BRAND.com",HLOOKUP($X86&amp;$Z86,PLANNING_FC!$DA$4:$DO$23,MATCH($W86,PLANNING_FC!$CZ$4:$CZ$23,0),FALSE),0),0)</f>
        <v>0</v>
      </c>
      <c r="BB86" s="883" t="str">
        <f>IF(V86="BRAND.com",IFERROR(HLOOKUP(X86&amp;Z86,PLANNING_FC!$AK$4:$AY$23,MATCH(W86,PLANNING_FC!$AJ$4:$AJ$23,0),FALSE)*1000,""),"")</f>
        <v/>
      </c>
      <c r="BC86" s="883" t="str">
        <f>IF(V86="BRAND.com",IFERROR(HLOOKUP(X86&amp;Z86,PLANNING_FC!$AK$27:$AY$46,MATCH(W86,PLANNING_FC!$AJ$27:$AJ$46,0),FALSE)*1000,""),"")</f>
        <v/>
      </c>
    </row>
    <row r="87" spans="1:55" x14ac:dyDescent="0.25">
      <c r="A87" s="509"/>
      <c r="B87" s="510"/>
      <c r="C87" s="509"/>
      <c r="D87" s="509"/>
      <c r="E87" s="509"/>
      <c r="F87" s="509"/>
      <c r="G87" s="509"/>
      <c r="H87" s="509"/>
      <c r="I87" s="512"/>
      <c r="J87" s="513"/>
      <c r="K87" s="879"/>
      <c r="L87" s="515"/>
      <c r="M87" s="516"/>
      <c r="N87" s="56">
        <f t="shared" si="32"/>
        <v>0</v>
      </c>
      <c r="O87" s="57">
        <f t="shared" si="33"/>
        <v>0</v>
      </c>
      <c r="P87" s="57">
        <f ca="1">IFERROR(IF(ISBLANK(H87),SUMIFS($AC:$AC,$V:$V,V87,$W:$W,W87,$X:$X,X87,$Y:$Y,Y87)*J87/(1-J87)*VLOOKUP(_xlfn.CONCAT(C87,D87,E87,TIME!$M$12,Z87),HIS_SALES!$B$2:$W$4859,20,FALSE),AC87*J87/(1-J87)),0)</f>
        <v>0</v>
      </c>
      <c r="Q87" s="541" t="str">
        <f t="shared" si="34"/>
        <v/>
      </c>
      <c r="R87" s="346" t="str">
        <f t="shared" si="35"/>
        <v>00000</v>
      </c>
      <c r="S87" s="344">
        <f t="shared" si="36"/>
        <v>0</v>
      </c>
      <c r="T87" s="345" t="str">
        <f t="shared" si="49"/>
        <v>000</v>
      </c>
      <c r="U87" s="345">
        <f t="shared" si="37"/>
        <v>0</v>
      </c>
      <c r="V87" s="345">
        <f t="shared" si="38"/>
        <v>0</v>
      </c>
      <c r="W87" s="345">
        <f t="shared" si="39"/>
        <v>0</v>
      </c>
      <c r="X87" s="345">
        <f t="shared" si="40"/>
        <v>0</v>
      </c>
      <c r="Y87" s="345">
        <f t="shared" si="41"/>
        <v>0</v>
      </c>
      <c r="Z87" s="345">
        <f>IF(Q87&lt;&gt;"",VLOOKUP(Y87,TIME!$R$21:$V$24,MATCH(FC_DATA!Q87,TIME!$R$20:$V$20,0),FALSE),H87)</f>
        <v>0</v>
      </c>
      <c r="AA87" s="345" t="str">
        <f>IFERROR(VLOOKUP(X87&amp;Z87,TIME!$A$12:$D$71,4,FALSE),"")</f>
        <v/>
      </c>
      <c r="AB87" s="592">
        <f t="shared" ca="1" si="42"/>
        <v>0</v>
      </c>
      <c r="AC87" s="593" t="e">
        <f ca="1">IF(ISBLANK(H87)=FALSE,IF(D87="BRAND.com",I87,IF(ISNA(VLOOKUP(_xlfn.CONCAT(X87,Z87),TIME!$M$40:$M$42,1,FALSE)),I87,VLOOKUP(_xlfn.CONCAT(D87,G87,H87),M_BUSAREA_FC!$AF$5:$AJ$10,5,FALSE)*HLOOKUP(_xlfn.CONCAT(F87,H87),ST_OVERVIEW!$G$99:$I$130,MATCH(_xlfn.CONCAT(D87,E87),ST_OVERVIEW!$F$99:$F$130,0),FALSE))),IF(D87="BRAND.com",VLOOKUP(_xlfn.CONCAT(C87,D87,E87,TIME!$F$1,Z87),HIS_SALES!$B$2:$V$4859,19,FALSE)*I87,VLOOKUP(_xlfn.CONCAT(D87,F87,G87),Q_BUSAREA_FC!$AE$5:$AI$12,5,FALSE)*HLOOKUP(_xlfn.CONCAT(FC_DATA!F87,FC_DATA!G87),LT_OVERVIEW!$I$99:$M$130,MATCH(_xlfn.CONCAT(D87,FC_DATA!E87),LT_OVERVIEW!$H$99:$H$130,0),FALSE)*IFERROR(VLOOKUP(_xlfn.CONCAT(C87,D87,E87,TIME!$F$1,Z87),HIS_SALES!$B$2:$V$4859,19,FALSE),0)))</f>
        <v>#N/A</v>
      </c>
      <c r="AD87" s="341">
        <f t="shared" ca="1" si="43"/>
        <v>0</v>
      </c>
      <c r="AE87" s="363" t="str">
        <f t="shared" si="44"/>
        <v/>
      </c>
      <c r="AF87" s="342" t="str">
        <f t="shared" si="45"/>
        <v/>
      </c>
      <c r="AG87" s="411" t="e">
        <f ca="1">VLOOKUP(_xlfn.CONCAT(U87,V87,W87,VLOOKUP(X87&amp;Y87,TIME!$L$27:$O$34,4,FALSE),Y87),HIS_SALES!$A$2:$R$5093,18,FALSE)</f>
        <v>#N/A</v>
      </c>
      <c r="AH87" s="412" t="e">
        <f ca="1">IFERROR(IF(AND(V87=V86,W87=W86),0.5*(AB87+AB86)*AG87,(VLOOKUP(_xlfn.CONCAT(U87,V87,W87,X87,VLOOKUP(Z87,TIME!$S$28:$T$39,2,FALSE)),FC_DATA!$R$2:$AB$5000,MATCH("GS_I_M",FC_DATA!$R$1:$AB$1,0),FALSE)+FC_DATA!AB87)*0.5*FC_DATA!AG87),NA())</f>
        <v>#N/A</v>
      </c>
      <c r="AI87" s="491" t="e">
        <f ca="1">IF(V87="PARTNER.com",AH87,IF(AND(V87=V86,W87=W86),(1-AVERAGE(AD86,AD87))*AH87,(1-AVERAGE(AD87,VLOOKUP(_xlfn.CONCAT(U87,V87,W87,X87,M_BRAND_FC!$F$6),FC_DATA!$R$2:$AD$5000,MATCH("DISCOUNT_%_M",FC_DATA!$R$1:$AD$1,0),FALSE)))*AH87))</f>
        <v>#N/A</v>
      </c>
      <c r="AJ87" s="412" t="str">
        <f t="shared" ca="1" si="46"/>
        <v/>
      </c>
      <c r="AK87" s="413" t="str">
        <f>IFERROR(AE87/(Q_BRAND_FC!$T$24+1),"")</f>
        <v/>
      </c>
      <c r="AL87" s="88" t="str">
        <f t="shared" ca="1" si="47"/>
        <v/>
      </c>
      <c r="AM87" s="414" t="str">
        <f t="shared" ca="1" si="48"/>
        <v/>
      </c>
      <c r="AN87" s="58">
        <f>IFERROR(IF($V87="BRAND.com",HLOOKUP($X87&amp;$Z87,NWC_FC_NOOS!$C$4:$Q$23,MATCH(W87,NWC_FC_NOOS!$B$4:$B$23,0),FALSE),0),0)</f>
        <v>0</v>
      </c>
      <c r="AO87" s="57">
        <f>IFERROR(IF($V87="BRAND.com",HLOOKUP($X87&amp;$Z87,NWC_FC_NOOS!$T$4:$AH$23,MATCH(W87,NWC_FC_NOOS!$S$4:$S$23,0),FALSE),0),0)</f>
        <v>0</v>
      </c>
      <c r="AP87" s="57">
        <f>IFERROR(IF($V87="BRAND.com",HLOOKUP($X87&amp;$Z87,NWC_FC_NOOS!$C$50:$U$69,MATCH(W87,NWC_FC_NOOS!$B$50:$B$69,0),FALSE),0),0)</f>
        <v>0</v>
      </c>
      <c r="AQ87" s="58">
        <f>IFERROR(IF($V87="BRAND.com",HLOOKUP($X87&amp;$Z87,'NWC_FC_NON-NOOS'!$C$4:$Q$23,MATCH(W87,'NWC_FC_NON-NOOS'!$B$4:$B$23,0),FALSE),0),0)</f>
        <v>0</v>
      </c>
      <c r="AR87" s="57">
        <f>IFERROR(IF($V87="BRAND.com",HLOOKUP($X87&amp;$Z87,'NWC_FC_NON-NOOS'!$T$4:$AH$23,MATCH(W87,'NWC_FC_NON-NOOS'!$S$4:$S$23,0),FALSE),0),0)</f>
        <v>0</v>
      </c>
      <c r="AS87" s="57">
        <f>IFERROR(IF($V87="BRAND.com",HLOOKUP($X87&amp;$Z87,'NWC_FC_NON-NOOS'!$C$50:$U$69,MATCH(W87,'NWC_FC_NON-NOOS'!$B$50:$B$69,0),FALSE),0),0)</f>
        <v>0</v>
      </c>
      <c r="AT87" s="57">
        <f t="shared" si="50"/>
        <v>0</v>
      </c>
      <c r="AU87" s="57">
        <f t="shared" si="51"/>
        <v>0</v>
      </c>
      <c r="AV87" s="58">
        <f>IFERROR(IF($V87="BRAND.com",HLOOKUP($X87&amp;$Z87,PLANNING_FC!$BB$27:$BP$46,MATCH($W87,PLANNING_FC!$BA$27:$BA$46,0),FALSE),0),0)</f>
        <v>0</v>
      </c>
      <c r="AW87" s="58">
        <f>IFERROR(IF($V87="BRAND.com",HLOOKUP($X87&amp;$Z87,PLANNING_FC!$BB$4:$BP$23,MATCH($W87,PLANNING_FC!$BA$4:$BA$23,0),FALSE),0),0)</f>
        <v>0</v>
      </c>
      <c r="AX87" s="58">
        <f>IFERROR(IF($V87="BRAND.com",HLOOKUP($X87&amp;$Z87,PLANNING_FC!$T$27:$AH$46,MATCH($W87,PLANNING_FC!$B$27:$B$46,0),FALSE),0),0)</f>
        <v>0</v>
      </c>
      <c r="AY87" s="58">
        <f>IFERROR(IF($V87="BRAND.com",HLOOKUP($X87&amp;$Z87,PLANNING_FC!$T$4:$AH$23,MATCH($W87,PLANNING_FC!$B$4:$B$23,0),FALSE),0),0)</f>
        <v>0</v>
      </c>
      <c r="AZ87" s="58">
        <f>IFERROR(IF($V87="BRAND.com",HLOOKUP($X87&amp;$Z87,PLANNING_FC!$DA$27:$DO$46,MATCH($W87,PLANNING_FC!$CZ$27:$CZ$46,0),FALSE),0),0)</f>
        <v>0</v>
      </c>
      <c r="BA87" s="58">
        <f>IFERROR(IF($V87="BRAND.com",HLOOKUP($X87&amp;$Z87,PLANNING_FC!$DA$4:$DO$23,MATCH($W87,PLANNING_FC!$CZ$4:$CZ$23,0),FALSE),0),0)</f>
        <v>0</v>
      </c>
      <c r="BB87" s="883" t="str">
        <f>IF(V87="BRAND.com",IFERROR(HLOOKUP(X87&amp;Z87,PLANNING_FC!$AK$4:$AY$23,MATCH(W87,PLANNING_FC!$AJ$4:$AJ$23,0),FALSE)*1000,""),"")</f>
        <v/>
      </c>
      <c r="BC87" s="883" t="str">
        <f>IF(V87="BRAND.com",IFERROR(HLOOKUP(X87&amp;Z87,PLANNING_FC!$AK$27:$AY$46,MATCH(W87,PLANNING_FC!$AJ$27:$AJ$46,0),FALSE)*1000,""),"")</f>
        <v/>
      </c>
    </row>
    <row r="88" spans="1:55" x14ac:dyDescent="0.25">
      <c r="A88" s="509"/>
      <c r="B88" s="510"/>
      <c r="C88" s="509"/>
      <c r="D88" s="509"/>
      <c r="E88" s="509"/>
      <c r="F88" s="509"/>
      <c r="G88" s="509"/>
      <c r="H88" s="509"/>
      <c r="I88" s="512"/>
      <c r="J88" s="513"/>
      <c r="K88" s="879"/>
      <c r="L88" s="515"/>
      <c r="M88" s="516"/>
      <c r="N88" s="56">
        <f t="shared" si="32"/>
        <v>0</v>
      </c>
      <c r="O88" s="57">
        <f t="shared" si="33"/>
        <v>0</v>
      </c>
      <c r="P88" s="57">
        <f ca="1">IFERROR(IF(ISBLANK(H88),SUMIFS($AC:$AC,$V:$V,V88,$W:$W,W88,$X:$X,X88,$Y:$Y,Y88)*J88/(1-J88)*VLOOKUP(_xlfn.CONCAT(C88,D88,E88,TIME!$M$12,Z88),HIS_SALES!$B$2:$W$4859,20,FALSE),AC88*J88/(1-J88)),0)</f>
        <v>0</v>
      </c>
      <c r="Q88" s="541" t="str">
        <f t="shared" si="34"/>
        <v/>
      </c>
      <c r="R88" s="346" t="str">
        <f t="shared" si="35"/>
        <v>00000</v>
      </c>
      <c r="S88" s="344">
        <f t="shared" si="36"/>
        <v>0</v>
      </c>
      <c r="T88" s="345" t="str">
        <f t="shared" si="49"/>
        <v>000</v>
      </c>
      <c r="U88" s="345">
        <f t="shared" si="37"/>
        <v>0</v>
      </c>
      <c r="V88" s="345">
        <f t="shared" si="38"/>
        <v>0</v>
      </c>
      <c r="W88" s="345">
        <f t="shared" si="39"/>
        <v>0</v>
      </c>
      <c r="X88" s="345">
        <f t="shared" si="40"/>
        <v>0</v>
      </c>
      <c r="Y88" s="345">
        <f t="shared" si="41"/>
        <v>0</v>
      </c>
      <c r="Z88" s="345">
        <f>IF(Q88&lt;&gt;"",VLOOKUP(Y88,TIME!$R$21:$V$24,MATCH(FC_DATA!Q88,TIME!$R$20:$V$20,0),FALSE),H88)</f>
        <v>0</v>
      </c>
      <c r="AA88" s="345" t="str">
        <f>IFERROR(VLOOKUP(X88&amp;Z88,TIME!$A$12:$D$71,4,FALSE),"")</f>
        <v/>
      </c>
      <c r="AB88" s="592">
        <f t="shared" ca="1" si="42"/>
        <v>0</v>
      </c>
      <c r="AC88" s="593" t="e">
        <f ca="1">IF(ISBLANK(H88)=FALSE,IF(D88="BRAND.com",I88,IF(ISNA(VLOOKUP(_xlfn.CONCAT(X88,Z88),TIME!$M$40:$M$42,1,FALSE)),I88,VLOOKUP(_xlfn.CONCAT(D88,G88,H88),M_BUSAREA_FC!$AF$5:$AJ$10,5,FALSE)*HLOOKUP(_xlfn.CONCAT(F88,H88),ST_OVERVIEW!$G$99:$I$130,MATCH(_xlfn.CONCAT(D88,E88),ST_OVERVIEW!$F$99:$F$130,0),FALSE))),IF(D88="BRAND.com",VLOOKUP(_xlfn.CONCAT(C88,D88,E88,TIME!$F$1,Z88),HIS_SALES!$B$2:$V$4859,19,FALSE)*I88,VLOOKUP(_xlfn.CONCAT(D88,F88,G88),Q_BUSAREA_FC!$AE$5:$AI$12,5,FALSE)*HLOOKUP(_xlfn.CONCAT(FC_DATA!F88,FC_DATA!G88),LT_OVERVIEW!$I$99:$M$130,MATCH(_xlfn.CONCAT(D88,FC_DATA!E88),LT_OVERVIEW!$H$99:$H$130,0),FALSE)*IFERROR(VLOOKUP(_xlfn.CONCAT(C88,D88,E88,TIME!$F$1,Z88),HIS_SALES!$B$2:$V$4859,19,FALSE),0)))</f>
        <v>#N/A</v>
      </c>
      <c r="AD88" s="341">
        <f t="shared" ca="1" si="43"/>
        <v>0</v>
      </c>
      <c r="AE88" s="363" t="str">
        <f t="shared" si="44"/>
        <v/>
      </c>
      <c r="AF88" s="342" t="str">
        <f t="shared" si="45"/>
        <v/>
      </c>
      <c r="AG88" s="411" t="e">
        <f ca="1">VLOOKUP(_xlfn.CONCAT(U88,V88,W88,VLOOKUP(X88&amp;Y88,TIME!$L$27:$O$34,4,FALSE),Y88),HIS_SALES!$A$2:$R$5093,18,FALSE)</f>
        <v>#N/A</v>
      </c>
      <c r="AH88" s="412" t="e">
        <f ca="1">IFERROR(IF(AND(V88=V87,W88=W87),0.5*(AB88+AB87)*AG88,(VLOOKUP(_xlfn.CONCAT(U88,V88,W88,X88,VLOOKUP(Z88,TIME!$S$28:$T$39,2,FALSE)),FC_DATA!$R$2:$AB$5000,MATCH("GS_I_M",FC_DATA!$R$1:$AB$1,0),FALSE)+FC_DATA!AB88)*0.5*FC_DATA!AG88),NA())</f>
        <v>#N/A</v>
      </c>
      <c r="AI88" s="491" t="e">
        <f ca="1">IF(V88="PARTNER.com",AH88,IF(AND(V88=V87,W88=W87),(1-AVERAGE(AD87,AD88))*AH88,(1-AVERAGE(AD88,VLOOKUP(_xlfn.CONCAT(U88,V88,W88,X88,M_BRAND_FC!$F$6),FC_DATA!$R$2:$AD$5000,MATCH("DISCOUNT_%_M",FC_DATA!$R$1:$AD$1,0),FALSE)))*AH88))</f>
        <v>#N/A</v>
      </c>
      <c r="AJ88" s="412" t="str">
        <f t="shared" ca="1" si="46"/>
        <v/>
      </c>
      <c r="AK88" s="413" t="str">
        <f>IFERROR(AE88/(Q_BRAND_FC!$T$24+1),"")</f>
        <v/>
      </c>
      <c r="AL88" s="88" t="str">
        <f t="shared" ca="1" si="47"/>
        <v/>
      </c>
      <c r="AM88" s="414" t="str">
        <f t="shared" ca="1" si="48"/>
        <v/>
      </c>
      <c r="AN88" s="58">
        <f>IFERROR(IF($V88="BRAND.com",HLOOKUP($X88&amp;$Z88,NWC_FC_NOOS!$C$4:$Q$23,MATCH(W88,NWC_FC_NOOS!$B$4:$B$23,0),FALSE),0),0)</f>
        <v>0</v>
      </c>
      <c r="AO88" s="57">
        <f>IFERROR(IF($V88="BRAND.com",HLOOKUP($X88&amp;$Z88,NWC_FC_NOOS!$T$4:$AH$23,MATCH(W88,NWC_FC_NOOS!$S$4:$S$23,0),FALSE),0),0)</f>
        <v>0</v>
      </c>
      <c r="AP88" s="57">
        <f>IFERROR(IF($V88="BRAND.com",HLOOKUP($X88&amp;$Z88,NWC_FC_NOOS!$C$50:$U$69,MATCH(W88,NWC_FC_NOOS!$B$50:$B$69,0),FALSE),0),0)</f>
        <v>0</v>
      </c>
      <c r="AQ88" s="58">
        <f>IFERROR(IF($V88="BRAND.com",HLOOKUP($X88&amp;$Z88,'NWC_FC_NON-NOOS'!$C$4:$Q$23,MATCH(W88,'NWC_FC_NON-NOOS'!$B$4:$B$23,0),FALSE),0),0)</f>
        <v>0</v>
      </c>
      <c r="AR88" s="57">
        <f>IFERROR(IF($V88="BRAND.com",HLOOKUP($X88&amp;$Z88,'NWC_FC_NON-NOOS'!$T$4:$AH$23,MATCH(W88,'NWC_FC_NON-NOOS'!$S$4:$S$23,0),FALSE),0),0)</f>
        <v>0</v>
      </c>
      <c r="AS88" s="57">
        <f>IFERROR(IF($V88="BRAND.com",HLOOKUP($X88&amp;$Z88,'NWC_FC_NON-NOOS'!$C$50:$U$69,MATCH(W88,'NWC_FC_NON-NOOS'!$B$50:$B$69,0),FALSE),0),0)</f>
        <v>0</v>
      </c>
      <c r="AT88" s="57">
        <f t="shared" si="50"/>
        <v>0</v>
      </c>
      <c r="AU88" s="57">
        <f t="shared" si="51"/>
        <v>0</v>
      </c>
      <c r="AV88" s="58">
        <f>IFERROR(IF($V88="BRAND.com",HLOOKUP($X88&amp;$Z88,PLANNING_FC!$BB$27:$BP$46,MATCH($W88,PLANNING_FC!$BA$27:$BA$46,0),FALSE),0),0)</f>
        <v>0</v>
      </c>
      <c r="AW88" s="58">
        <f>IFERROR(IF($V88="BRAND.com",HLOOKUP($X88&amp;$Z88,PLANNING_FC!$BB$4:$BP$23,MATCH($W88,PLANNING_FC!$BA$4:$BA$23,0),FALSE),0),0)</f>
        <v>0</v>
      </c>
      <c r="AX88" s="58">
        <f>IFERROR(IF($V88="BRAND.com",HLOOKUP($X88&amp;$Z88,PLANNING_FC!$T$27:$AH$46,MATCH($W88,PLANNING_FC!$B$27:$B$46,0),FALSE),0),0)</f>
        <v>0</v>
      </c>
      <c r="AY88" s="58">
        <f>IFERROR(IF($V88="BRAND.com",HLOOKUP($X88&amp;$Z88,PLANNING_FC!$T$4:$AH$23,MATCH($W88,PLANNING_FC!$B$4:$B$23,0),FALSE),0),0)</f>
        <v>0</v>
      </c>
      <c r="AZ88" s="58">
        <f>IFERROR(IF($V88="BRAND.com",HLOOKUP($X88&amp;$Z88,PLANNING_FC!$DA$27:$DO$46,MATCH($W88,PLANNING_FC!$CZ$27:$CZ$46,0),FALSE),0),0)</f>
        <v>0</v>
      </c>
      <c r="BA88" s="58">
        <f>IFERROR(IF($V88="BRAND.com",HLOOKUP($X88&amp;$Z88,PLANNING_FC!$DA$4:$DO$23,MATCH($W88,PLANNING_FC!$CZ$4:$CZ$23,0),FALSE),0),0)</f>
        <v>0</v>
      </c>
      <c r="BB88" s="883" t="str">
        <f>IF(V88="BRAND.com",IFERROR(HLOOKUP(X88&amp;Z88,PLANNING_FC!$AK$4:$AY$23,MATCH(W88,PLANNING_FC!$AJ$4:$AJ$23,0),FALSE)*1000,""),"")</f>
        <v/>
      </c>
      <c r="BC88" s="883" t="str">
        <f>IF(V88="BRAND.com",IFERROR(HLOOKUP(X88&amp;Z88,PLANNING_FC!$AK$27:$AY$46,MATCH(W88,PLANNING_FC!$AJ$27:$AJ$46,0),FALSE)*1000,""),"")</f>
        <v/>
      </c>
    </row>
    <row r="89" spans="1:55" x14ac:dyDescent="0.25">
      <c r="A89" s="509"/>
      <c r="B89" s="510"/>
      <c r="C89" s="509"/>
      <c r="D89" s="509"/>
      <c r="E89" s="509"/>
      <c r="F89" s="509"/>
      <c r="G89" s="509"/>
      <c r="H89" s="509"/>
      <c r="I89" s="512"/>
      <c r="J89" s="513"/>
      <c r="K89" s="879"/>
      <c r="L89" s="515"/>
      <c r="M89" s="516"/>
      <c r="N89" s="56">
        <f t="shared" si="32"/>
        <v>0</v>
      </c>
      <c r="O89" s="57">
        <f t="shared" si="33"/>
        <v>0</v>
      </c>
      <c r="P89" s="57">
        <f ca="1">IFERROR(IF(ISBLANK(H89),SUMIFS($AC:$AC,$V:$V,V89,$W:$W,W89,$X:$X,X89,$Y:$Y,Y89)*J89/(1-J89)*VLOOKUP(_xlfn.CONCAT(C89,D89,E89,TIME!$M$12,Z89),HIS_SALES!$B$2:$W$4859,20,FALSE),AC89*J89/(1-J89)),0)</f>
        <v>0</v>
      </c>
      <c r="Q89" s="541" t="str">
        <f t="shared" si="34"/>
        <v/>
      </c>
      <c r="R89" s="346" t="str">
        <f t="shared" si="35"/>
        <v>00000</v>
      </c>
      <c r="S89" s="344">
        <f t="shared" si="36"/>
        <v>0</v>
      </c>
      <c r="T89" s="345" t="str">
        <f t="shared" si="49"/>
        <v>000</v>
      </c>
      <c r="U89" s="345">
        <f t="shared" si="37"/>
        <v>0</v>
      </c>
      <c r="V89" s="345">
        <f t="shared" si="38"/>
        <v>0</v>
      </c>
      <c r="W89" s="345">
        <f t="shared" si="39"/>
        <v>0</v>
      </c>
      <c r="X89" s="345">
        <f t="shared" si="40"/>
        <v>0</v>
      </c>
      <c r="Y89" s="345">
        <f t="shared" si="41"/>
        <v>0</v>
      </c>
      <c r="Z89" s="345">
        <f>IF(Q89&lt;&gt;"",VLOOKUP(Y89,TIME!$R$21:$V$24,MATCH(FC_DATA!Q89,TIME!$R$20:$V$20,0),FALSE),H89)</f>
        <v>0</v>
      </c>
      <c r="AA89" s="345" t="str">
        <f>IFERROR(VLOOKUP(X89&amp;Z89,TIME!$A$12:$D$71,4,FALSE),"")</f>
        <v/>
      </c>
      <c r="AB89" s="592">
        <f t="shared" ca="1" si="42"/>
        <v>0</v>
      </c>
      <c r="AC89" s="593" t="e">
        <f ca="1">IF(ISBLANK(H89)=FALSE,IF(D89="BRAND.com",I89,IF(ISNA(VLOOKUP(_xlfn.CONCAT(X89,Z89),TIME!$M$40:$M$42,1,FALSE)),I89,VLOOKUP(_xlfn.CONCAT(D89,G89,H89),M_BUSAREA_FC!$AF$5:$AJ$10,5,FALSE)*HLOOKUP(_xlfn.CONCAT(F89,H89),ST_OVERVIEW!$G$99:$I$130,MATCH(_xlfn.CONCAT(D89,E89),ST_OVERVIEW!$F$99:$F$130,0),FALSE))),IF(D89="BRAND.com",VLOOKUP(_xlfn.CONCAT(C89,D89,E89,TIME!$F$1,Z89),HIS_SALES!$B$2:$V$4859,19,FALSE)*I89,VLOOKUP(_xlfn.CONCAT(D89,F89,G89),Q_BUSAREA_FC!$AE$5:$AI$12,5,FALSE)*HLOOKUP(_xlfn.CONCAT(FC_DATA!F89,FC_DATA!G89),LT_OVERVIEW!$I$99:$M$130,MATCH(_xlfn.CONCAT(D89,FC_DATA!E89),LT_OVERVIEW!$H$99:$H$130,0),FALSE)*IFERROR(VLOOKUP(_xlfn.CONCAT(C89,D89,E89,TIME!$F$1,Z89),HIS_SALES!$B$2:$V$4859,19,FALSE),0)))</f>
        <v>#N/A</v>
      </c>
      <c r="AD89" s="341">
        <f t="shared" ca="1" si="43"/>
        <v>0</v>
      </c>
      <c r="AE89" s="363" t="str">
        <f t="shared" si="44"/>
        <v/>
      </c>
      <c r="AF89" s="342" t="str">
        <f t="shared" si="45"/>
        <v/>
      </c>
      <c r="AG89" s="411" t="e">
        <f ca="1">VLOOKUP(_xlfn.CONCAT(U89,V89,W89,VLOOKUP(X89&amp;Y89,TIME!$L$27:$O$34,4,FALSE),Y89),HIS_SALES!$A$2:$R$5093,18,FALSE)</f>
        <v>#N/A</v>
      </c>
      <c r="AH89" s="412" t="e">
        <f ca="1">IFERROR(IF(AND(V89=V88,W89=W88),0.5*(AB89+AB88)*AG89,(VLOOKUP(_xlfn.CONCAT(U89,V89,W89,X89,VLOOKUP(Z89,TIME!$S$28:$T$39,2,FALSE)),FC_DATA!$R$2:$AB$5000,MATCH("GS_I_M",FC_DATA!$R$1:$AB$1,0),FALSE)+FC_DATA!AB89)*0.5*FC_DATA!AG89),NA())</f>
        <v>#N/A</v>
      </c>
      <c r="AI89" s="491" t="e">
        <f ca="1">IF(V89="PARTNER.com",AH89,IF(AND(V89=V88,W89=W88),(1-AVERAGE(AD88,AD89))*AH89,(1-AVERAGE(AD89,VLOOKUP(_xlfn.CONCAT(U89,V89,W89,X89,M_BRAND_FC!$F$6),FC_DATA!$R$2:$AD$5000,MATCH("DISCOUNT_%_M",FC_DATA!$R$1:$AD$1,0),FALSE)))*AH89))</f>
        <v>#N/A</v>
      </c>
      <c r="AJ89" s="412" t="str">
        <f t="shared" ca="1" si="46"/>
        <v/>
      </c>
      <c r="AK89" s="413" t="str">
        <f>IFERROR(AE89/(Q_BRAND_FC!$T$24+1),"")</f>
        <v/>
      </c>
      <c r="AL89" s="88" t="str">
        <f t="shared" ca="1" si="47"/>
        <v/>
      </c>
      <c r="AM89" s="414" t="str">
        <f t="shared" ca="1" si="48"/>
        <v/>
      </c>
      <c r="AN89" s="58">
        <f>IFERROR(IF($V89="BRAND.com",HLOOKUP($X89&amp;$Z89,NWC_FC_NOOS!$C$4:$Q$23,MATCH(W89,NWC_FC_NOOS!$B$4:$B$23,0),FALSE),0),0)</f>
        <v>0</v>
      </c>
      <c r="AO89" s="57">
        <f>IFERROR(IF($V89="BRAND.com",HLOOKUP($X89&amp;$Z89,NWC_FC_NOOS!$T$4:$AH$23,MATCH(W89,NWC_FC_NOOS!$S$4:$S$23,0),FALSE),0),0)</f>
        <v>0</v>
      </c>
      <c r="AP89" s="57">
        <f>IFERROR(IF($V89="BRAND.com",HLOOKUP($X89&amp;$Z89,NWC_FC_NOOS!$C$50:$U$69,MATCH(W89,NWC_FC_NOOS!$B$50:$B$69,0),FALSE),0),0)</f>
        <v>0</v>
      </c>
      <c r="AQ89" s="58">
        <f>IFERROR(IF($V89="BRAND.com",HLOOKUP($X89&amp;$Z89,'NWC_FC_NON-NOOS'!$C$4:$Q$23,MATCH(W89,'NWC_FC_NON-NOOS'!$B$4:$B$23,0),FALSE),0),0)</f>
        <v>0</v>
      </c>
      <c r="AR89" s="57">
        <f>IFERROR(IF($V89="BRAND.com",HLOOKUP($X89&amp;$Z89,'NWC_FC_NON-NOOS'!$T$4:$AH$23,MATCH(W89,'NWC_FC_NON-NOOS'!$S$4:$S$23,0),FALSE),0),0)</f>
        <v>0</v>
      </c>
      <c r="AS89" s="57">
        <f>IFERROR(IF($V89="BRAND.com",HLOOKUP($X89&amp;$Z89,'NWC_FC_NON-NOOS'!$C$50:$U$69,MATCH(W89,'NWC_FC_NON-NOOS'!$B$50:$B$69,0),FALSE),0),0)</f>
        <v>0</v>
      </c>
      <c r="AT89" s="57">
        <f t="shared" si="50"/>
        <v>0</v>
      </c>
      <c r="AU89" s="57">
        <f t="shared" si="51"/>
        <v>0</v>
      </c>
      <c r="AV89" s="58">
        <f>IFERROR(IF($V89="BRAND.com",HLOOKUP($X89&amp;$Z89,PLANNING_FC!$BB$27:$BP$46,MATCH($W89,PLANNING_FC!$BA$27:$BA$46,0),FALSE),0),0)</f>
        <v>0</v>
      </c>
      <c r="AW89" s="58">
        <f>IFERROR(IF($V89="BRAND.com",HLOOKUP($X89&amp;$Z89,PLANNING_FC!$BB$4:$BP$23,MATCH($W89,PLANNING_FC!$BA$4:$BA$23,0),FALSE),0),0)</f>
        <v>0</v>
      </c>
      <c r="AX89" s="58">
        <f>IFERROR(IF($V89="BRAND.com",HLOOKUP($X89&amp;$Z89,PLANNING_FC!$T$27:$AH$46,MATCH($W89,PLANNING_FC!$B$27:$B$46,0),FALSE),0),0)</f>
        <v>0</v>
      </c>
      <c r="AY89" s="58">
        <f>IFERROR(IF($V89="BRAND.com",HLOOKUP($X89&amp;$Z89,PLANNING_FC!$T$4:$AH$23,MATCH($W89,PLANNING_FC!$B$4:$B$23,0),FALSE),0),0)</f>
        <v>0</v>
      </c>
      <c r="AZ89" s="58">
        <f>IFERROR(IF($V89="BRAND.com",HLOOKUP($X89&amp;$Z89,PLANNING_FC!$DA$27:$DO$46,MATCH($W89,PLANNING_FC!$CZ$27:$CZ$46,0),FALSE),0),0)</f>
        <v>0</v>
      </c>
      <c r="BA89" s="58">
        <f>IFERROR(IF($V89="BRAND.com",HLOOKUP($X89&amp;$Z89,PLANNING_FC!$DA$4:$DO$23,MATCH($W89,PLANNING_FC!$CZ$4:$CZ$23,0),FALSE),0),0)</f>
        <v>0</v>
      </c>
      <c r="BB89" s="883" t="str">
        <f>IF(V89="BRAND.com",IFERROR(HLOOKUP(X89&amp;Z89,PLANNING_FC!$AK$4:$AY$23,MATCH(W89,PLANNING_FC!$AJ$4:$AJ$23,0),FALSE)*1000,""),"")</f>
        <v/>
      </c>
      <c r="BC89" s="883" t="str">
        <f>IF(V89="BRAND.com",IFERROR(HLOOKUP(X89&amp;Z89,PLANNING_FC!$AK$27:$AY$46,MATCH(W89,PLANNING_FC!$AJ$27:$AJ$46,0),FALSE)*1000,""),"")</f>
        <v/>
      </c>
    </row>
    <row r="90" spans="1:55" x14ac:dyDescent="0.25">
      <c r="A90" s="509"/>
      <c r="B90" s="510"/>
      <c r="C90" s="509"/>
      <c r="D90" s="509"/>
      <c r="E90" s="509"/>
      <c r="F90" s="509"/>
      <c r="G90" s="509"/>
      <c r="H90" s="509"/>
      <c r="I90" s="512"/>
      <c r="J90" s="513"/>
      <c r="K90" s="879"/>
      <c r="L90" s="515"/>
      <c r="M90" s="516"/>
      <c r="N90" s="56">
        <f t="shared" si="32"/>
        <v>0</v>
      </c>
      <c r="O90" s="57">
        <f t="shared" si="33"/>
        <v>0</v>
      </c>
      <c r="P90" s="57">
        <f ca="1">IFERROR(IF(ISBLANK(H90),SUMIFS($AC:$AC,$V:$V,V90,$W:$W,W90,$X:$X,X90,$Y:$Y,Y90)*J90/(1-J90)*VLOOKUP(_xlfn.CONCAT(C90,D90,E90,TIME!$M$12,Z90),HIS_SALES!$B$2:$W$4859,20,FALSE),AC90*J90/(1-J90)),0)</f>
        <v>0</v>
      </c>
      <c r="Q90" s="541" t="str">
        <f t="shared" si="34"/>
        <v/>
      </c>
      <c r="R90" s="346" t="str">
        <f t="shared" si="35"/>
        <v>00000</v>
      </c>
      <c r="S90" s="344">
        <f t="shared" si="36"/>
        <v>0</v>
      </c>
      <c r="T90" s="345" t="str">
        <f t="shared" si="49"/>
        <v>000</v>
      </c>
      <c r="U90" s="345">
        <f t="shared" si="37"/>
        <v>0</v>
      </c>
      <c r="V90" s="345">
        <f t="shared" si="38"/>
        <v>0</v>
      </c>
      <c r="W90" s="345">
        <f t="shared" si="39"/>
        <v>0</v>
      </c>
      <c r="X90" s="345">
        <f t="shared" si="40"/>
        <v>0</v>
      </c>
      <c r="Y90" s="345">
        <f t="shared" si="41"/>
        <v>0</v>
      </c>
      <c r="Z90" s="345">
        <f>IF(Q90&lt;&gt;"",VLOOKUP(Y90,TIME!$R$21:$V$24,MATCH(FC_DATA!Q90,TIME!$R$20:$V$20,0),FALSE),H90)</f>
        <v>0</v>
      </c>
      <c r="AA90" s="345" t="str">
        <f>IFERROR(VLOOKUP(X90&amp;Z90,TIME!$A$12:$D$71,4,FALSE),"")</f>
        <v/>
      </c>
      <c r="AB90" s="592">
        <f t="shared" ca="1" si="42"/>
        <v>0</v>
      </c>
      <c r="AC90" s="593" t="e">
        <f ca="1">IF(ISBLANK(H90)=FALSE,IF(D90="BRAND.com",I90,IF(ISNA(VLOOKUP(_xlfn.CONCAT(X90,Z90),TIME!$M$40:$M$42,1,FALSE)),I90,VLOOKUP(_xlfn.CONCAT(D90,G90,H90),M_BUSAREA_FC!$AF$5:$AJ$10,5,FALSE)*HLOOKUP(_xlfn.CONCAT(F90,H90),ST_OVERVIEW!$G$99:$I$130,MATCH(_xlfn.CONCAT(D90,E90),ST_OVERVIEW!$F$99:$F$130,0),FALSE))),IF(D90="BRAND.com",VLOOKUP(_xlfn.CONCAT(C90,D90,E90,TIME!$F$1,Z90),HIS_SALES!$B$2:$V$4859,19,FALSE)*I90,VLOOKUP(_xlfn.CONCAT(D90,F90,G90),Q_BUSAREA_FC!$AE$5:$AI$12,5,FALSE)*HLOOKUP(_xlfn.CONCAT(FC_DATA!F90,FC_DATA!G90),LT_OVERVIEW!$I$99:$M$130,MATCH(_xlfn.CONCAT(D90,FC_DATA!E90),LT_OVERVIEW!$H$99:$H$130,0),FALSE)*IFERROR(VLOOKUP(_xlfn.CONCAT(C90,D90,E90,TIME!$F$1,Z90),HIS_SALES!$B$2:$V$4859,19,FALSE),0)))</f>
        <v>#N/A</v>
      </c>
      <c r="AD90" s="341">
        <f t="shared" ca="1" si="43"/>
        <v>0</v>
      </c>
      <c r="AE90" s="363" t="str">
        <f t="shared" si="44"/>
        <v/>
      </c>
      <c r="AF90" s="342" t="str">
        <f t="shared" si="45"/>
        <v/>
      </c>
      <c r="AG90" s="411" t="e">
        <f ca="1">VLOOKUP(_xlfn.CONCAT(U90,V90,W90,VLOOKUP(X90&amp;Y90,TIME!$L$27:$O$34,4,FALSE),Y90),HIS_SALES!$A$2:$R$5093,18,FALSE)</f>
        <v>#N/A</v>
      </c>
      <c r="AH90" s="412" t="e">
        <f ca="1">IFERROR(IF(AND(V90=V89,W90=W89),0.5*(AB90+AB89)*AG90,(VLOOKUP(_xlfn.CONCAT(U90,V90,W90,X90,VLOOKUP(Z90,TIME!$S$28:$T$39,2,FALSE)),FC_DATA!$R$2:$AB$5000,MATCH("GS_I_M",FC_DATA!$R$1:$AB$1,0),FALSE)+FC_DATA!AB90)*0.5*FC_DATA!AG90),NA())</f>
        <v>#N/A</v>
      </c>
      <c r="AI90" s="491" t="e">
        <f ca="1">IF(V90="PARTNER.com",AH90,IF(AND(V90=V89,W90=W89),(1-AVERAGE(AD89,AD90))*AH90,(1-AVERAGE(AD90,VLOOKUP(_xlfn.CONCAT(U90,V90,W90,X90,M_BRAND_FC!$F$6),FC_DATA!$R$2:$AD$5000,MATCH("DISCOUNT_%_M",FC_DATA!$R$1:$AD$1,0),FALSE)))*AH90))</f>
        <v>#N/A</v>
      </c>
      <c r="AJ90" s="412" t="str">
        <f t="shared" ca="1" si="46"/>
        <v/>
      </c>
      <c r="AK90" s="413" t="str">
        <f>IFERROR(AE90/(Q_BRAND_FC!$T$24+1),"")</f>
        <v/>
      </c>
      <c r="AL90" s="88" t="str">
        <f t="shared" ca="1" si="47"/>
        <v/>
      </c>
      <c r="AM90" s="414" t="str">
        <f t="shared" ca="1" si="48"/>
        <v/>
      </c>
      <c r="AN90" s="58">
        <f>IFERROR(IF($V90="BRAND.com",HLOOKUP($X90&amp;$Z90,NWC_FC_NOOS!$C$4:$Q$23,MATCH(W90,NWC_FC_NOOS!$B$4:$B$23,0),FALSE),0),0)</f>
        <v>0</v>
      </c>
      <c r="AO90" s="57">
        <f>IFERROR(IF($V90="BRAND.com",HLOOKUP($X90&amp;$Z90,NWC_FC_NOOS!$T$4:$AH$23,MATCH(W90,NWC_FC_NOOS!$S$4:$S$23,0),FALSE),0),0)</f>
        <v>0</v>
      </c>
      <c r="AP90" s="57">
        <f>IFERROR(IF($V90="BRAND.com",HLOOKUP($X90&amp;$Z90,NWC_FC_NOOS!$C$50:$U$69,MATCH(W90,NWC_FC_NOOS!$B$50:$B$69,0),FALSE),0),0)</f>
        <v>0</v>
      </c>
      <c r="AQ90" s="58">
        <f>IFERROR(IF($V90="BRAND.com",HLOOKUP($X90&amp;$Z90,'NWC_FC_NON-NOOS'!$C$4:$Q$23,MATCH(W90,'NWC_FC_NON-NOOS'!$B$4:$B$23,0),FALSE),0),0)</f>
        <v>0</v>
      </c>
      <c r="AR90" s="57">
        <f>IFERROR(IF($V90="BRAND.com",HLOOKUP($X90&amp;$Z90,'NWC_FC_NON-NOOS'!$T$4:$AH$23,MATCH(W90,'NWC_FC_NON-NOOS'!$S$4:$S$23,0),FALSE),0),0)</f>
        <v>0</v>
      </c>
      <c r="AS90" s="57">
        <f>IFERROR(IF($V90="BRAND.com",HLOOKUP($X90&amp;$Z90,'NWC_FC_NON-NOOS'!$C$50:$U$69,MATCH(W90,'NWC_FC_NON-NOOS'!$B$50:$B$69,0),FALSE),0),0)</f>
        <v>0</v>
      </c>
      <c r="AT90" s="57">
        <f t="shared" si="50"/>
        <v>0</v>
      </c>
      <c r="AU90" s="57">
        <f t="shared" si="51"/>
        <v>0</v>
      </c>
      <c r="AV90" s="58">
        <f>IFERROR(IF($V90="BRAND.com",HLOOKUP($X90&amp;$Z90,PLANNING_FC!$BB$27:$BP$46,MATCH($W90,PLANNING_FC!$BA$27:$BA$46,0),FALSE),0),0)</f>
        <v>0</v>
      </c>
      <c r="AW90" s="58">
        <f>IFERROR(IF($V90="BRAND.com",HLOOKUP($X90&amp;$Z90,PLANNING_FC!$BB$4:$BP$23,MATCH($W90,PLANNING_FC!$BA$4:$BA$23,0),FALSE),0),0)</f>
        <v>0</v>
      </c>
      <c r="AX90" s="58">
        <f>IFERROR(IF($V90="BRAND.com",HLOOKUP($X90&amp;$Z90,PLANNING_FC!$T$27:$AH$46,MATCH($W90,PLANNING_FC!$B$27:$B$46,0),FALSE),0),0)</f>
        <v>0</v>
      </c>
      <c r="AY90" s="58">
        <f>IFERROR(IF($V90="BRAND.com",HLOOKUP($X90&amp;$Z90,PLANNING_FC!$T$4:$AH$23,MATCH($W90,PLANNING_FC!$B$4:$B$23,0),FALSE),0),0)</f>
        <v>0</v>
      </c>
      <c r="AZ90" s="58">
        <f>IFERROR(IF($V90="BRAND.com",HLOOKUP($X90&amp;$Z90,PLANNING_FC!$DA$27:$DO$46,MATCH($W90,PLANNING_FC!$CZ$27:$CZ$46,0),FALSE),0),0)</f>
        <v>0</v>
      </c>
      <c r="BA90" s="58">
        <f>IFERROR(IF($V90="BRAND.com",HLOOKUP($X90&amp;$Z90,PLANNING_FC!$DA$4:$DO$23,MATCH($W90,PLANNING_FC!$CZ$4:$CZ$23,0),FALSE),0),0)</f>
        <v>0</v>
      </c>
      <c r="BB90" s="883" t="str">
        <f>IF(V90="BRAND.com",IFERROR(HLOOKUP(X90&amp;Z90,PLANNING_FC!$AK$4:$AY$23,MATCH(W90,PLANNING_FC!$AJ$4:$AJ$23,0),FALSE)*1000,""),"")</f>
        <v/>
      </c>
      <c r="BC90" s="883" t="str">
        <f>IF(V90="BRAND.com",IFERROR(HLOOKUP(X90&amp;Z90,PLANNING_FC!$AK$27:$AY$46,MATCH(W90,PLANNING_FC!$AJ$27:$AJ$46,0),FALSE)*1000,""),"")</f>
        <v/>
      </c>
    </row>
    <row r="91" spans="1:55" x14ac:dyDescent="0.25">
      <c r="A91" s="509"/>
      <c r="B91" s="510"/>
      <c r="C91" s="509"/>
      <c r="D91" s="509"/>
      <c r="E91" s="509"/>
      <c r="F91" s="509"/>
      <c r="G91" s="509"/>
      <c r="H91" s="509"/>
      <c r="I91" s="512"/>
      <c r="J91" s="513"/>
      <c r="K91" s="879"/>
      <c r="L91" s="515"/>
      <c r="M91" s="516"/>
      <c r="N91" s="56">
        <f t="shared" si="32"/>
        <v>0</v>
      </c>
      <c r="O91" s="57">
        <f t="shared" si="33"/>
        <v>0</v>
      </c>
      <c r="P91" s="57">
        <f ca="1">IFERROR(IF(ISBLANK(H91),SUMIFS($AC:$AC,$V:$V,V91,$W:$W,W91,$X:$X,X91,$Y:$Y,Y91)*J91/(1-J91)*VLOOKUP(_xlfn.CONCAT(C91,D91,E91,TIME!$M$12,Z91),HIS_SALES!$B$2:$W$4859,20,FALSE),AC91*J91/(1-J91)),0)</f>
        <v>0</v>
      </c>
      <c r="Q91" s="541" t="str">
        <f t="shared" si="34"/>
        <v/>
      </c>
      <c r="R91" s="346" t="str">
        <f t="shared" si="35"/>
        <v>00000</v>
      </c>
      <c r="S91" s="344">
        <f t="shared" si="36"/>
        <v>0</v>
      </c>
      <c r="T91" s="345" t="str">
        <f t="shared" si="49"/>
        <v>000</v>
      </c>
      <c r="U91" s="345">
        <f t="shared" si="37"/>
        <v>0</v>
      </c>
      <c r="V91" s="345">
        <f t="shared" si="38"/>
        <v>0</v>
      </c>
      <c r="W91" s="345">
        <f t="shared" si="39"/>
        <v>0</v>
      </c>
      <c r="X91" s="345">
        <f t="shared" si="40"/>
        <v>0</v>
      </c>
      <c r="Y91" s="345">
        <f t="shared" si="41"/>
        <v>0</v>
      </c>
      <c r="Z91" s="345">
        <f>IF(Q91&lt;&gt;"",VLOOKUP(Y91,TIME!$R$21:$V$24,MATCH(FC_DATA!Q91,TIME!$R$20:$V$20,0),FALSE),H91)</f>
        <v>0</v>
      </c>
      <c r="AA91" s="345" t="str">
        <f>IFERROR(VLOOKUP(X91&amp;Z91,TIME!$A$12:$D$71,4,FALSE),"")</f>
        <v/>
      </c>
      <c r="AB91" s="592">
        <f t="shared" ca="1" si="42"/>
        <v>0</v>
      </c>
      <c r="AC91" s="593" t="e">
        <f ca="1">IF(ISBLANK(H91)=FALSE,IF(D91="BRAND.com",I91,IF(ISNA(VLOOKUP(_xlfn.CONCAT(X91,Z91),TIME!$M$40:$M$42,1,FALSE)),I91,VLOOKUP(_xlfn.CONCAT(D91,G91,H91),M_BUSAREA_FC!$AF$5:$AJ$10,5,FALSE)*HLOOKUP(_xlfn.CONCAT(F91,H91),ST_OVERVIEW!$G$99:$I$130,MATCH(_xlfn.CONCAT(D91,E91),ST_OVERVIEW!$F$99:$F$130,0),FALSE))),IF(D91="BRAND.com",VLOOKUP(_xlfn.CONCAT(C91,D91,E91,TIME!$F$1,Z91),HIS_SALES!$B$2:$V$4859,19,FALSE)*I91,VLOOKUP(_xlfn.CONCAT(D91,F91,G91),Q_BUSAREA_FC!$AE$5:$AI$12,5,FALSE)*HLOOKUP(_xlfn.CONCAT(FC_DATA!F91,FC_DATA!G91),LT_OVERVIEW!$I$99:$M$130,MATCH(_xlfn.CONCAT(D91,FC_DATA!E91),LT_OVERVIEW!$H$99:$H$130,0),FALSE)*IFERROR(VLOOKUP(_xlfn.CONCAT(C91,D91,E91,TIME!$F$1,Z91),HIS_SALES!$B$2:$V$4859,19,FALSE),0)))</f>
        <v>#N/A</v>
      </c>
      <c r="AD91" s="341">
        <f t="shared" ca="1" si="43"/>
        <v>0</v>
      </c>
      <c r="AE91" s="363" t="str">
        <f t="shared" si="44"/>
        <v/>
      </c>
      <c r="AF91" s="342" t="str">
        <f t="shared" si="45"/>
        <v/>
      </c>
      <c r="AG91" s="411" t="e">
        <f ca="1">VLOOKUP(_xlfn.CONCAT(U91,V91,W91,VLOOKUP(X91&amp;Y91,TIME!$L$27:$O$34,4,FALSE),Y91),HIS_SALES!$A$2:$R$5093,18,FALSE)</f>
        <v>#N/A</v>
      </c>
      <c r="AH91" s="412" t="e">
        <f ca="1">IFERROR(IF(AND(V91=V90,W91=W90),0.5*(AB91+AB90)*AG91,(VLOOKUP(_xlfn.CONCAT(U91,V91,W91,X91,VLOOKUP(Z91,TIME!$S$28:$T$39,2,FALSE)),FC_DATA!$R$2:$AB$5000,MATCH("GS_I_M",FC_DATA!$R$1:$AB$1,0),FALSE)+FC_DATA!AB91)*0.5*FC_DATA!AG91),NA())</f>
        <v>#N/A</v>
      </c>
      <c r="AI91" s="491" t="e">
        <f ca="1">IF(V91="PARTNER.com",AH91,IF(AND(V91=V90,W91=W90),(1-AVERAGE(AD90,AD91))*AH91,(1-AVERAGE(AD91,VLOOKUP(_xlfn.CONCAT(U91,V91,W91,X91,M_BRAND_FC!$F$6),FC_DATA!$R$2:$AD$5000,MATCH("DISCOUNT_%_M",FC_DATA!$R$1:$AD$1,0),FALSE)))*AH91))</f>
        <v>#N/A</v>
      </c>
      <c r="AJ91" s="412" t="str">
        <f t="shared" ca="1" si="46"/>
        <v/>
      </c>
      <c r="AK91" s="413" t="str">
        <f>IFERROR(AE91/(Q_BRAND_FC!$T$24+1),"")</f>
        <v/>
      </c>
      <c r="AL91" s="88" t="str">
        <f t="shared" ca="1" si="47"/>
        <v/>
      </c>
      <c r="AM91" s="414" t="str">
        <f t="shared" ca="1" si="48"/>
        <v/>
      </c>
      <c r="AN91" s="58">
        <f>IFERROR(IF($V91="BRAND.com",HLOOKUP($X91&amp;$Z91,NWC_FC_NOOS!$C$4:$Q$23,MATCH(W91,NWC_FC_NOOS!$B$4:$B$23,0),FALSE),0),0)</f>
        <v>0</v>
      </c>
      <c r="AO91" s="57">
        <f>IFERROR(IF($V91="BRAND.com",HLOOKUP($X91&amp;$Z91,NWC_FC_NOOS!$T$4:$AH$23,MATCH(W91,NWC_FC_NOOS!$S$4:$S$23,0),FALSE),0),0)</f>
        <v>0</v>
      </c>
      <c r="AP91" s="57">
        <f>IFERROR(IF($V91="BRAND.com",HLOOKUP($X91&amp;$Z91,NWC_FC_NOOS!$C$50:$U$69,MATCH(W91,NWC_FC_NOOS!$B$50:$B$69,0),FALSE),0),0)</f>
        <v>0</v>
      </c>
      <c r="AQ91" s="58">
        <f>IFERROR(IF($V91="BRAND.com",HLOOKUP($X91&amp;$Z91,'NWC_FC_NON-NOOS'!$C$4:$Q$23,MATCH(W91,'NWC_FC_NON-NOOS'!$B$4:$B$23,0),FALSE),0),0)</f>
        <v>0</v>
      </c>
      <c r="AR91" s="57">
        <f>IFERROR(IF($V91="BRAND.com",HLOOKUP($X91&amp;$Z91,'NWC_FC_NON-NOOS'!$T$4:$AH$23,MATCH(W91,'NWC_FC_NON-NOOS'!$S$4:$S$23,0),FALSE),0),0)</f>
        <v>0</v>
      </c>
      <c r="AS91" s="57">
        <f>IFERROR(IF($V91="BRAND.com",HLOOKUP($X91&amp;$Z91,'NWC_FC_NON-NOOS'!$C$50:$U$69,MATCH(W91,'NWC_FC_NON-NOOS'!$B$50:$B$69,0),FALSE),0),0)</f>
        <v>0</v>
      </c>
      <c r="AT91" s="57">
        <f t="shared" si="50"/>
        <v>0</v>
      </c>
      <c r="AU91" s="57">
        <f t="shared" si="51"/>
        <v>0</v>
      </c>
      <c r="AV91" s="58">
        <f>IFERROR(IF($V91="BRAND.com",HLOOKUP($X91&amp;$Z91,PLANNING_FC!$BB$27:$BP$46,MATCH($W91,PLANNING_FC!$BA$27:$BA$46,0),FALSE),0),0)</f>
        <v>0</v>
      </c>
      <c r="AW91" s="58">
        <f>IFERROR(IF($V91="BRAND.com",HLOOKUP($X91&amp;$Z91,PLANNING_FC!$BB$4:$BP$23,MATCH($W91,PLANNING_FC!$BA$4:$BA$23,0),FALSE),0),0)</f>
        <v>0</v>
      </c>
      <c r="AX91" s="58">
        <f>IFERROR(IF($V91="BRAND.com",HLOOKUP($X91&amp;$Z91,PLANNING_FC!$T$27:$AH$46,MATCH($W91,PLANNING_FC!$B$27:$B$46,0),FALSE),0),0)</f>
        <v>0</v>
      </c>
      <c r="AY91" s="58">
        <f>IFERROR(IF($V91="BRAND.com",HLOOKUP($X91&amp;$Z91,PLANNING_FC!$T$4:$AH$23,MATCH($W91,PLANNING_FC!$B$4:$B$23,0),FALSE),0),0)</f>
        <v>0</v>
      </c>
      <c r="AZ91" s="58">
        <f>IFERROR(IF($V91="BRAND.com",HLOOKUP($X91&amp;$Z91,PLANNING_FC!$DA$27:$DO$46,MATCH($W91,PLANNING_FC!$CZ$27:$CZ$46,0),FALSE),0),0)</f>
        <v>0</v>
      </c>
      <c r="BA91" s="58">
        <f>IFERROR(IF($V91="BRAND.com",HLOOKUP($X91&amp;$Z91,PLANNING_FC!$DA$4:$DO$23,MATCH($W91,PLANNING_FC!$CZ$4:$CZ$23,0),FALSE),0),0)</f>
        <v>0</v>
      </c>
      <c r="BB91" s="883" t="str">
        <f>IF(V91="BRAND.com",IFERROR(HLOOKUP(X91&amp;Z91,PLANNING_FC!$AK$4:$AY$23,MATCH(W91,PLANNING_FC!$AJ$4:$AJ$23,0),FALSE)*1000,""),"")</f>
        <v/>
      </c>
      <c r="BC91" s="883" t="str">
        <f>IF(V91="BRAND.com",IFERROR(HLOOKUP(X91&amp;Z91,PLANNING_FC!$AK$27:$AY$46,MATCH(W91,PLANNING_FC!$AJ$27:$AJ$46,0),FALSE)*1000,""),"")</f>
        <v/>
      </c>
    </row>
    <row r="92" spans="1:55" x14ac:dyDescent="0.25">
      <c r="A92" s="509"/>
      <c r="B92" s="510"/>
      <c r="C92" s="509"/>
      <c r="D92" s="509"/>
      <c r="E92" s="509"/>
      <c r="F92" s="509"/>
      <c r="G92" s="509"/>
      <c r="H92" s="509"/>
      <c r="I92" s="512"/>
      <c r="J92" s="513"/>
      <c r="K92" s="879"/>
      <c r="L92" s="515"/>
      <c r="M92" s="516"/>
      <c r="N92" s="56">
        <f t="shared" si="32"/>
        <v>0</v>
      </c>
      <c r="O92" s="57">
        <f t="shared" si="33"/>
        <v>0</v>
      </c>
      <c r="P92" s="57">
        <f ca="1">IFERROR(IF(ISBLANK(H92),SUMIFS($AC:$AC,$V:$V,V92,$W:$W,W92,$X:$X,X92,$Y:$Y,Y92)*J92/(1-J92)*VLOOKUP(_xlfn.CONCAT(C92,D92,E92,TIME!$M$12,Z92),HIS_SALES!$B$2:$W$4859,20,FALSE),AC92*J92/(1-J92)),0)</f>
        <v>0</v>
      </c>
      <c r="Q92" s="541" t="str">
        <f t="shared" si="34"/>
        <v/>
      </c>
      <c r="R92" s="346" t="str">
        <f t="shared" si="35"/>
        <v>00000</v>
      </c>
      <c r="S92" s="344">
        <f t="shared" si="36"/>
        <v>0</v>
      </c>
      <c r="T92" s="345" t="str">
        <f t="shared" si="49"/>
        <v>000</v>
      </c>
      <c r="U92" s="345">
        <f t="shared" si="37"/>
        <v>0</v>
      </c>
      <c r="V92" s="345">
        <f t="shared" si="38"/>
        <v>0</v>
      </c>
      <c r="W92" s="345">
        <f t="shared" si="39"/>
        <v>0</v>
      </c>
      <c r="X92" s="345">
        <f t="shared" si="40"/>
        <v>0</v>
      </c>
      <c r="Y92" s="345">
        <f t="shared" si="41"/>
        <v>0</v>
      </c>
      <c r="Z92" s="345">
        <f>IF(Q92&lt;&gt;"",VLOOKUP(Y92,TIME!$R$21:$V$24,MATCH(FC_DATA!Q92,TIME!$R$20:$V$20,0),FALSE),H92)</f>
        <v>0</v>
      </c>
      <c r="AA92" s="345" t="str">
        <f>IFERROR(VLOOKUP(X92&amp;Z92,TIME!$A$12:$D$71,4,FALSE),"")</f>
        <v/>
      </c>
      <c r="AB92" s="592">
        <f t="shared" ca="1" si="42"/>
        <v>0</v>
      </c>
      <c r="AC92" s="593" t="e">
        <f ca="1">IF(ISBLANK(H92)=FALSE,IF(D92="BRAND.com",I92,IF(ISNA(VLOOKUP(_xlfn.CONCAT(X92,Z92),TIME!$M$40:$M$42,1,FALSE)),I92,VLOOKUP(_xlfn.CONCAT(D92,G92,H92),M_BUSAREA_FC!$AF$5:$AJ$10,5,FALSE)*HLOOKUP(_xlfn.CONCAT(F92,H92),ST_OVERVIEW!$G$99:$I$130,MATCH(_xlfn.CONCAT(D92,E92),ST_OVERVIEW!$F$99:$F$130,0),FALSE))),IF(D92="BRAND.com",VLOOKUP(_xlfn.CONCAT(C92,D92,E92,TIME!$F$1,Z92),HIS_SALES!$B$2:$V$4859,19,FALSE)*I92,VLOOKUP(_xlfn.CONCAT(D92,F92,G92),Q_BUSAREA_FC!$AE$5:$AI$12,5,FALSE)*HLOOKUP(_xlfn.CONCAT(FC_DATA!F92,FC_DATA!G92),LT_OVERVIEW!$I$99:$M$130,MATCH(_xlfn.CONCAT(D92,FC_DATA!E92),LT_OVERVIEW!$H$99:$H$130,0),FALSE)*IFERROR(VLOOKUP(_xlfn.CONCAT(C92,D92,E92,TIME!$F$1,Z92),HIS_SALES!$B$2:$V$4859,19,FALSE),0)))</f>
        <v>#N/A</v>
      </c>
      <c r="AD92" s="341">
        <f t="shared" ca="1" si="43"/>
        <v>0</v>
      </c>
      <c r="AE92" s="363" t="str">
        <f t="shared" si="44"/>
        <v/>
      </c>
      <c r="AF92" s="342" t="str">
        <f t="shared" si="45"/>
        <v/>
      </c>
      <c r="AG92" s="411" t="e">
        <f ca="1">VLOOKUP(_xlfn.CONCAT(U92,V92,W92,VLOOKUP(X92&amp;Y92,TIME!$L$27:$O$34,4,FALSE),Y92),HIS_SALES!$A$2:$R$5093,18,FALSE)</f>
        <v>#N/A</v>
      </c>
      <c r="AH92" s="412" t="e">
        <f ca="1">IFERROR(IF(AND(V92=V91,W92=W91),0.5*(AB92+AB91)*AG92,(VLOOKUP(_xlfn.CONCAT(U92,V92,W92,X92,VLOOKUP(Z92,TIME!$S$28:$T$39,2,FALSE)),FC_DATA!$R$2:$AB$5000,MATCH("GS_I_M",FC_DATA!$R$1:$AB$1,0),FALSE)+FC_DATA!AB92)*0.5*FC_DATA!AG92),NA())</f>
        <v>#N/A</v>
      </c>
      <c r="AI92" s="491" t="e">
        <f ca="1">IF(V92="PARTNER.com",AH92,IF(AND(V92=V91,W92=W91),(1-AVERAGE(AD91,AD92))*AH92,(1-AVERAGE(AD92,VLOOKUP(_xlfn.CONCAT(U92,V92,W92,X92,M_BRAND_FC!$F$6),FC_DATA!$R$2:$AD$5000,MATCH("DISCOUNT_%_M",FC_DATA!$R$1:$AD$1,0),FALSE)))*AH92))</f>
        <v>#N/A</v>
      </c>
      <c r="AJ92" s="412" t="str">
        <f t="shared" ca="1" si="46"/>
        <v/>
      </c>
      <c r="AK92" s="413" t="str">
        <f>IFERROR(AE92/(Q_BRAND_FC!$T$24+1),"")</f>
        <v/>
      </c>
      <c r="AL92" s="88" t="str">
        <f t="shared" ca="1" si="47"/>
        <v/>
      </c>
      <c r="AM92" s="414" t="str">
        <f t="shared" ca="1" si="48"/>
        <v/>
      </c>
      <c r="AN92" s="58">
        <f>IFERROR(IF($V92="BRAND.com",HLOOKUP($X92&amp;$Z92,NWC_FC_NOOS!$C$4:$Q$23,MATCH(W92,NWC_FC_NOOS!$B$4:$B$23,0),FALSE),0),0)</f>
        <v>0</v>
      </c>
      <c r="AO92" s="57">
        <f>IFERROR(IF($V92="BRAND.com",HLOOKUP($X92&amp;$Z92,NWC_FC_NOOS!$T$4:$AH$23,MATCH(W92,NWC_FC_NOOS!$S$4:$S$23,0),FALSE),0),0)</f>
        <v>0</v>
      </c>
      <c r="AP92" s="57">
        <f>IFERROR(IF($V92="BRAND.com",HLOOKUP($X92&amp;$Z92,NWC_FC_NOOS!$C$50:$U$69,MATCH(W92,NWC_FC_NOOS!$B$50:$B$69,0),FALSE),0),0)</f>
        <v>0</v>
      </c>
      <c r="AQ92" s="58">
        <f>IFERROR(IF($V92="BRAND.com",HLOOKUP($X92&amp;$Z92,'NWC_FC_NON-NOOS'!$C$4:$Q$23,MATCH(W92,'NWC_FC_NON-NOOS'!$B$4:$B$23,0),FALSE),0),0)</f>
        <v>0</v>
      </c>
      <c r="AR92" s="57">
        <f>IFERROR(IF($V92="BRAND.com",HLOOKUP($X92&amp;$Z92,'NWC_FC_NON-NOOS'!$T$4:$AH$23,MATCH(W92,'NWC_FC_NON-NOOS'!$S$4:$S$23,0),FALSE),0),0)</f>
        <v>0</v>
      </c>
      <c r="AS92" s="57">
        <f>IFERROR(IF($V92="BRAND.com",HLOOKUP($X92&amp;$Z92,'NWC_FC_NON-NOOS'!$C$50:$U$69,MATCH(W92,'NWC_FC_NON-NOOS'!$B$50:$B$69,0),FALSE),0),0)</f>
        <v>0</v>
      </c>
      <c r="AT92" s="57">
        <f t="shared" si="50"/>
        <v>0</v>
      </c>
      <c r="AU92" s="57">
        <f t="shared" si="51"/>
        <v>0</v>
      </c>
      <c r="AV92" s="58">
        <f>IFERROR(IF($V92="BRAND.com",HLOOKUP($X92&amp;$Z92,PLANNING_FC!$BB$27:$BP$46,MATCH($W92,PLANNING_FC!$BA$27:$BA$46,0),FALSE),0),0)</f>
        <v>0</v>
      </c>
      <c r="AW92" s="58">
        <f>IFERROR(IF($V92="BRAND.com",HLOOKUP($X92&amp;$Z92,PLANNING_FC!$BB$4:$BP$23,MATCH($W92,PLANNING_FC!$BA$4:$BA$23,0),FALSE),0),0)</f>
        <v>0</v>
      </c>
      <c r="AX92" s="58">
        <f>IFERROR(IF($V92="BRAND.com",HLOOKUP($X92&amp;$Z92,PLANNING_FC!$T$27:$AH$46,MATCH($W92,PLANNING_FC!$B$27:$B$46,0),FALSE),0),0)</f>
        <v>0</v>
      </c>
      <c r="AY92" s="58">
        <f>IFERROR(IF($V92="BRAND.com",HLOOKUP($X92&amp;$Z92,PLANNING_FC!$T$4:$AH$23,MATCH($W92,PLANNING_FC!$B$4:$B$23,0),FALSE),0),0)</f>
        <v>0</v>
      </c>
      <c r="AZ92" s="58">
        <f>IFERROR(IF($V92="BRAND.com",HLOOKUP($X92&amp;$Z92,PLANNING_FC!$DA$27:$DO$46,MATCH($W92,PLANNING_FC!$CZ$27:$CZ$46,0),FALSE),0),0)</f>
        <v>0</v>
      </c>
      <c r="BA92" s="58">
        <f>IFERROR(IF($V92="BRAND.com",HLOOKUP($X92&amp;$Z92,PLANNING_FC!$DA$4:$DO$23,MATCH($W92,PLANNING_FC!$CZ$4:$CZ$23,0),FALSE),0),0)</f>
        <v>0</v>
      </c>
      <c r="BB92" s="883" t="str">
        <f>IF(V92="BRAND.com",IFERROR(HLOOKUP(X92&amp;Z92,PLANNING_FC!$AK$4:$AY$23,MATCH(W92,PLANNING_FC!$AJ$4:$AJ$23,0),FALSE)*1000,""),"")</f>
        <v/>
      </c>
      <c r="BC92" s="883" t="str">
        <f>IF(V92="BRAND.com",IFERROR(HLOOKUP(X92&amp;Z92,PLANNING_FC!$AK$27:$AY$46,MATCH(W92,PLANNING_FC!$AJ$27:$AJ$46,0),FALSE)*1000,""),"")</f>
        <v/>
      </c>
    </row>
    <row r="93" spans="1:55" x14ac:dyDescent="0.25">
      <c r="A93" s="509"/>
      <c r="B93" s="510"/>
      <c r="C93" s="509"/>
      <c r="D93" s="509"/>
      <c r="E93" s="509"/>
      <c r="F93" s="509"/>
      <c r="G93" s="509"/>
      <c r="H93" s="509"/>
      <c r="I93" s="512"/>
      <c r="J93" s="513"/>
      <c r="K93" s="879"/>
      <c r="L93" s="515"/>
      <c r="M93" s="516"/>
      <c r="N93" s="56">
        <f t="shared" si="32"/>
        <v>0</v>
      </c>
      <c r="O93" s="57">
        <f t="shared" si="33"/>
        <v>0</v>
      </c>
      <c r="P93" s="57">
        <f ca="1">IFERROR(IF(ISBLANK(H93),SUMIFS($AC:$AC,$V:$V,V93,$W:$W,W93,$X:$X,X93,$Y:$Y,Y93)*J93/(1-J93)*VLOOKUP(_xlfn.CONCAT(C93,D93,E93,TIME!$M$12,Z93),HIS_SALES!$B$2:$W$4859,20,FALSE),AC93*J93/(1-J93)),0)</f>
        <v>0</v>
      </c>
      <c r="Q93" s="541" t="str">
        <f t="shared" si="34"/>
        <v/>
      </c>
      <c r="R93" s="346" t="str">
        <f t="shared" si="35"/>
        <v>00000</v>
      </c>
      <c r="S93" s="344">
        <f t="shared" si="36"/>
        <v>0</v>
      </c>
      <c r="T93" s="345" t="str">
        <f t="shared" si="49"/>
        <v>000</v>
      </c>
      <c r="U93" s="345">
        <f t="shared" si="37"/>
        <v>0</v>
      </c>
      <c r="V93" s="345">
        <f t="shared" si="38"/>
        <v>0</v>
      </c>
      <c r="W93" s="345">
        <f t="shared" si="39"/>
        <v>0</v>
      </c>
      <c r="X93" s="345">
        <f t="shared" si="40"/>
        <v>0</v>
      </c>
      <c r="Y93" s="345">
        <f t="shared" si="41"/>
        <v>0</v>
      </c>
      <c r="Z93" s="345">
        <f>IF(Q93&lt;&gt;"",VLOOKUP(Y93,TIME!$R$21:$V$24,MATCH(FC_DATA!Q93,TIME!$R$20:$V$20,0),FALSE),H93)</f>
        <v>0</v>
      </c>
      <c r="AA93" s="345" t="str">
        <f>IFERROR(VLOOKUP(X93&amp;Z93,TIME!$A$12:$D$71,4,FALSE),"")</f>
        <v/>
      </c>
      <c r="AB93" s="592">
        <f t="shared" ca="1" si="42"/>
        <v>0</v>
      </c>
      <c r="AC93" s="593" t="e">
        <f ca="1">IF(ISBLANK(H93)=FALSE,IF(D93="BRAND.com",I93,IF(ISNA(VLOOKUP(_xlfn.CONCAT(X93,Z93),TIME!$M$40:$M$42,1,FALSE)),I93,VLOOKUP(_xlfn.CONCAT(D93,G93,H93),M_BUSAREA_FC!$AF$5:$AJ$10,5,FALSE)*HLOOKUP(_xlfn.CONCAT(F93,H93),ST_OVERVIEW!$G$99:$I$130,MATCH(_xlfn.CONCAT(D93,E93),ST_OVERVIEW!$F$99:$F$130,0),FALSE))),IF(D93="BRAND.com",VLOOKUP(_xlfn.CONCAT(C93,D93,E93,TIME!$F$1,Z93),HIS_SALES!$B$2:$V$4859,19,FALSE)*I93,VLOOKUP(_xlfn.CONCAT(D93,F93,G93),Q_BUSAREA_FC!$AE$5:$AI$12,5,FALSE)*HLOOKUP(_xlfn.CONCAT(FC_DATA!F93,FC_DATA!G93),LT_OVERVIEW!$I$99:$M$130,MATCH(_xlfn.CONCAT(D93,FC_DATA!E93),LT_OVERVIEW!$H$99:$H$130,0),FALSE)*IFERROR(VLOOKUP(_xlfn.CONCAT(C93,D93,E93,TIME!$F$1,Z93),HIS_SALES!$B$2:$V$4859,19,FALSE),0)))</f>
        <v>#N/A</v>
      </c>
      <c r="AD93" s="341">
        <f t="shared" ca="1" si="43"/>
        <v>0</v>
      </c>
      <c r="AE93" s="363" t="str">
        <f t="shared" si="44"/>
        <v/>
      </c>
      <c r="AF93" s="342" t="str">
        <f t="shared" si="45"/>
        <v/>
      </c>
      <c r="AG93" s="411" t="e">
        <f ca="1">VLOOKUP(_xlfn.CONCAT(U93,V93,W93,VLOOKUP(X93&amp;Y93,TIME!$L$27:$O$34,4,FALSE),Y93),HIS_SALES!$A$2:$R$5093,18,FALSE)</f>
        <v>#N/A</v>
      </c>
      <c r="AH93" s="412" t="e">
        <f ca="1">IFERROR(IF(AND(V93=V92,W93=W92),0.5*(AB93+AB92)*AG93,(VLOOKUP(_xlfn.CONCAT(U93,V93,W93,X93,VLOOKUP(Z93,TIME!$S$28:$T$39,2,FALSE)),FC_DATA!$R$2:$AB$5000,MATCH("GS_I_M",FC_DATA!$R$1:$AB$1,0),FALSE)+FC_DATA!AB93)*0.5*FC_DATA!AG93),NA())</f>
        <v>#N/A</v>
      </c>
      <c r="AI93" s="491" t="e">
        <f ca="1">IF(V93="PARTNER.com",AH93,IF(AND(V93=V92,W93=W92),(1-AVERAGE(AD92,AD93))*AH93,(1-AVERAGE(AD93,VLOOKUP(_xlfn.CONCAT(U93,V93,W93,X93,M_BRAND_FC!$F$6),FC_DATA!$R$2:$AD$5000,MATCH("DISCOUNT_%_M",FC_DATA!$R$1:$AD$1,0),FALSE)))*AH93))</f>
        <v>#N/A</v>
      </c>
      <c r="AJ93" s="412" t="str">
        <f t="shared" ca="1" si="46"/>
        <v/>
      </c>
      <c r="AK93" s="413" t="str">
        <f>IFERROR(AE93/(Q_BRAND_FC!$T$24+1),"")</f>
        <v/>
      </c>
      <c r="AL93" s="88" t="str">
        <f t="shared" ca="1" si="47"/>
        <v/>
      </c>
      <c r="AM93" s="414" t="str">
        <f t="shared" ca="1" si="48"/>
        <v/>
      </c>
      <c r="AN93" s="58">
        <f>IFERROR(IF($V93="BRAND.com",HLOOKUP($X93&amp;$Z93,NWC_FC_NOOS!$C$4:$Q$23,MATCH(W93,NWC_FC_NOOS!$B$4:$B$23,0),FALSE),0),0)</f>
        <v>0</v>
      </c>
      <c r="AO93" s="57">
        <f>IFERROR(IF($V93="BRAND.com",HLOOKUP($X93&amp;$Z93,NWC_FC_NOOS!$T$4:$AH$23,MATCH(W93,NWC_FC_NOOS!$S$4:$S$23,0),FALSE),0),0)</f>
        <v>0</v>
      </c>
      <c r="AP93" s="57">
        <f>IFERROR(IF($V93="BRAND.com",HLOOKUP($X93&amp;$Z93,NWC_FC_NOOS!$C$50:$U$69,MATCH(W93,NWC_FC_NOOS!$B$50:$B$69,0),FALSE),0),0)</f>
        <v>0</v>
      </c>
      <c r="AQ93" s="58">
        <f>IFERROR(IF($V93="BRAND.com",HLOOKUP($X93&amp;$Z93,'NWC_FC_NON-NOOS'!$C$4:$Q$23,MATCH(W93,'NWC_FC_NON-NOOS'!$B$4:$B$23,0),FALSE),0),0)</f>
        <v>0</v>
      </c>
      <c r="AR93" s="57">
        <f>IFERROR(IF($V93="BRAND.com",HLOOKUP($X93&amp;$Z93,'NWC_FC_NON-NOOS'!$T$4:$AH$23,MATCH(W93,'NWC_FC_NON-NOOS'!$S$4:$S$23,0),FALSE),0),0)</f>
        <v>0</v>
      </c>
      <c r="AS93" s="57">
        <f>IFERROR(IF($V93="BRAND.com",HLOOKUP($X93&amp;$Z93,'NWC_FC_NON-NOOS'!$C$50:$U$69,MATCH(W93,'NWC_FC_NON-NOOS'!$B$50:$B$69,0),FALSE),0),0)</f>
        <v>0</v>
      </c>
      <c r="AT93" s="57">
        <f t="shared" si="50"/>
        <v>0</v>
      </c>
      <c r="AU93" s="57">
        <f t="shared" si="51"/>
        <v>0</v>
      </c>
      <c r="AV93" s="58">
        <f>IFERROR(IF($V93="BRAND.com",HLOOKUP($X93&amp;$Z93,PLANNING_FC!$BB$27:$BP$46,MATCH($W93,PLANNING_FC!$BA$27:$BA$46,0),FALSE),0),0)</f>
        <v>0</v>
      </c>
      <c r="AW93" s="58">
        <f>IFERROR(IF($V93="BRAND.com",HLOOKUP($X93&amp;$Z93,PLANNING_FC!$BB$4:$BP$23,MATCH($W93,PLANNING_FC!$BA$4:$BA$23,0),FALSE),0),0)</f>
        <v>0</v>
      </c>
      <c r="AX93" s="58">
        <f>IFERROR(IF($V93="BRAND.com",HLOOKUP($X93&amp;$Z93,PLANNING_FC!$T$27:$AH$46,MATCH($W93,PLANNING_FC!$B$27:$B$46,0),FALSE),0),0)</f>
        <v>0</v>
      </c>
      <c r="AY93" s="58">
        <f>IFERROR(IF($V93="BRAND.com",HLOOKUP($X93&amp;$Z93,PLANNING_FC!$T$4:$AH$23,MATCH($W93,PLANNING_FC!$B$4:$B$23,0),FALSE),0),0)</f>
        <v>0</v>
      </c>
      <c r="AZ93" s="58">
        <f>IFERROR(IF($V93="BRAND.com",HLOOKUP($X93&amp;$Z93,PLANNING_FC!$DA$27:$DO$46,MATCH($W93,PLANNING_FC!$CZ$27:$CZ$46,0),FALSE),0),0)</f>
        <v>0</v>
      </c>
      <c r="BA93" s="58">
        <f>IFERROR(IF($V93="BRAND.com",HLOOKUP($X93&amp;$Z93,PLANNING_FC!$DA$4:$DO$23,MATCH($W93,PLANNING_FC!$CZ$4:$CZ$23,0),FALSE),0),0)</f>
        <v>0</v>
      </c>
      <c r="BB93" s="883" t="str">
        <f>IF(V93="BRAND.com",IFERROR(HLOOKUP(X93&amp;Z93,PLANNING_FC!$AK$4:$AY$23,MATCH(W93,PLANNING_FC!$AJ$4:$AJ$23,0),FALSE)*1000,""),"")</f>
        <v/>
      </c>
      <c r="BC93" s="883" t="str">
        <f>IF(V93="BRAND.com",IFERROR(HLOOKUP(X93&amp;Z93,PLANNING_FC!$AK$27:$AY$46,MATCH(W93,PLANNING_FC!$AJ$27:$AJ$46,0),FALSE)*1000,""),"")</f>
        <v/>
      </c>
    </row>
    <row r="94" spans="1:55" x14ac:dyDescent="0.25">
      <c r="A94" s="509"/>
      <c r="B94" s="510"/>
      <c r="C94" s="509"/>
      <c r="D94" s="509"/>
      <c r="E94" s="511"/>
      <c r="F94" s="509"/>
      <c r="G94" s="509"/>
      <c r="H94" s="509"/>
      <c r="I94" s="512"/>
      <c r="J94" s="513"/>
      <c r="K94" s="879"/>
      <c r="L94" s="515"/>
      <c r="M94" s="516"/>
      <c r="N94" s="56">
        <f t="shared" si="32"/>
        <v>0</v>
      </c>
      <c r="O94" s="57">
        <f t="shared" si="33"/>
        <v>0</v>
      </c>
      <c r="P94" s="57">
        <f ca="1">IFERROR(IF(ISBLANK(H94),SUMIFS($AC:$AC,$V:$V,V94,$W:$W,W94,$X:$X,X94,$Y:$Y,Y94)*J94/(1-J94)*VLOOKUP(_xlfn.CONCAT(C94,D94,E94,TIME!$M$12,Z94),HIS_SALES!$B$2:$W$4859,20,FALSE),AC94*J94/(1-J94)),0)</f>
        <v>0</v>
      </c>
      <c r="Q94" s="541" t="str">
        <f t="shared" si="34"/>
        <v/>
      </c>
      <c r="R94" s="346" t="str">
        <f t="shared" si="35"/>
        <v>00000</v>
      </c>
      <c r="S94" s="344">
        <f t="shared" si="36"/>
        <v>0</v>
      </c>
      <c r="T94" s="345" t="str">
        <f t="shared" si="49"/>
        <v>000</v>
      </c>
      <c r="U94" s="345">
        <f t="shared" si="37"/>
        <v>0</v>
      </c>
      <c r="V94" s="345">
        <f t="shared" si="38"/>
        <v>0</v>
      </c>
      <c r="W94" s="345">
        <f t="shared" si="39"/>
        <v>0</v>
      </c>
      <c r="X94" s="345">
        <f t="shared" si="40"/>
        <v>0</v>
      </c>
      <c r="Y94" s="345">
        <f t="shared" si="41"/>
        <v>0</v>
      </c>
      <c r="Z94" s="345">
        <f>IF(Q94&lt;&gt;"",VLOOKUP(Y94,TIME!$R$21:$V$24,MATCH(FC_DATA!Q94,TIME!$R$20:$V$20,0),FALSE),H94)</f>
        <v>0</v>
      </c>
      <c r="AA94" s="345" t="str">
        <f>IFERROR(VLOOKUP(X94&amp;Z94,TIME!$A$12:$D$71,4,FALSE),"")</f>
        <v/>
      </c>
      <c r="AB94" s="592">
        <f t="shared" ca="1" si="42"/>
        <v>0</v>
      </c>
      <c r="AC94" s="593" t="e">
        <f ca="1">IF(ISBLANK(H94)=FALSE,IF(D94="BRAND.com",I94,IF(ISNA(VLOOKUP(_xlfn.CONCAT(X94,Z94),TIME!$M$40:$M$42,1,FALSE)),I94,VLOOKUP(_xlfn.CONCAT(D94,G94,H94),M_BUSAREA_FC!$AF$5:$AJ$10,5,FALSE)*HLOOKUP(_xlfn.CONCAT(F94,H94),ST_OVERVIEW!$G$99:$I$130,MATCH(_xlfn.CONCAT(D94,E94),ST_OVERVIEW!$F$99:$F$130,0),FALSE))),IF(D94="BRAND.com",VLOOKUP(_xlfn.CONCAT(C94,D94,E94,TIME!$F$1,Z94),HIS_SALES!$B$2:$V$4859,19,FALSE)*I94,VLOOKUP(_xlfn.CONCAT(D94,F94,G94),Q_BUSAREA_FC!$AE$5:$AI$12,5,FALSE)*HLOOKUP(_xlfn.CONCAT(FC_DATA!F94,FC_DATA!G94),LT_OVERVIEW!$I$99:$M$130,MATCH(_xlfn.CONCAT(D94,FC_DATA!E94),LT_OVERVIEW!$H$99:$H$130,0),FALSE)*IFERROR(VLOOKUP(_xlfn.CONCAT(C94,D94,E94,TIME!$F$1,Z94),HIS_SALES!$B$2:$V$4859,19,FALSE),0)))</f>
        <v>#N/A</v>
      </c>
      <c r="AD94" s="341">
        <f t="shared" ca="1" si="43"/>
        <v>0</v>
      </c>
      <c r="AE94" s="363" t="str">
        <f t="shared" si="44"/>
        <v/>
      </c>
      <c r="AF94" s="342" t="str">
        <f t="shared" si="45"/>
        <v/>
      </c>
      <c r="AG94" s="411" t="e">
        <f ca="1">VLOOKUP(_xlfn.CONCAT(U94,V94,W94,VLOOKUP(X94&amp;Y94,TIME!$L$27:$O$34,4,FALSE),Y94),HIS_SALES!$A$2:$R$5093,18,FALSE)</f>
        <v>#N/A</v>
      </c>
      <c r="AH94" s="412" t="e">
        <f ca="1">IFERROR(IF(AND(V94=V93,W94=W93),0.5*(AB94+AB93)*AG94,(VLOOKUP(_xlfn.CONCAT(U94,V94,W94,X94,VLOOKUP(Z94,TIME!$S$28:$T$39,2,FALSE)),FC_DATA!$R$2:$AB$5000,MATCH("GS_I_M",FC_DATA!$R$1:$AB$1,0),FALSE)+FC_DATA!AB94)*0.5*FC_DATA!AG94),NA())</f>
        <v>#N/A</v>
      </c>
      <c r="AI94" s="491" t="e">
        <f ca="1">IF(V94="PARTNER.com",AH94,IF(AND(V94=V93,W94=W93),(1-AVERAGE(AD93,AD94))*AH94,(1-AVERAGE(AD94,VLOOKUP(_xlfn.CONCAT(U94,V94,W94,X94,M_BRAND_FC!$F$6),FC_DATA!$R$2:$AD$5000,MATCH("DISCOUNT_%_M",FC_DATA!$R$1:$AD$1,0),FALSE)))*AH94))</f>
        <v>#N/A</v>
      </c>
      <c r="AJ94" s="412" t="str">
        <f t="shared" ca="1" si="46"/>
        <v/>
      </c>
      <c r="AK94" s="413" t="str">
        <f>IFERROR(AE94/(Q_BRAND_FC!$T$24+1),"")</f>
        <v/>
      </c>
      <c r="AL94" s="88" t="str">
        <f t="shared" ca="1" si="47"/>
        <v/>
      </c>
      <c r="AM94" s="414" t="str">
        <f t="shared" ca="1" si="48"/>
        <v/>
      </c>
      <c r="AN94" s="58">
        <f>IFERROR(IF($V94="BRAND.com",HLOOKUP($X94&amp;$Z94,NWC_FC_NOOS!$C$4:$Q$23,MATCH(W94,NWC_FC_NOOS!$B$4:$B$23,0),FALSE),0),0)</f>
        <v>0</v>
      </c>
      <c r="AO94" s="57">
        <f>IFERROR(IF($V94="BRAND.com",HLOOKUP($X94&amp;$Z94,NWC_FC_NOOS!$T$4:$AH$23,MATCH(W94,NWC_FC_NOOS!$S$4:$S$23,0),FALSE),0),0)</f>
        <v>0</v>
      </c>
      <c r="AP94" s="57">
        <f>IFERROR(IF($V94="BRAND.com",HLOOKUP($X94&amp;$Z94,NWC_FC_NOOS!$C$50:$U$69,MATCH(W94,NWC_FC_NOOS!$B$50:$B$69,0),FALSE),0),0)</f>
        <v>0</v>
      </c>
      <c r="AQ94" s="58">
        <f>IFERROR(IF($V94="BRAND.com",HLOOKUP($X94&amp;$Z94,'NWC_FC_NON-NOOS'!$C$4:$Q$23,MATCH(W94,'NWC_FC_NON-NOOS'!$B$4:$B$23,0),FALSE),0),0)</f>
        <v>0</v>
      </c>
      <c r="AR94" s="57">
        <f>IFERROR(IF($V94="BRAND.com",HLOOKUP($X94&amp;$Z94,'NWC_FC_NON-NOOS'!$T$4:$AH$23,MATCH(W94,'NWC_FC_NON-NOOS'!$S$4:$S$23,0),FALSE),0),0)</f>
        <v>0</v>
      </c>
      <c r="AS94" s="57">
        <f>IFERROR(IF($V94="BRAND.com",HLOOKUP($X94&amp;$Z94,'NWC_FC_NON-NOOS'!$C$50:$U$69,MATCH(W94,'NWC_FC_NON-NOOS'!$B$50:$B$69,0),FALSE),0),0)</f>
        <v>0</v>
      </c>
      <c r="AT94" s="57">
        <f t="shared" si="50"/>
        <v>0</v>
      </c>
      <c r="AU94" s="57">
        <f t="shared" si="51"/>
        <v>0</v>
      </c>
      <c r="AV94" s="58">
        <f>IFERROR(IF($V94="BRAND.com",HLOOKUP($X94&amp;$Z94,PLANNING_FC!$BB$27:$BP$46,MATCH($W94,PLANNING_FC!$BA$27:$BA$46,0),FALSE),0),0)</f>
        <v>0</v>
      </c>
      <c r="AW94" s="58">
        <f>IFERROR(IF($V94="BRAND.com",HLOOKUP($X94&amp;$Z94,PLANNING_FC!$BB$4:$BP$23,MATCH($W94,PLANNING_FC!$BA$4:$BA$23,0),FALSE),0),0)</f>
        <v>0</v>
      </c>
      <c r="AX94" s="58">
        <f>IFERROR(IF($V94="BRAND.com",HLOOKUP($X94&amp;$Z94,PLANNING_FC!$T$27:$AH$46,MATCH($W94,PLANNING_FC!$B$27:$B$46,0),FALSE),0),0)</f>
        <v>0</v>
      </c>
      <c r="AY94" s="58">
        <f>IFERROR(IF($V94="BRAND.com",HLOOKUP($X94&amp;$Z94,PLANNING_FC!$T$4:$AH$23,MATCH($W94,PLANNING_FC!$B$4:$B$23,0),FALSE),0),0)</f>
        <v>0</v>
      </c>
      <c r="AZ94" s="58">
        <f>IFERROR(IF($V94="BRAND.com",HLOOKUP($X94&amp;$Z94,PLANNING_FC!$DA$27:$DO$46,MATCH($W94,PLANNING_FC!$CZ$27:$CZ$46,0),FALSE),0),0)</f>
        <v>0</v>
      </c>
      <c r="BA94" s="58">
        <f>IFERROR(IF($V94="BRAND.com",HLOOKUP($X94&amp;$Z94,PLANNING_FC!$DA$4:$DO$23,MATCH($W94,PLANNING_FC!$CZ$4:$CZ$23,0),FALSE),0),0)</f>
        <v>0</v>
      </c>
      <c r="BB94" s="883" t="str">
        <f>IF(V94="BRAND.com",IFERROR(HLOOKUP(X94&amp;Z94,PLANNING_FC!$AK$4:$AY$23,MATCH(W94,PLANNING_FC!$AJ$4:$AJ$23,0),FALSE)*1000,""),"")</f>
        <v/>
      </c>
      <c r="BC94" s="883" t="str">
        <f>IF(V94="BRAND.com",IFERROR(HLOOKUP(X94&amp;Z94,PLANNING_FC!$AK$27:$AY$46,MATCH(W94,PLANNING_FC!$AJ$27:$AJ$46,0),FALSE)*1000,""),"")</f>
        <v/>
      </c>
    </row>
    <row r="95" spans="1:55" x14ac:dyDescent="0.25">
      <c r="A95" s="509"/>
      <c r="B95" s="510"/>
      <c r="C95" s="509"/>
      <c r="D95" s="509"/>
      <c r="E95" s="509"/>
      <c r="F95" s="509"/>
      <c r="G95" s="509"/>
      <c r="H95" s="509"/>
      <c r="I95" s="512"/>
      <c r="J95" s="513"/>
      <c r="K95" s="879"/>
      <c r="L95" s="515"/>
      <c r="M95" s="516"/>
      <c r="N95" s="56">
        <f t="shared" si="32"/>
        <v>0</v>
      </c>
      <c r="O95" s="57">
        <f t="shared" si="33"/>
        <v>0</v>
      </c>
      <c r="P95" s="57">
        <f ca="1">IFERROR(IF(ISBLANK(H95),SUMIFS($AC:$AC,$V:$V,V95,$W:$W,W95,$X:$X,X95,$Y:$Y,Y95)*J95/(1-J95)*VLOOKUP(_xlfn.CONCAT(C95,D95,E95,TIME!$M$12,Z95),HIS_SALES!$B$2:$W$4859,20,FALSE),AC95*J95/(1-J95)),0)</f>
        <v>0</v>
      </c>
      <c r="Q95" s="541" t="str">
        <f t="shared" si="34"/>
        <v/>
      </c>
      <c r="R95" s="346" t="str">
        <f t="shared" si="35"/>
        <v>00000</v>
      </c>
      <c r="S95" s="344">
        <f t="shared" si="36"/>
        <v>0</v>
      </c>
      <c r="T95" s="345" t="str">
        <f t="shared" si="49"/>
        <v>000</v>
      </c>
      <c r="U95" s="345">
        <f t="shared" si="37"/>
        <v>0</v>
      </c>
      <c r="V95" s="345">
        <f t="shared" si="38"/>
        <v>0</v>
      </c>
      <c r="W95" s="345">
        <f t="shared" si="39"/>
        <v>0</v>
      </c>
      <c r="X95" s="345">
        <f t="shared" si="40"/>
        <v>0</v>
      </c>
      <c r="Y95" s="345">
        <f t="shared" si="41"/>
        <v>0</v>
      </c>
      <c r="Z95" s="345">
        <f>IF(Q95&lt;&gt;"",VLOOKUP(Y95,TIME!$R$21:$V$24,MATCH(FC_DATA!Q95,TIME!$R$20:$V$20,0),FALSE),H95)</f>
        <v>0</v>
      </c>
      <c r="AA95" s="345" t="str">
        <f>IFERROR(VLOOKUP(X95&amp;Z95,TIME!$A$12:$D$71,4,FALSE),"")</f>
        <v/>
      </c>
      <c r="AB95" s="592">
        <f t="shared" ca="1" si="42"/>
        <v>0</v>
      </c>
      <c r="AC95" s="593" t="e">
        <f ca="1">IF(ISBLANK(H95)=FALSE,IF(D95="BRAND.com",I95,IF(ISNA(VLOOKUP(_xlfn.CONCAT(X95,Z95),TIME!$M$40:$M$42,1,FALSE)),I95,VLOOKUP(_xlfn.CONCAT(D95,G95,H95),M_BUSAREA_FC!$AF$5:$AJ$10,5,FALSE)*HLOOKUP(_xlfn.CONCAT(F95,H95),ST_OVERVIEW!$G$99:$I$130,MATCH(_xlfn.CONCAT(D95,E95),ST_OVERVIEW!$F$99:$F$130,0),FALSE))),IF(D95="BRAND.com",VLOOKUP(_xlfn.CONCAT(C95,D95,E95,TIME!$F$1,Z95),HIS_SALES!$B$2:$V$4859,19,FALSE)*I95,VLOOKUP(_xlfn.CONCAT(D95,F95,G95),Q_BUSAREA_FC!$AE$5:$AI$12,5,FALSE)*HLOOKUP(_xlfn.CONCAT(FC_DATA!F95,FC_DATA!G95),LT_OVERVIEW!$I$99:$M$130,MATCH(_xlfn.CONCAT(D95,FC_DATA!E95),LT_OVERVIEW!$H$99:$H$130,0),FALSE)*IFERROR(VLOOKUP(_xlfn.CONCAT(C95,D95,E95,TIME!$F$1,Z95),HIS_SALES!$B$2:$V$4859,19,FALSE),0)))</f>
        <v>#N/A</v>
      </c>
      <c r="AD95" s="341">
        <f t="shared" ca="1" si="43"/>
        <v>0</v>
      </c>
      <c r="AE95" s="363" t="str">
        <f t="shared" si="44"/>
        <v/>
      </c>
      <c r="AF95" s="342" t="str">
        <f t="shared" si="45"/>
        <v/>
      </c>
      <c r="AG95" s="411" t="e">
        <f ca="1">VLOOKUP(_xlfn.CONCAT(U95,V95,W95,VLOOKUP(X95&amp;Y95,TIME!$L$27:$O$34,4,FALSE),Y95),HIS_SALES!$A$2:$R$5093,18,FALSE)</f>
        <v>#N/A</v>
      </c>
      <c r="AH95" s="412" t="e">
        <f ca="1">IFERROR(IF(AND(V95=V94,W95=W94),0.5*(AB95+AB94)*AG95,(VLOOKUP(_xlfn.CONCAT(U95,V95,W95,X95,VLOOKUP(Z95,TIME!$S$28:$T$39,2,FALSE)),FC_DATA!$R$2:$AB$5000,MATCH("GS_I_M",FC_DATA!$R$1:$AB$1,0),FALSE)+FC_DATA!AB95)*0.5*FC_DATA!AG95),NA())</f>
        <v>#N/A</v>
      </c>
      <c r="AI95" s="491" t="e">
        <f ca="1">IF(V95="PARTNER.com",AH95,IF(AND(V95=V94,W95=W94),(1-AVERAGE(AD94,AD95))*AH95,(1-AVERAGE(AD95,VLOOKUP(_xlfn.CONCAT(U95,V95,W95,X95,M_BRAND_FC!$F$6),FC_DATA!$R$2:$AD$5000,MATCH("DISCOUNT_%_M",FC_DATA!$R$1:$AD$1,0),FALSE)))*AH95))</f>
        <v>#N/A</v>
      </c>
      <c r="AJ95" s="412" t="str">
        <f t="shared" ca="1" si="46"/>
        <v/>
      </c>
      <c r="AK95" s="413" t="str">
        <f>IFERROR(AE95/(Q_BRAND_FC!$T$24+1),"")</f>
        <v/>
      </c>
      <c r="AL95" s="88" t="str">
        <f t="shared" ca="1" si="47"/>
        <v/>
      </c>
      <c r="AM95" s="414" t="str">
        <f t="shared" ca="1" si="48"/>
        <v/>
      </c>
      <c r="AN95" s="58">
        <f>IFERROR(IF($V95="BRAND.com",HLOOKUP($X95&amp;$Z95,NWC_FC_NOOS!$C$4:$Q$23,MATCH(W95,NWC_FC_NOOS!$B$4:$B$23,0),FALSE),0),0)</f>
        <v>0</v>
      </c>
      <c r="AO95" s="57">
        <f>IFERROR(IF($V95="BRAND.com",HLOOKUP($X95&amp;$Z95,NWC_FC_NOOS!$T$4:$AH$23,MATCH(W95,NWC_FC_NOOS!$S$4:$S$23,0),FALSE),0),0)</f>
        <v>0</v>
      </c>
      <c r="AP95" s="57">
        <f>IFERROR(IF($V95="BRAND.com",HLOOKUP($X95&amp;$Z95,NWC_FC_NOOS!$C$50:$U$69,MATCH(W95,NWC_FC_NOOS!$B$50:$B$69,0),FALSE),0),0)</f>
        <v>0</v>
      </c>
      <c r="AQ95" s="58">
        <f>IFERROR(IF($V95="BRAND.com",HLOOKUP($X95&amp;$Z95,'NWC_FC_NON-NOOS'!$C$4:$Q$23,MATCH(W95,'NWC_FC_NON-NOOS'!$B$4:$B$23,0),FALSE),0),0)</f>
        <v>0</v>
      </c>
      <c r="AR95" s="57">
        <f>IFERROR(IF($V95="BRAND.com",HLOOKUP($X95&amp;$Z95,'NWC_FC_NON-NOOS'!$T$4:$AH$23,MATCH(W95,'NWC_FC_NON-NOOS'!$S$4:$S$23,0),FALSE),0),0)</f>
        <v>0</v>
      </c>
      <c r="AS95" s="57">
        <f>IFERROR(IF($V95="BRAND.com",HLOOKUP($X95&amp;$Z95,'NWC_FC_NON-NOOS'!$C$50:$U$69,MATCH(W95,'NWC_FC_NON-NOOS'!$B$50:$B$69,0),FALSE),0),0)</f>
        <v>0</v>
      </c>
      <c r="AT95" s="57">
        <f t="shared" si="50"/>
        <v>0</v>
      </c>
      <c r="AU95" s="57">
        <f t="shared" si="51"/>
        <v>0</v>
      </c>
      <c r="AV95" s="58">
        <f>IFERROR(IF($V95="BRAND.com",HLOOKUP($X95&amp;$Z95,PLANNING_FC!$BB$27:$BP$46,MATCH($W95,PLANNING_FC!$BA$27:$BA$46,0),FALSE),0),0)</f>
        <v>0</v>
      </c>
      <c r="AW95" s="58">
        <f>IFERROR(IF($V95="BRAND.com",HLOOKUP($X95&amp;$Z95,PLANNING_FC!$BB$4:$BP$23,MATCH($W95,PLANNING_FC!$BA$4:$BA$23,0),FALSE),0),0)</f>
        <v>0</v>
      </c>
      <c r="AX95" s="58">
        <f>IFERROR(IF($V95="BRAND.com",HLOOKUP($X95&amp;$Z95,PLANNING_FC!$T$27:$AH$46,MATCH($W95,PLANNING_FC!$B$27:$B$46,0),FALSE),0),0)</f>
        <v>0</v>
      </c>
      <c r="AY95" s="58">
        <f>IFERROR(IF($V95="BRAND.com",HLOOKUP($X95&amp;$Z95,PLANNING_FC!$T$4:$AH$23,MATCH($W95,PLANNING_FC!$B$4:$B$23,0),FALSE),0),0)</f>
        <v>0</v>
      </c>
      <c r="AZ95" s="58">
        <f>IFERROR(IF($V95="BRAND.com",HLOOKUP($X95&amp;$Z95,PLANNING_FC!$DA$27:$DO$46,MATCH($W95,PLANNING_FC!$CZ$27:$CZ$46,0),FALSE),0),0)</f>
        <v>0</v>
      </c>
      <c r="BA95" s="58">
        <f>IFERROR(IF($V95="BRAND.com",HLOOKUP($X95&amp;$Z95,PLANNING_FC!$DA$4:$DO$23,MATCH($W95,PLANNING_FC!$CZ$4:$CZ$23,0),FALSE),0),0)</f>
        <v>0</v>
      </c>
      <c r="BB95" s="883" t="str">
        <f>IF(V95="BRAND.com",IFERROR(HLOOKUP(X95&amp;Z95,PLANNING_FC!$AK$4:$AY$23,MATCH(W95,PLANNING_FC!$AJ$4:$AJ$23,0),FALSE)*1000,""),"")</f>
        <v/>
      </c>
      <c r="BC95" s="883" t="str">
        <f>IF(V95="BRAND.com",IFERROR(HLOOKUP(X95&amp;Z95,PLANNING_FC!$AK$27:$AY$46,MATCH(W95,PLANNING_FC!$AJ$27:$AJ$46,0),FALSE)*1000,""),"")</f>
        <v/>
      </c>
    </row>
    <row r="96" spans="1:55" x14ac:dyDescent="0.25">
      <c r="A96" s="509"/>
      <c r="B96" s="510"/>
      <c r="C96" s="509"/>
      <c r="D96" s="509"/>
      <c r="E96" s="509"/>
      <c r="F96" s="509"/>
      <c r="G96" s="509"/>
      <c r="H96" s="509"/>
      <c r="I96" s="512"/>
      <c r="J96" s="513"/>
      <c r="K96" s="879"/>
      <c r="L96" s="515"/>
      <c r="M96" s="516"/>
      <c r="N96" s="56">
        <f t="shared" si="32"/>
        <v>0</v>
      </c>
      <c r="O96" s="57">
        <f t="shared" si="33"/>
        <v>0</v>
      </c>
      <c r="P96" s="57">
        <f ca="1">IFERROR(IF(ISBLANK(H96),SUMIFS($AC:$AC,$V:$V,V96,$W:$W,W96,$X:$X,X96,$Y:$Y,Y96)*J96/(1-J96)*VLOOKUP(_xlfn.CONCAT(C96,D96,E96,TIME!$M$12,Z96),HIS_SALES!$B$2:$W$4859,20,FALSE),AC96*J96/(1-J96)),0)</f>
        <v>0</v>
      </c>
      <c r="Q96" s="541" t="str">
        <f t="shared" si="34"/>
        <v/>
      </c>
      <c r="R96" s="346" t="str">
        <f t="shared" si="35"/>
        <v>00000</v>
      </c>
      <c r="S96" s="344">
        <f t="shared" si="36"/>
        <v>0</v>
      </c>
      <c r="T96" s="345" t="str">
        <f t="shared" si="49"/>
        <v>000</v>
      </c>
      <c r="U96" s="345">
        <f t="shared" si="37"/>
        <v>0</v>
      </c>
      <c r="V96" s="345">
        <f t="shared" si="38"/>
        <v>0</v>
      </c>
      <c r="W96" s="345">
        <f t="shared" si="39"/>
        <v>0</v>
      </c>
      <c r="X96" s="345">
        <f t="shared" si="40"/>
        <v>0</v>
      </c>
      <c r="Y96" s="345">
        <f t="shared" si="41"/>
        <v>0</v>
      </c>
      <c r="Z96" s="345">
        <f>IF(Q96&lt;&gt;"",VLOOKUP(Y96,TIME!$R$21:$V$24,MATCH(FC_DATA!Q96,TIME!$R$20:$V$20,0),FALSE),H96)</f>
        <v>0</v>
      </c>
      <c r="AA96" s="345" t="str">
        <f>IFERROR(VLOOKUP(X96&amp;Z96,TIME!$A$12:$D$71,4,FALSE),"")</f>
        <v/>
      </c>
      <c r="AB96" s="592">
        <f t="shared" ca="1" si="42"/>
        <v>0</v>
      </c>
      <c r="AC96" s="593" t="e">
        <f ca="1">IF(ISBLANK(H96)=FALSE,IF(D96="BRAND.com",I96,IF(ISNA(VLOOKUP(_xlfn.CONCAT(X96,Z96),TIME!$M$40:$M$42,1,FALSE)),I96,VLOOKUP(_xlfn.CONCAT(D96,G96,H96),M_BUSAREA_FC!$AF$5:$AJ$10,5,FALSE)*HLOOKUP(_xlfn.CONCAT(F96,H96),ST_OVERVIEW!$G$99:$I$130,MATCH(_xlfn.CONCAT(D96,E96),ST_OVERVIEW!$F$99:$F$130,0),FALSE))),IF(D96="BRAND.com",VLOOKUP(_xlfn.CONCAT(C96,D96,E96,TIME!$F$1,Z96),HIS_SALES!$B$2:$V$4859,19,FALSE)*I96,VLOOKUP(_xlfn.CONCAT(D96,F96,G96),Q_BUSAREA_FC!$AE$5:$AI$12,5,FALSE)*HLOOKUP(_xlfn.CONCAT(FC_DATA!F96,FC_DATA!G96),LT_OVERVIEW!$I$99:$M$130,MATCH(_xlfn.CONCAT(D96,FC_DATA!E96),LT_OVERVIEW!$H$99:$H$130,0),FALSE)*IFERROR(VLOOKUP(_xlfn.CONCAT(C96,D96,E96,TIME!$F$1,Z96),HIS_SALES!$B$2:$V$4859,19,FALSE),0)))</f>
        <v>#N/A</v>
      </c>
      <c r="AD96" s="341">
        <f t="shared" ca="1" si="43"/>
        <v>0</v>
      </c>
      <c r="AE96" s="363" t="str">
        <f t="shared" si="44"/>
        <v/>
      </c>
      <c r="AF96" s="342" t="str">
        <f t="shared" si="45"/>
        <v/>
      </c>
      <c r="AG96" s="411" t="e">
        <f ca="1">VLOOKUP(_xlfn.CONCAT(U96,V96,W96,VLOOKUP(X96&amp;Y96,TIME!$L$27:$O$34,4,FALSE),Y96),HIS_SALES!$A$2:$R$5093,18,FALSE)</f>
        <v>#N/A</v>
      </c>
      <c r="AH96" s="412" t="e">
        <f ca="1">IFERROR(IF(AND(V96=V95,W96=W95),0.5*(AB96+AB95)*AG96,(VLOOKUP(_xlfn.CONCAT(U96,V96,W96,X96,VLOOKUP(Z96,TIME!$S$28:$T$39,2,FALSE)),FC_DATA!$R$2:$AB$5000,MATCH("GS_I_M",FC_DATA!$R$1:$AB$1,0),FALSE)+FC_DATA!AB96)*0.5*FC_DATA!AG96),NA())</f>
        <v>#N/A</v>
      </c>
      <c r="AI96" s="491" t="e">
        <f ca="1">IF(V96="PARTNER.com",AH96,IF(AND(V96=V95,W96=W95),(1-AVERAGE(AD95,AD96))*AH96,(1-AVERAGE(AD96,VLOOKUP(_xlfn.CONCAT(U96,V96,W96,X96,M_BRAND_FC!$F$6),FC_DATA!$R$2:$AD$5000,MATCH("DISCOUNT_%_M",FC_DATA!$R$1:$AD$1,0),FALSE)))*AH96))</f>
        <v>#N/A</v>
      </c>
      <c r="AJ96" s="412" t="str">
        <f t="shared" ca="1" si="46"/>
        <v/>
      </c>
      <c r="AK96" s="413" t="str">
        <f>IFERROR(AE96/(Q_BRAND_FC!$T$24+1),"")</f>
        <v/>
      </c>
      <c r="AL96" s="88" t="str">
        <f t="shared" ca="1" si="47"/>
        <v/>
      </c>
      <c r="AM96" s="414" t="str">
        <f t="shared" ca="1" si="48"/>
        <v/>
      </c>
      <c r="AN96" s="58">
        <f>IFERROR(IF($V96="BRAND.com",HLOOKUP($X96&amp;$Z96,NWC_FC_NOOS!$C$4:$Q$23,MATCH(W96,NWC_FC_NOOS!$B$4:$B$23,0),FALSE),0),0)</f>
        <v>0</v>
      </c>
      <c r="AO96" s="57">
        <f>IFERROR(IF($V96="BRAND.com",HLOOKUP($X96&amp;$Z96,NWC_FC_NOOS!$T$4:$AH$23,MATCH(W96,NWC_FC_NOOS!$S$4:$S$23,0),FALSE),0),0)</f>
        <v>0</v>
      </c>
      <c r="AP96" s="57">
        <f>IFERROR(IF($V96="BRAND.com",HLOOKUP($X96&amp;$Z96,NWC_FC_NOOS!$C$50:$U$69,MATCH(W96,NWC_FC_NOOS!$B$50:$B$69,0),FALSE),0),0)</f>
        <v>0</v>
      </c>
      <c r="AQ96" s="58">
        <f>IFERROR(IF($V96="BRAND.com",HLOOKUP($X96&amp;$Z96,'NWC_FC_NON-NOOS'!$C$4:$Q$23,MATCH(W96,'NWC_FC_NON-NOOS'!$B$4:$B$23,0),FALSE),0),0)</f>
        <v>0</v>
      </c>
      <c r="AR96" s="57">
        <f>IFERROR(IF($V96="BRAND.com",HLOOKUP($X96&amp;$Z96,'NWC_FC_NON-NOOS'!$T$4:$AH$23,MATCH(W96,'NWC_FC_NON-NOOS'!$S$4:$S$23,0),FALSE),0),0)</f>
        <v>0</v>
      </c>
      <c r="AS96" s="57">
        <f>IFERROR(IF($V96="BRAND.com",HLOOKUP($X96&amp;$Z96,'NWC_FC_NON-NOOS'!$C$50:$U$69,MATCH(W96,'NWC_FC_NON-NOOS'!$B$50:$B$69,0),FALSE),0),0)</f>
        <v>0</v>
      </c>
      <c r="AT96" s="57">
        <f t="shared" si="50"/>
        <v>0</v>
      </c>
      <c r="AU96" s="57">
        <f t="shared" si="51"/>
        <v>0</v>
      </c>
      <c r="AV96" s="58">
        <f>IFERROR(IF($V96="BRAND.com",HLOOKUP($X96&amp;$Z96,PLANNING_FC!$BB$27:$BP$46,MATCH($W96,PLANNING_FC!$BA$27:$BA$46,0),FALSE),0),0)</f>
        <v>0</v>
      </c>
      <c r="AW96" s="58">
        <f>IFERROR(IF($V96="BRAND.com",HLOOKUP($X96&amp;$Z96,PLANNING_FC!$BB$4:$BP$23,MATCH($W96,PLANNING_FC!$BA$4:$BA$23,0),FALSE),0),0)</f>
        <v>0</v>
      </c>
      <c r="AX96" s="58">
        <f>IFERROR(IF($V96="BRAND.com",HLOOKUP($X96&amp;$Z96,PLANNING_FC!$T$27:$AH$46,MATCH($W96,PLANNING_FC!$B$27:$B$46,0),FALSE),0),0)</f>
        <v>0</v>
      </c>
      <c r="AY96" s="58">
        <f>IFERROR(IF($V96="BRAND.com",HLOOKUP($X96&amp;$Z96,PLANNING_FC!$T$4:$AH$23,MATCH($W96,PLANNING_FC!$B$4:$B$23,0),FALSE),0),0)</f>
        <v>0</v>
      </c>
      <c r="AZ96" s="58">
        <f>IFERROR(IF($V96="BRAND.com",HLOOKUP($X96&amp;$Z96,PLANNING_FC!$DA$27:$DO$46,MATCH($W96,PLANNING_FC!$CZ$27:$CZ$46,0),FALSE),0),0)</f>
        <v>0</v>
      </c>
      <c r="BA96" s="58">
        <f>IFERROR(IF($V96="BRAND.com",HLOOKUP($X96&amp;$Z96,PLANNING_FC!$DA$4:$DO$23,MATCH($W96,PLANNING_FC!$CZ$4:$CZ$23,0),FALSE),0),0)</f>
        <v>0</v>
      </c>
      <c r="BB96" s="883" t="str">
        <f>IF(V96="BRAND.com",IFERROR(HLOOKUP(X96&amp;Z96,PLANNING_FC!$AK$4:$AY$23,MATCH(W96,PLANNING_FC!$AJ$4:$AJ$23,0),FALSE)*1000,""),"")</f>
        <v/>
      </c>
      <c r="BC96" s="883" t="str">
        <f>IF(V96="BRAND.com",IFERROR(HLOOKUP(X96&amp;Z96,PLANNING_FC!$AK$27:$AY$46,MATCH(W96,PLANNING_FC!$AJ$27:$AJ$46,0),FALSE)*1000,""),"")</f>
        <v/>
      </c>
    </row>
    <row r="97" spans="1:55" x14ac:dyDescent="0.25">
      <c r="A97" s="509"/>
      <c r="B97" s="510"/>
      <c r="C97" s="509"/>
      <c r="D97" s="509"/>
      <c r="E97" s="509"/>
      <c r="F97" s="509"/>
      <c r="G97" s="509"/>
      <c r="H97" s="509"/>
      <c r="I97" s="512"/>
      <c r="J97" s="513"/>
      <c r="K97" s="879"/>
      <c r="L97" s="515"/>
      <c r="M97" s="516"/>
      <c r="N97" s="56">
        <f t="shared" si="32"/>
        <v>0</v>
      </c>
      <c r="O97" s="57">
        <f t="shared" si="33"/>
        <v>0</v>
      </c>
      <c r="P97" s="57">
        <f ca="1">IFERROR(IF(ISBLANK(H97),SUMIFS($AC:$AC,$V:$V,V97,$W:$W,W97,$X:$X,X97,$Y:$Y,Y97)*J97/(1-J97)*VLOOKUP(_xlfn.CONCAT(C97,D97,E97,TIME!$M$12,Z97),HIS_SALES!$B$2:$W$4859,20,FALSE),AC97*J97/(1-J97)),0)</f>
        <v>0</v>
      </c>
      <c r="Q97" s="541" t="str">
        <f t="shared" si="34"/>
        <v/>
      </c>
      <c r="R97" s="346" t="str">
        <f t="shared" si="35"/>
        <v>00000</v>
      </c>
      <c r="S97" s="344">
        <f t="shared" si="36"/>
        <v>0</v>
      </c>
      <c r="T97" s="345" t="str">
        <f t="shared" si="49"/>
        <v>000</v>
      </c>
      <c r="U97" s="345">
        <f t="shared" si="37"/>
        <v>0</v>
      </c>
      <c r="V97" s="345">
        <f t="shared" si="38"/>
        <v>0</v>
      </c>
      <c r="W97" s="345">
        <f t="shared" si="39"/>
        <v>0</v>
      </c>
      <c r="X97" s="345">
        <f t="shared" si="40"/>
        <v>0</v>
      </c>
      <c r="Y97" s="345">
        <f t="shared" si="41"/>
        <v>0</v>
      </c>
      <c r="Z97" s="345">
        <f>IF(Q97&lt;&gt;"",VLOOKUP(Y97,TIME!$R$21:$V$24,MATCH(FC_DATA!Q97,TIME!$R$20:$V$20,0),FALSE),H97)</f>
        <v>0</v>
      </c>
      <c r="AA97" s="345" t="str">
        <f>IFERROR(VLOOKUP(X97&amp;Z97,TIME!$A$12:$D$71,4,FALSE),"")</f>
        <v/>
      </c>
      <c r="AB97" s="592">
        <f t="shared" ca="1" si="42"/>
        <v>0</v>
      </c>
      <c r="AC97" s="593" t="e">
        <f ca="1">IF(ISBLANK(H97)=FALSE,IF(D97="BRAND.com",I97,IF(ISNA(VLOOKUP(_xlfn.CONCAT(X97,Z97),TIME!$M$40:$M$42,1,FALSE)),I97,VLOOKUP(_xlfn.CONCAT(D97,G97,H97),M_BUSAREA_FC!$AF$5:$AJ$10,5,FALSE)*HLOOKUP(_xlfn.CONCAT(F97,H97),ST_OVERVIEW!$G$99:$I$130,MATCH(_xlfn.CONCAT(D97,E97),ST_OVERVIEW!$F$99:$F$130,0),FALSE))),IF(D97="BRAND.com",VLOOKUP(_xlfn.CONCAT(C97,D97,E97,TIME!$F$1,Z97),HIS_SALES!$B$2:$V$4859,19,FALSE)*I97,VLOOKUP(_xlfn.CONCAT(D97,F97,G97),Q_BUSAREA_FC!$AE$5:$AI$12,5,FALSE)*HLOOKUP(_xlfn.CONCAT(FC_DATA!F97,FC_DATA!G97),LT_OVERVIEW!$I$99:$M$130,MATCH(_xlfn.CONCAT(D97,FC_DATA!E97),LT_OVERVIEW!$H$99:$H$130,0),FALSE)*IFERROR(VLOOKUP(_xlfn.CONCAT(C97,D97,E97,TIME!$F$1,Z97),HIS_SALES!$B$2:$V$4859,19,FALSE),0)))</f>
        <v>#N/A</v>
      </c>
      <c r="AD97" s="341">
        <f t="shared" ca="1" si="43"/>
        <v>0</v>
      </c>
      <c r="AE97" s="363" t="str">
        <f t="shared" si="44"/>
        <v/>
      </c>
      <c r="AF97" s="342" t="str">
        <f t="shared" si="45"/>
        <v/>
      </c>
      <c r="AG97" s="411" t="e">
        <f ca="1">VLOOKUP(_xlfn.CONCAT(U97,V97,W97,VLOOKUP(X97&amp;Y97,TIME!$L$27:$O$34,4,FALSE),Y97),HIS_SALES!$A$2:$R$5093,18,FALSE)</f>
        <v>#N/A</v>
      </c>
      <c r="AH97" s="412" t="e">
        <f ca="1">IFERROR(IF(AND(V97=V96,W97=W96),0.5*(AB97+AB96)*AG97,(VLOOKUP(_xlfn.CONCAT(U97,V97,W97,X97,VLOOKUP(Z97,TIME!$S$28:$T$39,2,FALSE)),FC_DATA!$R$2:$AB$5000,MATCH("GS_I_M",FC_DATA!$R$1:$AB$1,0),FALSE)+FC_DATA!AB97)*0.5*FC_DATA!AG97),NA())</f>
        <v>#N/A</v>
      </c>
      <c r="AI97" s="491" t="e">
        <f ca="1">IF(V97="PARTNER.com",AH97,IF(AND(V97=V96,W97=W96),(1-AVERAGE(AD96,AD97))*AH97,(1-AVERAGE(AD97,VLOOKUP(_xlfn.CONCAT(U97,V97,W97,X97,M_BRAND_FC!$F$6),FC_DATA!$R$2:$AD$5000,MATCH("DISCOUNT_%_M",FC_DATA!$R$1:$AD$1,0),FALSE)))*AH97))</f>
        <v>#N/A</v>
      </c>
      <c r="AJ97" s="412" t="str">
        <f t="shared" ca="1" si="46"/>
        <v/>
      </c>
      <c r="AK97" s="413" t="str">
        <f>IFERROR(AE97/(Q_BRAND_FC!$T$24+1),"")</f>
        <v/>
      </c>
      <c r="AL97" s="88" t="str">
        <f t="shared" ca="1" si="47"/>
        <v/>
      </c>
      <c r="AM97" s="414" t="str">
        <f t="shared" ca="1" si="48"/>
        <v/>
      </c>
      <c r="AN97" s="58">
        <f>IFERROR(IF($V97="BRAND.com",HLOOKUP($X97&amp;$Z97,NWC_FC_NOOS!$C$4:$Q$23,MATCH(W97,NWC_FC_NOOS!$B$4:$B$23,0),FALSE),0),0)</f>
        <v>0</v>
      </c>
      <c r="AO97" s="57">
        <f>IFERROR(IF($V97="BRAND.com",HLOOKUP($X97&amp;$Z97,NWC_FC_NOOS!$T$4:$AH$23,MATCH(W97,NWC_FC_NOOS!$S$4:$S$23,0),FALSE),0),0)</f>
        <v>0</v>
      </c>
      <c r="AP97" s="57">
        <f>IFERROR(IF($V97="BRAND.com",HLOOKUP($X97&amp;$Z97,NWC_FC_NOOS!$C$50:$U$69,MATCH(W97,NWC_FC_NOOS!$B$50:$B$69,0),FALSE),0),0)</f>
        <v>0</v>
      </c>
      <c r="AQ97" s="58">
        <f>IFERROR(IF($V97="BRAND.com",HLOOKUP($X97&amp;$Z97,'NWC_FC_NON-NOOS'!$C$4:$Q$23,MATCH(W97,'NWC_FC_NON-NOOS'!$B$4:$B$23,0),FALSE),0),0)</f>
        <v>0</v>
      </c>
      <c r="AR97" s="57">
        <f>IFERROR(IF($V97="BRAND.com",HLOOKUP($X97&amp;$Z97,'NWC_FC_NON-NOOS'!$T$4:$AH$23,MATCH(W97,'NWC_FC_NON-NOOS'!$S$4:$S$23,0),FALSE),0),0)</f>
        <v>0</v>
      </c>
      <c r="AS97" s="57">
        <f>IFERROR(IF($V97="BRAND.com",HLOOKUP($X97&amp;$Z97,'NWC_FC_NON-NOOS'!$C$50:$U$69,MATCH(W97,'NWC_FC_NON-NOOS'!$B$50:$B$69,0),FALSE),0),0)</f>
        <v>0</v>
      </c>
      <c r="AT97" s="57">
        <f t="shared" si="50"/>
        <v>0</v>
      </c>
      <c r="AU97" s="57">
        <f t="shared" si="51"/>
        <v>0</v>
      </c>
      <c r="AV97" s="58">
        <f>IFERROR(IF($V97="BRAND.com",HLOOKUP($X97&amp;$Z97,PLANNING_FC!$BB$27:$BP$46,MATCH($W97,PLANNING_FC!$BA$27:$BA$46,0),FALSE),0),0)</f>
        <v>0</v>
      </c>
      <c r="AW97" s="58">
        <f>IFERROR(IF($V97="BRAND.com",HLOOKUP($X97&amp;$Z97,PLANNING_FC!$BB$4:$BP$23,MATCH($W97,PLANNING_FC!$BA$4:$BA$23,0),FALSE),0),0)</f>
        <v>0</v>
      </c>
      <c r="AX97" s="58">
        <f>IFERROR(IF($V97="BRAND.com",HLOOKUP($X97&amp;$Z97,PLANNING_FC!$T$27:$AH$46,MATCH($W97,PLANNING_FC!$B$27:$B$46,0),FALSE),0),0)</f>
        <v>0</v>
      </c>
      <c r="AY97" s="58">
        <f>IFERROR(IF($V97="BRAND.com",HLOOKUP($X97&amp;$Z97,PLANNING_FC!$T$4:$AH$23,MATCH($W97,PLANNING_FC!$B$4:$B$23,0),FALSE),0),0)</f>
        <v>0</v>
      </c>
      <c r="AZ97" s="58">
        <f>IFERROR(IF($V97="BRAND.com",HLOOKUP($X97&amp;$Z97,PLANNING_FC!$DA$27:$DO$46,MATCH($W97,PLANNING_FC!$CZ$27:$CZ$46,0),FALSE),0),0)</f>
        <v>0</v>
      </c>
      <c r="BA97" s="58">
        <f>IFERROR(IF($V97="BRAND.com",HLOOKUP($X97&amp;$Z97,PLANNING_FC!$DA$4:$DO$23,MATCH($W97,PLANNING_FC!$CZ$4:$CZ$23,0),FALSE),0),0)</f>
        <v>0</v>
      </c>
      <c r="BB97" s="883" t="str">
        <f>IF(V97="BRAND.com",IFERROR(HLOOKUP(X97&amp;Z97,PLANNING_FC!$AK$4:$AY$23,MATCH(W97,PLANNING_FC!$AJ$4:$AJ$23,0),FALSE)*1000,""),"")</f>
        <v/>
      </c>
      <c r="BC97" s="883" t="str">
        <f>IF(V97="BRAND.com",IFERROR(HLOOKUP(X97&amp;Z97,PLANNING_FC!$AK$27:$AY$46,MATCH(W97,PLANNING_FC!$AJ$27:$AJ$46,0),FALSE)*1000,""),"")</f>
        <v/>
      </c>
    </row>
    <row r="98" spans="1:55" x14ac:dyDescent="0.25">
      <c r="A98" s="509"/>
      <c r="B98" s="510"/>
      <c r="C98" s="509"/>
      <c r="D98" s="509"/>
      <c r="E98" s="509"/>
      <c r="F98" s="509"/>
      <c r="G98" s="509"/>
      <c r="H98" s="509"/>
      <c r="I98" s="512"/>
      <c r="J98" s="513"/>
      <c r="K98" s="879"/>
      <c r="L98" s="515"/>
      <c r="M98" s="516"/>
      <c r="N98" s="56">
        <f t="shared" ref="N98:N133" si="52">IFERROR(I98/(1-J98)*J98,0)</f>
        <v>0</v>
      </c>
      <c r="O98" s="57">
        <f t="shared" ref="O98:O129" si="53">IFERROR(I98+N98,0)</f>
        <v>0</v>
      </c>
      <c r="P98" s="57">
        <f ca="1">IFERROR(IF(ISBLANK(H98),SUMIFS($AC:$AC,$V:$V,V98,$W:$W,W98,$X:$X,X98,$Y:$Y,Y98)*J98/(1-J98)*VLOOKUP(_xlfn.CONCAT(C98,D98,E98,TIME!$M$12,Z98),HIS_SALES!$B$2:$W$4859,20,FALSE),AC98*J98/(1-J98)),0)</f>
        <v>0</v>
      </c>
      <c r="Q98" s="541" t="str">
        <f t="shared" ref="Q98:Q134" si="54">IF(AND(A98&lt;&gt;"",H98=""),IF(A98=A97,Q97+1,1),"")</f>
        <v/>
      </c>
      <c r="R98" s="346" t="str">
        <f t="shared" si="35"/>
        <v>00000</v>
      </c>
      <c r="S98" s="344">
        <f t="shared" ref="S98:S133" si="55">B98</f>
        <v>0</v>
      </c>
      <c r="T98" s="345" t="str">
        <f t="shared" si="49"/>
        <v>000</v>
      </c>
      <c r="U98" s="345">
        <f t="shared" ref="U98:U133" si="56">C98</f>
        <v>0</v>
      </c>
      <c r="V98" s="345">
        <f t="shared" ref="V98:V133" si="57">D98</f>
        <v>0</v>
      </c>
      <c r="W98" s="345">
        <f t="shared" ref="W98:W133" si="58">E98</f>
        <v>0</v>
      </c>
      <c r="X98" s="345">
        <f t="shared" ref="X98:X133" si="59">F98</f>
        <v>0</v>
      </c>
      <c r="Y98" s="345">
        <f t="shared" ref="Y98:Y133" si="60">G98</f>
        <v>0</v>
      </c>
      <c r="Z98" s="345">
        <f>IF(Q98&lt;&gt;"",VLOOKUP(Y98,TIME!$R$21:$V$24,MATCH(FC_DATA!Q98,TIME!$R$20:$V$20,0),FALSE),H98)</f>
        <v>0</v>
      </c>
      <c r="AA98" s="345" t="str">
        <f>IFERROR(VLOOKUP(X98&amp;Z98,TIME!$A$12:$D$71,4,FALSE),"")</f>
        <v/>
      </c>
      <c r="AB98" s="592">
        <f t="shared" ca="1" si="42"/>
        <v>0</v>
      </c>
      <c r="AC98" s="593" t="e">
        <f ca="1">IF(ISBLANK(H98)=FALSE,IF(D98="BRAND.com",I98,IF(ISNA(VLOOKUP(_xlfn.CONCAT(X98,Z98),TIME!$M$40:$M$42,1,FALSE)),I98,VLOOKUP(_xlfn.CONCAT(D98,G98,H98),M_BUSAREA_FC!$AF$5:$AJ$10,5,FALSE)*HLOOKUP(_xlfn.CONCAT(F98,H98),ST_OVERVIEW!$G$99:$I$130,MATCH(_xlfn.CONCAT(D98,E98),ST_OVERVIEW!$F$99:$F$130,0),FALSE))),IF(D98="BRAND.com",VLOOKUP(_xlfn.CONCAT(C98,D98,E98,TIME!$F$1,Z98),HIS_SALES!$B$2:$V$4859,19,FALSE)*I98,VLOOKUP(_xlfn.CONCAT(D98,F98,G98),Q_BUSAREA_FC!$AE$5:$AI$12,5,FALSE)*HLOOKUP(_xlfn.CONCAT(FC_DATA!F98,FC_DATA!G98),LT_OVERVIEW!$I$99:$M$130,MATCH(_xlfn.CONCAT(D98,FC_DATA!E98),LT_OVERVIEW!$H$99:$H$130,0),FALSE)*IFERROR(VLOOKUP(_xlfn.CONCAT(C98,D98,E98,TIME!$F$1,Z98),HIS_SALES!$B$2:$V$4859,19,FALSE),0)))</f>
        <v>#N/A</v>
      </c>
      <c r="AD98" s="341">
        <f t="shared" ref="AD98:AD129" ca="1" si="61">IFERROR(IF(D98="PARTNER.com",0,1-AC98/AB98),0)</f>
        <v>0</v>
      </c>
      <c r="AE98" s="363" t="str">
        <f t="shared" ref="AE98:AE133" si="62">IF(A98&lt;&gt;"",K98,"")</f>
        <v/>
      </c>
      <c r="AF98" s="342" t="str">
        <f t="shared" ref="AF98:AF133" si="63">IF(B98&lt;&gt;"",M98,"")</f>
        <v/>
      </c>
      <c r="AG98" s="411" t="e">
        <f ca="1">VLOOKUP(_xlfn.CONCAT(U98,V98,W98,VLOOKUP(X98&amp;Y98,TIME!$L$27:$O$34,4,FALSE),Y98),HIS_SALES!$A$2:$R$5093,18,FALSE)</f>
        <v>#N/A</v>
      </c>
      <c r="AH98" s="412" t="e">
        <f ca="1">IFERROR(IF(AND(V98=V97,W98=W97),0.5*(AB98+AB97)*AG98,(VLOOKUP(_xlfn.CONCAT(U98,V98,W98,X98,VLOOKUP(Z98,TIME!$S$28:$T$39,2,FALSE)),FC_DATA!$R$2:$AB$5000,MATCH("GS_I_M",FC_DATA!$R$1:$AB$1,0),FALSE)+FC_DATA!AB98)*0.5*FC_DATA!AG98),NA())</f>
        <v>#N/A</v>
      </c>
      <c r="AI98" s="491" t="e">
        <f ca="1">IF(V98="PARTNER.com",AH98,IF(AND(V98=V97,W98=W97),(1-AVERAGE(AD97,AD98))*AH98,(1-AVERAGE(AD98,VLOOKUP(_xlfn.CONCAT(U98,V98,W98,X98,M_BRAND_FC!$F$6),FC_DATA!$R$2:$AD$5000,MATCH("DISCOUNT_%_M",FC_DATA!$R$1:$AD$1,0),FALSE)))*AH98))</f>
        <v>#N/A</v>
      </c>
      <c r="AJ98" s="412" t="str">
        <f t="shared" ca="1" si="46"/>
        <v/>
      </c>
      <c r="AK98" s="413" t="str">
        <f>IFERROR(AE98/(Q_BRAND_FC!$T$24+1),"")</f>
        <v/>
      </c>
      <c r="AL98" s="88" t="str">
        <f t="shared" ca="1" si="47"/>
        <v/>
      </c>
      <c r="AM98" s="414" t="str">
        <f t="shared" ca="1" si="48"/>
        <v/>
      </c>
      <c r="AN98" s="58">
        <f>IFERROR(IF($V98="BRAND.com",HLOOKUP($X98&amp;$Z98,NWC_FC_NOOS!$C$4:$Q$23,MATCH(W98,NWC_FC_NOOS!$B$4:$B$23,0),FALSE),0),0)</f>
        <v>0</v>
      </c>
      <c r="AO98" s="57">
        <f>IFERROR(IF($V98="BRAND.com",HLOOKUP($X98&amp;$Z98,NWC_FC_NOOS!$T$4:$AH$23,MATCH(W98,NWC_FC_NOOS!$S$4:$S$23,0),FALSE),0),0)</f>
        <v>0</v>
      </c>
      <c r="AP98" s="57">
        <f>IFERROR(IF($V98="BRAND.com",HLOOKUP($X98&amp;$Z98,NWC_FC_NOOS!$C$50:$U$69,MATCH(W98,NWC_FC_NOOS!$B$50:$B$69,0),FALSE),0),0)</f>
        <v>0</v>
      </c>
      <c r="AQ98" s="58">
        <f>IFERROR(IF($V98="BRAND.com",HLOOKUP($X98&amp;$Z98,'NWC_FC_NON-NOOS'!$C$4:$Q$23,MATCH(W98,'NWC_FC_NON-NOOS'!$B$4:$B$23,0),FALSE),0),0)</f>
        <v>0</v>
      </c>
      <c r="AR98" s="57">
        <f>IFERROR(IF($V98="BRAND.com",HLOOKUP($X98&amp;$Z98,'NWC_FC_NON-NOOS'!$T$4:$AH$23,MATCH(W98,'NWC_FC_NON-NOOS'!$S$4:$S$23,0),FALSE),0),0)</f>
        <v>0</v>
      </c>
      <c r="AS98" s="57">
        <f>IFERROR(IF($V98="BRAND.com",HLOOKUP($X98&amp;$Z98,'NWC_FC_NON-NOOS'!$C$50:$U$69,MATCH(W98,'NWC_FC_NON-NOOS'!$B$50:$B$69,0),FALSE),0),0)</f>
        <v>0</v>
      </c>
      <c r="AT98" s="57">
        <f t="shared" si="50"/>
        <v>0</v>
      </c>
      <c r="AU98" s="57">
        <f t="shared" si="51"/>
        <v>0</v>
      </c>
      <c r="AV98" s="58">
        <f>IFERROR(IF($V98="BRAND.com",HLOOKUP($X98&amp;$Z98,PLANNING_FC!$BB$27:$BP$46,MATCH($W98,PLANNING_FC!$BA$27:$BA$46,0),FALSE),0),0)</f>
        <v>0</v>
      </c>
      <c r="AW98" s="58">
        <f>IFERROR(IF($V98="BRAND.com",HLOOKUP($X98&amp;$Z98,PLANNING_FC!$BB$4:$BP$23,MATCH($W98,PLANNING_FC!$BA$4:$BA$23,0),FALSE),0),0)</f>
        <v>0</v>
      </c>
      <c r="AX98" s="58">
        <f>IFERROR(IF($V98="BRAND.com",HLOOKUP($X98&amp;$Z98,PLANNING_FC!$T$27:$AH$46,MATCH($W98,PLANNING_FC!$B$27:$B$46,0),FALSE),0),0)</f>
        <v>0</v>
      </c>
      <c r="AY98" s="58">
        <f>IFERROR(IF($V98="BRAND.com",HLOOKUP($X98&amp;$Z98,PLANNING_FC!$T$4:$AH$23,MATCH($W98,PLANNING_FC!$B$4:$B$23,0),FALSE),0),0)</f>
        <v>0</v>
      </c>
      <c r="AZ98" s="58">
        <f>IFERROR(IF($V98="BRAND.com",HLOOKUP($X98&amp;$Z98,PLANNING_FC!$DA$27:$DO$46,MATCH($W98,PLANNING_FC!$CZ$27:$CZ$46,0),FALSE),0),0)</f>
        <v>0</v>
      </c>
      <c r="BA98" s="58">
        <f>IFERROR(IF($V98="BRAND.com",HLOOKUP($X98&amp;$Z98,PLANNING_FC!$DA$4:$DO$23,MATCH($W98,PLANNING_FC!$CZ$4:$CZ$23,0),FALSE),0),0)</f>
        <v>0</v>
      </c>
      <c r="BB98" s="883" t="str">
        <f>IF(V98="BRAND.com",IFERROR(HLOOKUP(X98&amp;Z98,PLANNING_FC!$AK$4:$AY$23,MATCH(W98,PLANNING_FC!$AJ$4:$AJ$23,0),FALSE)*1000,""),"")</f>
        <v/>
      </c>
      <c r="BC98" s="883" t="str">
        <f>IF(V98="BRAND.com",IFERROR(HLOOKUP(X98&amp;Z98,PLANNING_FC!$AK$27:$AY$46,MATCH(W98,PLANNING_FC!$AJ$27:$AJ$46,0),FALSE)*1000,""),"")</f>
        <v/>
      </c>
    </row>
    <row r="99" spans="1:55" x14ac:dyDescent="0.25">
      <c r="A99" s="509"/>
      <c r="B99" s="510"/>
      <c r="C99" s="509"/>
      <c r="D99" s="509"/>
      <c r="E99" s="509"/>
      <c r="F99" s="509"/>
      <c r="G99" s="509"/>
      <c r="H99" s="509"/>
      <c r="I99" s="512"/>
      <c r="J99" s="513"/>
      <c r="K99" s="879"/>
      <c r="L99" s="515"/>
      <c r="M99" s="516"/>
      <c r="N99" s="56">
        <f t="shared" si="52"/>
        <v>0</v>
      </c>
      <c r="O99" s="57">
        <f t="shared" si="53"/>
        <v>0</v>
      </c>
      <c r="P99" s="57">
        <f ca="1">IFERROR(IF(ISBLANK(H99),SUMIFS($AC:$AC,$V:$V,V99,$W:$W,W99,$X:$X,X99,$Y:$Y,Y99)*J99/(1-J99)*VLOOKUP(_xlfn.CONCAT(C99,D99,E99,TIME!$M$12,Z99),HIS_SALES!$B$2:$W$4859,20,FALSE),AC99*J99/(1-J99)),0)</f>
        <v>0</v>
      </c>
      <c r="Q99" s="541" t="str">
        <f t="shared" si="54"/>
        <v/>
      </c>
      <c r="R99" s="346" t="str">
        <f t="shared" si="35"/>
        <v>00000</v>
      </c>
      <c r="S99" s="344">
        <f t="shared" si="55"/>
        <v>0</v>
      </c>
      <c r="T99" s="345" t="str">
        <f t="shared" si="49"/>
        <v>000</v>
      </c>
      <c r="U99" s="345">
        <f t="shared" si="56"/>
        <v>0</v>
      </c>
      <c r="V99" s="345">
        <f t="shared" si="57"/>
        <v>0</v>
      </c>
      <c r="W99" s="345">
        <f t="shared" si="58"/>
        <v>0</v>
      </c>
      <c r="X99" s="345">
        <f t="shared" si="59"/>
        <v>0</v>
      </c>
      <c r="Y99" s="345">
        <f t="shared" si="60"/>
        <v>0</v>
      </c>
      <c r="Z99" s="345">
        <f>IF(Q99&lt;&gt;"",VLOOKUP(Y99,TIME!$R$21:$V$24,MATCH(FC_DATA!Q99,TIME!$R$20:$V$20,0),FALSE),H99)</f>
        <v>0</v>
      </c>
      <c r="AA99" s="345" t="str">
        <f>IFERROR(VLOOKUP(X99&amp;Z99,TIME!$A$12:$D$71,4,FALSE),"")</f>
        <v/>
      </c>
      <c r="AB99" s="592">
        <f t="shared" ca="1" si="42"/>
        <v>0</v>
      </c>
      <c r="AC99" s="593" t="e">
        <f ca="1">IF(ISBLANK(H99)=FALSE,IF(D99="BRAND.com",I99,IF(ISNA(VLOOKUP(_xlfn.CONCAT(X99,Z99),TIME!$M$40:$M$42,1,FALSE)),I99,VLOOKUP(_xlfn.CONCAT(D99,G99,H99),M_BUSAREA_FC!$AF$5:$AJ$10,5,FALSE)*HLOOKUP(_xlfn.CONCAT(F99,H99),ST_OVERVIEW!$G$99:$I$130,MATCH(_xlfn.CONCAT(D99,E99),ST_OVERVIEW!$F$99:$F$130,0),FALSE))),IF(D99="BRAND.com",VLOOKUP(_xlfn.CONCAT(C99,D99,E99,TIME!$F$1,Z99),HIS_SALES!$B$2:$V$4859,19,FALSE)*I99,VLOOKUP(_xlfn.CONCAT(D99,F99,G99),Q_BUSAREA_FC!$AE$5:$AI$12,5,FALSE)*HLOOKUP(_xlfn.CONCAT(FC_DATA!F99,FC_DATA!G99),LT_OVERVIEW!$I$99:$M$130,MATCH(_xlfn.CONCAT(D99,FC_DATA!E99),LT_OVERVIEW!$H$99:$H$130,0),FALSE)*IFERROR(VLOOKUP(_xlfn.CONCAT(C99,D99,E99,TIME!$F$1,Z99),HIS_SALES!$B$2:$V$4859,19,FALSE),0)))</f>
        <v>#N/A</v>
      </c>
      <c r="AD99" s="341">
        <f t="shared" ca="1" si="61"/>
        <v>0</v>
      </c>
      <c r="AE99" s="363" t="str">
        <f t="shared" si="62"/>
        <v/>
      </c>
      <c r="AF99" s="342" t="str">
        <f t="shared" si="63"/>
        <v/>
      </c>
      <c r="AG99" s="411" t="e">
        <f ca="1">VLOOKUP(_xlfn.CONCAT(U99,V99,W99,VLOOKUP(X99&amp;Y99,TIME!$L$27:$O$34,4,FALSE),Y99),HIS_SALES!$A$2:$R$5093,18,FALSE)</f>
        <v>#N/A</v>
      </c>
      <c r="AH99" s="412" t="e">
        <f ca="1">IFERROR(IF(AND(V99=V98,W99=W98),0.5*(AB99+AB98)*AG99,(VLOOKUP(_xlfn.CONCAT(U99,V99,W99,X99,VLOOKUP(Z99,TIME!$S$28:$T$39,2,FALSE)),FC_DATA!$R$2:$AB$5000,MATCH("GS_I_M",FC_DATA!$R$1:$AB$1,0),FALSE)+FC_DATA!AB99)*0.5*FC_DATA!AG99),NA())</f>
        <v>#N/A</v>
      </c>
      <c r="AI99" s="491" t="e">
        <f ca="1">IF(V99="PARTNER.com",AH99,IF(AND(V99=V98,W99=W98),(1-AVERAGE(AD98,AD99))*AH99,(1-AVERAGE(AD99,VLOOKUP(_xlfn.CONCAT(U99,V99,W99,X99,M_BRAND_FC!$F$6),FC_DATA!$R$2:$AD$5000,MATCH("DISCOUNT_%_M",FC_DATA!$R$1:$AD$1,0),FALSE)))*AH99))</f>
        <v>#N/A</v>
      </c>
      <c r="AJ99" s="412" t="str">
        <f t="shared" ca="1" si="46"/>
        <v/>
      </c>
      <c r="AK99" s="413" t="str">
        <f>IFERROR(AE99/(Q_BRAND_FC!$T$24+1),"")</f>
        <v/>
      </c>
      <c r="AL99" s="88" t="str">
        <f t="shared" ca="1" si="47"/>
        <v/>
      </c>
      <c r="AM99" s="414" t="str">
        <f t="shared" ca="1" si="48"/>
        <v/>
      </c>
      <c r="AN99" s="58">
        <f>IFERROR(IF($V99="BRAND.com",HLOOKUP($X99&amp;$Z99,NWC_FC_NOOS!$C$4:$Q$23,MATCH(W99,NWC_FC_NOOS!$B$4:$B$23,0),FALSE),0),0)</f>
        <v>0</v>
      </c>
      <c r="AO99" s="57">
        <f>IFERROR(IF($V99="BRAND.com",HLOOKUP($X99&amp;$Z99,NWC_FC_NOOS!$T$4:$AH$23,MATCH(W99,NWC_FC_NOOS!$S$4:$S$23,0),FALSE),0),0)</f>
        <v>0</v>
      </c>
      <c r="AP99" s="57">
        <f>IFERROR(IF($V99="BRAND.com",HLOOKUP($X99&amp;$Z99,NWC_FC_NOOS!$C$50:$U$69,MATCH(W99,NWC_FC_NOOS!$B$50:$B$69,0),FALSE),0),0)</f>
        <v>0</v>
      </c>
      <c r="AQ99" s="58">
        <f>IFERROR(IF($V99="BRAND.com",HLOOKUP($X99&amp;$Z99,'NWC_FC_NON-NOOS'!$C$4:$Q$23,MATCH(W99,'NWC_FC_NON-NOOS'!$B$4:$B$23,0),FALSE),0),0)</f>
        <v>0</v>
      </c>
      <c r="AR99" s="57">
        <f>IFERROR(IF($V99="BRAND.com",HLOOKUP($X99&amp;$Z99,'NWC_FC_NON-NOOS'!$T$4:$AH$23,MATCH(W99,'NWC_FC_NON-NOOS'!$S$4:$S$23,0),FALSE),0),0)</f>
        <v>0</v>
      </c>
      <c r="AS99" s="57">
        <f>IFERROR(IF($V99="BRAND.com",HLOOKUP($X99&amp;$Z99,'NWC_FC_NON-NOOS'!$C$50:$U$69,MATCH(W99,'NWC_FC_NON-NOOS'!$B$50:$B$69,0),FALSE),0),0)</f>
        <v>0</v>
      </c>
      <c r="AT99" s="57">
        <f t="shared" si="50"/>
        <v>0</v>
      </c>
      <c r="AU99" s="57">
        <f t="shared" si="51"/>
        <v>0</v>
      </c>
      <c r="AV99" s="58">
        <f>IFERROR(IF($V99="BRAND.com",HLOOKUP($X99&amp;$Z99,PLANNING_FC!$BB$27:$BP$46,MATCH($W99,PLANNING_FC!$BA$27:$BA$46,0),FALSE),0),0)</f>
        <v>0</v>
      </c>
      <c r="AW99" s="58">
        <f>IFERROR(IF($V99="BRAND.com",HLOOKUP($X99&amp;$Z99,PLANNING_FC!$BB$4:$BP$23,MATCH($W99,PLANNING_FC!$BA$4:$BA$23,0),FALSE),0),0)</f>
        <v>0</v>
      </c>
      <c r="AX99" s="58">
        <f>IFERROR(IF($V99="BRAND.com",HLOOKUP($X99&amp;$Z99,PLANNING_FC!$T$27:$AH$46,MATCH($W99,PLANNING_FC!$B$27:$B$46,0),FALSE),0),0)</f>
        <v>0</v>
      </c>
      <c r="AY99" s="58">
        <f>IFERROR(IF($V99="BRAND.com",HLOOKUP($X99&amp;$Z99,PLANNING_FC!$T$4:$AH$23,MATCH($W99,PLANNING_FC!$B$4:$B$23,0),FALSE),0),0)</f>
        <v>0</v>
      </c>
      <c r="AZ99" s="58">
        <f>IFERROR(IF($V99="BRAND.com",HLOOKUP($X99&amp;$Z99,PLANNING_FC!$DA$27:$DO$46,MATCH($W99,PLANNING_FC!$CZ$27:$CZ$46,0),FALSE),0),0)</f>
        <v>0</v>
      </c>
      <c r="BA99" s="58">
        <f>IFERROR(IF($V99="BRAND.com",HLOOKUP($X99&amp;$Z99,PLANNING_FC!$DA$4:$DO$23,MATCH($W99,PLANNING_FC!$CZ$4:$CZ$23,0),FALSE),0),0)</f>
        <v>0</v>
      </c>
      <c r="BB99" s="883" t="str">
        <f>IF(V99="BRAND.com",IFERROR(HLOOKUP(X99&amp;Z99,PLANNING_FC!$AK$4:$AY$23,MATCH(W99,PLANNING_FC!$AJ$4:$AJ$23,0),FALSE)*1000,""),"")</f>
        <v/>
      </c>
      <c r="BC99" s="883" t="str">
        <f>IF(V99="BRAND.com",IFERROR(HLOOKUP(X99&amp;Z99,PLANNING_FC!$AK$27:$AY$46,MATCH(W99,PLANNING_FC!$AJ$27:$AJ$46,0),FALSE)*1000,""),"")</f>
        <v/>
      </c>
    </row>
    <row r="100" spans="1:55" x14ac:dyDescent="0.25">
      <c r="A100" s="509"/>
      <c r="B100" s="510"/>
      <c r="C100" s="509"/>
      <c r="D100" s="509"/>
      <c r="E100" s="509"/>
      <c r="F100" s="509"/>
      <c r="G100" s="509"/>
      <c r="H100" s="509"/>
      <c r="I100" s="512"/>
      <c r="J100" s="513"/>
      <c r="K100" s="879"/>
      <c r="L100" s="515"/>
      <c r="M100" s="516"/>
      <c r="N100" s="56">
        <f t="shared" si="52"/>
        <v>0</v>
      </c>
      <c r="O100" s="57">
        <f t="shared" si="53"/>
        <v>0</v>
      </c>
      <c r="P100" s="57">
        <f ca="1">IFERROR(IF(ISBLANK(H100),SUMIFS($AC:$AC,$V:$V,V100,$W:$W,W100,$X:$X,X100,$Y:$Y,Y100)*J100/(1-J100)*VLOOKUP(_xlfn.CONCAT(C100,D100,E100,TIME!$M$12,Z100),HIS_SALES!$B$2:$W$4859,20,FALSE),AC100*J100/(1-J100)),0)</f>
        <v>0</v>
      </c>
      <c r="Q100" s="541" t="str">
        <f t="shared" si="54"/>
        <v/>
      </c>
      <c r="R100" s="346" t="str">
        <f t="shared" si="35"/>
        <v>00000</v>
      </c>
      <c r="S100" s="344">
        <f t="shared" si="55"/>
        <v>0</v>
      </c>
      <c r="T100" s="345" t="str">
        <f t="shared" si="49"/>
        <v>000</v>
      </c>
      <c r="U100" s="345">
        <f t="shared" si="56"/>
        <v>0</v>
      </c>
      <c r="V100" s="345">
        <f t="shared" si="57"/>
        <v>0</v>
      </c>
      <c r="W100" s="345">
        <f t="shared" si="58"/>
        <v>0</v>
      </c>
      <c r="X100" s="345">
        <f t="shared" si="59"/>
        <v>0</v>
      </c>
      <c r="Y100" s="345">
        <f t="shared" si="60"/>
        <v>0</v>
      </c>
      <c r="Z100" s="345">
        <f>IF(Q100&lt;&gt;"",VLOOKUP(Y100,TIME!$R$21:$V$24,MATCH(FC_DATA!Q100,TIME!$R$20:$V$20,0),FALSE),H100)</f>
        <v>0</v>
      </c>
      <c r="AA100" s="345" t="str">
        <f>IFERROR(VLOOKUP(X100&amp;Z100,TIME!$A$12:$D$71,4,FALSE),"")</f>
        <v/>
      </c>
      <c r="AB100" s="592">
        <f t="shared" ca="1" si="42"/>
        <v>0</v>
      </c>
      <c r="AC100" s="593" t="e">
        <f ca="1">IF(ISBLANK(H100)=FALSE,IF(D100="BRAND.com",I100,IF(ISNA(VLOOKUP(_xlfn.CONCAT(X100,Z100),TIME!$M$40:$M$42,1,FALSE)),I100,VLOOKUP(_xlfn.CONCAT(D100,G100,H100),M_BUSAREA_FC!$AF$5:$AJ$10,5,FALSE)*HLOOKUP(_xlfn.CONCAT(F100,H100),ST_OVERVIEW!$G$99:$I$130,MATCH(_xlfn.CONCAT(D100,E100),ST_OVERVIEW!$F$99:$F$130,0),FALSE))),IF(D100="BRAND.com",VLOOKUP(_xlfn.CONCAT(C100,D100,E100,TIME!$F$1,Z100),HIS_SALES!$B$2:$V$4859,19,FALSE)*I100,VLOOKUP(_xlfn.CONCAT(D100,F100,G100),Q_BUSAREA_FC!$AE$5:$AI$12,5,FALSE)*HLOOKUP(_xlfn.CONCAT(FC_DATA!F100,FC_DATA!G100),LT_OVERVIEW!$I$99:$M$130,MATCH(_xlfn.CONCAT(D100,FC_DATA!E100),LT_OVERVIEW!$H$99:$H$130,0),FALSE)*IFERROR(VLOOKUP(_xlfn.CONCAT(C100,D100,E100,TIME!$F$1,Z100),HIS_SALES!$B$2:$V$4859,19,FALSE),0)))</f>
        <v>#N/A</v>
      </c>
      <c r="AD100" s="341">
        <f t="shared" ca="1" si="61"/>
        <v>0</v>
      </c>
      <c r="AE100" s="363" t="str">
        <f t="shared" si="62"/>
        <v/>
      </c>
      <c r="AF100" s="342" t="str">
        <f t="shared" si="63"/>
        <v/>
      </c>
      <c r="AG100" s="411" t="e">
        <f ca="1">VLOOKUP(_xlfn.CONCAT(U100,V100,W100,VLOOKUP(X100&amp;Y100,TIME!$L$27:$O$34,4,FALSE),Y100),HIS_SALES!$A$2:$R$5093,18,FALSE)</f>
        <v>#N/A</v>
      </c>
      <c r="AH100" s="412" t="e">
        <f ca="1">IFERROR(IF(AND(V100=V99,W100=W99),0.5*(AB100+AB99)*AG100,(VLOOKUP(_xlfn.CONCAT(U100,V100,W100,X100,VLOOKUP(Z100,TIME!$S$28:$T$39,2,FALSE)),FC_DATA!$R$2:$AB$5000,MATCH("GS_I_M",FC_DATA!$R$1:$AB$1,0),FALSE)+FC_DATA!AB100)*0.5*FC_DATA!AG100),NA())</f>
        <v>#N/A</v>
      </c>
      <c r="AI100" s="491" t="e">
        <f ca="1">IF(V100="PARTNER.com",AH100,IF(AND(V100=V99,W100=W99),(1-AVERAGE(AD99,AD100))*AH100,(1-AVERAGE(AD100,VLOOKUP(_xlfn.CONCAT(U100,V100,W100,X100,M_BRAND_FC!$F$6),FC_DATA!$R$2:$AD$5000,MATCH("DISCOUNT_%_M",FC_DATA!$R$1:$AD$1,0),FALSE)))*AH100))</f>
        <v>#N/A</v>
      </c>
      <c r="AJ100" s="412" t="str">
        <f t="shared" ca="1" si="46"/>
        <v/>
      </c>
      <c r="AK100" s="413" t="str">
        <f>IFERROR(AE100/(Q_BRAND_FC!$T$24+1),"")</f>
        <v/>
      </c>
      <c r="AL100" s="88" t="str">
        <f t="shared" ca="1" si="47"/>
        <v/>
      </c>
      <c r="AM100" s="414" t="str">
        <f t="shared" ca="1" si="48"/>
        <v/>
      </c>
      <c r="AN100" s="58">
        <f>IFERROR(IF($V100="BRAND.com",HLOOKUP($X100&amp;$Z100,NWC_FC_NOOS!$C$4:$Q$23,MATCH(W100,NWC_FC_NOOS!$B$4:$B$23,0),FALSE),0),0)</f>
        <v>0</v>
      </c>
      <c r="AO100" s="57">
        <f>IFERROR(IF($V100="BRAND.com",HLOOKUP($X100&amp;$Z100,NWC_FC_NOOS!$T$4:$AH$23,MATCH(W100,NWC_FC_NOOS!$S$4:$S$23,0),FALSE),0),0)</f>
        <v>0</v>
      </c>
      <c r="AP100" s="57">
        <f>IFERROR(IF($V100="BRAND.com",HLOOKUP($X100&amp;$Z100,NWC_FC_NOOS!$C$50:$U$69,MATCH(W100,NWC_FC_NOOS!$B$50:$B$69,0),FALSE),0),0)</f>
        <v>0</v>
      </c>
      <c r="AQ100" s="58">
        <f>IFERROR(IF($V100="BRAND.com",HLOOKUP($X100&amp;$Z100,'NWC_FC_NON-NOOS'!$C$4:$Q$23,MATCH(W100,'NWC_FC_NON-NOOS'!$B$4:$B$23,0),FALSE),0),0)</f>
        <v>0</v>
      </c>
      <c r="AR100" s="57">
        <f>IFERROR(IF($V100="BRAND.com",HLOOKUP($X100&amp;$Z100,'NWC_FC_NON-NOOS'!$T$4:$AH$23,MATCH(W100,'NWC_FC_NON-NOOS'!$S$4:$S$23,0),FALSE),0),0)</f>
        <v>0</v>
      </c>
      <c r="AS100" s="57">
        <f>IFERROR(IF($V100="BRAND.com",HLOOKUP($X100&amp;$Z100,'NWC_FC_NON-NOOS'!$C$50:$U$69,MATCH(W100,'NWC_FC_NON-NOOS'!$B$50:$B$69,0),FALSE),0),0)</f>
        <v>0</v>
      </c>
      <c r="AT100" s="57">
        <f t="shared" si="50"/>
        <v>0</v>
      </c>
      <c r="AU100" s="57">
        <f t="shared" si="51"/>
        <v>0</v>
      </c>
      <c r="AV100" s="58">
        <f>IFERROR(IF($V100="BRAND.com",HLOOKUP($X100&amp;$Z100,PLANNING_FC!$BB$27:$BP$46,MATCH($W100,PLANNING_FC!$BA$27:$BA$46,0),FALSE),0),0)</f>
        <v>0</v>
      </c>
      <c r="AW100" s="58">
        <f>IFERROR(IF($V100="BRAND.com",HLOOKUP($X100&amp;$Z100,PLANNING_FC!$BB$4:$BP$23,MATCH($W100,PLANNING_FC!$BA$4:$BA$23,0),FALSE),0),0)</f>
        <v>0</v>
      </c>
      <c r="AX100" s="58">
        <f>IFERROR(IF($V100="BRAND.com",HLOOKUP($X100&amp;$Z100,PLANNING_FC!$T$27:$AH$46,MATCH($W100,PLANNING_FC!$B$27:$B$46,0),FALSE),0),0)</f>
        <v>0</v>
      </c>
      <c r="AY100" s="58">
        <f>IFERROR(IF($V100="BRAND.com",HLOOKUP($X100&amp;$Z100,PLANNING_FC!$T$4:$AH$23,MATCH($W100,PLANNING_FC!$B$4:$B$23,0),FALSE),0),0)</f>
        <v>0</v>
      </c>
      <c r="AZ100" s="58">
        <f>IFERROR(IF($V100="BRAND.com",HLOOKUP($X100&amp;$Z100,PLANNING_FC!$DA$27:$DO$46,MATCH($W100,PLANNING_FC!$CZ$27:$CZ$46,0),FALSE),0),0)</f>
        <v>0</v>
      </c>
      <c r="BA100" s="58">
        <f>IFERROR(IF($V100="BRAND.com",HLOOKUP($X100&amp;$Z100,PLANNING_FC!$DA$4:$DO$23,MATCH($W100,PLANNING_FC!$CZ$4:$CZ$23,0),FALSE),0),0)</f>
        <v>0</v>
      </c>
      <c r="BB100" s="883" t="str">
        <f>IF(V100="BRAND.com",IFERROR(HLOOKUP(X100&amp;Z100,PLANNING_FC!$AK$4:$AY$23,MATCH(W100,PLANNING_FC!$AJ$4:$AJ$23,0),FALSE)*1000,""),"")</f>
        <v/>
      </c>
      <c r="BC100" s="883" t="str">
        <f>IF(V100="BRAND.com",IFERROR(HLOOKUP(X100&amp;Z100,PLANNING_FC!$AK$27:$AY$46,MATCH(W100,PLANNING_FC!$AJ$27:$AJ$46,0),FALSE)*1000,""),"")</f>
        <v/>
      </c>
    </row>
    <row r="101" spans="1:55" x14ac:dyDescent="0.25">
      <c r="A101" s="509"/>
      <c r="B101" s="510"/>
      <c r="C101" s="509"/>
      <c r="D101" s="509"/>
      <c r="E101" s="509"/>
      <c r="F101" s="509"/>
      <c r="G101" s="509"/>
      <c r="H101" s="509"/>
      <c r="I101" s="512"/>
      <c r="J101" s="513"/>
      <c r="K101" s="879"/>
      <c r="L101" s="515"/>
      <c r="M101" s="516"/>
      <c r="N101" s="56">
        <f t="shared" si="52"/>
        <v>0</v>
      </c>
      <c r="O101" s="57">
        <f t="shared" si="53"/>
        <v>0</v>
      </c>
      <c r="P101" s="57">
        <f ca="1">IFERROR(IF(ISBLANK(H101),SUMIFS($AC:$AC,$V:$V,V101,$W:$W,W101,$X:$X,X101,$Y:$Y,Y101)*J101/(1-J101)*VLOOKUP(_xlfn.CONCAT(C101,D101,E101,TIME!$M$12,Z101),HIS_SALES!$B$2:$W$4859,20,FALSE),AC101*J101/(1-J101)),0)</f>
        <v>0</v>
      </c>
      <c r="Q101" s="541" t="str">
        <f t="shared" si="54"/>
        <v/>
      </c>
      <c r="R101" s="346" t="str">
        <f t="shared" si="35"/>
        <v>00000</v>
      </c>
      <c r="S101" s="344">
        <f t="shared" si="55"/>
        <v>0</v>
      </c>
      <c r="T101" s="345" t="str">
        <f t="shared" si="49"/>
        <v>000</v>
      </c>
      <c r="U101" s="345">
        <f t="shared" si="56"/>
        <v>0</v>
      </c>
      <c r="V101" s="345">
        <f t="shared" si="57"/>
        <v>0</v>
      </c>
      <c r="W101" s="345">
        <f t="shared" si="58"/>
        <v>0</v>
      </c>
      <c r="X101" s="345">
        <f t="shared" si="59"/>
        <v>0</v>
      </c>
      <c r="Y101" s="345">
        <f t="shared" si="60"/>
        <v>0</v>
      </c>
      <c r="Z101" s="345">
        <f>IF(Q101&lt;&gt;"",VLOOKUP(Y101,TIME!$R$21:$V$24,MATCH(FC_DATA!Q101,TIME!$R$20:$V$20,0),FALSE),H101)</f>
        <v>0</v>
      </c>
      <c r="AA101" s="345" t="str">
        <f>IFERROR(VLOOKUP(X101&amp;Z101,TIME!$A$12:$D$71,4,FALSE),"")</f>
        <v/>
      </c>
      <c r="AB101" s="592">
        <f t="shared" ca="1" si="42"/>
        <v>0</v>
      </c>
      <c r="AC101" s="593" t="e">
        <f ca="1">IF(ISBLANK(H101)=FALSE,IF(D101="BRAND.com",I101,IF(ISNA(VLOOKUP(_xlfn.CONCAT(X101,Z101),TIME!$M$40:$M$42,1,FALSE)),I101,VLOOKUP(_xlfn.CONCAT(D101,G101,H101),M_BUSAREA_FC!$AF$5:$AJ$10,5,FALSE)*HLOOKUP(_xlfn.CONCAT(F101,H101),ST_OVERVIEW!$G$99:$I$130,MATCH(_xlfn.CONCAT(D101,E101),ST_OVERVIEW!$F$99:$F$130,0),FALSE))),IF(D101="BRAND.com",VLOOKUP(_xlfn.CONCAT(C101,D101,E101,TIME!$F$1,Z101),HIS_SALES!$B$2:$V$4859,19,FALSE)*I101,VLOOKUP(_xlfn.CONCAT(D101,F101,G101),Q_BUSAREA_FC!$AE$5:$AI$12,5,FALSE)*HLOOKUP(_xlfn.CONCAT(FC_DATA!F101,FC_DATA!G101),LT_OVERVIEW!$I$99:$M$130,MATCH(_xlfn.CONCAT(D101,FC_DATA!E101),LT_OVERVIEW!$H$99:$H$130,0),FALSE)*IFERROR(VLOOKUP(_xlfn.CONCAT(C101,D101,E101,TIME!$F$1,Z101),HIS_SALES!$B$2:$V$4859,19,FALSE),0)))</f>
        <v>#N/A</v>
      </c>
      <c r="AD101" s="341">
        <f t="shared" ca="1" si="61"/>
        <v>0</v>
      </c>
      <c r="AE101" s="363" t="str">
        <f t="shared" si="62"/>
        <v/>
      </c>
      <c r="AF101" s="342" t="str">
        <f t="shared" si="63"/>
        <v/>
      </c>
      <c r="AG101" s="411" t="e">
        <f ca="1">VLOOKUP(_xlfn.CONCAT(U101,V101,W101,VLOOKUP(X101&amp;Y101,TIME!$L$27:$O$34,4,FALSE),Y101),HIS_SALES!$A$2:$R$5093,18,FALSE)</f>
        <v>#N/A</v>
      </c>
      <c r="AH101" s="412" t="e">
        <f ca="1">IFERROR(IF(AND(V101=V100,W101=W100),0.5*(AB101+AB100)*AG101,(VLOOKUP(_xlfn.CONCAT(U101,V101,W101,X101,VLOOKUP(Z101,TIME!$S$28:$T$39,2,FALSE)),FC_DATA!$R$2:$AB$5000,MATCH("GS_I_M",FC_DATA!$R$1:$AB$1,0),FALSE)+FC_DATA!AB101)*0.5*FC_DATA!AG101),NA())</f>
        <v>#N/A</v>
      </c>
      <c r="AI101" s="491" t="e">
        <f ca="1">IF(V101="PARTNER.com",AH101,IF(AND(V101=V100,W101=W100),(1-AVERAGE(AD100,AD101))*AH101,(1-AVERAGE(AD101,VLOOKUP(_xlfn.CONCAT(U101,V101,W101,X101,M_BRAND_FC!$F$6),FC_DATA!$R$2:$AD$5000,MATCH("DISCOUNT_%_M",FC_DATA!$R$1:$AD$1,0),FALSE)))*AH101))</f>
        <v>#N/A</v>
      </c>
      <c r="AJ101" s="412" t="str">
        <f t="shared" ca="1" si="46"/>
        <v/>
      </c>
      <c r="AK101" s="413" t="str">
        <f>IFERROR(AE101/(Q_BRAND_FC!$T$24+1),"")</f>
        <v/>
      </c>
      <c r="AL101" s="88" t="str">
        <f t="shared" ca="1" si="47"/>
        <v/>
      </c>
      <c r="AM101" s="414" t="str">
        <f t="shared" ca="1" si="48"/>
        <v/>
      </c>
      <c r="AN101" s="58">
        <f>IFERROR(IF($V101="BRAND.com",HLOOKUP($X101&amp;$Z101,NWC_FC_NOOS!$C$4:$Q$23,MATCH(W101,NWC_FC_NOOS!$B$4:$B$23,0),FALSE),0),0)</f>
        <v>0</v>
      </c>
      <c r="AO101" s="57">
        <f>IFERROR(IF($V101="BRAND.com",HLOOKUP($X101&amp;$Z101,NWC_FC_NOOS!$T$4:$AH$23,MATCH(W101,NWC_FC_NOOS!$S$4:$S$23,0),FALSE),0),0)</f>
        <v>0</v>
      </c>
      <c r="AP101" s="57">
        <f>IFERROR(IF($V101="BRAND.com",HLOOKUP($X101&amp;$Z101,NWC_FC_NOOS!$C$50:$U$69,MATCH(W101,NWC_FC_NOOS!$B$50:$B$69,0),FALSE),0),0)</f>
        <v>0</v>
      </c>
      <c r="AQ101" s="58">
        <f>IFERROR(IF($V101="BRAND.com",HLOOKUP($X101&amp;$Z101,'NWC_FC_NON-NOOS'!$C$4:$Q$23,MATCH(W101,'NWC_FC_NON-NOOS'!$B$4:$B$23,0),FALSE),0),0)</f>
        <v>0</v>
      </c>
      <c r="AR101" s="57">
        <f>IFERROR(IF($V101="BRAND.com",HLOOKUP($X101&amp;$Z101,'NWC_FC_NON-NOOS'!$T$4:$AH$23,MATCH(W101,'NWC_FC_NON-NOOS'!$S$4:$S$23,0),FALSE),0),0)</f>
        <v>0</v>
      </c>
      <c r="AS101" s="57">
        <f>IFERROR(IF($V101="BRAND.com",HLOOKUP($X101&amp;$Z101,'NWC_FC_NON-NOOS'!$C$50:$U$69,MATCH(W101,'NWC_FC_NON-NOOS'!$B$50:$B$69,0),FALSE),0),0)</f>
        <v>0</v>
      </c>
      <c r="AT101" s="57">
        <f t="shared" si="50"/>
        <v>0</v>
      </c>
      <c r="AU101" s="57">
        <f t="shared" si="51"/>
        <v>0</v>
      </c>
      <c r="AV101" s="58">
        <f>IFERROR(IF($V101="BRAND.com",HLOOKUP($X101&amp;$Z101,PLANNING_FC!$BB$27:$BP$46,MATCH($W101,PLANNING_FC!$BA$27:$BA$46,0),FALSE),0),0)</f>
        <v>0</v>
      </c>
      <c r="AW101" s="58">
        <f>IFERROR(IF($V101="BRAND.com",HLOOKUP($X101&amp;$Z101,PLANNING_FC!$BB$4:$BP$23,MATCH($W101,PLANNING_FC!$BA$4:$BA$23,0),FALSE),0),0)</f>
        <v>0</v>
      </c>
      <c r="AX101" s="58">
        <f>IFERROR(IF($V101="BRAND.com",HLOOKUP($X101&amp;$Z101,PLANNING_FC!$T$27:$AH$46,MATCH($W101,PLANNING_FC!$B$27:$B$46,0),FALSE),0),0)</f>
        <v>0</v>
      </c>
      <c r="AY101" s="58">
        <f>IFERROR(IF($V101="BRAND.com",HLOOKUP($X101&amp;$Z101,PLANNING_FC!$T$4:$AH$23,MATCH($W101,PLANNING_FC!$B$4:$B$23,0),FALSE),0),0)</f>
        <v>0</v>
      </c>
      <c r="AZ101" s="58">
        <f>IFERROR(IF($V101="BRAND.com",HLOOKUP($X101&amp;$Z101,PLANNING_FC!$DA$27:$DO$46,MATCH($W101,PLANNING_FC!$CZ$27:$CZ$46,0),FALSE),0),0)</f>
        <v>0</v>
      </c>
      <c r="BA101" s="58">
        <f>IFERROR(IF($V101="BRAND.com",HLOOKUP($X101&amp;$Z101,PLANNING_FC!$DA$4:$DO$23,MATCH($W101,PLANNING_FC!$CZ$4:$CZ$23,0),FALSE),0),0)</f>
        <v>0</v>
      </c>
      <c r="BB101" s="883" t="str">
        <f>IF(V101="BRAND.com",IFERROR(HLOOKUP(X101&amp;Z101,PLANNING_FC!$AK$4:$AY$23,MATCH(W101,PLANNING_FC!$AJ$4:$AJ$23,0),FALSE)*1000,""),"")</f>
        <v/>
      </c>
      <c r="BC101" s="883" t="str">
        <f>IF(V101="BRAND.com",IFERROR(HLOOKUP(X101&amp;Z101,PLANNING_FC!$AK$27:$AY$46,MATCH(W101,PLANNING_FC!$AJ$27:$AJ$46,0),FALSE)*1000,""),"")</f>
        <v/>
      </c>
    </row>
    <row r="102" spans="1:55" x14ac:dyDescent="0.25">
      <c r="A102" s="509"/>
      <c r="B102" s="510"/>
      <c r="C102" s="509"/>
      <c r="D102" s="509"/>
      <c r="E102" s="509"/>
      <c r="F102" s="509"/>
      <c r="G102" s="509"/>
      <c r="H102" s="509"/>
      <c r="I102" s="512"/>
      <c r="J102" s="513"/>
      <c r="K102" s="879"/>
      <c r="L102" s="515"/>
      <c r="M102" s="516"/>
      <c r="N102" s="56">
        <f t="shared" si="52"/>
        <v>0</v>
      </c>
      <c r="O102" s="57">
        <f t="shared" si="53"/>
        <v>0</v>
      </c>
      <c r="P102" s="57">
        <f ca="1">IFERROR(IF(ISBLANK(H102),SUMIFS($AC:$AC,$V:$V,V102,$W:$W,W102,$X:$X,X102,$Y:$Y,Y102)*J102/(1-J102)*VLOOKUP(_xlfn.CONCAT(C102,D102,E102,TIME!$M$12,Z102),HIS_SALES!$B$2:$W$4859,20,FALSE),AC102*J102/(1-J102)),0)</f>
        <v>0</v>
      </c>
      <c r="Q102" s="541" t="str">
        <f t="shared" si="54"/>
        <v/>
      </c>
      <c r="R102" s="346" t="str">
        <f t="shared" si="35"/>
        <v>00000</v>
      </c>
      <c r="S102" s="344">
        <f t="shared" si="55"/>
        <v>0</v>
      </c>
      <c r="T102" s="345" t="str">
        <f t="shared" si="49"/>
        <v>000</v>
      </c>
      <c r="U102" s="345">
        <f t="shared" si="56"/>
        <v>0</v>
      </c>
      <c r="V102" s="345">
        <f t="shared" si="57"/>
        <v>0</v>
      </c>
      <c r="W102" s="345">
        <f t="shared" si="58"/>
        <v>0</v>
      </c>
      <c r="X102" s="345">
        <f t="shared" si="59"/>
        <v>0</v>
      </c>
      <c r="Y102" s="345">
        <f t="shared" si="60"/>
        <v>0</v>
      </c>
      <c r="Z102" s="345">
        <f>IF(Q102&lt;&gt;"",VLOOKUP(Y102,TIME!$R$21:$V$24,MATCH(FC_DATA!Q102,TIME!$R$20:$V$20,0),FALSE),H102)</f>
        <v>0</v>
      </c>
      <c r="AA102" s="345" t="str">
        <f>IFERROR(VLOOKUP(X102&amp;Z102,TIME!$A$12:$D$71,4,FALSE),"")</f>
        <v/>
      </c>
      <c r="AB102" s="592">
        <f t="shared" ca="1" si="42"/>
        <v>0</v>
      </c>
      <c r="AC102" s="593" t="e">
        <f ca="1">IF(ISBLANK(H102)=FALSE,IF(D102="BRAND.com",I102,IF(ISNA(VLOOKUP(_xlfn.CONCAT(X102,Z102),TIME!$M$40:$M$42,1,FALSE)),I102,VLOOKUP(_xlfn.CONCAT(D102,G102,H102),M_BUSAREA_FC!$AF$5:$AJ$10,5,FALSE)*HLOOKUP(_xlfn.CONCAT(F102,H102),ST_OVERVIEW!$G$99:$I$130,MATCH(_xlfn.CONCAT(D102,E102),ST_OVERVIEW!$F$99:$F$130,0),FALSE))),IF(D102="BRAND.com",VLOOKUP(_xlfn.CONCAT(C102,D102,E102,TIME!$F$1,Z102),HIS_SALES!$B$2:$V$4859,19,FALSE)*I102,VLOOKUP(_xlfn.CONCAT(D102,F102,G102),Q_BUSAREA_FC!$AE$5:$AI$12,5,FALSE)*HLOOKUP(_xlfn.CONCAT(FC_DATA!F102,FC_DATA!G102),LT_OVERVIEW!$I$99:$M$130,MATCH(_xlfn.CONCAT(D102,FC_DATA!E102),LT_OVERVIEW!$H$99:$H$130,0),FALSE)*IFERROR(VLOOKUP(_xlfn.CONCAT(C102,D102,E102,TIME!$F$1,Z102),HIS_SALES!$B$2:$V$4859,19,FALSE),0)))</f>
        <v>#N/A</v>
      </c>
      <c r="AD102" s="341">
        <f t="shared" ca="1" si="61"/>
        <v>0</v>
      </c>
      <c r="AE102" s="363" t="str">
        <f t="shared" si="62"/>
        <v/>
      </c>
      <c r="AF102" s="342" t="str">
        <f t="shared" si="63"/>
        <v/>
      </c>
      <c r="AG102" s="411" t="e">
        <f ca="1">VLOOKUP(_xlfn.CONCAT(U102,V102,W102,VLOOKUP(X102&amp;Y102,TIME!$L$27:$O$34,4,FALSE),Y102),HIS_SALES!$A$2:$R$5093,18,FALSE)</f>
        <v>#N/A</v>
      </c>
      <c r="AH102" s="412" t="e">
        <f ca="1">IFERROR(IF(AND(V102=V101,W102=W101),0.5*(AB102+AB101)*AG102,(VLOOKUP(_xlfn.CONCAT(U102,V102,W102,X102,VLOOKUP(Z102,TIME!$S$28:$T$39,2,FALSE)),FC_DATA!$R$2:$AB$5000,MATCH("GS_I_M",FC_DATA!$R$1:$AB$1,0),FALSE)+FC_DATA!AB102)*0.5*FC_DATA!AG102),NA())</f>
        <v>#N/A</v>
      </c>
      <c r="AI102" s="491" t="e">
        <f ca="1">IF(V102="PARTNER.com",AH102,IF(AND(V102=V101,W102=W101),(1-AVERAGE(AD101,AD102))*AH102,(1-AVERAGE(AD102,VLOOKUP(_xlfn.CONCAT(U102,V102,W102,X102,M_BRAND_FC!$F$6),FC_DATA!$R$2:$AD$5000,MATCH("DISCOUNT_%_M",FC_DATA!$R$1:$AD$1,0),FALSE)))*AH102))</f>
        <v>#N/A</v>
      </c>
      <c r="AJ102" s="412" t="str">
        <f t="shared" ca="1" si="46"/>
        <v/>
      </c>
      <c r="AK102" s="413" t="str">
        <f>IFERROR(AE102/(Q_BRAND_FC!$T$24+1),"")</f>
        <v/>
      </c>
      <c r="AL102" s="88" t="str">
        <f t="shared" ca="1" si="47"/>
        <v/>
      </c>
      <c r="AM102" s="414" t="str">
        <f t="shared" ca="1" si="48"/>
        <v/>
      </c>
      <c r="AN102" s="58">
        <f>IFERROR(IF($V102="BRAND.com",HLOOKUP($X102&amp;$Z102,NWC_FC_NOOS!$C$4:$Q$23,MATCH(W102,NWC_FC_NOOS!$B$4:$B$23,0),FALSE),0),0)</f>
        <v>0</v>
      </c>
      <c r="AO102" s="57">
        <f>IFERROR(IF($V102="BRAND.com",HLOOKUP($X102&amp;$Z102,NWC_FC_NOOS!$T$4:$AH$23,MATCH(W102,NWC_FC_NOOS!$S$4:$S$23,0),FALSE),0),0)</f>
        <v>0</v>
      </c>
      <c r="AP102" s="57">
        <f>IFERROR(IF($V102="BRAND.com",HLOOKUP($X102&amp;$Z102,NWC_FC_NOOS!$C$50:$U$69,MATCH(W102,NWC_FC_NOOS!$B$50:$B$69,0),FALSE),0),0)</f>
        <v>0</v>
      </c>
      <c r="AQ102" s="58">
        <f>IFERROR(IF($V102="BRAND.com",HLOOKUP($X102&amp;$Z102,'NWC_FC_NON-NOOS'!$C$4:$Q$23,MATCH(W102,'NWC_FC_NON-NOOS'!$B$4:$B$23,0),FALSE),0),0)</f>
        <v>0</v>
      </c>
      <c r="AR102" s="57">
        <f>IFERROR(IF($V102="BRAND.com",HLOOKUP($X102&amp;$Z102,'NWC_FC_NON-NOOS'!$T$4:$AH$23,MATCH(W102,'NWC_FC_NON-NOOS'!$S$4:$S$23,0),FALSE),0),0)</f>
        <v>0</v>
      </c>
      <c r="AS102" s="57">
        <f>IFERROR(IF($V102="BRAND.com",HLOOKUP($X102&amp;$Z102,'NWC_FC_NON-NOOS'!$C$50:$U$69,MATCH(W102,'NWC_FC_NON-NOOS'!$B$50:$B$69,0),FALSE),0),0)</f>
        <v>0</v>
      </c>
      <c r="AT102" s="57">
        <f t="shared" si="50"/>
        <v>0</v>
      </c>
      <c r="AU102" s="57">
        <f t="shared" si="51"/>
        <v>0</v>
      </c>
      <c r="AV102" s="58">
        <f>IFERROR(IF($V102="BRAND.com",HLOOKUP($X102&amp;$Z102,PLANNING_FC!$BB$27:$BP$46,MATCH($W102,PLANNING_FC!$BA$27:$BA$46,0),FALSE),0),0)</f>
        <v>0</v>
      </c>
      <c r="AW102" s="58">
        <f>IFERROR(IF($V102="BRAND.com",HLOOKUP($X102&amp;$Z102,PLANNING_FC!$BB$4:$BP$23,MATCH($W102,PLANNING_FC!$BA$4:$BA$23,0),FALSE),0),0)</f>
        <v>0</v>
      </c>
      <c r="AX102" s="58">
        <f>IFERROR(IF($V102="BRAND.com",HLOOKUP($X102&amp;$Z102,PLANNING_FC!$T$27:$AH$46,MATCH($W102,PLANNING_FC!$B$27:$B$46,0),FALSE),0),0)</f>
        <v>0</v>
      </c>
      <c r="AY102" s="58">
        <f>IFERROR(IF($V102="BRAND.com",HLOOKUP($X102&amp;$Z102,PLANNING_FC!$T$4:$AH$23,MATCH($W102,PLANNING_FC!$B$4:$B$23,0),FALSE),0),0)</f>
        <v>0</v>
      </c>
      <c r="AZ102" s="58">
        <f>IFERROR(IF($V102="BRAND.com",HLOOKUP($X102&amp;$Z102,PLANNING_FC!$DA$27:$DO$46,MATCH($W102,PLANNING_FC!$CZ$27:$CZ$46,0),FALSE),0),0)</f>
        <v>0</v>
      </c>
      <c r="BA102" s="58">
        <f>IFERROR(IF($V102="BRAND.com",HLOOKUP($X102&amp;$Z102,PLANNING_FC!$DA$4:$DO$23,MATCH($W102,PLANNING_FC!$CZ$4:$CZ$23,0),FALSE),0),0)</f>
        <v>0</v>
      </c>
      <c r="BB102" s="883" t="str">
        <f>IF(V102="BRAND.com",IFERROR(HLOOKUP(X102&amp;Z102,PLANNING_FC!$AK$4:$AY$23,MATCH(W102,PLANNING_FC!$AJ$4:$AJ$23,0),FALSE)*1000,""),"")</f>
        <v/>
      </c>
      <c r="BC102" s="883" t="str">
        <f>IF(V102="BRAND.com",IFERROR(HLOOKUP(X102&amp;Z102,PLANNING_FC!$AK$27:$AY$46,MATCH(W102,PLANNING_FC!$AJ$27:$AJ$46,0),FALSE)*1000,""),"")</f>
        <v/>
      </c>
    </row>
    <row r="103" spans="1:55" x14ac:dyDescent="0.25">
      <c r="A103" s="509"/>
      <c r="B103" s="510"/>
      <c r="C103" s="509"/>
      <c r="D103" s="509"/>
      <c r="E103" s="509"/>
      <c r="F103" s="509"/>
      <c r="G103" s="509"/>
      <c r="H103" s="509"/>
      <c r="I103" s="512"/>
      <c r="J103" s="513"/>
      <c r="K103" s="879"/>
      <c r="L103" s="515"/>
      <c r="M103" s="516"/>
      <c r="N103" s="56">
        <f t="shared" si="52"/>
        <v>0</v>
      </c>
      <c r="O103" s="57">
        <f t="shared" si="53"/>
        <v>0</v>
      </c>
      <c r="P103" s="57">
        <f ca="1">IFERROR(IF(ISBLANK(H103),SUMIFS($AC:$AC,$V:$V,V103,$W:$W,W103,$X:$X,X103,$Y:$Y,Y103)*J103/(1-J103)*VLOOKUP(_xlfn.CONCAT(C103,D103,E103,TIME!$M$12,Z103),HIS_SALES!$B$2:$W$4859,20,FALSE),AC103*J103/(1-J103)),0)</f>
        <v>0</v>
      </c>
      <c r="Q103" s="541" t="str">
        <f t="shared" si="54"/>
        <v/>
      </c>
      <c r="R103" s="346" t="str">
        <f t="shared" si="35"/>
        <v>00000</v>
      </c>
      <c r="S103" s="344">
        <f t="shared" si="55"/>
        <v>0</v>
      </c>
      <c r="T103" s="345" t="str">
        <f t="shared" si="49"/>
        <v>000</v>
      </c>
      <c r="U103" s="345">
        <f t="shared" si="56"/>
        <v>0</v>
      </c>
      <c r="V103" s="345">
        <f t="shared" si="57"/>
        <v>0</v>
      </c>
      <c r="W103" s="345">
        <f t="shared" si="58"/>
        <v>0</v>
      </c>
      <c r="X103" s="345">
        <f t="shared" si="59"/>
        <v>0</v>
      </c>
      <c r="Y103" s="345">
        <f t="shared" si="60"/>
        <v>0</v>
      </c>
      <c r="Z103" s="345">
        <f>IF(Q103&lt;&gt;"",VLOOKUP(Y103,TIME!$R$21:$V$24,MATCH(FC_DATA!Q103,TIME!$R$20:$V$20,0),FALSE),H103)</f>
        <v>0</v>
      </c>
      <c r="AA103" s="345" t="str">
        <f>IFERROR(VLOOKUP(X103&amp;Z103,TIME!$A$12:$D$71,4,FALSE),"")</f>
        <v/>
      </c>
      <c r="AB103" s="592">
        <f t="shared" ca="1" si="42"/>
        <v>0</v>
      </c>
      <c r="AC103" s="593" t="e">
        <f ca="1">IF(ISBLANK(H103)=FALSE,IF(D103="BRAND.com",I103,IF(ISNA(VLOOKUP(_xlfn.CONCAT(X103,Z103),TIME!$M$40:$M$42,1,FALSE)),I103,VLOOKUP(_xlfn.CONCAT(D103,G103,H103),M_BUSAREA_FC!$AF$5:$AJ$10,5,FALSE)*HLOOKUP(_xlfn.CONCAT(F103,H103),ST_OVERVIEW!$G$99:$I$130,MATCH(_xlfn.CONCAT(D103,E103),ST_OVERVIEW!$F$99:$F$130,0),FALSE))),IF(D103="BRAND.com",VLOOKUP(_xlfn.CONCAT(C103,D103,E103,TIME!$F$1,Z103),HIS_SALES!$B$2:$V$4859,19,FALSE)*I103,VLOOKUP(_xlfn.CONCAT(D103,F103,G103),Q_BUSAREA_FC!$AE$5:$AI$12,5,FALSE)*HLOOKUP(_xlfn.CONCAT(FC_DATA!F103,FC_DATA!G103),LT_OVERVIEW!$I$99:$M$130,MATCH(_xlfn.CONCAT(D103,FC_DATA!E103),LT_OVERVIEW!$H$99:$H$130,0),FALSE)*IFERROR(VLOOKUP(_xlfn.CONCAT(C103,D103,E103,TIME!$F$1,Z103),HIS_SALES!$B$2:$V$4859,19,FALSE),0)))</f>
        <v>#N/A</v>
      </c>
      <c r="AD103" s="341">
        <f t="shared" ca="1" si="61"/>
        <v>0</v>
      </c>
      <c r="AE103" s="363" t="str">
        <f t="shared" si="62"/>
        <v/>
      </c>
      <c r="AF103" s="342" t="str">
        <f t="shared" si="63"/>
        <v/>
      </c>
      <c r="AG103" s="411" t="e">
        <f ca="1">VLOOKUP(_xlfn.CONCAT(U103,V103,W103,VLOOKUP(X103&amp;Y103,TIME!$L$27:$O$34,4,FALSE),Y103),HIS_SALES!$A$2:$R$5093,18,FALSE)</f>
        <v>#N/A</v>
      </c>
      <c r="AH103" s="412" t="e">
        <f ca="1">IFERROR(IF(AND(V103=V102,W103=W102),0.5*(AB103+AB102)*AG103,(VLOOKUP(_xlfn.CONCAT(U103,V103,W103,X103,VLOOKUP(Z103,TIME!$S$28:$T$39,2,FALSE)),FC_DATA!$R$2:$AB$5000,MATCH("GS_I_M",FC_DATA!$R$1:$AB$1,0),FALSE)+FC_DATA!AB103)*0.5*FC_DATA!AG103),NA())</f>
        <v>#N/A</v>
      </c>
      <c r="AI103" s="491" t="e">
        <f ca="1">IF(V103="PARTNER.com",AH103,IF(AND(V103=V102,W103=W102),(1-AVERAGE(AD102,AD103))*AH103,(1-AVERAGE(AD103,VLOOKUP(_xlfn.CONCAT(U103,V103,W103,X103,M_BRAND_FC!$F$6),FC_DATA!$R$2:$AD$5000,MATCH("DISCOUNT_%_M",FC_DATA!$R$1:$AD$1,0),FALSE)))*AH103))</f>
        <v>#N/A</v>
      </c>
      <c r="AJ103" s="412" t="str">
        <f t="shared" ca="1" si="46"/>
        <v/>
      </c>
      <c r="AK103" s="413" t="str">
        <f>IFERROR(AE103/(Q_BRAND_FC!$T$24+1),"")</f>
        <v/>
      </c>
      <c r="AL103" s="88" t="str">
        <f t="shared" ca="1" si="47"/>
        <v/>
      </c>
      <c r="AM103" s="414" t="str">
        <f t="shared" ca="1" si="48"/>
        <v/>
      </c>
      <c r="AN103" s="58">
        <f>IFERROR(IF($V103="BRAND.com",HLOOKUP($X103&amp;$Z103,NWC_FC_NOOS!$C$4:$Q$23,MATCH(W103,NWC_FC_NOOS!$B$4:$B$23,0),FALSE),0),0)</f>
        <v>0</v>
      </c>
      <c r="AO103" s="57">
        <f>IFERROR(IF($V103="BRAND.com",HLOOKUP($X103&amp;$Z103,NWC_FC_NOOS!$T$4:$AH$23,MATCH(W103,NWC_FC_NOOS!$S$4:$S$23,0),FALSE),0),0)</f>
        <v>0</v>
      </c>
      <c r="AP103" s="57">
        <f>IFERROR(IF($V103="BRAND.com",HLOOKUP($X103&amp;$Z103,NWC_FC_NOOS!$C$50:$U$69,MATCH(W103,NWC_FC_NOOS!$B$50:$B$69,0),FALSE),0),0)</f>
        <v>0</v>
      </c>
      <c r="AQ103" s="58">
        <f>IFERROR(IF($V103="BRAND.com",HLOOKUP($X103&amp;$Z103,'NWC_FC_NON-NOOS'!$C$4:$Q$23,MATCH(W103,'NWC_FC_NON-NOOS'!$B$4:$B$23,0),FALSE),0),0)</f>
        <v>0</v>
      </c>
      <c r="AR103" s="57">
        <f>IFERROR(IF($V103="BRAND.com",HLOOKUP($X103&amp;$Z103,'NWC_FC_NON-NOOS'!$T$4:$AH$23,MATCH(W103,'NWC_FC_NON-NOOS'!$S$4:$S$23,0),FALSE),0),0)</f>
        <v>0</v>
      </c>
      <c r="AS103" s="57">
        <f>IFERROR(IF($V103="BRAND.com",HLOOKUP($X103&amp;$Z103,'NWC_FC_NON-NOOS'!$C$50:$U$69,MATCH(W103,'NWC_FC_NON-NOOS'!$B$50:$B$69,0),FALSE),0),0)</f>
        <v>0</v>
      </c>
      <c r="AT103" s="57">
        <f t="shared" si="50"/>
        <v>0</v>
      </c>
      <c r="AU103" s="57">
        <f t="shared" si="51"/>
        <v>0</v>
      </c>
      <c r="AV103" s="58">
        <f>IFERROR(IF($V103="BRAND.com",HLOOKUP($X103&amp;$Z103,PLANNING_FC!$BB$27:$BP$46,MATCH($W103,PLANNING_FC!$BA$27:$BA$46,0),FALSE),0),0)</f>
        <v>0</v>
      </c>
      <c r="AW103" s="58">
        <f>IFERROR(IF($V103="BRAND.com",HLOOKUP($X103&amp;$Z103,PLANNING_FC!$BB$4:$BP$23,MATCH($W103,PLANNING_FC!$BA$4:$BA$23,0),FALSE),0),0)</f>
        <v>0</v>
      </c>
      <c r="AX103" s="58">
        <f>IFERROR(IF($V103="BRAND.com",HLOOKUP($X103&amp;$Z103,PLANNING_FC!$T$27:$AH$46,MATCH($W103,PLANNING_FC!$B$27:$B$46,0),FALSE),0),0)</f>
        <v>0</v>
      </c>
      <c r="AY103" s="58">
        <f>IFERROR(IF($V103="BRAND.com",HLOOKUP($X103&amp;$Z103,PLANNING_FC!$T$4:$AH$23,MATCH($W103,PLANNING_FC!$B$4:$B$23,0),FALSE),0),0)</f>
        <v>0</v>
      </c>
      <c r="AZ103" s="58">
        <f>IFERROR(IF($V103="BRAND.com",HLOOKUP($X103&amp;$Z103,PLANNING_FC!$DA$27:$DO$46,MATCH($W103,PLANNING_FC!$CZ$27:$CZ$46,0),FALSE),0),0)</f>
        <v>0</v>
      </c>
      <c r="BA103" s="58">
        <f>IFERROR(IF($V103="BRAND.com",HLOOKUP($X103&amp;$Z103,PLANNING_FC!$DA$4:$DO$23,MATCH($W103,PLANNING_FC!$CZ$4:$CZ$23,0),FALSE),0),0)</f>
        <v>0</v>
      </c>
      <c r="BB103" s="883" t="str">
        <f>IF(V103="BRAND.com",IFERROR(HLOOKUP(X103&amp;Z103,PLANNING_FC!$AK$4:$AY$23,MATCH(W103,PLANNING_FC!$AJ$4:$AJ$23,0),FALSE)*1000,""),"")</f>
        <v/>
      </c>
      <c r="BC103" s="883" t="str">
        <f>IF(V103="BRAND.com",IFERROR(HLOOKUP(X103&amp;Z103,PLANNING_FC!$AK$27:$AY$46,MATCH(W103,PLANNING_FC!$AJ$27:$AJ$46,0),FALSE)*1000,""),"")</f>
        <v/>
      </c>
    </row>
    <row r="104" spans="1:55" x14ac:dyDescent="0.25">
      <c r="A104" s="509"/>
      <c r="B104" s="510"/>
      <c r="C104" s="509"/>
      <c r="D104" s="509"/>
      <c r="E104" s="509"/>
      <c r="F104" s="509"/>
      <c r="G104" s="509"/>
      <c r="H104" s="509"/>
      <c r="I104" s="512"/>
      <c r="J104" s="513"/>
      <c r="K104" s="879"/>
      <c r="L104" s="515"/>
      <c r="M104" s="516"/>
      <c r="N104" s="56">
        <f t="shared" si="52"/>
        <v>0</v>
      </c>
      <c r="O104" s="57">
        <f t="shared" si="53"/>
        <v>0</v>
      </c>
      <c r="P104" s="57">
        <f ca="1">IFERROR(IF(ISBLANK(H104),SUMIFS($AC:$AC,$V:$V,V104,$W:$W,W104,$X:$X,X104,$Y:$Y,Y104)*J104/(1-J104)*VLOOKUP(_xlfn.CONCAT(C104,D104,E104,TIME!$M$12,Z104),HIS_SALES!$B$2:$W$4859,20,FALSE),AC104*J104/(1-J104)),0)</f>
        <v>0</v>
      </c>
      <c r="Q104" s="541" t="str">
        <f t="shared" si="54"/>
        <v/>
      </c>
      <c r="R104" s="346" t="str">
        <f t="shared" si="35"/>
        <v>00000</v>
      </c>
      <c r="S104" s="344">
        <f t="shared" si="55"/>
        <v>0</v>
      </c>
      <c r="T104" s="345" t="str">
        <f t="shared" si="49"/>
        <v>000</v>
      </c>
      <c r="U104" s="345">
        <f t="shared" si="56"/>
        <v>0</v>
      </c>
      <c r="V104" s="345">
        <f t="shared" si="57"/>
        <v>0</v>
      </c>
      <c r="W104" s="345">
        <f t="shared" si="58"/>
        <v>0</v>
      </c>
      <c r="X104" s="345">
        <f t="shared" si="59"/>
        <v>0</v>
      </c>
      <c r="Y104" s="345">
        <f t="shared" si="60"/>
        <v>0</v>
      </c>
      <c r="Z104" s="345">
        <f>IF(Q104&lt;&gt;"",VLOOKUP(Y104,TIME!$R$21:$V$24,MATCH(FC_DATA!Q104,TIME!$R$20:$V$20,0),FALSE),H104)</f>
        <v>0</v>
      </c>
      <c r="AA104" s="345" t="str">
        <f>IFERROR(VLOOKUP(X104&amp;Z104,TIME!$A$12:$D$71,4,FALSE),"")</f>
        <v/>
      </c>
      <c r="AB104" s="592">
        <f t="shared" ca="1" si="42"/>
        <v>0</v>
      </c>
      <c r="AC104" s="593" t="e">
        <f ca="1">IF(ISBLANK(H104)=FALSE,IF(D104="BRAND.com",I104,IF(ISNA(VLOOKUP(_xlfn.CONCAT(X104,Z104),TIME!$M$40:$M$42,1,FALSE)),I104,VLOOKUP(_xlfn.CONCAT(D104,G104,H104),M_BUSAREA_FC!$AF$5:$AJ$10,5,FALSE)*HLOOKUP(_xlfn.CONCAT(F104,H104),ST_OVERVIEW!$G$99:$I$130,MATCH(_xlfn.CONCAT(D104,E104),ST_OVERVIEW!$F$99:$F$130,0),FALSE))),IF(D104="BRAND.com",VLOOKUP(_xlfn.CONCAT(C104,D104,E104,TIME!$F$1,Z104),HIS_SALES!$B$2:$V$4859,19,FALSE)*I104,VLOOKUP(_xlfn.CONCAT(D104,F104,G104),Q_BUSAREA_FC!$AE$5:$AI$12,5,FALSE)*HLOOKUP(_xlfn.CONCAT(FC_DATA!F104,FC_DATA!G104),LT_OVERVIEW!$I$99:$M$130,MATCH(_xlfn.CONCAT(D104,FC_DATA!E104),LT_OVERVIEW!$H$99:$H$130,0),FALSE)*IFERROR(VLOOKUP(_xlfn.CONCAT(C104,D104,E104,TIME!$F$1,Z104),HIS_SALES!$B$2:$V$4859,19,FALSE),0)))</f>
        <v>#N/A</v>
      </c>
      <c r="AD104" s="341">
        <f t="shared" ca="1" si="61"/>
        <v>0</v>
      </c>
      <c r="AE104" s="363" t="str">
        <f t="shared" si="62"/>
        <v/>
      </c>
      <c r="AF104" s="342" t="str">
        <f t="shared" si="63"/>
        <v/>
      </c>
      <c r="AG104" s="411" t="e">
        <f ca="1">VLOOKUP(_xlfn.CONCAT(U104,V104,W104,VLOOKUP(X104&amp;Y104,TIME!$L$27:$O$34,4,FALSE),Y104),HIS_SALES!$A$2:$R$5093,18,FALSE)</f>
        <v>#N/A</v>
      </c>
      <c r="AH104" s="412" t="e">
        <f ca="1">IFERROR(IF(AND(V104=V103,W104=W103),0.5*(AB104+AB103)*AG104,(VLOOKUP(_xlfn.CONCAT(U104,V104,W104,X104,VLOOKUP(Z104,TIME!$S$28:$T$39,2,FALSE)),FC_DATA!$R$2:$AB$5000,MATCH("GS_I_M",FC_DATA!$R$1:$AB$1,0),FALSE)+FC_DATA!AB104)*0.5*FC_DATA!AG104),NA())</f>
        <v>#N/A</v>
      </c>
      <c r="AI104" s="491" t="e">
        <f ca="1">IF(V104="PARTNER.com",AH104,IF(AND(V104=V103,W104=W103),(1-AVERAGE(AD103,AD104))*AH104,(1-AVERAGE(AD104,VLOOKUP(_xlfn.CONCAT(U104,V104,W104,X104,M_BRAND_FC!$F$6),FC_DATA!$R$2:$AD$5000,MATCH("DISCOUNT_%_M",FC_DATA!$R$1:$AD$1,0),FALSE)))*AH104))</f>
        <v>#N/A</v>
      </c>
      <c r="AJ104" s="412" t="str">
        <f t="shared" ca="1" si="46"/>
        <v/>
      </c>
      <c r="AK104" s="413" t="str">
        <f>IFERROR(AE104/(Q_BRAND_FC!$T$24+1),"")</f>
        <v/>
      </c>
      <c r="AL104" s="88" t="str">
        <f t="shared" ca="1" si="47"/>
        <v/>
      </c>
      <c r="AM104" s="414" t="str">
        <f t="shared" ca="1" si="48"/>
        <v/>
      </c>
      <c r="AN104" s="58">
        <f>IFERROR(IF($V104="BRAND.com",HLOOKUP($X104&amp;$Z104,NWC_FC_NOOS!$C$4:$Q$23,MATCH(W104,NWC_FC_NOOS!$B$4:$B$23,0),FALSE),0),0)</f>
        <v>0</v>
      </c>
      <c r="AO104" s="57">
        <f>IFERROR(IF($V104="BRAND.com",HLOOKUP($X104&amp;$Z104,NWC_FC_NOOS!$T$4:$AH$23,MATCH(W104,NWC_FC_NOOS!$S$4:$S$23,0),FALSE),0),0)</f>
        <v>0</v>
      </c>
      <c r="AP104" s="57">
        <f>IFERROR(IF($V104="BRAND.com",HLOOKUP($X104&amp;$Z104,NWC_FC_NOOS!$C$50:$U$69,MATCH(W104,NWC_FC_NOOS!$B$50:$B$69,0),FALSE),0),0)</f>
        <v>0</v>
      </c>
      <c r="AQ104" s="58">
        <f>IFERROR(IF($V104="BRAND.com",HLOOKUP($X104&amp;$Z104,'NWC_FC_NON-NOOS'!$C$4:$Q$23,MATCH(W104,'NWC_FC_NON-NOOS'!$B$4:$B$23,0),FALSE),0),0)</f>
        <v>0</v>
      </c>
      <c r="AR104" s="57">
        <f>IFERROR(IF($V104="BRAND.com",HLOOKUP($X104&amp;$Z104,'NWC_FC_NON-NOOS'!$T$4:$AH$23,MATCH(W104,'NWC_FC_NON-NOOS'!$S$4:$S$23,0),FALSE),0),0)</f>
        <v>0</v>
      </c>
      <c r="AS104" s="57">
        <f>IFERROR(IF($V104="BRAND.com",HLOOKUP($X104&amp;$Z104,'NWC_FC_NON-NOOS'!$C$50:$U$69,MATCH(W104,'NWC_FC_NON-NOOS'!$B$50:$B$69,0),FALSE),0),0)</f>
        <v>0</v>
      </c>
      <c r="AT104" s="57">
        <f t="shared" si="50"/>
        <v>0</v>
      </c>
      <c r="AU104" s="57">
        <f t="shared" si="51"/>
        <v>0</v>
      </c>
      <c r="AV104" s="58">
        <f>IFERROR(IF($V104="BRAND.com",HLOOKUP($X104&amp;$Z104,PLANNING_FC!$BB$27:$BP$46,MATCH($W104,PLANNING_FC!$BA$27:$BA$46,0),FALSE),0),0)</f>
        <v>0</v>
      </c>
      <c r="AW104" s="58">
        <f>IFERROR(IF($V104="BRAND.com",HLOOKUP($X104&amp;$Z104,PLANNING_FC!$BB$4:$BP$23,MATCH($W104,PLANNING_FC!$BA$4:$BA$23,0),FALSE),0),0)</f>
        <v>0</v>
      </c>
      <c r="AX104" s="58">
        <f>IFERROR(IF($V104="BRAND.com",HLOOKUP($X104&amp;$Z104,PLANNING_FC!$T$27:$AH$46,MATCH($W104,PLANNING_FC!$B$27:$B$46,0),FALSE),0),0)</f>
        <v>0</v>
      </c>
      <c r="AY104" s="58">
        <f>IFERROR(IF($V104="BRAND.com",HLOOKUP($X104&amp;$Z104,PLANNING_FC!$T$4:$AH$23,MATCH($W104,PLANNING_FC!$B$4:$B$23,0),FALSE),0),0)</f>
        <v>0</v>
      </c>
      <c r="AZ104" s="58">
        <f>IFERROR(IF($V104="BRAND.com",HLOOKUP($X104&amp;$Z104,PLANNING_FC!$DA$27:$DO$46,MATCH($W104,PLANNING_FC!$CZ$27:$CZ$46,0),FALSE),0),0)</f>
        <v>0</v>
      </c>
      <c r="BA104" s="58">
        <f>IFERROR(IF($V104="BRAND.com",HLOOKUP($X104&amp;$Z104,PLANNING_FC!$DA$4:$DO$23,MATCH($W104,PLANNING_FC!$CZ$4:$CZ$23,0),FALSE),0),0)</f>
        <v>0</v>
      </c>
      <c r="BB104" s="883" t="str">
        <f>IF(V104="BRAND.com",IFERROR(HLOOKUP(X104&amp;Z104,PLANNING_FC!$AK$4:$AY$23,MATCH(W104,PLANNING_FC!$AJ$4:$AJ$23,0),FALSE)*1000,""),"")</f>
        <v/>
      </c>
      <c r="BC104" s="883" t="str">
        <f>IF(V104="BRAND.com",IFERROR(HLOOKUP(X104&amp;Z104,PLANNING_FC!$AK$27:$AY$46,MATCH(W104,PLANNING_FC!$AJ$27:$AJ$46,0),FALSE)*1000,""),"")</f>
        <v/>
      </c>
    </row>
    <row r="105" spans="1:55" x14ac:dyDescent="0.25">
      <c r="A105" s="509"/>
      <c r="B105" s="510"/>
      <c r="C105" s="509"/>
      <c r="D105" s="509"/>
      <c r="E105" s="509"/>
      <c r="F105" s="509"/>
      <c r="G105" s="509"/>
      <c r="H105" s="509"/>
      <c r="I105" s="512"/>
      <c r="J105" s="513"/>
      <c r="K105" s="879"/>
      <c r="L105" s="515"/>
      <c r="M105" s="516"/>
      <c r="N105" s="56">
        <f t="shared" si="52"/>
        <v>0</v>
      </c>
      <c r="O105" s="57">
        <f t="shared" si="53"/>
        <v>0</v>
      </c>
      <c r="P105" s="57">
        <f ca="1">IFERROR(IF(ISBLANK(H105),SUMIFS($AC:$AC,$V:$V,V105,$W:$W,W105,$X:$X,X105,$Y:$Y,Y105)*J105/(1-J105)*VLOOKUP(_xlfn.CONCAT(C105,D105,E105,TIME!$M$12,Z105),HIS_SALES!$B$2:$W$4859,20,FALSE),AC105*J105/(1-J105)),0)</f>
        <v>0</v>
      </c>
      <c r="Q105" s="541" t="str">
        <f t="shared" si="54"/>
        <v/>
      </c>
      <c r="R105" s="346" t="str">
        <f t="shared" si="35"/>
        <v>00000</v>
      </c>
      <c r="S105" s="344">
        <f t="shared" si="55"/>
        <v>0</v>
      </c>
      <c r="T105" s="345" t="str">
        <f t="shared" si="49"/>
        <v>000</v>
      </c>
      <c r="U105" s="345">
        <f t="shared" si="56"/>
        <v>0</v>
      </c>
      <c r="V105" s="345">
        <f t="shared" si="57"/>
        <v>0</v>
      </c>
      <c r="W105" s="345">
        <f t="shared" si="58"/>
        <v>0</v>
      </c>
      <c r="X105" s="345">
        <f t="shared" si="59"/>
        <v>0</v>
      </c>
      <c r="Y105" s="345">
        <f t="shared" si="60"/>
        <v>0</v>
      </c>
      <c r="Z105" s="345">
        <f>IF(Q105&lt;&gt;"",VLOOKUP(Y105,TIME!$R$21:$V$24,MATCH(FC_DATA!Q105,TIME!$R$20:$V$20,0),FALSE),H105)</f>
        <v>0</v>
      </c>
      <c r="AA105" s="345" t="str">
        <f>IFERROR(VLOOKUP(X105&amp;Z105,TIME!$A$12:$D$71,4,FALSE),"")</f>
        <v/>
      </c>
      <c r="AB105" s="592">
        <f t="shared" ca="1" si="42"/>
        <v>0</v>
      </c>
      <c r="AC105" s="593" t="e">
        <f ca="1">IF(ISBLANK(H105)=FALSE,IF(D105="BRAND.com",I105,IF(ISNA(VLOOKUP(_xlfn.CONCAT(X105,Z105),TIME!$M$40:$M$42,1,FALSE)),I105,VLOOKUP(_xlfn.CONCAT(D105,G105,H105),M_BUSAREA_FC!$AF$5:$AJ$10,5,FALSE)*HLOOKUP(_xlfn.CONCAT(F105,H105),ST_OVERVIEW!$G$99:$I$130,MATCH(_xlfn.CONCAT(D105,E105),ST_OVERVIEW!$F$99:$F$130,0),FALSE))),IF(D105="BRAND.com",VLOOKUP(_xlfn.CONCAT(C105,D105,E105,TIME!$F$1,Z105),HIS_SALES!$B$2:$V$4859,19,FALSE)*I105,VLOOKUP(_xlfn.CONCAT(D105,F105,G105),Q_BUSAREA_FC!$AE$5:$AI$12,5,FALSE)*HLOOKUP(_xlfn.CONCAT(FC_DATA!F105,FC_DATA!G105),LT_OVERVIEW!$I$99:$M$130,MATCH(_xlfn.CONCAT(D105,FC_DATA!E105),LT_OVERVIEW!$H$99:$H$130,0),FALSE)*IFERROR(VLOOKUP(_xlfn.CONCAT(C105,D105,E105,TIME!$F$1,Z105),HIS_SALES!$B$2:$V$4859,19,FALSE),0)))</f>
        <v>#N/A</v>
      </c>
      <c r="AD105" s="341">
        <f t="shared" ca="1" si="61"/>
        <v>0</v>
      </c>
      <c r="AE105" s="363" t="str">
        <f t="shared" si="62"/>
        <v/>
      </c>
      <c r="AF105" s="342" t="str">
        <f t="shared" si="63"/>
        <v/>
      </c>
      <c r="AG105" s="411" t="e">
        <f ca="1">VLOOKUP(_xlfn.CONCAT(U105,V105,W105,VLOOKUP(X105&amp;Y105,TIME!$L$27:$O$34,4,FALSE),Y105),HIS_SALES!$A$2:$R$5093,18,FALSE)</f>
        <v>#N/A</v>
      </c>
      <c r="AH105" s="412" t="e">
        <f ca="1">IFERROR(IF(AND(V105=V104,W105=W104),0.5*(AB105+AB104)*AG105,(VLOOKUP(_xlfn.CONCAT(U105,V105,W105,X105,VLOOKUP(Z105,TIME!$S$28:$T$39,2,FALSE)),FC_DATA!$R$2:$AB$5000,MATCH("GS_I_M",FC_DATA!$R$1:$AB$1,0),FALSE)+FC_DATA!AB105)*0.5*FC_DATA!AG105),NA())</f>
        <v>#N/A</v>
      </c>
      <c r="AI105" s="491" t="e">
        <f ca="1">IF(V105="PARTNER.com",AH105,IF(AND(V105=V104,W105=W104),(1-AVERAGE(AD104,AD105))*AH105,(1-AVERAGE(AD105,VLOOKUP(_xlfn.CONCAT(U105,V105,W105,X105,M_BRAND_FC!$F$6),FC_DATA!$R$2:$AD$5000,MATCH("DISCOUNT_%_M",FC_DATA!$R$1:$AD$1,0),FALSE)))*AH105))</f>
        <v>#N/A</v>
      </c>
      <c r="AJ105" s="412" t="str">
        <f t="shared" ca="1" si="46"/>
        <v/>
      </c>
      <c r="AK105" s="413" t="str">
        <f>IFERROR(AE105/(Q_BRAND_FC!$T$24+1),"")</f>
        <v/>
      </c>
      <c r="AL105" s="88" t="str">
        <f t="shared" ca="1" si="47"/>
        <v/>
      </c>
      <c r="AM105" s="414" t="str">
        <f t="shared" ca="1" si="48"/>
        <v/>
      </c>
      <c r="AN105" s="58">
        <f>IFERROR(IF($V105="BRAND.com",HLOOKUP($X105&amp;$Z105,NWC_FC_NOOS!$C$4:$Q$23,MATCH(W105,NWC_FC_NOOS!$B$4:$B$23,0),FALSE),0),0)</f>
        <v>0</v>
      </c>
      <c r="AO105" s="57">
        <f>IFERROR(IF($V105="BRAND.com",HLOOKUP($X105&amp;$Z105,NWC_FC_NOOS!$T$4:$AH$23,MATCH(W105,NWC_FC_NOOS!$S$4:$S$23,0),FALSE),0),0)</f>
        <v>0</v>
      </c>
      <c r="AP105" s="57">
        <f>IFERROR(IF($V105="BRAND.com",HLOOKUP($X105&amp;$Z105,NWC_FC_NOOS!$C$50:$U$69,MATCH(W105,NWC_FC_NOOS!$B$50:$B$69,0),FALSE),0),0)</f>
        <v>0</v>
      </c>
      <c r="AQ105" s="58">
        <f>IFERROR(IF($V105="BRAND.com",HLOOKUP($X105&amp;$Z105,'NWC_FC_NON-NOOS'!$C$4:$Q$23,MATCH(W105,'NWC_FC_NON-NOOS'!$B$4:$B$23,0),FALSE),0),0)</f>
        <v>0</v>
      </c>
      <c r="AR105" s="57">
        <f>IFERROR(IF($V105="BRAND.com",HLOOKUP($X105&amp;$Z105,'NWC_FC_NON-NOOS'!$T$4:$AH$23,MATCH(W105,'NWC_FC_NON-NOOS'!$S$4:$S$23,0),FALSE),0),0)</f>
        <v>0</v>
      </c>
      <c r="AS105" s="57">
        <f>IFERROR(IF($V105="BRAND.com",HLOOKUP($X105&amp;$Z105,'NWC_FC_NON-NOOS'!$C$50:$U$69,MATCH(W105,'NWC_FC_NON-NOOS'!$B$50:$B$69,0),FALSE),0),0)</f>
        <v>0</v>
      </c>
      <c r="AT105" s="57">
        <f t="shared" si="50"/>
        <v>0</v>
      </c>
      <c r="AU105" s="57">
        <f t="shared" si="51"/>
        <v>0</v>
      </c>
      <c r="AV105" s="58">
        <f>IFERROR(IF($V105="BRAND.com",HLOOKUP($X105&amp;$Z105,PLANNING_FC!$BB$27:$BP$46,MATCH($W105,PLANNING_FC!$BA$27:$BA$46,0),FALSE),0),0)</f>
        <v>0</v>
      </c>
      <c r="AW105" s="58">
        <f>IFERROR(IF($V105="BRAND.com",HLOOKUP($X105&amp;$Z105,PLANNING_FC!$BB$4:$BP$23,MATCH($W105,PLANNING_FC!$BA$4:$BA$23,0),FALSE),0),0)</f>
        <v>0</v>
      </c>
      <c r="AX105" s="58">
        <f>IFERROR(IF($V105="BRAND.com",HLOOKUP($X105&amp;$Z105,PLANNING_FC!$T$27:$AH$46,MATCH($W105,PLANNING_FC!$B$27:$B$46,0),FALSE),0),0)</f>
        <v>0</v>
      </c>
      <c r="AY105" s="58">
        <f>IFERROR(IF($V105="BRAND.com",HLOOKUP($X105&amp;$Z105,PLANNING_FC!$T$4:$AH$23,MATCH($W105,PLANNING_FC!$B$4:$B$23,0),FALSE),0),0)</f>
        <v>0</v>
      </c>
      <c r="AZ105" s="58">
        <f>IFERROR(IF($V105="BRAND.com",HLOOKUP($X105&amp;$Z105,PLANNING_FC!$DA$27:$DO$46,MATCH($W105,PLANNING_FC!$CZ$27:$CZ$46,0),FALSE),0),0)</f>
        <v>0</v>
      </c>
      <c r="BA105" s="58">
        <f>IFERROR(IF($V105="BRAND.com",HLOOKUP($X105&amp;$Z105,PLANNING_FC!$DA$4:$DO$23,MATCH($W105,PLANNING_FC!$CZ$4:$CZ$23,0),FALSE),0),0)</f>
        <v>0</v>
      </c>
      <c r="BB105" s="883" t="str">
        <f>IF(V105="BRAND.com",IFERROR(HLOOKUP(X105&amp;Z105,PLANNING_FC!$AK$4:$AY$23,MATCH(W105,PLANNING_FC!$AJ$4:$AJ$23,0),FALSE)*1000,""),"")</f>
        <v/>
      </c>
      <c r="BC105" s="883" t="str">
        <f>IF(V105="BRAND.com",IFERROR(HLOOKUP(X105&amp;Z105,PLANNING_FC!$AK$27:$AY$46,MATCH(W105,PLANNING_FC!$AJ$27:$AJ$46,0),FALSE)*1000,""),"")</f>
        <v/>
      </c>
    </row>
    <row r="106" spans="1:55" x14ac:dyDescent="0.25">
      <c r="A106" s="509"/>
      <c r="B106" s="510"/>
      <c r="C106" s="509"/>
      <c r="D106" s="509"/>
      <c r="E106" s="509"/>
      <c r="F106" s="509"/>
      <c r="G106" s="509"/>
      <c r="H106" s="509"/>
      <c r="I106" s="512"/>
      <c r="J106" s="513"/>
      <c r="K106" s="879"/>
      <c r="L106" s="515"/>
      <c r="M106" s="516"/>
      <c r="N106" s="56">
        <f t="shared" si="52"/>
        <v>0</v>
      </c>
      <c r="O106" s="57">
        <f t="shared" si="53"/>
        <v>0</v>
      </c>
      <c r="P106" s="57">
        <f ca="1">IFERROR(IF(ISBLANK(H106),SUMIFS($AC:$AC,$V:$V,V106,$W:$W,W106,$X:$X,X106,$Y:$Y,Y106)*J106/(1-J106)*VLOOKUP(_xlfn.CONCAT(C106,D106,E106,TIME!$M$12,Z106),HIS_SALES!$B$2:$W$4859,20,FALSE),AC106*J106/(1-J106)),0)</f>
        <v>0</v>
      </c>
      <c r="Q106" s="541" t="str">
        <f t="shared" si="54"/>
        <v/>
      </c>
      <c r="R106" s="346" t="str">
        <f t="shared" si="35"/>
        <v>00000</v>
      </c>
      <c r="S106" s="344">
        <f t="shared" si="55"/>
        <v>0</v>
      </c>
      <c r="T106" s="345" t="str">
        <f t="shared" si="49"/>
        <v>000</v>
      </c>
      <c r="U106" s="345">
        <f t="shared" si="56"/>
        <v>0</v>
      </c>
      <c r="V106" s="345">
        <f t="shared" si="57"/>
        <v>0</v>
      </c>
      <c r="W106" s="345">
        <f t="shared" si="58"/>
        <v>0</v>
      </c>
      <c r="X106" s="345">
        <f t="shared" si="59"/>
        <v>0</v>
      </c>
      <c r="Y106" s="345">
        <f t="shared" si="60"/>
        <v>0</v>
      </c>
      <c r="Z106" s="345">
        <f>IF(Q106&lt;&gt;"",VLOOKUP(Y106,TIME!$R$21:$V$24,MATCH(FC_DATA!Q106,TIME!$R$20:$V$20,0),FALSE),H106)</f>
        <v>0</v>
      </c>
      <c r="AA106" s="345" t="str">
        <f>IFERROR(VLOOKUP(X106&amp;Z106,TIME!$A$12:$D$71,4,FALSE),"")</f>
        <v/>
      </c>
      <c r="AB106" s="592">
        <f t="shared" ca="1" si="42"/>
        <v>0</v>
      </c>
      <c r="AC106" s="593" t="e">
        <f ca="1">IF(ISBLANK(H106)=FALSE,IF(D106="BRAND.com",I106,IF(ISNA(VLOOKUP(_xlfn.CONCAT(X106,Z106),TIME!$M$40:$M$42,1,FALSE)),I106,VLOOKUP(_xlfn.CONCAT(D106,G106,H106),M_BUSAREA_FC!$AF$5:$AJ$10,5,FALSE)*HLOOKUP(_xlfn.CONCAT(F106,H106),ST_OVERVIEW!$G$99:$I$130,MATCH(_xlfn.CONCAT(D106,E106),ST_OVERVIEW!$F$99:$F$130,0),FALSE))),IF(D106="BRAND.com",VLOOKUP(_xlfn.CONCAT(C106,D106,E106,TIME!$F$1,Z106),HIS_SALES!$B$2:$V$4859,19,FALSE)*I106,VLOOKUP(_xlfn.CONCAT(D106,F106,G106),Q_BUSAREA_FC!$AE$5:$AI$12,5,FALSE)*HLOOKUP(_xlfn.CONCAT(FC_DATA!F106,FC_DATA!G106),LT_OVERVIEW!$I$99:$M$130,MATCH(_xlfn.CONCAT(D106,FC_DATA!E106),LT_OVERVIEW!$H$99:$H$130,0),FALSE)*IFERROR(VLOOKUP(_xlfn.CONCAT(C106,D106,E106,TIME!$F$1,Z106),HIS_SALES!$B$2:$V$4859,19,FALSE),0)))</f>
        <v>#N/A</v>
      </c>
      <c r="AD106" s="341">
        <f t="shared" ca="1" si="61"/>
        <v>0</v>
      </c>
      <c r="AE106" s="363" t="str">
        <f t="shared" si="62"/>
        <v/>
      </c>
      <c r="AF106" s="342" t="str">
        <f t="shared" si="63"/>
        <v/>
      </c>
      <c r="AG106" s="411" t="e">
        <f ca="1">VLOOKUP(_xlfn.CONCAT(U106,V106,W106,VLOOKUP(X106&amp;Y106,TIME!$L$27:$O$34,4,FALSE),Y106),HIS_SALES!$A$2:$R$5093,18,FALSE)</f>
        <v>#N/A</v>
      </c>
      <c r="AH106" s="412" t="e">
        <f ca="1">IFERROR(IF(AND(V106=V105,W106=W105),0.5*(AB106+AB105)*AG106,(VLOOKUP(_xlfn.CONCAT(U106,V106,W106,X106,VLOOKUP(Z106,TIME!$S$28:$T$39,2,FALSE)),FC_DATA!$R$2:$AB$5000,MATCH("GS_I_M",FC_DATA!$R$1:$AB$1,0),FALSE)+FC_DATA!AB106)*0.5*FC_DATA!AG106),NA())</f>
        <v>#N/A</v>
      </c>
      <c r="AI106" s="491" t="e">
        <f ca="1">IF(V106="PARTNER.com",AH106,IF(AND(V106=V105,W106=W105),(1-AVERAGE(AD105,AD106))*AH106,(1-AVERAGE(AD106,VLOOKUP(_xlfn.CONCAT(U106,V106,W106,X106,M_BRAND_FC!$F$6),FC_DATA!$R$2:$AD$5000,MATCH("DISCOUNT_%_M",FC_DATA!$R$1:$AD$1,0),FALSE)))*AH106))</f>
        <v>#N/A</v>
      </c>
      <c r="AJ106" s="412" t="str">
        <f t="shared" ca="1" si="46"/>
        <v/>
      </c>
      <c r="AK106" s="413" t="str">
        <f>IFERROR(AE106/(Q_BRAND_FC!$T$24+1),"")</f>
        <v/>
      </c>
      <c r="AL106" s="88" t="str">
        <f t="shared" ca="1" si="47"/>
        <v/>
      </c>
      <c r="AM106" s="414" t="str">
        <f t="shared" ca="1" si="48"/>
        <v/>
      </c>
      <c r="AN106" s="58">
        <f>IFERROR(IF($V106="BRAND.com",HLOOKUP($X106&amp;$Z106,NWC_FC_NOOS!$C$4:$Q$23,MATCH(W106,NWC_FC_NOOS!$B$4:$B$23,0),FALSE),0),0)</f>
        <v>0</v>
      </c>
      <c r="AO106" s="57">
        <f>IFERROR(IF($V106="BRAND.com",HLOOKUP($X106&amp;$Z106,NWC_FC_NOOS!$T$4:$AH$23,MATCH(W106,NWC_FC_NOOS!$S$4:$S$23,0),FALSE),0),0)</f>
        <v>0</v>
      </c>
      <c r="AP106" s="57">
        <f>IFERROR(IF($V106="BRAND.com",HLOOKUP($X106&amp;$Z106,NWC_FC_NOOS!$C$50:$U$69,MATCH(W106,NWC_FC_NOOS!$B$50:$B$69,0),FALSE),0),0)</f>
        <v>0</v>
      </c>
      <c r="AQ106" s="58">
        <f>IFERROR(IF($V106="BRAND.com",HLOOKUP($X106&amp;$Z106,'NWC_FC_NON-NOOS'!$C$4:$Q$23,MATCH(W106,'NWC_FC_NON-NOOS'!$B$4:$B$23,0),FALSE),0),0)</f>
        <v>0</v>
      </c>
      <c r="AR106" s="57">
        <f>IFERROR(IF($V106="BRAND.com",HLOOKUP($X106&amp;$Z106,'NWC_FC_NON-NOOS'!$T$4:$AH$23,MATCH(W106,'NWC_FC_NON-NOOS'!$S$4:$S$23,0),FALSE),0),0)</f>
        <v>0</v>
      </c>
      <c r="AS106" s="57">
        <f>IFERROR(IF($V106="BRAND.com",HLOOKUP($X106&amp;$Z106,'NWC_FC_NON-NOOS'!$C$50:$U$69,MATCH(W106,'NWC_FC_NON-NOOS'!$B$50:$B$69,0),FALSE),0),0)</f>
        <v>0</v>
      </c>
      <c r="AT106" s="57">
        <f t="shared" si="50"/>
        <v>0</v>
      </c>
      <c r="AU106" s="57">
        <f t="shared" si="51"/>
        <v>0</v>
      </c>
      <c r="AV106" s="58">
        <f>IFERROR(IF($V106="BRAND.com",HLOOKUP($X106&amp;$Z106,PLANNING_FC!$BB$27:$BP$46,MATCH($W106,PLANNING_FC!$BA$27:$BA$46,0),FALSE),0),0)</f>
        <v>0</v>
      </c>
      <c r="AW106" s="58">
        <f>IFERROR(IF($V106="BRAND.com",HLOOKUP($X106&amp;$Z106,PLANNING_FC!$BB$4:$BP$23,MATCH($W106,PLANNING_FC!$BA$4:$BA$23,0),FALSE),0),0)</f>
        <v>0</v>
      </c>
      <c r="AX106" s="58">
        <f>IFERROR(IF($V106="BRAND.com",HLOOKUP($X106&amp;$Z106,PLANNING_FC!$T$27:$AH$46,MATCH($W106,PLANNING_FC!$B$27:$B$46,0),FALSE),0),0)</f>
        <v>0</v>
      </c>
      <c r="AY106" s="58">
        <f>IFERROR(IF($V106="BRAND.com",HLOOKUP($X106&amp;$Z106,PLANNING_FC!$T$4:$AH$23,MATCH($W106,PLANNING_FC!$B$4:$B$23,0),FALSE),0),0)</f>
        <v>0</v>
      </c>
      <c r="AZ106" s="58">
        <f>IFERROR(IF($V106="BRAND.com",HLOOKUP($X106&amp;$Z106,PLANNING_FC!$DA$27:$DO$46,MATCH($W106,PLANNING_FC!$CZ$27:$CZ$46,0),FALSE),0),0)</f>
        <v>0</v>
      </c>
      <c r="BA106" s="58">
        <f>IFERROR(IF($V106="BRAND.com",HLOOKUP($X106&amp;$Z106,PLANNING_FC!$DA$4:$DO$23,MATCH($W106,PLANNING_FC!$CZ$4:$CZ$23,0),FALSE),0),0)</f>
        <v>0</v>
      </c>
      <c r="BB106" s="883" t="str">
        <f>IF(V106="BRAND.com",IFERROR(HLOOKUP(X106&amp;Z106,PLANNING_FC!$AK$4:$AY$23,MATCH(W106,PLANNING_FC!$AJ$4:$AJ$23,0),FALSE)*1000,""),"")</f>
        <v/>
      </c>
      <c r="BC106" s="883" t="str">
        <f>IF(V106="BRAND.com",IFERROR(HLOOKUP(X106&amp;Z106,PLANNING_FC!$AK$27:$AY$46,MATCH(W106,PLANNING_FC!$AJ$27:$AJ$46,0),FALSE)*1000,""),"")</f>
        <v/>
      </c>
    </row>
    <row r="107" spans="1:55" x14ac:dyDescent="0.25">
      <c r="A107" s="509"/>
      <c r="B107" s="510"/>
      <c r="C107" s="509"/>
      <c r="D107" s="509"/>
      <c r="E107" s="509"/>
      <c r="F107" s="509"/>
      <c r="G107" s="509"/>
      <c r="H107" s="509"/>
      <c r="I107" s="512"/>
      <c r="J107" s="513"/>
      <c r="K107" s="879"/>
      <c r="L107" s="515"/>
      <c r="M107" s="516"/>
      <c r="N107" s="56">
        <f t="shared" si="52"/>
        <v>0</v>
      </c>
      <c r="O107" s="57">
        <f t="shared" si="53"/>
        <v>0</v>
      </c>
      <c r="P107" s="57">
        <f ca="1">IFERROR(IF(ISBLANK(H107),SUMIFS($AC:$AC,$V:$V,V107,$W:$W,W107,$X:$X,X107,$Y:$Y,Y107)*J107/(1-J107)*VLOOKUP(_xlfn.CONCAT(C107,D107,E107,TIME!$M$12,Z107),HIS_SALES!$B$2:$W$4859,20,FALSE),AC107*J107/(1-J107)),0)</f>
        <v>0</v>
      </c>
      <c r="Q107" s="541" t="str">
        <f t="shared" si="54"/>
        <v/>
      </c>
      <c r="R107" s="346" t="str">
        <f t="shared" si="35"/>
        <v>00000</v>
      </c>
      <c r="S107" s="344">
        <f t="shared" si="55"/>
        <v>0</v>
      </c>
      <c r="T107" s="345" t="str">
        <f t="shared" si="49"/>
        <v>000</v>
      </c>
      <c r="U107" s="345">
        <f t="shared" si="56"/>
        <v>0</v>
      </c>
      <c r="V107" s="345">
        <f t="shared" si="57"/>
        <v>0</v>
      </c>
      <c r="W107" s="345">
        <f t="shared" si="58"/>
        <v>0</v>
      </c>
      <c r="X107" s="345">
        <f t="shared" si="59"/>
        <v>0</v>
      </c>
      <c r="Y107" s="345">
        <f t="shared" si="60"/>
        <v>0</v>
      </c>
      <c r="Z107" s="345">
        <f>IF(Q107&lt;&gt;"",VLOOKUP(Y107,TIME!$R$21:$V$24,MATCH(FC_DATA!Q107,TIME!$R$20:$V$20,0),FALSE),H107)</f>
        <v>0</v>
      </c>
      <c r="AA107" s="345" t="str">
        <f>IFERROR(VLOOKUP(X107&amp;Z107,TIME!$A$12:$D$71,4,FALSE),"")</f>
        <v/>
      </c>
      <c r="AB107" s="592">
        <f t="shared" ca="1" si="42"/>
        <v>0</v>
      </c>
      <c r="AC107" s="593" t="e">
        <f ca="1">IF(ISBLANK(H107)=FALSE,IF(D107="BRAND.com",I107,IF(ISNA(VLOOKUP(_xlfn.CONCAT(X107,Z107),TIME!$M$40:$M$42,1,FALSE)),I107,VLOOKUP(_xlfn.CONCAT(D107,G107,H107),M_BUSAREA_FC!$AF$5:$AJ$10,5,FALSE)*HLOOKUP(_xlfn.CONCAT(F107,H107),ST_OVERVIEW!$G$99:$I$130,MATCH(_xlfn.CONCAT(D107,E107),ST_OVERVIEW!$F$99:$F$130,0),FALSE))),IF(D107="BRAND.com",VLOOKUP(_xlfn.CONCAT(C107,D107,E107,TIME!$F$1,Z107),HIS_SALES!$B$2:$V$4859,19,FALSE)*I107,VLOOKUP(_xlfn.CONCAT(D107,F107,G107),Q_BUSAREA_FC!$AE$5:$AI$12,5,FALSE)*HLOOKUP(_xlfn.CONCAT(FC_DATA!F107,FC_DATA!G107),LT_OVERVIEW!$I$99:$M$130,MATCH(_xlfn.CONCAT(D107,FC_DATA!E107),LT_OVERVIEW!$H$99:$H$130,0),FALSE)*IFERROR(VLOOKUP(_xlfn.CONCAT(C107,D107,E107,TIME!$F$1,Z107),HIS_SALES!$B$2:$V$4859,19,FALSE),0)))</f>
        <v>#N/A</v>
      </c>
      <c r="AD107" s="341">
        <f t="shared" ca="1" si="61"/>
        <v>0</v>
      </c>
      <c r="AE107" s="363" t="str">
        <f t="shared" si="62"/>
        <v/>
      </c>
      <c r="AF107" s="342" t="str">
        <f t="shared" si="63"/>
        <v/>
      </c>
      <c r="AG107" s="411" t="e">
        <f ca="1">VLOOKUP(_xlfn.CONCAT(U107,V107,W107,VLOOKUP(X107&amp;Y107,TIME!$L$27:$O$34,4,FALSE),Y107),HIS_SALES!$A$2:$R$5093,18,FALSE)</f>
        <v>#N/A</v>
      </c>
      <c r="AH107" s="412" t="e">
        <f ca="1">IFERROR(IF(AND(V107=V106,W107=W106),0.5*(AB107+AB106)*AG107,(VLOOKUP(_xlfn.CONCAT(U107,V107,W107,X107,VLOOKUP(Z107,TIME!$S$28:$T$39,2,FALSE)),FC_DATA!$R$2:$AB$5000,MATCH("GS_I_M",FC_DATA!$R$1:$AB$1,0),FALSE)+FC_DATA!AB107)*0.5*FC_DATA!AG107),NA())</f>
        <v>#N/A</v>
      </c>
      <c r="AI107" s="491" t="e">
        <f ca="1">IF(V107="PARTNER.com",AH107,IF(AND(V107=V106,W107=W106),(1-AVERAGE(AD106,AD107))*AH107,(1-AVERAGE(AD107,VLOOKUP(_xlfn.CONCAT(U107,V107,W107,X107,M_BRAND_FC!$F$6),FC_DATA!$R$2:$AD$5000,MATCH("DISCOUNT_%_M",FC_DATA!$R$1:$AD$1,0),FALSE)))*AH107))</f>
        <v>#N/A</v>
      </c>
      <c r="AJ107" s="412" t="str">
        <f t="shared" ca="1" si="46"/>
        <v/>
      </c>
      <c r="AK107" s="413" t="str">
        <f>IFERROR(AE107/(Q_BRAND_FC!$T$24+1),"")</f>
        <v/>
      </c>
      <c r="AL107" s="88" t="str">
        <f t="shared" ca="1" si="47"/>
        <v/>
      </c>
      <c r="AM107" s="414" t="str">
        <f t="shared" ca="1" si="48"/>
        <v/>
      </c>
      <c r="AN107" s="58">
        <f>IFERROR(IF($V107="BRAND.com",HLOOKUP($X107&amp;$Z107,NWC_FC_NOOS!$C$4:$Q$23,MATCH(W107,NWC_FC_NOOS!$B$4:$B$23,0),FALSE),0),0)</f>
        <v>0</v>
      </c>
      <c r="AO107" s="57">
        <f>IFERROR(IF($V107="BRAND.com",HLOOKUP($X107&amp;$Z107,NWC_FC_NOOS!$T$4:$AH$23,MATCH(W107,NWC_FC_NOOS!$S$4:$S$23,0),FALSE),0),0)</f>
        <v>0</v>
      </c>
      <c r="AP107" s="57">
        <f>IFERROR(IF($V107="BRAND.com",HLOOKUP($X107&amp;$Z107,NWC_FC_NOOS!$C$50:$U$69,MATCH(W107,NWC_FC_NOOS!$B$50:$B$69,0),FALSE),0),0)</f>
        <v>0</v>
      </c>
      <c r="AQ107" s="58">
        <f>IFERROR(IF($V107="BRAND.com",HLOOKUP($X107&amp;$Z107,'NWC_FC_NON-NOOS'!$C$4:$Q$23,MATCH(W107,'NWC_FC_NON-NOOS'!$B$4:$B$23,0),FALSE),0),0)</f>
        <v>0</v>
      </c>
      <c r="AR107" s="57">
        <f>IFERROR(IF($V107="BRAND.com",HLOOKUP($X107&amp;$Z107,'NWC_FC_NON-NOOS'!$T$4:$AH$23,MATCH(W107,'NWC_FC_NON-NOOS'!$S$4:$S$23,0),FALSE),0),0)</f>
        <v>0</v>
      </c>
      <c r="AS107" s="57">
        <f>IFERROR(IF($V107="BRAND.com",HLOOKUP($X107&amp;$Z107,'NWC_FC_NON-NOOS'!$C$50:$U$69,MATCH(W107,'NWC_FC_NON-NOOS'!$B$50:$B$69,0),FALSE),0),0)</f>
        <v>0</v>
      </c>
      <c r="AT107" s="57">
        <f t="shared" si="50"/>
        <v>0</v>
      </c>
      <c r="AU107" s="57">
        <f t="shared" si="51"/>
        <v>0</v>
      </c>
      <c r="AV107" s="58">
        <f>IFERROR(IF($V107="BRAND.com",HLOOKUP($X107&amp;$Z107,PLANNING_FC!$BB$27:$BP$46,MATCH($W107,PLANNING_FC!$BA$27:$BA$46,0),FALSE),0),0)</f>
        <v>0</v>
      </c>
      <c r="AW107" s="58">
        <f>IFERROR(IF($V107="BRAND.com",HLOOKUP($X107&amp;$Z107,PLANNING_FC!$BB$4:$BP$23,MATCH($W107,PLANNING_FC!$BA$4:$BA$23,0),FALSE),0),0)</f>
        <v>0</v>
      </c>
      <c r="AX107" s="58">
        <f>IFERROR(IF($V107="BRAND.com",HLOOKUP($X107&amp;$Z107,PLANNING_FC!$T$27:$AH$46,MATCH($W107,PLANNING_FC!$B$27:$B$46,0),FALSE),0),0)</f>
        <v>0</v>
      </c>
      <c r="AY107" s="58">
        <f>IFERROR(IF($V107="BRAND.com",HLOOKUP($X107&amp;$Z107,PLANNING_FC!$T$4:$AH$23,MATCH($W107,PLANNING_FC!$B$4:$B$23,0),FALSE),0),0)</f>
        <v>0</v>
      </c>
      <c r="AZ107" s="58">
        <f>IFERROR(IF($V107="BRAND.com",HLOOKUP($X107&amp;$Z107,PLANNING_FC!$DA$27:$DO$46,MATCH($W107,PLANNING_FC!$CZ$27:$CZ$46,0),FALSE),0),0)</f>
        <v>0</v>
      </c>
      <c r="BA107" s="58">
        <f>IFERROR(IF($V107="BRAND.com",HLOOKUP($X107&amp;$Z107,PLANNING_FC!$DA$4:$DO$23,MATCH($W107,PLANNING_FC!$CZ$4:$CZ$23,0),FALSE),0),0)</f>
        <v>0</v>
      </c>
      <c r="BB107" s="883" t="str">
        <f>IF(V107="BRAND.com",IFERROR(HLOOKUP(X107&amp;Z107,PLANNING_FC!$AK$4:$AY$23,MATCH(W107,PLANNING_FC!$AJ$4:$AJ$23,0),FALSE)*1000,""),"")</f>
        <v/>
      </c>
      <c r="BC107" s="883" t="str">
        <f>IF(V107="BRAND.com",IFERROR(HLOOKUP(X107&amp;Z107,PLANNING_FC!$AK$27:$AY$46,MATCH(W107,PLANNING_FC!$AJ$27:$AJ$46,0),FALSE)*1000,""),"")</f>
        <v/>
      </c>
    </row>
    <row r="108" spans="1:55" x14ac:dyDescent="0.25">
      <c r="A108" s="509"/>
      <c r="B108" s="510"/>
      <c r="C108" s="509"/>
      <c r="D108" s="509"/>
      <c r="E108" s="509"/>
      <c r="F108" s="509"/>
      <c r="G108" s="509"/>
      <c r="H108" s="509"/>
      <c r="I108" s="512"/>
      <c r="J108" s="513"/>
      <c r="K108" s="879"/>
      <c r="L108" s="515"/>
      <c r="M108" s="516"/>
      <c r="N108" s="56">
        <f t="shared" si="52"/>
        <v>0</v>
      </c>
      <c r="O108" s="57">
        <f t="shared" si="53"/>
        <v>0</v>
      </c>
      <c r="P108" s="57">
        <f ca="1">IFERROR(IF(ISBLANK(H108),SUMIFS($AC:$AC,$V:$V,V108,$W:$W,W108,$X:$X,X108,$Y:$Y,Y108)*J108/(1-J108)*VLOOKUP(_xlfn.CONCAT(C108,D108,E108,TIME!$M$12,Z108),HIS_SALES!$B$2:$W$4859,20,FALSE),AC108*J108/(1-J108)),0)</f>
        <v>0</v>
      </c>
      <c r="Q108" s="541" t="str">
        <f t="shared" si="54"/>
        <v/>
      </c>
      <c r="R108" s="346" t="str">
        <f t="shared" si="35"/>
        <v>00000</v>
      </c>
      <c r="S108" s="344">
        <f t="shared" si="55"/>
        <v>0</v>
      </c>
      <c r="T108" s="345" t="str">
        <f t="shared" si="49"/>
        <v>000</v>
      </c>
      <c r="U108" s="345">
        <f t="shared" si="56"/>
        <v>0</v>
      </c>
      <c r="V108" s="345">
        <f t="shared" si="57"/>
        <v>0</v>
      </c>
      <c r="W108" s="345">
        <f t="shared" si="58"/>
        <v>0</v>
      </c>
      <c r="X108" s="345">
        <f t="shared" si="59"/>
        <v>0</v>
      </c>
      <c r="Y108" s="345">
        <f t="shared" si="60"/>
        <v>0</v>
      </c>
      <c r="Z108" s="345">
        <f>IF(Q108&lt;&gt;"",VLOOKUP(Y108,TIME!$R$21:$V$24,MATCH(FC_DATA!Q108,TIME!$R$20:$V$20,0),FALSE),H108)</f>
        <v>0</v>
      </c>
      <c r="AA108" s="345" t="str">
        <f>IFERROR(VLOOKUP(X108&amp;Z108,TIME!$A$12:$D$71,4,FALSE),"")</f>
        <v/>
      </c>
      <c r="AB108" s="592">
        <f t="shared" ca="1" si="42"/>
        <v>0</v>
      </c>
      <c r="AC108" s="593" t="e">
        <f ca="1">IF(ISBLANK(H108)=FALSE,IF(D108="BRAND.com",I108,IF(ISNA(VLOOKUP(_xlfn.CONCAT(X108,Z108),TIME!$M$40:$M$42,1,FALSE)),I108,VLOOKUP(_xlfn.CONCAT(D108,G108,H108),M_BUSAREA_FC!$AF$5:$AJ$10,5,FALSE)*HLOOKUP(_xlfn.CONCAT(F108,H108),ST_OVERVIEW!$G$99:$I$130,MATCH(_xlfn.CONCAT(D108,E108),ST_OVERVIEW!$F$99:$F$130,0),FALSE))),IF(D108="BRAND.com",VLOOKUP(_xlfn.CONCAT(C108,D108,E108,TIME!$F$1,Z108),HIS_SALES!$B$2:$V$4859,19,FALSE)*I108,VLOOKUP(_xlfn.CONCAT(D108,F108,G108),Q_BUSAREA_FC!$AE$5:$AI$12,5,FALSE)*HLOOKUP(_xlfn.CONCAT(FC_DATA!F108,FC_DATA!G108),LT_OVERVIEW!$I$99:$M$130,MATCH(_xlfn.CONCAT(D108,FC_DATA!E108),LT_OVERVIEW!$H$99:$H$130,0),FALSE)*IFERROR(VLOOKUP(_xlfn.CONCAT(C108,D108,E108,TIME!$F$1,Z108),HIS_SALES!$B$2:$V$4859,19,FALSE),0)))</f>
        <v>#N/A</v>
      </c>
      <c r="AD108" s="341">
        <f t="shared" ca="1" si="61"/>
        <v>0</v>
      </c>
      <c r="AE108" s="363" t="str">
        <f t="shared" si="62"/>
        <v/>
      </c>
      <c r="AF108" s="342" t="str">
        <f t="shared" si="63"/>
        <v/>
      </c>
      <c r="AG108" s="411" t="e">
        <f ca="1">VLOOKUP(_xlfn.CONCAT(U108,V108,W108,VLOOKUP(X108&amp;Y108,TIME!$L$27:$O$34,4,FALSE),Y108),HIS_SALES!$A$2:$R$5093,18,FALSE)</f>
        <v>#N/A</v>
      </c>
      <c r="AH108" s="412" t="e">
        <f ca="1">IFERROR(IF(AND(V108=V107,W108=W107),0.5*(AB108+AB107)*AG108,(VLOOKUP(_xlfn.CONCAT(U108,V108,W108,X108,VLOOKUP(Z108,TIME!$S$28:$T$39,2,FALSE)),FC_DATA!$R$2:$AB$5000,MATCH("GS_I_M",FC_DATA!$R$1:$AB$1,0),FALSE)+FC_DATA!AB108)*0.5*FC_DATA!AG108),NA())</f>
        <v>#N/A</v>
      </c>
      <c r="AI108" s="491" t="e">
        <f ca="1">IF(V108="PARTNER.com",AH108,IF(AND(V108=V107,W108=W107),(1-AVERAGE(AD107,AD108))*AH108,(1-AVERAGE(AD108,VLOOKUP(_xlfn.CONCAT(U108,V108,W108,X108,M_BRAND_FC!$F$6),FC_DATA!$R$2:$AD$5000,MATCH("DISCOUNT_%_M",FC_DATA!$R$1:$AD$1,0),FALSE)))*AH108))</f>
        <v>#N/A</v>
      </c>
      <c r="AJ108" s="412" t="str">
        <f t="shared" ca="1" si="46"/>
        <v/>
      </c>
      <c r="AK108" s="413" t="str">
        <f>IFERROR(AE108/(Q_BRAND_FC!$T$24+1),"")</f>
        <v/>
      </c>
      <c r="AL108" s="88" t="str">
        <f t="shared" ca="1" si="47"/>
        <v/>
      </c>
      <c r="AM108" s="414" t="str">
        <f t="shared" ca="1" si="48"/>
        <v/>
      </c>
      <c r="AN108" s="58">
        <f>IFERROR(IF($V108="BRAND.com",HLOOKUP($X108&amp;$Z108,NWC_FC_NOOS!$C$4:$Q$23,MATCH(W108,NWC_FC_NOOS!$B$4:$B$23,0),FALSE),0),0)</f>
        <v>0</v>
      </c>
      <c r="AO108" s="57">
        <f>IFERROR(IF($V108="BRAND.com",HLOOKUP($X108&amp;$Z108,NWC_FC_NOOS!$T$4:$AH$23,MATCH(W108,NWC_FC_NOOS!$S$4:$S$23,0),FALSE),0),0)</f>
        <v>0</v>
      </c>
      <c r="AP108" s="57">
        <f>IFERROR(IF($V108="BRAND.com",HLOOKUP($X108&amp;$Z108,NWC_FC_NOOS!$C$50:$U$69,MATCH(W108,NWC_FC_NOOS!$B$50:$B$69,0),FALSE),0),0)</f>
        <v>0</v>
      </c>
      <c r="AQ108" s="58">
        <f>IFERROR(IF($V108="BRAND.com",HLOOKUP($X108&amp;$Z108,'NWC_FC_NON-NOOS'!$C$4:$Q$23,MATCH(W108,'NWC_FC_NON-NOOS'!$B$4:$B$23,0),FALSE),0),0)</f>
        <v>0</v>
      </c>
      <c r="AR108" s="57">
        <f>IFERROR(IF($V108="BRAND.com",HLOOKUP($X108&amp;$Z108,'NWC_FC_NON-NOOS'!$T$4:$AH$23,MATCH(W108,'NWC_FC_NON-NOOS'!$S$4:$S$23,0),FALSE),0),0)</f>
        <v>0</v>
      </c>
      <c r="AS108" s="57">
        <f>IFERROR(IF($V108="BRAND.com",HLOOKUP($X108&amp;$Z108,'NWC_FC_NON-NOOS'!$C$50:$U$69,MATCH(W108,'NWC_FC_NON-NOOS'!$B$50:$B$69,0),FALSE),0),0)</f>
        <v>0</v>
      </c>
      <c r="AT108" s="57">
        <f t="shared" si="50"/>
        <v>0</v>
      </c>
      <c r="AU108" s="57">
        <f t="shared" si="51"/>
        <v>0</v>
      </c>
      <c r="AV108" s="58">
        <f>IFERROR(IF($V108="BRAND.com",HLOOKUP($X108&amp;$Z108,PLANNING_FC!$BB$27:$BP$46,MATCH($W108,PLANNING_FC!$BA$27:$BA$46,0),FALSE),0),0)</f>
        <v>0</v>
      </c>
      <c r="AW108" s="58">
        <f>IFERROR(IF($V108="BRAND.com",HLOOKUP($X108&amp;$Z108,PLANNING_FC!$BB$4:$BP$23,MATCH($W108,PLANNING_FC!$BA$4:$BA$23,0),FALSE),0),0)</f>
        <v>0</v>
      </c>
      <c r="AX108" s="58">
        <f>IFERROR(IF($V108="BRAND.com",HLOOKUP($X108&amp;$Z108,PLANNING_FC!$T$27:$AH$46,MATCH($W108,PLANNING_FC!$B$27:$B$46,0),FALSE),0),0)</f>
        <v>0</v>
      </c>
      <c r="AY108" s="58">
        <f>IFERROR(IF($V108="BRAND.com",HLOOKUP($X108&amp;$Z108,PLANNING_FC!$T$4:$AH$23,MATCH($W108,PLANNING_FC!$B$4:$B$23,0),FALSE),0),0)</f>
        <v>0</v>
      </c>
      <c r="AZ108" s="58">
        <f>IFERROR(IF($V108="BRAND.com",HLOOKUP($X108&amp;$Z108,PLANNING_FC!$DA$27:$DO$46,MATCH($W108,PLANNING_FC!$CZ$27:$CZ$46,0),FALSE),0),0)</f>
        <v>0</v>
      </c>
      <c r="BA108" s="58">
        <f>IFERROR(IF($V108="BRAND.com",HLOOKUP($X108&amp;$Z108,PLANNING_FC!$DA$4:$DO$23,MATCH($W108,PLANNING_FC!$CZ$4:$CZ$23,0),FALSE),0),0)</f>
        <v>0</v>
      </c>
      <c r="BB108" s="883" t="str">
        <f>IF(V108="BRAND.com",IFERROR(HLOOKUP(X108&amp;Z108,PLANNING_FC!$AK$4:$AY$23,MATCH(W108,PLANNING_FC!$AJ$4:$AJ$23,0),FALSE)*1000,""),"")</f>
        <v/>
      </c>
      <c r="BC108" s="883" t="str">
        <f>IF(V108="BRAND.com",IFERROR(HLOOKUP(X108&amp;Z108,PLANNING_FC!$AK$27:$AY$46,MATCH(W108,PLANNING_FC!$AJ$27:$AJ$46,0),FALSE)*1000,""),"")</f>
        <v/>
      </c>
    </row>
    <row r="109" spans="1:55" x14ac:dyDescent="0.25">
      <c r="A109" s="509"/>
      <c r="B109" s="510"/>
      <c r="C109" s="509"/>
      <c r="D109" s="509"/>
      <c r="E109" s="509"/>
      <c r="F109" s="509"/>
      <c r="G109" s="509"/>
      <c r="H109" s="509"/>
      <c r="I109" s="512"/>
      <c r="J109" s="513"/>
      <c r="K109" s="879"/>
      <c r="L109" s="515"/>
      <c r="M109" s="516"/>
      <c r="N109" s="56">
        <f t="shared" si="52"/>
        <v>0</v>
      </c>
      <c r="O109" s="57">
        <f t="shared" si="53"/>
        <v>0</v>
      </c>
      <c r="P109" s="57">
        <f ca="1">IFERROR(IF(ISBLANK(H109),SUMIFS($AC:$AC,$V:$V,V109,$W:$W,W109,$X:$X,X109,$Y:$Y,Y109)*J109/(1-J109)*VLOOKUP(_xlfn.CONCAT(C109,D109,E109,TIME!$M$12,Z109),HIS_SALES!$B$2:$W$4859,20,FALSE),AC109*J109/(1-J109)),0)</f>
        <v>0</v>
      </c>
      <c r="Q109" s="541" t="str">
        <f t="shared" si="54"/>
        <v/>
      </c>
      <c r="R109" s="346" t="str">
        <f t="shared" si="35"/>
        <v>00000</v>
      </c>
      <c r="S109" s="344">
        <f t="shared" si="55"/>
        <v>0</v>
      </c>
      <c r="T109" s="345" t="str">
        <f t="shared" si="49"/>
        <v>000</v>
      </c>
      <c r="U109" s="345">
        <f t="shared" si="56"/>
        <v>0</v>
      </c>
      <c r="V109" s="345">
        <f t="shared" si="57"/>
        <v>0</v>
      </c>
      <c r="W109" s="345">
        <f t="shared" si="58"/>
        <v>0</v>
      </c>
      <c r="X109" s="345">
        <f t="shared" si="59"/>
        <v>0</v>
      </c>
      <c r="Y109" s="345">
        <f t="shared" si="60"/>
        <v>0</v>
      </c>
      <c r="Z109" s="345">
        <f>IF(Q109&lt;&gt;"",VLOOKUP(Y109,TIME!$R$21:$V$24,MATCH(FC_DATA!Q109,TIME!$R$20:$V$20,0),FALSE),H109)</f>
        <v>0</v>
      </c>
      <c r="AA109" s="345" t="str">
        <f>IFERROR(VLOOKUP(X109&amp;Z109,TIME!$A$12:$D$71,4,FALSE),"")</f>
        <v/>
      </c>
      <c r="AB109" s="592">
        <f t="shared" ca="1" si="42"/>
        <v>0</v>
      </c>
      <c r="AC109" s="593" t="e">
        <f ca="1">IF(ISBLANK(H109)=FALSE,IF(D109="BRAND.com",I109,IF(ISNA(VLOOKUP(_xlfn.CONCAT(X109,Z109),TIME!$M$40:$M$42,1,FALSE)),I109,VLOOKUP(_xlfn.CONCAT(D109,G109,H109),M_BUSAREA_FC!$AF$5:$AJ$10,5,FALSE)*HLOOKUP(_xlfn.CONCAT(F109,H109),ST_OVERVIEW!$G$99:$I$130,MATCH(_xlfn.CONCAT(D109,E109),ST_OVERVIEW!$F$99:$F$130,0),FALSE))),IF(D109="BRAND.com",VLOOKUP(_xlfn.CONCAT(C109,D109,E109,TIME!$F$1,Z109),HIS_SALES!$B$2:$V$4859,19,FALSE)*I109,VLOOKUP(_xlfn.CONCAT(D109,F109,G109),Q_BUSAREA_FC!$AE$5:$AI$12,5,FALSE)*HLOOKUP(_xlfn.CONCAT(FC_DATA!F109,FC_DATA!G109),LT_OVERVIEW!$I$99:$M$130,MATCH(_xlfn.CONCAT(D109,FC_DATA!E109),LT_OVERVIEW!$H$99:$H$130,0),FALSE)*IFERROR(VLOOKUP(_xlfn.CONCAT(C109,D109,E109,TIME!$F$1,Z109),HIS_SALES!$B$2:$V$4859,19,FALSE),0)))</f>
        <v>#N/A</v>
      </c>
      <c r="AD109" s="341">
        <f t="shared" ca="1" si="61"/>
        <v>0</v>
      </c>
      <c r="AE109" s="363" t="str">
        <f t="shared" si="62"/>
        <v/>
      </c>
      <c r="AF109" s="342" t="str">
        <f t="shared" si="63"/>
        <v/>
      </c>
      <c r="AG109" s="411" t="e">
        <f ca="1">VLOOKUP(_xlfn.CONCAT(U109,V109,W109,VLOOKUP(X109&amp;Y109,TIME!$L$27:$O$34,4,FALSE),Y109),HIS_SALES!$A$2:$R$5093,18,FALSE)</f>
        <v>#N/A</v>
      </c>
      <c r="AH109" s="412" t="e">
        <f ca="1">IFERROR(IF(AND(V109=V108,W109=W108),0.5*(AB109+AB108)*AG109,(VLOOKUP(_xlfn.CONCAT(U109,V109,W109,X109,VLOOKUP(Z109,TIME!$S$28:$T$39,2,FALSE)),FC_DATA!$R$2:$AB$5000,MATCH("GS_I_M",FC_DATA!$R$1:$AB$1,0),FALSE)+FC_DATA!AB109)*0.5*FC_DATA!AG109),NA())</f>
        <v>#N/A</v>
      </c>
      <c r="AI109" s="491" t="e">
        <f ca="1">IF(V109="PARTNER.com",AH109,IF(AND(V109=V108,W109=W108),(1-AVERAGE(AD108,AD109))*AH109,(1-AVERAGE(AD109,VLOOKUP(_xlfn.CONCAT(U109,V109,W109,X109,M_BRAND_FC!$F$6),FC_DATA!$R$2:$AD$5000,MATCH("DISCOUNT_%_M",FC_DATA!$R$1:$AD$1,0),FALSE)))*AH109))</f>
        <v>#N/A</v>
      </c>
      <c r="AJ109" s="412" t="str">
        <f t="shared" ca="1" si="46"/>
        <v/>
      </c>
      <c r="AK109" s="413" t="str">
        <f>IFERROR(AE109/(Q_BRAND_FC!$T$24+1),"")</f>
        <v/>
      </c>
      <c r="AL109" s="88" t="str">
        <f t="shared" ca="1" si="47"/>
        <v/>
      </c>
      <c r="AM109" s="414" t="str">
        <f t="shared" ca="1" si="48"/>
        <v/>
      </c>
      <c r="AN109" s="58">
        <f>IFERROR(IF($V109="BRAND.com",HLOOKUP($X109&amp;$Z109,NWC_FC_NOOS!$C$4:$Q$23,MATCH(W109,NWC_FC_NOOS!$B$4:$B$23,0),FALSE),0),0)</f>
        <v>0</v>
      </c>
      <c r="AO109" s="57">
        <f>IFERROR(IF($V109="BRAND.com",HLOOKUP($X109&amp;$Z109,NWC_FC_NOOS!$T$4:$AH$23,MATCH(W109,NWC_FC_NOOS!$S$4:$S$23,0),FALSE),0),0)</f>
        <v>0</v>
      </c>
      <c r="AP109" s="57">
        <f>IFERROR(IF($V109="BRAND.com",HLOOKUP($X109&amp;$Z109,NWC_FC_NOOS!$C$50:$U$69,MATCH(W109,NWC_FC_NOOS!$B$50:$B$69,0),FALSE),0),0)</f>
        <v>0</v>
      </c>
      <c r="AQ109" s="58">
        <f>IFERROR(IF($V109="BRAND.com",HLOOKUP($X109&amp;$Z109,'NWC_FC_NON-NOOS'!$C$4:$Q$23,MATCH(W109,'NWC_FC_NON-NOOS'!$B$4:$B$23,0),FALSE),0),0)</f>
        <v>0</v>
      </c>
      <c r="AR109" s="57">
        <f>IFERROR(IF($V109="BRAND.com",HLOOKUP($X109&amp;$Z109,'NWC_FC_NON-NOOS'!$T$4:$AH$23,MATCH(W109,'NWC_FC_NON-NOOS'!$S$4:$S$23,0),FALSE),0),0)</f>
        <v>0</v>
      </c>
      <c r="AS109" s="57">
        <f>IFERROR(IF($V109="BRAND.com",HLOOKUP($X109&amp;$Z109,'NWC_FC_NON-NOOS'!$C$50:$U$69,MATCH(W109,'NWC_FC_NON-NOOS'!$B$50:$B$69,0),FALSE),0),0)</f>
        <v>0</v>
      </c>
      <c r="AT109" s="57">
        <f t="shared" si="50"/>
        <v>0</v>
      </c>
      <c r="AU109" s="57">
        <f t="shared" si="51"/>
        <v>0</v>
      </c>
      <c r="AV109" s="58">
        <f>IFERROR(IF($V109="BRAND.com",HLOOKUP($X109&amp;$Z109,PLANNING_FC!$BB$27:$BP$46,MATCH($W109,PLANNING_FC!$BA$27:$BA$46,0),FALSE),0),0)</f>
        <v>0</v>
      </c>
      <c r="AW109" s="58">
        <f>IFERROR(IF($V109="BRAND.com",HLOOKUP($X109&amp;$Z109,PLANNING_FC!$BB$4:$BP$23,MATCH($W109,PLANNING_FC!$BA$4:$BA$23,0),FALSE),0),0)</f>
        <v>0</v>
      </c>
      <c r="AX109" s="58">
        <f>IFERROR(IF($V109="BRAND.com",HLOOKUP($X109&amp;$Z109,PLANNING_FC!$T$27:$AH$46,MATCH($W109,PLANNING_FC!$B$27:$B$46,0),FALSE),0),0)</f>
        <v>0</v>
      </c>
      <c r="AY109" s="58">
        <f>IFERROR(IF($V109="BRAND.com",HLOOKUP($X109&amp;$Z109,PLANNING_FC!$T$4:$AH$23,MATCH($W109,PLANNING_FC!$B$4:$B$23,0),FALSE),0),0)</f>
        <v>0</v>
      </c>
      <c r="AZ109" s="58">
        <f>IFERROR(IF($V109="BRAND.com",HLOOKUP($X109&amp;$Z109,PLANNING_FC!$DA$27:$DO$46,MATCH($W109,PLANNING_FC!$CZ$27:$CZ$46,0),FALSE),0),0)</f>
        <v>0</v>
      </c>
      <c r="BA109" s="58">
        <f>IFERROR(IF($V109="BRAND.com",HLOOKUP($X109&amp;$Z109,PLANNING_FC!$DA$4:$DO$23,MATCH($W109,PLANNING_FC!$CZ$4:$CZ$23,0),FALSE),0),0)</f>
        <v>0</v>
      </c>
      <c r="BB109" s="883" t="str">
        <f>IF(V109="BRAND.com",IFERROR(HLOOKUP(X109&amp;Z109,PLANNING_FC!$AK$4:$AY$23,MATCH(W109,PLANNING_FC!$AJ$4:$AJ$23,0),FALSE)*1000,""),"")</f>
        <v/>
      </c>
      <c r="BC109" s="883" t="str">
        <f>IF(V109="BRAND.com",IFERROR(HLOOKUP(X109&amp;Z109,PLANNING_FC!$AK$27:$AY$46,MATCH(W109,PLANNING_FC!$AJ$27:$AJ$46,0),FALSE)*1000,""),"")</f>
        <v/>
      </c>
    </row>
    <row r="110" spans="1:55" x14ac:dyDescent="0.25">
      <c r="A110" s="509"/>
      <c r="B110" s="510"/>
      <c r="C110" s="509"/>
      <c r="D110" s="511"/>
      <c r="E110" s="509"/>
      <c r="F110" s="509"/>
      <c r="G110" s="509"/>
      <c r="H110" s="509"/>
      <c r="I110" s="512"/>
      <c r="J110" s="513"/>
      <c r="K110" s="879"/>
      <c r="L110" s="515"/>
      <c r="M110" s="516"/>
      <c r="N110" s="56">
        <f t="shared" si="52"/>
        <v>0</v>
      </c>
      <c r="O110" s="57">
        <f t="shared" si="53"/>
        <v>0</v>
      </c>
      <c r="P110" s="57">
        <f ca="1">IFERROR(IF(ISBLANK(H110),SUMIFS($AC:$AC,$V:$V,V110,$W:$W,W110,$X:$X,X110,$Y:$Y,Y110)*J110/(1-J110)*VLOOKUP(_xlfn.CONCAT(C110,D110,E110,TIME!$M$12,Z110),HIS_SALES!$B$2:$W$4859,20,FALSE),AC110*J110/(1-J110)),0)</f>
        <v>0</v>
      </c>
      <c r="Q110" s="541" t="str">
        <f t="shared" si="54"/>
        <v/>
      </c>
      <c r="R110" s="346" t="str">
        <f t="shared" si="35"/>
        <v>00000</v>
      </c>
      <c r="S110" s="344">
        <f t="shared" si="55"/>
        <v>0</v>
      </c>
      <c r="T110" s="345" t="str">
        <f t="shared" si="49"/>
        <v>000</v>
      </c>
      <c r="U110" s="345">
        <f t="shared" si="56"/>
        <v>0</v>
      </c>
      <c r="V110" s="345">
        <f t="shared" si="57"/>
        <v>0</v>
      </c>
      <c r="W110" s="345">
        <f t="shared" si="58"/>
        <v>0</v>
      </c>
      <c r="X110" s="345">
        <f t="shared" si="59"/>
        <v>0</v>
      </c>
      <c r="Y110" s="345">
        <f t="shared" si="60"/>
        <v>0</v>
      </c>
      <c r="Z110" s="345">
        <f>IF(Q110&lt;&gt;"",VLOOKUP(Y110,TIME!$R$21:$V$24,MATCH(FC_DATA!Q110,TIME!$R$20:$V$20,0),FALSE),H110)</f>
        <v>0</v>
      </c>
      <c r="AA110" s="345" t="str">
        <f>IFERROR(VLOOKUP(X110&amp;Z110,TIME!$A$12:$D$71,4,FALSE),"")</f>
        <v/>
      </c>
      <c r="AB110" s="592">
        <f t="shared" ca="1" si="42"/>
        <v>0</v>
      </c>
      <c r="AC110" s="593" t="e">
        <f ca="1">IF(ISBLANK(H110)=FALSE,IF(D110="BRAND.com",I110,IF(ISNA(VLOOKUP(_xlfn.CONCAT(X110,Z110),TIME!$M$40:$M$42,1,FALSE)),I110,VLOOKUP(_xlfn.CONCAT(D110,G110,H110),M_BUSAREA_FC!$AF$5:$AJ$10,5,FALSE)*HLOOKUP(_xlfn.CONCAT(F110,H110),ST_OVERVIEW!$G$99:$I$130,MATCH(_xlfn.CONCAT(D110,E110),ST_OVERVIEW!$F$99:$F$130,0),FALSE))),IF(D110="BRAND.com",VLOOKUP(_xlfn.CONCAT(C110,D110,E110,TIME!$F$1,Z110),HIS_SALES!$B$2:$V$4859,19,FALSE)*I110,VLOOKUP(_xlfn.CONCAT(D110,F110,G110),Q_BUSAREA_FC!$AE$5:$AI$12,5,FALSE)*HLOOKUP(_xlfn.CONCAT(FC_DATA!F110,FC_DATA!G110),LT_OVERVIEW!$I$99:$M$130,MATCH(_xlfn.CONCAT(D110,FC_DATA!E110),LT_OVERVIEW!$H$99:$H$130,0),FALSE)*IFERROR(VLOOKUP(_xlfn.CONCAT(C110,D110,E110,TIME!$F$1,Z110),HIS_SALES!$B$2:$V$4859,19,FALSE),0)))</f>
        <v>#N/A</v>
      </c>
      <c r="AD110" s="341">
        <f t="shared" ca="1" si="61"/>
        <v>0</v>
      </c>
      <c r="AE110" s="363" t="str">
        <f t="shared" si="62"/>
        <v/>
      </c>
      <c r="AF110" s="342" t="str">
        <f t="shared" si="63"/>
        <v/>
      </c>
      <c r="AG110" s="411" t="e">
        <f ca="1">VLOOKUP(_xlfn.CONCAT(U110,V110,W110,VLOOKUP(X110&amp;Y110,TIME!$L$27:$O$34,4,FALSE),Y110),HIS_SALES!$A$2:$R$5093,18,FALSE)</f>
        <v>#N/A</v>
      </c>
      <c r="AH110" s="412" t="e">
        <f ca="1">IFERROR(IF(AND(V110=V109,W110=W109),0.5*(AB110+AB109)*AG110,(VLOOKUP(_xlfn.CONCAT(U110,V110,W110,X110,VLOOKUP(Z110,TIME!$S$28:$T$39,2,FALSE)),FC_DATA!$R$2:$AB$5000,MATCH("GS_I_M",FC_DATA!$R$1:$AB$1,0),FALSE)+FC_DATA!AB110)*0.5*FC_DATA!AG110),NA())</f>
        <v>#N/A</v>
      </c>
      <c r="AI110" s="491" t="e">
        <f ca="1">IF(V110="PARTNER.com",AH110,IF(AND(V110=V109,W110=W109),(1-AVERAGE(AD109,AD110))*AH110,(1-AVERAGE(AD110,VLOOKUP(_xlfn.CONCAT(U110,V110,W110,X110,M_BRAND_FC!$F$6),FC_DATA!$R$2:$AD$5000,MATCH("DISCOUNT_%_M",FC_DATA!$R$1:$AD$1,0),FALSE)))*AH110))</f>
        <v>#N/A</v>
      </c>
      <c r="AJ110" s="412" t="str">
        <f t="shared" ca="1" si="46"/>
        <v/>
      </c>
      <c r="AK110" s="413" t="str">
        <f>IFERROR(AE110/(Q_BRAND_FC!$T$24+1),"")</f>
        <v/>
      </c>
      <c r="AL110" s="88" t="str">
        <f t="shared" ca="1" si="47"/>
        <v/>
      </c>
      <c r="AM110" s="414" t="str">
        <f t="shared" ca="1" si="48"/>
        <v/>
      </c>
      <c r="AN110" s="58">
        <f>IFERROR(IF($V110="BRAND.com",HLOOKUP($X110&amp;$Z110,NWC_FC_NOOS!$C$4:$Q$23,MATCH(W110,NWC_FC_NOOS!$B$4:$B$23,0),FALSE),0),0)</f>
        <v>0</v>
      </c>
      <c r="AO110" s="57">
        <f>IFERROR(IF($V110="BRAND.com",HLOOKUP($X110&amp;$Z110,NWC_FC_NOOS!$T$4:$AH$23,MATCH(W110,NWC_FC_NOOS!$S$4:$S$23,0),FALSE),0),0)</f>
        <v>0</v>
      </c>
      <c r="AP110" s="57">
        <f>IFERROR(IF($V110="BRAND.com",HLOOKUP($X110&amp;$Z110,NWC_FC_NOOS!$C$50:$U$69,MATCH(W110,NWC_FC_NOOS!$B$50:$B$69,0),FALSE),0),0)</f>
        <v>0</v>
      </c>
      <c r="AQ110" s="58">
        <f>IFERROR(IF($V110="BRAND.com",HLOOKUP($X110&amp;$Z110,'NWC_FC_NON-NOOS'!$C$4:$Q$23,MATCH(W110,'NWC_FC_NON-NOOS'!$B$4:$B$23,0),FALSE),0),0)</f>
        <v>0</v>
      </c>
      <c r="AR110" s="57">
        <f>IFERROR(IF($V110="BRAND.com",HLOOKUP($X110&amp;$Z110,'NWC_FC_NON-NOOS'!$T$4:$AH$23,MATCH(W110,'NWC_FC_NON-NOOS'!$S$4:$S$23,0),FALSE),0),0)</f>
        <v>0</v>
      </c>
      <c r="AS110" s="57">
        <f>IFERROR(IF($V110="BRAND.com",HLOOKUP($X110&amp;$Z110,'NWC_FC_NON-NOOS'!$C$50:$U$69,MATCH(W110,'NWC_FC_NON-NOOS'!$B$50:$B$69,0),FALSE),0),0)</f>
        <v>0</v>
      </c>
      <c r="AT110" s="57">
        <f t="shared" si="50"/>
        <v>0</v>
      </c>
      <c r="AU110" s="57">
        <f t="shared" si="51"/>
        <v>0</v>
      </c>
      <c r="AV110" s="58">
        <f>IFERROR(IF($V110="BRAND.com",HLOOKUP($X110&amp;$Z110,PLANNING_FC!$BB$27:$BP$46,MATCH($W110,PLANNING_FC!$BA$27:$BA$46,0),FALSE),0),0)</f>
        <v>0</v>
      </c>
      <c r="AW110" s="58">
        <f>IFERROR(IF($V110="BRAND.com",HLOOKUP($X110&amp;$Z110,PLANNING_FC!$BB$4:$BP$23,MATCH($W110,PLANNING_FC!$BA$4:$BA$23,0),FALSE),0),0)</f>
        <v>0</v>
      </c>
      <c r="AX110" s="58">
        <f>IFERROR(IF($V110="BRAND.com",HLOOKUP($X110&amp;$Z110,PLANNING_FC!$T$27:$AH$46,MATCH($W110,PLANNING_FC!$B$27:$B$46,0),FALSE),0),0)</f>
        <v>0</v>
      </c>
      <c r="AY110" s="58">
        <f>IFERROR(IF($V110="BRAND.com",HLOOKUP($X110&amp;$Z110,PLANNING_FC!$T$4:$AH$23,MATCH($W110,PLANNING_FC!$B$4:$B$23,0),FALSE),0),0)</f>
        <v>0</v>
      </c>
      <c r="AZ110" s="58">
        <f>IFERROR(IF($V110="BRAND.com",HLOOKUP($X110&amp;$Z110,PLANNING_FC!$DA$27:$DO$46,MATCH($W110,PLANNING_FC!$CZ$27:$CZ$46,0),FALSE),0),0)</f>
        <v>0</v>
      </c>
      <c r="BA110" s="58">
        <f>IFERROR(IF($V110="BRAND.com",HLOOKUP($X110&amp;$Z110,PLANNING_FC!$DA$4:$DO$23,MATCH($W110,PLANNING_FC!$CZ$4:$CZ$23,0),FALSE),0),0)</f>
        <v>0</v>
      </c>
      <c r="BB110" s="883" t="str">
        <f>IF(V110="BRAND.com",IFERROR(HLOOKUP(X110&amp;Z110,PLANNING_FC!$AK$4:$AY$23,MATCH(W110,PLANNING_FC!$AJ$4:$AJ$23,0),FALSE)*1000,""),"")</f>
        <v/>
      </c>
      <c r="BC110" s="883" t="str">
        <f>IF(V110="BRAND.com",IFERROR(HLOOKUP(X110&amp;Z110,PLANNING_FC!$AK$27:$AY$46,MATCH(W110,PLANNING_FC!$AJ$27:$AJ$46,0),FALSE)*1000,""),"")</f>
        <v/>
      </c>
    </row>
    <row r="111" spans="1:55" x14ac:dyDescent="0.25">
      <c r="A111" s="509"/>
      <c r="B111" s="510"/>
      <c r="C111" s="509"/>
      <c r="D111" s="511"/>
      <c r="E111" s="509"/>
      <c r="F111" s="509"/>
      <c r="G111" s="509"/>
      <c r="H111" s="509"/>
      <c r="I111" s="512"/>
      <c r="J111" s="513"/>
      <c r="K111" s="879"/>
      <c r="L111" s="515"/>
      <c r="M111" s="516"/>
      <c r="N111" s="56">
        <f t="shared" si="52"/>
        <v>0</v>
      </c>
      <c r="O111" s="57">
        <f t="shared" si="53"/>
        <v>0</v>
      </c>
      <c r="P111" s="57">
        <f ca="1">IFERROR(IF(ISBLANK(H111),SUMIFS($AC:$AC,$V:$V,V111,$W:$W,W111,$X:$X,X111,$Y:$Y,Y111)*J111/(1-J111)*VLOOKUP(_xlfn.CONCAT(C111,D111,E111,TIME!$M$12,Z111),HIS_SALES!$B$2:$W$4859,20,FALSE),AC111*J111/(1-J111)),0)</f>
        <v>0</v>
      </c>
      <c r="Q111" s="541" t="str">
        <f t="shared" si="54"/>
        <v/>
      </c>
      <c r="R111" s="346" t="str">
        <f t="shared" si="35"/>
        <v>00000</v>
      </c>
      <c r="S111" s="344">
        <f t="shared" si="55"/>
        <v>0</v>
      </c>
      <c r="T111" s="345" t="str">
        <f t="shared" si="49"/>
        <v>000</v>
      </c>
      <c r="U111" s="345">
        <f t="shared" si="56"/>
        <v>0</v>
      </c>
      <c r="V111" s="345">
        <f t="shared" si="57"/>
        <v>0</v>
      </c>
      <c r="W111" s="345">
        <f t="shared" si="58"/>
        <v>0</v>
      </c>
      <c r="X111" s="345">
        <f t="shared" si="59"/>
        <v>0</v>
      </c>
      <c r="Y111" s="345">
        <f t="shared" si="60"/>
        <v>0</v>
      </c>
      <c r="Z111" s="345">
        <f>IF(Q111&lt;&gt;"",VLOOKUP(Y111,TIME!$R$21:$V$24,MATCH(FC_DATA!Q111,TIME!$R$20:$V$20,0),FALSE),H111)</f>
        <v>0</v>
      </c>
      <c r="AA111" s="345" t="str">
        <f>IFERROR(VLOOKUP(X111&amp;Z111,TIME!$A$12:$D$71,4,FALSE),"")</f>
        <v/>
      </c>
      <c r="AB111" s="592">
        <f t="shared" ca="1" si="42"/>
        <v>0</v>
      </c>
      <c r="AC111" s="593" t="e">
        <f ca="1">IF(ISBLANK(H111)=FALSE,IF(D111="BRAND.com",I111,IF(ISNA(VLOOKUP(_xlfn.CONCAT(X111,Z111),TIME!$M$40:$M$42,1,FALSE)),I111,VLOOKUP(_xlfn.CONCAT(D111,G111,H111),M_BUSAREA_FC!$AF$5:$AJ$10,5,FALSE)*HLOOKUP(_xlfn.CONCAT(F111,H111),ST_OVERVIEW!$G$99:$I$130,MATCH(_xlfn.CONCAT(D111,E111),ST_OVERVIEW!$F$99:$F$130,0),FALSE))),IF(D111="BRAND.com",VLOOKUP(_xlfn.CONCAT(C111,D111,E111,TIME!$F$1,Z111),HIS_SALES!$B$2:$V$4859,19,FALSE)*I111,VLOOKUP(_xlfn.CONCAT(D111,F111,G111),Q_BUSAREA_FC!$AE$5:$AI$12,5,FALSE)*HLOOKUP(_xlfn.CONCAT(FC_DATA!F111,FC_DATA!G111),LT_OVERVIEW!$I$99:$M$130,MATCH(_xlfn.CONCAT(D111,FC_DATA!E111),LT_OVERVIEW!$H$99:$H$130,0),FALSE)*IFERROR(VLOOKUP(_xlfn.CONCAT(C111,D111,E111,TIME!$F$1,Z111),HIS_SALES!$B$2:$V$4859,19,FALSE),0)))</f>
        <v>#N/A</v>
      </c>
      <c r="AD111" s="341">
        <f t="shared" ca="1" si="61"/>
        <v>0</v>
      </c>
      <c r="AE111" s="363" t="str">
        <f t="shared" si="62"/>
        <v/>
      </c>
      <c r="AF111" s="342" t="str">
        <f t="shared" si="63"/>
        <v/>
      </c>
      <c r="AG111" s="411" t="e">
        <f ca="1">VLOOKUP(_xlfn.CONCAT(U111,V111,W111,VLOOKUP(X111&amp;Y111,TIME!$L$27:$O$34,4,FALSE),Y111),HIS_SALES!$A$2:$R$5093,18,FALSE)</f>
        <v>#N/A</v>
      </c>
      <c r="AH111" s="412" t="e">
        <f ca="1">IFERROR(IF(AND(V111=V110,W111=W110),0.5*(AB111+AB110)*AG111,(VLOOKUP(_xlfn.CONCAT(U111,V111,W111,X111,VLOOKUP(Z111,TIME!$S$28:$T$39,2,FALSE)),FC_DATA!$R$2:$AB$5000,MATCH("GS_I_M",FC_DATA!$R$1:$AB$1,0),FALSE)+FC_DATA!AB111)*0.5*FC_DATA!AG111),NA())</f>
        <v>#N/A</v>
      </c>
      <c r="AI111" s="491" t="e">
        <f ca="1">IF(V111="PARTNER.com",AH111,IF(AND(V111=V110,W111=W110),(1-AVERAGE(AD110,AD111))*AH111,(1-AVERAGE(AD111,VLOOKUP(_xlfn.CONCAT(U111,V111,W111,X111,M_BRAND_FC!$F$6),FC_DATA!$R$2:$AD$5000,MATCH("DISCOUNT_%_M",FC_DATA!$R$1:$AD$1,0),FALSE)))*AH111))</f>
        <v>#N/A</v>
      </c>
      <c r="AJ111" s="412" t="str">
        <f t="shared" ca="1" si="46"/>
        <v/>
      </c>
      <c r="AK111" s="413" t="str">
        <f>IFERROR(AE111/(Q_BRAND_FC!$T$24+1),"")</f>
        <v/>
      </c>
      <c r="AL111" s="88" t="str">
        <f t="shared" ca="1" si="47"/>
        <v/>
      </c>
      <c r="AM111" s="414" t="str">
        <f t="shared" ca="1" si="48"/>
        <v/>
      </c>
      <c r="AN111" s="58">
        <f>IFERROR(IF($V111="BRAND.com",HLOOKUP($X111&amp;$Z111,NWC_FC_NOOS!$C$4:$Q$23,MATCH(W111,NWC_FC_NOOS!$B$4:$B$23,0),FALSE),0),0)</f>
        <v>0</v>
      </c>
      <c r="AO111" s="57">
        <f>IFERROR(IF($V111="BRAND.com",HLOOKUP($X111&amp;$Z111,NWC_FC_NOOS!$T$4:$AH$23,MATCH(W111,NWC_FC_NOOS!$S$4:$S$23,0),FALSE),0),0)</f>
        <v>0</v>
      </c>
      <c r="AP111" s="57">
        <f>IFERROR(IF($V111="BRAND.com",HLOOKUP($X111&amp;$Z111,NWC_FC_NOOS!$C$50:$U$69,MATCH(W111,NWC_FC_NOOS!$B$50:$B$69,0),FALSE),0),0)</f>
        <v>0</v>
      </c>
      <c r="AQ111" s="58">
        <f>IFERROR(IF($V111="BRAND.com",HLOOKUP($X111&amp;$Z111,'NWC_FC_NON-NOOS'!$C$4:$Q$23,MATCH(W111,'NWC_FC_NON-NOOS'!$B$4:$B$23,0),FALSE),0),0)</f>
        <v>0</v>
      </c>
      <c r="AR111" s="57">
        <f>IFERROR(IF($V111="BRAND.com",HLOOKUP($X111&amp;$Z111,'NWC_FC_NON-NOOS'!$T$4:$AH$23,MATCH(W111,'NWC_FC_NON-NOOS'!$S$4:$S$23,0),FALSE),0),0)</f>
        <v>0</v>
      </c>
      <c r="AS111" s="57">
        <f>IFERROR(IF($V111="BRAND.com",HLOOKUP($X111&amp;$Z111,'NWC_FC_NON-NOOS'!$C$50:$U$69,MATCH(W111,'NWC_FC_NON-NOOS'!$B$50:$B$69,0),FALSE),0),0)</f>
        <v>0</v>
      </c>
      <c r="AT111" s="57">
        <f t="shared" si="50"/>
        <v>0</v>
      </c>
      <c r="AU111" s="57">
        <f t="shared" si="51"/>
        <v>0</v>
      </c>
      <c r="AV111" s="58">
        <f>IFERROR(IF($V111="BRAND.com",HLOOKUP($X111&amp;$Z111,PLANNING_FC!$BB$27:$BP$46,MATCH($W111,PLANNING_FC!$BA$27:$BA$46,0),FALSE),0),0)</f>
        <v>0</v>
      </c>
      <c r="AW111" s="58">
        <f>IFERROR(IF($V111="BRAND.com",HLOOKUP($X111&amp;$Z111,PLANNING_FC!$BB$4:$BP$23,MATCH($W111,PLANNING_FC!$BA$4:$BA$23,0),FALSE),0),0)</f>
        <v>0</v>
      </c>
      <c r="AX111" s="58">
        <f>IFERROR(IF($V111="BRAND.com",HLOOKUP($X111&amp;$Z111,PLANNING_FC!$T$27:$AH$46,MATCH($W111,PLANNING_FC!$B$27:$B$46,0),FALSE),0),0)</f>
        <v>0</v>
      </c>
      <c r="AY111" s="58">
        <f>IFERROR(IF($V111="BRAND.com",HLOOKUP($X111&amp;$Z111,PLANNING_FC!$T$4:$AH$23,MATCH($W111,PLANNING_FC!$B$4:$B$23,0),FALSE),0),0)</f>
        <v>0</v>
      </c>
      <c r="AZ111" s="58">
        <f>IFERROR(IF($V111="BRAND.com",HLOOKUP($X111&amp;$Z111,PLANNING_FC!$DA$27:$DO$46,MATCH($W111,PLANNING_FC!$CZ$27:$CZ$46,0),FALSE),0),0)</f>
        <v>0</v>
      </c>
      <c r="BA111" s="58">
        <f>IFERROR(IF($V111="BRAND.com",HLOOKUP($X111&amp;$Z111,PLANNING_FC!$DA$4:$DO$23,MATCH($W111,PLANNING_FC!$CZ$4:$CZ$23,0),FALSE),0),0)</f>
        <v>0</v>
      </c>
      <c r="BB111" s="883" t="str">
        <f>IF(V111="BRAND.com",IFERROR(HLOOKUP(X111&amp;Z111,PLANNING_FC!$AK$4:$AY$23,MATCH(W111,PLANNING_FC!$AJ$4:$AJ$23,0),FALSE)*1000,""),"")</f>
        <v/>
      </c>
      <c r="BC111" s="883" t="str">
        <f>IF(V111="BRAND.com",IFERROR(HLOOKUP(X111&amp;Z111,PLANNING_FC!$AK$27:$AY$46,MATCH(W111,PLANNING_FC!$AJ$27:$AJ$46,0),FALSE)*1000,""),"")</f>
        <v/>
      </c>
    </row>
    <row r="112" spans="1:55" x14ac:dyDescent="0.25">
      <c r="A112" s="509"/>
      <c r="B112" s="510"/>
      <c r="C112" s="509"/>
      <c r="D112" s="511"/>
      <c r="E112" s="509"/>
      <c r="F112" s="509"/>
      <c r="G112" s="509"/>
      <c r="H112" s="509"/>
      <c r="I112" s="512"/>
      <c r="J112" s="513"/>
      <c r="K112" s="879"/>
      <c r="L112" s="515"/>
      <c r="M112" s="516"/>
      <c r="N112" s="56">
        <f t="shared" si="52"/>
        <v>0</v>
      </c>
      <c r="O112" s="57">
        <f t="shared" si="53"/>
        <v>0</v>
      </c>
      <c r="P112" s="57">
        <f ca="1">IFERROR(IF(ISBLANK(H112),SUMIFS($AC:$AC,$V:$V,V112,$W:$W,W112,$X:$X,X112,$Y:$Y,Y112)*J112/(1-J112)*VLOOKUP(_xlfn.CONCAT(C112,D112,E112,TIME!$M$12,Z112),HIS_SALES!$B$2:$W$4859,20,FALSE),AC112*J112/(1-J112)),0)</f>
        <v>0</v>
      </c>
      <c r="Q112" s="541" t="str">
        <f t="shared" si="54"/>
        <v/>
      </c>
      <c r="R112" s="346" t="str">
        <f t="shared" si="35"/>
        <v>00000</v>
      </c>
      <c r="S112" s="344">
        <f t="shared" si="55"/>
        <v>0</v>
      </c>
      <c r="T112" s="345" t="str">
        <f t="shared" si="49"/>
        <v>000</v>
      </c>
      <c r="U112" s="345">
        <f t="shared" si="56"/>
        <v>0</v>
      </c>
      <c r="V112" s="345">
        <f t="shared" si="57"/>
        <v>0</v>
      </c>
      <c r="W112" s="345">
        <f t="shared" si="58"/>
        <v>0</v>
      </c>
      <c r="X112" s="345">
        <f t="shared" si="59"/>
        <v>0</v>
      </c>
      <c r="Y112" s="345">
        <f t="shared" si="60"/>
        <v>0</v>
      </c>
      <c r="Z112" s="345">
        <f>IF(Q112&lt;&gt;"",VLOOKUP(Y112,TIME!$R$21:$V$24,MATCH(FC_DATA!Q112,TIME!$R$20:$V$20,0),FALSE),H112)</f>
        <v>0</v>
      </c>
      <c r="AA112" s="345" t="str">
        <f>IFERROR(VLOOKUP(X112&amp;Z112,TIME!$A$12:$D$71,4,FALSE),"")</f>
        <v/>
      </c>
      <c r="AB112" s="592">
        <f t="shared" ca="1" si="42"/>
        <v>0</v>
      </c>
      <c r="AC112" s="593" t="e">
        <f ca="1">IF(ISBLANK(H112)=FALSE,IF(D112="BRAND.com",I112,IF(ISNA(VLOOKUP(_xlfn.CONCAT(X112,Z112),TIME!$M$40:$M$42,1,FALSE)),I112,VLOOKUP(_xlfn.CONCAT(D112,G112,H112),M_BUSAREA_FC!$AF$5:$AJ$10,5,FALSE)*HLOOKUP(_xlfn.CONCAT(F112,H112),ST_OVERVIEW!$G$99:$I$130,MATCH(_xlfn.CONCAT(D112,E112),ST_OVERVIEW!$F$99:$F$130,0),FALSE))),IF(D112="BRAND.com",VLOOKUP(_xlfn.CONCAT(C112,D112,E112,TIME!$F$1,Z112),HIS_SALES!$B$2:$V$4859,19,FALSE)*I112,VLOOKUP(_xlfn.CONCAT(D112,F112,G112),Q_BUSAREA_FC!$AE$5:$AI$12,5,FALSE)*HLOOKUP(_xlfn.CONCAT(FC_DATA!F112,FC_DATA!G112),LT_OVERVIEW!$I$99:$M$130,MATCH(_xlfn.CONCAT(D112,FC_DATA!E112),LT_OVERVIEW!$H$99:$H$130,0),FALSE)*IFERROR(VLOOKUP(_xlfn.CONCAT(C112,D112,E112,TIME!$F$1,Z112),HIS_SALES!$B$2:$V$4859,19,FALSE),0)))</f>
        <v>#N/A</v>
      </c>
      <c r="AD112" s="341">
        <f t="shared" ca="1" si="61"/>
        <v>0</v>
      </c>
      <c r="AE112" s="363" t="str">
        <f t="shared" si="62"/>
        <v/>
      </c>
      <c r="AF112" s="342" t="str">
        <f t="shared" si="63"/>
        <v/>
      </c>
      <c r="AG112" s="411" t="e">
        <f ca="1">VLOOKUP(_xlfn.CONCAT(U112,V112,W112,VLOOKUP(X112&amp;Y112,TIME!$L$27:$O$34,4,FALSE),Y112),HIS_SALES!$A$2:$R$5093,18,FALSE)</f>
        <v>#N/A</v>
      </c>
      <c r="AH112" s="412" t="e">
        <f ca="1">IFERROR(IF(AND(V112=V111,W112=W111),0.5*(AB112+AB111)*AG112,(VLOOKUP(_xlfn.CONCAT(U112,V112,W112,X112,VLOOKUP(Z112,TIME!$S$28:$T$39,2,FALSE)),FC_DATA!$R$2:$AB$5000,MATCH("GS_I_M",FC_DATA!$R$1:$AB$1,0),FALSE)+FC_DATA!AB112)*0.5*FC_DATA!AG112),NA())</f>
        <v>#N/A</v>
      </c>
      <c r="AI112" s="491" t="e">
        <f ca="1">IF(V112="PARTNER.com",AH112,IF(AND(V112=V111,W112=W111),(1-AVERAGE(AD111,AD112))*AH112,(1-AVERAGE(AD112,VLOOKUP(_xlfn.CONCAT(U112,V112,W112,X112,M_BRAND_FC!$F$6),FC_DATA!$R$2:$AD$5000,MATCH("DISCOUNT_%_M",FC_DATA!$R$1:$AD$1,0),FALSE)))*AH112))</f>
        <v>#N/A</v>
      </c>
      <c r="AJ112" s="412" t="str">
        <f t="shared" ca="1" si="46"/>
        <v/>
      </c>
      <c r="AK112" s="413" t="str">
        <f>IFERROR(AE112/(Q_BRAND_FC!$T$24+1),"")</f>
        <v/>
      </c>
      <c r="AL112" s="88" t="str">
        <f t="shared" ca="1" si="47"/>
        <v/>
      </c>
      <c r="AM112" s="414" t="str">
        <f t="shared" ca="1" si="48"/>
        <v/>
      </c>
      <c r="AN112" s="58">
        <f>IFERROR(IF($V112="BRAND.com",HLOOKUP($X112&amp;$Z112,NWC_FC_NOOS!$C$4:$Q$23,MATCH(W112,NWC_FC_NOOS!$B$4:$B$23,0),FALSE),0),0)</f>
        <v>0</v>
      </c>
      <c r="AO112" s="57">
        <f>IFERROR(IF($V112="BRAND.com",HLOOKUP($X112&amp;$Z112,NWC_FC_NOOS!$T$4:$AH$23,MATCH(W112,NWC_FC_NOOS!$S$4:$S$23,0),FALSE),0),0)</f>
        <v>0</v>
      </c>
      <c r="AP112" s="57">
        <f>IFERROR(IF($V112="BRAND.com",HLOOKUP($X112&amp;$Z112,NWC_FC_NOOS!$C$50:$U$69,MATCH(W112,NWC_FC_NOOS!$B$50:$B$69,0),FALSE),0),0)</f>
        <v>0</v>
      </c>
      <c r="AQ112" s="58">
        <f>IFERROR(IF($V112="BRAND.com",HLOOKUP($X112&amp;$Z112,'NWC_FC_NON-NOOS'!$C$4:$Q$23,MATCH(W112,'NWC_FC_NON-NOOS'!$B$4:$B$23,0),FALSE),0),0)</f>
        <v>0</v>
      </c>
      <c r="AR112" s="57">
        <f>IFERROR(IF($V112="BRAND.com",HLOOKUP($X112&amp;$Z112,'NWC_FC_NON-NOOS'!$T$4:$AH$23,MATCH(W112,'NWC_FC_NON-NOOS'!$S$4:$S$23,0),FALSE),0),0)</f>
        <v>0</v>
      </c>
      <c r="AS112" s="57">
        <f>IFERROR(IF($V112="BRAND.com",HLOOKUP($X112&amp;$Z112,'NWC_FC_NON-NOOS'!$C$50:$U$69,MATCH(W112,'NWC_FC_NON-NOOS'!$B$50:$B$69,0),FALSE),0),0)</f>
        <v>0</v>
      </c>
      <c r="AT112" s="57">
        <f t="shared" si="50"/>
        <v>0</v>
      </c>
      <c r="AU112" s="57">
        <f t="shared" si="51"/>
        <v>0</v>
      </c>
      <c r="AV112" s="58">
        <f>IFERROR(IF($V112="BRAND.com",HLOOKUP($X112&amp;$Z112,PLANNING_FC!$BB$27:$BP$46,MATCH($W112,PLANNING_FC!$BA$27:$BA$46,0),FALSE),0),0)</f>
        <v>0</v>
      </c>
      <c r="AW112" s="58">
        <f>IFERROR(IF($V112="BRAND.com",HLOOKUP($X112&amp;$Z112,PLANNING_FC!$BB$4:$BP$23,MATCH($W112,PLANNING_FC!$BA$4:$BA$23,0),FALSE),0),0)</f>
        <v>0</v>
      </c>
      <c r="AX112" s="58">
        <f>IFERROR(IF($V112="BRAND.com",HLOOKUP($X112&amp;$Z112,PLANNING_FC!$T$27:$AH$46,MATCH($W112,PLANNING_FC!$B$27:$B$46,0),FALSE),0),0)</f>
        <v>0</v>
      </c>
      <c r="AY112" s="58">
        <f>IFERROR(IF($V112="BRAND.com",HLOOKUP($X112&amp;$Z112,PLANNING_FC!$T$4:$AH$23,MATCH($W112,PLANNING_FC!$B$4:$B$23,0),FALSE),0),0)</f>
        <v>0</v>
      </c>
      <c r="AZ112" s="58">
        <f>IFERROR(IF($V112="BRAND.com",HLOOKUP($X112&amp;$Z112,PLANNING_FC!$DA$27:$DO$46,MATCH($W112,PLANNING_FC!$CZ$27:$CZ$46,0),FALSE),0),0)</f>
        <v>0</v>
      </c>
      <c r="BA112" s="58">
        <f>IFERROR(IF($V112="BRAND.com",HLOOKUP($X112&amp;$Z112,PLANNING_FC!$DA$4:$DO$23,MATCH($W112,PLANNING_FC!$CZ$4:$CZ$23,0),FALSE),0),0)</f>
        <v>0</v>
      </c>
      <c r="BB112" s="883" t="str">
        <f>IF(V112="BRAND.com",IFERROR(HLOOKUP(X112&amp;Z112,PLANNING_FC!$AK$4:$AY$23,MATCH(W112,PLANNING_FC!$AJ$4:$AJ$23,0),FALSE)*1000,""),"")</f>
        <v/>
      </c>
      <c r="BC112" s="883" t="str">
        <f>IF(V112="BRAND.com",IFERROR(HLOOKUP(X112&amp;Z112,PLANNING_FC!$AK$27:$AY$46,MATCH(W112,PLANNING_FC!$AJ$27:$AJ$46,0),FALSE)*1000,""),"")</f>
        <v/>
      </c>
    </row>
    <row r="113" spans="1:55" x14ac:dyDescent="0.25">
      <c r="A113" s="509"/>
      <c r="B113" s="510"/>
      <c r="C113" s="509"/>
      <c r="D113" s="511"/>
      <c r="E113" s="509"/>
      <c r="F113" s="509"/>
      <c r="G113" s="509"/>
      <c r="H113" s="509"/>
      <c r="I113" s="512"/>
      <c r="J113" s="513"/>
      <c r="K113" s="879"/>
      <c r="L113" s="515"/>
      <c r="M113" s="516"/>
      <c r="N113" s="56">
        <f t="shared" si="52"/>
        <v>0</v>
      </c>
      <c r="O113" s="57">
        <f t="shared" si="53"/>
        <v>0</v>
      </c>
      <c r="P113" s="57">
        <f ca="1">IFERROR(IF(ISBLANK(H113),SUMIFS($AC:$AC,$V:$V,V113,$W:$W,W113,$X:$X,X113,$Y:$Y,Y113)*J113/(1-J113)*VLOOKUP(_xlfn.CONCAT(C113,D113,E113,TIME!$M$12,Z113),HIS_SALES!$B$2:$W$4859,20,FALSE),AC113*J113/(1-J113)),0)</f>
        <v>0</v>
      </c>
      <c r="Q113" s="541" t="str">
        <f t="shared" si="54"/>
        <v/>
      </c>
      <c r="R113" s="346" t="str">
        <f t="shared" si="35"/>
        <v>00000</v>
      </c>
      <c r="S113" s="344">
        <f t="shared" si="55"/>
        <v>0</v>
      </c>
      <c r="T113" s="345" t="str">
        <f t="shared" si="49"/>
        <v>000</v>
      </c>
      <c r="U113" s="345">
        <f t="shared" si="56"/>
        <v>0</v>
      </c>
      <c r="V113" s="345">
        <f t="shared" si="57"/>
        <v>0</v>
      </c>
      <c r="W113" s="345">
        <f t="shared" si="58"/>
        <v>0</v>
      </c>
      <c r="X113" s="345">
        <f t="shared" si="59"/>
        <v>0</v>
      </c>
      <c r="Y113" s="345">
        <f t="shared" si="60"/>
        <v>0</v>
      </c>
      <c r="Z113" s="345">
        <f>IF(Q113&lt;&gt;"",VLOOKUP(Y113,TIME!$R$21:$V$24,MATCH(FC_DATA!Q113,TIME!$R$20:$V$20,0),FALSE),H113)</f>
        <v>0</v>
      </c>
      <c r="AA113" s="345" t="str">
        <f>IFERROR(VLOOKUP(X113&amp;Z113,TIME!$A$12:$D$71,4,FALSE),"")</f>
        <v/>
      </c>
      <c r="AB113" s="592">
        <f t="shared" ca="1" si="42"/>
        <v>0</v>
      </c>
      <c r="AC113" s="593" t="e">
        <f ca="1">IF(ISBLANK(H113)=FALSE,IF(D113="BRAND.com",I113,IF(ISNA(VLOOKUP(_xlfn.CONCAT(X113,Z113),TIME!$M$40:$M$42,1,FALSE)),I113,VLOOKUP(_xlfn.CONCAT(D113,G113,H113),M_BUSAREA_FC!$AF$5:$AJ$10,5,FALSE)*HLOOKUP(_xlfn.CONCAT(F113,H113),ST_OVERVIEW!$G$99:$I$130,MATCH(_xlfn.CONCAT(D113,E113),ST_OVERVIEW!$F$99:$F$130,0),FALSE))),IF(D113="BRAND.com",VLOOKUP(_xlfn.CONCAT(C113,D113,E113,TIME!$F$1,Z113),HIS_SALES!$B$2:$V$4859,19,FALSE)*I113,VLOOKUP(_xlfn.CONCAT(D113,F113,G113),Q_BUSAREA_FC!$AE$5:$AI$12,5,FALSE)*HLOOKUP(_xlfn.CONCAT(FC_DATA!F113,FC_DATA!G113),LT_OVERVIEW!$I$99:$M$130,MATCH(_xlfn.CONCAT(D113,FC_DATA!E113),LT_OVERVIEW!$H$99:$H$130,0),FALSE)*IFERROR(VLOOKUP(_xlfn.CONCAT(C113,D113,E113,TIME!$F$1,Z113),HIS_SALES!$B$2:$V$4859,19,FALSE),0)))</f>
        <v>#N/A</v>
      </c>
      <c r="AD113" s="341">
        <f t="shared" ca="1" si="61"/>
        <v>0</v>
      </c>
      <c r="AE113" s="363" t="str">
        <f t="shared" si="62"/>
        <v/>
      </c>
      <c r="AF113" s="342" t="str">
        <f t="shared" si="63"/>
        <v/>
      </c>
      <c r="AG113" s="411" t="e">
        <f ca="1">VLOOKUP(_xlfn.CONCAT(U113,V113,W113,VLOOKUP(X113&amp;Y113,TIME!$L$27:$O$34,4,FALSE),Y113),HIS_SALES!$A$2:$R$5093,18,FALSE)</f>
        <v>#N/A</v>
      </c>
      <c r="AH113" s="412" t="e">
        <f ca="1">IFERROR(IF(AND(V113=V112,W113=W112),0.5*(AB113+AB112)*AG113,(VLOOKUP(_xlfn.CONCAT(U113,V113,W113,X113,VLOOKUP(Z113,TIME!$S$28:$T$39,2,FALSE)),FC_DATA!$R$2:$AB$5000,MATCH("GS_I_M",FC_DATA!$R$1:$AB$1,0),FALSE)+FC_DATA!AB113)*0.5*FC_DATA!AG113),NA())</f>
        <v>#N/A</v>
      </c>
      <c r="AI113" s="491" t="e">
        <f ca="1">IF(V113="PARTNER.com",AH113,IF(AND(V113=V112,W113=W112),(1-AVERAGE(AD112,AD113))*AH113,(1-AVERAGE(AD113,VLOOKUP(_xlfn.CONCAT(U113,V113,W113,X113,M_BRAND_FC!$F$6),FC_DATA!$R$2:$AD$5000,MATCH("DISCOUNT_%_M",FC_DATA!$R$1:$AD$1,0),FALSE)))*AH113))</f>
        <v>#N/A</v>
      </c>
      <c r="AJ113" s="412" t="str">
        <f t="shared" ca="1" si="46"/>
        <v/>
      </c>
      <c r="AK113" s="413" t="str">
        <f>IFERROR(AE113/(Q_BRAND_FC!$T$24+1),"")</f>
        <v/>
      </c>
      <c r="AL113" s="88" t="str">
        <f t="shared" ca="1" si="47"/>
        <v/>
      </c>
      <c r="AM113" s="414" t="str">
        <f t="shared" ca="1" si="48"/>
        <v/>
      </c>
      <c r="AN113" s="58">
        <f>IFERROR(IF($V113="BRAND.com",HLOOKUP($X113&amp;$Z113,NWC_FC_NOOS!$C$4:$Q$23,MATCH(W113,NWC_FC_NOOS!$B$4:$B$23,0),FALSE),0),0)</f>
        <v>0</v>
      </c>
      <c r="AO113" s="57">
        <f>IFERROR(IF($V113="BRAND.com",HLOOKUP($X113&amp;$Z113,NWC_FC_NOOS!$T$4:$AH$23,MATCH(W113,NWC_FC_NOOS!$S$4:$S$23,0),FALSE),0),0)</f>
        <v>0</v>
      </c>
      <c r="AP113" s="57">
        <f>IFERROR(IF($V113="BRAND.com",HLOOKUP($X113&amp;$Z113,NWC_FC_NOOS!$C$50:$U$69,MATCH(W113,NWC_FC_NOOS!$B$50:$B$69,0),FALSE),0),0)</f>
        <v>0</v>
      </c>
      <c r="AQ113" s="58">
        <f>IFERROR(IF($V113="BRAND.com",HLOOKUP($X113&amp;$Z113,'NWC_FC_NON-NOOS'!$C$4:$Q$23,MATCH(W113,'NWC_FC_NON-NOOS'!$B$4:$B$23,0),FALSE),0),0)</f>
        <v>0</v>
      </c>
      <c r="AR113" s="57">
        <f>IFERROR(IF($V113="BRAND.com",HLOOKUP($X113&amp;$Z113,'NWC_FC_NON-NOOS'!$T$4:$AH$23,MATCH(W113,'NWC_FC_NON-NOOS'!$S$4:$S$23,0),FALSE),0),0)</f>
        <v>0</v>
      </c>
      <c r="AS113" s="57">
        <f>IFERROR(IF($V113="BRAND.com",HLOOKUP($X113&amp;$Z113,'NWC_FC_NON-NOOS'!$C$50:$U$69,MATCH(W113,'NWC_FC_NON-NOOS'!$B$50:$B$69,0),FALSE),0),0)</f>
        <v>0</v>
      </c>
      <c r="AT113" s="57">
        <f t="shared" si="50"/>
        <v>0</v>
      </c>
      <c r="AU113" s="57">
        <f t="shared" si="51"/>
        <v>0</v>
      </c>
      <c r="AV113" s="58">
        <f>IFERROR(IF($V113="BRAND.com",HLOOKUP($X113&amp;$Z113,PLANNING_FC!$BB$27:$BP$46,MATCH($W113,PLANNING_FC!$BA$27:$BA$46,0),FALSE),0),0)</f>
        <v>0</v>
      </c>
      <c r="AW113" s="58">
        <f>IFERROR(IF($V113="BRAND.com",HLOOKUP($X113&amp;$Z113,PLANNING_FC!$BB$4:$BP$23,MATCH($W113,PLANNING_FC!$BA$4:$BA$23,0),FALSE),0),0)</f>
        <v>0</v>
      </c>
      <c r="AX113" s="58">
        <f>IFERROR(IF($V113="BRAND.com",HLOOKUP($X113&amp;$Z113,PLANNING_FC!$T$27:$AH$46,MATCH($W113,PLANNING_FC!$B$27:$B$46,0),FALSE),0),0)</f>
        <v>0</v>
      </c>
      <c r="AY113" s="58">
        <f>IFERROR(IF($V113="BRAND.com",HLOOKUP($X113&amp;$Z113,PLANNING_FC!$T$4:$AH$23,MATCH($W113,PLANNING_FC!$B$4:$B$23,0),FALSE),0),0)</f>
        <v>0</v>
      </c>
      <c r="AZ113" s="58">
        <f>IFERROR(IF($V113="BRAND.com",HLOOKUP($X113&amp;$Z113,PLANNING_FC!$DA$27:$DO$46,MATCH($W113,PLANNING_FC!$CZ$27:$CZ$46,0),FALSE),0),0)</f>
        <v>0</v>
      </c>
      <c r="BA113" s="58">
        <f>IFERROR(IF($V113="BRAND.com",HLOOKUP($X113&amp;$Z113,PLANNING_FC!$DA$4:$DO$23,MATCH($W113,PLANNING_FC!$CZ$4:$CZ$23,0),FALSE),0),0)</f>
        <v>0</v>
      </c>
      <c r="BB113" s="883" t="str">
        <f>IF(V113="BRAND.com",IFERROR(HLOOKUP(X113&amp;Z113,PLANNING_FC!$AK$4:$AY$23,MATCH(W113,PLANNING_FC!$AJ$4:$AJ$23,0),FALSE)*1000,""),"")</f>
        <v/>
      </c>
      <c r="BC113" s="883" t="str">
        <f>IF(V113="BRAND.com",IFERROR(HLOOKUP(X113&amp;Z113,PLANNING_FC!$AK$27:$AY$46,MATCH(W113,PLANNING_FC!$AJ$27:$AJ$46,0),FALSE)*1000,""),"")</f>
        <v/>
      </c>
    </row>
    <row r="114" spans="1:55" x14ac:dyDescent="0.25">
      <c r="A114" s="509"/>
      <c r="B114" s="510"/>
      <c r="C114" s="509"/>
      <c r="D114" s="511"/>
      <c r="E114" s="509"/>
      <c r="F114" s="509"/>
      <c r="G114" s="509"/>
      <c r="H114" s="509"/>
      <c r="I114" s="512"/>
      <c r="J114" s="513"/>
      <c r="K114" s="879"/>
      <c r="L114" s="515"/>
      <c r="M114" s="516"/>
      <c r="N114" s="56">
        <f t="shared" si="52"/>
        <v>0</v>
      </c>
      <c r="O114" s="57">
        <f t="shared" si="53"/>
        <v>0</v>
      </c>
      <c r="P114" s="57">
        <f ca="1">IFERROR(IF(ISBLANK(H114),SUMIFS($AC:$AC,$V:$V,V114,$W:$W,W114,$X:$X,X114,$Y:$Y,Y114)*J114/(1-J114)*VLOOKUP(_xlfn.CONCAT(C114,D114,E114,TIME!$M$12,Z114),HIS_SALES!$B$2:$W$4859,20,FALSE),AC114*J114/(1-J114)),0)</f>
        <v>0</v>
      </c>
      <c r="Q114" s="541" t="str">
        <f t="shared" si="54"/>
        <v/>
      </c>
      <c r="R114" s="346" t="str">
        <f t="shared" si="35"/>
        <v>00000</v>
      </c>
      <c r="S114" s="344">
        <f t="shared" si="55"/>
        <v>0</v>
      </c>
      <c r="T114" s="345" t="str">
        <f t="shared" si="49"/>
        <v>000</v>
      </c>
      <c r="U114" s="345">
        <f t="shared" si="56"/>
        <v>0</v>
      </c>
      <c r="V114" s="345">
        <f t="shared" si="57"/>
        <v>0</v>
      </c>
      <c r="W114" s="345">
        <f t="shared" si="58"/>
        <v>0</v>
      </c>
      <c r="X114" s="345">
        <f t="shared" si="59"/>
        <v>0</v>
      </c>
      <c r="Y114" s="345">
        <f t="shared" si="60"/>
        <v>0</v>
      </c>
      <c r="Z114" s="345">
        <f>IF(Q114&lt;&gt;"",VLOOKUP(Y114,TIME!$R$21:$V$24,MATCH(FC_DATA!Q114,TIME!$R$20:$V$20,0),FALSE),H114)</f>
        <v>0</v>
      </c>
      <c r="AA114" s="345" t="str">
        <f>IFERROR(VLOOKUP(X114&amp;Z114,TIME!$A$12:$D$71,4,FALSE),"")</f>
        <v/>
      </c>
      <c r="AB114" s="592">
        <f t="shared" ca="1" si="42"/>
        <v>0</v>
      </c>
      <c r="AC114" s="593" t="e">
        <f ca="1">IF(ISBLANK(H114)=FALSE,IF(D114="BRAND.com",I114,IF(ISNA(VLOOKUP(_xlfn.CONCAT(X114,Z114),TIME!$M$40:$M$42,1,FALSE)),I114,VLOOKUP(_xlfn.CONCAT(D114,G114,H114),M_BUSAREA_FC!$AF$5:$AJ$10,5,FALSE)*HLOOKUP(_xlfn.CONCAT(F114,H114),ST_OVERVIEW!$G$99:$I$130,MATCH(_xlfn.CONCAT(D114,E114),ST_OVERVIEW!$F$99:$F$130,0),FALSE))),IF(D114="BRAND.com",VLOOKUP(_xlfn.CONCAT(C114,D114,E114,TIME!$F$1,Z114),HIS_SALES!$B$2:$V$4859,19,FALSE)*I114,VLOOKUP(_xlfn.CONCAT(D114,F114,G114),Q_BUSAREA_FC!$AE$5:$AI$12,5,FALSE)*HLOOKUP(_xlfn.CONCAT(FC_DATA!F114,FC_DATA!G114),LT_OVERVIEW!$I$99:$M$130,MATCH(_xlfn.CONCAT(D114,FC_DATA!E114),LT_OVERVIEW!$H$99:$H$130,0),FALSE)*IFERROR(VLOOKUP(_xlfn.CONCAT(C114,D114,E114,TIME!$F$1,Z114),HIS_SALES!$B$2:$V$4859,19,FALSE),0)))</f>
        <v>#N/A</v>
      </c>
      <c r="AD114" s="341">
        <f t="shared" ca="1" si="61"/>
        <v>0</v>
      </c>
      <c r="AE114" s="363" t="str">
        <f t="shared" si="62"/>
        <v/>
      </c>
      <c r="AF114" s="342" t="str">
        <f t="shared" si="63"/>
        <v/>
      </c>
      <c r="AG114" s="411" t="e">
        <f ca="1">VLOOKUP(_xlfn.CONCAT(U114,V114,W114,VLOOKUP(X114&amp;Y114,TIME!$L$27:$O$34,4,FALSE),Y114),HIS_SALES!$A$2:$R$5093,18,FALSE)</f>
        <v>#N/A</v>
      </c>
      <c r="AH114" s="412" t="e">
        <f ca="1">IFERROR(IF(AND(V114=V113,W114=W113),0.5*(AB114+AB113)*AG114,(VLOOKUP(_xlfn.CONCAT(U114,V114,W114,X114,VLOOKUP(Z114,TIME!$S$28:$T$39,2,FALSE)),FC_DATA!$R$2:$AB$5000,MATCH("GS_I_M",FC_DATA!$R$1:$AB$1,0),FALSE)+FC_DATA!AB114)*0.5*FC_DATA!AG114),NA())</f>
        <v>#N/A</v>
      </c>
      <c r="AI114" s="491" t="e">
        <f ca="1">IF(V114="PARTNER.com",AH114,IF(AND(V114=V113,W114=W113),(1-AVERAGE(AD113,AD114))*AH114,(1-AVERAGE(AD114,VLOOKUP(_xlfn.CONCAT(U114,V114,W114,X114,M_BRAND_FC!$F$6),FC_DATA!$R$2:$AD$5000,MATCH("DISCOUNT_%_M",FC_DATA!$R$1:$AD$1,0),FALSE)))*AH114))</f>
        <v>#N/A</v>
      </c>
      <c r="AJ114" s="412" t="str">
        <f t="shared" ca="1" si="46"/>
        <v/>
      </c>
      <c r="AK114" s="413" t="str">
        <f>IFERROR(AE114/(Q_BRAND_FC!$T$24+1),"")</f>
        <v/>
      </c>
      <c r="AL114" s="88" t="str">
        <f t="shared" ca="1" si="47"/>
        <v/>
      </c>
      <c r="AM114" s="414" t="str">
        <f t="shared" ca="1" si="48"/>
        <v/>
      </c>
      <c r="AN114" s="58">
        <f>IFERROR(IF($V114="BRAND.com",HLOOKUP($X114&amp;$Z114,NWC_FC_NOOS!$C$4:$Q$23,MATCH(W114,NWC_FC_NOOS!$B$4:$B$23,0),FALSE),0),0)</f>
        <v>0</v>
      </c>
      <c r="AO114" s="57">
        <f>IFERROR(IF($V114="BRAND.com",HLOOKUP($X114&amp;$Z114,NWC_FC_NOOS!$T$4:$AH$23,MATCH(W114,NWC_FC_NOOS!$S$4:$S$23,0),FALSE),0),0)</f>
        <v>0</v>
      </c>
      <c r="AP114" s="57">
        <f>IFERROR(IF($V114="BRAND.com",HLOOKUP($X114&amp;$Z114,NWC_FC_NOOS!$C$50:$U$69,MATCH(W114,NWC_FC_NOOS!$B$50:$B$69,0),FALSE),0),0)</f>
        <v>0</v>
      </c>
      <c r="AQ114" s="58">
        <f>IFERROR(IF($V114="BRAND.com",HLOOKUP($X114&amp;$Z114,'NWC_FC_NON-NOOS'!$C$4:$Q$23,MATCH(W114,'NWC_FC_NON-NOOS'!$B$4:$B$23,0),FALSE),0),0)</f>
        <v>0</v>
      </c>
      <c r="AR114" s="57">
        <f>IFERROR(IF($V114="BRAND.com",HLOOKUP($X114&amp;$Z114,'NWC_FC_NON-NOOS'!$T$4:$AH$23,MATCH(W114,'NWC_FC_NON-NOOS'!$S$4:$S$23,0),FALSE),0),0)</f>
        <v>0</v>
      </c>
      <c r="AS114" s="57">
        <f>IFERROR(IF($V114="BRAND.com",HLOOKUP($X114&amp;$Z114,'NWC_FC_NON-NOOS'!$C$50:$U$69,MATCH(W114,'NWC_FC_NON-NOOS'!$B$50:$B$69,0),FALSE),0),0)</f>
        <v>0</v>
      </c>
      <c r="AT114" s="57">
        <f t="shared" si="50"/>
        <v>0</v>
      </c>
      <c r="AU114" s="57">
        <f t="shared" si="51"/>
        <v>0</v>
      </c>
      <c r="AV114" s="58">
        <f>IFERROR(IF($V114="BRAND.com",HLOOKUP($X114&amp;$Z114,PLANNING_FC!$BB$27:$BP$46,MATCH($W114,PLANNING_FC!$BA$27:$BA$46,0),FALSE),0),0)</f>
        <v>0</v>
      </c>
      <c r="AW114" s="58">
        <f>IFERROR(IF($V114="BRAND.com",HLOOKUP($X114&amp;$Z114,PLANNING_FC!$BB$4:$BP$23,MATCH($W114,PLANNING_FC!$BA$4:$BA$23,0),FALSE),0),0)</f>
        <v>0</v>
      </c>
      <c r="AX114" s="58">
        <f>IFERROR(IF($V114="BRAND.com",HLOOKUP($X114&amp;$Z114,PLANNING_FC!$T$27:$AH$46,MATCH($W114,PLANNING_FC!$B$27:$B$46,0),FALSE),0),0)</f>
        <v>0</v>
      </c>
      <c r="AY114" s="58">
        <f>IFERROR(IF($V114="BRAND.com",HLOOKUP($X114&amp;$Z114,PLANNING_FC!$T$4:$AH$23,MATCH($W114,PLANNING_FC!$B$4:$B$23,0),FALSE),0),0)</f>
        <v>0</v>
      </c>
      <c r="AZ114" s="58">
        <f>IFERROR(IF($V114="BRAND.com",HLOOKUP($X114&amp;$Z114,PLANNING_FC!$DA$27:$DO$46,MATCH($W114,PLANNING_FC!$CZ$27:$CZ$46,0),FALSE),0),0)</f>
        <v>0</v>
      </c>
      <c r="BA114" s="58">
        <f>IFERROR(IF($V114="BRAND.com",HLOOKUP($X114&amp;$Z114,PLANNING_FC!$DA$4:$DO$23,MATCH($W114,PLANNING_FC!$CZ$4:$CZ$23,0),FALSE),0),0)</f>
        <v>0</v>
      </c>
      <c r="BB114" s="883" t="str">
        <f>IF(V114="BRAND.com",IFERROR(HLOOKUP(X114&amp;Z114,PLANNING_FC!$AK$4:$AY$23,MATCH(W114,PLANNING_FC!$AJ$4:$AJ$23,0),FALSE)*1000,""),"")</f>
        <v/>
      </c>
      <c r="BC114" s="883" t="str">
        <f>IF(V114="BRAND.com",IFERROR(HLOOKUP(X114&amp;Z114,PLANNING_FC!$AK$27:$AY$46,MATCH(W114,PLANNING_FC!$AJ$27:$AJ$46,0),FALSE)*1000,""),"")</f>
        <v/>
      </c>
    </row>
    <row r="115" spans="1:55" x14ac:dyDescent="0.25">
      <c r="A115" s="509"/>
      <c r="B115" s="510"/>
      <c r="C115" s="509"/>
      <c r="D115" s="511"/>
      <c r="E115" s="509"/>
      <c r="F115" s="509"/>
      <c r="G115" s="509"/>
      <c r="H115" s="509"/>
      <c r="I115" s="512"/>
      <c r="J115" s="513"/>
      <c r="K115" s="879"/>
      <c r="L115" s="515"/>
      <c r="M115" s="516"/>
      <c r="N115" s="56">
        <f t="shared" si="52"/>
        <v>0</v>
      </c>
      <c r="O115" s="57">
        <f t="shared" si="53"/>
        <v>0</v>
      </c>
      <c r="P115" s="57">
        <f ca="1">IFERROR(IF(ISBLANK(H115),SUMIFS($AC:$AC,$V:$V,V115,$W:$W,W115,$X:$X,X115,$Y:$Y,Y115)*J115/(1-J115)*VLOOKUP(_xlfn.CONCAT(C115,D115,E115,TIME!$M$12,Z115),HIS_SALES!$B$2:$W$4859,20,FALSE),AC115*J115/(1-J115)),0)</f>
        <v>0</v>
      </c>
      <c r="Q115" s="541" t="str">
        <f t="shared" si="54"/>
        <v/>
      </c>
      <c r="R115" s="346" t="str">
        <f t="shared" si="35"/>
        <v>00000</v>
      </c>
      <c r="S115" s="344">
        <f t="shared" si="55"/>
        <v>0</v>
      </c>
      <c r="T115" s="345" t="str">
        <f t="shared" si="49"/>
        <v>000</v>
      </c>
      <c r="U115" s="345">
        <f t="shared" si="56"/>
        <v>0</v>
      </c>
      <c r="V115" s="345">
        <f t="shared" si="57"/>
        <v>0</v>
      </c>
      <c r="W115" s="345">
        <f t="shared" si="58"/>
        <v>0</v>
      </c>
      <c r="X115" s="345">
        <f t="shared" si="59"/>
        <v>0</v>
      </c>
      <c r="Y115" s="345">
        <f t="shared" si="60"/>
        <v>0</v>
      </c>
      <c r="Z115" s="345">
        <f>IF(Q115&lt;&gt;"",VLOOKUP(Y115,TIME!$R$21:$V$24,MATCH(FC_DATA!Q115,TIME!$R$20:$V$20,0),FALSE),H115)</f>
        <v>0</v>
      </c>
      <c r="AA115" s="345" t="str">
        <f>IFERROR(VLOOKUP(X115&amp;Z115,TIME!$A$12:$D$71,4,FALSE),"")</f>
        <v/>
      </c>
      <c r="AB115" s="592">
        <f t="shared" ca="1" si="42"/>
        <v>0</v>
      </c>
      <c r="AC115" s="593" t="e">
        <f ca="1">IF(ISBLANK(H115)=FALSE,IF(D115="BRAND.com",I115,IF(ISNA(VLOOKUP(_xlfn.CONCAT(X115,Z115),TIME!$M$40:$M$42,1,FALSE)),I115,VLOOKUP(_xlfn.CONCAT(D115,G115,H115),M_BUSAREA_FC!$AF$5:$AJ$10,5,FALSE)*HLOOKUP(_xlfn.CONCAT(F115,H115),ST_OVERVIEW!$G$99:$I$130,MATCH(_xlfn.CONCAT(D115,E115),ST_OVERVIEW!$F$99:$F$130,0),FALSE))),IF(D115="BRAND.com",VLOOKUP(_xlfn.CONCAT(C115,D115,E115,TIME!$F$1,Z115),HIS_SALES!$B$2:$V$4859,19,FALSE)*I115,VLOOKUP(_xlfn.CONCAT(D115,F115,G115),Q_BUSAREA_FC!$AE$5:$AI$12,5,FALSE)*HLOOKUP(_xlfn.CONCAT(FC_DATA!F115,FC_DATA!G115),LT_OVERVIEW!$I$99:$M$130,MATCH(_xlfn.CONCAT(D115,FC_DATA!E115),LT_OVERVIEW!$H$99:$H$130,0),FALSE)*IFERROR(VLOOKUP(_xlfn.CONCAT(C115,D115,E115,TIME!$F$1,Z115),HIS_SALES!$B$2:$V$4859,19,FALSE),0)))</f>
        <v>#N/A</v>
      </c>
      <c r="AD115" s="341">
        <f t="shared" ca="1" si="61"/>
        <v>0</v>
      </c>
      <c r="AE115" s="363" t="str">
        <f t="shared" si="62"/>
        <v/>
      </c>
      <c r="AF115" s="342" t="str">
        <f t="shared" si="63"/>
        <v/>
      </c>
      <c r="AG115" s="411" t="e">
        <f ca="1">VLOOKUP(_xlfn.CONCAT(U115,V115,W115,VLOOKUP(X115&amp;Y115,TIME!$L$27:$O$34,4,FALSE),Y115),HIS_SALES!$A$2:$R$5093,18,FALSE)</f>
        <v>#N/A</v>
      </c>
      <c r="AH115" s="412" t="e">
        <f ca="1">IFERROR(IF(AND(V115=V114,W115=W114),0.5*(AB115+AB114)*AG115,(VLOOKUP(_xlfn.CONCAT(U115,V115,W115,X115,VLOOKUP(Z115,TIME!$S$28:$T$39,2,FALSE)),FC_DATA!$R$2:$AB$5000,MATCH("GS_I_M",FC_DATA!$R$1:$AB$1,0),FALSE)+FC_DATA!AB115)*0.5*FC_DATA!AG115),NA())</f>
        <v>#N/A</v>
      </c>
      <c r="AI115" s="491" t="e">
        <f ca="1">IF(V115="PARTNER.com",AH115,IF(AND(V115=V114,W115=W114),(1-AVERAGE(AD114,AD115))*AH115,(1-AVERAGE(AD115,VLOOKUP(_xlfn.CONCAT(U115,V115,W115,X115,M_BRAND_FC!$F$6),FC_DATA!$R$2:$AD$5000,MATCH("DISCOUNT_%_M",FC_DATA!$R$1:$AD$1,0),FALSE)))*AH115))</f>
        <v>#N/A</v>
      </c>
      <c r="AJ115" s="412" t="str">
        <f t="shared" ca="1" si="46"/>
        <v/>
      </c>
      <c r="AK115" s="413" t="str">
        <f>IFERROR(AE115/(Q_BRAND_FC!$T$24+1),"")</f>
        <v/>
      </c>
      <c r="AL115" s="88" t="str">
        <f t="shared" ca="1" si="47"/>
        <v/>
      </c>
      <c r="AM115" s="414" t="str">
        <f t="shared" ca="1" si="48"/>
        <v/>
      </c>
      <c r="AN115" s="58">
        <f>IFERROR(IF($V115="BRAND.com",HLOOKUP($X115&amp;$Z115,NWC_FC_NOOS!$C$4:$Q$23,MATCH(W115,NWC_FC_NOOS!$B$4:$B$23,0),FALSE),0),0)</f>
        <v>0</v>
      </c>
      <c r="AO115" s="57">
        <f>IFERROR(IF($V115="BRAND.com",HLOOKUP($X115&amp;$Z115,NWC_FC_NOOS!$T$4:$AH$23,MATCH(W115,NWC_FC_NOOS!$S$4:$S$23,0),FALSE),0),0)</f>
        <v>0</v>
      </c>
      <c r="AP115" s="57">
        <f>IFERROR(IF($V115="BRAND.com",HLOOKUP($X115&amp;$Z115,NWC_FC_NOOS!$C$50:$U$69,MATCH(W115,NWC_FC_NOOS!$B$50:$B$69,0),FALSE),0),0)</f>
        <v>0</v>
      </c>
      <c r="AQ115" s="58">
        <f>IFERROR(IF($V115="BRAND.com",HLOOKUP($X115&amp;$Z115,'NWC_FC_NON-NOOS'!$C$4:$Q$23,MATCH(W115,'NWC_FC_NON-NOOS'!$B$4:$B$23,0),FALSE),0),0)</f>
        <v>0</v>
      </c>
      <c r="AR115" s="57">
        <f>IFERROR(IF($V115="BRAND.com",HLOOKUP($X115&amp;$Z115,'NWC_FC_NON-NOOS'!$T$4:$AH$23,MATCH(W115,'NWC_FC_NON-NOOS'!$S$4:$S$23,0),FALSE),0),0)</f>
        <v>0</v>
      </c>
      <c r="AS115" s="57">
        <f>IFERROR(IF($V115="BRAND.com",HLOOKUP($X115&amp;$Z115,'NWC_FC_NON-NOOS'!$C$50:$U$69,MATCH(W115,'NWC_FC_NON-NOOS'!$B$50:$B$69,0),FALSE),0),0)</f>
        <v>0</v>
      </c>
      <c r="AT115" s="57">
        <f t="shared" si="50"/>
        <v>0</v>
      </c>
      <c r="AU115" s="57">
        <f t="shared" si="51"/>
        <v>0</v>
      </c>
      <c r="AV115" s="58">
        <f>IFERROR(IF($V115="BRAND.com",HLOOKUP($X115&amp;$Z115,PLANNING_FC!$BB$27:$BP$46,MATCH($W115,PLANNING_FC!$BA$27:$BA$46,0),FALSE),0),0)</f>
        <v>0</v>
      </c>
      <c r="AW115" s="58">
        <f>IFERROR(IF($V115="BRAND.com",HLOOKUP($X115&amp;$Z115,PLANNING_FC!$BB$4:$BP$23,MATCH($W115,PLANNING_FC!$BA$4:$BA$23,0),FALSE),0),0)</f>
        <v>0</v>
      </c>
      <c r="AX115" s="58">
        <f>IFERROR(IF($V115="BRAND.com",HLOOKUP($X115&amp;$Z115,PLANNING_FC!$T$27:$AH$46,MATCH($W115,PLANNING_FC!$B$27:$B$46,0),FALSE),0),0)</f>
        <v>0</v>
      </c>
      <c r="AY115" s="58">
        <f>IFERROR(IF($V115="BRAND.com",HLOOKUP($X115&amp;$Z115,PLANNING_FC!$T$4:$AH$23,MATCH($W115,PLANNING_FC!$B$4:$B$23,0),FALSE),0),0)</f>
        <v>0</v>
      </c>
      <c r="AZ115" s="58">
        <f>IFERROR(IF($V115="BRAND.com",HLOOKUP($X115&amp;$Z115,PLANNING_FC!$DA$27:$DO$46,MATCH($W115,PLANNING_FC!$CZ$27:$CZ$46,0),FALSE),0),0)</f>
        <v>0</v>
      </c>
      <c r="BA115" s="58">
        <f>IFERROR(IF($V115="BRAND.com",HLOOKUP($X115&amp;$Z115,PLANNING_FC!$DA$4:$DO$23,MATCH($W115,PLANNING_FC!$CZ$4:$CZ$23,0),FALSE),0),0)</f>
        <v>0</v>
      </c>
      <c r="BB115" s="883" t="str">
        <f>IF(V115="BRAND.com",IFERROR(HLOOKUP(X115&amp;Z115,PLANNING_FC!$AK$4:$AY$23,MATCH(W115,PLANNING_FC!$AJ$4:$AJ$23,0),FALSE)*1000,""),"")</f>
        <v/>
      </c>
      <c r="BC115" s="883" t="str">
        <f>IF(V115="BRAND.com",IFERROR(HLOOKUP(X115&amp;Z115,PLANNING_FC!$AK$27:$AY$46,MATCH(W115,PLANNING_FC!$AJ$27:$AJ$46,0),FALSE)*1000,""),"")</f>
        <v/>
      </c>
    </row>
    <row r="116" spans="1:55" x14ac:dyDescent="0.25">
      <c r="A116" s="509"/>
      <c r="B116" s="510"/>
      <c r="C116" s="509"/>
      <c r="D116" s="511"/>
      <c r="E116" s="509"/>
      <c r="F116" s="509"/>
      <c r="G116" s="509"/>
      <c r="H116" s="509"/>
      <c r="I116" s="512"/>
      <c r="J116" s="513"/>
      <c r="K116" s="879"/>
      <c r="L116" s="515"/>
      <c r="M116" s="516"/>
      <c r="N116" s="56">
        <f t="shared" si="52"/>
        <v>0</v>
      </c>
      <c r="O116" s="57">
        <f t="shared" si="53"/>
        <v>0</v>
      </c>
      <c r="P116" s="57">
        <f ca="1">IFERROR(IF(ISBLANK(H116),SUMIFS($AC:$AC,$V:$V,V116,$W:$W,W116,$X:$X,X116,$Y:$Y,Y116)*J116/(1-J116)*VLOOKUP(_xlfn.CONCAT(C116,D116,E116,TIME!$M$12,Z116),HIS_SALES!$B$2:$W$4859,20,FALSE),AC116*J116/(1-J116)),0)</f>
        <v>0</v>
      </c>
      <c r="Q116" s="541" t="str">
        <f t="shared" si="54"/>
        <v/>
      </c>
      <c r="R116" s="346" t="str">
        <f t="shared" si="35"/>
        <v>00000</v>
      </c>
      <c r="S116" s="344">
        <f t="shared" si="55"/>
        <v>0</v>
      </c>
      <c r="T116" s="345" t="str">
        <f t="shared" si="49"/>
        <v>000</v>
      </c>
      <c r="U116" s="345">
        <f t="shared" si="56"/>
        <v>0</v>
      </c>
      <c r="V116" s="345">
        <f t="shared" si="57"/>
        <v>0</v>
      </c>
      <c r="W116" s="345">
        <f t="shared" si="58"/>
        <v>0</v>
      </c>
      <c r="X116" s="345">
        <f t="shared" si="59"/>
        <v>0</v>
      </c>
      <c r="Y116" s="345">
        <f t="shared" si="60"/>
        <v>0</v>
      </c>
      <c r="Z116" s="345">
        <f>IF(Q116&lt;&gt;"",VLOOKUP(Y116,TIME!$R$21:$V$24,MATCH(FC_DATA!Q116,TIME!$R$20:$V$20,0),FALSE),H116)</f>
        <v>0</v>
      </c>
      <c r="AA116" s="345" t="str">
        <f>IFERROR(VLOOKUP(X116&amp;Z116,TIME!$A$12:$D$71,4,FALSE),"")</f>
        <v/>
      </c>
      <c r="AB116" s="592">
        <f t="shared" ca="1" si="42"/>
        <v>0</v>
      </c>
      <c r="AC116" s="593" t="e">
        <f ca="1">IF(ISBLANK(H116)=FALSE,IF(D116="BRAND.com",I116,IF(ISNA(VLOOKUP(_xlfn.CONCAT(X116,Z116),TIME!$M$40:$M$42,1,FALSE)),I116,VLOOKUP(_xlfn.CONCAT(D116,G116,H116),M_BUSAREA_FC!$AF$5:$AJ$10,5,FALSE)*HLOOKUP(_xlfn.CONCAT(F116,H116),ST_OVERVIEW!$G$99:$I$130,MATCH(_xlfn.CONCAT(D116,E116),ST_OVERVIEW!$F$99:$F$130,0),FALSE))),IF(D116="BRAND.com",VLOOKUP(_xlfn.CONCAT(C116,D116,E116,TIME!$F$1,Z116),HIS_SALES!$B$2:$V$4859,19,FALSE)*I116,VLOOKUP(_xlfn.CONCAT(D116,F116,G116),Q_BUSAREA_FC!$AE$5:$AI$12,5,FALSE)*HLOOKUP(_xlfn.CONCAT(FC_DATA!F116,FC_DATA!G116),LT_OVERVIEW!$I$99:$M$130,MATCH(_xlfn.CONCAT(D116,FC_DATA!E116),LT_OVERVIEW!$H$99:$H$130,0),FALSE)*IFERROR(VLOOKUP(_xlfn.CONCAT(C116,D116,E116,TIME!$F$1,Z116),HIS_SALES!$B$2:$V$4859,19,FALSE),0)))</f>
        <v>#N/A</v>
      </c>
      <c r="AD116" s="341">
        <f t="shared" ca="1" si="61"/>
        <v>0</v>
      </c>
      <c r="AE116" s="363" t="str">
        <f t="shared" si="62"/>
        <v/>
      </c>
      <c r="AF116" s="342" t="str">
        <f t="shared" si="63"/>
        <v/>
      </c>
      <c r="AG116" s="411" t="e">
        <f ca="1">VLOOKUP(_xlfn.CONCAT(U116,V116,W116,VLOOKUP(X116&amp;Y116,TIME!$L$27:$O$34,4,FALSE),Y116),HIS_SALES!$A$2:$R$5093,18,FALSE)</f>
        <v>#N/A</v>
      </c>
      <c r="AH116" s="412" t="e">
        <f ca="1">IFERROR(IF(AND(V116=V115,W116=W115),0.5*(AB116+AB115)*AG116,(VLOOKUP(_xlfn.CONCAT(U116,V116,W116,X116,VLOOKUP(Z116,TIME!$S$28:$T$39,2,FALSE)),FC_DATA!$R$2:$AB$5000,MATCH("GS_I_M",FC_DATA!$R$1:$AB$1,0),FALSE)+FC_DATA!AB116)*0.5*FC_DATA!AG116),NA())</f>
        <v>#N/A</v>
      </c>
      <c r="AI116" s="491" t="e">
        <f ca="1">IF(V116="PARTNER.com",AH116,IF(AND(V116=V115,W116=W115),(1-AVERAGE(AD115,AD116))*AH116,(1-AVERAGE(AD116,VLOOKUP(_xlfn.CONCAT(U116,V116,W116,X116,M_BRAND_FC!$F$6),FC_DATA!$R$2:$AD$5000,MATCH("DISCOUNT_%_M",FC_DATA!$R$1:$AD$1,0),FALSE)))*AH116))</f>
        <v>#N/A</v>
      </c>
      <c r="AJ116" s="412" t="str">
        <f t="shared" ca="1" si="46"/>
        <v/>
      </c>
      <c r="AK116" s="413" t="str">
        <f>IFERROR(AE116/(Q_BRAND_FC!$T$24+1),"")</f>
        <v/>
      </c>
      <c r="AL116" s="88" t="str">
        <f t="shared" ca="1" si="47"/>
        <v/>
      </c>
      <c r="AM116" s="414" t="str">
        <f t="shared" ca="1" si="48"/>
        <v/>
      </c>
      <c r="AN116" s="58">
        <f>IFERROR(IF($V116="BRAND.com",HLOOKUP($X116&amp;$Z116,NWC_FC_NOOS!$C$4:$Q$23,MATCH(W116,NWC_FC_NOOS!$B$4:$B$23,0),FALSE),0),0)</f>
        <v>0</v>
      </c>
      <c r="AO116" s="57">
        <f>IFERROR(IF($V116="BRAND.com",HLOOKUP($X116&amp;$Z116,NWC_FC_NOOS!$T$4:$AH$23,MATCH(W116,NWC_FC_NOOS!$S$4:$S$23,0),FALSE),0),0)</f>
        <v>0</v>
      </c>
      <c r="AP116" s="57">
        <f>IFERROR(IF($V116="BRAND.com",HLOOKUP($X116&amp;$Z116,NWC_FC_NOOS!$C$50:$U$69,MATCH(W116,NWC_FC_NOOS!$B$50:$B$69,0),FALSE),0),0)</f>
        <v>0</v>
      </c>
      <c r="AQ116" s="58">
        <f>IFERROR(IF($V116="BRAND.com",HLOOKUP($X116&amp;$Z116,'NWC_FC_NON-NOOS'!$C$4:$Q$23,MATCH(W116,'NWC_FC_NON-NOOS'!$B$4:$B$23,0),FALSE),0),0)</f>
        <v>0</v>
      </c>
      <c r="AR116" s="57">
        <f>IFERROR(IF($V116="BRAND.com",HLOOKUP($X116&amp;$Z116,'NWC_FC_NON-NOOS'!$T$4:$AH$23,MATCH(W116,'NWC_FC_NON-NOOS'!$S$4:$S$23,0),FALSE),0),0)</f>
        <v>0</v>
      </c>
      <c r="AS116" s="57">
        <f>IFERROR(IF($V116="BRAND.com",HLOOKUP($X116&amp;$Z116,'NWC_FC_NON-NOOS'!$C$50:$U$69,MATCH(W116,'NWC_FC_NON-NOOS'!$B$50:$B$69,0),FALSE),0),0)</f>
        <v>0</v>
      </c>
      <c r="AT116" s="57">
        <f t="shared" si="50"/>
        <v>0</v>
      </c>
      <c r="AU116" s="57">
        <f t="shared" si="51"/>
        <v>0</v>
      </c>
      <c r="AV116" s="58">
        <f>IFERROR(IF($V116="BRAND.com",HLOOKUP($X116&amp;$Z116,PLANNING_FC!$BB$27:$BP$46,MATCH($W116,PLANNING_FC!$BA$27:$BA$46,0),FALSE),0),0)</f>
        <v>0</v>
      </c>
      <c r="AW116" s="58">
        <f>IFERROR(IF($V116="BRAND.com",HLOOKUP($X116&amp;$Z116,PLANNING_FC!$BB$4:$BP$23,MATCH($W116,PLANNING_FC!$BA$4:$BA$23,0),FALSE),0),0)</f>
        <v>0</v>
      </c>
      <c r="AX116" s="58">
        <f>IFERROR(IF($V116="BRAND.com",HLOOKUP($X116&amp;$Z116,PLANNING_FC!$T$27:$AH$46,MATCH($W116,PLANNING_FC!$B$27:$B$46,0),FALSE),0),0)</f>
        <v>0</v>
      </c>
      <c r="AY116" s="58">
        <f>IFERROR(IF($V116="BRAND.com",HLOOKUP($X116&amp;$Z116,PLANNING_FC!$T$4:$AH$23,MATCH($W116,PLANNING_FC!$B$4:$B$23,0),FALSE),0),0)</f>
        <v>0</v>
      </c>
      <c r="AZ116" s="58">
        <f>IFERROR(IF($V116="BRAND.com",HLOOKUP($X116&amp;$Z116,PLANNING_FC!$DA$27:$DO$46,MATCH($W116,PLANNING_FC!$CZ$27:$CZ$46,0),FALSE),0),0)</f>
        <v>0</v>
      </c>
      <c r="BA116" s="58">
        <f>IFERROR(IF($V116="BRAND.com",HLOOKUP($X116&amp;$Z116,PLANNING_FC!$DA$4:$DO$23,MATCH($W116,PLANNING_FC!$CZ$4:$CZ$23,0),FALSE),0),0)</f>
        <v>0</v>
      </c>
      <c r="BB116" s="883" t="str">
        <f>IF(V116="BRAND.com",IFERROR(HLOOKUP(X116&amp;Z116,PLANNING_FC!$AK$4:$AY$23,MATCH(W116,PLANNING_FC!$AJ$4:$AJ$23,0),FALSE)*1000,""),"")</f>
        <v/>
      </c>
      <c r="BC116" s="883" t="str">
        <f>IF(V116="BRAND.com",IFERROR(HLOOKUP(X116&amp;Z116,PLANNING_FC!$AK$27:$AY$46,MATCH(W116,PLANNING_FC!$AJ$27:$AJ$46,0),FALSE)*1000,""),"")</f>
        <v/>
      </c>
    </row>
    <row r="117" spans="1:55" x14ac:dyDescent="0.25">
      <c r="A117" s="509"/>
      <c r="B117" s="510"/>
      <c r="C117" s="509"/>
      <c r="D117" s="511"/>
      <c r="E117" s="509"/>
      <c r="F117" s="509"/>
      <c r="G117" s="509"/>
      <c r="H117" s="509"/>
      <c r="I117" s="512"/>
      <c r="J117" s="513"/>
      <c r="K117" s="879"/>
      <c r="L117" s="515"/>
      <c r="M117" s="516"/>
      <c r="N117" s="56">
        <f t="shared" si="52"/>
        <v>0</v>
      </c>
      <c r="O117" s="57">
        <f t="shared" si="53"/>
        <v>0</v>
      </c>
      <c r="P117" s="57">
        <f ca="1">IFERROR(IF(ISBLANK(H117),SUMIFS($AC:$AC,$V:$V,V117,$W:$W,W117,$X:$X,X117,$Y:$Y,Y117)*J117/(1-J117)*VLOOKUP(_xlfn.CONCAT(C117,D117,E117,TIME!$M$12,Z117),HIS_SALES!$B$2:$W$4859,20,FALSE),AC117*J117/(1-J117)),0)</f>
        <v>0</v>
      </c>
      <c r="Q117" s="541" t="str">
        <f t="shared" si="54"/>
        <v/>
      </c>
      <c r="R117" s="346" t="str">
        <f t="shared" si="35"/>
        <v>00000</v>
      </c>
      <c r="S117" s="344">
        <f t="shared" si="55"/>
        <v>0</v>
      </c>
      <c r="T117" s="345" t="str">
        <f t="shared" si="49"/>
        <v>000</v>
      </c>
      <c r="U117" s="345">
        <f t="shared" si="56"/>
        <v>0</v>
      </c>
      <c r="V117" s="345">
        <f t="shared" si="57"/>
        <v>0</v>
      </c>
      <c r="W117" s="345">
        <f t="shared" si="58"/>
        <v>0</v>
      </c>
      <c r="X117" s="345">
        <f t="shared" si="59"/>
        <v>0</v>
      </c>
      <c r="Y117" s="345">
        <f t="shared" si="60"/>
        <v>0</v>
      </c>
      <c r="Z117" s="345">
        <f>IF(Q117&lt;&gt;"",VLOOKUP(Y117,TIME!$R$21:$V$24,MATCH(FC_DATA!Q117,TIME!$R$20:$V$20,0),FALSE),H117)</f>
        <v>0</v>
      </c>
      <c r="AA117" s="345" t="str">
        <f>IFERROR(VLOOKUP(X117&amp;Z117,TIME!$A$12:$D$71,4,FALSE),"")</f>
        <v/>
      </c>
      <c r="AB117" s="592">
        <f t="shared" ca="1" si="42"/>
        <v>0</v>
      </c>
      <c r="AC117" s="593" t="e">
        <f ca="1">IF(ISBLANK(H117)=FALSE,IF(D117="BRAND.com",I117,IF(ISNA(VLOOKUP(_xlfn.CONCAT(X117,Z117),TIME!$M$40:$M$42,1,FALSE)),I117,VLOOKUP(_xlfn.CONCAT(D117,G117,H117),M_BUSAREA_FC!$AF$5:$AJ$10,5,FALSE)*HLOOKUP(_xlfn.CONCAT(F117,H117),ST_OVERVIEW!$G$99:$I$130,MATCH(_xlfn.CONCAT(D117,E117),ST_OVERVIEW!$F$99:$F$130,0),FALSE))),IF(D117="BRAND.com",VLOOKUP(_xlfn.CONCAT(C117,D117,E117,TIME!$F$1,Z117),HIS_SALES!$B$2:$V$4859,19,FALSE)*I117,VLOOKUP(_xlfn.CONCAT(D117,F117,G117),Q_BUSAREA_FC!$AE$5:$AI$12,5,FALSE)*HLOOKUP(_xlfn.CONCAT(FC_DATA!F117,FC_DATA!G117),LT_OVERVIEW!$I$99:$M$130,MATCH(_xlfn.CONCAT(D117,FC_DATA!E117),LT_OVERVIEW!$H$99:$H$130,0),FALSE)*IFERROR(VLOOKUP(_xlfn.CONCAT(C117,D117,E117,TIME!$F$1,Z117),HIS_SALES!$B$2:$V$4859,19,FALSE),0)))</f>
        <v>#N/A</v>
      </c>
      <c r="AD117" s="341">
        <f t="shared" ca="1" si="61"/>
        <v>0</v>
      </c>
      <c r="AE117" s="363" t="str">
        <f t="shared" si="62"/>
        <v/>
      </c>
      <c r="AF117" s="342" t="str">
        <f t="shared" si="63"/>
        <v/>
      </c>
      <c r="AG117" s="411" t="e">
        <f ca="1">VLOOKUP(_xlfn.CONCAT(U117,V117,W117,VLOOKUP(X117&amp;Y117,TIME!$L$27:$O$34,4,FALSE),Y117),HIS_SALES!$A$2:$R$5093,18,FALSE)</f>
        <v>#N/A</v>
      </c>
      <c r="AH117" s="412" t="e">
        <f ca="1">IFERROR(IF(AND(V117=V116,W117=W116),0.5*(AB117+AB116)*AG117,(VLOOKUP(_xlfn.CONCAT(U117,V117,W117,X117,VLOOKUP(Z117,TIME!$S$28:$T$39,2,FALSE)),FC_DATA!$R$2:$AB$5000,MATCH("GS_I_M",FC_DATA!$R$1:$AB$1,0),FALSE)+FC_DATA!AB117)*0.5*FC_DATA!AG117),NA())</f>
        <v>#N/A</v>
      </c>
      <c r="AI117" s="491" t="e">
        <f ca="1">IF(V117="PARTNER.com",AH117,IF(AND(V117=V116,W117=W116),(1-AVERAGE(AD116,AD117))*AH117,(1-AVERAGE(AD117,VLOOKUP(_xlfn.CONCAT(U117,V117,W117,X117,M_BRAND_FC!$F$6),FC_DATA!$R$2:$AD$5000,MATCH("DISCOUNT_%_M",FC_DATA!$R$1:$AD$1,0),FALSE)))*AH117))</f>
        <v>#N/A</v>
      </c>
      <c r="AJ117" s="412" t="str">
        <f t="shared" ca="1" si="46"/>
        <v/>
      </c>
      <c r="AK117" s="413" t="str">
        <f>IFERROR(AE117/(Q_BRAND_FC!$T$24+1),"")</f>
        <v/>
      </c>
      <c r="AL117" s="88" t="str">
        <f t="shared" ca="1" si="47"/>
        <v/>
      </c>
      <c r="AM117" s="414" t="str">
        <f t="shared" ca="1" si="48"/>
        <v/>
      </c>
      <c r="AN117" s="58">
        <f>IFERROR(IF($V117="BRAND.com",HLOOKUP($X117&amp;$Z117,NWC_FC_NOOS!$C$4:$Q$23,MATCH(W117,NWC_FC_NOOS!$B$4:$B$23,0),FALSE),0),0)</f>
        <v>0</v>
      </c>
      <c r="AO117" s="57">
        <f>IFERROR(IF($V117="BRAND.com",HLOOKUP($X117&amp;$Z117,NWC_FC_NOOS!$T$4:$AH$23,MATCH(W117,NWC_FC_NOOS!$S$4:$S$23,0),FALSE),0),0)</f>
        <v>0</v>
      </c>
      <c r="AP117" s="57">
        <f>IFERROR(IF($V117="BRAND.com",HLOOKUP($X117&amp;$Z117,NWC_FC_NOOS!$C$50:$U$69,MATCH(W117,NWC_FC_NOOS!$B$50:$B$69,0),FALSE),0),0)</f>
        <v>0</v>
      </c>
      <c r="AQ117" s="58">
        <f>IFERROR(IF($V117="BRAND.com",HLOOKUP($X117&amp;$Z117,'NWC_FC_NON-NOOS'!$C$4:$Q$23,MATCH(W117,'NWC_FC_NON-NOOS'!$B$4:$B$23,0),FALSE),0),0)</f>
        <v>0</v>
      </c>
      <c r="AR117" s="57">
        <f>IFERROR(IF($V117="BRAND.com",HLOOKUP($X117&amp;$Z117,'NWC_FC_NON-NOOS'!$T$4:$AH$23,MATCH(W117,'NWC_FC_NON-NOOS'!$S$4:$S$23,0),FALSE),0),0)</f>
        <v>0</v>
      </c>
      <c r="AS117" s="57">
        <f>IFERROR(IF($V117="BRAND.com",HLOOKUP($X117&amp;$Z117,'NWC_FC_NON-NOOS'!$C$50:$U$69,MATCH(W117,'NWC_FC_NON-NOOS'!$B$50:$B$69,0),FALSE),0),0)</f>
        <v>0</v>
      </c>
      <c r="AT117" s="57">
        <f t="shared" si="50"/>
        <v>0</v>
      </c>
      <c r="AU117" s="57">
        <f t="shared" si="51"/>
        <v>0</v>
      </c>
      <c r="AV117" s="58">
        <f>IFERROR(IF($V117="BRAND.com",HLOOKUP($X117&amp;$Z117,PLANNING_FC!$BB$27:$BP$46,MATCH($W117,PLANNING_FC!$BA$27:$BA$46,0),FALSE),0),0)</f>
        <v>0</v>
      </c>
      <c r="AW117" s="58">
        <f>IFERROR(IF($V117="BRAND.com",HLOOKUP($X117&amp;$Z117,PLANNING_FC!$BB$4:$BP$23,MATCH($W117,PLANNING_FC!$BA$4:$BA$23,0),FALSE),0),0)</f>
        <v>0</v>
      </c>
      <c r="AX117" s="58">
        <f>IFERROR(IF($V117="BRAND.com",HLOOKUP($X117&amp;$Z117,PLANNING_FC!$T$27:$AH$46,MATCH($W117,PLANNING_FC!$B$27:$B$46,0),FALSE),0),0)</f>
        <v>0</v>
      </c>
      <c r="AY117" s="58">
        <f>IFERROR(IF($V117="BRAND.com",HLOOKUP($X117&amp;$Z117,PLANNING_FC!$T$4:$AH$23,MATCH($W117,PLANNING_FC!$B$4:$B$23,0),FALSE),0),0)</f>
        <v>0</v>
      </c>
      <c r="AZ117" s="58">
        <f>IFERROR(IF($V117="BRAND.com",HLOOKUP($X117&amp;$Z117,PLANNING_FC!$DA$27:$DO$46,MATCH($W117,PLANNING_FC!$CZ$27:$CZ$46,0),FALSE),0),0)</f>
        <v>0</v>
      </c>
      <c r="BA117" s="58">
        <f>IFERROR(IF($V117="BRAND.com",HLOOKUP($X117&amp;$Z117,PLANNING_FC!$DA$4:$DO$23,MATCH($W117,PLANNING_FC!$CZ$4:$CZ$23,0),FALSE),0),0)</f>
        <v>0</v>
      </c>
      <c r="BB117" s="883" t="str">
        <f>IF(V117="BRAND.com",IFERROR(HLOOKUP(X117&amp;Z117,PLANNING_FC!$AK$4:$AY$23,MATCH(W117,PLANNING_FC!$AJ$4:$AJ$23,0),FALSE)*1000,""),"")</f>
        <v/>
      </c>
      <c r="BC117" s="883" t="str">
        <f>IF(V117="BRAND.com",IFERROR(HLOOKUP(X117&amp;Z117,PLANNING_FC!$AK$27:$AY$46,MATCH(W117,PLANNING_FC!$AJ$27:$AJ$46,0),FALSE)*1000,""),"")</f>
        <v/>
      </c>
    </row>
    <row r="118" spans="1:55" x14ac:dyDescent="0.25">
      <c r="A118" s="509"/>
      <c r="B118" s="510"/>
      <c r="C118" s="509"/>
      <c r="D118" s="511"/>
      <c r="E118" s="509"/>
      <c r="F118" s="509"/>
      <c r="G118" s="509"/>
      <c r="H118" s="509"/>
      <c r="I118" s="512"/>
      <c r="J118" s="513"/>
      <c r="K118" s="879"/>
      <c r="L118" s="515"/>
      <c r="M118" s="516"/>
      <c r="N118" s="56">
        <f t="shared" si="52"/>
        <v>0</v>
      </c>
      <c r="O118" s="57">
        <f t="shared" si="53"/>
        <v>0</v>
      </c>
      <c r="P118" s="57">
        <f ca="1">IFERROR(IF(ISBLANK(H118),SUMIFS($AC:$AC,$V:$V,V118,$W:$W,W118,$X:$X,X118,$Y:$Y,Y118)*J118/(1-J118)*VLOOKUP(_xlfn.CONCAT(C118,D118,E118,TIME!$M$12,Z118),HIS_SALES!$B$2:$W$4859,20,FALSE),AC118*J118/(1-J118)),0)</f>
        <v>0</v>
      </c>
      <c r="Q118" s="541" t="str">
        <f t="shared" si="54"/>
        <v/>
      </c>
      <c r="R118" s="346" t="str">
        <f t="shared" si="35"/>
        <v>00000</v>
      </c>
      <c r="S118" s="344">
        <f t="shared" si="55"/>
        <v>0</v>
      </c>
      <c r="T118" s="345" t="str">
        <f t="shared" si="49"/>
        <v>000</v>
      </c>
      <c r="U118" s="345">
        <f t="shared" si="56"/>
        <v>0</v>
      </c>
      <c r="V118" s="345">
        <f t="shared" si="57"/>
        <v>0</v>
      </c>
      <c r="W118" s="345">
        <f t="shared" si="58"/>
        <v>0</v>
      </c>
      <c r="X118" s="345">
        <f t="shared" si="59"/>
        <v>0</v>
      </c>
      <c r="Y118" s="345">
        <f t="shared" si="60"/>
        <v>0</v>
      </c>
      <c r="Z118" s="345">
        <f>IF(Q118&lt;&gt;"",VLOOKUP(Y118,TIME!$R$21:$V$24,MATCH(FC_DATA!Q118,TIME!$R$20:$V$20,0),FALSE),H118)</f>
        <v>0</v>
      </c>
      <c r="AA118" s="345" t="str">
        <f>IFERROR(VLOOKUP(X118&amp;Z118,TIME!$A$12:$D$71,4,FALSE),"")</f>
        <v/>
      </c>
      <c r="AB118" s="592">
        <f t="shared" ca="1" si="42"/>
        <v>0</v>
      </c>
      <c r="AC118" s="593" t="e">
        <f ca="1">IF(ISBLANK(H118)=FALSE,IF(D118="BRAND.com",I118,IF(ISNA(VLOOKUP(_xlfn.CONCAT(X118,Z118),TIME!$M$40:$M$42,1,FALSE)),I118,VLOOKUP(_xlfn.CONCAT(D118,G118,H118),M_BUSAREA_FC!$AF$5:$AJ$10,5,FALSE)*HLOOKUP(_xlfn.CONCAT(F118,H118),ST_OVERVIEW!$G$99:$I$130,MATCH(_xlfn.CONCAT(D118,E118),ST_OVERVIEW!$F$99:$F$130,0),FALSE))),IF(D118="BRAND.com",VLOOKUP(_xlfn.CONCAT(C118,D118,E118,TIME!$F$1,Z118),HIS_SALES!$B$2:$V$4859,19,FALSE)*I118,VLOOKUP(_xlfn.CONCAT(D118,F118,G118),Q_BUSAREA_FC!$AE$5:$AI$12,5,FALSE)*HLOOKUP(_xlfn.CONCAT(FC_DATA!F118,FC_DATA!G118),LT_OVERVIEW!$I$99:$M$130,MATCH(_xlfn.CONCAT(D118,FC_DATA!E118),LT_OVERVIEW!$H$99:$H$130,0),FALSE)*IFERROR(VLOOKUP(_xlfn.CONCAT(C118,D118,E118,TIME!$F$1,Z118),HIS_SALES!$B$2:$V$4859,19,FALSE),0)))</f>
        <v>#N/A</v>
      </c>
      <c r="AD118" s="341">
        <f t="shared" ca="1" si="61"/>
        <v>0</v>
      </c>
      <c r="AE118" s="363" t="str">
        <f t="shared" si="62"/>
        <v/>
      </c>
      <c r="AF118" s="342" t="str">
        <f t="shared" si="63"/>
        <v/>
      </c>
      <c r="AG118" s="411" t="e">
        <f ca="1">VLOOKUP(_xlfn.CONCAT(U118,V118,W118,VLOOKUP(X118&amp;Y118,TIME!$L$27:$O$34,4,FALSE),Y118),HIS_SALES!$A$2:$R$5093,18,FALSE)</f>
        <v>#N/A</v>
      </c>
      <c r="AH118" s="412" t="e">
        <f ca="1">IFERROR(IF(AND(V118=V117,W118=W117),0.5*(AB118+AB117)*AG118,(VLOOKUP(_xlfn.CONCAT(U118,V118,W118,X118,VLOOKUP(Z118,TIME!$S$28:$T$39,2,FALSE)),FC_DATA!$R$2:$AB$5000,MATCH("GS_I_M",FC_DATA!$R$1:$AB$1,0),FALSE)+FC_DATA!AB118)*0.5*FC_DATA!AG118),NA())</f>
        <v>#N/A</v>
      </c>
      <c r="AI118" s="491" t="e">
        <f ca="1">IF(V118="PARTNER.com",AH118,IF(AND(V118=V117,W118=W117),(1-AVERAGE(AD117,AD118))*AH118,(1-AVERAGE(AD118,VLOOKUP(_xlfn.CONCAT(U118,V118,W118,X118,M_BRAND_FC!$F$6),FC_DATA!$R$2:$AD$5000,MATCH("DISCOUNT_%_M",FC_DATA!$R$1:$AD$1,0),FALSE)))*AH118))</f>
        <v>#N/A</v>
      </c>
      <c r="AJ118" s="412" t="str">
        <f t="shared" ca="1" si="46"/>
        <v/>
      </c>
      <c r="AK118" s="413" t="str">
        <f>IFERROR(AE118/(Q_BRAND_FC!$T$24+1),"")</f>
        <v/>
      </c>
      <c r="AL118" s="88" t="str">
        <f t="shared" ca="1" si="47"/>
        <v/>
      </c>
      <c r="AM118" s="414" t="str">
        <f t="shared" ca="1" si="48"/>
        <v/>
      </c>
      <c r="AN118" s="58">
        <f>IFERROR(IF($V118="BRAND.com",HLOOKUP($X118&amp;$Z118,NWC_FC_NOOS!$C$4:$Q$23,MATCH(W118,NWC_FC_NOOS!$B$4:$B$23,0),FALSE),0),0)</f>
        <v>0</v>
      </c>
      <c r="AO118" s="57">
        <f>IFERROR(IF($V118="BRAND.com",HLOOKUP($X118&amp;$Z118,NWC_FC_NOOS!$T$4:$AH$23,MATCH(W118,NWC_FC_NOOS!$S$4:$S$23,0),FALSE),0),0)</f>
        <v>0</v>
      </c>
      <c r="AP118" s="57">
        <f>IFERROR(IF($V118="BRAND.com",HLOOKUP($X118&amp;$Z118,NWC_FC_NOOS!$C$50:$U$69,MATCH(W118,NWC_FC_NOOS!$B$50:$B$69,0),FALSE),0),0)</f>
        <v>0</v>
      </c>
      <c r="AQ118" s="58">
        <f>IFERROR(IF($V118="BRAND.com",HLOOKUP($X118&amp;$Z118,'NWC_FC_NON-NOOS'!$C$4:$Q$23,MATCH(W118,'NWC_FC_NON-NOOS'!$B$4:$B$23,0),FALSE),0),0)</f>
        <v>0</v>
      </c>
      <c r="AR118" s="57">
        <f>IFERROR(IF($V118="BRAND.com",HLOOKUP($X118&amp;$Z118,'NWC_FC_NON-NOOS'!$T$4:$AH$23,MATCH(W118,'NWC_FC_NON-NOOS'!$S$4:$S$23,0),FALSE),0),0)</f>
        <v>0</v>
      </c>
      <c r="AS118" s="57">
        <f>IFERROR(IF($V118="BRAND.com",HLOOKUP($X118&amp;$Z118,'NWC_FC_NON-NOOS'!$C$50:$U$69,MATCH(W118,'NWC_FC_NON-NOOS'!$B$50:$B$69,0),FALSE),0),0)</f>
        <v>0</v>
      </c>
      <c r="AT118" s="57">
        <f t="shared" si="50"/>
        <v>0</v>
      </c>
      <c r="AU118" s="57">
        <f t="shared" si="51"/>
        <v>0</v>
      </c>
      <c r="AV118" s="58">
        <f>IFERROR(IF($V118="BRAND.com",HLOOKUP($X118&amp;$Z118,PLANNING_FC!$BB$27:$BP$46,MATCH($W118,PLANNING_FC!$BA$27:$BA$46,0),FALSE),0),0)</f>
        <v>0</v>
      </c>
      <c r="AW118" s="58">
        <f>IFERROR(IF($V118="BRAND.com",HLOOKUP($X118&amp;$Z118,PLANNING_FC!$BB$4:$BP$23,MATCH($W118,PLANNING_FC!$BA$4:$BA$23,0),FALSE),0),0)</f>
        <v>0</v>
      </c>
      <c r="AX118" s="58">
        <f>IFERROR(IF($V118="BRAND.com",HLOOKUP($X118&amp;$Z118,PLANNING_FC!$T$27:$AH$46,MATCH($W118,PLANNING_FC!$B$27:$B$46,0),FALSE),0),0)</f>
        <v>0</v>
      </c>
      <c r="AY118" s="58">
        <f>IFERROR(IF($V118="BRAND.com",HLOOKUP($X118&amp;$Z118,PLANNING_FC!$T$4:$AH$23,MATCH($W118,PLANNING_FC!$B$4:$B$23,0),FALSE),0),0)</f>
        <v>0</v>
      </c>
      <c r="AZ118" s="58">
        <f>IFERROR(IF($V118="BRAND.com",HLOOKUP($X118&amp;$Z118,PLANNING_FC!$DA$27:$DO$46,MATCH($W118,PLANNING_FC!$CZ$27:$CZ$46,0),FALSE),0),0)</f>
        <v>0</v>
      </c>
      <c r="BA118" s="58">
        <f>IFERROR(IF($V118="BRAND.com",HLOOKUP($X118&amp;$Z118,PLANNING_FC!$DA$4:$DO$23,MATCH($W118,PLANNING_FC!$CZ$4:$CZ$23,0),FALSE),0),0)</f>
        <v>0</v>
      </c>
      <c r="BB118" s="883" t="str">
        <f>IF(V118="BRAND.com",IFERROR(HLOOKUP(X118&amp;Z118,PLANNING_FC!$AK$4:$AY$23,MATCH(W118,PLANNING_FC!$AJ$4:$AJ$23,0),FALSE)*1000,""),"")</f>
        <v/>
      </c>
      <c r="BC118" s="883" t="str">
        <f>IF(V118="BRAND.com",IFERROR(HLOOKUP(X118&amp;Z118,PLANNING_FC!$AK$27:$AY$46,MATCH(W118,PLANNING_FC!$AJ$27:$AJ$46,0),FALSE)*1000,""),"")</f>
        <v/>
      </c>
    </row>
    <row r="119" spans="1:55" x14ac:dyDescent="0.25">
      <c r="A119" s="509"/>
      <c r="B119" s="510"/>
      <c r="C119" s="509"/>
      <c r="D119" s="511"/>
      <c r="E119" s="509"/>
      <c r="F119" s="509"/>
      <c r="G119" s="509"/>
      <c r="H119" s="509"/>
      <c r="I119" s="512"/>
      <c r="J119" s="513"/>
      <c r="K119" s="879"/>
      <c r="L119" s="515"/>
      <c r="M119" s="516"/>
      <c r="N119" s="56">
        <f t="shared" si="52"/>
        <v>0</v>
      </c>
      <c r="O119" s="57">
        <f t="shared" si="53"/>
        <v>0</v>
      </c>
      <c r="P119" s="57">
        <f ca="1">IFERROR(IF(ISBLANK(H119),SUMIFS($AC:$AC,$V:$V,V119,$W:$W,W119,$X:$X,X119,$Y:$Y,Y119)*J119/(1-J119)*VLOOKUP(_xlfn.CONCAT(C119,D119,E119,TIME!$M$12,Z119),HIS_SALES!$B$2:$W$4859,20,FALSE),AC119*J119/(1-J119)),0)</f>
        <v>0</v>
      </c>
      <c r="Q119" s="541" t="str">
        <f t="shared" si="54"/>
        <v/>
      </c>
      <c r="R119" s="346" t="str">
        <f t="shared" si="35"/>
        <v>00000</v>
      </c>
      <c r="S119" s="344">
        <f t="shared" si="55"/>
        <v>0</v>
      </c>
      <c r="T119" s="345" t="str">
        <f t="shared" si="49"/>
        <v>000</v>
      </c>
      <c r="U119" s="345">
        <f t="shared" si="56"/>
        <v>0</v>
      </c>
      <c r="V119" s="345">
        <f t="shared" si="57"/>
        <v>0</v>
      </c>
      <c r="W119" s="345">
        <f t="shared" si="58"/>
        <v>0</v>
      </c>
      <c r="X119" s="345">
        <f t="shared" si="59"/>
        <v>0</v>
      </c>
      <c r="Y119" s="345">
        <f t="shared" si="60"/>
        <v>0</v>
      </c>
      <c r="Z119" s="345">
        <f>IF(Q119&lt;&gt;"",VLOOKUP(Y119,TIME!$R$21:$V$24,MATCH(FC_DATA!Q119,TIME!$R$20:$V$20,0),FALSE),H119)</f>
        <v>0</v>
      </c>
      <c r="AA119" s="345" t="str">
        <f>IFERROR(VLOOKUP(X119&amp;Z119,TIME!$A$12:$D$71,4,FALSE),"")</f>
        <v/>
      </c>
      <c r="AB119" s="592">
        <f t="shared" ca="1" si="42"/>
        <v>0</v>
      </c>
      <c r="AC119" s="593" t="e">
        <f ca="1">IF(ISBLANK(H119)=FALSE,IF(D119="BRAND.com",I119,IF(ISNA(VLOOKUP(_xlfn.CONCAT(X119,Z119),TIME!$M$40:$M$42,1,FALSE)),I119,VLOOKUP(_xlfn.CONCAT(D119,G119,H119),M_BUSAREA_FC!$AF$5:$AJ$10,5,FALSE)*HLOOKUP(_xlfn.CONCAT(F119,H119),ST_OVERVIEW!$G$99:$I$130,MATCH(_xlfn.CONCAT(D119,E119),ST_OVERVIEW!$F$99:$F$130,0),FALSE))),IF(D119="BRAND.com",VLOOKUP(_xlfn.CONCAT(C119,D119,E119,TIME!$F$1,Z119),HIS_SALES!$B$2:$V$4859,19,FALSE)*I119,VLOOKUP(_xlfn.CONCAT(D119,F119,G119),Q_BUSAREA_FC!$AE$5:$AI$12,5,FALSE)*HLOOKUP(_xlfn.CONCAT(FC_DATA!F119,FC_DATA!G119),LT_OVERVIEW!$I$99:$M$130,MATCH(_xlfn.CONCAT(D119,FC_DATA!E119),LT_OVERVIEW!$H$99:$H$130,0),FALSE)*IFERROR(VLOOKUP(_xlfn.CONCAT(C119,D119,E119,TIME!$F$1,Z119),HIS_SALES!$B$2:$V$4859,19,FALSE),0)))</f>
        <v>#N/A</v>
      </c>
      <c r="AD119" s="341">
        <f t="shared" ca="1" si="61"/>
        <v>0</v>
      </c>
      <c r="AE119" s="363" t="str">
        <f t="shared" si="62"/>
        <v/>
      </c>
      <c r="AF119" s="342" t="str">
        <f t="shared" si="63"/>
        <v/>
      </c>
      <c r="AG119" s="411" t="e">
        <f ca="1">VLOOKUP(_xlfn.CONCAT(U119,V119,W119,VLOOKUP(X119&amp;Y119,TIME!$L$27:$O$34,4,FALSE),Y119),HIS_SALES!$A$2:$R$5093,18,FALSE)</f>
        <v>#N/A</v>
      </c>
      <c r="AH119" s="412" t="e">
        <f ca="1">IFERROR(IF(AND(V119=V118,W119=W118),0.5*(AB119+AB118)*AG119,(VLOOKUP(_xlfn.CONCAT(U119,V119,W119,X119,VLOOKUP(Z119,TIME!$S$28:$T$39,2,FALSE)),FC_DATA!$R$2:$AB$5000,MATCH("GS_I_M",FC_DATA!$R$1:$AB$1,0),FALSE)+FC_DATA!AB119)*0.5*FC_DATA!AG119),NA())</f>
        <v>#N/A</v>
      </c>
      <c r="AI119" s="491" t="e">
        <f ca="1">IF(V119="PARTNER.com",AH119,IF(AND(V119=V118,W119=W118),(1-AVERAGE(AD118,AD119))*AH119,(1-AVERAGE(AD119,VLOOKUP(_xlfn.CONCAT(U119,V119,W119,X119,M_BRAND_FC!$F$6),FC_DATA!$R$2:$AD$5000,MATCH("DISCOUNT_%_M",FC_DATA!$R$1:$AD$1,0),FALSE)))*AH119))</f>
        <v>#N/A</v>
      </c>
      <c r="AJ119" s="412" t="str">
        <f t="shared" ca="1" si="46"/>
        <v/>
      </c>
      <c r="AK119" s="413" t="str">
        <f>IFERROR(AE119/(Q_BRAND_FC!$T$24+1),"")</f>
        <v/>
      </c>
      <c r="AL119" s="88" t="str">
        <f t="shared" ca="1" si="47"/>
        <v/>
      </c>
      <c r="AM119" s="414" t="str">
        <f t="shared" ca="1" si="48"/>
        <v/>
      </c>
      <c r="AN119" s="58">
        <f>IFERROR(IF($V119="BRAND.com",HLOOKUP($X119&amp;$Z119,NWC_FC_NOOS!$C$4:$Q$23,MATCH(W119,NWC_FC_NOOS!$B$4:$B$23,0),FALSE),0),0)</f>
        <v>0</v>
      </c>
      <c r="AO119" s="57">
        <f>IFERROR(IF($V119="BRAND.com",HLOOKUP($X119&amp;$Z119,NWC_FC_NOOS!$T$4:$AH$23,MATCH(W119,NWC_FC_NOOS!$S$4:$S$23,0),FALSE),0),0)</f>
        <v>0</v>
      </c>
      <c r="AP119" s="57">
        <f>IFERROR(IF($V119="BRAND.com",HLOOKUP($X119&amp;$Z119,NWC_FC_NOOS!$C$50:$U$69,MATCH(W119,NWC_FC_NOOS!$B$50:$B$69,0),FALSE),0),0)</f>
        <v>0</v>
      </c>
      <c r="AQ119" s="58">
        <f>IFERROR(IF($V119="BRAND.com",HLOOKUP($X119&amp;$Z119,'NWC_FC_NON-NOOS'!$C$4:$Q$23,MATCH(W119,'NWC_FC_NON-NOOS'!$B$4:$B$23,0),FALSE),0),0)</f>
        <v>0</v>
      </c>
      <c r="AR119" s="57">
        <f>IFERROR(IF($V119="BRAND.com",HLOOKUP($X119&amp;$Z119,'NWC_FC_NON-NOOS'!$T$4:$AH$23,MATCH(W119,'NWC_FC_NON-NOOS'!$S$4:$S$23,0),FALSE),0),0)</f>
        <v>0</v>
      </c>
      <c r="AS119" s="57">
        <f>IFERROR(IF($V119="BRAND.com",HLOOKUP($X119&amp;$Z119,'NWC_FC_NON-NOOS'!$C$50:$U$69,MATCH(W119,'NWC_FC_NON-NOOS'!$B$50:$B$69,0),FALSE),0),0)</f>
        <v>0</v>
      </c>
      <c r="AT119" s="57">
        <f t="shared" si="50"/>
        <v>0</v>
      </c>
      <c r="AU119" s="57">
        <f t="shared" si="51"/>
        <v>0</v>
      </c>
      <c r="AV119" s="58">
        <f>IFERROR(IF($V119="BRAND.com",HLOOKUP($X119&amp;$Z119,PLANNING_FC!$BB$27:$BP$46,MATCH($W119,PLANNING_FC!$BA$27:$BA$46,0),FALSE),0),0)</f>
        <v>0</v>
      </c>
      <c r="AW119" s="58">
        <f>IFERROR(IF($V119="BRAND.com",HLOOKUP($X119&amp;$Z119,PLANNING_FC!$BB$4:$BP$23,MATCH($W119,PLANNING_FC!$BA$4:$BA$23,0),FALSE),0),0)</f>
        <v>0</v>
      </c>
      <c r="AX119" s="58">
        <f>IFERROR(IF($V119="BRAND.com",HLOOKUP($X119&amp;$Z119,PLANNING_FC!$T$27:$AH$46,MATCH($W119,PLANNING_FC!$B$27:$B$46,0),FALSE),0),0)</f>
        <v>0</v>
      </c>
      <c r="AY119" s="58">
        <f>IFERROR(IF($V119="BRAND.com",HLOOKUP($X119&amp;$Z119,PLANNING_FC!$T$4:$AH$23,MATCH($W119,PLANNING_FC!$B$4:$B$23,0),FALSE),0),0)</f>
        <v>0</v>
      </c>
      <c r="AZ119" s="58">
        <f>IFERROR(IF($V119="BRAND.com",HLOOKUP($X119&amp;$Z119,PLANNING_FC!$DA$27:$DO$46,MATCH($W119,PLANNING_FC!$CZ$27:$CZ$46,0),FALSE),0),0)</f>
        <v>0</v>
      </c>
      <c r="BA119" s="58">
        <f>IFERROR(IF($V119="BRAND.com",HLOOKUP($X119&amp;$Z119,PLANNING_FC!$DA$4:$DO$23,MATCH($W119,PLANNING_FC!$CZ$4:$CZ$23,0),FALSE),0),0)</f>
        <v>0</v>
      </c>
      <c r="BB119" s="883" t="str">
        <f>IF(V119="BRAND.com",IFERROR(HLOOKUP(X119&amp;Z119,PLANNING_FC!$AK$4:$AY$23,MATCH(W119,PLANNING_FC!$AJ$4:$AJ$23,0),FALSE)*1000,""),"")</f>
        <v/>
      </c>
      <c r="BC119" s="883" t="str">
        <f>IF(V119="BRAND.com",IFERROR(HLOOKUP(X119&amp;Z119,PLANNING_FC!$AK$27:$AY$46,MATCH(W119,PLANNING_FC!$AJ$27:$AJ$46,0),FALSE)*1000,""),"")</f>
        <v/>
      </c>
    </row>
    <row r="120" spans="1:55" x14ac:dyDescent="0.25">
      <c r="A120" s="509"/>
      <c r="B120" s="510"/>
      <c r="C120" s="509"/>
      <c r="D120" s="511"/>
      <c r="E120" s="509"/>
      <c r="F120" s="509"/>
      <c r="G120" s="509"/>
      <c r="H120" s="509"/>
      <c r="I120" s="512"/>
      <c r="J120" s="513"/>
      <c r="K120" s="879"/>
      <c r="L120" s="515"/>
      <c r="M120" s="516"/>
      <c r="N120" s="56">
        <f t="shared" si="52"/>
        <v>0</v>
      </c>
      <c r="O120" s="57">
        <f t="shared" si="53"/>
        <v>0</v>
      </c>
      <c r="P120" s="57">
        <f ca="1">IFERROR(IF(ISBLANK(H120),SUMIFS($AC:$AC,$V:$V,V120,$W:$W,W120,$X:$X,X120,$Y:$Y,Y120)*J120/(1-J120)*VLOOKUP(_xlfn.CONCAT(C120,D120,E120,TIME!$M$12,Z120),HIS_SALES!$B$2:$W$4859,20,FALSE),AC120*J120/(1-J120)),0)</f>
        <v>0</v>
      </c>
      <c r="Q120" s="541" t="str">
        <f t="shared" si="54"/>
        <v/>
      </c>
      <c r="R120" s="346" t="str">
        <f t="shared" si="35"/>
        <v>00000</v>
      </c>
      <c r="S120" s="344">
        <f t="shared" si="55"/>
        <v>0</v>
      </c>
      <c r="T120" s="345" t="str">
        <f t="shared" si="49"/>
        <v>000</v>
      </c>
      <c r="U120" s="345">
        <f t="shared" si="56"/>
        <v>0</v>
      </c>
      <c r="V120" s="345">
        <f t="shared" si="57"/>
        <v>0</v>
      </c>
      <c r="W120" s="345">
        <f t="shared" si="58"/>
        <v>0</v>
      </c>
      <c r="X120" s="345">
        <f t="shared" si="59"/>
        <v>0</v>
      </c>
      <c r="Y120" s="345">
        <f t="shared" si="60"/>
        <v>0</v>
      </c>
      <c r="Z120" s="345">
        <f>IF(Q120&lt;&gt;"",VLOOKUP(Y120,TIME!$R$21:$V$24,MATCH(FC_DATA!Q120,TIME!$R$20:$V$20,0),FALSE),H120)</f>
        <v>0</v>
      </c>
      <c r="AA120" s="345" t="str">
        <f>IFERROR(VLOOKUP(X120&amp;Z120,TIME!$A$12:$D$71,4,FALSE),"")</f>
        <v/>
      </c>
      <c r="AB120" s="592">
        <f t="shared" ca="1" si="42"/>
        <v>0</v>
      </c>
      <c r="AC120" s="593" t="e">
        <f ca="1">IF(ISBLANK(H120)=FALSE,IF(D120="BRAND.com",I120,IF(ISNA(VLOOKUP(_xlfn.CONCAT(X120,Z120),TIME!$M$40:$M$42,1,FALSE)),I120,VLOOKUP(_xlfn.CONCAT(D120,G120,H120),M_BUSAREA_FC!$AF$5:$AJ$10,5,FALSE)*HLOOKUP(_xlfn.CONCAT(F120,H120),ST_OVERVIEW!$G$99:$I$130,MATCH(_xlfn.CONCAT(D120,E120),ST_OVERVIEW!$F$99:$F$130,0),FALSE))),IF(D120="BRAND.com",VLOOKUP(_xlfn.CONCAT(C120,D120,E120,TIME!$F$1,Z120),HIS_SALES!$B$2:$V$4859,19,FALSE)*I120,VLOOKUP(_xlfn.CONCAT(D120,F120,G120),Q_BUSAREA_FC!$AE$5:$AI$12,5,FALSE)*HLOOKUP(_xlfn.CONCAT(FC_DATA!F120,FC_DATA!G120),LT_OVERVIEW!$I$99:$M$130,MATCH(_xlfn.CONCAT(D120,FC_DATA!E120),LT_OVERVIEW!$H$99:$H$130,0),FALSE)*IFERROR(VLOOKUP(_xlfn.CONCAT(C120,D120,E120,TIME!$F$1,Z120),HIS_SALES!$B$2:$V$4859,19,FALSE),0)))</f>
        <v>#N/A</v>
      </c>
      <c r="AD120" s="341">
        <f t="shared" ca="1" si="61"/>
        <v>0</v>
      </c>
      <c r="AE120" s="363" t="str">
        <f t="shared" si="62"/>
        <v/>
      </c>
      <c r="AF120" s="342" t="str">
        <f t="shared" si="63"/>
        <v/>
      </c>
      <c r="AG120" s="411" t="e">
        <f ca="1">VLOOKUP(_xlfn.CONCAT(U120,V120,W120,VLOOKUP(X120&amp;Y120,TIME!$L$27:$O$34,4,FALSE),Y120),HIS_SALES!$A$2:$R$5093,18,FALSE)</f>
        <v>#N/A</v>
      </c>
      <c r="AH120" s="412" t="e">
        <f ca="1">IFERROR(IF(AND(V120=V119,W120=W119),0.5*(AB120+AB119)*AG120,(VLOOKUP(_xlfn.CONCAT(U120,V120,W120,X120,VLOOKUP(Z120,TIME!$S$28:$T$39,2,FALSE)),FC_DATA!$R$2:$AB$5000,MATCH("GS_I_M",FC_DATA!$R$1:$AB$1,0),FALSE)+FC_DATA!AB120)*0.5*FC_DATA!AG120),NA())</f>
        <v>#N/A</v>
      </c>
      <c r="AI120" s="491" t="e">
        <f ca="1">IF(V120="PARTNER.com",AH120,IF(AND(V120=V119,W120=W119),(1-AVERAGE(AD119,AD120))*AH120,(1-AVERAGE(AD120,VLOOKUP(_xlfn.CONCAT(U120,V120,W120,X120,M_BRAND_FC!$F$6),FC_DATA!$R$2:$AD$5000,MATCH("DISCOUNT_%_M",FC_DATA!$R$1:$AD$1,0),FALSE)))*AH120))</f>
        <v>#N/A</v>
      </c>
      <c r="AJ120" s="412" t="str">
        <f t="shared" ca="1" si="46"/>
        <v/>
      </c>
      <c r="AK120" s="413" t="str">
        <f>IFERROR(AE120/(Q_BRAND_FC!$T$24+1),"")</f>
        <v/>
      </c>
      <c r="AL120" s="88" t="str">
        <f t="shared" ca="1" si="47"/>
        <v/>
      </c>
      <c r="AM120" s="414" t="str">
        <f t="shared" ca="1" si="48"/>
        <v/>
      </c>
      <c r="AN120" s="58">
        <f>IFERROR(IF($V120="BRAND.com",HLOOKUP($X120&amp;$Z120,NWC_FC_NOOS!$C$4:$Q$23,MATCH(W120,NWC_FC_NOOS!$B$4:$B$23,0),FALSE),0),0)</f>
        <v>0</v>
      </c>
      <c r="AO120" s="57">
        <f>IFERROR(IF($V120="BRAND.com",HLOOKUP($X120&amp;$Z120,NWC_FC_NOOS!$T$4:$AH$23,MATCH(W120,NWC_FC_NOOS!$S$4:$S$23,0),FALSE),0),0)</f>
        <v>0</v>
      </c>
      <c r="AP120" s="57">
        <f>IFERROR(IF($V120="BRAND.com",HLOOKUP($X120&amp;$Z120,NWC_FC_NOOS!$C$50:$U$69,MATCH(W120,NWC_FC_NOOS!$B$50:$B$69,0),FALSE),0),0)</f>
        <v>0</v>
      </c>
      <c r="AQ120" s="58">
        <f>IFERROR(IF($V120="BRAND.com",HLOOKUP($X120&amp;$Z120,'NWC_FC_NON-NOOS'!$C$4:$Q$23,MATCH(W120,'NWC_FC_NON-NOOS'!$B$4:$B$23,0),FALSE),0),0)</f>
        <v>0</v>
      </c>
      <c r="AR120" s="57">
        <f>IFERROR(IF($V120="BRAND.com",HLOOKUP($X120&amp;$Z120,'NWC_FC_NON-NOOS'!$T$4:$AH$23,MATCH(W120,'NWC_FC_NON-NOOS'!$S$4:$S$23,0),FALSE),0),0)</f>
        <v>0</v>
      </c>
      <c r="AS120" s="57">
        <f>IFERROR(IF($V120="BRAND.com",HLOOKUP($X120&amp;$Z120,'NWC_FC_NON-NOOS'!$C$50:$U$69,MATCH(W120,'NWC_FC_NON-NOOS'!$B$50:$B$69,0),FALSE),0),0)</f>
        <v>0</v>
      </c>
      <c r="AT120" s="57">
        <f t="shared" si="50"/>
        <v>0</v>
      </c>
      <c r="AU120" s="57">
        <f t="shared" si="51"/>
        <v>0</v>
      </c>
      <c r="AV120" s="58">
        <f>IFERROR(IF($V120="BRAND.com",HLOOKUP($X120&amp;$Z120,PLANNING_FC!$BB$27:$BP$46,MATCH($W120,PLANNING_FC!$BA$27:$BA$46,0),FALSE),0),0)</f>
        <v>0</v>
      </c>
      <c r="AW120" s="58">
        <f>IFERROR(IF($V120="BRAND.com",HLOOKUP($X120&amp;$Z120,PLANNING_FC!$BB$4:$BP$23,MATCH($W120,PLANNING_FC!$BA$4:$BA$23,0),FALSE),0),0)</f>
        <v>0</v>
      </c>
      <c r="AX120" s="58">
        <f>IFERROR(IF($V120="BRAND.com",HLOOKUP($X120&amp;$Z120,PLANNING_FC!$T$27:$AH$46,MATCH($W120,PLANNING_FC!$B$27:$B$46,0),FALSE),0),0)</f>
        <v>0</v>
      </c>
      <c r="AY120" s="58">
        <f>IFERROR(IF($V120="BRAND.com",HLOOKUP($X120&amp;$Z120,PLANNING_FC!$T$4:$AH$23,MATCH($W120,PLANNING_FC!$B$4:$B$23,0),FALSE),0),0)</f>
        <v>0</v>
      </c>
      <c r="AZ120" s="58">
        <f>IFERROR(IF($V120="BRAND.com",HLOOKUP($X120&amp;$Z120,PLANNING_FC!$DA$27:$DO$46,MATCH($W120,PLANNING_FC!$CZ$27:$CZ$46,0),FALSE),0),0)</f>
        <v>0</v>
      </c>
      <c r="BA120" s="58">
        <f>IFERROR(IF($V120="BRAND.com",HLOOKUP($X120&amp;$Z120,PLANNING_FC!$DA$4:$DO$23,MATCH($W120,PLANNING_FC!$CZ$4:$CZ$23,0),FALSE),0),0)</f>
        <v>0</v>
      </c>
      <c r="BB120" s="883" t="str">
        <f>IF(V120="BRAND.com",IFERROR(HLOOKUP(X120&amp;Z120,PLANNING_FC!$AK$4:$AY$23,MATCH(W120,PLANNING_FC!$AJ$4:$AJ$23,0),FALSE)*1000,""),"")</f>
        <v/>
      </c>
      <c r="BC120" s="883" t="str">
        <f>IF(V120="BRAND.com",IFERROR(HLOOKUP(X120&amp;Z120,PLANNING_FC!$AK$27:$AY$46,MATCH(W120,PLANNING_FC!$AJ$27:$AJ$46,0),FALSE)*1000,""),"")</f>
        <v/>
      </c>
    </row>
    <row r="121" spans="1:55" x14ac:dyDescent="0.25">
      <c r="A121" s="509"/>
      <c r="B121" s="510"/>
      <c r="C121" s="509"/>
      <c r="D121" s="511"/>
      <c r="E121" s="509"/>
      <c r="F121" s="509"/>
      <c r="G121" s="509"/>
      <c r="H121" s="509"/>
      <c r="I121" s="512"/>
      <c r="J121" s="513"/>
      <c r="K121" s="879"/>
      <c r="L121" s="515"/>
      <c r="M121" s="516"/>
      <c r="N121" s="56">
        <f t="shared" si="52"/>
        <v>0</v>
      </c>
      <c r="O121" s="57">
        <f t="shared" si="53"/>
        <v>0</v>
      </c>
      <c r="P121" s="57">
        <f ca="1">IFERROR(IF(ISBLANK(H121),SUMIFS($AC:$AC,$V:$V,V121,$W:$W,W121,$X:$X,X121,$Y:$Y,Y121)*J121/(1-J121)*VLOOKUP(_xlfn.CONCAT(C121,D121,E121,TIME!$M$12,Z121),HIS_SALES!$B$2:$W$4859,20,FALSE),AC121*J121/(1-J121)),0)</f>
        <v>0</v>
      </c>
      <c r="Q121" s="541" t="str">
        <f t="shared" si="54"/>
        <v/>
      </c>
      <c r="R121" s="346" t="str">
        <f t="shared" si="35"/>
        <v>00000</v>
      </c>
      <c r="S121" s="344">
        <f t="shared" si="55"/>
        <v>0</v>
      </c>
      <c r="T121" s="345" t="str">
        <f t="shared" si="49"/>
        <v>000</v>
      </c>
      <c r="U121" s="345">
        <f t="shared" si="56"/>
        <v>0</v>
      </c>
      <c r="V121" s="345">
        <f t="shared" si="57"/>
        <v>0</v>
      </c>
      <c r="W121" s="345">
        <f t="shared" si="58"/>
        <v>0</v>
      </c>
      <c r="X121" s="345">
        <f t="shared" si="59"/>
        <v>0</v>
      </c>
      <c r="Y121" s="345">
        <f t="shared" si="60"/>
        <v>0</v>
      </c>
      <c r="Z121" s="345">
        <f>IF(Q121&lt;&gt;"",VLOOKUP(Y121,TIME!$R$21:$V$24,MATCH(FC_DATA!Q121,TIME!$R$20:$V$20,0),FALSE),H121)</f>
        <v>0</v>
      </c>
      <c r="AA121" s="345" t="str">
        <f>IFERROR(VLOOKUP(X121&amp;Z121,TIME!$A$12:$D$71,4,FALSE),"")</f>
        <v/>
      </c>
      <c r="AB121" s="592">
        <f t="shared" ca="1" si="42"/>
        <v>0</v>
      </c>
      <c r="AC121" s="593" t="e">
        <f ca="1">IF(ISBLANK(H121)=FALSE,IF(D121="BRAND.com",I121,IF(ISNA(VLOOKUP(_xlfn.CONCAT(X121,Z121),TIME!$M$40:$M$42,1,FALSE)),I121,VLOOKUP(_xlfn.CONCAT(D121,G121,H121),M_BUSAREA_FC!$AF$5:$AJ$10,5,FALSE)*HLOOKUP(_xlfn.CONCAT(F121,H121),ST_OVERVIEW!$G$99:$I$130,MATCH(_xlfn.CONCAT(D121,E121),ST_OVERVIEW!$F$99:$F$130,0),FALSE))),IF(D121="BRAND.com",VLOOKUP(_xlfn.CONCAT(C121,D121,E121,TIME!$F$1,Z121),HIS_SALES!$B$2:$V$4859,19,FALSE)*I121,VLOOKUP(_xlfn.CONCAT(D121,F121,G121),Q_BUSAREA_FC!$AE$5:$AI$12,5,FALSE)*HLOOKUP(_xlfn.CONCAT(FC_DATA!F121,FC_DATA!G121),LT_OVERVIEW!$I$99:$M$130,MATCH(_xlfn.CONCAT(D121,FC_DATA!E121),LT_OVERVIEW!$H$99:$H$130,0),FALSE)*IFERROR(VLOOKUP(_xlfn.CONCAT(C121,D121,E121,TIME!$F$1,Z121),HIS_SALES!$B$2:$V$4859,19,FALSE),0)))</f>
        <v>#N/A</v>
      </c>
      <c r="AD121" s="341">
        <f t="shared" ca="1" si="61"/>
        <v>0</v>
      </c>
      <c r="AE121" s="363" t="str">
        <f t="shared" si="62"/>
        <v/>
      </c>
      <c r="AF121" s="342" t="str">
        <f t="shared" si="63"/>
        <v/>
      </c>
      <c r="AG121" s="411" t="e">
        <f ca="1">VLOOKUP(_xlfn.CONCAT(U121,V121,W121,VLOOKUP(X121&amp;Y121,TIME!$L$27:$O$34,4,FALSE),Y121),HIS_SALES!$A$2:$R$5093,18,FALSE)</f>
        <v>#N/A</v>
      </c>
      <c r="AH121" s="412" t="e">
        <f ca="1">IFERROR(IF(AND(V121=V120,W121=W120),0.5*(AB121+AB120)*AG121,(VLOOKUP(_xlfn.CONCAT(U121,V121,W121,X121,VLOOKUP(Z121,TIME!$S$28:$T$39,2,FALSE)),FC_DATA!$R$2:$AB$5000,MATCH("GS_I_M",FC_DATA!$R$1:$AB$1,0),FALSE)+FC_DATA!AB121)*0.5*FC_DATA!AG121),NA())</f>
        <v>#N/A</v>
      </c>
      <c r="AI121" s="491" t="e">
        <f ca="1">IF(V121="PARTNER.com",AH121,IF(AND(V121=V120,W121=W120),(1-AVERAGE(AD120,AD121))*AH121,(1-AVERAGE(AD121,VLOOKUP(_xlfn.CONCAT(U121,V121,W121,X121,M_BRAND_FC!$F$6),FC_DATA!$R$2:$AD$5000,MATCH("DISCOUNT_%_M",FC_DATA!$R$1:$AD$1,0),FALSE)))*AH121))</f>
        <v>#N/A</v>
      </c>
      <c r="AJ121" s="412" t="str">
        <f t="shared" ca="1" si="46"/>
        <v/>
      </c>
      <c r="AK121" s="413" t="str">
        <f>IFERROR(AE121/(Q_BRAND_FC!$T$24+1),"")</f>
        <v/>
      </c>
      <c r="AL121" s="88" t="str">
        <f t="shared" ca="1" si="47"/>
        <v/>
      </c>
      <c r="AM121" s="414" t="str">
        <f t="shared" ca="1" si="48"/>
        <v/>
      </c>
      <c r="AN121" s="58">
        <f>IFERROR(IF($V121="BRAND.com",HLOOKUP($X121&amp;$Z121,NWC_FC_NOOS!$C$4:$Q$23,MATCH(W121,NWC_FC_NOOS!$B$4:$B$23,0),FALSE),0),0)</f>
        <v>0</v>
      </c>
      <c r="AO121" s="57">
        <f>IFERROR(IF($V121="BRAND.com",HLOOKUP($X121&amp;$Z121,NWC_FC_NOOS!$T$4:$AH$23,MATCH(W121,NWC_FC_NOOS!$S$4:$S$23,0),FALSE),0),0)</f>
        <v>0</v>
      </c>
      <c r="AP121" s="57">
        <f>IFERROR(IF($V121="BRAND.com",HLOOKUP($X121&amp;$Z121,NWC_FC_NOOS!$C$50:$U$69,MATCH(W121,NWC_FC_NOOS!$B$50:$B$69,0),FALSE),0),0)</f>
        <v>0</v>
      </c>
      <c r="AQ121" s="58">
        <f>IFERROR(IF($V121="BRAND.com",HLOOKUP($X121&amp;$Z121,'NWC_FC_NON-NOOS'!$C$4:$Q$23,MATCH(W121,'NWC_FC_NON-NOOS'!$B$4:$B$23,0),FALSE),0),0)</f>
        <v>0</v>
      </c>
      <c r="AR121" s="57">
        <f>IFERROR(IF($V121="BRAND.com",HLOOKUP($X121&amp;$Z121,'NWC_FC_NON-NOOS'!$T$4:$AH$23,MATCH(W121,'NWC_FC_NON-NOOS'!$S$4:$S$23,0),FALSE),0),0)</f>
        <v>0</v>
      </c>
      <c r="AS121" s="57">
        <f>IFERROR(IF($V121="BRAND.com",HLOOKUP($X121&amp;$Z121,'NWC_FC_NON-NOOS'!$C$50:$U$69,MATCH(W121,'NWC_FC_NON-NOOS'!$B$50:$B$69,0),FALSE),0),0)</f>
        <v>0</v>
      </c>
      <c r="AT121" s="57">
        <f t="shared" si="50"/>
        <v>0</v>
      </c>
      <c r="AU121" s="57">
        <f t="shared" si="51"/>
        <v>0</v>
      </c>
      <c r="AV121" s="58">
        <f>IFERROR(IF($V121="BRAND.com",HLOOKUP($X121&amp;$Z121,PLANNING_FC!$BB$27:$BP$46,MATCH($W121,PLANNING_FC!$BA$27:$BA$46,0),FALSE),0),0)</f>
        <v>0</v>
      </c>
      <c r="AW121" s="58">
        <f>IFERROR(IF($V121="BRAND.com",HLOOKUP($X121&amp;$Z121,PLANNING_FC!$BB$4:$BP$23,MATCH($W121,PLANNING_FC!$BA$4:$BA$23,0),FALSE),0),0)</f>
        <v>0</v>
      </c>
      <c r="AX121" s="58">
        <f>IFERROR(IF($V121="BRAND.com",HLOOKUP($X121&amp;$Z121,PLANNING_FC!$T$27:$AH$46,MATCH($W121,PLANNING_FC!$B$27:$B$46,0),FALSE),0),0)</f>
        <v>0</v>
      </c>
      <c r="AY121" s="58">
        <f>IFERROR(IF($V121="BRAND.com",HLOOKUP($X121&amp;$Z121,PLANNING_FC!$T$4:$AH$23,MATCH($W121,PLANNING_FC!$B$4:$B$23,0),FALSE),0),0)</f>
        <v>0</v>
      </c>
      <c r="AZ121" s="58">
        <f>IFERROR(IF($V121="BRAND.com",HLOOKUP($X121&amp;$Z121,PLANNING_FC!$DA$27:$DO$46,MATCH($W121,PLANNING_FC!$CZ$27:$CZ$46,0),FALSE),0),0)</f>
        <v>0</v>
      </c>
      <c r="BA121" s="58">
        <f>IFERROR(IF($V121="BRAND.com",HLOOKUP($X121&amp;$Z121,PLANNING_FC!$DA$4:$DO$23,MATCH($W121,PLANNING_FC!$CZ$4:$CZ$23,0),FALSE),0),0)</f>
        <v>0</v>
      </c>
      <c r="BB121" s="883" t="str">
        <f>IF(V121="BRAND.com",IFERROR(HLOOKUP(X121&amp;Z121,PLANNING_FC!$AK$4:$AY$23,MATCH(W121,PLANNING_FC!$AJ$4:$AJ$23,0),FALSE)*1000,""),"")</f>
        <v/>
      </c>
      <c r="BC121" s="883" t="str">
        <f>IF(V121="BRAND.com",IFERROR(HLOOKUP(X121&amp;Z121,PLANNING_FC!$AK$27:$AY$46,MATCH(W121,PLANNING_FC!$AJ$27:$AJ$46,0),FALSE)*1000,""),"")</f>
        <v/>
      </c>
    </row>
    <row r="122" spans="1:55" x14ac:dyDescent="0.25">
      <c r="A122" s="509"/>
      <c r="B122" s="510"/>
      <c r="C122" s="509"/>
      <c r="D122" s="509"/>
      <c r="E122" s="509"/>
      <c r="F122" s="509"/>
      <c r="G122" s="509"/>
      <c r="H122" s="509"/>
      <c r="I122" s="512"/>
      <c r="J122" s="513"/>
      <c r="K122" s="879"/>
      <c r="L122" s="515"/>
      <c r="M122" s="516"/>
      <c r="N122" s="56">
        <f t="shared" si="52"/>
        <v>0</v>
      </c>
      <c r="O122" s="57">
        <f t="shared" si="53"/>
        <v>0</v>
      </c>
      <c r="P122" s="57">
        <f ca="1">IFERROR(IF(ISBLANK(H122),SUMIFS($AC:$AC,$V:$V,V122,$W:$W,W122,$X:$X,X122,$Y:$Y,Y122)*J122/(1-J122)*VLOOKUP(_xlfn.CONCAT(C122,D122,E122,TIME!$M$12,Z122),HIS_SALES!$B$2:$W$4859,20,FALSE),AC122*J122/(1-J122)),0)</f>
        <v>0</v>
      </c>
      <c r="Q122" s="541" t="str">
        <f t="shared" si="54"/>
        <v/>
      </c>
      <c r="R122" s="346" t="str">
        <f t="shared" si="35"/>
        <v>00000</v>
      </c>
      <c r="S122" s="344">
        <f t="shared" si="55"/>
        <v>0</v>
      </c>
      <c r="T122" s="345" t="str">
        <f t="shared" si="49"/>
        <v>000</v>
      </c>
      <c r="U122" s="345">
        <f t="shared" si="56"/>
        <v>0</v>
      </c>
      <c r="V122" s="345">
        <f t="shared" si="57"/>
        <v>0</v>
      </c>
      <c r="W122" s="345">
        <f t="shared" si="58"/>
        <v>0</v>
      </c>
      <c r="X122" s="345">
        <f t="shared" si="59"/>
        <v>0</v>
      </c>
      <c r="Y122" s="345">
        <f t="shared" si="60"/>
        <v>0</v>
      </c>
      <c r="Z122" s="345">
        <f>IF(Q122&lt;&gt;"",VLOOKUP(Y122,TIME!$R$21:$V$24,MATCH(FC_DATA!Q122,TIME!$R$20:$V$20,0),FALSE),H122)</f>
        <v>0</v>
      </c>
      <c r="AA122" s="345" t="str">
        <f>IFERROR(VLOOKUP(X122&amp;Z122,TIME!$A$12:$D$71,4,FALSE),"")</f>
        <v/>
      </c>
      <c r="AB122" s="592">
        <f t="shared" ca="1" si="42"/>
        <v>0</v>
      </c>
      <c r="AC122" s="593" t="e">
        <f ca="1">IF(ISBLANK(H122)=FALSE,IF(D122="BRAND.com",I122,IF(ISNA(VLOOKUP(_xlfn.CONCAT(X122,Z122),TIME!$M$40:$M$42,1,FALSE)),I122,VLOOKUP(_xlfn.CONCAT(D122,G122,H122),M_BUSAREA_FC!$AF$5:$AJ$10,5,FALSE)*HLOOKUP(_xlfn.CONCAT(F122,H122),ST_OVERVIEW!$G$99:$I$130,MATCH(_xlfn.CONCAT(D122,E122),ST_OVERVIEW!$F$99:$F$130,0),FALSE))),IF(D122="BRAND.com",VLOOKUP(_xlfn.CONCAT(C122,D122,E122,TIME!$F$1,Z122),HIS_SALES!$B$2:$V$4859,19,FALSE)*I122,VLOOKUP(_xlfn.CONCAT(D122,F122,G122),Q_BUSAREA_FC!$AE$5:$AI$12,5,FALSE)*HLOOKUP(_xlfn.CONCAT(FC_DATA!F122,FC_DATA!G122),LT_OVERVIEW!$I$99:$M$130,MATCH(_xlfn.CONCAT(D122,FC_DATA!E122),LT_OVERVIEW!$H$99:$H$130,0),FALSE)*IFERROR(VLOOKUP(_xlfn.CONCAT(C122,D122,E122,TIME!$F$1,Z122),HIS_SALES!$B$2:$V$4859,19,FALSE),0)))</f>
        <v>#N/A</v>
      </c>
      <c r="AD122" s="341">
        <f t="shared" ca="1" si="61"/>
        <v>0</v>
      </c>
      <c r="AE122" s="363" t="str">
        <f t="shared" si="62"/>
        <v/>
      </c>
      <c r="AF122" s="342" t="str">
        <f t="shared" si="63"/>
        <v/>
      </c>
      <c r="AG122" s="411" t="e">
        <f ca="1">VLOOKUP(_xlfn.CONCAT(U122,V122,W122,VLOOKUP(X122&amp;Y122,TIME!$L$27:$O$34,4,FALSE),Y122),HIS_SALES!$A$2:$R$5093,18,FALSE)</f>
        <v>#N/A</v>
      </c>
      <c r="AH122" s="412" t="e">
        <f ca="1">IFERROR(IF(AND(V122=V121,W122=W121),0.5*(AB122+AB121)*AG122,(VLOOKUP(_xlfn.CONCAT(U122,V122,W122,X122,VLOOKUP(Z122,TIME!$S$28:$T$39,2,FALSE)),FC_DATA!$R$2:$AB$5000,MATCH("GS_I_M",FC_DATA!$R$1:$AB$1,0),FALSE)+FC_DATA!AB122)*0.5*FC_DATA!AG122),NA())</f>
        <v>#N/A</v>
      </c>
      <c r="AI122" s="491" t="e">
        <f ca="1">IF(V122="PARTNER.com",AH122,IF(AND(V122=V121,W122=W121),(1-AVERAGE(AD121,AD122))*AH122,(1-AVERAGE(AD122,VLOOKUP(_xlfn.CONCAT(U122,V122,W122,X122,M_BRAND_FC!$F$6),FC_DATA!$R$2:$AD$5000,MATCH("DISCOUNT_%_M",FC_DATA!$R$1:$AD$1,0),FALSE)))*AH122))</f>
        <v>#N/A</v>
      </c>
      <c r="AJ122" s="412" t="str">
        <f t="shared" ca="1" si="46"/>
        <v/>
      </c>
      <c r="AK122" s="413" t="str">
        <f>IFERROR(AE122/(Q_BRAND_FC!$T$24+1),"")</f>
        <v/>
      </c>
      <c r="AL122" s="88" t="str">
        <f t="shared" ca="1" si="47"/>
        <v/>
      </c>
      <c r="AM122" s="414" t="str">
        <f t="shared" ca="1" si="48"/>
        <v/>
      </c>
      <c r="AN122" s="58">
        <f>IFERROR(IF($V122="BRAND.com",HLOOKUP($X122&amp;$Z122,NWC_FC_NOOS!$C$4:$Q$23,MATCH(W122,NWC_FC_NOOS!$B$4:$B$23,0),FALSE),0),0)</f>
        <v>0</v>
      </c>
      <c r="AO122" s="57">
        <f>IFERROR(IF($V122="BRAND.com",HLOOKUP($X122&amp;$Z122,NWC_FC_NOOS!$T$4:$AH$23,MATCH(W122,NWC_FC_NOOS!$S$4:$S$23,0),FALSE),0),0)</f>
        <v>0</v>
      </c>
      <c r="AP122" s="57">
        <f>IFERROR(IF($V122="BRAND.com",HLOOKUP($X122&amp;$Z122,NWC_FC_NOOS!$C$50:$U$69,MATCH(W122,NWC_FC_NOOS!$B$50:$B$69,0),FALSE),0),0)</f>
        <v>0</v>
      </c>
      <c r="AQ122" s="58">
        <f>IFERROR(IF($V122="BRAND.com",HLOOKUP($X122&amp;$Z122,'NWC_FC_NON-NOOS'!$C$4:$Q$23,MATCH(W122,'NWC_FC_NON-NOOS'!$B$4:$B$23,0),FALSE),0),0)</f>
        <v>0</v>
      </c>
      <c r="AR122" s="57">
        <f>IFERROR(IF($V122="BRAND.com",HLOOKUP($X122&amp;$Z122,'NWC_FC_NON-NOOS'!$T$4:$AH$23,MATCH(W122,'NWC_FC_NON-NOOS'!$S$4:$S$23,0),FALSE),0),0)</f>
        <v>0</v>
      </c>
      <c r="AS122" s="57">
        <f>IFERROR(IF($V122="BRAND.com",HLOOKUP($X122&amp;$Z122,'NWC_FC_NON-NOOS'!$C$50:$U$69,MATCH(W122,'NWC_FC_NON-NOOS'!$B$50:$B$69,0),FALSE),0),0)</f>
        <v>0</v>
      </c>
      <c r="AT122" s="57">
        <f t="shared" si="50"/>
        <v>0</v>
      </c>
      <c r="AU122" s="57">
        <f t="shared" si="51"/>
        <v>0</v>
      </c>
      <c r="AV122" s="58">
        <f>IFERROR(IF($V122="BRAND.com",HLOOKUP($X122&amp;$Z122,PLANNING_FC!$BB$27:$BP$46,MATCH($W122,PLANNING_FC!$BA$27:$BA$46,0),FALSE),0),0)</f>
        <v>0</v>
      </c>
      <c r="AW122" s="58">
        <f>IFERROR(IF($V122="BRAND.com",HLOOKUP($X122&amp;$Z122,PLANNING_FC!$BB$4:$BP$23,MATCH($W122,PLANNING_FC!$BA$4:$BA$23,0),FALSE),0),0)</f>
        <v>0</v>
      </c>
      <c r="AX122" s="58">
        <f>IFERROR(IF($V122="BRAND.com",HLOOKUP($X122&amp;$Z122,PLANNING_FC!$T$27:$AH$46,MATCH($W122,PLANNING_FC!$B$27:$B$46,0),FALSE),0),0)</f>
        <v>0</v>
      </c>
      <c r="AY122" s="58">
        <f>IFERROR(IF($V122="BRAND.com",HLOOKUP($X122&amp;$Z122,PLANNING_FC!$T$4:$AH$23,MATCH($W122,PLANNING_FC!$B$4:$B$23,0),FALSE),0),0)</f>
        <v>0</v>
      </c>
      <c r="AZ122" s="58">
        <f>IFERROR(IF($V122="BRAND.com",HLOOKUP($X122&amp;$Z122,PLANNING_FC!$DA$27:$DO$46,MATCH($W122,PLANNING_FC!$CZ$27:$CZ$46,0),FALSE),0),0)</f>
        <v>0</v>
      </c>
      <c r="BA122" s="58">
        <f>IFERROR(IF($V122="BRAND.com",HLOOKUP($X122&amp;$Z122,PLANNING_FC!$DA$4:$DO$23,MATCH($W122,PLANNING_FC!$CZ$4:$CZ$23,0),FALSE),0),0)</f>
        <v>0</v>
      </c>
      <c r="BB122" s="883" t="str">
        <f>IF(V122="BRAND.com",IFERROR(HLOOKUP(X122&amp;Z122,PLANNING_FC!$AK$4:$AY$23,MATCH(W122,PLANNING_FC!$AJ$4:$AJ$23,0),FALSE)*1000,""),"")</f>
        <v/>
      </c>
      <c r="BC122" s="883" t="str">
        <f>IF(V122="BRAND.com",IFERROR(HLOOKUP(X122&amp;Z122,PLANNING_FC!$AK$27:$AY$46,MATCH(W122,PLANNING_FC!$AJ$27:$AJ$46,0),FALSE)*1000,""),"")</f>
        <v/>
      </c>
    </row>
    <row r="123" spans="1:55" x14ac:dyDescent="0.25">
      <c r="A123" s="509"/>
      <c r="B123" s="510"/>
      <c r="C123" s="509"/>
      <c r="D123" s="509"/>
      <c r="E123" s="509"/>
      <c r="F123" s="509"/>
      <c r="G123" s="509"/>
      <c r="H123" s="509"/>
      <c r="I123" s="512"/>
      <c r="J123" s="513"/>
      <c r="K123" s="879"/>
      <c r="L123" s="515"/>
      <c r="M123" s="516"/>
      <c r="N123" s="56">
        <f t="shared" si="52"/>
        <v>0</v>
      </c>
      <c r="O123" s="57">
        <f t="shared" si="53"/>
        <v>0</v>
      </c>
      <c r="P123" s="57">
        <f ca="1">IFERROR(IF(ISBLANK(H123),SUMIFS($AC:$AC,$V:$V,V123,$W:$W,W123,$X:$X,X123,$Y:$Y,Y123)*J123/(1-J123)*VLOOKUP(_xlfn.CONCAT(C123,D123,E123,TIME!$M$12,Z123),HIS_SALES!$B$2:$W$4859,20,FALSE),AC123*J123/(1-J123)),0)</f>
        <v>0</v>
      </c>
      <c r="Q123" s="541" t="str">
        <f t="shared" si="54"/>
        <v/>
      </c>
      <c r="R123" s="346" t="str">
        <f t="shared" si="35"/>
        <v>00000</v>
      </c>
      <c r="S123" s="344">
        <f t="shared" si="55"/>
        <v>0</v>
      </c>
      <c r="T123" s="345" t="str">
        <f t="shared" si="49"/>
        <v>000</v>
      </c>
      <c r="U123" s="345">
        <f t="shared" si="56"/>
        <v>0</v>
      </c>
      <c r="V123" s="345">
        <f t="shared" si="57"/>
        <v>0</v>
      </c>
      <c r="W123" s="345">
        <f t="shared" si="58"/>
        <v>0</v>
      </c>
      <c r="X123" s="345">
        <f t="shared" si="59"/>
        <v>0</v>
      </c>
      <c r="Y123" s="345">
        <f t="shared" si="60"/>
        <v>0</v>
      </c>
      <c r="Z123" s="345">
        <f>IF(Q123&lt;&gt;"",VLOOKUP(Y123,TIME!$R$21:$V$24,MATCH(FC_DATA!Q123,TIME!$R$20:$V$20,0),FALSE),H123)</f>
        <v>0</v>
      </c>
      <c r="AA123" s="345" t="str">
        <f>IFERROR(VLOOKUP(X123&amp;Z123,TIME!$A$12:$D$71,4,FALSE),"")</f>
        <v/>
      </c>
      <c r="AB123" s="592">
        <f t="shared" ca="1" si="42"/>
        <v>0</v>
      </c>
      <c r="AC123" s="593" t="e">
        <f ca="1">IF(ISBLANK(H123)=FALSE,IF(D123="BRAND.com",I123,IF(ISNA(VLOOKUP(_xlfn.CONCAT(X123,Z123),TIME!$M$40:$M$42,1,FALSE)),I123,VLOOKUP(_xlfn.CONCAT(D123,G123,H123),M_BUSAREA_FC!$AF$5:$AJ$10,5,FALSE)*HLOOKUP(_xlfn.CONCAT(F123,H123),ST_OVERVIEW!$G$99:$I$130,MATCH(_xlfn.CONCAT(D123,E123),ST_OVERVIEW!$F$99:$F$130,0),FALSE))),IF(D123="BRAND.com",VLOOKUP(_xlfn.CONCAT(C123,D123,E123,TIME!$F$1,Z123),HIS_SALES!$B$2:$V$4859,19,FALSE)*I123,VLOOKUP(_xlfn.CONCAT(D123,F123,G123),Q_BUSAREA_FC!$AE$5:$AI$12,5,FALSE)*HLOOKUP(_xlfn.CONCAT(FC_DATA!F123,FC_DATA!G123),LT_OVERVIEW!$I$99:$M$130,MATCH(_xlfn.CONCAT(D123,FC_DATA!E123),LT_OVERVIEW!$H$99:$H$130,0),FALSE)*IFERROR(VLOOKUP(_xlfn.CONCAT(C123,D123,E123,TIME!$F$1,Z123),HIS_SALES!$B$2:$V$4859,19,FALSE),0)))</f>
        <v>#N/A</v>
      </c>
      <c r="AD123" s="341">
        <f t="shared" ca="1" si="61"/>
        <v>0</v>
      </c>
      <c r="AE123" s="363" t="str">
        <f t="shared" si="62"/>
        <v/>
      </c>
      <c r="AF123" s="342" t="str">
        <f t="shared" si="63"/>
        <v/>
      </c>
      <c r="AG123" s="411" t="e">
        <f ca="1">VLOOKUP(_xlfn.CONCAT(U123,V123,W123,VLOOKUP(X123&amp;Y123,TIME!$L$27:$O$34,4,FALSE),Y123),HIS_SALES!$A$2:$R$5093,18,FALSE)</f>
        <v>#N/A</v>
      </c>
      <c r="AH123" s="412" t="e">
        <f ca="1">IFERROR(IF(AND(V123=V122,W123=W122),0.5*(AB123+AB122)*AG123,(VLOOKUP(_xlfn.CONCAT(U123,V123,W123,X123,VLOOKUP(Z123,TIME!$S$28:$T$39,2,FALSE)),FC_DATA!$R$2:$AB$5000,MATCH("GS_I_M",FC_DATA!$R$1:$AB$1,0),FALSE)+FC_DATA!AB123)*0.5*FC_DATA!AG123),NA())</f>
        <v>#N/A</v>
      </c>
      <c r="AI123" s="491" t="e">
        <f ca="1">IF(V123="PARTNER.com",AH123,IF(AND(V123=V122,W123=W122),(1-AVERAGE(AD122,AD123))*AH123,(1-AVERAGE(AD123,VLOOKUP(_xlfn.CONCAT(U123,V123,W123,X123,M_BRAND_FC!$F$6),FC_DATA!$R$2:$AD$5000,MATCH("DISCOUNT_%_M",FC_DATA!$R$1:$AD$1,0),FALSE)))*AH123))</f>
        <v>#N/A</v>
      </c>
      <c r="AJ123" s="412" t="str">
        <f t="shared" ca="1" si="46"/>
        <v/>
      </c>
      <c r="AK123" s="413" t="str">
        <f>IFERROR(AE123/(Q_BRAND_FC!$T$24+1),"")</f>
        <v/>
      </c>
      <c r="AL123" s="88" t="str">
        <f t="shared" ca="1" si="47"/>
        <v/>
      </c>
      <c r="AM123" s="414" t="str">
        <f t="shared" ca="1" si="48"/>
        <v/>
      </c>
      <c r="AN123" s="58">
        <f>IFERROR(IF($V123="BRAND.com",HLOOKUP($X123&amp;$Z123,NWC_FC_NOOS!$C$4:$Q$23,MATCH(W123,NWC_FC_NOOS!$B$4:$B$23,0),FALSE),0),0)</f>
        <v>0</v>
      </c>
      <c r="AO123" s="57">
        <f>IFERROR(IF($V123="BRAND.com",HLOOKUP($X123&amp;$Z123,NWC_FC_NOOS!$T$4:$AH$23,MATCH(W123,NWC_FC_NOOS!$S$4:$S$23,0),FALSE),0),0)</f>
        <v>0</v>
      </c>
      <c r="AP123" s="57">
        <f>IFERROR(IF($V123="BRAND.com",HLOOKUP($X123&amp;$Z123,NWC_FC_NOOS!$C$50:$U$69,MATCH(W123,NWC_FC_NOOS!$B$50:$B$69,0),FALSE),0),0)</f>
        <v>0</v>
      </c>
      <c r="AQ123" s="58">
        <f>IFERROR(IF($V123="BRAND.com",HLOOKUP($X123&amp;$Z123,'NWC_FC_NON-NOOS'!$C$4:$Q$23,MATCH(W123,'NWC_FC_NON-NOOS'!$B$4:$B$23,0),FALSE),0),0)</f>
        <v>0</v>
      </c>
      <c r="AR123" s="57">
        <f>IFERROR(IF($V123="BRAND.com",HLOOKUP($X123&amp;$Z123,'NWC_FC_NON-NOOS'!$T$4:$AH$23,MATCH(W123,'NWC_FC_NON-NOOS'!$S$4:$S$23,0),FALSE),0),0)</f>
        <v>0</v>
      </c>
      <c r="AS123" s="57">
        <f>IFERROR(IF($V123="BRAND.com",HLOOKUP($X123&amp;$Z123,'NWC_FC_NON-NOOS'!$C$50:$U$69,MATCH(W123,'NWC_FC_NON-NOOS'!$B$50:$B$69,0),FALSE),0),0)</f>
        <v>0</v>
      </c>
      <c r="AT123" s="57">
        <f t="shared" si="50"/>
        <v>0</v>
      </c>
      <c r="AU123" s="57">
        <f t="shared" si="51"/>
        <v>0</v>
      </c>
      <c r="AV123" s="58">
        <f>IFERROR(IF($V123="BRAND.com",HLOOKUP($X123&amp;$Z123,PLANNING_FC!$BB$27:$BP$46,MATCH($W123,PLANNING_FC!$BA$27:$BA$46,0),FALSE),0),0)</f>
        <v>0</v>
      </c>
      <c r="AW123" s="58">
        <f>IFERROR(IF($V123="BRAND.com",HLOOKUP($X123&amp;$Z123,PLANNING_FC!$BB$4:$BP$23,MATCH($W123,PLANNING_FC!$BA$4:$BA$23,0),FALSE),0),0)</f>
        <v>0</v>
      </c>
      <c r="AX123" s="58">
        <f>IFERROR(IF($V123="BRAND.com",HLOOKUP($X123&amp;$Z123,PLANNING_FC!$T$27:$AH$46,MATCH($W123,PLANNING_FC!$B$27:$B$46,0),FALSE),0),0)</f>
        <v>0</v>
      </c>
      <c r="AY123" s="58">
        <f>IFERROR(IF($V123="BRAND.com",HLOOKUP($X123&amp;$Z123,PLANNING_FC!$T$4:$AH$23,MATCH($W123,PLANNING_FC!$B$4:$B$23,0),FALSE),0),0)</f>
        <v>0</v>
      </c>
      <c r="AZ123" s="58">
        <f>IFERROR(IF($V123="BRAND.com",HLOOKUP($X123&amp;$Z123,PLANNING_FC!$DA$27:$DO$46,MATCH($W123,PLANNING_FC!$CZ$27:$CZ$46,0),FALSE),0),0)</f>
        <v>0</v>
      </c>
      <c r="BA123" s="58">
        <f>IFERROR(IF($V123="BRAND.com",HLOOKUP($X123&amp;$Z123,PLANNING_FC!$DA$4:$DO$23,MATCH($W123,PLANNING_FC!$CZ$4:$CZ$23,0),FALSE),0),0)</f>
        <v>0</v>
      </c>
      <c r="BB123" s="883" t="str">
        <f>IF(V123="BRAND.com",IFERROR(HLOOKUP(X123&amp;Z123,PLANNING_FC!$AK$4:$AY$23,MATCH(W123,PLANNING_FC!$AJ$4:$AJ$23,0),FALSE)*1000,""),"")</f>
        <v/>
      </c>
      <c r="BC123" s="883" t="str">
        <f>IF(V123="BRAND.com",IFERROR(HLOOKUP(X123&amp;Z123,PLANNING_FC!$AK$27:$AY$46,MATCH(W123,PLANNING_FC!$AJ$27:$AJ$46,0),FALSE)*1000,""),"")</f>
        <v/>
      </c>
    </row>
    <row r="124" spans="1:55" x14ac:dyDescent="0.25">
      <c r="A124" s="509"/>
      <c r="B124" s="510"/>
      <c r="C124" s="509"/>
      <c r="D124" s="509"/>
      <c r="E124" s="509"/>
      <c r="F124" s="509"/>
      <c r="G124" s="509"/>
      <c r="H124" s="509"/>
      <c r="I124" s="512"/>
      <c r="J124" s="513"/>
      <c r="K124" s="879"/>
      <c r="L124" s="515"/>
      <c r="M124" s="516"/>
      <c r="N124" s="56">
        <f t="shared" si="52"/>
        <v>0</v>
      </c>
      <c r="O124" s="57">
        <f t="shared" si="53"/>
        <v>0</v>
      </c>
      <c r="P124" s="57">
        <f ca="1">IFERROR(IF(ISBLANK(H124),SUMIFS($AC:$AC,$V:$V,V124,$W:$W,W124,$X:$X,X124,$Y:$Y,Y124)*J124/(1-J124)*VLOOKUP(_xlfn.CONCAT(C124,D124,E124,TIME!$M$12,Z124),HIS_SALES!$B$2:$W$4859,20,FALSE),AC124*J124/(1-J124)),0)</f>
        <v>0</v>
      </c>
      <c r="Q124" s="541" t="str">
        <f t="shared" si="54"/>
        <v/>
      </c>
      <c r="R124" s="346" t="str">
        <f t="shared" si="35"/>
        <v>00000</v>
      </c>
      <c r="S124" s="344">
        <f t="shared" si="55"/>
        <v>0</v>
      </c>
      <c r="T124" s="345" t="str">
        <f t="shared" si="49"/>
        <v>000</v>
      </c>
      <c r="U124" s="345">
        <f t="shared" si="56"/>
        <v>0</v>
      </c>
      <c r="V124" s="345">
        <f t="shared" si="57"/>
        <v>0</v>
      </c>
      <c r="W124" s="345">
        <f t="shared" si="58"/>
        <v>0</v>
      </c>
      <c r="X124" s="345">
        <f t="shared" si="59"/>
        <v>0</v>
      </c>
      <c r="Y124" s="345">
        <f t="shared" si="60"/>
        <v>0</v>
      </c>
      <c r="Z124" s="345">
        <f>IF(Q124&lt;&gt;"",VLOOKUP(Y124,TIME!$R$21:$V$24,MATCH(FC_DATA!Q124,TIME!$R$20:$V$20,0),FALSE),H124)</f>
        <v>0</v>
      </c>
      <c r="AA124" s="345" t="str">
        <f>IFERROR(VLOOKUP(X124&amp;Z124,TIME!$A$12:$D$71,4,FALSE),"")</f>
        <v/>
      </c>
      <c r="AB124" s="592">
        <f t="shared" ca="1" si="42"/>
        <v>0</v>
      </c>
      <c r="AC124" s="593" t="e">
        <f ca="1">IF(ISBLANK(H124)=FALSE,IF(D124="BRAND.com",I124,IF(ISNA(VLOOKUP(_xlfn.CONCAT(X124,Z124),TIME!$M$40:$M$42,1,FALSE)),I124,VLOOKUP(_xlfn.CONCAT(D124,G124,H124),M_BUSAREA_FC!$AF$5:$AJ$10,5,FALSE)*HLOOKUP(_xlfn.CONCAT(F124,H124),ST_OVERVIEW!$G$99:$I$130,MATCH(_xlfn.CONCAT(D124,E124),ST_OVERVIEW!$F$99:$F$130,0),FALSE))),IF(D124="BRAND.com",VLOOKUP(_xlfn.CONCAT(C124,D124,E124,TIME!$F$1,Z124),HIS_SALES!$B$2:$V$4859,19,FALSE)*I124,VLOOKUP(_xlfn.CONCAT(D124,F124,G124),Q_BUSAREA_FC!$AE$5:$AI$12,5,FALSE)*HLOOKUP(_xlfn.CONCAT(FC_DATA!F124,FC_DATA!G124),LT_OVERVIEW!$I$99:$M$130,MATCH(_xlfn.CONCAT(D124,FC_DATA!E124),LT_OVERVIEW!$H$99:$H$130,0),FALSE)*IFERROR(VLOOKUP(_xlfn.CONCAT(C124,D124,E124,TIME!$F$1,Z124),HIS_SALES!$B$2:$V$4859,19,FALSE),0)))</f>
        <v>#N/A</v>
      </c>
      <c r="AD124" s="341">
        <f t="shared" ca="1" si="61"/>
        <v>0</v>
      </c>
      <c r="AE124" s="363" t="str">
        <f t="shared" si="62"/>
        <v/>
      </c>
      <c r="AF124" s="342" t="str">
        <f t="shared" si="63"/>
        <v/>
      </c>
      <c r="AG124" s="411" t="e">
        <f ca="1">VLOOKUP(_xlfn.CONCAT(U124,V124,W124,VLOOKUP(X124&amp;Y124,TIME!$L$27:$O$34,4,FALSE),Y124),HIS_SALES!$A$2:$R$5093,18,FALSE)</f>
        <v>#N/A</v>
      </c>
      <c r="AH124" s="412" t="e">
        <f ca="1">IFERROR(IF(AND(V124=V123,W124=W123),0.5*(AB124+AB123)*AG124,(VLOOKUP(_xlfn.CONCAT(U124,V124,W124,X124,VLOOKUP(Z124,TIME!$S$28:$T$39,2,FALSE)),FC_DATA!$R$2:$AB$5000,MATCH("GS_I_M",FC_DATA!$R$1:$AB$1,0),FALSE)+FC_DATA!AB124)*0.5*FC_DATA!AG124),NA())</f>
        <v>#N/A</v>
      </c>
      <c r="AI124" s="491" t="e">
        <f ca="1">IF(V124="PARTNER.com",AH124,IF(AND(V124=V123,W124=W123),(1-AVERAGE(AD123,AD124))*AH124,(1-AVERAGE(AD124,VLOOKUP(_xlfn.CONCAT(U124,V124,W124,X124,M_BRAND_FC!$F$6),FC_DATA!$R$2:$AD$5000,MATCH("DISCOUNT_%_M",FC_DATA!$R$1:$AD$1,0),FALSE)))*AH124))</f>
        <v>#N/A</v>
      </c>
      <c r="AJ124" s="412" t="str">
        <f t="shared" ca="1" si="46"/>
        <v/>
      </c>
      <c r="AK124" s="413" t="str">
        <f>IFERROR(AE124/(Q_BRAND_FC!$T$24+1),"")</f>
        <v/>
      </c>
      <c r="AL124" s="88" t="str">
        <f t="shared" ca="1" si="47"/>
        <v/>
      </c>
      <c r="AM124" s="414" t="str">
        <f t="shared" ca="1" si="48"/>
        <v/>
      </c>
      <c r="AN124" s="58">
        <f>IFERROR(IF($V124="BRAND.com",HLOOKUP($X124&amp;$Z124,NWC_FC_NOOS!$C$4:$Q$23,MATCH(W124,NWC_FC_NOOS!$B$4:$B$23,0),FALSE),0),0)</f>
        <v>0</v>
      </c>
      <c r="AO124" s="57">
        <f>IFERROR(IF($V124="BRAND.com",HLOOKUP($X124&amp;$Z124,NWC_FC_NOOS!$T$4:$AH$23,MATCH(W124,NWC_FC_NOOS!$S$4:$S$23,0),FALSE),0),0)</f>
        <v>0</v>
      </c>
      <c r="AP124" s="57">
        <f>IFERROR(IF($V124="BRAND.com",HLOOKUP($X124&amp;$Z124,NWC_FC_NOOS!$C$50:$U$69,MATCH(W124,NWC_FC_NOOS!$B$50:$B$69,0),FALSE),0),0)</f>
        <v>0</v>
      </c>
      <c r="AQ124" s="58">
        <f>IFERROR(IF($V124="BRAND.com",HLOOKUP($X124&amp;$Z124,'NWC_FC_NON-NOOS'!$C$4:$Q$23,MATCH(W124,'NWC_FC_NON-NOOS'!$B$4:$B$23,0),FALSE),0),0)</f>
        <v>0</v>
      </c>
      <c r="AR124" s="57">
        <f>IFERROR(IF($V124="BRAND.com",HLOOKUP($X124&amp;$Z124,'NWC_FC_NON-NOOS'!$T$4:$AH$23,MATCH(W124,'NWC_FC_NON-NOOS'!$S$4:$S$23,0),FALSE),0),0)</f>
        <v>0</v>
      </c>
      <c r="AS124" s="57">
        <f>IFERROR(IF($V124="BRAND.com",HLOOKUP($X124&amp;$Z124,'NWC_FC_NON-NOOS'!$C$50:$U$69,MATCH(W124,'NWC_FC_NON-NOOS'!$B$50:$B$69,0),FALSE),0),0)</f>
        <v>0</v>
      </c>
      <c r="AT124" s="57">
        <f t="shared" si="50"/>
        <v>0</v>
      </c>
      <c r="AU124" s="57">
        <f t="shared" si="51"/>
        <v>0</v>
      </c>
      <c r="AV124" s="58">
        <f>IFERROR(IF($V124="BRAND.com",HLOOKUP($X124&amp;$Z124,PLANNING_FC!$BB$27:$BP$46,MATCH($W124,PLANNING_FC!$BA$27:$BA$46,0),FALSE),0),0)</f>
        <v>0</v>
      </c>
      <c r="AW124" s="58">
        <f>IFERROR(IF($V124="BRAND.com",HLOOKUP($X124&amp;$Z124,PLANNING_FC!$BB$4:$BP$23,MATCH($W124,PLANNING_FC!$BA$4:$BA$23,0),FALSE),0),0)</f>
        <v>0</v>
      </c>
      <c r="AX124" s="58">
        <f>IFERROR(IF($V124="BRAND.com",HLOOKUP($X124&amp;$Z124,PLANNING_FC!$T$27:$AH$46,MATCH($W124,PLANNING_FC!$B$27:$B$46,0),FALSE),0),0)</f>
        <v>0</v>
      </c>
      <c r="AY124" s="58">
        <f>IFERROR(IF($V124="BRAND.com",HLOOKUP($X124&amp;$Z124,PLANNING_FC!$T$4:$AH$23,MATCH($W124,PLANNING_FC!$B$4:$B$23,0),FALSE),0),0)</f>
        <v>0</v>
      </c>
      <c r="AZ124" s="58">
        <f>IFERROR(IF($V124="BRAND.com",HLOOKUP($X124&amp;$Z124,PLANNING_FC!$DA$27:$DO$46,MATCH($W124,PLANNING_FC!$CZ$27:$CZ$46,0),FALSE),0),0)</f>
        <v>0</v>
      </c>
      <c r="BA124" s="58">
        <f>IFERROR(IF($V124="BRAND.com",HLOOKUP($X124&amp;$Z124,PLANNING_FC!$DA$4:$DO$23,MATCH($W124,PLANNING_FC!$CZ$4:$CZ$23,0),FALSE),0),0)</f>
        <v>0</v>
      </c>
      <c r="BB124" s="883" t="str">
        <f>IF(V124="BRAND.com",IFERROR(HLOOKUP(X124&amp;Z124,PLANNING_FC!$AK$4:$AY$23,MATCH(W124,PLANNING_FC!$AJ$4:$AJ$23,0),FALSE)*1000,""),"")</f>
        <v/>
      </c>
      <c r="BC124" s="883" t="str">
        <f>IF(V124="BRAND.com",IFERROR(HLOOKUP(X124&amp;Z124,PLANNING_FC!$AK$27:$AY$46,MATCH(W124,PLANNING_FC!$AJ$27:$AJ$46,0),FALSE)*1000,""),"")</f>
        <v/>
      </c>
    </row>
    <row r="125" spans="1:55" x14ac:dyDescent="0.25">
      <c r="A125" s="509"/>
      <c r="B125" s="510"/>
      <c r="C125" s="509"/>
      <c r="D125" s="509"/>
      <c r="E125" s="509"/>
      <c r="F125" s="509"/>
      <c r="G125" s="509"/>
      <c r="H125" s="509"/>
      <c r="I125" s="512"/>
      <c r="J125" s="513"/>
      <c r="K125" s="879"/>
      <c r="L125" s="515"/>
      <c r="M125" s="516"/>
      <c r="N125" s="56">
        <f t="shared" si="52"/>
        <v>0</v>
      </c>
      <c r="O125" s="57">
        <f t="shared" si="53"/>
        <v>0</v>
      </c>
      <c r="P125" s="57">
        <f ca="1">IFERROR(IF(ISBLANK(H125),SUMIFS($AC:$AC,$V:$V,V125,$W:$W,W125,$X:$X,X125,$Y:$Y,Y125)*J125/(1-J125)*VLOOKUP(_xlfn.CONCAT(C125,D125,E125,TIME!$M$12,Z125),HIS_SALES!$B$2:$W$4859,20,FALSE),AC125*J125/(1-J125)),0)</f>
        <v>0</v>
      </c>
      <c r="Q125" s="541" t="str">
        <f t="shared" si="54"/>
        <v/>
      </c>
      <c r="R125" s="346" t="str">
        <f t="shared" si="35"/>
        <v>00000</v>
      </c>
      <c r="S125" s="344">
        <f t="shared" si="55"/>
        <v>0</v>
      </c>
      <c r="T125" s="345" t="str">
        <f t="shared" si="49"/>
        <v>000</v>
      </c>
      <c r="U125" s="345">
        <f t="shared" si="56"/>
        <v>0</v>
      </c>
      <c r="V125" s="345">
        <f t="shared" si="57"/>
        <v>0</v>
      </c>
      <c r="W125" s="345">
        <f t="shared" si="58"/>
        <v>0</v>
      </c>
      <c r="X125" s="345">
        <f t="shared" si="59"/>
        <v>0</v>
      </c>
      <c r="Y125" s="345">
        <f t="shared" si="60"/>
        <v>0</v>
      </c>
      <c r="Z125" s="345">
        <f>IF(Q125&lt;&gt;"",VLOOKUP(Y125,TIME!$R$21:$V$24,MATCH(FC_DATA!Q125,TIME!$R$20:$V$20,0),FALSE),H125)</f>
        <v>0</v>
      </c>
      <c r="AA125" s="345" t="str">
        <f>IFERROR(VLOOKUP(X125&amp;Z125,TIME!$A$12:$D$71,4,FALSE),"")</f>
        <v/>
      </c>
      <c r="AB125" s="592">
        <f t="shared" ca="1" si="42"/>
        <v>0</v>
      </c>
      <c r="AC125" s="593" t="e">
        <f ca="1">IF(ISBLANK(H125)=FALSE,IF(D125="BRAND.com",I125,IF(ISNA(VLOOKUP(_xlfn.CONCAT(X125,Z125),TIME!$M$40:$M$42,1,FALSE)),I125,VLOOKUP(_xlfn.CONCAT(D125,G125,H125),M_BUSAREA_FC!$AF$5:$AJ$10,5,FALSE)*HLOOKUP(_xlfn.CONCAT(F125,H125),ST_OVERVIEW!$G$99:$I$130,MATCH(_xlfn.CONCAT(D125,E125),ST_OVERVIEW!$F$99:$F$130,0),FALSE))),IF(D125="BRAND.com",VLOOKUP(_xlfn.CONCAT(C125,D125,E125,TIME!$F$1,Z125),HIS_SALES!$B$2:$V$4859,19,FALSE)*I125,VLOOKUP(_xlfn.CONCAT(D125,F125,G125),Q_BUSAREA_FC!$AE$5:$AI$12,5,FALSE)*HLOOKUP(_xlfn.CONCAT(FC_DATA!F125,FC_DATA!G125),LT_OVERVIEW!$I$99:$M$130,MATCH(_xlfn.CONCAT(D125,FC_DATA!E125),LT_OVERVIEW!$H$99:$H$130,0),FALSE)*IFERROR(VLOOKUP(_xlfn.CONCAT(C125,D125,E125,TIME!$F$1,Z125),HIS_SALES!$B$2:$V$4859,19,FALSE),0)))</f>
        <v>#N/A</v>
      </c>
      <c r="AD125" s="341">
        <f t="shared" ca="1" si="61"/>
        <v>0</v>
      </c>
      <c r="AE125" s="363" t="str">
        <f t="shared" si="62"/>
        <v/>
      </c>
      <c r="AF125" s="342" t="str">
        <f t="shared" si="63"/>
        <v/>
      </c>
      <c r="AG125" s="411" t="e">
        <f ca="1">VLOOKUP(_xlfn.CONCAT(U125,V125,W125,VLOOKUP(X125&amp;Y125,TIME!$L$27:$O$34,4,FALSE),Y125),HIS_SALES!$A$2:$R$5093,18,FALSE)</f>
        <v>#N/A</v>
      </c>
      <c r="AH125" s="412" t="e">
        <f ca="1">IFERROR(IF(AND(V125=V124,W125=W124),0.5*(AB125+AB124)*AG125,(VLOOKUP(_xlfn.CONCAT(U125,V125,W125,X125,VLOOKUP(Z125,TIME!$S$28:$T$39,2,FALSE)),FC_DATA!$R$2:$AB$5000,MATCH("GS_I_M",FC_DATA!$R$1:$AB$1,0),FALSE)+FC_DATA!AB125)*0.5*FC_DATA!AG125),NA())</f>
        <v>#N/A</v>
      </c>
      <c r="AI125" s="491" t="e">
        <f ca="1">IF(V125="PARTNER.com",AH125,IF(AND(V125=V124,W125=W124),(1-AVERAGE(AD124,AD125))*AH125,(1-AVERAGE(AD125,VLOOKUP(_xlfn.CONCAT(U125,V125,W125,X125,M_BRAND_FC!$F$6),FC_DATA!$R$2:$AD$5000,MATCH("DISCOUNT_%_M",FC_DATA!$R$1:$AD$1,0),FALSE)))*AH125))</f>
        <v>#N/A</v>
      </c>
      <c r="AJ125" s="412" t="str">
        <f t="shared" ca="1" si="46"/>
        <v/>
      </c>
      <c r="AK125" s="413" t="str">
        <f>IFERROR(AE125/(Q_BRAND_FC!$T$24+1),"")</f>
        <v/>
      </c>
      <c r="AL125" s="88" t="str">
        <f t="shared" ca="1" si="47"/>
        <v/>
      </c>
      <c r="AM125" s="414" t="str">
        <f t="shared" ca="1" si="48"/>
        <v/>
      </c>
      <c r="AN125" s="58">
        <f>IFERROR(IF($V125="BRAND.com",HLOOKUP($X125&amp;$Z125,NWC_FC_NOOS!$C$4:$Q$23,MATCH(W125,NWC_FC_NOOS!$B$4:$B$23,0),FALSE),0),0)</f>
        <v>0</v>
      </c>
      <c r="AO125" s="57">
        <f>IFERROR(IF($V125="BRAND.com",HLOOKUP($X125&amp;$Z125,NWC_FC_NOOS!$T$4:$AH$23,MATCH(W125,NWC_FC_NOOS!$S$4:$S$23,0),FALSE),0),0)</f>
        <v>0</v>
      </c>
      <c r="AP125" s="57">
        <f>IFERROR(IF($V125="BRAND.com",HLOOKUP($X125&amp;$Z125,NWC_FC_NOOS!$C$50:$U$69,MATCH(W125,NWC_FC_NOOS!$B$50:$B$69,0),FALSE),0),0)</f>
        <v>0</v>
      </c>
      <c r="AQ125" s="58">
        <f>IFERROR(IF($V125="BRAND.com",HLOOKUP($X125&amp;$Z125,'NWC_FC_NON-NOOS'!$C$4:$Q$23,MATCH(W125,'NWC_FC_NON-NOOS'!$B$4:$B$23,0),FALSE),0),0)</f>
        <v>0</v>
      </c>
      <c r="AR125" s="57">
        <f>IFERROR(IF($V125="BRAND.com",HLOOKUP($X125&amp;$Z125,'NWC_FC_NON-NOOS'!$T$4:$AH$23,MATCH(W125,'NWC_FC_NON-NOOS'!$S$4:$S$23,0),FALSE),0),0)</f>
        <v>0</v>
      </c>
      <c r="AS125" s="57">
        <f>IFERROR(IF($V125="BRAND.com",HLOOKUP($X125&amp;$Z125,'NWC_FC_NON-NOOS'!$C$50:$U$69,MATCH(W125,'NWC_FC_NON-NOOS'!$B$50:$B$69,0),FALSE),0),0)</f>
        <v>0</v>
      </c>
      <c r="AT125" s="57">
        <f t="shared" si="50"/>
        <v>0</v>
      </c>
      <c r="AU125" s="57">
        <f t="shared" si="51"/>
        <v>0</v>
      </c>
      <c r="AV125" s="58">
        <f>IFERROR(IF($V125="BRAND.com",HLOOKUP($X125&amp;$Z125,PLANNING_FC!$BB$27:$BP$46,MATCH($W125,PLANNING_FC!$BA$27:$BA$46,0),FALSE),0),0)</f>
        <v>0</v>
      </c>
      <c r="AW125" s="58">
        <f>IFERROR(IF($V125="BRAND.com",HLOOKUP($X125&amp;$Z125,PLANNING_FC!$BB$4:$BP$23,MATCH($W125,PLANNING_FC!$BA$4:$BA$23,0),FALSE),0),0)</f>
        <v>0</v>
      </c>
      <c r="AX125" s="58">
        <f>IFERROR(IF($V125="BRAND.com",HLOOKUP($X125&amp;$Z125,PLANNING_FC!$T$27:$AH$46,MATCH($W125,PLANNING_FC!$B$27:$B$46,0),FALSE),0),0)</f>
        <v>0</v>
      </c>
      <c r="AY125" s="58">
        <f>IFERROR(IF($V125="BRAND.com",HLOOKUP($X125&amp;$Z125,PLANNING_FC!$T$4:$AH$23,MATCH($W125,PLANNING_FC!$B$4:$B$23,0),FALSE),0),0)</f>
        <v>0</v>
      </c>
      <c r="AZ125" s="58">
        <f>IFERROR(IF($V125="BRAND.com",HLOOKUP($X125&amp;$Z125,PLANNING_FC!$DA$27:$DO$46,MATCH($W125,PLANNING_FC!$CZ$27:$CZ$46,0),FALSE),0),0)</f>
        <v>0</v>
      </c>
      <c r="BA125" s="58">
        <f>IFERROR(IF($V125="BRAND.com",HLOOKUP($X125&amp;$Z125,PLANNING_FC!$DA$4:$DO$23,MATCH($W125,PLANNING_FC!$CZ$4:$CZ$23,0),FALSE),0),0)</f>
        <v>0</v>
      </c>
      <c r="BB125" s="883" t="str">
        <f>IF(V125="BRAND.com",IFERROR(HLOOKUP(X125&amp;Z125,PLANNING_FC!$AK$4:$AY$23,MATCH(W125,PLANNING_FC!$AJ$4:$AJ$23,0),FALSE)*1000,""),"")</f>
        <v/>
      </c>
      <c r="BC125" s="883" t="str">
        <f>IF(V125="BRAND.com",IFERROR(HLOOKUP(X125&amp;Z125,PLANNING_FC!$AK$27:$AY$46,MATCH(W125,PLANNING_FC!$AJ$27:$AJ$46,0),FALSE)*1000,""),"")</f>
        <v/>
      </c>
    </row>
    <row r="126" spans="1:55" x14ac:dyDescent="0.25">
      <c r="A126" s="509"/>
      <c r="B126" s="510"/>
      <c r="C126" s="509"/>
      <c r="D126" s="509"/>
      <c r="E126" s="509"/>
      <c r="F126" s="509"/>
      <c r="G126" s="509"/>
      <c r="H126" s="509"/>
      <c r="I126" s="512"/>
      <c r="J126" s="513"/>
      <c r="K126" s="879"/>
      <c r="L126" s="515"/>
      <c r="M126" s="516"/>
      <c r="N126" s="56">
        <f t="shared" si="52"/>
        <v>0</v>
      </c>
      <c r="O126" s="57">
        <f t="shared" si="53"/>
        <v>0</v>
      </c>
      <c r="P126" s="57">
        <f ca="1">IFERROR(IF(ISBLANK(H126),SUMIFS($AC:$AC,$V:$V,V126,$W:$W,W126,$X:$X,X126,$Y:$Y,Y126)*J126/(1-J126)*VLOOKUP(_xlfn.CONCAT(C126,D126,E126,TIME!$M$12,Z126),HIS_SALES!$B$2:$W$4859,20,FALSE),AC126*J126/(1-J126)),0)</f>
        <v>0</v>
      </c>
      <c r="Q126" s="541" t="str">
        <f t="shared" si="54"/>
        <v/>
      </c>
      <c r="R126" s="346" t="str">
        <f t="shared" si="35"/>
        <v>00000</v>
      </c>
      <c r="S126" s="344">
        <f t="shared" si="55"/>
        <v>0</v>
      </c>
      <c r="T126" s="345" t="str">
        <f t="shared" si="49"/>
        <v>000</v>
      </c>
      <c r="U126" s="345">
        <f t="shared" si="56"/>
        <v>0</v>
      </c>
      <c r="V126" s="345">
        <f t="shared" si="57"/>
        <v>0</v>
      </c>
      <c r="W126" s="345">
        <f t="shared" si="58"/>
        <v>0</v>
      </c>
      <c r="X126" s="345">
        <f t="shared" si="59"/>
        <v>0</v>
      </c>
      <c r="Y126" s="345">
        <f t="shared" si="60"/>
        <v>0</v>
      </c>
      <c r="Z126" s="345">
        <f>IF(Q126&lt;&gt;"",VLOOKUP(Y126,TIME!$R$21:$V$24,MATCH(FC_DATA!Q126,TIME!$R$20:$V$20,0),FALSE),H126)</f>
        <v>0</v>
      </c>
      <c r="AA126" s="345" t="str">
        <f>IFERROR(VLOOKUP(X126&amp;Z126,TIME!$A$12:$D$71,4,FALSE),"")</f>
        <v/>
      </c>
      <c r="AB126" s="592">
        <f t="shared" ca="1" si="42"/>
        <v>0</v>
      </c>
      <c r="AC126" s="593" t="e">
        <f ca="1">IF(ISBLANK(H126)=FALSE,IF(D126="BRAND.com",I126,IF(ISNA(VLOOKUP(_xlfn.CONCAT(X126,Z126),TIME!$M$40:$M$42,1,FALSE)),I126,VLOOKUP(_xlfn.CONCAT(D126,G126,H126),M_BUSAREA_FC!$AF$5:$AJ$10,5,FALSE)*HLOOKUP(_xlfn.CONCAT(F126,H126),ST_OVERVIEW!$G$99:$I$130,MATCH(_xlfn.CONCAT(D126,E126),ST_OVERVIEW!$F$99:$F$130,0),FALSE))),IF(D126="BRAND.com",VLOOKUP(_xlfn.CONCAT(C126,D126,E126,TIME!$F$1,Z126),HIS_SALES!$B$2:$V$4859,19,FALSE)*I126,VLOOKUP(_xlfn.CONCAT(D126,F126,G126),Q_BUSAREA_FC!$AE$5:$AI$12,5,FALSE)*HLOOKUP(_xlfn.CONCAT(FC_DATA!F126,FC_DATA!G126),LT_OVERVIEW!$I$99:$M$130,MATCH(_xlfn.CONCAT(D126,FC_DATA!E126),LT_OVERVIEW!$H$99:$H$130,0),FALSE)*IFERROR(VLOOKUP(_xlfn.CONCAT(C126,D126,E126,TIME!$F$1,Z126),HIS_SALES!$B$2:$V$4859,19,FALSE),0)))</f>
        <v>#N/A</v>
      </c>
      <c r="AD126" s="341">
        <f t="shared" ca="1" si="61"/>
        <v>0</v>
      </c>
      <c r="AE126" s="363" t="str">
        <f t="shared" si="62"/>
        <v/>
      </c>
      <c r="AF126" s="342" t="str">
        <f t="shared" si="63"/>
        <v/>
      </c>
      <c r="AG126" s="411" t="e">
        <f ca="1">VLOOKUP(_xlfn.CONCAT(U126,V126,W126,VLOOKUP(X126&amp;Y126,TIME!$L$27:$O$34,4,FALSE),Y126),HIS_SALES!$A$2:$R$5093,18,FALSE)</f>
        <v>#N/A</v>
      </c>
      <c r="AH126" s="412" t="e">
        <f ca="1">IFERROR(IF(AND(V126=V125,W126=W125),0.5*(AB126+AB125)*AG126,(VLOOKUP(_xlfn.CONCAT(U126,V126,W126,X126,VLOOKUP(Z126,TIME!$S$28:$T$39,2,FALSE)),FC_DATA!$R$2:$AB$5000,MATCH("GS_I_M",FC_DATA!$R$1:$AB$1,0),FALSE)+FC_DATA!AB126)*0.5*FC_DATA!AG126),NA())</f>
        <v>#N/A</v>
      </c>
      <c r="AI126" s="491" t="e">
        <f ca="1">IF(V126="PARTNER.com",AH126,IF(AND(V126=V125,W126=W125),(1-AVERAGE(AD125,AD126))*AH126,(1-AVERAGE(AD126,VLOOKUP(_xlfn.CONCAT(U126,V126,W126,X126,M_BRAND_FC!$F$6),FC_DATA!$R$2:$AD$5000,MATCH("DISCOUNT_%_M",FC_DATA!$R$1:$AD$1,0),FALSE)))*AH126))</f>
        <v>#N/A</v>
      </c>
      <c r="AJ126" s="412" t="str">
        <f t="shared" ca="1" si="46"/>
        <v/>
      </c>
      <c r="AK126" s="413" t="str">
        <f>IFERROR(AE126/(Q_BRAND_FC!$T$24+1),"")</f>
        <v/>
      </c>
      <c r="AL126" s="88" t="str">
        <f t="shared" ca="1" si="47"/>
        <v/>
      </c>
      <c r="AM126" s="414" t="str">
        <f t="shared" ca="1" si="48"/>
        <v/>
      </c>
      <c r="AN126" s="58">
        <f>IFERROR(IF($V126="BRAND.com",HLOOKUP($X126&amp;$Z126,NWC_FC_NOOS!$C$4:$Q$23,MATCH(W126,NWC_FC_NOOS!$B$4:$B$23,0),FALSE),0),0)</f>
        <v>0</v>
      </c>
      <c r="AO126" s="57">
        <f>IFERROR(IF($V126="BRAND.com",HLOOKUP($X126&amp;$Z126,NWC_FC_NOOS!$T$4:$AH$23,MATCH(W126,NWC_FC_NOOS!$S$4:$S$23,0),FALSE),0),0)</f>
        <v>0</v>
      </c>
      <c r="AP126" s="57">
        <f>IFERROR(IF($V126="BRAND.com",HLOOKUP($X126&amp;$Z126,NWC_FC_NOOS!$C$50:$U$69,MATCH(W126,NWC_FC_NOOS!$B$50:$B$69,0),FALSE),0),0)</f>
        <v>0</v>
      </c>
      <c r="AQ126" s="58">
        <f>IFERROR(IF($V126="BRAND.com",HLOOKUP($X126&amp;$Z126,'NWC_FC_NON-NOOS'!$C$4:$Q$23,MATCH(W126,'NWC_FC_NON-NOOS'!$B$4:$B$23,0),FALSE),0),0)</f>
        <v>0</v>
      </c>
      <c r="AR126" s="57">
        <f>IFERROR(IF($V126="BRAND.com",HLOOKUP($X126&amp;$Z126,'NWC_FC_NON-NOOS'!$T$4:$AH$23,MATCH(W126,'NWC_FC_NON-NOOS'!$S$4:$S$23,0),FALSE),0),0)</f>
        <v>0</v>
      </c>
      <c r="AS126" s="57">
        <f>IFERROR(IF($V126="BRAND.com",HLOOKUP($X126&amp;$Z126,'NWC_FC_NON-NOOS'!$C$50:$U$69,MATCH(W126,'NWC_FC_NON-NOOS'!$B$50:$B$69,0),FALSE),0),0)</f>
        <v>0</v>
      </c>
      <c r="AT126" s="57">
        <f t="shared" si="50"/>
        <v>0</v>
      </c>
      <c r="AU126" s="57">
        <f t="shared" si="51"/>
        <v>0</v>
      </c>
      <c r="AV126" s="58">
        <f>IFERROR(IF($V126="BRAND.com",HLOOKUP($X126&amp;$Z126,PLANNING_FC!$BB$27:$BP$46,MATCH($W126,PLANNING_FC!$BA$27:$BA$46,0),FALSE),0),0)</f>
        <v>0</v>
      </c>
      <c r="AW126" s="58">
        <f>IFERROR(IF($V126="BRAND.com",HLOOKUP($X126&amp;$Z126,PLANNING_FC!$BB$4:$BP$23,MATCH($W126,PLANNING_FC!$BA$4:$BA$23,0),FALSE),0),0)</f>
        <v>0</v>
      </c>
      <c r="AX126" s="58">
        <f>IFERROR(IF($V126="BRAND.com",HLOOKUP($X126&amp;$Z126,PLANNING_FC!$T$27:$AH$46,MATCH($W126,PLANNING_FC!$B$27:$B$46,0),FALSE),0),0)</f>
        <v>0</v>
      </c>
      <c r="AY126" s="58">
        <f>IFERROR(IF($V126="BRAND.com",HLOOKUP($X126&amp;$Z126,PLANNING_FC!$T$4:$AH$23,MATCH($W126,PLANNING_FC!$B$4:$B$23,0),FALSE),0),0)</f>
        <v>0</v>
      </c>
      <c r="AZ126" s="58">
        <f>IFERROR(IF($V126="BRAND.com",HLOOKUP($X126&amp;$Z126,PLANNING_FC!$DA$27:$DO$46,MATCH($W126,PLANNING_FC!$CZ$27:$CZ$46,0),FALSE),0),0)</f>
        <v>0</v>
      </c>
      <c r="BA126" s="58">
        <f>IFERROR(IF($V126="BRAND.com",HLOOKUP($X126&amp;$Z126,PLANNING_FC!$DA$4:$DO$23,MATCH($W126,PLANNING_FC!$CZ$4:$CZ$23,0),FALSE),0),0)</f>
        <v>0</v>
      </c>
      <c r="BB126" s="883" t="str">
        <f>IF(V126="BRAND.com",IFERROR(HLOOKUP(X126&amp;Z126,PLANNING_FC!$AK$4:$AY$23,MATCH(W126,PLANNING_FC!$AJ$4:$AJ$23,0),FALSE)*1000,""),"")</f>
        <v/>
      </c>
      <c r="BC126" s="883" t="str">
        <f>IF(V126="BRAND.com",IFERROR(HLOOKUP(X126&amp;Z126,PLANNING_FC!$AK$27:$AY$46,MATCH(W126,PLANNING_FC!$AJ$27:$AJ$46,0),FALSE)*1000,""),"")</f>
        <v/>
      </c>
    </row>
    <row r="127" spans="1:55" x14ac:dyDescent="0.25">
      <c r="A127" s="509"/>
      <c r="B127" s="510"/>
      <c r="C127" s="509"/>
      <c r="D127" s="509"/>
      <c r="E127" s="509"/>
      <c r="F127" s="509"/>
      <c r="G127" s="509"/>
      <c r="H127" s="509"/>
      <c r="I127" s="512"/>
      <c r="J127" s="513"/>
      <c r="K127" s="879"/>
      <c r="L127" s="515"/>
      <c r="M127" s="516"/>
      <c r="N127" s="56">
        <f t="shared" si="52"/>
        <v>0</v>
      </c>
      <c r="O127" s="57">
        <f t="shared" si="53"/>
        <v>0</v>
      </c>
      <c r="P127" s="57">
        <f ca="1">IFERROR(IF(ISBLANK(H127),SUMIFS($AC:$AC,$V:$V,V127,$W:$W,W127,$X:$X,X127,$Y:$Y,Y127)*J127/(1-J127)*VLOOKUP(_xlfn.CONCAT(C127,D127,E127,TIME!$M$12,Z127),HIS_SALES!$B$2:$W$4859,20,FALSE),AC127*J127/(1-J127)),0)</f>
        <v>0</v>
      </c>
      <c r="Q127" s="541" t="str">
        <f t="shared" si="54"/>
        <v/>
      </c>
      <c r="R127" s="346" t="str">
        <f t="shared" si="35"/>
        <v>00000</v>
      </c>
      <c r="S127" s="344">
        <f t="shared" si="55"/>
        <v>0</v>
      </c>
      <c r="T127" s="345" t="str">
        <f t="shared" si="49"/>
        <v>000</v>
      </c>
      <c r="U127" s="345">
        <f t="shared" si="56"/>
        <v>0</v>
      </c>
      <c r="V127" s="345">
        <f t="shared" si="57"/>
        <v>0</v>
      </c>
      <c r="W127" s="345">
        <f t="shared" si="58"/>
        <v>0</v>
      </c>
      <c r="X127" s="345">
        <f t="shared" si="59"/>
        <v>0</v>
      </c>
      <c r="Y127" s="345">
        <f t="shared" si="60"/>
        <v>0</v>
      </c>
      <c r="Z127" s="345">
        <f>IF(Q127&lt;&gt;"",VLOOKUP(Y127,TIME!$R$21:$V$24,MATCH(FC_DATA!Q127,TIME!$R$20:$V$20,0),FALSE),H127)</f>
        <v>0</v>
      </c>
      <c r="AA127" s="345" t="str">
        <f>IFERROR(VLOOKUP(X127&amp;Z127,TIME!$A$12:$D$71,4,FALSE),"")</f>
        <v/>
      </c>
      <c r="AB127" s="592">
        <f t="shared" ca="1" si="42"/>
        <v>0</v>
      </c>
      <c r="AC127" s="593" t="e">
        <f ca="1">IF(ISBLANK(H127)=FALSE,IF(D127="BRAND.com",I127,IF(ISNA(VLOOKUP(_xlfn.CONCAT(X127,Z127),TIME!$M$40:$M$42,1,FALSE)),I127,VLOOKUP(_xlfn.CONCAT(D127,G127,H127),M_BUSAREA_FC!$AF$5:$AJ$10,5,FALSE)*HLOOKUP(_xlfn.CONCAT(F127,H127),ST_OVERVIEW!$G$99:$I$130,MATCH(_xlfn.CONCAT(D127,E127),ST_OVERVIEW!$F$99:$F$130,0),FALSE))),IF(D127="BRAND.com",VLOOKUP(_xlfn.CONCAT(C127,D127,E127,TIME!$F$1,Z127),HIS_SALES!$B$2:$V$4859,19,FALSE)*I127,VLOOKUP(_xlfn.CONCAT(D127,F127,G127),Q_BUSAREA_FC!$AE$5:$AI$12,5,FALSE)*HLOOKUP(_xlfn.CONCAT(FC_DATA!F127,FC_DATA!G127),LT_OVERVIEW!$I$99:$M$130,MATCH(_xlfn.CONCAT(D127,FC_DATA!E127),LT_OVERVIEW!$H$99:$H$130,0),FALSE)*IFERROR(VLOOKUP(_xlfn.CONCAT(C127,D127,E127,TIME!$F$1,Z127),HIS_SALES!$B$2:$V$4859,19,FALSE),0)))</f>
        <v>#N/A</v>
      </c>
      <c r="AD127" s="341">
        <f t="shared" ca="1" si="61"/>
        <v>0</v>
      </c>
      <c r="AE127" s="363" t="str">
        <f t="shared" si="62"/>
        <v/>
      </c>
      <c r="AF127" s="342" t="str">
        <f t="shared" si="63"/>
        <v/>
      </c>
      <c r="AG127" s="411" t="e">
        <f ca="1">VLOOKUP(_xlfn.CONCAT(U127,V127,W127,VLOOKUP(X127&amp;Y127,TIME!$L$27:$O$34,4,FALSE),Y127),HIS_SALES!$A$2:$R$5093,18,FALSE)</f>
        <v>#N/A</v>
      </c>
      <c r="AH127" s="412" t="e">
        <f ca="1">IFERROR(IF(AND(V127=V126,W127=W126),0.5*(AB127+AB126)*AG127,(VLOOKUP(_xlfn.CONCAT(U127,V127,W127,X127,VLOOKUP(Z127,TIME!$S$28:$T$39,2,FALSE)),FC_DATA!$R$2:$AB$5000,MATCH("GS_I_M",FC_DATA!$R$1:$AB$1,0),FALSE)+FC_DATA!AB127)*0.5*FC_DATA!AG127),NA())</f>
        <v>#N/A</v>
      </c>
      <c r="AI127" s="491" t="e">
        <f ca="1">IF(V127="PARTNER.com",AH127,IF(AND(V127=V126,W127=W126),(1-AVERAGE(AD126,AD127))*AH127,(1-AVERAGE(AD127,VLOOKUP(_xlfn.CONCAT(U127,V127,W127,X127,M_BRAND_FC!$F$6),FC_DATA!$R$2:$AD$5000,MATCH("DISCOUNT_%_M",FC_DATA!$R$1:$AD$1,0),FALSE)))*AH127))</f>
        <v>#N/A</v>
      </c>
      <c r="AJ127" s="412" t="str">
        <f t="shared" ca="1" si="46"/>
        <v/>
      </c>
      <c r="AK127" s="413" t="str">
        <f>IFERROR(AE127/(Q_BRAND_FC!$T$24+1),"")</f>
        <v/>
      </c>
      <c r="AL127" s="88" t="str">
        <f t="shared" ca="1" si="47"/>
        <v/>
      </c>
      <c r="AM127" s="414" t="str">
        <f t="shared" ca="1" si="48"/>
        <v/>
      </c>
      <c r="AN127" s="58">
        <f>IFERROR(IF($V127="BRAND.com",HLOOKUP($X127&amp;$Z127,NWC_FC_NOOS!$C$4:$Q$23,MATCH(W127,NWC_FC_NOOS!$B$4:$B$23,0),FALSE),0),0)</f>
        <v>0</v>
      </c>
      <c r="AO127" s="57">
        <f>IFERROR(IF($V127="BRAND.com",HLOOKUP($X127&amp;$Z127,NWC_FC_NOOS!$T$4:$AH$23,MATCH(W127,NWC_FC_NOOS!$S$4:$S$23,0),FALSE),0),0)</f>
        <v>0</v>
      </c>
      <c r="AP127" s="57">
        <f>IFERROR(IF($V127="BRAND.com",HLOOKUP($X127&amp;$Z127,NWC_FC_NOOS!$C$50:$U$69,MATCH(W127,NWC_FC_NOOS!$B$50:$B$69,0),FALSE),0),0)</f>
        <v>0</v>
      </c>
      <c r="AQ127" s="58">
        <f>IFERROR(IF($V127="BRAND.com",HLOOKUP($X127&amp;$Z127,'NWC_FC_NON-NOOS'!$C$4:$Q$23,MATCH(W127,'NWC_FC_NON-NOOS'!$B$4:$B$23,0),FALSE),0),0)</f>
        <v>0</v>
      </c>
      <c r="AR127" s="57">
        <f>IFERROR(IF($V127="BRAND.com",HLOOKUP($X127&amp;$Z127,'NWC_FC_NON-NOOS'!$T$4:$AH$23,MATCH(W127,'NWC_FC_NON-NOOS'!$S$4:$S$23,0),FALSE),0),0)</f>
        <v>0</v>
      </c>
      <c r="AS127" s="57">
        <f>IFERROR(IF($V127="BRAND.com",HLOOKUP($X127&amp;$Z127,'NWC_FC_NON-NOOS'!$C$50:$U$69,MATCH(W127,'NWC_FC_NON-NOOS'!$B$50:$B$69,0),FALSE),0),0)</f>
        <v>0</v>
      </c>
      <c r="AT127" s="57">
        <f t="shared" si="50"/>
        <v>0</v>
      </c>
      <c r="AU127" s="57">
        <f t="shared" si="51"/>
        <v>0</v>
      </c>
      <c r="AV127" s="58">
        <f>IFERROR(IF($V127="BRAND.com",HLOOKUP($X127&amp;$Z127,PLANNING_FC!$BB$27:$BP$46,MATCH($W127,PLANNING_FC!$BA$27:$BA$46,0),FALSE),0),0)</f>
        <v>0</v>
      </c>
      <c r="AW127" s="58">
        <f>IFERROR(IF($V127="BRAND.com",HLOOKUP($X127&amp;$Z127,PLANNING_FC!$BB$4:$BP$23,MATCH($W127,PLANNING_FC!$BA$4:$BA$23,0),FALSE),0),0)</f>
        <v>0</v>
      </c>
      <c r="AX127" s="58">
        <f>IFERROR(IF($V127="BRAND.com",HLOOKUP($X127&amp;$Z127,PLANNING_FC!$T$27:$AH$46,MATCH($W127,PLANNING_FC!$B$27:$B$46,0),FALSE),0),0)</f>
        <v>0</v>
      </c>
      <c r="AY127" s="58">
        <f>IFERROR(IF($V127="BRAND.com",HLOOKUP($X127&amp;$Z127,PLANNING_FC!$T$4:$AH$23,MATCH($W127,PLANNING_FC!$B$4:$B$23,0),FALSE),0),0)</f>
        <v>0</v>
      </c>
      <c r="AZ127" s="58">
        <f>IFERROR(IF($V127="BRAND.com",HLOOKUP($X127&amp;$Z127,PLANNING_FC!$DA$27:$DO$46,MATCH($W127,PLANNING_FC!$CZ$27:$CZ$46,0),FALSE),0),0)</f>
        <v>0</v>
      </c>
      <c r="BA127" s="58">
        <f>IFERROR(IF($V127="BRAND.com",HLOOKUP($X127&amp;$Z127,PLANNING_FC!$DA$4:$DO$23,MATCH($W127,PLANNING_FC!$CZ$4:$CZ$23,0),FALSE),0),0)</f>
        <v>0</v>
      </c>
      <c r="BB127" s="883" t="str">
        <f>IF(V127="BRAND.com",IFERROR(HLOOKUP(X127&amp;Z127,PLANNING_FC!$AK$4:$AY$23,MATCH(W127,PLANNING_FC!$AJ$4:$AJ$23,0),FALSE)*1000,""),"")</f>
        <v/>
      </c>
      <c r="BC127" s="883" t="str">
        <f>IF(V127="BRAND.com",IFERROR(HLOOKUP(X127&amp;Z127,PLANNING_FC!$AK$27:$AY$46,MATCH(W127,PLANNING_FC!$AJ$27:$AJ$46,0),FALSE)*1000,""),"")</f>
        <v/>
      </c>
    </row>
    <row r="128" spans="1:55" x14ac:dyDescent="0.25">
      <c r="A128" s="509"/>
      <c r="B128" s="510"/>
      <c r="C128" s="509"/>
      <c r="D128" s="509"/>
      <c r="E128" s="509"/>
      <c r="F128" s="509"/>
      <c r="G128" s="509"/>
      <c r="H128" s="509"/>
      <c r="I128" s="512"/>
      <c r="J128" s="513"/>
      <c r="K128" s="879"/>
      <c r="L128" s="515"/>
      <c r="M128" s="516"/>
      <c r="N128" s="56">
        <f t="shared" si="52"/>
        <v>0</v>
      </c>
      <c r="O128" s="57">
        <f t="shared" si="53"/>
        <v>0</v>
      </c>
      <c r="P128" s="57">
        <f ca="1">IFERROR(IF(ISBLANK(H128),SUMIFS($AC:$AC,$V:$V,V128,$W:$W,W128,$X:$X,X128,$Y:$Y,Y128)*J128/(1-J128)*VLOOKUP(_xlfn.CONCAT(C128,D128,E128,TIME!$M$12,Z128),HIS_SALES!$B$2:$W$4859,20,FALSE),AC128*J128/(1-J128)),0)</f>
        <v>0</v>
      </c>
      <c r="Q128" s="541" t="str">
        <f t="shared" si="54"/>
        <v/>
      </c>
      <c r="R128" s="346" t="str">
        <f t="shared" si="35"/>
        <v>00000</v>
      </c>
      <c r="S128" s="344">
        <f t="shared" si="55"/>
        <v>0</v>
      </c>
      <c r="T128" s="345" t="str">
        <f t="shared" si="49"/>
        <v>000</v>
      </c>
      <c r="U128" s="345">
        <f t="shared" si="56"/>
        <v>0</v>
      </c>
      <c r="V128" s="345">
        <f t="shared" si="57"/>
        <v>0</v>
      </c>
      <c r="W128" s="345">
        <f t="shared" si="58"/>
        <v>0</v>
      </c>
      <c r="X128" s="345">
        <f t="shared" si="59"/>
        <v>0</v>
      </c>
      <c r="Y128" s="345">
        <f t="shared" si="60"/>
        <v>0</v>
      </c>
      <c r="Z128" s="345">
        <f>IF(Q128&lt;&gt;"",VLOOKUP(Y128,TIME!$R$21:$V$24,MATCH(FC_DATA!Q128,TIME!$R$20:$V$20,0),FALSE),H128)</f>
        <v>0</v>
      </c>
      <c r="AA128" s="345" t="str">
        <f>IFERROR(VLOOKUP(X128&amp;Z128,TIME!$A$12:$D$71,4,FALSE),"")</f>
        <v/>
      </c>
      <c r="AB128" s="592">
        <f t="shared" ca="1" si="42"/>
        <v>0</v>
      </c>
      <c r="AC128" s="593" t="e">
        <f ca="1">IF(ISBLANK(H128)=FALSE,IF(D128="BRAND.com",I128,IF(ISNA(VLOOKUP(_xlfn.CONCAT(X128,Z128),TIME!$M$40:$M$42,1,FALSE)),I128,VLOOKUP(_xlfn.CONCAT(D128,G128,H128),M_BUSAREA_FC!$AF$5:$AJ$10,5,FALSE)*HLOOKUP(_xlfn.CONCAT(F128,H128),ST_OVERVIEW!$G$99:$I$130,MATCH(_xlfn.CONCAT(D128,E128),ST_OVERVIEW!$F$99:$F$130,0),FALSE))),IF(D128="BRAND.com",VLOOKUP(_xlfn.CONCAT(C128,D128,E128,TIME!$F$1,Z128),HIS_SALES!$B$2:$V$4859,19,FALSE)*I128,VLOOKUP(_xlfn.CONCAT(D128,F128,G128),Q_BUSAREA_FC!$AE$5:$AI$12,5,FALSE)*HLOOKUP(_xlfn.CONCAT(FC_DATA!F128,FC_DATA!G128),LT_OVERVIEW!$I$99:$M$130,MATCH(_xlfn.CONCAT(D128,FC_DATA!E128),LT_OVERVIEW!$H$99:$H$130,0),FALSE)*IFERROR(VLOOKUP(_xlfn.CONCAT(C128,D128,E128,TIME!$F$1,Z128),HIS_SALES!$B$2:$V$4859,19,FALSE),0)))</f>
        <v>#N/A</v>
      </c>
      <c r="AD128" s="341">
        <f t="shared" ca="1" si="61"/>
        <v>0</v>
      </c>
      <c r="AE128" s="363" t="str">
        <f t="shared" si="62"/>
        <v/>
      </c>
      <c r="AF128" s="342" t="str">
        <f t="shared" si="63"/>
        <v/>
      </c>
      <c r="AG128" s="411" t="e">
        <f ca="1">VLOOKUP(_xlfn.CONCAT(U128,V128,W128,VLOOKUP(X128&amp;Y128,TIME!$L$27:$O$34,4,FALSE),Y128),HIS_SALES!$A$2:$R$5093,18,FALSE)</f>
        <v>#N/A</v>
      </c>
      <c r="AH128" s="412" t="e">
        <f ca="1">IFERROR(IF(AND(V128=V127,W128=W127),0.5*(AB128+AB127)*AG128,(VLOOKUP(_xlfn.CONCAT(U128,V128,W128,X128,VLOOKUP(Z128,TIME!$S$28:$T$39,2,FALSE)),FC_DATA!$R$2:$AB$5000,MATCH("GS_I_M",FC_DATA!$R$1:$AB$1,0),FALSE)+FC_DATA!AB128)*0.5*FC_DATA!AG128),NA())</f>
        <v>#N/A</v>
      </c>
      <c r="AI128" s="491" t="e">
        <f ca="1">IF(V128="PARTNER.com",AH128,IF(AND(V128=V127,W128=W127),(1-AVERAGE(AD127,AD128))*AH128,(1-AVERAGE(AD128,VLOOKUP(_xlfn.CONCAT(U128,V128,W128,X128,M_BRAND_FC!$F$6),FC_DATA!$R$2:$AD$5000,MATCH("DISCOUNT_%_M",FC_DATA!$R$1:$AD$1,0),FALSE)))*AH128))</f>
        <v>#N/A</v>
      </c>
      <c r="AJ128" s="412" t="str">
        <f t="shared" ca="1" si="46"/>
        <v/>
      </c>
      <c r="AK128" s="413" t="str">
        <f>IFERROR(AE128/(Q_BRAND_FC!$T$24+1),"")</f>
        <v/>
      </c>
      <c r="AL128" s="88" t="str">
        <f t="shared" ca="1" si="47"/>
        <v/>
      </c>
      <c r="AM128" s="414" t="str">
        <f t="shared" ca="1" si="48"/>
        <v/>
      </c>
      <c r="AN128" s="58">
        <f>IFERROR(IF($V128="BRAND.com",HLOOKUP($X128&amp;$Z128,NWC_FC_NOOS!$C$4:$Q$23,MATCH(W128,NWC_FC_NOOS!$B$4:$B$23,0),FALSE),0),0)</f>
        <v>0</v>
      </c>
      <c r="AO128" s="57">
        <f>IFERROR(IF($V128="BRAND.com",HLOOKUP($X128&amp;$Z128,NWC_FC_NOOS!$T$4:$AH$23,MATCH(W128,NWC_FC_NOOS!$S$4:$S$23,0),FALSE),0),0)</f>
        <v>0</v>
      </c>
      <c r="AP128" s="57">
        <f>IFERROR(IF($V128="BRAND.com",HLOOKUP($X128&amp;$Z128,NWC_FC_NOOS!$C$50:$U$69,MATCH(W128,NWC_FC_NOOS!$B$50:$B$69,0),FALSE),0),0)</f>
        <v>0</v>
      </c>
      <c r="AQ128" s="58">
        <f>IFERROR(IF($V128="BRAND.com",HLOOKUP($X128&amp;$Z128,'NWC_FC_NON-NOOS'!$C$4:$Q$23,MATCH(W128,'NWC_FC_NON-NOOS'!$B$4:$B$23,0),FALSE),0),0)</f>
        <v>0</v>
      </c>
      <c r="AR128" s="57">
        <f>IFERROR(IF($V128="BRAND.com",HLOOKUP($X128&amp;$Z128,'NWC_FC_NON-NOOS'!$T$4:$AH$23,MATCH(W128,'NWC_FC_NON-NOOS'!$S$4:$S$23,0),FALSE),0),0)</f>
        <v>0</v>
      </c>
      <c r="AS128" s="57">
        <f>IFERROR(IF($V128="BRAND.com",HLOOKUP($X128&amp;$Z128,'NWC_FC_NON-NOOS'!$C$50:$U$69,MATCH(W128,'NWC_FC_NON-NOOS'!$B$50:$B$69,0),FALSE),0),0)</f>
        <v>0</v>
      </c>
      <c r="AT128" s="57">
        <f t="shared" si="50"/>
        <v>0</v>
      </c>
      <c r="AU128" s="57">
        <f t="shared" si="51"/>
        <v>0</v>
      </c>
      <c r="AV128" s="58">
        <f>IFERROR(IF($V128="BRAND.com",HLOOKUP($X128&amp;$Z128,PLANNING_FC!$BB$27:$BP$46,MATCH($W128,PLANNING_FC!$BA$27:$BA$46,0),FALSE),0),0)</f>
        <v>0</v>
      </c>
      <c r="AW128" s="58">
        <f>IFERROR(IF($V128="BRAND.com",HLOOKUP($X128&amp;$Z128,PLANNING_FC!$BB$4:$BP$23,MATCH($W128,PLANNING_FC!$BA$4:$BA$23,0),FALSE),0),0)</f>
        <v>0</v>
      </c>
      <c r="AX128" s="58">
        <f>IFERROR(IF($V128="BRAND.com",HLOOKUP($X128&amp;$Z128,PLANNING_FC!$T$27:$AH$46,MATCH($W128,PLANNING_FC!$B$27:$B$46,0),FALSE),0),0)</f>
        <v>0</v>
      </c>
      <c r="AY128" s="58">
        <f>IFERROR(IF($V128="BRAND.com",HLOOKUP($X128&amp;$Z128,PLANNING_FC!$T$4:$AH$23,MATCH($W128,PLANNING_FC!$B$4:$B$23,0),FALSE),0),0)</f>
        <v>0</v>
      </c>
      <c r="AZ128" s="58">
        <f>IFERROR(IF($V128="BRAND.com",HLOOKUP($X128&amp;$Z128,PLANNING_FC!$DA$27:$DO$46,MATCH($W128,PLANNING_FC!$CZ$27:$CZ$46,0),FALSE),0),0)</f>
        <v>0</v>
      </c>
      <c r="BA128" s="58">
        <f>IFERROR(IF($V128="BRAND.com",HLOOKUP($X128&amp;$Z128,PLANNING_FC!$DA$4:$DO$23,MATCH($W128,PLANNING_FC!$CZ$4:$CZ$23,0),FALSE),0),0)</f>
        <v>0</v>
      </c>
      <c r="BB128" s="883" t="str">
        <f>IF(V128="BRAND.com",IFERROR(HLOOKUP(X128&amp;Z128,PLANNING_FC!$AK$4:$AY$23,MATCH(W128,PLANNING_FC!$AJ$4:$AJ$23,0),FALSE)*1000,""),"")</f>
        <v/>
      </c>
      <c r="BC128" s="883" t="str">
        <f>IF(V128="BRAND.com",IFERROR(HLOOKUP(X128&amp;Z128,PLANNING_FC!$AK$27:$AY$46,MATCH(W128,PLANNING_FC!$AJ$27:$AJ$46,0),FALSE)*1000,""),"")</f>
        <v/>
      </c>
    </row>
    <row r="129" spans="1:55" x14ac:dyDescent="0.25">
      <c r="A129" s="509"/>
      <c r="B129" s="510"/>
      <c r="C129" s="509"/>
      <c r="D129" s="509"/>
      <c r="E129" s="509"/>
      <c r="F129" s="509"/>
      <c r="G129" s="509"/>
      <c r="H129" s="509"/>
      <c r="I129" s="512"/>
      <c r="J129" s="513"/>
      <c r="K129" s="879"/>
      <c r="L129" s="515"/>
      <c r="M129" s="516"/>
      <c r="N129" s="56">
        <f t="shared" si="52"/>
        <v>0</v>
      </c>
      <c r="O129" s="57">
        <f t="shared" si="53"/>
        <v>0</v>
      </c>
      <c r="P129" s="57">
        <f ca="1">IFERROR(IF(ISBLANK(H129),SUMIFS($AC:$AC,$V:$V,V129,$W:$W,W129,$X:$X,X129,$Y:$Y,Y129)*J129/(1-J129)*VLOOKUP(_xlfn.CONCAT(C129,D129,E129,TIME!$M$12,Z129),HIS_SALES!$B$2:$W$4859,20,FALSE),AC129*J129/(1-J129)),0)</f>
        <v>0</v>
      </c>
      <c r="Q129" s="541" t="str">
        <f t="shared" si="54"/>
        <v/>
      </c>
      <c r="R129" s="346" t="str">
        <f t="shared" si="35"/>
        <v>00000</v>
      </c>
      <c r="S129" s="344">
        <f t="shared" si="55"/>
        <v>0</v>
      </c>
      <c r="T129" s="345" t="str">
        <f t="shared" si="49"/>
        <v>000</v>
      </c>
      <c r="U129" s="345">
        <f t="shared" si="56"/>
        <v>0</v>
      </c>
      <c r="V129" s="345">
        <f t="shared" si="57"/>
        <v>0</v>
      </c>
      <c r="W129" s="345">
        <f t="shared" si="58"/>
        <v>0</v>
      </c>
      <c r="X129" s="345">
        <f t="shared" si="59"/>
        <v>0</v>
      </c>
      <c r="Y129" s="345">
        <f t="shared" si="60"/>
        <v>0</v>
      </c>
      <c r="Z129" s="345">
        <f>IF(Q129&lt;&gt;"",VLOOKUP(Y129,TIME!$R$21:$V$24,MATCH(FC_DATA!Q129,TIME!$R$20:$V$20,0),FALSE),H129)</f>
        <v>0</v>
      </c>
      <c r="AA129" s="345" t="str">
        <f>IFERROR(VLOOKUP(X129&amp;Z129,TIME!$A$12:$D$71,4,FALSE),"")</f>
        <v/>
      </c>
      <c r="AB129" s="592">
        <f t="shared" ca="1" si="42"/>
        <v>0</v>
      </c>
      <c r="AC129" s="593" t="e">
        <f ca="1">IF(ISBLANK(H129)=FALSE,IF(D129="BRAND.com",I129,IF(ISNA(VLOOKUP(_xlfn.CONCAT(X129,Z129),TIME!$M$40:$M$42,1,FALSE)),I129,VLOOKUP(_xlfn.CONCAT(D129,G129,H129),M_BUSAREA_FC!$AF$5:$AJ$10,5,FALSE)*HLOOKUP(_xlfn.CONCAT(F129,H129),ST_OVERVIEW!$G$99:$I$130,MATCH(_xlfn.CONCAT(D129,E129),ST_OVERVIEW!$F$99:$F$130,0),FALSE))),IF(D129="BRAND.com",VLOOKUP(_xlfn.CONCAT(C129,D129,E129,TIME!$F$1,Z129),HIS_SALES!$B$2:$V$4859,19,FALSE)*I129,VLOOKUP(_xlfn.CONCAT(D129,F129,G129),Q_BUSAREA_FC!$AE$5:$AI$12,5,FALSE)*HLOOKUP(_xlfn.CONCAT(FC_DATA!F129,FC_DATA!G129),LT_OVERVIEW!$I$99:$M$130,MATCH(_xlfn.CONCAT(D129,FC_DATA!E129),LT_OVERVIEW!$H$99:$H$130,0),FALSE)*IFERROR(VLOOKUP(_xlfn.CONCAT(C129,D129,E129,TIME!$F$1,Z129),HIS_SALES!$B$2:$V$4859,19,FALSE),0)))</f>
        <v>#N/A</v>
      </c>
      <c r="AD129" s="341">
        <f t="shared" ca="1" si="61"/>
        <v>0</v>
      </c>
      <c r="AE129" s="363" t="str">
        <f t="shared" si="62"/>
        <v/>
      </c>
      <c r="AF129" s="342" t="str">
        <f t="shared" si="63"/>
        <v/>
      </c>
      <c r="AG129" s="411" t="e">
        <f ca="1">VLOOKUP(_xlfn.CONCAT(U129,V129,W129,VLOOKUP(X129&amp;Y129,TIME!$L$27:$O$34,4,FALSE),Y129),HIS_SALES!$A$2:$R$5093,18,FALSE)</f>
        <v>#N/A</v>
      </c>
      <c r="AH129" s="412" t="e">
        <f ca="1">IFERROR(IF(AND(V129=V128,W129=W128),0.5*(AB129+AB128)*AG129,(VLOOKUP(_xlfn.CONCAT(U129,V129,W129,X129,VLOOKUP(Z129,TIME!$S$28:$T$39,2,FALSE)),FC_DATA!$R$2:$AB$5000,MATCH("GS_I_M",FC_DATA!$R$1:$AB$1,0),FALSE)+FC_DATA!AB129)*0.5*FC_DATA!AG129),NA())</f>
        <v>#N/A</v>
      </c>
      <c r="AI129" s="491" t="e">
        <f ca="1">IF(V129="PARTNER.com",AH129,IF(AND(V129=V128,W129=W128),(1-AVERAGE(AD128,AD129))*AH129,(1-AVERAGE(AD129,VLOOKUP(_xlfn.CONCAT(U129,V129,W129,X129,M_BRAND_FC!$F$6),FC_DATA!$R$2:$AD$5000,MATCH("DISCOUNT_%_M",FC_DATA!$R$1:$AD$1,0),FALSE)))*AH129))</f>
        <v>#N/A</v>
      </c>
      <c r="AJ129" s="412" t="str">
        <f t="shared" ca="1" si="46"/>
        <v/>
      </c>
      <c r="AK129" s="413" t="str">
        <f>IFERROR(AE129/(Q_BRAND_FC!$T$24+1),"")</f>
        <v/>
      </c>
      <c r="AL129" s="88" t="str">
        <f t="shared" ca="1" si="47"/>
        <v/>
      </c>
      <c r="AM129" s="414" t="str">
        <f t="shared" ca="1" si="48"/>
        <v/>
      </c>
      <c r="AN129" s="58">
        <f>IFERROR(IF($V129="BRAND.com",HLOOKUP($X129&amp;$Z129,NWC_FC_NOOS!$C$4:$Q$23,MATCH(W129,NWC_FC_NOOS!$B$4:$B$23,0),FALSE),0),0)</f>
        <v>0</v>
      </c>
      <c r="AO129" s="57">
        <f>IFERROR(IF($V129="BRAND.com",HLOOKUP($X129&amp;$Z129,NWC_FC_NOOS!$T$4:$AH$23,MATCH(W129,NWC_FC_NOOS!$S$4:$S$23,0),FALSE),0),0)</f>
        <v>0</v>
      </c>
      <c r="AP129" s="57">
        <f>IFERROR(IF($V129="BRAND.com",HLOOKUP($X129&amp;$Z129,NWC_FC_NOOS!$C$50:$U$69,MATCH(W129,NWC_FC_NOOS!$B$50:$B$69,0),FALSE),0),0)</f>
        <v>0</v>
      </c>
      <c r="AQ129" s="58">
        <f>IFERROR(IF($V129="BRAND.com",HLOOKUP($X129&amp;$Z129,'NWC_FC_NON-NOOS'!$C$4:$Q$23,MATCH(W129,'NWC_FC_NON-NOOS'!$B$4:$B$23,0),FALSE),0),0)</f>
        <v>0</v>
      </c>
      <c r="AR129" s="57">
        <f>IFERROR(IF($V129="BRAND.com",HLOOKUP($X129&amp;$Z129,'NWC_FC_NON-NOOS'!$T$4:$AH$23,MATCH(W129,'NWC_FC_NON-NOOS'!$S$4:$S$23,0),FALSE),0),0)</f>
        <v>0</v>
      </c>
      <c r="AS129" s="57">
        <f>IFERROR(IF($V129="BRAND.com",HLOOKUP($X129&amp;$Z129,'NWC_FC_NON-NOOS'!$C$50:$U$69,MATCH(W129,'NWC_FC_NON-NOOS'!$B$50:$B$69,0),FALSE),0),0)</f>
        <v>0</v>
      </c>
      <c r="AT129" s="57">
        <f t="shared" si="50"/>
        <v>0</v>
      </c>
      <c r="AU129" s="57">
        <f t="shared" si="51"/>
        <v>0</v>
      </c>
      <c r="AV129" s="58">
        <f>IFERROR(IF($V129="BRAND.com",HLOOKUP($X129&amp;$Z129,PLANNING_FC!$BB$27:$BP$46,MATCH($W129,PLANNING_FC!$BA$27:$BA$46,0),FALSE),0),0)</f>
        <v>0</v>
      </c>
      <c r="AW129" s="58">
        <f>IFERROR(IF($V129="BRAND.com",HLOOKUP($X129&amp;$Z129,PLANNING_FC!$BB$4:$BP$23,MATCH($W129,PLANNING_FC!$BA$4:$BA$23,0),FALSE),0),0)</f>
        <v>0</v>
      </c>
      <c r="AX129" s="58">
        <f>IFERROR(IF($V129="BRAND.com",HLOOKUP($X129&amp;$Z129,PLANNING_FC!$T$27:$AH$46,MATCH($W129,PLANNING_FC!$B$27:$B$46,0),FALSE),0),0)</f>
        <v>0</v>
      </c>
      <c r="AY129" s="58">
        <f>IFERROR(IF($V129="BRAND.com",HLOOKUP($X129&amp;$Z129,PLANNING_FC!$T$4:$AH$23,MATCH($W129,PLANNING_FC!$B$4:$B$23,0),FALSE),0),0)</f>
        <v>0</v>
      </c>
      <c r="AZ129" s="58">
        <f>IFERROR(IF($V129="BRAND.com",HLOOKUP($X129&amp;$Z129,PLANNING_FC!$DA$27:$DO$46,MATCH($W129,PLANNING_FC!$CZ$27:$CZ$46,0),FALSE),0),0)</f>
        <v>0</v>
      </c>
      <c r="BA129" s="58">
        <f>IFERROR(IF($V129="BRAND.com",HLOOKUP($X129&amp;$Z129,PLANNING_FC!$DA$4:$DO$23,MATCH($W129,PLANNING_FC!$CZ$4:$CZ$23,0),FALSE),0),0)</f>
        <v>0</v>
      </c>
      <c r="BB129" s="883" t="str">
        <f>IF(V129="BRAND.com",IFERROR(HLOOKUP(X129&amp;Z129,PLANNING_FC!$AK$4:$AY$23,MATCH(W129,PLANNING_FC!$AJ$4:$AJ$23,0),FALSE)*1000,""),"")</f>
        <v/>
      </c>
      <c r="BC129" s="883" t="str">
        <f>IF(V129="BRAND.com",IFERROR(HLOOKUP(X129&amp;Z129,PLANNING_FC!$AK$27:$AY$46,MATCH(W129,PLANNING_FC!$AJ$27:$AJ$46,0),FALSE)*1000,""),"")</f>
        <v/>
      </c>
    </row>
    <row r="130" spans="1:55" x14ac:dyDescent="0.25">
      <c r="A130" s="509"/>
      <c r="B130" s="510"/>
      <c r="C130" s="509"/>
      <c r="D130" s="509"/>
      <c r="E130" s="509"/>
      <c r="F130" s="509"/>
      <c r="G130" s="509"/>
      <c r="H130" s="509"/>
      <c r="I130" s="512"/>
      <c r="J130" s="513"/>
      <c r="K130" s="879"/>
      <c r="L130" s="515"/>
      <c r="M130" s="516"/>
      <c r="N130" s="56">
        <f t="shared" si="52"/>
        <v>0</v>
      </c>
      <c r="O130" s="57">
        <f t="shared" ref="O130:O133" si="64">IFERROR(I130+N130,0)</f>
        <v>0</v>
      </c>
      <c r="P130" s="57">
        <f ca="1">IFERROR(IF(ISBLANK(H130),SUMIFS($AC:$AC,$V:$V,V130,$W:$W,W130,$X:$X,X130,$Y:$Y,Y130)*J130/(1-J130)*VLOOKUP(_xlfn.CONCAT(C130,D130,E130,TIME!$M$12,Z130),HIS_SALES!$B$2:$W$4859,20,FALSE),AC130*J130/(1-J130)),0)</f>
        <v>0</v>
      </c>
      <c r="Q130" s="541" t="str">
        <f t="shared" si="54"/>
        <v/>
      </c>
      <c r="R130" s="346" t="str">
        <f t="shared" ref="R130:R193" si="65">U130&amp;V130&amp;W130&amp;X130&amp;Z130</f>
        <v>00000</v>
      </c>
      <c r="S130" s="344">
        <f t="shared" si="55"/>
        <v>0</v>
      </c>
      <c r="T130" s="345" t="str">
        <f t="shared" si="49"/>
        <v>000</v>
      </c>
      <c r="U130" s="345">
        <f t="shared" si="56"/>
        <v>0</v>
      </c>
      <c r="V130" s="345">
        <f t="shared" si="57"/>
        <v>0</v>
      </c>
      <c r="W130" s="345">
        <f t="shared" si="58"/>
        <v>0</v>
      </c>
      <c r="X130" s="345">
        <f t="shared" si="59"/>
        <v>0</v>
      </c>
      <c r="Y130" s="345">
        <f t="shared" si="60"/>
        <v>0</v>
      </c>
      <c r="Z130" s="345">
        <f>IF(Q130&lt;&gt;"",VLOOKUP(Y130,TIME!$R$21:$V$24,MATCH(FC_DATA!Q130,TIME!$R$20:$V$20,0),FALSE),H130)</f>
        <v>0</v>
      </c>
      <c r="AA130" s="345" t="str">
        <f>IFERROR(VLOOKUP(X130&amp;Z130,TIME!$A$12:$D$71,4,FALSE),"")</f>
        <v/>
      </c>
      <c r="AB130" s="592">
        <f t="shared" ref="AB130:AB193" ca="1" si="66">IFERROR(AC130+P130,0)</f>
        <v>0</v>
      </c>
      <c r="AC130" s="593" t="e">
        <f ca="1">IF(ISBLANK(H130)=FALSE,IF(D130="BRAND.com",I130,IF(ISNA(VLOOKUP(_xlfn.CONCAT(X130,Z130),TIME!$M$40:$M$42,1,FALSE)),I130,VLOOKUP(_xlfn.CONCAT(D130,G130,H130),M_BUSAREA_FC!$AF$5:$AJ$10,5,FALSE)*HLOOKUP(_xlfn.CONCAT(F130,H130),ST_OVERVIEW!$G$99:$I$130,MATCH(_xlfn.CONCAT(D130,E130),ST_OVERVIEW!$F$99:$F$130,0),FALSE))),IF(D130="BRAND.com",VLOOKUP(_xlfn.CONCAT(C130,D130,E130,TIME!$F$1,Z130),HIS_SALES!$B$2:$V$4859,19,FALSE)*I130,VLOOKUP(_xlfn.CONCAT(D130,F130,G130),Q_BUSAREA_FC!$AE$5:$AI$12,5,FALSE)*HLOOKUP(_xlfn.CONCAT(FC_DATA!F130,FC_DATA!G130),LT_OVERVIEW!$I$99:$M$130,MATCH(_xlfn.CONCAT(D130,FC_DATA!E130),LT_OVERVIEW!$H$99:$H$130,0),FALSE)*IFERROR(VLOOKUP(_xlfn.CONCAT(C130,D130,E130,TIME!$F$1,Z130),HIS_SALES!$B$2:$V$4859,19,FALSE),0)))</f>
        <v>#N/A</v>
      </c>
      <c r="AD130" s="341">
        <f t="shared" ref="AD130:AD133" ca="1" si="67">IFERROR(IF(D130="PARTNER.com",0,1-AC130/AB130),0)</f>
        <v>0</v>
      </c>
      <c r="AE130" s="363" t="str">
        <f t="shared" si="62"/>
        <v/>
      </c>
      <c r="AF130" s="342" t="str">
        <f t="shared" si="63"/>
        <v/>
      </c>
      <c r="AG130" s="411" t="e">
        <f ca="1">VLOOKUP(_xlfn.CONCAT(U130,V130,W130,VLOOKUP(X130&amp;Y130,TIME!$L$27:$O$34,4,FALSE),Y130),HIS_SALES!$A$2:$R$5093,18,FALSE)</f>
        <v>#N/A</v>
      </c>
      <c r="AH130" s="412" t="e">
        <f ca="1">IFERROR(IF(AND(V130=V129,W130=W129),0.5*(AB130+AB129)*AG130,(VLOOKUP(_xlfn.CONCAT(U130,V130,W130,X130,VLOOKUP(Z130,TIME!$S$28:$T$39,2,FALSE)),FC_DATA!$R$2:$AB$5000,MATCH("GS_I_M",FC_DATA!$R$1:$AB$1,0),FALSE)+FC_DATA!AB130)*0.5*FC_DATA!AG130),NA())</f>
        <v>#N/A</v>
      </c>
      <c r="AI130" s="491" t="e">
        <f ca="1">IF(V130="PARTNER.com",AH130,IF(AND(V130=V129,W130=W129),(1-AVERAGE(AD129,AD130))*AH130,(1-AVERAGE(AD130,VLOOKUP(_xlfn.CONCAT(U130,V130,W130,X130,M_BRAND_FC!$F$6),FC_DATA!$R$2:$AD$5000,MATCH("DISCOUNT_%_M",FC_DATA!$R$1:$AD$1,0),FALSE)))*AH130))</f>
        <v>#N/A</v>
      </c>
      <c r="AJ130" s="412" t="str">
        <f t="shared" ref="AJ130:AJ193" ca="1" si="68">IFERROR(AC130-AI130,"")</f>
        <v/>
      </c>
      <c r="AK130" s="413" t="str">
        <f>IFERROR(AE130/(Q_BRAND_FC!$T$24+1),"")</f>
        <v/>
      </c>
      <c r="AL130" s="88" t="str">
        <f t="shared" ref="AL130:AL193" ca="1" si="69">IFERROR((AB130-AH130)/AK130*AF130,"")</f>
        <v/>
      </c>
      <c r="AM130" s="414" t="str">
        <f t="shared" ref="AM130:AM193" ca="1" si="70">IFERROR((AB130-AH130)/AK130*(1-AF130),"")</f>
        <v/>
      </c>
      <c r="AN130" s="58">
        <f>IFERROR(IF($V130="BRAND.com",HLOOKUP($X130&amp;$Z130,NWC_FC_NOOS!$C$4:$Q$23,MATCH(W130,NWC_FC_NOOS!$B$4:$B$23,0),FALSE),0),0)</f>
        <v>0</v>
      </c>
      <c r="AO130" s="57">
        <f>IFERROR(IF($V130="BRAND.com",HLOOKUP($X130&amp;$Z130,NWC_FC_NOOS!$T$4:$AH$23,MATCH(W130,NWC_FC_NOOS!$S$4:$S$23,0),FALSE),0),0)</f>
        <v>0</v>
      </c>
      <c r="AP130" s="57">
        <f>IFERROR(IF($V130="BRAND.com",HLOOKUP($X130&amp;$Z130,NWC_FC_NOOS!$C$50:$U$69,MATCH(W130,NWC_FC_NOOS!$B$50:$B$69,0),FALSE),0),0)</f>
        <v>0</v>
      </c>
      <c r="AQ130" s="58">
        <f>IFERROR(IF($V130="BRAND.com",HLOOKUP($X130&amp;$Z130,'NWC_FC_NON-NOOS'!$C$4:$Q$23,MATCH(W130,'NWC_FC_NON-NOOS'!$B$4:$B$23,0),FALSE),0),0)</f>
        <v>0</v>
      </c>
      <c r="AR130" s="57">
        <f>IFERROR(IF($V130="BRAND.com",HLOOKUP($X130&amp;$Z130,'NWC_FC_NON-NOOS'!$T$4:$AH$23,MATCH(W130,'NWC_FC_NON-NOOS'!$S$4:$S$23,0),FALSE),0),0)</f>
        <v>0</v>
      </c>
      <c r="AS130" s="57">
        <f>IFERROR(IF($V130="BRAND.com",HLOOKUP($X130&amp;$Z130,'NWC_FC_NON-NOOS'!$C$50:$U$69,MATCH(W130,'NWC_FC_NON-NOOS'!$B$50:$B$69,0),FALSE),0),0)</f>
        <v>0</v>
      </c>
      <c r="AT130" s="57">
        <f t="shared" si="50"/>
        <v>0</v>
      </c>
      <c r="AU130" s="57">
        <f t="shared" si="51"/>
        <v>0</v>
      </c>
      <c r="AV130" s="58">
        <f>IFERROR(IF($V130="BRAND.com",HLOOKUP($X130&amp;$Z130,PLANNING_FC!$BB$27:$BP$46,MATCH($W130,PLANNING_FC!$BA$27:$BA$46,0),FALSE),0),0)</f>
        <v>0</v>
      </c>
      <c r="AW130" s="58">
        <f>IFERROR(IF($V130="BRAND.com",HLOOKUP($X130&amp;$Z130,PLANNING_FC!$BB$4:$BP$23,MATCH($W130,PLANNING_FC!$BA$4:$BA$23,0),FALSE),0),0)</f>
        <v>0</v>
      </c>
      <c r="AX130" s="58">
        <f>IFERROR(IF($V130="BRAND.com",HLOOKUP($X130&amp;$Z130,PLANNING_FC!$T$27:$AH$46,MATCH($W130,PLANNING_FC!$B$27:$B$46,0),FALSE),0),0)</f>
        <v>0</v>
      </c>
      <c r="AY130" s="58">
        <f>IFERROR(IF($V130="BRAND.com",HLOOKUP($X130&amp;$Z130,PLANNING_FC!$T$4:$AH$23,MATCH($W130,PLANNING_FC!$B$4:$B$23,0),FALSE),0),0)</f>
        <v>0</v>
      </c>
      <c r="AZ130" s="58">
        <f>IFERROR(IF($V130="BRAND.com",HLOOKUP($X130&amp;$Z130,PLANNING_FC!$DA$27:$DO$46,MATCH($W130,PLANNING_FC!$CZ$27:$CZ$46,0),FALSE),0),0)</f>
        <v>0</v>
      </c>
      <c r="BA130" s="58">
        <f>IFERROR(IF($V130="BRAND.com",HLOOKUP($X130&amp;$Z130,PLANNING_FC!$DA$4:$DO$23,MATCH($W130,PLANNING_FC!$CZ$4:$CZ$23,0),FALSE),0),0)</f>
        <v>0</v>
      </c>
      <c r="BB130" s="883" t="str">
        <f>IF(V130="BRAND.com",IFERROR(HLOOKUP(X130&amp;Z130,PLANNING_FC!$AK$4:$AY$23,MATCH(W130,PLANNING_FC!$AJ$4:$AJ$23,0),FALSE)*1000,""),"")</f>
        <v/>
      </c>
      <c r="BC130" s="883" t="str">
        <f>IF(V130="BRAND.com",IFERROR(HLOOKUP(X130&amp;Z130,PLANNING_FC!$AK$27:$AY$46,MATCH(W130,PLANNING_FC!$AJ$27:$AJ$46,0),FALSE)*1000,""),"")</f>
        <v/>
      </c>
    </row>
    <row r="131" spans="1:55" x14ac:dyDescent="0.25">
      <c r="A131" s="509"/>
      <c r="B131" s="510"/>
      <c r="C131" s="509"/>
      <c r="D131" s="509"/>
      <c r="E131" s="509"/>
      <c r="F131" s="509"/>
      <c r="G131" s="509"/>
      <c r="H131" s="509"/>
      <c r="I131" s="512"/>
      <c r="J131" s="513"/>
      <c r="K131" s="879"/>
      <c r="L131" s="515"/>
      <c r="M131" s="516"/>
      <c r="N131" s="56">
        <f t="shared" si="52"/>
        <v>0</v>
      </c>
      <c r="O131" s="57">
        <f t="shared" si="64"/>
        <v>0</v>
      </c>
      <c r="P131" s="57">
        <f ca="1">IFERROR(IF(ISBLANK(H131),SUMIFS($AC:$AC,$V:$V,V131,$W:$W,W131,$X:$X,X131,$Y:$Y,Y131)*J131/(1-J131)*VLOOKUP(_xlfn.CONCAT(C131,D131,E131,TIME!$M$12,Z131),HIS_SALES!$B$2:$W$4859,20,FALSE),AC131*J131/(1-J131)),0)</f>
        <v>0</v>
      </c>
      <c r="Q131" s="541" t="str">
        <f t="shared" si="54"/>
        <v/>
      </c>
      <c r="R131" s="346" t="str">
        <f t="shared" si="65"/>
        <v>00000</v>
      </c>
      <c r="S131" s="344">
        <f t="shared" si="55"/>
        <v>0</v>
      </c>
      <c r="T131" s="345" t="str">
        <f t="shared" ref="T131:T194" si="71">U131&amp;V131&amp;W131&amp;AA131</f>
        <v>000</v>
      </c>
      <c r="U131" s="345">
        <f t="shared" si="56"/>
        <v>0</v>
      </c>
      <c r="V131" s="345">
        <f t="shared" si="57"/>
        <v>0</v>
      </c>
      <c r="W131" s="345">
        <f t="shared" si="58"/>
        <v>0</v>
      </c>
      <c r="X131" s="345">
        <f t="shared" si="59"/>
        <v>0</v>
      </c>
      <c r="Y131" s="345">
        <f t="shared" si="60"/>
        <v>0</v>
      </c>
      <c r="Z131" s="345">
        <f>IF(Q131&lt;&gt;"",VLOOKUP(Y131,TIME!$R$21:$V$24,MATCH(FC_DATA!Q131,TIME!$R$20:$V$20,0),FALSE),H131)</f>
        <v>0</v>
      </c>
      <c r="AA131" s="345" t="str">
        <f>IFERROR(VLOOKUP(X131&amp;Z131,TIME!$A$12:$D$71,4,FALSE),"")</f>
        <v/>
      </c>
      <c r="AB131" s="592">
        <f t="shared" ca="1" si="66"/>
        <v>0</v>
      </c>
      <c r="AC131" s="593" t="e">
        <f ca="1">IF(ISBLANK(H131)=FALSE,IF(D131="BRAND.com",I131,IF(ISNA(VLOOKUP(_xlfn.CONCAT(X131,Z131),TIME!$M$40:$M$42,1,FALSE)),I131,VLOOKUP(_xlfn.CONCAT(D131,G131,H131),M_BUSAREA_FC!$AF$5:$AJ$10,5,FALSE)*HLOOKUP(_xlfn.CONCAT(F131,H131),ST_OVERVIEW!$G$99:$I$130,MATCH(_xlfn.CONCAT(D131,E131),ST_OVERVIEW!$F$99:$F$130,0),FALSE))),IF(D131="BRAND.com",VLOOKUP(_xlfn.CONCAT(C131,D131,E131,TIME!$F$1,Z131),HIS_SALES!$B$2:$V$4859,19,FALSE)*I131,VLOOKUP(_xlfn.CONCAT(D131,F131,G131),Q_BUSAREA_FC!$AE$5:$AI$12,5,FALSE)*HLOOKUP(_xlfn.CONCAT(FC_DATA!F131,FC_DATA!G131),LT_OVERVIEW!$I$99:$M$130,MATCH(_xlfn.CONCAT(D131,FC_DATA!E131),LT_OVERVIEW!$H$99:$H$130,0),FALSE)*IFERROR(VLOOKUP(_xlfn.CONCAT(C131,D131,E131,TIME!$F$1,Z131),HIS_SALES!$B$2:$V$4859,19,FALSE),0)))</f>
        <v>#N/A</v>
      </c>
      <c r="AD131" s="341">
        <f t="shared" ca="1" si="67"/>
        <v>0</v>
      </c>
      <c r="AE131" s="363" t="str">
        <f t="shared" si="62"/>
        <v/>
      </c>
      <c r="AF131" s="342" t="str">
        <f t="shared" si="63"/>
        <v/>
      </c>
      <c r="AG131" s="411" t="e">
        <f ca="1">VLOOKUP(_xlfn.CONCAT(U131,V131,W131,VLOOKUP(X131&amp;Y131,TIME!$L$27:$O$34,4,FALSE),Y131),HIS_SALES!$A$2:$R$5093,18,FALSE)</f>
        <v>#N/A</v>
      </c>
      <c r="AH131" s="412" t="e">
        <f ca="1">IFERROR(IF(AND(V131=V130,W131=W130),0.5*(AB131+AB130)*AG131,(VLOOKUP(_xlfn.CONCAT(U131,V131,W131,X131,VLOOKUP(Z131,TIME!$S$28:$T$39,2,FALSE)),FC_DATA!$R$2:$AB$5000,MATCH("GS_I_M",FC_DATA!$R$1:$AB$1,0),FALSE)+FC_DATA!AB131)*0.5*FC_DATA!AG131),NA())</f>
        <v>#N/A</v>
      </c>
      <c r="AI131" s="491" t="e">
        <f ca="1">IF(V131="PARTNER.com",AH131,IF(AND(V131=V130,W131=W130),(1-AVERAGE(AD130,AD131))*AH131,(1-AVERAGE(AD131,VLOOKUP(_xlfn.CONCAT(U131,V131,W131,X131,M_BRAND_FC!$F$6),FC_DATA!$R$2:$AD$5000,MATCH("DISCOUNT_%_M",FC_DATA!$R$1:$AD$1,0),FALSE)))*AH131))</f>
        <v>#N/A</v>
      </c>
      <c r="AJ131" s="412" t="str">
        <f t="shared" ca="1" si="68"/>
        <v/>
      </c>
      <c r="AK131" s="413" t="str">
        <f>IFERROR(AE131/(Q_BRAND_FC!$T$24+1),"")</f>
        <v/>
      </c>
      <c r="AL131" s="88" t="str">
        <f t="shared" ca="1" si="69"/>
        <v/>
      </c>
      <c r="AM131" s="414" t="str">
        <f t="shared" ca="1" si="70"/>
        <v/>
      </c>
      <c r="AN131" s="58">
        <f>IFERROR(IF($V131="BRAND.com",HLOOKUP($X131&amp;$Z131,NWC_FC_NOOS!$C$4:$Q$23,MATCH(W131,NWC_FC_NOOS!$B$4:$B$23,0),FALSE),0),0)</f>
        <v>0</v>
      </c>
      <c r="AO131" s="57">
        <f>IFERROR(IF($V131="BRAND.com",HLOOKUP($X131&amp;$Z131,NWC_FC_NOOS!$T$4:$AH$23,MATCH(W131,NWC_FC_NOOS!$S$4:$S$23,0),FALSE),0),0)</f>
        <v>0</v>
      </c>
      <c r="AP131" s="57">
        <f>IFERROR(IF($V131="BRAND.com",HLOOKUP($X131&amp;$Z131,NWC_FC_NOOS!$C$50:$U$69,MATCH(W131,NWC_FC_NOOS!$B$50:$B$69,0),FALSE),0),0)</f>
        <v>0</v>
      </c>
      <c r="AQ131" s="58">
        <f>IFERROR(IF($V131="BRAND.com",HLOOKUP($X131&amp;$Z131,'NWC_FC_NON-NOOS'!$C$4:$Q$23,MATCH(W131,'NWC_FC_NON-NOOS'!$B$4:$B$23,0),FALSE),0),0)</f>
        <v>0</v>
      </c>
      <c r="AR131" s="57">
        <f>IFERROR(IF($V131="BRAND.com",HLOOKUP($X131&amp;$Z131,'NWC_FC_NON-NOOS'!$T$4:$AH$23,MATCH(W131,'NWC_FC_NON-NOOS'!$S$4:$S$23,0),FALSE),0),0)</f>
        <v>0</v>
      </c>
      <c r="AS131" s="57">
        <f>IFERROR(IF($V131="BRAND.com",HLOOKUP($X131&amp;$Z131,'NWC_FC_NON-NOOS'!$C$50:$U$69,MATCH(W131,'NWC_FC_NON-NOOS'!$B$50:$B$69,0),FALSE),0),0)</f>
        <v>0</v>
      </c>
      <c r="AT131" s="57">
        <f t="shared" ref="AT131:AT194" si="72">AO131+AR131</f>
        <v>0</v>
      </c>
      <c r="AU131" s="57">
        <f t="shared" ref="AU131:AU194" si="73">AP131+AS131</f>
        <v>0</v>
      </c>
      <c r="AV131" s="58">
        <f>IFERROR(IF($V131="BRAND.com",HLOOKUP($X131&amp;$Z131,PLANNING_FC!$BB$27:$BP$46,MATCH($W131,PLANNING_FC!$BA$27:$BA$46,0),FALSE),0),0)</f>
        <v>0</v>
      </c>
      <c r="AW131" s="58">
        <f>IFERROR(IF($V131="BRAND.com",HLOOKUP($X131&amp;$Z131,PLANNING_FC!$BB$4:$BP$23,MATCH($W131,PLANNING_FC!$BA$4:$BA$23,0),FALSE),0),0)</f>
        <v>0</v>
      </c>
      <c r="AX131" s="58">
        <f>IFERROR(IF($V131="BRAND.com",HLOOKUP($X131&amp;$Z131,PLANNING_FC!$T$27:$AH$46,MATCH($W131,PLANNING_FC!$B$27:$B$46,0),FALSE),0),0)</f>
        <v>0</v>
      </c>
      <c r="AY131" s="58">
        <f>IFERROR(IF($V131="BRAND.com",HLOOKUP($X131&amp;$Z131,PLANNING_FC!$T$4:$AH$23,MATCH($W131,PLANNING_FC!$B$4:$B$23,0),FALSE),0),0)</f>
        <v>0</v>
      </c>
      <c r="AZ131" s="58">
        <f>IFERROR(IF($V131="BRAND.com",HLOOKUP($X131&amp;$Z131,PLANNING_FC!$DA$27:$DO$46,MATCH($W131,PLANNING_FC!$CZ$27:$CZ$46,0),FALSE),0),0)</f>
        <v>0</v>
      </c>
      <c r="BA131" s="58">
        <f>IFERROR(IF($V131="BRAND.com",HLOOKUP($X131&amp;$Z131,PLANNING_FC!$DA$4:$DO$23,MATCH($W131,PLANNING_FC!$CZ$4:$CZ$23,0),FALSE),0),0)</f>
        <v>0</v>
      </c>
      <c r="BB131" s="883" t="str">
        <f>IF(V131="BRAND.com",IFERROR(HLOOKUP(X131&amp;Z131,PLANNING_FC!$AK$4:$AY$23,MATCH(W131,PLANNING_FC!$AJ$4:$AJ$23,0),FALSE)*1000,""),"")</f>
        <v/>
      </c>
      <c r="BC131" s="883" t="str">
        <f>IF(V131="BRAND.com",IFERROR(HLOOKUP(X131&amp;Z131,PLANNING_FC!$AK$27:$AY$46,MATCH(W131,PLANNING_FC!$AJ$27:$AJ$46,0),FALSE)*1000,""),"")</f>
        <v/>
      </c>
    </row>
    <row r="132" spans="1:55" x14ac:dyDescent="0.25">
      <c r="A132" s="509"/>
      <c r="B132" s="510"/>
      <c r="C132" s="509"/>
      <c r="D132" s="509"/>
      <c r="E132" s="509"/>
      <c r="F132" s="509"/>
      <c r="G132" s="509"/>
      <c r="H132" s="509"/>
      <c r="I132" s="512"/>
      <c r="J132" s="513"/>
      <c r="K132" s="879"/>
      <c r="L132" s="515"/>
      <c r="M132" s="516"/>
      <c r="N132" s="56">
        <f t="shared" si="52"/>
        <v>0</v>
      </c>
      <c r="O132" s="57">
        <f t="shared" si="64"/>
        <v>0</v>
      </c>
      <c r="P132" s="57">
        <f ca="1">IFERROR(IF(ISBLANK(H132),SUMIFS($AC:$AC,$V:$V,V132,$W:$W,W132,$X:$X,X132,$Y:$Y,Y132)*J132/(1-J132)*VLOOKUP(_xlfn.CONCAT(C132,D132,E132,TIME!$M$12,Z132),HIS_SALES!$B$2:$W$4859,20,FALSE),AC132*J132/(1-J132)),0)</f>
        <v>0</v>
      </c>
      <c r="Q132" s="541" t="str">
        <f t="shared" si="54"/>
        <v/>
      </c>
      <c r="R132" s="346" t="str">
        <f t="shared" si="65"/>
        <v>00000</v>
      </c>
      <c r="S132" s="344">
        <f t="shared" si="55"/>
        <v>0</v>
      </c>
      <c r="T132" s="345" t="str">
        <f t="shared" si="71"/>
        <v>000</v>
      </c>
      <c r="U132" s="345">
        <f t="shared" si="56"/>
        <v>0</v>
      </c>
      <c r="V132" s="345">
        <f t="shared" si="57"/>
        <v>0</v>
      </c>
      <c r="W132" s="345">
        <f t="shared" si="58"/>
        <v>0</v>
      </c>
      <c r="X132" s="345">
        <f t="shared" si="59"/>
        <v>0</v>
      </c>
      <c r="Y132" s="345">
        <f t="shared" si="60"/>
        <v>0</v>
      </c>
      <c r="Z132" s="345">
        <f>IF(Q132&lt;&gt;"",VLOOKUP(Y132,TIME!$R$21:$V$24,MATCH(FC_DATA!Q132,TIME!$R$20:$V$20,0),FALSE),H132)</f>
        <v>0</v>
      </c>
      <c r="AA132" s="345" t="str">
        <f>IFERROR(VLOOKUP(X132&amp;Z132,TIME!$A$12:$D$71,4,FALSE),"")</f>
        <v/>
      </c>
      <c r="AB132" s="592">
        <f t="shared" ca="1" si="66"/>
        <v>0</v>
      </c>
      <c r="AC132" s="593" t="e">
        <f ca="1">IF(ISBLANK(H132)=FALSE,IF(D132="BRAND.com",I132,IF(ISNA(VLOOKUP(_xlfn.CONCAT(X132,Z132),TIME!$M$40:$M$42,1,FALSE)),I132,VLOOKUP(_xlfn.CONCAT(D132,G132,H132),M_BUSAREA_FC!$AF$5:$AJ$10,5,FALSE)*HLOOKUP(_xlfn.CONCAT(F132,H132),ST_OVERVIEW!$G$99:$I$130,MATCH(_xlfn.CONCAT(D132,E132),ST_OVERVIEW!$F$99:$F$130,0),FALSE))),IF(D132="BRAND.com",VLOOKUP(_xlfn.CONCAT(C132,D132,E132,TIME!$F$1,Z132),HIS_SALES!$B$2:$V$4859,19,FALSE)*I132,VLOOKUP(_xlfn.CONCAT(D132,F132,G132),Q_BUSAREA_FC!$AE$5:$AI$12,5,FALSE)*HLOOKUP(_xlfn.CONCAT(FC_DATA!F132,FC_DATA!G132),LT_OVERVIEW!$I$99:$M$130,MATCH(_xlfn.CONCAT(D132,FC_DATA!E132),LT_OVERVIEW!$H$99:$H$130,0),FALSE)*IFERROR(VLOOKUP(_xlfn.CONCAT(C132,D132,E132,TIME!$F$1,Z132),HIS_SALES!$B$2:$V$4859,19,FALSE),0)))</f>
        <v>#N/A</v>
      </c>
      <c r="AD132" s="341">
        <f t="shared" ca="1" si="67"/>
        <v>0</v>
      </c>
      <c r="AE132" s="363" t="str">
        <f t="shared" si="62"/>
        <v/>
      </c>
      <c r="AF132" s="342" t="str">
        <f t="shared" si="63"/>
        <v/>
      </c>
      <c r="AG132" s="411" t="e">
        <f ca="1">VLOOKUP(_xlfn.CONCAT(U132,V132,W132,VLOOKUP(X132&amp;Y132,TIME!$L$27:$O$34,4,FALSE),Y132),HIS_SALES!$A$2:$R$5093,18,FALSE)</f>
        <v>#N/A</v>
      </c>
      <c r="AH132" s="412" t="e">
        <f ca="1">IFERROR(IF(AND(V132=V131,W132=W131),0.5*(AB132+AB131)*AG132,(VLOOKUP(_xlfn.CONCAT(U132,V132,W132,X132,VLOOKUP(Z132,TIME!$S$28:$T$39,2,FALSE)),FC_DATA!$R$2:$AB$5000,MATCH("GS_I_M",FC_DATA!$R$1:$AB$1,0),FALSE)+FC_DATA!AB132)*0.5*FC_DATA!AG132),NA())</f>
        <v>#N/A</v>
      </c>
      <c r="AI132" s="491" t="e">
        <f ca="1">IF(V132="PARTNER.com",AH132,IF(AND(V132=V131,W132=W131),(1-AVERAGE(AD131,AD132))*AH132,(1-AVERAGE(AD132,VLOOKUP(_xlfn.CONCAT(U132,V132,W132,X132,M_BRAND_FC!$F$6),FC_DATA!$R$2:$AD$5000,MATCH("DISCOUNT_%_M",FC_DATA!$R$1:$AD$1,0),FALSE)))*AH132))</f>
        <v>#N/A</v>
      </c>
      <c r="AJ132" s="412" t="str">
        <f t="shared" ca="1" si="68"/>
        <v/>
      </c>
      <c r="AK132" s="413" t="str">
        <f>IFERROR(AE132/(Q_BRAND_FC!$T$24+1),"")</f>
        <v/>
      </c>
      <c r="AL132" s="88" t="str">
        <f t="shared" ca="1" si="69"/>
        <v/>
      </c>
      <c r="AM132" s="414" t="str">
        <f t="shared" ca="1" si="70"/>
        <v/>
      </c>
      <c r="AN132" s="58">
        <f>IFERROR(IF($V132="BRAND.com",HLOOKUP($X132&amp;$Z132,NWC_FC_NOOS!$C$4:$Q$23,MATCH(W132,NWC_FC_NOOS!$B$4:$B$23,0),FALSE),0),0)</f>
        <v>0</v>
      </c>
      <c r="AO132" s="57">
        <f>IFERROR(IF($V132="BRAND.com",HLOOKUP($X132&amp;$Z132,NWC_FC_NOOS!$T$4:$AH$23,MATCH(W132,NWC_FC_NOOS!$S$4:$S$23,0),FALSE),0),0)</f>
        <v>0</v>
      </c>
      <c r="AP132" s="57">
        <f>IFERROR(IF($V132="BRAND.com",HLOOKUP($X132&amp;$Z132,NWC_FC_NOOS!$C$50:$U$69,MATCH(W132,NWC_FC_NOOS!$B$50:$B$69,0),FALSE),0),0)</f>
        <v>0</v>
      </c>
      <c r="AQ132" s="58">
        <f>IFERROR(IF($V132="BRAND.com",HLOOKUP($X132&amp;$Z132,'NWC_FC_NON-NOOS'!$C$4:$Q$23,MATCH(W132,'NWC_FC_NON-NOOS'!$B$4:$B$23,0),FALSE),0),0)</f>
        <v>0</v>
      </c>
      <c r="AR132" s="57">
        <f>IFERROR(IF($V132="BRAND.com",HLOOKUP($X132&amp;$Z132,'NWC_FC_NON-NOOS'!$T$4:$AH$23,MATCH(W132,'NWC_FC_NON-NOOS'!$S$4:$S$23,0),FALSE),0),0)</f>
        <v>0</v>
      </c>
      <c r="AS132" s="57">
        <f>IFERROR(IF($V132="BRAND.com",HLOOKUP($X132&amp;$Z132,'NWC_FC_NON-NOOS'!$C$50:$U$69,MATCH(W132,'NWC_FC_NON-NOOS'!$B$50:$B$69,0),FALSE),0),0)</f>
        <v>0</v>
      </c>
      <c r="AT132" s="57">
        <f t="shared" si="72"/>
        <v>0</v>
      </c>
      <c r="AU132" s="57">
        <f t="shared" si="73"/>
        <v>0</v>
      </c>
      <c r="AV132" s="58">
        <f>IFERROR(IF($V132="BRAND.com",HLOOKUP($X132&amp;$Z132,PLANNING_FC!$BB$27:$BP$46,MATCH($W132,PLANNING_FC!$BA$27:$BA$46,0),FALSE),0),0)</f>
        <v>0</v>
      </c>
      <c r="AW132" s="58">
        <f>IFERROR(IF($V132="BRAND.com",HLOOKUP($X132&amp;$Z132,PLANNING_FC!$BB$4:$BP$23,MATCH($W132,PLANNING_FC!$BA$4:$BA$23,0),FALSE),0),0)</f>
        <v>0</v>
      </c>
      <c r="AX132" s="58">
        <f>IFERROR(IF($V132="BRAND.com",HLOOKUP($X132&amp;$Z132,PLANNING_FC!$T$27:$AH$46,MATCH($W132,PLANNING_FC!$B$27:$B$46,0),FALSE),0),0)</f>
        <v>0</v>
      </c>
      <c r="AY132" s="58">
        <f>IFERROR(IF($V132="BRAND.com",HLOOKUP($X132&amp;$Z132,PLANNING_FC!$T$4:$AH$23,MATCH($W132,PLANNING_FC!$B$4:$B$23,0),FALSE),0),0)</f>
        <v>0</v>
      </c>
      <c r="AZ132" s="58">
        <f>IFERROR(IF($V132="BRAND.com",HLOOKUP($X132&amp;$Z132,PLANNING_FC!$DA$27:$DO$46,MATCH($W132,PLANNING_FC!$CZ$27:$CZ$46,0),FALSE),0),0)</f>
        <v>0</v>
      </c>
      <c r="BA132" s="58">
        <f>IFERROR(IF($V132="BRAND.com",HLOOKUP($X132&amp;$Z132,PLANNING_FC!$DA$4:$DO$23,MATCH($W132,PLANNING_FC!$CZ$4:$CZ$23,0),FALSE),0),0)</f>
        <v>0</v>
      </c>
      <c r="BB132" s="883" t="str">
        <f>IF(V132="BRAND.com",IFERROR(HLOOKUP(X132&amp;Z132,PLANNING_FC!$AK$4:$AY$23,MATCH(W132,PLANNING_FC!$AJ$4:$AJ$23,0),FALSE)*1000,""),"")</f>
        <v/>
      </c>
      <c r="BC132" s="883" t="str">
        <f>IF(V132="BRAND.com",IFERROR(HLOOKUP(X132&amp;Z132,PLANNING_FC!$AK$27:$AY$46,MATCH(W132,PLANNING_FC!$AJ$27:$AJ$46,0),FALSE)*1000,""),"")</f>
        <v/>
      </c>
    </row>
    <row r="133" spans="1:55" x14ac:dyDescent="0.25">
      <c r="A133" s="509"/>
      <c r="B133" s="510"/>
      <c r="C133" s="509"/>
      <c r="D133" s="509"/>
      <c r="E133" s="509"/>
      <c r="F133" s="509"/>
      <c r="G133" s="509"/>
      <c r="H133" s="509"/>
      <c r="I133" s="512"/>
      <c r="J133" s="513"/>
      <c r="K133" s="879"/>
      <c r="L133" s="515"/>
      <c r="M133" s="516"/>
      <c r="N133" s="56">
        <f t="shared" si="52"/>
        <v>0</v>
      </c>
      <c r="O133" s="57">
        <f t="shared" si="64"/>
        <v>0</v>
      </c>
      <c r="P133" s="57">
        <f ca="1">IFERROR(IF(ISBLANK(H133),SUMIFS($AC:$AC,$V:$V,V133,$W:$W,W133,$X:$X,X133,$Y:$Y,Y133)*J133/(1-J133)*VLOOKUP(_xlfn.CONCAT(C133,D133,E133,TIME!$M$12,Z133),HIS_SALES!$B$2:$W$4859,20,FALSE),AC133*J133/(1-J133)),0)</f>
        <v>0</v>
      </c>
      <c r="Q133" s="541" t="str">
        <f t="shared" si="54"/>
        <v/>
      </c>
      <c r="R133" s="346" t="str">
        <f t="shared" si="65"/>
        <v>00000</v>
      </c>
      <c r="S133" s="344">
        <f t="shared" si="55"/>
        <v>0</v>
      </c>
      <c r="T133" s="345" t="str">
        <f t="shared" si="71"/>
        <v>000</v>
      </c>
      <c r="U133" s="345">
        <f t="shared" si="56"/>
        <v>0</v>
      </c>
      <c r="V133" s="345">
        <f t="shared" si="57"/>
        <v>0</v>
      </c>
      <c r="W133" s="345">
        <f t="shared" si="58"/>
        <v>0</v>
      </c>
      <c r="X133" s="345">
        <f t="shared" si="59"/>
        <v>0</v>
      </c>
      <c r="Y133" s="345">
        <f t="shared" si="60"/>
        <v>0</v>
      </c>
      <c r="Z133" s="345">
        <f>IF(Q133&lt;&gt;"",VLOOKUP(Y133,TIME!$R$21:$V$24,MATCH(FC_DATA!Q133,TIME!$R$20:$V$20,0),FALSE),H133)</f>
        <v>0</v>
      </c>
      <c r="AA133" s="345" t="str">
        <f>IFERROR(VLOOKUP(X133&amp;Z133,TIME!$A$12:$D$71,4,FALSE),"")</f>
        <v/>
      </c>
      <c r="AB133" s="592">
        <f t="shared" ca="1" si="66"/>
        <v>0</v>
      </c>
      <c r="AC133" s="593" t="e">
        <f ca="1">IF(ISBLANK(H133)=FALSE,IF(D133="BRAND.com",I133,IF(ISNA(VLOOKUP(_xlfn.CONCAT(X133,Z133),TIME!$M$40:$M$42,1,FALSE)),I133,VLOOKUP(_xlfn.CONCAT(D133,G133,H133),M_BUSAREA_FC!$AF$5:$AJ$10,5,FALSE)*HLOOKUP(_xlfn.CONCAT(F133,H133),ST_OVERVIEW!$G$99:$I$130,MATCH(_xlfn.CONCAT(D133,E133),ST_OVERVIEW!$F$99:$F$130,0),FALSE))),IF(D133="BRAND.com",VLOOKUP(_xlfn.CONCAT(C133,D133,E133,TIME!$F$1,Z133),HIS_SALES!$B$2:$V$4859,19,FALSE)*I133,VLOOKUP(_xlfn.CONCAT(D133,F133,G133),Q_BUSAREA_FC!$AE$5:$AI$12,5,FALSE)*HLOOKUP(_xlfn.CONCAT(FC_DATA!F133,FC_DATA!G133),LT_OVERVIEW!$I$99:$M$130,MATCH(_xlfn.CONCAT(D133,FC_DATA!E133),LT_OVERVIEW!$H$99:$H$130,0),FALSE)*IFERROR(VLOOKUP(_xlfn.CONCAT(C133,D133,E133,TIME!$F$1,Z133),HIS_SALES!$B$2:$V$4859,19,FALSE),0)))</f>
        <v>#N/A</v>
      </c>
      <c r="AD133" s="341">
        <f t="shared" ca="1" si="67"/>
        <v>0</v>
      </c>
      <c r="AE133" s="363" t="str">
        <f t="shared" si="62"/>
        <v/>
      </c>
      <c r="AF133" s="342" t="str">
        <f t="shared" si="63"/>
        <v/>
      </c>
      <c r="AG133" s="411" t="e">
        <f ca="1">VLOOKUP(_xlfn.CONCAT(U133,V133,W133,VLOOKUP(X133&amp;Y133,TIME!$L$27:$O$34,4,FALSE),Y133),HIS_SALES!$A$2:$R$5093,18,FALSE)</f>
        <v>#N/A</v>
      </c>
      <c r="AH133" s="412" t="e">
        <f ca="1">IFERROR(IF(AND(V133=V132,W133=W132),0.5*(AB133+AB132)*AG133,(VLOOKUP(_xlfn.CONCAT(U133,V133,W133,X133,VLOOKUP(Z133,TIME!$S$28:$T$39,2,FALSE)),FC_DATA!$R$2:$AB$5000,MATCH("GS_I_M",FC_DATA!$R$1:$AB$1,0),FALSE)+FC_DATA!AB133)*0.5*FC_DATA!AG133),NA())</f>
        <v>#N/A</v>
      </c>
      <c r="AI133" s="491" t="e">
        <f ca="1">IF(V133="PARTNER.com",AH133,IF(AND(V133=V132,W133=W132),(1-AVERAGE(AD132,AD133))*AH133,(1-AVERAGE(AD133,VLOOKUP(_xlfn.CONCAT(U133,V133,W133,X133,M_BRAND_FC!$F$6),FC_DATA!$R$2:$AD$5000,MATCH("DISCOUNT_%_M",FC_DATA!$R$1:$AD$1,0),FALSE)))*AH133))</f>
        <v>#N/A</v>
      </c>
      <c r="AJ133" s="412" t="str">
        <f t="shared" ca="1" si="68"/>
        <v/>
      </c>
      <c r="AK133" s="413" t="str">
        <f>IFERROR(AE133/(Q_BRAND_FC!$T$24+1),"")</f>
        <v/>
      </c>
      <c r="AL133" s="88" t="str">
        <f t="shared" ca="1" si="69"/>
        <v/>
      </c>
      <c r="AM133" s="414" t="str">
        <f t="shared" ca="1" si="70"/>
        <v/>
      </c>
      <c r="AN133" s="58">
        <f>IFERROR(IF($V133="BRAND.com",HLOOKUP($X133&amp;$Z133,NWC_FC_NOOS!$C$4:$Q$23,MATCH(W133,NWC_FC_NOOS!$B$4:$B$23,0),FALSE),0),0)</f>
        <v>0</v>
      </c>
      <c r="AO133" s="57">
        <f>IFERROR(IF($V133="BRAND.com",HLOOKUP($X133&amp;$Z133,NWC_FC_NOOS!$T$4:$AH$23,MATCH(W133,NWC_FC_NOOS!$S$4:$S$23,0),FALSE),0),0)</f>
        <v>0</v>
      </c>
      <c r="AP133" s="57">
        <f>IFERROR(IF($V133="BRAND.com",HLOOKUP($X133&amp;$Z133,NWC_FC_NOOS!$C$50:$U$69,MATCH(W133,NWC_FC_NOOS!$B$50:$B$69,0),FALSE),0),0)</f>
        <v>0</v>
      </c>
      <c r="AQ133" s="58">
        <f>IFERROR(IF($V133="BRAND.com",HLOOKUP($X133&amp;$Z133,'NWC_FC_NON-NOOS'!$C$4:$Q$23,MATCH(W133,'NWC_FC_NON-NOOS'!$B$4:$B$23,0),FALSE),0),0)</f>
        <v>0</v>
      </c>
      <c r="AR133" s="57">
        <f>IFERROR(IF($V133="BRAND.com",HLOOKUP($X133&amp;$Z133,'NWC_FC_NON-NOOS'!$T$4:$AH$23,MATCH(W133,'NWC_FC_NON-NOOS'!$S$4:$S$23,0),FALSE),0),0)</f>
        <v>0</v>
      </c>
      <c r="AS133" s="57">
        <f>IFERROR(IF($V133="BRAND.com",HLOOKUP($X133&amp;$Z133,'NWC_FC_NON-NOOS'!$C$50:$U$69,MATCH(W133,'NWC_FC_NON-NOOS'!$B$50:$B$69,0),FALSE),0),0)</f>
        <v>0</v>
      </c>
      <c r="AT133" s="57">
        <f t="shared" si="72"/>
        <v>0</v>
      </c>
      <c r="AU133" s="57">
        <f t="shared" si="73"/>
        <v>0</v>
      </c>
      <c r="AV133" s="58">
        <f>IFERROR(IF($V133="BRAND.com",HLOOKUP($X133&amp;$Z133,PLANNING_FC!$BB$27:$BP$46,MATCH($W133,PLANNING_FC!$BA$27:$BA$46,0),FALSE),0),0)</f>
        <v>0</v>
      </c>
      <c r="AW133" s="58">
        <f>IFERROR(IF($V133="BRAND.com",HLOOKUP($X133&amp;$Z133,PLANNING_FC!$BB$4:$BP$23,MATCH($W133,PLANNING_FC!$BA$4:$BA$23,0),FALSE),0),0)</f>
        <v>0</v>
      </c>
      <c r="AX133" s="58">
        <f>IFERROR(IF($V133="BRAND.com",HLOOKUP($X133&amp;$Z133,PLANNING_FC!$T$27:$AH$46,MATCH($W133,PLANNING_FC!$B$27:$B$46,0),FALSE),0),0)</f>
        <v>0</v>
      </c>
      <c r="AY133" s="58">
        <f>IFERROR(IF($V133="BRAND.com",HLOOKUP($X133&amp;$Z133,PLANNING_FC!$T$4:$AH$23,MATCH($W133,PLANNING_FC!$B$4:$B$23,0),FALSE),0),0)</f>
        <v>0</v>
      </c>
      <c r="AZ133" s="58">
        <f>IFERROR(IF($V133="BRAND.com",HLOOKUP($X133&amp;$Z133,PLANNING_FC!$DA$27:$DO$46,MATCH($W133,PLANNING_FC!$CZ$27:$CZ$46,0),FALSE),0),0)</f>
        <v>0</v>
      </c>
      <c r="BA133" s="58">
        <f>IFERROR(IF($V133="BRAND.com",HLOOKUP($X133&amp;$Z133,PLANNING_FC!$DA$4:$DO$23,MATCH($W133,PLANNING_FC!$CZ$4:$CZ$23,0),FALSE),0),0)</f>
        <v>0</v>
      </c>
      <c r="BB133" s="883" t="str">
        <f>IF(V133="BRAND.com",IFERROR(HLOOKUP(X133&amp;Z133,PLANNING_FC!$AK$4:$AY$23,MATCH(W133,PLANNING_FC!$AJ$4:$AJ$23,0),FALSE)*1000,""),"")</f>
        <v/>
      </c>
      <c r="BC133" s="883" t="str">
        <f>IF(V133="BRAND.com",IFERROR(HLOOKUP(X133&amp;Z133,PLANNING_FC!$AK$27:$AY$46,MATCH(W133,PLANNING_FC!$AJ$27:$AJ$46,0),FALSE)*1000,""),"")</f>
        <v/>
      </c>
    </row>
    <row r="134" spans="1:55" x14ac:dyDescent="0.25">
      <c r="A134" s="509"/>
      <c r="B134" s="510"/>
      <c r="C134" s="509"/>
      <c r="D134" s="509"/>
      <c r="E134" s="509"/>
      <c r="F134" s="509"/>
      <c r="G134" s="509"/>
      <c r="H134" s="509"/>
      <c r="I134" s="512"/>
      <c r="J134" s="513"/>
      <c r="K134" s="879"/>
      <c r="L134" s="515"/>
      <c r="M134" s="516"/>
      <c r="N134" s="56">
        <f t="shared" ref="N134:N193" si="74">IFERROR(I134/(1-J134)*J134,0)</f>
        <v>0</v>
      </c>
      <c r="O134" s="57">
        <f t="shared" ref="O134:O193" si="75">IFERROR(I134+N134,0)</f>
        <v>0</v>
      </c>
      <c r="P134" s="57">
        <f ca="1">IFERROR(IF(ISBLANK(H134),SUMIFS($AC:$AC,$V:$V,V134,$W:$W,W134,$X:$X,X134,$Y:$Y,Y134)*J134/(1-J134)*VLOOKUP(_xlfn.CONCAT(C134,D134,E134,TIME!$M$12,Z134),HIS_SALES!$B$2:$W$4859,20,FALSE),AC134*J134/(1-J134)),0)</f>
        <v>0</v>
      </c>
      <c r="Q134" s="541" t="str">
        <f t="shared" si="54"/>
        <v/>
      </c>
      <c r="R134" s="346" t="str">
        <f t="shared" si="65"/>
        <v>00000</v>
      </c>
      <c r="S134" s="344">
        <f t="shared" ref="S134:S193" si="76">B134</f>
        <v>0</v>
      </c>
      <c r="T134" s="345" t="str">
        <f t="shared" si="71"/>
        <v>000</v>
      </c>
      <c r="U134" s="345">
        <f t="shared" ref="U134:U193" si="77">C134</f>
        <v>0</v>
      </c>
      <c r="V134" s="345">
        <f t="shared" ref="V134:V193" si="78">D134</f>
        <v>0</v>
      </c>
      <c r="W134" s="345">
        <f t="shared" ref="W134:W193" si="79">E134</f>
        <v>0</v>
      </c>
      <c r="X134" s="345">
        <f t="shared" ref="X134:X193" si="80">F134</f>
        <v>0</v>
      </c>
      <c r="Y134" s="345">
        <f t="shared" ref="Y134:Y193" si="81">G134</f>
        <v>0</v>
      </c>
      <c r="Z134" s="345">
        <f>IF(Q134&lt;&gt;"",VLOOKUP(Y134,TIME!$R$21:$V$24,MATCH(FC_DATA!Q134,TIME!$R$20:$V$20,0),FALSE),H134)</f>
        <v>0</v>
      </c>
      <c r="AA134" s="345" t="str">
        <f>IFERROR(VLOOKUP(X134&amp;Z134,TIME!$A$12:$D$71,4,FALSE),"")</f>
        <v/>
      </c>
      <c r="AB134" s="592">
        <f t="shared" ca="1" si="66"/>
        <v>0</v>
      </c>
      <c r="AC134" s="593" t="e">
        <f ca="1">IF(ISBLANK(H134)=FALSE,IF(D134="BRAND.com",I134,IF(ISNA(VLOOKUP(_xlfn.CONCAT(X134,Z134),TIME!$M$40:$M$42,1,FALSE)),I134,VLOOKUP(_xlfn.CONCAT(D134,G134,H134),M_BUSAREA_FC!$AF$5:$AJ$10,5,FALSE)*HLOOKUP(_xlfn.CONCAT(F134,H134),ST_OVERVIEW!$G$99:$I$130,MATCH(_xlfn.CONCAT(D134,E134),ST_OVERVIEW!$F$99:$F$130,0),FALSE))),IF(D134="BRAND.com",VLOOKUP(_xlfn.CONCAT(C134,D134,E134,TIME!$F$1,Z134),HIS_SALES!$B$2:$V$4859,19,FALSE)*I134,VLOOKUP(_xlfn.CONCAT(D134,F134,G134),Q_BUSAREA_FC!$AE$5:$AI$12,5,FALSE)*HLOOKUP(_xlfn.CONCAT(FC_DATA!F134,FC_DATA!G134),LT_OVERVIEW!$I$99:$M$130,MATCH(_xlfn.CONCAT(D134,FC_DATA!E134),LT_OVERVIEW!$H$99:$H$130,0),FALSE)*IFERROR(VLOOKUP(_xlfn.CONCAT(C134,D134,E134,TIME!$F$1,Z134),HIS_SALES!$B$2:$V$4859,19,FALSE),0)))</f>
        <v>#N/A</v>
      </c>
      <c r="AD134" s="341">
        <f t="shared" ref="AD134:AD193" ca="1" si="82">IFERROR(IF(D134="PARTNER.com",0,1-AC134/AB134),0)</f>
        <v>0</v>
      </c>
      <c r="AE134" s="363" t="str">
        <f t="shared" ref="AE134:AE193" si="83">IF(A134&lt;&gt;"",K134,"")</f>
        <v/>
      </c>
      <c r="AF134" s="342" t="str">
        <f t="shared" ref="AF134:AF193" si="84">IF(B134&lt;&gt;"",M134,"")</f>
        <v/>
      </c>
      <c r="AG134" s="411" t="e">
        <f ca="1">VLOOKUP(_xlfn.CONCAT(U134,V134,W134,VLOOKUP(X134&amp;Y134,TIME!$L$27:$O$34,4,FALSE),Y134),HIS_SALES!$A$2:$R$5093,18,FALSE)</f>
        <v>#N/A</v>
      </c>
      <c r="AH134" s="412" t="e">
        <f ca="1">IFERROR(IF(AND(V134=V133,W134=W133),0.5*(AB134+AB133)*AG134,(VLOOKUP(_xlfn.CONCAT(U134,V134,W134,X134,VLOOKUP(Z134,TIME!$S$28:$T$39,2,FALSE)),FC_DATA!$R$2:$AB$5000,MATCH("GS_I_M",FC_DATA!$R$1:$AB$1,0),FALSE)+FC_DATA!AB134)*0.5*FC_DATA!AG134),NA())</f>
        <v>#N/A</v>
      </c>
      <c r="AI134" s="491" t="e">
        <f ca="1">IF(V134="PARTNER.com",AH134,IF(AND(V134=V133,W134=W133),(1-AVERAGE(AD133,AD134))*AH134,(1-AVERAGE(AD134,VLOOKUP(_xlfn.CONCAT(U134,V134,W134,X134,M_BRAND_FC!$F$6),FC_DATA!$R$2:$AD$5000,MATCH("DISCOUNT_%_M",FC_DATA!$R$1:$AD$1,0),FALSE)))*AH134))</f>
        <v>#N/A</v>
      </c>
      <c r="AJ134" s="412" t="str">
        <f t="shared" ca="1" si="68"/>
        <v/>
      </c>
      <c r="AK134" s="413" t="str">
        <f>IFERROR(AE134/(Q_BRAND_FC!$T$24+1),"")</f>
        <v/>
      </c>
      <c r="AL134" s="88" t="str">
        <f t="shared" ca="1" si="69"/>
        <v/>
      </c>
      <c r="AM134" s="414" t="str">
        <f t="shared" ca="1" si="70"/>
        <v/>
      </c>
      <c r="AN134" s="58">
        <f>IFERROR(IF($V134="BRAND.com",HLOOKUP($X134&amp;$Z134,NWC_FC_NOOS!$C$4:$Q$23,MATCH(W134,NWC_FC_NOOS!$B$4:$B$23,0),FALSE),0),0)</f>
        <v>0</v>
      </c>
      <c r="AO134" s="57">
        <f>IFERROR(IF($V134="BRAND.com",HLOOKUP($X134&amp;$Z134,NWC_FC_NOOS!$T$4:$AH$23,MATCH(W134,NWC_FC_NOOS!$S$4:$S$23,0),FALSE),0),0)</f>
        <v>0</v>
      </c>
      <c r="AP134" s="57">
        <f>IFERROR(IF($V134="BRAND.com",HLOOKUP($X134&amp;$Z134,NWC_FC_NOOS!$C$50:$U$69,MATCH(W134,NWC_FC_NOOS!$B$50:$B$69,0),FALSE),0),0)</f>
        <v>0</v>
      </c>
      <c r="AQ134" s="58">
        <f>IFERROR(IF($V134="BRAND.com",HLOOKUP($X134&amp;$Z134,'NWC_FC_NON-NOOS'!$C$4:$Q$23,MATCH(W134,'NWC_FC_NON-NOOS'!$B$4:$B$23,0),FALSE),0),0)</f>
        <v>0</v>
      </c>
      <c r="AR134" s="57">
        <f>IFERROR(IF($V134="BRAND.com",HLOOKUP($X134&amp;$Z134,'NWC_FC_NON-NOOS'!$T$4:$AH$23,MATCH(W134,'NWC_FC_NON-NOOS'!$S$4:$S$23,0),FALSE),0),0)</f>
        <v>0</v>
      </c>
      <c r="AS134" s="57">
        <f>IFERROR(IF($V134="BRAND.com",HLOOKUP($X134&amp;$Z134,'NWC_FC_NON-NOOS'!$C$50:$U$69,MATCH(W134,'NWC_FC_NON-NOOS'!$B$50:$B$69,0),FALSE),0),0)</f>
        <v>0</v>
      </c>
      <c r="AT134" s="57">
        <f t="shared" si="72"/>
        <v>0</v>
      </c>
      <c r="AU134" s="57">
        <f t="shared" si="73"/>
        <v>0</v>
      </c>
      <c r="AV134" s="58">
        <f>IFERROR(IF($V134="BRAND.com",HLOOKUP($X134&amp;$Z134,PLANNING_FC!$BB$27:$BP$46,MATCH($W134,PLANNING_FC!$BA$27:$BA$46,0),FALSE),0),0)</f>
        <v>0</v>
      </c>
      <c r="AW134" s="58">
        <f>IFERROR(IF($V134="BRAND.com",HLOOKUP($X134&amp;$Z134,PLANNING_FC!$BB$4:$BP$23,MATCH($W134,PLANNING_FC!$BA$4:$BA$23,0),FALSE),0),0)</f>
        <v>0</v>
      </c>
      <c r="AX134" s="58">
        <f>IFERROR(IF($V134="BRAND.com",HLOOKUP($X134&amp;$Z134,PLANNING_FC!$T$27:$AH$46,MATCH($W134,PLANNING_FC!$B$27:$B$46,0),FALSE),0),0)</f>
        <v>0</v>
      </c>
      <c r="AY134" s="58">
        <f>IFERROR(IF($V134="BRAND.com",HLOOKUP($X134&amp;$Z134,PLANNING_FC!$T$4:$AH$23,MATCH($W134,PLANNING_FC!$B$4:$B$23,0),FALSE),0),0)</f>
        <v>0</v>
      </c>
      <c r="AZ134" s="58">
        <f>IFERROR(IF($V134="BRAND.com",HLOOKUP($X134&amp;$Z134,PLANNING_FC!$DA$27:$DO$46,MATCH($W134,PLANNING_FC!$CZ$27:$CZ$46,0),FALSE),0),0)</f>
        <v>0</v>
      </c>
      <c r="BA134" s="58">
        <f>IFERROR(IF($V134="BRAND.com",HLOOKUP($X134&amp;$Z134,PLANNING_FC!$DA$4:$DO$23,MATCH($W134,PLANNING_FC!$CZ$4:$CZ$23,0),FALSE),0),0)</f>
        <v>0</v>
      </c>
      <c r="BB134" s="883" t="str">
        <f>IF(V134="BRAND.com",IFERROR(HLOOKUP(X134&amp;Z134,PLANNING_FC!$AK$4:$AY$23,MATCH(W134,PLANNING_FC!$AJ$4:$AJ$23,0),FALSE)*1000,""),"")</f>
        <v/>
      </c>
      <c r="BC134" s="883" t="str">
        <f>IF(V134="BRAND.com",IFERROR(HLOOKUP(X134&amp;Z134,PLANNING_FC!$AK$27:$AY$46,MATCH(W134,PLANNING_FC!$AJ$27:$AJ$46,0),FALSE)*1000,""),"")</f>
        <v/>
      </c>
    </row>
    <row r="135" spans="1:55" x14ac:dyDescent="0.25">
      <c r="A135" s="509"/>
      <c r="B135" s="510"/>
      <c r="C135" s="509"/>
      <c r="D135" s="509"/>
      <c r="E135" s="509"/>
      <c r="F135" s="509"/>
      <c r="G135" s="509"/>
      <c r="H135" s="509"/>
      <c r="I135" s="512"/>
      <c r="J135" s="513"/>
      <c r="K135" s="879"/>
      <c r="L135" s="515"/>
      <c r="M135" s="516"/>
      <c r="N135" s="56">
        <f t="shared" si="74"/>
        <v>0</v>
      </c>
      <c r="O135" s="57">
        <f t="shared" si="75"/>
        <v>0</v>
      </c>
      <c r="P135" s="57">
        <f ca="1">IFERROR(IF(ISBLANK(H135),SUMIFS($AC:$AC,$V:$V,V135,$W:$W,W135,$X:$X,X135,$Y:$Y,Y135)*J135/(1-J135)*VLOOKUP(_xlfn.CONCAT(C135,D135,E135,TIME!$M$12,Z135),HIS_SALES!$B$2:$W$4859,20,FALSE),AC135*J135/(1-J135)),0)</f>
        <v>0</v>
      </c>
      <c r="Q135" s="541" t="str">
        <f t="shared" ref="Q135:Q193" si="85">IF(AND(A135&lt;&gt;"",H135=""),IF(A135=A134,Q134+1,1),"")</f>
        <v/>
      </c>
      <c r="R135" s="346" t="str">
        <f t="shared" si="65"/>
        <v>00000</v>
      </c>
      <c r="S135" s="344">
        <f t="shared" si="76"/>
        <v>0</v>
      </c>
      <c r="T135" s="345" t="str">
        <f t="shared" si="71"/>
        <v>000</v>
      </c>
      <c r="U135" s="345">
        <f t="shared" si="77"/>
        <v>0</v>
      </c>
      <c r="V135" s="345">
        <f t="shared" si="78"/>
        <v>0</v>
      </c>
      <c r="W135" s="345">
        <f t="shared" si="79"/>
        <v>0</v>
      </c>
      <c r="X135" s="345">
        <f t="shared" si="80"/>
        <v>0</v>
      </c>
      <c r="Y135" s="345">
        <f t="shared" si="81"/>
        <v>0</v>
      </c>
      <c r="Z135" s="345">
        <f>IF(Q135&lt;&gt;"",VLOOKUP(Y135,TIME!$R$21:$V$24,MATCH(FC_DATA!Q135,TIME!$R$20:$V$20,0),FALSE),H135)</f>
        <v>0</v>
      </c>
      <c r="AA135" s="345" t="str">
        <f>IFERROR(VLOOKUP(X135&amp;Z135,TIME!$A$12:$D$71,4,FALSE),"")</f>
        <v/>
      </c>
      <c r="AB135" s="592">
        <f t="shared" ca="1" si="66"/>
        <v>0</v>
      </c>
      <c r="AC135" s="593" t="e">
        <f ca="1">IF(ISBLANK(H135)=FALSE,IF(D135="BRAND.com",I135,IF(ISNA(VLOOKUP(_xlfn.CONCAT(X135,Z135),TIME!$M$40:$M$42,1,FALSE)),I135,VLOOKUP(_xlfn.CONCAT(D135,G135,H135),M_BUSAREA_FC!$AF$5:$AJ$10,5,FALSE)*HLOOKUP(_xlfn.CONCAT(F135,H135),ST_OVERVIEW!$G$99:$I$130,MATCH(_xlfn.CONCAT(D135,E135),ST_OVERVIEW!$F$99:$F$130,0),FALSE))),IF(D135="BRAND.com",VLOOKUP(_xlfn.CONCAT(C135,D135,E135,TIME!$F$1,Z135),HIS_SALES!$B$2:$V$4859,19,FALSE)*I135,VLOOKUP(_xlfn.CONCAT(D135,F135,G135),Q_BUSAREA_FC!$AE$5:$AI$12,5,FALSE)*HLOOKUP(_xlfn.CONCAT(FC_DATA!F135,FC_DATA!G135),LT_OVERVIEW!$I$99:$M$130,MATCH(_xlfn.CONCAT(D135,FC_DATA!E135),LT_OVERVIEW!$H$99:$H$130,0),FALSE)*IFERROR(VLOOKUP(_xlfn.CONCAT(C135,D135,E135,TIME!$F$1,Z135),HIS_SALES!$B$2:$V$4859,19,FALSE),0)))</f>
        <v>#N/A</v>
      </c>
      <c r="AD135" s="341">
        <f t="shared" ca="1" si="82"/>
        <v>0</v>
      </c>
      <c r="AE135" s="363" t="str">
        <f t="shared" si="83"/>
        <v/>
      </c>
      <c r="AF135" s="342" t="str">
        <f t="shared" si="84"/>
        <v/>
      </c>
      <c r="AG135" s="411" t="e">
        <f ca="1">VLOOKUP(_xlfn.CONCAT(U135,V135,W135,VLOOKUP(X135&amp;Y135,TIME!$L$27:$O$34,4,FALSE),Y135),HIS_SALES!$A$2:$R$5093,18,FALSE)</f>
        <v>#N/A</v>
      </c>
      <c r="AH135" s="412" t="e">
        <f ca="1">IFERROR(IF(AND(V135=V134,W135=W134),0.5*(AB135+AB134)*AG135,(VLOOKUP(_xlfn.CONCAT(U135,V135,W135,X135,VLOOKUP(Z135,TIME!$S$28:$T$39,2,FALSE)),FC_DATA!$R$2:$AB$5000,MATCH("GS_I_M",FC_DATA!$R$1:$AB$1,0),FALSE)+FC_DATA!AB135)*0.5*FC_DATA!AG135),NA())</f>
        <v>#N/A</v>
      </c>
      <c r="AI135" s="491" t="e">
        <f ca="1">IF(V135="PARTNER.com",AH135,IF(AND(V135=V134,W135=W134),(1-AVERAGE(AD134,AD135))*AH135,(1-AVERAGE(AD135,VLOOKUP(_xlfn.CONCAT(U135,V135,W135,X135,M_BRAND_FC!$F$6),FC_DATA!$R$2:$AD$5000,MATCH("DISCOUNT_%_M",FC_DATA!$R$1:$AD$1,0),FALSE)))*AH135))</f>
        <v>#N/A</v>
      </c>
      <c r="AJ135" s="412" t="str">
        <f t="shared" ca="1" si="68"/>
        <v/>
      </c>
      <c r="AK135" s="413" t="str">
        <f>IFERROR(AE135/(Q_BRAND_FC!$T$24+1),"")</f>
        <v/>
      </c>
      <c r="AL135" s="88" t="str">
        <f t="shared" ca="1" si="69"/>
        <v/>
      </c>
      <c r="AM135" s="414" t="str">
        <f t="shared" ca="1" si="70"/>
        <v/>
      </c>
      <c r="AN135" s="58">
        <f>IFERROR(IF($V135="BRAND.com",HLOOKUP($X135&amp;$Z135,NWC_FC_NOOS!$C$4:$Q$23,MATCH(W135,NWC_FC_NOOS!$B$4:$B$23,0),FALSE),0),0)</f>
        <v>0</v>
      </c>
      <c r="AO135" s="57">
        <f>IFERROR(IF($V135="BRAND.com",HLOOKUP($X135&amp;$Z135,NWC_FC_NOOS!$T$4:$AH$23,MATCH(W135,NWC_FC_NOOS!$S$4:$S$23,0),FALSE),0),0)</f>
        <v>0</v>
      </c>
      <c r="AP135" s="57">
        <f>IFERROR(IF($V135="BRAND.com",HLOOKUP($X135&amp;$Z135,NWC_FC_NOOS!$C$50:$U$69,MATCH(W135,NWC_FC_NOOS!$B$50:$B$69,0),FALSE),0),0)</f>
        <v>0</v>
      </c>
      <c r="AQ135" s="58">
        <f>IFERROR(IF($V135="BRAND.com",HLOOKUP($X135&amp;$Z135,'NWC_FC_NON-NOOS'!$C$4:$Q$23,MATCH(W135,'NWC_FC_NON-NOOS'!$B$4:$B$23,0),FALSE),0),0)</f>
        <v>0</v>
      </c>
      <c r="AR135" s="57">
        <f>IFERROR(IF($V135="BRAND.com",HLOOKUP($X135&amp;$Z135,'NWC_FC_NON-NOOS'!$T$4:$AH$23,MATCH(W135,'NWC_FC_NON-NOOS'!$S$4:$S$23,0),FALSE),0),0)</f>
        <v>0</v>
      </c>
      <c r="AS135" s="57">
        <f>IFERROR(IF($V135="BRAND.com",HLOOKUP($X135&amp;$Z135,'NWC_FC_NON-NOOS'!$C$50:$U$69,MATCH(W135,'NWC_FC_NON-NOOS'!$B$50:$B$69,0),FALSE),0),0)</f>
        <v>0</v>
      </c>
      <c r="AT135" s="57">
        <f t="shared" si="72"/>
        <v>0</v>
      </c>
      <c r="AU135" s="57">
        <f t="shared" si="73"/>
        <v>0</v>
      </c>
      <c r="AV135" s="58">
        <f>IFERROR(IF($V135="BRAND.com",HLOOKUP($X135&amp;$Z135,PLANNING_FC!$BB$27:$BP$46,MATCH($W135,PLANNING_FC!$BA$27:$BA$46,0),FALSE),0),0)</f>
        <v>0</v>
      </c>
      <c r="AW135" s="58">
        <f>IFERROR(IF($V135="BRAND.com",HLOOKUP($X135&amp;$Z135,PLANNING_FC!$BB$4:$BP$23,MATCH($W135,PLANNING_FC!$BA$4:$BA$23,0),FALSE),0),0)</f>
        <v>0</v>
      </c>
      <c r="AX135" s="58">
        <f>IFERROR(IF($V135="BRAND.com",HLOOKUP($X135&amp;$Z135,PLANNING_FC!$T$27:$AH$46,MATCH($W135,PLANNING_FC!$B$27:$B$46,0),FALSE),0),0)</f>
        <v>0</v>
      </c>
      <c r="AY135" s="58">
        <f>IFERROR(IF($V135="BRAND.com",HLOOKUP($X135&amp;$Z135,PLANNING_FC!$T$4:$AH$23,MATCH($W135,PLANNING_FC!$B$4:$B$23,0),FALSE),0),0)</f>
        <v>0</v>
      </c>
      <c r="AZ135" s="58">
        <f>IFERROR(IF($V135="BRAND.com",HLOOKUP($X135&amp;$Z135,PLANNING_FC!$DA$27:$DO$46,MATCH($W135,PLANNING_FC!$CZ$27:$CZ$46,0),FALSE),0),0)</f>
        <v>0</v>
      </c>
      <c r="BA135" s="58">
        <f>IFERROR(IF($V135="BRAND.com",HLOOKUP($X135&amp;$Z135,PLANNING_FC!$DA$4:$DO$23,MATCH($W135,PLANNING_FC!$CZ$4:$CZ$23,0),FALSE),0),0)</f>
        <v>0</v>
      </c>
      <c r="BB135" s="883" t="str">
        <f>IF(V135="BRAND.com",IFERROR(HLOOKUP(X135&amp;Z135,PLANNING_FC!$AK$4:$AY$23,MATCH(W135,PLANNING_FC!$AJ$4:$AJ$23,0),FALSE)*1000,""),"")</f>
        <v/>
      </c>
      <c r="BC135" s="883" t="str">
        <f>IF(V135="BRAND.com",IFERROR(HLOOKUP(X135&amp;Z135,PLANNING_FC!$AK$27:$AY$46,MATCH(W135,PLANNING_FC!$AJ$27:$AJ$46,0),FALSE)*1000,""),"")</f>
        <v/>
      </c>
    </row>
    <row r="136" spans="1:55" x14ac:dyDescent="0.25">
      <c r="A136" s="509"/>
      <c r="B136" s="510"/>
      <c r="C136" s="509"/>
      <c r="D136" s="509"/>
      <c r="E136" s="509"/>
      <c r="F136" s="509"/>
      <c r="G136" s="509"/>
      <c r="H136" s="509"/>
      <c r="I136" s="512"/>
      <c r="J136" s="513"/>
      <c r="K136" s="879"/>
      <c r="L136" s="515"/>
      <c r="M136" s="516"/>
      <c r="N136" s="56">
        <f t="shared" si="74"/>
        <v>0</v>
      </c>
      <c r="O136" s="57">
        <f t="shared" si="75"/>
        <v>0</v>
      </c>
      <c r="P136" s="57">
        <f ca="1">IFERROR(IF(ISBLANK(H136),SUMIFS($AC:$AC,$V:$V,V136,$W:$W,W136,$X:$X,X136,$Y:$Y,Y136)*J136/(1-J136)*VLOOKUP(_xlfn.CONCAT(C136,D136,E136,TIME!$M$12,Z136),HIS_SALES!$B$2:$W$4859,20,FALSE),AC136*J136/(1-J136)),0)</f>
        <v>0</v>
      </c>
      <c r="Q136" s="541" t="str">
        <f t="shared" si="85"/>
        <v/>
      </c>
      <c r="R136" s="346" t="str">
        <f t="shared" si="65"/>
        <v>00000</v>
      </c>
      <c r="S136" s="344">
        <f t="shared" si="76"/>
        <v>0</v>
      </c>
      <c r="T136" s="345" t="str">
        <f t="shared" si="71"/>
        <v>000</v>
      </c>
      <c r="U136" s="345">
        <f t="shared" si="77"/>
        <v>0</v>
      </c>
      <c r="V136" s="345">
        <f t="shared" si="78"/>
        <v>0</v>
      </c>
      <c r="W136" s="345">
        <f t="shared" si="79"/>
        <v>0</v>
      </c>
      <c r="X136" s="345">
        <f t="shared" si="80"/>
        <v>0</v>
      </c>
      <c r="Y136" s="345">
        <f t="shared" si="81"/>
        <v>0</v>
      </c>
      <c r="Z136" s="345">
        <f>IF(Q136&lt;&gt;"",VLOOKUP(Y136,TIME!$R$21:$V$24,MATCH(FC_DATA!Q136,TIME!$R$20:$V$20,0),FALSE),H136)</f>
        <v>0</v>
      </c>
      <c r="AA136" s="345" t="str">
        <f>IFERROR(VLOOKUP(X136&amp;Z136,TIME!$A$12:$D$71,4,FALSE),"")</f>
        <v/>
      </c>
      <c r="AB136" s="592">
        <f t="shared" ca="1" si="66"/>
        <v>0</v>
      </c>
      <c r="AC136" s="593" t="e">
        <f ca="1">IF(ISBLANK(H136)=FALSE,IF(D136="BRAND.com",I136,IF(ISNA(VLOOKUP(_xlfn.CONCAT(X136,Z136),TIME!$M$40:$M$42,1,FALSE)),I136,VLOOKUP(_xlfn.CONCAT(D136,G136,H136),M_BUSAREA_FC!$AF$5:$AJ$10,5,FALSE)*HLOOKUP(_xlfn.CONCAT(F136,H136),ST_OVERVIEW!$G$99:$I$130,MATCH(_xlfn.CONCAT(D136,E136),ST_OVERVIEW!$F$99:$F$130,0),FALSE))),IF(D136="BRAND.com",VLOOKUP(_xlfn.CONCAT(C136,D136,E136,TIME!$F$1,Z136),HIS_SALES!$B$2:$V$4859,19,FALSE)*I136,VLOOKUP(_xlfn.CONCAT(D136,F136,G136),Q_BUSAREA_FC!$AE$5:$AI$12,5,FALSE)*HLOOKUP(_xlfn.CONCAT(FC_DATA!F136,FC_DATA!G136),LT_OVERVIEW!$I$99:$M$130,MATCH(_xlfn.CONCAT(D136,FC_DATA!E136),LT_OVERVIEW!$H$99:$H$130,0),FALSE)*IFERROR(VLOOKUP(_xlfn.CONCAT(C136,D136,E136,TIME!$F$1,Z136),HIS_SALES!$B$2:$V$4859,19,FALSE),0)))</f>
        <v>#N/A</v>
      </c>
      <c r="AD136" s="341">
        <f t="shared" ca="1" si="82"/>
        <v>0</v>
      </c>
      <c r="AE136" s="363" t="str">
        <f t="shared" si="83"/>
        <v/>
      </c>
      <c r="AF136" s="342" t="str">
        <f t="shared" si="84"/>
        <v/>
      </c>
      <c r="AG136" s="411" t="e">
        <f ca="1">VLOOKUP(_xlfn.CONCAT(U136,V136,W136,VLOOKUP(X136&amp;Y136,TIME!$L$27:$O$34,4,FALSE),Y136),HIS_SALES!$A$2:$R$5093,18,FALSE)</f>
        <v>#N/A</v>
      </c>
      <c r="AH136" s="412" t="e">
        <f ca="1">IFERROR(IF(AND(V136=V135,W136=W135),0.5*(AB136+AB135)*AG136,(VLOOKUP(_xlfn.CONCAT(U136,V136,W136,X136,VLOOKUP(Z136,TIME!$S$28:$T$39,2,FALSE)),FC_DATA!$R$2:$AB$5000,MATCH("GS_I_M",FC_DATA!$R$1:$AB$1,0),FALSE)+FC_DATA!AB136)*0.5*FC_DATA!AG136),NA())</f>
        <v>#N/A</v>
      </c>
      <c r="AI136" s="491" t="e">
        <f ca="1">IF(V136="PARTNER.com",AH136,IF(AND(V136=V135,W136=W135),(1-AVERAGE(AD135,AD136))*AH136,(1-AVERAGE(AD136,VLOOKUP(_xlfn.CONCAT(U136,V136,W136,X136,M_BRAND_FC!$F$6),FC_DATA!$R$2:$AD$5000,MATCH("DISCOUNT_%_M",FC_DATA!$R$1:$AD$1,0),FALSE)))*AH136))</f>
        <v>#N/A</v>
      </c>
      <c r="AJ136" s="412" t="str">
        <f t="shared" ca="1" si="68"/>
        <v/>
      </c>
      <c r="AK136" s="413" t="str">
        <f>IFERROR(AE136/(Q_BRAND_FC!$T$24+1),"")</f>
        <v/>
      </c>
      <c r="AL136" s="88" t="str">
        <f t="shared" ca="1" si="69"/>
        <v/>
      </c>
      <c r="AM136" s="414" t="str">
        <f t="shared" ca="1" si="70"/>
        <v/>
      </c>
      <c r="AN136" s="58">
        <f>IFERROR(IF($V136="BRAND.com",HLOOKUP($X136&amp;$Z136,NWC_FC_NOOS!$C$4:$Q$23,MATCH(W136,NWC_FC_NOOS!$B$4:$B$23,0),FALSE),0),0)</f>
        <v>0</v>
      </c>
      <c r="AO136" s="57">
        <f>IFERROR(IF($V136="BRAND.com",HLOOKUP($X136&amp;$Z136,NWC_FC_NOOS!$T$4:$AH$23,MATCH(W136,NWC_FC_NOOS!$S$4:$S$23,0),FALSE),0),0)</f>
        <v>0</v>
      </c>
      <c r="AP136" s="57">
        <f>IFERROR(IF($V136="BRAND.com",HLOOKUP($X136&amp;$Z136,NWC_FC_NOOS!$C$50:$U$69,MATCH(W136,NWC_FC_NOOS!$B$50:$B$69,0),FALSE),0),0)</f>
        <v>0</v>
      </c>
      <c r="AQ136" s="58">
        <f>IFERROR(IF($V136="BRAND.com",HLOOKUP($X136&amp;$Z136,'NWC_FC_NON-NOOS'!$C$4:$Q$23,MATCH(W136,'NWC_FC_NON-NOOS'!$B$4:$B$23,0),FALSE),0),0)</f>
        <v>0</v>
      </c>
      <c r="AR136" s="57">
        <f>IFERROR(IF($V136="BRAND.com",HLOOKUP($X136&amp;$Z136,'NWC_FC_NON-NOOS'!$T$4:$AH$23,MATCH(W136,'NWC_FC_NON-NOOS'!$S$4:$S$23,0),FALSE),0),0)</f>
        <v>0</v>
      </c>
      <c r="AS136" s="57">
        <f>IFERROR(IF($V136="BRAND.com",HLOOKUP($X136&amp;$Z136,'NWC_FC_NON-NOOS'!$C$50:$U$69,MATCH(W136,'NWC_FC_NON-NOOS'!$B$50:$B$69,0),FALSE),0),0)</f>
        <v>0</v>
      </c>
      <c r="AT136" s="57">
        <f t="shared" si="72"/>
        <v>0</v>
      </c>
      <c r="AU136" s="57">
        <f t="shared" si="73"/>
        <v>0</v>
      </c>
      <c r="AV136" s="58">
        <f>IFERROR(IF($V136="BRAND.com",HLOOKUP($X136&amp;$Z136,PLANNING_FC!$BB$27:$BP$46,MATCH($W136,PLANNING_FC!$BA$27:$BA$46,0),FALSE),0),0)</f>
        <v>0</v>
      </c>
      <c r="AW136" s="58">
        <f>IFERROR(IF($V136="BRAND.com",HLOOKUP($X136&amp;$Z136,PLANNING_FC!$BB$4:$BP$23,MATCH($W136,PLANNING_FC!$BA$4:$BA$23,0),FALSE),0),0)</f>
        <v>0</v>
      </c>
      <c r="AX136" s="58">
        <f>IFERROR(IF($V136="BRAND.com",HLOOKUP($X136&amp;$Z136,PLANNING_FC!$T$27:$AH$46,MATCH($W136,PLANNING_FC!$B$27:$B$46,0),FALSE),0),0)</f>
        <v>0</v>
      </c>
      <c r="AY136" s="58">
        <f>IFERROR(IF($V136="BRAND.com",HLOOKUP($X136&amp;$Z136,PLANNING_FC!$T$4:$AH$23,MATCH($W136,PLANNING_FC!$B$4:$B$23,0),FALSE),0),0)</f>
        <v>0</v>
      </c>
      <c r="AZ136" s="58">
        <f>IFERROR(IF($V136="BRAND.com",HLOOKUP($X136&amp;$Z136,PLANNING_FC!$DA$27:$DO$46,MATCH($W136,PLANNING_FC!$CZ$27:$CZ$46,0),FALSE),0),0)</f>
        <v>0</v>
      </c>
      <c r="BA136" s="58">
        <f>IFERROR(IF($V136="BRAND.com",HLOOKUP($X136&amp;$Z136,PLANNING_FC!$DA$4:$DO$23,MATCH($W136,PLANNING_FC!$CZ$4:$CZ$23,0),FALSE),0),0)</f>
        <v>0</v>
      </c>
      <c r="BB136" s="883" t="str">
        <f>IF(V136="BRAND.com",IFERROR(HLOOKUP(X136&amp;Z136,PLANNING_FC!$AK$4:$AY$23,MATCH(W136,PLANNING_FC!$AJ$4:$AJ$23,0),FALSE)*1000,""),"")</f>
        <v/>
      </c>
      <c r="BC136" s="883" t="str">
        <f>IF(V136="BRAND.com",IFERROR(HLOOKUP(X136&amp;Z136,PLANNING_FC!$AK$27:$AY$46,MATCH(W136,PLANNING_FC!$AJ$27:$AJ$46,0),FALSE)*1000,""),"")</f>
        <v/>
      </c>
    </row>
    <row r="137" spans="1:55" x14ac:dyDescent="0.25">
      <c r="A137" s="509"/>
      <c r="B137" s="510"/>
      <c r="C137" s="509"/>
      <c r="D137" s="509"/>
      <c r="E137" s="509"/>
      <c r="F137" s="509"/>
      <c r="G137" s="509"/>
      <c r="H137" s="509"/>
      <c r="I137" s="512"/>
      <c r="J137" s="513"/>
      <c r="K137" s="879"/>
      <c r="L137" s="515"/>
      <c r="M137" s="516"/>
      <c r="N137" s="56">
        <f t="shared" si="74"/>
        <v>0</v>
      </c>
      <c r="O137" s="57">
        <f t="shared" si="75"/>
        <v>0</v>
      </c>
      <c r="P137" s="57">
        <f ca="1">IFERROR(IF(ISBLANK(H137),SUMIFS($AC:$AC,$V:$V,V137,$W:$W,W137,$X:$X,X137,$Y:$Y,Y137)*J137/(1-J137)*VLOOKUP(_xlfn.CONCAT(C137,D137,E137,TIME!$M$12,Z137),HIS_SALES!$B$2:$W$4859,20,FALSE),AC137*J137/(1-J137)),0)</f>
        <v>0</v>
      </c>
      <c r="Q137" s="541" t="str">
        <f t="shared" si="85"/>
        <v/>
      </c>
      <c r="R137" s="346" t="str">
        <f t="shared" si="65"/>
        <v>00000</v>
      </c>
      <c r="S137" s="344">
        <f t="shared" si="76"/>
        <v>0</v>
      </c>
      <c r="T137" s="345" t="str">
        <f t="shared" si="71"/>
        <v>000</v>
      </c>
      <c r="U137" s="345">
        <f t="shared" si="77"/>
        <v>0</v>
      </c>
      <c r="V137" s="345">
        <f t="shared" si="78"/>
        <v>0</v>
      </c>
      <c r="W137" s="345">
        <f t="shared" si="79"/>
        <v>0</v>
      </c>
      <c r="X137" s="345">
        <f t="shared" si="80"/>
        <v>0</v>
      </c>
      <c r="Y137" s="345">
        <f t="shared" si="81"/>
        <v>0</v>
      </c>
      <c r="Z137" s="345">
        <f>IF(Q137&lt;&gt;"",VLOOKUP(Y137,TIME!$R$21:$V$24,MATCH(FC_DATA!Q137,TIME!$R$20:$V$20,0),FALSE),H137)</f>
        <v>0</v>
      </c>
      <c r="AA137" s="345" t="str">
        <f>IFERROR(VLOOKUP(X137&amp;Z137,TIME!$A$12:$D$71,4,FALSE),"")</f>
        <v/>
      </c>
      <c r="AB137" s="592">
        <f t="shared" ca="1" si="66"/>
        <v>0</v>
      </c>
      <c r="AC137" s="593" t="e">
        <f ca="1">IF(ISBLANK(H137)=FALSE,IF(D137="BRAND.com",I137,IF(ISNA(VLOOKUP(_xlfn.CONCAT(X137,Z137),TIME!$M$40:$M$42,1,FALSE)),I137,VLOOKUP(_xlfn.CONCAT(D137,G137,H137),M_BUSAREA_FC!$AF$5:$AJ$10,5,FALSE)*HLOOKUP(_xlfn.CONCAT(F137,H137),ST_OVERVIEW!$G$99:$I$130,MATCH(_xlfn.CONCAT(D137,E137),ST_OVERVIEW!$F$99:$F$130,0),FALSE))),IF(D137="BRAND.com",VLOOKUP(_xlfn.CONCAT(C137,D137,E137,TIME!$F$1,Z137),HIS_SALES!$B$2:$V$4859,19,FALSE)*I137,VLOOKUP(_xlfn.CONCAT(D137,F137,G137),Q_BUSAREA_FC!$AE$5:$AI$12,5,FALSE)*HLOOKUP(_xlfn.CONCAT(FC_DATA!F137,FC_DATA!G137),LT_OVERVIEW!$I$99:$M$130,MATCH(_xlfn.CONCAT(D137,FC_DATA!E137),LT_OVERVIEW!$H$99:$H$130,0),FALSE)*IFERROR(VLOOKUP(_xlfn.CONCAT(C137,D137,E137,TIME!$F$1,Z137),HIS_SALES!$B$2:$V$4859,19,FALSE),0)))</f>
        <v>#N/A</v>
      </c>
      <c r="AD137" s="341">
        <f t="shared" ca="1" si="82"/>
        <v>0</v>
      </c>
      <c r="AE137" s="363" t="str">
        <f t="shared" si="83"/>
        <v/>
      </c>
      <c r="AF137" s="342" t="str">
        <f t="shared" si="84"/>
        <v/>
      </c>
      <c r="AG137" s="411" t="e">
        <f ca="1">VLOOKUP(_xlfn.CONCAT(U137,V137,W137,VLOOKUP(X137&amp;Y137,TIME!$L$27:$O$34,4,FALSE),Y137),HIS_SALES!$A$2:$R$5093,18,FALSE)</f>
        <v>#N/A</v>
      </c>
      <c r="AH137" s="412" t="e">
        <f ca="1">IFERROR(IF(AND(V137=V136,W137=W136),0.5*(AB137+AB136)*AG137,(VLOOKUP(_xlfn.CONCAT(U137,V137,W137,X137,VLOOKUP(Z137,TIME!$S$28:$T$39,2,FALSE)),FC_DATA!$R$2:$AB$5000,MATCH("GS_I_M",FC_DATA!$R$1:$AB$1,0),FALSE)+FC_DATA!AB137)*0.5*FC_DATA!AG137),NA())</f>
        <v>#N/A</v>
      </c>
      <c r="AI137" s="491" t="e">
        <f ca="1">IF(V137="PARTNER.com",AH137,IF(AND(V137=V136,W137=W136),(1-AVERAGE(AD136,AD137))*AH137,(1-AVERAGE(AD137,VLOOKUP(_xlfn.CONCAT(U137,V137,W137,X137,M_BRAND_FC!$F$6),FC_DATA!$R$2:$AD$5000,MATCH("DISCOUNT_%_M",FC_DATA!$R$1:$AD$1,0),FALSE)))*AH137))</f>
        <v>#N/A</v>
      </c>
      <c r="AJ137" s="412" t="str">
        <f t="shared" ca="1" si="68"/>
        <v/>
      </c>
      <c r="AK137" s="413" t="str">
        <f>IFERROR(AE137/(Q_BRAND_FC!$T$24+1),"")</f>
        <v/>
      </c>
      <c r="AL137" s="88" t="str">
        <f t="shared" ca="1" si="69"/>
        <v/>
      </c>
      <c r="AM137" s="414" t="str">
        <f t="shared" ca="1" si="70"/>
        <v/>
      </c>
      <c r="AN137" s="58">
        <f>IFERROR(IF($V137="BRAND.com",HLOOKUP($X137&amp;$Z137,NWC_FC_NOOS!$C$4:$Q$23,MATCH(W137,NWC_FC_NOOS!$B$4:$B$23,0),FALSE),0),0)</f>
        <v>0</v>
      </c>
      <c r="AO137" s="57">
        <f>IFERROR(IF($V137="BRAND.com",HLOOKUP($X137&amp;$Z137,NWC_FC_NOOS!$T$4:$AH$23,MATCH(W137,NWC_FC_NOOS!$S$4:$S$23,0),FALSE),0),0)</f>
        <v>0</v>
      </c>
      <c r="AP137" s="57">
        <f>IFERROR(IF($V137="BRAND.com",HLOOKUP($X137&amp;$Z137,NWC_FC_NOOS!$C$50:$U$69,MATCH(W137,NWC_FC_NOOS!$B$50:$B$69,0),FALSE),0),0)</f>
        <v>0</v>
      </c>
      <c r="AQ137" s="58">
        <f>IFERROR(IF($V137="BRAND.com",HLOOKUP($X137&amp;$Z137,'NWC_FC_NON-NOOS'!$C$4:$Q$23,MATCH(W137,'NWC_FC_NON-NOOS'!$B$4:$B$23,0),FALSE),0),0)</f>
        <v>0</v>
      </c>
      <c r="AR137" s="57">
        <f>IFERROR(IF($V137="BRAND.com",HLOOKUP($X137&amp;$Z137,'NWC_FC_NON-NOOS'!$T$4:$AH$23,MATCH(W137,'NWC_FC_NON-NOOS'!$S$4:$S$23,0),FALSE),0),0)</f>
        <v>0</v>
      </c>
      <c r="AS137" s="57">
        <f>IFERROR(IF($V137="BRAND.com",HLOOKUP($X137&amp;$Z137,'NWC_FC_NON-NOOS'!$C$50:$U$69,MATCH(W137,'NWC_FC_NON-NOOS'!$B$50:$B$69,0),FALSE),0),0)</f>
        <v>0</v>
      </c>
      <c r="AT137" s="57">
        <f t="shared" si="72"/>
        <v>0</v>
      </c>
      <c r="AU137" s="57">
        <f t="shared" si="73"/>
        <v>0</v>
      </c>
      <c r="AV137" s="58">
        <f>IFERROR(IF($V137="BRAND.com",HLOOKUP($X137&amp;$Z137,PLANNING_FC!$BB$27:$BP$46,MATCH($W137,PLANNING_FC!$BA$27:$BA$46,0),FALSE),0),0)</f>
        <v>0</v>
      </c>
      <c r="AW137" s="58">
        <f>IFERROR(IF($V137="BRAND.com",HLOOKUP($X137&amp;$Z137,PLANNING_FC!$BB$4:$BP$23,MATCH($W137,PLANNING_FC!$BA$4:$BA$23,0),FALSE),0),0)</f>
        <v>0</v>
      </c>
      <c r="AX137" s="58">
        <f>IFERROR(IF($V137="BRAND.com",HLOOKUP($X137&amp;$Z137,PLANNING_FC!$T$27:$AH$46,MATCH($W137,PLANNING_FC!$B$27:$B$46,0),FALSE),0),0)</f>
        <v>0</v>
      </c>
      <c r="AY137" s="58">
        <f>IFERROR(IF($V137="BRAND.com",HLOOKUP($X137&amp;$Z137,PLANNING_FC!$T$4:$AH$23,MATCH($W137,PLANNING_FC!$B$4:$B$23,0),FALSE),0),0)</f>
        <v>0</v>
      </c>
      <c r="AZ137" s="58">
        <f>IFERROR(IF($V137="BRAND.com",HLOOKUP($X137&amp;$Z137,PLANNING_FC!$DA$27:$DO$46,MATCH($W137,PLANNING_FC!$CZ$27:$CZ$46,0),FALSE),0),0)</f>
        <v>0</v>
      </c>
      <c r="BA137" s="58">
        <f>IFERROR(IF($V137="BRAND.com",HLOOKUP($X137&amp;$Z137,PLANNING_FC!$DA$4:$DO$23,MATCH($W137,PLANNING_FC!$CZ$4:$CZ$23,0),FALSE),0),0)</f>
        <v>0</v>
      </c>
      <c r="BB137" s="883" t="str">
        <f>IF(V137="BRAND.com",IFERROR(HLOOKUP(X137&amp;Z137,PLANNING_FC!$AK$4:$AY$23,MATCH(W137,PLANNING_FC!$AJ$4:$AJ$23,0),FALSE)*1000,""),"")</f>
        <v/>
      </c>
      <c r="BC137" s="883" t="str">
        <f>IF(V137="BRAND.com",IFERROR(HLOOKUP(X137&amp;Z137,PLANNING_FC!$AK$27:$AY$46,MATCH(W137,PLANNING_FC!$AJ$27:$AJ$46,0),FALSE)*1000,""),"")</f>
        <v/>
      </c>
    </row>
    <row r="138" spans="1:55" x14ac:dyDescent="0.25">
      <c r="A138" s="509"/>
      <c r="B138" s="510"/>
      <c r="C138" s="509"/>
      <c r="D138" s="509"/>
      <c r="E138" s="509"/>
      <c r="F138" s="509"/>
      <c r="G138" s="509"/>
      <c r="H138" s="509"/>
      <c r="I138" s="512"/>
      <c r="J138" s="513"/>
      <c r="K138" s="879"/>
      <c r="L138" s="515"/>
      <c r="M138" s="516"/>
      <c r="N138" s="56">
        <f t="shared" si="74"/>
        <v>0</v>
      </c>
      <c r="O138" s="57">
        <f t="shared" si="75"/>
        <v>0</v>
      </c>
      <c r="P138" s="57">
        <f ca="1">IFERROR(IF(ISBLANK(H138),SUMIFS($AC:$AC,$V:$V,V138,$W:$W,W138,$X:$X,X138,$Y:$Y,Y138)*J138/(1-J138)*VLOOKUP(_xlfn.CONCAT(C138,D138,E138,TIME!$M$12,Z138),HIS_SALES!$B$2:$W$4859,20,FALSE),AC138*J138/(1-J138)),0)</f>
        <v>0</v>
      </c>
      <c r="Q138" s="541" t="str">
        <f t="shared" si="85"/>
        <v/>
      </c>
      <c r="R138" s="346" t="str">
        <f t="shared" si="65"/>
        <v>00000</v>
      </c>
      <c r="S138" s="344">
        <f t="shared" si="76"/>
        <v>0</v>
      </c>
      <c r="T138" s="345" t="str">
        <f t="shared" si="71"/>
        <v>000</v>
      </c>
      <c r="U138" s="345">
        <f t="shared" si="77"/>
        <v>0</v>
      </c>
      <c r="V138" s="345">
        <f t="shared" si="78"/>
        <v>0</v>
      </c>
      <c r="W138" s="345">
        <f t="shared" si="79"/>
        <v>0</v>
      </c>
      <c r="X138" s="345">
        <f t="shared" si="80"/>
        <v>0</v>
      </c>
      <c r="Y138" s="345">
        <f t="shared" si="81"/>
        <v>0</v>
      </c>
      <c r="Z138" s="345">
        <f>IF(Q138&lt;&gt;"",VLOOKUP(Y138,TIME!$R$21:$V$24,MATCH(FC_DATA!Q138,TIME!$R$20:$V$20,0),FALSE),H138)</f>
        <v>0</v>
      </c>
      <c r="AA138" s="345" t="str">
        <f>IFERROR(VLOOKUP(X138&amp;Z138,TIME!$A$12:$D$71,4,FALSE),"")</f>
        <v/>
      </c>
      <c r="AB138" s="592">
        <f t="shared" ca="1" si="66"/>
        <v>0</v>
      </c>
      <c r="AC138" s="593" t="e">
        <f ca="1">IF(ISBLANK(H138)=FALSE,IF(D138="BRAND.com",I138,IF(ISNA(VLOOKUP(_xlfn.CONCAT(X138,Z138),TIME!$M$40:$M$42,1,FALSE)),I138,VLOOKUP(_xlfn.CONCAT(D138,G138,H138),M_BUSAREA_FC!$AF$5:$AJ$10,5,FALSE)*HLOOKUP(_xlfn.CONCAT(F138,H138),ST_OVERVIEW!$G$99:$I$130,MATCH(_xlfn.CONCAT(D138,E138),ST_OVERVIEW!$F$99:$F$130,0),FALSE))),IF(D138="BRAND.com",VLOOKUP(_xlfn.CONCAT(C138,D138,E138,TIME!$F$1,Z138),HIS_SALES!$B$2:$V$4859,19,FALSE)*I138,VLOOKUP(_xlfn.CONCAT(D138,F138,G138),Q_BUSAREA_FC!$AE$5:$AI$12,5,FALSE)*HLOOKUP(_xlfn.CONCAT(FC_DATA!F138,FC_DATA!G138),LT_OVERVIEW!$I$99:$M$130,MATCH(_xlfn.CONCAT(D138,FC_DATA!E138),LT_OVERVIEW!$H$99:$H$130,0),FALSE)*IFERROR(VLOOKUP(_xlfn.CONCAT(C138,D138,E138,TIME!$F$1,Z138),HIS_SALES!$B$2:$V$4859,19,FALSE),0)))</f>
        <v>#N/A</v>
      </c>
      <c r="AD138" s="341">
        <f t="shared" ca="1" si="82"/>
        <v>0</v>
      </c>
      <c r="AE138" s="363" t="str">
        <f t="shared" si="83"/>
        <v/>
      </c>
      <c r="AF138" s="342" t="str">
        <f t="shared" si="84"/>
        <v/>
      </c>
      <c r="AG138" s="411" t="e">
        <f ca="1">VLOOKUP(_xlfn.CONCAT(U138,V138,W138,VLOOKUP(X138&amp;Y138,TIME!$L$27:$O$34,4,FALSE),Y138),HIS_SALES!$A$2:$R$5093,18,FALSE)</f>
        <v>#N/A</v>
      </c>
      <c r="AH138" s="412" t="e">
        <f ca="1">IFERROR(IF(AND(V138=V137,W138=W137),0.5*(AB138+AB137)*AG138,(VLOOKUP(_xlfn.CONCAT(U138,V138,W138,X138,VLOOKUP(Z138,TIME!$S$28:$T$39,2,FALSE)),FC_DATA!$R$2:$AB$5000,MATCH("GS_I_M",FC_DATA!$R$1:$AB$1,0),FALSE)+FC_DATA!AB138)*0.5*FC_DATA!AG138),NA())</f>
        <v>#N/A</v>
      </c>
      <c r="AI138" s="491" t="e">
        <f ca="1">IF(V138="PARTNER.com",AH138,IF(AND(V138=V137,W138=W137),(1-AVERAGE(AD137,AD138))*AH138,(1-AVERAGE(AD138,VLOOKUP(_xlfn.CONCAT(U138,V138,W138,X138,M_BRAND_FC!$F$6),FC_DATA!$R$2:$AD$5000,MATCH("DISCOUNT_%_M",FC_DATA!$R$1:$AD$1,0),FALSE)))*AH138))</f>
        <v>#N/A</v>
      </c>
      <c r="AJ138" s="412" t="str">
        <f t="shared" ca="1" si="68"/>
        <v/>
      </c>
      <c r="AK138" s="413" t="str">
        <f>IFERROR(AE138/(Q_BRAND_FC!$T$24+1),"")</f>
        <v/>
      </c>
      <c r="AL138" s="88" t="str">
        <f t="shared" ca="1" si="69"/>
        <v/>
      </c>
      <c r="AM138" s="414" t="str">
        <f t="shared" ca="1" si="70"/>
        <v/>
      </c>
      <c r="AN138" s="58">
        <f>IFERROR(IF($V138="BRAND.com",HLOOKUP($X138&amp;$Z138,NWC_FC_NOOS!$C$4:$Q$23,MATCH(W138,NWC_FC_NOOS!$B$4:$B$23,0),FALSE),0),0)</f>
        <v>0</v>
      </c>
      <c r="AO138" s="57">
        <f>IFERROR(IF($V138="BRAND.com",HLOOKUP($X138&amp;$Z138,NWC_FC_NOOS!$T$4:$AH$23,MATCH(W138,NWC_FC_NOOS!$S$4:$S$23,0),FALSE),0),0)</f>
        <v>0</v>
      </c>
      <c r="AP138" s="57">
        <f>IFERROR(IF($V138="BRAND.com",HLOOKUP($X138&amp;$Z138,NWC_FC_NOOS!$C$50:$U$69,MATCH(W138,NWC_FC_NOOS!$B$50:$B$69,0),FALSE),0),0)</f>
        <v>0</v>
      </c>
      <c r="AQ138" s="58">
        <f>IFERROR(IF($V138="BRAND.com",HLOOKUP($X138&amp;$Z138,'NWC_FC_NON-NOOS'!$C$4:$Q$23,MATCH(W138,'NWC_FC_NON-NOOS'!$B$4:$B$23,0),FALSE),0),0)</f>
        <v>0</v>
      </c>
      <c r="AR138" s="57">
        <f>IFERROR(IF($V138="BRAND.com",HLOOKUP($X138&amp;$Z138,'NWC_FC_NON-NOOS'!$T$4:$AH$23,MATCH(W138,'NWC_FC_NON-NOOS'!$S$4:$S$23,0),FALSE),0),0)</f>
        <v>0</v>
      </c>
      <c r="AS138" s="57">
        <f>IFERROR(IF($V138="BRAND.com",HLOOKUP($X138&amp;$Z138,'NWC_FC_NON-NOOS'!$C$50:$U$69,MATCH(W138,'NWC_FC_NON-NOOS'!$B$50:$B$69,0),FALSE),0),0)</f>
        <v>0</v>
      </c>
      <c r="AT138" s="57">
        <f t="shared" si="72"/>
        <v>0</v>
      </c>
      <c r="AU138" s="57">
        <f t="shared" si="73"/>
        <v>0</v>
      </c>
      <c r="AV138" s="58">
        <f>IFERROR(IF($V138="BRAND.com",HLOOKUP($X138&amp;$Z138,PLANNING_FC!$BB$27:$BP$46,MATCH($W138,PLANNING_FC!$BA$27:$BA$46,0),FALSE),0),0)</f>
        <v>0</v>
      </c>
      <c r="AW138" s="58">
        <f>IFERROR(IF($V138="BRAND.com",HLOOKUP($X138&amp;$Z138,PLANNING_FC!$BB$4:$BP$23,MATCH($W138,PLANNING_FC!$BA$4:$BA$23,0),FALSE),0),0)</f>
        <v>0</v>
      </c>
      <c r="AX138" s="58">
        <f>IFERROR(IF($V138="BRAND.com",HLOOKUP($X138&amp;$Z138,PLANNING_FC!$T$27:$AH$46,MATCH($W138,PLANNING_FC!$B$27:$B$46,0),FALSE),0),0)</f>
        <v>0</v>
      </c>
      <c r="AY138" s="58">
        <f>IFERROR(IF($V138="BRAND.com",HLOOKUP($X138&amp;$Z138,PLANNING_FC!$T$4:$AH$23,MATCH($W138,PLANNING_FC!$B$4:$B$23,0),FALSE),0),0)</f>
        <v>0</v>
      </c>
      <c r="AZ138" s="58">
        <f>IFERROR(IF($V138="BRAND.com",HLOOKUP($X138&amp;$Z138,PLANNING_FC!$DA$27:$DO$46,MATCH($W138,PLANNING_FC!$CZ$27:$CZ$46,0),FALSE),0),0)</f>
        <v>0</v>
      </c>
      <c r="BA138" s="58">
        <f>IFERROR(IF($V138="BRAND.com",HLOOKUP($X138&amp;$Z138,PLANNING_FC!$DA$4:$DO$23,MATCH($W138,PLANNING_FC!$CZ$4:$CZ$23,0),FALSE),0),0)</f>
        <v>0</v>
      </c>
      <c r="BB138" s="883" t="str">
        <f>IF(V138="BRAND.com",IFERROR(HLOOKUP(X138&amp;Z138,PLANNING_FC!$AK$4:$AY$23,MATCH(W138,PLANNING_FC!$AJ$4:$AJ$23,0),FALSE)*1000,""),"")</f>
        <v/>
      </c>
      <c r="BC138" s="883" t="str">
        <f>IF(V138="BRAND.com",IFERROR(HLOOKUP(X138&amp;Z138,PLANNING_FC!$AK$27:$AY$46,MATCH(W138,PLANNING_FC!$AJ$27:$AJ$46,0),FALSE)*1000,""),"")</f>
        <v/>
      </c>
    </row>
    <row r="139" spans="1:55" x14ac:dyDescent="0.25">
      <c r="A139" s="509"/>
      <c r="B139" s="510"/>
      <c r="C139" s="509"/>
      <c r="D139" s="509"/>
      <c r="E139" s="509"/>
      <c r="F139" s="509"/>
      <c r="G139" s="509"/>
      <c r="H139" s="509"/>
      <c r="I139" s="512"/>
      <c r="J139" s="513"/>
      <c r="K139" s="879"/>
      <c r="L139" s="515"/>
      <c r="M139" s="516"/>
      <c r="N139" s="56">
        <f t="shared" si="74"/>
        <v>0</v>
      </c>
      <c r="O139" s="57">
        <f t="shared" si="75"/>
        <v>0</v>
      </c>
      <c r="P139" s="57">
        <f ca="1">IFERROR(IF(ISBLANK(H139),SUMIFS($AC:$AC,$V:$V,V139,$W:$W,W139,$X:$X,X139,$Y:$Y,Y139)*J139/(1-J139)*VLOOKUP(_xlfn.CONCAT(C139,D139,E139,TIME!$M$12,Z139),HIS_SALES!$B$2:$W$4859,20,FALSE),AC139*J139/(1-J139)),0)</f>
        <v>0</v>
      </c>
      <c r="Q139" s="541" t="str">
        <f t="shared" si="85"/>
        <v/>
      </c>
      <c r="R139" s="346" t="str">
        <f t="shared" si="65"/>
        <v>00000</v>
      </c>
      <c r="S139" s="344">
        <f t="shared" si="76"/>
        <v>0</v>
      </c>
      <c r="T139" s="345" t="str">
        <f t="shared" si="71"/>
        <v>000</v>
      </c>
      <c r="U139" s="345">
        <f t="shared" si="77"/>
        <v>0</v>
      </c>
      <c r="V139" s="345">
        <f t="shared" si="78"/>
        <v>0</v>
      </c>
      <c r="W139" s="345">
        <f t="shared" si="79"/>
        <v>0</v>
      </c>
      <c r="X139" s="345">
        <f t="shared" si="80"/>
        <v>0</v>
      </c>
      <c r="Y139" s="345">
        <f t="shared" si="81"/>
        <v>0</v>
      </c>
      <c r="Z139" s="345">
        <f>IF(Q139&lt;&gt;"",VLOOKUP(Y139,TIME!$R$21:$V$24,MATCH(FC_DATA!Q139,TIME!$R$20:$V$20,0),FALSE),H139)</f>
        <v>0</v>
      </c>
      <c r="AA139" s="345" t="str">
        <f>IFERROR(VLOOKUP(X139&amp;Z139,TIME!$A$12:$D$71,4,FALSE),"")</f>
        <v/>
      </c>
      <c r="AB139" s="592">
        <f t="shared" ca="1" si="66"/>
        <v>0</v>
      </c>
      <c r="AC139" s="593" t="e">
        <f ca="1">IF(ISBLANK(H139)=FALSE,IF(D139="BRAND.com",I139,IF(ISNA(VLOOKUP(_xlfn.CONCAT(X139,Z139),TIME!$M$40:$M$42,1,FALSE)),I139,VLOOKUP(_xlfn.CONCAT(D139,G139,H139),M_BUSAREA_FC!$AF$5:$AJ$10,5,FALSE)*HLOOKUP(_xlfn.CONCAT(F139,H139),ST_OVERVIEW!$G$99:$I$130,MATCH(_xlfn.CONCAT(D139,E139),ST_OVERVIEW!$F$99:$F$130,0),FALSE))),IF(D139="BRAND.com",VLOOKUP(_xlfn.CONCAT(C139,D139,E139,TIME!$F$1,Z139),HIS_SALES!$B$2:$V$4859,19,FALSE)*I139,VLOOKUP(_xlfn.CONCAT(D139,F139,G139),Q_BUSAREA_FC!$AE$5:$AI$12,5,FALSE)*HLOOKUP(_xlfn.CONCAT(FC_DATA!F139,FC_DATA!G139),LT_OVERVIEW!$I$99:$M$130,MATCH(_xlfn.CONCAT(D139,FC_DATA!E139),LT_OVERVIEW!$H$99:$H$130,0),FALSE)*IFERROR(VLOOKUP(_xlfn.CONCAT(C139,D139,E139,TIME!$F$1,Z139),HIS_SALES!$B$2:$V$4859,19,FALSE),0)))</f>
        <v>#N/A</v>
      </c>
      <c r="AD139" s="341">
        <f t="shared" ca="1" si="82"/>
        <v>0</v>
      </c>
      <c r="AE139" s="363" t="str">
        <f t="shared" si="83"/>
        <v/>
      </c>
      <c r="AF139" s="342" t="str">
        <f t="shared" si="84"/>
        <v/>
      </c>
      <c r="AG139" s="411" t="e">
        <f ca="1">VLOOKUP(_xlfn.CONCAT(U139,V139,W139,VLOOKUP(X139&amp;Y139,TIME!$L$27:$O$34,4,FALSE),Y139),HIS_SALES!$A$2:$R$5093,18,FALSE)</f>
        <v>#N/A</v>
      </c>
      <c r="AH139" s="412" t="e">
        <f ca="1">IFERROR(IF(AND(V139=V138,W139=W138),0.5*(AB139+AB138)*AG139,(VLOOKUP(_xlfn.CONCAT(U139,V139,W139,X139,VLOOKUP(Z139,TIME!$S$28:$T$39,2,FALSE)),FC_DATA!$R$2:$AB$5000,MATCH("GS_I_M",FC_DATA!$R$1:$AB$1,0),FALSE)+FC_DATA!AB139)*0.5*FC_DATA!AG139),NA())</f>
        <v>#N/A</v>
      </c>
      <c r="AI139" s="491" t="e">
        <f ca="1">IF(V139="PARTNER.com",AH139,IF(AND(V139=V138,W139=W138),(1-AVERAGE(AD138,AD139))*AH139,(1-AVERAGE(AD139,VLOOKUP(_xlfn.CONCAT(U139,V139,W139,X139,M_BRAND_FC!$F$6),FC_DATA!$R$2:$AD$5000,MATCH("DISCOUNT_%_M",FC_DATA!$R$1:$AD$1,0),FALSE)))*AH139))</f>
        <v>#N/A</v>
      </c>
      <c r="AJ139" s="412" t="str">
        <f t="shared" ca="1" si="68"/>
        <v/>
      </c>
      <c r="AK139" s="413" t="str">
        <f>IFERROR(AE139/(Q_BRAND_FC!$T$24+1),"")</f>
        <v/>
      </c>
      <c r="AL139" s="88" t="str">
        <f t="shared" ca="1" si="69"/>
        <v/>
      </c>
      <c r="AM139" s="414" t="str">
        <f t="shared" ca="1" si="70"/>
        <v/>
      </c>
      <c r="AN139" s="58">
        <f>IFERROR(IF($V139="BRAND.com",HLOOKUP($X139&amp;$Z139,NWC_FC_NOOS!$C$4:$Q$23,MATCH(W139,NWC_FC_NOOS!$B$4:$B$23,0),FALSE),0),0)</f>
        <v>0</v>
      </c>
      <c r="AO139" s="57">
        <f>IFERROR(IF($V139="BRAND.com",HLOOKUP($X139&amp;$Z139,NWC_FC_NOOS!$T$4:$AH$23,MATCH(W139,NWC_FC_NOOS!$S$4:$S$23,0),FALSE),0),0)</f>
        <v>0</v>
      </c>
      <c r="AP139" s="57">
        <f>IFERROR(IF($V139="BRAND.com",HLOOKUP($X139&amp;$Z139,NWC_FC_NOOS!$C$50:$U$69,MATCH(W139,NWC_FC_NOOS!$B$50:$B$69,0),FALSE),0),0)</f>
        <v>0</v>
      </c>
      <c r="AQ139" s="58">
        <f>IFERROR(IF($V139="BRAND.com",HLOOKUP($X139&amp;$Z139,'NWC_FC_NON-NOOS'!$C$4:$Q$23,MATCH(W139,'NWC_FC_NON-NOOS'!$B$4:$B$23,0),FALSE),0),0)</f>
        <v>0</v>
      </c>
      <c r="AR139" s="57">
        <f>IFERROR(IF($V139="BRAND.com",HLOOKUP($X139&amp;$Z139,'NWC_FC_NON-NOOS'!$T$4:$AH$23,MATCH(W139,'NWC_FC_NON-NOOS'!$S$4:$S$23,0),FALSE),0),0)</f>
        <v>0</v>
      </c>
      <c r="AS139" s="57">
        <f>IFERROR(IF($V139="BRAND.com",HLOOKUP($X139&amp;$Z139,'NWC_FC_NON-NOOS'!$C$50:$U$69,MATCH(W139,'NWC_FC_NON-NOOS'!$B$50:$B$69,0),FALSE),0),0)</f>
        <v>0</v>
      </c>
      <c r="AT139" s="57">
        <f t="shared" si="72"/>
        <v>0</v>
      </c>
      <c r="AU139" s="57">
        <f t="shared" si="73"/>
        <v>0</v>
      </c>
      <c r="AV139" s="58">
        <f>IFERROR(IF($V139="BRAND.com",HLOOKUP($X139&amp;$Z139,PLANNING_FC!$BB$27:$BP$46,MATCH($W139,PLANNING_FC!$BA$27:$BA$46,0),FALSE),0),0)</f>
        <v>0</v>
      </c>
      <c r="AW139" s="58">
        <f>IFERROR(IF($V139="BRAND.com",HLOOKUP($X139&amp;$Z139,PLANNING_FC!$BB$4:$BP$23,MATCH($W139,PLANNING_FC!$BA$4:$BA$23,0),FALSE),0),0)</f>
        <v>0</v>
      </c>
      <c r="AX139" s="58">
        <f>IFERROR(IF($V139="BRAND.com",HLOOKUP($X139&amp;$Z139,PLANNING_FC!$T$27:$AH$46,MATCH($W139,PLANNING_FC!$B$27:$B$46,0),FALSE),0),0)</f>
        <v>0</v>
      </c>
      <c r="AY139" s="58">
        <f>IFERROR(IF($V139="BRAND.com",HLOOKUP($X139&amp;$Z139,PLANNING_FC!$T$4:$AH$23,MATCH($W139,PLANNING_FC!$B$4:$B$23,0),FALSE),0),0)</f>
        <v>0</v>
      </c>
      <c r="AZ139" s="58">
        <f>IFERROR(IF($V139="BRAND.com",HLOOKUP($X139&amp;$Z139,PLANNING_FC!$DA$27:$DO$46,MATCH($W139,PLANNING_FC!$CZ$27:$CZ$46,0),FALSE),0),0)</f>
        <v>0</v>
      </c>
      <c r="BA139" s="58">
        <f>IFERROR(IF($V139="BRAND.com",HLOOKUP($X139&amp;$Z139,PLANNING_FC!$DA$4:$DO$23,MATCH($W139,PLANNING_FC!$CZ$4:$CZ$23,0),FALSE),0),0)</f>
        <v>0</v>
      </c>
      <c r="BB139" s="883" t="str">
        <f>IF(V139="BRAND.com",IFERROR(HLOOKUP(X139&amp;Z139,PLANNING_FC!$AK$4:$AY$23,MATCH(W139,PLANNING_FC!$AJ$4:$AJ$23,0),FALSE)*1000,""),"")</f>
        <v/>
      </c>
      <c r="BC139" s="883" t="str">
        <f>IF(V139="BRAND.com",IFERROR(HLOOKUP(X139&amp;Z139,PLANNING_FC!$AK$27:$AY$46,MATCH(W139,PLANNING_FC!$AJ$27:$AJ$46,0),FALSE)*1000,""),"")</f>
        <v/>
      </c>
    </row>
    <row r="140" spans="1:55" x14ac:dyDescent="0.25">
      <c r="A140" s="509"/>
      <c r="B140" s="510"/>
      <c r="C140" s="509"/>
      <c r="D140" s="509"/>
      <c r="E140" s="509"/>
      <c r="F140" s="509"/>
      <c r="G140" s="509"/>
      <c r="H140" s="509"/>
      <c r="I140" s="512"/>
      <c r="J140" s="513"/>
      <c r="K140" s="879"/>
      <c r="L140" s="515"/>
      <c r="M140" s="516"/>
      <c r="N140" s="56">
        <f t="shared" si="74"/>
        <v>0</v>
      </c>
      <c r="O140" s="57">
        <f t="shared" si="75"/>
        <v>0</v>
      </c>
      <c r="P140" s="57">
        <f ca="1">IFERROR(IF(ISBLANK(H140),SUMIFS($AC:$AC,$V:$V,V140,$W:$W,W140,$X:$X,X140,$Y:$Y,Y140)*J140/(1-J140)*VLOOKUP(_xlfn.CONCAT(C140,D140,E140,TIME!$M$12,Z140),HIS_SALES!$B$2:$W$4859,20,FALSE),AC140*J140/(1-J140)),0)</f>
        <v>0</v>
      </c>
      <c r="Q140" s="541" t="str">
        <f t="shared" si="85"/>
        <v/>
      </c>
      <c r="R140" s="346" t="str">
        <f t="shared" si="65"/>
        <v>00000</v>
      </c>
      <c r="S140" s="344">
        <f t="shared" si="76"/>
        <v>0</v>
      </c>
      <c r="T140" s="345" t="str">
        <f t="shared" si="71"/>
        <v>000</v>
      </c>
      <c r="U140" s="345">
        <f t="shared" si="77"/>
        <v>0</v>
      </c>
      <c r="V140" s="345">
        <f t="shared" si="78"/>
        <v>0</v>
      </c>
      <c r="W140" s="345">
        <f t="shared" si="79"/>
        <v>0</v>
      </c>
      <c r="X140" s="345">
        <f t="shared" si="80"/>
        <v>0</v>
      </c>
      <c r="Y140" s="345">
        <f t="shared" si="81"/>
        <v>0</v>
      </c>
      <c r="Z140" s="345">
        <f>IF(Q140&lt;&gt;"",VLOOKUP(Y140,TIME!$R$21:$V$24,MATCH(FC_DATA!Q140,TIME!$R$20:$V$20,0),FALSE),H140)</f>
        <v>0</v>
      </c>
      <c r="AA140" s="345" t="str">
        <f>IFERROR(VLOOKUP(X140&amp;Z140,TIME!$A$12:$D$71,4,FALSE),"")</f>
        <v/>
      </c>
      <c r="AB140" s="592">
        <f t="shared" ca="1" si="66"/>
        <v>0</v>
      </c>
      <c r="AC140" s="593" t="e">
        <f ca="1">IF(ISBLANK(H140)=FALSE,IF(D140="BRAND.com",I140,IF(ISNA(VLOOKUP(_xlfn.CONCAT(X140,Z140),TIME!$M$40:$M$42,1,FALSE)),I140,VLOOKUP(_xlfn.CONCAT(D140,G140,H140),M_BUSAREA_FC!$AF$5:$AJ$10,5,FALSE)*HLOOKUP(_xlfn.CONCAT(F140,H140),ST_OVERVIEW!$G$99:$I$130,MATCH(_xlfn.CONCAT(D140,E140),ST_OVERVIEW!$F$99:$F$130,0),FALSE))),IF(D140="BRAND.com",VLOOKUP(_xlfn.CONCAT(C140,D140,E140,TIME!$F$1,Z140),HIS_SALES!$B$2:$V$4859,19,FALSE)*I140,VLOOKUP(_xlfn.CONCAT(D140,F140,G140),Q_BUSAREA_FC!$AE$5:$AI$12,5,FALSE)*HLOOKUP(_xlfn.CONCAT(FC_DATA!F140,FC_DATA!G140),LT_OVERVIEW!$I$99:$M$130,MATCH(_xlfn.CONCAT(D140,FC_DATA!E140),LT_OVERVIEW!$H$99:$H$130,0),FALSE)*IFERROR(VLOOKUP(_xlfn.CONCAT(C140,D140,E140,TIME!$F$1,Z140),HIS_SALES!$B$2:$V$4859,19,FALSE),0)))</f>
        <v>#N/A</v>
      </c>
      <c r="AD140" s="341">
        <f t="shared" ca="1" si="82"/>
        <v>0</v>
      </c>
      <c r="AE140" s="363" t="str">
        <f t="shared" si="83"/>
        <v/>
      </c>
      <c r="AF140" s="342" t="str">
        <f t="shared" si="84"/>
        <v/>
      </c>
      <c r="AG140" s="411" t="e">
        <f ca="1">VLOOKUP(_xlfn.CONCAT(U140,V140,W140,VLOOKUP(X140&amp;Y140,TIME!$L$27:$O$34,4,FALSE),Y140),HIS_SALES!$A$2:$R$5093,18,FALSE)</f>
        <v>#N/A</v>
      </c>
      <c r="AH140" s="412" t="e">
        <f ca="1">IFERROR(IF(AND(V140=V139,W140=W139),0.5*(AB140+AB139)*AG140,(VLOOKUP(_xlfn.CONCAT(U140,V140,W140,X140,VLOOKUP(Z140,TIME!$S$28:$T$39,2,FALSE)),FC_DATA!$R$2:$AB$5000,MATCH("GS_I_M",FC_DATA!$R$1:$AB$1,0),FALSE)+FC_DATA!AB140)*0.5*FC_DATA!AG140),NA())</f>
        <v>#N/A</v>
      </c>
      <c r="AI140" s="491" t="e">
        <f ca="1">IF(V140="PARTNER.com",AH140,IF(AND(V140=V139,W140=W139),(1-AVERAGE(AD139,AD140))*AH140,(1-AVERAGE(AD140,VLOOKUP(_xlfn.CONCAT(U140,V140,W140,X140,M_BRAND_FC!$F$6),FC_DATA!$R$2:$AD$5000,MATCH("DISCOUNT_%_M",FC_DATA!$R$1:$AD$1,0),FALSE)))*AH140))</f>
        <v>#N/A</v>
      </c>
      <c r="AJ140" s="412" t="str">
        <f t="shared" ca="1" si="68"/>
        <v/>
      </c>
      <c r="AK140" s="413" t="str">
        <f>IFERROR(AE140/(Q_BRAND_FC!$T$24+1),"")</f>
        <v/>
      </c>
      <c r="AL140" s="88" t="str">
        <f t="shared" ca="1" si="69"/>
        <v/>
      </c>
      <c r="AM140" s="414" t="str">
        <f t="shared" ca="1" si="70"/>
        <v/>
      </c>
      <c r="AN140" s="58">
        <f>IFERROR(IF($V140="BRAND.com",HLOOKUP($X140&amp;$Z140,NWC_FC_NOOS!$C$4:$Q$23,MATCH(W140,NWC_FC_NOOS!$B$4:$B$23,0),FALSE),0),0)</f>
        <v>0</v>
      </c>
      <c r="AO140" s="57">
        <f>IFERROR(IF($V140="BRAND.com",HLOOKUP($X140&amp;$Z140,NWC_FC_NOOS!$T$4:$AH$23,MATCH(W140,NWC_FC_NOOS!$S$4:$S$23,0),FALSE),0),0)</f>
        <v>0</v>
      </c>
      <c r="AP140" s="57">
        <f>IFERROR(IF($V140="BRAND.com",HLOOKUP($X140&amp;$Z140,NWC_FC_NOOS!$C$50:$U$69,MATCH(W140,NWC_FC_NOOS!$B$50:$B$69,0),FALSE),0),0)</f>
        <v>0</v>
      </c>
      <c r="AQ140" s="58">
        <f>IFERROR(IF($V140="BRAND.com",HLOOKUP($X140&amp;$Z140,'NWC_FC_NON-NOOS'!$C$4:$Q$23,MATCH(W140,'NWC_FC_NON-NOOS'!$B$4:$B$23,0),FALSE),0),0)</f>
        <v>0</v>
      </c>
      <c r="AR140" s="57">
        <f>IFERROR(IF($V140="BRAND.com",HLOOKUP($X140&amp;$Z140,'NWC_FC_NON-NOOS'!$T$4:$AH$23,MATCH(W140,'NWC_FC_NON-NOOS'!$S$4:$S$23,0),FALSE),0),0)</f>
        <v>0</v>
      </c>
      <c r="AS140" s="57">
        <f>IFERROR(IF($V140="BRAND.com",HLOOKUP($X140&amp;$Z140,'NWC_FC_NON-NOOS'!$C$50:$U$69,MATCH(W140,'NWC_FC_NON-NOOS'!$B$50:$B$69,0),FALSE),0),0)</f>
        <v>0</v>
      </c>
      <c r="AT140" s="57">
        <f t="shared" si="72"/>
        <v>0</v>
      </c>
      <c r="AU140" s="57">
        <f t="shared" si="73"/>
        <v>0</v>
      </c>
      <c r="AV140" s="58">
        <f>IFERROR(IF($V140="BRAND.com",HLOOKUP($X140&amp;$Z140,PLANNING_FC!$BB$27:$BP$46,MATCH($W140,PLANNING_FC!$BA$27:$BA$46,0),FALSE),0),0)</f>
        <v>0</v>
      </c>
      <c r="AW140" s="58">
        <f>IFERROR(IF($V140="BRAND.com",HLOOKUP($X140&amp;$Z140,PLANNING_FC!$BB$4:$BP$23,MATCH($W140,PLANNING_FC!$BA$4:$BA$23,0),FALSE),0),0)</f>
        <v>0</v>
      </c>
      <c r="AX140" s="58">
        <f>IFERROR(IF($V140="BRAND.com",HLOOKUP($X140&amp;$Z140,PLANNING_FC!$T$27:$AH$46,MATCH($W140,PLANNING_FC!$B$27:$B$46,0),FALSE),0),0)</f>
        <v>0</v>
      </c>
      <c r="AY140" s="58">
        <f>IFERROR(IF($V140="BRAND.com",HLOOKUP($X140&amp;$Z140,PLANNING_FC!$T$4:$AH$23,MATCH($W140,PLANNING_FC!$B$4:$B$23,0),FALSE),0),0)</f>
        <v>0</v>
      </c>
      <c r="AZ140" s="58">
        <f>IFERROR(IF($V140="BRAND.com",HLOOKUP($X140&amp;$Z140,PLANNING_FC!$DA$27:$DO$46,MATCH($W140,PLANNING_FC!$CZ$27:$CZ$46,0),FALSE),0),0)</f>
        <v>0</v>
      </c>
      <c r="BA140" s="58">
        <f>IFERROR(IF($V140="BRAND.com",HLOOKUP($X140&amp;$Z140,PLANNING_FC!$DA$4:$DO$23,MATCH($W140,PLANNING_FC!$CZ$4:$CZ$23,0),FALSE),0),0)</f>
        <v>0</v>
      </c>
      <c r="BB140" s="883" t="str">
        <f>IF(V140="BRAND.com",IFERROR(HLOOKUP(X140&amp;Z140,PLANNING_FC!$AK$4:$AY$23,MATCH(W140,PLANNING_FC!$AJ$4:$AJ$23,0),FALSE)*1000,""),"")</f>
        <v/>
      </c>
      <c r="BC140" s="883" t="str">
        <f>IF(V140="BRAND.com",IFERROR(HLOOKUP(X140&amp;Z140,PLANNING_FC!$AK$27:$AY$46,MATCH(W140,PLANNING_FC!$AJ$27:$AJ$46,0),FALSE)*1000,""),"")</f>
        <v/>
      </c>
    </row>
    <row r="141" spans="1:55" x14ac:dyDescent="0.25">
      <c r="A141" s="509"/>
      <c r="B141" s="510"/>
      <c r="C141" s="509"/>
      <c r="D141" s="509"/>
      <c r="E141" s="509"/>
      <c r="F141" s="509"/>
      <c r="G141" s="509"/>
      <c r="H141" s="509"/>
      <c r="I141" s="512"/>
      <c r="J141" s="513"/>
      <c r="K141" s="879"/>
      <c r="L141" s="515"/>
      <c r="M141" s="516"/>
      <c r="N141" s="56">
        <f t="shared" si="74"/>
        <v>0</v>
      </c>
      <c r="O141" s="57">
        <f t="shared" si="75"/>
        <v>0</v>
      </c>
      <c r="P141" s="57">
        <f ca="1">IFERROR(IF(ISBLANK(H141),SUMIFS($AC:$AC,$V:$V,V141,$W:$W,W141,$X:$X,X141,$Y:$Y,Y141)*J141/(1-J141)*VLOOKUP(_xlfn.CONCAT(C141,D141,E141,TIME!$M$12,Z141),HIS_SALES!$B$2:$W$4859,20,FALSE),AC141*J141/(1-J141)),0)</f>
        <v>0</v>
      </c>
      <c r="Q141" s="541" t="str">
        <f t="shared" si="85"/>
        <v/>
      </c>
      <c r="R141" s="346" t="str">
        <f t="shared" si="65"/>
        <v>00000</v>
      </c>
      <c r="S141" s="344">
        <f t="shared" si="76"/>
        <v>0</v>
      </c>
      <c r="T141" s="345" t="str">
        <f t="shared" si="71"/>
        <v>000</v>
      </c>
      <c r="U141" s="345">
        <f t="shared" si="77"/>
        <v>0</v>
      </c>
      <c r="V141" s="345">
        <f t="shared" si="78"/>
        <v>0</v>
      </c>
      <c r="W141" s="345">
        <f t="shared" si="79"/>
        <v>0</v>
      </c>
      <c r="X141" s="345">
        <f t="shared" si="80"/>
        <v>0</v>
      </c>
      <c r="Y141" s="345">
        <f t="shared" si="81"/>
        <v>0</v>
      </c>
      <c r="Z141" s="345">
        <f>IF(Q141&lt;&gt;"",VLOOKUP(Y141,TIME!$R$21:$V$24,MATCH(FC_DATA!Q141,TIME!$R$20:$V$20,0),FALSE),H141)</f>
        <v>0</v>
      </c>
      <c r="AA141" s="345" t="str">
        <f>IFERROR(VLOOKUP(X141&amp;Z141,TIME!$A$12:$D$71,4,FALSE),"")</f>
        <v/>
      </c>
      <c r="AB141" s="592">
        <f t="shared" ca="1" si="66"/>
        <v>0</v>
      </c>
      <c r="AC141" s="593" t="e">
        <f ca="1">IF(ISBLANK(H141)=FALSE,IF(D141="BRAND.com",I141,IF(ISNA(VLOOKUP(_xlfn.CONCAT(X141,Z141),TIME!$M$40:$M$42,1,FALSE)),I141,VLOOKUP(_xlfn.CONCAT(D141,G141,H141),M_BUSAREA_FC!$AF$5:$AJ$10,5,FALSE)*HLOOKUP(_xlfn.CONCAT(F141,H141),ST_OVERVIEW!$G$99:$I$130,MATCH(_xlfn.CONCAT(D141,E141),ST_OVERVIEW!$F$99:$F$130,0),FALSE))),IF(D141="BRAND.com",VLOOKUP(_xlfn.CONCAT(C141,D141,E141,TIME!$F$1,Z141),HIS_SALES!$B$2:$V$4859,19,FALSE)*I141,VLOOKUP(_xlfn.CONCAT(D141,F141,G141),Q_BUSAREA_FC!$AE$5:$AI$12,5,FALSE)*HLOOKUP(_xlfn.CONCAT(FC_DATA!F141,FC_DATA!G141),LT_OVERVIEW!$I$99:$M$130,MATCH(_xlfn.CONCAT(D141,FC_DATA!E141),LT_OVERVIEW!$H$99:$H$130,0),FALSE)*IFERROR(VLOOKUP(_xlfn.CONCAT(C141,D141,E141,TIME!$F$1,Z141),HIS_SALES!$B$2:$V$4859,19,FALSE),0)))</f>
        <v>#N/A</v>
      </c>
      <c r="AD141" s="341">
        <f t="shared" ca="1" si="82"/>
        <v>0</v>
      </c>
      <c r="AE141" s="363" t="str">
        <f t="shared" si="83"/>
        <v/>
      </c>
      <c r="AF141" s="342" t="str">
        <f t="shared" si="84"/>
        <v/>
      </c>
      <c r="AG141" s="411" t="e">
        <f ca="1">VLOOKUP(_xlfn.CONCAT(U141,V141,W141,VLOOKUP(X141&amp;Y141,TIME!$L$27:$O$34,4,FALSE),Y141),HIS_SALES!$A$2:$R$5093,18,FALSE)</f>
        <v>#N/A</v>
      </c>
      <c r="AH141" s="412" t="e">
        <f ca="1">IFERROR(IF(AND(V141=V140,W141=W140),0.5*(AB141+AB140)*AG141,(VLOOKUP(_xlfn.CONCAT(U141,V141,W141,X141,VLOOKUP(Z141,TIME!$S$28:$T$39,2,FALSE)),FC_DATA!$R$2:$AB$5000,MATCH("GS_I_M",FC_DATA!$R$1:$AB$1,0),FALSE)+FC_DATA!AB141)*0.5*FC_DATA!AG141),NA())</f>
        <v>#N/A</v>
      </c>
      <c r="AI141" s="491" t="e">
        <f ca="1">IF(V141="PARTNER.com",AH141,IF(AND(V141=V140,W141=W140),(1-AVERAGE(AD140,AD141))*AH141,(1-AVERAGE(AD141,VLOOKUP(_xlfn.CONCAT(U141,V141,W141,X141,M_BRAND_FC!$F$6),FC_DATA!$R$2:$AD$5000,MATCH("DISCOUNT_%_M",FC_DATA!$R$1:$AD$1,0),FALSE)))*AH141))</f>
        <v>#N/A</v>
      </c>
      <c r="AJ141" s="412" t="str">
        <f t="shared" ca="1" si="68"/>
        <v/>
      </c>
      <c r="AK141" s="413" t="str">
        <f>IFERROR(AE141/(Q_BRAND_FC!$T$24+1),"")</f>
        <v/>
      </c>
      <c r="AL141" s="88" t="str">
        <f t="shared" ca="1" si="69"/>
        <v/>
      </c>
      <c r="AM141" s="414" t="str">
        <f t="shared" ca="1" si="70"/>
        <v/>
      </c>
      <c r="AN141" s="58">
        <f>IFERROR(IF($V141="BRAND.com",HLOOKUP($X141&amp;$Z141,NWC_FC_NOOS!$C$4:$Q$23,MATCH(W141,NWC_FC_NOOS!$B$4:$B$23,0),FALSE),0),0)</f>
        <v>0</v>
      </c>
      <c r="AO141" s="57">
        <f>IFERROR(IF($V141="BRAND.com",HLOOKUP($X141&amp;$Z141,NWC_FC_NOOS!$T$4:$AH$23,MATCH(W141,NWC_FC_NOOS!$S$4:$S$23,0),FALSE),0),0)</f>
        <v>0</v>
      </c>
      <c r="AP141" s="57">
        <f>IFERROR(IF($V141="BRAND.com",HLOOKUP($X141&amp;$Z141,NWC_FC_NOOS!$C$50:$U$69,MATCH(W141,NWC_FC_NOOS!$B$50:$B$69,0),FALSE),0),0)</f>
        <v>0</v>
      </c>
      <c r="AQ141" s="58">
        <f>IFERROR(IF($V141="BRAND.com",HLOOKUP($X141&amp;$Z141,'NWC_FC_NON-NOOS'!$C$4:$Q$23,MATCH(W141,'NWC_FC_NON-NOOS'!$B$4:$B$23,0),FALSE),0),0)</f>
        <v>0</v>
      </c>
      <c r="AR141" s="57">
        <f>IFERROR(IF($V141="BRAND.com",HLOOKUP($X141&amp;$Z141,'NWC_FC_NON-NOOS'!$T$4:$AH$23,MATCH(W141,'NWC_FC_NON-NOOS'!$S$4:$S$23,0),FALSE),0),0)</f>
        <v>0</v>
      </c>
      <c r="AS141" s="57">
        <f>IFERROR(IF($V141="BRAND.com",HLOOKUP($X141&amp;$Z141,'NWC_FC_NON-NOOS'!$C$50:$U$69,MATCH(W141,'NWC_FC_NON-NOOS'!$B$50:$B$69,0),FALSE),0),0)</f>
        <v>0</v>
      </c>
      <c r="AT141" s="57">
        <f t="shared" si="72"/>
        <v>0</v>
      </c>
      <c r="AU141" s="57">
        <f t="shared" si="73"/>
        <v>0</v>
      </c>
      <c r="AV141" s="58">
        <f>IFERROR(IF($V141="BRAND.com",HLOOKUP($X141&amp;$Z141,PLANNING_FC!$BB$27:$BP$46,MATCH($W141,PLANNING_FC!$BA$27:$BA$46,0),FALSE),0),0)</f>
        <v>0</v>
      </c>
      <c r="AW141" s="58">
        <f>IFERROR(IF($V141="BRAND.com",HLOOKUP($X141&amp;$Z141,PLANNING_FC!$BB$4:$BP$23,MATCH($W141,PLANNING_FC!$BA$4:$BA$23,0),FALSE),0),0)</f>
        <v>0</v>
      </c>
      <c r="AX141" s="58">
        <f>IFERROR(IF($V141="BRAND.com",HLOOKUP($X141&amp;$Z141,PLANNING_FC!$T$27:$AH$46,MATCH($W141,PLANNING_FC!$B$27:$B$46,0),FALSE),0),0)</f>
        <v>0</v>
      </c>
      <c r="AY141" s="58">
        <f>IFERROR(IF($V141="BRAND.com",HLOOKUP($X141&amp;$Z141,PLANNING_FC!$T$4:$AH$23,MATCH($W141,PLANNING_FC!$B$4:$B$23,0),FALSE),0),0)</f>
        <v>0</v>
      </c>
      <c r="AZ141" s="58">
        <f>IFERROR(IF($V141="BRAND.com",HLOOKUP($X141&amp;$Z141,PLANNING_FC!$DA$27:$DO$46,MATCH($W141,PLANNING_FC!$CZ$27:$CZ$46,0),FALSE),0),0)</f>
        <v>0</v>
      </c>
      <c r="BA141" s="58">
        <f>IFERROR(IF($V141="BRAND.com",HLOOKUP($X141&amp;$Z141,PLANNING_FC!$DA$4:$DO$23,MATCH($W141,PLANNING_FC!$CZ$4:$CZ$23,0),FALSE),0),0)</f>
        <v>0</v>
      </c>
      <c r="BB141" s="883" t="str">
        <f>IF(V141="BRAND.com",IFERROR(HLOOKUP(X141&amp;Z141,PLANNING_FC!$AK$4:$AY$23,MATCH(W141,PLANNING_FC!$AJ$4:$AJ$23,0),FALSE)*1000,""),"")</f>
        <v/>
      </c>
      <c r="BC141" s="883" t="str">
        <f>IF(V141="BRAND.com",IFERROR(HLOOKUP(X141&amp;Z141,PLANNING_FC!$AK$27:$AY$46,MATCH(W141,PLANNING_FC!$AJ$27:$AJ$46,0),FALSE)*1000,""),"")</f>
        <v/>
      </c>
    </row>
    <row r="142" spans="1:55" x14ac:dyDescent="0.25">
      <c r="A142" s="509"/>
      <c r="B142" s="510"/>
      <c r="C142" s="509"/>
      <c r="D142" s="509"/>
      <c r="E142" s="509"/>
      <c r="F142" s="509"/>
      <c r="G142" s="509"/>
      <c r="H142" s="509"/>
      <c r="I142" s="512"/>
      <c r="J142" s="513"/>
      <c r="K142" s="879"/>
      <c r="L142" s="515"/>
      <c r="M142" s="516"/>
      <c r="N142" s="56">
        <f t="shared" si="74"/>
        <v>0</v>
      </c>
      <c r="O142" s="57">
        <f t="shared" si="75"/>
        <v>0</v>
      </c>
      <c r="P142" s="57">
        <f ca="1">IFERROR(IF(ISBLANK(H142),SUMIFS($AC:$AC,$V:$V,V142,$W:$W,W142,$X:$X,X142,$Y:$Y,Y142)*J142/(1-J142)*VLOOKUP(_xlfn.CONCAT(C142,D142,E142,TIME!$M$12,Z142),HIS_SALES!$B$2:$W$4859,20,FALSE),AC142*J142/(1-J142)),0)</f>
        <v>0</v>
      </c>
      <c r="Q142" s="541" t="str">
        <f t="shared" si="85"/>
        <v/>
      </c>
      <c r="R142" s="346" t="str">
        <f t="shared" si="65"/>
        <v>00000</v>
      </c>
      <c r="S142" s="344">
        <f t="shared" si="76"/>
        <v>0</v>
      </c>
      <c r="T142" s="345" t="str">
        <f t="shared" si="71"/>
        <v>000</v>
      </c>
      <c r="U142" s="345">
        <f t="shared" si="77"/>
        <v>0</v>
      </c>
      <c r="V142" s="345">
        <f t="shared" si="78"/>
        <v>0</v>
      </c>
      <c r="W142" s="345">
        <f t="shared" si="79"/>
        <v>0</v>
      </c>
      <c r="X142" s="345">
        <f t="shared" si="80"/>
        <v>0</v>
      </c>
      <c r="Y142" s="345">
        <f t="shared" si="81"/>
        <v>0</v>
      </c>
      <c r="Z142" s="345">
        <f>IF(Q142&lt;&gt;"",VLOOKUP(Y142,TIME!$R$21:$V$24,MATCH(FC_DATA!Q142,TIME!$R$20:$V$20,0),FALSE),H142)</f>
        <v>0</v>
      </c>
      <c r="AA142" s="345" t="str">
        <f>IFERROR(VLOOKUP(X142&amp;Z142,TIME!$A$12:$D$71,4,FALSE),"")</f>
        <v/>
      </c>
      <c r="AB142" s="592">
        <f t="shared" ca="1" si="66"/>
        <v>0</v>
      </c>
      <c r="AC142" s="593" t="e">
        <f ca="1">IF(ISBLANK(H142)=FALSE,IF(D142="BRAND.com",I142,IF(ISNA(VLOOKUP(_xlfn.CONCAT(X142,Z142),TIME!$M$40:$M$42,1,FALSE)),I142,VLOOKUP(_xlfn.CONCAT(D142,G142,H142),M_BUSAREA_FC!$AF$5:$AJ$10,5,FALSE)*HLOOKUP(_xlfn.CONCAT(F142,H142),ST_OVERVIEW!$G$99:$I$130,MATCH(_xlfn.CONCAT(D142,E142),ST_OVERVIEW!$F$99:$F$130,0),FALSE))),IF(D142="BRAND.com",VLOOKUP(_xlfn.CONCAT(C142,D142,E142,TIME!$F$1,Z142),HIS_SALES!$B$2:$V$4859,19,FALSE)*I142,VLOOKUP(_xlfn.CONCAT(D142,F142,G142),Q_BUSAREA_FC!$AE$5:$AI$12,5,FALSE)*HLOOKUP(_xlfn.CONCAT(FC_DATA!F142,FC_DATA!G142),LT_OVERVIEW!$I$99:$M$130,MATCH(_xlfn.CONCAT(D142,FC_DATA!E142),LT_OVERVIEW!$H$99:$H$130,0),FALSE)*IFERROR(VLOOKUP(_xlfn.CONCAT(C142,D142,E142,TIME!$F$1,Z142),HIS_SALES!$B$2:$V$4859,19,FALSE),0)))</f>
        <v>#N/A</v>
      </c>
      <c r="AD142" s="341">
        <f t="shared" ca="1" si="82"/>
        <v>0</v>
      </c>
      <c r="AE142" s="363" t="str">
        <f t="shared" si="83"/>
        <v/>
      </c>
      <c r="AF142" s="342" t="str">
        <f t="shared" si="84"/>
        <v/>
      </c>
      <c r="AG142" s="411" t="e">
        <f ca="1">VLOOKUP(_xlfn.CONCAT(U142,V142,W142,VLOOKUP(X142&amp;Y142,TIME!$L$27:$O$34,4,FALSE),Y142),HIS_SALES!$A$2:$R$5093,18,FALSE)</f>
        <v>#N/A</v>
      </c>
      <c r="AH142" s="412" t="e">
        <f ca="1">IFERROR(IF(AND(V142=V141,W142=W141),0.5*(AB142+AB141)*AG142,(VLOOKUP(_xlfn.CONCAT(U142,V142,W142,X142,VLOOKUP(Z142,TIME!$S$28:$T$39,2,FALSE)),FC_DATA!$R$2:$AB$5000,MATCH("GS_I_M",FC_DATA!$R$1:$AB$1,0),FALSE)+FC_DATA!AB142)*0.5*FC_DATA!AG142),NA())</f>
        <v>#N/A</v>
      </c>
      <c r="AI142" s="491" t="e">
        <f ca="1">IF(V142="PARTNER.com",AH142,IF(AND(V142=V141,W142=W141),(1-AVERAGE(AD141,AD142))*AH142,(1-AVERAGE(AD142,VLOOKUP(_xlfn.CONCAT(U142,V142,W142,X142,M_BRAND_FC!$F$6),FC_DATA!$R$2:$AD$5000,MATCH("DISCOUNT_%_M",FC_DATA!$R$1:$AD$1,0),FALSE)))*AH142))</f>
        <v>#N/A</v>
      </c>
      <c r="AJ142" s="412" t="str">
        <f t="shared" ca="1" si="68"/>
        <v/>
      </c>
      <c r="AK142" s="413" t="str">
        <f>IFERROR(AE142/(Q_BRAND_FC!$T$24+1),"")</f>
        <v/>
      </c>
      <c r="AL142" s="88" t="str">
        <f t="shared" ca="1" si="69"/>
        <v/>
      </c>
      <c r="AM142" s="414" t="str">
        <f t="shared" ca="1" si="70"/>
        <v/>
      </c>
      <c r="AN142" s="58">
        <f>IFERROR(IF($V142="BRAND.com",HLOOKUP($X142&amp;$Z142,NWC_FC_NOOS!$C$4:$Q$23,MATCH(W142,NWC_FC_NOOS!$B$4:$B$23,0),FALSE),0),0)</f>
        <v>0</v>
      </c>
      <c r="AO142" s="57">
        <f>IFERROR(IF($V142="BRAND.com",HLOOKUP($X142&amp;$Z142,NWC_FC_NOOS!$T$4:$AH$23,MATCH(W142,NWC_FC_NOOS!$S$4:$S$23,0),FALSE),0),0)</f>
        <v>0</v>
      </c>
      <c r="AP142" s="57">
        <f>IFERROR(IF($V142="BRAND.com",HLOOKUP($X142&amp;$Z142,NWC_FC_NOOS!$C$50:$U$69,MATCH(W142,NWC_FC_NOOS!$B$50:$B$69,0),FALSE),0),0)</f>
        <v>0</v>
      </c>
      <c r="AQ142" s="58">
        <f>IFERROR(IF($V142="BRAND.com",HLOOKUP($X142&amp;$Z142,'NWC_FC_NON-NOOS'!$C$4:$Q$23,MATCH(W142,'NWC_FC_NON-NOOS'!$B$4:$B$23,0),FALSE),0),0)</f>
        <v>0</v>
      </c>
      <c r="AR142" s="57">
        <f>IFERROR(IF($V142="BRAND.com",HLOOKUP($X142&amp;$Z142,'NWC_FC_NON-NOOS'!$T$4:$AH$23,MATCH(W142,'NWC_FC_NON-NOOS'!$S$4:$S$23,0),FALSE),0),0)</f>
        <v>0</v>
      </c>
      <c r="AS142" s="57">
        <f>IFERROR(IF($V142="BRAND.com",HLOOKUP($X142&amp;$Z142,'NWC_FC_NON-NOOS'!$C$50:$U$69,MATCH(W142,'NWC_FC_NON-NOOS'!$B$50:$B$69,0),FALSE),0),0)</f>
        <v>0</v>
      </c>
      <c r="AT142" s="57">
        <f t="shared" si="72"/>
        <v>0</v>
      </c>
      <c r="AU142" s="57">
        <f t="shared" si="73"/>
        <v>0</v>
      </c>
      <c r="AV142" s="58">
        <f>IFERROR(IF($V142="BRAND.com",HLOOKUP($X142&amp;$Z142,PLANNING_FC!$BB$27:$BP$46,MATCH($W142,PLANNING_FC!$BA$27:$BA$46,0),FALSE),0),0)</f>
        <v>0</v>
      </c>
      <c r="AW142" s="58">
        <f>IFERROR(IF($V142="BRAND.com",HLOOKUP($X142&amp;$Z142,PLANNING_FC!$BB$4:$BP$23,MATCH($W142,PLANNING_FC!$BA$4:$BA$23,0),FALSE),0),0)</f>
        <v>0</v>
      </c>
      <c r="AX142" s="58">
        <f>IFERROR(IF($V142="BRAND.com",HLOOKUP($X142&amp;$Z142,PLANNING_FC!$T$27:$AH$46,MATCH($W142,PLANNING_FC!$B$27:$B$46,0),FALSE),0),0)</f>
        <v>0</v>
      </c>
      <c r="AY142" s="58">
        <f>IFERROR(IF($V142="BRAND.com",HLOOKUP($X142&amp;$Z142,PLANNING_FC!$T$4:$AH$23,MATCH($W142,PLANNING_FC!$B$4:$B$23,0),FALSE),0),0)</f>
        <v>0</v>
      </c>
      <c r="AZ142" s="58">
        <f>IFERROR(IF($V142="BRAND.com",HLOOKUP($X142&amp;$Z142,PLANNING_FC!$DA$27:$DO$46,MATCH($W142,PLANNING_FC!$CZ$27:$CZ$46,0),FALSE),0),0)</f>
        <v>0</v>
      </c>
      <c r="BA142" s="58">
        <f>IFERROR(IF($V142="BRAND.com",HLOOKUP($X142&amp;$Z142,PLANNING_FC!$DA$4:$DO$23,MATCH($W142,PLANNING_FC!$CZ$4:$CZ$23,0),FALSE),0),0)</f>
        <v>0</v>
      </c>
      <c r="BB142" s="883" t="str">
        <f>IF(V142="BRAND.com",IFERROR(HLOOKUP(X142&amp;Z142,PLANNING_FC!$AK$4:$AY$23,MATCH(W142,PLANNING_FC!$AJ$4:$AJ$23,0),FALSE)*1000,""),"")</f>
        <v/>
      </c>
      <c r="BC142" s="883" t="str">
        <f>IF(V142="BRAND.com",IFERROR(HLOOKUP(X142&amp;Z142,PLANNING_FC!$AK$27:$AY$46,MATCH(W142,PLANNING_FC!$AJ$27:$AJ$46,0),FALSE)*1000,""),"")</f>
        <v/>
      </c>
    </row>
    <row r="143" spans="1:55" x14ac:dyDescent="0.25">
      <c r="A143" s="509"/>
      <c r="B143" s="510"/>
      <c r="C143" s="509"/>
      <c r="D143" s="509"/>
      <c r="E143" s="509"/>
      <c r="F143" s="509"/>
      <c r="G143" s="509"/>
      <c r="H143" s="509"/>
      <c r="I143" s="512"/>
      <c r="J143" s="513"/>
      <c r="K143" s="879"/>
      <c r="L143" s="515"/>
      <c r="M143" s="516"/>
      <c r="N143" s="56">
        <f t="shared" si="74"/>
        <v>0</v>
      </c>
      <c r="O143" s="57">
        <f t="shared" si="75"/>
        <v>0</v>
      </c>
      <c r="P143" s="57">
        <f ca="1">IFERROR(IF(ISBLANK(H143),SUMIFS($AC:$AC,$V:$V,V143,$W:$W,W143,$X:$X,X143,$Y:$Y,Y143)*J143/(1-J143)*VLOOKUP(_xlfn.CONCAT(C143,D143,E143,TIME!$M$12,Z143),HIS_SALES!$B$2:$W$4859,20,FALSE),AC143*J143/(1-J143)),0)</f>
        <v>0</v>
      </c>
      <c r="Q143" s="541" t="str">
        <f t="shared" si="85"/>
        <v/>
      </c>
      <c r="R143" s="346" t="str">
        <f t="shared" si="65"/>
        <v>00000</v>
      </c>
      <c r="S143" s="344">
        <f t="shared" si="76"/>
        <v>0</v>
      </c>
      <c r="T143" s="345" t="str">
        <f t="shared" si="71"/>
        <v>000</v>
      </c>
      <c r="U143" s="345">
        <f t="shared" si="77"/>
        <v>0</v>
      </c>
      <c r="V143" s="345">
        <f t="shared" si="78"/>
        <v>0</v>
      </c>
      <c r="W143" s="345">
        <f t="shared" si="79"/>
        <v>0</v>
      </c>
      <c r="X143" s="345">
        <f t="shared" si="80"/>
        <v>0</v>
      </c>
      <c r="Y143" s="345">
        <f t="shared" si="81"/>
        <v>0</v>
      </c>
      <c r="Z143" s="345">
        <f>IF(Q143&lt;&gt;"",VLOOKUP(Y143,TIME!$R$21:$V$24,MATCH(FC_DATA!Q143,TIME!$R$20:$V$20,0),FALSE),H143)</f>
        <v>0</v>
      </c>
      <c r="AA143" s="345" t="str">
        <f>IFERROR(VLOOKUP(X143&amp;Z143,TIME!$A$12:$D$71,4,FALSE),"")</f>
        <v/>
      </c>
      <c r="AB143" s="592">
        <f t="shared" ca="1" si="66"/>
        <v>0</v>
      </c>
      <c r="AC143" s="593" t="e">
        <f ca="1">IF(ISBLANK(H143)=FALSE,IF(D143="BRAND.com",I143,IF(ISNA(VLOOKUP(_xlfn.CONCAT(X143,Z143),TIME!$M$40:$M$42,1,FALSE)),I143,VLOOKUP(_xlfn.CONCAT(D143,G143,H143),M_BUSAREA_FC!$AF$5:$AJ$10,5,FALSE)*HLOOKUP(_xlfn.CONCAT(F143,H143),ST_OVERVIEW!$G$99:$I$130,MATCH(_xlfn.CONCAT(D143,E143),ST_OVERVIEW!$F$99:$F$130,0),FALSE))),IF(D143="BRAND.com",VLOOKUP(_xlfn.CONCAT(C143,D143,E143,TIME!$F$1,Z143),HIS_SALES!$B$2:$V$4859,19,FALSE)*I143,VLOOKUP(_xlfn.CONCAT(D143,F143,G143),Q_BUSAREA_FC!$AE$5:$AI$12,5,FALSE)*HLOOKUP(_xlfn.CONCAT(FC_DATA!F143,FC_DATA!G143),LT_OVERVIEW!$I$99:$M$130,MATCH(_xlfn.CONCAT(D143,FC_DATA!E143),LT_OVERVIEW!$H$99:$H$130,0),FALSE)*IFERROR(VLOOKUP(_xlfn.CONCAT(C143,D143,E143,TIME!$F$1,Z143),HIS_SALES!$B$2:$V$4859,19,FALSE),0)))</f>
        <v>#N/A</v>
      </c>
      <c r="AD143" s="341">
        <f t="shared" ca="1" si="82"/>
        <v>0</v>
      </c>
      <c r="AE143" s="363" t="str">
        <f t="shared" si="83"/>
        <v/>
      </c>
      <c r="AF143" s="342" t="str">
        <f t="shared" si="84"/>
        <v/>
      </c>
      <c r="AG143" s="411" t="e">
        <f ca="1">VLOOKUP(_xlfn.CONCAT(U143,V143,W143,VLOOKUP(X143&amp;Y143,TIME!$L$27:$O$34,4,FALSE),Y143),HIS_SALES!$A$2:$R$5093,18,FALSE)</f>
        <v>#N/A</v>
      </c>
      <c r="AH143" s="412" t="e">
        <f ca="1">IFERROR(IF(AND(V143=V142,W143=W142),0.5*(AB143+AB142)*AG143,(VLOOKUP(_xlfn.CONCAT(U143,V143,W143,X143,VLOOKUP(Z143,TIME!$S$28:$T$39,2,FALSE)),FC_DATA!$R$2:$AB$5000,MATCH("GS_I_M",FC_DATA!$R$1:$AB$1,0),FALSE)+FC_DATA!AB143)*0.5*FC_DATA!AG143),NA())</f>
        <v>#N/A</v>
      </c>
      <c r="AI143" s="491" t="e">
        <f ca="1">IF(V143="PARTNER.com",AH143,IF(AND(V143=V142,W143=W142),(1-AVERAGE(AD142,AD143))*AH143,(1-AVERAGE(AD143,VLOOKUP(_xlfn.CONCAT(U143,V143,W143,X143,M_BRAND_FC!$F$6),FC_DATA!$R$2:$AD$5000,MATCH("DISCOUNT_%_M",FC_DATA!$R$1:$AD$1,0),FALSE)))*AH143))</f>
        <v>#N/A</v>
      </c>
      <c r="AJ143" s="412" t="str">
        <f t="shared" ca="1" si="68"/>
        <v/>
      </c>
      <c r="AK143" s="413" t="str">
        <f>IFERROR(AE143/(Q_BRAND_FC!$T$24+1),"")</f>
        <v/>
      </c>
      <c r="AL143" s="88" t="str">
        <f t="shared" ca="1" si="69"/>
        <v/>
      </c>
      <c r="AM143" s="414" t="str">
        <f t="shared" ca="1" si="70"/>
        <v/>
      </c>
      <c r="AN143" s="58">
        <f>IFERROR(IF($V143="BRAND.com",HLOOKUP($X143&amp;$Z143,NWC_FC_NOOS!$C$4:$Q$23,MATCH(W143,NWC_FC_NOOS!$B$4:$B$23,0),FALSE),0),0)</f>
        <v>0</v>
      </c>
      <c r="AO143" s="57">
        <f>IFERROR(IF($V143="BRAND.com",HLOOKUP($X143&amp;$Z143,NWC_FC_NOOS!$T$4:$AH$23,MATCH(W143,NWC_FC_NOOS!$S$4:$S$23,0),FALSE),0),0)</f>
        <v>0</v>
      </c>
      <c r="AP143" s="57">
        <f>IFERROR(IF($V143="BRAND.com",HLOOKUP($X143&amp;$Z143,NWC_FC_NOOS!$C$50:$U$69,MATCH(W143,NWC_FC_NOOS!$B$50:$B$69,0),FALSE),0),0)</f>
        <v>0</v>
      </c>
      <c r="AQ143" s="58">
        <f>IFERROR(IF($V143="BRAND.com",HLOOKUP($X143&amp;$Z143,'NWC_FC_NON-NOOS'!$C$4:$Q$23,MATCH(W143,'NWC_FC_NON-NOOS'!$B$4:$B$23,0),FALSE),0),0)</f>
        <v>0</v>
      </c>
      <c r="AR143" s="57">
        <f>IFERROR(IF($V143="BRAND.com",HLOOKUP($X143&amp;$Z143,'NWC_FC_NON-NOOS'!$T$4:$AH$23,MATCH(W143,'NWC_FC_NON-NOOS'!$S$4:$S$23,0),FALSE),0),0)</f>
        <v>0</v>
      </c>
      <c r="AS143" s="57">
        <f>IFERROR(IF($V143="BRAND.com",HLOOKUP($X143&amp;$Z143,'NWC_FC_NON-NOOS'!$C$50:$U$69,MATCH(W143,'NWC_FC_NON-NOOS'!$B$50:$B$69,0),FALSE),0),0)</f>
        <v>0</v>
      </c>
      <c r="AT143" s="57">
        <f t="shared" si="72"/>
        <v>0</v>
      </c>
      <c r="AU143" s="57">
        <f t="shared" si="73"/>
        <v>0</v>
      </c>
      <c r="AV143" s="58">
        <f>IFERROR(IF($V143="BRAND.com",HLOOKUP($X143&amp;$Z143,PLANNING_FC!$BB$27:$BP$46,MATCH($W143,PLANNING_FC!$BA$27:$BA$46,0),FALSE),0),0)</f>
        <v>0</v>
      </c>
      <c r="AW143" s="58">
        <f>IFERROR(IF($V143="BRAND.com",HLOOKUP($X143&amp;$Z143,PLANNING_FC!$BB$4:$BP$23,MATCH($W143,PLANNING_FC!$BA$4:$BA$23,0),FALSE),0),0)</f>
        <v>0</v>
      </c>
      <c r="AX143" s="58">
        <f>IFERROR(IF($V143="BRAND.com",HLOOKUP($X143&amp;$Z143,PLANNING_FC!$T$27:$AH$46,MATCH($W143,PLANNING_FC!$B$27:$B$46,0),FALSE),0),0)</f>
        <v>0</v>
      </c>
      <c r="AY143" s="58">
        <f>IFERROR(IF($V143="BRAND.com",HLOOKUP($X143&amp;$Z143,PLANNING_FC!$T$4:$AH$23,MATCH($W143,PLANNING_FC!$B$4:$B$23,0),FALSE),0),0)</f>
        <v>0</v>
      </c>
      <c r="AZ143" s="58">
        <f>IFERROR(IF($V143="BRAND.com",HLOOKUP($X143&amp;$Z143,PLANNING_FC!$DA$27:$DO$46,MATCH($W143,PLANNING_FC!$CZ$27:$CZ$46,0),FALSE),0),0)</f>
        <v>0</v>
      </c>
      <c r="BA143" s="58">
        <f>IFERROR(IF($V143="BRAND.com",HLOOKUP($X143&amp;$Z143,PLANNING_FC!$DA$4:$DO$23,MATCH($W143,PLANNING_FC!$CZ$4:$CZ$23,0),FALSE),0),0)</f>
        <v>0</v>
      </c>
      <c r="BB143" s="883" t="str">
        <f>IF(V143="BRAND.com",IFERROR(HLOOKUP(X143&amp;Z143,PLANNING_FC!$AK$4:$AY$23,MATCH(W143,PLANNING_FC!$AJ$4:$AJ$23,0),FALSE)*1000,""),"")</f>
        <v/>
      </c>
      <c r="BC143" s="883" t="str">
        <f>IF(V143="BRAND.com",IFERROR(HLOOKUP(X143&amp;Z143,PLANNING_FC!$AK$27:$AY$46,MATCH(W143,PLANNING_FC!$AJ$27:$AJ$46,0),FALSE)*1000,""),"")</f>
        <v/>
      </c>
    </row>
    <row r="144" spans="1:55" x14ac:dyDescent="0.25">
      <c r="A144" s="509"/>
      <c r="B144" s="510"/>
      <c r="C144" s="509"/>
      <c r="D144" s="509"/>
      <c r="E144" s="509"/>
      <c r="F144" s="509"/>
      <c r="G144" s="509"/>
      <c r="H144" s="509"/>
      <c r="I144" s="512"/>
      <c r="J144" s="513"/>
      <c r="K144" s="879"/>
      <c r="L144" s="515"/>
      <c r="M144" s="516"/>
      <c r="N144" s="56">
        <f t="shared" si="74"/>
        <v>0</v>
      </c>
      <c r="O144" s="57">
        <f t="shared" si="75"/>
        <v>0</v>
      </c>
      <c r="P144" s="57">
        <f ca="1">IFERROR(IF(ISBLANK(H144),SUMIFS($AC:$AC,$V:$V,V144,$W:$W,W144,$X:$X,X144,$Y:$Y,Y144)*J144/(1-J144)*VLOOKUP(_xlfn.CONCAT(C144,D144,E144,TIME!$M$12,Z144),HIS_SALES!$B$2:$W$4859,20,FALSE),AC144*J144/(1-J144)),0)</f>
        <v>0</v>
      </c>
      <c r="Q144" s="541" t="str">
        <f t="shared" si="85"/>
        <v/>
      </c>
      <c r="R144" s="346" t="str">
        <f t="shared" si="65"/>
        <v>00000</v>
      </c>
      <c r="S144" s="344">
        <f t="shared" si="76"/>
        <v>0</v>
      </c>
      <c r="T144" s="345" t="str">
        <f t="shared" si="71"/>
        <v>000</v>
      </c>
      <c r="U144" s="345">
        <f t="shared" si="77"/>
        <v>0</v>
      </c>
      <c r="V144" s="345">
        <f t="shared" si="78"/>
        <v>0</v>
      </c>
      <c r="W144" s="345">
        <f t="shared" si="79"/>
        <v>0</v>
      </c>
      <c r="X144" s="345">
        <f t="shared" si="80"/>
        <v>0</v>
      </c>
      <c r="Y144" s="345">
        <f t="shared" si="81"/>
        <v>0</v>
      </c>
      <c r="Z144" s="345">
        <f>IF(Q144&lt;&gt;"",VLOOKUP(Y144,TIME!$R$21:$V$24,MATCH(FC_DATA!Q144,TIME!$R$20:$V$20,0),FALSE),H144)</f>
        <v>0</v>
      </c>
      <c r="AA144" s="345" t="str">
        <f>IFERROR(VLOOKUP(X144&amp;Z144,TIME!$A$12:$D$71,4,FALSE),"")</f>
        <v/>
      </c>
      <c r="AB144" s="592">
        <f t="shared" ca="1" si="66"/>
        <v>0</v>
      </c>
      <c r="AC144" s="593" t="e">
        <f ca="1">IF(ISBLANK(H144)=FALSE,IF(D144="BRAND.com",I144,IF(ISNA(VLOOKUP(_xlfn.CONCAT(X144,Z144),TIME!$M$40:$M$42,1,FALSE)),I144,VLOOKUP(_xlfn.CONCAT(D144,G144,H144),M_BUSAREA_FC!$AF$5:$AJ$10,5,FALSE)*HLOOKUP(_xlfn.CONCAT(F144,H144),ST_OVERVIEW!$G$99:$I$130,MATCH(_xlfn.CONCAT(D144,E144),ST_OVERVIEW!$F$99:$F$130,0),FALSE))),IF(D144="BRAND.com",VLOOKUP(_xlfn.CONCAT(C144,D144,E144,TIME!$F$1,Z144),HIS_SALES!$B$2:$V$4859,19,FALSE)*I144,VLOOKUP(_xlfn.CONCAT(D144,F144,G144),Q_BUSAREA_FC!$AE$5:$AI$12,5,FALSE)*HLOOKUP(_xlfn.CONCAT(FC_DATA!F144,FC_DATA!G144),LT_OVERVIEW!$I$99:$M$130,MATCH(_xlfn.CONCAT(D144,FC_DATA!E144),LT_OVERVIEW!$H$99:$H$130,0),FALSE)*IFERROR(VLOOKUP(_xlfn.CONCAT(C144,D144,E144,TIME!$F$1,Z144),HIS_SALES!$B$2:$V$4859,19,FALSE),0)))</f>
        <v>#N/A</v>
      </c>
      <c r="AD144" s="341">
        <f t="shared" ca="1" si="82"/>
        <v>0</v>
      </c>
      <c r="AE144" s="363" t="str">
        <f t="shared" si="83"/>
        <v/>
      </c>
      <c r="AF144" s="342" t="str">
        <f t="shared" si="84"/>
        <v/>
      </c>
      <c r="AG144" s="411" t="e">
        <f ca="1">VLOOKUP(_xlfn.CONCAT(U144,V144,W144,VLOOKUP(X144&amp;Y144,TIME!$L$27:$O$34,4,FALSE),Y144),HIS_SALES!$A$2:$R$5093,18,FALSE)</f>
        <v>#N/A</v>
      </c>
      <c r="AH144" s="412" t="e">
        <f ca="1">IFERROR(IF(AND(V144=V143,W144=W143),0.5*(AB144+AB143)*AG144,(VLOOKUP(_xlfn.CONCAT(U144,V144,W144,X144,VLOOKUP(Z144,TIME!$S$28:$T$39,2,FALSE)),FC_DATA!$R$2:$AB$5000,MATCH("GS_I_M",FC_DATA!$R$1:$AB$1,0),FALSE)+FC_DATA!AB144)*0.5*FC_DATA!AG144),NA())</f>
        <v>#N/A</v>
      </c>
      <c r="AI144" s="491" t="e">
        <f ca="1">IF(V144="PARTNER.com",AH144,IF(AND(V144=V143,W144=W143),(1-AVERAGE(AD143,AD144))*AH144,(1-AVERAGE(AD144,VLOOKUP(_xlfn.CONCAT(U144,V144,W144,X144,M_BRAND_FC!$F$6),FC_DATA!$R$2:$AD$5000,MATCH("DISCOUNT_%_M",FC_DATA!$R$1:$AD$1,0),FALSE)))*AH144))</f>
        <v>#N/A</v>
      </c>
      <c r="AJ144" s="412" t="str">
        <f t="shared" ca="1" si="68"/>
        <v/>
      </c>
      <c r="AK144" s="413" t="str">
        <f>IFERROR(AE144/(Q_BRAND_FC!$T$24+1),"")</f>
        <v/>
      </c>
      <c r="AL144" s="88" t="str">
        <f t="shared" ca="1" si="69"/>
        <v/>
      </c>
      <c r="AM144" s="414" t="str">
        <f t="shared" ca="1" si="70"/>
        <v/>
      </c>
      <c r="AN144" s="58">
        <f>IFERROR(IF($V144="BRAND.com",HLOOKUP($X144&amp;$Z144,NWC_FC_NOOS!$C$4:$Q$23,MATCH(W144,NWC_FC_NOOS!$B$4:$B$23,0),FALSE),0),0)</f>
        <v>0</v>
      </c>
      <c r="AO144" s="57">
        <f>IFERROR(IF($V144="BRAND.com",HLOOKUP($X144&amp;$Z144,NWC_FC_NOOS!$T$4:$AH$23,MATCH(W144,NWC_FC_NOOS!$S$4:$S$23,0),FALSE),0),0)</f>
        <v>0</v>
      </c>
      <c r="AP144" s="57">
        <f>IFERROR(IF($V144="BRAND.com",HLOOKUP($X144&amp;$Z144,NWC_FC_NOOS!$C$50:$U$69,MATCH(W144,NWC_FC_NOOS!$B$50:$B$69,0),FALSE),0),0)</f>
        <v>0</v>
      </c>
      <c r="AQ144" s="58">
        <f>IFERROR(IF($V144="BRAND.com",HLOOKUP($X144&amp;$Z144,'NWC_FC_NON-NOOS'!$C$4:$Q$23,MATCH(W144,'NWC_FC_NON-NOOS'!$B$4:$B$23,0),FALSE),0),0)</f>
        <v>0</v>
      </c>
      <c r="AR144" s="57">
        <f>IFERROR(IF($V144="BRAND.com",HLOOKUP($X144&amp;$Z144,'NWC_FC_NON-NOOS'!$T$4:$AH$23,MATCH(W144,'NWC_FC_NON-NOOS'!$S$4:$S$23,0),FALSE),0),0)</f>
        <v>0</v>
      </c>
      <c r="AS144" s="57">
        <f>IFERROR(IF($V144="BRAND.com",HLOOKUP($X144&amp;$Z144,'NWC_FC_NON-NOOS'!$C$50:$U$69,MATCH(W144,'NWC_FC_NON-NOOS'!$B$50:$B$69,0),FALSE),0),0)</f>
        <v>0</v>
      </c>
      <c r="AT144" s="57">
        <f t="shared" si="72"/>
        <v>0</v>
      </c>
      <c r="AU144" s="57">
        <f t="shared" si="73"/>
        <v>0</v>
      </c>
      <c r="AV144" s="58">
        <f>IFERROR(IF($V144="BRAND.com",HLOOKUP($X144&amp;$Z144,PLANNING_FC!$BB$27:$BP$46,MATCH($W144,PLANNING_FC!$BA$27:$BA$46,0),FALSE),0),0)</f>
        <v>0</v>
      </c>
      <c r="AW144" s="58">
        <f>IFERROR(IF($V144="BRAND.com",HLOOKUP($X144&amp;$Z144,PLANNING_FC!$BB$4:$BP$23,MATCH($W144,PLANNING_FC!$BA$4:$BA$23,0),FALSE),0),0)</f>
        <v>0</v>
      </c>
      <c r="AX144" s="58">
        <f>IFERROR(IF($V144="BRAND.com",HLOOKUP($X144&amp;$Z144,PLANNING_FC!$T$27:$AH$46,MATCH($W144,PLANNING_FC!$B$27:$B$46,0),FALSE),0),0)</f>
        <v>0</v>
      </c>
      <c r="AY144" s="58">
        <f>IFERROR(IF($V144="BRAND.com",HLOOKUP($X144&amp;$Z144,PLANNING_FC!$T$4:$AH$23,MATCH($W144,PLANNING_FC!$B$4:$B$23,0),FALSE),0),0)</f>
        <v>0</v>
      </c>
      <c r="AZ144" s="58">
        <f>IFERROR(IF($V144="BRAND.com",HLOOKUP($X144&amp;$Z144,PLANNING_FC!$DA$27:$DO$46,MATCH($W144,PLANNING_FC!$CZ$27:$CZ$46,0),FALSE),0),0)</f>
        <v>0</v>
      </c>
      <c r="BA144" s="58">
        <f>IFERROR(IF($V144="BRAND.com",HLOOKUP($X144&amp;$Z144,PLANNING_FC!$DA$4:$DO$23,MATCH($W144,PLANNING_FC!$CZ$4:$CZ$23,0),FALSE),0),0)</f>
        <v>0</v>
      </c>
      <c r="BB144" s="883" t="str">
        <f>IF(V144="BRAND.com",IFERROR(HLOOKUP(X144&amp;Z144,PLANNING_FC!$AK$4:$AY$23,MATCH(W144,PLANNING_FC!$AJ$4:$AJ$23,0),FALSE)*1000,""),"")</f>
        <v/>
      </c>
      <c r="BC144" s="883" t="str">
        <f>IF(V144="BRAND.com",IFERROR(HLOOKUP(X144&amp;Z144,PLANNING_FC!$AK$27:$AY$46,MATCH(W144,PLANNING_FC!$AJ$27:$AJ$46,0),FALSE)*1000,""),"")</f>
        <v/>
      </c>
    </row>
    <row r="145" spans="1:55" x14ac:dyDescent="0.25">
      <c r="A145" s="509"/>
      <c r="B145" s="510"/>
      <c r="C145" s="509"/>
      <c r="D145" s="509"/>
      <c r="E145" s="509"/>
      <c r="F145" s="509"/>
      <c r="G145" s="509"/>
      <c r="H145" s="509"/>
      <c r="I145" s="512"/>
      <c r="J145" s="513"/>
      <c r="K145" s="879"/>
      <c r="L145" s="515"/>
      <c r="M145" s="516"/>
      <c r="N145" s="56">
        <f t="shared" si="74"/>
        <v>0</v>
      </c>
      <c r="O145" s="57">
        <f t="shared" si="75"/>
        <v>0</v>
      </c>
      <c r="P145" s="57">
        <f ca="1">IFERROR(IF(ISBLANK(H145),SUMIFS($AC:$AC,$V:$V,V145,$W:$W,W145,$X:$X,X145,$Y:$Y,Y145)*J145/(1-J145)*VLOOKUP(_xlfn.CONCAT(C145,D145,E145,TIME!$M$12,Z145),HIS_SALES!$B$2:$W$4859,20,FALSE),AC145*J145/(1-J145)),0)</f>
        <v>0</v>
      </c>
      <c r="Q145" s="541" t="str">
        <f t="shared" si="85"/>
        <v/>
      </c>
      <c r="R145" s="346" t="str">
        <f t="shared" si="65"/>
        <v>00000</v>
      </c>
      <c r="S145" s="344">
        <f t="shared" si="76"/>
        <v>0</v>
      </c>
      <c r="T145" s="345" t="str">
        <f t="shared" si="71"/>
        <v>000</v>
      </c>
      <c r="U145" s="345">
        <f t="shared" si="77"/>
        <v>0</v>
      </c>
      <c r="V145" s="345">
        <f t="shared" si="78"/>
        <v>0</v>
      </c>
      <c r="W145" s="345">
        <f t="shared" si="79"/>
        <v>0</v>
      </c>
      <c r="X145" s="345">
        <f t="shared" si="80"/>
        <v>0</v>
      </c>
      <c r="Y145" s="345">
        <f t="shared" si="81"/>
        <v>0</v>
      </c>
      <c r="Z145" s="345">
        <f>IF(Q145&lt;&gt;"",VLOOKUP(Y145,TIME!$R$21:$V$24,MATCH(FC_DATA!Q145,TIME!$R$20:$V$20,0),FALSE),H145)</f>
        <v>0</v>
      </c>
      <c r="AA145" s="345" t="str">
        <f>IFERROR(VLOOKUP(X145&amp;Z145,TIME!$A$12:$D$71,4,FALSE),"")</f>
        <v/>
      </c>
      <c r="AB145" s="592">
        <f t="shared" ca="1" si="66"/>
        <v>0</v>
      </c>
      <c r="AC145" s="593" t="e">
        <f ca="1">IF(ISBLANK(H145)=FALSE,IF(D145="BRAND.com",I145,IF(ISNA(VLOOKUP(_xlfn.CONCAT(X145,Z145),TIME!$M$40:$M$42,1,FALSE)),I145,VLOOKUP(_xlfn.CONCAT(D145,G145,H145),M_BUSAREA_FC!$AF$5:$AJ$10,5,FALSE)*HLOOKUP(_xlfn.CONCAT(F145,H145),ST_OVERVIEW!$G$99:$I$130,MATCH(_xlfn.CONCAT(D145,E145),ST_OVERVIEW!$F$99:$F$130,0),FALSE))),IF(D145="BRAND.com",VLOOKUP(_xlfn.CONCAT(C145,D145,E145,TIME!$F$1,Z145),HIS_SALES!$B$2:$V$4859,19,FALSE)*I145,VLOOKUP(_xlfn.CONCAT(D145,F145,G145),Q_BUSAREA_FC!$AE$5:$AI$12,5,FALSE)*HLOOKUP(_xlfn.CONCAT(FC_DATA!F145,FC_DATA!G145),LT_OVERVIEW!$I$99:$M$130,MATCH(_xlfn.CONCAT(D145,FC_DATA!E145),LT_OVERVIEW!$H$99:$H$130,0),FALSE)*IFERROR(VLOOKUP(_xlfn.CONCAT(C145,D145,E145,TIME!$F$1,Z145),HIS_SALES!$B$2:$V$4859,19,FALSE),0)))</f>
        <v>#N/A</v>
      </c>
      <c r="AD145" s="341">
        <f t="shared" ca="1" si="82"/>
        <v>0</v>
      </c>
      <c r="AE145" s="363" t="str">
        <f t="shared" si="83"/>
        <v/>
      </c>
      <c r="AF145" s="342" t="str">
        <f t="shared" si="84"/>
        <v/>
      </c>
      <c r="AG145" s="411" t="e">
        <f ca="1">VLOOKUP(_xlfn.CONCAT(U145,V145,W145,VLOOKUP(X145&amp;Y145,TIME!$L$27:$O$34,4,FALSE),Y145),HIS_SALES!$A$2:$R$5093,18,FALSE)</f>
        <v>#N/A</v>
      </c>
      <c r="AH145" s="412" t="e">
        <f ca="1">IFERROR(IF(AND(V145=V144,W145=W144),0.5*(AB145+AB144)*AG145,(VLOOKUP(_xlfn.CONCAT(U145,V145,W145,X145,VLOOKUP(Z145,TIME!$S$28:$T$39,2,FALSE)),FC_DATA!$R$2:$AB$5000,MATCH("GS_I_M",FC_DATA!$R$1:$AB$1,0),FALSE)+FC_DATA!AB145)*0.5*FC_DATA!AG145),NA())</f>
        <v>#N/A</v>
      </c>
      <c r="AI145" s="491" t="e">
        <f ca="1">IF(V145="PARTNER.com",AH145,IF(AND(V145=V144,W145=W144),(1-AVERAGE(AD144,AD145))*AH145,(1-AVERAGE(AD145,VLOOKUP(_xlfn.CONCAT(U145,V145,W145,X145,M_BRAND_FC!$F$6),FC_DATA!$R$2:$AD$5000,MATCH("DISCOUNT_%_M",FC_DATA!$R$1:$AD$1,0),FALSE)))*AH145))</f>
        <v>#N/A</v>
      </c>
      <c r="AJ145" s="412" t="str">
        <f t="shared" ca="1" si="68"/>
        <v/>
      </c>
      <c r="AK145" s="413" t="str">
        <f>IFERROR(AE145/(Q_BRAND_FC!$T$24+1),"")</f>
        <v/>
      </c>
      <c r="AL145" s="88" t="str">
        <f t="shared" ca="1" si="69"/>
        <v/>
      </c>
      <c r="AM145" s="414" t="str">
        <f t="shared" ca="1" si="70"/>
        <v/>
      </c>
      <c r="AN145" s="58">
        <f>IFERROR(IF($V145="BRAND.com",HLOOKUP($X145&amp;$Z145,NWC_FC_NOOS!$C$4:$Q$23,MATCH(W145,NWC_FC_NOOS!$B$4:$B$23,0),FALSE),0),0)</f>
        <v>0</v>
      </c>
      <c r="AO145" s="57">
        <f>IFERROR(IF($V145="BRAND.com",HLOOKUP($X145&amp;$Z145,NWC_FC_NOOS!$T$4:$AH$23,MATCH(W145,NWC_FC_NOOS!$S$4:$S$23,0),FALSE),0),0)</f>
        <v>0</v>
      </c>
      <c r="AP145" s="57">
        <f>IFERROR(IF($V145="BRAND.com",HLOOKUP($X145&amp;$Z145,NWC_FC_NOOS!$C$50:$U$69,MATCH(W145,NWC_FC_NOOS!$B$50:$B$69,0),FALSE),0),0)</f>
        <v>0</v>
      </c>
      <c r="AQ145" s="58">
        <f>IFERROR(IF($V145="BRAND.com",HLOOKUP($X145&amp;$Z145,'NWC_FC_NON-NOOS'!$C$4:$Q$23,MATCH(W145,'NWC_FC_NON-NOOS'!$B$4:$B$23,0),FALSE),0),0)</f>
        <v>0</v>
      </c>
      <c r="AR145" s="57">
        <f>IFERROR(IF($V145="BRAND.com",HLOOKUP($X145&amp;$Z145,'NWC_FC_NON-NOOS'!$T$4:$AH$23,MATCH(W145,'NWC_FC_NON-NOOS'!$S$4:$S$23,0),FALSE),0),0)</f>
        <v>0</v>
      </c>
      <c r="AS145" s="57">
        <f>IFERROR(IF($V145="BRAND.com",HLOOKUP($X145&amp;$Z145,'NWC_FC_NON-NOOS'!$C$50:$U$69,MATCH(W145,'NWC_FC_NON-NOOS'!$B$50:$B$69,0),FALSE),0),0)</f>
        <v>0</v>
      </c>
      <c r="AT145" s="57">
        <f t="shared" si="72"/>
        <v>0</v>
      </c>
      <c r="AU145" s="57">
        <f t="shared" si="73"/>
        <v>0</v>
      </c>
      <c r="AV145" s="58">
        <f>IFERROR(IF($V145="BRAND.com",HLOOKUP($X145&amp;$Z145,PLANNING_FC!$BB$27:$BP$46,MATCH($W145,PLANNING_FC!$BA$27:$BA$46,0),FALSE),0),0)</f>
        <v>0</v>
      </c>
      <c r="AW145" s="58">
        <f>IFERROR(IF($V145="BRAND.com",HLOOKUP($X145&amp;$Z145,PLANNING_FC!$BB$4:$BP$23,MATCH($W145,PLANNING_FC!$BA$4:$BA$23,0),FALSE),0),0)</f>
        <v>0</v>
      </c>
      <c r="AX145" s="58">
        <f>IFERROR(IF($V145="BRAND.com",HLOOKUP($X145&amp;$Z145,PLANNING_FC!$T$27:$AH$46,MATCH($W145,PLANNING_FC!$B$27:$B$46,0),FALSE),0),0)</f>
        <v>0</v>
      </c>
      <c r="AY145" s="58">
        <f>IFERROR(IF($V145="BRAND.com",HLOOKUP($X145&amp;$Z145,PLANNING_FC!$T$4:$AH$23,MATCH($W145,PLANNING_FC!$B$4:$B$23,0),FALSE),0),0)</f>
        <v>0</v>
      </c>
      <c r="AZ145" s="58">
        <f>IFERROR(IF($V145="BRAND.com",HLOOKUP($X145&amp;$Z145,PLANNING_FC!$DA$27:$DO$46,MATCH($W145,PLANNING_FC!$CZ$27:$CZ$46,0),FALSE),0),0)</f>
        <v>0</v>
      </c>
      <c r="BA145" s="58">
        <f>IFERROR(IF($V145="BRAND.com",HLOOKUP($X145&amp;$Z145,PLANNING_FC!$DA$4:$DO$23,MATCH($W145,PLANNING_FC!$CZ$4:$CZ$23,0),FALSE),0),0)</f>
        <v>0</v>
      </c>
      <c r="BB145" s="883" t="str">
        <f>IF(V145="BRAND.com",IFERROR(HLOOKUP(X145&amp;Z145,PLANNING_FC!$AK$4:$AY$23,MATCH(W145,PLANNING_FC!$AJ$4:$AJ$23,0),FALSE)*1000,""),"")</f>
        <v/>
      </c>
      <c r="BC145" s="883" t="str">
        <f>IF(V145="BRAND.com",IFERROR(HLOOKUP(X145&amp;Z145,PLANNING_FC!$AK$27:$AY$46,MATCH(W145,PLANNING_FC!$AJ$27:$AJ$46,0),FALSE)*1000,""),"")</f>
        <v/>
      </c>
    </row>
    <row r="146" spans="1:55" x14ac:dyDescent="0.25">
      <c r="A146" s="509"/>
      <c r="B146" s="510"/>
      <c r="C146" s="509"/>
      <c r="D146" s="509"/>
      <c r="E146" s="509"/>
      <c r="F146" s="509"/>
      <c r="G146" s="509"/>
      <c r="H146" s="509"/>
      <c r="I146" s="512"/>
      <c r="J146" s="513"/>
      <c r="K146" s="879"/>
      <c r="L146" s="515"/>
      <c r="M146" s="516"/>
      <c r="N146" s="56">
        <f t="shared" si="74"/>
        <v>0</v>
      </c>
      <c r="O146" s="57">
        <f t="shared" si="75"/>
        <v>0</v>
      </c>
      <c r="P146" s="57">
        <f ca="1">IFERROR(IF(ISBLANK(H146),SUMIFS($AC:$AC,$V:$V,V146,$W:$W,W146,$X:$X,X146,$Y:$Y,Y146)*J146/(1-J146)*VLOOKUP(_xlfn.CONCAT(C146,D146,E146,TIME!$M$12,Z146),HIS_SALES!$B$2:$W$4859,20,FALSE),AC146*J146/(1-J146)),0)</f>
        <v>0</v>
      </c>
      <c r="Q146" s="541" t="str">
        <f t="shared" si="85"/>
        <v/>
      </c>
      <c r="R146" s="346" t="str">
        <f t="shared" si="65"/>
        <v>00000</v>
      </c>
      <c r="S146" s="344">
        <f t="shared" si="76"/>
        <v>0</v>
      </c>
      <c r="T146" s="345" t="str">
        <f t="shared" si="71"/>
        <v>000</v>
      </c>
      <c r="U146" s="345">
        <f t="shared" si="77"/>
        <v>0</v>
      </c>
      <c r="V146" s="345">
        <f t="shared" si="78"/>
        <v>0</v>
      </c>
      <c r="W146" s="345">
        <f t="shared" si="79"/>
        <v>0</v>
      </c>
      <c r="X146" s="345">
        <f t="shared" si="80"/>
        <v>0</v>
      </c>
      <c r="Y146" s="345">
        <f t="shared" si="81"/>
        <v>0</v>
      </c>
      <c r="Z146" s="345">
        <f>IF(Q146&lt;&gt;"",VLOOKUP(Y146,TIME!$R$21:$V$24,MATCH(FC_DATA!Q146,TIME!$R$20:$V$20,0),FALSE),H146)</f>
        <v>0</v>
      </c>
      <c r="AA146" s="345" t="str">
        <f>IFERROR(VLOOKUP(X146&amp;Z146,TIME!$A$12:$D$71,4,FALSE),"")</f>
        <v/>
      </c>
      <c r="AB146" s="592">
        <f t="shared" ca="1" si="66"/>
        <v>0</v>
      </c>
      <c r="AC146" s="593" t="e">
        <f ca="1">IF(ISBLANK(H146)=FALSE,IF(D146="BRAND.com",I146,IF(ISNA(VLOOKUP(_xlfn.CONCAT(X146,Z146),TIME!$M$40:$M$42,1,FALSE)),I146,VLOOKUP(_xlfn.CONCAT(D146,G146,H146),M_BUSAREA_FC!$AF$5:$AJ$10,5,FALSE)*HLOOKUP(_xlfn.CONCAT(F146,H146),ST_OVERVIEW!$G$99:$I$130,MATCH(_xlfn.CONCAT(D146,E146),ST_OVERVIEW!$F$99:$F$130,0),FALSE))),IF(D146="BRAND.com",VLOOKUP(_xlfn.CONCAT(C146,D146,E146,TIME!$F$1,Z146),HIS_SALES!$B$2:$V$4859,19,FALSE)*I146,VLOOKUP(_xlfn.CONCAT(D146,F146,G146),Q_BUSAREA_FC!$AE$5:$AI$12,5,FALSE)*HLOOKUP(_xlfn.CONCAT(FC_DATA!F146,FC_DATA!G146),LT_OVERVIEW!$I$99:$M$130,MATCH(_xlfn.CONCAT(D146,FC_DATA!E146),LT_OVERVIEW!$H$99:$H$130,0),FALSE)*IFERROR(VLOOKUP(_xlfn.CONCAT(C146,D146,E146,TIME!$F$1,Z146),HIS_SALES!$B$2:$V$4859,19,FALSE),0)))</f>
        <v>#N/A</v>
      </c>
      <c r="AD146" s="341">
        <f t="shared" ca="1" si="82"/>
        <v>0</v>
      </c>
      <c r="AE146" s="363" t="str">
        <f t="shared" si="83"/>
        <v/>
      </c>
      <c r="AF146" s="342" t="str">
        <f t="shared" si="84"/>
        <v/>
      </c>
      <c r="AG146" s="411" t="e">
        <f ca="1">VLOOKUP(_xlfn.CONCAT(U146,V146,W146,VLOOKUP(X146&amp;Y146,TIME!$L$27:$O$34,4,FALSE),Y146),HIS_SALES!$A$2:$R$5093,18,FALSE)</f>
        <v>#N/A</v>
      </c>
      <c r="AH146" s="412" t="e">
        <f ca="1">IFERROR(IF(AND(V146=V145,W146=W145),0.5*(AB146+AB145)*AG146,(VLOOKUP(_xlfn.CONCAT(U146,V146,W146,X146,VLOOKUP(Z146,TIME!$S$28:$T$39,2,FALSE)),FC_DATA!$R$2:$AB$5000,MATCH("GS_I_M",FC_DATA!$R$1:$AB$1,0),FALSE)+FC_DATA!AB146)*0.5*FC_DATA!AG146),NA())</f>
        <v>#N/A</v>
      </c>
      <c r="AI146" s="491" t="e">
        <f ca="1">IF(V146="PARTNER.com",AH146,IF(AND(V146=V145,W146=W145),(1-AVERAGE(AD145,AD146))*AH146,(1-AVERAGE(AD146,VLOOKUP(_xlfn.CONCAT(U146,V146,W146,X146,M_BRAND_FC!$F$6),FC_DATA!$R$2:$AD$5000,MATCH("DISCOUNT_%_M",FC_DATA!$R$1:$AD$1,0),FALSE)))*AH146))</f>
        <v>#N/A</v>
      </c>
      <c r="AJ146" s="412" t="str">
        <f t="shared" ca="1" si="68"/>
        <v/>
      </c>
      <c r="AK146" s="413" t="str">
        <f>IFERROR(AE146/(Q_BRAND_FC!$T$24+1),"")</f>
        <v/>
      </c>
      <c r="AL146" s="88" t="str">
        <f t="shared" ca="1" si="69"/>
        <v/>
      </c>
      <c r="AM146" s="414" t="str">
        <f t="shared" ca="1" si="70"/>
        <v/>
      </c>
      <c r="AN146" s="58">
        <f>IFERROR(IF($V146="BRAND.com",HLOOKUP($X146&amp;$Z146,NWC_FC_NOOS!$C$4:$Q$23,MATCH(W146,NWC_FC_NOOS!$B$4:$B$23,0),FALSE),0),0)</f>
        <v>0</v>
      </c>
      <c r="AO146" s="57">
        <f>IFERROR(IF($V146="BRAND.com",HLOOKUP($X146&amp;$Z146,NWC_FC_NOOS!$T$4:$AH$23,MATCH(W146,NWC_FC_NOOS!$S$4:$S$23,0),FALSE),0),0)</f>
        <v>0</v>
      </c>
      <c r="AP146" s="57">
        <f>IFERROR(IF($V146="BRAND.com",HLOOKUP($X146&amp;$Z146,NWC_FC_NOOS!$C$50:$U$69,MATCH(W146,NWC_FC_NOOS!$B$50:$B$69,0),FALSE),0),0)</f>
        <v>0</v>
      </c>
      <c r="AQ146" s="58">
        <f>IFERROR(IF($V146="BRAND.com",HLOOKUP($X146&amp;$Z146,'NWC_FC_NON-NOOS'!$C$4:$Q$23,MATCH(W146,'NWC_FC_NON-NOOS'!$B$4:$B$23,0),FALSE),0),0)</f>
        <v>0</v>
      </c>
      <c r="AR146" s="57">
        <f>IFERROR(IF($V146="BRAND.com",HLOOKUP($X146&amp;$Z146,'NWC_FC_NON-NOOS'!$T$4:$AH$23,MATCH(W146,'NWC_FC_NON-NOOS'!$S$4:$S$23,0),FALSE),0),0)</f>
        <v>0</v>
      </c>
      <c r="AS146" s="57">
        <f>IFERROR(IF($V146="BRAND.com",HLOOKUP($X146&amp;$Z146,'NWC_FC_NON-NOOS'!$C$50:$U$69,MATCH(W146,'NWC_FC_NON-NOOS'!$B$50:$B$69,0),FALSE),0),0)</f>
        <v>0</v>
      </c>
      <c r="AT146" s="57">
        <f t="shared" si="72"/>
        <v>0</v>
      </c>
      <c r="AU146" s="57">
        <f t="shared" si="73"/>
        <v>0</v>
      </c>
      <c r="AV146" s="58">
        <f>IFERROR(IF($V146="BRAND.com",HLOOKUP($X146&amp;$Z146,PLANNING_FC!$BB$27:$BP$46,MATCH($W146,PLANNING_FC!$BA$27:$BA$46,0),FALSE),0),0)</f>
        <v>0</v>
      </c>
      <c r="AW146" s="58">
        <f>IFERROR(IF($V146="BRAND.com",HLOOKUP($X146&amp;$Z146,PLANNING_FC!$BB$4:$BP$23,MATCH($W146,PLANNING_FC!$BA$4:$BA$23,0),FALSE),0),0)</f>
        <v>0</v>
      </c>
      <c r="AX146" s="58">
        <f>IFERROR(IF($V146="BRAND.com",HLOOKUP($X146&amp;$Z146,PLANNING_FC!$T$27:$AH$46,MATCH($W146,PLANNING_FC!$B$27:$B$46,0),FALSE),0),0)</f>
        <v>0</v>
      </c>
      <c r="AY146" s="58">
        <f>IFERROR(IF($V146="BRAND.com",HLOOKUP($X146&amp;$Z146,PLANNING_FC!$T$4:$AH$23,MATCH($W146,PLANNING_FC!$B$4:$B$23,0),FALSE),0),0)</f>
        <v>0</v>
      </c>
      <c r="AZ146" s="58">
        <f>IFERROR(IF($V146="BRAND.com",HLOOKUP($X146&amp;$Z146,PLANNING_FC!$DA$27:$DO$46,MATCH($W146,PLANNING_FC!$CZ$27:$CZ$46,0),FALSE),0),0)</f>
        <v>0</v>
      </c>
      <c r="BA146" s="58">
        <f>IFERROR(IF($V146="BRAND.com",HLOOKUP($X146&amp;$Z146,PLANNING_FC!$DA$4:$DO$23,MATCH($W146,PLANNING_FC!$CZ$4:$CZ$23,0),FALSE),0),0)</f>
        <v>0</v>
      </c>
      <c r="BB146" s="883" t="str">
        <f>IF(V146="BRAND.com",IFERROR(HLOOKUP(X146&amp;Z146,PLANNING_FC!$AK$4:$AY$23,MATCH(W146,PLANNING_FC!$AJ$4:$AJ$23,0),FALSE)*1000,""),"")</f>
        <v/>
      </c>
      <c r="BC146" s="883" t="str">
        <f>IF(V146="BRAND.com",IFERROR(HLOOKUP(X146&amp;Z146,PLANNING_FC!$AK$27:$AY$46,MATCH(W146,PLANNING_FC!$AJ$27:$AJ$46,0),FALSE)*1000,""),"")</f>
        <v/>
      </c>
    </row>
    <row r="147" spans="1:55" x14ac:dyDescent="0.25">
      <c r="A147" s="509"/>
      <c r="B147" s="510"/>
      <c r="C147" s="509"/>
      <c r="D147" s="509"/>
      <c r="E147" s="509"/>
      <c r="F147" s="509"/>
      <c r="G147" s="509"/>
      <c r="H147" s="509"/>
      <c r="I147" s="512"/>
      <c r="J147" s="513"/>
      <c r="K147" s="879"/>
      <c r="L147" s="515"/>
      <c r="M147" s="516"/>
      <c r="N147" s="56">
        <f t="shared" si="74"/>
        <v>0</v>
      </c>
      <c r="O147" s="57">
        <f t="shared" si="75"/>
        <v>0</v>
      </c>
      <c r="P147" s="57">
        <f ca="1">IFERROR(IF(ISBLANK(H147),SUMIFS($AC:$AC,$V:$V,V147,$W:$W,W147,$X:$X,X147,$Y:$Y,Y147)*J147/(1-J147)*VLOOKUP(_xlfn.CONCAT(C147,D147,E147,TIME!$M$12,Z147),HIS_SALES!$B$2:$W$4859,20,FALSE),AC147*J147/(1-J147)),0)</f>
        <v>0</v>
      </c>
      <c r="Q147" s="541" t="str">
        <f t="shared" si="85"/>
        <v/>
      </c>
      <c r="R147" s="346" t="str">
        <f t="shared" si="65"/>
        <v>00000</v>
      </c>
      <c r="S147" s="344">
        <f t="shared" si="76"/>
        <v>0</v>
      </c>
      <c r="T147" s="345" t="str">
        <f t="shared" si="71"/>
        <v>000</v>
      </c>
      <c r="U147" s="345">
        <f t="shared" si="77"/>
        <v>0</v>
      </c>
      <c r="V147" s="345">
        <f t="shared" si="78"/>
        <v>0</v>
      </c>
      <c r="W147" s="345">
        <f t="shared" si="79"/>
        <v>0</v>
      </c>
      <c r="X147" s="345">
        <f t="shared" si="80"/>
        <v>0</v>
      </c>
      <c r="Y147" s="345">
        <f t="shared" si="81"/>
        <v>0</v>
      </c>
      <c r="Z147" s="345">
        <f>IF(Q147&lt;&gt;"",VLOOKUP(Y147,TIME!$R$21:$V$24,MATCH(FC_DATA!Q147,TIME!$R$20:$V$20,0),FALSE),H147)</f>
        <v>0</v>
      </c>
      <c r="AA147" s="345" t="str">
        <f>IFERROR(VLOOKUP(X147&amp;Z147,TIME!$A$12:$D$71,4,FALSE),"")</f>
        <v/>
      </c>
      <c r="AB147" s="592">
        <f t="shared" ca="1" si="66"/>
        <v>0</v>
      </c>
      <c r="AC147" s="593" t="e">
        <f ca="1">IF(ISBLANK(H147)=FALSE,IF(D147="BRAND.com",I147,IF(ISNA(VLOOKUP(_xlfn.CONCAT(X147,Z147),TIME!$M$40:$M$42,1,FALSE)),I147,VLOOKUP(_xlfn.CONCAT(D147,G147,H147),M_BUSAREA_FC!$AF$5:$AJ$10,5,FALSE)*HLOOKUP(_xlfn.CONCAT(F147,H147),ST_OVERVIEW!$G$99:$I$130,MATCH(_xlfn.CONCAT(D147,E147),ST_OVERVIEW!$F$99:$F$130,0),FALSE))),IF(D147="BRAND.com",VLOOKUP(_xlfn.CONCAT(C147,D147,E147,TIME!$F$1,Z147),HIS_SALES!$B$2:$V$4859,19,FALSE)*I147,VLOOKUP(_xlfn.CONCAT(D147,F147,G147),Q_BUSAREA_FC!$AE$5:$AI$12,5,FALSE)*HLOOKUP(_xlfn.CONCAT(FC_DATA!F147,FC_DATA!G147),LT_OVERVIEW!$I$99:$M$130,MATCH(_xlfn.CONCAT(D147,FC_DATA!E147),LT_OVERVIEW!$H$99:$H$130,0),FALSE)*IFERROR(VLOOKUP(_xlfn.CONCAT(C147,D147,E147,TIME!$F$1,Z147),HIS_SALES!$B$2:$V$4859,19,FALSE),0)))</f>
        <v>#N/A</v>
      </c>
      <c r="AD147" s="341">
        <f t="shared" ca="1" si="82"/>
        <v>0</v>
      </c>
      <c r="AE147" s="363" t="str">
        <f t="shared" si="83"/>
        <v/>
      </c>
      <c r="AF147" s="342" t="str">
        <f t="shared" si="84"/>
        <v/>
      </c>
      <c r="AG147" s="411" t="e">
        <f ca="1">VLOOKUP(_xlfn.CONCAT(U147,V147,W147,VLOOKUP(X147&amp;Y147,TIME!$L$27:$O$34,4,FALSE),Y147),HIS_SALES!$A$2:$R$5093,18,FALSE)</f>
        <v>#N/A</v>
      </c>
      <c r="AH147" s="412" t="e">
        <f ca="1">IFERROR(IF(AND(V147=V146,W147=W146),0.5*(AB147+AB146)*AG147,(VLOOKUP(_xlfn.CONCAT(U147,V147,W147,X147,VLOOKUP(Z147,TIME!$S$28:$T$39,2,FALSE)),FC_DATA!$R$2:$AB$5000,MATCH("GS_I_M",FC_DATA!$R$1:$AB$1,0),FALSE)+FC_DATA!AB147)*0.5*FC_DATA!AG147),NA())</f>
        <v>#N/A</v>
      </c>
      <c r="AI147" s="491" t="e">
        <f ca="1">IF(V147="PARTNER.com",AH147,IF(AND(V147=V146,W147=W146),(1-AVERAGE(AD146,AD147))*AH147,(1-AVERAGE(AD147,VLOOKUP(_xlfn.CONCAT(U147,V147,W147,X147,M_BRAND_FC!$F$6),FC_DATA!$R$2:$AD$5000,MATCH("DISCOUNT_%_M",FC_DATA!$R$1:$AD$1,0),FALSE)))*AH147))</f>
        <v>#N/A</v>
      </c>
      <c r="AJ147" s="412" t="str">
        <f t="shared" ca="1" si="68"/>
        <v/>
      </c>
      <c r="AK147" s="413" t="str">
        <f>IFERROR(AE147/(Q_BRAND_FC!$T$24+1),"")</f>
        <v/>
      </c>
      <c r="AL147" s="88" t="str">
        <f t="shared" ca="1" si="69"/>
        <v/>
      </c>
      <c r="AM147" s="414" t="str">
        <f t="shared" ca="1" si="70"/>
        <v/>
      </c>
      <c r="AN147" s="58">
        <f>IFERROR(IF($V147="BRAND.com",HLOOKUP($X147&amp;$Z147,NWC_FC_NOOS!$C$4:$Q$23,MATCH(W147,NWC_FC_NOOS!$B$4:$B$23,0),FALSE),0),0)</f>
        <v>0</v>
      </c>
      <c r="AO147" s="57">
        <f>IFERROR(IF($V147="BRAND.com",HLOOKUP($X147&amp;$Z147,NWC_FC_NOOS!$T$4:$AH$23,MATCH(W147,NWC_FC_NOOS!$S$4:$S$23,0),FALSE),0),0)</f>
        <v>0</v>
      </c>
      <c r="AP147" s="57">
        <f>IFERROR(IF($V147="BRAND.com",HLOOKUP($X147&amp;$Z147,NWC_FC_NOOS!$C$50:$U$69,MATCH(W147,NWC_FC_NOOS!$B$50:$B$69,0),FALSE),0),0)</f>
        <v>0</v>
      </c>
      <c r="AQ147" s="58">
        <f>IFERROR(IF($V147="BRAND.com",HLOOKUP($X147&amp;$Z147,'NWC_FC_NON-NOOS'!$C$4:$Q$23,MATCH(W147,'NWC_FC_NON-NOOS'!$B$4:$B$23,0),FALSE),0),0)</f>
        <v>0</v>
      </c>
      <c r="AR147" s="57">
        <f>IFERROR(IF($V147="BRAND.com",HLOOKUP($X147&amp;$Z147,'NWC_FC_NON-NOOS'!$T$4:$AH$23,MATCH(W147,'NWC_FC_NON-NOOS'!$S$4:$S$23,0),FALSE),0),0)</f>
        <v>0</v>
      </c>
      <c r="AS147" s="57">
        <f>IFERROR(IF($V147="BRAND.com",HLOOKUP($X147&amp;$Z147,'NWC_FC_NON-NOOS'!$C$50:$U$69,MATCH(W147,'NWC_FC_NON-NOOS'!$B$50:$B$69,0),FALSE),0),0)</f>
        <v>0</v>
      </c>
      <c r="AT147" s="57">
        <f t="shared" si="72"/>
        <v>0</v>
      </c>
      <c r="AU147" s="57">
        <f t="shared" si="73"/>
        <v>0</v>
      </c>
      <c r="AV147" s="58">
        <f>IFERROR(IF($V147="BRAND.com",HLOOKUP($X147&amp;$Z147,PLANNING_FC!$BB$27:$BP$46,MATCH($W147,PLANNING_FC!$BA$27:$BA$46,0),FALSE),0),0)</f>
        <v>0</v>
      </c>
      <c r="AW147" s="58">
        <f>IFERROR(IF($V147="BRAND.com",HLOOKUP($X147&amp;$Z147,PLANNING_FC!$BB$4:$BP$23,MATCH($W147,PLANNING_FC!$BA$4:$BA$23,0),FALSE),0),0)</f>
        <v>0</v>
      </c>
      <c r="AX147" s="58">
        <f>IFERROR(IF($V147="BRAND.com",HLOOKUP($X147&amp;$Z147,PLANNING_FC!$T$27:$AH$46,MATCH($W147,PLANNING_FC!$B$27:$B$46,0),FALSE),0),0)</f>
        <v>0</v>
      </c>
      <c r="AY147" s="58">
        <f>IFERROR(IF($V147="BRAND.com",HLOOKUP($X147&amp;$Z147,PLANNING_FC!$T$4:$AH$23,MATCH($W147,PLANNING_FC!$B$4:$B$23,0),FALSE),0),0)</f>
        <v>0</v>
      </c>
      <c r="AZ147" s="58">
        <f>IFERROR(IF($V147="BRAND.com",HLOOKUP($X147&amp;$Z147,PLANNING_FC!$DA$27:$DO$46,MATCH($W147,PLANNING_FC!$CZ$27:$CZ$46,0),FALSE),0),0)</f>
        <v>0</v>
      </c>
      <c r="BA147" s="58">
        <f>IFERROR(IF($V147="BRAND.com",HLOOKUP($X147&amp;$Z147,PLANNING_FC!$DA$4:$DO$23,MATCH($W147,PLANNING_FC!$CZ$4:$CZ$23,0),FALSE),0),0)</f>
        <v>0</v>
      </c>
      <c r="BB147" s="883" t="str">
        <f>IF(V147="BRAND.com",IFERROR(HLOOKUP(X147&amp;Z147,PLANNING_FC!$AK$4:$AY$23,MATCH(W147,PLANNING_FC!$AJ$4:$AJ$23,0),FALSE)*1000,""),"")</f>
        <v/>
      </c>
      <c r="BC147" s="883" t="str">
        <f>IF(V147="BRAND.com",IFERROR(HLOOKUP(X147&amp;Z147,PLANNING_FC!$AK$27:$AY$46,MATCH(W147,PLANNING_FC!$AJ$27:$AJ$46,0),FALSE)*1000,""),"")</f>
        <v/>
      </c>
    </row>
    <row r="148" spans="1:55" x14ac:dyDescent="0.25">
      <c r="A148" s="509"/>
      <c r="B148" s="510"/>
      <c r="C148" s="509"/>
      <c r="D148" s="509"/>
      <c r="E148" s="509"/>
      <c r="F148" s="509"/>
      <c r="G148" s="509"/>
      <c r="H148" s="509"/>
      <c r="I148" s="512"/>
      <c r="J148" s="513"/>
      <c r="K148" s="879"/>
      <c r="L148" s="515"/>
      <c r="M148" s="516"/>
      <c r="N148" s="56">
        <f t="shared" si="74"/>
        <v>0</v>
      </c>
      <c r="O148" s="57">
        <f t="shared" si="75"/>
        <v>0</v>
      </c>
      <c r="P148" s="57">
        <f ca="1">IFERROR(IF(ISBLANK(H148),SUMIFS($AC:$AC,$V:$V,V148,$W:$W,W148,$X:$X,X148,$Y:$Y,Y148)*J148/(1-J148)*VLOOKUP(_xlfn.CONCAT(C148,D148,E148,TIME!$M$12,Z148),HIS_SALES!$B$2:$W$4859,20,FALSE),AC148*J148/(1-J148)),0)</f>
        <v>0</v>
      </c>
      <c r="Q148" s="541" t="str">
        <f t="shared" si="85"/>
        <v/>
      </c>
      <c r="R148" s="346" t="str">
        <f t="shared" si="65"/>
        <v>00000</v>
      </c>
      <c r="S148" s="344">
        <f t="shared" si="76"/>
        <v>0</v>
      </c>
      <c r="T148" s="345" t="str">
        <f t="shared" si="71"/>
        <v>000</v>
      </c>
      <c r="U148" s="345">
        <f t="shared" si="77"/>
        <v>0</v>
      </c>
      <c r="V148" s="345">
        <f t="shared" si="78"/>
        <v>0</v>
      </c>
      <c r="W148" s="345">
        <f t="shared" si="79"/>
        <v>0</v>
      </c>
      <c r="X148" s="345">
        <f t="shared" si="80"/>
        <v>0</v>
      </c>
      <c r="Y148" s="345">
        <f t="shared" si="81"/>
        <v>0</v>
      </c>
      <c r="Z148" s="345">
        <f>IF(Q148&lt;&gt;"",VLOOKUP(Y148,TIME!$R$21:$V$24,MATCH(FC_DATA!Q148,TIME!$R$20:$V$20,0),FALSE),H148)</f>
        <v>0</v>
      </c>
      <c r="AA148" s="345" t="str">
        <f>IFERROR(VLOOKUP(X148&amp;Z148,TIME!$A$12:$D$71,4,FALSE),"")</f>
        <v/>
      </c>
      <c r="AB148" s="592">
        <f t="shared" ca="1" si="66"/>
        <v>0</v>
      </c>
      <c r="AC148" s="593" t="e">
        <f ca="1">IF(ISBLANK(H148)=FALSE,IF(D148="BRAND.com",I148,IF(ISNA(VLOOKUP(_xlfn.CONCAT(X148,Z148),TIME!$M$40:$M$42,1,FALSE)),I148,VLOOKUP(_xlfn.CONCAT(D148,G148,H148),M_BUSAREA_FC!$AF$5:$AJ$10,5,FALSE)*HLOOKUP(_xlfn.CONCAT(F148,H148),ST_OVERVIEW!$G$99:$I$130,MATCH(_xlfn.CONCAT(D148,E148),ST_OVERVIEW!$F$99:$F$130,0),FALSE))),IF(D148="BRAND.com",VLOOKUP(_xlfn.CONCAT(C148,D148,E148,TIME!$F$1,Z148),HIS_SALES!$B$2:$V$4859,19,FALSE)*I148,VLOOKUP(_xlfn.CONCAT(D148,F148,G148),Q_BUSAREA_FC!$AE$5:$AI$12,5,FALSE)*HLOOKUP(_xlfn.CONCAT(FC_DATA!F148,FC_DATA!G148),LT_OVERVIEW!$I$99:$M$130,MATCH(_xlfn.CONCAT(D148,FC_DATA!E148),LT_OVERVIEW!$H$99:$H$130,0),FALSE)*IFERROR(VLOOKUP(_xlfn.CONCAT(C148,D148,E148,TIME!$F$1,Z148),HIS_SALES!$B$2:$V$4859,19,FALSE),0)))</f>
        <v>#N/A</v>
      </c>
      <c r="AD148" s="341">
        <f t="shared" ca="1" si="82"/>
        <v>0</v>
      </c>
      <c r="AE148" s="363" t="str">
        <f t="shared" si="83"/>
        <v/>
      </c>
      <c r="AF148" s="342" t="str">
        <f t="shared" si="84"/>
        <v/>
      </c>
      <c r="AG148" s="411" t="e">
        <f ca="1">VLOOKUP(_xlfn.CONCAT(U148,V148,W148,VLOOKUP(X148&amp;Y148,TIME!$L$27:$O$34,4,FALSE),Y148),HIS_SALES!$A$2:$R$5093,18,FALSE)</f>
        <v>#N/A</v>
      </c>
      <c r="AH148" s="412" t="e">
        <f ca="1">IFERROR(IF(AND(V148=V147,W148=W147),0.5*(AB148+AB147)*AG148,(VLOOKUP(_xlfn.CONCAT(U148,V148,W148,X148,VLOOKUP(Z148,TIME!$S$28:$T$39,2,FALSE)),FC_DATA!$R$2:$AB$5000,MATCH("GS_I_M",FC_DATA!$R$1:$AB$1,0),FALSE)+FC_DATA!AB148)*0.5*FC_DATA!AG148),NA())</f>
        <v>#N/A</v>
      </c>
      <c r="AI148" s="491" t="e">
        <f ca="1">IF(V148="PARTNER.com",AH148,IF(AND(V148=V147,W148=W147),(1-AVERAGE(AD147,AD148))*AH148,(1-AVERAGE(AD148,VLOOKUP(_xlfn.CONCAT(U148,V148,W148,X148,M_BRAND_FC!$F$6),FC_DATA!$R$2:$AD$5000,MATCH("DISCOUNT_%_M",FC_DATA!$R$1:$AD$1,0),FALSE)))*AH148))</f>
        <v>#N/A</v>
      </c>
      <c r="AJ148" s="412" t="str">
        <f t="shared" ca="1" si="68"/>
        <v/>
      </c>
      <c r="AK148" s="413" t="str">
        <f>IFERROR(AE148/(Q_BRAND_FC!$T$24+1),"")</f>
        <v/>
      </c>
      <c r="AL148" s="88" t="str">
        <f t="shared" ca="1" si="69"/>
        <v/>
      </c>
      <c r="AM148" s="414" t="str">
        <f t="shared" ca="1" si="70"/>
        <v/>
      </c>
      <c r="AN148" s="58">
        <f>IFERROR(IF($V148="BRAND.com",HLOOKUP($X148&amp;$Z148,NWC_FC_NOOS!$C$4:$Q$23,MATCH(W148,NWC_FC_NOOS!$B$4:$B$23,0),FALSE),0),0)</f>
        <v>0</v>
      </c>
      <c r="AO148" s="57">
        <f>IFERROR(IF($V148="BRAND.com",HLOOKUP($X148&amp;$Z148,NWC_FC_NOOS!$T$4:$AH$23,MATCH(W148,NWC_FC_NOOS!$S$4:$S$23,0),FALSE),0),0)</f>
        <v>0</v>
      </c>
      <c r="AP148" s="57">
        <f>IFERROR(IF($V148="BRAND.com",HLOOKUP($X148&amp;$Z148,NWC_FC_NOOS!$C$50:$U$69,MATCH(W148,NWC_FC_NOOS!$B$50:$B$69,0),FALSE),0),0)</f>
        <v>0</v>
      </c>
      <c r="AQ148" s="58">
        <f>IFERROR(IF($V148="BRAND.com",HLOOKUP($X148&amp;$Z148,'NWC_FC_NON-NOOS'!$C$4:$Q$23,MATCH(W148,'NWC_FC_NON-NOOS'!$B$4:$B$23,0),FALSE),0),0)</f>
        <v>0</v>
      </c>
      <c r="AR148" s="57">
        <f>IFERROR(IF($V148="BRAND.com",HLOOKUP($X148&amp;$Z148,'NWC_FC_NON-NOOS'!$T$4:$AH$23,MATCH(W148,'NWC_FC_NON-NOOS'!$S$4:$S$23,0),FALSE),0),0)</f>
        <v>0</v>
      </c>
      <c r="AS148" s="57">
        <f>IFERROR(IF($V148="BRAND.com",HLOOKUP($X148&amp;$Z148,'NWC_FC_NON-NOOS'!$C$50:$U$69,MATCH(W148,'NWC_FC_NON-NOOS'!$B$50:$B$69,0),FALSE),0),0)</f>
        <v>0</v>
      </c>
      <c r="AT148" s="57">
        <f t="shared" si="72"/>
        <v>0</v>
      </c>
      <c r="AU148" s="57">
        <f t="shared" si="73"/>
        <v>0</v>
      </c>
      <c r="AV148" s="58">
        <f>IFERROR(IF($V148="BRAND.com",HLOOKUP($X148&amp;$Z148,PLANNING_FC!$BB$27:$BP$46,MATCH($W148,PLANNING_FC!$BA$27:$BA$46,0),FALSE),0),0)</f>
        <v>0</v>
      </c>
      <c r="AW148" s="58">
        <f>IFERROR(IF($V148="BRAND.com",HLOOKUP($X148&amp;$Z148,PLANNING_FC!$BB$4:$BP$23,MATCH($W148,PLANNING_FC!$BA$4:$BA$23,0),FALSE),0),0)</f>
        <v>0</v>
      </c>
      <c r="AX148" s="58">
        <f>IFERROR(IF($V148="BRAND.com",HLOOKUP($X148&amp;$Z148,PLANNING_FC!$T$27:$AH$46,MATCH($W148,PLANNING_FC!$B$27:$B$46,0),FALSE),0),0)</f>
        <v>0</v>
      </c>
      <c r="AY148" s="58">
        <f>IFERROR(IF($V148="BRAND.com",HLOOKUP($X148&amp;$Z148,PLANNING_FC!$T$4:$AH$23,MATCH($W148,PLANNING_FC!$B$4:$B$23,0),FALSE),0),0)</f>
        <v>0</v>
      </c>
      <c r="AZ148" s="58">
        <f>IFERROR(IF($V148="BRAND.com",HLOOKUP($X148&amp;$Z148,PLANNING_FC!$DA$27:$DO$46,MATCH($W148,PLANNING_FC!$CZ$27:$CZ$46,0),FALSE),0),0)</f>
        <v>0</v>
      </c>
      <c r="BA148" s="58">
        <f>IFERROR(IF($V148="BRAND.com",HLOOKUP($X148&amp;$Z148,PLANNING_FC!$DA$4:$DO$23,MATCH($W148,PLANNING_FC!$CZ$4:$CZ$23,0),FALSE),0),0)</f>
        <v>0</v>
      </c>
      <c r="BB148" s="883" t="str">
        <f>IF(V148="BRAND.com",IFERROR(HLOOKUP(X148&amp;Z148,PLANNING_FC!$AK$4:$AY$23,MATCH(W148,PLANNING_FC!$AJ$4:$AJ$23,0),FALSE)*1000,""),"")</f>
        <v/>
      </c>
      <c r="BC148" s="883" t="str">
        <f>IF(V148="BRAND.com",IFERROR(HLOOKUP(X148&amp;Z148,PLANNING_FC!$AK$27:$AY$46,MATCH(W148,PLANNING_FC!$AJ$27:$AJ$46,0),FALSE)*1000,""),"")</f>
        <v/>
      </c>
    </row>
    <row r="149" spans="1:55" x14ac:dyDescent="0.25">
      <c r="A149" s="509"/>
      <c r="B149" s="510"/>
      <c r="C149" s="509"/>
      <c r="D149" s="509"/>
      <c r="E149" s="509"/>
      <c r="F149" s="509"/>
      <c r="G149" s="509"/>
      <c r="H149" s="509"/>
      <c r="I149" s="512"/>
      <c r="J149" s="513"/>
      <c r="K149" s="879"/>
      <c r="L149" s="515"/>
      <c r="M149" s="516"/>
      <c r="N149" s="56">
        <f t="shared" si="74"/>
        <v>0</v>
      </c>
      <c r="O149" s="57">
        <f t="shared" si="75"/>
        <v>0</v>
      </c>
      <c r="P149" s="57">
        <f ca="1">IFERROR(IF(ISBLANK(H149),SUMIFS($AC:$AC,$V:$V,V149,$W:$W,W149,$X:$X,X149,$Y:$Y,Y149)*J149/(1-J149)*VLOOKUP(_xlfn.CONCAT(C149,D149,E149,TIME!$M$12,Z149),HIS_SALES!$B$2:$W$4859,20,FALSE),AC149*J149/(1-J149)),0)</f>
        <v>0</v>
      </c>
      <c r="Q149" s="541" t="str">
        <f t="shared" si="85"/>
        <v/>
      </c>
      <c r="R149" s="346" t="str">
        <f t="shared" si="65"/>
        <v>00000</v>
      </c>
      <c r="S149" s="344">
        <f t="shared" si="76"/>
        <v>0</v>
      </c>
      <c r="T149" s="345" t="str">
        <f t="shared" si="71"/>
        <v>000</v>
      </c>
      <c r="U149" s="345">
        <f t="shared" si="77"/>
        <v>0</v>
      </c>
      <c r="V149" s="345">
        <f t="shared" si="78"/>
        <v>0</v>
      </c>
      <c r="W149" s="345">
        <f t="shared" si="79"/>
        <v>0</v>
      </c>
      <c r="X149" s="345">
        <f t="shared" si="80"/>
        <v>0</v>
      </c>
      <c r="Y149" s="345">
        <f t="shared" si="81"/>
        <v>0</v>
      </c>
      <c r="Z149" s="345">
        <f>IF(Q149&lt;&gt;"",VLOOKUP(Y149,TIME!$R$21:$V$24,MATCH(FC_DATA!Q149,TIME!$R$20:$V$20,0),FALSE),H149)</f>
        <v>0</v>
      </c>
      <c r="AA149" s="345" t="str">
        <f>IFERROR(VLOOKUP(X149&amp;Z149,TIME!$A$12:$D$71,4,FALSE),"")</f>
        <v/>
      </c>
      <c r="AB149" s="592">
        <f t="shared" ca="1" si="66"/>
        <v>0</v>
      </c>
      <c r="AC149" s="593" t="e">
        <f ca="1">IF(ISBLANK(H149)=FALSE,IF(D149="BRAND.com",I149,IF(ISNA(VLOOKUP(_xlfn.CONCAT(X149,Z149),TIME!$M$40:$M$42,1,FALSE)),I149,VLOOKUP(_xlfn.CONCAT(D149,G149,H149),M_BUSAREA_FC!$AF$5:$AJ$10,5,FALSE)*HLOOKUP(_xlfn.CONCAT(F149,H149),ST_OVERVIEW!$G$99:$I$130,MATCH(_xlfn.CONCAT(D149,E149),ST_OVERVIEW!$F$99:$F$130,0),FALSE))),IF(D149="BRAND.com",VLOOKUP(_xlfn.CONCAT(C149,D149,E149,TIME!$F$1,Z149),HIS_SALES!$B$2:$V$4859,19,FALSE)*I149,VLOOKUP(_xlfn.CONCAT(D149,F149,G149),Q_BUSAREA_FC!$AE$5:$AI$12,5,FALSE)*HLOOKUP(_xlfn.CONCAT(FC_DATA!F149,FC_DATA!G149),LT_OVERVIEW!$I$99:$M$130,MATCH(_xlfn.CONCAT(D149,FC_DATA!E149),LT_OVERVIEW!$H$99:$H$130,0),FALSE)*IFERROR(VLOOKUP(_xlfn.CONCAT(C149,D149,E149,TIME!$F$1,Z149),HIS_SALES!$B$2:$V$4859,19,FALSE),0)))</f>
        <v>#N/A</v>
      </c>
      <c r="AD149" s="341">
        <f t="shared" ca="1" si="82"/>
        <v>0</v>
      </c>
      <c r="AE149" s="363" t="str">
        <f t="shared" si="83"/>
        <v/>
      </c>
      <c r="AF149" s="342" t="str">
        <f t="shared" si="84"/>
        <v/>
      </c>
      <c r="AG149" s="411" t="e">
        <f ca="1">VLOOKUP(_xlfn.CONCAT(U149,V149,W149,VLOOKUP(X149&amp;Y149,TIME!$L$27:$O$34,4,FALSE),Y149),HIS_SALES!$A$2:$R$5093,18,FALSE)</f>
        <v>#N/A</v>
      </c>
      <c r="AH149" s="412" t="e">
        <f ca="1">IFERROR(IF(AND(V149=V148,W149=W148),0.5*(AB149+AB148)*AG149,(VLOOKUP(_xlfn.CONCAT(U149,V149,W149,X149,VLOOKUP(Z149,TIME!$S$28:$T$39,2,FALSE)),FC_DATA!$R$2:$AB$5000,MATCH("GS_I_M",FC_DATA!$R$1:$AB$1,0),FALSE)+FC_DATA!AB149)*0.5*FC_DATA!AG149),NA())</f>
        <v>#N/A</v>
      </c>
      <c r="AI149" s="491" t="e">
        <f ca="1">IF(V149="PARTNER.com",AH149,IF(AND(V149=V148,W149=W148),(1-AVERAGE(AD148,AD149))*AH149,(1-AVERAGE(AD149,VLOOKUP(_xlfn.CONCAT(U149,V149,W149,X149,M_BRAND_FC!$F$6),FC_DATA!$R$2:$AD$5000,MATCH("DISCOUNT_%_M",FC_DATA!$R$1:$AD$1,0),FALSE)))*AH149))</f>
        <v>#N/A</v>
      </c>
      <c r="AJ149" s="412" t="str">
        <f t="shared" ca="1" si="68"/>
        <v/>
      </c>
      <c r="AK149" s="413" t="str">
        <f>IFERROR(AE149/(Q_BRAND_FC!$T$24+1),"")</f>
        <v/>
      </c>
      <c r="AL149" s="88" t="str">
        <f t="shared" ca="1" si="69"/>
        <v/>
      </c>
      <c r="AM149" s="414" t="str">
        <f t="shared" ca="1" si="70"/>
        <v/>
      </c>
      <c r="AN149" s="58">
        <f>IFERROR(IF($V149="BRAND.com",HLOOKUP($X149&amp;$Z149,NWC_FC_NOOS!$C$4:$Q$23,MATCH(W149,NWC_FC_NOOS!$B$4:$B$23,0),FALSE),0),0)</f>
        <v>0</v>
      </c>
      <c r="AO149" s="57">
        <f>IFERROR(IF($V149="BRAND.com",HLOOKUP($X149&amp;$Z149,NWC_FC_NOOS!$T$4:$AH$23,MATCH(W149,NWC_FC_NOOS!$S$4:$S$23,0),FALSE),0),0)</f>
        <v>0</v>
      </c>
      <c r="AP149" s="57">
        <f>IFERROR(IF($V149="BRAND.com",HLOOKUP($X149&amp;$Z149,NWC_FC_NOOS!$C$50:$U$69,MATCH(W149,NWC_FC_NOOS!$B$50:$B$69,0),FALSE),0),0)</f>
        <v>0</v>
      </c>
      <c r="AQ149" s="58">
        <f>IFERROR(IF($V149="BRAND.com",HLOOKUP($X149&amp;$Z149,'NWC_FC_NON-NOOS'!$C$4:$Q$23,MATCH(W149,'NWC_FC_NON-NOOS'!$B$4:$B$23,0),FALSE),0),0)</f>
        <v>0</v>
      </c>
      <c r="AR149" s="57">
        <f>IFERROR(IF($V149="BRAND.com",HLOOKUP($X149&amp;$Z149,'NWC_FC_NON-NOOS'!$T$4:$AH$23,MATCH(W149,'NWC_FC_NON-NOOS'!$S$4:$S$23,0),FALSE),0),0)</f>
        <v>0</v>
      </c>
      <c r="AS149" s="57">
        <f>IFERROR(IF($V149="BRAND.com",HLOOKUP($X149&amp;$Z149,'NWC_FC_NON-NOOS'!$C$50:$U$69,MATCH(W149,'NWC_FC_NON-NOOS'!$B$50:$B$69,0),FALSE),0),0)</f>
        <v>0</v>
      </c>
      <c r="AT149" s="57">
        <f t="shared" si="72"/>
        <v>0</v>
      </c>
      <c r="AU149" s="57">
        <f t="shared" si="73"/>
        <v>0</v>
      </c>
      <c r="AV149" s="58">
        <f>IFERROR(IF($V149="BRAND.com",HLOOKUP($X149&amp;$Z149,PLANNING_FC!$BB$27:$BP$46,MATCH($W149,PLANNING_FC!$BA$27:$BA$46,0),FALSE),0),0)</f>
        <v>0</v>
      </c>
      <c r="AW149" s="58">
        <f>IFERROR(IF($V149="BRAND.com",HLOOKUP($X149&amp;$Z149,PLANNING_FC!$BB$4:$BP$23,MATCH($W149,PLANNING_FC!$BA$4:$BA$23,0),FALSE),0),0)</f>
        <v>0</v>
      </c>
      <c r="AX149" s="58">
        <f>IFERROR(IF($V149="BRAND.com",HLOOKUP($X149&amp;$Z149,PLANNING_FC!$T$27:$AH$46,MATCH($W149,PLANNING_FC!$B$27:$B$46,0),FALSE),0),0)</f>
        <v>0</v>
      </c>
      <c r="AY149" s="58">
        <f>IFERROR(IF($V149="BRAND.com",HLOOKUP($X149&amp;$Z149,PLANNING_FC!$T$4:$AH$23,MATCH($W149,PLANNING_FC!$B$4:$B$23,0),FALSE),0),0)</f>
        <v>0</v>
      </c>
      <c r="AZ149" s="58">
        <f>IFERROR(IF($V149="BRAND.com",HLOOKUP($X149&amp;$Z149,PLANNING_FC!$DA$27:$DO$46,MATCH($W149,PLANNING_FC!$CZ$27:$CZ$46,0),FALSE),0),0)</f>
        <v>0</v>
      </c>
      <c r="BA149" s="58">
        <f>IFERROR(IF($V149="BRAND.com",HLOOKUP($X149&amp;$Z149,PLANNING_FC!$DA$4:$DO$23,MATCH($W149,PLANNING_FC!$CZ$4:$CZ$23,0),FALSE),0),0)</f>
        <v>0</v>
      </c>
      <c r="BB149" s="883" t="str">
        <f>IF(V149="BRAND.com",IFERROR(HLOOKUP(X149&amp;Z149,PLANNING_FC!$AK$4:$AY$23,MATCH(W149,PLANNING_FC!$AJ$4:$AJ$23,0),FALSE)*1000,""),"")</f>
        <v/>
      </c>
      <c r="BC149" s="883" t="str">
        <f>IF(V149="BRAND.com",IFERROR(HLOOKUP(X149&amp;Z149,PLANNING_FC!$AK$27:$AY$46,MATCH(W149,PLANNING_FC!$AJ$27:$AJ$46,0),FALSE)*1000,""),"")</f>
        <v/>
      </c>
    </row>
    <row r="150" spans="1:55" x14ac:dyDescent="0.25">
      <c r="A150" s="509"/>
      <c r="B150" s="510"/>
      <c r="C150" s="509"/>
      <c r="D150" s="509"/>
      <c r="E150" s="509"/>
      <c r="F150" s="509"/>
      <c r="G150" s="509"/>
      <c r="H150" s="509"/>
      <c r="I150" s="512"/>
      <c r="J150" s="513"/>
      <c r="K150" s="879"/>
      <c r="L150" s="515"/>
      <c r="M150" s="516"/>
      <c r="N150" s="56">
        <f t="shared" si="74"/>
        <v>0</v>
      </c>
      <c r="O150" s="57">
        <f t="shared" si="75"/>
        <v>0</v>
      </c>
      <c r="P150" s="57">
        <f ca="1">IFERROR(IF(ISBLANK(H150),SUMIFS($AC:$AC,$V:$V,V150,$W:$W,W150,$X:$X,X150,$Y:$Y,Y150)*J150/(1-J150)*VLOOKUP(_xlfn.CONCAT(C150,D150,E150,TIME!$M$12,Z150),HIS_SALES!$B$2:$W$4859,20,FALSE),AC150*J150/(1-J150)),0)</f>
        <v>0</v>
      </c>
      <c r="Q150" s="541" t="str">
        <f t="shared" si="85"/>
        <v/>
      </c>
      <c r="R150" s="346" t="str">
        <f t="shared" si="65"/>
        <v>00000</v>
      </c>
      <c r="S150" s="344">
        <f t="shared" si="76"/>
        <v>0</v>
      </c>
      <c r="T150" s="345" t="str">
        <f t="shared" si="71"/>
        <v>000</v>
      </c>
      <c r="U150" s="345">
        <f t="shared" si="77"/>
        <v>0</v>
      </c>
      <c r="V150" s="345">
        <f t="shared" si="78"/>
        <v>0</v>
      </c>
      <c r="W150" s="345">
        <f t="shared" si="79"/>
        <v>0</v>
      </c>
      <c r="X150" s="345">
        <f t="shared" si="80"/>
        <v>0</v>
      </c>
      <c r="Y150" s="345">
        <f t="shared" si="81"/>
        <v>0</v>
      </c>
      <c r="Z150" s="345">
        <f>IF(Q150&lt;&gt;"",VLOOKUP(Y150,TIME!$R$21:$V$24,MATCH(FC_DATA!Q150,TIME!$R$20:$V$20,0),FALSE),H150)</f>
        <v>0</v>
      </c>
      <c r="AA150" s="345" t="str">
        <f>IFERROR(VLOOKUP(X150&amp;Z150,TIME!$A$12:$D$71,4,FALSE),"")</f>
        <v/>
      </c>
      <c r="AB150" s="592">
        <f t="shared" ca="1" si="66"/>
        <v>0</v>
      </c>
      <c r="AC150" s="593" t="e">
        <f ca="1">IF(ISBLANK(H150)=FALSE,IF(D150="BRAND.com",I150,IF(ISNA(VLOOKUP(_xlfn.CONCAT(X150,Z150),TIME!$M$40:$M$42,1,FALSE)),I150,VLOOKUP(_xlfn.CONCAT(D150,G150,H150),M_BUSAREA_FC!$AF$5:$AJ$10,5,FALSE)*HLOOKUP(_xlfn.CONCAT(F150,H150),ST_OVERVIEW!$G$99:$I$130,MATCH(_xlfn.CONCAT(D150,E150),ST_OVERVIEW!$F$99:$F$130,0),FALSE))),IF(D150="BRAND.com",VLOOKUP(_xlfn.CONCAT(C150,D150,E150,TIME!$F$1,Z150),HIS_SALES!$B$2:$V$4859,19,FALSE)*I150,VLOOKUP(_xlfn.CONCAT(D150,F150,G150),Q_BUSAREA_FC!$AE$5:$AI$12,5,FALSE)*HLOOKUP(_xlfn.CONCAT(FC_DATA!F150,FC_DATA!G150),LT_OVERVIEW!$I$99:$M$130,MATCH(_xlfn.CONCAT(D150,FC_DATA!E150),LT_OVERVIEW!$H$99:$H$130,0),FALSE)*IFERROR(VLOOKUP(_xlfn.CONCAT(C150,D150,E150,TIME!$F$1,Z150),HIS_SALES!$B$2:$V$4859,19,FALSE),0)))</f>
        <v>#N/A</v>
      </c>
      <c r="AD150" s="341">
        <f t="shared" ca="1" si="82"/>
        <v>0</v>
      </c>
      <c r="AE150" s="363" t="str">
        <f t="shared" si="83"/>
        <v/>
      </c>
      <c r="AF150" s="342" t="str">
        <f t="shared" si="84"/>
        <v/>
      </c>
      <c r="AG150" s="411" t="e">
        <f ca="1">VLOOKUP(_xlfn.CONCAT(U150,V150,W150,VLOOKUP(X150&amp;Y150,TIME!$L$27:$O$34,4,FALSE),Y150),HIS_SALES!$A$2:$R$5093,18,FALSE)</f>
        <v>#N/A</v>
      </c>
      <c r="AH150" s="412" t="e">
        <f ca="1">IFERROR(IF(AND(V150=V149,W150=W149),0.5*(AB150+AB149)*AG150,(VLOOKUP(_xlfn.CONCAT(U150,V150,W150,X150,VLOOKUP(Z150,TIME!$S$28:$T$39,2,FALSE)),FC_DATA!$R$2:$AB$5000,MATCH("GS_I_M",FC_DATA!$R$1:$AB$1,0),FALSE)+FC_DATA!AB150)*0.5*FC_DATA!AG150),NA())</f>
        <v>#N/A</v>
      </c>
      <c r="AI150" s="491" t="e">
        <f ca="1">IF(V150="PARTNER.com",AH150,IF(AND(V150=V149,W150=W149),(1-AVERAGE(AD149,AD150))*AH150,(1-AVERAGE(AD150,VLOOKUP(_xlfn.CONCAT(U150,V150,W150,X150,M_BRAND_FC!$F$6),FC_DATA!$R$2:$AD$5000,MATCH("DISCOUNT_%_M",FC_DATA!$R$1:$AD$1,0),FALSE)))*AH150))</f>
        <v>#N/A</v>
      </c>
      <c r="AJ150" s="412" t="str">
        <f t="shared" ca="1" si="68"/>
        <v/>
      </c>
      <c r="AK150" s="413" t="str">
        <f>IFERROR(AE150/(Q_BRAND_FC!$T$24+1),"")</f>
        <v/>
      </c>
      <c r="AL150" s="88" t="str">
        <f t="shared" ca="1" si="69"/>
        <v/>
      </c>
      <c r="AM150" s="414" t="str">
        <f t="shared" ca="1" si="70"/>
        <v/>
      </c>
      <c r="AN150" s="58">
        <f>IFERROR(IF($V150="BRAND.com",HLOOKUP($X150&amp;$Z150,NWC_FC_NOOS!$C$4:$Q$23,MATCH(W150,NWC_FC_NOOS!$B$4:$B$23,0),FALSE),0),0)</f>
        <v>0</v>
      </c>
      <c r="AO150" s="57">
        <f>IFERROR(IF($V150="BRAND.com",HLOOKUP($X150&amp;$Z150,NWC_FC_NOOS!$T$4:$AH$23,MATCH(W150,NWC_FC_NOOS!$S$4:$S$23,0),FALSE),0),0)</f>
        <v>0</v>
      </c>
      <c r="AP150" s="57">
        <f>IFERROR(IF($V150="BRAND.com",HLOOKUP($X150&amp;$Z150,NWC_FC_NOOS!$C$50:$U$69,MATCH(W150,NWC_FC_NOOS!$B$50:$B$69,0),FALSE),0),0)</f>
        <v>0</v>
      </c>
      <c r="AQ150" s="58">
        <f>IFERROR(IF($V150="BRAND.com",HLOOKUP($X150&amp;$Z150,'NWC_FC_NON-NOOS'!$C$4:$Q$23,MATCH(W150,'NWC_FC_NON-NOOS'!$B$4:$B$23,0),FALSE),0),0)</f>
        <v>0</v>
      </c>
      <c r="AR150" s="57">
        <f>IFERROR(IF($V150="BRAND.com",HLOOKUP($X150&amp;$Z150,'NWC_FC_NON-NOOS'!$T$4:$AH$23,MATCH(W150,'NWC_FC_NON-NOOS'!$S$4:$S$23,0),FALSE),0),0)</f>
        <v>0</v>
      </c>
      <c r="AS150" s="57">
        <f>IFERROR(IF($V150="BRAND.com",HLOOKUP($X150&amp;$Z150,'NWC_FC_NON-NOOS'!$C$50:$U$69,MATCH(W150,'NWC_FC_NON-NOOS'!$B$50:$B$69,0),FALSE),0),0)</f>
        <v>0</v>
      </c>
      <c r="AT150" s="57">
        <f t="shared" si="72"/>
        <v>0</v>
      </c>
      <c r="AU150" s="57">
        <f t="shared" si="73"/>
        <v>0</v>
      </c>
      <c r="AV150" s="58">
        <f>IFERROR(IF($V150="BRAND.com",HLOOKUP($X150&amp;$Z150,PLANNING_FC!$BB$27:$BP$46,MATCH($W150,PLANNING_FC!$BA$27:$BA$46,0),FALSE),0),0)</f>
        <v>0</v>
      </c>
      <c r="AW150" s="58">
        <f>IFERROR(IF($V150="BRAND.com",HLOOKUP($X150&amp;$Z150,PLANNING_FC!$BB$4:$BP$23,MATCH($W150,PLANNING_FC!$BA$4:$BA$23,0),FALSE),0),0)</f>
        <v>0</v>
      </c>
      <c r="AX150" s="58">
        <f>IFERROR(IF($V150="BRAND.com",HLOOKUP($X150&amp;$Z150,PLANNING_FC!$T$27:$AH$46,MATCH($W150,PLANNING_FC!$B$27:$B$46,0),FALSE),0),0)</f>
        <v>0</v>
      </c>
      <c r="AY150" s="58">
        <f>IFERROR(IF($V150="BRAND.com",HLOOKUP($X150&amp;$Z150,PLANNING_FC!$T$4:$AH$23,MATCH($W150,PLANNING_FC!$B$4:$B$23,0),FALSE),0),0)</f>
        <v>0</v>
      </c>
      <c r="AZ150" s="58">
        <f>IFERROR(IF($V150="BRAND.com",HLOOKUP($X150&amp;$Z150,PLANNING_FC!$DA$27:$DO$46,MATCH($W150,PLANNING_FC!$CZ$27:$CZ$46,0),FALSE),0),0)</f>
        <v>0</v>
      </c>
      <c r="BA150" s="58">
        <f>IFERROR(IF($V150="BRAND.com",HLOOKUP($X150&amp;$Z150,PLANNING_FC!$DA$4:$DO$23,MATCH($W150,PLANNING_FC!$CZ$4:$CZ$23,0),FALSE),0),0)</f>
        <v>0</v>
      </c>
      <c r="BB150" s="883" t="str">
        <f>IF(V150="BRAND.com",IFERROR(HLOOKUP(X150&amp;Z150,PLANNING_FC!$AK$4:$AY$23,MATCH(W150,PLANNING_FC!$AJ$4:$AJ$23,0),FALSE)*1000,""),"")</f>
        <v/>
      </c>
      <c r="BC150" s="883" t="str">
        <f>IF(V150="BRAND.com",IFERROR(HLOOKUP(X150&amp;Z150,PLANNING_FC!$AK$27:$AY$46,MATCH(W150,PLANNING_FC!$AJ$27:$AJ$46,0),FALSE)*1000,""),"")</f>
        <v/>
      </c>
    </row>
    <row r="151" spans="1:55" x14ac:dyDescent="0.25">
      <c r="A151" s="509"/>
      <c r="B151" s="510"/>
      <c r="C151" s="509"/>
      <c r="D151" s="509"/>
      <c r="E151" s="509"/>
      <c r="F151" s="509"/>
      <c r="G151" s="509"/>
      <c r="H151" s="509"/>
      <c r="I151" s="512"/>
      <c r="J151" s="513"/>
      <c r="K151" s="879"/>
      <c r="L151" s="515"/>
      <c r="M151" s="516"/>
      <c r="N151" s="56">
        <f t="shared" si="74"/>
        <v>0</v>
      </c>
      <c r="O151" s="57">
        <f t="shared" si="75"/>
        <v>0</v>
      </c>
      <c r="P151" s="57">
        <f ca="1">IFERROR(IF(ISBLANK(H151),SUMIFS($AC:$AC,$V:$V,V151,$W:$W,W151,$X:$X,X151,$Y:$Y,Y151)*J151/(1-J151)*VLOOKUP(_xlfn.CONCAT(C151,D151,E151,TIME!$M$12,Z151),HIS_SALES!$B$2:$W$4859,20,FALSE),AC151*J151/(1-J151)),0)</f>
        <v>0</v>
      </c>
      <c r="Q151" s="541" t="str">
        <f t="shared" si="85"/>
        <v/>
      </c>
      <c r="R151" s="346" t="str">
        <f t="shared" si="65"/>
        <v>00000</v>
      </c>
      <c r="S151" s="344">
        <f t="shared" si="76"/>
        <v>0</v>
      </c>
      <c r="T151" s="345" t="str">
        <f t="shared" si="71"/>
        <v>000</v>
      </c>
      <c r="U151" s="345">
        <f t="shared" si="77"/>
        <v>0</v>
      </c>
      <c r="V151" s="345">
        <f t="shared" si="78"/>
        <v>0</v>
      </c>
      <c r="W151" s="345">
        <f t="shared" si="79"/>
        <v>0</v>
      </c>
      <c r="X151" s="345">
        <f t="shared" si="80"/>
        <v>0</v>
      </c>
      <c r="Y151" s="345">
        <f t="shared" si="81"/>
        <v>0</v>
      </c>
      <c r="Z151" s="345">
        <f>IF(Q151&lt;&gt;"",VLOOKUP(Y151,TIME!$R$21:$V$24,MATCH(FC_DATA!Q151,TIME!$R$20:$V$20,0),FALSE),H151)</f>
        <v>0</v>
      </c>
      <c r="AA151" s="345" t="str">
        <f>IFERROR(VLOOKUP(X151&amp;Z151,TIME!$A$12:$D$71,4,FALSE),"")</f>
        <v/>
      </c>
      <c r="AB151" s="592">
        <f t="shared" ca="1" si="66"/>
        <v>0</v>
      </c>
      <c r="AC151" s="593" t="e">
        <f ca="1">IF(ISBLANK(H151)=FALSE,IF(D151="BRAND.com",I151,IF(ISNA(VLOOKUP(_xlfn.CONCAT(X151,Z151),TIME!$M$40:$M$42,1,FALSE)),I151,VLOOKUP(_xlfn.CONCAT(D151,G151,H151),M_BUSAREA_FC!$AF$5:$AJ$10,5,FALSE)*HLOOKUP(_xlfn.CONCAT(F151,H151),ST_OVERVIEW!$G$99:$I$130,MATCH(_xlfn.CONCAT(D151,E151),ST_OVERVIEW!$F$99:$F$130,0),FALSE))),IF(D151="BRAND.com",VLOOKUP(_xlfn.CONCAT(C151,D151,E151,TIME!$F$1,Z151),HIS_SALES!$B$2:$V$4859,19,FALSE)*I151,VLOOKUP(_xlfn.CONCAT(D151,F151,G151),Q_BUSAREA_FC!$AE$5:$AI$12,5,FALSE)*HLOOKUP(_xlfn.CONCAT(FC_DATA!F151,FC_DATA!G151),LT_OVERVIEW!$I$99:$M$130,MATCH(_xlfn.CONCAT(D151,FC_DATA!E151),LT_OVERVIEW!$H$99:$H$130,0),FALSE)*IFERROR(VLOOKUP(_xlfn.CONCAT(C151,D151,E151,TIME!$F$1,Z151),HIS_SALES!$B$2:$V$4859,19,FALSE),0)))</f>
        <v>#N/A</v>
      </c>
      <c r="AD151" s="341">
        <f t="shared" ca="1" si="82"/>
        <v>0</v>
      </c>
      <c r="AE151" s="363" t="str">
        <f t="shared" si="83"/>
        <v/>
      </c>
      <c r="AF151" s="342" t="str">
        <f t="shared" si="84"/>
        <v/>
      </c>
      <c r="AG151" s="411" t="e">
        <f ca="1">VLOOKUP(_xlfn.CONCAT(U151,V151,W151,VLOOKUP(X151&amp;Y151,TIME!$L$27:$O$34,4,FALSE),Y151),HIS_SALES!$A$2:$R$5093,18,FALSE)</f>
        <v>#N/A</v>
      </c>
      <c r="AH151" s="412" t="e">
        <f ca="1">IFERROR(IF(AND(V151=V150,W151=W150),0.5*(AB151+AB150)*AG151,(VLOOKUP(_xlfn.CONCAT(U151,V151,W151,X151,VLOOKUP(Z151,TIME!$S$28:$T$39,2,FALSE)),FC_DATA!$R$2:$AB$5000,MATCH("GS_I_M",FC_DATA!$R$1:$AB$1,0),FALSE)+FC_DATA!AB151)*0.5*FC_DATA!AG151),NA())</f>
        <v>#N/A</v>
      </c>
      <c r="AI151" s="491" t="e">
        <f ca="1">IF(V151="PARTNER.com",AH151,IF(AND(V151=V150,W151=W150),(1-AVERAGE(AD150,AD151))*AH151,(1-AVERAGE(AD151,VLOOKUP(_xlfn.CONCAT(U151,V151,W151,X151,M_BRAND_FC!$F$6),FC_DATA!$R$2:$AD$5000,MATCH("DISCOUNT_%_M",FC_DATA!$R$1:$AD$1,0),FALSE)))*AH151))</f>
        <v>#N/A</v>
      </c>
      <c r="AJ151" s="412" t="str">
        <f t="shared" ca="1" si="68"/>
        <v/>
      </c>
      <c r="AK151" s="413" t="str">
        <f>IFERROR(AE151/(Q_BRAND_FC!$T$24+1),"")</f>
        <v/>
      </c>
      <c r="AL151" s="88" t="str">
        <f t="shared" ca="1" si="69"/>
        <v/>
      </c>
      <c r="AM151" s="414" t="str">
        <f t="shared" ca="1" si="70"/>
        <v/>
      </c>
      <c r="AN151" s="58">
        <f>IFERROR(IF($V151="BRAND.com",HLOOKUP($X151&amp;$Z151,NWC_FC_NOOS!$C$4:$Q$23,MATCH(W151,NWC_FC_NOOS!$B$4:$B$23,0),FALSE),0),0)</f>
        <v>0</v>
      </c>
      <c r="AO151" s="57">
        <f>IFERROR(IF($V151="BRAND.com",HLOOKUP($X151&amp;$Z151,NWC_FC_NOOS!$T$4:$AH$23,MATCH(W151,NWC_FC_NOOS!$S$4:$S$23,0),FALSE),0),0)</f>
        <v>0</v>
      </c>
      <c r="AP151" s="57">
        <f>IFERROR(IF($V151="BRAND.com",HLOOKUP($X151&amp;$Z151,NWC_FC_NOOS!$C$50:$U$69,MATCH(W151,NWC_FC_NOOS!$B$50:$B$69,0),FALSE),0),0)</f>
        <v>0</v>
      </c>
      <c r="AQ151" s="58">
        <f>IFERROR(IF($V151="BRAND.com",HLOOKUP($X151&amp;$Z151,'NWC_FC_NON-NOOS'!$C$4:$Q$23,MATCH(W151,'NWC_FC_NON-NOOS'!$B$4:$B$23,0),FALSE),0),0)</f>
        <v>0</v>
      </c>
      <c r="AR151" s="57">
        <f>IFERROR(IF($V151="BRAND.com",HLOOKUP($X151&amp;$Z151,'NWC_FC_NON-NOOS'!$T$4:$AH$23,MATCH(W151,'NWC_FC_NON-NOOS'!$S$4:$S$23,0),FALSE),0),0)</f>
        <v>0</v>
      </c>
      <c r="AS151" s="57">
        <f>IFERROR(IF($V151="BRAND.com",HLOOKUP($X151&amp;$Z151,'NWC_FC_NON-NOOS'!$C$50:$U$69,MATCH(W151,'NWC_FC_NON-NOOS'!$B$50:$B$69,0),FALSE),0),0)</f>
        <v>0</v>
      </c>
      <c r="AT151" s="57">
        <f t="shared" si="72"/>
        <v>0</v>
      </c>
      <c r="AU151" s="57">
        <f t="shared" si="73"/>
        <v>0</v>
      </c>
      <c r="AV151" s="58">
        <f>IFERROR(IF($V151="BRAND.com",HLOOKUP($X151&amp;$Z151,PLANNING_FC!$BB$27:$BP$46,MATCH($W151,PLANNING_FC!$BA$27:$BA$46,0),FALSE),0),0)</f>
        <v>0</v>
      </c>
      <c r="AW151" s="58">
        <f>IFERROR(IF($V151="BRAND.com",HLOOKUP($X151&amp;$Z151,PLANNING_FC!$BB$4:$BP$23,MATCH($W151,PLANNING_FC!$BA$4:$BA$23,0),FALSE),0),0)</f>
        <v>0</v>
      </c>
      <c r="AX151" s="58">
        <f>IFERROR(IF($V151="BRAND.com",HLOOKUP($X151&amp;$Z151,PLANNING_FC!$T$27:$AH$46,MATCH($W151,PLANNING_FC!$B$27:$B$46,0),FALSE),0),0)</f>
        <v>0</v>
      </c>
      <c r="AY151" s="58">
        <f>IFERROR(IF($V151="BRAND.com",HLOOKUP($X151&amp;$Z151,PLANNING_FC!$T$4:$AH$23,MATCH($W151,PLANNING_FC!$B$4:$B$23,0),FALSE),0),0)</f>
        <v>0</v>
      </c>
      <c r="AZ151" s="58">
        <f>IFERROR(IF($V151="BRAND.com",HLOOKUP($X151&amp;$Z151,PLANNING_FC!$DA$27:$DO$46,MATCH($W151,PLANNING_FC!$CZ$27:$CZ$46,0),FALSE),0),0)</f>
        <v>0</v>
      </c>
      <c r="BA151" s="58">
        <f>IFERROR(IF($V151="BRAND.com",HLOOKUP($X151&amp;$Z151,PLANNING_FC!$DA$4:$DO$23,MATCH($W151,PLANNING_FC!$CZ$4:$CZ$23,0),FALSE),0),0)</f>
        <v>0</v>
      </c>
      <c r="BB151" s="883" t="str">
        <f>IF(V151="BRAND.com",IFERROR(HLOOKUP(X151&amp;Z151,PLANNING_FC!$AK$4:$AY$23,MATCH(W151,PLANNING_FC!$AJ$4:$AJ$23,0),FALSE)*1000,""),"")</f>
        <v/>
      </c>
      <c r="BC151" s="883" t="str">
        <f>IF(V151="BRAND.com",IFERROR(HLOOKUP(X151&amp;Z151,PLANNING_FC!$AK$27:$AY$46,MATCH(W151,PLANNING_FC!$AJ$27:$AJ$46,0),FALSE)*1000,""),"")</f>
        <v/>
      </c>
    </row>
    <row r="152" spans="1:55" x14ac:dyDescent="0.25">
      <c r="A152" s="509"/>
      <c r="B152" s="510"/>
      <c r="C152" s="509"/>
      <c r="D152" s="509"/>
      <c r="E152" s="509"/>
      <c r="F152" s="509"/>
      <c r="G152" s="509"/>
      <c r="H152" s="509"/>
      <c r="I152" s="512"/>
      <c r="J152" s="513"/>
      <c r="K152" s="879"/>
      <c r="L152" s="515"/>
      <c r="M152" s="516"/>
      <c r="N152" s="56">
        <f t="shared" si="74"/>
        <v>0</v>
      </c>
      <c r="O152" s="57">
        <f t="shared" si="75"/>
        <v>0</v>
      </c>
      <c r="P152" s="57">
        <f ca="1">IFERROR(IF(ISBLANK(H152),SUMIFS($AC:$AC,$V:$V,V152,$W:$W,W152,$X:$X,X152,$Y:$Y,Y152)*J152/(1-J152)*VLOOKUP(_xlfn.CONCAT(C152,D152,E152,TIME!$M$12,Z152),HIS_SALES!$B$2:$W$4859,20,FALSE),AC152*J152/(1-J152)),0)</f>
        <v>0</v>
      </c>
      <c r="Q152" s="541" t="str">
        <f t="shared" si="85"/>
        <v/>
      </c>
      <c r="R152" s="346" t="str">
        <f t="shared" si="65"/>
        <v>00000</v>
      </c>
      <c r="S152" s="344">
        <f t="shared" si="76"/>
        <v>0</v>
      </c>
      <c r="T152" s="345" t="str">
        <f t="shared" si="71"/>
        <v>000</v>
      </c>
      <c r="U152" s="345">
        <f t="shared" si="77"/>
        <v>0</v>
      </c>
      <c r="V152" s="345">
        <f t="shared" si="78"/>
        <v>0</v>
      </c>
      <c r="W152" s="345">
        <f t="shared" si="79"/>
        <v>0</v>
      </c>
      <c r="X152" s="345">
        <f t="shared" si="80"/>
        <v>0</v>
      </c>
      <c r="Y152" s="345">
        <f t="shared" si="81"/>
        <v>0</v>
      </c>
      <c r="Z152" s="345">
        <f>IF(Q152&lt;&gt;"",VLOOKUP(Y152,TIME!$R$21:$V$24,MATCH(FC_DATA!Q152,TIME!$R$20:$V$20,0),FALSE),H152)</f>
        <v>0</v>
      </c>
      <c r="AA152" s="345" t="str">
        <f>IFERROR(VLOOKUP(X152&amp;Z152,TIME!$A$12:$D$71,4,FALSE),"")</f>
        <v/>
      </c>
      <c r="AB152" s="592">
        <f t="shared" ca="1" si="66"/>
        <v>0</v>
      </c>
      <c r="AC152" s="593" t="e">
        <f ca="1">IF(ISBLANK(H152)=FALSE,IF(D152="BRAND.com",I152,IF(ISNA(VLOOKUP(_xlfn.CONCAT(X152,Z152),TIME!$M$40:$M$42,1,FALSE)),I152,VLOOKUP(_xlfn.CONCAT(D152,G152,H152),M_BUSAREA_FC!$AF$5:$AJ$10,5,FALSE)*HLOOKUP(_xlfn.CONCAT(F152,H152),ST_OVERVIEW!$G$99:$I$130,MATCH(_xlfn.CONCAT(D152,E152),ST_OVERVIEW!$F$99:$F$130,0),FALSE))),IF(D152="BRAND.com",VLOOKUP(_xlfn.CONCAT(C152,D152,E152,TIME!$F$1,Z152),HIS_SALES!$B$2:$V$4859,19,FALSE)*I152,VLOOKUP(_xlfn.CONCAT(D152,F152,G152),Q_BUSAREA_FC!$AE$5:$AI$12,5,FALSE)*HLOOKUP(_xlfn.CONCAT(FC_DATA!F152,FC_DATA!G152),LT_OVERVIEW!$I$99:$M$130,MATCH(_xlfn.CONCAT(D152,FC_DATA!E152),LT_OVERVIEW!$H$99:$H$130,0),FALSE)*IFERROR(VLOOKUP(_xlfn.CONCAT(C152,D152,E152,TIME!$F$1,Z152),HIS_SALES!$B$2:$V$4859,19,FALSE),0)))</f>
        <v>#N/A</v>
      </c>
      <c r="AD152" s="341">
        <f t="shared" ca="1" si="82"/>
        <v>0</v>
      </c>
      <c r="AE152" s="363" t="str">
        <f t="shared" si="83"/>
        <v/>
      </c>
      <c r="AF152" s="342" t="str">
        <f t="shared" si="84"/>
        <v/>
      </c>
      <c r="AG152" s="411" t="e">
        <f ca="1">VLOOKUP(_xlfn.CONCAT(U152,V152,W152,VLOOKUP(X152&amp;Y152,TIME!$L$27:$O$34,4,FALSE),Y152),HIS_SALES!$A$2:$R$5093,18,FALSE)</f>
        <v>#N/A</v>
      </c>
      <c r="AH152" s="412" t="e">
        <f ca="1">IFERROR(IF(AND(V152=V151,W152=W151),0.5*(AB152+AB151)*AG152,(VLOOKUP(_xlfn.CONCAT(U152,V152,W152,X152,VLOOKUP(Z152,TIME!$S$28:$T$39,2,FALSE)),FC_DATA!$R$2:$AB$5000,MATCH("GS_I_M",FC_DATA!$R$1:$AB$1,0),FALSE)+FC_DATA!AB152)*0.5*FC_DATA!AG152),NA())</f>
        <v>#N/A</v>
      </c>
      <c r="AI152" s="491" t="e">
        <f ca="1">IF(V152="PARTNER.com",AH152,IF(AND(V152=V151,W152=W151),(1-AVERAGE(AD151,AD152))*AH152,(1-AVERAGE(AD152,VLOOKUP(_xlfn.CONCAT(U152,V152,W152,X152,M_BRAND_FC!$F$6),FC_DATA!$R$2:$AD$5000,MATCH("DISCOUNT_%_M",FC_DATA!$R$1:$AD$1,0),FALSE)))*AH152))</f>
        <v>#N/A</v>
      </c>
      <c r="AJ152" s="412" t="str">
        <f t="shared" ca="1" si="68"/>
        <v/>
      </c>
      <c r="AK152" s="413" t="str">
        <f>IFERROR(AE152/(Q_BRAND_FC!$T$24+1),"")</f>
        <v/>
      </c>
      <c r="AL152" s="88" t="str">
        <f t="shared" ca="1" si="69"/>
        <v/>
      </c>
      <c r="AM152" s="414" t="str">
        <f t="shared" ca="1" si="70"/>
        <v/>
      </c>
      <c r="AN152" s="58">
        <f>IFERROR(IF($V152="BRAND.com",HLOOKUP($X152&amp;$Z152,NWC_FC_NOOS!$C$4:$Q$23,MATCH(W152,NWC_FC_NOOS!$B$4:$B$23,0),FALSE),0),0)</f>
        <v>0</v>
      </c>
      <c r="AO152" s="57">
        <f>IFERROR(IF($V152="BRAND.com",HLOOKUP($X152&amp;$Z152,NWC_FC_NOOS!$T$4:$AH$23,MATCH(W152,NWC_FC_NOOS!$S$4:$S$23,0),FALSE),0),0)</f>
        <v>0</v>
      </c>
      <c r="AP152" s="57">
        <f>IFERROR(IF($V152="BRAND.com",HLOOKUP($X152&amp;$Z152,NWC_FC_NOOS!$C$50:$U$69,MATCH(W152,NWC_FC_NOOS!$B$50:$B$69,0),FALSE),0),0)</f>
        <v>0</v>
      </c>
      <c r="AQ152" s="58">
        <f>IFERROR(IF($V152="BRAND.com",HLOOKUP($X152&amp;$Z152,'NWC_FC_NON-NOOS'!$C$4:$Q$23,MATCH(W152,'NWC_FC_NON-NOOS'!$B$4:$B$23,0),FALSE),0),0)</f>
        <v>0</v>
      </c>
      <c r="AR152" s="57">
        <f>IFERROR(IF($V152="BRAND.com",HLOOKUP($X152&amp;$Z152,'NWC_FC_NON-NOOS'!$T$4:$AH$23,MATCH(W152,'NWC_FC_NON-NOOS'!$S$4:$S$23,0),FALSE),0),0)</f>
        <v>0</v>
      </c>
      <c r="AS152" s="57">
        <f>IFERROR(IF($V152="BRAND.com",HLOOKUP($X152&amp;$Z152,'NWC_FC_NON-NOOS'!$C$50:$U$69,MATCH(W152,'NWC_FC_NON-NOOS'!$B$50:$B$69,0),FALSE),0),0)</f>
        <v>0</v>
      </c>
      <c r="AT152" s="57">
        <f t="shared" si="72"/>
        <v>0</v>
      </c>
      <c r="AU152" s="57">
        <f t="shared" si="73"/>
        <v>0</v>
      </c>
      <c r="AV152" s="58">
        <f>IFERROR(IF($V152="BRAND.com",HLOOKUP($X152&amp;$Z152,PLANNING_FC!$BB$27:$BP$46,MATCH($W152,PLANNING_FC!$BA$27:$BA$46,0),FALSE),0),0)</f>
        <v>0</v>
      </c>
      <c r="AW152" s="58">
        <f>IFERROR(IF($V152="BRAND.com",HLOOKUP($X152&amp;$Z152,PLANNING_FC!$BB$4:$BP$23,MATCH($W152,PLANNING_FC!$BA$4:$BA$23,0),FALSE),0),0)</f>
        <v>0</v>
      </c>
      <c r="AX152" s="58">
        <f>IFERROR(IF($V152="BRAND.com",HLOOKUP($X152&amp;$Z152,PLANNING_FC!$T$27:$AH$46,MATCH($W152,PLANNING_FC!$B$27:$B$46,0),FALSE),0),0)</f>
        <v>0</v>
      </c>
      <c r="AY152" s="58">
        <f>IFERROR(IF($V152="BRAND.com",HLOOKUP($X152&amp;$Z152,PLANNING_FC!$T$4:$AH$23,MATCH($W152,PLANNING_FC!$B$4:$B$23,0),FALSE),0),0)</f>
        <v>0</v>
      </c>
      <c r="AZ152" s="58">
        <f>IFERROR(IF($V152="BRAND.com",HLOOKUP($X152&amp;$Z152,PLANNING_FC!$DA$27:$DO$46,MATCH($W152,PLANNING_FC!$CZ$27:$CZ$46,0),FALSE),0),0)</f>
        <v>0</v>
      </c>
      <c r="BA152" s="58">
        <f>IFERROR(IF($V152="BRAND.com",HLOOKUP($X152&amp;$Z152,PLANNING_FC!$DA$4:$DO$23,MATCH($W152,PLANNING_FC!$CZ$4:$CZ$23,0),FALSE),0),0)</f>
        <v>0</v>
      </c>
      <c r="BB152" s="883" t="str">
        <f>IF(V152="BRAND.com",IFERROR(HLOOKUP(X152&amp;Z152,PLANNING_FC!$AK$4:$AY$23,MATCH(W152,PLANNING_FC!$AJ$4:$AJ$23,0),FALSE)*1000,""),"")</f>
        <v/>
      </c>
      <c r="BC152" s="883" t="str">
        <f>IF(V152="BRAND.com",IFERROR(HLOOKUP(X152&amp;Z152,PLANNING_FC!$AK$27:$AY$46,MATCH(W152,PLANNING_FC!$AJ$27:$AJ$46,0),FALSE)*1000,""),"")</f>
        <v/>
      </c>
    </row>
    <row r="153" spans="1:55" x14ac:dyDescent="0.25">
      <c r="A153" s="509"/>
      <c r="B153" s="510"/>
      <c r="C153" s="509"/>
      <c r="D153" s="509"/>
      <c r="E153" s="509"/>
      <c r="F153" s="509"/>
      <c r="G153" s="509"/>
      <c r="H153" s="509"/>
      <c r="I153" s="512"/>
      <c r="J153" s="513"/>
      <c r="K153" s="879"/>
      <c r="L153" s="515"/>
      <c r="M153" s="516"/>
      <c r="N153" s="56">
        <f t="shared" si="74"/>
        <v>0</v>
      </c>
      <c r="O153" s="57">
        <f t="shared" si="75"/>
        <v>0</v>
      </c>
      <c r="P153" s="57">
        <f ca="1">IFERROR(IF(ISBLANK(H153),SUMIFS($AC:$AC,$V:$V,V153,$W:$W,W153,$X:$X,X153,$Y:$Y,Y153)*J153/(1-J153)*VLOOKUP(_xlfn.CONCAT(C153,D153,E153,TIME!$M$12,Z153),HIS_SALES!$B$2:$W$4859,20,FALSE),AC153*J153/(1-J153)),0)</f>
        <v>0</v>
      </c>
      <c r="Q153" s="541" t="str">
        <f t="shared" si="85"/>
        <v/>
      </c>
      <c r="R153" s="346" t="str">
        <f t="shared" si="65"/>
        <v>00000</v>
      </c>
      <c r="S153" s="344">
        <f t="shared" si="76"/>
        <v>0</v>
      </c>
      <c r="T153" s="345" t="str">
        <f t="shared" si="71"/>
        <v>000</v>
      </c>
      <c r="U153" s="345">
        <f t="shared" si="77"/>
        <v>0</v>
      </c>
      <c r="V153" s="345">
        <f t="shared" si="78"/>
        <v>0</v>
      </c>
      <c r="W153" s="345">
        <f t="shared" si="79"/>
        <v>0</v>
      </c>
      <c r="X153" s="345">
        <f t="shared" si="80"/>
        <v>0</v>
      </c>
      <c r="Y153" s="345">
        <f t="shared" si="81"/>
        <v>0</v>
      </c>
      <c r="Z153" s="345">
        <f>IF(Q153&lt;&gt;"",VLOOKUP(Y153,TIME!$R$21:$V$24,MATCH(FC_DATA!Q153,TIME!$R$20:$V$20,0),FALSE),H153)</f>
        <v>0</v>
      </c>
      <c r="AA153" s="345" t="str">
        <f>IFERROR(VLOOKUP(X153&amp;Z153,TIME!$A$12:$D$71,4,FALSE),"")</f>
        <v/>
      </c>
      <c r="AB153" s="592">
        <f t="shared" ca="1" si="66"/>
        <v>0</v>
      </c>
      <c r="AC153" s="593" t="e">
        <f ca="1">IF(ISBLANK(H153)=FALSE,IF(D153="BRAND.com",I153,IF(ISNA(VLOOKUP(_xlfn.CONCAT(X153,Z153),TIME!$M$40:$M$42,1,FALSE)),I153,VLOOKUP(_xlfn.CONCAT(D153,G153,H153),M_BUSAREA_FC!$AF$5:$AJ$10,5,FALSE)*HLOOKUP(_xlfn.CONCAT(F153,H153),ST_OVERVIEW!$G$99:$I$130,MATCH(_xlfn.CONCAT(D153,E153),ST_OVERVIEW!$F$99:$F$130,0),FALSE))),IF(D153="BRAND.com",VLOOKUP(_xlfn.CONCAT(C153,D153,E153,TIME!$F$1,Z153),HIS_SALES!$B$2:$V$4859,19,FALSE)*I153,VLOOKUP(_xlfn.CONCAT(D153,F153,G153),Q_BUSAREA_FC!$AE$5:$AI$12,5,FALSE)*HLOOKUP(_xlfn.CONCAT(FC_DATA!F153,FC_DATA!G153),LT_OVERVIEW!$I$99:$M$130,MATCH(_xlfn.CONCAT(D153,FC_DATA!E153),LT_OVERVIEW!$H$99:$H$130,0),FALSE)*IFERROR(VLOOKUP(_xlfn.CONCAT(C153,D153,E153,TIME!$F$1,Z153),HIS_SALES!$B$2:$V$4859,19,FALSE),0)))</f>
        <v>#N/A</v>
      </c>
      <c r="AD153" s="341">
        <f t="shared" ca="1" si="82"/>
        <v>0</v>
      </c>
      <c r="AE153" s="363" t="str">
        <f t="shared" si="83"/>
        <v/>
      </c>
      <c r="AF153" s="342" t="str">
        <f t="shared" si="84"/>
        <v/>
      </c>
      <c r="AG153" s="411" t="e">
        <f ca="1">VLOOKUP(_xlfn.CONCAT(U153,V153,W153,VLOOKUP(X153&amp;Y153,TIME!$L$27:$O$34,4,FALSE),Y153),HIS_SALES!$A$2:$R$5093,18,FALSE)</f>
        <v>#N/A</v>
      </c>
      <c r="AH153" s="412" t="e">
        <f ca="1">IFERROR(IF(AND(V153=V152,W153=W152),0.5*(AB153+AB152)*AG153,(VLOOKUP(_xlfn.CONCAT(U153,V153,W153,X153,VLOOKUP(Z153,TIME!$S$28:$T$39,2,FALSE)),FC_DATA!$R$2:$AB$5000,MATCH("GS_I_M",FC_DATA!$R$1:$AB$1,0),FALSE)+FC_DATA!AB153)*0.5*FC_DATA!AG153),NA())</f>
        <v>#N/A</v>
      </c>
      <c r="AI153" s="491" t="e">
        <f ca="1">IF(V153="PARTNER.com",AH153,IF(AND(V153=V152,W153=W152),(1-AVERAGE(AD152,AD153))*AH153,(1-AVERAGE(AD153,VLOOKUP(_xlfn.CONCAT(U153,V153,W153,X153,M_BRAND_FC!$F$6),FC_DATA!$R$2:$AD$5000,MATCH("DISCOUNT_%_M",FC_DATA!$R$1:$AD$1,0),FALSE)))*AH153))</f>
        <v>#N/A</v>
      </c>
      <c r="AJ153" s="412" t="str">
        <f t="shared" ca="1" si="68"/>
        <v/>
      </c>
      <c r="AK153" s="413" t="str">
        <f>IFERROR(AE153/(Q_BRAND_FC!$T$24+1),"")</f>
        <v/>
      </c>
      <c r="AL153" s="88" t="str">
        <f t="shared" ca="1" si="69"/>
        <v/>
      </c>
      <c r="AM153" s="414" t="str">
        <f t="shared" ca="1" si="70"/>
        <v/>
      </c>
      <c r="AN153" s="58">
        <f>IFERROR(IF($V153="BRAND.com",HLOOKUP($X153&amp;$Z153,NWC_FC_NOOS!$C$4:$Q$23,MATCH(W153,NWC_FC_NOOS!$B$4:$B$23,0),FALSE),0),0)</f>
        <v>0</v>
      </c>
      <c r="AO153" s="57">
        <f>IFERROR(IF($V153="BRAND.com",HLOOKUP($X153&amp;$Z153,NWC_FC_NOOS!$T$4:$AH$23,MATCH(W153,NWC_FC_NOOS!$S$4:$S$23,0),FALSE),0),0)</f>
        <v>0</v>
      </c>
      <c r="AP153" s="57">
        <f>IFERROR(IF($V153="BRAND.com",HLOOKUP($X153&amp;$Z153,NWC_FC_NOOS!$C$50:$U$69,MATCH(W153,NWC_FC_NOOS!$B$50:$B$69,0),FALSE),0),0)</f>
        <v>0</v>
      </c>
      <c r="AQ153" s="58">
        <f>IFERROR(IF($V153="BRAND.com",HLOOKUP($X153&amp;$Z153,'NWC_FC_NON-NOOS'!$C$4:$Q$23,MATCH(W153,'NWC_FC_NON-NOOS'!$B$4:$B$23,0),FALSE),0),0)</f>
        <v>0</v>
      </c>
      <c r="AR153" s="57">
        <f>IFERROR(IF($V153="BRAND.com",HLOOKUP($X153&amp;$Z153,'NWC_FC_NON-NOOS'!$T$4:$AH$23,MATCH(W153,'NWC_FC_NON-NOOS'!$S$4:$S$23,0),FALSE),0),0)</f>
        <v>0</v>
      </c>
      <c r="AS153" s="57">
        <f>IFERROR(IF($V153="BRAND.com",HLOOKUP($X153&amp;$Z153,'NWC_FC_NON-NOOS'!$C$50:$U$69,MATCH(W153,'NWC_FC_NON-NOOS'!$B$50:$B$69,0),FALSE),0),0)</f>
        <v>0</v>
      </c>
      <c r="AT153" s="57">
        <f t="shared" si="72"/>
        <v>0</v>
      </c>
      <c r="AU153" s="57">
        <f t="shared" si="73"/>
        <v>0</v>
      </c>
      <c r="AV153" s="58">
        <f>IFERROR(IF($V153="BRAND.com",HLOOKUP($X153&amp;$Z153,PLANNING_FC!$BB$27:$BP$46,MATCH($W153,PLANNING_FC!$BA$27:$BA$46,0),FALSE),0),0)</f>
        <v>0</v>
      </c>
      <c r="AW153" s="58">
        <f>IFERROR(IF($V153="BRAND.com",HLOOKUP($X153&amp;$Z153,PLANNING_FC!$BB$4:$BP$23,MATCH($W153,PLANNING_FC!$BA$4:$BA$23,0),FALSE),0),0)</f>
        <v>0</v>
      </c>
      <c r="AX153" s="58">
        <f>IFERROR(IF($V153="BRAND.com",HLOOKUP($X153&amp;$Z153,PLANNING_FC!$T$27:$AH$46,MATCH($W153,PLANNING_FC!$B$27:$B$46,0),FALSE),0),0)</f>
        <v>0</v>
      </c>
      <c r="AY153" s="58">
        <f>IFERROR(IF($V153="BRAND.com",HLOOKUP($X153&amp;$Z153,PLANNING_FC!$T$4:$AH$23,MATCH($W153,PLANNING_FC!$B$4:$B$23,0),FALSE),0),0)</f>
        <v>0</v>
      </c>
      <c r="AZ153" s="58">
        <f>IFERROR(IF($V153="BRAND.com",HLOOKUP($X153&amp;$Z153,PLANNING_FC!$DA$27:$DO$46,MATCH($W153,PLANNING_FC!$CZ$27:$CZ$46,0),FALSE),0),0)</f>
        <v>0</v>
      </c>
      <c r="BA153" s="58">
        <f>IFERROR(IF($V153="BRAND.com",HLOOKUP($X153&amp;$Z153,PLANNING_FC!$DA$4:$DO$23,MATCH($W153,PLANNING_FC!$CZ$4:$CZ$23,0),FALSE),0),0)</f>
        <v>0</v>
      </c>
      <c r="BB153" s="883" t="str">
        <f>IF(V153="BRAND.com",IFERROR(HLOOKUP(X153&amp;Z153,PLANNING_FC!$AK$4:$AY$23,MATCH(W153,PLANNING_FC!$AJ$4:$AJ$23,0),FALSE)*1000,""),"")</f>
        <v/>
      </c>
      <c r="BC153" s="883" t="str">
        <f>IF(V153="BRAND.com",IFERROR(HLOOKUP(X153&amp;Z153,PLANNING_FC!$AK$27:$AY$46,MATCH(W153,PLANNING_FC!$AJ$27:$AJ$46,0),FALSE)*1000,""),"")</f>
        <v/>
      </c>
    </row>
    <row r="154" spans="1:55" x14ac:dyDescent="0.25">
      <c r="A154" s="509"/>
      <c r="B154" s="510"/>
      <c r="C154" s="509"/>
      <c r="D154" s="509"/>
      <c r="E154" s="509"/>
      <c r="F154" s="509"/>
      <c r="G154" s="509"/>
      <c r="H154" s="509"/>
      <c r="I154" s="512"/>
      <c r="J154" s="513"/>
      <c r="K154" s="879"/>
      <c r="L154" s="515"/>
      <c r="M154" s="516"/>
      <c r="N154" s="56">
        <f t="shared" si="74"/>
        <v>0</v>
      </c>
      <c r="O154" s="57">
        <f t="shared" si="75"/>
        <v>0</v>
      </c>
      <c r="P154" s="57">
        <f ca="1">IFERROR(IF(ISBLANK(H154),SUMIFS($AC:$AC,$V:$V,V154,$W:$W,W154,$X:$X,X154,$Y:$Y,Y154)*J154/(1-J154)*VLOOKUP(_xlfn.CONCAT(C154,D154,E154,TIME!$M$12,Z154),HIS_SALES!$B$2:$W$4859,20,FALSE),AC154*J154/(1-J154)),0)</f>
        <v>0</v>
      </c>
      <c r="Q154" s="541" t="str">
        <f t="shared" si="85"/>
        <v/>
      </c>
      <c r="R154" s="346" t="str">
        <f t="shared" si="65"/>
        <v>00000</v>
      </c>
      <c r="S154" s="344">
        <f t="shared" si="76"/>
        <v>0</v>
      </c>
      <c r="T154" s="345" t="str">
        <f t="shared" si="71"/>
        <v>000</v>
      </c>
      <c r="U154" s="345">
        <f t="shared" si="77"/>
        <v>0</v>
      </c>
      <c r="V154" s="345">
        <f t="shared" si="78"/>
        <v>0</v>
      </c>
      <c r="W154" s="345">
        <f t="shared" si="79"/>
        <v>0</v>
      </c>
      <c r="X154" s="345">
        <f t="shared" si="80"/>
        <v>0</v>
      </c>
      <c r="Y154" s="345">
        <f t="shared" si="81"/>
        <v>0</v>
      </c>
      <c r="Z154" s="345">
        <f>IF(Q154&lt;&gt;"",VLOOKUP(Y154,TIME!$R$21:$V$24,MATCH(FC_DATA!Q154,TIME!$R$20:$V$20,0),FALSE),H154)</f>
        <v>0</v>
      </c>
      <c r="AA154" s="345" t="str">
        <f>IFERROR(VLOOKUP(X154&amp;Z154,TIME!$A$12:$D$71,4,FALSE),"")</f>
        <v/>
      </c>
      <c r="AB154" s="592">
        <f t="shared" ca="1" si="66"/>
        <v>0</v>
      </c>
      <c r="AC154" s="593" t="e">
        <f ca="1">IF(ISBLANK(H154)=FALSE,IF(D154="BRAND.com",I154,IF(ISNA(VLOOKUP(_xlfn.CONCAT(X154,Z154),TIME!$M$40:$M$42,1,FALSE)),I154,VLOOKUP(_xlfn.CONCAT(D154,G154,H154),M_BUSAREA_FC!$AF$5:$AJ$10,5,FALSE)*HLOOKUP(_xlfn.CONCAT(F154,H154),ST_OVERVIEW!$G$99:$I$130,MATCH(_xlfn.CONCAT(D154,E154),ST_OVERVIEW!$F$99:$F$130,0),FALSE))),IF(D154="BRAND.com",VLOOKUP(_xlfn.CONCAT(C154,D154,E154,TIME!$F$1,Z154),HIS_SALES!$B$2:$V$4859,19,FALSE)*I154,VLOOKUP(_xlfn.CONCAT(D154,F154,G154),Q_BUSAREA_FC!$AE$5:$AI$12,5,FALSE)*HLOOKUP(_xlfn.CONCAT(FC_DATA!F154,FC_DATA!G154),LT_OVERVIEW!$I$99:$M$130,MATCH(_xlfn.CONCAT(D154,FC_DATA!E154),LT_OVERVIEW!$H$99:$H$130,0),FALSE)*IFERROR(VLOOKUP(_xlfn.CONCAT(C154,D154,E154,TIME!$F$1,Z154),HIS_SALES!$B$2:$V$4859,19,FALSE),0)))</f>
        <v>#N/A</v>
      </c>
      <c r="AD154" s="341">
        <f t="shared" ca="1" si="82"/>
        <v>0</v>
      </c>
      <c r="AE154" s="363" t="str">
        <f t="shared" si="83"/>
        <v/>
      </c>
      <c r="AF154" s="342" t="str">
        <f t="shared" si="84"/>
        <v/>
      </c>
      <c r="AG154" s="411" t="e">
        <f ca="1">VLOOKUP(_xlfn.CONCAT(U154,V154,W154,VLOOKUP(X154&amp;Y154,TIME!$L$27:$O$34,4,FALSE),Y154),HIS_SALES!$A$2:$R$5093,18,FALSE)</f>
        <v>#N/A</v>
      </c>
      <c r="AH154" s="412" t="e">
        <f ca="1">IFERROR(IF(AND(V154=V153,W154=W153),0.5*(AB154+AB153)*AG154,(VLOOKUP(_xlfn.CONCAT(U154,V154,W154,X154,VLOOKUP(Z154,TIME!$S$28:$T$39,2,FALSE)),FC_DATA!$R$2:$AB$5000,MATCH("GS_I_M",FC_DATA!$R$1:$AB$1,0),FALSE)+FC_DATA!AB154)*0.5*FC_DATA!AG154),NA())</f>
        <v>#N/A</v>
      </c>
      <c r="AI154" s="491" t="e">
        <f ca="1">IF(V154="PARTNER.com",AH154,IF(AND(V154=V153,W154=W153),(1-AVERAGE(AD153,AD154))*AH154,(1-AVERAGE(AD154,VLOOKUP(_xlfn.CONCAT(U154,V154,W154,X154,M_BRAND_FC!$F$6),FC_DATA!$R$2:$AD$5000,MATCH("DISCOUNT_%_M",FC_DATA!$R$1:$AD$1,0),FALSE)))*AH154))</f>
        <v>#N/A</v>
      </c>
      <c r="AJ154" s="412" t="str">
        <f t="shared" ca="1" si="68"/>
        <v/>
      </c>
      <c r="AK154" s="413" t="str">
        <f>IFERROR(AE154/(Q_BRAND_FC!$T$24+1),"")</f>
        <v/>
      </c>
      <c r="AL154" s="88" t="str">
        <f t="shared" ca="1" si="69"/>
        <v/>
      </c>
      <c r="AM154" s="414" t="str">
        <f t="shared" ca="1" si="70"/>
        <v/>
      </c>
      <c r="AN154" s="58">
        <f>IFERROR(IF($V154="BRAND.com",HLOOKUP($X154&amp;$Z154,NWC_FC_NOOS!$C$4:$Q$23,MATCH(W154,NWC_FC_NOOS!$B$4:$B$23,0),FALSE),0),0)</f>
        <v>0</v>
      </c>
      <c r="AO154" s="57">
        <f>IFERROR(IF($V154="BRAND.com",HLOOKUP($X154&amp;$Z154,NWC_FC_NOOS!$T$4:$AH$23,MATCH(W154,NWC_FC_NOOS!$S$4:$S$23,0),FALSE),0),0)</f>
        <v>0</v>
      </c>
      <c r="AP154" s="57">
        <f>IFERROR(IF($V154="BRAND.com",HLOOKUP($X154&amp;$Z154,NWC_FC_NOOS!$C$50:$U$69,MATCH(W154,NWC_FC_NOOS!$B$50:$B$69,0),FALSE),0),0)</f>
        <v>0</v>
      </c>
      <c r="AQ154" s="58">
        <f>IFERROR(IF($V154="BRAND.com",HLOOKUP($X154&amp;$Z154,'NWC_FC_NON-NOOS'!$C$4:$Q$23,MATCH(W154,'NWC_FC_NON-NOOS'!$B$4:$B$23,0),FALSE),0),0)</f>
        <v>0</v>
      </c>
      <c r="AR154" s="57">
        <f>IFERROR(IF($V154="BRAND.com",HLOOKUP($X154&amp;$Z154,'NWC_FC_NON-NOOS'!$T$4:$AH$23,MATCH(W154,'NWC_FC_NON-NOOS'!$S$4:$S$23,0),FALSE),0),0)</f>
        <v>0</v>
      </c>
      <c r="AS154" s="57">
        <f>IFERROR(IF($V154="BRAND.com",HLOOKUP($X154&amp;$Z154,'NWC_FC_NON-NOOS'!$C$50:$U$69,MATCH(W154,'NWC_FC_NON-NOOS'!$B$50:$B$69,0),FALSE),0),0)</f>
        <v>0</v>
      </c>
      <c r="AT154" s="57">
        <f t="shared" si="72"/>
        <v>0</v>
      </c>
      <c r="AU154" s="57">
        <f t="shared" si="73"/>
        <v>0</v>
      </c>
      <c r="AV154" s="58">
        <f>IFERROR(IF($V154="BRAND.com",HLOOKUP($X154&amp;$Z154,PLANNING_FC!$BB$27:$BP$46,MATCH($W154,PLANNING_FC!$BA$27:$BA$46,0),FALSE),0),0)</f>
        <v>0</v>
      </c>
      <c r="AW154" s="58">
        <f>IFERROR(IF($V154="BRAND.com",HLOOKUP($X154&amp;$Z154,PLANNING_FC!$BB$4:$BP$23,MATCH($W154,PLANNING_FC!$BA$4:$BA$23,0),FALSE),0),0)</f>
        <v>0</v>
      </c>
      <c r="AX154" s="58">
        <f>IFERROR(IF($V154="BRAND.com",HLOOKUP($X154&amp;$Z154,PLANNING_FC!$T$27:$AH$46,MATCH($W154,PLANNING_FC!$B$27:$B$46,0),FALSE),0),0)</f>
        <v>0</v>
      </c>
      <c r="AY154" s="58">
        <f>IFERROR(IF($V154="BRAND.com",HLOOKUP($X154&amp;$Z154,PLANNING_FC!$T$4:$AH$23,MATCH($W154,PLANNING_FC!$B$4:$B$23,0),FALSE),0),0)</f>
        <v>0</v>
      </c>
      <c r="AZ154" s="58">
        <f>IFERROR(IF($V154="BRAND.com",HLOOKUP($X154&amp;$Z154,PLANNING_FC!$DA$27:$DO$46,MATCH($W154,PLANNING_FC!$CZ$27:$CZ$46,0),FALSE),0),0)</f>
        <v>0</v>
      </c>
      <c r="BA154" s="58">
        <f>IFERROR(IF($V154="BRAND.com",HLOOKUP($X154&amp;$Z154,PLANNING_FC!$DA$4:$DO$23,MATCH($W154,PLANNING_FC!$CZ$4:$CZ$23,0),FALSE),0),0)</f>
        <v>0</v>
      </c>
      <c r="BB154" s="883" t="str">
        <f>IF(V154="BRAND.com",IFERROR(HLOOKUP(X154&amp;Z154,PLANNING_FC!$AK$4:$AY$23,MATCH(W154,PLANNING_FC!$AJ$4:$AJ$23,0),FALSE)*1000,""),"")</f>
        <v/>
      </c>
      <c r="BC154" s="883" t="str">
        <f>IF(V154="BRAND.com",IFERROR(HLOOKUP(X154&amp;Z154,PLANNING_FC!$AK$27:$AY$46,MATCH(W154,PLANNING_FC!$AJ$27:$AJ$46,0),FALSE)*1000,""),"")</f>
        <v/>
      </c>
    </row>
    <row r="155" spans="1:55" x14ac:dyDescent="0.25">
      <c r="A155" s="509"/>
      <c r="B155" s="510"/>
      <c r="C155" s="509"/>
      <c r="D155" s="509"/>
      <c r="E155" s="509"/>
      <c r="F155" s="509"/>
      <c r="G155" s="509"/>
      <c r="H155" s="509"/>
      <c r="I155" s="512"/>
      <c r="J155" s="513"/>
      <c r="K155" s="879"/>
      <c r="L155" s="515"/>
      <c r="M155" s="516"/>
      <c r="N155" s="56">
        <f t="shared" si="74"/>
        <v>0</v>
      </c>
      <c r="O155" s="57">
        <f t="shared" si="75"/>
        <v>0</v>
      </c>
      <c r="P155" s="57">
        <f ca="1">IFERROR(IF(ISBLANK(H155),SUMIFS($AC:$AC,$V:$V,V155,$W:$W,W155,$X:$X,X155,$Y:$Y,Y155)*J155/(1-J155)*VLOOKUP(_xlfn.CONCAT(C155,D155,E155,TIME!$M$12,Z155),HIS_SALES!$B$2:$W$4859,20,FALSE),AC155*J155/(1-J155)),0)</f>
        <v>0</v>
      </c>
      <c r="Q155" s="541" t="str">
        <f t="shared" si="85"/>
        <v/>
      </c>
      <c r="R155" s="346" t="str">
        <f t="shared" si="65"/>
        <v>00000</v>
      </c>
      <c r="S155" s="344">
        <f t="shared" si="76"/>
        <v>0</v>
      </c>
      <c r="T155" s="345" t="str">
        <f t="shared" si="71"/>
        <v>000</v>
      </c>
      <c r="U155" s="345">
        <f t="shared" si="77"/>
        <v>0</v>
      </c>
      <c r="V155" s="345">
        <f t="shared" si="78"/>
        <v>0</v>
      </c>
      <c r="W155" s="345">
        <f t="shared" si="79"/>
        <v>0</v>
      </c>
      <c r="X155" s="345">
        <f t="shared" si="80"/>
        <v>0</v>
      </c>
      <c r="Y155" s="345">
        <f t="shared" si="81"/>
        <v>0</v>
      </c>
      <c r="Z155" s="345">
        <f>IF(Q155&lt;&gt;"",VLOOKUP(Y155,TIME!$R$21:$V$24,MATCH(FC_DATA!Q155,TIME!$R$20:$V$20,0),FALSE),H155)</f>
        <v>0</v>
      </c>
      <c r="AA155" s="345" t="str">
        <f>IFERROR(VLOOKUP(X155&amp;Z155,TIME!$A$12:$D$71,4,FALSE),"")</f>
        <v/>
      </c>
      <c r="AB155" s="592">
        <f t="shared" ca="1" si="66"/>
        <v>0</v>
      </c>
      <c r="AC155" s="593" t="e">
        <f ca="1">IF(ISBLANK(H155)=FALSE,IF(D155="BRAND.com",I155,IF(ISNA(VLOOKUP(_xlfn.CONCAT(X155,Z155),TIME!$M$40:$M$42,1,FALSE)),I155,VLOOKUP(_xlfn.CONCAT(D155,G155,H155),M_BUSAREA_FC!$AF$5:$AJ$10,5,FALSE)*HLOOKUP(_xlfn.CONCAT(F155,H155),ST_OVERVIEW!$G$99:$I$130,MATCH(_xlfn.CONCAT(D155,E155),ST_OVERVIEW!$F$99:$F$130,0),FALSE))),IF(D155="BRAND.com",VLOOKUP(_xlfn.CONCAT(C155,D155,E155,TIME!$F$1,Z155),HIS_SALES!$B$2:$V$4859,19,FALSE)*I155,VLOOKUP(_xlfn.CONCAT(D155,F155,G155),Q_BUSAREA_FC!$AE$5:$AI$12,5,FALSE)*HLOOKUP(_xlfn.CONCAT(FC_DATA!F155,FC_DATA!G155),LT_OVERVIEW!$I$99:$M$130,MATCH(_xlfn.CONCAT(D155,FC_DATA!E155),LT_OVERVIEW!$H$99:$H$130,0),FALSE)*IFERROR(VLOOKUP(_xlfn.CONCAT(C155,D155,E155,TIME!$F$1,Z155),HIS_SALES!$B$2:$V$4859,19,FALSE),0)))</f>
        <v>#N/A</v>
      </c>
      <c r="AD155" s="341">
        <f t="shared" ca="1" si="82"/>
        <v>0</v>
      </c>
      <c r="AE155" s="363" t="str">
        <f t="shared" si="83"/>
        <v/>
      </c>
      <c r="AF155" s="342" t="str">
        <f t="shared" si="84"/>
        <v/>
      </c>
      <c r="AG155" s="411" t="e">
        <f ca="1">VLOOKUP(_xlfn.CONCAT(U155,V155,W155,VLOOKUP(X155&amp;Y155,TIME!$L$27:$O$34,4,FALSE),Y155),HIS_SALES!$A$2:$R$5093,18,FALSE)</f>
        <v>#N/A</v>
      </c>
      <c r="AH155" s="412" t="e">
        <f ca="1">IFERROR(IF(AND(V155=V154,W155=W154),0.5*(AB155+AB154)*AG155,(VLOOKUP(_xlfn.CONCAT(U155,V155,W155,X155,VLOOKUP(Z155,TIME!$S$28:$T$39,2,FALSE)),FC_DATA!$R$2:$AB$5000,MATCH("GS_I_M",FC_DATA!$R$1:$AB$1,0),FALSE)+FC_DATA!AB155)*0.5*FC_DATA!AG155),NA())</f>
        <v>#N/A</v>
      </c>
      <c r="AI155" s="491" t="e">
        <f ca="1">IF(V155="PARTNER.com",AH155,IF(AND(V155=V154,W155=W154),(1-AVERAGE(AD154,AD155))*AH155,(1-AVERAGE(AD155,VLOOKUP(_xlfn.CONCAT(U155,V155,W155,X155,M_BRAND_FC!$F$6),FC_DATA!$R$2:$AD$5000,MATCH("DISCOUNT_%_M",FC_DATA!$R$1:$AD$1,0),FALSE)))*AH155))</f>
        <v>#N/A</v>
      </c>
      <c r="AJ155" s="412" t="str">
        <f t="shared" ca="1" si="68"/>
        <v/>
      </c>
      <c r="AK155" s="413" t="str">
        <f>IFERROR(AE155/(Q_BRAND_FC!$T$24+1),"")</f>
        <v/>
      </c>
      <c r="AL155" s="88" t="str">
        <f t="shared" ca="1" si="69"/>
        <v/>
      </c>
      <c r="AM155" s="414" t="str">
        <f t="shared" ca="1" si="70"/>
        <v/>
      </c>
      <c r="AN155" s="58">
        <f>IFERROR(IF($V155="BRAND.com",HLOOKUP($X155&amp;$Z155,NWC_FC_NOOS!$C$4:$Q$23,MATCH(W155,NWC_FC_NOOS!$B$4:$B$23,0),FALSE),0),0)</f>
        <v>0</v>
      </c>
      <c r="AO155" s="57">
        <f>IFERROR(IF($V155="BRAND.com",HLOOKUP($X155&amp;$Z155,NWC_FC_NOOS!$T$4:$AH$23,MATCH(W155,NWC_FC_NOOS!$S$4:$S$23,0),FALSE),0),0)</f>
        <v>0</v>
      </c>
      <c r="AP155" s="57">
        <f>IFERROR(IF($V155="BRAND.com",HLOOKUP($X155&amp;$Z155,NWC_FC_NOOS!$C$50:$U$69,MATCH(W155,NWC_FC_NOOS!$B$50:$B$69,0),FALSE),0),0)</f>
        <v>0</v>
      </c>
      <c r="AQ155" s="58">
        <f>IFERROR(IF($V155="BRAND.com",HLOOKUP($X155&amp;$Z155,'NWC_FC_NON-NOOS'!$C$4:$Q$23,MATCH(W155,'NWC_FC_NON-NOOS'!$B$4:$B$23,0),FALSE),0),0)</f>
        <v>0</v>
      </c>
      <c r="AR155" s="57">
        <f>IFERROR(IF($V155="BRAND.com",HLOOKUP($X155&amp;$Z155,'NWC_FC_NON-NOOS'!$T$4:$AH$23,MATCH(W155,'NWC_FC_NON-NOOS'!$S$4:$S$23,0),FALSE),0),0)</f>
        <v>0</v>
      </c>
      <c r="AS155" s="57">
        <f>IFERROR(IF($V155="BRAND.com",HLOOKUP($X155&amp;$Z155,'NWC_FC_NON-NOOS'!$C$50:$U$69,MATCH(W155,'NWC_FC_NON-NOOS'!$B$50:$B$69,0),FALSE),0),0)</f>
        <v>0</v>
      </c>
      <c r="AT155" s="57">
        <f t="shared" si="72"/>
        <v>0</v>
      </c>
      <c r="AU155" s="57">
        <f t="shared" si="73"/>
        <v>0</v>
      </c>
      <c r="AV155" s="58">
        <f>IFERROR(IF($V155="BRAND.com",HLOOKUP($X155&amp;$Z155,PLANNING_FC!$BB$27:$BP$46,MATCH($W155,PLANNING_FC!$BA$27:$BA$46,0),FALSE),0),0)</f>
        <v>0</v>
      </c>
      <c r="AW155" s="58">
        <f>IFERROR(IF($V155="BRAND.com",HLOOKUP($X155&amp;$Z155,PLANNING_FC!$BB$4:$BP$23,MATCH($W155,PLANNING_FC!$BA$4:$BA$23,0),FALSE),0),0)</f>
        <v>0</v>
      </c>
      <c r="AX155" s="58">
        <f>IFERROR(IF($V155="BRAND.com",HLOOKUP($X155&amp;$Z155,PLANNING_FC!$T$27:$AH$46,MATCH($W155,PLANNING_FC!$B$27:$B$46,0),FALSE),0),0)</f>
        <v>0</v>
      </c>
      <c r="AY155" s="58">
        <f>IFERROR(IF($V155="BRAND.com",HLOOKUP($X155&amp;$Z155,PLANNING_FC!$T$4:$AH$23,MATCH($W155,PLANNING_FC!$B$4:$B$23,0),FALSE),0),0)</f>
        <v>0</v>
      </c>
      <c r="AZ155" s="58">
        <f>IFERROR(IF($V155="BRAND.com",HLOOKUP($X155&amp;$Z155,PLANNING_FC!$DA$27:$DO$46,MATCH($W155,PLANNING_FC!$CZ$27:$CZ$46,0),FALSE),0),0)</f>
        <v>0</v>
      </c>
      <c r="BA155" s="58">
        <f>IFERROR(IF($V155="BRAND.com",HLOOKUP($X155&amp;$Z155,PLANNING_FC!$DA$4:$DO$23,MATCH($W155,PLANNING_FC!$CZ$4:$CZ$23,0),FALSE),0),0)</f>
        <v>0</v>
      </c>
      <c r="BB155" s="883" t="str">
        <f>IF(V155="BRAND.com",IFERROR(HLOOKUP(X155&amp;Z155,PLANNING_FC!$AK$4:$AY$23,MATCH(W155,PLANNING_FC!$AJ$4:$AJ$23,0),FALSE)*1000,""),"")</f>
        <v/>
      </c>
      <c r="BC155" s="883" t="str">
        <f>IF(V155="BRAND.com",IFERROR(HLOOKUP(X155&amp;Z155,PLANNING_FC!$AK$27:$AY$46,MATCH(W155,PLANNING_FC!$AJ$27:$AJ$46,0),FALSE)*1000,""),"")</f>
        <v/>
      </c>
    </row>
    <row r="156" spans="1:55" x14ac:dyDescent="0.25">
      <c r="A156" s="509"/>
      <c r="B156" s="510"/>
      <c r="C156" s="509"/>
      <c r="D156" s="509"/>
      <c r="E156" s="509"/>
      <c r="F156" s="509"/>
      <c r="G156" s="509"/>
      <c r="H156" s="509"/>
      <c r="I156" s="512"/>
      <c r="J156" s="513"/>
      <c r="K156" s="879"/>
      <c r="L156" s="515"/>
      <c r="M156" s="516"/>
      <c r="N156" s="56">
        <f t="shared" si="74"/>
        <v>0</v>
      </c>
      <c r="O156" s="57">
        <f t="shared" si="75"/>
        <v>0</v>
      </c>
      <c r="P156" s="57">
        <f ca="1">IFERROR(IF(ISBLANK(H156),SUMIFS($AC:$AC,$V:$V,V156,$W:$W,W156,$X:$X,X156,$Y:$Y,Y156)*J156/(1-J156)*VLOOKUP(_xlfn.CONCAT(C156,D156,E156,TIME!$M$12,Z156),HIS_SALES!$B$2:$W$4859,20,FALSE),AC156*J156/(1-J156)),0)</f>
        <v>0</v>
      </c>
      <c r="Q156" s="541" t="str">
        <f t="shared" si="85"/>
        <v/>
      </c>
      <c r="R156" s="346" t="str">
        <f t="shared" si="65"/>
        <v>00000</v>
      </c>
      <c r="S156" s="344">
        <f t="shared" si="76"/>
        <v>0</v>
      </c>
      <c r="T156" s="345" t="str">
        <f t="shared" si="71"/>
        <v>000</v>
      </c>
      <c r="U156" s="345">
        <f t="shared" si="77"/>
        <v>0</v>
      </c>
      <c r="V156" s="345">
        <f t="shared" si="78"/>
        <v>0</v>
      </c>
      <c r="W156" s="345">
        <f t="shared" si="79"/>
        <v>0</v>
      </c>
      <c r="X156" s="345">
        <f t="shared" si="80"/>
        <v>0</v>
      </c>
      <c r="Y156" s="345">
        <f t="shared" si="81"/>
        <v>0</v>
      </c>
      <c r="Z156" s="345">
        <f>IF(Q156&lt;&gt;"",VLOOKUP(Y156,TIME!$R$21:$V$24,MATCH(FC_DATA!Q156,TIME!$R$20:$V$20,0),FALSE),H156)</f>
        <v>0</v>
      </c>
      <c r="AA156" s="345" t="str">
        <f>IFERROR(VLOOKUP(X156&amp;Z156,TIME!$A$12:$D$71,4,FALSE),"")</f>
        <v/>
      </c>
      <c r="AB156" s="592">
        <f t="shared" ca="1" si="66"/>
        <v>0</v>
      </c>
      <c r="AC156" s="593" t="e">
        <f ca="1">IF(ISBLANK(H156)=FALSE,IF(D156="BRAND.com",I156,IF(ISNA(VLOOKUP(_xlfn.CONCAT(X156,Z156),TIME!$M$40:$M$42,1,FALSE)),I156,VLOOKUP(_xlfn.CONCAT(D156,G156,H156),M_BUSAREA_FC!$AF$5:$AJ$10,5,FALSE)*HLOOKUP(_xlfn.CONCAT(F156,H156),ST_OVERVIEW!$G$99:$I$130,MATCH(_xlfn.CONCAT(D156,E156),ST_OVERVIEW!$F$99:$F$130,0),FALSE))),IF(D156="BRAND.com",VLOOKUP(_xlfn.CONCAT(C156,D156,E156,TIME!$F$1,Z156),HIS_SALES!$B$2:$V$4859,19,FALSE)*I156,VLOOKUP(_xlfn.CONCAT(D156,F156,G156),Q_BUSAREA_FC!$AE$5:$AI$12,5,FALSE)*HLOOKUP(_xlfn.CONCAT(FC_DATA!F156,FC_DATA!G156),LT_OVERVIEW!$I$99:$M$130,MATCH(_xlfn.CONCAT(D156,FC_DATA!E156),LT_OVERVIEW!$H$99:$H$130,0),FALSE)*IFERROR(VLOOKUP(_xlfn.CONCAT(C156,D156,E156,TIME!$F$1,Z156),HIS_SALES!$B$2:$V$4859,19,FALSE),0)))</f>
        <v>#N/A</v>
      </c>
      <c r="AD156" s="341">
        <f t="shared" ca="1" si="82"/>
        <v>0</v>
      </c>
      <c r="AE156" s="363" t="str">
        <f t="shared" si="83"/>
        <v/>
      </c>
      <c r="AF156" s="342" t="str">
        <f t="shared" si="84"/>
        <v/>
      </c>
      <c r="AG156" s="411" t="e">
        <f ca="1">VLOOKUP(_xlfn.CONCAT(U156,V156,W156,VLOOKUP(X156&amp;Y156,TIME!$L$27:$O$34,4,FALSE),Y156),HIS_SALES!$A$2:$R$5093,18,FALSE)</f>
        <v>#N/A</v>
      </c>
      <c r="AH156" s="412" t="e">
        <f ca="1">IFERROR(IF(AND(V156=V155,W156=W155),0.5*(AB156+AB155)*AG156,(VLOOKUP(_xlfn.CONCAT(U156,V156,W156,X156,VLOOKUP(Z156,TIME!$S$28:$T$39,2,FALSE)),FC_DATA!$R$2:$AB$5000,MATCH("GS_I_M",FC_DATA!$R$1:$AB$1,0),FALSE)+FC_DATA!AB156)*0.5*FC_DATA!AG156),NA())</f>
        <v>#N/A</v>
      </c>
      <c r="AI156" s="491" t="e">
        <f ca="1">IF(V156="PARTNER.com",AH156,IF(AND(V156=V155,W156=W155),(1-AVERAGE(AD155,AD156))*AH156,(1-AVERAGE(AD156,VLOOKUP(_xlfn.CONCAT(U156,V156,W156,X156,M_BRAND_FC!$F$6),FC_DATA!$R$2:$AD$5000,MATCH("DISCOUNT_%_M",FC_DATA!$R$1:$AD$1,0),FALSE)))*AH156))</f>
        <v>#N/A</v>
      </c>
      <c r="AJ156" s="412" t="str">
        <f t="shared" ca="1" si="68"/>
        <v/>
      </c>
      <c r="AK156" s="413" t="str">
        <f>IFERROR(AE156/(Q_BRAND_FC!$T$24+1),"")</f>
        <v/>
      </c>
      <c r="AL156" s="88" t="str">
        <f t="shared" ca="1" si="69"/>
        <v/>
      </c>
      <c r="AM156" s="414" t="str">
        <f t="shared" ca="1" si="70"/>
        <v/>
      </c>
      <c r="AN156" s="58">
        <f>IFERROR(IF($V156="BRAND.com",HLOOKUP($X156&amp;$Z156,NWC_FC_NOOS!$C$4:$Q$23,MATCH(W156,NWC_FC_NOOS!$B$4:$B$23,0),FALSE),0),0)</f>
        <v>0</v>
      </c>
      <c r="AO156" s="57">
        <f>IFERROR(IF($V156="BRAND.com",HLOOKUP($X156&amp;$Z156,NWC_FC_NOOS!$T$4:$AH$23,MATCH(W156,NWC_FC_NOOS!$S$4:$S$23,0),FALSE),0),0)</f>
        <v>0</v>
      </c>
      <c r="AP156" s="57">
        <f>IFERROR(IF($V156="BRAND.com",HLOOKUP($X156&amp;$Z156,NWC_FC_NOOS!$C$50:$U$69,MATCH(W156,NWC_FC_NOOS!$B$50:$B$69,0),FALSE),0),0)</f>
        <v>0</v>
      </c>
      <c r="AQ156" s="58">
        <f>IFERROR(IF($V156="BRAND.com",HLOOKUP($X156&amp;$Z156,'NWC_FC_NON-NOOS'!$C$4:$Q$23,MATCH(W156,'NWC_FC_NON-NOOS'!$B$4:$B$23,0),FALSE),0),0)</f>
        <v>0</v>
      </c>
      <c r="AR156" s="57">
        <f>IFERROR(IF($V156="BRAND.com",HLOOKUP($X156&amp;$Z156,'NWC_FC_NON-NOOS'!$T$4:$AH$23,MATCH(W156,'NWC_FC_NON-NOOS'!$S$4:$S$23,0),FALSE),0),0)</f>
        <v>0</v>
      </c>
      <c r="AS156" s="57">
        <f>IFERROR(IF($V156="BRAND.com",HLOOKUP($X156&amp;$Z156,'NWC_FC_NON-NOOS'!$C$50:$U$69,MATCH(W156,'NWC_FC_NON-NOOS'!$B$50:$B$69,0),FALSE),0),0)</f>
        <v>0</v>
      </c>
      <c r="AT156" s="57">
        <f t="shared" si="72"/>
        <v>0</v>
      </c>
      <c r="AU156" s="57">
        <f t="shared" si="73"/>
        <v>0</v>
      </c>
      <c r="AV156" s="58">
        <f>IFERROR(IF($V156="BRAND.com",HLOOKUP($X156&amp;$Z156,PLANNING_FC!$BB$27:$BP$46,MATCH($W156,PLANNING_FC!$BA$27:$BA$46,0),FALSE),0),0)</f>
        <v>0</v>
      </c>
      <c r="AW156" s="58">
        <f>IFERROR(IF($V156="BRAND.com",HLOOKUP($X156&amp;$Z156,PLANNING_FC!$BB$4:$BP$23,MATCH($W156,PLANNING_FC!$BA$4:$BA$23,0),FALSE),0),0)</f>
        <v>0</v>
      </c>
      <c r="AX156" s="58">
        <f>IFERROR(IF($V156="BRAND.com",HLOOKUP($X156&amp;$Z156,PLANNING_FC!$T$27:$AH$46,MATCH($W156,PLANNING_FC!$B$27:$B$46,0),FALSE),0),0)</f>
        <v>0</v>
      </c>
      <c r="AY156" s="58">
        <f>IFERROR(IF($V156="BRAND.com",HLOOKUP($X156&amp;$Z156,PLANNING_FC!$T$4:$AH$23,MATCH($W156,PLANNING_FC!$B$4:$B$23,0),FALSE),0),0)</f>
        <v>0</v>
      </c>
      <c r="AZ156" s="58">
        <f>IFERROR(IF($V156="BRAND.com",HLOOKUP($X156&amp;$Z156,PLANNING_FC!$DA$27:$DO$46,MATCH($W156,PLANNING_FC!$CZ$27:$CZ$46,0),FALSE),0),0)</f>
        <v>0</v>
      </c>
      <c r="BA156" s="58">
        <f>IFERROR(IF($V156="BRAND.com",HLOOKUP($X156&amp;$Z156,PLANNING_FC!$DA$4:$DO$23,MATCH($W156,PLANNING_FC!$CZ$4:$CZ$23,0),FALSE),0),0)</f>
        <v>0</v>
      </c>
      <c r="BB156" s="883" t="str">
        <f>IF(V156="BRAND.com",IFERROR(HLOOKUP(X156&amp;Z156,PLANNING_FC!$AK$4:$AY$23,MATCH(W156,PLANNING_FC!$AJ$4:$AJ$23,0),FALSE)*1000,""),"")</f>
        <v/>
      </c>
      <c r="BC156" s="883" t="str">
        <f>IF(V156="BRAND.com",IFERROR(HLOOKUP(X156&amp;Z156,PLANNING_FC!$AK$27:$AY$46,MATCH(W156,PLANNING_FC!$AJ$27:$AJ$46,0),FALSE)*1000,""),"")</f>
        <v/>
      </c>
    </row>
    <row r="157" spans="1:55" x14ac:dyDescent="0.25">
      <c r="A157" s="509"/>
      <c r="B157" s="510"/>
      <c r="C157" s="509"/>
      <c r="D157" s="509"/>
      <c r="E157" s="509"/>
      <c r="F157" s="509"/>
      <c r="G157" s="509"/>
      <c r="H157" s="509"/>
      <c r="I157" s="512"/>
      <c r="J157" s="513"/>
      <c r="K157" s="879"/>
      <c r="L157" s="515"/>
      <c r="M157" s="516"/>
      <c r="N157" s="56">
        <f t="shared" si="74"/>
        <v>0</v>
      </c>
      <c r="O157" s="57">
        <f t="shared" si="75"/>
        <v>0</v>
      </c>
      <c r="P157" s="57">
        <f ca="1">IFERROR(IF(ISBLANK(H157),SUMIFS($AC:$AC,$V:$V,V157,$W:$W,W157,$X:$X,X157,$Y:$Y,Y157)*J157/(1-J157)*VLOOKUP(_xlfn.CONCAT(C157,D157,E157,TIME!$M$12,Z157),HIS_SALES!$B$2:$W$4859,20,FALSE),AC157*J157/(1-J157)),0)</f>
        <v>0</v>
      </c>
      <c r="Q157" s="541" t="str">
        <f t="shared" si="85"/>
        <v/>
      </c>
      <c r="R157" s="346" t="str">
        <f t="shared" si="65"/>
        <v>00000</v>
      </c>
      <c r="S157" s="344">
        <f t="shared" si="76"/>
        <v>0</v>
      </c>
      <c r="T157" s="345" t="str">
        <f t="shared" si="71"/>
        <v>000</v>
      </c>
      <c r="U157" s="345">
        <f t="shared" si="77"/>
        <v>0</v>
      </c>
      <c r="V157" s="345">
        <f t="shared" si="78"/>
        <v>0</v>
      </c>
      <c r="W157" s="345">
        <f t="shared" si="79"/>
        <v>0</v>
      </c>
      <c r="X157" s="345">
        <f t="shared" si="80"/>
        <v>0</v>
      </c>
      <c r="Y157" s="345">
        <f t="shared" si="81"/>
        <v>0</v>
      </c>
      <c r="Z157" s="345">
        <f>IF(Q157&lt;&gt;"",VLOOKUP(Y157,TIME!$R$21:$V$24,MATCH(FC_DATA!Q157,TIME!$R$20:$V$20,0),FALSE),H157)</f>
        <v>0</v>
      </c>
      <c r="AA157" s="345" t="str">
        <f>IFERROR(VLOOKUP(X157&amp;Z157,TIME!$A$12:$D$71,4,FALSE),"")</f>
        <v/>
      </c>
      <c r="AB157" s="592">
        <f t="shared" ca="1" si="66"/>
        <v>0</v>
      </c>
      <c r="AC157" s="593" t="e">
        <f ca="1">IF(ISBLANK(H157)=FALSE,IF(D157="BRAND.com",I157,IF(ISNA(VLOOKUP(_xlfn.CONCAT(X157,Z157),TIME!$M$40:$M$42,1,FALSE)),I157,VLOOKUP(_xlfn.CONCAT(D157,G157,H157),M_BUSAREA_FC!$AF$5:$AJ$10,5,FALSE)*HLOOKUP(_xlfn.CONCAT(F157,H157),ST_OVERVIEW!$G$99:$I$130,MATCH(_xlfn.CONCAT(D157,E157),ST_OVERVIEW!$F$99:$F$130,0),FALSE))),IF(D157="BRAND.com",VLOOKUP(_xlfn.CONCAT(C157,D157,E157,TIME!$F$1,Z157),HIS_SALES!$B$2:$V$4859,19,FALSE)*I157,VLOOKUP(_xlfn.CONCAT(D157,F157,G157),Q_BUSAREA_FC!$AE$5:$AI$12,5,FALSE)*HLOOKUP(_xlfn.CONCAT(FC_DATA!F157,FC_DATA!G157),LT_OVERVIEW!$I$99:$M$130,MATCH(_xlfn.CONCAT(D157,FC_DATA!E157),LT_OVERVIEW!$H$99:$H$130,0),FALSE)*IFERROR(VLOOKUP(_xlfn.CONCAT(C157,D157,E157,TIME!$F$1,Z157),HIS_SALES!$B$2:$V$4859,19,FALSE),0)))</f>
        <v>#N/A</v>
      </c>
      <c r="AD157" s="341">
        <f t="shared" ca="1" si="82"/>
        <v>0</v>
      </c>
      <c r="AE157" s="363" t="str">
        <f t="shared" si="83"/>
        <v/>
      </c>
      <c r="AF157" s="342" t="str">
        <f t="shared" si="84"/>
        <v/>
      </c>
      <c r="AG157" s="411" t="e">
        <f ca="1">VLOOKUP(_xlfn.CONCAT(U157,V157,W157,VLOOKUP(X157&amp;Y157,TIME!$L$27:$O$34,4,FALSE),Y157),HIS_SALES!$A$2:$R$5093,18,FALSE)</f>
        <v>#N/A</v>
      </c>
      <c r="AH157" s="412" t="e">
        <f ca="1">IFERROR(IF(AND(V157=V156,W157=W156),0.5*(AB157+AB156)*AG157,(VLOOKUP(_xlfn.CONCAT(U157,V157,W157,X157,VLOOKUP(Z157,TIME!$S$28:$T$39,2,FALSE)),FC_DATA!$R$2:$AB$5000,MATCH("GS_I_M",FC_DATA!$R$1:$AB$1,0),FALSE)+FC_DATA!AB157)*0.5*FC_DATA!AG157),NA())</f>
        <v>#N/A</v>
      </c>
      <c r="AI157" s="491" t="e">
        <f ca="1">IF(V157="PARTNER.com",AH157,IF(AND(V157=V156,W157=W156),(1-AVERAGE(AD156,AD157))*AH157,(1-AVERAGE(AD157,VLOOKUP(_xlfn.CONCAT(U157,V157,W157,X157,M_BRAND_FC!$F$6),FC_DATA!$R$2:$AD$5000,MATCH("DISCOUNT_%_M",FC_DATA!$R$1:$AD$1,0),FALSE)))*AH157))</f>
        <v>#N/A</v>
      </c>
      <c r="AJ157" s="412" t="str">
        <f t="shared" ca="1" si="68"/>
        <v/>
      </c>
      <c r="AK157" s="413" t="str">
        <f>IFERROR(AE157/(Q_BRAND_FC!$T$24+1),"")</f>
        <v/>
      </c>
      <c r="AL157" s="88" t="str">
        <f t="shared" ca="1" si="69"/>
        <v/>
      </c>
      <c r="AM157" s="414" t="str">
        <f t="shared" ca="1" si="70"/>
        <v/>
      </c>
      <c r="AN157" s="58">
        <f>IFERROR(IF($V157="BRAND.com",HLOOKUP($X157&amp;$Z157,NWC_FC_NOOS!$C$4:$Q$23,MATCH(W157,NWC_FC_NOOS!$B$4:$B$23,0),FALSE),0),0)</f>
        <v>0</v>
      </c>
      <c r="AO157" s="57">
        <f>IFERROR(IF($V157="BRAND.com",HLOOKUP($X157&amp;$Z157,NWC_FC_NOOS!$T$4:$AH$23,MATCH(W157,NWC_FC_NOOS!$S$4:$S$23,0),FALSE),0),0)</f>
        <v>0</v>
      </c>
      <c r="AP157" s="57">
        <f>IFERROR(IF($V157="BRAND.com",HLOOKUP($X157&amp;$Z157,NWC_FC_NOOS!$C$50:$U$69,MATCH(W157,NWC_FC_NOOS!$B$50:$B$69,0),FALSE),0),0)</f>
        <v>0</v>
      </c>
      <c r="AQ157" s="58">
        <f>IFERROR(IF($V157="BRAND.com",HLOOKUP($X157&amp;$Z157,'NWC_FC_NON-NOOS'!$C$4:$Q$23,MATCH(W157,'NWC_FC_NON-NOOS'!$B$4:$B$23,0),FALSE),0),0)</f>
        <v>0</v>
      </c>
      <c r="AR157" s="57">
        <f>IFERROR(IF($V157="BRAND.com",HLOOKUP($X157&amp;$Z157,'NWC_FC_NON-NOOS'!$T$4:$AH$23,MATCH(W157,'NWC_FC_NON-NOOS'!$S$4:$S$23,0),FALSE),0),0)</f>
        <v>0</v>
      </c>
      <c r="AS157" s="57">
        <f>IFERROR(IF($V157="BRAND.com",HLOOKUP($X157&amp;$Z157,'NWC_FC_NON-NOOS'!$C$50:$U$69,MATCH(W157,'NWC_FC_NON-NOOS'!$B$50:$B$69,0),FALSE),0),0)</f>
        <v>0</v>
      </c>
      <c r="AT157" s="57">
        <f t="shared" si="72"/>
        <v>0</v>
      </c>
      <c r="AU157" s="57">
        <f t="shared" si="73"/>
        <v>0</v>
      </c>
      <c r="AV157" s="58">
        <f>IFERROR(IF($V157="BRAND.com",HLOOKUP($X157&amp;$Z157,PLANNING_FC!$BB$27:$BP$46,MATCH($W157,PLANNING_FC!$BA$27:$BA$46,0),FALSE),0),0)</f>
        <v>0</v>
      </c>
      <c r="AW157" s="58">
        <f>IFERROR(IF($V157="BRAND.com",HLOOKUP($X157&amp;$Z157,PLANNING_FC!$BB$4:$BP$23,MATCH($W157,PLANNING_FC!$BA$4:$BA$23,0),FALSE),0),0)</f>
        <v>0</v>
      </c>
      <c r="AX157" s="58">
        <f>IFERROR(IF($V157="BRAND.com",HLOOKUP($X157&amp;$Z157,PLANNING_FC!$T$27:$AH$46,MATCH($W157,PLANNING_FC!$B$27:$B$46,0),FALSE),0),0)</f>
        <v>0</v>
      </c>
      <c r="AY157" s="58">
        <f>IFERROR(IF($V157="BRAND.com",HLOOKUP($X157&amp;$Z157,PLANNING_FC!$T$4:$AH$23,MATCH($W157,PLANNING_FC!$B$4:$B$23,0),FALSE),0),0)</f>
        <v>0</v>
      </c>
      <c r="AZ157" s="58">
        <f>IFERROR(IF($V157="BRAND.com",HLOOKUP($X157&amp;$Z157,PLANNING_FC!$DA$27:$DO$46,MATCH($W157,PLANNING_FC!$CZ$27:$CZ$46,0),FALSE),0),0)</f>
        <v>0</v>
      </c>
      <c r="BA157" s="58">
        <f>IFERROR(IF($V157="BRAND.com",HLOOKUP($X157&amp;$Z157,PLANNING_FC!$DA$4:$DO$23,MATCH($W157,PLANNING_FC!$CZ$4:$CZ$23,0),FALSE),0),0)</f>
        <v>0</v>
      </c>
      <c r="BB157" s="883" t="str">
        <f>IF(V157="BRAND.com",IFERROR(HLOOKUP(X157&amp;Z157,PLANNING_FC!$AK$4:$AY$23,MATCH(W157,PLANNING_FC!$AJ$4:$AJ$23,0),FALSE)*1000,""),"")</f>
        <v/>
      </c>
      <c r="BC157" s="883" t="str">
        <f>IF(V157="BRAND.com",IFERROR(HLOOKUP(X157&amp;Z157,PLANNING_FC!$AK$27:$AY$46,MATCH(W157,PLANNING_FC!$AJ$27:$AJ$46,0),FALSE)*1000,""),"")</f>
        <v/>
      </c>
    </row>
    <row r="158" spans="1:55" x14ac:dyDescent="0.25">
      <c r="A158" s="509"/>
      <c r="B158" s="510"/>
      <c r="C158" s="509"/>
      <c r="D158" s="509"/>
      <c r="E158" s="509"/>
      <c r="F158" s="509"/>
      <c r="G158" s="509"/>
      <c r="H158" s="509"/>
      <c r="I158" s="512"/>
      <c r="J158" s="513"/>
      <c r="K158" s="879"/>
      <c r="L158" s="515"/>
      <c r="M158" s="516"/>
      <c r="N158" s="56">
        <f t="shared" si="74"/>
        <v>0</v>
      </c>
      <c r="O158" s="57">
        <f t="shared" si="75"/>
        <v>0</v>
      </c>
      <c r="P158" s="57">
        <f ca="1">IFERROR(IF(ISBLANK(H158),SUMIFS($AC:$AC,$V:$V,V158,$W:$W,W158,$X:$X,X158,$Y:$Y,Y158)*J158/(1-J158)*VLOOKUP(_xlfn.CONCAT(C158,D158,E158,TIME!$M$12,Z158),HIS_SALES!$B$2:$W$4859,20,FALSE),AC158*J158/(1-J158)),0)</f>
        <v>0</v>
      </c>
      <c r="Q158" s="541" t="str">
        <f t="shared" si="85"/>
        <v/>
      </c>
      <c r="R158" s="346" t="str">
        <f t="shared" si="65"/>
        <v>00000</v>
      </c>
      <c r="S158" s="344">
        <f t="shared" si="76"/>
        <v>0</v>
      </c>
      <c r="T158" s="345" t="str">
        <f t="shared" si="71"/>
        <v>000</v>
      </c>
      <c r="U158" s="345">
        <f t="shared" si="77"/>
        <v>0</v>
      </c>
      <c r="V158" s="345">
        <f t="shared" si="78"/>
        <v>0</v>
      </c>
      <c r="W158" s="345">
        <f t="shared" si="79"/>
        <v>0</v>
      </c>
      <c r="X158" s="345">
        <f t="shared" si="80"/>
        <v>0</v>
      </c>
      <c r="Y158" s="345">
        <f t="shared" si="81"/>
        <v>0</v>
      </c>
      <c r="Z158" s="345">
        <f>IF(Q158&lt;&gt;"",VLOOKUP(Y158,TIME!$R$21:$V$24,MATCH(FC_DATA!Q158,TIME!$R$20:$V$20,0),FALSE),H158)</f>
        <v>0</v>
      </c>
      <c r="AA158" s="345" t="str">
        <f>IFERROR(VLOOKUP(X158&amp;Z158,TIME!$A$12:$D$71,4,FALSE),"")</f>
        <v/>
      </c>
      <c r="AB158" s="592">
        <f t="shared" ca="1" si="66"/>
        <v>0</v>
      </c>
      <c r="AC158" s="593" t="e">
        <f ca="1">IF(ISBLANK(H158)=FALSE,IF(D158="BRAND.com",I158,IF(ISNA(VLOOKUP(_xlfn.CONCAT(X158,Z158),TIME!$M$40:$M$42,1,FALSE)),I158,VLOOKUP(_xlfn.CONCAT(D158,G158,H158),M_BUSAREA_FC!$AF$5:$AJ$10,5,FALSE)*HLOOKUP(_xlfn.CONCAT(F158,H158),ST_OVERVIEW!$G$99:$I$130,MATCH(_xlfn.CONCAT(D158,E158),ST_OVERVIEW!$F$99:$F$130,0),FALSE))),IF(D158="BRAND.com",VLOOKUP(_xlfn.CONCAT(C158,D158,E158,TIME!$F$1,Z158),HIS_SALES!$B$2:$V$4859,19,FALSE)*I158,VLOOKUP(_xlfn.CONCAT(D158,F158,G158),Q_BUSAREA_FC!$AE$5:$AI$12,5,FALSE)*HLOOKUP(_xlfn.CONCAT(FC_DATA!F158,FC_DATA!G158),LT_OVERVIEW!$I$99:$M$130,MATCH(_xlfn.CONCAT(D158,FC_DATA!E158),LT_OVERVIEW!$H$99:$H$130,0),FALSE)*IFERROR(VLOOKUP(_xlfn.CONCAT(C158,D158,E158,TIME!$F$1,Z158),HIS_SALES!$B$2:$V$4859,19,FALSE),0)))</f>
        <v>#N/A</v>
      </c>
      <c r="AD158" s="341">
        <f t="shared" ca="1" si="82"/>
        <v>0</v>
      </c>
      <c r="AE158" s="363" t="str">
        <f t="shared" si="83"/>
        <v/>
      </c>
      <c r="AF158" s="342" t="str">
        <f t="shared" si="84"/>
        <v/>
      </c>
      <c r="AG158" s="411" t="e">
        <f ca="1">VLOOKUP(_xlfn.CONCAT(U158,V158,W158,VLOOKUP(X158&amp;Y158,TIME!$L$27:$O$34,4,FALSE),Y158),HIS_SALES!$A$2:$R$5093,18,FALSE)</f>
        <v>#N/A</v>
      </c>
      <c r="AH158" s="412" t="e">
        <f ca="1">IFERROR(IF(AND(V158=V157,W158=W157),0.5*(AB158+AB157)*AG158,(VLOOKUP(_xlfn.CONCAT(U158,V158,W158,X158,VLOOKUP(Z158,TIME!$S$28:$T$39,2,FALSE)),FC_DATA!$R$2:$AB$5000,MATCH("GS_I_M",FC_DATA!$R$1:$AB$1,0),FALSE)+FC_DATA!AB158)*0.5*FC_DATA!AG158),NA())</f>
        <v>#N/A</v>
      </c>
      <c r="AI158" s="491" t="e">
        <f ca="1">IF(V158="PARTNER.com",AH158,IF(AND(V158=V157,W158=W157),(1-AVERAGE(AD157,AD158))*AH158,(1-AVERAGE(AD158,VLOOKUP(_xlfn.CONCAT(U158,V158,W158,X158,M_BRAND_FC!$F$6),FC_DATA!$R$2:$AD$5000,MATCH("DISCOUNT_%_M",FC_DATA!$R$1:$AD$1,0),FALSE)))*AH158))</f>
        <v>#N/A</v>
      </c>
      <c r="AJ158" s="412" t="str">
        <f t="shared" ca="1" si="68"/>
        <v/>
      </c>
      <c r="AK158" s="413" t="str">
        <f>IFERROR(AE158/(Q_BRAND_FC!$T$24+1),"")</f>
        <v/>
      </c>
      <c r="AL158" s="88" t="str">
        <f t="shared" ca="1" si="69"/>
        <v/>
      </c>
      <c r="AM158" s="414" t="str">
        <f t="shared" ca="1" si="70"/>
        <v/>
      </c>
      <c r="AN158" s="58">
        <f>IFERROR(IF($V158="BRAND.com",HLOOKUP($X158&amp;$Z158,NWC_FC_NOOS!$C$4:$Q$23,MATCH(W158,NWC_FC_NOOS!$B$4:$B$23,0),FALSE),0),0)</f>
        <v>0</v>
      </c>
      <c r="AO158" s="57">
        <f>IFERROR(IF($V158="BRAND.com",HLOOKUP($X158&amp;$Z158,NWC_FC_NOOS!$T$4:$AH$23,MATCH(W158,NWC_FC_NOOS!$S$4:$S$23,0),FALSE),0),0)</f>
        <v>0</v>
      </c>
      <c r="AP158" s="57">
        <f>IFERROR(IF($V158="BRAND.com",HLOOKUP($X158&amp;$Z158,NWC_FC_NOOS!$C$50:$U$69,MATCH(W158,NWC_FC_NOOS!$B$50:$B$69,0),FALSE),0),0)</f>
        <v>0</v>
      </c>
      <c r="AQ158" s="58">
        <f>IFERROR(IF($V158="BRAND.com",HLOOKUP($X158&amp;$Z158,'NWC_FC_NON-NOOS'!$C$4:$Q$23,MATCH(W158,'NWC_FC_NON-NOOS'!$B$4:$B$23,0),FALSE),0),0)</f>
        <v>0</v>
      </c>
      <c r="AR158" s="57">
        <f>IFERROR(IF($V158="BRAND.com",HLOOKUP($X158&amp;$Z158,'NWC_FC_NON-NOOS'!$T$4:$AH$23,MATCH(W158,'NWC_FC_NON-NOOS'!$S$4:$S$23,0),FALSE),0),0)</f>
        <v>0</v>
      </c>
      <c r="AS158" s="57">
        <f>IFERROR(IF($V158="BRAND.com",HLOOKUP($X158&amp;$Z158,'NWC_FC_NON-NOOS'!$C$50:$U$69,MATCH(W158,'NWC_FC_NON-NOOS'!$B$50:$B$69,0),FALSE),0),0)</f>
        <v>0</v>
      </c>
      <c r="AT158" s="57">
        <f t="shared" si="72"/>
        <v>0</v>
      </c>
      <c r="AU158" s="57">
        <f t="shared" si="73"/>
        <v>0</v>
      </c>
      <c r="AV158" s="58">
        <f>IFERROR(IF($V158="BRAND.com",HLOOKUP($X158&amp;$Z158,PLANNING_FC!$BB$27:$BP$46,MATCH($W158,PLANNING_FC!$BA$27:$BA$46,0),FALSE),0),0)</f>
        <v>0</v>
      </c>
      <c r="AW158" s="58">
        <f>IFERROR(IF($V158="BRAND.com",HLOOKUP($X158&amp;$Z158,PLANNING_FC!$BB$4:$BP$23,MATCH($W158,PLANNING_FC!$BA$4:$BA$23,0),FALSE),0),0)</f>
        <v>0</v>
      </c>
      <c r="AX158" s="58">
        <f>IFERROR(IF($V158="BRAND.com",HLOOKUP($X158&amp;$Z158,PLANNING_FC!$T$27:$AH$46,MATCH($W158,PLANNING_FC!$B$27:$B$46,0),FALSE),0),0)</f>
        <v>0</v>
      </c>
      <c r="AY158" s="58">
        <f>IFERROR(IF($V158="BRAND.com",HLOOKUP($X158&amp;$Z158,PLANNING_FC!$T$4:$AH$23,MATCH($W158,PLANNING_FC!$B$4:$B$23,0),FALSE),0),0)</f>
        <v>0</v>
      </c>
      <c r="AZ158" s="58">
        <f>IFERROR(IF($V158="BRAND.com",HLOOKUP($X158&amp;$Z158,PLANNING_FC!$DA$27:$DO$46,MATCH($W158,PLANNING_FC!$CZ$27:$CZ$46,0),FALSE),0),0)</f>
        <v>0</v>
      </c>
      <c r="BA158" s="58">
        <f>IFERROR(IF($V158="BRAND.com",HLOOKUP($X158&amp;$Z158,PLANNING_FC!$DA$4:$DO$23,MATCH($W158,PLANNING_FC!$CZ$4:$CZ$23,0),FALSE),0),0)</f>
        <v>0</v>
      </c>
      <c r="BB158" s="883" t="str">
        <f>IF(V158="BRAND.com",IFERROR(HLOOKUP(X158&amp;Z158,PLANNING_FC!$AK$4:$AY$23,MATCH(W158,PLANNING_FC!$AJ$4:$AJ$23,0),FALSE)*1000,""),"")</f>
        <v/>
      </c>
      <c r="BC158" s="883" t="str">
        <f>IF(V158="BRAND.com",IFERROR(HLOOKUP(X158&amp;Z158,PLANNING_FC!$AK$27:$AY$46,MATCH(W158,PLANNING_FC!$AJ$27:$AJ$46,0),FALSE)*1000,""),"")</f>
        <v/>
      </c>
    </row>
    <row r="159" spans="1:55" x14ac:dyDescent="0.25">
      <c r="A159" s="509"/>
      <c r="B159" s="510"/>
      <c r="C159" s="509"/>
      <c r="D159" s="509"/>
      <c r="E159" s="509"/>
      <c r="F159" s="509"/>
      <c r="G159" s="509"/>
      <c r="H159" s="509"/>
      <c r="I159" s="512"/>
      <c r="J159" s="513"/>
      <c r="K159" s="879"/>
      <c r="L159" s="515"/>
      <c r="M159" s="516"/>
      <c r="N159" s="56">
        <f t="shared" si="74"/>
        <v>0</v>
      </c>
      <c r="O159" s="57">
        <f t="shared" si="75"/>
        <v>0</v>
      </c>
      <c r="P159" s="57">
        <f ca="1">IFERROR(IF(ISBLANK(H159),SUMIFS($AC:$AC,$V:$V,V159,$W:$W,W159,$X:$X,X159,$Y:$Y,Y159)*J159/(1-J159)*VLOOKUP(_xlfn.CONCAT(C159,D159,E159,TIME!$M$12,Z159),HIS_SALES!$B$2:$W$4859,20,FALSE),AC159*J159/(1-J159)),0)</f>
        <v>0</v>
      </c>
      <c r="Q159" s="541" t="str">
        <f t="shared" si="85"/>
        <v/>
      </c>
      <c r="R159" s="346" t="str">
        <f t="shared" si="65"/>
        <v>00000</v>
      </c>
      <c r="S159" s="344">
        <f t="shared" si="76"/>
        <v>0</v>
      </c>
      <c r="T159" s="345" t="str">
        <f t="shared" si="71"/>
        <v>000</v>
      </c>
      <c r="U159" s="345">
        <f t="shared" si="77"/>
        <v>0</v>
      </c>
      <c r="V159" s="345">
        <f t="shared" si="78"/>
        <v>0</v>
      </c>
      <c r="W159" s="345">
        <f t="shared" si="79"/>
        <v>0</v>
      </c>
      <c r="X159" s="345">
        <f t="shared" si="80"/>
        <v>0</v>
      </c>
      <c r="Y159" s="345">
        <f t="shared" si="81"/>
        <v>0</v>
      </c>
      <c r="Z159" s="345">
        <f>IF(Q159&lt;&gt;"",VLOOKUP(Y159,TIME!$R$21:$V$24,MATCH(FC_DATA!Q159,TIME!$R$20:$V$20,0),FALSE),H159)</f>
        <v>0</v>
      </c>
      <c r="AA159" s="345" t="str">
        <f>IFERROR(VLOOKUP(X159&amp;Z159,TIME!$A$12:$D$71,4,FALSE),"")</f>
        <v/>
      </c>
      <c r="AB159" s="592">
        <f t="shared" ca="1" si="66"/>
        <v>0</v>
      </c>
      <c r="AC159" s="593" t="e">
        <f ca="1">IF(ISBLANK(H159)=FALSE,IF(D159="BRAND.com",I159,IF(ISNA(VLOOKUP(_xlfn.CONCAT(X159,Z159),TIME!$M$40:$M$42,1,FALSE)),I159,VLOOKUP(_xlfn.CONCAT(D159,G159,H159),M_BUSAREA_FC!$AF$5:$AJ$10,5,FALSE)*HLOOKUP(_xlfn.CONCAT(F159,H159),ST_OVERVIEW!$G$99:$I$130,MATCH(_xlfn.CONCAT(D159,E159),ST_OVERVIEW!$F$99:$F$130,0),FALSE))),IF(D159="BRAND.com",VLOOKUP(_xlfn.CONCAT(C159,D159,E159,TIME!$F$1,Z159),HIS_SALES!$B$2:$V$4859,19,FALSE)*I159,VLOOKUP(_xlfn.CONCAT(D159,F159,G159),Q_BUSAREA_FC!$AE$5:$AI$12,5,FALSE)*HLOOKUP(_xlfn.CONCAT(FC_DATA!F159,FC_DATA!G159),LT_OVERVIEW!$I$99:$M$130,MATCH(_xlfn.CONCAT(D159,FC_DATA!E159),LT_OVERVIEW!$H$99:$H$130,0),FALSE)*IFERROR(VLOOKUP(_xlfn.CONCAT(C159,D159,E159,TIME!$F$1,Z159),HIS_SALES!$B$2:$V$4859,19,FALSE),0)))</f>
        <v>#N/A</v>
      </c>
      <c r="AD159" s="341">
        <f t="shared" ca="1" si="82"/>
        <v>0</v>
      </c>
      <c r="AE159" s="363" t="str">
        <f t="shared" si="83"/>
        <v/>
      </c>
      <c r="AF159" s="342" t="str">
        <f t="shared" si="84"/>
        <v/>
      </c>
      <c r="AG159" s="411" t="e">
        <f ca="1">VLOOKUP(_xlfn.CONCAT(U159,V159,W159,VLOOKUP(X159&amp;Y159,TIME!$L$27:$O$34,4,FALSE),Y159),HIS_SALES!$A$2:$R$5093,18,FALSE)</f>
        <v>#N/A</v>
      </c>
      <c r="AH159" s="412" t="e">
        <f ca="1">IFERROR(IF(AND(V159=V158,W159=W158),0.5*(AB159+AB158)*AG159,(VLOOKUP(_xlfn.CONCAT(U159,V159,W159,X159,VLOOKUP(Z159,TIME!$S$28:$T$39,2,FALSE)),FC_DATA!$R$2:$AB$5000,MATCH("GS_I_M",FC_DATA!$R$1:$AB$1,0),FALSE)+FC_DATA!AB159)*0.5*FC_DATA!AG159),NA())</f>
        <v>#N/A</v>
      </c>
      <c r="AI159" s="491" t="e">
        <f ca="1">IF(V159="PARTNER.com",AH159,IF(AND(V159=V158,W159=W158),(1-AVERAGE(AD158,AD159))*AH159,(1-AVERAGE(AD159,VLOOKUP(_xlfn.CONCAT(U159,V159,W159,X159,M_BRAND_FC!$F$6),FC_DATA!$R$2:$AD$5000,MATCH("DISCOUNT_%_M",FC_DATA!$R$1:$AD$1,0),FALSE)))*AH159))</f>
        <v>#N/A</v>
      </c>
      <c r="AJ159" s="412" t="str">
        <f t="shared" ca="1" si="68"/>
        <v/>
      </c>
      <c r="AK159" s="413" t="str">
        <f>IFERROR(AE159/(Q_BRAND_FC!$T$24+1),"")</f>
        <v/>
      </c>
      <c r="AL159" s="88" t="str">
        <f t="shared" ca="1" si="69"/>
        <v/>
      </c>
      <c r="AM159" s="414" t="str">
        <f t="shared" ca="1" si="70"/>
        <v/>
      </c>
      <c r="AN159" s="58">
        <f>IFERROR(IF($V159="BRAND.com",HLOOKUP($X159&amp;$Z159,NWC_FC_NOOS!$C$4:$Q$23,MATCH(W159,NWC_FC_NOOS!$B$4:$B$23,0),FALSE),0),0)</f>
        <v>0</v>
      </c>
      <c r="AO159" s="57">
        <f>IFERROR(IF($V159="BRAND.com",HLOOKUP($X159&amp;$Z159,NWC_FC_NOOS!$T$4:$AH$23,MATCH(W159,NWC_FC_NOOS!$S$4:$S$23,0),FALSE),0),0)</f>
        <v>0</v>
      </c>
      <c r="AP159" s="57">
        <f>IFERROR(IF($V159="BRAND.com",HLOOKUP($X159&amp;$Z159,NWC_FC_NOOS!$C$50:$U$69,MATCH(W159,NWC_FC_NOOS!$B$50:$B$69,0),FALSE),0),0)</f>
        <v>0</v>
      </c>
      <c r="AQ159" s="58">
        <f>IFERROR(IF($V159="BRAND.com",HLOOKUP($X159&amp;$Z159,'NWC_FC_NON-NOOS'!$C$4:$Q$23,MATCH(W159,'NWC_FC_NON-NOOS'!$B$4:$B$23,0),FALSE),0),0)</f>
        <v>0</v>
      </c>
      <c r="AR159" s="57">
        <f>IFERROR(IF($V159="BRAND.com",HLOOKUP($X159&amp;$Z159,'NWC_FC_NON-NOOS'!$T$4:$AH$23,MATCH(W159,'NWC_FC_NON-NOOS'!$S$4:$S$23,0),FALSE),0),0)</f>
        <v>0</v>
      </c>
      <c r="AS159" s="57">
        <f>IFERROR(IF($V159="BRAND.com",HLOOKUP($X159&amp;$Z159,'NWC_FC_NON-NOOS'!$C$50:$U$69,MATCH(W159,'NWC_FC_NON-NOOS'!$B$50:$B$69,0),FALSE),0),0)</f>
        <v>0</v>
      </c>
      <c r="AT159" s="57">
        <f t="shared" si="72"/>
        <v>0</v>
      </c>
      <c r="AU159" s="57">
        <f t="shared" si="73"/>
        <v>0</v>
      </c>
      <c r="AV159" s="58">
        <f>IFERROR(IF($V159="BRAND.com",HLOOKUP($X159&amp;$Z159,PLANNING_FC!$BB$27:$BP$46,MATCH($W159,PLANNING_FC!$BA$27:$BA$46,0),FALSE),0),0)</f>
        <v>0</v>
      </c>
      <c r="AW159" s="58">
        <f>IFERROR(IF($V159="BRAND.com",HLOOKUP($X159&amp;$Z159,PLANNING_FC!$BB$4:$BP$23,MATCH($W159,PLANNING_FC!$BA$4:$BA$23,0),FALSE),0),0)</f>
        <v>0</v>
      </c>
      <c r="AX159" s="58">
        <f>IFERROR(IF($V159="BRAND.com",HLOOKUP($X159&amp;$Z159,PLANNING_FC!$T$27:$AH$46,MATCH($W159,PLANNING_FC!$B$27:$B$46,0),FALSE),0),0)</f>
        <v>0</v>
      </c>
      <c r="AY159" s="58">
        <f>IFERROR(IF($V159="BRAND.com",HLOOKUP($X159&amp;$Z159,PLANNING_FC!$T$4:$AH$23,MATCH($W159,PLANNING_FC!$B$4:$B$23,0),FALSE),0),0)</f>
        <v>0</v>
      </c>
      <c r="AZ159" s="58">
        <f>IFERROR(IF($V159="BRAND.com",HLOOKUP($X159&amp;$Z159,PLANNING_FC!$DA$27:$DO$46,MATCH($W159,PLANNING_FC!$CZ$27:$CZ$46,0),FALSE),0),0)</f>
        <v>0</v>
      </c>
      <c r="BA159" s="58">
        <f>IFERROR(IF($V159="BRAND.com",HLOOKUP($X159&amp;$Z159,PLANNING_FC!$DA$4:$DO$23,MATCH($W159,PLANNING_FC!$CZ$4:$CZ$23,0),FALSE),0),0)</f>
        <v>0</v>
      </c>
      <c r="BB159" s="883" t="str">
        <f>IF(V159="BRAND.com",IFERROR(HLOOKUP(X159&amp;Z159,PLANNING_FC!$AK$4:$AY$23,MATCH(W159,PLANNING_FC!$AJ$4:$AJ$23,0),FALSE)*1000,""),"")</f>
        <v/>
      </c>
      <c r="BC159" s="883" t="str">
        <f>IF(V159="BRAND.com",IFERROR(HLOOKUP(X159&amp;Z159,PLANNING_FC!$AK$27:$AY$46,MATCH(W159,PLANNING_FC!$AJ$27:$AJ$46,0),FALSE)*1000,""),"")</f>
        <v/>
      </c>
    </row>
    <row r="160" spans="1:55" x14ac:dyDescent="0.25">
      <c r="A160" s="509"/>
      <c r="B160" s="510"/>
      <c r="C160" s="509"/>
      <c r="D160" s="509"/>
      <c r="E160" s="509"/>
      <c r="F160" s="509"/>
      <c r="G160" s="509"/>
      <c r="H160" s="509"/>
      <c r="I160" s="512"/>
      <c r="J160" s="513"/>
      <c r="K160" s="879"/>
      <c r="L160" s="515"/>
      <c r="M160" s="516"/>
      <c r="N160" s="56">
        <f t="shared" si="74"/>
        <v>0</v>
      </c>
      <c r="O160" s="57">
        <f t="shared" si="75"/>
        <v>0</v>
      </c>
      <c r="P160" s="57">
        <f ca="1">IFERROR(IF(ISBLANK(H160),SUMIFS($AC:$AC,$V:$V,V160,$W:$W,W160,$X:$X,X160,$Y:$Y,Y160)*J160/(1-J160)*VLOOKUP(_xlfn.CONCAT(C160,D160,E160,TIME!$M$12,Z160),HIS_SALES!$B$2:$W$4859,20,FALSE),AC160*J160/(1-J160)),0)</f>
        <v>0</v>
      </c>
      <c r="Q160" s="541" t="str">
        <f t="shared" si="85"/>
        <v/>
      </c>
      <c r="R160" s="346" t="str">
        <f t="shared" si="65"/>
        <v>00000</v>
      </c>
      <c r="S160" s="344">
        <f t="shared" si="76"/>
        <v>0</v>
      </c>
      <c r="T160" s="345" t="str">
        <f t="shared" si="71"/>
        <v>000</v>
      </c>
      <c r="U160" s="345">
        <f t="shared" si="77"/>
        <v>0</v>
      </c>
      <c r="V160" s="345">
        <f t="shared" si="78"/>
        <v>0</v>
      </c>
      <c r="W160" s="345">
        <f t="shared" si="79"/>
        <v>0</v>
      </c>
      <c r="X160" s="345">
        <f t="shared" si="80"/>
        <v>0</v>
      </c>
      <c r="Y160" s="345">
        <f t="shared" si="81"/>
        <v>0</v>
      </c>
      <c r="Z160" s="345">
        <f>IF(Q160&lt;&gt;"",VLOOKUP(Y160,TIME!$R$21:$V$24,MATCH(FC_DATA!Q160,TIME!$R$20:$V$20,0),FALSE),H160)</f>
        <v>0</v>
      </c>
      <c r="AA160" s="345" t="str">
        <f>IFERROR(VLOOKUP(X160&amp;Z160,TIME!$A$12:$D$71,4,FALSE),"")</f>
        <v/>
      </c>
      <c r="AB160" s="592">
        <f t="shared" ca="1" si="66"/>
        <v>0</v>
      </c>
      <c r="AC160" s="593" t="e">
        <f ca="1">IF(ISBLANK(H160)=FALSE,IF(D160="BRAND.com",I160,IF(ISNA(VLOOKUP(_xlfn.CONCAT(X160,Z160),TIME!$M$40:$M$42,1,FALSE)),I160,VLOOKUP(_xlfn.CONCAT(D160,G160,H160),M_BUSAREA_FC!$AF$5:$AJ$10,5,FALSE)*HLOOKUP(_xlfn.CONCAT(F160,H160),ST_OVERVIEW!$G$99:$I$130,MATCH(_xlfn.CONCAT(D160,E160),ST_OVERVIEW!$F$99:$F$130,0),FALSE))),IF(D160="BRAND.com",VLOOKUP(_xlfn.CONCAT(C160,D160,E160,TIME!$F$1,Z160),HIS_SALES!$B$2:$V$4859,19,FALSE)*I160,VLOOKUP(_xlfn.CONCAT(D160,F160,G160),Q_BUSAREA_FC!$AE$5:$AI$12,5,FALSE)*HLOOKUP(_xlfn.CONCAT(FC_DATA!F160,FC_DATA!G160),LT_OVERVIEW!$I$99:$M$130,MATCH(_xlfn.CONCAT(D160,FC_DATA!E160),LT_OVERVIEW!$H$99:$H$130,0),FALSE)*IFERROR(VLOOKUP(_xlfn.CONCAT(C160,D160,E160,TIME!$F$1,Z160),HIS_SALES!$B$2:$V$4859,19,FALSE),0)))</f>
        <v>#N/A</v>
      </c>
      <c r="AD160" s="341">
        <f t="shared" ca="1" si="82"/>
        <v>0</v>
      </c>
      <c r="AE160" s="363" t="str">
        <f t="shared" si="83"/>
        <v/>
      </c>
      <c r="AF160" s="342" t="str">
        <f t="shared" si="84"/>
        <v/>
      </c>
      <c r="AG160" s="411" t="e">
        <f ca="1">VLOOKUP(_xlfn.CONCAT(U160,V160,W160,VLOOKUP(X160&amp;Y160,TIME!$L$27:$O$34,4,FALSE),Y160),HIS_SALES!$A$2:$R$5093,18,FALSE)</f>
        <v>#N/A</v>
      </c>
      <c r="AH160" s="412" t="e">
        <f ca="1">IFERROR(IF(AND(V160=V159,W160=W159),0.5*(AB160+AB159)*AG160,(VLOOKUP(_xlfn.CONCAT(U160,V160,W160,X160,VLOOKUP(Z160,TIME!$S$28:$T$39,2,FALSE)),FC_DATA!$R$2:$AB$5000,MATCH("GS_I_M",FC_DATA!$R$1:$AB$1,0),FALSE)+FC_DATA!AB160)*0.5*FC_DATA!AG160),NA())</f>
        <v>#N/A</v>
      </c>
      <c r="AI160" s="491" t="e">
        <f ca="1">IF(V160="PARTNER.com",AH160,IF(AND(V160=V159,W160=W159),(1-AVERAGE(AD159,AD160))*AH160,(1-AVERAGE(AD160,VLOOKUP(_xlfn.CONCAT(U160,V160,W160,X160,M_BRAND_FC!$F$6),FC_DATA!$R$2:$AD$5000,MATCH("DISCOUNT_%_M",FC_DATA!$R$1:$AD$1,0),FALSE)))*AH160))</f>
        <v>#N/A</v>
      </c>
      <c r="AJ160" s="412" t="str">
        <f t="shared" ca="1" si="68"/>
        <v/>
      </c>
      <c r="AK160" s="413" t="str">
        <f>IFERROR(AE160/(Q_BRAND_FC!$T$24+1),"")</f>
        <v/>
      </c>
      <c r="AL160" s="88" t="str">
        <f t="shared" ca="1" si="69"/>
        <v/>
      </c>
      <c r="AM160" s="414" t="str">
        <f t="shared" ca="1" si="70"/>
        <v/>
      </c>
      <c r="AN160" s="58">
        <f>IFERROR(IF($V160="BRAND.com",HLOOKUP($X160&amp;$Z160,NWC_FC_NOOS!$C$4:$Q$23,MATCH(W160,NWC_FC_NOOS!$B$4:$B$23,0),FALSE),0),0)</f>
        <v>0</v>
      </c>
      <c r="AO160" s="57">
        <f>IFERROR(IF($V160="BRAND.com",HLOOKUP($X160&amp;$Z160,NWC_FC_NOOS!$T$4:$AH$23,MATCH(W160,NWC_FC_NOOS!$S$4:$S$23,0),FALSE),0),0)</f>
        <v>0</v>
      </c>
      <c r="AP160" s="57">
        <f>IFERROR(IF($V160="BRAND.com",HLOOKUP($X160&amp;$Z160,NWC_FC_NOOS!$C$50:$U$69,MATCH(W160,NWC_FC_NOOS!$B$50:$B$69,0),FALSE),0),0)</f>
        <v>0</v>
      </c>
      <c r="AQ160" s="58">
        <f>IFERROR(IF($V160="BRAND.com",HLOOKUP($X160&amp;$Z160,'NWC_FC_NON-NOOS'!$C$4:$Q$23,MATCH(W160,'NWC_FC_NON-NOOS'!$B$4:$B$23,0),FALSE),0),0)</f>
        <v>0</v>
      </c>
      <c r="AR160" s="57">
        <f>IFERROR(IF($V160="BRAND.com",HLOOKUP($X160&amp;$Z160,'NWC_FC_NON-NOOS'!$T$4:$AH$23,MATCH(W160,'NWC_FC_NON-NOOS'!$S$4:$S$23,0),FALSE),0),0)</f>
        <v>0</v>
      </c>
      <c r="AS160" s="57">
        <f>IFERROR(IF($V160="BRAND.com",HLOOKUP($X160&amp;$Z160,'NWC_FC_NON-NOOS'!$C$50:$U$69,MATCH(W160,'NWC_FC_NON-NOOS'!$B$50:$B$69,0),FALSE),0),0)</f>
        <v>0</v>
      </c>
      <c r="AT160" s="57">
        <f t="shared" si="72"/>
        <v>0</v>
      </c>
      <c r="AU160" s="57">
        <f t="shared" si="73"/>
        <v>0</v>
      </c>
      <c r="AV160" s="58">
        <f>IFERROR(IF($V160="BRAND.com",HLOOKUP($X160&amp;$Z160,PLANNING_FC!$BB$27:$BP$46,MATCH($W160,PLANNING_FC!$BA$27:$BA$46,0),FALSE),0),0)</f>
        <v>0</v>
      </c>
      <c r="AW160" s="58">
        <f>IFERROR(IF($V160="BRAND.com",HLOOKUP($X160&amp;$Z160,PLANNING_FC!$BB$4:$BP$23,MATCH($W160,PLANNING_FC!$BA$4:$BA$23,0),FALSE),0),0)</f>
        <v>0</v>
      </c>
      <c r="AX160" s="58">
        <f>IFERROR(IF($V160="BRAND.com",HLOOKUP($X160&amp;$Z160,PLANNING_FC!$T$27:$AH$46,MATCH($W160,PLANNING_FC!$B$27:$B$46,0),FALSE),0),0)</f>
        <v>0</v>
      </c>
      <c r="AY160" s="58">
        <f>IFERROR(IF($V160="BRAND.com",HLOOKUP($X160&amp;$Z160,PLANNING_FC!$T$4:$AH$23,MATCH($W160,PLANNING_FC!$B$4:$B$23,0),FALSE),0),0)</f>
        <v>0</v>
      </c>
      <c r="AZ160" s="58">
        <f>IFERROR(IF($V160="BRAND.com",HLOOKUP($X160&amp;$Z160,PLANNING_FC!$DA$27:$DO$46,MATCH($W160,PLANNING_FC!$CZ$27:$CZ$46,0),FALSE),0),0)</f>
        <v>0</v>
      </c>
      <c r="BA160" s="58">
        <f>IFERROR(IF($V160="BRAND.com",HLOOKUP($X160&amp;$Z160,PLANNING_FC!$DA$4:$DO$23,MATCH($W160,PLANNING_FC!$CZ$4:$CZ$23,0),FALSE),0),0)</f>
        <v>0</v>
      </c>
      <c r="BB160" s="883" t="str">
        <f>IF(V160="BRAND.com",IFERROR(HLOOKUP(X160&amp;Z160,PLANNING_FC!$AK$4:$AY$23,MATCH(W160,PLANNING_FC!$AJ$4:$AJ$23,0),FALSE)*1000,""),"")</f>
        <v/>
      </c>
      <c r="BC160" s="883" t="str">
        <f>IF(V160="BRAND.com",IFERROR(HLOOKUP(X160&amp;Z160,PLANNING_FC!$AK$27:$AY$46,MATCH(W160,PLANNING_FC!$AJ$27:$AJ$46,0),FALSE)*1000,""),"")</f>
        <v/>
      </c>
    </row>
    <row r="161" spans="1:55" x14ac:dyDescent="0.25">
      <c r="A161" s="509"/>
      <c r="B161" s="510"/>
      <c r="C161" s="509"/>
      <c r="D161" s="509"/>
      <c r="E161" s="509"/>
      <c r="F161" s="509"/>
      <c r="G161" s="509"/>
      <c r="H161" s="509"/>
      <c r="I161" s="512"/>
      <c r="J161" s="513"/>
      <c r="K161" s="879"/>
      <c r="L161" s="515"/>
      <c r="M161" s="516"/>
      <c r="N161" s="56">
        <f t="shared" si="74"/>
        <v>0</v>
      </c>
      <c r="O161" s="57">
        <f t="shared" si="75"/>
        <v>0</v>
      </c>
      <c r="P161" s="57">
        <f ca="1">IFERROR(IF(ISBLANK(H161),SUMIFS($AC:$AC,$V:$V,V161,$W:$W,W161,$X:$X,X161,$Y:$Y,Y161)*J161/(1-J161)*VLOOKUP(_xlfn.CONCAT(C161,D161,E161,TIME!$M$12,Z161),HIS_SALES!$B$2:$W$4859,20,FALSE),AC161*J161/(1-J161)),0)</f>
        <v>0</v>
      </c>
      <c r="Q161" s="541" t="str">
        <f t="shared" si="85"/>
        <v/>
      </c>
      <c r="R161" s="346" t="str">
        <f t="shared" si="65"/>
        <v>00000</v>
      </c>
      <c r="S161" s="344">
        <f t="shared" si="76"/>
        <v>0</v>
      </c>
      <c r="T161" s="345" t="str">
        <f t="shared" si="71"/>
        <v>000</v>
      </c>
      <c r="U161" s="345">
        <f t="shared" si="77"/>
        <v>0</v>
      </c>
      <c r="V161" s="345">
        <f t="shared" si="78"/>
        <v>0</v>
      </c>
      <c r="W161" s="345">
        <f t="shared" si="79"/>
        <v>0</v>
      </c>
      <c r="X161" s="345">
        <f t="shared" si="80"/>
        <v>0</v>
      </c>
      <c r="Y161" s="345">
        <f t="shared" si="81"/>
        <v>0</v>
      </c>
      <c r="Z161" s="345">
        <f>IF(Q161&lt;&gt;"",VLOOKUP(Y161,TIME!$R$21:$V$24,MATCH(FC_DATA!Q161,TIME!$R$20:$V$20,0),FALSE),H161)</f>
        <v>0</v>
      </c>
      <c r="AA161" s="345" t="str">
        <f>IFERROR(VLOOKUP(X161&amp;Z161,TIME!$A$12:$D$71,4,FALSE),"")</f>
        <v/>
      </c>
      <c r="AB161" s="592">
        <f t="shared" ca="1" si="66"/>
        <v>0</v>
      </c>
      <c r="AC161" s="593" t="e">
        <f ca="1">IF(ISBLANK(H161)=FALSE,IF(D161="BRAND.com",I161,IF(ISNA(VLOOKUP(_xlfn.CONCAT(X161,Z161),TIME!$M$40:$M$42,1,FALSE)),I161,VLOOKUP(_xlfn.CONCAT(D161,G161,H161),M_BUSAREA_FC!$AF$5:$AJ$10,5,FALSE)*HLOOKUP(_xlfn.CONCAT(F161,H161),ST_OVERVIEW!$G$99:$I$130,MATCH(_xlfn.CONCAT(D161,E161),ST_OVERVIEW!$F$99:$F$130,0),FALSE))),IF(D161="BRAND.com",VLOOKUP(_xlfn.CONCAT(C161,D161,E161,TIME!$F$1,Z161),HIS_SALES!$B$2:$V$4859,19,FALSE)*I161,VLOOKUP(_xlfn.CONCAT(D161,F161,G161),Q_BUSAREA_FC!$AE$5:$AI$12,5,FALSE)*HLOOKUP(_xlfn.CONCAT(FC_DATA!F161,FC_DATA!G161),LT_OVERVIEW!$I$99:$M$130,MATCH(_xlfn.CONCAT(D161,FC_DATA!E161),LT_OVERVIEW!$H$99:$H$130,0),FALSE)*IFERROR(VLOOKUP(_xlfn.CONCAT(C161,D161,E161,TIME!$F$1,Z161),HIS_SALES!$B$2:$V$4859,19,FALSE),0)))</f>
        <v>#N/A</v>
      </c>
      <c r="AD161" s="341">
        <f t="shared" ca="1" si="82"/>
        <v>0</v>
      </c>
      <c r="AE161" s="363" t="str">
        <f t="shared" si="83"/>
        <v/>
      </c>
      <c r="AF161" s="342" t="str">
        <f t="shared" si="84"/>
        <v/>
      </c>
      <c r="AG161" s="411" t="e">
        <f ca="1">VLOOKUP(_xlfn.CONCAT(U161,V161,W161,VLOOKUP(X161&amp;Y161,TIME!$L$27:$O$34,4,FALSE),Y161),HIS_SALES!$A$2:$R$5093,18,FALSE)</f>
        <v>#N/A</v>
      </c>
      <c r="AH161" s="412" t="e">
        <f ca="1">IFERROR(IF(AND(V161=V160,W161=W160),0.5*(AB161+AB160)*AG161,(VLOOKUP(_xlfn.CONCAT(U161,V161,W161,X161,VLOOKUP(Z161,TIME!$S$28:$T$39,2,FALSE)),FC_DATA!$R$2:$AB$5000,MATCH("GS_I_M",FC_DATA!$R$1:$AB$1,0),FALSE)+FC_DATA!AB161)*0.5*FC_DATA!AG161),NA())</f>
        <v>#N/A</v>
      </c>
      <c r="AI161" s="491" t="e">
        <f ca="1">IF(V161="PARTNER.com",AH161,IF(AND(V161=V160,W161=W160),(1-AVERAGE(AD160,AD161))*AH161,(1-AVERAGE(AD161,VLOOKUP(_xlfn.CONCAT(U161,V161,W161,X161,M_BRAND_FC!$F$6),FC_DATA!$R$2:$AD$5000,MATCH("DISCOUNT_%_M",FC_DATA!$R$1:$AD$1,0),FALSE)))*AH161))</f>
        <v>#N/A</v>
      </c>
      <c r="AJ161" s="412" t="str">
        <f t="shared" ca="1" si="68"/>
        <v/>
      </c>
      <c r="AK161" s="413" t="str">
        <f>IFERROR(AE161/(Q_BRAND_FC!$T$24+1),"")</f>
        <v/>
      </c>
      <c r="AL161" s="88" t="str">
        <f t="shared" ca="1" si="69"/>
        <v/>
      </c>
      <c r="AM161" s="414" t="str">
        <f t="shared" ca="1" si="70"/>
        <v/>
      </c>
      <c r="AN161" s="58">
        <f>IFERROR(IF($V161="BRAND.com",HLOOKUP($X161&amp;$Z161,NWC_FC_NOOS!$C$4:$Q$23,MATCH(W161,NWC_FC_NOOS!$B$4:$B$23,0),FALSE),0),0)</f>
        <v>0</v>
      </c>
      <c r="AO161" s="57">
        <f>IFERROR(IF($V161="BRAND.com",HLOOKUP($X161&amp;$Z161,NWC_FC_NOOS!$T$4:$AH$23,MATCH(W161,NWC_FC_NOOS!$S$4:$S$23,0),FALSE),0),0)</f>
        <v>0</v>
      </c>
      <c r="AP161" s="57">
        <f>IFERROR(IF($V161="BRAND.com",HLOOKUP($X161&amp;$Z161,NWC_FC_NOOS!$C$50:$U$69,MATCH(W161,NWC_FC_NOOS!$B$50:$B$69,0),FALSE),0),0)</f>
        <v>0</v>
      </c>
      <c r="AQ161" s="58">
        <f>IFERROR(IF($V161="BRAND.com",HLOOKUP($X161&amp;$Z161,'NWC_FC_NON-NOOS'!$C$4:$Q$23,MATCH(W161,'NWC_FC_NON-NOOS'!$B$4:$B$23,0),FALSE),0),0)</f>
        <v>0</v>
      </c>
      <c r="AR161" s="57">
        <f>IFERROR(IF($V161="BRAND.com",HLOOKUP($X161&amp;$Z161,'NWC_FC_NON-NOOS'!$T$4:$AH$23,MATCH(W161,'NWC_FC_NON-NOOS'!$S$4:$S$23,0),FALSE),0),0)</f>
        <v>0</v>
      </c>
      <c r="AS161" s="57">
        <f>IFERROR(IF($V161="BRAND.com",HLOOKUP($X161&amp;$Z161,'NWC_FC_NON-NOOS'!$C$50:$U$69,MATCH(W161,'NWC_FC_NON-NOOS'!$B$50:$B$69,0),FALSE),0),0)</f>
        <v>0</v>
      </c>
      <c r="AT161" s="57">
        <f t="shared" si="72"/>
        <v>0</v>
      </c>
      <c r="AU161" s="57">
        <f t="shared" si="73"/>
        <v>0</v>
      </c>
      <c r="AV161" s="58">
        <f>IFERROR(IF($V161="BRAND.com",HLOOKUP($X161&amp;$Z161,PLANNING_FC!$BB$27:$BP$46,MATCH($W161,PLANNING_FC!$BA$27:$BA$46,0),FALSE),0),0)</f>
        <v>0</v>
      </c>
      <c r="AW161" s="58">
        <f>IFERROR(IF($V161="BRAND.com",HLOOKUP($X161&amp;$Z161,PLANNING_FC!$BB$4:$BP$23,MATCH($W161,PLANNING_FC!$BA$4:$BA$23,0),FALSE),0),0)</f>
        <v>0</v>
      </c>
      <c r="AX161" s="58">
        <f>IFERROR(IF($V161="BRAND.com",HLOOKUP($X161&amp;$Z161,PLANNING_FC!$T$27:$AH$46,MATCH($W161,PLANNING_FC!$B$27:$B$46,0),FALSE),0),0)</f>
        <v>0</v>
      </c>
      <c r="AY161" s="58">
        <f>IFERROR(IF($V161="BRAND.com",HLOOKUP($X161&amp;$Z161,PLANNING_FC!$T$4:$AH$23,MATCH($W161,PLANNING_FC!$B$4:$B$23,0),FALSE),0),0)</f>
        <v>0</v>
      </c>
      <c r="AZ161" s="58">
        <f>IFERROR(IF($V161="BRAND.com",HLOOKUP($X161&amp;$Z161,PLANNING_FC!$DA$27:$DO$46,MATCH($W161,PLANNING_FC!$CZ$27:$CZ$46,0),FALSE),0),0)</f>
        <v>0</v>
      </c>
      <c r="BA161" s="58">
        <f>IFERROR(IF($V161="BRAND.com",HLOOKUP($X161&amp;$Z161,PLANNING_FC!$DA$4:$DO$23,MATCH($W161,PLANNING_FC!$CZ$4:$CZ$23,0),FALSE),0),0)</f>
        <v>0</v>
      </c>
      <c r="BB161" s="883" t="str">
        <f>IF(V161="BRAND.com",IFERROR(HLOOKUP(X161&amp;Z161,PLANNING_FC!$AK$4:$AY$23,MATCH(W161,PLANNING_FC!$AJ$4:$AJ$23,0),FALSE)*1000,""),"")</f>
        <v/>
      </c>
      <c r="BC161" s="883" t="str">
        <f>IF(V161="BRAND.com",IFERROR(HLOOKUP(X161&amp;Z161,PLANNING_FC!$AK$27:$AY$46,MATCH(W161,PLANNING_FC!$AJ$27:$AJ$46,0),FALSE)*1000,""),"")</f>
        <v/>
      </c>
    </row>
    <row r="162" spans="1:55" x14ac:dyDescent="0.25">
      <c r="A162" s="509"/>
      <c r="B162" s="510"/>
      <c r="C162" s="509"/>
      <c r="D162" s="509"/>
      <c r="E162" s="509"/>
      <c r="F162" s="509"/>
      <c r="G162" s="509"/>
      <c r="H162" s="509"/>
      <c r="I162" s="512"/>
      <c r="J162" s="513"/>
      <c r="K162" s="879"/>
      <c r="L162" s="515"/>
      <c r="M162" s="516"/>
      <c r="N162" s="56">
        <f t="shared" si="74"/>
        <v>0</v>
      </c>
      <c r="O162" s="57">
        <f t="shared" si="75"/>
        <v>0</v>
      </c>
      <c r="P162" s="57">
        <f ca="1">IFERROR(IF(ISBLANK(H162),SUMIFS($AC:$AC,$V:$V,V162,$W:$W,W162,$X:$X,X162,$Y:$Y,Y162)*J162/(1-J162)*VLOOKUP(_xlfn.CONCAT(C162,D162,E162,TIME!$M$12,Z162),HIS_SALES!$B$2:$W$4859,20,FALSE),AC162*J162/(1-J162)),0)</f>
        <v>0</v>
      </c>
      <c r="Q162" s="541" t="str">
        <f t="shared" si="85"/>
        <v/>
      </c>
      <c r="R162" s="346" t="str">
        <f t="shared" si="65"/>
        <v>00000</v>
      </c>
      <c r="S162" s="344">
        <f t="shared" si="76"/>
        <v>0</v>
      </c>
      <c r="T162" s="345" t="str">
        <f t="shared" si="71"/>
        <v>000</v>
      </c>
      <c r="U162" s="345">
        <f t="shared" si="77"/>
        <v>0</v>
      </c>
      <c r="V162" s="345">
        <f t="shared" si="78"/>
        <v>0</v>
      </c>
      <c r="W162" s="345">
        <f t="shared" si="79"/>
        <v>0</v>
      </c>
      <c r="X162" s="345">
        <f t="shared" si="80"/>
        <v>0</v>
      </c>
      <c r="Y162" s="345">
        <f t="shared" si="81"/>
        <v>0</v>
      </c>
      <c r="Z162" s="345">
        <f>IF(Q162&lt;&gt;"",VLOOKUP(Y162,TIME!$R$21:$V$24,MATCH(FC_DATA!Q162,TIME!$R$20:$V$20,0),FALSE),H162)</f>
        <v>0</v>
      </c>
      <c r="AA162" s="345" t="str">
        <f>IFERROR(VLOOKUP(X162&amp;Z162,TIME!$A$12:$D$71,4,FALSE),"")</f>
        <v/>
      </c>
      <c r="AB162" s="592">
        <f t="shared" ca="1" si="66"/>
        <v>0</v>
      </c>
      <c r="AC162" s="593" t="e">
        <f ca="1">IF(ISBLANK(H162)=FALSE,IF(D162="BRAND.com",I162,IF(ISNA(VLOOKUP(_xlfn.CONCAT(X162,Z162),TIME!$M$40:$M$42,1,FALSE)),I162,VLOOKUP(_xlfn.CONCAT(D162,G162,H162),M_BUSAREA_FC!$AF$5:$AJ$10,5,FALSE)*HLOOKUP(_xlfn.CONCAT(F162,H162),ST_OVERVIEW!$G$99:$I$130,MATCH(_xlfn.CONCAT(D162,E162),ST_OVERVIEW!$F$99:$F$130,0),FALSE))),IF(D162="BRAND.com",VLOOKUP(_xlfn.CONCAT(C162,D162,E162,TIME!$F$1,Z162),HIS_SALES!$B$2:$V$4859,19,FALSE)*I162,VLOOKUP(_xlfn.CONCAT(D162,F162,G162),Q_BUSAREA_FC!$AE$5:$AI$12,5,FALSE)*HLOOKUP(_xlfn.CONCAT(FC_DATA!F162,FC_DATA!G162),LT_OVERVIEW!$I$99:$M$130,MATCH(_xlfn.CONCAT(D162,FC_DATA!E162),LT_OVERVIEW!$H$99:$H$130,0),FALSE)*IFERROR(VLOOKUP(_xlfn.CONCAT(C162,D162,E162,TIME!$F$1,Z162),HIS_SALES!$B$2:$V$4859,19,FALSE),0)))</f>
        <v>#N/A</v>
      </c>
      <c r="AD162" s="341">
        <f t="shared" ca="1" si="82"/>
        <v>0</v>
      </c>
      <c r="AE162" s="363" t="str">
        <f t="shared" si="83"/>
        <v/>
      </c>
      <c r="AF162" s="342" t="str">
        <f t="shared" si="84"/>
        <v/>
      </c>
      <c r="AG162" s="411" t="e">
        <f ca="1">VLOOKUP(_xlfn.CONCAT(U162,V162,W162,VLOOKUP(X162&amp;Y162,TIME!$L$27:$O$34,4,FALSE),Y162),HIS_SALES!$A$2:$R$5093,18,FALSE)</f>
        <v>#N/A</v>
      </c>
      <c r="AH162" s="412" t="e">
        <f ca="1">IFERROR(IF(AND(V162=V161,W162=W161),0.5*(AB162+AB161)*AG162,(VLOOKUP(_xlfn.CONCAT(U162,V162,W162,X162,VLOOKUP(Z162,TIME!$S$28:$T$39,2,FALSE)),FC_DATA!$R$2:$AB$5000,MATCH("GS_I_M",FC_DATA!$R$1:$AB$1,0),FALSE)+FC_DATA!AB162)*0.5*FC_DATA!AG162),NA())</f>
        <v>#N/A</v>
      </c>
      <c r="AI162" s="491" t="e">
        <f ca="1">IF(V162="PARTNER.com",AH162,IF(AND(V162=V161,W162=W161),(1-AVERAGE(AD161,AD162))*AH162,(1-AVERAGE(AD162,VLOOKUP(_xlfn.CONCAT(U162,V162,W162,X162,M_BRAND_FC!$F$6),FC_DATA!$R$2:$AD$5000,MATCH("DISCOUNT_%_M",FC_DATA!$R$1:$AD$1,0),FALSE)))*AH162))</f>
        <v>#N/A</v>
      </c>
      <c r="AJ162" s="412" t="str">
        <f t="shared" ca="1" si="68"/>
        <v/>
      </c>
      <c r="AK162" s="413" t="str">
        <f>IFERROR(AE162/(Q_BRAND_FC!$T$24+1),"")</f>
        <v/>
      </c>
      <c r="AL162" s="88" t="str">
        <f t="shared" ca="1" si="69"/>
        <v/>
      </c>
      <c r="AM162" s="414" t="str">
        <f t="shared" ca="1" si="70"/>
        <v/>
      </c>
      <c r="AN162" s="58">
        <f>IFERROR(IF($V162="BRAND.com",HLOOKUP($X162&amp;$Z162,NWC_FC_NOOS!$C$4:$Q$23,MATCH(W162,NWC_FC_NOOS!$B$4:$B$23,0),FALSE),0),0)</f>
        <v>0</v>
      </c>
      <c r="AO162" s="57">
        <f>IFERROR(IF($V162="BRAND.com",HLOOKUP($X162&amp;$Z162,NWC_FC_NOOS!$T$4:$AH$23,MATCH(W162,NWC_FC_NOOS!$S$4:$S$23,0),FALSE),0),0)</f>
        <v>0</v>
      </c>
      <c r="AP162" s="57">
        <f>IFERROR(IF($V162="BRAND.com",HLOOKUP($X162&amp;$Z162,NWC_FC_NOOS!$C$50:$U$69,MATCH(W162,NWC_FC_NOOS!$B$50:$B$69,0),FALSE),0),0)</f>
        <v>0</v>
      </c>
      <c r="AQ162" s="58">
        <f>IFERROR(IF($V162="BRAND.com",HLOOKUP($X162&amp;$Z162,'NWC_FC_NON-NOOS'!$C$4:$Q$23,MATCH(W162,'NWC_FC_NON-NOOS'!$B$4:$B$23,0),FALSE),0),0)</f>
        <v>0</v>
      </c>
      <c r="AR162" s="57">
        <f>IFERROR(IF($V162="BRAND.com",HLOOKUP($X162&amp;$Z162,'NWC_FC_NON-NOOS'!$T$4:$AH$23,MATCH(W162,'NWC_FC_NON-NOOS'!$S$4:$S$23,0),FALSE),0),0)</f>
        <v>0</v>
      </c>
      <c r="AS162" s="57">
        <f>IFERROR(IF($V162="BRAND.com",HLOOKUP($X162&amp;$Z162,'NWC_FC_NON-NOOS'!$C$50:$U$69,MATCH(W162,'NWC_FC_NON-NOOS'!$B$50:$B$69,0),FALSE),0),0)</f>
        <v>0</v>
      </c>
      <c r="AT162" s="57">
        <f t="shared" si="72"/>
        <v>0</v>
      </c>
      <c r="AU162" s="57">
        <f t="shared" si="73"/>
        <v>0</v>
      </c>
      <c r="AV162" s="58">
        <f>IFERROR(IF($V162="BRAND.com",HLOOKUP($X162&amp;$Z162,PLANNING_FC!$BB$27:$BP$46,MATCH($W162,PLANNING_FC!$BA$27:$BA$46,0),FALSE),0),0)</f>
        <v>0</v>
      </c>
      <c r="AW162" s="58">
        <f>IFERROR(IF($V162="BRAND.com",HLOOKUP($X162&amp;$Z162,PLANNING_FC!$BB$4:$BP$23,MATCH($W162,PLANNING_FC!$BA$4:$BA$23,0),FALSE),0),0)</f>
        <v>0</v>
      </c>
      <c r="AX162" s="58">
        <f>IFERROR(IF($V162="BRAND.com",HLOOKUP($X162&amp;$Z162,PLANNING_FC!$T$27:$AH$46,MATCH($W162,PLANNING_FC!$B$27:$B$46,0),FALSE),0),0)</f>
        <v>0</v>
      </c>
      <c r="AY162" s="58">
        <f>IFERROR(IF($V162="BRAND.com",HLOOKUP($X162&amp;$Z162,PLANNING_FC!$T$4:$AH$23,MATCH($W162,PLANNING_FC!$B$4:$B$23,0),FALSE),0),0)</f>
        <v>0</v>
      </c>
      <c r="AZ162" s="58">
        <f>IFERROR(IF($V162="BRAND.com",HLOOKUP($X162&amp;$Z162,PLANNING_FC!$DA$27:$DO$46,MATCH($W162,PLANNING_FC!$CZ$27:$CZ$46,0),FALSE),0),0)</f>
        <v>0</v>
      </c>
      <c r="BA162" s="58">
        <f>IFERROR(IF($V162="BRAND.com",HLOOKUP($X162&amp;$Z162,PLANNING_FC!$DA$4:$DO$23,MATCH($W162,PLANNING_FC!$CZ$4:$CZ$23,0),FALSE),0),0)</f>
        <v>0</v>
      </c>
      <c r="BB162" s="883" t="str">
        <f>IF(V162="BRAND.com",IFERROR(HLOOKUP(X162&amp;Z162,PLANNING_FC!$AK$4:$AY$23,MATCH(W162,PLANNING_FC!$AJ$4:$AJ$23,0),FALSE)*1000,""),"")</f>
        <v/>
      </c>
      <c r="BC162" s="883" t="str">
        <f>IF(V162="BRAND.com",IFERROR(HLOOKUP(X162&amp;Z162,PLANNING_FC!$AK$27:$AY$46,MATCH(W162,PLANNING_FC!$AJ$27:$AJ$46,0),FALSE)*1000,""),"")</f>
        <v/>
      </c>
    </row>
    <row r="163" spans="1:55" x14ac:dyDescent="0.25">
      <c r="A163" s="509"/>
      <c r="B163" s="510"/>
      <c r="C163" s="509"/>
      <c r="D163" s="509"/>
      <c r="E163" s="509"/>
      <c r="F163" s="509"/>
      <c r="G163" s="509"/>
      <c r="H163" s="509"/>
      <c r="I163" s="512"/>
      <c r="J163" s="513"/>
      <c r="K163" s="879"/>
      <c r="L163" s="515"/>
      <c r="M163" s="516"/>
      <c r="N163" s="56">
        <f t="shared" si="74"/>
        <v>0</v>
      </c>
      <c r="O163" s="57">
        <f t="shared" si="75"/>
        <v>0</v>
      </c>
      <c r="P163" s="57">
        <f ca="1">IFERROR(IF(ISBLANK(H163),SUMIFS($AC:$AC,$V:$V,V163,$W:$W,W163,$X:$X,X163,$Y:$Y,Y163)*J163/(1-J163)*VLOOKUP(_xlfn.CONCAT(C163,D163,E163,TIME!$M$12,Z163),HIS_SALES!$B$2:$W$4859,20,FALSE),AC163*J163/(1-J163)),0)</f>
        <v>0</v>
      </c>
      <c r="Q163" s="541" t="str">
        <f t="shared" si="85"/>
        <v/>
      </c>
      <c r="R163" s="346" t="str">
        <f t="shared" si="65"/>
        <v>00000</v>
      </c>
      <c r="S163" s="344">
        <f t="shared" si="76"/>
        <v>0</v>
      </c>
      <c r="T163" s="345" t="str">
        <f t="shared" si="71"/>
        <v>000</v>
      </c>
      <c r="U163" s="345">
        <f t="shared" si="77"/>
        <v>0</v>
      </c>
      <c r="V163" s="345">
        <f t="shared" si="78"/>
        <v>0</v>
      </c>
      <c r="W163" s="345">
        <f t="shared" si="79"/>
        <v>0</v>
      </c>
      <c r="X163" s="345">
        <f t="shared" si="80"/>
        <v>0</v>
      </c>
      <c r="Y163" s="345">
        <f t="shared" si="81"/>
        <v>0</v>
      </c>
      <c r="Z163" s="345">
        <f>IF(Q163&lt;&gt;"",VLOOKUP(Y163,TIME!$R$21:$V$24,MATCH(FC_DATA!Q163,TIME!$R$20:$V$20,0),FALSE),H163)</f>
        <v>0</v>
      </c>
      <c r="AA163" s="345" t="str">
        <f>IFERROR(VLOOKUP(X163&amp;Z163,TIME!$A$12:$D$71,4,FALSE),"")</f>
        <v/>
      </c>
      <c r="AB163" s="592">
        <f t="shared" ca="1" si="66"/>
        <v>0</v>
      </c>
      <c r="AC163" s="593" t="e">
        <f ca="1">IF(ISBLANK(H163)=FALSE,IF(D163="BRAND.com",I163,IF(ISNA(VLOOKUP(_xlfn.CONCAT(X163,Z163),TIME!$M$40:$M$42,1,FALSE)),I163,VLOOKUP(_xlfn.CONCAT(D163,G163,H163),M_BUSAREA_FC!$AF$5:$AJ$10,5,FALSE)*HLOOKUP(_xlfn.CONCAT(F163,H163),ST_OVERVIEW!$G$99:$I$130,MATCH(_xlfn.CONCAT(D163,E163),ST_OVERVIEW!$F$99:$F$130,0),FALSE))),IF(D163="BRAND.com",VLOOKUP(_xlfn.CONCAT(C163,D163,E163,TIME!$F$1,Z163),HIS_SALES!$B$2:$V$4859,19,FALSE)*I163,VLOOKUP(_xlfn.CONCAT(D163,F163,G163),Q_BUSAREA_FC!$AE$5:$AI$12,5,FALSE)*HLOOKUP(_xlfn.CONCAT(FC_DATA!F163,FC_DATA!G163),LT_OVERVIEW!$I$99:$M$130,MATCH(_xlfn.CONCAT(D163,FC_DATA!E163),LT_OVERVIEW!$H$99:$H$130,0),FALSE)*IFERROR(VLOOKUP(_xlfn.CONCAT(C163,D163,E163,TIME!$F$1,Z163),HIS_SALES!$B$2:$V$4859,19,FALSE),0)))</f>
        <v>#N/A</v>
      </c>
      <c r="AD163" s="341">
        <f t="shared" ca="1" si="82"/>
        <v>0</v>
      </c>
      <c r="AE163" s="363" t="str">
        <f t="shared" si="83"/>
        <v/>
      </c>
      <c r="AF163" s="342" t="str">
        <f t="shared" si="84"/>
        <v/>
      </c>
      <c r="AG163" s="411" t="e">
        <f ca="1">VLOOKUP(_xlfn.CONCAT(U163,V163,W163,VLOOKUP(X163&amp;Y163,TIME!$L$27:$O$34,4,FALSE),Y163),HIS_SALES!$A$2:$R$5093,18,FALSE)</f>
        <v>#N/A</v>
      </c>
      <c r="AH163" s="412" t="e">
        <f ca="1">IFERROR(IF(AND(V163=V162,W163=W162),0.5*(AB163+AB162)*AG163,(VLOOKUP(_xlfn.CONCAT(U163,V163,W163,X163,VLOOKUP(Z163,TIME!$S$28:$T$39,2,FALSE)),FC_DATA!$R$2:$AB$5000,MATCH("GS_I_M",FC_DATA!$R$1:$AB$1,0),FALSE)+FC_DATA!AB163)*0.5*FC_DATA!AG163),NA())</f>
        <v>#N/A</v>
      </c>
      <c r="AI163" s="491" t="e">
        <f ca="1">IF(V163="PARTNER.com",AH163,IF(AND(V163=V162,W163=W162),(1-AVERAGE(AD162,AD163))*AH163,(1-AVERAGE(AD163,VLOOKUP(_xlfn.CONCAT(U163,V163,W163,X163,M_BRAND_FC!$F$6),FC_DATA!$R$2:$AD$5000,MATCH("DISCOUNT_%_M",FC_DATA!$R$1:$AD$1,0),FALSE)))*AH163))</f>
        <v>#N/A</v>
      </c>
      <c r="AJ163" s="412" t="str">
        <f t="shared" ca="1" si="68"/>
        <v/>
      </c>
      <c r="AK163" s="413" t="str">
        <f>IFERROR(AE163/(Q_BRAND_FC!$T$24+1),"")</f>
        <v/>
      </c>
      <c r="AL163" s="88" t="str">
        <f t="shared" ca="1" si="69"/>
        <v/>
      </c>
      <c r="AM163" s="414" t="str">
        <f t="shared" ca="1" si="70"/>
        <v/>
      </c>
      <c r="AN163" s="58">
        <f>IFERROR(IF($V163="BRAND.com",HLOOKUP($X163&amp;$Z163,NWC_FC_NOOS!$C$4:$Q$23,MATCH(W163,NWC_FC_NOOS!$B$4:$B$23,0),FALSE),0),0)</f>
        <v>0</v>
      </c>
      <c r="AO163" s="57">
        <f>IFERROR(IF($V163="BRAND.com",HLOOKUP($X163&amp;$Z163,NWC_FC_NOOS!$T$4:$AH$23,MATCH(W163,NWC_FC_NOOS!$S$4:$S$23,0),FALSE),0),0)</f>
        <v>0</v>
      </c>
      <c r="AP163" s="57">
        <f>IFERROR(IF($V163="BRAND.com",HLOOKUP($X163&amp;$Z163,NWC_FC_NOOS!$C$50:$U$69,MATCH(W163,NWC_FC_NOOS!$B$50:$B$69,0),FALSE),0),0)</f>
        <v>0</v>
      </c>
      <c r="AQ163" s="58">
        <f>IFERROR(IF($V163="BRAND.com",HLOOKUP($X163&amp;$Z163,'NWC_FC_NON-NOOS'!$C$4:$Q$23,MATCH(W163,'NWC_FC_NON-NOOS'!$B$4:$B$23,0),FALSE),0),0)</f>
        <v>0</v>
      </c>
      <c r="AR163" s="57">
        <f>IFERROR(IF($V163="BRAND.com",HLOOKUP($X163&amp;$Z163,'NWC_FC_NON-NOOS'!$T$4:$AH$23,MATCH(W163,'NWC_FC_NON-NOOS'!$S$4:$S$23,0),FALSE),0),0)</f>
        <v>0</v>
      </c>
      <c r="AS163" s="57">
        <f>IFERROR(IF($V163="BRAND.com",HLOOKUP($X163&amp;$Z163,'NWC_FC_NON-NOOS'!$C$50:$U$69,MATCH(W163,'NWC_FC_NON-NOOS'!$B$50:$B$69,0),FALSE),0),0)</f>
        <v>0</v>
      </c>
      <c r="AT163" s="57">
        <f t="shared" si="72"/>
        <v>0</v>
      </c>
      <c r="AU163" s="57">
        <f t="shared" si="73"/>
        <v>0</v>
      </c>
      <c r="AV163" s="58">
        <f>IFERROR(IF($V163="BRAND.com",HLOOKUP($X163&amp;$Z163,PLANNING_FC!$BB$27:$BP$46,MATCH($W163,PLANNING_FC!$BA$27:$BA$46,0),FALSE),0),0)</f>
        <v>0</v>
      </c>
      <c r="AW163" s="58">
        <f>IFERROR(IF($V163="BRAND.com",HLOOKUP($X163&amp;$Z163,PLANNING_FC!$BB$4:$BP$23,MATCH($W163,PLANNING_FC!$BA$4:$BA$23,0),FALSE),0),0)</f>
        <v>0</v>
      </c>
      <c r="AX163" s="58">
        <f>IFERROR(IF($V163="BRAND.com",HLOOKUP($X163&amp;$Z163,PLANNING_FC!$T$27:$AH$46,MATCH($W163,PLANNING_FC!$B$27:$B$46,0),FALSE),0),0)</f>
        <v>0</v>
      </c>
      <c r="AY163" s="58">
        <f>IFERROR(IF($V163="BRAND.com",HLOOKUP($X163&amp;$Z163,PLANNING_FC!$T$4:$AH$23,MATCH($W163,PLANNING_FC!$B$4:$B$23,0),FALSE),0),0)</f>
        <v>0</v>
      </c>
      <c r="AZ163" s="58">
        <f>IFERROR(IF($V163="BRAND.com",HLOOKUP($X163&amp;$Z163,PLANNING_FC!$DA$27:$DO$46,MATCH($W163,PLANNING_FC!$CZ$27:$CZ$46,0),FALSE),0),0)</f>
        <v>0</v>
      </c>
      <c r="BA163" s="58">
        <f>IFERROR(IF($V163="BRAND.com",HLOOKUP($X163&amp;$Z163,PLANNING_FC!$DA$4:$DO$23,MATCH($W163,PLANNING_FC!$CZ$4:$CZ$23,0),FALSE),0),0)</f>
        <v>0</v>
      </c>
      <c r="BB163" s="883" t="str">
        <f>IF(V163="BRAND.com",IFERROR(HLOOKUP(X163&amp;Z163,PLANNING_FC!$AK$4:$AY$23,MATCH(W163,PLANNING_FC!$AJ$4:$AJ$23,0),FALSE)*1000,""),"")</f>
        <v/>
      </c>
      <c r="BC163" s="883" t="str">
        <f>IF(V163="BRAND.com",IFERROR(HLOOKUP(X163&amp;Z163,PLANNING_FC!$AK$27:$AY$46,MATCH(W163,PLANNING_FC!$AJ$27:$AJ$46,0),FALSE)*1000,""),"")</f>
        <v/>
      </c>
    </row>
    <row r="164" spans="1:55" x14ac:dyDescent="0.25">
      <c r="A164" s="509"/>
      <c r="B164" s="510"/>
      <c r="C164" s="509"/>
      <c r="D164" s="509"/>
      <c r="E164" s="509"/>
      <c r="F164" s="509"/>
      <c r="G164" s="509"/>
      <c r="H164" s="509"/>
      <c r="I164" s="512"/>
      <c r="J164" s="513"/>
      <c r="K164" s="879"/>
      <c r="L164" s="515"/>
      <c r="M164" s="516"/>
      <c r="N164" s="56">
        <f t="shared" si="74"/>
        <v>0</v>
      </c>
      <c r="O164" s="57">
        <f t="shared" si="75"/>
        <v>0</v>
      </c>
      <c r="P164" s="57">
        <f ca="1">IFERROR(IF(ISBLANK(H164),SUMIFS($AC:$AC,$V:$V,V164,$W:$W,W164,$X:$X,X164,$Y:$Y,Y164)*J164/(1-J164)*VLOOKUP(_xlfn.CONCAT(C164,D164,E164,TIME!$M$12,Z164),HIS_SALES!$B$2:$W$4859,20,FALSE),AC164*J164/(1-J164)),0)</f>
        <v>0</v>
      </c>
      <c r="Q164" s="541" t="str">
        <f t="shared" si="85"/>
        <v/>
      </c>
      <c r="R164" s="346" t="str">
        <f t="shared" si="65"/>
        <v>00000</v>
      </c>
      <c r="S164" s="344">
        <f t="shared" si="76"/>
        <v>0</v>
      </c>
      <c r="T164" s="345" t="str">
        <f t="shared" si="71"/>
        <v>000</v>
      </c>
      <c r="U164" s="345">
        <f t="shared" si="77"/>
        <v>0</v>
      </c>
      <c r="V164" s="345">
        <f t="shared" si="78"/>
        <v>0</v>
      </c>
      <c r="W164" s="345">
        <f t="shared" si="79"/>
        <v>0</v>
      </c>
      <c r="X164" s="345">
        <f t="shared" si="80"/>
        <v>0</v>
      </c>
      <c r="Y164" s="345">
        <f t="shared" si="81"/>
        <v>0</v>
      </c>
      <c r="Z164" s="345">
        <f>IF(Q164&lt;&gt;"",VLOOKUP(Y164,TIME!$R$21:$V$24,MATCH(FC_DATA!Q164,TIME!$R$20:$V$20,0),FALSE),H164)</f>
        <v>0</v>
      </c>
      <c r="AA164" s="345" t="str">
        <f>IFERROR(VLOOKUP(X164&amp;Z164,TIME!$A$12:$D$71,4,FALSE),"")</f>
        <v/>
      </c>
      <c r="AB164" s="592">
        <f t="shared" ca="1" si="66"/>
        <v>0</v>
      </c>
      <c r="AC164" s="593" t="e">
        <f ca="1">IF(ISBLANK(H164)=FALSE,IF(D164="BRAND.com",I164,IF(ISNA(VLOOKUP(_xlfn.CONCAT(X164,Z164),TIME!$M$40:$M$42,1,FALSE)),I164,VLOOKUP(_xlfn.CONCAT(D164,G164,H164),M_BUSAREA_FC!$AF$5:$AJ$10,5,FALSE)*HLOOKUP(_xlfn.CONCAT(F164,H164),ST_OVERVIEW!$G$99:$I$130,MATCH(_xlfn.CONCAT(D164,E164),ST_OVERVIEW!$F$99:$F$130,0),FALSE))),IF(D164="BRAND.com",VLOOKUP(_xlfn.CONCAT(C164,D164,E164,TIME!$F$1,Z164),HIS_SALES!$B$2:$V$4859,19,FALSE)*I164,VLOOKUP(_xlfn.CONCAT(D164,F164,G164),Q_BUSAREA_FC!$AE$5:$AI$12,5,FALSE)*HLOOKUP(_xlfn.CONCAT(FC_DATA!F164,FC_DATA!G164),LT_OVERVIEW!$I$99:$M$130,MATCH(_xlfn.CONCAT(D164,FC_DATA!E164),LT_OVERVIEW!$H$99:$H$130,0),FALSE)*IFERROR(VLOOKUP(_xlfn.CONCAT(C164,D164,E164,TIME!$F$1,Z164),HIS_SALES!$B$2:$V$4859,19,FALSE),0)))</f>
        <v>#N/A</v>
      </c>
      <c r="AD164" s="341">
        <f t="shared" ca="1" si="82"/>
        <v>0</v>
      </c>
      <c r="AE164" s="363" t="str">
        <f t="shared" si="83"/>
        <v/>
      </c>
      <c r="AF164" s="342" t="str">
        <f t="shared" si="84"/>
        <v/>
      </c>
      <c r="AG164" s="411" t="e">
        <f ca="1">VLOOKUP(_xlfn.CONCAT(U164,V164,W164,VLOOKUP(X164&amp;Y164,TIME!$L$27:$O$34,4,FALSE),Y164),HIS_SALES!$A$2:$R$5093,18,FALSE)</f>
        <v>#N/A</v>
      </c>
      <c r="AH164" s="412" t="e">
        <f ca="1">IFERROR(IF(AND(V164=V163,W164=W163),0.5*(AB164+AB163)*AG164,(VLOOKUP(_xlfn.CONCAT(U164,V164,W164,X164,VLOOKUP(Z164,TIME!$S$28:$T$39,2,FALSE)),FC_DATA!$R$2:$AB$5000,MATCH("GS_I_M",FC_DATA!$R$1:$AB$1,0),FALSE)+FC_DATA!AB164)*0.5*FC_DATA!AG164),NA())</f>
        <v>#N/A</v>
      </c>
      <c r="AI164" s="491" t="e">
        <f ca="1">IF(V164="PARTNER.com",AH164,IF(AND(V164=V163,W164=W163),(1-AVERAGE(AD163,AD164))*AH164,(1-AVERAGE(AD164,VLOOKUP(_xlfn.CONCAT(U164,V164,W164,X164,M_BRAND_FC!$F$6),FC_DATA!$R$2:$AD$5000,MATCH("DISCOUNT_%_M",FC_DATA!$R$1:$AD$1,0),FALSE)))*AH164))</f>
        <v>#N/A</v>
      </c>
      <c r="AJ164" s="412" t="str">
        <f t="shared" ca="1" si="68"/>
        <v/>
      </c>
      <c r="AK164" s="413" t="str">
        <f>IFERROR(AE164/(Q_BRAND_FC!$T$24+1),"")</f>
        <v/>
      </c>
      <c r="AL164" s="88" t="str">
        <f t="shared" ca="1" si="69"/>
        <v/>
      </c>
      <c r="AM164" s="414" t="str">
        <f t="shared" ca="1" si="70"/>
        <v/>
      </c>
      <c r="AN164" s="58">
        <f>IFERROR(IF($V164="BRAND.com",HLOOKUP($X164&amp;$Z164,NWC_FC_NOOS!$C$4:$Q$23,MATCH(W164,NWC_FC_NOOS!$B$4:$B$23,0),FALSE),0),0)</f>
        <v>0</v>
      </c>
      <c r="AO164" s="57">
        <f>IFERROR(IF($V164="BRAND.com",HLOOKUP($X164&amp;$Z164,NWC_FC_NOOS!$T$4:$AH$23,MATCH(W164,NWC_FC_NOOS!$S$4:$S$23,0),FALSE),0),0)</f>
        <v>0</v>
      </c>
      <c r="AP164" s="57">
        <f>IFERROR(IF($V164="BRAND.com",HLOOKUP($X164&amp;$Z164,NWC_FC_NOOS!$C$50:$U$69,MATCH(W164,NWC_FC_NOOS!$B$50:$B$69,0),FALSE),0),0)</f>
        <v>0</v>
      </c>
      <c r="AQ164" s="58">
        <f>IFERROR(IF($V164="BRAND.com",HLOOKUP($X164&amp;$Z164,'NWC_FC_NON-NOOS'!$C$4:$Q$23,MATCH(W164,'NWC_FC_NON-NOOS'!$B$4:$B$23,0),FALSE),0),0)</f>
        <v>0</v>
      </c>
      <c r="AR164" s="57">
        <f>IFERROR(IF($V164="BRAND.com",HLOOKUP($X164&amp;$Z164,'NWC_FC_NON-NOOS'!$T$4:$AH$23,MATCH(W164,'NWC_FC_NON-NOOS'!$S$4:$S$23,0),FALSE),0),0)</f>
        <v>0</v>
      </c>
      <c r="AS164" s="57">
        <f>IFERROR(IF($V164="BRAND.com",HLOOKUP($X164&amp;$Z164,'NWC_FC_NON-NOOS'!$C$50:$U$69,MATCH(W164,'NWC_FC_NON-NOOS'!$B$50:$B$69,0),FALSE),0),0)</f>
        <v>0</v>
      </c>
      <c r="AT164" s="57">
        <f t="shared" si="72"/>
        <v>0</v>
      </c>
      <c r="AU164" s="57">
        <f t="shared" si="73"/>
        <v>0</v>
      </c>
      <c r="AV164" s="58">
        <f>IFERROR(IF($V164="BRAND.com",HLOOKUP($X164&amp;$Z164,PLANNING_FC!$BB$27:$BP$46,MATCH($W164,PLANNING_FC!$BA$27:$BA$46,0),FALSE),0),0)</f>
        <v>0</v>
      </c>
      <c r="AW164" s="58">
        <f>IFERROR(IF($V164="BRAND.com",HLOOKUP($X164&amp;$Z164,PLANNING_FC!$BB$4:$BP$23,MATCH($W164,PLANNING_FC!$BA$4:$BA$23,0),FALSE),0),0)</f>
        <v>0</v>
      </c>
      <c r="AX164" s="58">
        <f>IFERROR(IF($V164="BRAND.com",HLOOKUP($X164&amp;$Z164,PLANNING_FC!$T$27:$AH$46,MATCH($W164,PLANNING_FC!$B$27:$B$46,0),FALSE),0),0)</f>
        <v>0</v>
      </c>
      <c r="AY164" s="58">
        <f>IFERROR(IF($V164="BRAND.com",HLOOKUP($X164&amp;$Z164,PLANNING_FC!$T$4:$AH$23,MATCH($W164,PLANNING_FC!$B$4:$B$23,0),FALSE),0),0)</f>
        <v>0</v>
      </c>
      <c r="AZ164" s="58">
        <f>IFERROR(IF($V164="BRAND.com",HLOOKUP($X164&amp;$Z164,PLANNING_FC!$DA$27:$DO$46,MATCH($W164,PLANNING_FC!$CZ$27:$CZ$46,0),FALSE),0),0)</f>
        <v>0</v>
      </c>
      <c r="BA164" s="58">
        <f>IFERROR(IF($V164="BRAND.com",HLOOKUP($X164&amp;$Z164,PLANNING_FC!$DA$4:$DO$23,MATCH($W164,PLANNING_FC!$CZ$4:$CZ$23,0),FALSE),0),0)</f>
        <v>0</v>
      </c>
      <c r="BB164" s="883" t="str">
        <f>IF(V164="BRAND.com",IFERROR(HLOOKUP(X164&amp;Z164,PLANNING_FC!$AK$4:$AY$23,MATCH(W164,PLANNING_FC!$AJ$4:$AJ$23,0),FALSE)*1000,""),"")</f>
        <v/>
      </c>
      <c r="BC164" s="883" t="str">
        <f>IF(V164="BRAND.com",IFERROR(HLOOKUP(X164&amp;Z164,PLANNING_FC!$AK$27:$AY$46,MATCH(W164,PLANNING_FC!$AJ$27:$AJ$46,0),FALSE)*1000,""),"")</f>
        <v/>
      </c>
    </row>
    <row r="165" spans="1:55" x14ac:dyDescent="0.25">
      <c r="A165" s="509"/>
      <c r="B165" s="510"/>
      <c r="C165" s="509"/>
      <c r="D165" s="509"/>
      <c r="E165" s="509"/>
      <c r="F165" s="509"/>
      <c r="G165" s="509"/>
      <c r="H165" s="509"/>
      <c r="I165" s="512"/>
      <c r="J165" s="513"/>
      <c r="K165" s="879"/>
      <c r="L165" s="515"/>
      <c r="M165" s="516"/>
      <c r="N165" s="56">
        <f t="shared" si="74"/>
        <v>0</v>
      </c>
      <c r="O165" s="57">
        <f t="shared" si="75"/>
        <v>0</v>
      </c>
      <c r="P165" s="57">
        <f ca="1">IFERROR(IF(ISBLANK(H165),SUMIFS($AC:$AC,$V:$V,V165,$W:$W,W165,$X:$X,X165,$Y:$Y,Y165)*J165/(1-J165)*VLOOKUP(_xlfn.CONCAT(C165,D165,E165,TIME!$M$12,Z165),HIS_SALES!$B$2:$W$4859,20,FALSE),AC165*J165/(1-J165)),0)</f>
        <v>0</v>
      </c>
      <c r="Q165" s="541" t="str">
        <f t="shared" si="85"/>
        <v/>
      </c>
      <c r="R165" s="346" t="str">
        <f t="shared" si="65"/>
        <v>00000</v>
      </c>
      <c r="S165" s="344">
        <f t="shared" si="76"/>
        <v>0</v>
      </c>
      <c r="T165" s="345" t="str">
        <f t="shared" si="71"/>
        <v>000</v>
      </c>
      <c r="U165" s="345">
        <f t="shared" si="77"/>
        <v>0</v>
      </c>
      <c r="V165" s="345">
        <f t="shared" si="78"/>
        <v>0</v>
      </c>
      <c r="W165" s="345">
        <f t="shared" si="79"/>
        <v>0</v>
      </c>
      <c r="X165" s="345">
        <f t="shared" si="80"/>
        <v>0</v>
      </c>
      <c r="Y165" s="345">
        <f t="shared" si="81"/>
        <v>0</v>
      </c>
      <c r="Z165" s="345">
        <f>IF(Q165&lt;&gt;"",VLOOKUP(Y165,TIME!$R$21:$V$24,MATCH(FC_DATA!Q165,TIME!$R$20:$V$20,0),FALSE),H165)</f>
        <v>0</v>
      </c>
      <c r="AA165" s="345" t="str">
        <f>IFERROR(VLOOKUP(X165&amp;Z165,TIME!$A$12:$D$71,4,FALSE),"")</f>
        <v/>
      </c>
      <c r="AB165" s="592">
        <f t="shared" ca="1" si="66"/>
        <v>0</v>
      </c>
      <c r="AC165" s="593" t="e">
        <f ca="1">IF(ISBLANK(H165)=FALSE,IF(D165="BRAND.com",I165,IF(ISNA(VLOOKUP(_xlfn.CONCAT(X165,Z165),TIME!$M$40:$M$42,1,FALSE)),I165,VLOOKUP(_xlfn.CONCAT(D165,G165,H165),M_BUSAREA_FC!$AF$5:$AJ$10,5,FALSE)*HLOOKUP(_xlfn.CONCAT(F165,H165),ST_OVERVIEW!$G$99:$I$130,MATCH(_xlfn.CONCAT(D165,E165),ST_OVERVIEW!$F$99:$F$130,0),FALSE))),IF(D165="BRAND.com",VLOOKUP(_xlfn.CONCAT(C165,D165,E165,TIME!$F$1,Z165),HIS_SALES!$B$2:$V$4859,19,FALSE)*I165,VLOOKUP(_xlfn.CONCAT(D165,F165,G165),Q_BUSAREA_FC!$AE$5:$AI$12,5,FALSE)*HLOOKUP(_xlfn.CONCAT(FC_DATA!F165,FC_DATA!G165),LT_OVERVIEW!$I$99:$M$130,MATCH(_xlfn.CONCAT(D165,FC_DATA!E165),LT_OVERVIEW!$H$99:$H$130,0),FALSE)*IFERROR(VLOOKUP(_xlfn.CONCAT(C165,D165,E165,TIME!$F$1,Z165),HIS_SALES!$B$2:$V$4859,19,FALSE),0)))</f>
        <v>#N/A</v>
      </c>
      <c r="AD165" s="341">
        <f t="shared" ca="1" si="82"/>
        <v>0</v>
      </c>
      <c r="AE165" s="363" t="str">
        <f t="shared" si="83"/>
        <v/>
      </c>
      <c r="AF165" s="342" t="str">
        <f t="shared" si="84"/>
        <v/>
      </c>
      <c r="AG165" s="411" t="e">
        <f ca="1">VLOOKUP(_xlfn.CONCAT(U165,V165,W165,VLOOKUP(X165&amp;Y165,TIME!$L$27:$O$34,4,FALSE),Y165),HIS_SALES!$A$2:$R$5093,18,FALSE)</f>
        <v>#N/A</v>
      </c>
      <c r="AH165" s="412" t="e">
        <f ca="1">IFERROR(IF(AND(V165=V164,W165=W164),0.5*(AB165+AB164)*AG165,(VLOOKUP(_xlfn.CONCAT(U165,V165,W165,X165,VLOOKUP(Z165,TIME!$S$28:$T$39,2,FALSE)),FC_DATA!$R$2:$AB$5000,MATCH("GS_I_M",FC_DATA!$R$1:$AB$1,0),FALSE)+FC_DATA!AB165)*0.5*FC_DATA!AG165),NA())</f>
        <v>#N/A</v>
      </c>
      <c r="AI165" s="491" t="e">
        <f ca="1">IF(V165="PARTNER.com",AH165,IF(AND(V165=V164,W165=W164),(1-AVERAGE(AD164,AD165))*AH165,(1-AVERAGE(AD165,VLOOKUP(_xlfn.CONCAT(U165,V165,W165,X165,M_BRAND_FC!$F$6),FC_DATA!$R$2:$AD$5000,MATCH("DISCOUNT_%_M",FC_DATA!$R$1:$AD$1,0),FALSE)))*AH165))</f>
        <v>#N/A</v>
      </c>
      <c r="AJ165" s="412" t="str">
        <f t="shared" ca="1" si="68"/>
        <v/>
      </c>
      <c r="AK165" s="413" t="str">
        <f>IFERROR(AE165/(Q_BRAND_FC!$T$24+1),"")</f>
        <v/>
      </c>
      <c r="AL165" s="88" t="str">
        <f t="shared" ca="1" si="69"/>
        <v/>
      </c>
      <c r="AM165" s="414" t="str">
        <f t="shared" ca="1" si="70"/>
        <v/>
      </c>
      <c r="AN165" s="58">
        <f>IFERROR(IF($V165="BRAND.com",HLOOKUP($X165&amp;$Z165,NWC_FC_NOOS!$C$4:$Q$23,MATCH(W165,NWC_FC_NOOS!$B$4:$B$23,0),FALSE),0),0)</f>
        <v>0</v>
      </c>
      <c r="AO165" s="57">
        <f>IFERROR(IF($V165="BRAND.com",HLOOKUP($X165&amp;$Z165,NWC_FC_NOOS!$T$4:$AH$23,MATCH(W165,NWC_FC_NOOS!$S$4:$S$23,0),FALSE),0),0)</f>
        <v>0</v>
      </c>
      <c r="AP165" s="57">
        <f>IFERROR(IF($V165="BRAND.com",HLOOKUP($X165&amp;$Z165,NWC_FC_NOOS!$C$50:$U$69,MATCH(W165,NWC_FC_NOOS!$B$50:$B$69,0),FALSE),0),0)</f>
        <v>0</v>
      </c>
      <c r="AQ165" s="58">
        <f>IFERROR(IF($V165="BRAND.com",HLOOKUP($X165&amp;$Z165,'NWC_FC_NON-NOOS'!$C$4:$Q$23,MATCH(W165,'NWC_FC_NON-NOOS'!$B$4:$B$23,0),FALSE),0),0)</f>
        <v>0</v>
      </c>
      <c r="AR165" s="57">
        <f>IFERROR(IF($V165="BRAND.com",HLOOKUP($X165&amp;$Z165,'NWC_FC_NON-NOOS'!$T$4:$AH$23,MATCH(W165,'NWC_FC_NON-NOOS'!$S$4:$S$23,0),FALSE),0),0)</f>
        <v>0</v>
      </c>
      <c r="AS165" s="57">
        <f>IFERROR(IF($V165="BRAND.com",HLOOKUP($X165&amp;$Z165,'NWC_FC_NON-NOOS'!$C$50:$U$69,MATCH(W165,'NWC_FC_NON-NOOS'!$B$50:$B$69,0),FALSE),0),0)</f>
        <v>0</v>
      </c>
      <c r="AT165" s="57">
        <f t="shared" si="72"/>
        <v>0</v>
      </c>
      <c r="AU165" s="57">
        <f t="shared" si="73"/>
        <v>0</v>
      </c>
      <c r="AV165" s="58">
        <f>IFERROR(IF($V165="BRAND.com",HLOOKUP($X165&amp;$Z165,PLANNING_FC!$BB$27:$BP$46,MATCH($W165,PLANNING_FC!$BA$27:$BA$46,0),FALSE),0),0)</f>
        <v>0</v>
      </c>
      <c r="AW165" s="58">
        <f>IFERROR(IF($V165="BRAND.com",HLOOKUP($X165&amp;$Z165,PLANNING_FC!$BB$4:$BP$23,MATCH($W165,PLANNING_FC!$BA$4:$BA$23,0),FALSE),0),0)</f>
        <v>0</v>
      </c>
      <c r="AX165" s="58">
        <f>IFERROR(IF($V165="BRAND.com",HLOOKUP($X165&amp;$Z165,PLANNING_FC!$T$27:$AH$46,MATCH($W165,PLANNING_FC!$B$27:$B$46,0),FALSE),0),0)</f>
        <v>0</v>
      </c>
      <c r="AY165" s="58">
        <f>IFERROR(IF($V165="BRAND.com",HLOOKUP($X165&amp;$Z165,PLANNING_FC!$T$4:$AH$23,MATCH($W165,PLANNING_FC!$B$4:$B$23,0),FALSE),0),0)</f>
        <v>0</v>
      </c>
      <c r="AZ165" s="58">
        <f>IFERROR(IF($V165="BRAND.com",HLOOKUP($X165&amp;$Z165,PLANNING_FC!$DA$27:$DO$46,MATCH($W165,PLANNING_FC!$CZ$27:$CZ$46,0),FALSE),0),0)</f>
        <v>0</v>
      </c>
      <c r="BA165" s="58">
        <f>IFERROR(IF($V165="BRAND.com",HLOOKUP($X165&amp;$Z165,PLANNING_FC!$DA$4:$DO$23,MATCH($W165,PLANNING_FC!$CZ$4:$CZ$23,0),FALSE),0),0)</f>
        <v>0</v>
      </c>
      <c r="BB165" s="883" t="str">
        <f>IF(V165="BRAND.com",IFERROR(HLOOKUP(X165&amp;Z165,PLANNING_FC!$AK$4:$AY$23,MATCH(W165,PLANNING_FC!$AJ$4:$AJ$23,0),FALSE)*1000,""),"")</f>
        <v/>
      </c>
      <c r="BC165" s="883" t="str">
        <f>IF(V165="BRAND.com",IFERROR(HLOOKUP(X165&amp;Z165,PLANNING_FC!$AK$27:$AY$46,MATCH(W165,PLANNING_FC!$AJ$27:$AJ$46,0),FALSE)*1000,""),"")</f>
        <v/>
      </c>
    </row>
    <row r="166" spans="1:55" x14ac:dyDescent="0.25">
      <c r="A166" s="509"/>
      <c r="B166" s="510"/>
      <c r="C166" s="509"/>
      <c r="D166" s="509"/>
      <c r="E166" s="509"/>
      <c r="F166" s="509"/>
      <c r="G166" s="509"/>
      <c r="H166" s="509"/>
      <c r="I166" s="512"/>
      <c r="J166" s="513"/>
      <c r="K166" s="879"/>
      <c r="L166" s="515"/>
      <c r="M166" s="516"/>
      <c r="N166" s="56">
        <f t="shared" si="74"/>
        <v>0</v>
      </c>
      <c r="O166" s="57">
        <f t="shared" si="75"/>
        <v>0</v>
      </c>
      <c r="P166" s="57">
        <f ca="1">IFERROR(IF(ISBLANK(H166),SUMIFS($AC:$AC,$V:$V,V166,$W:$W,W166,$X:$X,X166,$Y:$Y,Y166)*J166/(1-J166)*VLOOKUP(_xlfn.CONCAT(C166,D166,E166,TIME!$M$12,Z166),HIS_SALES!$B$2:$W$4859,20,FALSE),AC166*J166/(1-J166)),0)</f>
        <v>0</v>
      </c>
      <c r="Q166" s="541" t="str">
        <f t="shared" si="85"/>
        <v/>
      </c>
      <c r="R166" s="346" t="str">
        <f t="shared" si="65"/>
        <v>00000</v>
      </c>
      <c r="S166" s="344">
        <f t="shared" si="76"/>
        <v>0</v>
      </c>
      <c r="T166" s="345" t="str">
        <f t="shared" si="71"/>
        <v>000</v>
      </c>
      <c r="U166" s="345">
        <f t="shared" si="77"/>
        <v>0</v>
      </c>
      <c r="V166" s="345">
        <f t="shared" si="78"/>
        <v>0</v>
      </c>
      <c r="W166" s="345">
        <f t="shared" si="79"/>
        <v>0</v>
      </c>
      <c r="X166" s="345">
        <f t="shared" si="80"/>
        <v>0</v>
      </c>
      <c r="Y166" s="345">
        <f t="shared" si="81"/>
        <v>0</v>
      </c>
      <c r="Z166" s="345">
        <f>IF(Q166&lt;&gt;"",VLOOKUP(Y166,TIME!$R$21:$V$24,MATCH(FC_DATA!Q166,TIME!$R$20:$V$20,0),FALSE),H166)</f>
        <v>0</v>
      </c>
      <c r="AA166" s="345" t="str">
        <f>IFERROR(VLOOKUP(X166&amp;Z166,TIME!$A$12:$D$71,4,FALSE),"")</f>
        <v/>
      </c>
      <c r="AB166" s="592">
        <f t="shared" ca="1" si="66"/>
        <v>0</v>
      </c>
      <c r="AC166" s="593" t="e">
        <f ca="1">IF(ISBLANK(H166)=FALSE,IF(D166="BRAND.com",I166,IF(ISNA(VLOOKUP(_xlfn.CONCAT(X166,Z166),TIME!$M$40:$M$42,1,FALSE)),I166,VLOOKUP(_xlfn.CONCAT(D166,G166,H166),M_BUSAREA_FC!$AF$5:$AJ$10,5,FALSE)*HLOOKUP(_xlfn.CONCAT(F166,H166),ST_OVERVIEW!$G$99:$I$130,MATCH(_xlfn.CONCAT(D166,E166),ST_OVERVIEW!$F$99:$F$130,0),FALSE))),IF(D166="BRAND.com",VLOOKUP(_xlfn.CONCAT(C166,D166,E166,TIME!$F$1,Z166),HIS_SALES!$B$2:$V$4859,19,FALSE)*I166,VLOOKUP(_xlfn.CONCAT(D166,F166,G166),Q_BUSAREA_FC!$AE$5:$AI$12,5,FALSE)*HLOOKUP(_xlfn.CONCAT(FC_DATA!F166,FC_DATA!G166),LT_OVERVIEW!$I$99:$M$130,MATCH(_xlfn.CONCAT(D166,FC_DATA!E166),LT_OVERVIEW!$H$99:$H$130,0),FALSE)*IFERROR(VLOOKUP(_xlfn.CONCAT(C166,D166,E166,TIME!$F$1,Z166),HIS_SALES!$B$2:$V$4859,19,FALSE),0)))</f>
        <v>#N/A</v>
      </c>
      <c r="AD166" s="341">
        <f t="shared" ca="1" si="82"/>
        <v>0</v>
      </c>
      <c r="AE166" s="363" t="str">
        <f t="shared" si="83"/>
        <v/>
      </c>
      <c r="AF166" s="342" t="str">
        <f t="shared" si="84"/>
        <v/>
      </c>
      <c r="AG166" s="411" t="e">
        <f ca="1">VLOOKUP(_xlfn.CONCAT(U166,V166,W166,VLOOKUP(X166&amp;Y166,TIME!$L$27:$O$34,4,FALSE),Y166),HIS_SALES!$A$2:$R$5093,18,FALSE)</f>
        <v>#N/A</v>
      </c>
      <c r="AH166" s="412" t="e">
        <f ca="1">IFERROR(IF(AND(V166=V165,W166=W165),0.5*(AB166+AB165)*AG166,(VLOOKUP(_xlfn.CONCAT(U166,V166,W166,X166,VLOOKUP(Z166,TIME!$S$28:$T$39,2,FALSE)),FC_DATA!$R$2:$AB$5000,MATCH("GS_I_M",FC_DATA!$R$1:$AB$1,0),FALSE)+FC_DATA!AB166)*0.5*FC_DATA!AG166),NA())</f>
        <v>#N/A</v>
      </c>
      <c r="AI166" s="491" t="e">
        <f ca="1">IF(V166="PARTNER.com",AH166,IF(AND(V166=V165,W166=W165),(1-AVERAGE(AD165,AD166))*AH166,(1-AVERAGE(AD166,VLOOKUP(_xlfn.CONCAT(U166,V166,W166,X166,M_BRAND_FC!$F$6),FC_DATA!$R$2:$AD$5000,MATCH("DISCOUNT_%_M",FC_DATA!$R$1:$AD$1,0),FALSE)))*AH166))</f>
        <v>#N/A</v>
      </c>
      <c r="AJ166" s="412" t="str">
        <f t="shared" ca="1" si="68"/>
        <v/>
      </c>
      <c r="AK166" s="413" t="str">
        <f>IFERROR(AE166/(Q_BRAND_FC!$T$24+1),"")</f>
        <v/>
      </c>
      <c r="AL166" s="88" t="str">
        <f t="shared" ca="1" si="69"/>
        <v/>
      </c>
      <c r="AM166" s="414" t="str">
        <f t="shared" ca="1" si="70"/>
        <v/>
      </c>
      <c r="AN166" s="58">
        <f>IFERROR(IF($V166="BRAND.com",HLOOKUP($X166&amp;$Z166,NWC_FC_NOOS!$C$4:$Q$23,MATCH(W166,NWC_FC_NOOS!$B$4:$B$23,0),FALSE),0),0)</f>
        <v>0</v>
      </c>
      <c r="AO166" s="57">
        <f>IFERROR(IF($V166="BRAND.com",HLOOKUP($X166&amp;$Z166,NWC_FC_NOOS!$T$4:$AH$23,MATCH(W166,NWC_FC_NOOS!$S$4:$S$23,0),FALSE),0),0)</f>
        <v>0</v>
      </c>
      <c r="AP166" s="57">
        <f>IFERROR(IF($V166="BRAND.com",HLOOKUP($X166&amp;$Z166,NWC_FC_NOOS!$C$50:$U$69,MATCH(W166,NWC_FC_NOOS!$B$50:$B$69,0),FALSE),0),0)</f>
        <v>0</v>
      </c>
      <c r="AQ166" s="58">
        <f>IFERROR(IF($V166="BRAND.com",HLOOKUP($X166&amp;$Z166,'NWC_FC_NON-NOOS'!$C$4:$Q$23,MATCH(W166,'NWC_FC_NON-NOOS'!$B$4:$B$23,0),FALSE),0),0)</f>
        <v>0</v>
      </c>
      <c r="AR166" s="57">
        <f>IFERROR(IF($V166="BRAND.com",HLOOKUP($X166&amp;$Z166,'NWC_FC_NON-NOOS'!$T$4:$AH$23,MATCH(W166,'NWC_FC_NON-NOOS'!$S$4:$S$23,0),FALSE),0),0)</f>
        <v>0</v>
      </c>
      <c r="AS166" s="57">
        <f>IFERROR(IF($V166="BRAND.com",HLOOKUP($X166&amp;$Z166,'NWC_FC_NON-NOOS'!$C$50:$U$69,MATCH(W166,'NWC_FC_NON-NOOS'!$B$50:$B$69,0),FALSE),0),0)</f>
        <v>0</v>
      </c>
      <c r="AT166" s="57">
        <f t="shared" si="72"/>
        <v>0</v>
      </c>
      <c r="AU166" s="57">
        <f t="shared" si="73"/>
        <v>0</v>
      </c>
      <c r="AV166" s="58">
        <f>IFERROR(IF($V166="BRAND.com",HLOOKUP($X166&amp;$Z166,PLANNING_FC!$BB$27:$BP$46,MATCH($W166,PLANNING_FC!$BA$27:$BA$46,0),FALSE),0),0)</f>
        <v>0</v>
      </c>
      <c r="AW166" s="58">
        <f>IFERROR(IF($V166="BRAND.com",HLOOKUP($X166&amp;$Z166,PLANNING_FC!$BB$4:$BP$23,MATCH($W166,PLANNING_FC!$BA$4:$BA$23,0),FALSE),0),0)</f>
        <v>0</v>
      </c>
      <c r="AX166" s="58">
        <f>IFERROR(IF($V166="BRAND.com",HLOOKUP($X166&amp;$Z166,PLANNING_FC!$T$27:$AH$46,MATCH($W166,PLANNING_FC!$B$27:$B$46,0),FALSE),0),0)</f>
        <v>0</v>
      </c>
      <c r="AY166" s="58">
        <f>IFERROR(IF($V166="BRAND.com",HLOOKUP($X166&amp;$Z166,PLANNING_FC!$T$4:$AH$23,MATCH($W166,PLANNING_FC!$B$4:$B$23,0),FALSE),0),0)</f>
        <v>0</v>
      </c>
      <c r="AZ166" s="58">
        <f>IFERROR(IF($V166="BRAND.com",HLOOKUP($X166&amp;$Z166,PLANNING_FC!$DA$27:$DO$46,MATCH($W166,PLANNING_FC!$CZ$27:$CZ$46,0),FALSE),0),0)</f>
        <v>0</v>
      </c>
      <c r="BA166" s="58">
        <f>IFERROR(IF($V166="BRAND.com",HLOOKUP($X166&amp;$Z166,PLANNING_FC!$DA$4:$DO$23,MATCH($W166,PLANNING_FC!$CZ$4:$CZ$23,0),FALSE),0),0)</f>
        <v>0</v>
      </c>
      <c r="BB166" s="883" t="str">
        <f>IF(V166="BRAND.com",IFERROR(HLOOKUP(X166&amp;Z166,PLANNING_FC!$AK$4:$AY$23,MATCH(W166,PLANNING_FC!$AJ$4:$AJ$23,0),FALSE)*1000,""),"")</f>
        <v/>
      </c>
      <c r="BC166" s="883" t="str">
        <f>IF(V166="BRAND.com",IFERROR(HLOOKUP(X166&amp;Z166,PLANNING_FC!$AK$27:$AY$46,MATCH(W166,PLANNING_FC!$AJ$27:$AJ$46,0),FALSE)*1000,""),"")</f>
        <v/>
      </c>
    </row>
    <row r="167" spans="1:55" x14ac:dyDescent="0.25">
      <c r="A167" s="509"/>
      <c r="B167" s="510"/>
      <c r="C167" s="509"/>
      <c r="D167" s="509"/>
      <c r="E167" s="509"/>
      <c r="F167" s="509"/>
      <c r="G167" s="509"/>
      <c r="H167" s="509"/>
      <c r="I167" s="512"/>
      <c r="J167" s="513"/>
      <c r="K167" s="879"/>
      <c r="L167" s="515"/>
      <c r="M167" s="516"/>
      <c r="N167" s="56">
        <f t="shared" si="74"/>
        <v>0</v>
      </c>
      <c r="O167" s="57">
        <f t="shared" si="75"/>
        <v>0</v>
      </c>
      <c r="P167" s="57">
        <f ca="1">IFERROR(IF(ISBLANK(H167),SUMIFS($AC:$AC,$V:$V,V167,$W:$W,W167,$X:$X,X167,$Y:$Y,Y167)*J167/(1-J167)*VLOOKUP(_xlfn.CONCAT(C167,D167,E167,TIME!$M$12,Z167),HIS_SALES!$B$2:$W$4859,20,FALSE),AC167*J167/(1-J167)),0)</f>
        <v>0</v>
      </c>
      <c r="Q167" s="541" t="str">
        <f t="shared" si="85"/>
        <v/>
      </c>
      <c r="R167" s="346" t="str">
        <f t="shared" si="65"/>
        <v>00000</v>
      </c>
      <c r="S167" s="344">
        <f t="shared" si="76"/>
        <v>0</v>
      </c>
      <c r="T167" s="345" t="str">
        <f t="shared" si="71"/>
        <v>000</v>
      </c>
      <c r="U167" s="345">
        <f t="shared" si="77"/>
        <v>0</v>
      </c>
      <c r="V167" s="345">
        <f t="shared" si="78"/>
        <v>0</v>
      </c>
      <c r="W167" s="345">
        <f t="shared" si="79"/>
        <v>0</v>
      </c>
      <c r="X167" s="345">
        <f t="shared" si="80"/>
        <v>0</v>
      </c>
      <c r="Y167" s="345">
        <f t="shared" si="81"/>
        <v>0</v>
      </c>
      <c r="Z167" s="345">
        <f>IF(Q167&lt;&gt;"",VLOOKUP(Y167,TIME!$R$21:$V$24,MATCH(FC_DATA!Q167,TIME!$R$20:$V$20,0),FALSE),H167)</f>
        <v>0</v>
      </c>
      <c r="AA167" s="345" t="str">
        <f>IFERROR(VLOOKUP(X167&amp;Z167,TIME!$A$12:$D$71,4,FALSE),"")</f>
        <v/>
      </c>
      <c r="AB167" s="592">
        <f t="shared" ca="1" si="66"/>
        <v>0</v>
      </c>
      <c r="AC167" s="593" t="e">
        <f ca="1">IF(ISBLANK(H167)=FALSE,IF(D167="BRAND.com",I167,IF(ISNA(VLOOKUP(_xlfn.CONCAT(X167,Z167),TIME!$M$40:$M$42,1,FALSE)),I167,VLOOKUP(_xlfn.CONCAT(D167,G167,H167),M_BUSAREA_FC!$AF$5:$AJ$10,5,FALSE)*HLOOKUP(_xlfn.CONCAT(F167,H167),ST_OVERVIEW!$G$99:$I$130,MATCH(_xlfn.CONCAT(D167,E167),ST_OVERVIEW!$F$99:$F$130,0),FALSE))),IF(D167="BRAND.com",VLOOKUP(_xlfn.CONCAT(C167,D167,E167,TIME!$F$1,Z167),HIS_SALES!$B$2:$V$4859,19,FALSE)*I167,VLOOKUP(_xlfn.CONCAT(D167,F167,G167),Q_BUSAREA_FC!$AE$5:$AI$12,5,FALSE)*HLOOKUP(_xlfn.CONCAT(FC_DATA!F167,FC_DATA!G167),LT_OVERVIEW!$I$99:$M$130,MATCH(_xlfn.CONCAT(D167,FC_DATA!E167),LT_OVERVIEW!$H$99:$H$130,0),FALSE)*IFERROR(VLOOKUP(_xlfn.CONCAT(C167,D167,E167,TIME!$F$1,Z167),HIS_SALES!$B$2:$V$4859,19,FALSE),0)))</f>
        <v>#N/A</v>
      </c>
      <c r="AD167" s="341">
        <f t="shared" ca="1" si="82"/>
        <v>0</v>
      </c>
      <c r="AE167" s="363" t="str">
        <f t="shared" si="83"/>
        <v/>
      </c>
      <c r="AF167" s="342" t="str">
        <f t="shared" si="84"/>
        <v/>
      </c>
      <c r="AG167" s="411" t="e">
        <f ca="1">VLOOKUP(_xlfn.CONCAT(U167,V167,W167,VLOOKUP(X167&amp;Y167,TIME!$L$27:$O$34,4,FALSE),Y167),HIS_SALES!$A$2:$R$5093,18,FALSE)</f>
        <v>#N/A</v>
      </c>
      <c r="AH167" s="412" t="e">
        <f ca="1">IFERROR(IF(AND(V167=V166,W167=W166),0.5*(AB167+AB166)*AG167,(VLOOKUP(_xlfn.CONCAT(U167,V167,W167,X167,VLOOKUP(Z167,TIME!$S$28:$T$39,2,FALSE)),FC_DATA!$R$2:$AB$5000,MATCH("GS_I_M",FC_DATA!$R$1:$AB$1,0),FALSE)+FC_DATA!AB167)*0.5*FC_DATA!AG167),NA())</f>
        <v>#N/A</v>
      </c>
      <c r="AI167" s="491" t="e">
        <f ca="1">IF(V167="PARTNER.com",AH167,IF(AND(V167=V166,W167=W166),(1-AVERAGE(AD166,AD167))*AH167,(1-AVERAGE(AD167,VLOOKUP(_xlfn.CONCAT(U167,V167,W167,X167,M_BRAND_FC!$F$6),FC_DATA!$R$2:$AD$5000,MATCH("DISCOUNT_%_M",FC_DATA!$R$1:$AD$1,0),FALSE)))*AH167))</f>
        <v>#N/A</v>
      </c>
      <c r="AJ167" s="412" t="str">
        <f t="shared" ca="1" si="68"/>
        <v/>
      </c>
      <c r="AK167" s="413" t="str">
        <f>IFERROR(AE167/(Q_BRAND_FC!$T$24+1),"")</f>
        <v/>
      </c>
      <c r="AL167" s="88" t="str">
        <f t="shared" ca="1" si="69"/>
        <v/>
      </c>
      <c r="AM167" s="414" t="str">
        <f t="shared" ca="1" si="70"/>
        <v/>
      </c>
      <c r="AN167" s="58">
        <f>IFERROR(IF($V167="BRAND.com",HLOOKUP($X167&amp;$Z167,NWC_FC_NOOS!$C$4:$Q$23,MATCH(W167,NWC_FC_NOOS!$B$4:$B$23,0),FALSE),0),0)</f>
        <v>0</v>
      </c>
      <c r="AO167" s="57">
        <f>IFERROR(IF($V167="BRAND.com",HLOOKUP($X167&amp;$Z167,NWC_FC_NOOS!$T$4:$AH$23,MATCH(W167,NWC_FC_NOOS!$S$4:$S$23,0),FALSE),0),0)</f>
        <v>0</v>
      </c>
      <c r="AP167" s="57">
        <f>IFERROR(IF($V167="BRAND.com",HLOOKUP($X167&amp;$Z167,NWC_FC_NOOS!$C$50:$U$69,MATCH(W167,NWC_FC_NOOS!$B$50:$B$69,0),FALSE),0),0)</f>
        <v>0</v>
      </c>
      <c r="AQ167" s="58">
        <f>IFERROR(IF($V167="BRAND.com",HLOOKUP($X167&amp;$Z167,'NWC_FC_NON-NOOS'!$C$4:$Q$23,MATCH(W167,'NWC_FC_NON-NOOS'!$B$4:$B$23,0),FALSE),0),0)</f>
        <v>0</v>
      </c>
      <c r="AR167" s="57">
        <f>IFERROR(IF($V167="BRAND.com",HLOOKUP($X167&amp;$Z167,'NWC_FC_NON-NOOS'!$T$4:$AH$23,MATCH(W167,'NWC_FC_NON-NOOS'!$S$4:$S$23,0),FALSE),0),0)</f>
        <v>0</v>
      </c>
      <c r="AS167" s="57">
        <f>IFERROR(IF($V167="BRAND.com",HLOOKUP($X167&amp;$Z167,'NWC_FC_NON-NOOS'!$C$50:$U$69,MATCH(W167,'NWC_FC_NON-NOOS'!$B$50:$B$69,0),FALSE),0),0)</f>
        <v>0</v>
      </c>
      <c r="AT167" s="57">
        <f t="shared" si="72"/>
        <v>0</v>
      </c>
      <c r="AU167" s="57">
        <f t="shared" si="73"/>
        <v>0</v>
      </c>
      <c r="AV167" s="58">
        <f>IFERROR(IF($V167="BRAND.com",HLOOKUP($X167&amp;$Z167,PLANNING_FC!$BB$27:$BP$46,MATCH($W167,PLANNING_FC!$BA$27:$BA$46,0),FALSE),0),0)</f>
        <v>0</v>
      </c>
      <c r="AW167" s="58">
        <f>IFERROR(IF($V167="BRAND.com",HLOOKUP($X167&amp;$Z167,PLANNING_FC!$BB$4:$BP$23,MATCH($W167,PLANNING_FC!$BA$4:$BA$23,0),FALSE),0),0)</f>
        <v>0</v>
      </c>
      <c r="AX167" s="58">
        <f>IFERROR(IF($V167="BRAND.com",HLOOKUP($X167&amp;$Z167,PLANNING_FC!$T$27:$AH$46,MATCH($W167,PLANNING_FC!$B$27:$B$46,0),FALSE),0),0)</f>
        <v>0</v>
      </c>
      <c r="AY167" s="58">
        <f>IFERROR(IF($V167="BRAND.com",HLOOKUP($X167&amp;$Z167,PLANNING_FC!$T$4:$AH$23,MATCH($W167,PLANNING_FC!$B$4:$B$23,0),FALSE),0),0)</f>
        <v>0</v>
      </c>
      <c r="AZ167" s="58">
        <f>IFERROR(IF($V167="BRAND.com",HLOOKUP($X167&amp;$Z167,PLANNING_FC!$DA$27:$DO$46,MATCH($W167,PLANNING_FC!$CZ$27:$CZ$46,0),FALSE),0),0)</f>
        <v>0</v>
      </c>
      <c r="BA167" s="58">
        <f>IFERROR(IF($V167="BRAND.com",HLOOKUP($X167&amp;$Z167,PLANNING_FC!$DA$4:$DO$23,MATCH($W167,PLANNING_FC!$CZ$4:$CZ$23,0),FALSE),0),0)</f>
        <v>0</v>
      </c>
      <c r="BB167" s="883" t="str">
        <f>IF(V167="BRAND.com",IFERROR(HLOOKUP(X167&amp;Z167,PLANNING_FC!$AK$4:$AY$23,MATCH(W167,PLANNING_FC!$AJ$4:$AJ$23,0),FALSE)*1000,""),"")</f>
        <v/>
      </c>
      <c r="BC167" s="883" t="str">
        <f>IF(V167="BRAND.com",IFERROR(HLOOKUP(X167&amp;Z167,PLANNING_FC!$AK$27:$AY$46,MATCH(W167,PLANNING_FC!$AJ$27:$AJ$46,0),FALSE)*1000,""),"")</f>
        <v/>
      </c>
    </row>
    <row r="168" spans="1:55" x14ac:dyDescent="0.25">
      <c r="A168" s="509"/>
      <c r="B168" s="510"/>
      <c r="C168" s="509"/>
      <c r="D168" s="509"/>
      <c r="E168" s="509"/>
      <c r="F168" s="509"/>
      <c r="G168" s="509"/>
      <c r="H168" s="509"/>
      <c r="I168" s="512"/>
      <c r="J168" s="513"/>
      <c r="K168" s="879"/>
      <c r="L168" s="515"/>
      <c r="M168" s="516"/>
      <c r="N168" s="56">
        <f t="shared" si="74"/>
        <v>0</v>
      </c>
      <c r="O168" s="57">
        <f t="shared" si="75"/>
        <v>0</v>
      </c>
      <c r="P168" s="57">
        <f ca="1">IFERROR(IF(ISBLANK(H168),SUMIFS($AC:$AC,$V:$V,V168,$W:$W,W168,$X:$X,X168,$Y:$Y,Y168)*J168/(1-J168)*VLOOKUP(_xlfn.CONCAT(C168,D168,E168,TIME!$M$12,Z168),HIS_SALES!$B$2:$W$4859,20,FALSE),AC168*J168/(1-J168)),0)</f>
        <v>0</v>
      </c>
      <c r="Q168" s="541" t="str">
        <f t="shared" si="85"/>
        <v/>
      </c>
      <c r="R168" s="346" t="str">
        <f t="shared" si="65"/>
        <v>00000</v>
      </c>
      <c r="S168" s="344">
        <f t="shared" si="76"/>
        <v>0</v>
      </c>
      <c r="T168" s="345" t="str">
        <f t="shared" si="71"/>
        <v>000</v>
      </c>
      <c r="U168" s="345">
        <f t="shared" si="77"/>
        <v>0</v>
      </c>
      <c r="V168" s="345">
        <f t="shared" si="78"/>
        <v>0</v>
      </c>
      <c r="W168" s="345">
        <f t="shared" si="79"/>
        <v>0</v>
      </c>
      <c r="X168" s="345">
        <f t="shared" si="80"/>
        <v>0</v>
      </c>
      <c r="Y168" s="345">
        <f t="shared" si="81"/>
        <v>0</v>
      </c>
      <c r="Z168" s="345">
        <f>IF(Q168&lt;&gt;"",VLOOKUP(Y168,TIME!$R$21:$V$24,MATCH(FC_DATA!Q168,TIME!$R$20:$V$20,0),FALSE),H168)</f>
        <v>0</v>
      </c>
      <c r="AA168" s="345" t="str">
        <f>IFERROR(VLOOKUP(X168&amp;Z168,TIME!$A$12:$D$71,4,FALSE),"")</f>
        <v/>
      </c>
      <c r="AB168" s="592">
        <f t="shared" ca="1" si="66"/>
        <v>0</v>
      </c>
      <c r="AC168" s="593" t="e">
        <f ca="1">IF(ISBLANK(H168)=FALSE,IF(D168="BRAND.com",I168,IF(ISNA(VLOOKUP(_xlfn.CONCAT(X168,Z168),TIME!$M$40:$M$42,1,FALSE)),I168,VLOOKUP(_xlfn.CONCAT(D168,G168,H168),M_BUSAREA_FC!$AF$5:$AJ$10,5,FALSE)*HLOOKUP(_xlfn.CONCAT(F168,H168),ST_OVERVIEW!$G$99:$I$130,MATCH(_xlfn.CONCAT(D168,E168),ST_OVERVIEW!$F$99:$F$130,0),FALSE))),IF(D168="BRAND.com",VLOOKUP(_xlfn.CONCAT(C168,D168,E168,TIME!$F$1,Z168),HIS_SALES!$B$2:$V$4859,19,FALSE)*I168,VLOOKUP(_xlfn.CONCAT(D168,F168,G168),Q_BUSAREA_FC!$AE$5:$AI$12,5,FALSE)*HLOOKUP(_xlfn.CONCAT(FC_DATA!F168,FC_DATA!G168),LT_OVERVIEW!$I$99:$M$130,MATCH(_xlfn.CONCAT(D168,FC_DATA!E168),LT_OVERVIEW!$H$99:$H$130,0),FALSE)*IFERROR(VLOOKUP(_xlfn.CONCAT(C168,D168,E168,TIME!$F$1,Z168),HIS_SALES!$B$2:$V$4859,19,FALSE),0)))</f>
        <v>#N/A</v>
      </c>
      <c r="AD168" s="341">
        <f t="shared" ca="1" si="82"/>
        <v>0</v>
      </c>
      <c r="AE168" s="363" t="str">
        <f t="shared" si="83"/>
        <v/>
      </c>
      <c r="AF168" s="342" t="str">
        <f t="shared" si="84"/>
        <v/>
      </c>
      <c r="AG168" s="411" t="e">
        <f ca="1">VLOOKUP(_xlfn.CONCAT(U168,V168,W168,VLOOKUP(X168&amp;Y168,TIME!$L$27:$O$34,4,FALSE),Y168),HIS_SALES!$A$2:$R$5093,18,FALSE)</f>
        <v>#N/A</v>
      </c>
      <c r="AH168" s="412" t="e">
        <f ca="1">IFERROR(IF(AND(V168=V167,W168=W167),0.5*(AB168+AB167)*AG168,(VLOOKUP(_xlfn.CONCAT(U168,V168,W168,X168,VLOOKUP(Z168,TIME!$S$28:$T$39,2,FALSE)),FC_DATA!$R$2:$AB$5000,MATCH("GS_I_M",FC_DATA!$R$1:$AB$1,0),FALSE)+FC_DATA!AB168)*0.5*FC_DATA!AG168),NA())</f>
        <v>#N/A</v>
      </c>
      <c r="AI168" s="491" t="e">
        <f ca="1">IF(V168="PARTNER.com",AH168,IF(AND(V168=V167,W168=W167),(1-AVERAGE(AD167,AD168))*AH168,(1-AVERAGE(AD168,VLOOKUP(_xlfn.CONCAT(U168,V168,W168,X168,M_BRAND_FC!$F$6),FC_DATA!$R$2:$AD$5000,MATCH("DISCOUNT_%_M",FC_DATA!$R$1:$AD$1,0),FALSE)))*AH168))</f>
        <v>#N/A</v>
      </c>
      <c r="AJ168" s="412" t="str">
        <f t="shared" ca="1" si="68"/>
        <v/>
      </c>
      <c r="AK168" s="413" t="str">
        <f>IFERROR(AE168/(Q_BRAND_FC!$T$24+1),"")</f>
        <v/>
      </c>
      <c r="AL168" s="88" t="str">
        <f t="shared" ca="1" si="69"/>
        <v/>
      </c>
      <c r="AM168" s="414" t="str">
        <f t="shared" ca="1" si="70"/>
        <v/>
      </c>
      <c r="AN168" s="58">
        <f>IFERROR(IF($V168="BRAND.com",HLOOKUP($X168&amp;$Z168,NWC_FC_NOOS!$C$4:$Q$23,MATCH(W168,NWC_FC_NOOS!$B$4:$B$23,0),FALSE),0),0)</f>
        <v>0</v>
      </c>
      <c r="AO168" s="57">
        <f>IFERROR(IF($V168="BRAND.com",HLOOKUP($X168&amp;$Z168,NWC_FC_NOOS!$T$4:$AH$23,MATCH(W168,NWC_FC_NOOS!$S$4:$S$23,0),FALSE),0),0)</f>
        <v>0</v>
      </c>
      <c r="AP168" s="57">
        <f>IFERROR(IF($V168="BRAND.com",HLOOKUP($X168&amp;$Z168,NWC_FC_NOOS!$C$50:$U$69,MATCH(W168,NWC_FC_NOOS!$B$50:$B$69,0),FALSE),0),0)</f>
        <v>0</v>
      </c>
      <c r="AQ168" s="58">
        <f>IFERROR(IF($V168="BRAND.com",HLOOKUP($X168&amp;$Z168,'NWC_FC_NON-NOOS'!$C$4:$Q$23,MATCH(W168,'NWC_FC_NON-NOOS'!$B$4:$B$23,0),FALSE),0),0)</f>
        <v>0</v>
      </c>
      <c r="AR168" s="57">
        <f>IFERROR(IF($V168="BRAND.com",HLOOKUP($X168&amp;$Z168,'NWC_FC_NON-NOOS'!$T$4:$AH$23,MATCH(W168,'NWC_FC_NON-NOOS'!$S$4:$S$23,0),FALSE),0),0)</f>
        <v>0</v>
      </c>
      <c r="AS168" s="57">
        <f>IFERROR(IF($V168="BRAND.com",HLOOKUP($X168&amp;$Z168,'NWC_FC_NON-NOOS'!$C$50:$U$69,MATCH(W168,'NWC_FC_NON-NOOS'!$B$50:$B$69,0),FALSE),0),0)</f>
        <v>0</v>
      </c>
      <c r="AT168" s="57">
        <f t="shared" si="72"/>
        <v>0</v>
      </c>
      <c r="AU168" s="57">
        <f t="shared" si="73"/>
        <v>0</v>
      </c>
      <c r="AV168" s="58">
        <f>IFERROR(IF($V168="BRAND.com",HLOOKUP($X168&amp;$Z168,PLANNING_FC!$BB$27:$BP$46,MATCH($W168,PLANNING_FC!$BA$27:$BA$46,0),FALSE),0),0)</f>
        <v>0</v>
      </c>
      <c r="AW168" s="58">
        <f>IFERROR(IF($V168="BRAND.com",HLOOKUP($X168&amp;$Z168,PLANNING_FC!$BB$4:$BP$23,MATCH($W168,PLANNING_FC!$BA$4:$BA$23,0),FALSE),0),0)</f>
        <v>0</v>
      </c>
      <c r="AX168" s="58">
        <f>IFERROR(IF($V168="BRAND.com",HLOOKUP($X168&amp;$Z168,PLANNING_FC!$T$27:$AH$46,MATCH($W168,PLANNING_FC!$B$27:$B$46,0),FALSE),0),0)</f>
        <v>0</v>
      </c>
      <c r="AY168" s="58">
        <f>IFERROR(IF($V168="BRAND.com",HLOOKUP($X168&amp;$Z168,PLANNING_FC!$T$4:$AH$23,MATCH($W168,PLANNING_FC!$B$4:$B$23,0),FALSE),0),0)</f>
        <v>0</v>
      </c>
      <c r="AZ168" s="58">
        <f>IFERROR(IF($V168="BRAND.com",HLOOKUP($X168&amp;$Z168,PLANNING_FC!$DA$27:$DO$46,MATCH($W168,PLANNING_FC!$CZ$27:$CZ$46,0),FALSE),0),0)</f>
        <v>0</v>
      </c>
      <c r="BA168" s="58">
        <f>IFERROR(IF($V168="BRAND.com",HLOOKUP($X168&amp;$Z168,PLANNING_FC!$DA$4:$DO$23,MATCH($W168,PLANNING_FC!$CZ$4:$CZ$23,0),FALSE),0),0)</f>
        <v>0</v>
      </c>
      <c r="BB168" s="883" t="str">
        <f>IF(V168="BRAND.com",IFERROR(HLOOKUP(X168&amp;Z168,PLANNING_FC!$AK$4:$AY$23,MATCH(W168,PLANNING_FC!$AJ$4:$AJ$23,0),FALSE)*1000,""),"")</f>
        <v/>
      </c>
      <c r="BC168" s="883" t="str">
        <f>IF(V168="BRAND.com",IFERROR(HLOOKUP(X168&amp;Z168,PLANNING_FC!$AK$27:$AY$46,MATCH(W168,PLANNING_FC!$AJ$27:$AJ$46,0),FALSE)*1000,""),"")</f>
        <v/>
      </c>
    </row>
    <row r="169" spans="1:55" x14ac:dyDescent="0.25">
      <c r="A169" s="509"/>
      <c r="B169" s="510"/>
      <c r="C169" s="509"/>
      <c r="D169" s="509"/>
      <c r="E169" s="509"/>
      <c r="F169" s="509"/>
      <c r="G169" s="509"/>
      <c r="H169" s="509"/>
      <c r="I169" s="512"/>
      <c r="J169" s="513"/>
      <c r="K169" s="879"/>
      <c r="L169" s="515"/>
      <c r="M169" s="516"/>
      <c r="N169" s="56">
        <f t="shared" si="74"/>
        <v>0</v>
      </c>
      <c r="O169" s="57">
        <f t="shared" si="75"/>
        <v>0</v>
      </c>
      <c r="P169" s="57">
        <f ca="1">IFERROR(IF(ISBLANK(H169),SUMIFS($AC:$AC,$V:$V,V169,$W:$W,W169,$X:$X,X169,$Y:$Y,Y169)*J169/(1-J169)*VLOOKUP(_xlfn.CONCAT(C169,D169,E169,TIME!$M$12,Z169),HIS_SALES!$B$2:$W$4859,20,FALSE),AC169*J169/(1-J169)),0)</f>
        <v>0</v>
      </c>
      <c r="Q169" s="541" t="str">
        <f t="shared" si="85"/>
        <v/>
      </c>
      <c r="R169" s="346" t="str">
        <f t="shared" si="65"/>
        <v>00000</v>
      </c>
      <c r="S169" s="344">
        <f t="shared" si="76"/>
        <v>0</v>
      </c>
      <c r="T169" s="345" t="str">
        <f t="shared" si="71"/>
        <v>000</v>
      </c>
      <c r="U169" s="345">
        <f t="shared" si="77"/>
        <v>0</v>
      </c>
      <c r="V169" s="345">
        <f t="shared" si="78"/>
        <v>0</v>
      </c>
      <c r="W169" s="345">
        <f t="shared" si="79"/>
        <v>0</v>
      </c>
      <c r="X169" s="345">
        <f t="shared" si="80"/>
        <v>0</v>
      </c>
      <c r="Y169" s="345">
        <f t="shared" si="81"/>
        <v>0</v>
      </c>
      <c r="Z169" s="345">
        <f>IF(Q169&lt;&gt;"",VLOOKUP(Y169,TIME!$R$21:$V$24,MATCH(FC_DATA!Q169,TIME!$R$20:$V$20,0),FALSE),H169)</f>
        <v>0</v>
      </c>
      <c r="AA169" s="345" t="str">
        <f>IFERROR(VLOOKUP(X169&amp;Z169,TIME!$A$12:$D$71,4,FALSE),"")</f>
        <v/>
      </c>
      <c r="AB169" s="592">
        <f t="shared" ca="1" si="66"/>
        <v>0</v>
      </c>
      <c r="AC169" s="593" t="e">
        <f ca="1">IF(ISBLANK(H169)=FALSE,IF(D169="BRAND.com",I169,IF(ISNA(VLOOKUP(_xlfn.CONCAT(X169,Z169),TIME!$M$40:$M$42,1,FALSE)),I169,VLOOKUP(_xlfn.CONCAT(D169,G169,H169),M_BUSAREA_FC!$AF$5:$AJ$10,5,FALSE)*HLOOKUP(_xlfn.CONCAT(F169,H169),ST_OVERVIEW!$G$99:$I$130,MATCH(_xlfn.CONCAT(D169,E169),ST_OVERVIEW!$F$99:$F$130,0),FALSE))),IF(D169="BRAND.com",VLOOKUP(_xlfn.CONCAT(C169,D169,E169,TIME!$F$1,Z169),HIS_SALES!$B$2:$V$4859,19,FALSE)*I169,VLOOKUP(_xlfn.CONCAT(D169,F169,G169),Q_BUSAREA_FC!$AE$5:$AI$12,5,FALSE)*HLOOKUP(_xlfn.CONCAT(FC_DATA!F169,FC_DATA!G169),LT_OVERVIEW!$I$99:$M$130,MATCH(_xlfn.CONCAT(D169,FC_DATA!E169),LT_OVERVIEW!$H$99:$H$130,0),FALSE)*IFERROR(VLOOKUP(_xlfn.CONCAT(C169,D169,E169,TIME!$F$1,Z169),HIS_SALES!$B$2:$V$4859,19,FALSE),0)))</f>
        <v>#N/A</v>
      </c>
      <c r="AD169" s="341">
        <f t="shared" ca="1" si="82"/>
        <v>0</v>
      </c>
      <c r="AE169" s="363" t="str">
        <f t="shared" si="83"/>
        <v/>
      </c>
      <c r="AF169" s="342" t="str">
        <f t="shared" si="84"/>
        <v/>
      </c>
      <c r="AG169" s="411" t="e">
        <f ca="1">VLOOKUP(_xlfn.CONCAT(U169,V169,W169,VLOOKUP(X169&amp;Y169,TIME!$L$27:$O$34,4,FALSE),Y169),HIS_SALES!$A$2:$R$5093,18,FALSE)</f>
        <v>#N/A</v>
      </c>
      <c r="AH169" s="412" t="e">
        <f ca="1">IFERROR(IF(AND(V169=V168,W169=W168),0.5*(AB169+AB168)*AG169,(VLOOKUP(_xlfn.CONCAT(U169,V169,W169,X169,VLOOKUP(Z169,TIME!$S$28:$T$39,2,FALSE)),FC_DATA!$R$2:$AB$5000,MATCH("GS_I_M",FC_DATA!$R$1:$AB$1,0),FALSE)+FC_DATA!AB169)*0.5*FC_DATA!AG169),NA())</f>
        <v>#N/A</v>
      </c>
      <c r="AI169" s="491" t="e">
        <f ca="1">IF(V169="PARTNER.com",AH169,IF(AND(V169=V168,W169=W168),(1-AVERAGE(AD168,AD169))*AH169,(1-AVERAGE(AD169,VLOOKUP(_xlfn.CONCAT(U169,V169,W169,X169,M_BRAND_FC!$F$6),FC_DATA!$R$2:$AD$5000,MATCH("DISCOUNT_%_M",FC_DATA!$R$1:$AD$1,0),FALSE)))*AH169))</f>
        <v>#N/A</v>
      </c>
      <c r="AJ169" s="412" t="str">
        <f t="shared" ca="1" si="68"/>
        <v/>
      </c>
      <c r="AK169" s="413" t="str">
        <f>IFERROR(AE169/(Q_BRAND_FC!$T$24+1),"")</f>
        <v/>
      </c>
      <c r="AL169" s="88" t="str">
        <f t="shared" ca="1" si="69"/>
        <v/>
      </c>
      <c r="AM169" s="414" t="str">
        <f t="shared" ca="1" si="70"/>
        <v/>
      </c>
      <c r="AN169" s="58">
        <f>IFERROR(IF($V169="BRAND.com",HLOOKUP($X169&amp;$Z169,NWC_FC_NOOS!$C$4:$Q$23,MATCH(W169,NWC_FC_NOOS!$B$4:$B$23,0),FALSE),0),0)</f>
        <v>0</v>
      </c>
      <c r="AO169" s="57">
        <f>IFERROR(IF($V169="BRAND.com",HLOOKUP($X169&amp;$Z169,NWC_FC_NOOS!$T$4:$AH$23,MATCH(W169,NWC_FC_NOOS!$S$4:$S$23,0),FALSE),0),0)</f>
        <v>0</v>
      </c>
      <c r="AP169" s="57">
        <f>IFERROR(IF($V169="BRAND.com",HLOOKUP($X169&amp;$Z169,NWC_FC_NOOS!$C$50:$U$69,MATCH(W169,NWC_FC_NOOS!$B$50:$B$69,0),FALSE),0),0)</f>
        <v>0</v>
      </c>
      <c r="AQ169" s="58">
        <f>IFERROR(IF($V169="BRAND.com",HLOOKUP($X169&amp;$Z169,'NWC_FC_NON-NOOS'!$C$4:$Q$23,MATCH(W169,'NWC_FC_NON-NOOS'!$B$4:$B$23,0),FALSE),0),0)</f>
        <v>0</v>
      </c>
      <c r="AR169" s="57">
        <f>IFERROR(IF($V169="BRAND.com",HLOOKUP($X169&amp;$Z169,'NWC_FC_NON-NOOS'!$T$4:$AH$23,MATCH(W169,'NWC_FC_NON-NOOS'!$S$4:$S$23,0),FALSE),0),0)</f>
        <v>0</v>
      </c>
      <c r="AS169" s="57">
        <f>IFERROR(IF($V169="BRAND.com",HLOOKUP($X169&amp;$Z169,'NWC_FC_NON-NOOS'!$C$50:$U$69,MATCH(W169,'NWC_FC_NON-NOOS'!$B$50:$B$69,0),FALSE),0),0)</f>
        <v>0</v>
      </c>
      <c r="AT169" s="57">
        <f t="shared" si="72"/>
        <v>0</v>
      </c>
      <c r="AU169" s="57">
        <f t="shared" si="73"/>
        <v>0</v>
      </c>
      <c r="AV169" s="58">
        <f>IFERROR(IF($V169="BRAND.com",HLOOKUP($X169&amp;$Z169,PLANNING_FC!$BB$27:$BP$46,MATCH($W169,PLANNING_FC!$BA$27:$BA$46,0),FALSE),0),0)</f>
        <v>0</v>
      </c>
      <c r="AW169" s="58">
        <f>IFERROR(IF($V169="BRAND.com",HLOOKUP($X169&amp;$Z169,PLANNING_FC!$BB$4:$BP$23,MATCH($W169,PLANNING_FC!$BA$4:$BA$23,0),FALSE),0),0)</f>
        <v>0</v>
      </c>
      <c r="AX169" s="58">
        <f>IFERROR(IF($V169="BRAND.com",HLOOKUP($X169&amp;$Z169,PLANNING_FC!$T$27:$AH$46,MATCH($W169,PLANNING_FC!$B$27:$B$46,0),FALSE),0),0)</f>
        <v>0</v>
      </c>
      <c r="AY169" s="58">
        <f>IFERROR(IF($V169="BRAND.com",HLOOKUP($X169&amp;$Z169,PLANNING_FC!$T$4:$AH$23,MATCH($W169,PLANNING_FC!$B$4:$B$23,0),FALSE),0),0)</f>
        <v>0</v>
      </c>
      <c r="AZ169" s="58">
        <f>IFERROR(IF($V169="BRAND.com",HLOOKUP($X169&amp;$Z169,PLANNING_FC!$DA$27:$DO$46,MATCH($W169,PLANNING_FC!$CZ$27:$CZ$46,0),FALSE),0),0)</f>
        <v>0</v>
      </c>
      <c r="BA169" s="58">
        <f>IFERROR(IF($V169="BRAND.com",HLOOKUP($X169&amp;$Z169,PLANNING_FC!$DA$4:$DO$23,MATCH($W169,PLANNING_FC!$CZ$4:$CZ$23,0),FALSE),0),0)</f>
        <v>0</v>
      </c>
      <c r="BB169" s="883" t="str">
        <f>IF(V169="BRAND.com",IFERROR(HLOOKUP(X169&amp;Z169,PLANNING_FC!$AK$4:$AY$23,MATCH(W169,PLANNING_FC!$AJ$4:$AJ$23,0),FALSE)*1000,""),"")</f>
        <v/>
      </c>
      <c r="BC169" s="883" t="str">
        <f>IF(V169="BRAND.com",IFERROR(HLOOKUP(X169&amp;Z169,PLANNING_FC!$AK$27:$AY$46,MATCH(W169,PLANNING_FC!$AJ$27:$AJ$46,0),FALSE)*1000,""),"")</f>
        <v/>
      </c>
    </row>
    <row r="170" spans="1:55" x14ac:dyDescent="0.25">
      <c r="A170" s="509"/>
      <c r="B170" s="510"/>
      <c r="C170" s="509"/>
      <c r="D170" s="509"/>
      <c r="E170" s="509"/>
      <c r="F170" s="509"/>
      <c r="G170" s="509"/>
      <c r="H170" s="509"/>
      <c r="I170" s="512"/>
      <c r="J170" s="513"/>
      <c r="K170" s="879"/>
      <c r="L170" s="515"/>
      <c r="M170" s="516"/>
      <c r="N170" s="56">
        <f t="shared" si="74"/>
        <v>0</v>
      </c>
      <c r="O170" s="57">
        <f t="shared" si="75"/>
        <v>0</v>
      </c>
      <c r="P170" s="57">
        <f ca="1">IFERROR(IF(ISBLANK(H170),SUMIFS($AC:$AC,$V:$V,V170,$W:$W,W170,$X:$X,X170,$Y:$Y,Y170)*J170/(1-J170)*VLOOKUP(_xlfn.CONCAT(C170,D170,E170,TIME!$M$12,Z170),HIS_SALES!$B$2:$W$4859,20,FALSE),AC170*J170/(1-J170)),0)</f>
        <v>0</v>
      </c>
      <c r="Q170" s="541" t="str">
        <f t="shared" si="85"/>
        <v/>
      </c>
      <c r="R170" s="346" t="str">
        <f t="shared" si="65"/>
        <v>00000</v>
      </c>
      <c r="S170" s="344">
        <f t="shared" si="76"/>
        <v>0</v>
      </c>
      <c r="T170" s="345" t="str">
        <f t="shared" si="71"/>
        <v>000</v>
      </c>
      <c r="U170" s="345">
        <f t="shared" si="77"/>
        <v>0</v>
      </c>
      <c r="V170" s="345">
        <f t="shared" si="78"/>
        <v>0</v>
      </c>
      <c r="W170" s="345">
        <f t="shared" si="79"/>
        <v>0</v>
      </c>
      <c r="X170" s="345">
        <f t="shared" si="80"/>
        <v>0</v>
      </c>
      <c r="Y170" s="345">
        <f t="shared" si="81"/>
        <v>0</v>
      </c>
      <c r="Z170" s="345">
        <f>IF(Q170&lt;&gt;"",VLOOKUP(Y170,TIME!$R$21:$V$24,MATCH(FC_DATA!Q170,TIME!$R$20:$V$20,0),FALSE),H170)</f>
        <v>0</v>
      </c>
      <c r="AA170" s="345" t="str">
        <f>IFERROR(VLOOKUP(X170&amp;Z170,TIME!$A$12:$D$71,4,FALSE),"")</f>
        <v/>
      </c>
      <c r="AB170" s="592">
        <f t="shared" ca="1" si="66"/>
        <v>0</v>
      </c>
      <c r="AC170" s="593" t="e">
        <f ca="1">IF(ISBLANK(H170)=FALSE,IF(D170="BRAND.com",I170,IF(ISNA(VLOOKUP(_xlfn.CONCAT(X170,Z170),TIME!$M$40:$M$42,1,FALSE)),I170,VLOOKUP(_xlfn.CONCAT(D170,G170,H170),M_BUSAREA_FC!$AF$5:$AJ$10,5,FALSE)*HLOOKUP(_xlfn.CONCAT(F170,H170),ST_OVERVIEW!$G$99:$I$130,MATCH(_xlfn.CONCAT(D170,E170),ST_OVERVIEW!$F$99:$F$130,0),FALSE))),IF(D170="BRAND.com",VLOOKUP(_xlfn.CONCAT(C170,D170,E170,TIME!$F$1,Z170),HIS_SALES!$B$2:$V$4859,19,FALSE)*I170,VLOOKUP(_xlfn.CONCAT(D170,F170,G170),Q_BUSAREA_FC!$AE$5:$AI$12,5,FALSE)*HLOOKUP(_xlfn.CONCAT(FC_DATA!F170,FC_DATA!G170),LT_OVERVIEW!$I$99:$M$130,MATCH(_xlfn.CONCAT(D170,FC_DATA!E170),LT_OVERVIEW!$H$99:$H$130,0),FALSE)*IFERROR(VLOOKUP(_xlfn.CONCAT(C170,D170,E170,TIME!$F$1,Z170),HIS_SALES!$B$2:$V$4859,19,FALSE),0)))</f>
        <v>#N/A</v>
      </c>
      <c r="AD170" s="341">
        <f t="shared" ca="1" si="82"/>
        <v>0</v>
      </c>
      <c r="AE170" s="363" t="str">
        <f t="shared" si="83"/>
        <v/>
      </c>
      <c r="AF170" s="342" t="str">
        <f t="shared" si="84"/>
        <v/>
      </c>
      <c r="AG170" s="411" t="e">
        <f ca="1">VLOOKUP(_xlfn.CONCAT(U170,V170,W170,VLOOKUP(X170&amp;Y170,TIME!$L$27:$O$34,4,FALSE),Y170),HIS_SALES!$A$2:$R$5093,18,FALSE)</f>
        <v>#N/A</v>
      </c>
      <c r="AH170" s="412" t="e">
        <f ca="1">IFERROR(IF(AND(V170=V169,W170=W169),0.5*(AB170+AB169)*AG170,(VLOOKUP(_xlfn.CONCAT(U170,V170,W170,X170,VLOOKUP(Z170,TIME!$S$28:$T$39,2,FALSE)),FC_DATA!$R$2:$AB$5000,MATCH("GS_I_M",FC_DATA!$R$1:$AB$1,0),FALSE)+FC_DATA!AB170)*0.5*FC_DATA!AG170),NA())</f>
        <v>#N/A</v>
      </c>
      <c r="AI170" s="491" t="e">
        <f ca="1">IF(V170="PARTNER.com",AH170,IF(AND(V170=V169,W170=W169),(1-AVERAGE(AD169,AD170))*AH170,(1-AVERAGE(AD170,VLOOKUP(_xlfn.CONCAT(U170,V170,W170,X170,M_BRAND_FC!$F$6),FC_DATA!$R$2:$AD$5000,MATCH("DISCOUNT_%_M",FC_DATA!$R$1:$AD$1,0),FALSE)))*AH170))</f>
        <v>#N/A</v>
      </c>
      <c r="AJ170" s="412" t="str">
        <f t="shared" ca="1" si="68"/>
        <v/>
      </c>
      <c r="AK170" s="413" t="str">
        <f>IFERROR(AE170/(Q_BRAND_FC!$T$24+1),"")</f>
        <v/>
      </c>
      <c r="AL170" s="88" t="str">
        <f t="shared" ca="1" si="69"/>
        <v/>
      </c>
      <c r="AM170" s="414" t="str">
        <f t="shared" ca="1" si="70"/>
        <v/>
      </c>
      <c r="AN170" s="58">
        <f>IFERROR(IF($V170="BRAND.com",HLOOKUP($X170&amp;$Z170,NWC_FC_NOOS!$C$4:$Q$23,MATCH(W170,NWC_FC_NOOS!$B$4:$B$23,0),FALSE),0),0)</f>
        <v>0</v>
      </c>
      <c r="AO170" s="57">
        <f>IFERROR(IF($V170="BRAND.com",HLOOKUP($X170&amp;$Z170,NWC_FC_NOOS!$T$4:$AH$23,MATCH(W170,NWC_FC_NOOS!$S$4:$S$23,0),FALSE),0),0)</f>
        <v>0</v>
      </c>
      <c r="AP170" s="57">
        <f>IFERROR(IF($V170="BRAND.com",HLOOKUP($X170&amp;$Z170,NWC_FC_NOOS!$C$50:$U$69,MATCH(W170,NWC_FC_NOOS!$B$50:$B$69,0),FALSE),0),0)</f>
        <v>0</v>
      </c>
      <c r="AQ170" s="58">
        <f>IFERROR(IF($V170="BRAND.com",HLOOKUP($X170&amp;$Z170,'NWC_FC_NON-NOOS'!$C$4:$Q$23,MATCH(W170,'NWC_FC_NON-NOOS'!$B$4:$B$23,0),FALSE),0),0)</f>
        <v>0</v>
      </c>
      <c r="AR170" s="57">
        <f>IFERROR(IF($V170="BRAND.com",HLOOKUP($X170&amp;$Z170,'NWC_FC_NON-NOOS'!$T$4:$AH$23,MATCH(W170,'NWC_FC_NON-NOOS'!$S$4:$S$23,0),FALSE),0),0)</f>
        <v>0</v>
      </c>
      <c r="AS170" s="57">
        <f>IFERROR(IF($V170="BRAND.com",HLOOKUP($X170&amp;$Z170,'NWC_FC_NON-NOOS'!$C$50:$U$69,MATCH(W170,'NWC_FC_NON-NOOS'!$B$50:$B$69,0),FALSE),0),0)</f>
        <v>0</v>
      </c>
      <c r="AT170" s="57">
        <f t="shared" si="72"/>
        <v>0</v>
      </c>
      <c r="AU170" s="57">
        <f t="shared" si="73"/>
        <v>0</v>
      </c>
      <c r="AV170" s="58">
        <f>IFERROR(IF($V170="BRAND.com",HLOOKUP($X170&amp;$Z170,PLANNING_FC!$BB$27:$BP$46,MATCH($W170,PLANNING_FC!$BA$27:$BA$46,0),FALSE),0),0)</f>
        <v>0</v>
      </c>
      <c r="AW170" s="58">
        <f>IFERROR(IF($V170="BRAND.com",HLOOKUP($X170&amp;$Z170,PLANNING_FC!$BB$4:$BP$23,MATCH($W170,PLANNING_FC!$BA$4:$BA$23,0),FALSE),0),0)</f>
        <v>0</v>
      </c>
      <c r="AX170" s="58">
        <f>IFERROR(IF($V170="BRAND.com",HLOOKUP($X170&amp;$Z170,PLANNING_FC!$T$27:$AH$46,MATCH($W170,PLANNING_FC!$B$27:$B$46,0),FALSE),0),0)</f>
        <v>0</v>
      </c>
      <c r="AY170" s="58">
        <f>IFERROR(IF($V170="BRAND.com",HLOOKUP($X170&amp;$Z170,PLANNING_FC!$T$4:$AH$23,MATCH($W170,PLANNING_FC!$B$4:$B$23,0),FALSE),0),0)</f>
        <v>0</v>
      </c>
      <c r="AZ170" s="58">
        <f>IFERROR(IF($V170="BRAND.com",HLOOKUP($X170&amp;$Z170,PLANNING_FC!$DA$27:$DO$46,MATCH($W170,PLANNING_FC!$CZ$27:$CZ$46,0),FALSE),0),0)</f>
        <v>0</v>
      </c>
      <c r="BA170" s="58">
        <f>IFERROR(IF($V170="BRAND.com",HLOOKUP($X170&amp;$Z170,PLANNING_FC!$DA$4:$DO$23,MATCH($W170,PLANNING_FC!$CZ$4:$CZ$23,0),FALSE),0),0)</f>
        <v>0</v>
      </c>
      <c r="BB170" s="883" t="str">
        <f>IF(V170="BRAND.com",IFERROR(HLOOKUP(X170&amp;Z170,PLANNING_FC!$AK$4:$AY$23,MATCH(W170,PLANNING_FC!$AJ$4:$AJ$23,0),FALSE)*1000,""),"")</f>
        <v/>
      </c>
      <c r="BC170" s="883" t="str">
        <f>IF(V170="BRAND.com",IFERROR(HLOOKUP(X170&amp;Z170,PLANNING_FC!$AK$27:$AY$46,MATCH(W170,PLANNING_FC!$AJ$27:$AJ$46,0),FALSE)*1000,""),"")</f>
        <v/>
      </c>
    </row>
    <row r="171" spans="1:55" x14ac:dyDescent="0.25">
      <c r="A171" s="509"/>
      <c r="B171" s="510"/>
      <c r="C171" s="509"/>
      <c r="D171" s="509"/>
      <c r="E171" s="509"/>
      <c r="F171" s="509"/>
      <c r="G171" s="509"/>
      <c r="H171" s="509"/>
      <c r="I171" s="512"/>
      <c r="J171" s="513"/>
      <c r="K171" s="879"/>
      <c r="L171" s="515"/>
      <c r="M171" s="516"/>
      <c r="N171" s="56">
        <f t="shared" si="74"/>
        <v>0</v>
      </c>
      <c r="O171" s="57">
        <f t="shared" si="75"/>
        <v>0</v>
      </c>
      <c r="P171" s="57">
        <f ca="1">IFERROR(IF(ISBLANK(H171),SUMIFS($AC:$AC,$V:$V,V171,$W:$W,W171,$X:$X,X171,$Y:$Y,Y171)*J171/(1-J171)*VLOOKUP(_xlfn.CONCAT(C171,D171,E171,TIME!$M$12,Z171),HIS_SALES!$B$2:$W$4859,20,FALSE),AC171*J171/(1-J171)),0)</f>
        <v>0</v>
      </c>
      <c r="Q171" s="541" t="str">
        <f t="shared" si="85"/>
        <v/>
      </c>
      <c r="R171" s="346" t="str">
        <f t="shared" si="65"/>
        <v>00000</v>
      </c>
      <c r="S171" s="344">
        <f t="shared" si="76"/>
        <v>0</v>
      </c>
      <c r="T171" s="345" t="str">
        <f t="shared" si="71"/>
        <v>000</v>
      </c>
      <c r="U171" s="345">
        <f t="shared" si="77"/>
        <v>0</v>
      </c>
      <c r="V171" s="345">
        <f t="shared" si="78"/>
        <v>0</v>
      </c>
      <c r="W171" s="345">
        <f t="shared" si="79"/>
        <v>0</v>
      </c>
      <c r="X171" s="345">
        <f t="shared" si="80"/>
        <v>0</v>
      </c>
      <c r="Y171" s="345">
        <f t="shared" si="81"/>
        <v>0</v>
      </c>
      <c r="Z171" s="345">
        <f>IF(Q171&lt;&gt;"",VLOOKUP(Y171,TIME!$R$21:$V$24,MATCH(FC_DATA!Q171,TIME!$R$20:$V$20,0),FALSE),H171)</f>
        <v>0</v>
      </c>
      <c r="AA171" s="345" t="str">
        <f>IFERROR(VLOOKUP(X171&amp;Z171,TIME!$A$12:$D$71,4,FALSE),"")</f>
        <v/>
      </c>
      <c r="AB171" s="592">
        <f t="shared" ca="1" si="66"/>
        <v>0</v>
      </c>
      <c r="AC171" s="593" t="e">
        <f ca="1">IF(ISBLANK(H171)=FALSE,IF(D171="BRAND.com",I171,IF(ISNA(VLOOKUP(_xlfn.CONCAT(X171,Z171),TIME!$M$40:$M$42,1,FALSE)),I171,VLOOKUP(_xlfn.CONCAT(D171,G171,H171),M_BUSAREA_FC!$AF$5:$AJ$10,5,FALSE)*HLOOKUP(_xlfn.CONCAT(F171,H171),ST_OVERVIEW!$G$99:$I$130,MATCH(_xlfn.CONCAT(D171,E171),ST_OVERVIEW!$F$99:$F$130,0),FALSE))),IF(D171="BRAND.com",VLOOKUP(_xlfn.CONCAT(C171,D171,E171,TIME!$F$1,Z171),HIS_SALES!$B$2:$V$4859,19,FALSE)*I171,VLOOKUP(_xlfn.CONCAT(D171,F171,G171),Q_BUSAREA_FC!$AE$5:$AI$12,5,FALSE)*HLOOKUP(_xlfn.CONCAT(FC_DATA!F171,FC_DATA!G171),LT_OVERVIEW!$I$99:$M$130,MATCH(_xlfn.CONCAT(D171,FC_DATA!E171),LT_OVERVIEW!$H$99:$H$130,0),FALSE)*IFERROR(VLOOKUP(_xlfn.CONCAT(C171,D171,E171,TIME!$F$1,Z171),HIS_SALES!$B$2:$V$4859,19,FALSE),0)))</f>
        <v>#N/A</v>
      </c>
      <c r="AD171" s="341">
        <f t="shared" ca="1" si="82"/>
        <v>0</v>
      </c>
      <c r="AE171" s="363" t="str">
        <f t="shared" si="83"/>
        <v/>
      </c>
      <c r="AF171" s="342" t="str">
        <f t="shared" si="84"/>
        <v/>
      </c>
      <c r="AG171" s="411" t="e">
        <f ca="1">VLOOKUP(_xlfn.CONCAT(U171,V171,W171,VLOOKUP(X171&amp;Y171,TIME!$L$27:$O$34,4,FALSE),Y171),HIS_SALES!$A$2:$R$5093,18,FALSE)</f>
        <v>#N/A</v>
      </c>
      <c r="AH171" s="412" t="e">
        <f ca="1">IFERROR(IF(AND(V171=V170,W171=W170),0.5*(AB171+AB170)*AG171,(VLOOKUP(_xlfn.CONCAT(U171,V171,W171,X171,VLOOKUP(Z171,TIME!$S$28:$T$39,2,FALSE)),FC_DATA!$R$2:$AB$5000,MATCH("GS_I_M",FC_DATA!$R$1:$AB$1,0),FALSE)+FC_DATA!AB171)*0.5*FC_DATA!AG171),NA())</f>
        <v>#N/A</v>
      </c>
      <c r="AI171" s="491" t="e">
        <f ca="1">IF(V171="PARTNER.com",AH171,IF(AND(V171=V170,W171=W170),(1-AVERAGE(AD170,AD171))*AH171,(1-AVERAGE(AD171,VLOOKUP(_xlfn.CONCAT(U171,V171,W171,X171,M_BRAND_FC!$F$6),FC_DATA!$R$2:$AD$5000,MATCH("DISCOUNT_%_M",FC_DATA!$R$1:$AD$1,0),FALSE)))*AH171))</f>
        <v>#N/A</v>
      </c>
      <c r="AJ171" s="412" t="str">
        <f t="shared" ca="1" si="68"/>
        <v/>
      </c>
      <c r="AK171" s="413" t="str">
        <f>IFERROR(AE171/(Q_BRAND_FC!$T$24+1),"")</f>
        <v/>
      </c>
      <c r="AL171" s="88" t="str">
        <f t="shared" ca="1" si="69"/>
        <v/>
      </c>
      <c r="AM171" s="414" t="str">
        <f t="shared" ca="1" si="70"/>
        <v/>
      </c>
      <c r="AN171" s="58">
        <f>IFERROR(IF($V171="BRAND.com",HLOOKUP($X171&amp;$Z171,NWC_FC_NOOS!$C$4:$Q$23,MATCH(W171,NWC_FC_NOOS!$B$4:$B$23,0),FALSE),0),0)</f>
        <v>0</v>
      </c>
      <c r="AO171" s="57">
        <f>IFERROR(IF($V171="BRAND.com",HLOOKUP($X171&amp;$Z171,NWC_FC_NOOS!$T$4:$AH$23,MATCH(W171,NWC_FC_NOOS!$S$4:$S$23,0),FALSE),0),0)</f>
        <v>0</v>
      </c>
      <c r="AP171" s="57">
        <f>IFERROR(IF($V171="BRAND.com",HLOOKUP($X171&amp;$Z171,NWC_FC_NOOS!$C$50:$U$69,MATCH(W171,NWC_FC_NOOS!$B$50:$B$69,0),FALSE),0),0)</f>
        <v>0</v>
      </c>
      <c r="AQ171" s="58">
        <f>IFERROR(IF($V171="BRAND.com",HLOOKUP($X171&amp;$Z171,'NWC_FC_NON-NOOS'!$C$4:$Q$23,MATCH(W171,'NWC_FC_NON-NOOS'!$B$4:$B$23,0),FALSE),0),0)</f>
        <v>0</v>
      </c>
      <c r="AR171" s="57">
        <f>IFERROR(IF($V171="BRAND.com",HLOOKUP($X171&amp;$Z171,'NWC_FC_NON-NOOS'!$T$4:$AH$23,MATCH(W171,'NWC_FC_NON-NOOS'!$S$4:$S$23,0),FALSE),0),0)</f>
        <v>0</v>
      </c>
      <c r="AS171" s="57">
        <f>IFERROR(IF($V171="BRAND.com",HLOOKUP($X171&amp;$Z171,'NWC_FC_NON-NOOS'!$C$50:$U$69,MATCH(W171,'NWC_FC_NON-NOOS'!$B$50:$B$69,0),FALSE),0),0)</f>
        <v>0</v>
      </c>
      <c r="AT171" s="57">
        <f t="shared" si="72"/>
        <v>0</v>
      </c>
      <c r="AU171" s="57">
        <f t="shared" si="73"/>
        <v>0</v>
      </c>
      <c r="AV171" s="58">
        <f>IFERROR(IF($V171="BRAND.com",HLOOKUP($X171&amp;$Z171,PLANNING_FC!$BB$27:$BP$46,MATCH($W171,PLANNING_FC!$BA$27:$BA$46,0),FALSE),0),0)</f>
        <v>0</v>
      </c>
      <c r="AW171" s="58">
        <f>IFERROR(IF($V171="BRAND.com",HLOOKUP($X171&amp;$Z171,PLANNING_FC!$BB$4:$BP$23,MATCH($W171,PLANNING_FC!$BA$4:$BA$23,0),FALSE),0),0)</f>
        <v>0</v>
      </c>
      <c r="AX171" s="58">
        <f>IFERROR(IF($V171="BRAND.com",HLOOKUP($X171&amp;$Z171,PLANNING_FC!$T$27:$AH$46,MATCH($W171,PLANNING_FC!$B$27:$B$46,0),FALSE),0),0)</f>
        <v>0</v>
      </c>
      <c r="AY171" s="58">
        <f>IFERROR(IF($V171="BRAND.com",HLOOKUP($X171&amp;$Z171,PLANNING_FC!$T$4:$AH$23,MATCH($W171,PLANNING_FC!$B$4:$B$23,0),FALSE),0),0)</f>
        <v>0</v>
      </c>
      <c r="AZ171" s="58">
        <f>IFERROR(IF($V171="BRAND.com",HLOOKUP($X171&amp;$Z171,PLANNING_FC!$DA$27:$DO$46,MATCH($W171,PLANNING_FC!$CZ$27:$CZ$46,0),FALSE),0),0)</f>
        <v>0</v>
      </c>
      <c r="BA171" s="58">
        <f>IFERROR(IF($V171="BRAND.com",HLOOKUP($X171&amp;$Z171,PLANNING_FC!$DA$4:$DO$23,MATCH($W171,PLANNING_FC!$CZ$4:$CZ$23,0),FALSE),0),0)</f>
        <v>0</v>
      </c>
      <c r="BB171" s="883" t="str">
        <f>IF(V171="BRAND.com",IFERROR(HLOOKUP(X171&amp;Z171,PLANNING_FC!$AK$4:$AY$23,MATCH(W171,PLANNING_FC!$AJ$4:$AJ$23,0),FALSE)*1000,""),"")</f>
        <v/>
      </c>
      <c r="BC171" s="883" t="str">
        <f>IF(V171="BRAND.com",IFERROR(HLOOKUP(X171&amp;Z171,PLANNING_FC!$AK$27:$AY$46,MATCH(W171,PLANNING_FC!$AJ$27:$AJ$46,0),FALSE)*1000,""),"")</f>
        <v/>
      </c>
    </row>
    <row r="172" spans="1:55" x14ac:dyDescent="0.25">
      <c r="A172" s="509"/>
      <c r="B172" s="510"/>
      <c r="C172" s="509"/>
      <c r="D172" s="509"/>
      <c r="E172" s="509"/>
      <c r="F172" s="509"/>
      <c r="G172" s="509"/>
      <c r="H172" s="509"/>
      <c r="I172" s="512"/>
      <c r="J172" s="513"/>
      <c r="K172" s="879"/>
      <c r="L172" s="515"/>
      <c r="M172" s="516"/>
      <c r="N172" s="56">
        <f t="shared" si="74"/>
        <v>0</v>
      </c>
      <c r="O172" s="57">
        <f t="shared" si="75"/>
        <v>0</v>
      </c>
      <c r="P172" s="57">
        <f ca="1">IFERROR(IF(ISBLANK(H172),SUMIFS($AC:$AC,$V:$V,V172,$W:$W,W172,$X:$X,X172,$Y:$Y,Y172)*J172/(1-J172)*VLOOKUP(_xlfn.CONCAT(C172,D172,E172,TIME!$M$12,Z172),HIS_SALES!$B$2:$W$4859,20,FALSE),AC172*J172/(1-J172)),0)</f>
        <v>0</v>
      </c>
      <c r="Q172" s="541" t="str">
        <f t="shared" si="85"/>
        <v/>
      </c>
      <c r="R172" s="346" t="str">
        <f t="shared" si="65"/>
        <v>00000</v>
      </c>
      <c r="S172" s="344">
        <f t="shared" si="76"/>
        <v>0</v>
      </c>
      <c r="T172" s="345" t="str">
        <f t="shared" si="71"/>
        <v>000</v>
      </c>
      <c r="U172" s="345">
        <f t="shared" si="77"/>
        <v>0</v>
      </c>
      <c r="V172" s="345">
        <f t="shared" si="78"/>
        <v>0</v>
      </c>
      <c r="W172" s="345">
        <f t="shared" si="79"/>
        <v>0</v>
      </c>
      <c r="X172" s="345">
        <f t="shared" si="80"/>
        <v>0</v>
      </c>
      <c r="Y172" s="345">
        <f t="shared" si="81"/>
        <v>0</v>
      </c>
      <c r="Z172" s="345">
        <f>IF(Q172&lt;&gt;"",VLOOKUP(Y172,TIME!$R$21:$V$24,MATCH(FC_DATA!Q172,TIME!$R$20:$V$20,0),FALSE),H172)</f>
        <v>0</v>
      </c>
      <c r="AA172" s="345" t="str">
        <f>IFERROR(VLOOKUP(X172&amp;Z172,TIME!$A$12:$D$71,4,FALSE),"")</f>
        <v/>
      </c>
      <c r="AB172" s="592">
        <f t="shared" ca="1" si="66"/>
        <v>0</v>
      </c>
      <c r="AC172" s="593" t="e">
        <f ca="1">IF(ISBLANK(H172)=FALSE,IF(D172="BRAND.com",I172,IF(ISNA(VLOOKUP(_xlfn.CONCAT(X172,Z172),TIME!$M$40:$M$42,1,FALSE)),I172,VLOOKUP(_xlfn.CONCAT(D172,G172,H172),M_BUSAREA_FC!$AF$5:$AJ$10,5,FALSE)*HLOOKUP(_xlfn.CONCAT(F172,H172),ST_OVERVIEW!$G$99:$I$130,MATCH(_xlfn.CONCAT(D172,E172),ST_OVERVIEW!$F$99:$F$130,0),FALSE))),IF(D172="BRAND.com",VLOOKUP(_xlfn.CONCAT(C172,D172,E172,TIME!$F$1,Z172),HIS_SALES!$B$2:$V$4859,19,FALSE)*I172,VLOOKUP(_xlfn.CONCAT(D172,F172,G172),Q_BUSAREA_FC!$AE$5:$AI$12,5,FALSE)*HLOOKUP(_xlfn.CONCAT(FC_DATA!F172,FC_DATA!G172),LT_OVERVIEW!$I$99:$M$130,MATCH(_xlfn.CONCAT(D172,FC_DATA!E172),LT_OVERVIEW!$H$99:$H$130,0),FALSE)*IFERROR(VLOOKUP(_xlfn.CONCAT(C172,D172,E172,TIME!$F$1,Z172),HIS_SALES!$B$2:$V$4859,19,FALSE),0)))</f>
        <v>#N/A</v>
      </c>
      <c r="AD172" s="341">
        <f t="shared" ca="1" si="82"/>
        <v>0</v>
      </c>
      <c r="AE172" s="363" t="str">
        <f t="shared" si="83"/>
        <v/>
      </c>
      <c r="AF172" s="342" t="str">
        <f t="shared" si="84"/>
        <v/>
      </c>
      <c r="AG172" s="411" t="e">
        <f ca="1">VLOOKUP(_xlfn.CONCAT(U172,V172,W172,VLOOKUP(X172&amp;Y172,TIME!$L$27:$O$34,4,FALSE),Y172),HIS_SALES!$A$2:$R$5093,18,FALSE)</f>
        <v>#N/A</v>
      </c>
      <c r="AH172" s="412" t="e">
        <f ca="1">IFERROR(IF(AND(V172=V171,W172=W171),0.5*(AB172+AB171)*AG172,(VLOOKUP(_xlfn.CONCAT(U172,V172,W172,X172,VLOOKUP(Z172,TIME!$S$28:$T$39,2,FALSE)),FC_DATA!$R$2:$AB$5000,MATCH("GS_I_M",FC_DATA!$R$1:$AB$1,0),FALSE)+FC_DATA!AB172)*0.5*FC_DATA!AG172),NA())</f>
        <v>#N/A</v>
      </c>
      <c r="AI172" s="491" t="e">
        <f ca="1">IF(V172="PARTNER.com",AH172,IF(AND(V172=V171,W172=W171),(1-AVERAGE(AD171,AD172))*AH172,(1-AVERAGE(AD172,VLOOKUP(_xlfn.CONCAT(U172,V172,W172,X172,M_BRAND_FC!$F$6),FC_DATA!$R$2:$AD$5000,MATCH("DISCOUNT_%_M",FC_DATA!$R$1:$AD$1,0),FALSE)))*AH172))</f>
        <v>#N/A</v>
      </c>
      <c r="AJ172" s="412" t="str">
        <f t="shared" ca="1" si="68"/>
        <v/>
      </c>
      <c r="AK172" s="413" t="str">
        <f>IFERROR(AE172/(Q_BRAND_FC!$T$24+1),"")</f>
        <v/>
      </c>
      <c r="AL172" s="88" t="str">
        <f t="shared" ca="1" si="69"/>
        <v/>
      </c>
      <c r="AM172" s="414" t="str">
        <f t="shared" ca="1" si="70"/>
        <v/>
      </c>
      <c r="AN172" s="58">
        <f>IFERROR(IF($V172="BRAND.com",HLOOKUP($X172&amp;$Z172,NWC_FC_NOOS!$C$4:$Q$23,MATCH(W172,NWC_FC_NOOS!$B$4:$B$23,0),FALSE),0),0)</f>
        <v>0</v>
      </c>
      <c r="AO172" s="57">
        <f>IFERROR(IF($V172="BRAND.com",HLOOKUP($X172&amp;$Z172,NWC_FC_NOOS!$T$4:$AH$23,MATCH(W172,NWC_FC_NOOS!$S$4:$S$23,0),FALSE),0),0)</f>
        <v>0</v>
      </c>
      <c r="AP172" s="57">
        <f>IFERROR(IF($V172="BRAND.com",HLOOKUP($X172&amp;$Z172,NWC_FC_NOOS!$C$50:$U$69,MATCH(W172,NWC_FC_NOOS!$B$50:$B$69,0),FALSE),0),0)</f>
        <v>0</v>
      </c>
      <c r="AQ172" s="58">
        <f>IFERROR(IF($V172="BRAND.com",HLOOKUP($X172&amp;$Z172,'NWC_FC_NON-NOOS'!$C$4:$Q$23,MATCH(W172,'NWC_FC_NON-NOOS'!$B$4:$B$23,0),FALSE),0),0)</f>
        <v>0</v>
      </c>
      <c r="AR172" s="57">
        <f>IFERROR(IF($V172="BRAND.com",HLOOKUP($X172&amp;$Z172,'NWC_FC_NON-NOOS'!$T$4:$AH$23,MATCH(W172,'NWC_FC_NON-NOOS'!$S$4:$S$23,0),FALSE),0),0)</f>
        <v>0</v>
      </c>
      <c r="AS172" s="57">
        <f>IFERROR(IF($V172="BRAND.com",HLOOKUP($X172&amp;$Z172,'NWC_FC_NON-NOOS'!$C$50:$U$69,MATCH(W172,'NWC_FC_NON-NOOS'!$B$50:$B$69,0),FALSE),0),0)</f>
        <v>0</v>
      </c>
      <c r="AT172" s="57">
        <f t="shared" si="72"/>
        <v>0</v>
      </c>
      <c r="AU172" s="57">
        <f t="shared" si="73"/>
        <v>0</v>
      </c>
      <c r="AV172" s="58">
        <f>IFERROR(IF($V172="BRAND.com",HLOOKUP($X172&amp;$Z172,PLANNING_FC!$BB$27:$BP$46,MATCH($W172,PLANNING_FC!$BA$27:$BA$46,0),FALSE),0),0)</f>
        <v>0</v>
      </c>
      <c r="AW172" s="58">
        <f>IFERROR(IF($V172="BRAND.com",HLOOKUP($X172&amp;$Z172,PLANNING_FC!$BB$4:$BP$23,MATCH($W172,PLANNING_FC!$BA$4:$BA$23,0),FALSE),0),0)</f>
        <v>0</v>
      </c>
      <c r="AX172" s="58">
        <f>IFERROR(IF($V172="BRAND.com",HLOOKUP($X172&amp;$Z172,PLANNING_FC!$T$27:$AH$46,MATCH($W172,PLANNING_FC!$B$27:$B$46,0),FALSE),0),0)</f>
        <v>0</v>
      </c>
      <c r="AY172" s="58">
        <f>IFERROR(IF($V172="BRAND.com",HLOOKUP($X172&amp;$Z172,PLANNING_FC!$T$4:$AH$23,MATCH($W172,PLANNING_FC!$B$4:$B$23,0),FALSE),0),0)</f>
        <v>0</v>
      </c>
      <c r="AZ172" s="58">
        <f>IFERROR(IF($V172="BRAND.com",HLOOKUP($X172&amp;$Z172,PLANNING_FC!$DA$27:$DO$46,MATCH($W172,PLANNING_FC!$CZ$27:$CZ$46,0),FALSE),0),0)</f>
        <v>0</v>
      </c>
      <c r="BA172" s="58">
        <f>IFERROR(IF($V172="BRAND.com",HLOOKUP($X172&amp;$Z172,PLANNING_FC!$DA$4:$DO$23,MATCH($W172,PLANNING_FC!$CZ$4:$CZ$23,0),FALSE),0),0)</f>
        <v>0</v>
      </c>
      <c r="BB172" s="883" t="str">
        <f>IF(V172="BRAND.com",IFERROR(HLOOKUP(X172&amp;Z172,PLANNING_FC!$AK$4:$AY$23,MATCH(W172,PLANNING_FC!$AJ$4:$AJ$23,0),FALSE)*1000,""),"")</f>
        <v/>
      </c>
      <c r="BC172" s="883" t="str">
        <f>IF(V172="BRAND.com",IFERROR(HLOOKUP(X172&amp;Z172,PLANNING_FC!$AK$27:$AY$46,MATCH(W172,PLANNING_FC!$AJ$27:$AJ$46,0),FALSE)*1000,""),"")</f>
        <v/>
      </c>
    </row>
    <row r="173" spans="1:55" x14ac:dyDescent="0.25">
      <c r="A173" s="509"/>
      <c r="B173" s="510"/>
      <c r="C173" s="509"/>
      <c r="D173" s="509"/>
      <c r="E173" s="509"/>
      <c r="F173" s="509"/>
      <c r="G173" s="509"/>
      <c r="H173" s="509"/>
      <c r="I173" s="512"/>
      <c r="J173" s="513"/>
      <c r="K173" s="879"/>
      <c r="L173" s="515"/>
      <c r="M173" s="516"/>
      <c r="N173" s="56">
        <f t="shared" si="74"/>
        <v>0</v>
      </c>
      <c r="O173" s="57">
        <f t="shared" si="75"/>
        <v>0</v>
      </c>
      <c r="P173" s="57">
        <f ca="1">IFERROR(IF(ISBLANK(H173),SUMIFS($AC:$AC,$V:$V,V173,$W:$W,W173,$X:$X,X173,$Y:$Y,Y173)*J173/(1-J173)*VLOOKUP(_xlfn.CONCAT(C173,D173,E173,TIME!$M$12,Z173),HIS_SALES!$B$2:$W$4859,20,FALSE),AC173*J173/(1-J173)),0)</f>
        <v>0</v>
      </c>
      <c r="Q173" s="541" t="str">
        <f t="shared" si="85"/>
        <v/>
      </c>
      <c r="R173" s="346" t="str">
        <f t="shared" si="65"/>
        <v>00000</v>
      </c>
      <c r="S173" s="344">
        <f t="shared" si="76"/>
        <v>0</v>
      </c>
      <c r="T173" s="345" t="str">
        <f t="shared" si="71"/>
        <v>000</v>
      </c>
      <c r="U173" s="345">
        <f t="shared" si="77"/>
        <v>0</v>
      </c>
      <c r="V173" s="345">
        <f t="shared" si="78"/>
        <v>0</v>
      </c>
      <c r="W173" s="345">
        <f t="shared" si="79"/>
        <v>0</v>
      </c>
      <c r="X173" s="345">
        <f t="shared" si="80"/>
        <v>0</v>
      </c>
      <c r="Y173" s="345">
        <f t="shared" si="81"/>
        <v>0</v>
      </c>
      <c r="Z173" s="345">
        <f>IF(Q173&lt;&gt;"",VLOOKUP(Y173,TIME!$R$21:$V$24,MATCH(FC_DATA!Q173,TIME!$R$20:$V$20,0),FALSE),H173)</f>
        <v>0</v>
      </c>
      <c r="AA173" s="345" t="str">
        <f>IFERROR(VLOOKUP(X173&amp;Z173,TIME!$A$12:$D$71,4,FALSE),"")</f>
        <v/>
      </c>
      <c r="AB173" s="592">
        <f t="shared" ca="1" si="66"/>
        <v>0</v>
      </c>
      <c r="AC173" s="593" t="e">
        <f ca="1">IF(ISBLANK(H173)=FALSE,IF(D173="BRAND.com",I173,IF(ISNA(VLOOKUP(_xlfn.CONCAT(X173,Z173),TIME!$M$40:$M$42,1,FALSE)),I173,VLOOKUP(_xlfn.CONCAT(D173,G173,H173),M_BUSAREA_FC!$AF$5:$AJ$10,5,FALSE)*HLOOKUP(_xlfn.CONCAT(F173,H173),ST_OVERVIEW!$G$99:$I$130,MATCH(_xlfn.CONCAT(D173,E173),ST_OVERVIEW!$F$99:$F$130,0),FALSE))),IF(D173="BRAND.com",VLOOKUP(_xlfn.CONCAT(C173,D173,E173,TIME!$F$1,Z173),HIS_SALES!$B$2:$V$4859,19,FALSE)*I173,VLOOKUP(_xlfn.CONCAT(D173,F173,G173),Q_BUSAREA_FC!$AE$5:$AI$12,5,FALSE)*HLOOKUP(_xlfn.CONCAT(FC_DATA!F173,FC_DATA!G173),LT_OVERVIEW!$I$99:$M$130,MATCH(_xlfn.CONCAT(D173,FC_DATA!E173),LT_OVERVIEW!$H$99:$H$130,0),FALSE)*IFERROR(VLOOKUP(_xlfn.CONCAT(C173,D173,E173,TIME!$F$1,Z173),HIS_SALES!$B$2:$V$4859,19,FALSE),0)))</f>
        <v>#N/A</v>
      </c>
      <c r="AD173" s="341">
        <f t="shared" ca="1" si="82"/>
        <v>0</v>
      </c>
      <c r="AE173" s="363" t="str">
        <f t="shared" si="83"/>
        <v/>
      </c>
      <c r="AF173" s="342" t="str">
        <f t="shared" si="84"/>
        <v/>
      </c>
      <c r="AG173" s="411" t="e">
        <f ca="1">VLOOKUP(_xlfn.CONCAT(U173,V173,W173,VLOOKUP(X173&amp;Y173,TIME!$L$27:$O$34,4,FALSE),Y173),HIS_SALES!$A$2:$R$5093,18,FALSE)</f>
        <v>#N/A</v>
      </c>
      <c r="AH173" s="412" t="e">
        <f ca="1">IFERROR(IF(AND(V173=V172,W173=W172),0.5*(AB173+AB172)*AG173,(VLOOKUP(_xlfn.CONCAT(U173,V173,W173,X173,VLOOKUP(Z173,TIME!$S$28:$T$39,2,FALSE)),FC_DATA!$R$2:$AB$5000,MATCH("GS_I_M",FC_DATA!$R$1:$AB$1,0),FALSE)+FC_DATA!AB173)*0.5*FC_DATA!AG173),NA())</f>
        <v>#N/A</v>
      </c>
      <c r="AI173" s="491" t="e">
        <f ca="1">IF(V173="PARTNER.com",AH173,IF(AND(V173=V172,W173=W172),(1-AVERAGE(AD172,AD173))*AH173,(1-AVERAGE(AD173,VLOOKUP(_xlfn.CONCAT(U173,V173,W173,X173,M_BRAND_FC!$F$6),FC_DATA!$R$2:$AD$5000,MATCH("DISCOUNT_%_M",FC_DATA!$R$1:$AD$1,0),FALSE)))*AH173))</f>
        <v>#N/A</v>
      </c>
      <c r="AJ173" s="412" t="str">
        <f t="shared" ca="1" si="68"/>
        <v/>
      </c>
      <c r="AK173" s="413" t="str">
        <f>IFERROR(AE173/(Q_BRAND_FC!$T$24+1),"")</f>
        <v/>
      </c>
      <c r="AL173" s="88" t="str">
        <f t="shared" ca="1" si="69"/>
        <v/>
      </c>
      <c r="AM173" s="414" t="str">
        <f t="shared" ca="1" si="70"/>
        <v/>
      </c>
      <c r="AN173" s="58">
        <f>IFERROR(IF($V173="BRAND.com",HLOOKUP($X173&amp;$Z173,NWC_FC_NOOS!$C$4:$Q$23,MATCH(W173,NWC_FC_NOOS!$B$4:$B$23,0),FALSE),0),0)</f>
        <v>0</v>
      </c>
      <c r="AO173" s="57">
        <f>IFERROR(IF($V173="BRAND.com",HLOOKUP($X173&amp;$Z173,NWC_FC_NOOS!$T$4:$AH$23,MATCH(W173,NWC_FC_NOOS!$S$4:$S$23,0),FALSE),0),0)</f>
        <v>0</v>
      </c>
      <c r="AP173" s="57">
        <f>IFERROR(IF($V173="BRAND.com",HLOOKUP($X173&amp;$Z173,NWC_FC_NOOS!$C$50:$U$69,MATCH(W173,NWC_FC_NOOS!$B$50:$B$69,0),FALSE),0),0)</f>
        <v>0</v>
      </c>
      <c r="AQ173" s="58">
        <f>IFERROR(IF($V173="BRAND.com",HLOOKUP($X173&amp;$Z173,'NWC_FC_NON-NOOS'!$C$4:$Q$23,MATCH(W173,'NWC_FC_NON-NOOS'!$B$4:$B$23,0),FALSE),0),0)</f>
        <v>0</v>
      </c>
      <c r="AR173" s="57">
        <f>IFERROR(IF($V173="BRAND.com",HLOOKUP($X173&amp;$Z173,'NWC_FC_NON-NOOS'!$T$4:$AH$23,MATCH(W173,'NWC_FC_NON-NOOS'!$S$4:$S$23,0),FALSE),0),0)</f>
        <v>0</v>
      </c>
      <c r="AS173" s="57">
        <f>IFERROR(IF($V173="BRAND.com",HLOOKUP($X173&amp;$Z173,'NWC_FC_NON-NOOS'!$C$50:$U$69,MATCH(W173,'NWC_FC_NON-NOOS'!$B$50:$B$69,0),FALSE),0),0)</f>
        <v>0</v>
      </c>
      <c r="AT173" s="57">
        <f t="shared" si="72"/>
        <v>0</v>
      </c>
      <c r="AU173" s="57">
        <f t="shared" si="73"/>
        <v>0</v>
      </c>
      <c r="AV173" s="58">
        <f>IFERROR(IF($V173="BRAND.com",HLOOKUP($X173&amp;$Z173,PLANNING_FC!$BB$27:$BP$46,MATCH($W173,PLANNING_FC!$BA$27:$BA$46,0),FALSE),0),0)</f>
        <v>0</v>
      </c>
      <c r="AW173" s="58">
        <f>IFERROR(IF($V173="BRAND.com",HLOOKUP($X173&amp;$Z173,PLANNING_FC!$BB$4:$BP$23,MATCH($W173,PLANNING_FC!$BA$4:$BA$23,0),FALSE),0),0)</f>
        <v>0</v>
      </c>
      <c r="AX173" s="58">
        <f>IFERROR(IF($V173="BRAND.com",HLOOKUP($X173&amp;$Z173,PLANNING_FC!$T$27:$AH$46,MATCH($W173,PLANNING_FC!$B$27:$B$46,0),FALSE),0),0)</f>
        <v>0</v>
      </c>
      <c r="AY173" s="58">
        <f>IFERROR(IF($V173="BRAND.com",HLOOKUP($X173&amp;$Z173,PLANNING_FC!$T$4:$AH$23,MATCH($W173,PLANNING_FC!$B$4:$B$23,0),FALSE),0),0)</f>
        <v>0</v>
      </c>
      <c r="AZ173" s="58">
        <f>IFERROR(IF($V173="BRAND.com",HLOOKUP($X173&amp;$Z173,PLANNING_FC!$DA$27:$DO$46,MATCH($W173,PLANNING_FC!$CZ$27:$CZ$46,0),FALSE),0),0)</f>
        <v>0</v>
      </c>
      <c r="BA173" s="58">
        <f>IFERROR(IF($V173="BRAND.com",HLOOKUP($X173&amp;$Z173,PLANNING_FC!$DA$4:$DO$23,MATCH($W173,PLANNING_FC!$CZ$4:$CZ$23,0),FALSE),0),0)</f>
        <v>0</v>
      </c>
      <c r="BB173" s="883" t="str">
        <f>IF(V173="BRAND.com",IFERROR(HLOOKUP(X173&amp;Z173,PLANNING_FC!$AK$4:$AY$23,MATCH(W173,PLANNING_FC!$AJ$4:$AJ$23,0),FALSE)*1000,""),"")</f>
        <v/>
      </c>
      <c r="BC173" s="883" t="str">
        <f>IF(V173="BRAND.com",IFERROR(HLOOKUP(X173&amp;Z173,PLANNING_FC!$AK$27:$AY$46,MATCH(W173,PLANNING_FC!$AJ$27:$AJ$46,0),FALSE)*1000,""),"")</f>
        <v/>
      </c>
    </row>
    <row r="174" spans="1:55" x14ac:dyDescent="0.25">
      <c r="A174" s="509"/>
      <c r="B174" s="510"/>
      <c r="C174" s="509"/>
      <c r="D174" s="509"/>
      <c r="E174" s="509"/>
      <c r="F174" s="509"/>
      <c r="G174" s="509"/>
      <c r="H174" s="509"/>
      <c r="I174" s="512"/>
      <c r="J174" s="513"/>
      <c r="K174" s="879"/>
      <c r="L174" s="515"/>
      <c r="M174" s="516"/>
      <c r="N174" s="56">
        <f t="shared" si="74"/>
        <v>0</v>
      </c>
      <c r="O174" s="57">
        <f t="shared" si="75"/>
        <v>0</v>
      </c>
      <c r="P174" s="57">
        <f ca="1">IFERROR(IF(ISBLANK(H174),SUMIFS($AC:$AC,$V:$V,V174,$W:$W,W174,$X:$X,X174,$Y:$Y,Y174)*J174/(1-J174)*VLOOKUP(_xlfn.CONCAT(C174,D174,E174,TIME!$M$12,Z174),HIS_SALES!$B$2:$W$4859,20,FALSE),AC174*J174/(1-J174)),0)</f>
        <v>0</v>
      </c>
      <c r="Q174" s="541" t="str">
        <f t="shared" si="85"/>
        <v/>
      </c>
      <c r="R174" s="346" t="str">
        <f t="shared" si="65"/>
        <v>00000</v>
      </c>
      <c r="S174" s="344">
        <f t="shared" si="76"/>
        <v>0</v>
      </c>
      <c r="T174" s="345" t="str">
        <f t="shared" si="71"/>
        <v>000</v>
      </c>
      <c r="U174" s="345">
        <f t="shared" si="77"/>
        <v>0</v>
      </c>
      <c r="V174" s="345">
        <f t="shared" si="78"/>
        <v>0</v>
      </c>
      <c r="W174" s="345">
        <f t="shared" si="79"/>
        <v>0</v>
      </c>
      <c r="X174" s="345">
        <f t="shared" si="80"/>
        <v>0</v>
      </c>
      <c r="Y174" s="345">
        <f t="shared" si="81"/>
        <v>0</v>
      </c>
      <c r="Z174" s="345">
        <f>IF(Q174&lt;&gt;"",VLOOKUP(Y174,TIME!$R$21:$V$24,MATCH(FC_DATA!Q174,TIME!$R$20:$V$20,0),FALSE),H174)</f>
        <v>0</v>
      </c>
      <c r="AA174" s="345" t="str">
        <f>IFERROR(VLOOKUP(X174&amp;Z174,TIME!$A$12:$D$71,4,FALSE),"")</f>
        <v/>
      </c>
      <c r="AB174" s="592">
        <f t="shared" ca="1" si="66"/>
        <v>0</v>
      </c>
      <c r="AC174" s="593" t="e">
        <f ca="1">IF(ISBLANK(H174)=FALSE,IF(D174="BRAND.com",I174,IF(ISNA(VLOOKUP(_xlfn.CONCAT(X174,Z174),TIME!$M$40:$M$42,1,FALSE)),I174,VLOOKUP(_xlfn.CONCAT(D174,G174,H174),M_BUSAREA_FC!$AF$5:$AJ$10,5,FALSE)*HLOOKUP(_xlfn.CONCAT(F174,H174),ST_OVERVIEW!$G$99:$I$130,MATCH(_xlfn.CONCAT(D174,E174),ST_OVERVIEW!$F$99:$F$130,0),FALSE))),IF(D174="BRAND.com",VLOOKUP(_xlfn.CONCAT(C174,D174,E174,TIME!$F$1,Z174),HIS_SALES!$B$2:$V$4859,19,FALSE)*I174,VLOOKUP(_xlfn.CONCAT(D174,F174,G174),Q_BUSAREA_FC!$AE$5:$AI$12,5,FALSE)*HLOOKUP(_xlfn.CONCAT(FC_DATA!F174,FC_DATA!G174),LT_OVERVIEW!$I$99:$M$130,MATCH(_xlfn.CONCAT(D174,FC_DATA!E174),LT_OVERVIEW!$H$99:$H$130,0),FALSE)*IFERROR(VLOOKUP(_xlfn.CONCAT(C174,D174,E174,TIME!$F$1,Z174),HIS_SALES!$B$2:$V$4859,19,FALSE),0)))</f>
        <v>#N/A</v>
      </c>
      <c r="AD174" s="341">
        <f t="shared" ca="1" si="82"/>
        <v>0</v>
      </c>
      <c r="AE174" s="363" t="str">
        <f t="shared" si="83"/>
        <v/>
      </c>
      <c r="AF174" s="342" t="str">
        <f t="shared" si="84"/>
        <v/>
      </c>
      <c r="AG174" s="411" t="e">
        <f ca="1">VLOOKUP(_xlfn.CONCAT(U174,V174,W174,VLOOKUP(X174&amp;Y174,TIME!$L$27:$O$34,4,FALSE),Y174),HIS_SALES!$A$2:$R$5093,18,FALSE)</f>
        <v>#N/A</v>
      </c>
      <c r="AH174" s="412" t="e">
        <f ca="1">IFERROR(IF(AND(V174=V173,W174=W173),0.5*(AB174+AB173)*AG174,(VLOOKUP(_xlfn.CONCAT(U174,V174,W174,X174,VLOOKUP(Z174,TIME!$S$28:$T$39,2,FALSE)),FC_DATA!$R$2:$AB$5000,MATCH("GS_I_M",FC_DATA!$R$1:$AB$1,0),FALSE)+FC_DATA!AB174)*0.5*FC_DATA!AG174),NA())</f>
        <v>#N/A</v>
      </c>
      <c r="AI174" s="491" t="e">
        <f ca="1">IF(V174="PARTNER.com",AH174,IF(AND(V174=V173,W174=W173),(1-AVERAGE(AD173,AD174))*AH174,(1-AVERAGE(AD174,VLOOKUP(_xlfn.CONCAT(U174,V174,W174,X174,M_BRAND_FC!$F$6),FC_DATA!$R$2:$AD$5000,MATCH("DISCOUNT_%_M",FC_DATA!$R$1:$AD$1,0),FALSE)))*AH174))</f>
        <v>#N/A</v>
      </c>
      <c r="AJ174" s="412" t="str">
        <f t="shared" ca="1" si="68"/>
        <v/>
      </c>
      <c r="AK174" s="413" t="str">
        <f>IFERROR(AE174/(Q_BRAND_FC!$T$24+1),"")</f>
        <v/>
      </c>
      <c r="AL174" s="88" t="str">
        <f t="shared" ca="1" si="69"/>
        <v/>
      </c>
      <c r="AM174" s="414" t="str">
        <f t="shared" ca="1" si="70"/>
        <v/>
      </c>
      <c r="AN174" s="58">
        <f>IFERROR(IF($V174="BRAND.com",HLOOKUP($X174&amp;$Z174,NWC_FC_NOOS!$C$4:$Q$23,MATCH(W174,NWC_FC_NOOS!$B$4:$B$23,0),FALSE),0),0)</f>
        <v>0</v>
      </c>
      <c r="AO174" s="57">
        <f>IFERROR(IF($V174="BRAND.com",HLOOKUP($X174&amp;$Z174,NWC_FC_NOOS!$T$4:$AH$23,MATCH(W174,NWC_FC_NOOS!$S$4:$S$23,0),FALSE),0),0)</f>
        <v>0</v>
      </c>
      <c r="AP174" s="57">
        <f>IFERROR(IF($V174="BRAND.com",HLOOKUP($X174&amp;$Z174,NWC_FC_NOOS!$C$50:$U$69,MATCH(W174,NWC_FC_NOOS!$B$50:$B$69,0),FALSE),0),0)</f>
        <v>0</v>
      </c>
      <c r="AQ174" s="58">
        <f>IFERROR(IF($V174="BRAND.com",HLOOKUP($X174&amp;$Z174,'NWC_FC_NON-NOOS'!$C$4:$Q$23,MATCH(W174,'NWC_FC_NON-NOOS'!$B$4:$B$23,0),FALSE),0),0)</f>
        <v>0</v>
      </c>
      <c r="AR174" s="57">
        <f>IFERROR(IF($V174="BRAND.com",HLOOKUP($X174&amp;$Z174,'NWC_FC_NON-NOOS'!$T$4:$AH$23,MATCH(W174,'NWC_FC_NON-NOOS'!$S$4:$S$23,0),FALSE),0),0)</f>
        <v>0</v>
      </c>
      <c r="AS174" s="57">
        <f>IFERROR(IF($V174="BRAND.com",HLOOKUP($X174&amp;$Z174,'NWC_FC_NON-NOOS'!$C$50:$U$69,MATCH(W174,'NWC_FC_NON-NOOS'!$B$50:$B$69,0),FALSE),0),0)</f>
        <v>0</v>
      </c>
      <c r="AT174" s="57">
        <f t="shared" si="72"/>
        <v>0</v>
      </c>
      <c r="AU174" s="57">
        <f t="shared" si="73"/>
        <v>0</v>
      </c>
      <c r="AV174" s="58">
        <f>IFERROR(IF($V174="BRAND.com",HLOOKUP($X174&amp;$Z174,PLANNING_FC!$BB$27:$BP$46,MATCH($W174,PLANNING_FC!$BA$27:$BA$46,0),FALSE),0),0)</f>
        <v>0</v>
      </c>
      <c r="AW174" s="58">
        <f>IFERROR(IF($V174="BRAND.com",HLOOKUP($X174&amp;$Z174,PLANNING_FC!$BB$4:$BP$23,MATCH($W174,PLANNING_FC!$BA$4:$BA$23,0),FALSE),0),0)</f>
        <v>0</v>
      </c>
      <c r="AX174" s="58">
        <f>IFERROR(IF($V174="BRAND.com",HLOOKUP($X174&amp;$Z174,PLANNING_FC!$T$27:$AH$46,MATCH($W174,PLANNING_FC!$B$27:$B$46,0),FALSE),0),0)</f>
        <v>0</v>
      </c>
      <c r="AY174" s="58">
        <f>IFERROR(IF($V174="BRAND.com",HLOOKUP($X174&amp;$Z174,PLANNING_FC!$T$4:$AH$23,MATCH($W174,PLANNING_FC!$B$4:$B$23,0),FALSE),0),0)</f>
        <v>0</v>
      </c>
      <c r="AZ174" s="58">
        <f>IFERROR(IF($V174="BRAND.com",HLOOKUP($X174&amp;$Z174,PLANNING_FC!$DA$27:$DO$46,MATCH($W174,PLANNING_FC!$CZ$27:$CZ$46,0),FALSE),0),0)</f>
        <v>0</v>
      </c>
      <c r="BA174" s="58">
        <f>IFERROR(IF($V174="BRAND.com",HLOOKUP($X174&amp;$Z174,PLANNING_FC!$DA$4:$DO$23,MATCH($W174,PLANNING_FC!$CZ$4:$CZ$23,0),FALSE),0),0)</f>
        <v>0</v>
      </c>
      <c r="BB174" s="883" t="str">
        <f>IF(V174="BRAND.com",IFERROR(HLOOKUP(X174&amp;Z174,PLANNING_FC!$AK$4:$AY$23,MATCH(W174,PLANNING_FC!$AJ$4:$AJ$23,0),FALSE)*1000,""),"")</f>
        <v/>
      </c>
      <c r="BC174" s="883" t="str">
        <f>IF(V174="BRAND.com",IFERROR(HLOOKUP(X174&amp;Z174,PLANNING_FC!$AK$27:$AY$46,MATCH(W174,PLANNING_FC!$AJ$27:$AJ$46,0),FALSE)*1000,""),"")</f>
        <v/>
      </c>
    </row>
    <row r="175" spans="1:55" x14ac:dyDescent="0.25">
      <c r="A175" s="509"/>
      <c r="B175" s="510"/>
      <c r="C175" s="509"/>
      <c r="D175" s="509"/>
      <c r="E175" s="509"/>
      <c r="F175" s="509"/>
      <c r="G175" s="509"/>
      <c r="H175" s="509"/>
      <c r="I175" s="512"/>
      <c r="J175" s="513"/>
      <c r="K175" s="879"/>
      <c r="L175" s="515"/>
      <c r="M175" s="516"/>
      <c r="N175" s="56">
        <f t="shared" si="74"/>
        <v>0</v>
      </c>
      <c r="O175" s="57">
        <f t="shared" si="75"/>
        <v>0</v>
      </c>
      <c r="P175" s="57">
        <f ca="1">IFERROR(IF(ISBLANK(H175),SUMIFS($AC:$AC,$V:$V,V175,$W:$W,W175,$X:$X,X175,$Y:$Y,Y175)*J175/(1-J175)*VLOOKUP(_xlfn.CONCAT(C175,D175,E175,TIME!$M$12,Z175),HIS_SALES!$B$2:$W$4859,20,FALSE),AC175*J175/(1-J175)),0)</f>
        <v>0</v>
      </c>
      <c r="Q175" s="541" t="str">
        <f t="shared" si="85"/>
        <v/>
      </c>
      <c r="R175" s="346" t="str">
        <f t="shared" si="65"/>
        <v>00000</v>
      </c>
      <c r="S175" s="344">
        <f t="shared" si="76"/>
        <v>0</v>
      </c>
      <c r="T175" s="345" t="str">
        <f t="shared" si="71"/>
        <v>000</v>
      </c>
      <c r="U175" s="345">
        <f t="shared" si="77"/>
        <v>0</v>
      </c>
      <c r="V175" s="345">
        <f t="shared" si="78"/>
        <v>0</v>
      </c>
      <c r="W175" s="345">
        <f t="shared" si="79"/>
        <v>0</v>
      </c>
      <c r="X175" s="345">
        <f t="shared" si="80"/>
        <v>0</v>
      </c>
      <c r="Y175" s="345">
        <f t="shared" si="81"/>
        <v>0</v>
      </c>
      <c r="Z175" s="345">
        <f>IF(Q175&lt;&gt;"",VLOOKUP(Y175,TIME!$R$21:$V$24,MATCH(FC_DATA!Q175,TIME!$R$20:$V$20,0),FALSE),H175)</f>
        <v>0</v>
      </c>
      <c r="AA175" s="345" t="str">
        <f>IFERROR(VLOOKUP(X175&amp;Z175,TIME!$A$12:$D$71,4,FALSE),"")</f>
        <v/>
      </c>
      <c r="AB175" s="592">
        <f t="shared" ca="1" si="66"/>
        <v>0</v>
      </c>
      <c r="AC175" s="593" t="e">
        <f ca="1">IF(ISBLANK(H175)=FALSE,IF(D175="BRAND.com",I175,IF(ISNA(VLOOKUP(_xlfn.CONCAT(X175,Z175),TIME!$M$40:$M$42,1,FALSE)),I175,VLOOKUP(_xlfn.CONCAT(D175,G175,H175),M_BUSAREA_FC!$AF$5:$AJ$10,5,FALSE)*HLOOKUP(_xlfn.CONCAT(F175,H175),ST_OVERVIEW!$G$99:$I$130,MATCH(_xlfn.CONCAT(D175,E175),ST_OVERVIEW!$F$99:$F$130,0),FALSE))),IF(D175="BRAND.com",VLOOKUP(_xlfn.CONCAT(C175,D175,E175,TIME!$F$1,Z175),HIS_SALES!$B$2:$V$4859,19,FALSE)*I175,VLOOKUP(_xlfn.CONCAT(D175,F175,G175),Q_BUSAREA_FC!$AE$5:$AI$12,5,FALSE)*HLOOKUP(_xlfn.CONCAT(FC_DATA!F175,FC_DATA!G175),LT_OVERVIEW!$I$99:$M$130,MATCH(_xlfn.CONCAT(D175,FC_DATA!E175),LT_OVERVIEW!$H$99:$H$130,0),FALSE)*IFERROR(VLOOKUP(_xlfn.CONCAT(C175,D175,E175,TIME!$F$1,Z175),HIS_SALES!$B$2:$V$4859,19,FALSE),0)))</f>
        <v>#N/A</v>
      </c>
      <c r="AD175" s="341">
        <f t="shared" ca="1" si="82"/>
        <v>0</v>
      </c>
      <c r="AE175" s="363" t="str">
        <f t="shared" si="83"/>
        <v/>
      </c>
      <c r="AF175" s="342" t="str">
        <f t="shared" si="84"/>
        <v/>
      </c>
      <c r="AG175" s="411" t="e">
        <f ca="1">VLOOKUP(_xlfn.CONCAT(U175,V175,W175,VLOOKUP(X175&amp;Y175,TIME!$L$27:$O$34,4,FALSE),Y175),HIS_SALES!$A$2:$R$5093,18,FALSE)</f>
        <v>#N/A</v>
      </c>
      <c r="AH175" s="412" t="e">
        <f ca="1">IFERROR(IF(AND(V175=V174,W175=W174),0.5*(AB175+AB174)*AG175,(VLOOKUP(_xlfn.CONCAT(U175,V175,W175,X175,VLOOKUP(Z175,TIME!$S$28:$T$39,2,FALSE)),FC_DATA!$R$2:$AB$5000,MATCH("GS_I_M",FC_DATA!$R$1:$AB$1,0),FALSE)+FC_DATA!AB175)*0.5*FC_DATA!AG175),NA())</f>
        <v>#N/A</v>
      </c>
      <c r="AI175" s="491" t="e">
        <f ca="1">IF(V175="PARTNER.com",AH175,IF(AND(V175=V174,W175=W174),(1-AVERAGE(AD174,AD175))*AH175,(1-AVERAGE(AD175,VLOOKUP(_xlfn.CONCAT(U175,V175,W175,X175,M_BRAND_FC!$F$6),FC_DATA!$R$2:$AD$5000,MATCH("DISCOUNT_%_M",FC_DATA!$R$1:$AD$1,0),FALSE)))*AH175))</f>
        <v>#N/A</v>
      </c>
      <c r="AJ175" s="412" t="str">
        <f t="shared" ca="1" si="68"/>
        <v/>
      </c>
      <c r="AK175" s="413" t="str">
        <f>IFERROR(AE175/(Q_BRAND_FC!$T$24+1),"")</f>
        <v/>
      </c>
      <c r="AL175" s="88" t="str">
        <f t="shared" ca="1" si="69"/>
        <v/>
      </c>
      <c r="AM175" s="414" t="str">
        <f t="shared" ca="1" si="70"/>
        <v/>
      </c>
      <c r="AN175" s="58">
        <f>IFERROR(IF($V175="BRAND.com",HLOOKUP($X175&amp;$Z175,NWC_FC_NOOS!$C$4:$Q$23,MATCH(W175,NWC_FC_NOOS!$B$4:$B$23,0),FALSE),0),0)</f>
        <v>0</v>
      </c>
      <c r="AO175" s="57">
        <f>IFERROR(IF($V175="BRAND.com",HLOOKUP($X175&amp;$Z175,NWC_FC_NOOS!$T$4:$AH$23,MATCH(W175,NWC_FC_NOOS!$S$4:$S$23,0),FALSE),0),0)</f>
        <v>0</v>
      </c>
      <c r="AP175" s="57">
        <f>IFERROR(IF($V175="BRAND.com",HLOOKUP($X175&amp;$Z175,NWC_FC_NOOS!$C$50:$U$69,MATCH(W175,NWC_FC_NOOS!$B$50:$B$69,0),FALSE),0),0)</f>
        <v>0</v>
      </c>
      <c r="AQ175" s="58">
        <f>IFERROR(IF($V175="BRAND.com",HLOOKUP($X175&amp;$Z175,'NWC_FC_NON-NOOS'!$C$4:$Q$23,MATCH(W175,'NWC_FC_NON-NOOS'!$B$4:$B$23,0),FALSE),0),0)</f>
        <v>0</v>
      </c>
      <c r="AR175" s="57">
        <f>IFERROR(IF($V175="BRAND.com",HLOOKUP($X175&amp;$Z175,'NWC_FC_NON-NOOS'!$T$4:$AH$23,MATCH(W175,'NWC_FC_NON-NOOS'!$S$4:$S$23,0),FALSE),0),0)</f>
        <v>0</v>
      </c>
      <c r="AS175" s="57">
        <f>IFERROR(IF($V175="BRAND.com",HLOOKUP($X175&amp;$Z175,'NWC_FC_NON-NOOS'!$C$50:$U$69,MATCH(W175,'NWC_FC_NON-NOOS'!$B$50:$B$69,0),FALSE),0),0)</f>
        <v>0</v>
      </c>
      <c r="AT175" s="57">
        <f t="shared" si="72"/>
        <v>0</v>
      </c>
      <c r="AU175" s="57">
        <f t="shared" si="73"/>
        <v>0</v>
      </c>
      <c r="AV175" s="58">
        <f>IFERROR(IF($V175="BRAND.com",HLOOKUP($X175&amp;$Z175,PLANNING_FC!$BB$27:$BP$46,MATCH($W175,PLANNING_FC!$BA$27:$BA$46,0),FALSE),0),0)</f>
        <v>0</v>
      </c>
      <c r="AW175" s="58">
        <f>IFERROR(IF($V175="BRAND.com",HLOOKUP($X175&amp;$Z175,PLANNING_FC!$BB$4:$BP$23,MATCH($W175,PLANNING_FC!$BA$4:$BA$23,0),FALSE),0),0)</f>
        <v>0</v>
      </c>
      <c r="AX175" s="58">
        <f>IFERROR(IF($V175="BRAND.com",HLOOKUP($X175&amp;$Z175,PLANNING_FC!$T$27:$AH$46,MATCH($W175,PLANNING_FC!$B$27:$B$46,0),FALSE),0),0)</f>
        <v>0</v>
      </c>
      <c r="AY175" s="58">
        <f>IFERROR(IF($V175="BRAND.com",HLOOKUP($X175&amp;$Z175,PLANNING_FC!$T$4:$AH$23,MATCH($W175,PLANNING_FC!$B$4:$B$23,0),FALSE),0),0)</f>
        <v>0</v>
      </c>
      <c r="AZ175" s="58">
        <f>IFERROR(IF($V175="BRAND.com",HLOOKUP($X175&amp;$Z175,PLANNING_FC!$DA$27:$DO$46,MATCH($W175,PLANNING_FC!$CZ$27:$CZ$46,0),FALSE),0),0)</f>
        <v>0</v>
      </c>
      <c r="BA175" s="58">
        <f>IFERROR(IF($V175="BRAND.com",HLOOKUP($X175&amp;$Z175,PLANNING_FC!$DA$4:$DO$23,MATCH($W175,PLANNING_FC!$CZ$4:$CZ$23,0),FALSE),0),0)</f>
        <v>0</v>
      </c>
      <c r="BB175" s="883" t="str">
        <f>IF(V175="BRAND.com",IFERROR(HLOOKUP(X175&amp;Z175,PLANNING_FC!$AK$4:$AY$23,MATCH(W175,PLANNING_FC!$AJ$4:$AJ$23,0),FALSE)*1000,""),"")</f>
        <v/>
      </c>
      <c r="BC175" s="883" t="str">
        <f>IF(V175="BRAND.com",IFERROR(HLOOKUP(X175&amp;Z175,PLANNING_FC!$AK$27:$AY$46,MATCH(W175,PLANNING_FC!$AJ$27:$AJ$46,0),FALSE)*1000,""),"")</f>
        <v/>
      </c>
    </row>
    <row r="176" spans="1:55" x14ac:dyDescent="0.25">
      <c r="A176" s="509"/>
      <c r="B176" s="510"/>
      <c r="C176" s="509"/>
      <c r="D176" s="509"/>
      <c r="E176" s="509"/>
      <c r="F176" s="509"/>
      <c r="G176" s="509"/>
      <c r="H176" s="509"/>
      <c r="I176" s="512"/>
      <c r="J176" s="513"/>
      <c r="K176" s="879"/>
      <c r="L176" s="515"/>
      <c r="M176" s="516"/>
      <c r="N176" s="56">
        <f t="shared" si="74"/>
        <v>0</v>
      </c>
      <c r="O176" s="57">
        <f t="shared" si="75"/>
        <v>0</v>
      </c>
      <c r="P176" s="57">
        <f ca="1">IFERROR(IF(ISBLANK(H176),SUMIFS($AC:$AC,$V:$V,V176,$W:$W,W176,$X:$X,X176,$Y:$Y,Y176)*J176/(1-J176)*VLOOKUP(_xlfn.CONCAT(C176,D176,E176,TIME!$M$12,Z176),HIS_SALES!$B$2:$W$4859,20,FALSE),AC176*J176/(1-J176)),0)</f>
        <v>0</v>
      </c>
      <c r="Q176" s="541" t="str">
        <f t="shared" si="85"/>
        <v/>
      </c>
      <c r="R176" s="346" t="str">
        <f t="shared" si="65"/>
        <v>00000</v>
      </c>
      <c r="S176" s="344">
        <f t="shared" si="76"/>
        <v>0</v>
      </c>
      <c r="T176" s="345" t="str">
        <f t="shared" si="71"/>
        <v>000</v>
      </c>
      <c r="U176" s="345">
        <f t="shared" si="77"/>
        <v>0</v>
      </c>
      <c r="V176" s="345">
        <f t="shared" si="78"/>
        <v>0</v>
      </c>
      <c r="W176" s="345">
        <f t="shared" si="79"/>
        <v>0</v>
      </c>
      <c r="X176" s="345">
        <f t="shared" si="80"/>
        <v>0</v>
      </c>
      <c r="Y176" s="345">
        <f t="shared" si="81"/>
        <v>0</v>
      </c>
      <c r="Z176" s="345">
        <f>IF(Q176&lt;&gt;"",VLOOKUP(Y176,TIME!$R$21:$V$24,MATCH(FC_DATA!Q176,TIME!$R$20:$V$20,0),FALSE),H176)</f>
        <v>0</v>
      </c>
      <c r="AA176" s="345" t="str">
        <f>IFERROR(VLOOKUP(X176&amp;Z176,TIME!$A$12:$D$71,4,FALSE),"")</f>
        <v/>
      </c>
      <c r="AB176" s="592">
        <f t="shared" ca="1" si="66"/>
        <v>0</v>
      </c>
      <c r="AC176" s="593" t="e">
        <f ca="1">IF(ISBLANK(H176)=FALSE,IF(D176="BRAND.com",I176,IF(ISNA(VLOOKUP(_xlfn.CONCAT(X176,Z176),TIME!$M$40:$M$42,1,FALSE)),I176,VLOOKUP(_xlfn.CONCAT(D176,G176,H176),M_BUSAREA_FC!$AF$5:$AJ$10,5,FALSE)*HLOOKUP(_xlfn.CONCAT(F176,H176),ST_OVERVIEW!$G$99:$I$130,MATCH(_xlfn.CONCAT(D176,E176),ST_OVERVIEW!$F$99:$F$130,0),FALSE))),IF(D176="BRAND.com",VLOOKUP(_xlfn.CONCAT(C176,D176,E176,TIME!$F$1,Z176),HIS_SALES!$B$2:$V$4859,19,FALSE)*I176,VLOOKUP(_xlfn.CONCAT(D176,F176,G176),Q_BUSAREA_FC!$AE$5:$AI$12,5,FALSE)*HLOOKUP(_xlfn.CONCAT(FC_DATA!F176,FC_DATA!G176),LT_OVERVIEW!$I$99:$M$130,MATCH(_xlfn.CONCAT(D176,FC_DATA!E176),LT_OVERVIEW!$H$99:$H$130,0),FALSE)*IFERROR(VLOOKUP(_xlfn.CONCAT(C176,D176,E176,TIME!$F$1,Z176),HIS_SALES!$B$2:$V$4859,19,FALSE),0)))</f>
        <v>#N/A</v>
      </c>
      <c r="AD176" s="341">
        <f t="shared" ca="1" si="82"/>
        <v>0</v>
      </c>
      <c r="AE176" s="363" t="str">
        <f t="shared" si="83"/>
        <v/>
      </c>
      <c r="AF176" s="342" t="str">
        <f t="shared" si="84"/>
        <v/>
      </c>
      <c r="AG176" s="411" t="e">
        <f ca="1">VLOOKUP(_xlfn.CONCAT(U176,V176,W176,VLOOKUP(X176&amp;Y176,TIME!$L$27:$O$34,4,FALSE),Y176),HIS_SALES!$A$2:$R$5093,18,FALSE)</f>
        <v>#N/A</v>
      </c>
      <c r="AH176" s="412" t="e">
        <f ca="1">IFERROR(IF(AND(V176=V175,W176=W175),0.5*(AB176+AB175)*AG176,(VLOOKUP(_xlfn.CONCAT(U176,V176,W176,X176,VLOOKUP(Z176,TIME!$S$28:$T$39,2,FALSE)),FC_DATA!$R$2:$AB$5000,MATCH("GS_I_M",FC_DATA!$R$1:$AB$1,0),FALSE)+FC_DATA!AB176)*0.5*FC_DATA!AG176),NA())</f>
        <v>#N/A</v>
      </c>
      <c r="AI176" s="491" t="e">
        <f ca="1">IF(V176="PARTNER.com",AH176,IF(AND(V176=V175,W176=W175),(1-AVERAGE(AD175,AD176))*AH176,(1-AVERAGE(AD176,VLOOKUP(_xlfn.CONCAT(U176,V176,W176,X176,M_BRAND_FC!$F$6),FC_DATA!$R$2:$AD$5000,MATCH("DISCOUNT_%_M",FC_DATA!$R$1:$AD$1,0),FALSE)))*AH176))</f>
        <v>#N/A</v>
      </c>
      <c r="AJ176" s="412" t="str">
        <f t="shared" ca="1" si="68"/>
        <v/>
      </c>
      <c r="AK176" s="413" t="str">
        <f>IFERROR(AE176/(Q_BRAND_FC!$T$24+1),"")</f>
        <v/>
      </c>
      <c r="AL176" s="88" t="str">
        <f t="shared" ca="1" si="69"/>
        <v/>
      </c>
      <c r="AM176" s="414" t="str">
        <f t="shared" ca="1" si="70"/>
        <v/>
      </c>
      <c r="AN176" s="58">
        <f>IFERROR(IF($V176="BRAND.com",HLOOKUP($X176&amp;$Z176,NWC_FC_NOOS!$C$4:$Q$23,MATCH(W176,NWC_FC_NOOS!$B$4:$B$23,0),FALSE),0),0)</f>
        <v>0</v>
      </c>
      <c r="AO176" s="57">
        <f>IFERROR(IF($V176="BRAND.com",HLOOKUP($X176&amp;$Z176,NWC_FC_NOOS!$T$4:$AH$23,MATCH(W176,NWC_FC_NOOS!$S$4:$S$23,0),FALSE),0),0)</f>
        <v>0</v>
      </c>
      <c r="AP176" s="57">
        <f>IFERROR(IF($V176="BRAND.com",HLOOKUP($X176&amp;$Z176,NWC_FC_NOOS!$C$50:$U$69,MATCH(W176,NWC_FC_NOOS!$B$50:$B$69,0),FALSE),0),0)</f>
        <v>0</v>
      </c>
      <c r="AQ176" s="58">
        <f>IFERROR(IF($V176="BRAND.com",HLOOKUP($X176&amp;$Z176,'NWC_FC_NON-NOOS'!$C$4:$Q$23,MATCH(W176,'NWC_FC_NON-NOOS'!$B$4:$B$23,0),FALSE),0),0)</f>
        <v>0</v>
      </c>
      <c r="AR176" s="57">
        <f>IFERROR(IF($V176="BRAND.com",HLOOKUP($X176&amp;$Z176,'NWC_FC_NON-NOOS'!$T$4:$AH$23,MATCH(W176,'NWC_FC_NON-NOOS'!$S$4:$S$23,0),FALSE),0),0)</f>
        <v>0</v>
      </c>
      <c r="AS176" s="57">
        <f>IFERROR(IF($V176="BRAND.com",HLOOKUP($X176&amp;$Z176,'NWC_FC_NON-NOOS'!$C$50:$U$69,MATCH(W176,'NWC_FC_NON-NOOS'!$B$50:$B$69,0),FALSE),0),0)</f>
        <v>0</v>
      </c>
      <c r="AT176" s="57">
        <f t="shared" si="72"/>
        <v>0</v>
      </c>
      <c r="AU176" s="57">
        <f t="shared" si="73"/>
        <v>0</v>
      </c>
      <c r="AV176" s="58">
        <f>IFERROR(IF($V176="BRAND.com",HLOOKUP($X176&amp;$Z176,PLANNING_FC!$BB$27:$BP$46,MATCH($W176,PLANNING_FC!$BA$27:$BA$46,0),FALSE),0),0)</f>
        <v>0</v>
      </c>
      <c r="AW176" s="58">
        <f>IFERROR(IF($V176="BRAND.com",HLOOKUP($X176&amp;$Z176,PLANNING_FC!$BB$4:$BP$23,MATCH($W176,PLANNING_FC!$BA$4:$BA$23,0),FALSE),0),0)</f>
        <v>0</v>
      </c>
      <c r="AX176" s="58">
        <f>IFERROR(IF($V176="BRAND.com",HLOOKUP($X176&amp;$Z176,PLANNING_FC!$T$27:$AH$46,MATCH($W176,PLANNING_FC!$B$27:$B$46,0),FALSE),0),0)</f>
        <v>0</v>
      </c>
      <c r="AY176" s="58">
        <f>IFERROR(IF($V176="BRAND.com",HLOOKUP($X176&amp;$Z176,PLANNING_FC!$T$4:$AH$23,MATCH($W176,PLANNING_FC!$B$4:$B$23,0),FALSE),0),0)</f>
        <v>0</v>
      </c>
      <c r="AZ176" s="58">
        <f>IFERROR(IF($V176="BRAND.com",HLOOKUP($X176&amp;$Z176,PLANNING_FC!$DA$27:$DO$46,MATCH($W176,PLANNING_FC!$CZ$27:$CZ$46,0),FALSE),0),0)</f>
        <v>0</v>
      </c>
      <c r="BA176" s="58">
        <f>IFERROR(IF($V176="BRAND.com",HLOOKUP($X176&amp;$Z176,PLANNING_FC!$DA$4:$DO$23,MATCH($W176,PLANNING_FC!$CZ$4:$CZ$23,0),FALSE),0),0)</f>
        <v>0</v>
      </c>
      <c r="BB176" s="883" t="str">
        <f>IF(V176="BRAND.com",IFERROR(HLOOKUP(X176&amp;Z176,PLANNING_FC!$AK$4:$AY$23,MATCH(W176,PLANNING_FC!$AJ$4:$AJ$23,0),FALSE)*1000,""),"")</f>
        <v/>
      </c>
      <c r="BC176" s="883" t="str">
        <f>IF(V176="BRAND.com",IFERROR(HLOOKUP(X176&amp;Z176,PLANNING_FC!$AK$27:$AY$46,MATCH(W176,PLANNING_FC!$AJ$27:$AJ$46,0),FALSE)*1000,""),"")</f>
        <v/>
      </c>
    </row>
    <row r="177" spans="1:55" x14ac:dyDescent="0.25">
      <c r="A177" s="509"/>
      <c r="B177" s="510"/>
      <c r="C177" s="509"/>
      <c r="D177" s="509"/>
      <c r="E177" s="509"/>
      <c r="F177" s="509"/>
      <c r="G177" s="509"/>
      <c r="H177" s="509"/>
      <c r="I177" s="512"/>
      <c r="J177" s="513"/>
      <c r="K177" s="879"/>
      <c r="L177" s="515"/>
      <c r="M177" s="516"/>
      <c r="N177" s="56">
        <f t="shared" si="74"/>
        <v>0</v>
      </c>
      <c r="O177" s="57">
        <f t="shared" si="75"/>
        <v>0</v>
      </c>
      <c r="P177" s="57">
        <f ca="1">IFERROR(IF(ISBLANK(H177),SUMIFS($AC:$AC,$V:$V,V177,$W:$W,W177,$X:$X,X177,$Y:$Y,Y177)*J177/(1-J177)*VLOOKUP(_xlfn.CONCAT(C177,D177,E177,TIME!$M$12,Z177),HIS_SALES!$B$2:$W$4859,20,FALSE),AC177*J177/(1-J177)),0)</f>
        <v>0</v>
      </c>
      <c r="Q177" s="541" t="str">
        <f t="shared" si="85"/>
        <v/>
      </c>
      <c r="R177" s="346" t="str">
        <f t="shared" si="65"/>
        <v>00000</v>
      </c>
      <c r="S177" s="344">
        <f t="shared" si="76"/>
        <v>0</v>
      </c>
      <c r="T177" s="345" t="str">
        <f t="shared" si="71"/>
        <v>000</v>
      </c>
      <c r="U177" s="345">
        <f t="shared" si="77"/>
        <v>0</v>
      </c>
      <c r="V177" s="345">
        <f t="shared" si="78"/>
        <v>0</v>
      </c>
      <c r="W177" s="345">
        <f t="shared" si="79"/>
        <v>0</v>
      </c>
      <c r="X177" s="345">
        <f t="shared" si="80"/>
        <v>0</v>
      </c>
      <c r="Y177" s="345">
        <f t="shared" si="81"/>
        <v>0</v>
      </c>
      <c r="Z177" s="345">
        <f>IF(Q177&lt;&gt;"",VLOOKUP(Y177,TIME!$R$21:$V$24,MATCH(FC_DATA!Q177,TIME!$R$20:$V$20,0),FALSE),H177)</f>
        <v>0</v>
      </c>
      <c r="AA177" s="345" t="str">
        <f>IFERROR(VLOOKUP(X177&amp;Z177,TIME!$A$12:$D$71,4,FALSE),"")</f>
        <v/>
      </c>
      <c r="AB177" s="592">
        <f t="shared" ca="1" si="66"/>
        <v>0</v>
      </c>
      <c r="AC177" s="593" t="e">
        <f ca="1">IF(ISBLANK(H177)=FALSE,IF(D177="BRAND.com",I177,IF(ISNA(VLOOKUP(_xlfn.CONCAT(X177,Z177),TIME!$M$40:$M$42,1,FALSE)),I177,VLOOKUP(_xlfn.CONCAT(D177,G177,H177),M_BUSAREA_FC!$AF$5:$AJ$10,5,FALSE)*HLOOKUP(_xlfn.CONCAT(F177,H177),ST_OVERVIEW!$G$99:$I$130,MATCH(_xlfn.CONCAT(D177,E177),ST_OVERVIEW!$F$99:$F$130,0),FALSE))),IF(D177="BRAND.com",VLOOKUP(_xlfn.CONCAT(C177,D177,E177,TIME!$F$1,Z177),HIS_SALES!$B$2:$V$4859,19,FALSE)*I177,VLOOKUP(_xlfn.CONCAT(D177,F177,G177),Q_BUSAREA_FC!$AE$5:$AI$12,5,FALSE)*HLOOKUP(_xlfn.CONCAT(FC_DATA!F177,FC_DATA!G177),LT_OVERVIEW!$I$99:$M$130,MATCH(_xlfn.CONCAT(D177,FC_DATA!E177),LT_OVERVIEW!$H$99:$H$130,0),FALSE)*IFERROR(VLOOKUP(_xlfn.CONCAT(C177,D177,E177,TIME!$F$1,Z177),HIS_SALES!$B$2:$V$4859,19,FALSE),0)))</f>
        <v>#N/A</v>
      </c>
      <c r="AD177" s="341">
        <f t="shared" ca="1" si="82"/>
        <v>0</v>
      </c>
      <c r="AE177" s="363" t="str">
        <f t="shared" si="83"/>
        <v/>
      </c>
      <c r="AF177" s="342" t="str">
        <f t="shared" si="84"/>
        <v/>
      </c>
      <c r="AG177" s="411" t="e">
        <f ca="1">VLOOKUP(_xlfn.CONCAT(U177,V177,W177,VLOOKUP(X177&amp;Y177,TIME!$L$27:$O$34,4,FALSE),Y177),HIS_SALES!$A$2:$R$5093,18,FALSE)</f>
        <v>#N/A</v>
      </c>
      <c r="AH177" s="412" t="e">
        <f ca="1">IFERROR(IF(AND(V177=V176,W177=W176),0.5*(AB177+AB176)*AG177,(VLOOKUP(_xlfn.CONCAT(U177,V177,W177,X177,VLOOKUP(Z177,TIME!$S$28:$T$39,2,FALSE)),FC_DATA!$R$2:$AB$5000,MATCH("GS_I_M",FC_DATA!$R$1:$AB$1,0),FALSE)+FC_DATA!AB177)*0.5*FC_DATA!AG177),NA())</f>
        <v>#N/A</v>
      </c>
      <c r="AI177" s="491" t="e">
        <f ca="1">IF(V177="PARTNER.com",AH177,IF(AND(V177=V176,W177=W176),(1-AVERAGE(AD176,AD177))*AH177,(1-AVERAGE(AD177,VLOOKUP(_xlfn.CONCAT(U177,V177,W177,X177,M_BRAND_FC!$F$6),FC_DATA!$R$2:$AD$5000,MATCH("DISCOUNT_%_M",FC_DATA!$R$1:$AD$1,0),FALSE)))*AH177))</f>
        <v>#N/A</v>
      </c>
      <c r="AJ177" s="412" t="str">
        <f t="shared" ca="1" si="68"/>
        <v/>
      </c>
      <c r="AK177" s="413" t="str">
        <f>IFERROR(AE177/(Q_BRAND_FC!$T$24+1),"")</f>
        <v/>
      </c>
      <c r="AL177" s="88" t="str">
        <f t="shared" ca="1" si="69"/>
        <v/>
      </c>
      <c r="AM177" s="414" t="str">
        <f t="shared" ca="1" si="70"/>
        <v/>
      </c>
      <c r="AN177" s="58">
        <f>IFERROR(IF($V177="BRAND.com",HLOOKUP($X177&amp;$Z177,NWC_FC_NOOS!$C$4:$Q$23,MATCH(W177,NWC_FC_NOOS!$B$4:$B$23,0),FALSE),0),0)</f>
        <v>0</v>
      </c>
      <c r="AO177" s="57">
        <f>IFERROR(IF($V177="BRAND.com",HLOOKUP($X177&amp;$Z177,NWC_FC_NOOS!$T$4:$AH$23,MATCH(W177,NWC_FC_NOOS!$S$4:$S$23,0),FALSE),0),0)</f>
        <v>0</v>
      </c>
      <c r="AP177" s="57">
        <f>IFERROR(IF($V177="BRAND.com",HLOOKUP($X177&amp;$Z177,NWC_FC_NOOS!$C$50:$U$69,MATCH(W177,NWC_FC_NOOS!$B$50:$B$69,0),FALSE),0),0)</f>
        <v>0</v>
      </c>
      <c r="AQ177" s="58">
        <f>IFERROR(IF($V177="BRAND.com",HLOOKUP($X177&amp;$Z177,'NWC_FC_NON-NOOS'!$C$4:$Q$23,MATCH(W177,'NWC_FC_NON-NOOS'!$B$4:$B$23,0),FALSE),0),0)</f>
        <v>0</v>
      </c>
      <c r="AR177" s="57">
        <f>IFERROR(IF($V177="BRAND.com",HLOOKUP($X177&amp;$Z177,'NWC_FC_NON-NOOS'!$T$4:$AH$23,MATCH(W177,'NWC_FC_NON-NOOS'!$S$4:$S$23,0),FALSE),0),0)</f>
        <v>0</v>
      </c>
      <c r="AS177" s="57">
        <f>IFERROR(IF($V177="BRAND.com",HLOOKUP($X177&amp;$Z177,'NWC_FC_NON-NOOS'!$C$50:$U$69,MATCH(W177,'NWC_FC_NON-NOOS'!$B$50:$B$69,0),FALSE),0),0)</f>
        <v>0</v>
      </c>
      <c r="AT177" s="57">
        <f t="shared" si="72"/>
        <v>0</v>
      </c>
      <c r="AU177" s="57">
        <f t="shared" si="73"/>
        <v>0</v>
      </c>
      <c r="AV177" s="58">
        <f>IFERROR(IF($V177="BRAND.com",HLOOKUP($X177&amp;$Z177,PLANNING_FC!$BB$27:$BP$46,MATCH($W177,PLANNING_FC!$BA$27:$BA$46,0),FALSE),0),0)</f>
        <v>0</v>
      </c>
      <c r="AW177" s="58">
        <f>IFERROR(IF($V177="BRAND.com",HLOOKUP($X177&amp;$Z177,PLANNING_FC!$BB$4:$BP$23,MATCH($W177,PLANNING_FC!$BA$4:$BA$23,0),FALSE),0),0)</f>
        <v>0</v>
      </c>
      <c r="AX177" s="58">
        <f>IFERROR(IF($V177="BRAND.com",HLOOKUP($X177&amp;$Z177,PLANNING_FC!$T$27:$AH$46,MATCH($W177,PLANNING_FC!$B$27:$B$46,0),FALSE),0),0)</f>
        <v>0</v>
      </c>
      <c r="AY177" s="58">
        <f>IFERROR(IF($V177="BRAND.com",HLOOKUP($X177&amp;$Z177,PLANNING_FC!$T$4:$AH$23,MATCH($W177,PLANNING_FC!$B$4:$B$23,0),FALSE),0),0)</f>
        <v>0</v>
      </c>
      <c r="AZ177" s="58">
        <f>IFERROR(IF($V177="BRAND.com",HLOOKUP($X177&amp;$Z177,PLANNING_FC!$DA$27:$DO$46,MATCH($W177,PLANNING_FC!$CZ$27:$CZ$46,0),FALSE),0),0)</f>
        <v>0</v>
      </c>
      <c r="BA177" s="58">
        <f>IFERROR(IF($V177="BRAND.com",HLOOKUP($X177&amp;$Z177,PLANNING_FC!$DA$4:$DO$23,MATCH($W177,PLANNING_FC!$CZ$4:$CZ$23,0),FALSE),0),0)</f>
        <v>0</v>
      </c>
      <c r="BB177" s="883" t="str">
        <f>IF(V177="BRAND.com",IFERROR(HLOOKUP(X177&amp;Z177,PLANNING_FC!$AK$4:$AY$23,MATCH(W177,PLANNING_FC!$AJ$4:$AJ$23,0),FALSE)*1000,""),"")</f>
        <v/>
      </c>
      <c r="BC177" s="883" t="str">
        <f>IF(V177="BRAND.com",IFERROR(HLOOKUP(X177&amp;Z177,PLANNING_FC!$AK$27:$AY$46,MATCH(W177,PLANNING_FC!$AJ$27:$AJ$46,0),FALSE)*1000,""),"")</f>
        <v/>
      </c>
    </row>
    <row r="178" spans="1:55" x14ac:dyDescent="0.25">
      <c r="A178" s="509"/>
      <c r="B178" s="510"/>
      <c r="C178" s="509"/>
      <c r="D178" s="509"/>
      <c r="E178" s="509"/>
      <c r="F178" s="509"/>
      <c r="G178" s="509"/>
      <c r="H178" s="509"/>
      <c r="I178" s="512"/>
      <c r="J178" s="513"/>
      <c r="K178" s="879"/>
      <c r="L178" s="515"/>
      <c r="M178" s="516"/>
      <c r="N178" s="56">
        <f t="shared" si="74"/>
        <v>0</v>
      </c>
      <c r="O178" s="57">
        <f t="shared" si="75"/>
        <v>0</v>
      </c>
      <c r="P178" s="57">
        <f ca="1">IFERROR(IF(ISBLANK(H178),SUMIFS($AC:$AC,$V:$V,V178,$W:$W,W178,$X:$X,X178,$Y:$Y,Y178)*J178/(1-J178)*VLOOKUP(_xlfn.CONCAT(C178,D178,E178,TIME!$M$12,Z178),HIS_SALES!$B$2:$W$4859,20,FALSE),AC178*J178/(1-J178)),0)</f>
        <v>0</v>
      </c>
      <c r="Q178" s="541" t="str">
        <f t="shared" si="85"/>
        <v/>
      </c>
      <c r="R178" s="346" t="str">
        <f t="shared" si="65"/>
        <v>00000</v>
      </c>
      <c r="S178" s="344">
        <f t="shared" si="76"/>
        <v>0</v>
      </c>
      <c r="T178" s="345" t="str">
        <f t="shared" si="71"/>
        <v>000</v>
      </c>
      <c r="U178" s="345">
        <f t="shared" si="77"/>
        <v>0</v>
      </c>
      <c r="V178" s="345">
        <f t="shared" si="78"/>
        <v>0</v>
      </c>
      <c r="W178" s="345">
        <f t="shared" si="79"/>
        <v>0</v>
      </c>
      <c r="X178" s="345">
        <f t="shared" si="80"/>
        <v>0</v>
      </c>
      <c r="Y178" s="345">
        <f t="shared" si="81"/>
        <v>0</v>
      </c>
      <c r="Z178" s="345">
        <f>IF(Q178&lt;&gt;"",VLOOKUP(Y178,TIME!$R$21:$V$24,MATCH(FC_DATA!Q178,TIME!$R$20:$V$20,0),FALSE),H178)</f>
        <v>0</v>
      </c>
      <c r="AA178" s="345" t="str">
        <f>IFERROR(VLOOKUP(X178&amp;Z178,TIME!$A$12:$D$71,4,FALSE),"")</f>
        <v/>
      </c>
      <c r="AB178" s="592">
        <f t="shared" ca="1" si="66"/>
        <v>0</v>
      </c>
      <c r="AC178" s="593" t="e">
        <f ca="1">IF(ISBLANK(H178)=FALSE,IF(D178="BRAND.com",I178,IF(ISNA(VLOOKUP(_xlfn.CONCAT(X178,Z178),TIME!$M$40:$M$42,1,FALSE)),I178,VLOOKUP(_xlfn.CONCAT(D178,G178,H178),M_BUSAREA_FC!$AF$5:$AJ$10,5,FALSE)*HLOOKUP(_xlfn.CONCAT(F178,H178),ST_OVERVIEW!$G$99:$I$130,MATCH(_xlfn.CONCAT(D178,E178),ST_OVERVIEW!$F$99:$F$130,0),FALSE))),IF(D178="BRAND.com",VLOOKUP(_xlfn.CONCAT(C178,D178,E178,TIME!$F$1,Z178),HIS_SALES!$B$2:$V$4859,19,FALSE)*I178,VLOOKUP(_xlfn.CONCAT(D178,F178,G178),Q_BUSAREA_FC!$AE$5:$AI$12,5,FALSE)*HLOOKUP(_xlfn.CONCAT(FC_DATA!F178,FC_DATA!G178),LT_OVERVIEW!$I$99:$M$130,MATCH(_xlfn.CONCAT(D178,FC_DATA!E178),LT_OVERVIEW!$H$99:$H$130,0),FALSE)*IFERROR(VLOOKUP(_xlfn.CONCAT(C178,D178,E178,TIME!$F$1,Z178),HIS_SALES!$B$2:$V$4859,19,FALSE),0)))</f>
        <v>#N/A</v>
      </c>
      <c r="AD178" s="341">
        <f t="shared" ca="1" si="82"/>
        <v>0</v>
      </c>
      <c r="AE178" s="363" t="str">
        <f t="shared" si="83"/>
        <v/>
      </c>
      <c r="AF178" s="342" t="str">
        <f t="shared" si="84"/>
        <v/>
      </c>
      <c r="AG178" s="411" t="e">
        <f ca="1">VLOOKUP(_xlfn.CONCAT(U178,V178,W178,VLOOKUP(X178&amp;Y178,TIME!$L$27:$O$34,4,FALSE),Y178),HIS_SALES!$A$2:$R$5093,18,FALSE)</f>
        <v>#N/A</v>
      </c>
      <c r="AH178" s="412" t="e">
        <f ca="1">IFERROR(IF(AND(V178=V177,W178=W177),0.5*(AB178+AB177)*AG178,(VLOOKUP(_xlfn.CONCAT(U178,V178,W178,X178,VLOOKUP(Z178,TIME!$S$28:$T$39,2,FALSE)),FC_DATA!$R$2:$AB$5000,MATCH("GS_I_M",FC_DATA!$R$1:$AB$1,0),FALSE)+FC_DATA!AB178)*0.5*FC_DATA!AG178),NA())</f>
        <v>#N/A</v>
      </c>
      <c r="AI178" s="491" t="e">
        <f ca="1">IF(V178="PARTNER.com",AH178,IF(AND(V178=V177,W178=W177),(1-AVERAGE(AD177,AD178))*AH178,(1-AVERAGE(AD178,VLOOKUP(_xlfn.CONCAT(U178,V178,W178,X178,M_BRAND_FC!$F$6),FC_DATA!$R$2:$AD$5000,MATCH("DISCOUNT_%_M",FC_DATA!$R$1:$AD$1,0),FALSE)))*AH178))</f>
        <v>#N/A</v>
      </c>
      <c r="AJ178" s="412" t="str">
        <f t="shared" ca="1" si="68"/>
        <v/>
      </c>
      <c r="AK178" s="413" t="str">
        <f>IFERROR(AE178/(Q_BRAND_FC!$T$24+1),"")</f>
        <v/>
      </c>
      <c r="AL178" s="88" t="str">
        <f t="shared" ca="1" si="69"/>
        <v/>
      </c>
      <c r="AM178" s="414" t="str">
        <f t="shared" ca="1" si="70"/>
        <v/>
      </c>
      <c r="AN178" s="58">
        <f>IFERROR(IF($V178="BRAND.com",HLOOKUP($X178&amp;$Z178,NWC_FC_NOOS!$C$4:$Q$23,MATCH(W178,NWC_FC_NOOS!$B$4:$B$23,0),FALSE),0),0)</f>
        <v>0</v>
      </c>
      <c r="AO178" s="57">
        <f>IFERROR(IF($V178="BRAND.com",HLOOKUP($X178&amp;$Z178,NWC_FC_NOOS!$T$4:$AH$23,MATCH(W178,NWC_FC_NOOS!$S$4:$S$23,0),FALSE),0),0)</f>
        <v>0</v>
      </c>
      <c r="AP178" s="57">
        <f>IFERROR(IF($V178="BRAND.com",HLOOKUP($X178&amp;$Z178,NWC_FC_NOOS!$C$50:$U$69,MATCH(W178,NWC_FC_NOOS!$B$50:$B$69,0),FALSE),0),0)</f>
        <v>0</v>
      </c>
      <c r="AQ178" s="58">
        <f>IFERROR(IF($V178="BRAND.com",HLOOKUP($X178&amp;$Z178,'NWC_FC_NON-NOOS'!$C$4:$Q$23,MATCH(W178,'NWC_FC_NON-NOOS'!$B$4:$B$23,0),FALSE),0),0)</f>
        <v>0</v>
      </c>
      <c r="AR178" s="57">
        <f>IFERROR(IF($V178="BRAND.com",HLOOKUP($X178&amp;$Z178,'NWC_FC_NON-NOOS'!$T$4:$AH$23,MATCH(W178,'NWC_FC_NON-NOOS'!$S$4:$S$23,0),FALSE),0),0)</f>
        <v>0</v>
      </c>
      <c r="AS178" s="57">
        <f>IFERROR(IF($V178="BRAND.com",HLOOKUP($X178&amp;$Z178,'NWC_FC_NON-NOOS'!$C$50:$U$69,MATCH(W178,'NWC_FC_NON-NOOS'!$B$50:$B$69,0),FALSE),0),0)</f>
        <v>0</v>
      </c>
      <c r="AT178" s="57">
        <f t="shared" si="72"/>
        <v>0</v>
      </c>
      <c r="AU178" s="57">
        <f t="shared" si="73"/>
        <v>0</v>
      </c>
      <c r="AV178" s="58">
        <f>IFERROR(IF($V178="BRAND.com",HLOOKUP($X178&amp;$Z178,PLANNING_FC!$BB$27:$BP$46,MATCH($W178,PLANNING_FC!$BA$27:$BA$46,0),FALSE),0),0)</f>
        <v>0</v>
      </c>
      <c r="AW178" s="58">
        <f>IFERROR(IF($V178="BRAND.com",HLOOKUP($X178&amp;$Z178,PLANNING_FC!$BB$4:$BP$23,MATCH($W178,PLANNING_FC!$BA$4:$BA$23,0),FALSE),0),0)</f>
        <v>0</v>
      </c>
      <c r="AX178" s="58">
        <f>IFERROR(IF($V178="BRAND.com",HLOOKUP($X178&amp;$Z178,PLANNING_FC!$T$27:$AH$46,MATCH($W178,PLANNING_FC!$B$27:$B$46,0),FALSE),0),0)</f>
        <v>0</v>
      </c>
      <c r="AY178" s="58">
        <f>IFERROR(IF($V178="BRAND.com",HLOOKUP($X178&amp;$Z178,PLANNING_FC!$T$4:$AH$23,MATCH($W178,PLANNING_FC!$B$4:$B$23,0),FALSE),0),0)</f>
        <v>0</v>
      </c>
      <c r="AZ178" s="58">
        <f>IFERROR(IF($V178="BRAND.com",HLOOKUP($X178&amp;$Z178,PLANNING_FC!$DA$27:$DO$46,MATCH($W178,PLANNING_FC!$CZ$27:$CZ$46,0),FALSE),0),0)</f>
        <v>0</v>
      </c>
      <c r="BA178" s="58">
        <f>IFERROR(IF($V178="BRAND.com",HLOOKUP($X178&amp;$Z178,PLANNING_FC!$DA$4:$DO$23,MATCH($W178,PLANNING_FC!$CZ$4:$CZ$23,0),FALSE),0),0)</f>
        <v>0</v>
      </c>
      <c r="BB178" s="883" t="str">
        <f>IF(V178="BRAND.com",IFERROR(HLOOKUP(X178&amp;Z178,PLANNING_FC!$AK$4:$AY$23,MATCH(W178,PLANNING_FC!$AJ$4:$AJ$23,0),FALSE)*1000,""),"")</f>
        <v/>
      </c>
      <c r="BC178" s="883" t="str">
        <f>IF(V178="BRAND.com",IFERROR(HLOOKUP(X178&amp;Z178,PLANNING_FC!$AK$27:$AY$46,MATCH(W178,PLANNING_FC!$AJ$27:$AJ$46,0),FALSE)*1000,""),"")</f>
        <v/>
      </c>
    </row>
    <row r="179" spans="1:55" x14ac:dyDescent="0.25">
      <c r="A179" s="509"/>
      <c r="B179" s="510"/>
      <c r="C179" s="509"/>
      <c r="D179" s="509"/>
      <c r="E179" s="509"/>
      <c r="F179" s="509"/>
      <c r="G179" s="509"/>
      <c r="H179" s="509"/>
      <c r="I179" s="512"/>
      <c r="J179" s="513"/>
      <c r="K179" s="879"/>
      <c r="L179" s="515"/>
      <c r="M179" s="516"/>
      <c r="N179" s="56">
        <f t="shared" si="74"/>
        <v>0</v>
      </c>
      <c r="O179" s="57">
        <f t="shared" si="75"/>
        <v>0</v>
      </c>
      <c r="P179" s="57">
        <f ca="1">IFERROR(IF(ISBLANK(H179),SUMIFS($AC:$AC,$V:$V,V179,$W:$W,W179,$X:$X,X179,$Y:$Y,Y179)*J179/(1-J179)*VLOOKUP(_xlfn.CONCAT(C179,D179,E179,TIME!$M$12,Z179),HIS_SALES!$B$2:$W$4859,20,FALSE),AC179*J179/(1-J179)),0)</f>
        <v>0</v>
      </c>
      <c r="Q179" s="541" t="str">
        <f t="shared" si="85"/>
        <v/>
      </c>
      <c r="R179" s="346" t="str">
        <f t="shared" si="65"/>
        <v>00000</v>
      </c>
      <c r="S179" s="344">
        <f t="shared" si="76"/>
        <v>0</v>
      </c>
      <c r="T179" s="345" t="str">
        <f t="shared" si="71"/>
        <v>000</v>
      </c>
      <c r="U179" s="345">
        <f t="shared" si="77"/>
        <v>0</v>
      </c>
      <c r="V179" s="345">
        <f t="shared" si="78"/>
        <v>0</v>
      </c>
      <c r="W179" s="345">
        <f t="shared" si="79"/>
        <v>0</v>
      </c>
      <c r="X179" s="345">
        <f t="shared" si="80"/>
        <v>0</v>
      </c>
      <c r="Y179" s="345">
        <f t="shared" si="81"/>
        <v>0</v>
      </c>
      <c r="Z179" s="345">
        <f>IF(Q179&lt;&gt;"",VLOOKUP(Y179,TIME!$R$21:$V$24,MATCH(FC_DATA!Q179,TIME!$R$20:$V$20,0),FALSE),H179)</f>
        <v>0</v>
      </c>
      <c r="AA179" s="345" t="str">
        <f>IFERROR(VLOOKUP(X179&amp;Z179,TIME!$A$12:$D$71,4,FALSE),"")</f>
        <v/>
      </c>
      <c r="AB179" s="592">
        <f t="shared" ca="1" si="66"/>
        <v>0</v>
      </c>
      <c r="AC179" s="593" t="e">
        <f ca="1">IF(ISBLANK(H179)=FALSE,IF(D179="BRAND.com",I179,IF(ISNA(VLOOKUP(_xlfn.CONCAT(X179,Z179),TIME!$M$40:$M$42,1,FALSE)),I179,VLOOKUP(_xlfn.CONCAT(D179,G179,H179),M_BUSAREA_FC!$AF$5:$AJ$10,5,FALSE)*HLOOKUP(_xlfn.CONCAT(F179,H179),ST_OVERVIEW!$G$99:$I$130,MATCH(_xlfn.CONCAT(D179,E179),ST_OVERVIEW!$F$99:$F$130,0),FALSE))),IF(D179="BRAND.com",VLOOKUP(_xlfn.CONCAT(C179,D179,E179,TIME!$F$1,Z179),HIS_SALES!$B$2:$V$4859,19,FALSE)*I179,VLOOKUP(_xlfn.CONCAT(D179,F179,G179),Q_BUSAREA_FC!$AE$5:$AI$12,5,FALSE)*HLOOKUP(_xlfn.CONCAT(FC_DATA!F179,FC_DATA!G179),LT_OVERVIEW!$I$99:$M$130,MATCH(_xlfn.CONCAT(D179,FC_DATA!E179),LT_OVERVIEW!$H$99:$H$130,0),FALSE)*IFERROR(VLOOKUP(_xlfn.CONCAT(C179,D179,E179,TIME!$F$1,Z179),HIS_SALES!$B$2:$V$4859,19,FALSE),0)))</f>
        <v>#N/A</v>
      </c>
      <c r="AD179" s="341">
        <f t="shared" ca="1" si="82"/>
        <v>0</v>
      </c>
      <c r="AE179" s="363" t="str">
        <f t="shared" si="83"/>
        <v/>
      </c>
      <c r="AF179" s="342" t="str">
        <f t="shared" si="84"/>
        <v/>
      </c>
      <c r="AG179" s="411" t="e">
        <f ca="1">VLOOKUP(_xlfn.CONCAT(U179,V179,W179,VLOOKUP(X179&amp;Y179,TIME!$L$27:$O$34,4,FALSE),Y179),HIS_SALES!$A$2:$R$5093,18,FALSE)</f>
        <v>#N/A</v>
      </c>
      <c r="AH179" s="412" t="e">
        <f ca="1">IFERROR(IF(AND(V179=V178,W179=W178),0.5*(AB179+AB178)*AG179,(VLOOKUP(_xlfn.CONCAT(U179,V179,W179,X179,VLOOKUP(Z179,TIME!$S$28:$T$39,2,FALSE)),FC_DATA!$R$2:$AB$5000,MATCH("GS_I_M",FC_DATA!$R$1:$AB$1,0),FALSE)+FC_DATA!AB179)*0.5*FC_DATA!AG179),NA())</f>
        <v>#N/A</v>
      </c>
      <c r="AI179" s="491" t="e">
        <f ca="1">IF(V179="PARTNER.com",AH179,IF(AND(V179=V178,W179=W178),(1-AVERAGE(AD178,AD179))*AH179,(1-AVERAGE(AD179,VLOOKUP(_xlfn.CONCAT(U179,V179,W179,X179,M_BRAND_FC!$F$6),FC_DATA!$R$2:$AD$5000,MATCH("DISCOUNT_%_M",FC_DATA!$R$1:$AD$1,0),FALSE)))*AH179))</f>
        <v>#N/A</v>
      </c>
      <c r="AJ179" s="412" t="str">
        <f t="shared" ca="1" si="68"/>
        <v/>
      </c>
      <c r="AK179" s="413" t="str">
        <f>IFERROR(AE179/(Q_BRAND_FC!$T$24+1),"")</f>
        <v/>
      </c>
      <c r="AL179" s="88" t="str">
        <f t="shared" ca="1" si="69"/>
        <v/>
      </c>
      <c r="AM179" s="414" t="str">
        <f t="shared" ca="1" si="70"/>
        <v/>
      </c>
      <c r="AN179" s="58">
        <f>IFERROR(IF($V179="BRAND.com",HLOOKUP($X179&amp;$Z179,NWC_FC_NOOS!$C$4:$Q$23,MATCH(W179,NWC_FC_NOOS!$B$4:$B$23,0),FALSE),0),0)</f>
        <v>0</v>
      </c>
      <c r="AO179" s="57">
        <f>IFERROR(IF($V179="BRAND.com",HLOOKUP($X179&amp;$Z179,NWC_FC_NOOS!$T$4:$AH$23,MATCH(W179,NWC_FC_NOOS!$S$4:$S$23,0),FALSE),0),0)</f>
        <v>0</v>
      </c>
      <c r="AP179" s="57">
        <f>IFERROR(IF($V179="BRAND.com",HLOOKUP($X179&amp;$Z179,NWC_FC_NOOS!$C$50:$U$69,MATCH(W179,NWC_FC_NOOS!$B$50:$B$69,0),FALSE),0),0)</f>
        <v>0</v>
      </c>
      <c r="AQ179" s="58">
        <f>IFERROR(IF($V179="BRAND.com",HLOOKUP($X179&amp;$Z179,'NWC_FC_NON-NOOS'!$C$4:$Q$23,MATCH(W179,'NWC_FC_NON-NOOS'!$B$4:$B$23,0),FALSE),0),0)</f>
        <v>0</v>
      </c>
      <c r="AR179" s="57">
        <f>IFERROR(IF($V179="BRAND.com",HLOOKUP($X179&amp;$Z179,'NWC_FC_NON-NOOS'!$T$4:$AH$23,MATCH(W179,'NWC_FC_NON-NOOS'!$S$4:$S$23,0),FALSE),0),0)</f>
        <v>0</v>
      </c>
      <c r="AS179" s="57">
        <f>IFERROR(IF($V179="BRAND.com",HLOOKUP($X179&amp;$Z179,'NWC_FC_NON-NOOS'!$C$50:$U$69,MATCH(W179,'NWC_FC_NON-NOOS'!$B$50:$B$69,0),FALSE),0),0)</f>
        <v>0</v>
      </c>
      <c r="AT179" s="57">
        <f t="shared" si="72"/>
        <v>0</v>
      </c>
      <c r="AU179" s="57">
        <f t="shared" si="73"/>
        <v>0</v>
      </c>
      <c r="AV179" s="58">
        <f>IFERROR(IF($V179="BRAND.com",HLOOKUP($X179&amp;$Z179,PLANNING_FC!$BB$27:$BP$46,MATCH($W179,PLANNING_FC!$BA$27:$BA$46,0),FALSE),0),0)</f>
        <v>0</v>
      </c>
      <c r="AW179" s="58">
        <f>IFERROR(IF($V179="BRAND.com",HLOOKUP($X179&amp;$Z179,PLANNING_FC!$BB$4:$BP$23,MATCH($W179,PLANNING_FC!$BA$4:$BA$23,0),FALSE),0),0)</f>
        <v>0</v>
      </c>
      <c r="AX179" s="58">
        <f>IFERROR(IF($V179="BRAND.com",HLOOKUP($X179&amp;$Z179,PLANNING_FC!$T$27:$AH$46,MATCH($W179,PLANNING_FC!$B$27:$B$46,0),FALSE),0),0)</f>
        <v>0</v>
      </c>
      <c r="AY179" s="58">
        <f>IFERROR(IF($V179="BRAND.com",HLOOKUP($X179&amp;$Z179,PLANNING_FC!$T$4:$AH$23,MATCH($W179,PLANNING_FC!$B$4:$B$23,0),FALSE),0),0)</f>
        <v>0</v>
      </c>
      <c r="AZ179" s="58">
        <f>IFERROR(IF($V179="BRAND.com",HLOOKUP($X179&amp;$Z179,PLANNING_FC!$DA$27:$DO$46,MATCH($W179,PLANNING_FC!$CZ$27:$CZ$46,0),FALSE),0),0)</f>
        <v>0</v>
      </c>
      <c r="BA179" s="58">
        <f>IFERROR(IF($V179="BRAND.com",HLOOKUP($X179&amp;$Z179,PLANNING_FC!$DA$4:$DO$23,MATCH($W179,PLANNING_FC!$CZ$4:$CZ$23,0),FALSE),0),0)</f>
        <v>0</v>
      </c>
      <c r="BB179" s="883" t="str">
        <f>IF(V179="BRAND.com",IFERROR(HLOOKUP(X179&amp;Z179,PLANNING_FC!$AK$4:$AY$23,MATCH(W179,PLANNING_FC!$AJ$4:$AJ$23,0),FALSE)*1000,""),"")</f>
        <v/>
      </c>
      <c r="BC179" s="883" t="str">
        <f>IF(V179="BRAND.com",IFERROR(HLOOKUP(X179&amp;Z179,PLANNING_FC!$AK$27:$AY$46,MATCH(W179,PLANNING_FC!$AJ$27:$AJ$46,0),FALSE)*1000,""),"")</f>
        <v/>
      </c>
    </row>
    <row r="180" spans="1:55" x14ac:dyDescent="0.25">
      <c r="A180" s="509"/>
      <c r="B180" s="510"/>
      <c r="C180" s="509"/>
      <c r="D180" s="509"/>
      <c r="E180" s="509"/>
      <c r="F180" s="509"/>
      <c r="G180" s="509"/>
      <c r="H180" s="509"/>
      <c r="I180" s="512"/>
      <c r="J180" s="513"/>
      <c r="K180" s="879"/>
      <c r="L180" s="515"/>
      <c r="M180" s="516"/>
      <c r="N180" s="56">
        <f t="shared" si="74"/>
        <v>0</v>
      </c>
      <c r="O180" s="57">
        <f t="shared" si="75"/>
        <v>0</v>
      </c>
      <c r="P180" s="57">
        <f ca="1">IFERROR(IF(ISBLANK(H180),SUMIFS($AC:$AC,$V:$V,V180,$W:$W,W180,$X:$X,X180,$Y:$Y,Y180)*J180/(1-J180)*VLOOKUP(_xlfn.CONCAT(C180,D180,E180,TIME!$M$12,Z180),HIS_SALES!$B$2:$W$4859,20,FALSE),AC180*J180/(1-J180)),0)</f>
        <v>0</v>
      </c>
      <c r="Q180" s="541" t="str">
        <f t="shared" si="85"/>
        <v/>
      </c>
      <c r="R180" s="346" t="str">
        <f t="shared" si="65"/>
        <v>00000</v>
      </c>
      <c r="S180" s="344">
        <f t="shared" si="76"/>
        <v>0</v>
      </c>
      <c r="T180" s="345" t="str">
        <f t="shared" si="71"/>
        <v>000</v>
      </c>
      <c r="U180" s="345">
        <f t="shared" si="77"/>
        <v>0</v>
      </c>
      <c r="V180" s="345">
        <f t="shared" si="78"/>
        <v>0</v>
      </c>
      <c r="W180" s="345">
        <f t="shared" si="79"/>
        <v>0</v>
      </c>
      <c r="X180" s="345">
        <f t="shared" si="80"/>
        <v>0</v>
      </c>
      <c r="Y180" s="345">
        <f t="shared" si="81"/>
        <v>0</v>
      </c>
      <c r="Z180" s="345">
        <f>IF(Q180&lt;&gt;"",VLOOKUP(Y180,TIME!$R$21:$V$24,MATCH(FC_DATA!Q180,TIME!$R$20:$V$20,0),FALSE),H180)</f>
        <v>0</v>
      </c>
      <c r="AA180" s="345" t="str">
        <f>IFERROR(VLOOKUP(X180&amp;Z180,TIME!$A$12:$D$71,4,FALSE),"")</f>
        <v/>
      </c>
      <c r="AB180" s="592">
        <f t="shared" ca="1" si="66"/>
        <v>0</v>
      </c>
      <c r="AC180" s="593" t="e">
        <f ca="1">IF(ISBLANK(H180)=FALSE,IF(D180="BRAND.com",I180,IF(ISNA(VLOOKUP(_xlfn.CONCAT(X180,Z180),TIME!$M$40:$M$42,1,FALSE)),I180,VLOOKUP(_xlfn.CONCAT(D180,G180,H180),M_BUSAREA_FC!$AF$5:$AJ$10,5,FALSE)*HLOOKUP(_xlfn.CONCAT(F180,H180),ST_OVERVIEW!$G$99:$I$130,MATCH(_xlfn.CONCAT(D180,E180),ST_OVERVIEW!$F$99:$F$130,0),FALSE))),IF(D180="BRAND.com",VLOOKUP(_xlfn.CONCAT(C180,D180,E180,TIME!$F$1,Z180),HIS_SALES!$B$2:$V$4859,19,FALSE)*I180,VLOOKUP(_xlfn.CONCAT(D180,F180,G180),Q_BUSAREA_FC!$AE$5:$AI$12,5,FALSE)*HLOOKUP(_xlfn.CONCAT(FC_DATA!F180,FC_DATA!G180),LT_OVERVIEW!$I$99:$M$130,MATCH(_xlfn.CONCAT(D180,FC_DATA!E180),LT_OVERVIEW!$H$99:$H$130,0),FALSE)*IFERROR(VLOOKUP(_xlfn.CONCAT(C180,D180,E180,TIME!$F$1,Z180),HIS_SALES!$B$2:$V$4859,19,FALSE),0)))</f>
        <v>#N/A</v>
      </c>
      <c r="AD180" s="341">
        <f t="shared" ca="1" si="82"/>
        <v>0</v>
      </c>
      <c r="AE180" s="363" t="str">
        <f t="shared" si="83"/>
        <v/>
      </c>
      <c r="AF180" s="342" t="str">
        <f t="shared" si="84"/>
        <v/>
      </c>
      <c r="AG180" s="411" t="e">
        <f ca="1">VLOOKUP(_xlfn.CONCAT(U180,V180,W180,VLOOKUP(X180&amp;Y180,TIME!$L$27:$O$34,4,FALSE),Y180),HIS_SALES!$A$2:$R$5093,18,FALSE)</f>
        <v>#N/A</v>
      </c>
      <c r="AH180" s="412" t="e">
        <f ca="1">IFERROR(IF(AND(V180=V179,W180=W179),0.5*(AB180+AB179)*AG180,(VLOOKUP(_xlfn.CONCAT(U180,V180,W180,X180,VLOOKUP(Z180,TIME!$S$28:$T$39,2,FALSE)),FC_DATA!$R$2:$AB$5000,MATCH("GS_I_M",FC_DATA!$R$1:$AB$1,0),FALSE)+FC_DATA!AB180)*0.5*FC_DATA!AG180),NA())</f>
        <v>#N/A</v>
      </c>
      <c r="AI180" s="491" t="e">
        <f ca="1">IF(V180="PARTNER.com",AH180,IF(AND(V180=V179,W180=W179),(1-AVERAGE(AD179,AD180))*AH180,(1-AVERAGE(AD180,VLOOKUP(_xlfn.CONCAT(U180,V180,W180,X180,M_BRAND_FC!$F$6),FC_DATA!$R$2:$AD$5000,MATCH("DISCOUNT_%_M",FC_DATA!$R$1:$AD$1,0),FALSE)))*AH180))</f>
        <v>#N/A</v>
      </c>
      <c r="AJ180" s="412" t="str">
        <f t="shared" ca="1" si="68"/>
        <v/>
      </c>
      <c r="AK180" s="413" t="str">
        <f>IFERROR(AE180/(Q_BRAND_FC!$T$24+1),"")</f>
        <v/>
      </c>
      <c r="AL180" s="88" t="str">
        <f t="shared" ca="1" si="69"/>
        <v/>
      </c>
      <c r="AM180" s="414" t="str">
        <f t="shared" ca="1" si="70"/>
        <v/>
      </c>
      <c r="AN180" s="58">
        <f>IFERROR(IF($V180="BRAND.com",HLOOKUP($X180&amp;$Z180,NWC_FC_NOOS!$C$4:$Q$23,MATCH(W180,NWC_FC_NOOS!$B$4:$B$23,0),FALSE),0),0)</f>
        <v>0</v>
      </c>
      <c r="AO180" s="57">
        <f>IFERROR(IF($V180="BRAND.com",HLOOKUP($X180&amp;$Z180,NWC_FC_NOOS!$T$4:$AH$23,MATCH(W180,NWC_FC_NOOS!$S$4:$S$23,0),FALSE),0),0)</f>
        <v>0</v>
      </c>
      <c r="AP180" s="57">
        <f>IFERROR(IF($V180="BRAND.com",HLOOKUP($X180&amp;$Z180,NWC_FC_NOOS!$C$50:$U$69,MATCH(W180,NWC_FC_NOOS!$B$50:$B$69,0),FALSE),0),0)</f>
        <v>0</v>
      </c>
      <c r="AQ180" s="58">
        <f>IFERROR(IF($V180="BRAND.com",HLOOKUP($X180&amp;$Z180,'NWC_FC_NON-NOOS'!$C$4:$Q$23,MATCH(W180,'NWC_FC_NON-NOOS'!$B$4:$B$23,0),FALSE),0),0)</f>
        <v>0</v>
      </c>
      <c r="AR180" s="57">
        <f>IFERROR(IF($V180="BRAND.com",HLOOKUP($X180&amp;$Z180,'NWC_FC_NON-NOOS'!$T$4:$AH$23,MATCH(W180,'NWC_FC_NON-NOOS'!$S$4:$S$23,0),FALSE),0),0)</f>
        <v>0</v>
      </c>
      <c r="AS180" s="57">
        <f>IFERROR(IF($V180="BRAND.com",HLOOKUP($X180&amp;$Z180,'NWC_FC_NON-NOOS'!$C$50:$U$69,MATCH(W180,'NWC_FC_NON-NOOS'!$B$50:$B$69,0),FALSE),0),0)</f>
        <v>0</v>
      </c>
      <c r="AT180" s="57">
        <f t="shared" si="72"/>
        <v>0</v>
      </c>
      <c r="AU180" s="57">
        <f t="shared" si="73"/>
        <v>0</v>
      </c>
      <c r="AV180" s="58">
        <f>IFERROR(IF($V180="BRAND.com",HLOOKUP($X180&amp;$Z180,PLANNING_FC!$BB$27:$BP$46,MATCH($W180,PLANNING_FC!$BA$27:$BA$46,0),FALSE),0),0)</f>
        <v>0</v>
      </c>
      <c r="AW180" s="58">
        <f>IFERROR(IF($V180="BRAND.com",HLOOKUP($X180&amp;$Z180,PLANNING_FC!$BB$4:$BP$23,MATCH($W180,PLANNING_FC!$BA$4:$BA$23,0),FALSE),0),0)</f>
        <v>0</v>
      </c>
      <c r="AX180" s="58">
        <f>IFERROR(IF($V180="BRAND.com",HLOOKUP($X180&amp;$Z180,PLANNING_FC!$T$27:$AH$46,MATCH($W180,PLANNING_FC!$B$27:$B$46,0),FALSE),0),0)</f>
        <v>0</v>
      </c>
      <c r="AY180" s="58">
        <f>IFERROR(IF($V180="BRAND.com",HLOOKUP($X180&amp;$Z180,PLANNING_FC!$T$4:$AH$23,MATCH($W180,PLANNING_FC!$B$4:$B$23,0),FALSE),0),0)</f>
        <v>0</v>
      </c>
      <c r="AZ180" s="58">
        <f>IFERROR(IF($V180="BRAND.com",HLOOKUP($X180&amp;$Z180,PLANNING_FC!$DA$27:$DO$46,MATCH($W180,PLANNING_FC!$CZ$27:$CZ$46,0),FALSE),0),0)</f>
        <v>0</v>
      </c>
      <c r="BA180" s="58">
        <f>IFERROR(IF($V180="BRAND.com",HLOOKUP($X180&amp;$Z180,PLANNING_FC!$DA$4:$DO$23,MATCH($W180,PLANNING_FC!$CZ$4:$CZ$23,0),FALSE),0),0)</f>
        <v>0</v>
      </c>
      <c r="BB180" s="883" t="str">
        <f>IF(V180="BRAND.com",IFERROR(HLOOKUP(X180&amp;Z180,PLANNING_FC!$AK$4:$AY$23,MATCH(W180,PLANNING_FC!$AJ$4:$AJ$23,0),FALSE)*1000,""),"")</f>
        <v/>
      </c>
      <c r="BC180" s="883" t="str">
        <f>IF(V180="BRAND.com",IFERROR(HLOOKUP(X180&amp;Z180,PLANNING_FC!$AK$27:$AY$46,MATCH(W180,PLANNING_FC!$AJ$27:$AJ$46,0),FALSE)*1000,""),"")</f>
        <v/>
      </c>
    </row>
    <row r="181" spans="1:55" x14ac:dyDescent="0.25">
      <c r="A181" s="509"/>
      <c r="B181" s="510"/>
      <c r="C181" s="509"/>
      <c r="D181" s="509"/>
      <c r="E181" s="509"/>
      <c r="F181" s="509"/>
      <c r="G181" s="509"/>
      <c r="H181" s="509"/>
      <c r="I181" s="512"/>
      <c r="J181" s="513"/>
      <c r="K181" s="879"/>
      <c r="L181" s="515"/>
      <c r="M181" s="516"/>
      <c r="N181" s="56">
        <f t="shared" si="74"/>
        <v>0</v>
      </c>
      <c r="O181" s="57">
        <f t="shared" si="75"/>
        <v>0</v>
      </c>
      <c r="P181" s="57">
        <f ca="1">IFERROR(IF(ISBLANK(H181),SUMIFS($AC:$AC,$V:$V,V181,$W:$W,W181,$X:$X,X181,$Y:$Y,Y181)*J181/(1-J181)*VLOOKUP(_xlfn.CONCAT(C181,D181,E181,TIME!$M$12,Z181),HIS_SALES!$B$2:$W$4859,20,FALSE),AC181*J181/(1-J181)),0)</f>
        <v>0</v>
      </c>
      <c r="Q181" s="541" t="str">
        <f t="shared" si="85"/>
        <v/>
      </c>
      <c r="R181" s="346" t="str">
        <f t="shared" si="65"/>
        <v>00000</v>
      </c>
      <c r="S181" s="344">
        <f t="shared" si="76"/>
        <v>0</v>
      </c>
      <c r="T181" s="345" t="str">
        <f t="shared" si="71"/>
        <v>000</v>
      </c>
      <c r="U181" s="345">
        <f t="shared" si="77"/>
        <v>0</v>
      </c>
      <c r="V181" s="345">
        <f t="shared" si="78"/>
        <v>0</v>
      </c>
      <c r="W181" s="345">
        <f t="shared" si="79"/>
        <v>0</v>
      </c>
      <c r="X181" s="345">
        <f t="shared" si="80"/>
        <v>0</v>
      </c>
      <c r="Y181" s="345">
        <f t="shared" si="81"/>
        <v>0</v>
      </c>
      <c r="Z181" s="345">
        <f>IF(Q181&lt;&gt;"",VLOOKUP(Y181,TIME!$R$21:$V$24,MATCH(FC_DATA!Q181,TIME!$R$20:$V$20,0),FALSE),H181)</f>
        <v>0</v>
      </c>
      <c r="AA181" s="345" t="str">
        <f>IFERROR(VLOOKUP(X181&amp;Z181,TIME!$A$12:$D$71,4,FALSE),"")</f>
        <v/>
      </c>
      <c r="AB181" s="592">
        <f t="shared" ca="1" si="66"/>
        <v>0</v>
      </c>
      <c r="AC181" s="593" t="e">
        <f ca="1">IF(ISBLANK(H181)=FALSE,IF(D181="BRAND.com",I181,IF(ISNA(VLOOKUP(_xlfn.CONCAT(X181,Z181),TIME!$M$40:$M$42,1,FALSE)),I181,VLOOKUP(_xlfn.CONCAT(D181,G181,H181),M_BUSAREA_FC!$AF$5:$AJ$10,5,FALSE)*HLOOKUP(_xlfn.CONCAT(F181,H181),ST_OVERVIEW!$G$99:$I$130,MATCH(_xlfn.CONCAT(D181,E181),ST_OVERVIEW!$F$99:$F$130,0),FALSE))),IF(D181="BRAND.com",VLOOKUP(_xlfn.CONCAT(C181,D181,E181,TIME!$F$1,Z181),HIS_SALES!$B$2:$V$4859,19,FALSE)*I181,VLOOKUP(_xlfn.CONCAT(D181,F181,G181),Q_BUSAREA_FC!$AE$5:$AI$12,5,FALSE)*HLOOKUP(_xlfn.CONCAT(FC_DATA!F181,FC_DATA!G181),LT_OVERVIEW!$I$99:$M$130,MATCH(_xlfn.CONCAT(D181,FC_DATA!E181),LT_OVERVIEW!$H$99:$H$130,0),FALSE)*IFERROR(VLOOKUP(_xlfn.CONCAT(C181,D181,E181,TIME!$F$1,Z181),HIS_SALES!$B$2:$V$4859,19,FALSE),0)))</f>
        <v>#N/A</v>
      </c>
      <c r="AD181" s="341">
        <f t="shared" ca="1" si="82"/>
        <v>0</v>
      </c>
      <c r="AE181" s="363" t="str">
        <f t="shared" si="83"/>
        <v/>
      </c>
      <c r="AF181" s="342" t="str">
        <f t="shared" si="84"/>
        <v/>
      </c>
      <c r="AG181" s="411" t="e">
        <f ca="1">VLOOKUP(_xlfn.CONCAT(U181,V181,W181,VLOOKUP(X181&amp;Y181,TIME!$L$27:$O$34,4,FALSE),Y181),HIS_SALES!$A$2:$R$5093,18,FALSE)</f>
        <v>#N/A</v>
      </c>
      <c r="AH181" s="412" t="e">
        <f ca="1">IFERROR(IF(AND(V181=V180,W181=W180),0.5*(AB181+AB180)*AG181,(VLOOKUP(_xlfn.CONCAT(U181,V181,W181,X181,VLOOKUP(Z181,TIME!$S$28:$T$39,2,FALSE)),FC_DATA!$R$2:$AB$5000,MATCH("GS_I_M",FC_DATA!$R$1:$AB$1,0),FALSE)+FC_DATA!AB181)*0.5*FC_DATA!AG181),NA())</f>
        <v>#N/A</v>
      </c>
      <c r="AI181" s="491" t="e">
        <f ca="1">IF(V181="PARTNER.com",AH181,IF(AND(V181=V180,W181=W180),(1-AVERAGE(AD180,AD181))*AH181,(1-AVERAGE(AD181,VLOOKUP(_xlfn.CONCAT(U181,V181,W181,X181,M_BRAND_FC!$F$6),FC_DATA!$R$2:$AD$5000,MATCH("DISCOUNT_%_M",FC_DATA!$R$1:$AD$1,0),FALSE)))*AH181))</f>
        <v>#N/A</v>
      </c>
      <c r="AJ181" s="412" t="str">
        <f t="shared" ca="1" si="68"/>
        <v/>
      </c>
      <c r="AK181" s="413" t="str">
        <f>IFERROR(AE181/(Q_BRAND_FC!$T$24+1),"")</f>
        <v/>
      </c>
      <c r="AL181" s="88" t="str">
        <f t="shared" ca="1" si="69"/>
        <v/>
      </c>
      <c r="AM181" s="414" t="str">
        <f t="shared" ca="1" si="70"/>
        <v/>
      </c>
      <c r="AN181" s="58">
        <f>IFERROR(IF($V181="BRAND.com",HLOOKUP($X181&amp;$Z181,NWC_FC_NOOS!$C$4:$Q$23,MATCH(W181,NWC_FC_NOOS!$B$4:$B$23,0),FALSE),0),0)</f>
        <v>0</v>
      </c>
      <c r="AO181" s="57">
        <f>IFERROR(IF($V181="BRAND.com",HLOOKUP($X181&amp;$Z181,NWC_FC_NOOS!$T$4:$AH$23,MATCH(W181,NWC_FC_NOOS!$S$4:$S$23,0),FALSE),0),0)</f>
        <v>0</v>
      </c>
      <c r="AP181" s="57">
        <f>IFERROR(IF($V181="BRAND.com",HLOOKUP($X181&amp;$Z181,NWC_FC_NOOS!$C$50:$U$69,MATCH(W181,NWC_FC_NOOS!$B$50:$B$69,0),FALSE),0),0)</f>
        <v>0</v>
      </c>
      <c r="AQ181" s="58">
        <f>IFERROR(IF($V181="BRAND.com",HLOOKUP($X181&amp;$Z181,'NWC_FC_NON-NOOS'!$C$4:$Q$23,MATCH(W181,'NWC_FC_NON-NOOS'!$B$4:$B$23,0),FALSE),0),0)</f>
        <v>0</v>
      </c>
      <c r="AR181" s="57">
        <f>IFERROR(IF($V181="BRAND.com",HLOOKUP($X181&amp;$Z181,'NWC_FC_NON-NOOS'!$T$4:$AH$23,MATCH(W181,'NWC_FC_NON-NOOS'!$S$4:$S$23,0),FALSE),0),0)</f>
        <v>0</v>
      </c>
      <c r="AS181" s="57">
        <f>IFERROR(IF($V181="BRAND.com",HLOOKUP($X181&amp;$Z181,'NWC_FC_NON-NOOS'!$C$50:$U$69,MATCH(W181,'NWC_FC_NON-NOOS'!$B$50:$B$69,0),FALSE),0),0)</f>
        <v>0</v>
      </c>
      <c r="AT181" s="57">
        <f t="shared" si="72"/>
        <v>0</v>
      </c>
      <c r="AU181" s="57">
        <f t="shared" si="73"/>
        <v>0</v>
      </c>
      <c r="AV181" s="58">
        <f>IFERROR(IF($V181="BRAND.com",HLOOKUP($X181&amp;$Z181,PLANNING_FC!$BB$27:$BP$46,MATCH($W181,PLANNING_FC!$BA$27:$BA$46,0),FALSE),0),0)</f>
        <v>0</v>
      </c>
      <c r="AW181" s="58">
        <f>IFERROR(IF($V181="BRAND.com",HLOOKUP($X181&amp;$Z181,PLANNING_FC!$BB$4:$BP$23,MATCH($W181,PLANNING_FC!$BA$4:$BA$23,0),FALSE),0),0)</f>
        <v>0</v>
      </c>
      <c r="AX181" s="58">
        <f>IFERROR(IF($V181="BRAND.com",HLOOKUP($X181&amp;$Z181,PLANNING_FC!$T$27:$AH$46,MATCH($W181,PLANNING_FC!$B$27:$B$46,0),FALSE),0),0)</f>
        <v>0</v>
      </c>
      <c r="AY181" s="58">
        <f>IFERROR(IF($V181="BRAND.com",HLOOKUP($X181&amp;$Z181,PLANNING_FC!$T$4:$AH$23,MATCH($W181,PLANNING_FC!$B$4:$B$23,0),FALSE),0),0)</f>
        <v>0</v>
      </c>
      <c r="AZ181" s="58">
        <f>IFERROR(IF($V181="BRAND.com",HLOOKUP($X181&amp;$Z181,PLANNING_FC!$DA$27:$DO$46,MATCH($W181,PLANNING_FC!$CZ$27:$CZ$46,0),FALSE),0),0)</f>
        <v>0</v>
      </c>
      <c r="BA181" s="58">
        <f>IFERROR(IF($V181="BRAND.com",HLOOKUP($X181&amp;$Z181,PLANNING_FC!$DA$4:$DO$23,MATCH($W181,PLANNING_FC!$CZ$4:$CZ$23,0),FALSE),0),0)</f>
        <v>0</v>
      </c>
      <c r="BB181" s="883" t="str">
        <f>IF(V181="BRAND.com",IFERROR(HLOOKUP(X181&amp;Z181,PLANNING_FC!$AK$4:$AY$23,MATCH(W181,PLANNING_FC!$AJ$4:$AJ$23,0),FALSE)*1000,""),"")</f>
        <v/>
      </c>
      <c r="BC181" s="883" t="str">
        <f>IF(V181="BRAND.com",IFERROR(HLOOKUP(X181&amp;Z181,PLANNING_FC!$AK$27:$AY$46,MATCH(W181,PLANNING_FC!$AJ$27:$AJ$46,0),FALSE)*1000,""),"")</f>
        <v/>
      </c>
    </row>
    <row r="182" spans="1:55" x14ac:dyDescent="0.25">
      <c r="A182" s="509"/>
      <c r="B182" s="510"/>
      <c r="C182" s="509"/>
      <c r="D182" s="509"/>
      <c r="E182" s="509"/>
      <c r="F182" s="509"/>
      <c r="G182" s="509"/>
      <c r="H182" s="509"/>
      <c r="I182" s="512"/>
      <c r="J182" s="513"/>
      <c r="K182" s="879"/>
      <c r="L182" s="515"/>
      <c r="M182" s="516"/>
      <c r="N182" s="56">
        <f t="shared" si="74"/>
        <v>0</v>
      </c>
      <c r="O182" s="57">
        <f t="shared" si="75"/>
        <v>0</v>
      </c>
      <c r="P182" s="57">
        <f ca="1">IFERROR(IF(ISBLANK(H182),SUMIFS($AC:$AC,$V:$V,V182,$W:$W,W182,$X:$X,X182,$Y:$Y,Y182)*J182/(1-J182)*VLOOKUP(_xlfn.CONCAT(C182,D182,E182,TIME!$M$12,Z182),HIS_SALES!$B$2:$W$4859,20,FALSE),AC182*J182/(1-J182)),0)</f>
        <v>0</v>
      </c>
      <c r="Q182" s="541" t="str">
        <f t="shared" si="85"/>
        <v/>
      </c>
      <c r="R182" s="346" t="str">
        <f t="shared" si="65"/>
        <v>00000</v>
      </c>
      <c r="S182" s="344">
        <f t="shared" si="76"/>
        <v>0</v>
      </c>
      <c r="T182" s="345" t="str">
        <f t="shared" si="71"/>
        <v>000</v>
      </c>
      <c r="U182" s="345">
        <f t="shared" si="77"/>
        <v>0</v>
      </c>
      <c r="V182" s="345">
        <f t="shared" si="78"/>
        <v>0</v>
      </c>
      <c r="W182" s="345">
        <f t="shared" si="79"/>
        <v>0</v>
      </c>
      <c r="X182" s="345">
        <f t="shared" si="80"/>
        <v>0</v>
      </c>
      <c r="Y182" s="345">
        <f t="shared" si="81"/>
        <v>0</v>
      </c>
      <c r="Z182" s="345">
        <f>IF(Q182&lt;&gt;"",VLOOKUP(Y182,TIME!$R$21:$V$24,MATCH(FC_DATA!Q182,TIME!$R$20:$V$20,0),FALSE),H182)</f>
        <v>0</v>
      </c>
      <c r="AA182" s="345" t="str">
        <f>IFERROR(VLOOKUP(X182&amp;Z182,TIME!$A$12:$D$71,4,FALSE),"")</f>
        <v/>
      </c>
      <c r="AB182" s="592">
        <f t="shared" ca="1" si="66"/>
        <v>0</v>
      </c>
      <c r="AC182" s="593" t="e">
        <f ca="1">IF(ISBLANK(H182)=FALSE,IF(D182="BRAND.com",I182,IF(ISNA(VLOOKUP(_xlfn.CONCAT(X182,Z182),TIME!$M$40:$M$42,1,FALSE)),I182,VLOOKUP(_xlfn.CONCAT(D182,G182,H182),M_BUSAREA_FC!$AF$5:$AJ$10,5,FALSE)*HLOOKUP(_xlfn.CONCAT(F182,H182),ST_OVERVIEW!$G$99:$I$130,MATCH(_xlfn.CONCAT(D182,E182),ST_OVERVIEW!$F$99:$F$130,0),FALSE))),IF(D182="BRAND.com",VLOOKUP(_xlfn.CONCAT(C182,D182,E182,TIME!$F$1,Z182),HIS_SALES!$B$2:$V$4859,19,FALSE)*I182,VLOOKUP(_xlfn.CONCAT(D182,F182,G182),Q_BUSAREA_FC!$AE$5:$AI$12,5,FALSE)*HLOOKUP(_xlfn.CONCAT(FC_DATA!F182,FC_DATA!G182),LT_OVERVIEW!$I$99:$M$130,MATCH(_xlfn.CONCAT(D182,FC_DATA!E182),LT_OVERVIEW!$H$99:$H$130,0),FALSE)*IFERROR(VLOOKUP(_xlfn.CONCAT(C182,D182,E182,TIME!$F$1,Z182),HIS_SALES!$B$2:$V$4859,19,FALSE),0)))</f>
        <v>#N/A</v>
      </c>
      <c r="AD182" s="341">
        <f t="shared" ca="1" si="82"/>
        <v>0</v>
      </c>
      <c r="AE182" s="363" t="str">
        <f t="shared" si="83"/>
        <v/>
      </c>
      <c r="AF182" s="342" t="str">
        <f t="shared" si="84"/>
        <v/>
      </c>
      <c r="AG182" s="411" t="e">
        <f ca="1">VLOOKUP(_xlfn.CONCAT(U182,V182,W182,VLOOKUP(X182&amp;Y182,TIME!$L$27:$O$34,4,FALSE),Y182),HIS_SALES!$A$2:$R$5093,18,FALSE)</f>
        <v>#N/A</v>
      </c>
      <c r="AH182" s="412" t="e">
        <f ca="1">IFERROR(IF(AND(V182=V181,W182=W181),0.5*(AB182+AB181)*AG182,(VLOOKUP(_xlfn.CONCAT(U182,V182,W182,X182,VLOOKUP(Z182,TIME!$S$28:$T$39,2,FALSE)),FC_DATA!$R$2:$AB$5000,MATCH("GS_I_M",FC_DATA!$R$1:$AB$1,0),FALSE)+FC_DATA!AB182)*0.5*FC_DATA!AG182),NA())</f>
        <v>#N/A</v>
      </c>
      <c r="AI182" s="491" t="e">
        <f ca="1">IF(V182="PARTNER.com",AH182,IF(AND(V182=V181,W182=W181),(1-AVERAGE(AD181,AD182))*AH182,(1-AVERAGE(AD182,VLOOKUP(_xlfn.CONCAT(U182,V182,W182,X182,M_BRAND_FC!$F$6),FC_DATA!$R$2:$AD$5000,MATCH("DISCOUNT_%_M",FC_DATA!$R$1:$AD$1,0),FALSE)))*AH182))</f>
        <v>#N/A</v>
      </c>
      <c r="AJ182" s="412" t="str">
        <f t="shared" ca="1" si="68"/>
        <v/>
      </c>
      <c r="AK182" s="413" t="str">
        <f>IFERROR(AE182/(Q_BRAND_FC!$T$24+1),"")</f>
        <v/>
      </c>
      <c r="AL182" s="88" t="str">
        <f t="shared" ca="1" si="69"/>
        <v/>
      </c>
      <c r="AM182" s="414" t="str">
        <f t="shared" ca="1" si="70"/>
        <v/>
      </c>
      <c r="AN182" s="58">
        <f>IFERROR(IF($V182="BRAND.com",HLOOKUP($X182&amp;$Z182,NWC_FC_NOOS!$C$4:$Q$23,MATCH(W182,NWC_FC_NOOS!$B$4:$B$23,0),FALSE),0),0)</f>
        <v>0</v>
      </c>
      <c r="AO182" s="57">
        <f>IFERROR(IF($V182="BRAND.com",HLOOKUP($X182&amp;$Z182,NWC_FC_NOOS!$T$4:$AH$23,MATCH(W182,NWC_FC_NOOS!$S$4:$S$23,0),FALSE),0),0)</f>
        <v>0</v>
      </c>
      <c r="AP182" s="57">
        <f>IFERROR(IF($V182="BRAND.com",HLOOKUP($X182&amp;$Z182,NWC_FC_NOOS!$C$50:$U$69,MATCH(W182,NWC_FC_NOOS!$B$50:$B$69,0),FALSE),0),0)</f>
        <v>0</v>
      </c>
      <c r="AQ182" s="58">
        <f>IFERROR(IF($V182="BRAND.com",HLOOKUP($X182&amp;$Z182,'NWC_FC_NON-NOOS'!$C$4:$Q$23,MATCH(W182,'NWC_FC_NON-NOOS'!$B$4:$B$23,0),FALSE),0),0)</f>
        <v>0</v>
      </c>
      <c r="AR182" s="57">
        <f>IFERROR(IF($V182="BRAND.com",HLOOKUP($X182&amp;$Z182,'NWC_FC_NON-NOOS'!$T$4:$AH$23,MATCH(W182,'NWC_FC_NON-NOOS'!$S$4:$S$23,0),FALSE),0),0)</f>
        <v>0</v>
      </c>
      <c r="AS182" s="57">
        <f>IFERROR(IF($V182="BRAND.com",HLOOKUP($X182&amp;$Z182,'NWC_FC_NON-NOOS'!$C$50:$U$69,MATCH(W182,'NWC_FC_NON-NOOS'!$B$50:$B$69,0),FALSE),0),0)</f>
        <v>0</v>
      </c>
      <c r="AT182" s="57">
        <f t="shared" si="72"/>
        <v>0</v>
      </c>
      <c r="AU182" s="57">
        <f t="shared" si="73"/>
        <v>0</v>
      </c>
      <c r="AV182" s="58">
        <f>IFERROR(IF($V182="BRAND.com",HLOOKUP($X182&amp;$Z182,PLANNING_FC!$BB$27:$BP$46,MATCH($W182,PLANNING_FC!$BA$27:$BA$46,0),FALSE),0),0)</f>
        <v>0</v>
      </c>
      <c r="AW182" s="58">
        <f>IFERROR(IF($V182="BRAND.com",HLOOKUP($X182&amp;$Z182,PLANNING_FC!$BB$4:$BP$23,MATCH($W182,PLANNING_FC!$BA$4:$BA$23,0),FALSE),0),0)</f>
        <v>0</v>
      </c>
      <c r="AX182" s="58">
        <f>IFERROR(IF($V182="BRAND.com",HLOOKUP($X182&amp;$Z182,PLANNING_FC!$T$27:$AH$46,MATCH($W182,PLANNING_FC!$B$27:$B$46,0),FALSE),0),0)</f>
        <v>0</v>
      </c>
      <c r="AY182" s="58">
        <f>IFERROR(IF($V182="BRAND.com",HLOOKUP($X182&amp;$Z182,PLANNING_FC!$T$4:$AH$23,MATCH($W182,PLANNING_FC!$B$4:$B$23,0),FALSE),0),0)</f>
        <v>0</v>
      </c>
      <c r="AZ182" s="58">
        <f>IFERROR(IF($V182="BRAND.com",HLOOKUP($X182&amp;$Z182,PLANNING_FC!$DA$27:$DO$46,MATCH($W182,PLANNING_FC!$CZ$27:$CZ$46,0),FALSE),0),0)</f>
        <v>0</v>
      </c>
      <c r="BA182" s="58">
        <f>IFERROR(IF($V182="BRAND.com",HLOOKUP($X182&amp;$Z182,PLANNING_FC!$DA$4:$DO$23,MATCH($W182,PLANNING_FC!$CZ$4:$CZ$23,0),FALSE),0),0)</f>
        <v>0</v>
      </c>
      <c r="BB182" s="883" t="str">
        <f>IF(V182="BRAND.com",IFERROR(HLOOKUP(X182&amp;Z182,PLANNING_FC!$AK$4:$AY$23,MATCH(W182,PLANNING_FC!$AJ$4:$AJ$23,0),FALSE)*1000,""),"")</f>
        <v/>
      </c>
      <c r="BC182" s="883" t="str">
        <f>IF(V182="BRAND.com",IFERROR(HLOOKUP(X182&amp;Z182,PLANNING_FC!$AK$27:$AY$46,MATCH(W182,PLANNING_FC!$AJ$27:$AJ$46,0),FALSE)*1000,""),"")</f>
        <v/>
      </c>
    </row>
    <row r="183" spans="1:55" x14ac:dyDescent="0.25">
      <c r="A183" s="509"/>
      <c r="B183" s="510"/>
      <c r="C183" s="509"/>
      <c r="D183" s="509"/>
      <c r="E183" s="509"/>
      <c r="F183" s="509"/>
      <c r="G183" s="509"/>
      <c r="H183" s="509"/>
      <c r="I183" s="512"/>
      <c r="J183" s="513"/>
      <c r="K183" s="879"/>
      <c r="L183" s="515"/>
      <c r="M183" s="516"/>
      <c r="N183" s="56">
        <f t="shared" si="74"/>
        <v>0</v>
      </c>
      <c r="O183" s="57">
        <f t="shared" si="75"/>
        <v>0</v>
      </c>
      <c r="P183" s="57">
        <f ca="1">IFERROR(IF(ISBLANK(H183),SUMIFS($AC:$AC,$V:$V,V183,$W:$W,W183,$X:$X,X183,$Y:$Y,Y183)*J183/(1-J183)*VLOOKUP(_xlfn.CONCAT(C183,D183,E183,TIME!$M$12,Z183),HIS_SALES!$B$2:$W$4859,20,FALSE),AC183*J183/(1-J183)),0)</f>
        <v>0</v>
      </c>
      <c r="Q183" s="541" t="str">
        <f t="shared" si="85"/>
        <v/>
      </c>
      <c r="R183" s="346" t="str">
        <f t="shared" si="65"/>
        <v>00000</v>
      </c>
      <c r="S183" s="344">
        <f t="shared" si="76"/>
        <v>0</v>
      </c>
      <c r="T183" s="345" t="str">
        <f t="shared" si="71"/>
        <v>000</v>
      </c>
      <c r="U183" s="345">
        <f t="shared" si="77"/>
        <v>0</v>
      </c>
      <c r="V183" s="345">
        <f t="shared" si="78"/>
        <v>0</v>
      </c>
      <c r="W183" s="345">
        <f t="shared" si="79"/>
        <v>0</v>
      </c>
      <c r="X183" s="345">
        <f t="shared" si="80"/>
        <v>0</v>
      </c>
      <c r="Y183" s="345">
        <f t="shared" si="81"/>
        <v>0</v>
      </c>
      <c r="Z183" s="345">
        <f>IF(Q183&lt;&gt;"",VLOOKUP(Y183,TIME!$R$21:$V$24,MATCH(FC_DATA!Q183,TIME!$R$20:$V$20,0),FALSE),H183)</f>
        <v>0</v>
      </c>
      <c r="AA183" s="345" t="str">
        <f>IFERROR(VLOOKUP(X183&amp;Z183,TIME!$A$12:$D$71,4,FALSE),"")</f>
        <v/>
      </c>
      <c r="AB183" s="592">
        <f t="shared" ca="1" si="66"/>
        <v>0</v>
      </c>
      <c r="AC183" s="593" t="e">
        <f ca="1">IF(ISBLANK(H183)=FALSE,IF(D183="BRAND.com",I183,IF(ISNA(VLOOKUP(_xlfn.CONCAT(X183,Z183),TIME!$M$40:$M$42,1,FALSE)),I183,VLOOKUP(_xlfn.CONCAT(D183,G183,H183),M_BUSAREA_FC!$AF$5:$AJ$10,5,FALSE)*HLOOKUP(_xlfn.CONCAT(F183,H183),ST_OVERVIEW!$G$99:$I$130,MATCH(_xlfn.CONCAT(D183,E183),ST_OVERVIEW!$F$99:$F$130,0),FALSE))),IF(D183="BRAND.com",VLOOKUP(_xlfn.CONCAT(C183,D183,E183,TIME!$F$1,Z183),HIS_SALES!$B$2:$V$4859,19,FALSE)*I183,VLOOKUP(_xlfn.CONCAT(D183,F183,G183),Q_BUSAREA_FC!$AE$5:$AI$12,5,FALSE)*HLOOKUP(_xlfn.CONCAT(FC_DATA!F183,FC_DATA!G183),LT_OVERVIEW!$I$99:$M$130,MATCH(_xlfn.CONCAT(D183,FC_DATA!E183),LT_OVERVIEW!$H$99:$H$130,0),FALSE)*IFERROR(VLOOKUP(_xlfn.CONCAT(C183,D183,E183,TIME!$F$1,Z183),HIS_SALES!$B$2:$V$4859,19,FALSE),0)))</f>
        <v>#N/A</v>
      </c>
      <c r="AD183" s="341">
        <f t="shared" ca="1" si="82"/>
        <v>0</v>
      </c>
      <c r="AE183" s="363" t="str">
        <f t="shared" si="83"/>
        <v/>
      </c>
      <c r="AF183" s="342" t="str">
        <f t="shared" si="84"/>
        <v/>
      </c>
      <c r="AG183" s="411" t="e">
        <f ca="1">VLOOKUP(_xlfn.CONCAT(U183,V183,W183,VLOOKUP(X183&amp;Y183,TIME!$L$27:$O$34,4,FALSE),Y183),HIS_SALES!$A$2:$R$5093,18,FALSE)</f>
        <v>#N/A</v>
      </c>
      <c r="AH183" s="412" t="e">
        <f ca="1">IFERROR(IF(AND(V183=V182,W183=W182),0.5*(AB183+AB182)*AG183,(VLOOKUP(_xlfn.CONCAT(U183,V183,W183,X183,VLOOKUP(Z183,TIME!$S$28:$T$39,2,FALSE)),FC_DATA!$R$2:$AB$5000,MATCH("GS_I_M",FC_DATA!$R$1:$AB$1,0),FALSE)+FC_DATA!AB183)*0.5*FC_DATA!AG183),NA())</f>
        <v>#N/A</v>
      </c>
      <c r="AI183" s="491" t="e">
        <f ca="1">IF(V183="PARTNER.com",AH183,IF(AND(V183=V182,W183=W182),(1-AVERAGE(AD182,AD183))*AH183,(1-AVERAGE(AD183,VLOOKUP(_xlfn.CONCAT(U183,V183,W183,X183,M_BRAND_FC!$F$6),FC_DATA!$R$2:$AD$5000,MATCH("DISCOUNT_%_M",FC_DATA!$R$1:$AD$1,0),FALSE)))*AH183))</f>
        <v>#N/A</v>
      </c>
      <c r="AJ183" s="412" t="str">
        <f t="shared" ca="1" si="68"/>
        <v/>
      </c>
      <c r="AK183" s="413" t="str">
        <f>IFERROR(AE183/(Q_BRAND_FC!$T$24+1),"")</f>
        <v/>
      </c>
      <c r="AL183" s="88" t="str">
        <f t="shared" ca="1" si="69"/>
        <v/>
      </c>
      <c r="AM183" s="414" t="str">
        <f t="shared" ca="1" si="70"/>
        <v/>
      </c>
      <c r="AN183" s="58">
        <f>IFERROR(IF($V183="BRAND.com",HLOOKUP($X183&amp;$Z183,NWC_FC_NOOS!$C$4:$Q$23,MATCH(W183,NWC_FC_NOOS!$B$4:$B$23,0),FALSE),0),0)</f>
        <v>0</v>
      </c>
      <c r="AO183" s="57">
        <f>IFERROR(IF($V183="BRAND.com",HLOOKUP($X183&amp;$Z183,NWC_FC_NOOS!$T$4:$AH$23,MATCH(W183,NWC_FC_NOOS!$S$4:$S$23,0),FALSE),0),0)</f>
        <v>0</v>
      </c>
      <c r="AP183" s="57">
        <f>IFERROR(IF($V183="BRAND.com",HLOOKUP($X183&amp;$Z183,NWC_FC_NOOS!$C$50:$U$69,MATCH(W183,NWC_FC_NOOS!$B$50:$B$69,0),FALSE),0),0)</f>
        <v>0</v>
      </c>
      <c r="AQ183" s="58">
        <f>IFERROR(IF($V183="BRAND.com",HLOOKUP($X183&amp;$Z183,'NWC_FC_NON-NOOS'!$C$4:$Q$23,MATCH(W183,'NWC_FC_NON-NOOS'!$B$4:$B$23,0),FALSE),0),0)</f>
        <v>0</v>
      </c>
      <c r="AR183" s="57">
        <f>IFERROR(IF($V183="BRAND.com",HLOOKUP($X183&amp;$Z183,'NWC_FC_NON-NOOS'!$T$4:$AH$23,MATCH(W183,'NWC_FC_NON-NOOS'!$S$4:$S$23,0),FALSE),0),0)</f>
        <v>0</v>
      </c>
      <c r="AS183" s="57">
        <f>IFERROR(IF($V183="BRAND.com",HLOOKUP($X183&amp;$Z183,'NWC_FC_NON-NOOS'!$C$50:$U$69,MATCH(W183,'NWC_FC_NON-NOOS'!$B$50:$B$69,0),FALSE),0),0)</f>
        <v>0</v>
      </c>
      <c r="AT183" s="57">
        <f t="shared" si="72"/>
        <v>0</v>
      </c>
      <c r="AU183" s="57">
        <f t="shared" si="73"/>
        <v>0</v>
      </c>
      <c r="AV183" s="58">
        <f>IFERROR(IF($V183="BRAND.com",HLOOKUP($X183&amp;$Z183,PLANNING_FC!$BB$27:$BP$46,MATCH($W183,PLANNING_FC!$BA$27:$BA$46,0),FALSE),0),0)</f>
        <v>0</v>
      </c>
      <c r="AW183" s="58">
        <f>IFERROR(IF($V183="BRAND.com",HLOOKUP($X183&amp;$Z183,PLANNING_FC!$BB$4:$BP$23,MATCH($W183,PLANNING_FC!$BA$4:$BA$23,0),FALSE),0),0)</f>
        <v>0</v>
      </c>
      <c r="AX183" s="58">
        <f>IFERROR(IF($V183="BRAND.com",HLOOKUP($X183&amp;$Z183,PLANNING_FC!$T$27:$AH$46,MATCH($W183,PLANNING_FC!$B$27:$B$46,0),FALSE),0),0)</f>
        <v>0</v>
      </c>
      <c r="AY183" s="58">
        <f>IFERROR(IF($V183="BRAND.com",HLOOKUP($X183&amp;$Z183,PLANNING_FC!$T$4:$AH$23,MATCH($W183,PLANNING_FC!$B$4:$B$23,0),FALSE),0),0)</f>
        <v>0</v>
      </c>
      <c r="AZ183" s="58">
        <f>IFERROR(IF($V183="BRAND.com",HLOOKUP($X183&amp;$Z183,PLANNING_FC!$DA$27:$DO$46,MATCH($W183,PLANNING_FC!$CZ$27:$CZ$46,0),FALSE),0),0)</f>
        <v>0</v>
      </c>
      <c r="BA183" s="58">
        <f>IFERROR(IF($V183="BRAND.com",HLOOKUP($X183&amp;$Z183,PLANNING_FC!$DA$4:$DO$23,MATCH($W183,PLANNING_FC!$CZ$4:$CZ$23,0),FALSE),0),0)</f>
        <v>0</v>
      </c>
      <c r="BB183" s="883" t="str">
        <f>IF(V183="BRAND.com",IFERROR(HLOOKUP(X183&amp;Z183,PLANNING_FC!$AK$4:$AY$23,MATCH(W183,PLANNING_FC!$AJ$4:$AJ$23,0),FALSE)*1000,""),"")</f>
        <v/>
      </c>
      <c r="BC183" s="883" t="str">
        <f>IF(V183="BRAND.com",IFERROR(HLOOKUP(X183&amp;Z183,PLANNING_FC!$AK$27:$AY$46,MATCH(W183,PLANNING_FC!$AJ$27:$AJ$46,0),FALSE)*1000,""),"")</f>
        <v/>
      </c>
    </row>
    <row r="184" spans="1:55" x14ac:dyDescent="0.25">
      <c r="A184" s="509"/>
      <c r="B184" s="510"/>
      <c r="C184" s="509"/>
      <c r="D184" s="509"/>
      <c r="E184" s="509"/>
      <c r="F184" s="509"/>
      <c r="G184" s="509"/>
      <c r="H184" s="509"/>
      <c r="I184" s="512"/>
      <c r="J184" s="513"/>
      <c r="K184" s="879"/>
      <c r="L184" s="515"/>
      <c r="M184" s="516"/>
      <c r="N184" s="56">
        <f t="shared" si="74"/>
        <v>0</v>
      </c>
      <c r="O184" s="57">
        <f t="shared" si="75"/>
        <v>0</v>
      </c>
      <c r="P184" s="57">
        <f ca="1">IFERROR(IF(ISBLANK(H184),SUMIFS($AC:$AC,$V:$V,V184,$W:$W,W184,$X:$X,X184,$Y:$Y,Y184)*J184/(1-J184)*VLOOKUP(_xlfn.CONCAT(C184,D184,E184,TIME!$M$12,Z184),HIS_SALES!$B$2:$W$4859,20,FALSE),AC184*J184/(1-J184)),0)</f>
        <v>0</v>
      </c>
      <c r="Q184" s="541" t="str">
        <f t="shared" si="85"/>
        <v/>
      </c>
      <c r="R184" s="346" t="str">
        <f t="shared" si="65"/>
        <v>00000</v>
      </c>
      <c r="S184" s="344">
        <f t="shared" si="76"/>
        <v>0</v>
      </c>
      <c r="T184" s="345" t="str">
        <f t="shared" si="71"/>
        <v>000</v>
      </c>
      <c r="U184" s="345">
        <f t="shared" si="77"/>
        <v>0</v>
      </c>
      <c r="V184" s="345">
        <f t="shared" si="78"/>
        <v>0</v>
      </c>
      <c r="W184" s="345">
        <f t="shared" si="79"/>
        <v>0</v>
      </c>
      <c r="X184" s="345">
        <f t="shared" si="80"/>
        <v>0</v>
      </c>
      <c r="Y184" s="345">
        <f t="shared" si="81"/>
        <v>0</v>
      </c>
      <c r="Z184" s="345">
        <f>IF(Q184&lt;&gt;"",VLOOKUP(Y184,TIME!$R$21:$V$24,MATCH(FC_DATA!Q184,TIME!$R$20:$V$20,0),FALSE),H184)</f>
        <v>0</v>
      </c>
      <c r="AA184" s="345" t="str">
        <f>IFERROR(VLOOKUP(X184&amp;Z184,TIME!$A$12:$D$71,4,FALSE),"")</f>
        <v/>
      </c>
      <c r="AB184" s="592">
        <f t="shared" ca="1" si="66"/>
        <v>0</v>
      </c>
      <c r="AC184" s="593" t="e">
        <f ca="1">IF(ISBLANK(H184)=FALSE,IF(D184="BRAND.com",I184,IF(ISNA(VLOOKUP(_xlfn.CONCAT(X184,Z184),TIME!$M$40:$M$42,1,FALSE)),I184,VLOOKUP(_xlfn.CONCAT(D184,G184,H184),M_BUSAREA_FC!$AF$5:$AJ$10,5,FALSE)*HLOOKUP(_xlfn.CONCAT(F184,H184),ST_OVERVIEW!$G$99:$I$130,MATCH(_xlfn.CONCAT(D184,E184),ST_OVERVIEW!$F$99:$F$130,0),FALSE))),IF(D184="BRAND.com",VLOOKUP(_xlfn.CONCAT(C184,D184,E184,TIME!$F$1,Z184),HIS_SALES!$B$2:$V$4859,19,FALSE)*I184,VLOOKUP(_xlfn.CONCAT(D184,F184,G184),Q_BUSAREA_FC!$AE$5:$AI$12,5,FALSE)*HLOOKUP(_xlfn.CONCAT(FC_DATA!F184,FC_DATA!G184),LT_OVERVIEW!$I$99:$M$130,MATCH(_xlfn.CONCAT(D184,FC_DATA!E184),LT_OVERVIEW!$H$99:$H$130,0),FALSE)*IFERROR(VLOOKUP(_xlfn.CONCAT(C184,D184,E184,TIME!$F$1,Z184),HIS_SALES!$B$2:$V$4859,19,FALSE),0)))</f>
        <v>#N/A</v>
      </c>
      <c r="AD184" s="341">
        <f t="shared" ca="1" si="82"/>
        <v>0</v>
      </c>
      <c r="AE184" s="363" t="str">
        <f t="shared" si="83"/>
        <v/>
      </c>
      <c r="AF184" s="342" t="str">
        <f t="shared" si="84"/>
        <v/>
      </c>
      <c r="AG184" s="411" t="e">
        <f ca="1">VLOOKUP(_xlfn.CONCAT(U184,V184,W184,VLOOKUP(X184&amp;Y184,TIME!$L$27:$O$34,4,FALSE),Y184),HIS_SALES!$A$2:$R$5093,18,FALSE)</f>
        <v>#N/A</v>
      </c>
      <c r="AH184" s="412" t="e">
        <f ca="1">IFERROR(IF(AND(V184=V183,W184=W183),0.5*(AB184+AB183)*AG184,(VLOOKUP(_xlfn.CONCAT(U184,V184,W184,X184,VLOOKUP(Z184,TIME!$S$28:$T$39,2,FALSE)),FC_DATA!$R$2:$AB$5000,MATCH("GS_I_M",FC_DATA!$R$1:$AB$1,0),FALSE)+FC_DATA!AB184)*0.5*FC_DATA!AG184),NA())</f>
        <v>#N/A</v>
      </c>
      <c r="AI184" s="491" t="e">
        <f ca="1">IF(V184="PARTNER.com",AH184,IF(AND(V184=V183,W184=W183),(1-AVERAGE(AD183,AD184))*AH184,(1-AVERAGE(AD184,VLOOKUP(_xlfn.CONCAT(U184,V184,W184,X184,M_BRAND_FC!$F$6),FC_DATA!$R$2:$AD$5000,MATCH("DISCOUNT_%_M",FC_DATA!$R$1:$AD$1,0),FALSE)))*AH184))</f>
        <v>#N/A</v>
      </c>
      <c r="AJ184" s="412" t="str">
        <f t="shared" ca="1" si="68"/>
        <v/>
      </c>
      <c r="AK184" s="413" t="str">
        <f>IFERROR(AE184/(Q_BRAND_FC!$T$24+1),"")</f>
        <v/>
      </c>
      <c r="AL184" s="88" t="str">
        <f t="shared" ca="1" si="69"/>
        <v/>
      </c>
      <c r="AM184" s="414" t="str">
        <f t="shared" ca="1" si="70"/>
        <v/>
      </c>
      <c r="AN184" s="58">
        <f>IFERROR(IF($V184="BRAND.com",HLOOKUP($X184&amp;$Z184,NWC_FC_NOOS!$C$4:$Q$23,MATCH(W184,NWC_FC_NOOS!$B$4:$B$23,0),FALSE),0),0)</f>
        <v>0</v>
      </c>
      <c r="AO184" s="57">
        <f>IFERROR(IF($V184="BRAND.com",HLOOKUP($X184&amp;$Z184,NWC_FC_NOOS!$T$4:$AH$23,MATCH(W184,NWC_FC_NOOS!$S$4:$S$23,0),FALSE),0),0)</f>
        <v>0</v>
      </c>
      <c r="AP184" s="57">
        <f>IFERROR(IF($V184="BRAND.com",HLOOKUP($X184&amp;$Z184,NWC_FC_NOOS!$C$50:$U$69,MATCH(W184,NWC_FC_NOOS!$B$50:$B$69,0),FALSE),0),0)</f>
        <v>0</v>
      </c>
      <c r="AQ184" s="58">
        <f>IFERROR(IF($V184="BRAND.com",HLOOKUP($X184&amp;$Z184,'NWC_FC_NON-NOOS'!$C$4:$Q$23,MATCH(W184,'NWC_FC_NON-NOOS'!$B$4:$B$23,0),FALSE),0),0)</f>
        <v>0</v>
      </c>
      <c r="AR184" s="57">
        <f>IFERROR(IF($V184="BRAND.com",HLOOKUP($X184&amp;$Z184,'NWC_FC_NON-NOOS'!$T$4:$AH$23,MATCH(W184,'NWC_FC_NON-NOOS'!$S$4:$S$23,0),FALSE),0),0)</f>
        <v>0</v>
      </c>
      <c r="AS184" s="57">
        <f>IFERROR(IF($V184="BRAND.com",HLOOKUP($X184&amp;$Z184,'NWC_FC_NON-NOOS'!$C$50:$U$69,MATCH(W184,'NWC_FC_NON-NOOS'!$B$50:$B$69,0),FALSE),0),0)</f>
        <v>0</v>
      </c>
      <c r="AT184" s="57">
        <f t="shared" si="72"/>
        <v>0</v>
      </c>
      <c r="AU184" s="57">
        <f t="shared" si="73"/>
        <v>0</v>
      </c>
      <c r="AV184" s="58">
        <f>IFERROR(IF($V184="BRAND.com",HLOOKUP($X184&amp;$Z184,PLANNING_FC!$BB$27:$BP$46,MATCH($W184,PLANNING_FC!$BA$27:$BA$46,0),FALSE),0),0)</f>
        <v>0</v>
      </c>
      <c r="AW184" s="58">
        <f>IFERROR(IF($V184="BRAND.com",HLOOKUP($X184&amp;$Z184,PLANNING_FC!$BB$4:$BP$23,MATCH($W184,PLANNING_FC!$BA$4:$BA$23,0),FALSE),0),0)</f>
        <v>0</v>
      </c>
      <c r="AX184" s="58">
        <f>IFERROR(IF($V184="BRAND.com",HLOOKUP($X184&amp;$Z184,PLANNING_FC!$T$27:$AH$46,MATCH($W184,PLANNING_FC!$B$27:$B$46,0),FALSE),0),0)</f>
        <v>0</v>
      </c>
      <c r="AY184" s="58">
        <f>IFERROR(IF($V184="BRAND.com",HLOOKUP($X184&amp;$Z184,PLANNING_FC!$T$4:$AH$23,MATCH($W184,PLANNING_FC!$B$4:$B$23,0),FALSE),0),0)</f>
        <v>0</v>
      </c>
      <c r="AZ184" s="58">
        <f>IFERROR(IF($V184="BRAND.com",HLOOKUP($X184&amp;$Z184,PLANNING_FC!$DA$27:$DO$46,MATCH($W184,PLANNING_FC!$CZ$27:$CZ$46,0),FALSE),0),0)</f>
        <v>0</v>
      </c>
      <c r="BA184" s="58">
        <f>IFERROR(IF($V184="BRAND.com",HLOOKUP($X184&amp;$Z184,PLANNING_FC!$DA$4:$DO$23,MATCH($W184,PLANNING_FC!$CZ$4:$CZ$23,0),FALSE),0),0)</f>
        <v>0</v>
      </c>
      <c r="BB184" s="883" t="str">
        <f>IF(V184="BRAND.com",IFERROR(HLOOKUP(X184&amp;Z184,PLANNING_FC!$AK$4:$AY$23,MATCH(W184,PLANNING_FC!$AJ$4:$AJ$23,0),FALSE)*1000,""),"")</f>
        <v/>
      </c>
      <c r="BC184" s="883" t="str">
        <f>IF(V184="BRAND.com",IFERROR(HLOOKUP(X184&amp;Z184,PLANNING_FC!$AK$27:$AY$46,MATCH(W184,PLANNING_FC!$AJ$27:$AJ$46,0),FALSE)*1000,""),"")</f>
        <v/>
      </c>
    </row>
    <row r="185" spans="1:55" x14ac:dyDescent="0.25">
      <c r="A185" s="509"/>
      <c r="B185" s="510"/>
      <c r="C185" s="509"/>
      <c r="D185" s="509"/>
      <c r="E185" s="509"/>
      <c r="F185" s="509"/>
      <c r="G185" s="509"/>
      <c r="H185" s="509"/>
      <c r="I185" s="512"/>
      <c r="J185" s="513"/>
      <c r="K185" s="879"/>
      <c r="L185" s="515"/>
      <c r="M185" s="516"/>
      <c r="N185" s="56">
        <f t="shared" si="74"/>
        <v>0</v>
      </c>
      <c r="O185" s="57">
        <f t="shared" si="75"/>
        <v>0</v>
      </c>
      <c r="P185" s="57">
        <f ca="1">IFERROR(IF(ISBLANK(H185),SUMIFS($AC:$AC,$V:$V,V185,$W:$W,W185,$X:$X,X185,$Y:$Y,Y185)*J185/(1-J185)*VLOOKUP(_xlfn.CONCAT(C185,D185,E185,TIME!$M$12,Z185),HIS_SALES!$B$2:$W$4859,20,FALSE),AC185*J185/(1-J185)),0)</f>
        <v>0</v>
      </c>
      <c r="Q185" s="541" t="str">
        <f t="shared" si="85"/>
        <v/>
      </c>
      <c r="R185" s="346" t="str">
        <f t="shared" si="65"/>
        <v>00000</v>
      </c>
      <c r="S185" s="344">
        <f t="shared" si="76"/>
        <v>0</v>
      </c>
      <c r="T185" s="345" t="str">
        <f t="shared" si="71"/>
        <v>000</v>
      </c>
      <c r="U185" s="345">
        <f t="shared" si="77"/>
        <v>0</v>
      </c>
      <c r="V185" s="345">
        <f t="shared" si="78"/>
        <v>0</v>
      </c>
      <c r="W185" s="345">
        <f t="shared" si="79"/>
        <v>0</v>
      </c>
      <c r="X185" s="345">
        <f t="shared" si="80"/>
        <v>0</v>
      </c>
      <c r="Y185" s="345">
        <f t="shared" si="81"/>
        <v>0</v>
      </c>
      <c r="Z185" s="345">
        <f>IF(Q185&lt;&gt;"",VLOOKUP(Y185,TIME!$R$21:$V$24,MATCH(FC_DATA!Q185,TIME!$R$20:$V$20,0),FALSE),H185)</f>
        <v>0</v>
      </c>
      <c r="AA185" s="345" t="str">
        <f>IFERROR(VLOOKUP(X185&amp;Z185,TIME!$A$12:$D$71,4,FALSE),"")</f>
        <v/>
      </c>
      <c r="AB185" s="592">
        <f t="shared" ca="1" si="66"/>
        <v>0</v>
      </c>
      <c r="AC185" s="593" t="e">
        <f ca="1">IF(ISBLANK(H185)=FALSE,IF(D185="BRAND.com",I185,IF(ISNA(VLOOKUP(_xlfn.CONCAT(X185,Z185),TIME!$M$40:$M$42,1,FALSE)),I185,VLOOKUP(_xlfn.CONCAT(D185,G185,H185),M_BUSAREA_FC!$AF$5:$AJ$10,5,FALSE)*HLOOKUP(_xlfn.CONCAT(F185,H185),ST_OVERVIEW!$G$99:$I$130,MATCH(_xlfn.CONCAT(D185,E185),ST_OVERVIEW!$F$99:$F$130,0),FALSE))),IF(D185="BRAND.com",VLOOKUP(_xlfn.CONCAT(C185,D185,E185,TIME!$F$1,Z185),HIS_SALES!$B$2:$V$4859,19,FALSE)*I185,VLOOKUP(_xlfn.CONCAT(D185,F185,G185),Q_BUSAREA_FC!$AE$5:$AI$12,5,FALSE)*HLOOKUP(_xlfn.CONCAT(FC_DATA!F185,FC_DATA!G185),LT_OVERVIEW!$I$99:$M$130,MATCH(_xlfn.CONCAT(D185,FC_DATA!E185),LT_OVERVIEW!$H$99:$H$130,0),FALSE)*IFERROR(VLOOKUP(_xlfn.CONCAT(C185,D185,E185,TIME!$F$1,Z185),HIS_SALES!$B$2:$V$4859,19,FALSE),0)))</f>
        <v>#N/A</v>
      </c>
      <c r="AD185" s="341">
        <f t="shared" ca="1" si="82"/>
        <v>0</v>
      </c>
      <c r="AE185" s="363" t="str">
        <f t="shared" si="83"/>
        <v/>
      </c>
      <c r="AF185" s="342" t="str">
        <f t="shared" si="84"/>
        <v/>
      </c>
      <c r="AG185" s="411" t="e">
        <f ca="1">VLOOKUP(_xlfn.CONCAT(U185,V185,W185,VLOOKUP(X185&amp;Y185,TIME!$L$27:$O$34,4,FALSE),Y185),HIS_SALES!$A$2:$R$5093,18,FALSE)</f>
        <v>#N/A</v>
      </c>
      <c r="AH185" s="412" t="e">
        <f ca="1">IFERROR(IF(AND(V185=V184,W185=W184),0.5*(AB185+AB184)*AG185,(VLOOKUP(_xlfn.CONCAT(U185,V185,W185,X185,VLOOKUP(Z185,TIME!$S$28:$T$39,2,FALSE)),FC_DATA!$R$2:$AB$5000,MATCH("GS_I_M",FC_DATA!$R$1:$AB$1,0),FALSE)+FC_DATA!AB185)*0.5*FC_DATA!AG185),NA())</f>
        <v>#N/A</v>
      </c>
      <c r="AI185" s="491" t="e">
        <f ca="1">IF(V185="PARTNER.com",AH185,IF(AND(V185=V184,W185=W184),(1-AVERAGE(AD184,AD185))*AH185,(1-AVERAGE(AD185,VLOOKUP(_xlfn.CONCAT(U185,V185,W185,X185,M_BRAND_FC!$F$6),FC_DATA!$R$2:$AD$5000,MATCH("DISCOUNT_%_M",FC_DATA!$R$1:$AD$1,0),FALSE)))*AH185))</f>
        <v>#N/A</v>
      </c>
      <c r="AJ185" s="412" t="str">
        <f t="shared" ca="1" si="68"/>
        <v/>
      </c>
      <c r="AK185" s="413" t="str">
        <f>IFERROR(AE185/(Q_BRAND_FC!$T$24+1),"")</f>
        <v/>
      </c>
      <c r="AL185" s="88" t="str">
        <f t="shared" ca="1" si="69"/>
        <v/>
      </c>
      <c r="AM185" s="414" t="str">
        <f t="shared" ca="1" si="70"/>
        <v/>
      </c>
      <c r="AN185" s="58">
        <f>IFERROR(IF($V185="BRAND.com",HLOOKUP($X185&amp;$Z185,NWC_FC_NOOS!$C$4:$Q$23,MATCH(W185,NWC_FC_NOOS!$B$4:$B$23,0),FALSE),0),0)</f>
        <v>0</v>
      </c>
      <c r="AO185" s="57">
        <f>IFERROR(IF($V185="BRAND.com",HLOOKUP($X185&amp;$Z185,NWC_FC_NOOS!$T$4:$AH$23,MATCH(W185,NWC_FC_NOOS!$S$4:$S$23,0),FALSE),0),0)</f>
        <v>0</v>
      </c>
      <c r="AP185" s="57">
        <f>IFERROR(IF($V185="BRAND.com",HLOOKUP($X185&amp;$Z185,NWC_FC_NOOS!$C$50:$U$69,MATCH(W185,NWC_FC_NOOS!$B$50:$B$69,0),FALSE),0),0)</f>
        <v>0</v>
      </c>
      <c r="AQ185" s="58">
        <f>IFERROR(IF($V185="BRAND.com",HLOOKUP($X185&amp;$Z185,'NWC_FC_NON-NOOS'!$C$4:$Q$23,MATCH(W185,'NWC_FC_NON-NOOS'!$B$4:$B$23,0),FALSE),0),0)</f>
        <v>0</v>
      </c>
      <c r="AR185" s="57">
        <f>IFERROR(IF($V185="BRAND.com",HLOOKUP($X185&amp;$Z185,'NWC_FC_NON-NOOS'!$T$4:$AH$23,MATCH(W185,'NWC_FC_NON-NOOS'!$S$4:$S$23,0),FALSE),0),0)</f>
        <v>0</v>
      </c>
      <c r="AS185" s="57">
        <f>IFERROR(IF($V185="BRAND.com",HLOOKUP($X185&amp;$Z185,'NWC_FC_NON-NOOS'!$C$50:$U$69,MATCH(W185,'NWC_FC_NON-NOOS'!$B$50:$B$69,0),FALSE),0),0)</f>
        <v>0</v>
      </c>
      <c r="AT185" s="57">
        <f t="shared" si="72"/>
        <v>0</v>
      </c>
      <c r="AU185" s="57">
        <f t="shared" si="73"/>
        <v>0</v>
      </c>
      <c r="AV185" s="58">
        <f>IFERROR(IF($V185="BRAND.com",HLOOKUP($X185&amp;$Z185,PLANNING_FC!$BB$27:$BP$46,MATCH($W185,PLANNING_FC!$BA$27:$BA$46,0),FALSE),0),0)</f>
        <v>0</v>
      </c>
      <c r="AW185" s="58">
        <f>IFERROR(IF($V185="BRAND.com",HLOOKUP($X185&amp;$Z185,PLANNING_FC!$BB$4:$BP$23,MATCH($W185,PLANNING_FC!$BA$4:$BA$23,0),FALSE),0),0)</f>
        <v>0</v>
      </c>
      <c r="AX185" s="58">
        <f>IFERROR(IF($V185="BRAND.com",HLOOKUP($X185&amp;$Z185,PLANNING_FC!$T$27:$AH$46,MATCH($W185,PLANNING_FC!$B$27:$B$46,0),FALSE),0),0)</f>
        <v>0</v>
      </c>
      <c r="AY185" s="58">
        <f>IFERROR(IF($V185="BRAND.com",HLOOKUP($X185&amp;$Z185,PLANNING_FC!$T$4:$AH$23,MATCH($W185,PLANNING_FC!$B$4:$B$23,0),FALSE),0),0)</f>
        <v>0</v>
      </c>
      <c r="AZ185" s="58">
        <f>IFERROR(IF($V185="BRAND.com",HLOOKUP($X185&amp;$Z185,PLANNING_FC!$DA$27:$DO$46,MATCH($W185,PLANNING_FC!$CZ$27:$CZ$46,0),FALSE),0),0)</f>
        <v>0</v>
      </c>
      <c r="BA185" s="58">
        <f>IFERROR(IF($V185="BRAND.com",HLOOKUP($X185&amp;$Z185,PLANNING_FC!$DA$4:$DO$23,MATCH($W185,PLANNING_FC!$CZ$4:$CZ$23,0),FALSE),0),0)</f>
        <v>0</v>
      </c>
      <c r="BB185" s="883" t="str">
        <f>IF(V185="BRAND.com",IFERROR(HLOOKUP(X185&amp;Z185,PLANNING_FC!$AK$4:$AY$23,MATCH(W185,PLANNING_FC!$AJ$4:$AJ$23,0),FALSE)*1000,""),"")</f>
        <v/>
      </c>
      <c r="BC185" s="883" t="str">
        <f>IF(V185="BRAND.com",IFERROR(HLOOKUP(X185&amp;Z185,PLANNING_FC!$AK$27:$AY$46,MATCH(W185,PLANNING_FC!$AJ$27:$AJ$46,0),FALSE)*1000,""),"")</f>
        <v/>
      </c>
    </row>
    <row r="186" spans="1:55" x14ac:dyDescent="0.25">
      <c r="A186" s="509"/>
      <c r="B186" s="510"/>
      <c r="C186" s="509"/>
      <c r="D186" s="509"/>
      <c r="E186" s="509"/>
      <c r="F186" s="509"/>
      <c r="G186" s="509"/>
      <c r="H186" s="509"/>
      <c r="I186" s="512"/>
      <c r="J186" s="513"/>
      <c r="K186" s="879"/>
      <c r="L186" s="515"/>
      <c r="M186" s="516"/>
      <c r="N186" s="56">
        <f t="shared" si="74"/>
        <v>0</v>
      </c>
      <c r="O186" s="57">
        <f t="shared" si="75"/>
        <v>0</v>
      </c>
      <c r="P186" s="57">
        <f ca="1">IFERROR(IF(ISBLANK(H186),SUMIFS($AC:$AC,$V:$V,V186,$W:$W,W186,$X:$X,X186,$Y:$Y,Y186)*J186/(1-J186)*VLOOKUP(_xlfn.CONCAT(C186,D186,E186,TIME!$M$12,Z186),HIS_SALES!$B$2:$W$4859,20,FALSE),AC186*J186/(1-J186)),0)</f>
        <v>0</v>
      </c>
      <c r="Q186" s="541" t="str">
        <f t="shared" si="85"/>
        <v/>
      </c>
      <c r="R186" s="346" t="str">
        <f t="shared" si="65"/>
        <v>00000</v>
      </c>
      <c r="S186" s="344">
        <f t="shared" si="76"/>
        <v>0</v>
      </c>
      <c r="T186" s="345" t="str">
        <f t="shared" si="71"/>
        <v>000</v>
      </c>
      <c r="U186" s="345">
        <f t="shared" si="77"/>
        <v>0</v>
      </c>
      <c r="V186" s="345">
        <f t="shared" si="78"/>
        <v>0</v>
      </c>
      <c r="W186" s="345">
        <f t="shared" si="79"/>
        <v>0</v>
      </c>
      <c r="X186" s="345">
        <f t="shared" si="80"/>
        <v>0</v>
      </c>
      <c r="Y186" s="345">
        <f t="shared" si="81"/>
        <v>0</v>
      </c>
      <c r="Z186" s="345">
        <f>IF(Q186&lt;&gt;"",VLOOKUP(Y186,TIME!$R$21:$V$24,MATCH(FC_DATA!Q186,TIME!$R$20:$V$20,0),FALSE),H186)</f>
        <v>0</v>
      </c>
      <c r="AA186" s="345" t="str">
        <f>IFERROR(VLOOKUP(X186&amp;Z186,TIME!$A$12:$D$71,4,FALSE),"")</f>
        <v/>
      </c>
      <c r="AB186" s="592">
        <f t="shared" ca="1" si="66"/>
        <v>0</v>
      </c>
      <c r="AC186" s="593" t="e">
        <f ca="1">IF(ISBLANK(H186)=FALSE,IF(D186="BRAND.com",I186,IF(ISNA(VLOOKUP(_xlfn.CONCAT(X186,Z186),TIME!$M$40:$M$42,1,FALSE)),I186,VLOOKUP(_xlfn.CONCAT(D186,G186,H186),M_BUSAREA_FC!$AF$5:$AJ$10,5,FALSE)*HLOOKUP(_xlfn.CONCAT(F186,H186),ST_OVERVIEW!$G$99:$I$130,MATCH(_xlfn.CONCAT(D186,E186),ST_OVERVIEW!$F$99:$F$130,0),FALSE))),IF(D186="BRAND.com",VLOOKUP(_xlfn.CONCAT(C186,D186,E186,TIME!$F$1,Z186),HIS_SALES!$B$2:$V$4859,19,FALSE)*I186,VLOOKUP(_xlfn.CONCAT(D186,F186,G186),Q_BUSAREA_FC!$AE$5:$AI$12,5,FALSE)*HLOOKUP(_xlfn.CONCAT(FC_DATA!F186,FC_DATA!G186),LT_OVERVIEW!$I$99:$M$130,MATCH(_xlfn.CONCAT(D186,FC_DATA!E186),LT_OVERVIEW!$H$99:$H$130,0),FALSE)*IFERROR(VLOOKUP(_xlfn.CONCAT(C186,D186,E186,TIME!$F$1,Z186),HIS_SALES!$B$2:$V$4859,19,FALSE),0)))</f>
        <v>#N/A</v>
      </c>
      <c r="AD186" s="341">
        <f t="shared" ca="1" si="82"/>
        <v>0</v>
      </c>
      <c r="AE186" s="363" t="str">
        <f t="shared" si="83"/>
        <v/>
      </c>
      <c r="AF186" s="342" t="str">
        <f t="shared" si="84"/>
        <v/>
      </c>
      <c r="AG186" s="411" t="e">
        <f ca="1">VLOOKUP(_xlfn.CONCAT(U186,V186,W186,VLOOKUP(X186&amp;Y186,TIME!$L$27:$O$34,4,FALSE),Y186),HIS_SALES!$A$2:$R$5093,18,FALSE)</f>
        <v>#N/A</v>
      </c>
      <c r="AH186" s="412" t="e">
        <f ca="1">IFERROR(IF(AND(V186=V185,W186=W185),0.5*(AB186+AB185)*AG186,(VLOOKUP(_xlfn.CONCAT(U186,V186,W186,X186,VLOOKUP(Z186,TIME!$S$28:$T$39,2,FALSE)),FC_DATA!$R$2:$AB$5000,MATCH("GS_I_M",FC_DATA!$R$1:$AB$1,0),FALSE)+FC_DATA!AB186)*0.5*FC_DATA!AG186),NA())</f>
        <v>#N/A</v>
      </c>
      <c r="AI186" s="491" t="e">
        <f ca="1">IF(V186="PARTNER.com",AH186,IF(AND(V186=V185,W186=W185),(1-AVERAGE(AD185,AD186))*AH186,(1-AVERAGE(AD186,VLOOKUP(_xlfn.CONCAT(U186,V186,W186,X186,M_BRAND_FC!$F$6),FC_DATA!$R$2:$AD$5000,MATCH("DISCOUNT_%_M",FC_DATA!$R$1:$AD$1,0),FALSE)))*AH186))</f>
        <v>#N/A</v>
      </c>
      <c r="AJ186" s="412" t="str">
        <f t="shared" ca="1" si="68"/>
        <v/>
      </c>
      <c r="AK186" s="413" t="str">
        <f>IFERROR(AE186/(Q_BRAND_FC!$T$24+1),"")</f>
        <v/>
      </c>
      <c r="AL186" s="88" t="str">
        <f t="shared" ca="1" si="69"/>
        <v/>
      </c>
      <c r="AM186" s="414" t="str">
        <f t="shared" ca="1" si="70"/>
        <v/>
      </c>
      <c r="AN186" s="58">
        <f>IFERROR(IF($V186="BRAND.com",HLOOKUP($X186&amp;$Z186,NWC_FC_NOOS!$C$4:$Q$23,MATCH(W186,NWC_FC_NOOS!$B$4:$B$23,0),FALSE),0),0)</f>
        <v>0</v>
      </c>
      <c r="AO186" s="57">
        <f>IFERROR(IF($V186="BRAND.com",HLOOKUP($X186&amp;$Z186,NWC_FC_NOOS!$T$4:$AH$23,MATCH(W186,NWC_FC_NOOS!$S$4:$S$23,0),FALSE),0),0)</f>
        <v>0</v>
      </c>
      <c r="AP186" s="57">
        <f>IFERROR(IF($V186="BRAND.com",HLOOKUP($X186&amp;$Z186,NWC_FC_NOOS!$C$50:$U$69,MATCH(W186,NWC_FC_NOOS!$B$50:$B$69,0),FALSE),0),0)</f>
        <v>0</v>
      </c>
      <c r="AQ186" s="58">
        <f>IFERROR(IF($V186="BRAND.com",HLOOKUP($X186&amp;$Z186,'NWC_FC_NON-NOOS'!$C$4:$Q$23,MATCH(W186,'NWC_FC_NON-NOOS'!$B$4:$B$23,0),FALSE),0),0)</f>
        <v>0</v>
      </c>
      <c r="AR186" s="57">
        <f>IFERROR(IF($V186="BRAND.com",HLOOKUP($X186&amp;$Z186,'NWC_FC_NON-NOOS'!$T$4:$AH$23,MATCH(W186,'NWC_FC_NON-NOOS'!$S$4:$S$23,0),FALSE),0),0)</f>
        <v>0</v>
      </c>
      <c r="AS186" s="57">
        <f>IFERROR(IF($V186="BRAND.com",HLOOKUP($X186&amp;$Z186,'NWC_FC_NON-NOOS'!$C$50:$U$69,MATCH(W186,'NWC_FC_NON-NOOS'!$B$50:$B$69,0),FALSE),0),0)</f>
        <v>0</v>
      </c>
      <c r="AT186" s="57">
        <f t="shared" si="72"/>
        <v>0</v>
      </c>
      <c r="AU186" s="57">
        <f t="shared" si="73"/>
        <v>0</v>
      </c>
      <c r="AV186" s="58">
        <f>IFERROR(IF($V186="BRAND.com",HLOOKUP($X186&amp;$Z186,PLANNING_FC!$BB$27:$BP$46,MATCH($W186,PLANNING_FC!$BA$27:$BA$46,0),FALSE),0),0)</f>
        <v>0</v>
      </c>
      <c r="AW186" s="58">
        <f>IFERROR(IF($V186="BRAND.com",HLOOKUP($X186&amp;$Z186,PLANNING_FC!$BB$4:$BP$23,MATCH($W186,PLANNING_FC!$BA$4:$BA$23,0),FALSE),0),0)</f>
        <v>0</v>
      </c>
      <c r="AX186" s="58">
        <f>IFERROR(IF($V186="BRAND.com",HLOOKUP($X186&amp;$Z186,PLANNING_FC!$T$27:$AH$46,MATCH($W186,PLANNING_FC!$B$27:$B$46,0),FALSE),0),0)</f>
        <v>0</v>
      </c>
      <c r="AY186" s="58">
        <f>IFERROR(IF($V186="BRAND.com",HLOOKUP($X186&amp;$Z186,PLANNING_FC!$T$4:$AH$23,MATCH($W186,PLANNING_FC!$B$4:$B$23,0),FALSE),0),0)</f>
        <v>0</v>
      </c>
      <c r="AZ186" s="58">
        <f>IFERROR(IF($V186="BRAND.com",HLOOKUP($X186&amp;$Z186,PLANNING_FC!$DA$27:$DO$46,MATCH($W186,PLANNING_FC!$CZ$27:$CZ$46,0),FALSE),0),0)</f>
        <v>0</v>
      </c>
      <c r="BA186" s="58">
        <f>IFERROR(IF($V186="BRAND.com",HLOOKUP($X186&amp;$Z186,PLANNING_FC!$DA$4:$DO$23,MATCH($W186,PLANNING_FC!$CZ$4:$CZ$23,0),FALSE),0),0)</f>
        <v>0</v>
      </c>
      <c r="BB186" s="883" t="str">
        <f>IF(V186="BRAND.com",IFERROR(HLOOKUP(X186&amp;Z186,PLANNING_FC!$AK$4:$AY$23,MATCH(W186,PLANNING_FC!$AJ$4:$AJ$23,0),FALSE)*1000,""),"")</f>
        <v/>
      </c>
      <c r="BC186" s="883" t="str">
        <f>IF(V186="BRAND.com",IFERROR(HLOOKUP(X186&amp;Z186,PLANNING_FC!$AK$27:$AY$46,MATCH(W186,PLANNING_FC!$AJ$27:$AJ$46,0),FALSE)*1000,""),"")</f>
        <v/>
      </c>
    </row>
    <row r="187" spans="1:55" x14ac:dyDescent="0.25">
      <c r="A187" s="509"/>
      <c r="B187" s="510"/>
      <c r="C187" s="509"/>
      <c r="D187" s="509"/>
      <c r="E187" s="509"/>
      <c r="F187" s="509"/>
      <c r="G187" s="509"/>
      <c r="H187" s="509"/>
      <c r="I187" s="512"/>
      <c r="J187" s="513"/>
      <c r="K187" s="879"/>
      <c r="L187" s="515"/>
      <c r="M187" s="516"/>
      <c r="N187" s="56">
        <f t="shared" si="74"/>
        <v>0</v>
      </c>
      <c r="O187" s="57">
        <f t="shared" si="75"/>
        <v>0</v>
      </c>
      <c r="P187" s="57">
        <f ca="1">IFERROR(IF(ISBLANK(H187),SUMIFS($AC:$AC,$V:$V,V187,$W:$W,W187,$X:$X,X187,$Y:$Y,Y187)*J187/(1-J187)*VLOOKUP(_xlfn.CONCAT(C187,D187,E187,TIME!$M$12,Z187),HIS_SALES!$B$2:$W$4859,20,FALSE),AC187*J187/(1-J187)),0)</f>
        <v>0</v>
      </c>
      <c r="Q187" s="541" t="str">
        <f t="shared" si="85"/>
        <v/>
      </c>
      <c r="R187" s="346" t="str">
        <f t="shared" si="65"/>
        <v>00000</v>
      </c>
      <c r="S187" s="344">
        <f t="shared" si="76"/>
        <v>0</v>
      </c>
      <c r="T187" s="345" t="str">
        <f t="shared" si="71"/>
        <v>000</v>
      </c>
      <c r="U187" s="345">
        <f t="shared" si="77"/>
        <v>0</v>
      </c>
      <c r="V187" s="345">
        <f t="shared" si="78"/>
        <v>0</v>
      </c>
      <c r="W187" s="345">
        <f t="shared" si="79"/>
        <v>0</v>
      </c>
      <c r="X187" s="345">
        <f t="shared" si="80"/>
        <v>0</v>
      </c>
      <c r="Y187" s="345">
        <f t="shared" si="81"/>
        <v>0</v>
      </c>
      <c r="Z187" s="345">
        <f>IF(Q187&lt;&gt;"",VLOOKUP(Y187,TIME!$R$21:$V$24,MATCH(FC_DATA!Q187,TIME!$R$20:$V$20,0),FALSE),H187)</f>
        <v>0</v>
      </c>
      <c r="AA187" s="345" t="str">
        <f>IFERROR(VLOOKUP(X187&amp;Z187,TIME!$A$12:$D$71,4,FALSE),"")</f>
        <v/>
      </c>
      <c r="AB187" s="592">
        <f t="shared" ca="1" si="66"/>
        <v>0</v>
      </c>
      <c r="AC187" s="593" t="e">
        <f ca="1">IF(ISBLANK(H187)=FALSE,IF(D187="BRAND.com",I187,IF(ISNA(VLOOKUP(_xlfn.CONCAT(X187,Z187),TIME!$M$40:$M$42,1,FALSE)),I187,VLOOKUP(_xlfn.CONCAT(D187,G187,H187),M_BUSAREA_FC!$AF$5:$AJ$10,5,FALSE)*HLOOKUP(_xlfn.CONCAT(F187,H187),ST_OVERVIEW!$G$99:$I$130,MATCH(_xlfn.CONCAT(D187,E187),ST_OVERVIEW!$F$99:$F$130,0),FALSE))),IF(D187="BRAND.com",VLOOKUP(_xlfn.CONCAT(C187,D187,E187,TIME!$F$1,Z187),HIS_SALES!$B$2:$V$4859,19,FALSE)*I187,VLOOKUP(_xlfn.CONCAT(D187,F187,G187),Q_BUSAREA_FC!$AE$5:$AI$12,5,FALSE)*HLOOKUP(_xlfn.CONCAT(FC_DATA!F187,FC_DATA!G187),LT_OVERVIEW!$I$99:$M$130,MATCH(_xlfn.CONCAT(D187,FC_DATA!E187),LT_OVERVIEW!$H$99:$H$130,0),FALSE)*IFERROR(VLOOKUP(_xlfn.CONCAT(C187,D187,E187,TIME!$F$1,Z187),HIS_SALES!$B$2:$V$4859,19,FALSE),0)))</f>
        <v>#N/A</v>
      </c>
      <c r="AD187" s="341">
        <f t="shared" ca="1" si="82"/>
        <v>0</v>
      </c>
      <c r="AE187" s="363" t="str">
        <f t="shared" si="83"/>
        <v/>
      </c>
      <c r="AF187" s="342" t="str">
        <f t="shared" si="84"/>
        <v/>
      </c>
      <c r="AG187" s="411" t="e">
        <f ca="1">VLOOKUP(_xlfn.CONCAT(U187,V187,W187,VLOOKUP(X187&amp;Y187,TIME!$L$27:$O$34,4,FALSE),Y187),HIS_SALES!$A$2:$R$5093,18,FALSE)</f>
        <v>#N/A</v>
      </c>
      <c r="AH187" s="412" t="e">
        <f ca="1">IFERROR(IF(AND(V187=V186,W187=W186),0.5*(AB187+AB186)*AG187,(VLOOKUP(_xlfn.CONCAT(U187,V187,W187,X187,VLOOKUP(Z187,TIME!$S$28:$T$39,2,FALSE)),FC_DATA!$R$2:$AB$5000,MATCH("GS_I_M",FC_DATA!$R$1:$AB$1,0),FALSE)+FC_DATA!AB187)*0.5*FC_DATA!AG187),NA())</f>
        <v>#N/A</v>
      </c>
      <c r="AI187" s="491" t="e">
        <f ca="1">IF(V187="PARTNER.com",AH187,IF(AND(V187=V186,W187=W186),(1-AVERAGE(AD186,AD187))*AH187,(1-AVERAGE(AD187,VLOOKUP(_xlfn.CONCAT(U187,V187,W187,X187,M_BRAND_FC!$F$6),FC_DATA!$R$2:$AD$5000,MATCH("DISCOUNT_%_M",FC_DATA!$R$1:$AD$1,0),FALSE)))*AH187))</f>
        <v>#N/A</v>
      </c>
      <c r="AJ187" s="412" t="str">
        <f t="shared" ca="1" si="68"/>
        <v/>
      </c>
      <c r="AK187" s="413" t="str">
        <f>IFERROR(AE187/(Q_BRAND_FC!$T$24+1),"")</f>
        <v/>
      </c>
      <c r="AL187" s="88" t="str">
        <f t="shared" ca="1" si="69"/>
        <v/>
      </c>
      <c r="AM187" s="414" t="str">
        <f t="shared" ca="1" si="70"/>
        <v/>
      </c>
      <c r="AN187" s="58">
        <f>IFERROR(IF($V187="BRAND.com",HLOOKUP($X187&amp;$Z187,NWC_FC_NOOS!$C$4:$Q$23,MATCH(W187,NWC_FC_NOOS!$B$4:$B$23,0),FALSE),0),0)</f>
        <v>0</v>
      </c>
      <c r="AO187" s="57">
        <f>IFERROR(IF($V187="BRAND.com",HLOOKUP($X187&amp;$Z187,NWC_FC_NOOS!$T$4:$AH$23,MATCH(W187,NWC_FC_NOOS!$S$4:$S$23,0),FALSE),0),0)</f>
        <v>0</v>
      </c>
      <c r="AP187" s="57">
        <f>IFERROR(IF($V187="BRAND.com",HLOOKUP($X187&amp;$Z187,NWC_FC_NOOS!$C$50:$U$69,MATCH(W187,NWC_FC_NOOS!$B$50:$B$69,0),FALSE),0),0)</f>
        <v>0</v>
      </c>
      <c r="AQ187" s="58">
        <f>IFERROR(IF($V187="BRAND.com",HLOOKUP($X187&amp;$Z187,'NWC_FC_NON-NOOS'!$C$4:$Q$23,MATCH(W187,'NWC_FC_NON-NOOS'!$B$4:$B$23,0),FALSE),0),0)</f>
        <v>0</v>
      </c>
      <c r="AR187" s="57">
        <f>IFERROR(IF($V187="BRAND.com",HLOOKUP($X187&amp;$Z187,'NWC_FC_NON-NOOS'!$T$4:$AH$23,MATCH(W187,'NWC_FC_NON-NOOS'!$S$4:$S$23,0),FALSE),0),0)</f>
        <v>0</v>
      </c>
      <c r="AS187" s="57">
        <f>IFERROR(IF($V187="BRAND.com",HLOOKUP($X187&amp;$Z187,'NWC_FC_NON-NOOS'!$C$50:$U$69,MATCH(W187,'NWC_FC_NON-NOOS'!$B$50:$B$69,0),FALSE),0),0)</f>
        <v>0</v>
      </c>
      <c r="AT187" s="57">
        <f t="shared" si="72"/>
        <v>0</v>
      </c>
      <c r="AU187" s="57">
        <f t="shared" si="73"/>
        <v>0</v>
      </c>
      <c r="AV187" s="58">
        <f>IFERROR(IF($V187="BRAND.com",HLOOKUP($X187&amp;$Z187,PLANNING_FC!$BB$27:$BP$46,MATCH($W187,PLANNING_FC!$BA$27:$BA$46,0),FALSE),0),0)</f>
        <v>0</v>
      </c>
      <c r="AW187" s="58">
        <f>IFERROR(IF($V187="BRAND.com",HLOOKUP($X187&amp;$Z187,PLANNING_FC!$BB$4:$BP$23,MATCH($W187,PLANNING_FC!$BA$4:$BA$23,0),FALSE),0),0)</f>
        <v>0</v>
      </c>
      <c r="AX187" s="58">
        <f>IFERROR(IF($V187="BRAND.com",HLOOKUP($X187&amp;$Z187,PLANNING_FC!$T$27:$AH$46,MATCH($W187,PLANNING_FC!$B$27:$B$46,0),FALSE),0),0)</f>
        <v>0</v>
      </c>
      <c r="AY187" s="58">
        <f>IFERROR(IF($V187="BRAND.com",HLOOKUP($X187&amp;$Z187,PLANNING_FC!$T$4:$AH$23,MATCH($W187,PLANNING_FC!$B$4:$B$23,0),FALSE),0),0)</f>
        <v>0</v>
      </c>
      <c r="AZ187" s="58">
        <f>IFERROR(IF($V187="BRAND.com",HLOOKUP($X187&amp;$Z187,PLANNING_FC!$DA$27:$DO$46,MATCH($W187,PLANNING_FC!$CZ$27:$CZ$46,0),FALSE),0),0)</f>
        <v>0</v>
      </c>
      <c r="BA187" s="58">
        <f>IFERROR(IF($V187="BRAND.com",HLOOKUP($X187&amp;$Z187,PLANNING_FC!$DA$4:$DO$23,MATCH($W187,PLANNING_FC!$CZ$4:$CZ$23,0),FALSE),0),0)</f>
        <v>0</v>
      </c>
      <c r="BB187" s="883" t="str">
        <f>IF(V187="BRAND.com",IFERROR(HLOOKUP(X187&amp;Z187,PLANNING_FC!$AK$4:$AY$23,MATCH(W187,PLANNING_FC!$AJ$4:$AJ$23,0),FALSE)*1000,""),"")</f>
        <v/>
      </c>
      <c r="BC187" s="883" t="str">
        <f>IF(V187="BRAND.com",IFERROR(HLOOKUP(X187&amp;Z187,PLANNING_FC!$AK$27:$AY$46,MATCH(W187,PLANNING_FC!$AJ$27:$AJ$46,0),FALSE)*1000,""),"")</f>
        <v/>
      </c>
    </row>
    <row r="188" spans="1:55" x14ac:dyDescent="0.25">
      <c r="A188" s="509"/>
      <c r="B188" s="510"/>
      <c r="C188" s="509"/>
      <c r="D188" s="509"/>
      <c r="E188" s="509"/>
      <c r="F188" s="509"/>
      <c r="G188" s="509"/>
      <c r="H188" s="509"/>
      <c r="I188" s="512"/>
      <c r="J188" s="513"/>
      <c r="K188" s="879"/>
      <c r="L188" s="515"/>
      <c r="M188" s="516"/>
      <c r="N188" s="56">
        <f t="shared" si="74"/>
        <v>0</v>
      </c>
      <c r="O188" s="57">
        <f t="shared" si="75"/>
        <v>0</v>
      </c>
      <c r="P188" s="57">
        <f ca="1">IFERROR(IF(ISBLANK(H188),SUMIFS($AC:$AC,$V:$V,V188,$W:$W,W188,$X:$X,X188,$Y:$Y,Y188)*J188/(1-J188)*VLOOKUP(_xlfn.CONCAT(C188,D188,E188,TIME!$M$12,Z188),HIS_SALES!$B$2:$W$4859,20,FALSE),AC188*J188/(1-J188)),0)</f>
        <v>0</v>
      </c>
      <c r="Q188" s="541" t="str">
        <f t="shared" si="85"/>
        <v/>
      </c>
      <c r="R188" s="346" t="str">
        <f t="shared" si="65"/>
        <v>00000</v>
      </c>
      <c r="S188" s="344">
        <f t="shared" si="76"/>
        <v>0</v>
      </c>
      <c r="T188" s="345" t="str">
        <f t="shared" si="71"/>
        <v>000</v>
      </c>
      <c r="U188" s="345">
        <f t="shared" si="77"/>
        <v>0</v>
      </c>
      <c r="V188" s="345">
        <f t="shared" si="78"/>
        <v>0</v>
      </c>
      <c r="W188" s="345">
        <f t="shared" si="79"/>
        <v>0</v>
      </c>
      <c r="X188" s="345">
        <f t="shared" si="80"/>
        <v>0</v>
      </c>
      <c r="Y188" s="345">
        <f t="shared" si="81"/>
        <v>0</v>
      </c>
      <c r="Z188" s="345">
        <f>IF(Q188&lt;&gt;"",VLOOKUP(Y188,TIME!$R$21:$V$24,MATCH(FC_DATA!Q188,TIME!$R$20:$V$20,0),FALSE),H188)</f>
        <v>0</v>
      </c>
      <c r="AA188" s="345" t="str">
        <f>IFERROR(VLOOKUP(X188&amp;Z188,TIME!$A$12:$D$71,4,FALSE),"")</f>
        <v/>
      </c>
      <c r="AB188" s="592">
        <f t="shared" ca="1" si="66"/>
        <v>0</v>
      </c>
      <c r="AC188" s="593" t="e">
        <f ca="1">IF(ISBLANK(H188)=FALSE,IF(D188="BRAND.com",I188,IF(ISNA(VLOOKUP(_xlfn.CONCAT(X188,Z188),TIME!$M$40:$M$42,1,FALSE)),I188,VLOOKUP(_xlfn.CONCAT(D188,G188,H188),M_BUSAREA_FC!$AF$5:$AJ$10,5,FALSE)*HLOOKUP(_xlfn.CONCAT(F188,H188),ST_OVERVIEW!$G$99:$I$130,MATCH(_xlfn.CONCAT(D188,E188),ST_OVERVIEW!$F$99:$F$130,0),FALSE))),IF(D188="BRAND.com",VLOOKUP(_xlfn.CONCAT(C188,D188,E188,TIME!$F$1,Z188),HIS_SALES!$B$2:$V$4859,19,FALSE)*I188,VLOOKUP(_xlfn.CONCAT(D188,F188,G188),Q_BUSAREA_FC!$AE$5:$AI$12,5,FALSE)*HLOOKUP(_xlfn.CONCAT(FC_DATA!F188,FC_DATA!G188),LT_OVERVIEW!$I$99:$M$130,MATCH(_xlfn.CONCAT(D188,FC_DATA!E188),LT_OVERVIEW!$H$99:$H$130,0),FALSE)*IFERROR(VLOOKUP(_xlfn.CONCAT(C188,D188,E188,TIME!$F$1,Z188),HIS_SALES!$B$2:$V$4859,19,FALSE),0)))</f>
        <v>#N/A</v>
      </c>
      <c r="AD188" s="341">
        <f t="shared" ca="1" si="82"/>
        <v>0</v>
      </c>
      <c r="AE188" s="363" t="str">
        <f t="shared" si="83"/>
        <v/>
      </c>
      <c r="AF188" s="342" t="str">
        <f t="shared" si="84"/>
        <v/>
      </c>
      <c r="AG188" s="411" t="e">
        <f ca="1">VLOOKUP(_xlfn.CONCAT(U188,V188,W188,VLOOKUP(X188&amp;Y188,TIME!$L$27:$O$34,4,FALSE),Y188),HIS_SALES!$A$2:$R$5093,18,FALSE)</f>
        <v>#N/A</v>
      </c>
      <c r="AH188" s="412" t="e">
        <f ca="1">IFERROR(IF(AND(V188=V187,W188=W187),0.5*(AB188+AB187)*AG188,(VLOOKUP(_xlfn.CONCAT(U188,V188,W188,X188,VLOOKUP(Z188,TIME!$S$28:$T$39,2,FALSE)),FC_DATA!$R$2:$AB$5000,MATCH("GS_I_M",FC_DATA!$R$1:$AB$1,0),FALSE)+FC_DATA!AB188)*0.5*FC_DATA!AG188),NA())</f>
        <v>#N/A</v>
      </c>
      <c r="AI188" s="491" t="e">
        <f ca="1">IF(V188="PARTNER.com",AH188,IF(AND(V188=V187,W188=W187),(1-AVERAGE(AD187,AD188))*AH188,(1-AVERAGE(AD188,VLOOKUP(_xlfn.CONCAT(U188,V188,W188,X188,M_BRAND_FC!$F$6),FC_DATA!$R$2:$AD$5000,MATCH("DISCOUNT_%_M",FC_DATA!$R$1:$AD$1,0),FALSE)))*AH188))</f>
        <v>#N/A</v>
      </c>
      <c r="AJ188" s="412" t="str">
        <f t="shared" ca="1" si="68"/>
        <v/>
      </c>
      <c r="AK188" s="413" t="str">
        <f>IFERROR(AE188/(Q_BRAND_FC!$T$24+1),"")</f>
        <v/>
      </c>
      <c r="AL188" s="88" t="str">
        <f t="shared" ca="1" si="69"/>
        <v/>
      </c>
      <c r="AM188" s="414" t="str">
        <f t="shared" ca="1" si="70"/>
        <v/>
      </c>
      <c r="AN188" s="58">
        <f>IFERROR(IF($V188="BRAND.com",HLOOKUP($X188&amp;$Z188,NWC_FC_NOOS!$C$4:$Q$23,MATCH(W188,NWC_FC_NOOS!$B$4:$B$23,0),FALSE),0),0)</f>
        <v>0</v>
      </c>
      <c r="AO188" s="57">
        <f>IFERROR(IF($V188="BRAND.com",HLOOKUP($X188&amp;$Z188,NWC_FC_NOOS!$T$4:$AH$23,MATCH(W188,NWC_FC_NOOS!$S$4:$S$23,0),FALSE),0),0)</f>
        <v>0</v>
      </c>
      <c r="AP188" s="57">
        <f>IFERROR(IF($V188="BRAND.com",HLOOKUP($X188&amp;$Z188,NWC_FC_NOOS!$C$50:$U$69,MATCH(W188,NWC_FC_NOOS!$B$50:$B$69,0),FALSE),0),0)</f>
        <v>0</v>
      </c>
      <c r="AQ188" s="58">
        <f>IFERROR(IF($V188="BRAND.com",HLOOKUP($X188&amp;$Z188,'NWC_FC_NON-NOOS'!$C$4:$Q$23,MATCH(W188,'NWC_FC_NON-NOOS'!$B$4:$B$23,0),FALSE),0),0)</f>
        <v>0</v>
      </c>
      <c r="AR188" s="57">
        <f>IFERROR(IF($V188="BRAND.com",HLOOKUP($X188&amp;$Z188,'NWC_FC_NON-NOOS'!$T$4:$AH$23,MATCH(W188,'NWC_FC_NON-NOOS'!$S$4:$S$23,0),FALSE),0),0)</f>
        <v>0</v>
      </c>
      <c r="AS188" s="57">
        <f>IFERROR(IF($V188="BRAND.com",HLOOKUP($X188&amp;$Z188,'NWC_FC_NON-NOOS'!$C$50:$U$69,MATCH(W188,'NWC_FC_NON-NOOS'!$B$50:$B$69,0),FALSE),0),0)</f>
        <v>0</v>
      </c>
      <c r="AT188" s="57">
        <f t="shared" si="72"/>
        <v>0</v>
      </c>
      <c r="AU188" s="57">
        <f t="shared" si="73"/>
        <v>0</v>
      </c>
      <c r="AV188" s="58">
        <f>IFERROR(IF($V188="BRAND.com",HLOOKUP($X188&amp;$Z188,PLANNING_FC!$BB$27:$BP$46,MATCH($W188,PLANNING_FC!$BA$27:$BA$46,0),FALSE),0),0)</f>
        <v>0</v>
      </c>
      <c r="AW188" s="58">
        <f>IFERROR(IF($V188="BRAND.com",HLOOKUP($X188&amp;$Z188,PLANNING_FC!$BB$4:$BP$23,MATCH($W188,PLANNING_FC!$BA$4:$BA$23,0),FALSE),0),0)</f>
        <v>0</v>
      </c>
      <c r="AX188" s="58">
        <f>IFERROR(IF($V188="BRAND.com",HLOOKUP($X188&amp;$Z188,PLANNING_FC!$T$27:$AH$46,MATCH($W188,PLANNING_FC!$B$27:$B$46,0),FALSE),0),0)</f>
        <v>0</v>
      </c>
      <c r="AY188" s="58">
        <f>IFERROR(IF($V188="BRAND.com",HLOOKUP($X188&amp;$Z188,PLANNING_FC!$T$4:$AH$23,MATCH($W188,PLANNING_FC!$B$4:$B$23,0),FALSE),0),0)</f>
        <v>0</v>
      </c>
      <c r="AZ188" s="58">
        <f>IFERROR(IF($V188="BRAND.com",HLOOKUP($X188&amp;$Z188,PLANNING_FC!$DA$27:$DO$46,MATCH($W188,PLANNING_FC!$CZ$27:$CZ$46,0),FALSE),0),0)</f>
        <v>0</v>
      </c>
      <c r="BA188" s="58">
        <f>IFERROR(IF($V188="BRAND.com",HLOOKUP($X188&amp;$Z188,PLANNING_FC!$DA$4:$DO$23,MATCH($W188,PLANNING_FC!$CZ$4:$CZ$23,0),FALSE),0),0)</f>
        <v>0</v>
      </c>
      <c r="BB188" s="883" t="str">
        <f>IF(V188="BRAND.com",IFERROR(HLOOKUP(X188&amp;Z188,PLANNING_FC!$AK$4:$AY$23,MATCH(W188,PLANNING_FC!$AJ$4:$AJ$23,0),FALSE)*1000,""),"")</f>
        <v/>
      </c>
      <c r="BC188" s="883" t="str">
        <f>IF(V188="BRAND.com",IFERROR(HLOOKUP(X188&amp;Z188,PLANNING_FC!$AK$27:$AY$46,MATCH(W188,PLANNING_FC!$AJ$27:$AJ$46,0),FALSE)*1000,""),"")</f>
        <v/>
      </c>
    </row>
    <row r="189" spans="1:55" x14ac:dyDescent="0.25">
      <c r="A189" s="509"/>
      <c r="B189" s="510"/>
      <c r="C189" s="509"/>
      <c r="D189" s="509"/>
      <c r="E189" s="509"/>
      <c r="F189" s="509"/>
      <c r="G189" s="509"/>
      <c r="H189" s="509"/>
      <c r="I189" s="512"/>
      <c r="J189" s="513"/>
      <c r="K189" s="879"/>
      <c r="L189" s="515"/>
      <c r="M189" s="516"/>
      <c r="N189" s="56">
        <f t="shared" si="74"/>
        <v>0</v>
      </c>
      <c r="O189" s="57">
        <f t="shared" si="75"/>
        <v>0</v>
      </c>
      <c r="P189" s="57">
        <f ca="1">IFERROR(IF(ISBLANK(H189),SUMIFS($AC:$AC,$V:$V,V189,$W:$W,W189,$X:$X,X189,$Y:$Y,Y189)*J189/(1-J189)*VLOOKUP(_xlfn.CONCAT(C189,D189,E189,TIME!$M$12,Z189),HIS_SALES!$B$2:$W$4859,20,FALSE),AC189*J189/(1-J189)),0)</f>
        <v>0</v>
      </c>
      <c r="Q189" s="541" t="str">
        <f t="shared" si="85"/>
        <v/>
      </c>
      <c r="R189" s="346" t="str">
        <f t="shared" si="65"/>
        <v>00000</v>
      </c>
      <c r="S189" s="344">
        <f t="shared" si="76"/>
        <v>0</v>
      </c>
      <c r="T189" s="345" t="str">
        <f t="shared" si="71"/>
        <v>000</v>
      </c>
      <c r="U189" s="345">
        <f t="shared" si="77"/>
        <v>0</v>
      </c>
      <c r="V189" s="345">
        <f t="shared" si="78"/>
        <v>0</v>
      </c>
      <c r="W189" s="345">
        <f t="shared" si="79"/>
        <v>0</v>
      </c>
      <c r="X189" s="345">
        <f t="shared" si="80"/>
        <v>0</v>
      </c>
      <c r="Y189" s="345">
        <f t="shared" si="81"/>
        <v>0</v>
      </c>
      <c r="Z189" s="345">
        <f>IF(Q189&lt;&gt;"",VLOOKUP(Y189,TIME!$R$21:$V$24,MATCH(FC_DATA!Q189,TIME!$R$20:$V$20,0),FALSE),H189)</f>
        <v>0</v>
      </c>
      <c r="AA189" s="345" t="str">
        <f>IFERROR(VLOOKUP(X189&amp;Z189,TIME!$A$12:$D$71,4,FALSE),"")</f>
        <v/>
      </c>
      <c r="AB189" s="592">
        <f t="shared" ca="1" si="66"/>
        <v>0</v>
      </c>
      <c r="AC189" s="593" t="e">
        <f ca="1">IF(ISBLANK(H189)=FALSE,IF(D189="BRAND.com",I189,IF(ISNA(VLOOKUP(_xlfn.CONCAT(X189,Z189),TIME!$M$40:$M$42,1,FALSE)),I189,VLOOKUP(_xlfn.CONCAT(D189,G189,H189),M_BUSAREA_FC!$AF$5:$AJ$10,5,FALSE)*HLOOKUP(_xlfn.CONCAT(F189,H189),ST_OVERVIEW!$G$99:$I$130,MATCH(_xlfn.CONCAT(D189,E189),ST_OVERVIEW!$F$99:$F$130,0),FALSE))),IF(D189="BRAND.com",VLOOKUP(_xlfn.CONCAT(C189,D189,E189,TIME!$F$1,Z189),HIS_SALES!$B$2:$V$4859,19,FALSE)*I189,VLOOKUP(_xlfn.CONCAT(D189,F189,G189),Q_BUSAREA_FC!$AE$5:$AI$12,5,FALSE)*HLOOKUP(_xlfn.CONCAT(FC_DATA!F189,FC_DATA!G189),LT_OVERVIEW!$I$99:$M$130,MATCH(_xlfn.CONCAT(D189,FC_DATA!E189),LT_OVERVIEW!$H$99:$H$130,0),FALSE)*IFERROR(VLOOKUP(_xlfn.CONCAT(C189,D189,E189,TIME!$F$1,Z189),HIS_SALES!$B$2:$V$4859,19,FALSE),0)))</f>
        <v>#N/A</v>
      </c>
      <c r="AD189" s="341">
        <f t="shared" ca="1" si="82"/>
        <v>0</v>
      </c>
      <c r="AE189" s="363" t="str">
        <f t="shared" si="83"/>
        <v/>
      </c>
      <c r="AF189" s="342" t="str">
        <f t="shared" si="84"/>
        <v/>
      </c>
      <c r="AG189" s="411" t="e">
        <f ca="1">VLOOKUP(_xlfn.CONCAT(U189,V189,W189,VLOOKUP(X189&amp;Y189,TIME!$L$27:$O$34,4,FALSE),Y189),HIS_SALES!$A$2:$R$5093,18,FALSE)</f>
        <v>#N/A</v>
      </c>
      <c r="AH189" s="412" t="e">
        <f ca="1">IFERROR(IF(AND(V189=V188,W189=W188),0.5*(AB189+AB188)*AG189,(VLOOKUP(_xlfn.CONCAT(U189,V189,W189,X189,VLOOKUP(Z189,TIME!$S$28:$T$39,2,FALSE)),FC_DATA!$R$2:$AB$5000,MATCH("GS_I_M",FC_DATA!$R$1:$AB$1,0),FALSE)+FC_DATA!AB189)*0.5*FC_DATA!AG189),NA())</f>
        <v>#N/A</v>
      </c>
      <c r="AI189" s="491" t="e">
        <f ca="1">IF(V189="PARTNER.com",AH189,IF(AND(V189=V188,W189=W188),(1-AVERAGE(AD188,AD189))*AH189,(1-AVERAGE(AD189,VLOOKUP(_xlfn.CONCAT(U189,V189,W189,X189,M_BRAND_FC!$F$6),FC_DATA!$R$2:$AD$5000,MATCH("DISCOUNT_%_M",FC_DATA!$R$1:$AD$1,0),FALSE)))*AH189))</f>
        <v>#N/A</v>
      </c>
      <c r="AJ189" s="412" t="str">
        <f t="shared" ca="1" si="68"/>
        <v/>
      </c>
      <c r="AK189" s="413" t="str">
        <f>IFERROR(AE189/(Q_BRAND_FC!$T$24+1),"")</f>
        <v/>
      </c>
      <c r="AL189" s="88" t="str">
        <f t="shared" ca="1" si="69"/>
        <v/>
      </c>
      <c r="AM189" s="414" t="str">
        <f t="shared" ca="1" si="70"/>
        <v/>
      </c>
      <c r="AN189" s="58">
        <f>IFERROR(IF($V189="BRAND.com",HLOOKUP($X189&amp;$Z189,NWC_FC_NOOS!$C$4:$Q$23,MATCH(W189,NWC_FC_NOOS!$B$4:$B$23,0),FALSE),0),0)</f>
        <v>0</v>
      </c>
      <c r="AO189" s="57">
        <f>IFERROR(IF($V189="BRAND.com",HLOOKUP($X189&amp;$Z189,NWC_FC_NOOS!$T$4:$AH$23,MATCH(W189,NWC_FC_NOOS!$S$4:$S$23,0),FALSE),0),0)</f>
        <v>0</v>
      </c>
      <c r="AP189" s="57">
        <f>IFERROR(IF($V189="BRAND.com",HLOOKUP($X189&amp;$Z189,NWC_FC_NOOS!$C$50:$U$69,MATCH(W189,NWC_FC_NOOS!$B$50:$B$69,0),FALSE),0),0)</f>
        <v>0</v>
      </c>
      <c r="AQ189" s="58">
        <f>IFERROR(IF($V189="BRAND.com",HLOOKUP($X189&amp;$Z189,'NWC_FC_NON-NOOS'!$C$4:$Q$23,MATCH(W189,'NWC_FC_NON-NOOS'!$B$4:$B$23,0),FALSE),0),0)</f>
        <v>0</v>
      </c>
      <c r="AR189" s="57">
        <f>IFERROR(IF($V189="BRAND.com",HLOOKUP($X189&amp;$Z189,'NWC_FC_NON-NOOS'!$T$4:$AH$23,MATCH(W189,'NWC_FC_NON-NOOS'!$S$4:$S$23,0),FALSE),0),0)</f>
        <v>0</v>
      </c>
      <c r="AS189" s="57">
        <f>IFERROR(IF($V189="BRAND.com",HLOOKUP($X189&amp;$Z189,'NWC_FC_NON-NOOS'!$C$50:$U$69,MATCH(W189,'NWC_FC_NON-NOOS'!$B$50:$B$69,0),FALSE),0),0)</f>
        <v>0</v>
      </c>
      <c r="AT189" s="57">
        <f t="shared" si="72"/>
        <v>0</v>
      </c>
      <c r="AU189" s="57">
        <f t="shared" si="73"/>
        <v>0</v>
      </c>
      <c r="AV189" s="58">
        <f>IFERROR(IF($V189="BRAND.com",HLOOKUP($X189&amp;$Z189,PLANNING_FC!$BB$27:$BP$46,MATCH($W189,PLANNING_FC!$BA$27:$BA$46,0),FALSE),0),0)</f>
        <v>0</v>
      </c>
      <c r="AW189" s="58">
        <f>IFERROR(IF($V189="BRAND.com",HLOOKUP($X189&amp;$Z189,PLANNING_FC!$BB$4:$BP$23,MATCH($W189,PLANNING_FC!$BA$4:$BA$23,0),FALSE),0),0)</f>
        <v>0</v>
      </c>
      <c r="AX189" s="58">
        <f>IFERROR(IF($V189="BRAND.com",HLOOKUP($X189&amp;$Z189,PLANNING_FC!$T$27:$AH$46,MATCH($W189,PLANNING_FC!$B$27:$B$46,0),FALSE),0),0)</f>
        <v>0</v>
      </c>
      <c r="AY189" s="58">
        <f>IFERROR(IF($V189="BRAND.com",HLOOKUP($X189&amp;$Z189,PLANNING_FC!$T$4:$AH$23,MATCH($W189,PLANNING_FC!$B$4:$B$23,0),FALSE),0),0)</f>
        <v>0</v>
      </c>
      <c r="AZ189" s="58">
        <f>IFERROR(IF($V189="BRAND.com",HLOOKUP($X189&amp;$Z189,PLANNING_FC!$DA$27:$DO$46,MATCH($W189,PLANNING_FC!$CZ$27:$CZ$46,0),FALSE),0),0)</f>
        <v>0</v>
      </c>
      <c r="BA189" s="58">
        <f>IFERROR(IF($V189="BRAND.com",HLOOKUP($X189&amp;$Z189,PLANNING_FC!$DA$4:$DO$23,MATCH($W189,PLANNING_FC!$CZ$4:$CZ$23,0),FALSE),0),0)</f>
        <v>0</v>
      </c>
      <c r="BB189" s="883" t="str">
        <f>IF(V189="BRAND.com",IFERROR(HLOOKUP(X189&amp;Z189,PLANNING_FC!$AK$4:$AY$23,MATCH(W189,PLANNING_FC!$AJ$4:$AJ$23,0),FALSE)*1000,""),"")</f>
        <v/>
      </c>
      <c r="BC189" s="883" t="str">
        <f>IF(V189="BRAND.com",IFERROR(HLOOKUP(X189&amp;Z189,PLANNING_FC!$AK$27:$AY$46,MATCH(W189,PLANNING_FC!$AJ$27:$AJ$46,0),FALSE)*1000,""),"")</f>
        <v/>
      </c>
    </row>
    <row r="190" spans="1:55" x14ac:dyDescent="0.25">
      <c r="A190" s="509"/>
      <c r="B190" s="510"/>
      <c r="C190" s="509"/>
      <c r="D190" s="509"/>
      <c r="E190" s="509"/>
      <c r="F190" s="509"/>
      <c r="G190" s="509"/>
      <c r="H190" s="509"/>
      <c r="I190" s="512"/>
      <c r="J190" s="513"/>
      <c r="K190" s="879"/>
      <c r="L190" s="515"/>
      <c r="M190" s="516"/>
      <c r="N190" s="56">
        <f t="shared" si="74"/>
        <v>0</v>
      </c>
      <c r="O190" s="57">
        <f t="shared" si="75"/>
        <v>0</v>
      </c>
      <c r="P190" s="57">
        <f ca="1">IFERROR(IF(ISBLANK(H190),SUMIFS($AC:$AC,$V:$V,V190,$W:$W,W190,$X:$X,X190,$Y:$Y,Y190)*J190/(1-J190)*VLOOKUP(_xlfn.CONCAT(C190,D190,E190,TIME!$M$12,Z190),HIS_SALES!$B$2:$W$4859,20,FALSE),AC190*J190/(1-J190)),0)</f>
        <v>0</v>
      </c>
      <c r="Q190" s="541" t="str">
        <f t="shared" si="85"/>
        <v/>
      </c>
      <c r="R190" s="346" t="str">
        <f t="shared" si="65"/>
        <v>00000</v>
      </c>
      <c r="S190" s="344">
        <f t="shared" si="76"/>
        <v>0</v>
      </c>
      <c r="T190" s="345" t="str">
        <f t="shared" si="71"/>
        <v>000</v>
      </c>
      <c r="U190" s="345">
        <f t="shared" si="77"/>
        <v>0</v>
      </c>
      <c r="V190" s="345">
        <f t="shared" si="78"/>
        <v>0</v>
      </c>
      <c r="W190" s="345">
        <f t="shared" si="79"/>
        <v>0</v>
      </c>
      <c r="X190" s="345">
        <f t="shared" si="80"/>
        <v>0</v>
      </c>
      <c r="Y190" s="345">
        <f t="shared" si="81"/>
        <v>0</v>
      </c>
      <c r="Z190" s="345">
        <f>IF(Q190&lt;&gt;"",VLOOKUP(Y190,TIME!$R$21:$V$24,MATCH(FC_DATA!Q190,TIME!$R$20:$V$20,0),FALSE),H190)</f>
        <v>0</v>
      </c>
      <c r="AA190" s="345" t="str">
        <f>IFERROR(VLOOKUP(X190&amp;Z190,TIME!$A$12:$D$71,4,FALSE),"")</f>
        <v/>
      </c>
      <c r="AB190" s="592">
        <f t="shared" ca="1" si="66"/>
        <v>0</v>
      </c>
      <c r="AC190" s="593" t="e">
        <f ca="1">IF(ISBLANK(H190)=FALSE,IF(D190="BRAND.com",I190,IF(ISNA(VLOOKUP(_xlfn.CONCAT(X190,Z190),TIME!$M$40:$M$42,1,FALSE)),I190,VLOOKUP(_xlfn.CONCAT(D190,G190,H190),M_BUSAREA_FC!$AF$5:$AJ$10,5,FALSE)*HLOOKUP(_xlfn.CONCAT(F190,H190),ST_OVERVIEW!$G$99:$I$130,MATCH(_xlfn.CONCAT(D190,E190),ST_OVERVIEW!$F$99:$F$130,0),FALSE))),IF(D190="BRAND.com",VLOOKUP(_xlfn.CONCAT(C190,D190,E190,TIME!$F$1,Z190),HIS_SALES!$B$2:$V$4859,19,FALSE)*I190,VLOOKUP(_xlfn.CONCAT(D190,F190,G190),Q_BUSAREA_FC!$AE$5:$AI$12,5,FALSE)*HLOOKUP(_xlfn.CONCAT(FC_DATA!F190,FC_DATA!G190),LT_OVERVIEW!$I$99:$M$130,MATCH(_xlfn.CONCAT(D190,FC_DATA!E190),LT_OVERVIEW!$H$99:$H$130,0),FALSE)*IFERROR(VLOOKUP(_xlfn.CONCAT(C190,D190,E190,TIME!$F$1,Z190),HIS_SALES!$B$2:$V$4859,19,FALSE),0)))</f>
        <v>#N/A</v>
      </c>
      <c r="AD190" s="341">
        <f t="shared" ca="1" si="82"/>
        <v>0</v>
      </c>
      <c r="AE190" s="363" t="str">
        <f t="shared" si="83"/>
        <v/>
      </c>
      <c r="AF190" s="342" t="str">
        <f t="shared" si="84"/>
        <v/>
      </c>
      <c r="AG190" s="411" t="e">
        <f ca="1">VLOOKUP(_xlfn.CONCAT(U190,V190,W190,VLOOKUP(X190&amp;Y190,TIME!$L$27:$O$34,4,FALSE),Y190),HIS_SALES!$A$2:$R$5093,18,FALSE)</f>
        <v>#N/A</v>
      </c>
      <c r="AH190" s="412" t="e">
        <f ca="1">IFERROR(IF(AND(V190=V189,W190=W189),0.5*(AB190+AB189)*AG190,(VLOOKUP(_xlfn.CONCAT(U190,V190,W190,X190,VLOOKUP(Z190,TIME!$S$28:$T$39,2,FALSE)),FC_DATA!$R$2:$AB$5000,MATCH("GS_I_M",FC_DATA!$R$1:$AB$1,0),FALSE)+FC_DATA!AB190)*0.5*FC_DATA!AG190),NA())</f>
        <v>#N/A</v>
      </c>
      <c r="AI190" s="491" t="e">
        <f ca="1">IF(V190="PARTNER.com",AH190,IF(AND(V190=V189,W190=W189),(1-AVERAGE(AD189,AD190))*AH190,(1-AVERAGE(AD190,VLOOKUP(_xlfn.CONCAT(U190,V190,W190,X190,M_BRAND_FC!$F$6),FC_DATA!$R$2:$AD$5000,MATCH("DISCOUNT_%_M",FC_DATA!$R$1:$AD$1,0),FALSE)))*AH190))</f>
        <v>#N/A</v>
      </c>
      <c r="AJ190" s="412" t="str">
        <f t="shared" ca="1" si="68"/>
        <v/>
      </c>
      <c r="AK190" s="413" t="str">
        <f>IFERROR(AE190/(Q_BRAND_FC!$T$24+1),"")</f>
        <v/>
      </c>
      <c r="AL190" s="88" t="str">
        <f t="shared" ca="1" si="69"/>
        <v/>
      </c>
      <c r="AM190" s="414" t="str">
        <f t="shared" ca="1" si="70"/>
        <v/>
      </c>
      <c r="AN190" s="58">
        <f>IFERROR(IF($V190="BRAND.com",HLOOKUP($X190&amp;$Z190,NWC_FC_NOOS!$C$4:$Q$23,MATCH(W190,NWC_FC_NOOS!$B$4:$B$23,0),FALSE),0),0)</f>
        <v>0</v>
      </c>
      <c r="AO190" s="57">
        <f>IFERROR(IF($V190="BRAND.com",HLOOKUP($X190&amp;$Z190,NWC_FC_NOOS!$T$4:$AH$23,MATCH(W190,NWC_FC_NOOS!$S$4:$S$23,0),FALSE),0),0)</f>
        <v>0</v>
      </c>
      <c r="AP190" s="57">
        <f>IFERROR(IF($V190="BRAND.com",HLOOKUP($X190&amp;$Z190,NWC_FC_NOOS!$C$50:$U$69,MATCH(W190,NWC_FC_NOOS!$B$50:$B$69,0),FALSE),0),0)</f>
        <v>0</v>
      </c>
      <c r="AQ190" s="58">
        <f>IFERROR(IF($V190="BRAND.com",HLOOKUP($X190&amp;$Z190,'NWC_FC_NON-NOOS'!$C$4:$Q$23,MATCH(W190,'NWC_FC_NON-NOOS'!$B$4:$B$23,0),FALSE),0),0)</f>
        <v>0</v>
      </c>
      <c r="AR190" s="57">
        <f>IFERROR(IF($V190="BRAND.com",HLOOKUP($X190&amp;$Z190,'NWC_FC_NON-NOOS'!$T$4:$AH$23,MATCH(W190,'NWC_FC_NON-NOOS'!$S$4:$S$23,0),FALSE),0),0)</f>
        <v>0</v>
      </c>
      <c r="AS190" s="57">
        <f>IFERROR(IF($V190="BRAND.com",HLOOKUP($X190&amp;$Z190,'NWC_FC_NON-NOOS'!$C$50:$U$69,MATCH(W190,'NWC_FC_NON-NOOS'!$B$50:$B$69,0),FALSE),0),0)</f>
        <v>0</v>
      </c>
      <c r="AT190" s="57">
        <f t="shared" si="72"/>
        <v>0</v>
      </c>
      <c r="AU190" s="57">
        <f t="shared" si="73"/>
        <v>0</v>
      </c>
      <c r="AV190" s="58">
        <f>IFERROR(IF($V190="BRAND.com",HLOOKUP($X190&amp;$Z190,PLANNING_FC!$BB$27:$BP$46,MATCH($W190,PLANNING_FC!$BA$27:$BA$46,0),FALSE),0),0)</f>
        <v>0</v>
      </c>
      <c r="AW190" s="58">
        <f>IFERROR(IF($V190="BRAND.com",HLOOKUP($X190&amp;$Z190,PLANNING_FC!$BB$4:$BP$23,MATCH($W190,PLANNING_FC!$BA$4:$BA$23,0),FALSE),0),0)</f>
        <v>0</v>
      </c>
      <c r="AX190" s="58">
        <f>IFERROR(IF($V190="BRAND.com",HLOOKUP($X190&amp;$Z190,PLANNING_FC!$T$27:$AH$46,MATCH($W190,PLANNING_FC!$B$27:$B$46,0),FALSE),0),0)</f>
        <v>0</v>
      </c>
      <c r="AY190" s="58">
        <f>IFERROR(IF($V190="BRAND.com",HLOOKUP($X190&amp;$Z190,PLANNING_FC!$T$4:$AH$23,MATCH($W190,PLANNING_FC!$B$4:$B$23,0),FALSE),0),0)</f>
        <v>0</v>
      </c>
      <c r="AZ190" s="58">
        <f>IFERROR(IF($V190="BRAND.com",HLOOKUP($X190&amp;$Z190,PLANNING_FC!$DA$27:$DO$46,MATCH($W190,PLANNING_FC!$CZ$27:$CZ$46,0),FALSE),0),0)</f>
        <v>0</v>
      </c>
      <c r="BA190" s="58">
        <f>IFERROR(IF($V190="BRAND.com",HLOOKUP($X190&amp;$Z190,PLANNING_FC!$DA$4:$DO$23,MATCH($W190,PLANNING_FC!$CZ$4:$CZ$23,0),FALSE),0),0)</f>
        <v>0</v>
      </c>
      <c r="BB190" s="883" t="str">
        <f>IF(V190="BRAND.com",IFERROR(HLOOKUP(X190&amp;Z190,PLANNING_FC!$AK$4:$AY$23,MATCH(W190,PLANNING_FC!$AJ$4:$AJ$23,0),FALSE)*1000,""),"")</f>
        <v/>
      </c>
      <c r="BC190" s="883" t="str">
        <f>IF(V190="BRAND.com",IFERROR(HLOOKUP(X190&amp;Z190,PLANNING_FC!$AK$27:$AY$46,MATCH(W190,PLANNING_FC!$AJ$27:$AJ$46,0),FALSE)*1000,""),"")</f>
        <v/>
      </c>
    </row>
    <row r="191" spans="1:55" x14ac:dyDescent="0.25">
      <c r="A191" s="509"/>
      <c r="B191" s="510"/>
      <c r="C191" s="509"/>
      <c r="D191" s="509"/>
      <c r="E191" s="509"/>
      <c r="F191" s="509"/>
      <c r="G191" s="509"/>
      <c r="H191" s="509"/>
      <c r="I191" s="512"/>
      <c r="J191" s="513"/>
      <c r="K191" s="879"/>
      <c r="L191" s="515"/>
      <c r="M191" s="516"/>
      <c r="N191" s="56">
        <f t="shared" si="74"/>
        <v>0</v>
      </c>
      <c r="O191" s="57">
        <f t="shared" si="75"/>
        <v>0</v>
      </c>
      <c r="P191" s="57">
        <f ca="1">IFERROR(IF(ISBLANK(H191),SUMIFS($AC:$AC,$V:$V,V191,$W:$W,W191,$X:$X,X191,$Y:$Y,Y191)*J191/(1-J191)*VLOOKUP(_xlfn.CONCAT(C191,D191,E191,TIME!$M$12,Z191),HIS_SALES!$B$2:$W$4859,20,FALSE),AC191*J191/(1-J191)),0)</f>
        <v>0</v>
      </c>
      <c r="Q191" s="541" t="str">
        <f t="shared" si="85"/>
        <v/>
      </c>
      <c r="R191" s="346" t="str">
        <f t="shared" si="65"/>
        <v>00000</v>
      </c>
      <c r="S191" s="344">
        <f t="shared" si="76"/>
        <v>0</v>
      </c>
      <c r="T191" s="345" t="str">
        <f t="shared" si="71"/>
        <v>000</v>
      </c>
      <c r="U191" s="345">
        <f t="shared" si="77"/>
        <v>0</v>
      </c>
      <c r="V191" s="345">
        <f t="shared" si="78"/>
        <v>0</v>
      </c>
      <c r="W191" s="345">
        <f t="shared" si="79"/>
        <v>0</v>
      </c>
      <c r="X191" s="345">
        <f t="shared" si="80"/>
        <v>0</v>
      </c>
      <c r="Y191" s="345">
        <f t="shared" si="81"/>
        <v>0</v>
      </c>
      <c r="Z191" s="345">
        <f>IF(Q191&lt;&gt;"",VLOOKUP(Y191,TIME!$R$21:$V$24,MATCH(FC_DATA!Q191,TIME!$R$20:$V$20,0),FALSE),H191)</f>
        <v>0</v>
      </c>
      <c r="AA191" s="345" t="str">
        <f>IFERROR(VLOOKUP(X191&amp;Z191,TIME!$A$12:$D$71,4,FALSE),"")</f>
        <v/>
      </c>
      <c r="AB191" s="592">
        <f t="shared" ca="1" si="66"/>
        <v>0</v>
      </c>
      <c r="AC191" s="593" t="e">
        <f ca="1">IF(ISBLANK(H191)=FALSE,IF(D191="BRAND.com",I191,IF(ISNA(VLOOKUP(_xlfn.CONCAT(X191,Z191),TIME!$M$40:$M$42,1,FALSE)),I191,VLOOKUP(_xlfn.CONCAT(D191,G191,H191),M_BUSAREA_FC!$AF$5:$AJ$10,5,FALSE)*HLOOKUP(_xlfn.CONCAT(F191,H191),ST_OVERVIEW!$G$99:$I$130,MATCH(_xlfn.CONCAT(D191,E191),ST_OVERVIEW!$F$99:$F$130,0),FALSE))),IF(D191="BRAND.com",VLOOKUP(_xlfn.CONCAT(C191,D191,E191,TIME!$F$1,Z191),HIS_SALES!$B$2:$V$4859,19,FALSE)*I191,VLOOKUP(_xlfn.CONCAT(D191,F191,G191),Q_BUSAREA_FC!$AE$5:$AI$12,5,FALSE)*HLOOKUP(_xlfn.CONCAT(FC_DATA!F191,FC_DATA!G191),LT_OVERVIEW!$I$99:$M$130,MATCH(_xlfn.CONCAT(D191,FC_DATA!E191),LT_OVERVIEW!$H$99:$H$130,0),FALSE)*IFERROR(VLOOKUP(_xlfn.CONCAT(C191,D191,E191,TIME!$F$1,Z191),HIS_SALES!$B$2:$V$4859,19,FALSE),0)))</f>
        <v>#N/A</v>
      </c>
      <c r="AD191" s="341">
        <f t="shared" ca="1" si="82"/>
        <v>0</v>
      </c>
      <c r="AE191" s="363" t="str">
        <f t="shared" si="83"/>
        <v/>
      </c>
      <c r="AF191" s="342" t="str">
        <f t="shared" si="84"/>
        <v/>
      </c>
      <c r="AG191" s="411" t="e">
        <f ca="1">VLOOKUP(_xlfn.CONCAT(U191,V191,W191,VLOOKUP(X191&amp;Y191,TIME!$L$27:$O$34,4,FALSE),Y191),HIS_SALES!$A$2:$R$5093,18,FALSE)</f>
        <v>#N/A</v>
      </c>
      <c r="AH191" s="412" t="e">
        <f ca="1">IFERROR(IF(AND(V191=V190,W191=W190),0.5*(AB191+AB190)*AG191,(VLOOKUP(_xlfn.CONCAT(U191,V191,W191,X191,VLOOKUP(Z191,TIME!$S$28:$T$39,2,FALSE)),FC_DATA!$R$2:$AB$5000,MATCH("GS_I_M",FC_DATA!$R$1:$AB$1,0),FALSE)+FC_DATA!AB191)*0.5*FC_DATA!AG191),NA())</f>
        <v>#N/A</v>
      </c>
      <c r="AI191" s="491" t="e">
        <f ca="1">IF(V191="PARTNER.com",AH191,IF(AND(V191=V190,W191=W190),(1-AVERAGE(AD190,AD191))*AH191,(1-AVERAGE(AD191,VLOOKUP(_xlfn.CONCAT(U191,V191,W191,X191,M_BRAND_FC!$F$6),FC_DATA!$R$2:$AD$5000,MATCH("DISCOUNT_%_M",FC_DATA!$R$1:$AD$1,0),FALSE)))*AH191))</f>
        <v>#N/A</v>
      </c>
      <c r="AJ191" s="412" t="str">
        <f t="shared" ca="1" si="68"/>
        <v/>
      </c>
      <c r="AK191" s="413" t="str">
        <f>IFERROR(AE191/(Q_BRAND_FC!$T$24+1),"")</f>
        <v/>
      </c>
      <c r="AL191" s="88" t="str">
        <f t="shared" ca="1" si="69"/>
        <v/>
      </c>
      <c r="AM191" s="414" t="str">
        <f t="shared" ca="1" si="70"/>
        <v/>
      </c>
      <c r="AN191" s="58">
        <f>IFERROR(IF($V191="BRAND.com",HLOOKUP($X191&amp;$Z191,NWC_FC_NOOS!$C$4:$Q$23,MATCH(W191,NWC_FC_NOOS!$B$4:$B$23,0),FALSE),0),0)</f>
        <v>0</v>
      </c>
      <c r="AO191" s="57">
        <f>IFERROR(IF($V191="BRAND.com",HLOOKUP($X191&amp;$Z191,NWC_FC_NOOS!$T$4:$AH$23,MATCH(W191,NWC_FC_NOOS!$S$4:$S$23,0),FALSE),0),0)</f>
        <v>0</v>
      </c>
      <c r="AP191" s="57">
        <f>IFERROR(IF($V191="BRAND.com",HLOOKUP($X191&amp;$Z191,NWC_FC_NOOS!$C$50:$U$69,MATCH(W191,NWC_FC_NOOS!$B$50:$B$69,0),FALSE),0),0)</f>
        <v>0</v>
      </c>
      <c r="AQ191" s="58">
        <f>IFERROR(IF($V191="BRAND.com",HLOOKUP($X191&amp;$Z191,'NWC_FC_NON-NOOS'!$C$4:$Q$23,MATCH(W191,'NWC_FC_NON-NOOS'!$B$4:$B$23,0),FALSE),0),0)</f>
        <v>0</v>
      </c>
      <c r="AR191" s="57">
        <f>IFERROR(IF($V191="BRAND.com",HLOOKUP($X191&amp;$Z191,'NWC_FC_NON-NOOS'!$T$4:$AH$23,MATCH(W191,'NWC_FC_NON-NOOS'!$S$4:$S$23,0),FALSE),0),0)</f>
        <v>0</v>
      </c>
      <c r="AS191" s="57">
        <f>IFERROR(IF($V191="BRAND.com",HLOOKUP($X191&amp;$Z191,'NWC_FC_NON-NOOS'!$C$50:$U$69,MATCH(W191,'NWC_FC_NON-NOOS'!$B$50:$B$69,0),FALSE),0),0)</f>
        <v>0</v>
      </c>
      <c r="AT191" s="57">
        <f t="shared" si="72"/>
        <v>0</v>
      </c>
      <c r="AU191" s="57">
        <f t="shared" si="73"/>
        <v>0</v>
      </c>
      <c r="AV191" s="58">
        <f>IFERROR(IF($V191="BRAND.com",HLOOKUP($X191&amp;$Z191,PLANNING_FC!$BB$27:$BP$46,MATCH($W191,PLANNING_FC!$BA$27:$BA$46,0),FALSE),0),0)</f>
        <v>0</v>
      </c>
      <c r="AW191" s="58">
        <f>IFERROR(IF($V191="BRAND.com",HLOOKUP($X191&amp;$Z191,PLANNING_FC!$BB$4:$BP$23,MATCH($W191,PLANNING_FC!$BA$4:$BA$23,0),FALSE),0),0)</f>
        <v>0</v>
      </c>
      <c r="AX191" s="58">
        <f>IFERROR(IF($V191="BRAND.com",HLOOKUP($X191&amp;$Z191,PLANNING_FC!$T$27:$AH$46,MATCH($W191,PLANNING_FC!$B$27:$B$46,0),FALSE),0),0)</f>
        <v>0</v>
      </c>
      <c r="AY191" s="58">
        <f>IFERROR(IF($V191="BRAND.com",HLOOKUP($X191&amp;$Z191,PLANNING_FC!$T$4:$AH$23,MATCH($W191,PLANNING_FC!$B$4:$B$23,0),FALSE),0),0)</f>
        <v>0</v>
      </c>
      <c r="AZ191" s="58">
        <f>IFERROR(IF($V191="BRAND.com",HLOOKUP($X191&amp;$Z191,PLANNING_FC!$DA$27:$DO$46,MATCH($W191,PLANNING_FC!$CZ$27:$CZ$46,0),FALSE),0),0)</f>
        <v>0</v>
      </c>
      <c r="BA191" s="58">
        <f>IFERROR(IF($V191="BRAND.com",HLOOKUP($X191&amp;$Z191,PLANNING_FC!$DA$4:$DO$23,MATCH($W191,PLANNING_FC!$CZ$4:$CZ$23,0),FALSE),0),0)</f>
        <v>0</v>
      </c>
      <c r="BB191" s="883" t="str">
        <f>IF(V191="BRAND.com",IFERROR(HLOOKUP(X191&amp;Z191,PLANNING_FC!$AK$4:$AY$23,MATCH(W191,PLANNING_FC!$AJ$4:$AJ$23,0),FALSE)*1000,""),"")</f>
        <v/>
      </c>
      <c r="BC191" s="883" t="str">
        <f>IF(V191="BRAND.com",IFERROR(HLOOKUP(X191&amp;Z191,PLANNING_FC!$AK$27:$AY$46,MATCH(W191,PLANNING_FC!$AJ$27:$AJ$46,0),FALSE)*1000,""),"")</f>
        <v/>
      </c>
    </row>
    <row r="192" spans="1:55" x14ac:dyDescent="0.25">
      <c r="A192" s="509"/>
      <c r="B192" s="510"/>
      <c r="C192" s="509"/>
      <c r="D192" s="509"/>
      <c r="E192" s="509"/>
      <c r="F192" s="509"/>
      <c r="G192" s="509"/>
      <c r="H192" s="509"/>
      <c r="I192" s="512"/>
      <c r="J192" s="513"/>
      <c r="K192" s="879"/>
      <c r="L192" s="515"/>
      <c r="M192" s="516"/>
      <c r="N192" s="56">
        <f t="shared" si="74"/>
        <v>0</v>
      </c>
      <c r="O192" s="57">
        <f t="shared" si="75"/>
        <v>0</v>
      </c>
      <c r="P192" s="57">
        <f ca="1">IFERROR(IF(ISBLANK(H192),SUMIFS($AC:$AC,$V:$V,V192,$W:$W,W192,$X:$X,X192,$Y:$Y,Y192)*J192/(1-J192)*VLOOKUP(_xlfn.CONCAT(C192,D192,E192,TIME!$M$12,Z192),HIS_SALES!$B$2:$W$4859,20,FALSE),AC192*J192/(1-J192)),0)</f>
        <v>0</v>
      </c>
      <c r="Q192" s="541" t="str">
        <f t="shared" si="85"/>
        <v/>
      </c>
      <c r="R192" s="346" t="str">
        <f t="shared" si="65"/>
        <v>00000</v>
      </c>
      <c r="S192" s="344">
        <f t="shared" si="76"/>
        <v>0</v>
      </c>
      <c r="T192" s="345" t="str">
        <f t="shared" si="71"/>
        <v>000</v>
      </c>
      <c r="U192" s="345">
        <f t="shared" si="77"/>
        <v>0</v>
      </c>
      <c r="V192" s="345">
        <f t="shared" si="78"/>
        <v>0</v>
      </c>
      <c r="W192" s="345">
        <f t="shared" si="79"/>
        <v>0</v>
      </c>
      <c r="X192" s="345">
        <f t="shared" si="80"/>
        <v>0</v>
      </c>
      <c r="Y192" s="345">
        <f t="shared" si="81"/>
        <v>0</v>
      </c>
      <c r="Z192" s="345">
        <f>IF(Q192&lt;&gt;"",VLOOKUP(Y192,TIME!$R$21:$V$24,MATCH(FC_DATA!Q192,TIME!$R$20:$V$20,0),FALSE),H192)</f>
        <v>0</v>
      </c>
      <c r="AA192" s="345" t="str">
        <f>IFERROR(VLOOKUP(X192&amp;Z192,TIME!$A$12:$D$71,4,FALSE),"")</f>
        <v/>
      </c>
      <c r="AB192" s="592">
        <f t="shared" ca="1" si="66"/>
        <v>0</v>
      </c>
      <c r="AC192" s="593" t="e">
        <f ca="1">IF(ISBLANK(H192)=FALSE,IF(D192="BRAND.com",I192,IF(ISNA(VLOOKUP(_xlfn.CONCAT(X192,Z192),TIME!$M$40:$M$42,1,FALSE)),I192,VLOOKUP(_xlfn.CONCAT(D192,G192,H192),M_BUSAREA_FC!$AF$5:$AJ$10,5,FALSE)*HLOOKUP(_xlfn.CONCAT(F192,H192),ST_OVERVIEW!$G$99:$I$130,MATCH(_xlfn.CONCAT(D192,E192),ST_OVERVIEW!$F$99:$F$130,0),FALSE))),IF(D192="BRAND.com",VLOOKUP(_xlfn.CONCAT(C192,D192,E192,TIME!$F$1,Z192),HIS_SALES!$B$2:$V$4859,19,FALSE)*I192,VLOOKUP(_xlfn.CONCAT(D192,F192,G192),Q_BUSAREA_FC!$AE$5:$AI$12,5,FALSE)*HLOOKUP(_xlfn.CONCAT(FC_DATA!F192,FC_DATA!G192),LT_OVERVIEW!$I$99:$M$130,MATCH(_xlfn.CONCAT(D192,FC_DATA!E192),LT_OVERVIEW!$H$99:$H$130,0),FALSE)*IFERROR(VLOOKUP(_xlfn.CONCAT(C192,D192,E192,TIME!$F$1,Z192),HIS_SALES!$B$2:$V$4859,19,FALSE),0)))</f>
        <v>#N/A</v>
      </c>
      <c r="AD192" s="341">
        <f t="shared" ca="1" si="82"/>
        <v>0</v>
      </c>
      <c r="AE192" s="363" t="str">
        <f t="shared" si="83"/>
        <v/>
      </c>
      <c r="AF192" s="342" t="str">
        <f t="shared" si="84"/>
        <v/>
      </c>
      <c r="AG192" s="411" t="e">
        <f ca="1">VLOOKUP(_xlfn.CONCAT(U192,V192,W192,VLOOKUP(X192&amp;Y192,TIME!$L$27:$O$34,4,FALSE),Y192),HIS_SALES!$A$2:$R$5093,18,FALSE)</f>
        <v>#N/A</v>
      </c>
      <c r="AH192" s="412" t="e">
        <f ca="1">IFERROR(IF(AND(V192=V191,W192=W191),0.5*(AB192+AB191)*AG192,(VLOOKUP(_xlfn.CONCAT(U192,V192,W192,X192,VLOOKUP(Z192,TIME!$S$28:$T$39,2,FALSE)),FC_DATA!$R$2:$AB$5000,MATCH("GS_I_M",FC_DATA!$R$1:$AB$1,0),FALSE)+FC_DATA!AB192)*0.5*FC_DATA!AG192),NA())</f>
        <v>#N/A</v>
      </c>
      <c r="AI192" s="491" t="e">
        <f ca="1">IF(V192="PARTNER.com",AH192,IF(AND(V192=V191,W192=W191),(1-AVERAGE(AD191,AD192))*AH192,(1-AVERAGE(AD192,VLOOKUP(_xlfn.CONCAT(U192,V192,W192,X192,M_BRAND_FC!$F$6),FC_DATA!$R$2:$AD$5000,MATCH("DISCOUNT_%_M",FC_DATA!$R$1:$AD$1,0),FALSE)))*AH192))</f>
        <v>#N/A</v>
      </c>
      <c r="AJ192" s="412" t="str">
        <f t="shared" ca="1" si="68"/>
        <v/>
      </c>
      <c r="AK192" s="413" t="str">
        <f>IFERROR(AE192/(Q_BRAND_FC!$T$24+1),"")</f>
        <v/>
      </c>
      <c r="AL192" s="88" t="str">
        <f t="shared" ca="1" si="69"/>
        <v/>
      </c>
      <c r="AM192" s="414" t="str">
        <f t="shared" ca="1" si="70"/>
        <v/>
      </c>
      <c r="AN192" s="58">
        <f>IFERROR(IF($V192="BRAND.com",HLOOKUP($X192&amp;$Z192,NWC_FC_NOOS!$C$4:$Q$23,MATCH(W192,NWC_FC_NOOS!$B$4:$B$23,0),FALSE),0),0)</f>
        <v>0</v>
      </c>
      <c r="AO192" s="57">
        <f>IFERROR(IF($V192="BRAND.com",HLOOKUP($X192&amp;$Z192,NWC_FC_NOOS!$T$4:$AH$23,MATCH(W192,NWC_FC_NOOS!$S$4:$S$23,0),FALSE),0),0)</f>
        <v>0</v>
      </c>
      <c r="AP192" s="57">
        <f>IFERROR(IF($V192="BRAND.com",HLOOKUP($X192&amp;$Z192,NWC_FC_NOOS!$C$50:$U$69,MATCH(W192,NWC_FC_NOOS!$B$50:$B$69,0),FALSE),0),0)</f>
        <v>0</v>
      </c>
      <c r="AQ192" s="58">
        <f>IFERROR(IF($V192="BRAND.com",HLOOKUP($X192&amp;$Z192,'NWC_FC_NON-NOOS'!$C$4:$Q$23,MATCH(W192,'NWC_FC_NON-NOOS'!$B$4:$B$23,0),FALSE),0),0)</f>
        <v>0</v>
      </c>
      <c r="AR192" s="57">
        <f>IFERROR(IF($V192="BRAND.com",HLOOKUP($X192&amp;$Z192,'NWC_FC_NON-NOOS'!$T$4:$AH$23,MATCH(W192,'NWC_FC_NON-NOOS'!$S$4:$S$23,0),FALSE),0),0)</f>
        <v>0</v>
      </c>
      <c r="AS192" s="57">
        <f>IFERROR(IF($V192="BRAND.com",HLOOKUP($X192&amp;$Z192,'NWC_FC_NON-NOOS'!$C$50:$U$69,MATCH(W192,'NWC_FC_NON-NOOS'!$B$50:$B$69,0),FALSE),0),0)</f>
        <v>0</v>
      </c>
      <c r="AT192" s="57">
        <f t="shared" si="72"/>
        <v>0</v>
      </c>
      <c r="AU192" s="57">
        <f t="shared" si="73"/>
        <v>0</v>
      </c>
      <c r="AV192" s="58">
        <f>IFERROR(IF($V192="BRAND.com",HLOOKUP($X192&amp;$Z192,PLANNING_FC!$BB$27:$BP$46,MATCH($W192,PLANNING_FC!$BA$27:$BA$46,0),FALSE),0),0)</f>
        <v>0</v>
      </c>
      <c r="AW192" s="58">
        <f>IFERROR(IF($V192="BRAND.com",HLOOKUP($X192&amp;$Z192,PLANNING_FC!$BB$4:$BP$23,MATCH($W192,PLANNING_FC!$BA$4:$BA$23,0),FALSE),0),0)</f>
        <v>0</v>
      </c>
      <c r="AX192" s="58">
        <f>IFERROR(IF($V192="BRAND.com",HLOOKUP($X192&amp;$Z192,PLANNING_FC!$T$27:$AH$46,MATCH($W192,PLANNING_FC!$B$27:$B$46,0),FALSE),0),0)</f>
        <v>0</v>
      </c>
      <c r="AY192" s="58">
        <f>IFERROR(IF($V192="BRAND.com",HLOOKUP($X192&amp;$Z192,PLANNING_FC!$T$4:$AH$23,MATCH($W192,PLANNING_FC!$B$4:$B$23,0),FALSE),0),0)</f>
        <v>0</v>
      </c>
      <c r="AZ192" s="58">
        <f>IFERROR(IF($V192="BRAND.com",HLOOKUP($X192&amp;$Z192,PLANNING_FC!$DA$27:$DO$46,MATCH($W192,PLANNING_FC!$CZ$27:$CZ$46,0),FALSE),0),0)</f>
        <v>0</v>
      </c>
      <c r="BA192" s="58">
        <f>IFERROR(IF($V192="BRAND.com",HLOOKUP($X192&amp;$Z192,PLANNING_FC!$DA$4:$DO$23,MATCH($W192,PLANNING_FC!$CZ$4:$CZ$23,0),FALSE),0),0)</f>
        <v>0</v>
      </c>
      <c r="BB192" s="883" t="str">
        <f>IF(V192="BRAND.com",IFERROR(HLOOKUP(X192&amp;Z192,PLANNING_FC!$AK$4:$AY$23,MATCH(W192,PLANNING_FC!$AJ$4:$AJ$23,0),FALSE)*1000,""),"")</f>
        <v/>
      </c>
      <c r="BC192" s="883" t="str">
        <f>IF(V192="BRAND.com",IFERROR(HLOOKUP(X192&amp;Z192,PLANNING_FC!$AK$27:$AY$46,MATCH(W192,PLANNING_FC!$AJ$27:$AJ$46,0),FALSE)*1000,""),"")</f>
        <v/>
      </c>
    </row>
    <row r="193" spans="1:55" x14ac:dyDescent="0.25">
      <c r="A193" s="509"/>
      <c r="B193" s="510"/>
      <c r="C193" s="509"/>
      <c r="D193" s="509"/>
      <c r="E193" s="509"/>
      <c r="F193" s="509"/>
      <c r="G193" s="509"/>
      <c r="H193" s="509"/>
      <c r="I193" s="512"/>
      <c r="J193" s="513"/>
      <c r="K193" s="879"/>
      <c r="L193" s="515"/>
      <c r="M193" s="516"/>
      <c r="N193" s="56">
        <f t="shared" si="74"/>
        <v>0</v>
      </c>
      <c r="O193" s="57">
        <f t="shared" si="75"/>
        <v>0</v>
      </c>
      <c r="P193" s="57">
        <f ca="1">IFERROR(IF(ISBLANK(H193),SUMIFS($AC:$AC,$V:$V,V193,$W:$W,W193,$X:$X,X193,$Y:$Y,Y193)*J193/(1-J193)*VLOOKUP(_xlfn.CONCAT(C193,D193,E193,TIME!$M$12,Z193),HIS_SALES!$B$2:$W$4859,20,FALSE),AC193*J193/(1-J193)),0)</f>
        <v>0</v>
      </c>
      <c r="Q193" s="541" t="str">
        <f t="shared" si="85"/>
        <v/>
      </c>
      <c r="R193" s="346" t="str">
        <f t="shared" si="65"/>
        <v>00000</v>
      </c>
      <c r="S193" s="344">
        <f t="shared" si="76"/>
        <v>0</v>
      </c>
      <c r="T193" s="345" t="str">
        <f t="shared" si="71"/>
        <v>000</v>
      </c>
      <c r="U193" s="345">
        <f t="shared" si="77"/>
        <v>0</v>
      </c>
      <c r="V193" s="345">
        <f t="shared" si="78"/>
        <v>0</v>
      </c>
      <c r="W193" s="345">
        <f t="shared" si="79"/>
        <v>0</v>
      </c>
      <c r="X193" s="345">
        <f t="shared" si="80"/>
        <v>0</v>
      </c>
      <c r="Y193" s="345">
        <f t="shared" si="81"/>
        <v>0</v>
      </c>
      <c r="Z193" s="345">
        <f>IF(Q193&lt;&gt;"",VLOOKUP(Y193,TIME!$R$21:$V$24,MATCH(FC_DATA!Q193,TIME!$R$20:$V$20,0),FALSE),H193)</f>
        <v>0</v>
      </c>
      <c r="AA193" s="345" t="str">
        <f>IFERROR(VLOOKUP(X193&amp;Z193,TIME!$A$12:$D$71,4,FALSE),"")</f>
        <v/>
      </c>
      <c r="AB193" s="592">
        <f t="shared" ca="1" si="66"/>
        <v>0</v>
      </c>
      <c r="AC193" s="593" t="e">
        <f ca="1">IF(ISBLANK(H193)=FALSE,IF(D193="BRAND.com",I193,IF(ISNA(VLOOKUP(_xlfn.CONCAT(X193,Z193),TIME!$M$40:$M$42,1,FALSE)),I193,VLOOKUP(_xlfn.CONCAT(D193,G193,H193),M_BUSAREA_FC!$AF$5:$AJ$10,5,FALSE)*HLOOKUP(_xlfn.CONCAT(F193,H193),ST_OVERVIEW!$G$99:$I$130,MATCH(_xlfn.CONCAT(D193,E193),ST_OVERVIEW!$F$99:$F$130,0),FALSE))),IF(D193="BRAND.com",VLOOKUP(_xlfn.CONCAT(C193,D193,E193,TIME!$F$1,Z193),HIS_SALES!$B$2:$V$4859,19,FALSE)*I193,VLOOKUP(_xlfn.CONCAT(D193,F193,G193),Q_BUSAREA_FC!$AE$5:$AI$12,5,FALSE)*HLOOKUP(_xlfn.CONCAT(FC_DATA!F193,FC_DATA!G193),LT_OVERVIEW!$I$99:$M$130,MATCH(_xlfn.CONCAT(D193,FC_DATA!E193),LT_OVERVIEW!$H$99:$H$130,0),FALSE)*IFERROR(VLOOKUP(_xlfn.CONCAT(C193,D193,E193,TIME!$F$1,Z193),HIS_SALES!$B$2:$V$4859,19,FALSE),0)))</f>
        <v>#N/A</v>
      </c>
      <c r="AD193" s="341">
        <f t="shared" ca="1" si="82"/>
        <v>0</v>
      </c>
      <c r="AE193" s="363" t="str">
        <f t="shared" si="83"/>
        <v/>
      </c>
      <c r="AF193" s="342" t="str">
        <f t="shared" si="84"/>
        <v/>
      </c>
      <c r="AG193" s="411" t="e">
        <f ca="1">VLOOKUP(_xlfn.CONCAT(U193,V193,W193,VLOOKUP(X193&amp;Y193,TIME!$L$27:$O$34,4,FALSE),Y193),HIS_SALES!$A$2:$R$5093,18,FALSE)</f>
        <v>#N/A</v>
      </c>
      <c r="AH193" s="412" t="e">
        <f ca="1">IFERROR(IF(AND(V193=V192,W193=W192),0.5*(AB193+AB192)*AG193,(VLOOKUP(_xlfn.CONCAT(U193,V193,W193,X193,VLOOKUP(Z193,TIME!$S$28:$T$39,2,FALSE)),FC_DATA!$R$2:$AB$5000,MATCH("GS_I_M",FC_DATA!$R$1:$AB$1,0),FALSE)+FC_DATA!AB193)*0.5*FC_DATA!AG193),NA())</f>
        <v>#N/A</v>
      </c>
      <c r="AI193" s="491" t="e">
        <f ca="1">IF(V193="PARTNER.com",AH193,IF(AND(V193=V192,W193=W192),(1-AVERAGE(AD192,AD193))*AH193,(1-AVERAGE(AD193,VLOOKUP(_xlfn.CONCAT(U193,V193,W193,X193,M_BRAND_FC!$F$6),FC_DATA!$R$2:$AD$5000,MATCH("DISCOUNT_%_M",FC_DATA!$R$1:$AD$1,0),FALSE)))*AH193))</f>
        <v>#N/A</v>
      </c>
      <c r="AJ193" s="412" t="str">
        <f t="shared" ca="1" si="68"/>
        <v/>
      </c>
      <c r="AK193" s="413" t="str">
        <f>IFERROR(AE193/(Q_BRAND_FC!$T$24+1),"")</f>
        <v/>
      </c>
      <c r="AL193" s="88" t="str">
        <f t="shared" ca="1" si="69"/>
        <v/>
      </c>
      <c r="AM193" s="414" t="str">
        <f t="shared" ca="1" si="70"/>
        <v/>
      </c>
      <c r="AN193" s="58">
        <f>IFERROR(IF($V193="BRAND.com",HLOOKUP($X193&amp;$Z193,NWC_FC_NOOS!$C$4:$Q$23,MATCH(W193,NWC_FC_NOOS!$B$4:$B$23,0),FALSE),0),0)</f>
        <v>0</v>
      </c>
      <c r="AO193" s="57">
        <f>IFERROR(IF($V193="BRAND.com",HLOOKUP($X193&amp;$Z193,NWC_FC_NOOS!$T$4:$AH$23,MATCH(W193,NWC_FC_NOOS!$S$4:$S$23,0),FALSE),0),0)</f>
        <v>0</v>
      </c>
      <c r="AP193" s="57">
        <f>IFERROR(IF($V193="BRAND.com",HLOOKUP($X193&amp;$Z193,NWC_FC_NOOS!$C$50:$U$69,MATCH(W193,NWC_FC_NOOS!$B$50:$B$69,0),FALSE),0),0)</f>
        <v>0</v>
      </c>
      <c r="AQ193" s="58">
        <f>IFERROR(IF($V193="BRAND.com",HLOOKUP($X193&amp;$Z193,'NWC_FC_NON-NOOS'!$C$4:$Q$23,MATCH(W193,'NWC_FC_NON-NOOS'!$B$4:$B$23,0),FALSE),0),0)</f>
        <v>0</v>
      </c>
      <c r="AR193" s="57">
        <f>IFERROR(IF($V193="BRAND.com",HLOOKUP($X193&amp;$Z193,'NWC_FC_NON-NOOS'!$T$4:$AH$23,MATCH(W193,'NWC_FC_NON-NOOS'!$S$4:$S$23,0),FALSE),0),0)</f>
        <v>0</v>
      </c>
      <c r="AS193" s="57">
        <f>IFERROR(IF($V193="BRAND.com",HLOOKUP($X193&amp;$Z193,'NWC_FC_NON-NOOS'!$C$50:$U$69,MATCH(W193,'NWC_FC_NON-NOOS'!$B$50:$B$69,0),FALSE),0),0)</f>
        <v>0</v>
      </c>
      <c r="AT193" s="57">
        <f t="shared" si="72"/>
        <v>0</v>
      </c>
      <c r="AU193" s="57">
        <f t="shared" si="73"/>
        <v>0</v>
      </c>
      <c r="AV193" s="58">
        <f>IFERROR(IF($V193="BRAND.com",HLOOKUP($X193&amp;$Z193,PLANNING_FC!$BB$27:$BP$46,MATCH($W193,PLANNING_FC!$BA$27:$BA$46,0),FALSE),0),0)</f>
        <v>0</v>
      </c>
      <c r="AW193" s="58">
        <f>IFERROR(IF($V193="BRAND.com",HLOOKUP($X193&amp;$Z193,PLANNING_FC!$BB$4:$BP$23,MATCH($W193,PLANNING_FC!$BA$4:$BA$23,0),FALSE),0),0)</f>
        <v>0</v>
      </c>
      <c r="AX193" s="58">
        <f>IFERROR(IF($V193="BRAND.com",HLOOKUP($X193&amp;$Z193,PLANNING_FC!$T$27:$AH$46,MATCH($W193,PLANNING_FC!$B$27:$B$46,0),FALSE),0),0)</f>
        <v>0</v>
      </c>
      <c r="AY193" s="58">
        <f>IFERROR(IF($V193="BRAND.com",HLOOKUP($X193&amp;$Z193,PLANNING_FC!$T$4:$AH$23,MATCH($W193,PLANNING_FC!$B$4:$B$23,0),FALSE),0),0)</f>
        <v>0</v>
      </c>
      <c r="AZ193" s="58">
        <f>IFERROR(IF($V193="BRAND.com",HLOOKUP($X193&amp;$Z193,PLANNING_FC!$DA$27:$DO$46,MATCH($W193,PLANNING_FC!$CZ$27:$CZ$46,0),FALSE),0),0)</f>
        <v>0</v>
      </c>
      <c r="BA193" s="58">
        <f>IFERROR(IF($V193="BRAND.com",HLOOKUP($X193&amp;$Z193,PLANNING_FC!$DA$4:$DO$23,MATCH($W193,PLANNING_FC!$CZ$4:$CZ$23,0),FALSE),0),0)</f>
        <v>0</v>
      </c>
      <c r="BB193" s="883" t="str">
        <f>IF(V193="BRAND.com",IFERROR(HLOOKUP(X193&amp;Z193,PLANNING_FC!$AK$4:$AY$23,MATCH(W193,PLANNING_FC!$AJ$4:$AJ$23,0),FALSE)*1000,""),"")</f>
        <v/>
      </c>
      <c r="BC193" s="883" t="str">
        <f>IF(V193="BRAND.com",IFERROR(HLOOKUP(X193&amp;Z193,PLANNING_FC!$AK$27:$AY$46,MATCH(W193,PLANNING_FC!$AJ$27:$AJ$46,0),FALSE)*1000,""),"")</f>
        <v/>
      </c>
    </row>
    <row r="194" spans="1:55" x14ac:dyDescent="0.25">
      <c r="A194" s="509"/>
      <c r="B194" s="510"/>
      <c r="C194" s="509"/>
      <c r="D194" s="509"/>
      <c r="E194" s="509"/>
      <c r="F194" s="509"/>
      <c r="G194" s="509"/>
      <c r="H194" s="509"/>
      <c r="I194" s="512"/>
      <c r="J194" s="513"/>
      <c r="K194" s="879"/>
      <c r="L194" s="515"/>
      <c r="M194" s="516"/>
      <c r="N194" s="56">
        <f t="shared" ref="N194:N257" si="86">IFERROR(I194/(1-J194)*J194,0)</f>
        <v>0</v>
      </c>
      <c r="O194" s="57">
        <f t="shared" ref="O194:O257" si="87">IFERROR(I194+N194,0)</f>
        <v>0</v>
      </c>
      <c r="P194" s="57">
        <f ca="1">IFERROR(IF(ISBLANK(H194),SUMIFS($AC:$AC,$V:$V,V194,$W:$W,W194,$X:$X,X194,$Y:$Y,Y194)*J194/(1-J194)*VLOOKUP(_xlfn.CONCAT(C194,D194,E194,TIME!$M$12,Z194),HIS_SALES!$B$2:$W$4859,20,FALSE),AC194*J194/(1-J194)),0)</f>
        <v>0</v>
      </c>
      <c r="Q194" s="541" t="str">
        <f t="shared" ref="Q194:Q257" si="88">IF(AND(A194&lt;&gt;"",H194=""),IF(A194=A193,Q193+1,1),"")</f>
        <v/>
      </c>
      <c r="R194" s="346" t="str">
        <f t="shared" ref="R194:R257" si="89">U194&amp;V194&amp;W194&amp;X194&amp;Z194</f>
        <v>00000</v>
      </c>
      <c r="S194" s="344">
        <f t="shared" ref="S194:S257" si="90">B194</f>
        <v>0</v>
      </c>
      <c r="T194" s="345" t="str">
        <f t="shared" si="71"/>
        <v>000</v>
      </c>
      <c r="U194" s="345">
        <f t="shared" ref="U194:U257" si="91">C194</f>
        <v>0</v>
      </c>
      <c r="V194" s="345">
        <f t="shared" ref="V194:V257" si="92">D194</f>
        <v>0</v>
      </c>
      <c r="W194" s="345">
        <f t="shared" ref="W194:W257" si="93">E194</f>
        <v>0</v>
      </c>
      <c r="X194" s="345">
        <f t="shared" ref="X194:X257" si="94">F194</f>
        <v>0</v>
      </c>
      <c r="Y194" s="345">
        <f t="shared" ref="Y194:Y257" si="95">G194</f>
        <v>0</v>
      </c>
      <c r="Z194" s="345">
        <f>IF(Q194&lt;&gt;"",VLOOKUP(Y194,TIME!$R$21:$V$24,MATCH(FC_DATA!Q194,TIME!$R$20:$V$20,0),FALSE),H194)</f>
        <v>0</v>
      </c>
      <c r="AA194" s="345" t="str">
        <f>IFERROR(VLOOKUP(X194&amp;Z194,TIME!$A$12:$D$71,4,FALSE),"")</f>
        <v/>
      </c>
      <c r="AB194" s="592">
        <f t="shared" ref="AB194:AB257" ca="1" si="96">IFERROR(AC194+P194,0)</f>
        <v>0</v>
      </c>
      <c r="AC194" s="593" t="e">
        <f ca="1">IF(ISBLANK(H194)=FALSE,IF(D194="BRAND.com",I194,IF(ISNA(VLOOKUP(_xlfn.CONCAT(X194,Z194),TIME!$M$40:$M$42,1,FALSE)),I194,VLOOKUP(_xlfn.CONCAT(D194,G194,H194),M_BUSAREA_FC!$AF$5:$AJ$10,5,FALSE)*HLOOKUP(_xlfn.CONCAT(F194,H194),ST_OVERVIEW!$G$99:$I$130,MATCH(_xlfn.CONCAT(D194,E194),ST_OVERVIEW!$F$99:$F$130,0),FALSE))),IF(D194="BRAND.com",VLOOKUP(_xlfn.CONCAT(C194,D194,E194,TIME!$F$1,Z194),HIS_SALES!$B$2:$V$4859,19,FALSE)*I194,VLOOKUP(_xlfn.CONCAT(D194,F194,G194),Q_BUSAREA_FC!$AE$5:$AI$12,5,FALSE)*HLOOKUP(_xlfn.CONCAT(FC_DATA!F194,FC_DATA!G194),LT_OVERVIEW!$I$99:$M$130,MATCH(_xlfn.CONCAT(D194,FC_DATA!E194),LT_OVERVIEW!$H$99:$H$130,0),FALSE)*IFERROR(VLOOKUP(_xlfn.CONCAT(C194,D194,E194,TIME!$F$1,Z194),HIS_SALES!$B$2:$V$4859,19,FALSE),0)))</f>
        <v>#N/A</v>
      </c>
      <c r="AD194" s="341">
        <f t="shared" ref="AD194:AD257" ca="1" si="97">IFERROR(IF(D194="PARTNER.com",0,1-AC194/AB194),0)</f>
        <v>0</v>
      </c>
      <c r="AE194" s="363" t="str">
        <f t="shared" ref="AE194:AE257" si="98">IF(A194&lt;&gt;"",K194,"")</f>
        <v/>
      </c>
      <c r="AF194" s="342" t="str">
        <f t="shared" ref="AF194:AF257" si="99">IF(B194&lt;&gt;"",M194,"")</f>
        <v/>
      </c>
      <c r="AG194" s="411" t="e">
        <f ca="1">VLOOKUP(_xlfn.CONCAT(U194,V194,W194,VLOOKUP(X194&amp;Y194,TIME!$L$27:$O$34,4,FALSE),Y194),HIS_SALES!$A$2:$R$5093,18,FALSE)</f>
        <v>#N/A</v>
      </c>
      <c r="AH194" s="412" t="e">
        <f ca="1">IFERROR(IF(AND(V194=V193,W194=W193),0.5*(AB194+AB193)*AG194,(VLOOKUP(_xlfn.CONCAT(U194,V194,W194,X194,VLOOKUP(Z194,TIME!$S$28:$T$39,2,FALSE)),FC_DATA!$R$2:$AB$5000,MATCH("GS_I_M",FC_DATA!$R$1:$AB$1,0),FALSE)+FC_DATA!AB194)*0.5*FC_DATA!AG194),NA())</f>
        <v>#N/A</v>
      </c>
      <c r="AI194" s="491" t="e">
        <f ca="1">IF(V194="PARTNER.com",AH194,IF(AND(V194=V193,W194=W193),(1-AVERAGE(AD193,AD194))*AH194,(1-AVERAGE(AD194,VLOOKUP(_xlfn.CONCAT(U194,V194,W194,X194,M_BRAND_FC!$F$6),FC_DATA!$R$2:$AD$5000,MATCH("DISCOUNT_%_M",FC_DATA!$R$1:$AD$1,0),FALSE)))*AH194))</f>
        <v>#N/A</v>
      </c>
      <c r="AJ194" s="412" t="str">
        <f t="shared" ref="AJ194:AJ257" ca="1" si="100">IFERROR(AC194-AI194,"")</f>
        <v/>
      </c>
      <c r="AK194" s="413" t="str">
        <f>IFERROR(AE194/(Q_BRAND_FC!$T$24+1),"")</f>
        <v/>
      </c>
      <c r="AL194" s="88" t="str">
        <f t="shared" ref="AL194:AL257" ca="1" si="101">IFERROR((AB194-AH194)/AK194*AF194,"")</f>
        <v/>
      </c>
      <c r="AM194" s="414" t="str">
        <f t="shared" ref="AM194:AM257" ca="1" si="102">IFERROR((AB194-AH194)/AK194*(1-AF194),"")</f>
        <v/>
      </c>
      <c r="AN194" s="58">
        <f>IFERROR(IF($V194="BRAND.com",HLOOKUP($X194&amp;$Z194,NWC_FC_NOOS!$C$4:$Q$23,MATCH(W194,NWC_FC_NOOS!$B$4:$B$23,0),FALSE),0),0)</f>
        <v>0</v>
      </c>
      <c r="AO194" s="57">
        <f>IFERROR(IF($V194="BRAND.com",HLOOKUP($X194&amp;$Z194,NWC_FC_NOOS!$T$4:$AH$23,MATCH(W194,NWC_FC_NOOS!$S$4:$S$23,0),FALSE),0),0)</f>
        <v>0</v>
      </c>
      <c r="AP194" s="57">
        <f>IFERROR(IF($V194="BRAND.com",HLOOKUP($X194&amp;$Z194,NWC_FC_NOOS!$C$50:$U$69,MATCH(W194,NWC_FC_NOOS!$B$50:$B$69,0),FALSE),0),0)</f>
        <v>0</v>
      </c>
      <c r="AQ194" s="58">
        <f>IFERROR(IF($V194="BRAND.com",HLOOKUP($X194&amp;$Z194,'NWC_FC_NON-NOOS'!$C$4:$Q$23,MATCH(W194,'NWC_FC_NON-NOOS'!$B$4:$B$23,0),FALSE),0),0)</f>
        <v>0</v>
      </c>
      <c r="AR194" s="57">
        <f>IFERROR(IF($V194="BRAND.com",HLOOKUP($X194&amp;$Z194,'NWC_FC_NON-NOOS'!$T$4:$AH$23,MATCH(W194,'NWC_FC_NON-NOOS'!$S$4:$S$23,0),FALSE),0),0)</f>
        <v>0</v>
      </c>
      <c r="AS194" s="57">
        <f>IFERROR(IF($V194="BRAND.com",HLOOKUP($X194&amp;$Z194,'NWC_FC_NON-NOOS'!$C$50:$U$69,MATCH(W194,'NWC_FC_NON-NOOS'!$B$50:$B$69,0),FALSE),0),0)</f>
        <v>0</v>
      </c>
      <c r="AT194" s="57">
        <f t="shared" si="72"/>
        <v>0</v>
      </c>
      <c r="AU194" s="57">
        <f t="shared" si="73"/>
        <v>0</v>
      </c>
      <c r="AV194" s="58">
        <f>IFERROR(IF($V194="BRAND.com",HLOOKUP($X194&amp;$Z194,PLANNING_FC!$BB$27:$BP$46,MATCH($W194,PLANNING_FC!$BA$27:$BA$46,0),FALSE),0),0)</f>
        <v>0</v>
      </c>
      <c r="AW194" s="58">
        <f>IFERROR(IF($V194="BRAND.com",HLOOKUP($X194&amp;$Z194,PLANNING_FC!$BB$4:$BP$23,MATCH($W194,PLANNING_FC!$BA$4:$BA$23,0),FALSE),0),0)</f>
        <v>0</v>
      </c>
      <c r="AX194" s="58">
        <f>IFERROR(IF($V194="BRAND.com",HLOOKUP($X194&amp;$Z194,PLANNING_FC!$T$27:$AH$46,MATCH($W194,PLANNING_FC!$B$27:$B$46,0),FALSE),0),0)</f>
        <v>0</v>
      </c>
      <c r="AY194" s="58">
        <f>IFERROR(IF($V194="BRAND.com",HLOOKUP($X194&amp;$Z194,PLANNING_FC!$T$4:$AH$23,MATCH($W194,PLANNING_FC!$B$4:$B$23,0),FALSE),0),0)</f>
        <v>0</v>
      </c>
      <c r="AZ194" s="58">
        <f>IFERROR(IF($V194="BRAND.com",HLOOKUP($X194&amp;$Z194,PLANNING_FC!$DA$27:$DO$46,MATCH($W194,PLANNING_FC!$CZ$27:$CZ$46,0),FALSE),0),0)</f>
        <v>0</v>
      </c>
      <c r="BA194" s="58">
        <f>IFERROR(IF($V194="BRAND.com",HLOOKUP($X194&amp;$Z194,PLANNING_FC!$DA$4:$DO$23,MATCH($W194,PLANNING_FC!$CZ$4:$CZ$23,0),FALSE),0),0)</f>
        <v>0</v>
      </c>
      <c r="BB194" s="883" t="str">
        <f>IF(V194="BRAND.com",IFERROR(HLOOKUP(X194&amp;Z194,PLANNING_FC!$AK$4:$AY$23,MATCH(W194,PLANNING_FC!$AJ$4:$AJ$23,0),FALSE)*1000,""),"")</f>
        <v/>
      </c>
      <c r="BC194" s="883" t="str">
        <f>IF(V194="BRAND.com",IFERROR(HLOOKUP(X194&amp;Z194,PLANNING_FC!$AK$27:$AY$46,MATCH(W194,PLANNING_FC!$AJ$27:$AJ$46,0),FALSE)*1000,""),"")</f>
        <v/>
      </c>
    </row>
    <row r="195" spans="1:55" x14ac:dyDescent="0.25">
      <c r="A195" s="509"/>
      <c r="B195" s="510"/>
      <c r="C195" s="509"/>
      <c r="D195" s="509"/>
      <c r="E195" s="509"/>
      <c r="F195" s="509"/>
      <c r="G195" s="509"/>
      <c r="H195" s="509"/>
      <c r="I195" s="512"/>
      <c r="J195" s="513"/>
      <c r="K195" s="879"/>
      <c r="L195" s="515"/>
      <c r="M195" s="516"/>
      <c r="N195" s="56">
        <f t="shared" si="86"/>
        <v>0</v>
      </c>
      <c r="O195" s="57">
        <f t="shared" si="87"/>
        <v>0</v>
      </c>
      <c r="P195" s="57">
        <f ca="1">IFERROR(IF(ISBLANK(H195),SUMIFS($AC:$AC,$V:$V,V195,$W:$W,W195,$X:$X,X195,$Y:$Y,Y195)*J195/(1-J195)*VLOOKUP(_xlfn.CONCAT(C195,D195,E195,TIME!$M$12,Z195),HIS_SALES!$B$2:$W$4859,20,FALSE),AC195*J195/(1-J195)),0)</f>
        <v>0</v>
      </c>
      <c r="Q195" s="541" t="str">
        <f t="shared" si="88"/>
        <v/>
      </c>
      <c r="R195" s="346" t="str">
        <f t="shared" si="89"/>
        <v>00000</v>
      </c>
      <c r="S195" s="344">
        <f t="shared" si="90"/>
        <v>0</v>
      </c>
      <c r="T195" s="345" t="str">
        <f t="shared" ref="T195:T258" si="103">U195&amp;V195&amp;W195&amp;AA195</f>
        <v>000</v>
      </c>
      <c r="U195" s="345">
        <f t="shared" si="91"/>
        <v>0</v>
      </c>
      <c r="V195" s="345">
        <f t="shared" si="92"/>
        <v>0</v>
      </c>
      <c r="W195" s="345">
        <f t="shared" si="93"/>
        <v>0</v>
      </c>
      <c r="X195" s="345">
        <f t="shared" si="94"/>
        <v>0</v>
      </c>
      <c r="Y195" s="345">
        <f t="shared" si="95"/>
        <v>0</v>
      </c>
      <c r="Z195" s="345">
        <f>IF(Q195&lt;&gt;"",VLOOKUP(Y195,TIME!$R$21:$V$24,MATCH(FC_DATA!Q195,TIME!$R$20:$V$20,0),FALSE),H195)</f>
        <v>0</v>
      </c>
      <c r="AA195" s="345" t="str">
        <f>IFERROR(VLOOKUP(X195&amp;Z195,TIME!$A$12:$D$71,4,FALSE),"")</f>
        <v/>
      </c>
      <c r="AB195" s="592">
        <f t="shared" ca="1" si="96"/>
        <v>0</v>
      </c>
      <c r="AC195" s="593" t="e">
        <f ca="1">IF(ISBLANK(H195)=FALSE,IF(D195="BRAND.com",I195,IF(ISNA(VLOOKUP(_xlfn.CONCAT(X195,Z195),TIME!$M$40:$M$42,1,FALSE)),I195,VLOOKUP(_xlfn.CONCAT(D195,G195,H195),M_BUSAREA_FC!$AF$5:$AJ$10,5,FALSE)*HLOOKUP(_xlfn.CONCAT(F195,H195),ST_OVERVIEW!$G$99:$I$130,MATCH(_xlfn.CONCAT(D195,E195),ST_OVERVIEW!$F$99:$F$130,0),FALSE))),IF(D195="BRAND.com",VLOOKUP(_xlfn.CONCAT(C195,D195,E195,TIME!$F$1,Z195),HIS_SALES!$B$2:$V$4859,19,FALSE)*I195,VLOOKUP(_xlfn.CONCAT(D195,F195,G195),Q_BUSAREA_FC!$AE$5:$AI$12,5,FALSE)*HLOOKUP(_xlfn.CONCAT(FC_DATA!F195,FC_DATA!G195),LT_OVERVIEW!$I$99:$M$130,MATCH(_xlfn.CONCAT(D195,FC_DATA!E195),LT_OVERVIEW!$H$99:$H$130,0),FALSE)*IFERROR(VLOOKUP(_xlfn.CONCAT(C195,D195,E195,TIME!$F$1,Z195),HIS_SALES!$B$2:$V$4859,19,FALSE),0)))</f>
        <v>#N/A</v>
      </c>
      <c r="AD195" s="341">
        <f t="shared" ca="1" si="97"/>
        <v>0</v>
      </c>
      <c r="AE195" s="363" t="str">
        <f t="shared" si="98"/>
        <v/>
      </c>
      <c r="AF195" s="342" t="str">
        <f t="shared" si="99"/>
        <v/>
      </c>
      <c r="AG195" s="411" t="e">
        <f ca="1">VLOOKUP(_xlfn.CONCAT(U195,V195,W195,VLOOKUP(X195&amp;Y195,TIME!$L$27:$O$34,4,FALSE),Y195),HIS_SALES!$A$2:$R$5093,18,FALSE)</f>
        <v>#N/A</v>
      </c>
      <c r="AH195" s="412" t="e">
        <f ca="1">IFERROR(IF(AND(V195=V194,W195=W194),0.5*(AB195+AB194)*AG195,(VLOOKUP(_xlfn.CONCAT(U195,V195,W195,X195,VLOOKUP(Z195,TIME!$S$28:$T$39,2,FALSE)),FC_DATA!$R$2:$AB$5000,MATCH("GS_I_M",FC_DATA!$R$1:$AB$1,0),FALSE)+FC_DATA!AB195)*0.5*FC_DATA!AG195),NA())</f>
        <v>#N/A</v>
      </c>
      <c r="AI195" s="491" t="e">
        <f ca="1">IF(V195="PARTNER.com",AH195,IF(AND(V195=V194,W195=W194),(1-AVERAGE(AD194,AD195))*AH195,(1-AVERAGE(AD195,VLOOKUP(_xlfn.CONCAT(U195,V195,W195,X195,M_BRAND_FC!$F$6),FC_DATA!$R$2:$AD$5000,MATCH("DISCOUNT_%_M",FC_DATA!$R$1:$AD$1,0),FALSE)))*AH195))</f>
        <v>#N/A</v>
      </c>
      <c r="AJ195" s="412" t="str">
        <f t="shared" ca="1" si="100"/>
        <v/>
      </c>
      <c r="AK195" s="413" t="str">
        <f>IFERROR(AE195/(Q_BRAND_FC!$T$24+1),"")</f>
        <v/>
      </c>
      <c r="AL195" s="88" t="str">
        <f t="shared" ca="1" si="101"/>
        <v/>
      </c>
      <c r="AM195" s="414" t="str">
        <f t="shared" ca="1" si="102"/>
        <v/>
      </c>
      <c r="AN195" s="58">
        <f>IFERROR(IF($V195="BRAND.com",HLOOKUP($X195&amp;$Z195,NWC_FC_NOOS!$C$4:$Q$23,MATCH(W195,NWC_FC_NOOS!$B$4:$B$23,0),FALSE),0),0)</f>
        <v>0</v>
      </c>
      <c r="AO195" s="57">
        <f>IFERROR(IF($V195="BRAND.com",HLOOKUP($X195&amp;$Z195,NWC_FC_NOOS!$T$4:$AH$23,MATCH(W195,NWC_FC_NOOS!$S$4:$S$23,0),FALSE),0),0)</f>
        <v>0</v>
      </c>
      <c r="AP195" s="57">
        <f>IFERROR(IF($V195="BRAND.com",HLOOKUP($X195&amp;$Z195,NWC_FC_NOOS!$C$50:$U$69,MATCH(W195,NWC_FC_NOOS!$B$50:$B$69,0),FALSE),0),0)</f>
        <v>0</v>
      </c>
      <c r="AQ195" s="58">
        <f>IFERROR(IF($V195="BRAND.com",HLOOKUP($X195&amp;$Z195,'NWC_FC_NON-NOOS'!$C$4:$Q$23,MATCH(W195,'NWC_FC_NON-NOOS'!$B$4:$B$23,0),FALSE),0),0)</f>
        <v>0</v>
      </c>
      <c r="AR195" s="57">
        <f>IFERROR(IF($V195="BRAND.com",HLOOKUP($X195&amp;$Z195,'NWC_FC_NON-NOOS'!$T$4:$AH$23,MATCH(W195,'NWC_FC_NON-NOOS'!$S$4:$S$23,0),FALSE),0),0)</f>
        <v>0</v>
      </c>
      <c r="AS195" s="57">
        <f>IFERROR(IF($V195="BRAND.com",HLOOKUP($X195&amp;$Z195,'NWC_FC_NON-NOOS'!$C$50:$U$69,MATCH(W195,'NWC_FC_NON-NOOS'!$B$50:$B$69,0),FALSE),0),0)</f>
        <v>0</v>
      </c>
      <c r="AT195" s="57">
        <f t="shared" ref="AT195:AT258" si="104">AO195+AR195</f>
        <v>0</v>
      </c>
      <c r="AU195" s="57">
        <f t="shared" ref="AU195:AU258" si="105">AP195+AS195</f>
        <v>0</v>
      </c>
      <c r="AV195" s="58">
        <f>IFERROR(IF($V195="BRAND.com",HLOOKUP($X195&amp;$Z195,PLANNING_FC!$BB$27:$BP$46,MATCH($W195,PLANNING_FC!$BA$27:$BA$46,0),FALSE),0),0)</f>
        <v>0</v>
      </c>
      <c r="AW195" s="58">
        <f>IFERROR(IF($V195="BRAND.com",HLOOKUP($X195&amp;$Z195,PLANNING_FC!$BB$4:$BP$23,MATCH($W195,PLANNING_FC!$BA$4:$BA$23,0),FALSE),0),0)</f>
        <v>0</v>
      </c>
      <c r="AX195" s="58">
        <f>IFERROR(IF($V195="BRAND.com",HLOOKUP($X195&amp;$Z195,PLANNING_FC!$T$27:$AH$46,MATCH($W195,PLANNING_FC!$B$27:$B$46,0),FALSE),0),0)</f>
        <v>0</v>
      </c>
      <c r="AY195" s="58">
        <f>IFERROR(IF($V195="BRAND.com",HLOOKUP($X195&amp;$Z195,PLANNING_FC!$T$4:$AH$23,MATCH($W195,PLANNING_FC!$B$4:$B$23,0),FALSE),0),0)</f>
        <v>0</v>
      </c>
      <c r="AZ195" s="58">
        <f>IFERROR(IF($V195="BRAND.com",HLOOKUP($X195&amp;$Z195,PLANNING_FC!$DA$27:$DO$46,MATCH($W195,PLANNING_FC!$CZ$27:$CZ$46,0),FALSE),0),0)</f>
        <v>0</v>
      </c>
      <c r="BA195" s="58">
        <f>IFERROR(IF($V195="BRAND.com",HLOOKUP($X195&amp;$Z195,PLANNING_FC!$DA$4:$DO$23,MATCH($W195,PLANNING_FC!$CZ$4:$CZ$23,0),FALSE),0),0)</f>
        <v>0</v>
      </c>
      <c r="BB195" s="883" t="str">
        <f>IF(V195="BRAND.com",IFERROR(HLOOKUP(X195&amp;Z195,PLANNING_FC!$AK$4:$AY$23,MATCH(W195,PLANNING_FC!$AJ$4:$AJ$23,0),FALSE)*1000,""),"")</f>
        <v/>
      </c>
      <c r="BC195" s="883" t="str">
        <f>IF(V195="BRAND.com",IFERROR(HLOOKUP(X195&amp;Z195,PLANNING_FC!$AK$27:$AY$46,MATCH(W195,PLANNING_FC!$AJ$27:$AJ$46,0),FALSE)*1000,""),"")</f>
        <v/>
      </c>
    </row>
    <row r="196" spans="1:55" x14ac:dyDescent="0.25">
      <c r="A196" s="509"/>
      <c r="B196" s="510"/>
      <c r="C196" s="509"/>
      <c r="D196" s="509"/>
      <c r="E196" s="509"/>
      <c r="F196" s="509"/>
      <c r="G196" s="509"/>
      <c r="H196" s="509"/>
      <c r="I196" s="512"/>
      <c r="J196" s="513"/>
      <c r="K196" s="879"/>
      <c r="L196" s="515"/>
      <c r="M196" s="516"/>
      <c r="N196" s="56">
        <f t="shared" si="86"/>
        <v>0</v>
      </c>
      <c r="O196" s="57">
        <f t="shared" si="87"/>
        <v>0</v>
      </c>
      <c r="P196" s="57">
        <f ca="1">IFERROR(IF(ISBLANK(H196),SUMIFS($AC:$AC,$V:$V,V196,$W:$W,W196,$X:$X,X196,$Y:$Y,Y196)*J196/(1-J196)*VLOOKUP(_xlfn.CONCAT(C196,D196,E196,TIME!$M$12,Z196),HIS_SALES!$B$2:$W$4859,20,FALSE),AC196*J196/(1-J196)),0)</f>
        <v>0</v>
      </c>
      <c r="Q196" s="541" t="str">
        <f t="shared" si="88"/>
        <v/>
      </c>
      <c r="R196" s="346" t="str">
        <f t="shared" si="89"/>
        <v>00000</v>
      </c>
      <c r="S196" s="344">
        <f t="shared" si="90"/>
        <v>0</v>
      </c>
      <c r="T196" s="345" t="str">
        <f t="shared" si="103"/>
        <v>000</v>
      </c>
      <c r="U196" s="345">
        <f t="shared" si="91"/>
        <v>0</v>
      </c>
      <c r="V196" s="345">
        <f t="shared" si="92"/>
        <v>0</v>
      </c>
      <c r="W196" s="345">
        <f t="shared" si="93"/>
        <v>0</v>
      </c>
      <c r="X196" s="345">
        <f t="shared" si="94"/>
        <v>0</v>
      </c>
      <c r="Y196" s="345">
        <f t="shared" si="95"/>
        <v>0</v>
      </c>
      <c r="Z196" s="345">
        <f>IF(Q196&lt;&gt;"",VLOOKUP(Y196,TIME!$R$21:$V$24,MATCH(FC_DATA!Q196,TIME!$R$20:$V$20,0),FALSE),H196)</f>
        <v>0</v>
      </c>
      <c r="AA196" s="345" t="str">
        <f>IFERROR(VLOOKUP(X196&amp;Z196,TIME!$A$12:$D$71,4,FALSE),"")</f>
        <v/>
      </c>
      <c r="AB196" s="592">
        <f t="shared" ca="1" si="96"/>
        <v>0</v>
      </c>
      <c r="AC196" s="593" t="e">
        <f ca="1">IF(ISBLANK(H196)=FALSE,IF(D196="BRAND.com",I196,IF(ISNA(VLOOKUP(_xlfn.CONCAT(X196,Z196),TIME!$M$40:$M$42,1,FALSE)),I196,VLOOKUP(_xlfn.CONCAT(D196,G196,H196),M_BUSAREA_FC!$AF$5:$AJ$10,5,FALSE)*HLOOKUP(_xlfn.CONCAT(F196,H196),ST_OVERVIEW!$G$99:$I$130,MATCH(_xlfn.CONCAT(D196,E196),ST_OVERVIEW!$F$99:$F$130,0),FALSE))),IF(D196="BRAND.com",VLOOKUP(_xlfn.CONCAT(C196,D196,E196,TIME!$F$1,Z196),HIS_SALES!$B$2:$V$4859,19,FALSE)*I196,VLOOKUP(_xlfn.CONCAT(D196,F196,G196),Q_BUSAREA_FC!$AE$5:$AI$12,5,FALSE)*HLOOKUP(_xlfn.CONCAT(FC_DATA!F196,FC_DATA!G196),LT_OVERVIEW!$I$99:$M$130,MATCH(_xlfn.CONCAT(D196,FC_DATA!E196),LT_OVERVIEW!$H$99:$H$130,0),FALSE)*IFERROR(VLOOKUP(_xlfn.CONCAT(C196,D196,E196,TIME!$F$1,Z196),HIS_SALES!$B$2:$V$4859,19,FALSE),0)))</f>
        <v>#N/A</v>
      </c>
      <c r="AD196" s="341">
        <f t="shared" ca="1" si="97"/>
        <v>0</v>
      </c>
      <c r="AE196" s="363" t="str">
        <f t="shared" si="98"/>
        <v/>
      </c>
      <c r="AF196" s="342" t="str">
        <f t="shared" si="99"/>
        <v/>
      </c>
      <c r="AG196" s="411" t="e">
        <f ca="1">VLOOKUP(_xlfn.CONCAT(U196,V196,W196,VLOOKUP(X196&amp;Y196,TIME!$L$27:$O$34,4,FALSE),Y196),HIS_SALES!$A$2:$R$5093,18,FALSE)</f>
        <v>#N/A</v>
      </c>
      <c r="AH196" s="412" t="e">
        <f ca="1">IFERROR(IF(AND(V196=V195,W196=W195),0.5*(AB196+AB195)*AG196,(VLOOKUP(_xlfn.CONCAT(U196,V196,W196,X196,VLOOKUP(Z196,TIME!$S$28:$T$39,2,FALSE)),FC_DATA!$R$2:$AB$5000,MATCH("GS_I_M",FC_DATA!$R$1:$AB$1,0),FALSE)+FC_DATA!AB196)*0.5*FC_DATA!AG196),NA())</f>
        <v>#N/A</v>
      </c>
      <c r="AI196" s="491" t="e">
        <f ca="1">IF(V196="PARTNER.com",AH196,IF(AND(V196=V195,W196=W195),(1-AVERAGE(AD195,AD196))*AH196,(1-AVERAGE(AD196,VLOOKUP(_xlfn.CONCAT(U196,V196,W196,X196,M_BRAND_FC!$F$6),FC_DATA!$R$2:$AD$5000,MATCH("DISCOUNT_%_M",FC_DATA!$R$1:$AD$1,0),FALSE)))*AH196))</f>
        <v>#N/A</v>
      </c>
      <c r="AJ196" s="412" t="str">
        <f t="shared" ca="1" si="100"/>
        <v/>
      </c>
      <c r="AK196" s="413" t="str">
        <f>IFERROR(AE196/(Q_BRAND_FC!$T$24+1),"")</f>
        <v/>
      </c>
      <c r="AL196" s="88" t="str">
        <f t="shared" ca="1" si="101"/>
        <v/>
      </c>
      <c r="AM196" s="414" t="str">
        <f t="shared" ca="1" si="102"/>
        <v/>
      </c>
      <c r="AN196" s="58">
        <f>IFERROR(IF($V196="BRAND.com",HLOOKUP($X196&amp;$Z196,NWC_FC_NOOS!$C$4:$Q$23,MATCH(W196,NWC_FC_NOOS!$B$4:$B$23,0),FALSE),0),0)</f>
        <v>0</v>
      </c>
      <c r="AO196" s="57">
        <f>IFERROR(IF($V196="BRAND.com",HLOOKUP($X196&amp;$Z196,NWC_FC_NOOS!$T$4:$AH$23,MATCH(W196,NWC_FC_NOOS!$S$4:$S$23,0),FALSE),0),0)</f>
        <v>0</v>
      </c>
      <c r="AP196" s="57">
        <f>IFERROR(IF($V196="BRAND.com",HLOOKUP($X196&amp;$Z196,NWC_FC_NOOS!$C$50:$U$69,MATCH(W196,NWC_FC_NOOS!$B$50:$B$69,0),FALSE),0),0)</f>
        <v>0</v>
      </c>
      <c r="AQ196" s="58">
        <f>IFERROR(IF($V196="BRAND.com",HLOOKUP($X196&amp;$Z196,'NWC_FC_NON-NOOS'!$C$4:$Q$23,MATCH(W196,'NWC_FC_NON-NOOS'!$B$4:$B$23,0),FALSE),0),0)</f>
        <v>0</v>
      </c>
      <c r="AR196" s="57">
        <f>IFERROR(IF($V196="BRAND.com",HLOOKUP($X196&amp;$Z196,'NWC_FC_NON-NOOS'!$T$4:$AH$23,MATCH(W196,'NWC_FC_NON-NOOS'!$S$4:$S$23,0),FALSE),0),0)</f>
        <v>0</v>
      </c>
      <c r="AS196" s="57">
        <f>IFERROR(IF($V196="BRAND.com",HLOOKUP($X196&amp;$Z196,'NWC_FC_NON-NOOS'!$C$50:$U$69,MATCH(W196,'NWC_FC_NON-NOOS'!$B$50:$B$69,0),FALSE),0),0)</f>
        <v>0</v>
      </c>
      <c r="AT196" s="57">
        <f t="shared" si="104"/>
        <v>0</v>
      </c>
      <c r="AU196" s="57">
        <f t="shared" si="105"/>
        <v>0</v>
      </c>
      <c r="AV196" s="58">
        <f>IFERROR(IF($V196="BRAND.com",HLOOKUP($X196&amp;$Z196,PLANNING_FC!$BB$27:$BP$46,MATCH($W196,PLANNING_FC!$BA$27:$BA$46,0),FALSE),0),0)</f>
        <v>0</v>
      </c>
      <c r="AW196" s="58">
        <f>IFERROR(IF($V196="BRAND.com",HLOOKUP($X196&amp;$Z196,PLANNING_FC!$BB$4:$BP$23,MATCH($W196,PLANNING_FC!$BA$4:$BA$23,0),FALSE),0),0)</f>
        <v>0</v>
      </c>
      <c r="AX196" s="58">
        <f>IFERROR(IF($V196="BRAND.com",HLOOKUP($X196&amp;$Z196,PLANNING_FC!$T$27:$AH$46,MATCH($W196,PLANNING_FC!$B$27:$B$46,0),FALSE),0),0)</f>
        <v>0</v>
      </c>
      <c r="AY196" s="58">
        <f>IFERROR(IF($V196="BRAND.com",HLOOKUP($X196&amp;$Z196,PLANNING_FC!$T$4:$AH$23,MATCH($W196,PLANNING_FC!$B$4:$B$23,0),FALSE),0),0)</f>
        <v>0</v>
      </c>
      <c r="AZ196" s="58">
        <f>IFERROR(IF($V196="BRAND.com",HLOOKUP($X196&amp;$Z196,PLANNING_FC!$DA$27:$DO$46,MATCH($W196,PLANNING_FC!$CZ$27:$CZ$46,0),FALSE),0),0)</f>
        <v>0</v>
      </c>
      <c r="BA196" s="58">
        <f>IFERROR(IF($V196="BRAND.com",HLOOKUP($X196&amp;$Z196,PLANNING_FC!$DA$4:$DO$23,MATCH($W196,PLANNING_FC!$CZ$4:$CZ$23,0),FALSE),0),0)</f>
        <v>0</v>
      </c>
      <c r="BB196" s="883" t="str">
        <f>IF(V196="BRAND.com",IFERROR(HLOOKUP(X196&amp;Z196,PLANNING_FC!$AK$4:$AY$23,MATCH(W196,PLANNING_FC!$AJ$4:$AJ$23,0),FALSE)*1000,""),"")</f>
        <v/>
      </c>
      <c r="BC196" s="883" t="str">
        <f>IF(V196="BRAND.com",IFERROR(HLOOKUP(X196&amp;Z196,PLANNING_FC!$AK$27:$AY$46,MATCH(W196,PLANNING_FC!$AJ$27:$AJ$46,0),FALSE)*1000,""),"")</f>
        <v/>
      </c>
    </row>
    <row r="197" spans="1:55" x14ac:dyDescent="0.25">
      <c r="A197" s="509"/>
      <c r="B197" s="510"/>
      <c r="C197" s="509"/>
      <c r="D197" s="509"/>
      <c r="E197" s="509"/>
      <c r="F197" s="509"/>
      <c r="G197" s="509"/>
      <c r="H197" s="509"/>
      <c r="I197" s="512"/>
      <c r="J197" s="513"/>
      <c r="K197" s="879"/>
      <c r="L197" s="515"/>
      <c r="M197" s="516"/>
      <c r="N197" s="56">
        <f t="shared" si="86"/>
        <v>0</v>
      </c>
      <c r="O197" s="57">
        <f t="shared" si="87"/>
        <v>0</v>
      </c>
      <c r="P197" s="57">
        <f ca="1">IFERROR(IF(ISBLANK(H197),SUMIFS($AC:$AC,$V:$V,V197,$W:$W,W197,$X:$X,X197,$Y:$Y,Y197)*J197/(1-J197)*VLOOKUP(_xlfn.CONCAT(C197,D197,E197,TIME!$M$12,Z197),HIS_SALES!$B$2:$W$4859,20,FALSE),AC197*J197/(1-J197)),0)</f>
        <v>0</v>
      </c>
      <c r="Q197" s="541" t="str">
        <f t="shared" si="88"/>
        <v/>
      </c>
      <c r="R197" s="346" t="str">
        <f t="shared" si="89"/>
        <v>00000</v>
      </c>
      <c r="S197" s="344">
        <f t="shared" si="90"/>
        <v>0</v>
      </c>
      <c r="T197" s="345" t="str">
        <f t="shared" si="103"/>
        <v>000</v>
      </c>
      <c r="U197" s="345">
        <f t="shared" si="91"/>
        <v>0</v>
      </c>
      <c r="V197" s="345">
        <f t="shared" si="92"/>
        <v>0</v>
      </c>
      <c r="W197" s="345">
        <f t="shared" si="93"/>
        <v>0</v>
      </c>
      <c r="X197" s="345">
        <f t="shared" si="94"/>
        <v>0</v>
      </c>
      <c r="Y197" s="345">
        <f t="shared" si="95"/>
        <v>0</v>
      </c>
      <c r="Z197" s="345">
        <f>IF(Q197&lt;&gt;"",VLOOKUP(Y197,TIME!$R$21:$V$24,MATCH(FC_DATA!Q197,TIME!$R$20:$V$20,0),FALSE),H197)</f>
        <v>0</v>
      </c>
      <c r="AA197" s="345" t="str">
        <f>IFERROR(VLOOKUP(X197&amp;Z197,TIME!$A$12:$D$71,4,FALSE),"")</f>
        <v/>
      </c>
      <c r="AB197" s="592">
        <f t="shared" ca="1" si="96"/>
        <v>0</v>
      </c>
      <c r="AC197" s="593" t="e">
        <f ca="1">IF(ISBLANK(H197)=FALSE,IF(D197="BRAND.com",I197,IF(ISNA(VLOOKUP(_xlfn.CONCAT(X197,Z197),TIME!$M$40:$M$42,1,FALSE)),I197,VLOOKUP(_xlfn.CONCAT(D197,G197,H197),M_BUSAREA_FC!$AF$5:$AJ$10,5,FALSE)*HLOOKUP(_xlfn.CONCAT(F197,H197),ST_OVERVIEW!$G$99:$I$130,MATCH(_xlfn.CONCAT(D197,E197),ST_OVERVIEW!$F$99:$F$130,0),FALSE))),IF(D197="BRAND.com",VLOOKUP(_xlfn.CONCAT(C197,D197,E197,TIME!$F$1,Z197),HIS_SALES!$B$2:$V$4859,19,FALSE)*I197,VLOOKUP(_xlfn.CONCAT(D197,F197,G197),Q_BUSAREA_FC!$AE$5:$AI$12,5,FALSE)*HLOOKUP(_xlfn.CONCAT(FC_DATA!F197,FC_DATA!G197),LT_OVERVIEW!$I$99:$M$130,MATCH(_xlfn.CONCAT(D197,FC_DATA!E197),LT_OVERVIEW!$H$99:$H$130,0),FALSE)*IFERROR(VLOOKUP(_xlfn.CONCAT(C197,D197,E197,TIME!$F$1,Z197),HIS_SALES!$B$2:$V$4859,19,FALSE),0)))</f>
        <v>#N/A</v>
      </c>
      <c r="AD197" s="341">
        <f t="shared" ca="1" si="97"/>
        <v>0</v>
      </c>
      <c r="AE197" s="363" t="str">
        <f t="shared" si="98"/>
        <v/>
      </c>
      <c r="AF197" s="342" t="str">
        <f t="shared" si="99"/>
        <v/>
      </c>
      <c r="AG197" s="411" t="e">
        <f ca="1">VLOOKUP(_xlfn.CONCAT(U197,V197,W197,VLOOKUP(X197&amp;Y197,TIME!$L$27:$O$34,4,FALSE),Y197),HIS_SALES!$A$2:$R$5093,18,FALSE)</f>
        <v>#N/A</v>
      </c>
      <c r="AH197" s="412" t="e">
        <f ca="1">IFERROR(IF(AND(V197=V196,W197=W196),0.5*(AB197+AB196)*AG197,(VLOOKUP(_xlfn.CONCAT(U197,V197,W197,X197,VLOOKUP(Z197,TIME!$S$28:$T$39,2,FALSE)),FC_DATA!$R$2:$AB$5000,MATCH("GS_I_M",FC_DATA!$R$1:$AB$1,0),FALSE)+FC_DATA!AB197)*0.5*FC_DATA!AG197),NA())</f>
        <v>#N/A</v>
      </c>
      <c r="AI197" s="491" t="e">
        <f ca="1">IF(V197="PARTNER.com",AH197,IF(AND(V197=V196,W197=W196),(1-AVERAGE(AD196,AD197))*AH197,(1-AVERAGE(AD197,VLOOKUP(_xlfn.CONCAT(U197,V197,W197,X197,M_BRAND_FC!$F$6),FC_DATA!$R$2:$AD$5000,MATCH("DISCOUNT_%_M",FC_DATA!$R$1:$AD$1,0),FALSE)))*AH197))</f>
        <v>#N/A</v>
      </c>
      <c r="AJ197" s="412" t="str">
        <f t="shared" ca="1" si="100"/>
        <v/>
      </c>
      <c r="AK197" s="413" t="str">
        <f>IFERROR(AE197/(Q_BRAND_FC!$T$24+1),"")</f>
        <v/>
      </c>
      <c r="AL197" s="88" t="str">
        <f t="shared" ca="1" si="101"/>
        <v/>
      </c>
      <c r="AM197" s="414" t="str">
        <f t="shared" ca="1" si="102"/>
        <v/>
      </c>
      <c r="AN197" s="58">
        <f>IFERROR(IF($V197="BRAND.com",HLOOKUP($X197&amp;$Z197,NWC_FC_NOOS!$C$4:$Q$23,MATCH(W197,NWC_FC_NOOS!$B$4:$B$23,0),FALSE),0),0)</f>
        <v>0</v>
      </c>
      <c r="AO197" s="57">
        <f>IFERROR(IF($V197="BRAND.com",HLOOKUP($X197&amp;$Z197,NWC_FC_NOOS!$T$4:$AH$23,MATCH(W197,NWC_FC_NOOS!$S$4:$S$23,0),FALSE),0),0)</f>
        <v>0</v>
      </c>
      <c r="AP197" s="57">
        <f>IFERROR(IF($V197="BRAND.com",HLOOKUP($X197&amp;$Z197,NWC_FC_NOOS!$C$50:$U$69,MATCH(W197,NWC_FC_NOOS!$B$50:$B$69,0),FALSE),0),0)</f>
        <v>0</v>
      </c>
      <c r="AQ197" s="58">
        <f>IFERROR(IF($V197="BRAND.com",HLOOKUP($X197&amp;$Z197,'NWC_FC_NON-NOOS'!$C$4:$Q$23,MATCH(W197,'NWC_FC_NON-NOOS'!$B$4:$B$23,0),FALSE),0),0)</f>
        <v>0</v>
      </c>
      <c r="AR197" s="57">
        <f>IFERROR(IF($V197="BRAND.com",HLOOKUP($X197&amp;$Z197,'NWC_FC_NON-NOOS'!$T$4:$AH$23,MATCH(W197,'NWC_FC_NON-NOOS'!$S$4:$S$23,0),FALSE),0),0)</f>
        <v>0</v>
      </c>
      <c r="AS197" s="57">
        <f>IFERROR(IF($V197="BRAND.com",HLOOKUP($X197&amp;$Z197,'NWC_FC_NON-NOOS'!$C$50:$U$69,MATCH(W197,'NWC_FC_NON-NOOS'!$B$50:$B$69,0),FALSE),0),0)</f>
        <v>0</v>
      </c>
      <c r="AT197" s="57">
        <f t="shared" si="104"/>
        <v>0</v>
      </c>
      <c r="AU197" s="57">
        <f t="shared" si="105"/>
        <v>0</v>
      </c>
      <c r="AV197" s="58">
        <f>IFERROR(IF($V197="BRAND.com",HLOOKUP($X197&amp;$Z197,PLANNING_FC!$BB$27:$BP$46,MATCH($W197,PLANNING_FC!$BA$27:$BA$46,0),FALSE),0),0)</f>
        <v>0</v>
      </c>
      <c r="AW197" s="58">
        <f>IFERROR(IF($V197="BRAND.com",HLOOKUP($X197&amp;$Z197,PLANNING_FC!$BB$4:$BP$23,MATCH($W197,PLANNING_FC!$BA$4:$BA$23,0),FALSE),0),0)</f>
        <v>0</v>
      </c>
      <c r="AX197" s="58">
        <f>IFERROR(IF($V197="BRAND.com",HLOOKUP($X197&amp;$Z197,PLANNING_FC!$T$27:$AH$46,MATCH($W197,PLANNING_FC!$B$27:$B$46,0),FALSE),0),0)</f>
        <v>0</v>
      </c>
      <c r="AY197" s="58">
        <f>IFERROR(IF($V197="BRAND.com",HLOOKUP($X197&amp;$Z197,PLANNING_FC!$T$4:$AH$23,MATCH($W197,PLANNING_FC!$B$4:$B$23,0),FALSE),0),0)</f>
        <v>0</v>
      </c>
      <c r="AZ197" s="58">
        <f>IFERROR(IF($V197="BRAND.com",HLOOKUP($X197&amp;$Z197,PLANNING_FC!$DA$27:$DO$46,MATCH($W197,PLANNING_FC!$CZ$27:$CZ$46,0),FALSE),0),0)</f>
        <v>0</v>
      </c>
      <c r="BA197" s="58">
        <f>IFERROR(IF($V197="BRAND.com",HLOOKUP($X197&amp;$Z197,PLANNING_FC!$DA$4:$DO$23,MATCH($W197,PLANNING_FC!$CZ$4:$CZ$23,0),FALSE),0),0)</f>
        <v>0</v>
      </c>
      <c r="BB197" s="883" t="str">
        <f>IF(V197="BRAND.com",IFERROR(HLOOKUP(X197&amp;Z197,PLANNING_FC!$AK$4:$AY$23,MATCH(W197,PLANNING_FC!$AJ$4:$AJ$23,0),FALSE)*1000,""),"")</f>
        <v/>
      </c>
      <c r="BC197" s="883" t="str">
        <f>IF(V197="BRAND.com",IFERROR(HLOOKUP(X197&amp;Z197,PLANNING_FC!$AK$27:$AY$46,MATCH(W197,PLANNING_FC!$AJ$27:$AJ$46,0),FALSE)*1000,""),"")</f>
        <v/>
      </c>
    </row>
    <row r="198" spans="1:55" x14ac:dyDescent="0.25">
      <c r="A198" s="509"/>
      <c r="B198" s="510"/>
      <c r="C198" s="509"/>
      <c r="D198" s="509"/>
      <c r="E198" s="509"/>
      <c r="F198" s="509"/>
      <c r="G198" s="509"/>
      <c r="H198" s="509"/>
      <c r="I198" s="512"/>
      <c r="J198" s="513"/>
      <c r="K198" s="879"/>
      <c r="L198" s="515"/>
      <c r="M198" s="516"/>
      <c r="N198" s="56">
        <f t="shared" si="86"/>
        <v>0</v>
      </c>
      <c r="O198" s="57">
        <f t="shared" si="87"/>
        <v>0</v>
      </c>
      <c r="P198" s="57">
        <f ca="1">IFERROR(IF(ISBLANK(H198),SUMIFS($AC:$AC,$V:$V,V198,$W:$W,W198,$X:$X,X198,$Y:$Y,Y198)*J198/(1-J198)*VLOOKUP(_xlfn.CONCAT(C198,D198,E198,TIME!$M$12,Z198),HIS_SALES!$B$2:$W$4859,20,FALSE),AC198*J198/(1-J198)),0)</f>
        <v>0</v>
      </c>
      <c r="Q198" s="541" t="str">
        <f t="shared" si="88"/>
        <v/>
      </c>
      <c r="R198" s="346" t="str">
        <f t="shared" si="89"/>
        <v>00000</v>
      </c>
      <c r="S198" s="344">
        <f t="shared" si="90"/>
        <v>0</v>
      </c>
      <c r="T198" s="345" t="str">
        <f t="shared" si="103"/>
        <v>000</v>
      </c>
      <c r="U198" s="345">
        <f t="shared" si="91"/>
        <v>0</v>
      </c>
      <c r="V198" s="345">
        <f t="shared" si="92"/>
        <v>0</v>
      </c>
      <c r="W198" s="345">
        <f t="shared" si="93"/>
        <v>0</v>
      </c>
      <c r="X198" s="345">
        <f t="shared" si="94"/>
        <v>0</v>
      </c>
      <c r="Y198" s="345">
        <f t="shared" si="95"/>
        <v>0</v>
      </c>
      <c r="Z198" s="345">
        <f>IF(Q198&lt;&gt;"",VLOOKUP(Y198,TIME!$R$21:$V$24,MATCH(FC_DATA!Q198,TIME!$R$20:$V$20,0),FALSE),H198)</f>
        <v>0</v>
      </c>
      <c r="AA198" s="345" t="str">
        <f>IFERROR(VLOOKUP(X198&amp;Z198,TIME!$A$12:$D$71,4,FALSE),"")</f>
        <v/>
      </c>
      <c r="AB198" s="592">
        <f t="shared" ca="1" si="96"/>
        <v>0</v>
      </c>
      <c r="AC198" s="593" t="e">
        <f ca="1">IF(ISBLANK(H198)=FALSE,IF(D198="BRAND.com",I198,IF(ISNA(VLOOKUP(_xlfn.CONCAT(X198,Z198),TIME!$M$40:$M$42,1,FALSE)),I198,VLOOKUP(_xlfn.CONCAT(D198,G198,H198),M_BUSAREA_FC!$AF$5:$AJ$10,5,FALSE)*HLOOKUP(_xlfn.CONCAT(F198,H198),ST_OVERVIEW!$G$99:$I$130,MATCH(_xlfn.CONCAT(D198,E198),ST_OVERVIEW!$F$99:$F$130,0),FALSE))),IF(D198="BRAND.com",VLOOKUP(_xlfn.CONCAT(C198,D198,E198,TIME!$F$1,Z198),HIS_SALES!$B$2:$V$4859,19,FALSE)*I198,VLOOKUP(_xlfn.CONCAT(D198,F198,G198),Q_BUSAREA_FC!$AE$5:$AI$12,5,FALSE)*HLOOKUP(_xlfn.CONCAT(FC_DATA!F198,FC_DATA!G198),LT_OVERVIEW!$I$99:$M$130,MATCH(_xlfn.CONCAT(D198,FC_DATA!E198),LT_OVERVIEW!$H$99:$H$130,0),FALSE)*IFERROR(VLOOKUP(_xlfn.CONCAT(C198,D198,E198,TIME!$F$1,Z198),HIS_SALES!$B$2:$V$4859,19,FALSE),0)))</f>
        <v>#N/A</v>
      </c>
      <c r="AD198" s="341">
        <f t="shared" ca="1" si="97"/>
        <v>0</v>
      </c>
      <c r="AE198" s="363" t="str">
        <f t="shared" si="98"/>
        <v/>
      </c>
      <c r="AF198" s="342" t="str">
        <f t="shared" si="99"/>
        <v/>
      </c>
      <c r="AG198" s="411" t="e">
        <f ca="1">VLOOKUP(_xlfn.CONCAT(U198,V198,W198,VLOOKUP(X198&amp;Y198,TIME!$L$27:$O$34,4,FALSE),Y198),HIS_SALES!$A$2:$R$5093,18,FALSE)</f>
        <v>#N/A</v>
      </c>
      <c r="AH198" s="412" t="e">
        <f ca="1">IFERROR(IF(AND(V198=V197,W198=W197),0.5*(AB198+AB197)*AG198,(VLOOKUP(_xlfn.CONCAT(U198,V198,W198,X198,VLOOKUP(Z198,TIME!$S$28:$T$39,2,FALSE)),FC_DATA!$R$2:$AB$5000,MATCH("GS_I_M",FC_DATA!$R$1:$AB$1,0),FALSE)+FC_DATA!AB198)*0.5*FC_DATA!AG198),NA())</f>
        <v>#N/A</v>
      </c>
      <c r="AI198" s="491" t="e">
        <f ca="1">IF(V198="PARTNER.com",AH198,IF(AND(V198=V197,W198=W197),(1-AVERAGE(AD197,AD198))*AH198,(1-AVERAGE(AD198,VLOOKUP(_xlfn.CONCAT(U198,V198,W198,X198,M_BRAND_FC!$F$6),FC_DATA!$R$2:$AD$5000,MATCH("DISCOUNT_%_M",FC_DATA!$R$1:$AD$1,0),FALSE)))*AH198))</f>
        <v>#N/A</v>
      </c>
      <c r="AJ198" s="412" t="str">
        <f t="shared" ca="1" si="100"/>
        <v/>
      </c>
      <c r="AK198" s="413" t="str">
        <f>IFERROR(AE198/(Q_BRAND_FC!$T$24+1),"")</f>
        <v/>
      </c>
      <c r="AL198" s="88" t="str">
        <f t="shared" ca="1" si="101"/>
        <v/>
      </c>
      <c r="AM198" s="414" t="str">
        <f t="shared" ca="1" si="102"/>
        <v/>
      </c>
      <c r="AN198" s="58">
        <f>IFERROR(IF($V198="BRAND.com",HLOOKUP($X198&amp;$Z198,NWC_FC_NOOS!$C$4:$Q$23,MATCH(W198,NWC_FC_NOOS!$B$4:$B$23,0),FALSE),0),0)</f>
        <v>0</v>
      </c>
      <c r="AO198" s="57">
        <f>IFERROR(IF($V198="BRAND.com",HLOOKUP($X198&amp;$Z198,NWC_FC_NOOS!$T$4:$AH$23,MATCH(W198,NWC_FC_NOOS!$S$4:$S$23,0),FALSE),0),0)</f>
        <v>0</v>
      </c>
      <c r="AP198" s="57">
        <f>IFERROR(IF($V198="BRAND.com",HLOOKUP($X198&amp;$Z198,NWC_FC_NOOS!$C$50:$U$69,MATCH(W198,NWC_FC_NOOS!$B$50:$B$69,0),FALSE),0),0)</f>
        <v>0</v>
      </c>
      <c r="AQ198" s="58">
        <f>IFERROR(IF($V198="BRAND.com",HLOOKUP($X198&amp;$Z198,'NWC_FC_NON-NOOS'!$C$4:$Q$23,MATCH(W198,'NWC_FC_NON-NOOS'!$B$4:$B$23,0),FALSE),0),0)</f>
        <v>0</v>
      </c>
      <c r="AR198" s="57">
        <f>IFERROR(IF($V198="BRAND.com",HLOOKUP($X198&amp;$Z198,'NWC_FC_NON-NOOS'!$T$4:$AH$23,MATCH(W198,'NWC_FC_NON-NOOS'!$S$4:$S$23,0),FALSE),0),0)</f>
        <v>0</v>
      </c>
      <c r="AS198" s="57">
        <f>IFERROR(IF($V198="BRAND.com",HLOOKUP($X198&amp;$Z198,'NWC_FC_NON-NOOS'!$C$50:$U$69,MATCH(W198,'NWC_FC_NON-NOOS'!$B$50:$B$69,0),FALSE),0),0)</f>
        <v>0</v>
      </c>
      <c r="AT198" s="57">
        <f t="shared" si="104"/>
        <v>0</v>
      </c>
      <c r="AU198" s="57">
        <f t="shared" si="105"/>
        <v>0</v>
      </c>
      <c r="AV198" s="58">
        <f>IFERROR(IF($V198="BRAND.com",HLOOKUP($X198&amp;$Z198,PLANNING_FC!$BB$27:$BP$46,MATCH($W198,PLANNING_FC!$BA$27:$BA$46,0),FALSE),0),0)</f>
        <v>0</v>
      </c>
      <c r="AW198" s="58">
        <f>IFERROR(IF($V198="BRAND.com",HLOOKUP($X198&amp;$Z198,PLANNING_FC!$BB$4:$BP$23,MATCH($W198,PLANNING_FC!$BA$4:$BA$23,0),FALSE),0),0)</f>
        <v>0</v>
      </c>
      <c r="AX198" s="58">
        <f>IFERROR(IF($V198="BRAND.com",HLOOKUP($X198&amp;$Z198,PLANNING_FC!$T$27:$AH$46,MATCH($W198,PLANNING_FC!$B$27:$B$46,0),FALSE),0),0)</f>
        <v>0</v>
      </c>
      <c r="AY198" s="58">
        <f>IFERROR(IF($V198="BRAND.com",HLOOKUP($X198&amp;$Z198,PLANNING_FC!$T$4:$AH$23,MATCH($W198,PLANNING_FC!$B$4:$B$23,0),FALSE),0),0)</f>
        <v>0</v>
      </c>
      <c r="AZ198" s="58">
        <f>IFERROR(IF($V198="BRAND.com",HLOOKUP($X198&amp;$Z198,PLANNING_FC!$DA$27:$DO$46,MATCH($W198,PLANNING_FC!$CZ$27:$CZ$46,0),FALSE),0),0)</f>
        <v>0</v>
      </c>
      <c r="BA198" s="58">
        <f>IFERROR(IF($V198="BRAND.com",HLOOKUP($X198&amp;$Z198,PLANNING_FC!$DA$4:$DO$23,MATCH($W198,PLANNING_FC!$CZ$4:$CZ$23,0),FALSE),0),0)</f>
        <v>0</v>
      </c>
      <c r="BB198" s="883" t="str">
        <f>IF(V198="BRAND.com",IFERROR(HLOOKUP(X198&amp;Z198,PLANNING_FC!$AK$4:$AY$23,MATCH(W198,PLANNING_FC!$AJ$4:$AJ$23,0),FALSE)*1000,""),"")</f>
        <v/>
      </c>
      <c r="BC198" s="883" t="str">
        <f>IF(V198="BRAND.com",IFERROR(HLOOKUP(X198&amp;Z198,PLANNING_FC!$AK$27:$AY$46,MATCH(W198,PLANNING_FC!$AJ$27:$AJ$46,0),FALSE)*1000,""),"")</f>
        <v/>
      </c>
    </row>
    <row r="199" spans="1:55" x14ac:dyDescent="0.25">
      <c r="A199" s="509"/>
      <c r="B199" s="510"/>
      <c r="C199" s="509"/>
      <c r="D199" s="509"/>
      <c r="E199" s="509"/>
      <c r="F199" s="509"/>
      <c r="G199" s="509"/>
      <c r="H199" s="509"/>
      <c r="I199" s="512"/>
      <c r="J199" s="513"/>
      <c r="K199" s="879"/>
      <c r="L199" s="515"/>
      <c r="M199" s="516"/>
      <c r="N199" s="56">
        <f t="shared" si="86"/>
        <v>0</v>
      </c>
      <c r="O199" s="57">
        <f t="shared" si="87"/>
        <v>0</v>
      </c>
      <c r="P199" s="57">
        <f ca="1">IFERROR(IF(ISBLANK(H199),SUMIFS($AC:$AC,$V:$V,V199,$W:$W,W199,$X:$X,X199,$Y:$Y,Y199)*J199/(1-J199)*VLOOKUP(_xlfn.CONCAT(C199,D199,E199,TIME!$M$12,Z199),HIS_SALES!$B$2:$W$4859,20,FALSE),AC199*J199/(1-J199)),0)</f>
        <v>0</v>
      </c>
      <c r="Q199" s="541" t="str">
        <f t="shared" si="88"/>
        <v/>
      </c>
      <c r="R199" s="346" t="str">
        <f t="shared" si="89"/>
        <v>00000</v>
      </c>
      <c r="S199" s="344">
        <f t="shared" si="90"/>
        <v>0</v>
      </c>
      <c r="T199" s="345" t="str">
        <f t="shared" si="103"/>
        <v>000</v>
      </c>
      <c r="U199" s="345">
        <f t="shared" si="91"/>
        <v>0</v>
      </c>
      <c r="V199" s="345">
        <f t="shared" si="92"/>
        <v>0</v>
      </c>
      <c r="W199" s="345">
        <f t="shared" si="93"/>
        <v>0</v>
      </c>
      <c r="X199" s="345">
        <f t="shared" si="94"/>
        <v>0</v>
      </c>
      <c r="Y199" s="345">
        <f t="shared" si="95"/>
        <v>0</v>
      </c>
      <c r="Z199" s="345">
        <f>IF(Q199&lt;&gt;"",VLOOKUP(Y199,TIME!$R$21:$V$24,MATCH(FC_DATA!Q199,TIME!$R$20:$V$20,0),FALSE),H199)</f>
        <v>0</v>
      </c>
      <c r="AA199" s="345" t="str">
        <f>IFERROR(VLOOKUP(X199&amp;Z199,TIME!$A$12:$D$71,4,FALSE),"")</f>
        <v/>
      </c>
      <c r="AB199" s="592">
        <f t="shared" ca="1" si="96"/>
        <v>0</v>
      </c>
      <c r="AC199" s="593" t="e">
        <f ca="1">IF(ISBLANK(H199)=FALSE,IF(D199="BRAND.com",I199,IF(ISNA(VLOOKUP(_xlfn.CONCAT(X199,Z199),TIME!$M$40:$M$42,1,FALSE)),I199,VLOOKUP(_xlfn.CONCAT(D199,G199,H199),M_BUSAREA_FC!$AF$5:$AJ$10,5,FALSE)*HLOOKUP(_xlfn.CONCAT(F199,H199),ST_OVERVIEW!$G$99:$I$130,MATCH(_xlfn.CONCAT(D199,E199),ST_OVERVIEW!$F$99:$F$130,0),FALSE))),IF(D199="BRAND.com",VLOOKUP(_xlfn.CONCAT(C199,D199,E199,TIME!$F$1,Z199),HIS_SALES!$B$2:$V$4859,19,FALSE)*I199,VLOOKUP(_xlfn.CONCAT(D199,F199,G199),Q_BUSAREA_FC!$AE$5:$AI$12,5,FALSE)*HLOOKUP(_xlfn.CONCAT(FC_DATA!F199,FC_DATA!G199),LT_OVERVIEW!$I$99:$M$130,MATCH(_xlfn.CONCAT(D199,FC_DATA!E199),LT_OVERVIEW!$H$99:$H$130,0),FALSE)*IFERROR(VLOOKUP(_xlfn.CONCAT(C199,D199,E199,TIME!$F$1,Z199),HIS_SALES!$B$2:$V$4859,19,FALSE),0)))</f>
        <v>#N/A</v>
      </c>
      <c r="AD199" s="341">
        <f t="shared" ca="1" si="97"/>
        <v>0</v>
      </c>
      <c r="AE199" s="363" t="str">
        <f t="shared" si="98"/>
        <v/>
      </c>
      <c r="AF199" s="342" t="str">
        <f t="shared" si="99"/>
        <v/>
      </c>
      <c r="AG199" s="411" t="e">
        <f ca="1">VLOOKUP(_xlfn.CONCAT(U199,V199,W199,VLOOKUP(X199&amp;Y199,TIME!$L$27:$O$34,4,FALSE),Y199),HIS_SALES!$A$2:$R$5093,18,FALSE)</f>
        <v>#N/A</v>
      </c>
      <c r="AH199" s="412" t="e">
        <f ca="1">IFERROR(IF(AND(V199=V198,W199=W198),0.5*(AB199+AB198)*AG199,(VLOOKUP(_xlfn.CONCAT(U199,V199,W199,X199,VLOOKUP(Z199,TIME!$S$28:$T$39,2,FALSE)),FC_DATA!$R$2:$AB$5000,MATCH("GS_I_M",FC_DATA!$R$1:$AB$1,0),FALSE)+FC_DATA!AB199)*0.5*FC_DATA!AG199),NA())</f>
        <v>#N/A</v>
      </c>
      <c r="AI199" s="491" t="e">
        <f ca="1">IF(V199="PARTNER.com",AH199,IF(AND(V199=V198,W199=W198),(1-AVERAGE(AD198,AD199))*AH199,(1-AVERAGE(AD199,VLOOKUP(_xlfn.CONCAT(U199,V199,W199,X199,M_BRAND_FC!$F$6),FC_DATA!$R$2:$AD$5000,MATCH("DISCOUNT_%_M",FC_DATA!$R$1:$AD$1,0),FALSE)))*AH199))</f>
        <v>#N/A</v>
      </c>
      <c r="AJ199" s="412" t="str">
        <f t="shared" ca="1" si="100"/>
        <v/>
      </c>
      <c r="AK199" s="413" t="str">
        <f>IFERROR(AE199/(Q_BRAND_FC!$T$24+1),"")</f>
        <v/>
      </c>
      <c r="AL199" s="88" t="str">
        <f t="shared" ca="1" si="101"/>
        <v/>
      </c>
      <c r="AM199" s="414" t="str">
        <f t="shared" ca="1" si="102"/>
        <v/>
      </c>
      <c r="AN199" s="58">
        <f>IFERROR(IF($V199="BRAND.com",HLOOKUP($X199&amp;$Z199,NWC_FC_NOOS!$C$4:$Q$23,MATCH(W199,NWC_FC_NOOS!$B$4:$B$23,0),FALSE),0),0)</f>
        <v>0</v>
      </c>
      <c r="AO199" s="57">
        <f>IFERROR(IF($V199="BRAND.com",HLOOKUP($X199&amp;$Z199,NWC_FC_NOOS!$T$4:$AH$23,MATCH(W199,NWC_FC_NOOS!$S$4:$S$23,0),FALSE),0),0)</f>
        <v>0</v>
      </c>
      <c r="AP199" s="57">
        <f>IFERROR(IF($V199="BRAND.com",HLOOKUP($X199&amp;$Z199,NWC_FC_NOOS!$C$50:$U$69,MATCH(W199,NWC_FC_NOOS!$B$50:$B$69,0),FALSE),0),0)</f>
        <v>0</v>
      </c>
      <c r="AQ199" s="58">
        <f>IFERROR(IF($V199="BRAND.com",HLOOKUP($X199&amp;$Z199,'NWC_FC_NON-NOOS'!$C$4:$Q$23,MATCH(W199,'NWC_FC_NON-NOOS'!$B$4:$B$23,0),FALSE),0),0)</f>
        <v>0</v>
      </c>
      <c r="AR199" s="57">
        <f>IFERROR(IF($V199="BRAND.com",HLOOKUP($X199&amp;$Z199,'NWC_FC_NON-NOOS'!$T$4:$AH$23,MATCH(W199,'NWC_FC_NON-NOOS'!$S$4:$S$23,0),FALSE),0),0)</f>
        <v>0</v>
      </c>
      <c r="AS199" s="57">
        <f>IFERROR(IF($V199="BRAND.com",HLOOKUP($X199&amp;$Z199,'NWC_FC_NON-NOOS'!$C$50:$U$69,MATCH(W199,'NWC_FC_NON-NOOS'!$B$50:$B$69,0),FALSE),0),0)</f>
        <v>0</v>
      </c>
      <c r="AT199" s="57">
        <f t="shared" si="104"/>
        <v>0</v>
      </c>
      <c r="AU199" s="57">
        <f t="shared" si="105"/>
        <v>0</v>
      </c>
      <c r="AV199" s="58">
        <f>IFERROR(IF($V199="BRAND.com",HLOOKUP($X199&amp;$Z199,PLANNING_FC!$BB$27:$BP$46,MATCH($W199,PLANNING_FC!$BA$27:$BA$46,0),FALSE),0),0)</f>
        <v>0</v>
      </c>
      <c r="AW199" s="58">
        <f>IFERROR(IF($V199="BRAND.com",HLOOKUP($X199&amp;$Z199,PLANNING_FC!$BB$4:$BP$23,MATCH($W199,PLANNING_FC!$BA$4:$BA$23,0),FALSE),0),0)</f>
        <v>0</v>
      </c>
      <c r="AX199" s="58">
        <f>IFERROR(IF($V199="BRAND.com",HLOOKUP($X199&amp;$Z199,PLANNING_FC!$T$27:$AH$46,MATCH($W199,PLANNING_FC!$B$27:$B$46,0),FALSE),0),0)</f>
        <v>0</v>
      </c>
      <c r="AY199" s="58">
        <f>IFERROR(IF($V199="BRAND.com",HLOOKUP($X199&amp;$Z199,PLANNING_FC!$T$4:$AH$23,MATCH($W199,PLANNING_FC!$B$4:$B$23,0),FALSE),0),0)</f>
        <v>0</v>
      </c>
      <c r="AZ199" s="58">
        <f>IFERROR(IF($V199="BRAND.com",HLOOKUP($X199&amp;$Z199,PLANNING_FC!$DA$27:$DO$46,MATCH($W199,PLANNING_FC!$CZ$27:$CZ$46,0),FALSE),0),0)</f>
        <v>0</v>
      </c>
      <c r="BA199" s="58">
        <f>IFERROR(IF($V199="BRAND.com",HLOOKUP($X199&amp;$Z199,PLANNING_FC!$DA$4:$DO$23,MATCH($W199,PLANNING_FC!$CZ$4:$CZ$23,0),FALSE),0),0)</f>
        <v>0</v>
      </c>
      <c r="BB199" s="883" t="str">
        <f>IF(V199="BRAND.com",IFERROR(HLOOKUP(X199&amp;Z199,PLANNING_FC!$AK$4:$AY$23,MATCH(W199,PLANNING_FC!$AJ$4:$AJ$23,0),FALSE)*1000,""),"")</f>
        <v/>
      </c>
      <c r="BC199" s="883" t="str">
        <f>IF(V199="BRAND.com",IFERROR(HLOOKUP(X199&amp;Z199,PLANNING_FC!$AK$27:$AY$46,MATCH(W199,PLANNING_FC!$AJ$27:$AJ$46,0),FALSE)*1000,""),"")</f>
        <v/>
      </c>
    </row>
    <row r="200" spans="1:55" x14ac:dyDescent="0.25">
      <c r="A200" s="509"/>
      <c r="B200" s="510"/>
      <c r="C200" s="509"/>
      <c r="D200" s="509"/>
      <c r="E200" s="509"/>
      <c r="F200" s="509"/>
      <c r="G200" s="509"/>
      <c r="H200" s="509"/>
      <c r="I200" s="512"/>
      <c r="J200" s="513"/>
      <c r="K200" s="879"/>
      <c r="L200" s="515"/>
      <c r="M200" s="516"/>
      <c r="N200" s="56">
        <f t="shared" si="86"/>
        <v>0</v>
      </c>
      <c r="O200" s="57">
        <f t="shared" si="87"/>
        <v>0</v>
      </c>
      <c r="P200" s="57">
        <f ca="1">IFERROR(IF(ISBLANK(H200),SUMIFS($AC:$AC,$V:$V,V200,$W:$W,W200,$X:$X,X200,$Y:$Y,Y200)*J200/(1-J200)*VLOOKUP(_xlfn.CONCAT(C200,D200,E200,TIME!$M$12,Z200),HIS_SALES!$B$2:$W$4859,20,FALSE),AC200*J200/(1-J200)),0)</f>
        <v>0</v>
      </c>
      <c r="Q200" s="541" t="str">
        <f t="shared" si="88"/>
        <v/>
      </c>
      <c r="R200" s="346" t="str">
        <f t="shared" si="89"/>
        <v>00000</v>
      </c>
      <c r="S200" s="344">
        <f t="shared" si="90"/>
        <v>0</v>
      </c>
      <c r="T200" s="345" t="str">
        <f t="shared" si="103"/>
        <v>000</v>
      </c>
      <c r="U200" s="345">
        <f t="shared" si="91"/>
        <v>0</v>
      </c>
      <c r="V200" s="345">
        <f t="shared" si="92"/>
        <v>0</v>
      </c>
      <c r="W200" s="345">
        <f t="shared" si="93"/>
        <v>0</v>
      </c>
      <c r="X200" s="345">
        <f t="shared" si="94"/>
        <v>0</v>
      </c>
      <c r="Y200" s="345">
        <f t="shared" si="95"/>
        <v>0</v>
      </c>
      <c r="Z200" s="345">
        <f>IF(Q200&lt;&gt;"",VLOOKUP(Y200,TIME!$R$21:$V$24,MATCH(FC_DATA!Q200,TIME!$R$20:$V$20,0),FALSE),H200)</f>
        <v>0</v>
      </c>
      <c r="AA200" s="345" t="str">
        <f>IFERROR(VLOOKUP(X200&amp;Z200,TIME!$A$12:$D$71,4,FALSE),"")</f>
        <v/>
      </c>
      <c r="AB200" s="592">
        <f t="shared" ca="1" si="96"/>
        <v>0</v>
      </c>
      <c r="AC200" s="593" t="e">
        <f ca="1">IF(ISBLANK(H200)=FALSE,IF(D200="BRAND.com",I200,IF(ISNA(VLOOKUP(_xlfn.CONCAT(X200,Z200),TIME!$M$40:$M$42,1,FALSE)),I200,VLOOKUP(_xlfn.CONCAT(D200,G200,H200),M_BUSAREA_FC!$AF$5:$AJ$10,5,FALSE)*HLOOKUP(_xlfn.CONCAT(F200,H200),ST_OVERVIEW!$G$99:$I$130,MATCH(_xlfn.CONCAT(D200,E200),ST_OVERVIEW!$F$99:$F$130,0),FALSE))),IF(D200="BRAND.com",VLOOKUP(_xlfn.CONCAT(C200,D200,E200,TIME!$F$1,Z200),HIS_SALES!$B$2:$V$4859,19,FALSE)*I200,VLOOKUP(_xlfn.CONCAT(D200,F200,G200),Q_BUSAREA_FC!$AE$5:$AI$12,5,FALSE)*HLOOKUP(_xlfn.CONCAT(FC_DATA!F200,FC_DATA!G200),LT_OVERVIEW!$I$99:$M$130,MATCH(_xlfn.CONCAT(D200,FC_DATA!E200),LT_OVERVIEW!$H$99:$H$130,0),FALSE)*IFERROR(VLOOKUP(_xlfn.CONCAT(C200,D200,E200,TIME!$F$1,Z200),HIS_SALES!$B$2:$V$4859,19,FALSE),0)))</f>
        <v>#N/A</v>
      </c>
      <c r="AD200" s="341">
        <f t="shared" ca="1" si="97"/>
        <v>0</v>
      </c>
      <c r="AE200" s="363" t="str">
        <f t="shared" si="98"/>
        <v/>
      </c>
      <c r="AF200" s="342" t="str">
        <f t="shared" si="99"/>
        <v/>
      </c>
      <c r="AG200" s="411" t="e">
        <f ca="1">VLOOKUP(_xlfn.CONCAT(U200,V200,W200,VLOOKUP(X200&amp;Y200,TIME!$L$27:$O$34,4,FALSE),Y200),HIS_SALES!$A$2:$R$5093,18,FALSE)</f>
        <v>#N/A</v>
      </c>
      <c r="AH200" s="412" t="e">
        <f ca="1">IFERROR(IF(AND(V200=V199,W200=W199),0.5*(AB200+AB199)*AG200,(VLOOKUP(_xlfn.CONCAT(U200,V200,W200,X200,VLOOKUP(Z200,TIME!$S$28:$T$39,2,FALSE)),FC_DATA!$R$2:$AB$5000,MATCH("GS_I_M",FC_DATA!$R$1:$AB$1,0),FALSE)+FC_DATA!AB200)*0.5*FC_DATA!AG200),NA())</f>
        <v>#N/A</v>
      </c>
      <c r="AI200" s="491" t="e">
        <f ca="1">IF(V200="PARTNER.com",AH200,IF(AND(V200=V199,W200=W199),(1-AVERAGE(AD199,AD200))*AH200,(1-AVERAGE(AD200,VLOOKUP(_xlfn.CONCAT(U200,V200,W200,X200,M_BRAND_FC!$F$6),FC_DATA!$R$2:$AD$5000,MATCH("DISCOUNT_%_M",FC_DATA!$R$1:$AD$1,0),FALSE)))*AH200))</f>
        <v>#N/A</v>
      </c>
      <c r="AJ200" s="412" t="str">
        <f t="shared" ca="1" si="100"/>
        <v/>
      </c>
      <c r="AK200" s="413" t="str">
        <f>IFERROR(AE200/(Q_BRAND_FC!$T$24+1),"")</f>
        <v/>
      </c>
      <c r="AL200" s="88" t="str">
        <f t="shared" ca="1" si="101"/>
        <v/>
      </c>
      <c r="AM200" s="414" t="str">
        <f t="shared" ca="1" si="102"/>
        <v/>
      </c>
      <c r="AN200" s="58">
        <f>IFERROR(IF($V200="BRAND.com",HLOOKUP($X200&amp;$Z200,NWC_FC_NOOS!$C$4:$Q$23,MATCH(W200,NWC_FC_NOOS!$B$4:$B$23,0),FALSE),0),0)</f>
        <v>0</v>
      </c>
      <c r="AO200" s="57">
        <f>IFERROR(IF($V200="BRAND.com",HLOOKUP($X200&amp;$Z200,NWC_FC_NOOS!$T$4:$AH$23,MATCH(W200,NWC_FC_NOOS!$S$4:$S$23,0),FALSE),0),0)</f>
        <v>0</v>
      </c>
      <c r="AP200" s="57">
        <f>IFERROR(IF($V200="BRAND.com",HLOOKUP($X200&amp;$Z200,NWC_FC_NOOS!$C$50:$U$69,MATCH(W200,NWC_FC_NOOS!$B$50:$B$69,0),FALSE),0),0)</f>
        <v>0</v>
      </c>
      <c r="AQ200" s="58">
        <f>IFERROR(IF($V200="BRAND.com",HLOOKUP($X200&amp;$Z200,'NWC_FC_NON-NOOS'!$C$4:$Q$23,MATCH(W200,'NWC_FC_NON-NOOS'!$B$4:$B$23,0),FALSE),0),0)</f>
        <v>0</v>
      </c>
      <c r="AR200" s="57">
        <f>IFERROR(IF($V200="BRAND.com",HLOOKUP($X200&amp;$Z200,'NWC_FC_NON-NOOS'!$T$4:$AH$23,MATCH(W200,'NWC_FC_NON-NOOS'!$S$4:$S$23,0),FALSE),0),0)</f>
        <v>0</v>
      </c>
      <c r="AS200" s="57">
        <f>IFERROR(IF($V200="BRAND.com",HLOOKUP($X200&amp;$Z200,'NWC_FC_NON-NOOS'!$C$50:$U$69,MATCH(W200,'NWC_FC_NON-NOOS'!$B$50:$B$69,0),FALSE),0),0)</f>
        <v>0</v>
      </c>
      <c r="AT200" s="57">
        <f t="shared" si="104"/>
        <v>0</v>
      </c>
      <c r="AU200" s="57">
        <f t="shared" si="105"/>
        <v>0</v>
      </c>
      <c r="AV200" s="58">
        <f>IFERROR(IF($V200="BRAND.com",HLOOKUP($X200&amp;$Z200,PLANNING_FC!$BB$27:$BP$46,MATCH($W200,PLANNING_FC!$BA$27:$BA$46,0),FALSE),0),0)</f>
        <v>0</v>
      </c>
      <c r="AW200" s="58">
        <f>IFERROR(IF($V200="BRAND.com",HLOOKUP($X200&amp;$Z200,PLANNING_FC!$BB$4:$BP$23,MATCH($W200,PLANNING_FC!$BA$4:$BA$23,0),FALSE),0),0)</f>
        <v>0</v>
      </c>
      <c r="AX200" s="58">
        <f>IFERROR(IF($V200="BRAND.com",HLOOKUP($X200&amp;$Z200,PLANNING_FC!$T$27:$AH$46,MATCH($W200,PLANNING_FC!$B$27:$B$46,0),FALSE),0),0)</f>
        <v>0</v>
      </c>
      <c r="AY200" s="58">
        <f>IFERROR(IF($V200="BRAND.com",HLOOKUP($X200&amp;$Z200,PLANNING_FC!$T$4:$AH$23,MATCH($W200,PLANNING_FC!$B$4:$B$23,0),FALSE),0),0)</f>
        <v>0</v>
      </c>
      <c r="AZ200" s="58">
        <f>IFERROR(IF($V200="BRAND.com",HLOOKUP($X200&amp;$Z200,PLANNING_FC!$DA$27:$DO$46,MATCH($W200,PLANNING_FC!$CZ$27:$CZ$46,0),FALSE),0),0)</f>
        <v>0</v>
      </c>
      <c r="BA200" s="58">
        <f>IFERROR(IF($V200="BRAND.com",HLOOKUP($X200&amp;$Z200,PLANNING_FC!$DA$4:$DO$23,MATCH($W200,PLANNING_FC!$CZ$4:$CZ$23,0),FALSE),0),0)</f>
        <v>0</v>
      </c>
      <c r="BB200" s="883" t="str">
        <f>IF(V200="BRAND.com",IFERROR(HLOOKUP(X200&amp;Z200,PLANNING_FC!$AK$4:$AY$23,MATCH(W200,PLANNING_FC!$AJ$4:$AJ$23,0),FALSE)*1000,""),"")</f>
        <v/>
      </c>
      <c r="BC200" s="883" t="str">
        <f>IF(V200="BRAND.com",IFERROR(HLOOKUP(X200&amp;Z200,PLANNING_FC!$AK$27:$AY$46,MATCH(W200,PLANNING_FC!$AJ$27:$AJ$46,0),FALSE)*1000,""),"")</f>
        <v/>
      </c>
    </row>
    <row r="201" spans="1:55" x14ac:dyDescent="0.25">
      <c r="A201" s="509"/>
      <c r="B201" s="510"/>
      <c r="C201" s="509"/>
      <c r="D201" s="509"/>
      <c r="E201" s="509"/>
      <c r="F201" s="509"/>
      <c r="G201" s="509"/>
      <c r="H201" s="509"/>
      <c r="I201" s="512"/>
      <c r="J201" s="513"/>
      <c r="K201" s="879"/>
      <c r="L201" s="515"/>
      <c r="M201" s="516"/>
      <c r="N201" s="56">
        <f t="shared" si="86"/>
        <v>0</v>
      </c>
      <c r="O201" s="57">
        <f t="shared" si="87"/>
        <v>0</v>
      </c>
      <c r="P201" s="57">
        <f ca="1">IFERROR(IF(ISBLANK(H201),SUMIFS($AC:$AC,$V:$V,V201,$W:$W,W201,$X:$X,X201,$Y:$Y,Y201)*J201/(1-J201)*VLOOKUP(_xlfn.CONCAT(C201,D201,E201,TIME!$M$12,Z201),HIS_SALES!$B$2:$W$4859,20,FALSE),AC201*J201/(1-J201)),0)</f>
        <v>0</v>
      </c>
      <c r="Q201" s="541" t="str">
        <f t="shared" si="88"/>
        <v/>
      </c>
      <c r="R201" s="346" t="str">
        <f t="shared" si="89"/>
        <v>00000</v>
      </c>
      <c r="S201" s="344">
        <f t="shared" si="90"/>
        <v>0</v>
      </c>
      <c r="T201" s="345" t="str">
        <f t="shared" si="103"/>
        <v>000</v>
      </c>
      <c r="U201" s="345">
        <f t="shared" si="91"/>
        <v>0</v>
      </c>
      <c r="V201" s="345">
        <f t="shared" si="92"/>
        <v>0</v>
      </c>
      <c r="W201" s="345">
        <f t="shared" si="93"/>
        <v>0</v>
      </c>
      <c r="X201" s="345">
        <f t="shared" si="94"/>
        <v>0</v>
      </c>
      <c r="Y201" s="345">
        <f t="shared" si="95"/>
        <v>0</v>
      </c>
      <c r="Z201" s="345">
        <f>IF(Q201&lt;&gt;"",VLOOKUP(Y201,TIME!$R$21:$V$24,MATCH(FC_DATA!Q201,TIME!$R$20:$V$20,0),FALSE),H201)</f>
        <v>0</v>
      </c>
      <c r="AA201" s="345" t="str">
        <f>IFERROR(VLOOKUP(X201&amp;Z201,TIME!$A$12:$D$71,4,FALSE),"")</f>
        <v/>
      </c>
      <c r="AB201" s="592">
        <f t="shared" ca="1" si="96"/>
        <v>0</v>
      </c>
      <c r="AC201" s="593" t="e">
        <f ca="1">IF(ISBLANK(H201)=FALSE,IF(D201="BRAND.com",I201,IF(ISNA(VLOOKUP(_xlfn.CONCAT(X201,Z201),TIME!$M$40:$M$42,1,FALSE)),I201,VLOOKUP(_xlfn.CONCAT(D201,G201,H201),M_BUSAREA_FC!$AF$5:$AJ$10,5,FALSE)*HLOOKUP(_xlfn.CONCAT(F201,H201),ST_OVERVIEW!$G$99:$I$130,MATCH(_xlfn.CONCAT(D201,E201),ST_OVERVIEW!$F$99:$F$130,0),FALSE))),IF(D201="BRAND.com",VLOOKUP(_xlfn.CONCAT(C201,D201,E201,TIME!$F$1,Z201),HIS_SALES!$B$2:$V$4859,19,FALSE)*I201,VLOOKUP(_xlfn.CONCAT(D201,F201,G201),Q_BUSAREA_FC!$AE$5:$AI$12,5,FALSE)*HLOOKUP(_xlfn.CONCAT(FC_DATA!F201,FC_DATA!G201),LT_OVERVIEW!$I$99:$M$130,MATCH(_xlfn.CONCAT(D201,FC_DATA!E201),LT_OVERVIEW!$H$99:$H$130,0),FALSE)*IFERROR(VLOOKUP(_xlfn.CONCAT(C201,D201,E201,TIME!$F$1,Z201),HIS_SALES!$B$2:$V$4859,19,FALSE),0)))</f>
        <v>#N/A</v>
      </c>
      <c r="AD201" s="341">
        <f t="shared" ca="1" si="97"/>
        <v>0</v>
      </c>
      <c r="AE201" s="363" t="str">
        <f t="shared" si="98"/>
        <v/>
      </c>
      <c r="AF201" s="342" t="str">
        <f t="shared" si="99"/>
        <v/>
      </c>
      <c r="AG201" s="411" t="e">
        <f ca="1">VLOOKUP(_xlfn.CONCAT(U201,V201,W201,VLOOKUP(X201&amp;Y201,TIME!$L$27:$O$34,4,FALSE),Y201),HIS_SALES!$A$2:$R$5093,18,FALSE)</f>
        <v>#N/A</v>
      </c>
      <c r="AH201" s="412" t="e">
        <f ca="1">IFERROR(IF(AND(V201=V200,W201=W200),0.5*(AB201+AB200)*AG201,(VLOOKUP(_xlfn.CONCAT(U201,V201,W201,X201,VLOOKUP(Z201,TIME!$S$28:$T$39,2,FALSE)),FC_DATA!$R$2:$AB$5000,MATCH("GS_I_M",FC_DATA!$R$1:$AB$1,0),FALSE)+FC_DATA!AB201)*0.5*FC_DATA!AG201),NA())</f>
        <v>#N/A</v>
      </c>
      <c r="AI201" s="491" t="e">
        <f ca="1">IF(V201="PARTNER.com",AH201,IF(AND(V201=V200,W201=W200),(1-AVERAGE(AD200,AD201))*AH201,(1-AVERAGE(AD201,VLOOKUP(_xlfn.CONCAT(U201,V201,W201,X201,M_BRAND_FC!$F$6),FC_DATA!$R$2:$AD$5000,MATCH("DISCOUNT_%_M",FC_DATA!$R$1:$AD$1,0),FALSE)))*AH201))</f>
        <v>#N/A</v>
      </c>
      <c r="AJ201" s="412" t="str">
        <f t="shared" ca="1" si="100"/>
        <v/>
      </c>
      <c r="AK201" s="413" t="str">
        <f>IFERROR(AE201/(Q_BRAND_FC!$T$24+1),"")</f>
        <v/>
      </c>
      <c r="AL201" s="88" t="str">
        <f t="shared" ca="1" si="101"/>
        <v/>
      </c>
      <c r="AM201" s="414" t="str">
        <f t="shared" ca="1" si="102"/>
        <v/>
      </c>
      <c r="AN201" s="58">
        <f>IFERROR(IF($V201="BRAND.com",HLOOKUP($X201&amp;$Z201,NWC_FC_NOOS!$C$4:$Q$23,MATCH(W201,NWC_FC_NOOS!$B$4:$B$23,0),FALSE),0),0)</f>
        <v>0</v>
      </c>
      <c r="AO201" s="57">
        <f>IFERROR(IF($V201="BRAND.com",HLOOKUP($X201&amp;$Z201,NWC_FC_NOOS!$T$4:$AH$23,MATCH(W201,NWC_FC_NOOS!$S$4:$S$23,0),FALSE),0),0)</f>
        <v>0</v>
      </c>
      <c r="AP201" s="57">
        <f>IFERROR(IF($V201="BRAND.com",HLOOKUP($X201&amp;$Z201,NWC_FC_NOOS!$C$50:$U$69,MATCH(W201,NWC_FC_NOOS!$B$50:$B$69,0),FALSE),0),0)</f>
        <v>0</v>
      </c>
      <c r="AQ201" s="58">
        <f>IFERROR(IF($V201="BRAND.com",HLOOKUP($X201&amp;$Z201,'NWC_FC_NON-NOOS'!$C$4:$Q$23,MATCH(W201,'NWC_FC_NON-NOOS'!$B$4:$B$23,0),FALSE),0),0)</f>
        <v>0</v>
      </c>
      <c r="AR201" s="57">
        <f>IFERROR(IF($V201="BRAND.com",HLOOKUP($X201&amp;$Z201,'NWC_FC_NON-NOOS'!$T$4:$AH$23,MATCH(W201,'NWC_FC_NON-NOOS'!$S$4:$S$23,0),FALSE),0),0)</f>
        <v>0</v>
      </c>
      <c r="AS201" s="57">
        <f>IFERROR(IF($V201="BRAND.com",HLOOKUP($X201&amp;$Z201,'NWC_FC_NON-NOOS'!$C$50:$U$69,MATCH(W201,'NWC_FC_NON-NOOS'!$B$50:$B$69,0),FALSE),0),0)</f>
        <v>0</v>
      </c>
      <c r="AT201" s="57">
        <f t="shared" si="104"/>
        <v>0</v>
      </c>
      <c r="AU201" s="57">
        <f t="shared" si="105"/>
        <v>0</v>
      </c>
      <c r="AV201" s="58">
        <f>IFERROR(IF($V201="BRAND.com",HLOOKUP($X201&amp;$Z201,PLANNING_FC!$BB$27:$BP$46,MATCH($W201,PLANNING_FC!$BA$27:$BA$46,0),FALSE),0),0)</f>
        <v>0</v>
      </c>
      <c r="AW201" s="58">
        <f>IFERROR(IF($V201="BRAND.com",HLOOKUP($X201&amp;$Z201,PLANNING_FC!$BB$4:$BP$23,MATCH($W201,PLANNING_FC!$BA$4:$BA$23,0),FALSE),0),0)</f>
        <v>0</v>
      </c>
      <c r="AX201" s="58">
        <f>IFERROR(IF($V201="BRAND.com",HLOOKUP($X201&amp;$Z201,PLANNING_FC!$T$27:$AH$46,MATCH($W201,PLANNING_FC!$B$27:$B$46,0),FALSE),0),0)</f>
        <v>0</v>
      </c>
      <c r="AY201" s="58">
        <f>IFERROR(IF($V201="BRAND.com",HLOOKUP($X201&amp;$Z201,PLANNING_FC!$T$4:$AH$23,MATCH($W201,PLANNING_FC!$B$4:$B$23,0),FALSE),0),0)</f>
        <v>0</v>
      </c>
      <c r="AZ201" s="58">
        <f>IFERROR(IF($V201="BRAND.com",HLOOKUP($X201&amp;$Z201,PLANNING_FC!$DA$27:$DO$46,MATCH($W201,PLANNING_FC!$CZ$27:$CZ$46,0),FALSE),0),0)</f>
        <v>0</v>
      </c>
      <c r="BA201" s="58">
        <f>IFERROR(IF($V201="BRAND.com",HLOOKUP($X201&amp;$Z201,PLANNING_FC!$DA$4:$DO$23,MATCH($W201,PLANNING_FC!$CZ$4:$CZ$23,0),FALSE),0),0)</f>
        <v>0</v>
      </c>
      <c r="BB201" s="883" t="str">
        <f>IF(V201="BRAND.com",IFERROR(HLOOKUP(X201&amp;Z201,PLANNING_FC!$AK$4:$AY$23,MATCH(W201,PLANNING_FC!$AJ$4:$AJ$23,0),FALSE)*1000,""),"")</f>
        <v/>
      </c>
      <c r="BC201" s="883" t="str">
        <f>IF(V201="BRAND.com",IFERROR(HLOOKUP(X201&amp;Z201,PLANNING_FC!$AK$27:$AY$46,MATCH(W201,PLANNING_FC!$AJ$27:$AJ$46,0),FALSE)*1000,""),"")</f>
        <v/>
      </c>
    </row>
    <row r="202" spans="1:55" x14ac:dyDescent="0.25">
      <c r="A202" s="509"/>
      <c r="B202" s="510"/>
      <c r="C202" s="509"/>
      <c r="D202" s="509"/>
      <c r="E202" s="509"/>
      <c r="F202" s="509"/>
      <c r="G202" s="509"/>
      <c r="H202" s="509"/>
      <c r="I202" s="512"/>
      <c r="J202" s="513"/>
      <c r="K202" s="879"/>
      <c r="L202" s="515"/>
      <c r="M202" s="516"/>
      <c r="N202" s="56">
        <f t="shared" si="86"/>
        <v>0</v>
      </c>
      <c r="O202" s="57">
        <f t="shared" si="87"/>
        <v>0</v>
      </c>
      <c r="P202" s="57">
        <f ca="1">IFERROR(IF(ISBLANK(H202),SUMIFS($AC:$AC,$V:$V,V202,$W:$W,W202,$X:$X,X202,$Y:$Y,Y202)*J202/(1-J202)*VLOOKUP(_xlfn.CONCAT(C202,D202,E202,TIME!$M$12,Z202),HIS_SALES!$B$2:$W$4859,20,FALSE),AC202*J202/(1-J202)),0)</f>
        <v>0</v>
      </c>
      <c r="Q202" s="541" t="str">
        <f t="shared" si="88"/>
        <v/>
      </c>
      <c r="R202" s="346" t="str">
        <f t="shared" si="89"/>
        <v>00000</v>
      </c>
      <c r="S202" s="344">
        <f t="shared" si="90"/>
        <v>0</v>
      </c>
      <c r="T202" s="345" t="str">
        <f t="shared" si="103"/>
        <v>000</v>
      </c>
      <c r="U202" s="345">
        <f t="shared" si="91"/>
        <v>0</v>
      </c>
      <c r="V202" s="345">
        <f t="shared" si="92"/>
        <v>0</v>
      </c>
      <c r="W202" s="345">
        <f t="shared" si="93"/>
        <v>0</v>
      </c>
      <c r="X202" s="345">
        <f t="shared" si="94"/>
        <v>0</v>
      </c>
      <c r="Y202" s="345">
        <f t="shared" si="95"/>
        <v>0</v>
      </c>
      <c r="Z202" s="345">
        <f>IF(Q202&lt;&gt;"",VLOOKUP(Y202,TIME!$R$21:$V$24,MATCH(FC_DATA!Q202,TIME!$R$20:$V$20,0),FALSE),H202)</f>
        <v>0</v>
      </c>
      <c r="AA202" s="345" t="str">
        <f>IFERROR(VLOOKUP(X202&amp;Z202,TIME!$A$12:$D$71,4,FALSE),"")</f>
        <v/>
      </c>
      <c r="AB202" s="592">
        <f t="shared" ca="1" si="96"/>
        <v>0</v>
      </c>
      <c r="AC202" s="593" t="e">
        <f ca="1">IF(ISBLANK(H202)=FALSE,IF(D202="BRAND.com",I202,IF(ISNA(VLOOKUP(_xlfn.CONCAT(X202,Z202),TIME!$M$40:$M$42,1,FALSE)),I202,VLOOKUP(_xlfn.CONCAT(D202,G202,H202),M_BUSAREA_FC!$AF$5:$AJ$10,5,FALSE)*HLOOKUP(_xlfn.CONCAT(F202,H202),ST_OVERVIEW!$G$99:$I$130,MATCH(_xlfn.CONCAT(D202,E202),ST_OVERVIEW!$F$99:$F$130,0),FALSE))),IF(D202="BRAND.com",VLOOKUP(_xlfn.CONCAT(C202,D202,E202,TIME!$F$1,Z202),HIS_SALES!$B$2:$V$4859,19,FALSE)*I202,VLOOKUP(_xlfn.CONCAT(D202,F202,G202),Q_BUSAREA_FC!$AE$5:$AI$12,5,FALSE)*HLOOKUP(_xlfn.CONCAT(FC_DATA!F202,FC_DATA!G202),LT_OVERVIEW!$I$99:$M$130,MATCH(_xlfn.CONCAT(D202,FC_DATA!E202),LT_OVERVIEW!$H$99:$H$130,0),FALSE)*IFERROR(VLOOKUP(_xlfn.CONCAT(C202,D202,E202,TIME!$F$1,Z202),HIS_SALES!$B$2:$V$4859,19,FALSE),0)))</f>
        <v>#N/A</v>
      </c>
      <c r="AD202" s="341">
        <f t="shared" ca="1" si="97"/>
        <v>0</v>
      </c>
      <c r="AE202" s="363" t="str">
        <f t="shared" si="98"/>
        <v/>
      </c>
      <c r="AF202" s="342" t="str">
        <f t="shared" si="99"/>
        <v/>
      </c>
      <c r="AG202" s="411" t="e">
        <f ca="1">VLOOKUP(_xlfn.CONCAT(U202,V202,W202,VLOOKUP(X202&amp;Y202,TIME!$L$27:$O$34,4,FALSE),Y202),HIS_SALES!$A$2:$R$5093,18,FALSE)</f>
        <v>#N/A</v>
      </c>
      <c r="AH202" s="412" t="e">
        <f ca="1">IFERROR(IF(AND(V202=V201,W202=W201),0.5*(AB202+AB201)*AG202,(VLOOKUP(_xlfn.CONCAT(U202,V202,W202,X202,VLOOKUP(Z202,TIME!$S$28:$T$39,2,FALSE)),FC_DATA!$R$2:$AB$5000,MATCH("GS_I_M",FC_DATA!$R$1:$AB$1,0),FALSE)+FC_DATA!AB202)*0.5*FC_DATA!AG202),NA())</f>
        <v>#N/A</v>
      </c>
      <c r="AI202" s="491" t="e">
        <f ca="1">IF(V202="PARTNER.com",AH202,IF(AND(V202=V201,W202=W201),(1-AVERAGE(AD201,AD202))*AH202,(1-AVERAGE(AD202,VLOOKUP(_xlfn.CONCAT(U202,V202,W202,X202,M_BRAND_FC!$F$6),FC_DATA!$R$2:$AD$5000,MATCH("DISCOUNT_%_M",FC_DATA!$R$1:$AD$1,0),FALSE)))*AH202))</f>
        <v>#N/A</v>
      </c>
      <c r="AJ202" s="412" t="str">
        <f t="shared" ca="1" si="100"/>
        <v/>
      </c>
      <c r="AK202" s="413" t="str">
        <f>IFERROR(AE202/(Q_BRAND_FC!$T$24+1),"")</f>
        <v/>
      </c>
      <c r="AL202" s="88" t="str">
        <f t="shared" ca="1" si="101"/>
        <v/>
      </c>
      <c r="AM202" s="414" t="str">
        <f t="shared" ca="1" si="102"/>
        <v/>
      </c>
      <c r="AN202" s="58">
        <f>IFERROR(IF($V202="BRAND.com",HLOOKUP($X202&amp;$Z202,NWC_FC_NOOS!$C$4:$Q$23,MATCH(W202,NWC_FC_NOOS!$B$4:$B$23,0),FALSE),0),0)</f>
        <v>0</v>
      </c>
      <c r="AO202" s="57">
        <f>IFERROR(IF($V202="BRAND.com",HLOOKUP($X202&amp;$Z202,NWC_FC_NOOS!$T$4:$AH$23,MATCH(W202,NWC_FC_NOOS!$S$4:$S$23,0),FALSE),0),0)</f>
        <v>0</v>
      </c>
      <c r="AP202" s="57">
        <f>IFERROR(IF($V202="BRAND.com",HLOOKUP($X202&amp;$Z202,NWC_FC_NOOS!$C$50:$U$69,MATCH(W202,NWC_FC_NOOS!$B$50:$B$69,0),FALSE),0),0)</f>
        <v>0</v>
      </c>
      <c r="AQ202" s="58">
        <f>IFERROR(IF($V202="BRAND.com",HLOOKUP($X202&amp;$Z202,'NWC_FC_NON-NOOS'!$C$4:$Q$23,MATCH(W202,'NWC_FC_NON-NOOS'!$B$4:$B$23,0),FALSE),0),0)</f>
        <v>0</v>
      </c>
      <c r="AR202" s="57">
        <f>IFERROR(IF($V202="BRAND.com",HLOOKUP($X202&amp;$Z202,'NWC_FC_NON-NOOS'!$T$4:$AH$23,MATCH(W202,'NWC_FC_NON-NOOS'!$S$4:$S$23,0),FALSE),0),0)</f>
        <v>0</v>
      </c>
      <c r="AS202" s="57">
        <f>IFERROR(IF($V202="BRAND.com",HLOOKUP($X202&amp;$Z202,'NWC_FC_NON-NOOS'!$C$50:$U$69,MATCH(W202,'NWC_FC_NON-NOOS'!$B$50:$B$69,0),FALSE),0),0)</f>
        <v>0</v>
      </c>
      <c r="AT202" s="57">
        <f t="shared" si="104"/>
        <v>0</v>
      </c>
      <c r="AU202" s="57">
        <f t="shared" si="105"/>
        <v>0</v>
      </c>
      <c r="AV202" s="58">
        <f>IFERROR(IF($V202="BRAND.com",HLOOKUP($X202&amp;$Z202,PLANNING_FC!$BB$27:$BP$46,MATCH($W202,PLANNING_FC!$BA$27:$BA$46,0),FALSE),0),0)</f>
        <v>0</v>
      </c>
      <c r="AW202" s="58">
        <f>IFERROR(IF($V202="BRAND.com",HLOOKUP($X202&amp;$Z202,PLANNING_FC!$BB$4:$BP$23,MATCH($W202,PLANNING_FC!$BA$4:$BA$23,0),FALSE),0),0)</f>
        <v>0</v>
      </c>
      <c r="AX202" s="58">
        <f>IFERROR(IF($V202="BRAND.com",HLOOKUP($X202&amp;$Z202,PLANNING_FC!$T$27:$AH$46,MATCH($W202,PLANNING_FC!$B$27:$B$46,0),FALSE),0),0)</f>
        <v>0</v>
      </c>
      <c r="AY202" s="58">
        <f>IFERROR(IF($V202="BRAND.com",HLOOKUP($X202&amp;$Z202,PLANNING_FC!$T$4:$AH$23,MATCH($W202,PLANNING_FC!$B$4:$B$23,0),FALSE),0),0)</f>
        <v>0</v>
      </c>
      <c r="AZ202" s="58">
        <f>IFERROR(IF($V202="BRAND.com",HLOOKUP($X202&amp;$Z202,PLANNING_FC!$DA$27:$DO$46,MATCH($W202,PLANNING_FC!$CZ$27:$CZ$46,0),FALSE),0),0)</f>
        <v>0</v>
      </c>
      <c r="BA202" s="58">
        <f>IFERROR(IF($V202="BRAND.com",HLOOKUP($X202&amp;$Z202,PLANNING_FC!$DA$4:$DO$23,MATCH($W202,PLANNING_FC!$CZ$4:$CZ$23,0),FALSE),0),0)</f>
        <v>0</v>
      </c>
      <c r="BB202" s="883" t="str">
        <f>IF(V202="BRAND.com",IFERROR(HLOOKUP(X202&amp;Z202,PLANNING_FC!$AK$4:$AY$23,MATCH(W202,PLANNING_FC!$AJ$4:$AJ$23,0),FALSE)*1000,""),"")</f>
        <v/>
      </c>
      <c r="BC202" s="883" t="str">
        <f>IF(V202="BRAND.com",IFERROR(HLOOKUP(X202&amp;Z202,PLANNING_FC!$AK$27:$AY$46,MATCH(W202,PLANNING_FC!$AJ$27:$AJ$46,0),FALSE)*1000,""),"")</f>
        <v/>
      </c>
    </row>
    <row r="203" spans="1:55" x14ac:dyDescent="0.25">
      <c r="A203" s="509"/>
      <c r="B203" s="510"/>
      <c r="C203" s="509"/>
      <c r="D203" s="509"/>
      <c r="E203" s="509"/>
      <c r="F203" s="509"/>
      <c r="G203" s="509"/>
      <c r="H203" s="509"/>
      <c r="I203" s="512"/>
      <c r="J203" s="513"/>
      <c r="K203" s="879"/>
      <c r="L203" s="515"/>
      <c r="M203" s="516"/>
      <c r="N203" s="56">
        <f t="shared" si="86"/>
        <v>0</v>
      </c>
      <c r="O203" s="57">
        <f t="shared" si="87"/>
        <v>0</v>
      </c>
      <c r="P203" s="57">
        <f ca="1">IFERROR(IF(ISBLANK(H203),SUMIFS($AC:$AC,$V:$V,V203,$W:$W,W203,$X:$X,X203,$Y:$Y,Y203)*J203/(1-J203)*VLOOKUP(_xlfn.CONCAT(C203,D203,E203,TIME!$M$12,Z203),HIS_SALES!$B$2:$W$4859,20,FALSE),AC203*J203/(1-J203)),0)</f>
        <v>0</v>
      </c>
      <c r="Q203" s="541" t="str">
        <f t="shared" si="88"/>
        <v/>
      </c>
      <c r="R203" s="346" t="str">
        <f t="shared" si="89"/>
        <v>00000</v>
      </c>
      <c r="S203" s="344">
        <f t="shared" si="90"/>
        <v>0</v>
      </c>
      <c r="T203" s="345" t="str">
        <f t="shared" si="103"/>
        <v>000</v>
      </c>
      <c r="U203" s="345">
        <f t="shared" si="91"/>
        <v>0</v>
      </c>
      <c r="V203" s="345">
        <f t="shared" si="92"/>
        <v>0</v>
      </c>
      <c r="W203" s="345">
        <f t="shared" si="93"/>
        <v>0</v>
      </c>
      <c r="X203" s="345">
        <f t="shared" si="94"/>
        <v>0</v>
      </c>
      <c r="Y203" s="345">
        <f t="shared" si="95"/>
        <v>0</v>
      </c>
      <c r="Z203" s="345">
        <f>IF(Q203&lt;&gt;"",VLOOKUP(Y203,TIME!$R$21:$V$24,MATCH(FC_DATA!Q203,TIME!$R$20:$V$20,0),FALSE),H203)</f>
        <v>0</v>
      </c>
      <c r="AA203" s="345" t="str">
        <f>IFERROR(VLOOKUP(X203&amp;Z203,TIME!$A$12:$D$71,4,FALSE),"")</f>
        <v/>
      </c>
      <c r="AB203" s="592">
        <f t="shared" ca="1" si="96"/>
        <v>0</v>
      </c>
      <c r="AC203" s="593" t="e">
        <f ca="1">IF(ISBLANK(H203)=FALSE,IF(D203="BRAND.com",I203,IF(ISNA(VLOOKUP(_xlfn.CONCAT(X203,Z203),TIME!$M$40:$M$42,1,FALSE)),I203,VLOOKUP(_xlfn.CONCAT(D203,G203,H203),M_BUSAREA_FC!$AF$5:$AJ$10,5,FALSE)*HLOOKUP(_xlfn.CONCAT(F203,H203),ST_OVERVIEW!$G$99:$I$130,MATCH(_xlfn.CONCAT(D203,E203),ST_OVERVIEW!$F$99:$F$130,0),FALSE))),IF(D203="BRAND.com",VLOOKUP(_xlfn.CONCAT(C203,D203,E203,TIME!$F$1,Z203),HIS_SALES!$B$2:$V$4859,19,FALSE)*I203,VLOOKUP(_xlfn.CONCAT(D203,F203,G203),Q_BUSAREA_FC!$AE$5:$AI$12,5,FALSE)*HLOOKUP(_xlfn.CONCAT(FC_DATA!F203,FC_DATA!G203),LT_OVERVIEW!$I$99:$M$130,MATCH(_xlfn.CONCAT(D203,FC_DATA!E203),LT_OVERVIEW!$H$99:$H$130,0),FALSE)*IFERROR(VLOOKUP(_xlfn.CONCAT(C203,D203,E203,TIME!$F$1,Z203),HIS_SALES!$B$2:$V$4859,19,FALSE),0)))</f>
        <v>#N/A</v>
      </c>
      <c r="AD203" s="341">
        <f t="shared" ca="1" si="97"/>
        <v>0</v>
      </c>
      <c r="AE203" s="363" t="str">
        <f t="shared" si="98"/>
        <v/>
      </c>
      <c r="AF203" s="342" t="str">
        <f t="shared" si="99"/>
        <v/>
      </c>
      <c r="AG203" s="411" t="e">
        <f ca="1">VLOOKUP(_xlfn.CONCAT(U203,V203,W203,VLOOKUP(X203&amp;Y203,TIME!$L$27:$O$34,4,FALSE),Y203),HIS_SALES!$A$2:$R$5093,18,FALSE)</f>
        <v>#N/A</v>
      </c>
      <c r="AH203" s="412" t="e">
        <f ca="1">IFERROR(IF(AND(V203=V202,W203=W202),0.5*(AB203+AB202)*AG203,(VLOOKUP(_xlfn.CONCAT(U203,V203,W203,X203,VLOOKUP(Z203,TIME!$S$28:$T$39,2,FALSE)),FC_DATA!$R$2:$AB$5000,MATCH("GS_I_M",FC_DATA!$R$1:$AB$1,0),FALSE)+FC_DATA!AB203)*0.5*FC_DATA!AG203),NA())</f>
        <v>#N/A</v>
      </c>
      <c r="AI203" s="491" t="e">
        <f ca="1">IF(V203="PARTNER.com",AH203,IF(AND(V203=V202,W203=W202),(1-AVERAGE(AD202,AD203))*AH203,(1-AVERAGE(AD203,VLOOKUP(_xlfn.CONCAT(U203,V203,W203,X203,M_BRAND_FC!$F$6),FC_DATA!$R$2:$AD$5000,MATCH("DISCOUNT_%_M",FC_DATA!$R$1:$AD$1,0),FALSE)))*AH203))</f>
        <v>#N/A</v>
      </c>
      <c r="AJ203" s="412" t="str">
        <f t="shared" ca="1" si="100"/>
        <v/>
      </c>
      <c r="AK203" s="413" t="str">
        <f>IFERROR(AE203/(Q_BRAND_FC!$T$24+1),"")</f>
        <v/>
      </c>
      <c r="AL203" s="88" t="str">
        <f t="shared" ca="1" si="101"/>
        <v/>
      </c>
      <c r="AM203" s="414" t="str">
        <f t="shared" ca="1" si="102"/>
        <v/>
      </c>
      <c r="AN203" s="58">
        <f>IFERROR(IF($V203="BRAND.com",HLOOKUP($X203&amp;$Z203,NWC_FC_NOOS!$C$4:$Q$23,MATCH(W203,NWC_FC_NOOS!$B$4:$B$23,0),FALSE),0),0)</f>
        <v>0</v>
      </c>
      <c r="AO203" s="57">
        <f>IFERROR(IF($V203="BRAND.com",HLOOKUP($X203&amp;$Z203,NWC_FC_NOOS!$T$4:$AH$23,MATCH(W203,NWC_FC_NOOS!$S$4:$S$23,0),FALSE),0),0)</f>
        <v>0</v>
      </c>
      <c r="AP203" s="57">
        <f>IFERROR(IF($V203="BRAND.com",HLOOKUP($X203&amp;$Z203,NWC_FC_NOOS!$C$50:$U$69,MATCH(W203,NWC_FC_NOOS!$B$50:$B$69,0),FALSE),0),0)</f>
        <v>0</v>
      </c>
      <c r="AQ203" s="58">
        <f>IFERROR(IF($V203="BRAND.com",HLOOKUP($X203&amp;$Z203,'NWC_FC_NON-NOOS'!$C$4:$Q$23,MATCH(W203,'NWC_FC_NON-NOOS'!$B$4:$B$23,0),FALSE),0),0)</f>
        <v>0</v>
      </c>
      <c r="AR203" s="57">
        <f>IFERROR(IF($V203="BRAND.com",HLOOKUP($X203&amp;$Z203,'NWC_FC_NON-NOOS'!$T$4:$AH$23,MATCH(W203,'NWC_FC_NON-NOOS'!$S$4:$S$23,0),FALSE),0),0)</f>
        <v>0</v>
      </c>
      <c r="AS203" s="57">
        <f>IFERROR(IF($V203="BRAND.com",HLOOKUP($X203&amp;$Z203,'NWC_FC_NON-NOOS'!$C$50:$U$69,MATCH(W203,'NWC_FC_NON-NOOS'!$B$50:$B$69,0),FALSE),0),0)</f>
        <v>0</v>
      </c>
      <c r="AT203" s="57">
        <f t="shared" si="104"/>
        <v>0</v>
      </c>
      <c r="AU203" s="57">
        <f t="shared" si="105"/>
        <v>0</v>
      </c>
      <c r="AV203" s="58">
        <f>IFERROR(IF($V203="BRAND.com",HLOOKUP($X203&amp;$Z203,PLANNING_FC!$BB$27:$BP$46,MATCH($W203,PLANNING_FC!$BA$27:$BA$46,0),FALSE),0),0)</f>
        <v>0</v>
      </c>
      <c r="AW203" s="58">
        <f>IFERROR(IF($V203="BRAND.com",HLOOKUP($X203&amp;$Z203,PLANNING_FC!$BB$4:$BP$23,MATCH($W203,PLANNING_FC!$BA$4:$BA$23,0),FALSE),0),0)</f>
        <v>0</v>
      </c>
      <c r="AX203" s="58">
        <f>IFERROR(IF($V203="BRAND.com",HLOOKUP($X203&amp;$Z203,PLANNING_FC!$T$27:$AH$46,MATCH($W203,PLANNING_FC!$B$27:$B$46,0),FALSE),0),0)</f>
        <v>0</v>
      </c>
      <c r="AY203" s="58">
        <f>IFERROR(IF($V203="BRAND.com",HLOOKUP($X203&amp;$Z203,PLANNING_FC!$T$4:$AH$23,MATCH($W203,PLANNING_FC!$B$4:$B$23,0),FALSE),0),0)</f>
        <v>0</v>
      </c>
      <c r="AZ203" s="58">
        <f>IFERROR(IF($V203="BRAND.com",HLOOKUP($X203&amp;$Z203,PLANNING_FC!$DA$27:$DO$46,MATCH($W203,PLANNING_FC!$CZ$27:$CZ$46,0),FALSE),0),0)</f>
        <v>0</v>
      </c>
      <c r="BA203" s="58">
        <f>IFERROR(IF($V203="BRAND.com",HLOOKUP($X203&amp;$Z203,PLANNING_FC!$DA$4:$DO$23,MATCH($W203,PLANNING_FC!$CZ$4:$CZ$23,0),FALSE),0),0)</f>
        <v>0</v>
      </c>
      <c r="BB203" s="883" t="str">
        <f>IF(V203="BRAND.com",IFERROR(HLOOKUP(X203&amp;Z203,PLANNING_FC!$AK$4:$AY$23,MATCH(W203,PLANNING_FC!$AJ$4:$AJ$23,0),FALSE)*1000,""),"")</f>
        <v/>
      </c>
      <c r="BC203" s="883" t="str">
        <f>IF(V203="BRAND.com",IFERROR(HLOOKUP(X203&amp;Z203,PLANNING_FC!$AK$27:$AY$46,MATCH(W203,PLANNING_FC!$AJ$27:$AJ$46,0),FALSE)*1000,""),"")</f>
        <v/>
      </c>
    </row>
    <row r="204" spans="1:55" x14ac:dyDescent="0.25">
      <c r="A204" s="509"/>
      <c r="B204" s="510"/>
      <c r="C204" s="509"/>
      <c r="D204" s="509"/>
      <c r="E204" s="509"/>
      <c r="F204" s="509"/>
      <c r="G204" s="509"/>
      <c r="H204" s="509"/>
      <c r="I204" s="512"/>
      <c r="J204" s="513"/>
      <c r="K204" s="879"/>
      <c r="L204" s="515"/>
      <c r="M204" s="516"/>
      <c r="N204" s="56">
        <f t="shared" si="86"/>
        <v>0</v>
      </c>
      <c r="O204" s="57">
        <f t="shared" si="87"/>
        <v>0</v>
      </c>
      <c r="P204" s="57">
        <f ca="1">IFERROR(IF(ISBLANK(H204),SUMIFS($AC:$AC,$V:$V,V204,$W:$W,W204,$X:$X,X204,$Y:$Y,Y204)*J204/(1-J204)*VLOOKUP(_xlfn.CONCAT(C204,D204,E204,TIME!$M$12,Z204),HIS_SALES!$B$2:$W$4859,20,FALSE),AC204*J204/(1-J204)),0)</f>
        <v>0</v>
      </c>
      <c r="Q204" s="541" t="str">
        <f t="shared" si="88"/>
        <v/>
      </c>
      <c r="R204" s="346" t="str">
        <f t="shared" si="89"/>
        <v>00000</v>
      </c>
      <c r="S204" s="344">
        <f t="shared" si="90"/>
        <v>0</v>
      </c>
      <c r="T204" s="345" t="str">
        <f t="shared" si="103"/>
        <v>000</v>
      </c>
      <c r="U204" s="345">
        <f t="shared" si="91"/>
        <v>0</v>
      </c>
      <c r="V204" s="345">
        <f t="shared" si="92"/>
        <v>0</v>
      </c>
      <c r="W204" s="345">
        <f t="shared" si="93"/>
        <v>0</v>
      </c>
      <c r="X204" s="345">
        <f t="shared" si="94"/>
        <v>0</v>
      </c>
      <c r="Y204" s="345">
        <f t="shared" si="95"/>
        <v>0</v>
      </c>
      <c r="Z204" s="345">
        <f>IF(Q204&lt;&gt;"",VLOOKUP(Y204,TIME!$R$21:$V$24,MATCH(FC_DATA!Q204,TIME!$R$20:$V$20,0),FALSE),H204)</f>
        <v>0</v>
      </c>
      <c r="AA204" s="345" t="str">
        <f>IFERROR(VLOOKUP(X204&amp;Z204,TIME!$A$12:$D$71,4,FALSE),"")</f>
        <v/>
      </c>
      <c r="AB204" s="592">
        <f t="shared" ca="1" si="96"/>
        <v>0</v>
      </c>
      <c r="AC204" s="593" t="e">
        <f ca="1">IF(ISBLANK(H204)=FALSE,IF(D204="BRAND.com",I204,IF(ISNA(VLOOKUP(_xlfn.CONCAT(X204,Z204),TIME!$M$40:$M$42,1,FALSE)),I204,VLOOKUP(_xlfn.CONCAT(D204,G204,H204),M_BUSAREA_FC!$AF$5:$AJ$10,5,FALSE)*HLOOKUP(_xlfn.CONCAT(F204,H204),ST_OVERVIEW!$G$99:$I$130,MATCH(_xlfn.CONCAT(D204,E204),ST_OVERVIEW!$F$99:$F$130,0),FALSE))),IF(D204="BRAND.com",VLOOKUP(_xlfn.CONCAT(C204,D204,E204,TIME!$F$1,Z204),HIS_SALES!$B$2:$V$4859,19,FALSE)*I204,VLOOKUP(_xlfn.CONCAT(D204,F204,G204),Q_BUSAREA_FC!$AE$5:$AI$12,5,FALSE)*HLOOKUP(_xlfn.CONCAT(FC_DATA!F204,FC_DATA!G204),LT_OVERVIEW!$I$99:$M$130,MATCH(_xlfn.CONCAT(D204,FC_DATA!E204),LT_OVERVIEW!$H$99:$H$130,0),FALSE)*IFERROR(VLOOKUP(_xlfn.CONCAT(C204,D204,E204,TIME!$F$1,Z204),HIS_SALES!$B$2:$V$4859,19,FALSE),0)))</f>
        <v>#N/A</v>
      </c>
      <c r="AD204" s="341">
        <f t="shared" ca="1" si="97"/>
        <v>0</v>
      </c>
      <c r="AE204" s="363" t="str">
        <f t="shared" si="98"/>
        <v/>
      </c>
      <c r="AF204" s="342" t="str">
        <f t="shared" si="99"/>
        <v/>
      </c>
      <c r="AG204" s="411" t="e">
        <f ca="1">VLOOKUP(_xlfn.CONCAT(U204,V204,W204,VLOOKUP(X204&amp;Y204,TIME!$L$27:$O$34,4,FALSE),Y204),HIS_SALES!$A$2:$R$5093,18,FALSE)</f>
        <v>#N/A</v>
      </c>
      <c r="AH204" s="412" t="e">
        <f ca="1">IFERROR(IF(AND(V204=V203,W204=W203),0.5*(AB204+AB203)*AG204,(VLOOKUP(_xlfn.CONCAT(U204,V204,W204,X204,VLOOKUP(Z204,TIME!$S$28:$T$39,2,FALSE)),FC_DATA!$R$2:$AB$5000,MATCH("GS_I_M",FC_DATA!$R$1:$AB$1,0),FALSE)+FC_DATA!AB204)*0.5*FC_DATA!AG204),NA())</f>
        <v>#N/A</v>
      </c>
      <c r="AI204" s="491" t="e">
        <f ca="1">IF(V204="PARTNER.com",AH204,IF(AND(V204=V203,W204=W203),(1-AVERAGE(AD203,AD204))*AH204,(1-AVERAGE(AD204,VLOOKUP(_xlfn.CONCAT(U204,V204,W204,X204,M_BRAND_FC!$F$6),FC_DATA!$R$2:$AD$5000,MATCH("DISCOUNT_%_M",FC_DATA!$R$1:$AD$1,0),FALSE)))*AH204))</f>
        <v>#N/A</v>
      </c>
      <c r="AJ204" s="412" t="str">
        <f t="shared" ca="1" si="100"/>
        <v/>
      </c>
      <c r="AK204" s="413" t="str">
        <f>IFERROR(AE204/(Q_BRAND_FC!$T$24+1),"")</f>
        <v/>
      </c>
      <c r="AL204" s="88" t="str">
        <f t="shared" ca="1" si="101"/>
        <v/>
      </c>
      <c r="AM204" s="414" t="str">
        <f t="shared" ca="1" si="102"/>
        <v/>
      </c>
      <c r="AN204" s="58">
        <f>IFERROR(IF($V204="BRAND.com",HLOOKUP($X204&amp;$Z204,NWC_FC_NOOS!$C$4:$Q$23,MATCH(W204,NWC_FC_NOOS!$B$4:$B$23,0),FALSE),0),0)</f>
        <v>0</v>
      </c>
      <c r="AO204" s="57">
        <f>IFERROR(IF($V204="BRAND.com",HLOOKUP($X204&amp;$Z204,NWC_FC_NOOS!$T$4:$AH$23,MATCH(W204,NWC_FC_NOOS!$S$4:$S$23,0),FALSE),0),0)</f>
        <v>0</v>
      </c>
      <c r="AP204" s="57">
        <f>IFERROR(IF($V204="BRAND.com",HLOOKUP($X204&amp;$Z204,NWC_FC_NOOS!$C$50:$U$69,MATCH(W204,NWC_FC_NOOS!$B$50:$B$69,0),FALSE),0),0)</f>
        <v>0</v>
      </c>
      <c r="AQ204" s="58">
        <f>IFERROR(IF($V204="BRAND.com",HLOOKUP($X204&amp;$Z204,'NWC_FC_NON-NOOS'!$C$4:$Q$23,MATCH(W204,'NWC_FC_NON-NOOS'!$B$4:$B$23,0),FALSE),0),0)</f>
        <v>0</v>
      </c>
      <c r="AR204" s="57">
        <f>IFERROR(IF($V204="BRAND.com",HLOOKUP($X204&amp;$Z204,'NWC_FC_NON-NOOS'!$T$4:$AH$23,MATCH(W204,'NWC_FC_NON-NOOS'!$S$4:$S$23,0),FALSE),0),0)</f>
        <v>0</v>
      </c>
      <c r="AS204" s="57">
        <f>IFERROR(IF($V204="BRAND.com",HLOOKUP($X204&amp;$Z204,'NWC_FC_NON-NOOS'!$C$50:$U$69,MATCH(W204,'NWC_FC_NON-NOOS'!$B$50:$B$69,0),FALSE),0),0)</f>
        <v>0</v>
      </c>
      <c r="AT204" s="57">
        <f t="shared" si="104"/>
        <v>0</v>
      </c>
      <c r="AU204" s="57">
        <f t="shared" si="105"/>
        <v>0</v>
      </c>
      <c r="AV204" s="58">
        <f>IFERROR(IF($V204="BRAND.com",HLOOKUP($X204&amp;$Z204,PLANNING_FC!$BB$27:$BP$46,MATCH($W204,PLANNING_FC!$BA$27:$BA$46,0),FALSE),0),0)</f>
        <v>0</v>
      </c>
      <c r="AW204" s="58">
        <f>IFERROR(IF($V204="BRAND.com",HLOOKUP($X204&amp;$Z204,PLANNING_FC!$BB$4:$BP$23,MATCH($W204,PLANNING_FC!$BA$4:$BA$23,0),FALSE),0),0)</f>
        <v>0</v>
      </c>
      <c r="AX204" s="58">
        <f>IFERROR(IF($V204="BRAND.com",HLOOKUP($X204&amp;$Z204,PLANNING_FC!$T$27:$AH$46,MATCH($W204,PLANNING_FC!$B$27:$B$46,0),FALSE),0),0)</f>
        <v>0</v>
      </c>
      <c r="AY204" s="58">
        <f>IFERROR(IF($V204="BRAND.com",HLOOKUP($X204&amp;$Z204,PLANNING_FC!$T$4:$AH$23,MATCH($W204,PLANNING_FC!$B$4:$B$23,0),FALSE),0),0)</f>
        <v>0</v>
      </c>
      <c r="AZ204" s="58">
        <f>IFERROR(IF($V204="BRAND.com",HLOOKUP($X204&amp;$Z204,PLANNING_FC!$DA$27:$DO$46,MATCH($W204,PLANNING_FC!$CZ$27:$CZ$46,0),FALSE),0),0)</f>
        <v>0</v>
      </c>
      <c r="BA204" s="58">
        <f>IFERROR(IF($V204="BRAND.com",HLOOKUP($X204&amp;$Z204,PLANNING_FC!$DA$4:$DO$23,MATCH($W204,PLANNING_FC!$CZ$4:$CZ$23,0),FALSE),0),0)</f>
        <v>0</v>
      </c>
      <c r="BB204" s="883" t="str">
        <f>IF(V204="BRAND.com",IFERROR(HLOOKUP(X204&amp;Z204,PLANNING_FC!$AK$4:$AY$23,MATCH(W204,PLANNING_FC!$AJ$4:$AJ$23,0),FALSE)*1000,""),"")</f>
        <v/>
      </c>
      <c r="BC204" s="883" t="str">
        <f>IF(V204="BRAND.com",IFERROR(HLOOKUP(X204&amp;Z204,PLANNING_FC!$AK$27:$AY$46,MATCH(W204,PLANNING_FC!$AJ$27:$AJ$46,0),FALSE)*1000,""),"")</f>
        <v/>
      </c>
    </row>
    <row r="205" spans="1:55" x14ac:dyDescent="0.25">
      <c r="A205" s="509"/>
      <c r="B205" s="510"/>
      <c r="C205" s="509"/>
      <c r="D205" s="509"/>
      <c r="E205" s="509"/>
      <c r="F205" s="509"/>
      <c r="G205" s="509"/>
      <c r="H205" s="509"/>
      <c r="I205" s="512"/>
      <c r="J205" s="513"/>
      <c r="K205" s="879"/>
      <c r="L205" s="515"/>
      <c r="M205" s="516"/>
      <c r="N205" s="56">
        <f t="shared" si="86"/>
        <v>0</v>
      </c>
      <c r="O205" s="57">
        <f t="shared" si="87"/>
        <v>0</v>
      </c>
      <c r="P205" s="57">
        <f ca="1">IFERROR(IF(ISBLANK(H205),SUMIFS($AC:$AC,$V:$V,V205,$W:$W,W205,$X:$X,X205,$Y:$Y,Y205)*J205/(1-J205)*VLOOKUP(_xlfn.CONCAT(C205,D205,E205,TIME!$M$12,Z205),HIS_SALES!$B$2:$W$4859,20,FALSE),AC205*J205/(1-J205)),0)</f>
        <v>0</v>
      </c>
      <c r="Q205" s="541" t="str">
        <f t="shared" si="88"/>
        <v/>
      </c>
      <c r="R205" s="346" t="str">
        <f t="shared" si="89"/>
        <v>00000</v>
      </c>
      <c r="S205" s="344">
        <f t="shared" si="90"/>
        <v>0</v>
      </c>
      <c r="T205" s="345" t="str">
        <f t="shared" si="103"/>
        <v>000</v>
      </c>
      <c r="U205" s="345">
        <f t="shared" si="91"/>
        <v>0</v>
      </c>
      <c r="V205" s="345">
        <f t="shared" si="92"/>
        <v>0</v>
      </c>
      <c r="W205" s="345">
        <f t="shared" si="93"/>
        <v>0</v>
      </c>
      <c r="X205" s="345">
        <f t="shared" si="94"/>
        <v>0</v>
      </c>
      <c r="Y205" s="345">
        <f t="shared" si="95"/>
        <v>0</v>
      </c>
      <c r="Z205" s="345">
        <f>IF(Q205&lt;&gt;"",VLOOKUP(Y205,TIME!$R$21:$V$24,MATCH(FC_DATA!Q205,TIME!$R$20:$V$20,0),FALSE),H205)</f>
        <v>0</v>
      </c>
      <c r="AA205" s="345" t="str">
        <f>IFERROR(VLOOKUP(X205&amp;Z205,TIME!$A$12:$D$71,4,FALSE),"")</f>
        <v/>
      </c>
      <c r="AB205" s="592">
        <f t="shared" ca="1" si="96"/>
        <v>0</v>
      </c>
      <c r="AC205" s="593" t="e">
        <f ca="1">IF(ISBLANK(H205)=FALSE,IF(D205="BRAND.com",I205,IF(ISNA(VLOOKUP(_xlfn.CONCAT(X205,Z205),TIME!$M$40:$M$42,1,FALSE)),I205,VLOOKUP(_xlfn.CONCAT(D205,G205,H205),M_BUSAREA_FC!$AF$5:$AJ$10,5,FALSE)*HLOOKUP(_xlfn.CONCAT(F205,H205),ST_OVERVIEW!$G$99:$I$130,MATCH(_xlfn.CONCAT(D205,E205),ST_OVERVIEW!$F$99:$F$130,0),FALSE))),IF(D205="BRAND.com",VLOOKUP(_xlfn.CONCAT(C205,D205,E205,TIME!$F$1,Z205),HIS_SALES!$B$2:$V$4859,19,FALSE)*I205,VLOOKUP(_xlfn.CONCAT(D205,F205,G205),Q_BUSAREA_FC!$AE$5:$AI$12,5,FALSE)*HLOOKUP(_xlfn.CONCAT(FC_DATA!F205,FC_DATA!G205),LT_OVERVIEW!$I$99:$M$130,MATCH(_xlfn.CONCAT(D205,FC_DATA!E205),LT_OVERVIEW!$H$99:$H$130,0),FALSE)*IFERROR(VLOOKUP(_xlfn.CONCAT(C205,D205,E205,TIME!$F$1,Z205),HIS_SALES!$B$2:$V$4859,19,FALSE),0)))</f>
        <v>#N/A</v>
      </c>
      <c r="AD205" s="341">
        <f t="shared" ca="1" si="97"/>
        <v>0</v>
      </c>
      <c r="AE205" s="363" t="str">
        <f t="shared" si="98"/>
        <v/>
      </c>
      <c r="AF205" s="342" t="str">
        <f t="shared" si="99"/>
        <v/>
      </c>
      <c r="AG205" s="411" t="e">
        <f ca="1">VLOOKUP(_xlfn.CONCAT(U205,V205,W205,VLOOKUP(X205&amp;Y205,TIME!$L$27:$O$34,4,FALSE),Y205),HIS_SALES!$A$2:$R$5093,18,FALSE)</f>
        <v>#N/A</v>
      </c>
      <c r="AH205" s="412" t="e">
        <f ca="1">IFERROR(IF(AND(V205=V204,W205=W204),0.5*(AB205+AB204)*AG205,(VLOOKUP(_xlfn.CONCAT(U205,V205,W205,X205,VLOOKUP(Z205,TIME!$S$28:$T$39,2,FALSE)),FC_DATA!$R$2:$AB$5000,MATCH("GS_I_M",FC_DATA!$R$1:$AB$1,0),FALSE)+FC_DATA!AB205)*0.5*FC_DATA!AG205),NA())</f>
        <v>#N/A</v>
      </c>
      <c r="AI205" s="491" t="e">
        <f ca="1">IF(V205="PARTNER.com",AH205,IF(AND(V205=V204,W205=W204),(1-AVERAGE(AD204,AD205))*AH205,(1-AVERAGE(AD205,VLOOKUP(_xlfn.CONCAT(U205,V205,W205,X205,M_BRAND_FC!$F$6),FC_DATA!$R$2:$AD$5000,MATCH("DISCOUNT_%_M",FC_DATA!$R$1:$AD$1,0),FALSE)))*AH205))</f>
        <v>#N/A</v>
      </c>
      <c r="AJ205" s="412" t="str">
        <f t="shared" ca="1" si="100"/>
        <v/>
      </c>
      <c r="AK205" s="413" t="str">
        <f>IFERROR(AE205/(Q_BRAND_FC!$T$24+1),"")</f>
        <v/>
      </c>
      <c r="AL205" s="88" t="str">
        <f t="shared" ca="1" si="101"/>
        <v/>
      </c>
      <c r="AM205" s="414" t="str">
        <f t="shared" ca="1" si="102"/>
        <v/>
      </c>
      <c r="AN205" s="58">
        <f>IFERROR(IF($V205="BRAND.com",HLOOKUP($X205&amp;$Z205,NWC_FC_NOOS!$C$4:$Q$23,MATCH(W205,NWC_FC_NOOS!$B$4:$B$23,0),FALSE),0),0)</f>
        <v>0</v>
      </c>
      <c r="AO205" s="57">
        <f>IFERROR(IF($V205="BRAND.com",HLOOKUP($X205&amp;$Z205,NWC_FC_NOOS!$T$4:$AH$23,MATCH(W205,NWC_FC_NOOS!$S$4:$S$23,0),FALSE),0),0)</f>
        <v>0</v>
      </c>
      <c r="AP205" s="57">
        <f>IFERROR(IF($V205="BRAND.com",HLOOKUP($X205&amp;$Z205,NWC_FC_NOOS!$C$50:$U$69,MATCH(W205,NWC_FC_NOOS!$B$50:$B$69,0),FALSE),0),0)</f>
        <v>0</v>
      </c>
      <c r="AQ205" s="58">
        <f>IFERROR(IF($V205="BRAND.com",HLOOKUP($X205&amp;$Z205,'NWC_FC_NON-NOOS'!$C$4:$Q$23,MATCH(W205,'NWC_FC_NON-NOOS'!$B$4:$B$23,0),FALSE),0),0)</f>
        <v>0</v>
      </c>
      <c r="AR205" s="57">
        <f>IFERROR(IF($V205="BRAND.com",HLOOKUP($X205&amp;$Z205,'NWC_FC_NON-NOOS'!$T$4:$AH$23,MATCH(W205,'NWC_FC_NON-NOOS'!$S$4:$S$23,0),FALSE),0),0)</f>
        <v>0</v>
      </c>
      <c r="AS205" s="57">
        <f>IFERROR(IF($V205="BRAND.com",HLOOKUP($X205&amp;$Z205,'NWC_FC_NON-NOOS'!$C$50:$U$69,MATCH(W205,'NWC_FC_NON-NOOS'!$B$50:$B$69,0),FALSE),0),0)</f>
        <v>0</v>
      </c>
      <c r="AT205" s="57">
        <f t="shared" si="104"/>
        <v>0</v>
      </c>
      <c r="AU205" s="57">
        <f t="shared" si="105"/>
        <v>0</v>
      </c>
      <c r="AV205" s="58">
        <f>IFERROR(IF($V205="BRAND.com",HLOOKUP($X205&amp;$Z205,PLANNING_FC!$BB$27:$BP$46,MATCH($W205,PLANNING_FC!$BA$27:$BA$46,0),FALSE),0),0)</f>
        <v>0</v>
      </c>
      <c r="AW205" s="58">
        <f>IFERROR(IF($V205="BRAND.com",HLOOKUP($X205&amp;$Z205,PLANNING_FC!$BB$4:$BP$23,MATCH($W205,PLANNING_FC!$BA$4:$BA$23,0),FALSE),0),0)</f>
        <v>0</v>
      </c>
      <c r="AX205" s="58">
        <f>IFERROR(IF($V205="BRAND.com",HLOOKUP($X205&amp;$Z205,PLANNING_FC!$T$27:$AH$46,MATCH($W205,PLANNING_FC!$B$27:$B$46,0),FALSE),0),0)</f>
        <v>0</v>
      </c>
      <c r="AY205" s="58">
        <f>IFERROR(IF($V205="BRAND.com",HLOOKUP($X205&amp;$Z205,PLANNING_FC!$T$4:$AH$23,MATCH($W205,PLANNING_FC!$B$4:$B$23,0),FALSE),0),0)</f>
        <v>0</v>
      </c>
      <c r="AZ205" s="58">
        <f>IFERROR(IF($V205="BRAND.com",HLOOKUP($X205&amp;$Z205,PLANNING_FC!$DA$27:$DO$46,MATCH($W205,PLANNING_FC!$CZ$27:$CZ$46,0),FALSE),0),0)</f>
        <v>0</v>
      </c>
      <c r="BA205" s="58">
        <f>IFERROR(IF($V205="BRAND.com",HLOOKUP($X205&amp;$Z205,PLANNING_FC!$DA$4:$DO$23,MATCH($W205,PLANNING_FC!$CZ$4:$CZ$23,0),FALSE),0),0)</f>
        <v>0</v>
      </c>
      <c r="BB205" s="883" t="str">
        <f>IF(V205="BRAND.com",IFERROR(HLOOKUP(X205&amp;Z205,PLANNING_FC!$AK$4:$AY$23,MATCH(W205,PLANNING_FC!$AJ$4:$AJ$23,0),FALSE)*1000,""),"")</f>
        <v/>
      </c>
      <c r="BC205" s="883" t="str">
        <f>IF(V205="BRAND.com",IFERROR(HLOOKUP(X205&amp;Z205,PLANNING_FC!$AK$27:$AY$46,MATCH(W205,PLANNING_FC!$AJ$27:$AJ$46,0),FALSE)*1000,""),"")</f>
        <v/>
      </c>
    </row>
    <row r="206" spans="1:55" x14ac:dyDescent="0.25">
      <c r="A206" s="509"/>
      <c r="B206" s="510"/>
      <c r="C206" s="509"/>
      <c r="D206" s="509"/>
      <c r="E206" s="509"/>
      <c r="F206" s="509"/>
      <c r="G206" s="509"/>
      <c r="H206" s="509"/>
      <c r="I206" s="512"/>
      <c r="J206" s="513"/>
      <c r="K206" s="879"/>
      <c r="L206" s="515"/>
      <c r="M206" s="516"/>
      <c r="N206" s="56">
        <f t="shared" si="86"/>
        <v>0</v>
      </c>
      <c r="O206" s="57">
        <f t="shared" si="87"/>
        <v>0</v>
      </c>
      <c r="P206" s="57">
        <f ca="1">IFERROR(IF(ISBLANK(H206),SUMIFS($AC:$AC,$V:$V,V206,$W:$W,W206,$X:$X,X206,$Y:$Y,Y206)*J206/(1-J206)*VLOOKUP(_xlfn.CONCAT(C206,D206,E206,TIME!$M$12,Z206),HIS_SALES!$B$2:$W$4859,20,FALSE),AC206*J206/(1-J206)),0)</f>
        <v>0</v>
      </c>
      <c r="Q206" s="541" t="str">
        <f t="shared" si="88"/>
        <v/>
      </c>
      <c r="R206" s="346" t="str">
        <f t="shared" si="89"/>
        <v>00000</v>
      </c>
      <c r="S206" s="344">
        <f t="shared" si="90"/>
        <v>0</v>
      </c>
      <c r="T206" s="345" t="str">
        <f t="shared" si="103"/>
        <v>000</v>
      </c>
      <c r="U206" s="345">
        <f t="shared" si="91"/>
        <v>0</v>
      </c>
      <c r="V206" s="345">
        <f t="shared" si="92"/>
        <v>0</v>
      </c>
      <c r="W206" s="345">
        <f t="shared" si="93"/>
        <v>0</v>
      </c>
      <c r="X206" s="345">
        <f t="shared" si="94"/>
        <v>0</v>
      </c>
      <c r="Y206" s="345">
        <f t="shared" si="95"/>
        <v>0</v>
      </c>
      <c r="Z206" s="345">
        <f>IF(Q206&lt;&gt;"",VLOOKUP(Y206,TIME!$R$21:$V$24,MATCH(FC_DATA!Q206,TIME!$R$20:$V$20,0),FALSE),H206)</f>
        <v>0</v>
      </c>
      <c r="AA206" s="345" t="str">
        <f>IFERROR(VLOOKUP(X206&amp;Z206,TIME!$A$12:$D$71,4,FALSE),"")</f>
        <v/>
      </c>
      <c r="AB206" s="592">
        <f t="shared" ca="1" si="96"/>
        <v>0</v>
      </c>
      <c r="AC206" s="593" t="e">
        <f ca="1">IF(ISBLANK(H206)=FALSE,IF(D206="BRAND.com",I206,IF(ISNA(VLOOKUP(_xlfn.CONCAT(X206,Z206),TIME!$M$40:$M$42,1,FALSE)),I206,VLOOKUP(_xlfn.CONCAT(D206,G206,H206),M_BUSAREA_FC!$AF$5:$AJ$10,5,FALSE)*HLOOKUP(_xlfn.CONCAT(F206,H206),ST_OVERVIEW!$G$99:$I$130,MATCH(_xlfn.CONCAT(D206,E206),ST_OVERVIEW!$F$99:$F$130,0),FALSE))),IF(D206="BRAND.com",VLOOKUP(_xlfn.CONCAT(C206,D206,E206,TIME!$F$1,Z206),HIS_SALES!$B$2:$V$4859,19,FALSE)*I206,VLOOKUP(_xlfn.CONCAT(D206,F206,G206),Q_BUSAREA_FC!$AE$5:$AI$12,5,FALSE)*HLOOKUP(_xlfn.CONCAT(FC_DATA!F206,FC_DATA!G206),LT_OVERVIEW!$I$99:$M$130,MATCH(_xlfn.CONCAT(D206,FC_DATA!E206),LT_OVERVIEW!$H$99:$H$130,0),FALSE)*IFERROR(VLOOKUP(_xlfn.CONCAT(C206,D206,E206,TIME!$F$1,Z206),HIS_SALES!$B$2:$V$4859,19,FALSE),0)))</f>
        <v>#N/A</v>
      </c>
      <c r="AD206" s="341">
        <f t="shared" ca="1" si="97"/>
        <v>0</v>
      </c>
      <c r="AE206" s="363" t="str">
        <f t="shared" si="98"/>
        <v/>
      </c>
      <c r="AF206" s="342" t="str">
        <f t="shared" si="99"/>
        <v/>
      </c>
      <c r="AG206" s="411" t="e">
        <f ca="1">VLOOKUP(_xlfn.CONCAT(U206,V206,W206,VLOOKUP(X206&amp;Y206,TIME!$L$27:$O$34,4,FALSE),Y206),HIS_SALES!$A$2:$R$5093,18,FALSE)</f>
        <v>#N/A</v>
      </c>
      <c r="AH206" s="412" t="e">
        <f ca="1">IFERROR(IF(AND(V206=V205,W206=W205),0.5*(AB206+AB205)*AG206,(VLOOKUP(_xlfn.CONCAT(U206,V206,W206,X206,VLOOKUP(Z206,TIME!$S$28:$T$39,2,FALSE)),FC_DATA!$R$2:$AB$5000,MATCH("GS_I_M",FC_DATA!$R$1:$AB$1,0),FALSE)+FC_DATA!AB206)*0.5*FC_DATA!AG206),NA())</f>
        <v>#N/A</v>
      </c>
      <c r="AI206" s="491" t="e">
        <f ca="1">IF(V206="PARTNER.com",AH206,IF(AND(V206=V205,W206=W205),(1-AVERAGE(AD205,AD206))*AH206,(1-AVERAGE(AD206,VLOOKUP(_xlfn.CONCAT(U206,V206,W206,X206,M_BRAND_FC!$F$6),FC_DATA!$R$2:$AD$5000,MATCH("DISCOUNT_%_M",FC_DATA!$R$1:$AD$1,0),FALSE)))*AH206))</f>
        <v>#N/A</v>
      </c>
      <c r="AJ206" s="412" t="str">
        <f t="shared" ca="1" si="100"/>
        <v/>
      </c>
      <c r="AK206" s="413" t="str">
        <f>IFERROR(AE206/(Q_BRAND_FC!$T$24+1),"")</f>
        <v/>
      </c>
      <c r="AL206" s="88" t="str">
        <f t="shared" ca="1" si="101"/>
        <v/>
      </c>
      <c r="AM206" s="414" t="str">
        <f t="shared" ca="1" si="102"/>
        <v/>
      </c>
      <c r="AN206" s="58">
        <f>IFERROR(IF($V206="BRAND.com",HLOOKUP($X206&amp;$Z206,NWC_FC_NOOS!$C$4:$Q$23,MATCH(W206,NWC_FC_NOOS!$B$4:$B$23,0),FALSE),0),0)</f>
        <v>0</v>
      </c>
      <c r="AO206" s="57">
        <f>IFERROR(IF($V206="BRAND.com",HLOOKUP($X206&amp;$Z206,NWC_FC_NOOS!$T$4:$AH$23,MATCH(W206,NWC_FC_NOOS!$S$4:$S$23,0),FALSE),0),0)</f>
        <v>0</v>
      </c>
      <c r="AP206" s="57">
        <f>IFERROR(IF($V206="BRAND.com",HLOOKUP($X206&amp;$Z206,NWC_FC_NOOS!$C$50:$U$69,MATCH(W206,NWC_FC_NOOS!$B$50:$B$69,0),FALSE),0),0)</f>
        <v>0</v>
      </c>
      <c r="AQ206" s="58">
        <f>IFERROR(IF($V206="BRAND.com",HLOOKUP($X206&amp;$Z206,'NWC_FC_NON-NOOS'!$C$4:$Q$23,MATCH(W206,'NWC_FC_NON-NOOS'!$B$4:$B$23,0),FALSE),0),0)</f>
        <v>0</v>
      </c>
      <c r="AR206" s="57">
        <f>IFERROR(IF($V206="BRAND.com",HLOOKUP($X206&amp;$Z206,'NWC_FC_NON-NOOS'!$T$4:$AH$23,MATCH(W206,'NWC_FC_NON-NOOS'!$S$4:$S$23,0),FALSE),0),0)</f>
        <v>0</v>
      </c>
      <c r="AS206" s="57">
        <f>IFERROR(IF($V206="BRAND.com",HLOOKUP($X206&amp;$Z206,'NWC_FC_NON-NOOS'!$C$50:$U$69,MATCH(W206,'NWC_FC_NON-NOOS'!$B$50:$B$69,0),FALSE),0),0)</f>
        <v>0</v>
      </c>
      <c r="AT206" s="57">
        <f t="shared" si="104"/>
        <v>0</v>
      </c>
      <c r="AU206" s="57">
        <f t="shared" si="105"/>
        <v>0</v>
      </c>
      <c r="AV206" s="58">
        <f>IFERROR(IF($V206="BRAND.com",HLOOKUP($X206&amp;$Z206,PLANNING_FC!$BB$27:$BP$46,MATCH($W206,PLANNING_FC!$BA$27:$BA$46,0),FALSE),0),0)</f>
        <v>0</v>
      </c>
      <c r="AW206" s="58">
        <f>IFERROR(IF($V206="BRAND.com",HLOOKUP($X206&amp;$Z206,PLANNING_FC!$BB$4:$BP$23,MATCH($W206,PLANNING_FC!$BA$4:$BA$23,0),FALSE),0),0)</f>
        <v>0</v>
      </c>
      <c r="AX206" s="58">
        <f>IFERROR(IF($V206="BRAND.com",HLOOKUP($X206&amp;$Z206,PLANNING_FC!$T$27:$AH$46,MATCH($W206,PLANNING_FC!$B$27:$B$46,0),FALSE),0),0)</f>
        <v>0</v>
      </c>
      <c r="AY206" s="58">
        <f>IFERROR(IF($V206="BRAND.com",HLOOKUP($X206&amp;$Z206,PLANNING_FC!$T$4:$AH$23,MATCH($W206,PLANNING_FC!$B$4:$B$23,0),FALSE),0),0)</f>
        <v>0</v>
      </c>
      <c r="AZ206" s="58">
        <f>IFERROR(IF($V206="BRAND.com",HLOOKUP($X206&amp;$Z206,PLANNING_FC!$DA$27:$DO$46,MATCH($W206,PLANNING_FC!$CZ$27:$CZ$46,0),FALSE),0),0)</f>
        <v>0</v>
      </c>
      <c r="BA206" s="58">
        <f>IFERROR(IF($V206="BRAND.com",HLOOKUP($X206&amp;$Z206,PLANNING_FC!$DA$4:$DO$23,MATCH($W206,PLANNING_FC!$CZ$4:$CZ$23,0),FALSE),0),0)</f>
        <v>0</v>
      </c>
      <c r="BB206" s="883" t="str">
        <f>IF(V206="BRAND.com",IFERROR(HLOOKUP(X206&amp;Z206,PLANNING_FC!$AK$4:$AY$23,MATCH(W206,PLANNING_FC!$AJ$4:$AJ$23,0),FALSE)*1000,""),"")</f>
        <v/>
      </c>
      <c r="BC206" s="883" t="str">
        <f>IF(V206="BRAND.com",IFERROR(HLOOKUP(X206&amp;Z206,PLANNING_FC!$AK$27:$AY$46,MATCH(W206,PLANNING_FC!$AJ$27:$AJ$46,0),FALSE)*1000,""),"")</f>
        <v/>
      </c>
    </row>
    <row r="207" spans="1:55" x14ac:dyDescent="0.25">
      <c r="A207" s="509"/>
      <c r="B207" s="510"/>
      <c r="C207" s="509"/>
      <c r="D207" s="509"/>
      <c r="E207" s="509"/>
      <c r="F207" s="509"/>
      <c r="G207" s="509"/>
      <c r="H207" s="509"/>
      <c r="I207" s="512"/>
      <c r="J207" s="513"/>
      <c r="K207" s="879"/>
      <c r="L207" s="515"/>
      <c r="M207" s="516"/>
      <c r="N207" s="56">
        <f t="shared" si="86"/>
        <v>0</v>
      </c>
      <c r="O207" s="57">
        <f t="shared" si="87"/>
        <v>0</v>
      </c>
      <c r="P207" s="57">
        <f ca="1">IFERROR(IF(ISBLANK(H207),SUMIFS($AC:$AC,$V:$V,V207,$W:$W,W207,$X:$X,X207,$Y:$Y,Y207)*J207/(1-J207)*VLOOKUP(_xlfn.CONCAT(C207,D207,E207,TIME!$M$12,Z207),HIS_SALES!$B$2:$W$4859,20,FALSE),AC207*J207/(1-J207)),0)</f>
        <v>0</v>
      </c>
      <c r="Q207" s="541" t="str">
        <f t="shared" si="88"/>
        <v/>
      </c>
      <c r="R207" s="346" t="str">
        <f t="shared" si="89"/>
        <v>00000</v>
      </c>
      <c r="S207" s="344">
        <f t="shared" si="90"/>
        <v>0</v>
      </c>
      <c r="T207" s="345" t="str">
        <f t="shared" si="103"/>
        <v>000</v>
      </c>
      <c r="U207" s="345">
        <f t="shared" si="91"/>
        <v>0</v>
      </c>
      <c r="V207" s="345">
        <f t="shared" si="92"/>
        <v>0</v>
      </c>
      <c r="W207" s="345">
        <f t="shared" si="93"/>
        <v>0</v>
      </c>
      <c r="X207" s="345">
        <f t="shared" si="94"/>
        <v>0</v>
      </c>
      <c r="Y207" s="345">
        <f t="shared" si="95"/>
        <v>0</v>
      </c>
      <c r="Z207" s="345">
        <f>IF(Q207&lt;&gt;"",VLOOKUP(Y207,TIME!$R$21:$V$24,MATCH(FC_DATA!Q207,TIME!$R$20:$V$20,0),FALSE),H207)</f>
        <v>0</v>
      </c>
      <c r="AA207" s="345" t="str">
        <f>IFERROR(VLOOKUP(X207&amp;Z207,TIME!$A$12:$D$71,4,FALSE),"")</f>
        <v/>
      </c>
      <c r="AB207" s="592">
        <f t="shared" ca="1" si="96"/>
        <v>0</v>
      </c>
      <c r="AC207" s="593" t="e">
        <f ca="1">IF(ISBLANK(H207)=FALSE,IF(D207="BRAND.com",I207,IF(ISNA(VLOOKUP(_xlfn.CONCAT(X207,Z207),TIME!$M$40:$M$42,1,FALSE)),I207,VLOOKUP(_xlfn.CONCAT(D207,G207,H207),M_BUSAREA_FC!$AF$5:$AJ$10,5,FALSE)*HLOOKUP(_xlfn.CONCAT(F207,H207),ST_OVERVIEW!$G$99:$I$130,MATCH(_xlfn.CONCAT(D207,E207),ST_OVERVIEW!$F$99:$F$130,0),FALSE))),IF(D207="BRAND.com",VLOOKUP(_xlfn.CONCAT(C207,D207,E207,TIME!$F$1,Z207),HIS_SALES!$B$2:$V$4859,19,FALSE)*I207,VLOOKUP(_xlfn.CONCAT(D207,F207,G207),Q_BUSAREA_FC!$AE$5:$AI$12,5,FALSE)*HLOOKUP(_xlfn.CONCAT(FC_DATA!F207,FC_DATA!G207),LT_OVERVIEW!$I$99:$M$130,MATCH(_xlfn.CONCAT(D207,FC_DATA!E207),LT_OVERVIEW!$H$99:$H$130,0),FALSE)*IFERROR(VLOOKUP(_xlfn.CONCAT(C207,D207,E207,TIME!$F$1,Z207),HIS_SALES!$B$2:$V$4859,19,FALSE),0)))</f>
        <v>#N/A</v>
      </c>
      <c r="AD207" s="341">
        <f t="shared" ca="1" si="97"/>
        <v>0</v>
      </c>
      <c r="AE207" s="363" t="str">
        <f t="shared" si="98"/>
        <v/>
      </c>
      <c r="AF207" s="342" t="str">
        <f t="shared" si="99"/>
        <v/>
      </c>
      <c r="AG207" s="411" t="e">
        <f ca="1">VLOOKUP(_xlfn.CONCAT(U207,V207,W207,VLOOKUP(X207&amp;Y207,TIME!$L$27:$O$34,4,FALSE),Y207),HIS_SALES!$A$2:$R$5093,18,FALSE)</f>
        <v>#N/A</v>
      </c>
      <c r="AH207" s="412" t="e">
        <f ca="1">IFERROR(IF(AND(V207=V206,W207=W206),0.5*(AB207+AB206)*AG207,(VLOOKUP(_xlfn.CONCAT(U207,V207,W207,X207,VLOOKUP(Z207,TIME!$S$28:$T$39,2,FALSE)),FC_DATA!$R$2:$AB$5000,MATCH("GS_I_M",FC_DATA!$R$1:$AB$1,0),FALSE)+FC_DATA!AB207)*0.5*FC_DATA!AG207),NA())</f>
        <v>#N/A</v>
      </c>
      <c r="AI207" s="491" t="e">
        <f ca="1">IF(V207="PARTNER.com",AH207,IF(AND(V207=V206,W207=W206),(1-AVERAGE(AD206,AD207))*AH207,(1-AVERAGE(AD207,VLOOKUP(_xlfn.CONCAT(U207,V207,W207,X207,M_BRAND_FC!$F$6),FC_DATA!$R$2:$AD$5000,MATCH("DISCOUNT_%_M",FC_DATA!$R$1:$AD$1,0),FALSE)))*AH207))</f>
        <v>#N/A</v>
      </c>
      <c r="AJ207" s="412" t="str">
        <f t="shared" ca="1" si="100"/>
        <v/>
      </c>
      <c r="AK207" s="413" t="str">
        <f>IFERROR(AE207/(Q_BRAND_FC!$T$24+1),"")</f>
        <v/>
      </c>
      <c r="AL207" s="88" t="str">
        <f t="shared" ca="1" si="101"/>
        <v/>
      </c>
      <c r="AM207" s="414" t="str">
        <f t="shared" ca="1" si="102"/>
        <v/>
      </c>
      <c r="AN207" s="58">
        <f>IFERROR(IF($V207="BRAND.com",HLOOKUP($X207&amp;$Z207,NWC_FC_NOOS!$C$4:$Q$23,MATCH(W207,NWC_FC_NOOS!$B$4:$B$23,0),FALSE),0),0)</f>
        <v>0</v>
      </c>
      <c r="AO207" s="57">
        <f>IFERROR(IF($V207="BRAND.com",HLOOKUP($X207&amp;$Z207,NWC_FC_NOOS!$T$4:$AH$23,MATCH(W207,NWC_FC_NOOS!$S$4:$S$23,0),FALSE),0),0)</f>
        <v>0</v>
      </c>
      <c r="AP207" s="57">
        <f>IFERROR(IF($V207="BRAND.com",HLOOKUP($X207&amp;$Z207,NWC_FC_NOOS!$C$50:$U$69,MATCH(W207,NWC_FC_NOOS!$B$50:$B$69,0),FALSE),0),0)</f>
        <v>0</v>
      </c>
      <c r="AQ207" s="58">
        <f>IFERROR(IF($V207="BRAND.com",HLOOKUP($X207&amp;$Z207,'NWC_FC_NON-NOOS'!$C$4:$Q$23,MATCH(W207,'NWC_FC_NON-NOOS'!$B$4:$B$23,0),FALSE),0),0)</f>
        <v>0</v>
      </c>
      <c r="AR207" s="57">
        <f>IFERROR(IF($V207="BRAND.com",HLOOKUP($X207&amp;$Z207,'NWC_FC_NON-NOOS'!$T$4:$AH$23,MATCH(W207,'NWC_FC_NON-NOOS'!$S$4:$S$23,0),FALSE),0),0)</f>
        <v>0</v>
      </c>
      <c r="AS207" s="57">
        <f>IFERROR(IF($V207="BRAND.com",HLOOKUP($X207&amp;$Z207,'NWC_FC_NON-NOOS'!$C$50:$U$69,MATCH(W207,'NWC_FC_NON-NOOS'!$B$50:$B$69,0),FALSE),0),0)</f>
        <v>0</v>
      </c>
      <c r="AT207" s="57">
        <f t="shared" si="104"/>
        <v>0</v>
      </c>
      <c r="AU207" s="57">
        <f t="shared" si="105"/>
        <v>0</v>
      </c>
      <c r="AV207" s="58">
        <f>IFERROR(IF($V207="BRAND.com",HLOOKUP($X207&amp;$Z207,PLANNING_FC!$BB$27:$BP$46,MATCH($W207,PLANNING_FC!$BA$27:$BA$46,0),FALSE),0),0)</f>
        <v>0</v>
      </c>
      <c r="AW207" s="58">
        <f>IFERROR(IF($V207="BRAND.com",HLOOKUP($X207&amp;$Z207,PLANNING_FC!$BB$4:$BP$23,MATCH($W207,PLANNING_FC!$BA$4:$BA$23,0),FALSE),0),0)</f>
        <v>0</v>
      </c>
      <c r="AX207" s="58">
        <f>IFERROR(IF($V207="BRAND.com",HLOOKUP($X207&amp;$Z207,PLANNING_FC!$T$27:$AH$46,MATCH($W207,PLANNING_FC!$B$27:$B$46,0),FALSE),0),0)</f>
        <v>0</v>
      </c>
      <c r="AY207" s="58">
        <f>IFERROR(IF($V207="BRAND.com",HLOOKUP($X207&amp;$Z207,PLANNING_FC!$T$4:$AH$23,MATCH($W207,PLANNING_FC!$B$4:$B$23,0),FALSE),0),0)</f>
        <v>0</v>
      </c>
      <c r="AZ207" s="58">
        <f>IFERROR(IF($V207="BRAND.com",HLOOKUP($X207&amp;$Z207,PLANNING_FC!$DA$27:$DO$46,MATCH($W207,PLANNING_FC!$CZ$27:$CZ$46,0),FALSE),0),0)</f>
        <v>0</v>
      </c>
      <c r="BA207" s="58">
        <f>IFERROR(IF($V207="BRAND.com",HLOOKUP($X207&amp;$Z207,PLANNING_FC!$DA$4:$DO$23,MATCH($W207,PLANNING_FC!$CZ$4:$CZ$23,0),FALSE),0),0)</f>
        <v>0</v>
      </c>
      <c r="BB207" s="883" t="str">
        <f>IF(V207="BRAND.com",IFERROR(HLOOKUP(X207&amp;Z207,PLANNING_FC!$AK$4:$AY$23,MATCH(W207,PLANNING_FC!$AJ$4:$AJ$23,0),FALSE)*1000,""),"")</f>
        <v/>
      </c>
      <c r="BC207" s="883" t="str">
        <f>IF(V207="BRAND.com",IFERROR(HLOOKUP(X207&amp;Z207,PLANNING_FC!$AK$27:$AY$46,MATCH(W207,PLANNING_FC!$AJ$27:$AJ$46,0),FALSE)*1000,""),"")</f>
        <v/>
      </c>
    </row>
    <row r="208" spans="1:55" x14ac:dyDescent="0.25">
      <c r="A208" s="509"/>
      <c r="B208" s="510"/>
      <c r="C208" s="509"/>
      <c r="D208" s="509"/>
      <c r="E208" s="509"/>
      <c r="F208" s="509"/>
      <c r="G208" s="509"/>
      <c r="H208" s="509"/>
      <c r="I208" s="512"/>
      <c r="J208" s="513"/>
      <c r="K208" s="879"/>
      <c r="L208" s="515"/>
      <c r="M208" s="516"/>
      <c r="N208" s="56">
        <f t="shared" si="86"/>
        <v>0</v>
      </c>
      <c r="O208" s="57">
        <f t="shared" si="87"/>
        <v>0</v>
      </c>
      <c r="P208" s="57">
        <f ca="1">IFERROR(IF(ISBLANK(H208),SUMIFS($AC:$AC,$V:$V,V208,$W:$W,W208,$X:$X,X208,$Y:$Y,Y208)*J208/(1-J208)*VLOOKUP(_xlfn.CONCAT(C208,D208,E208,TIME!$M$12,Z208),HIS_SALES!$B$2:$W$4859,20,FALSE),AC208*J208/(1-J208)),0)</f>
        <v>0</v>
      </c>
      <c r="Q208" s="541" t="str">
        <f t="shared" si="88"/>
        <v/>
      </c>
      <c r="R208" s="346" t="str">
        <f t="shared" si="89"/>
        <v>00000</v>
      </c>
      <c r="S208" s="344">
        <f t="shared" si="90"/>
        <v>0</v>
      </c>
      <c r="T208" s="345" t="str">
        <f t="shared" si="103"/>
        <v>000</v>
      </c>
      <c r="U208" s="345">
        <f t="shared" si="91"/>
        <v>0</v>
      </c>
      <c r="V208" s="345">
        <f t="shared" si="92"/>
        <v>0</v>
      </c>
      <c r="W208" s="345">
        <f t="shared" si="93"/>
        <v>0</v>
      </c>
      <c r="X208" s="345">
        <f t="shared" si="94"/>
        <v>0</v>
      </c>
      <c r="Y208" s="345">
        <f t="shared" si="95"/>
        <v>0</v>
      </c>
      <c r="Z208" s="345">
        <f>IF(Q208&lt;&gt;"",VLOOKUP(Y208,TIME!$R$21:$V$24,MATCH(FC_DATA!Q208,TIME!$R$20:$V$20,0),FALSE),H208)</f>
        <v>0</v>
      </c>
      <c r="AA208" s="345" t="str">
        <f>IFERROR(VLOOKUP(X208&amp;Z208,TIME!$A$12:$D$71,4,FALSE),"")</f>
        <v/>
      </c>
      <c r="AB208" s="592">
        <f t="shared" ca="1" si="96"/>
        <v>0</v>
      </c>
      <c r="AC208" s="593" t="e">
        <f ca="1">IF(ISBLANK(H208)=FALSE,IF(D208="BRAND.com",I208,IF(ISNA(VLOOKUP(_xlfn.CONCAT(X208,Z208),TIME!$M$40:$M$42,1,FALSE)),I208,VLOOKUP(_xlfn.CONCAT(D208,G208,H208),M_BUSAREA_FC!$AF$5:$AJ$10,5,FALSE)*HLOOKUP(_xlfn.CONCAT(F208,H208),ST_OVERVIEW!$G$99:$I$130,MATCH(_xlfn.CONCAT(D208,E208),ST_OVERVIEW!$F$99:$F$130,0),FALSE))),IF(D208="BRAND.com",VLOOKUP(_xlfn.CONCAT(C208,D208,E208,TIME!$F$1,Z208),HIS_SALES!$B$2:$V$4859,19,FALSE)*I208,VLOOKUP(_xlfn.CONCAT(D208,F208,G208),Q_BUSAREA_FC!$AE$5:$AI$12,5,FALSE)*HLOOKUP(_xlfn.CONCAT(FC_DATA!F208,FC_DATA!G208),LT_OVERVIEW!$I$99:$M$130,MATCH(_xlfn.CONCAT(D208,FC_DATA!E208),LT_OVERVIEW!$H$99:$H$130,0),FALSE)*IFERROR(VLOOKUP(_xlfn.CONCAT(C208,D208,E208,TIME!$F$1,Z208),HIS_SALES!$B$2:$V$4859,19,FALSE),0)))</f>
        <v>#N/A</v>
      </c>
      <c r="AD208" s="341">
        <f t="shared" ca="1" si="97"/>
        <v>0</v>
      </c>
      <c r="AE208" s="363" t="str">
        <f t="shared" si="98"/>
        <v/>
      </c>
      <c r="AF208" s="342" t="str">
        <f t="shared" si="99"/>
        <v/>
      </c>
      <c r="AG208" s="411" t="e">
        <f ca="1">VLOOKUP(_xlfn.CONCAT(U208,V208,W208,VLOOKUP(X208&amp;Y208,TIME!$L$27:$O$34,4,FALSE),Y208),HIS_SALES!$A$2:$R$5093,18,FALSE)</f>
        <v>#N/A</v>
      </c>
      <c r="AH208" s="412" t="e">
        <f ca="1">IFERROR(IF(AND(V208=V207,W208=W207),0.5*(AB208+AB207)*AG208,(VLOOKUP(_xlfn.CONCAT(U208,V208,W208,X208,VLOOKUP(Z208,TIME!$S$28:$T$39,2,FALSE)),FC_DATA!$R$2:$AB$5000,MATCH("GS_I_M",FC_DATA!$R$1:$AB$1,0),FALSE)+FC_DATA!AB208)*0.5*FC_DATA!AG208),NA())</f>
        <v>#N/A</v>
      </c>
      <c r="AI208" s="491" t="e">
        <f ca="1">IF(V208="PARTNER.com",AH208,IF(AND(V208=V207,W208=W207),(1-AVERAGE(AD207,AD208))*AH208,(1-AVERAGE(AD208,VLOOKUP(_xlfn.CONCAT(U208,V208,W208,X208,M_BRAND_FC!$F$6),FC_DATA!$R$2:$AD$5000,MATCH("DISCOUNT_%_M",FC_DATA!$R$1:$AD$1,0),FALSE)))*AH208))</f>
        <v>#N/A</v>
      </c>
      <c r="AJ208" s="412" t="str">
        <f t="shared" ca="1" si="100"/>
        <v/>
      </c>
      <c r="AK208" s="413" t="str">
        <f>IFERROR(AE208/(Q_BRAND_FC!$T$24+1),"")</f>
        <v/>
      </c>
      <c r="AL208" s="88" t="str">
        <f t="shared" ca="1" si="101"/>
        <v/>
      </c>
      <c r="AM208" s="414" t="str">
        <f t="shared" ca="1" si="102"/>
        <v/>
      </c>
      <c r="AN208" s="58">
        <f>IFERROR(IF($V208="BRAND.com",HLOOKUP($X208&amp;$Z208,NWC_FC_NOOS!$C$4:$Q$23,MATCH(W208,NWC_FC_NOOS!$B$4:$B$23,0),FALSE),0),0)</f>
        <v>0</v>
      </c>
      <c r="AO208" s="57">
        <f>IFERROR(IF($V208="BRAND.com",HLOOKUP($X208&amp;$Z208,NWC_FC_NOOS!$T$4:$AH$23,MATCH(W208,NWC_FC_NOOS!$S$4:$S$23,0),FALSE),0),0)</f>
        <v>0</v>
      </c>
      <c r="AP208" s="57">
        <f>IFERROR(IF($V208="BRAND.com",HLOOKUP($X208&amp;$Z208,NWC_FC_NOOS!$C$50:$U$69,MATCH(W208,NWC_FC_NOOS!$B$50:$B$69,0),FALSE),0),0)</f>
        <v>0</v>
      </c>
      <c r="AQ208" s="58">
        <f>IFERROR(IF($V208="BRAND.com",HLOOKUP($X208&amp;$Z208,'NWC_FC_NON-NOOS'!$C$4:$Q$23,MATCH(W208,'NWC_FC_NON-NOOS'!$B$4:$B$23,0),FALSE),0),0)</f>
        <v>0</v>
      </c>
      <c r="AR208" s="57">
        <f>IFERROR(IF($V208="BRAND.com",HLOOKUP($X208&amp;$Z208,'NWC_FC_NON-NOOS'!$T$4:$AH$23,MATCH(W208,'NWC_FC_NON-NOOS'!$S$4:$S$23,0),FALSE),0),0)</f>
        <v>0</v>
      </c>
      <c r="AS208" s="57">
        <f>IFERROR(IF($V208="BRAND.com",HLOOKUP($X208&amp;$Z208,'NWC_FC_NON-NOOS'!$C$50:$U$69,MATCH(W208,'NWC_FC_NON-NOOS'!$B$50:$B$69,0),FALSE),0),0)</f>
        <v>0</v>
      </c>
      <c r="AT208" s="57">
        <f t="shared" si="104"/>
        <v>0</v>
      </c>
      <c r="AU208" s="57">
        <f t="shared" si="105"/>
        <v>0</v>
      </c>
      <c r="AV208" s="58">
        <f>IFERROR(IF($V208="BRAND.com",HLOOKUP($X208&amp;$Z208,PLANNING_FC!$BB$27:$BP$46,MATCH($W208,PLANNING_FC!$BA$27:$BA$46,0),FALSE),0),0)</f>
        <v>0</v>
      </c>
      <c r="AW208" s="58">
        <f>IFERROR(IF($V208="BRAND.com",HLOOKUP($X208&amp;$Z208,PLANNING_FC!$BB$4:$BP$23,MATCH($W208,PLANNING_FC!$BA$4:$BA$23,0),FALSE),0),0)</f>
        <v>0</v>
      </c>
      <c r="AX208" s="58">
        <f>IFERROR(IF($V208="BRAND.com",HLOOKUP($X208&amp;$Z208,PLANNING_FC!$T$27:$AH$46,MATCH($W208,PLANNING_FC!$B$27:$B$46,0),FALSE),0),0)</f>
        <v>0</v>
      </c>
      <c r="AY208" s="58">
        <f>IFERROR(IF($V208="BRAND.com",HLOOKUP($X208&amp;$Z208,PLANNING_FC!$T$4:$AH$23,MATCH($W208,PLANNING_FC!$B$4:$B$23,0),FALSE),0),0)</f>
        <v>0</v>
      </c>
      <c r="AZ208" s="58">
        <f>IFERROR(IF($V208="BRAND.com",HLOOKUP($X208&amp;$Z208,PLANNING_FC!$DA$27:$DO$46,MATCH($W208,PLANNING_FC!$CZ$27:$CZ$46,0),FALSE),0),0)</f>
        <v>0</v>
      </c>
      <c r="BA208" s="58">
        <f>IFERROR(IF($V208="BRAND.com",HLOOKUP($X208&amp;$Z208,PLANNING_FC!$DA$4:$DO$23,MATCH($W208,PLANNING_FC!$CZ$4:$CZ$23,0),FALSE),0),0)</f>
        <v>0</v>
      </c>
      <c r="BB208" s="883" t="str">
        <f>IF(V208="BRAND.com",IFERROR(HLOOKUP(X208&amp;Z208,PLANNING_FC!$AK$4:$AY$23,MATCH(W208,PLANNING_FC!$AJ$4:$AJ$23,0),FALSE)*1000,""),"")</f>
        <v/>
      </c>
      <c r="BC208" s="883" t="str">
        <f>IF(V208="BRAND.com",IFERROR(HLOOKUP(X208&amp;Z208,PLANNING_FC!$AK$27:$AY$46,MATCH(W208,PLANNING_FC!$AJ$27:$AJ$46,0),FALSE)*1000,""),"")</f>
        <v/>
      </c>
    </row>
    <row r="209" spans="1:55" x14ac:dyDescent="0.25">
      <c r="A209" s="509"/>
      <c r="B209" s="510"/>
      <c r="C209" s="509"/>
      <c r="D209" s="509"/>
      <c r="E209" s="509"/>
      <c r="F209" s="509"/>
      <c r="G209" s="509"/>
      <c r="H209" s="509"/>
      <c r="I209" s="512"/>
      <c r="J209" s="513"/>
      <c r="K209" s="879"/>
      <c r="L209" s="515"/>
      <c r="M209" s="516"/>
      <c r="N209" s="56">
        <f t="shared" si="86"/>
        <v>0</v>
      </c>
      <c r="O209" s="57">
        <f t="shared" si="87"/>
        <v>0</v>
      </c>
      <c r="P209" s="57">
        <f ca="1">IFERROR(IF(ISBLANK(H209),SUMIFS($AC:$AC,$V:$V,V209,$W:$W,W209,$X:$X,X209,$Y:$Y,Y209)*J209/(1-J209)*VLOOKUP(_xlfn.CONCAT(C209,D209,E209,TIME!$M$12,Z209),HIS_SALES!$B$2:$W$4859,20,FALSE),AC209*J209/(1-J209)),0)</f>
        <v>0</v>
      </c>
      <c r="Q209" s="541" t="str">
        <f t="shared" si="88"/>
        <v/>
      </c>
      <c r="R209" s="346" t="str">
        <f t="shared" si="89"/>
        <v>00000</v>
      </c>
      <c r="S209" s="344">
        <f t="shared" si="90"/>
        <v>0</v>
      </c>
      <c r="T209" s="345" t="str">
        <f t="shared" si="103"/>
        <v>000</v>
      </c>
      <c r="U209" s="345">
        <f t="shared" si="91"/>
        <v>0</v>
      </c>
      <c r="V209" s="345">
        <f t="shared" si="92"/>
        <v>0</v>
      </c>
      <c r="W209" s="345">
        <f t="shared" si="93"/>
        <v>0</v>
      </c>
      <c r="X209" s="345">
        <f t="shared" si="94"/>
        <v>0</v>
      </c>
      <c r="Y209" s="345">
        <f t="shared" si="95"/>
        <v>0</v>
      </c>
      <c r="Z209" s="345">
        <f>IF(Q209&lt;&gt;"",VLOOKUP(Y209,TIME!$R$21:$V$24,MATCH(FC_DATA!Q209,TIME!$R$20:$V$20,0),FALSE),H209)</f>
        <v>0</v>
      </c>
      <c r="AA209" s="345" t="str">
        <f>IFERROR(VLOOKUP(X209&amp;Z209,TIME!$A$12:$D$71,4,FALSE),"")</f>
        <v/>
      </c>
      <c r="AB209" s="592">
        <f t="shared" ca="1" si="96"/>
        <v>0</v>
      </c>
      <c r="AC209" s="593" t="e">
        <f ca="1">IF(ISBLANK(H209)=FALSE,IF(D209="BRAND.com",I209,IF(ISNA(VLOOKUP(_xlfn.CONCAT(X209,Z209),TIME!$M$40:$M$42,1,FALSE)),I209,VLOOKUP(_xlfn.CONCAT(D209,G209,H209),M_BUSAREA_FC!$AF$5:$AJ$10,5,FALSE)*HLOOKUP(_xlfn.CONCAT(F209,H209),ST_OVERVIEW!$G$99:$I$130,MATCH(_xlfn.CONCAT(D209,E209),ST_OVERVIEW!$F$99:$F$130,0),FALSE))),IF(D209="BRAND.com",VLOOKUP(_xlfn.CONCAT(C209,D209,E209,TIME!$F$1,Z209),HIS_SALES!$B$2:$V$4859,19,FALSE)*I209,VLOOKUP(_xlfn.CONCAT(D209,F209,G209),Q_BUSAREA_FC!$AE$5:$AI$12,5,FALSE)*HLOOKUP(_xlfn.CONCAT(FC_DATA!F209,FC_DATA!G209),LT_OVERVIEW!$I$99:$M$130,MATCH(_xlfn.CONCAT(D209,FC_DATA!E209),LT_OVERVIEW!$H$99:$H$130,0),FALSE)*IFERROR(VLOOKUP(_xlfn.CONCAT(C209,D209,E209,TIME!$F$1,Z209),HIS_SALES!$B$2:$V$4859,19,FALSE),0)))</f>
        <v>#N/A</v>
      </c>
      <c r="AD209" s="341">
        <f t="shared" ca="1" si="97"/>
        <v>0</v>
      </c>
      <c r="AE209" s="363" t="str">
        <f t="shared" si="98"/>
        <v/>
      </c>
      <c r="AF209" s="342" t="str">
        <f t="shared" si="99"/>
        <v/>
      </c>
      <c r="AG209" s="411" t="e">
        <f ca="1">VLOOKUP(_xlfn.CONCAT(U209,V209,W209,VLOOKUP(X209&amp;Y209,TIME!$L$27:$O$34,4,FALSE),Y209),HIS_SALES!$A$2:$R$5093,18,FALSE)</f>
        <v>#N/A</v>
      </c>
      <c r="AH209" s="412" t="e">
        <f ca="1">IFERROR(IF(AND(V209=V208,W209=W208),0.5*(AB209+AB208)*AG209,(VLOOKUP(_xlfn.CONCAT(U209,V209,W209,X209,VLOOKUP(Z209,TIME!$S$28:$T$39,2,FALSE)),FC_DATA!$R$2:$AB$5000,MATCH("GS_I_M",FC_DATA!$R$1:$AB$1,0),FALSE)+FC_DATA!AB209)*0.5*FC_DATA!AG209),NA())</f>
        <v>#N/A</v>
      </c>
      <c r="AI209" s="491" t="e">
        <f ca="1">IF(V209="PARTNER.com",AH209,IF(AND(V209=V208,W209=W208),(1-AVERAGE(AD208,AD209))*AH209,(1-AVERAGE(AD209,VLOOKUP(_xlfn.CONCAT(U209,V209,W209,X209,M_BRAND_FC!$F$6),FC_DATA!$R$2:$AD$5000,MATCH("DISCOUNT_%_M",FC_DATA!$R$1:$AD$1,0),FALSE)))*AH209))</f>
        <v>#N/A</v>
      </c>
      <c r="AJ209" s="412" t="str">
        <f t="shared" ca="1" si="100"/>
        <v/>
      </c>
      <c r="AK209" s="413" t="str">
        <f>IFERROR(AE209/(Q_BRAND_FC!$T$24+1),"")</f>
        <v/>
      </c>
      <c r="AL209" s="88" t="str">
        <f t="shared" ca="1" si="101"/>
        <v/>
      </c>
      <c r="AM209" s="414" t="str">
        <f t="shared" ca="1" si="102"/>
        <v/>
      </c>
      <c r="AN209" s="58">
        <f>IFERROR(IF($V209="BRAND.com",HLOOKUP($X209&amp;$Z209,NWC_FC_NOOS!$C$4:$Q$23,MATCH(W209,NWC_FC_NOOS!$B$4:$B$23,0),FALSE),0),0)</f>
        <v>0</v>
      </c>
      <c r="AO209" s="57">
        <f>IFERROR(IF($V209="BRAND.com",HLOOKUP($X209&amp;$Z209,NWC_FC_NOOS!$T$4:$AH$23,MATCH(W209,NWC_FC_NOOS!$S$4:$S$23,0),FALSE),0),0)</f>
        <v>0</v>
      </c>
      <c r="AP209" s="57">
        <f>IFERROR(IF($V209="BRAND.com",HLOOKUP($X209&amp;$Z209,NWC_FC_NOOS!$C$50:$U$69,MATCH(W209,NWC_FC_NOOS!$B$50:$B$69,0),FALSE),0),0)</f>
        <v>0</v>
      </c>
      <c r="AQ209" s="58">
        <f>IFERROR(IF($V209="BRAND.com",HLOOKUP($X209&amp;$Z209,'NWC_FC_NON-NOOS'!$C$4:$Q$23,MATCH(W209,'NWC_FC_NON-NOOS'!$B$4:$B$23,0),FALSE),0),0)</f>
        <v>0</v>
      </c>
      <c r="AR209" s="57">
        <f>IFERROR(IF($V209="BRAND.com",HLOOKUP($X209&amp;$Z209,'NWC_FC_NON-NOOS'!$T$4:$AH$23,MATCH(W209,'NWC_FC_NON-NOOS'!$S$4:$S$23,0),FALSE),0),0)</f>
        <v>0</v>
      </c>
      <c r="AS209" s="57">
        <f>IFERROR(IF($V209="BRAND.com",HLOOKUP($X209&amp;$Z209,'NWC_FC_NON-NOOS'!$C$50:$U$69,MATCH(W209,'NWC_FC_NON-NOOS'!$B$50:$B$69,0),FALSE),0),0)</f>
        <v>0</v>
      </c>
      <c r="AT209" s="57">
        <f t="shared" si="104"/>
        <v>0</v>
      </c>
      <c r="AU209" s="57">
        <f t="shared" si="105"/>
        <v>0</v>
      </c>
      <c r="AV209" s="58">
        <f>IFERROR(IF($V209="BRAND.com",HLOOKUP($X209&amp;$Z209,PLANNING_FC!$BB$27:$BP$46,MATCH($W209,PLANNING_FC!$BA$27:$BA$46,0),FALSE),0),0)</f>
        <v>0</v>
      </c>
      <c r="AW209" s="58">
        <f>IFERROR(IF($V209="BRAND.com",HLOOKUP($X209&amp;$Z209,PLANNING_FC!$BB$4:$BP$23,MATCH($W209,PLANNING_FC!$BA$4:$BA$23,0),FALSE),0),0)</f>
        <v>0</v>
      </c>
      <c r="AX209" s="58">
        <f>IFERROR(IF($V209="BRAND.com",HLOOKUP($X209&amp;$Z209,PLANNING_FC!$T$27:$AH$46,MATCH($W209,PLANNING_FC!$B$27:$B$46,0),FALSE),0),0)</f>
        <v>0</v>
      </c>
      <c r="AY209" s="58">
        <f>IFERROR(IF($V209="BRAND.com",HLOOKUP($X209&amp;$Z209,PLANNING_FC!$T$4:$AH$23,MATCH($W209,PLANNING_FC!$B$4:$B$23,0),FALSE),0),0)</f>
        <v>0</v>
      </c>
      <c r="AZ209" s="58">
        <f>IFERROR(IF($V209="BRAND.com",HLOOKUP($X209&amp;$Z209,PLANNING_FC!$DA$27:$DO$46,MATCH($W209,PLANNING_FC!$CZ$27:$CZ$46,0),FALSE),0),0)</f>
        <v>0</v>
      </c>
      <c r="BA209" s="58">
        <f>IFERROR(IF($V209="BRAND.com",HLOOKUP($X209&amp;$Z209,PLANNING_FC!$DA$4:$DO$23,MATCH($W209,PLANNING_FC!$CZ$4:$CZ$23,0),FALSE),0),0)</f>
        <v>0</v>
      </c>
      <c r="BB209" s="883" t="str">
        <f>IF(V209="BRAND.com",IFERROR(HLOOKUP(X209&amp;Z209,PLANNING_FC!$AK$4:$AY$23,MATCH(W209,PLANNING_FC!$AJ$4:$AJ$23,0),FALSE)*1000,""),"")</f>
        <v/>
      </c>
      <c r="BC209" s="883" t="str">
        <f>IF(V209="BRAND.com",IFERROR(HLOOKUP(X209&amp;Z209,PLANNING_FC!$AK$27:$AY$46,MATCH(W209,PLANNING_FC!$AJ$27:$AJ$46,0),FALSE)*1000,""),"")</f>
        <v/>
      </c>
    </row>
    <row r="210" spans="1:55" x14ac:dyDescent="0.25">
      <c r="A210" s="509"/>
      <c r="B210" s="509"/>
      <c r="C210" s="509"/>
      <c r="D210" s="509"/>
      <c r="E210" s="509"/>
      <c r="F210" s="509"/>
      <c r="G210" s="509"/>
      <c r="H210" s="509"/>
      <c r="I210" s="512"/>
      <c r="J210" s="513"/>
      <c r="K210" s="879"/>
      <c r="L210" s="515"/>
      <c r="M210" s="516"/>
      <c r="N210" s="56">
        <f t="shared" si="86"/>
        <v>0</v>
      </c>
      <c r="O210" s="57">
        <f t="shared" si="87"/>
        <v>0</v>
      </c>
      <c r="P210" s="57">
        <f ca="1">IFERROR(IF(ISBLANK(H210),SUMIFS($AC:$AC,$V:$V,V210,$W:$W,W210,$X:$X,X210,$Y:$Y,Y210)*J210/(1-J210)*VLOOKUP(_xlfn.CONCAT(C210,D210,E210,TIME!$M$12,Z210),HIS_SALES!$B$2:$W$4859,20,FALSE),AC210*J210/(1-J210)),0)</f>
        <v>0</v>
      </c>
      <c r="Q210" s="541" t="str">
        <f t="shared" si="88"/>
        <v/>
      </c>
      <c r="R210" s="346" t="str">
        <f t="shared" si="89"/>
        <v>00000</v>
      </c>
      <c r="S210" s="344">
        <f t="shared" si="90"/>
        <v>0</v>
      </c>
      <c r="T210" s="345" t="str">
        <f t="shared" si="103"/>
        <v>000</v>
      </c>
      <c r="U210" s="345">
        <f t="shared" si="91"/>
        <v>0</v>
      </c>
      <c r="V210" s="345">
        <f t="shared" si="92"/>
        <v>0</v>
      </c>
      <c r="W210" s="345">
        <f t="shared" si="93"/>
        <v>0</v>
      </c>
      <c r="X210" s="345">
        <f t="shared" si="94"/>
        <v>0</v>
      </c>
      <c r="Y210" s="345">
        <f t="shared" si="95"/>
        <v>0</v>
      </c>
      <c r="Z210" s="345">
        <f>IF(Q210&lt;&gt;"",VLOOKUP(Y210,TIME!$R$21:$V$24,MATCH(FC_DATA!Q210,TIME!$R$20:$V$20,0),FALSE),H210)</f>
        <v>0</v>
      </c>
      <c r="AA210" s="345" t="str">
        <f>IFERROR(VLOOKUP(X210&amp;Z210,TIME!$A$12:$D$71,4,FALSE),"")</f>
        <v/>
      </c>
      <c r="AB210" s="592">
        <f t="shared" ca="1" si="96"/>
        <v>0</v>
      </c>
      <c r="AC210" s="593" t="e">
        <f ca="1">IF(ISBLANK(H210)=FALSE,IF(D210="BRAND.com",I210,IF(ISNA(VLOOKUP(_xlfn.CONCAT(X210,Z210),TIME!$M$40:$M$42,1,FALSE)),I210,VLOOKUP(_xlfn.CONCAT(D210,G210,H210),M_BUSAREA_FC!$AF$5:$AJ$10,5,FALSE)*HLOOKUP(_xlfn.CONCAT(F210,H210),ST_OVERVIEW!$G$99:$I$130,MATCH(_xlfn.CONCAT(D210,E210),ST_OVERVIEW!$F$99:$F$130,0),FALSE))),IF(D210="BRAND.com",VLOOKUP(_xlfn.CONCAT(C210,D210,E210,TIME!$F$1,Z210),HIS_SALES!$B$2:$V$4859,19,FALSE)*I210,VLOOKUP(_xlfn.CONCAT(D210,F210,G210),Q_BUSAREA_FC!$AE$5:$AI$12,5,FALSE)*HLOOKUP(_xlfn.CONCAT(FC_DATA!F210,FC_DATA!G210),LT_OVERVIEW!$I$99:$M$130,MATCH(_xlfn.CONCAT(D210,FC_DATA!E210),LT_OVERVIEW!$H$99:$H$130,0),FALSE)*IFERROR(VLOOKUP(_xlfn.CONCAT(C210,D210,E210,TIME!$F$1,Z210),HIS_SALES!$B$2:$V$4859,19,FALSE),0)))</f>
        <v>#N/A</v>
      </c>
      <c r="AD210" s="341">
        <f t="shared" ca="1" si="97"/>
        <v>0</v>
      </c>
      <c r="AE210" s="363" t="str">
        <f t="shared" si="98"/>
        <v/>
      </c>
      <c r="AF210" s="342" t="str">
        <f t="shared" si="99"/>
        <v/>
      </c>
      <c r="AG210" s="411" t="e">
        <f ca="1">VLOOKUP(_xlfn.CONCAT(U210,V210,W210,VLOOKUP(X210&amp;Y210,TIME!$L$27:$O$34,4,FALSE),Y210),HIS_SALES!$A$2:$R$5093,18,FALSE)</f>
        <v>#N/A</v>
      </c>
      <c r="AH210" s="412" t="e">
        <f ca="1">IFERROR(IF(AND(V210=V209,W210=W209),0.5*(AB210+AB209)*AG210,(VLOOKUP(_xlfn.CONCAT(U210,V210,W210,X210,VLOOKUP(Z210,TIME!$S$28:$T$39,2,FALSE)),FC_DATA!$R$2:$AB$5000,MATCH("GS_I_M",FC_DATA!$R$1:$AB$1,0),FALSE)+FC_DATA!AB210)*0.5*FC_DATA!AG210),NA())</f>
        <v>#N/A</v>
      </c>
      <c r="AI210" s="491" t="e">
        <f ca="1">IF(V210="PARTNER.com",AH210,IF(AND(V210=V209,W210=W209),(1-AVERAGE(AD209,AD210))*AH210,(1-AVERAGE(AD210,VLOOKUP(_xlfn.CONCAT(U210,V210,W210,X210,M_BRAND_FC!$F$6),FC_DATA!$R$2:$AD$5000,MATCH("DISCOUNT_%_M",FC_DATA!$R$1:$AD$1,0),FALSE)))*AH210))</f>
        <v>#N/A</v>
      </c>
      <c r="AJ210" s="412" t="str">
        <f t="shared" ca="1" si="100"/>
        <v/>
      </c>
      <c r="AK210" s="413" t="str">
        <f>IFERROR(AE210/(Q_BRAND_FC!$T$24+1),"")</f>
        <v/>
      </c>
      <c r="AL210" s="88" t="str">
        <f t="shared" ca="1" si="101"/>
        <v/>
      </c>
      <c r="AM210" s="414" t="str">
        <f t="shared" ca="1" si="102"/>
        <v/>
      </c>
      <c r="AN210" s="58">
        <f>IFERROR(IF($V210="BRAND.com",HLOOKUP($X210&amp;$Z210,NWC_FC_NOOS!$C$4:$Q$23,MATCH(W210,NWC_FC_NOOS!$B$4:$B$23,0),FALSE),0),0)</f>
        <v>0</v>
      </c>
      <c r="AO210" s="57">
        <f>IFERROR(IF($V210="BRAND.com",HLOOKUP($X210&amp;$Z210,NWC_FC_NOOS!$T$4:$AH$23,MATCH(W210,NWC_FC_NOOS!$S$4:$S$23,0),FALSE),0),0)</f>
        <v>0</v>
      </c>
      <c r="AP210" s="57">
        <f>IFERROR(IF($V210="BRAND.com",HLOOKUP($X210&amp;$Z210,NWC_FC_NOOS!$C$50:$U$69,MATCH(W210,NWC_FC_NOOS!$B$50:$B$69,0),FALSE),0),0)</f>
        <v>0</v>
      </c>
      <c r="AQ210" s="58">
        <f>IFERROR(IF($V210="BRAND.com",HLOOKUP($X210&amp;$Z210,'NWC_FC_NON-NOOS'!$C$4:$Q$23,MATCH(W210,'NWC_FC_NON-NOOS'!$B$4:$B$23,0),FALSE),0),0)</f>
        <v>0</v>
      </c>
      <c r="AR210" s="57">
        <f>IFERROR(IF($V210="BRAND.com",HLOOKUP($X210&amp;$Z210,'NWC_FC_NON-NOOS'!$T$4:$AH$23,MATCH(W210,'NWC_FC_NON-NOOS'!$S$4:$S$23,0),FALSE),0),0)</f>
        <v>0</v>
      </c>
      <c r="AS210" s="57">
        <f>IFERROR(IF($V210="BRAND.com",HLOOKUP($X210&amp;$Z210,'NWC_FC_NON-NOOS'!$C$50:$U$69,MATCH(W210,'NWC_FC_NON-NOOS'!$B$50:$B$69,0),FALSE),0),0)</f>
        <v>0</v>
      </c>
      <c r="AT210" s="57">
        <f t="shared" si="104"/>
        <v>0</v>
      </c>
      <c r="AU210" s="57">
        <f t="shared" si="105"/>
        <v>0</v>
      </c>
      <c r="AV210" s="58">
        <f>IFERROR(IF($V210="BRAND.com",HLOOKUP($X210&amp;$Z210,PLANNING_FC!$BB$27:$BP$46,MATCH($W210,PLANNING_FC!$BA$27:$BA$46,0),FALSE),0),0)</f>
        <v>0</v>
      </c>
      <c r="AW210" s="58">
        <f>IFERROR(IF($V210="BRAND.com",HLOOKUP($X210&amp;$Z210,PLANNING_FC!$BB$4:$BP$23,MATCH($W210,PLANNING_FC!$BA$4:$BA$23,0),FALSE),0),0)</f>
        <v>0</v>
      </c>
      <c r="AX210" s="58">
        <f>IFERROR(IF($V210="BRAND.com",HLOOKUP($X210&amp;$Z210,PLANNING_FC!$T$27:$AH$46,MATCH($W210,PLANNING_FC!$B$27:$B$46,0),FALSE),0),0)</f>
        <v>0</v>
      </c>
      <c r="AY210" s="58">
        <f>IFERROR(IF($V210="BRAND.com",HLOOKUP($X210&amp;$Z210,PLANNING_FC!$T$4:$AH$23,MATCH($W210,PLANNING_FC!$B$4:$B$23,0),FALSE),0),0)</f>
        <v>0</v>
      </c>
      <c r="AZ210" s="58">
        <f>IFERROR(IF($V210="BRAND.com",HLOOKUP($X210&amp;$Z210,PLANNING_FC!$DA$27:$DO$46,MATCH($W210,PLANNING_FC!$CZ$27:$CZ$46,0),FALSE),0),0)</f>
        <v>0</v>
      </c>
      <c r="BA210" s="58">
        <f>IFERROR(IF($V210="BRAND.com",HLOOKUP($X210&amp;$Z210,PLANNING_FC!$DA$4:$DO$23,MATCH($W210,PLANNING_FC!$CZ$4:$CZ$23,0),FALSE),0),0)</f>
        <v>0</v>
      </c>
      <c r="BB210" s="883" t="str">
        <f>IF(V210="BRAND.com",IFERROR(HLOOKUP(X210&amp;Z210,PLANNING_FC!$AK$4:$AY$23,MATCH(W210,PLANNING_FC!$AJ$4:$AJ$23,0),FALSE)*1000,""),"")</f>
        <v/>
      </c>
      <c r="BC210" s="883" t="str">
        <f>IF(V210="BRAND.com",IFERROR(HLOOKUP(X210&amp;Z210,PLANNING_FC!$AK$27:$AY$46,MATCH(W210,PLANNING_FC!$AJ$27:$AJ$46,0),FALSE)*1000,""),"")</f>
        <v/>
      </c>
    </row>
    <row r="211" spans="1:55" x14ac:dyDescent="0.25">
      <c r="A211" s="509"/>
      <c r="B211" s="509"/>
      <c r="C211" s="509"/>
      <c r="D211" s="509"/>
      <c r="E211" s="509"/>
      <c r="F211" s="509"/>
      <c r="G211" s="509"/>
      <c r="H211" s="509"/>
      <c r="I211" s="512"/>
      <c r="J211" s="513"/>
      <c r="K211" s="879"/>
      <c r="L211" s="515"/>
      <c r="M211" s="516"/>
      <c r="N211" s="56">
        <f t="shared" si="86"/>
        <v>0</v>
      </c>
      <c r="O211" s="57">
        <f t="shared" si="87"/>
        <v>0</v>
      </c>
      <c r="P211" s="57">
        <f ca="1">IFERROR(IF(ISBLANK(H211),SUMIFS($AC:$AC,$V:$V,V211,$W:$W,W211,$X:$X,X211,$Y:$Y,Y211)*J211/(1-J211)*VLOOKUP(_xlfn.CONCAT(C211,D211,E211,TIME!$M$12,Z211),HIS_SALES!$B$2:$W$4859,20,FALSE),AC211*J211/(1-J211)),0)</f>
        <v>0</v>
      </c>
      <c r="Q211" s="541" t="str">
        <f t="shared" si="88"/>
        <v/>
      </c>
      <c r="R211" s="346" t="str">
        <f t="shared" si="89"/>
        <v>00000</v>
      </c>
      <c r="S211" s="344">
        <f t="shared" si="90"/>
        <v>0</v>
      </c>
      <c r="T211" s="345" t="str">
        <f t="shared" si="103"/>
        <v>000</v>
      </c>
      <c r="U211" s="345">
        <f t="shared" si="91"/>
        <v>0</v>
      </c>
      <c r="V211" s="345">
        <f t="shared" si="92"/>
        <v>0</v>
      </c>
      <c r="W211" s="345">
        <f t="shared" si="93"/>
        <v>0</v>
      </c>
      <c r="X211" s="345">
        <f t="shared" si="94"/>
        <v>0</v>
      </c>
      <c r="Y211" s="345">
        <f t="shared" si="95"/>
        <v>0</v>
      </c>
      <c r="Z211" s="345">
        <f>IF(Q211&lt;&gt;"",VLOOKUP(Y211,TIME!$R$21:$V$24,MATCH(FC_DATA!Q211,TIME!$R$20:$V$20,0),FALSE),H211)</f>
        <v>0</v>
      </c>
      <c r="AA211" s="345" t="str">
        <f>IFERROR(VLOOKUP(X211&amp;Z211,TIME!$A$12:$D$71,4,FALSE),"")</f>
        <v/>
      </c>
      <c r="AB211" s="592">
        <f t="shared" ca="1" si="96"/>
        <v>0</v>
      </c>
      <c r="AC211" s="593" t="e">
        <f ca="1">IF(ISBLANK(H211)=FALSE,IF(D211="BRAND.com",I211,IF(ISNA(VLOOKUP(_xlfn.CONCAT(X211,Z211),TIME!$M$40:$M$42,1,FALSE)),I211,VLOOKUP(_xlfn.CONCAT(D211,G211,H211),M_BUSAREA_FC!$AF$5:$AJ$10,5,FALSE)*HLOOKUP(_xlfn.CONCAT(F211,H211),ST_OVERVIEW!$G$99:$I$130,MATCH(_xlfn.CONCAT(D211,E211),ST_OVERVIEW!$F$99:$F$130,0),FALSE))),IF(D211="BRAND.com",VLOOKUP(_xlfn.CONCAT(C211,D211,E211,TIME!$F$1,Z211),HIS_SALES!$B$2:$V$4859,19,FALSE)*I211,VLOOKUP(_xlfn.CONCAT(D211,F211,G211),Q_BUSAREA_FC!$AE$5:$AI$12,5,FALSE)*HLOOKUP(_xlfn.CONCAT(FC_DATA!F211,FC_DATA!G211),LT_OVERVIEW!$I$99:$M$130,MATCH(_xlfn.CONCAT(D211,FC_DATA!E211),LT_OVERVIEW!$H$99:$H$130,0),FALSE)*IFERROR(VLOOKUP(_xlfn.CONCAT(C211,D211,E211,TIME!$F$1,Z211),HIS_SALES!$B$2:$V$4859,19,FALSE),0)))</f>
        <v>#N/A</v>
      </c>
      <c r="AD211" s="341">
        <f t="shared" ca="1" si="97"/>
        <v>0</v>
      </c>
      <c r="AE211" s="363" t="str">
        <f t="shared" si="98"/>
        <v/>
      </c>
      <c r="AF211" s="342" t="str">
        <f t="shared" si="99"/>
        <v/>
      </c>
      <c r="AG211" s="411" t="e">
        <f ca="1">VLOOKUP(_xlfn.CONCAT(U211,V211,W211,VLOOKUP(X211&amp;Y211,TIME!$L$27:$O$34,4,FALSE),Y211),HIS_SALES!$A$2:$R$5093,18,FALSE)</f>
        <v>#N/A</v>
      </c>
      <c r="AH211" s="412" t="e">
        <f ca="1">IFERROR(IF(AND(V211=V210,W211=W210),0.5*(AB211+AB210)*AG211,(VLOOKUP(_xlfn.CONCAT(U211,V211,W211,X211,VLOOKUP(Z211,TIME!$S$28:$T$39,2,FALSE)),FC_DATA!$R$2:$AB$5000,MATCH("GS_I_M",FC_DATA!$R$1:$AB$1,0),FALSE)+FC_DATA!AB211)*0.5*FC_DATA!AG211),NA())</f>
        <v>#N/A</v>
      </c>
      <c r="AI211" s="491" t="e">
        <f ca="1">IF(V211="PARTNER.com",AH211,IF(AND(V211=V210,W211=W210),(1-AVERAGE(AD210,AD211))*AH211,(1-AVERAGE(AD211,VLOOKUP(_xlfn.CONCAT(U211,V211,W211,X211,M_BRAND_FC!$F$6),FC_DATA!$R$2:$AD$5000,MATCH("DISCOUNT_%_M",FC_DATA!$R$1:$AD$1,0),FALSE)))*AH211))</f>
        <v>#N/A</v>
      </c>
      <c r="AJ211" s="412" t="str">
        <f t="shared" ca="1" si="100"/>
        <v/>
      </c>
      <c r="AK211" s="413" t="str">
        <f>IFERROR(AE211/(Q_BRAND_FC!$T$24+1),"")</f>
        <v/>
      </c>
      <c r="AL211" s="88" t="str">
        <f t="shared" ca="1" si="101"/>
        <v/>
      </c>
      <c r="AM211" s="414" t="str">
        <f t="shared" ca="1" si="102"/>
        <v/>
      </c>
      <c r="AN211" s="58">
        <f>IFERROR(IF($V211="BRAND.com",HLOOKUP($X211&amp;$Z211,NWC_FC_NOOS!$C$4:$Q$23,MATCH(W211,NWC_FC_NOOS!$B$4:$B$23,0),FALSE),0),0)</f>
        <v>0</v>
      </c>
      <c r="AO211" s="57">
        <f>IFERROR(IF($V211="BRAND.com",HLOOKUP($X211&amp;$Z211,NWC_FC_NOOS!$T$4:$AH$23,MATCH(W211,NWC_FC_NOOS!$S$4:$S$23,0),FALSE),0),0)</f>
        <v>0</v>
      </c>
      <c r="AP211" s="57">
        <f>IFERROR(IF($V211="BRAND.com",HLOOKUP($X211&amp;$Z211,NWC_FC_NOOS!$C$50:$U$69,MATCH(W211,NWC_FC_NOOS!$B$50:$B$69,0),FALSE),0),0)</f>
        <v>0</v>
      </c>
      <c r="AQ211" s="58">
        <f>IFERROR(IF($V211="BRAND.com",HLOOKUP($X211&amp;$Z211,'NWC_FC_NON-NOOS'!$C$4:$Q$23,MATCH(W211,'NWC_FC_NON-NOOS'!$B$4:$B$23,0),FALSE),0),0)</f>
        <v>0</v>
      </c>
      <c r="AR211" s="57">
        <f>IFERROR(IF($V211="BRAND.com",HLOOKUP($X211&amp;$Z211,'NWC_FC_NON-NOOS'!$T$4:$AH$23,MATCH(W211,'NWC_FC_NON-NOOS'!$S$4:$S$23,0),FALSE),0),0)</f>
        <v>0</v>
      </c>
      <c r="AS211" s="57">
        <f>IFERROR(IF($V211="BRAND.com",HLOOKUP($X211&amp;$Z211,'NWC_FC_NON-NOOS'!$C$50:$U$69,MATCH(W211,'NWC_FC_NON-NOOS'!$B$50:$B$69,0),FALSE),0),0)</f>
        <v>0</v>
      </c>
      <c r="AT211" s="57">
        <f t="shared" si="104"/>
        <v>0</v>
      </c>
      <c r="AU211" s="57">
        <f t="shared" si="105"/>
        <v>0</v>
      </c>
      <c r="AV211" s="58">
        <f>IFERROR(IF($V211="BRAND.com",HLOOKUP($X211&amp;$Z211,PLANNING_FC!$BB$27:$BP$46,MATCH($W211,PLANNING_FC!$BA$27:$BA$46,0),FALSE),0),0)</f>
        <v>0</v>
      </c>
      <c r="AW211" s="58">
        <f>IFERROR(IF($V211="BRAND.com",HLOOKUP($X211&amp;$Z211,PLANNING_FC!$BB$4:$BP$23,MATCH($W211,PLANNING_FC!$BA$4:$BA$23,0),FALSE),0),0)</f>
        <v>0</v>
      </c>
      <c r="AX211" s="58">
        <f>IFERROR(IF($V211="BRAND.com",HLOOKUP($X211&amp;$Z211,PLANNING_FC!$T$27:$AH$46,MATCH($W211,PLANNING_FC!$B$27:$B$46,0),FALSE),0),0)</f>
        <v>0</v>
      </c>
      <c r="AY211" s="58">
        <f>IFERROR(IF($V211="BRAND.com",HLOOKUP($X211&amp;$Z211,PLANNING_FC!$T$4:$AH$23,MATCH($W211,PLANNING_FC!$B$4:$B$23,0),FALSE),0),0)</f>
        <v>0</v>
      </c>
      <c r="AZ211" s="58">
        <f>IFERROR(IF($V211="BRAND.com",HLOOKUP($X211&amp;$Z211,PLANNING_FC!$DA$27:$DO$46,MATCH($W211,PLANNING_FC!$CZ$27:$CZ$46,0),FALSE),0),0)</f>
        <v>0</v>
      </c>
      <c r="BA211" s="58">
        <f>IFERROR(IF($V211="BRAND.com",HLOOKUP($X211&amp;$Z211,PLANNING_FC!$DA$4:$DO$23,MATCH($W211,PLANNING_FC!$CZ$4:$CZ$23,0),FALSE),0),0)</f>
        <v>0</v>
      </c>
      <c r="BB211" s="883" t="str">
        <f>IF(V211="BRAND.com",IFERROR(HLOOKUP(X211&amp;Z211,PLANNING_FC!$AK$4:$AY$23,MATCH(W211,PLANNING_FC!$AJ$4:$AJ$23,0),FALSE)*1000,""),"")</f>
        <v/>
      </c>
      <c r="BC211" s="883" t="str">
        <f>IF(V211="BRAND.com",IFERROR(HLOOKUP(X211&amp;Z211,PLANNING_FC!$AK$27:$AY$46,MATCH(W211,PLANNING_FC!$AJ$27:$AJ$46,0),FALSE)*1000,""),"")</f>
        <v/>
      </c>
    </row>
    <row r="212" spans="1:55" x14ac:dyDescent="0.25">
      <c r="A212" s="509"/>
      <c r="B212" s="509"/>
      <c r="C212" s="509"/>
      <c r="D212" s="509"/>
      <c r="E212" s="509"/>
      <c r="F212" s="509"/>
      <c r="G212" s="509"/>
      <c r="H212" s="509"/>
      <c r="I212" s="512"/>
      <c r="J212" s="513"/>
      <c r="K212" s="879"/>
      <c r="L212" s="515"/>
      <c r="M212" s="516"/>
      <c r="N212" s="56">
        <f t="shared" si="86"/>
        <v>0</v>
      </c>
      <c r="O212" s="57">
        <f t="shared" si="87"/>
        <v>0</v>
      </c>
      <c r="P212" s="57">
        <f ca="1">IFERROR(IF(ISBLANK(H212),SUMIFS($AC:$AC,$V:$V,V212,$W:$W,W212,$X:$X,X212,$Y:$Y,Y212)*J212/(1-J212)*VLOOKUP(_xlfn.CONCAT(C212,D212,E212,TIME!$M$12,Z212),HIS_SALES!$B$2:$W$4859,20,FALSE),AC212*J212/(1-J212)),0)</f>
        <v>0</v>
      </c>
      <c r="Q212" s="541" t="str">
        <f t="shared" si="88"/>
        <v/>
      </c>
      <c r="R212" s="346" t="str">
        <f t="shared" si="89"/>
        <v>00000</v>
      </c>
      <c r="S212" s="344">
        <f t="shared" si="90"/>
        <v>0</v>
      </c>
      <c r="T212" s="345" t="str">
        <f t="shared" si="103"/>
        <v>000</v>
      </c>
      <c r="U212" s="345">
        <f t="shared" si="91"/>
        <v>0</v>
      </c>
      <c r="V212" s="345">
        <f t="shared" si="92"/>
        <v>0</v>
      </c>
      <c r="W212" s="345">
        <f t="shared" si="93"/>
        <v>0</v>
      </c>
      <c r="X212" s="345">
        <f t="shared" si="94"/>
        <v>0</v>
      </c>
      <c r="Y212" s="345">
        <f t="shared" si="95"/>
        <v>0</v>
      </c>
      <c r="Z212" s="345">
        <f>IF(Q212&lt;&gt;"",VLOOKUP(Y212,TIME!$R$21:$V$24,MATCH(FC_DATA!Q212,TIME!$R$20:$V$20,0),FALSE),H212)</f>
        <v>0</v>
      </c>
      <c r="AA212" s="345" t="str">
        <f>IFERROR(VLOOKUP(X212&amp;Z212,TIME!$A$12:$D$71,4,FALSE),"")</f>
        <v/>
      </c>
      <c r="AB212" s="592">
        <f t="shared" ca="1" si="96"/>
        <v>0</v>
      </c>
      <c r="AC212" s="593" t="e">
        <f ca="1">IF(ISBLANK(H212)=FALSE,IF(D212="BRAND.com",I212,IF(ISNA(VLOOKUP(_xlfn.CONCAT(X212,Z212),TIME!$M$40:$M$42,1,FALSE)),I212,VLOOKUP(_xlfn.CONCAT(D212,G212,H212),M_BUSAREA_FC!$AF$5:$AJ$10,5,FALSE)*HLOOKUP(_xlfn.CONCAT(F212,H212),ST_OVERVIEW!$G$99:$I$130,MATCH(_xlfn.CONCAT(D212,E212),ST_OVERVIEW!$F$99:$F$130,0),FALSE))),IF(D212="BRAND.com",VLOOKUP(_xlfn.CONCAT(C212,D212,E212,TIME!$F$1,Z212),HIS_SALES!$B$2:$V$4859,19,FALSE)*I212,VLOOKUP(_xlfn.CONCAT(D212,F212,G212),Q_BUSAREA_FC!$AE$5:$AI$12,5,FALSE)*HLOOKUP(_xlfn.CONCAT(FC_DATA!F212,FC_DATA!G212),LT_OVERVIEW!$I$99:$M$130,MATCH(_xlfn.CONCAT(D212,FC_DATA!E212),LT_OVERVIEW!$H$99:$H$130,0),FALSE)*IFERROR(VLOOKUP(_xlfn.CONCAT(C212,D212,E212,TIME!$F$1,Z212),HIS_SALES!$B$2:$V$4859,19,FALSE),0)))</f>
        <v>#N/A</v>
      </c>
      <c r="AD212" s="341">
        <f t="shared" ca="1" si="97"/>
        <v>0</v>
      </c>
      <c r="AE212" s="363" t="str">
        <f t="shared" si="98"/>
        <v/>
      </c>
      <c r="AF212" s="342" t="str">
        <f t="shared" si="99"/>
        <v/>
      </c>
      <c r="AG212" s="411" t="e">
        <f ca="1">VLOOKUP(_xlfn.CONCAT(U212,V212,W212,VLOOKUP(X212&amp;Y212,TIME!$L$27:$O$34,4,FALSE),Y212),HIS_SALES!$A$2:$R$5093,18,FALSE)</f>
        <v>#N/A</v>
      </c>
      <c r="AH212" s="412" t="e">
        <f ca="1">IFERROR(IF(AND(V212=V211,W212=W211),0.5*(AB212+AB211)*AG212,(VLOOKUP(_xlfn.CONCAT(U212,V212,W212,X212,VLOOKUP(Z212,TIME!$S$28:$T$39,2,FALSE)),FC_DATA!$R$2:$AB$5000,MATCH("GS_I_M",FC_DATA!$R$1:$AB$1,0),FALSE)+FC_DATA!AB212)*0.5*FC_DATA!AG212),NA())</f>
        <v>#N/A</v>
      </c>
      <c r="AI212" s="491" t="e">
        <f ca="1">IF(V212="PARTNER.com",AH212,IF(AND(V212=V211,W212=W211),(1-AVERAGE(AD211,AD212))*AH212,(1-AVERAGE(AD212,VLOOKUP(_xlfn.CONCAT(U212,V212,W212,X212,M_BRAND_FC!$F$6),FC_DATA!$R$2:$AD$5000,MATCH("DISCOUNT_%_M",FC_DATA!$R$1:$AD$1,0),FALSE)))*AH212))</f>
        <v>#N/A</v>
      </c>
      <c r="AJ212" s="412" t="str">
        <f t="shared" ca="1" si="100"/>
        <v/>
      </c>
      <c r="AK212" s="413" t="str">
        <f>IFERROR(AE212/(Q_BRAND_FC!$T$24+1),"")</f>
        <v/>
      </c>
      <c r="AL212" s="88" t="str">
        <f t="shared" ca="1" si="101"/>
        <v/>
      </c>
      <c r="AM212" s="414" t="str">
        <f t="shared" ca="1" si="102"/>
        <v/>
      </c>
      <c r="AN212" s="58">
        <f>IFERROR(IF($V212="BRAND.com",HLOOKUP($X212&amp;$Z212,NWC_FC_NOOS!$C$4:$Q$23,MATCH(W212,NWC_FC_NOOS!$B$4:$B$23,0),FALSE),0),0)</f>
        <v>0</v>
      </c>
      <c r="AO212" s="57">
        <f>IFERROR(IF($V212="BRAND.com",HLOOKUP($X212&amp;$Z212,NWC_FC_NOOS!$T$4:$AH$23,MATCH(W212,NWC_FC_NOOS!$S$4:$S$23,0),FALSE),0),0)</f>
        <v>0</v>
      </c>
      <c r="AP212" s="57">
        <f>IFERROR(IF($V212="BRAND.com",HLOOKUP($X212&amp;$Z212,NWC_FC_NOOS!$C$50:$U$69,MATCH(W212,NWC_FC_NOOS!$B$50:$B$69,0),FALSE),0),0)</f>
        <v>0</v>
      </c>
      <c r="AQ212" s="58">
        <f>IFERROR(IF($V212="BRAND.com",HLOOKUP($X212&amp;$Z212,'NWC_FC_NON-NOOS'!$C$4:$Q$23,MATCH(W212,'NWC_FC_NON-NOOS'!$B$4:$B$23,0),FALSE),0),0)</f>
        <v>0</v>
      </c>
      <c r="AR212" s="57">
        <f>IFERROR(IF($V212="BRAND.com",HLOOKUP($X212&amp;$Z212,'NWC_FC_NON-NOOS'!$T$4:$AH$23,MATCH(W212,'NWC_FC_NON-NOOS'!$S$4:$S$23,0),FALSE),0),0)</f>
        <v>0</v>
      </c>
      <c r="AS212" s="57">
        <f>IFERROR(IF($V212="BRAND.com",HLOOKUP($X212&amp;$Z212,'NWC_FC_NON-NOOS'!$C$50:$U$69,MATCH(W212,'NWC_FC_NON-NOOS'!$B$50:$B$69,0),FALSE),0),0)</f>
        <v>0</v>
      </c>
      <c r="AT212" s="57">
        <f t="shared" si="104"/>
        <v>0</v>
      </c>
      <c r="AU212" s="57">
        <f t="shared" si="105"/>
        <v>0</v>
      </c>
      <c r="AV212" s="58">
        <f>IFERROR(IF($V212="BRAND.com",HLOOKUP($X212&amp;$Z212,PLANNING_FC!$BB$27:$BP$46,MATCH($W212,PLANNING_FC!$BA$27:$BA$46,0),FALSE),0),0)</f>
        <v>0</v>
      </c>
      <c r="AW212" s="58">
        <f>IFERROR(IF($V212="BRAND.com",HLOOKUP($X212&amp;$Z212,PLANNING_FC!$BB$4:$BP$23,MATCH($W212,PLANNING_FC!$BA$4:$BA$23,0),FALSE),0),0)</f>
        <v>0</v>
      </c>
      <c r="AX212" s="58">
        <f>IFERROR(IF($V212="BRAND.com",HLOOKUP($X212&amp;$Z212,PLANNING_FC!$T$27:$AH$46,MATCH($W212,PLANNING_FC!$B$27:$B$46,0),FALSE),0),0)</f>
        <v>0</v>
      </c>
      <c r="AY212" s="58">
        <f>IFERROR(IF($V212="BRAND.com",HLOOKUP($X212&amp;$Z212,PLANNING_FC!$T$4:$AH$23,MATCH($W212,PLANNING_FC!$B$4:$B$23,0),FALSE),0),0)</f>
        <v>0</v>
      </c>
      <c r="AZ212" s="58">
        <f>IFERROR(IF($V212="BRAND.com",HLOOKUP($X212&amp;$Z212,PLANNING_FC!$DA$27:$DO$46,MATCH($W212,PLANNING_FC!$CZ$27:$CZ$46,0),FALSE),0),0)</f>
        <v>0</v>
      </c>
      <c r="BA212" s="58">
        <f>IFERROR(IF($V212="BRAND.com",HLOOKUP($X212&amp;$Z212,PLANNING_FC!$DA$4:$DO$23,MATCH($W212,PLANNING_FC!$CZ$4:$CZ$23,0),FALSE),0),0)</f>
        <v>0</v>
      </c>
      <c r="BB212" s="883" t="str">
        <f>IF(V212="BRAND.com",IFERROR(HLOOKUP(X212&amp;Z212,PLANNING_FC!$AK$4:$AY$23,MATCH(W212,PLANNING_FC!$AJ$4:$AJ$23,0),FALSE)*1000,""),"")</f>
        <v/>
      </c>
      <c r="BC212" s="883" t="str">
        <f>IF(V212="BRAND.com",IFERROR(HLOOKUP(X212&amp;Z212,PLANNING_FC!$AK$27:$AY$46,MATCH(W212,PLANNING_FC!$AJ$27:$AJ$46,0),FALSE)*1000,""),"")</f>
        <v/>
      </c>
    </row>
    <row r="213" spans="1:55" x14ac:dyDescent="0.25">
      <c r="A213" s="509"/>
      <c r="B213" s="509"/>
      <c r="C213" s="509"/>
      <c r="D213" s="509"/>
      <c r="E213" s="509"/>
      <c r="F213" s="509"/>
      <c r="G213" s="509"/>
      <c r="H213" s="509"/>
      <c r="I213" s="512"/>
      <c r="J213" s="513"/>
      <c r="K213" s="879"/>
      <c r="L213" s="515"/>
      <c r="M213" s="516"/>
      <c r="N213" s="56">
        <f t="shared" si="86"/>
        <v>0</v>
      </c>
      <c r="O213" s="57">
        <f t="shared" si="87"/>
        <v>0</v>
      </c>
      <c r="P213" s="57">
        <f ca="1">IFERROR(IF(ISBLANK(H213),SUMIFS($AC:$AC,$V:$V,V213,$W:$W,W213,$X:$X,X213,$Y:$Y,Y213)*J213/(1-J213)*VLOOKUP(_xlfn.CONCAT(C213,D213,E213,TIME!$M$12,Z213),HIS_SALES!$B$2:$W$4859,20,FALSE),AC213*J213/(1-J213)),0)</f>
        <v>0</v>
      </c>
      <c r="Q213" s="541" t="str">
        <f t="shared" si="88"/>
        <v/>
      </c>
      <c r="R213" s="346" t="str">
        <f t="shared" si="89"/>
        <v>00000</v>
      </c>
      <c r="S213" s="344">
        <f t="shared" si="90"/>
        <v>0</v>
      </c>
      <c r="T213" s="345" t="str">
        <f t="shared" si="103"/>
        <v>000</v>
      </c>
      <c r="U213" s="345">
        <f t="shared" si="91"/>
        <v>0</v>
      </c>
      <c r="V213" s="345">
        <f t="shared" si="92"/>
        <v>0</v>
      </c>
      <c r="W213" s="345">
        <f t="shared" si="93"/>
        <v>0</v>
      </c>
      <c r="X213" s="345">
        <f t="shared" si="94"/>
        <v>0</v>
      </c>
      <c r="Y213" s="345">
        <f t="shared" si="95"/>
        <v>0</v>
      </c>
      <c r="Z213" s="345">
        <f>IF(Q213&lt;&gt;"",VLOOKUP(Y213,TIME!$R$21:$V$24,MATCH(FC_DATA!Q213,TIME!$R$20:$V$20,0),FALSE),H213)</f>
        <v>0</v>
      </c>
      <c r="AA213" s="345" t="str">
        <f>IFERROR(VLOOKUP(X213&amp;Z213,TIME!$A$12:$D$71,4,FALSE),"")</f>
        <v/>
      </c>
      <c r="AB213" s="592">
        <f t="shared" ca="1" si="96"/>
        <v>0</v>
      </c>
      <c r="AC213" s="593" t="e">
        <f ca="1">IF(ISBLANK(H213)=FALSE,IF(D213="BRAND.com",I213,IF(ISNA(VLOOKUP(_xlfn.CONCAT(X213,Z213),TIME!$M$40:$M$42,1,FALSE)),I213,VLOOKUP(_xlfn.CONCAT(D213,G213,H213),M_BUSAREA_FC!$AF$5:$AJ$10,5,FALSE)*HLOOKUP(_xlfn.CONCAT(F213,H213),ST_OVERVIEW!$G$99:$I$130,MATCH(_xlfn.CONCAT(D213,E213),ST_OVERVIEW!$F$99:$F$130,0),FALSE))),IF(D213="BRAND.com",VLOOKUP(_xlfn.CONCAT(C213,D213,E213,TIME!$F$1,Z213),HIS_SALES!$B$2:$V$4859,19,FALSE)*I213,VLOOKUP(_xlfn.CONCAT(D213,F213,G213),Q_BUSAREA_FC!$AE$5:$AI$12,5,FALSE)*HLOOKUP(_xlfn.CONCAT(FC_DATA!F213,FC_DATA!G213),LT_OVERVIEW!$I$99:$M$130,MATCH(_xlfn.CONCAT(D213,FC_DATA!E213),LT_OVERVIEW!$H$99:$H$130,0),FALSE)*IFERROR(VLOOKUP(_xlfn.CONCAT(C213,D213,E213,TIME!$F$1,Z213),HIS_SALES!$B$2:$V$4859,19,FALSE),0)))</f>
        <v>#N/A</v>
      </c>
      <c r="AD213" s="341">
        <f t="shared" ca="1" si="97"/>
        <v>0</v>
      </c>
      <c r="AE213" s="363" t="str">
        <f t="shared" si="98"/>
        <v/>
      </c>
      <c r="AF213" s="342" t="str">
        <f t="shared" si="99"/>
        <v/>
      </c>
      <c r="AG213" s="411" t="e">
        <f ca="1">VLOOKUP(_xlfn.CONCAT(U213,V213,W213,VLOOKUP(X213&amp;Y213,TIME!$L$27:$O$34,4,FALSE),Y213),HIS_SALES!$A$2:$R$5093,18,FALSE)</f>
        <v>#N/A</v>
      </c>
      <c r="AH213" s="412" t="e">
        <f ca="1">IFERROR(IF(AND(V213=V212,W213=W212),0.5*(AB213+AB212)*AG213,(VLOOKUP(_xlfn.CONCAT(U213,V213,W213,X213,VLOOKUP(Z213,TIME!$S$28:$T$39,2,FALSE)),FC_DATA!$R$2:$AB$5000,MATCH("GS_I_M",FC_DATA!$R$1:$AB$1,0),FALSE)+FC_DATA!AB213)*0.5*FC_DATA!AG213),NA())</f>
        <v>#N/A</v>
      </c>
      <c r="AI213" s="491" t="e">
        <f ca="1">IF(V213="PARTNER.com",AH213,IF(AND(V213=V212,W213=W212),(1-AVERAGE(AD212,AD213))*AH213,(1-AVERAGE(AD213,VLOOKUP(_xlfn.CONCAT(U213,V213,W213,X213,M_BRAND_FC!$F$6),FC_DATA!$R$2:$AD$5000,MATCH("DISCOUNT_%_M",FC_DATA!$R$1:$AD$1,0),FALSE)))*AH213))</f>
        <v>#N/A</v>
      </c>
      <c r="AJ213" s="412" t="str">
        <f t="shared" ca="1" si="100"/>
        <v/>
      </c>
      <c r="AK213" s="413" t="str">
        <f>IFERROR(AE213/(Q_BRAND_FC!$T$24+1),"")</f>
        <v/>
      </c>
      <c r="AL213" s="88" t="str">
        <f t="shared" ca="1" si="101"/>
        <v/>
      </c>
      <c r="AM213" s="414" t="str">
        <f t="shared" ca="1" si="102"/>
        <v/>
      </c>
      <c r="AN213" s="58">
        <f>IFERROR(IF($V213="BRAND.com",HLOOKUP($X213&amp;$Z213,NWC_FC_NOOS!$C$4:$Q$23,MATCH(W213,NWC_FC_NOOS!$B$4:$B$23,0),FALSE),0),0)</f>
        <v>0</v>
      </c>
      <c r="AO213" s="57">
        <f>IFERROR(IF($V213="BRAND.com",HLOOKUP($X213&amp;$Z213,NWC_FC_NOOS!$T$4:$AH$23,MATCH(W213,NWC_FC_NOOS!$S$4:$S$23,0),FALSE),0),0)</f>
        <v>0</v>
      </c>
      <c r="AP213" s="57">
        <f>IFERROR(IF($V213="BRAND.com",HLOOKUP($X213&amp;$Z213,NWC_FC_NOOS!$C$50:$U$69,MATCH(W213,NWC_FC_NOOS!$B$50:$B$69,0),FALSE),0),0)</f>
        <v>0</v>
      </c>
      <c r="AQ213" s="58">
        <f>IFERROR(IF($V213="BRAND.com",HLOOKUP($X213&amp;$Z213,'NWC_FC_NON-NOOS'!$C$4:$Q$23,MATCH(W213,'NWC_FC_NON-NOOS'!$B$4:$B$23,0),FALSE),0),0)</f>
        <v>0</v>
      </c>
      <c r="AR213" s="57">
        <f>IFERROR(IF($V213="BRAND.com",HLOOKUP($X213&amp;$Z213,'NWC_FC_NON-NOOS'!$T$4:$AH$23,MATCH(W213,'NWC_FC_NON-NOOS'!$S$4:$S$23,0),FALSE),0),0)</f>
        <v>0</v>
      </c>
      <c r="AS213" s="57">
        <f>IFERROR(IF($V213="BRAND.com",HLOOKUP($X213&amp;$Z213,'NWC_FC_NON-NOOS'!$C$50:$U$69,MATCH(W213,'NWC_FC_NON-NOOS'!$B$50:$B$69,0),FALSE),0),0)</f>
        <v>0</v>
      </c>
      <c r="AT213" s="57">
        <f t="shared" si="104"/>
        <v>0</v>
      </c>
      <c r="AU213" s="57">
        <f t="shared" si="105"/>
        <v>0</v>
      </c>
      <c r="AV213" s="58">
        <f>IFERROR(IF($V213="BRAND.com",HLOOKUP($X213&amp;$Z213,PLANNING_FC!$BB$27:$BP$46,MATCH($W213,PLANNING_FC!$BA$27:$BA$46,0),FALSE),0),0)</f>
        <v>0</v>
      </c>
      <c r="AW213" s="58">
        <f>IFERROR(IF($V213="BRAND.com",HLOOKUP($X213&amp;$Z213,PLANNING_FC!$BB$4:$BP$23,MATCH($W213,PLANNING_FC!$BA$4:$BA$23,0),FALSE),0),0)</f>
        <v>0</v>
      </c>
      <c r="AX213" s="58">
        <f>IFERROR(IF($V213="BRAND.com",HLOOKUP($X213&amp;$Z213,PLANNING_FC!$T$27:$AH$46,MATCH($W213,PLANNING_FC!$B$27:$B$46,0),FALSE),0),0)</f>
        <v>0</v>
      </c>
      <c r="AY213" s="58">
        <f>IFERROR(IF($V213="BRAND.com",HLOOKUP($X213&amp;$Z213,PLANNING_FC!$T$4:$AH$23,MATCH($W213,PLANNING_FC!$B$4:$B$23,0),FALSE),0),0)</f>
        <v>0</v>
      </c>
      <c r="AZ213" s="58">
        <f>IFERROR(IF($V213="BRAND.com",HLOOKUP($X213&amp;$Z213,PLANNING_FC!$DA$27:$DO$46,MATCH($W213,PLANNING_FC!$CZ$27:$CZ$46,0),FALSE),0),0)</f>
        <v>0</v>
      </c>
      <c r="BA213" s="58">
        <f>IFERROR(IF($V213="BRAND.com",HLOOKUP($X213&amp;$Z213,PLANNING_FC!$DA$4:$DO$23,MATCH($W213,PLANNING_FC!$CZ$4:$CZ$23,0),FALSE),0),0)</f>
        <v>0</v>
      </c>
      <c r="BB213" s="883" t="str">
        <f>IF(V213="BRAND.com",IFERROR(HLOOKUP(X213&amp;Z213,PLANNING_FC!$AK$4:$AY$23,MATCH(W213,PLANNING_FC!$AJ$4:$AJ$23,0),FALSE)*1000,""),"")</f>
        <v/>
      </c>
      <c r="BC213" s="883" t="str">
        <f>IF(V213="BRAND.com",IFERROR(HLOOKUP(X213&amp;Z213,PLANNING_FC!$AK$27:$AY$46,MATCH(W213,PLANNING_FC!$AJ$27:$AJ$46,0),FALSE)*1000,""),"")</f>
        <v/>
      </c>
    </row>
    <row r="214" spans="1:55" x14ac:dyDescent="0.25">
      <c r="A214" s="509"/>
      <c r="B214" s="509"/>
      <c r="C214" s="509"/>
      <c r="D214" s="509"/>
      <c r="E214" s="509"/>
      <c r="F214" s="509"/>
      <c r="G214" s="509"/>
      <c r="H214" s="509"/>
      <c r="I214" s="512"/>
      <c r="J214" s="513"/>
      <c r="K214" s="879"/>
      <c r="L214" s="515"/>
      <c r="M214" s="516"/>
      <c r="N214" s="56">
        <f t="shared" si="86"/>
        <v>0</v>
      </c>
      <c r="O214" s="57">
        <f t="shared" si="87"/>
        <v>0</v>
      </c>
      <c r="P214" s="57">
        <f ca="1">IFERROR(IF(ISBLANK(H214),SUMIFS($AC:$AC,$V:$V,V214,$W:$W,W214,$X:$X,X214,$Y:$Y,Y214)*J214/(1-J214)*VLOOKUP(_xlfn.CONCAT(C214,D214,E214,TIME!$M$12,Z214),HIS_SALES!$B$2:$W$4859,20,FALSE),AC214*J214/(1-J214)),0)</f>
        <v>0</v>
      </c>
      <c r="Q214" s="541" t="str">
        <f t="shared" si="88"/>
        <v/>
      </c>
      <c r="R214" s="346" t="str">
        <f t="shared" si="89"/>
        <v>00000</v>
      </c>
      <c r="S214" s="344">
        <f t="shared" si="90"/>
        <v>0</v>
      </c>
      <c r="T214" s="345" t="str">
        <f t="shared" si="103"/>
        <v>000</v>
      </c>
      <c r="U214" s="345">
        <f t="shared" si="91"/>
        <v>0</v>
      </c>
      <c r="V214" s="345">
        <f t="shared" si="92"/>
        <v>0</v>
      </c>
      <c r="W214" s="345">
        <f t="shared" si="93"/>
        <v>0</v>
      </c>
      <c r="X214" s="345">
        <f t="shared" si="94"/>
        <v>0</v>
      </c>
      <c r="Y214" s="345">
        <f t="shared" si="95"/>
        <v>0</v>
      </c>
      <c r="Z214" s="345">
        <f>IF(Q214&lt;&gt;"",VLOOKUP(Y214,TIME!$R$21:$V$24,MATCH(FC_DATA!Q214,TIME!$R$20:$V$20,0),FALSE),H214)</f>
        <v>0</v>
      </c>
      <c r="AA214" s="345" t="str">
        <f>IFERROR(VLOOKUP(X214&amp;Z214,TIME!$A$12:$D$71,4,FALSE),"")</f>
        <v/>
      </c>
      <c r="AB214" s="592">
        <f t="shared" ca="1" si="96"/>
        <v>0</v>
      </c>
      <c r="AC214" s="593" t="e">
        <f ca="1">IF(ISBLANK(H214)=FALSE,IF(D214="BRAND.com",I214,IF(ISNA(VLOOKUP(_xlfn.CONCAT(X214,Z214),TIME!$M$40:$M$42,1,FALSE)),I214,VLOOKUP(_xlfn.CONCAT(D214,G214,H214),M_BUSAREA_FC!$AF$5:$AJ$10,5,FALSE)*HLOOKUP(_xlfn.CONCAT(F214,H214),ST_OVERVIEW!$G$99:$I$130,MATCH(_xlfn.CONCAT(D214,E214),ST_OVERVIEW!$F$99:$F$130,0),FALSE))),IF(D214="BRAND.com",VLOOKUP(_xlfn.CONCAT(C214,D214,E214,TIME!$F$1,Z214),HIS_SALES!$B$2:$V$4859,19,FALSE)*I214,VLOOKUP(_xlfn.CONCAT(D214,F214,G214),Q_BUSAREA_FC!$AE$5:$AI$12,5,FALSE)*HLOOKUP(_xlfn.CONCAT(FC_DATA!F214,FC_DATA!G214),LT_OVERVIEW!$I$99:$M$130,MATCH(_xlfn.CONCAT(D214,FC_DATA!E214),LT_OVERVIEW!$H$99:$H$130,0),FALSE)*IFERROR(VLOOKUP(_xlfn.CONCAT(C214,D214,E214,TIME!$F$1,Z214),HIS_SALES!$B$2:$V$4859,19,FALSE),0)))</f>
        <v>#N/A</v>
      </c>
      <c r="AD214" s="341">
        <f t="shared" ca="1" si="97"/>
        <v>0</v>
      </c>
      <c r="AE214" s="363" t="str">
        <f t="shared" si="98"/>
        <v/>
      </c>
      <c r="AF214" s="342" t="str">
        <f t="shared" si="99"/>
        <v/>
      </c>
      <c r="AG214" s="411" t="e">
        <f ca="1">VLOOKUP(_xlfn.CONCAT(U214,V214,W214,VLOOKUP(X214&amp;Y214,TIME!$L$27:$O$34,4,FALSE),Y214),HIS_SALES!$A$2:$R$5093,18,FALSE)</f>
        <v>#N/A</v>
      </c>
      <c r="AH214" s="412" t="e">
        <f ca="1">IFERROR(IF(AND(V214=V213,W214=W213),0.5*(AB214+AB213)*AG214,(VLOOKUP(_xlfn.CONCAT(U214,V214,W214,X214,VLOOKUP(Z214,TIME!$S$28:$T$39,2,FALSE)),FC_DATA!$R$2:$AB$5000,MATCH("GS_I_M",FC_DATA!$R$1:$AB$1,0),FALSE)+FC_DATA!AB214)*0.5*FC_DATA!AG214),NA())</f>
        <v>#N/A</v>
      </c>
      <c r="AI214" s="491" t="e">
        <f ca="1">IF(V214="PARTNER.com",AH214,IF(AND(V214=V213,W214=W213),(1-AVERAGE(AD213,AD214))*AH214,(1-AVERAGE(AD214,VLOOKUP(_xlfn.CONCAT(U214,V214,W214,X214,M_BRAND_FC!$F$6),FC_DATA!$R$2:$AD$5000,MATCH("DISCOUNT_%_M",FC_DATA!$R$1:$AD$1,0),FALSE)))*AH214))</f>
        <v>#N/A</v>
      </c>
      <c r="AJ214" s="412" t="str">
        <f t="shared" ca="1" si="100"/>
        <v/>
      </c>
      <c r="AK214" s="413" t="str">
        <f>IFERROR(AE214/(Q_BRAND_FC!$T$24+1),"")</f>
        <v/>
      </c>
      <c r="AL214" s="88" t="str">
        <f t="shared" ca="1" si="101"/>
        <v/>
      </c>
      <c r="AM214" s="414" t="str">
        <f t="shared" ca="1" si="102"/>
        <v/>
      </c>
      <c r="AN214" s="58">
        <f>IFERROR(IF($V214="BRAND.com",HLOOKUP($X214&amp;$Z214,NWC_FC_NOOS!$C$4:$Q$23,MATCH(W214,NWC_FC_NOOS!$B$4:$B$23,0),FALSE),0),0)</f>
        <v>0</v>
      </c>
      <c r="AO214" s="57">
        <f>IFERROR(IF($V214="BRAND.com",HLOOKUP($X214&amp;$Z214,NWC_FC_NOOS!$T$4:$AH$23,MATCH(W214,NWC_FC_NOOS!$S$4:$S$23,0),FALSE),0),0)</f>
        <v>0</v>
      </c>
      <c r="AP214" s="57">
        <f>IFERROR(IF($V214="BRAND.com",HLOOKUP($X214&amp;$Z214,NWC_FC_NOOS!$C$50:$U$69,MATCH(W214,NWC_FC_NOOS!$B$50:$B$69,0),FALSE),0),0)</f>
        <v>0</v>
      </c>
      <c r="AQ214" s="58">
        <f>IFERROR(IF($V214="BRAND.com",HLOOKUP($X214&amp;$Z214,'NWC_FC_NON-NOOS'!$C$4:$Q$23,MATCH(W214,'NWC_FC_NON-NOOS'!$B$4:$B$23,0),FALSE),0),0)</f>
        <v>0</v>
      </c>
      <c r="AR214" s="57">
        <f>IFERROR(IF($V214="BRAND.com",HLOOKUP($X214&amp;$Z214,'NWC_FC_NON-NOOS'!$T$4:$AH$23,MATCH(W214,'NWC_FC_NON-NOOS'!$S$4:$S$23,0),FALSE),0),0)</f>
        <v>0</v>
      </c>
      <c r="AS214" s="57">
        <f>IFERROR(IF($V214="BRAND.com",HLOOKUP($X214&amp;$Z214,'NWC_FC_NON-NOOS'!$C$50:$U$69,MATCH(W214,'NWC_FC_NON-NOOS'!$B$50:$B$69,0),FALSE),0),0)</f>
        <v>0</v>
      </c>
      <c r="AT214" s="57">
        <f t="shared" si="104"/>
        <v>0</v>
      </c>
      <c r="AU214" s="57">
        <f t="shared" si="105"/>
        <v>0</v>
      </c>
      <c r="AV214" s="58">
        <f>IFERROR(IF($V214="BRAND.com",HLOOKUP($X214&amp;$Z214,PLANNING_FC!$BB$27:$BP$46,MATCH($W214,PLANNING_FC!$BA$27:$BA$46,0),FALSE),0),0)</f>
        <v>0</v>
      </c>
      <c r="AW214" s="58">
        <f>IFERROR(IF($V214="BRAND.com",HLOOKUP($X214&amp;$Z214,PLANNING_FC!$BB$4:$BP$23,MATCH($W214,PLANNING_FC!$BA$4:$BA$23,0),FALSE),0),0)</f>
        <v>0</v>
      </c>
      <c r="AX214" s="58">
        <f>IFERROR(IF($V214="BRAND.com",HLOOKUP($X214&amp;$Z214,PLANNING_FC!$T$27:$AH$46,MATCH($W214,PLANNING_FC!$B$27:$B$46,0),FALSE),0),0)</f>
        <v>0</v>
      </c>
      <c r="AY214" s="58">
        <f>IFERROR(IF($V214="BRAND.com",HLOOKUP($X214&amp;$Z214,PLANNING_FC!$T$4:$AH$23,MATCH($W214,PLANNING_FC!$B$4:$B$23,0),FALSE),0),0)</f>
        <v>0</v>
      </c>
      <c r="AZ214" s="58">
        <f>IFERROR(IF($V214="BRAND.com",HLOOKUP($X214&amp;$Z214,PLANNING_FC!$DA$27:$DO$46,MATCH($W214,PLANNING_FC!$CZ$27:$CZ$46,0),FALSE),0),0)</f>
        <v>0</v>
      </c>
      <c r="BA214" s="58">
        <f>IFERROR(IF($V214="BRAND.com",HLOOKUP($X214&amp;$Z214,PLANNING_FC!$DA$4:$DO$23,MATCH($W214,PLANNING_FC!$CZ$4:$CZ$23,0),FALSE),0),0)</f>
        <v>0</v>
      </c>
      <c r="BB214" s="883" t="str">
        <f>IF(V214="BRAND.com",IFERROR(HLOOKUP(X214&amp;Z214,PLANNING_FC!$AK$4:$AY$23,MATCH(W214,PLANNING_FC!$AJ$4:$AJ$23,0),FALSE)*1000,""),"")</f>
        <v/>
      </c>
      <c r="BC214" s="883" t="str">
        <f>IF(V214="BRAND.com",IFERROR(HLOOKUP(X214&amp;Z214,PLANNING_FC!$AK$27:$AY$46,MATCH(W214,PLANNING_FC!$AJ$27:$AJ$46,0),FALSE)*1000,""),"")</f>
        <v/>
      </c>
    </row>
    <row r="215" spans="1:55" x14ac:dyDescent="0.25">
      <c r="A215" s="509"/>
      <c r="B215" s="509"/>
      <c r="C215" s="509"/>
      <c r="D215" s="509"/>
      <c r="E215" s="509"/>
      <c r="F215" s="509"/>
      <c r="G215" s="509"/>
      <c r="H215" s="509"/>
      <c r="I215" s="512"/>
      <c r="J215" s="513"/>
      <c r="K215" s="879"/>
      <c r="L215" s="515"/>
      <c r="M215" s="516"/>
      <c r="N215" s="56">
        <f t="shared" si="86"/>
        <v>0</v>
      </c>
      <c r="O215" s="57">
        <f t="shared" si="87"/>
        <v>0</v>
      </c>
      <c r="P215" s="57">
        <f ca="1">IFERROR(IF(ISBLANK(H215),SUMIFS($AC:$AC,$V:$V,V215,$W:$W,W215,$X:$X,X215,$Y:$Y,Y215)*J215/(1-J215)*VLOOKUP(_xlfn.CONCAT(C215,D215,E215,TIME!$M$12,Z215),HIS_SALES!$B$2:$W$4859,20,FALSE),AC215*J215/(1-J215)),0)</f>
        <v>0</v>
      </c>
      <c r="Q215" s="541" t="str">
        <f t="shared" si="88"/>
        <v/>
      </c>
      <c r="R215" s="346" t="str">
        <f t="shared" si="89"/>
        <v>00000</v>
      </c>
      <c r="S215" s="344">
        <f t="shared" si="90"/>
        <v>0</v>
      </c>
      <c r="T215" s="345" t="str">
        <f t="shared" si="103"/>
        <v>000</v>
      </c>
      <c r="U215" s="345">
        <f t="shared" si="91"/>
        <v>0</v>
      </c>
      <c r="V215" s="345">
        <f t="shared" si="92"/>
        <v>0</v>
      </c>
      <c r="W215" s="345">
        <f t="shared" si="93"/>
        <v>0</v>
      </c>
      <c r="X215" s="345">
        <f t="shared" si="94"/>
        <v>0</v>
      </c>
      <c r="Y215" s="345">
        <f t="shared" si="95"/>
        <v>0</v>
      </c>
      <c r="Z215" s="345">
        <f>IF(Q215&lt;&gt;"",VLOOKUP(Y215,TIME!$R$21:$V$24,MATCH(FC_DATA!Q215,TIME!$R$20:$V$20,0),FALSE),H215)</f>
        <v>0</v>
      </c>
      <c r="AA215" s="345" t="str">
        <f>IFERROR(VLOOKUP(X215&amp;Z215,TIME!$A$12:$D$71,4,FALSE),"")</f>
        <v/>
      </c>
      <c r="AB215" s="592">
        <f t="shared" ca="1" si="96"/>
        <v>0</v>
      </c>
      <c r="AC215" s="593" t="e">
        <f ca="1">IF(ISBLANK(H215)=FALSE,IF(D215="BRAND.com",I215,IF(ISNA(VLOOKUP(_xlfn.CONCAT(X215,Z215),TIME!$M$40:$M$42,1,FALSE)),I215,VLOOKUP(_xlfn.CONCAT(D215,G215,H215),M_BUSAREA_FC!$AF$5:$AJ$10,5,FALSE)*HLOOKUP(_xlfn.CONCAT(F215,H215),ST_OVERVIEW!$G$99:$I$130,MATCH(_xlfn.CONCAT(D215,E215),ST_OVERVIEW!$F$99:$F$130,0),FALSE))),IF(D215="BRAND.com",VLOOKUP(_xlfn.CONCAT(C215,D215,E215,TIME!$F$1,Z215),HIS_SALES!$B$2:$V$4859,19,FALSE)*I215,VLOOKUP(_xlfn.CONCAT(D215,F215,G215),Q_BUSAREA_FC!$AE$5:$AI$12,5,FALSE)*HLOOKUP(_xlfn.CONCAT(FC_DATA!F215,FC_DATA!G215),LT_OVERVIEW!$I$99:$M$130,MATCH(_xlfn.CONCAT(D215,FC_DATA!E215),LT_OVERVIEW!$H$99:$H$130,0),FALSE)*IFERROR(VLOOKUP(_xlfn.CONCAT(C215,D215,E215,TIME!$F$1,Z215),HIS_SALES!$B$2:$V$4859,19,FALSE),0)))</f>
        <v>#N/A</v>
      </c>
      <c r="AD215" s="341">
        <f t="shared" ca="1" si="97"/>
        <v>0</v>
      </c>
      <c r="AE215" s="363" t="str">
        <f t="shared" si="98"/>
        <v/>
      </c>
      <c r="AF215" s="342" t="str">
        <f t="shared" si="99"/>
        <v/>
      </c>
      <c r="AG215" s="411" t="e">
        <f ca="1">VLOOKUP(_xlfn.CONCAT(U215,V215,W215,VLOOKUP(X215&amp;Y215,TIME!$L$27:$O$34,4,FALSE),Y215),HIS_SALES!$A$2:$R$5093,18,FALSE)</f>
        <v>#N/A</v>
      </c>
      <c r="AH215" s="412" t="e">
        <f ca="1">IFERROR(IF(AND(V215=V214,W215=W214),0.5*(AB215+AB214)*AG215,(VLOOKUP(_xlfn.CONCAT(U215,V215,W215,X215,VLOOKUP(Z215,TIME!$S$28:$T$39,2,FALSE)),FC_DATA!$R$2:$AB$5000,MATCH("GS_I_M",FC_DATA!$R$1:$AB$1,0),FALSE)+FC_DATA!AB215)*0.5*FC_DATA!AG215),NA())</f>
        <v>#N/A</v>
      </c>
      <c r="AI215" s="491" t="e">
        <f ca="1">IF(V215="PARTNER.com",AH215,IF(AND(V215=V214,W215=W214),(1-AVERAGE(AD214,AD215))*AH215,(1-AVERAGE(AD215,VLOOKUP(_xlfn.CONCAT(U215,V215,W215,X215,M_BRAND_FC!$F$6),FC_DATA!$R$2:$AD$5000,MATCH("DISCOUNT_%_M",FC_DATA!$R$1:$AD$1,0),FALSE)))*AH215))</f>
        <v>#N/A</v>
      </c>
      <c r="AJ215" s="412" t="str">
        <f t="shared" ca="1" si="100"/>
        <v/>
      </c>
      <c r="AK215" s="413" t="str">
        <f>IFERROR(AE215/(Q_BRAND_FC!$T$24+1),"")</f>
        <v/>
      </c>
      <c r="AL215" s="88" t="str">
        <f t="shared" ca="1" si="101"/>
        <v/>
      </c>
      <c r="AM215" s="414" t="str">
        <f t="shared" ca="1" si="102"/>
        <v/>
      </c>
      <c r="AN215" s="58">
        <f>IFERROR(IF($V215="BRAND.com",HLOOKUP($X215&amp;$Z215,NWC_FC_NOOS!$C$4:$Q$23,MATCH(W215,NWC_FC_NOOS!$B$4:$B$23,0),FALSE),0),0)</f>
        <v>0</v>
      </c>
      <c r="AO215" s="57">
        <f>IFERROR(IF($V215="BRAND.com",HLOOKUP($X215&amp;$Z215,NWC_FC_NOOS!$T$4:$AH$23,MATCH(W215,NWC_FC_NOOS!$S$4:$S$23,0),FALSE),0),0)</f>
        <v>0</v>
      </c>
      <c r="AP215" s="57">
        <f>IFERROR(IF($V215="BRAND.com",HLOOKUP($X215&amp;$Z215,NWC_FC_NOOS!$C$50:$U$69,MATCH(W215,NWC_FC_NOOS!$B$50:$B$69,0),FALSE),0),0)</f>
        <v>0</v>
      </c>
      <c r="AQ215" s="58">
        <f>IFERROR(IF($V215="BRAND.com",HLOOKUP($X215&amp;$Z215,'NWC_FC_NON-NOOS'!$C$4:$Q$23,MATCH(W215,'NWC_FC_NON-NOOS'!$B$4:$B$23,0),FALSE),0),0)</f>
        <v>0</v>
      </c>
      <c r="AR215" s="57">
        <f>IFERROR(IF($V215="BRAND.com",HLOOKUP($X215&amp;$Z215,'NWC_FC_NON-NOOS'!$T$4:$AH$23,MATCH(W215,'NWC_FC_NON-NOOS'!$S$4:$S$23,0),FALSE),0),0)</f>
        <v>0</v>
      </c>
      <c r="AS215" s="57">
        <f>IFERROR(IF($V215="BRAND.com",HLOOKUP($X215&amp;$Z215,'NWC_FC_NON-NOOS'!$C$50:$U$69,MATCH(W215,'NWC_FC_NON-NOOS'!$B$50:$B$69,0),FALSE),0),0)</f>
        <v>0</v>
      </c>
      <c r="AT215" s="57">
        <f t="shared" si="104"/>
        <v>0</v>
      </c>
      <c r="AU215" s="57">
        <f t="shared" si="105"/>
        <v>0</v>
      </c>
      <c r="AV215" s="58">
        <f>IFERROR(IF($V215="BRAND.com",HLOOKUP($X215&amp;$Z215,PLANNING_FC!$BB$27:$BP$46,MATCH($W215,PLANNING_FC!$BA$27:$BA$46,0),FALSE),0),0)</f>
        <v>0</v>
      </c>
      <c r="AW215" s="58">
        <f>IFERROR(IF($V215="BRAND.com",HLOOKUP($X215&amp;$Z215,PLANNING_FC!$BB$4:$BP$23,MATCH($W215,PLANNING_FC!$BA$4:$BA$23,0),FALSE),0),0)</f>
        <v>0</v>
      </c>
      <c r="AX215" s="58">
        <f>IFERROR(IF($V215="BRAND.com",HLOOKUP($X215&amp;$Z215,PLANNING_FC!$T$27:$AH$46,MATCH($W215,PLANNING_FC!$B$27:$B$46,0),FALSE),0),0)</f>
        <v>0</v>
      </c>
      <c r="AY215" s="58">
        <f>IFERROR(IF($V215="BRAND.com",HLOOKUP($X215&amp;$Z215,PLANNING_FC!$T$4:$AH$23,MATCH($W215,PLANNING_FC!$B$4:$B$23,0),FALSE),0),0)</f>
        <v>0</v>
      </c>
      <c r="AZ215" s="58">
        <f>IFERROR(IF($V215="BRAND.com",HLOOKUP($X215&amp;$Z215,PLANNING_FC!$DA$27:$DO$46,MATCH($W215,PLANNING_FC!$CZ$27:$CZ$46,0),FALSE),0),0)</f>
        <v>0</v>
      </c>
      <c r="BA215" s="58">
        <f>IFERROR(IF($V215="BRAND.com",HLOOKUP($X215&amp;$Z215,PLANNING_FC!$DA$4:$DO$23,MATCH($W215,PLANNING_FC!$CZ$4:$CZ$23,0),FALSE),0),0)</f>
        <v>0</v>
      </c>
      <c r="BB215" s="883" t="str">
        <f>IF(V215="BRAND.com",IFERROR(HLOOKUP(X215&amp;Z215,PLANNING_FC!$AK$4:$AY$23,MATCH(W215,PLANNING_FC!$AJ$4:$AJ$23,0),FALSE)*1000,""),"")</f>
        <v/>
      </c>
      <c r="BC215" s="883" t="str">
        <f>IF(V215="BRAND.com",IFERROR(HLOOKUP(X215&amp;Z215,PLANNING_FC!$AK$27:$AY$46,MATCH(W215,PLANNING_FC!$AJ$27:$AJ$46,0),FALSE)*1000,""),"")</f>
        <v/>
      </c>
    </row>
    <row r="216" spans="1:55" x14ac:dyDescent="0.25">
      <c r="A216" s="509"/>
      <c r="B216" s="509"/>
      <c r="C216" s="509"/>
      <c r="D216" s="509"/>
      <c r="E216" s="509"/>
      <c r="F216" s="509"/>
      <c r="G216" s="509"/>
      <c r="H216" s="509"/>
      <c r="I216" s="512"/>
      <c r="J216" s="513"/>
      <c r="K216" s="879"/>
      <c r="L216" s="515"/>
      <c r="M216" s="516"/>
      <c r="N216" s="56">
        <f t="shared" si="86"/>
        <v>0</v>
      </c>
      <c r="O216" s="57">
        <f t="shared" si="87"/>
        <v>0</v>
      </c>
      <c r="P216" s="57">
        <f ca="1">IFERROR(IF(ISBLANK(H216),SUMIFS($AC:$AC,$V:$V,V216,$W:$W,W216,$X:$X,X216,$Y:$Y,Y216)*J216/(1-J216)*VLOOKUP(_xlfn.CONCAT(C216,D216,E216,TIME!$M$12,Z216),HIS_SALES!$B$2:$W$4859,20,FALSE),AC216*J216/(1-J216)),0)</f>
        <v>0</v>
      </c>
      <c r="Q216" s="541" t="str">
        <f t="shared" si="88"/>
        <v/>
      </c>
      <c r="R216" s="346" t="str">
        <f t="shared" si="89"/>
        <v>00000</v>
      </c>
      <c r="S216" s="344">
        <f t="shared" si="90"/>
        <v>0</v>
      </c>
      <c r="T216" s="345" t="str">
        <f t="shared" si="103"/>
        <v>000</v>
      </c>
      <c r="U216" s="345">
        <f t="shared" si="91"/>
        <v>0</v>
      </c>
      <c r="V216" s="345">
        <f t="shared" si="92"/>
        <v>0</v>
      </c>
      <c r="W216" s="345">
        <f t="shared" si="93"/>
        <v>0</v>
      </c>
      <c r="X216" s="345">
        <f t="shared" si="94"/>
        <v>0</v>
      </c>
      <c r="Y216" s="345">
        <f t="shared" si="95"/>
        <v>0</v>
      </c>
      <c r="Z216" s="345">
        <f>IF(Q216&lt;&gt;"",VLOOKUP(Y216,TIME!$R$21:$V$24,MATCH(FC_DATA!Q216,TIME!$R$20:$V$20,0),FALSE),H216)</f>
        <v>0</v>
      </c>
      <c r="AA216" s="345" t="str">
        <f>IFERROR(VLOOKUP(X216&amp;Z216,TIME!$A$12:$D$71,4,FALSE),"")</f>
        <v/>
      </c>
      <c r="AB216" s="592">
        <f t="shared" ca="1" si="96"/>
        <v>0</v>
      </c>
      <c r="AC216" s="593" t="e">
        <f ca="1">IF(ISBLANK(H216)=FALSE,IF(D216="BRAND.com",I216,IF(ISNA(VLOOKUP(_xlfn.CONCAT(X216,Z216),TIME!$M$40:$M$42,1,FALSE)),I216,VLOOKUP(_xlfn.CONCAT(D216,G216,H216),M_BUSAREA_FC!$AF$5:$AJ$10,5,FALSE)*HLOOKUP(_xlfn.CONCAT(F216,H216),ST_OVERVIEW!$G$99:$I$130,MATCH(_xlfn.CONCAT(D216,E216),ST_OVERVIEW!$F$99:$F$130,0),FALSE))),IF(D216="BRAND.com",VLOOKUP(_xlfn.CONCAT(C216,D216,E216,TIME!$F$1,Z216),HIS_SALES!$B$2:$V$4859,19,FALSE)*I216,VLOOKUP(_xlfn.CONCAT(D216,F216,G216),Q_BUSAREA_FC!$AE$5:$AI$12,5,FALSE)*HLOOKUP(_xlfn.CONCAT(FC_DATA!F216,FC_DATA!G216),LT_OVERVIEW!$I$99:$M$130,MATCH(_xlfn.CONCAT(D216,FC_DATA!E216),LT_OVERVIEW!$H$99:$H$130,0),FALSE)*IFERROR(VLOOKUP(_xlfn.CONCAT(C216,D216,E216,TIME!$F$1,Z216),HIS_SALES!$B$2:$V$4859,19,FALSE),0)))</f>
        <v>#N/A</v>
      </c>
      <c r="AD216" s="341">
        <f t="shared" ca="1" si="97"/>
        <v>0</v>
      </c>
      <c r="AE216" s="363" t="str">
        <f t="shared" si="98"/>
        <v/>
      </c>
      <c r="AF216" s="342" t="str">
        <f t="shared" si="99"/>
        <v/>
      </c>
      <c r="AG216" s="411" t="e">
        <f ca="1">VLOOKUP(_xlfn.CONCAT(U216,V216,W216,VLOOKUP(X216&amp;Y216,TIME!$L$27:$O$34,4,FALSE),Y216),HIS_SALES!$A$2:$R$5093,18,FALSE)</f>
        <v>#N/A</v>
      </c>
      <c r="AH216" s="412" t="e">
        <f ca="1">IFERROR(IF(AND(V216=V215,W216=W215),0.5*(AB216+AB215)*AG216,(VLOOKUP(_xlfn.CONCAT(U216,V216,W216,X216,VLOOKUP(Z216,TIME!$S$28:$T$39,2,FALSE)),FC_DATA!$R$2:$AB$5000,MATCH("GS_I_M",FC_DATA!$R$1:$AB$1,0),FALSE)+FC_DATA!AB216)*0.5*FC_DATA!AG216),NA())</f>
        <v>#N/A</v>
      </c>
      <c r="AI216" s="491" t="e">
        <f ca="1">IF(V216="PARTNER.com",AH216,IF(AND(V216=V215,W216=W215),(1-AVERAGE(AD215,AD216))*AH216,(1-AVERAGE(AD216,VLOOKUP(_xlfn.CONCAT(U216,V216,W216,X216,M_BRAND_FC!$F$6),FC_DATA!$R$2:$AD$5000,MATCH("DISCOUNT_%_M",FC_DATA!$R$1:$AD$1,0),FALSE)))*AH216))</f>
        <v>#N/A</v>
      </c>
      <c r="AJ216" s="412" t="str">
        <f t="shared" ca="1" si="100"/>
        <v/>
      </c>
      <c r="AK216" s="413" t="str">
        <f>IFERROR(AE216/(Q_BRAND_FC!$T$24+1),"")</f>
        <v/>
      </c>
      <c r="AL216" s="88" t="str">
        <f t="shared" ca="1" si="101"/>
        <v/>
      </c>
      <c r="AM216" s="414" t="str">
        <f t="shared" ca="1" si="102"/>
        <v/>
      </c>
      <c r="AN216" s="58">
        <f>IFERROR(IF($V216="BRAND.com",HLOOKUP($X216&amp;$Z216,NWC_FC_NOOS!$C$4:$Q$23,MATCH(W216,NWC_FC_NOOS!$B$4:$B$23,0),FALSE),0),0)</f>
        <v>0</v>
      </c>
      <c r="AO216" s="57">
        <f>IFERROR(IF($V216="BRAND.com",HLOOKUP($X216&amp;$Z216,NWC_FC_NOOS!$T$4:$AH$23,MATCH(W216,NWC_FC_NOOS!$S$4:$S$23,0),FALSE),0),0)</f>
        <v>0</v>
      </c>
      <c r="AP216" s="57">
        <f>IFERROR(IF($V216="BRAND.com",HLOOKUP($X216&amp;$Z216,NWC_FC_NOOS!$C$50:$U$69,MATCH(W216,NWC_FC_NOOS!$B$50:$B$69,0),FALSE),0),0)</f>
        <v>0</v>
      </c>
      <c r="AQ216" s="58">
        <f>IFERROR(IF($V216="BRAND.com",HLOOKUP($X216&amp;$Z216,'NWC_FC_NON-NOOS'!$C$4:$Q$23,MATCH(W216,'NWC_FC_NON-NOOS'!$B$4:$B$23,0),FALSE),0),0)</f>
        <v>0</v>
      </c>
      <c r="AR216" s="57">
        <f>IFERROR(IF($V216="BRAND.com",HLOOKUP($X216&amp;$Z216,'NWC_FC_NON-NOOS'!$T$4:$AH$23,MATCH(W216,'NWC_FC_NON-NOOS'!$S$4:$S$23,0),FALSE),0),0)</f>
        <v>0</v>
      </c>
      <c r="AS216" s="57">
        <f>IFERROR(IF($V216="BRAND.com",HLOOKUP($X216&amp;$Z216,'NWC_FC_NON-NOOS'!$C$50:$U$69,MATCH(W216,'NWC_FC_NON-NOOS'!$B$50:$B$69,0),FALSE),0),0)</f>
        <v>0</v>
      </c>
      <c r="AT216" s="57">
        <f t="shared" si="104"/>
        <v>0</v>
      </c>
      <c r="AU216" s="57">
        <f t="shared" si="105"/>
        <v>0</v>
      </c>
      <c r="AV216" s="58">
        <f>IFERROR(IF($V216="BRAND.com",HLOOKUP($X216&amp;$Z216,PLANNING_FC!$BB$27:$BP$46,MATCH($W216,PLANNING_FC!$BA$27:$BA$46,0),FALSE),0),0)</f>
        <v>0</v>
      </c>
      <c r="AW216" s="58">
        <f>IFERROR(IF($V216="BRAND.com",HLOOKUP($X216&amp;$Z216,PLANNING_FC!$BB$4:$BP$23,MATCH($W216,PLANNING_FC!$BA$4:$BA$23,0),FALSE),0),0)</f>
        <v>0</v>
      </c>
      <c r="AX216" s="58">
        <f>IFERROR(IF($V216="BRAND.com",HLOOKUP($X216&amp;$Z216,PLANNING_FC!$T$27:$AH$46,MATCH($W216,PLANNING_FC!$B$27:$B$46,0),FALSE),0),0)</f>
        <v>0</v>
      </c>
      <c r="AY216" s="58">
        <f>IFERROR(IF($V216="BRAND.com",HLOOKUP($X216&amp;$Z216,PLANNING_FC!$T$4:$AH$23,MATCH($W216,PLANNING_FC!$B$4:$B$23,0),FALSE),0),0)</f>
        <v>0</v>
      </c>
      <c r="AZ216" s="58">
        <f>IFERROR(IF($V216="BRAND.com",HLOOKUP($X216&amp;$Z216,PLANNING_FC!$DA$27:$DO$46,MATCH($W216,PLANNING_FC!$CZ$27:$CZ$46,0),FALSE),0),0)</f>
        <v>0</v>
      </c>
      <c r="BA216" s="58">
        <f>IFERROR(IF($V216="BRAND.com",HLOOKUP($X216&amp;$Z216,PLANNING_FC!$DA$4:$DO$23,MATCH($W216,PLANNING_FC!$CZ$4:$CZ$23,0),FALSE),0),0)</f>
        <v>0</v>
      </c>
      <c r="BB216" s="883" t="str">
        <f>IF(V216="BRAND.com",IFERROR(HLOOKUP(X216&amp;Z216,PLANNING_FC!$AK$4:$AY$23,MATCH(W216,PLANNING_FC!$AJ$4:$AJ$23,0),FALSE)*1000,""),"")</f>
        <v/>
      </c>
      <c r="BC216" s="883" t="str">
        <f>IF(V216="BRAND.com",IFERROR(HLOOKUP(X216&amp;Z216,PLANNING_FC!$AK$27:$AY$46,MATCH(W216,PLANNING_FC!$AJ$27:$AJ$46,0),FALSE)*1000,""),"")</f>
        <v/>
      </c>
    </row>
    <row r="217" spans="1:55" x14ac:dyDescent="0.25">
      <c r="A217" s="509"/>
      <c r="B217" s="509"/>
      <c r="C217" s="509"/>
      <c r="D217" s="509"/>
      <c r="E217" s="509"/>
      <c r="F217" s="509"/>
      <c r="G217" s="509"/>
      <c r="H217" s="509"/>
      <c r="I217" s="512"/>
      <c r="J217" s="513"/>
      <c r="K217" s="879"/>
      <c r="L217" s="515"/>
      <c r="M217" s="516"/>
      <c r="N217" s="56">
        <f t="shared" si="86"/>
        <v>0</v>
      </c>
      <c r="O217" s="57">
        <f t="shared" si="87"/>
        <v>0</v>
      </c>
      <c r="P217" s="57">
        <f ca="1">IFERROR(IF(ISBLANK(H217),SUMIFS($AC:$AC,$V:$V,V217,$W:$W,W217,$X:$X,X217,$Y:$Y,Y217)*J217/(1-J217)*VLOOKUP(_xlfn.CONCAT(C217,D217,E217,TIME!$M$12,Z217),HIS_SALES!$B$2:$W$4859,20,FALSE),AC217*J217/(1-J217)),0)</f>
        <v>0</v>
      </c>
      <c r="Q217" s="541" t="str">
        <f t="shared" si="88"/>
        <v/>
      </c>
      <c r="R217" s="346" t="str">
        <f t="shared" si="89"/>
        <v>00000</v>
      </c>
      <c r="S217" s="344">
        <f t="shared" si="90"/>
        <v>0</v>
      </c>
      <c r="T217" s="345" t="str">
        <f t="shared" si="103"/>
        <v>000</v>
      </c>
      <c r="U217" s="345">
        <f t="shared" si="91"/>
        <v>0</v>
      </c>
      <c r="V217" s="345">
        <f t="shared" si="92"/>
        <v>0</v>
      </c>
      <c r="W217" s="345">
        <f t="shared" si="93"/>
        <v>0</v>
      </c>
      <c r="X217" s="345">
        <f t="shared" si="94"/>
        <v>0</v>
      </c>
      <c r="Y217" s="345">
        <f t="shared" si="95"/>
        <v>0</v>
      </c>
      <c r="Z217" s="345">
        <f>IF(Q217&lt;&gt;"",VLOOKUP(Y217,TIME!$R$21:$V$24,MATCH(FC_DATA!Q217,TIME!$R$20:$V$20,0),FALSE),H217)</f>
        <v>0</v>
      </c>
      <c r="AA217" s="345" t="str">
        <f>IFERROR(VLOOKUP(X217&amp;Z217,TIME!$A$12:$D$71,4,FALSE),"")</f>
        <v/>
      </c>
      <c r="AB217" s="592">
        <f t="shared" ca="1" si="96"/>
        <v>0</v>
      </c>
      <c r="AC217" s="593" t="e">
        <f ca="1">IF(ISBLANK(H217)=FALSE,IF(D217="BRAND.com",I217,IF(ISNA(VLOOKUP(_xlfn.CONCAT(X217,Z217),TIME!$M$40:$M$42,1,FALSE)),I217,VLOOKUP(_xlfn.CONCAT(D217,G217,H217),M_BUSAREA_FC!$AF$5:$AJ$10,5,FALSE)*HLOOKUP(_xlfn.CONCAT(F217,H217),ST_OVERVIEW!$G$99:$I$130,MATCH(_xlfn.CONCAT(D217,E217),ST_OVERVIEW!$F$99:$F$130,0),FALSE))),IF(D217="BRAND.com",VLOOKUP(_xlfn.CONCAT(C217,D217,E217,TIME!$F$1,Z217),HIS_SALES!$B$2:$V$4859,19,FALSE)*I217,VLOOKUP(_xlfn.CONCAT(D217,F217,G217),Q_BUSAREA_FC!$AE$5:$AI$12,5,FALSE)*HLOOKUP(_xlfn.CONCAT(FC_DATA!F217,FC_DATA!G217),LT_OVERVIEW!$I$99:$M$130,MATCH(_xlfn.CONCAT(D217,FC_DATA!E217),LT_OVERVIEW!$H$99:$H$130,0),FALSE)*IFERROR(VLOOKUP(_xlfn.CONCAT(C217,D217,E217,TIME!$F$1,Z217),HIS_SALES!$B$2:$V$4859,19,FALSE),0)))</f>
        <v>#N/A</v>
      </c>
      <c r="AD217" s="341">
        <f t="shared" ca="1" si="97"/>
        <v>0</v>
      </c>
      <c r="AE217" s="363" t="str">
        <f t="shared" si="98"/>
        <v/>
      </c>
      <c r="AF217" s="342" t="str">
        <f t="shared" si="99"/>
        <v/>
      </c>
      <c r="AG217" s="411" t="e">
        <f ca="1">VLOOKUP(_xlfn.CONCAT(U217,V217,W217,VLOOKUP(X217&amp;Y217,TIME!$L$27:$O$34,4,FALSE),Y217),HIS_SALES!$A$2:$R$5093,18,FALSE)</f>
        <v>#N/A</v>
      </c>
      <c r="AH217" s="412" t="e">
        <f ca="1">IFERROR(IF(AND(V217=V216,W217=W216),0.5*(AB217+AB216)*AG217,(VLOOKUP(_xlfn.CONCAT(U217,V217,W217,X217,VLOOKUP(Z217,TIME!$S$28:$T$39,2,FALSE)),FC_DATA!$R$2:$AB$5000,MATCH("GS_I_M",FC_DATA!$R$1:$AB$1,0),FALSE)+FC_DATA!AB217)*0.5*FC_DATA!AG217),NA())</f>
        <v>#N/A</v>
      </c>
      <c r="AI217" s="491" t="e">
        <f ca="1">IF(V217="PARTNER.com",AH217,IF(AND(V217=V216,W217=W216),(1-AVERAGE(AD216,AD217))*AH217,(1-AVERAGE(AD217,VLOOKUP(_xlfn.CONCAT(U217,V217,W217,X217,M_BRAND_FC!$F$6),FC_DATA!$R$2:$AD$5000,MATCH("DISCOUNT_%_M",FC_DATA!$R$1:$AD$1,0),FALSE)))*AH217))</f>
        <v>#N/A</v>
      </c>
      <c r="AJ217" s="412" t="str">
        <f t="shared" ca="1" si="100"/>
        <v/>
      </c>
      <c r="AK217" s="413" t="str">
        <f>IFERROR(AE217/(Q_BRAND_FC!$T$24+1),"")</f>
        <v/>
      </c>
      <c r="AL217" s="88" t="str">
        <f t="shared" ca="1" si="101"/>
        <v/>
      </c>
      <c r="AM217" s="414" t="str">
        <f t="shared" ca="1" si="102"/>
        <v/>
      </c>
      <c r="AN217" s="58">
        <f>IFERROR(IF($V217="BRAND.com",HLOOKUP($X217&amp;$Z217,NWC_FC_NOOS!$C$4:$Q$23,MATCH(W217,NWC_FC_NOOS!$B$4:$B$23,0),FALSE),0),0)</f>
        <v>0</v>
      </c>
      <c r="AO217" s="57">
        <f>IFERROR(IF($V217="BRAND.com",HLOOKUP($X217&amp;$Z217,NWC_FC_NOOS!$T$4:$AH$23,MATCH(W217,NWC_FC_NOOS!$S$4:$S$23,0),FALSE),0),0)</f>
        <v>0</v>
      </c>
      <c r="AP217" s="57">
        <f>IFERROR(IF($V217="BRAND.com",HLOOKUP($X217&amp;$Z217,NWC_FC_NOOS!$C$50:$U$69,MATCH(W217,NWC_FC_NOOS!$B$50:$B$69,0),FALSE),0),0)</f>
        <v>0</v>
      </c>
      <c r="AQ217" s="58">
        <f>IFERROR(IF($V217="BRAND.com",HLOOKUP($X217&amp;$Z217,'NWC_FC_NON-NOOS'!$C$4:$Q$23,MATCH(W217,'NWC_FC_NON-NOOS'!$B$4:$B$23,0),FALSE),0),0)</f>
        <v>0</v>
      </c>
      <c r="AR217" s="57">
        <f>IFERROR(IF($V217="BRAND.com",HLOOKUP($X217&amp;$Z217,'NWC_FC_NON-NOOS'!$T$4:$AH$23,MATCH(W217,'NWC_FC_NON-NOOS'!$S$4:$S$23,0),FALSE),0),0)</f>
        <v>0</v>
      </c>
      <c r="AS217" s="57">
        <f>IFERROR(IF($V217="BRAND.com",HLOOKUP($X217&amp;$Z217,'NWC_FC_NON-NOOS'!$C$50:$U$69,MATCH(W217,'NWC_FC_NON-NOOS'!$B$50:$B$69,0),FALSE),0),0)</f>
        <v>0</v>
      </c>
      <c r="AT217" s="57">
        <f t="shared" si="104"/>
        <v>0</v>
      </c>
      <c r="AU217" s="57">
        <f t="shared" si="105"/>
        <v>0</v>
      </c>
      <c r="AV217" s="58">
        <f>IFERROR(IF($V217="BRAND.com",HLOOKUP($X217&amp;$Z217,PLANNING_FC!$BB$27:$BP$46,MATCH($W217,PLANNING_FC!$BA$27:$BA$46,0),FALSE),0),0)</f>
        <v>0</v>
      </c>
      <c r="AW217" s="58">
        <f>IFERROR(IF($V217="BRAND.com",HLOOKUP($X217&amp;$Z217,PLANNING_FC!$BB$4:$BP$23,MATCH($W217,PLANNING_FC!$BA$4:$BA$23,0),FALSE),0),0)</f>
        <v>0</v>
      </c>
      <c r="AX217" s="58">
        <f>IFERROR(IF($V217="BRAND.com",HLOOKUP($X217&amp;$Z217,PLANNING_FC!$T$27:$AH$46,MATCH($W217,PLANNING_FC!$B$27:$B$46,0),FALSE),0),0)</f>
        <v>0</v>
      </c>
      <c r="AY217" s="58">
        <f>IFERROR(IF($V217="BRAND.com",HLOOKUP($X217&amp;$Z217,PLANNING_FC!$T$4:$AH$23,MATCH($W217,PLANNING_FC!$B$4:$B$23,0),FALSE),0),0)</f>
        <v>0</v>
      </c>
      <c r="AZ217" s="58">
        <f>IFERROR(IF($V217="BRAND.com",HLOOKUP($X217&amp;$Z217,PLANNING_FC!$DA$27:$DO$46,MATCH($W217,PLANNING_FC!$CZ$27:$CZ$46,0),FALSE),0),0)</f>
        <v>0</v>
      </c>
      <c r="BA217" s="58">
        <f>IFERROR(IF($V217="BRAND.com",HLOOKUP($X217&amp;$Z217,PLANNING_FC!$DA$4:$DO$23,MATCH($W217,PLANNING_FC!$CZ$4:$CZ$23,0),FALSE),0),0)</f>
        <v>0</v>
      </c>
      <c r="BB217" s="883" t="str">
        <f>IF(V217="BRAND.com",IFERROR(HLOOKUP(X217&amp;Z217,PLANNING_FC!$AK$4:$AY$23,MATCH(W217,PLANNING_FC!$AJ$4:$AJ$23,0),FALSE)*1000,""),"")</f>
        <v/>
      </c>
      <c r="BC217" s="883" t="str">
        <f>IF(V217="BRAND.com",IFERROR(HLOOKUP(X217&amp;Z217,PLANNING_FC!$AK$27:$AY$46,MATCH(W217,PLANNING_FC!$AJ$27:$AJ$46,0),FALSE)*1000,""),"")</f>
        <v/>
      </c>
    </row>
    <row r="218" spans="1:55" x14ac:dyDescent="0.25">
      <c r="A218" s="509"/>
      <c r="B218" s="509"/>
      <c r="C218" s="509"/>
      <c r="D218" s="509"/>
      <c r="E218" s="509"/>
      <c r="F218" s="509"/>
      <c r="G218" s="509"/>
      <c r="H218" s="509"/>
      <c r="I218" s="512"/>
      <c r="J218" s="513"/>
      <c r="K218" s="879"/>
      <c r="L218" s="515"/>
      <c r="M218" s="516"/>
      <c r="N218" s="56">
        <f t="shared" si="86"/>
        <v>0</v>
      </c>
      <c r="O218" s="57">
        <f t="shared" si="87"/>
        <v>0</v>
      </c>
      <c r="P218" s="57">
        <f ca="1">IFERROR(IF(ISBLANK(H218),SUMIFS($AC:$AC,$V:$V,V218,$W:$W,W218,$X:$X,X218,$Y:$Y,Y218)*J218/(1-J218)*VLOOKUP(_xlfn.CONCAT(C218,D218,E218,TIME!$M$12,Z218),HIS_SALES!$B$2:$W$4859,20,FALSE),AC218*J218/(1-J218)),0)</f>
        <v>0</v>
      </c>
      <c r="Q218" s="541" t="str">
        <f t="shared" si="88"/>
        <v/>
      </c>
      <c r="R218" s="346" t="str">
        <f t="shared" si="89"/>
        <v>00000</v>
      </c>
      <c r="S218" s="344">
        <f t="shared" si="90"/>
        <v>0</v>
      </c>
      <c r="T218" s="345" t="str">
        <f t="shared" si="103"/>
        <v>000</v>
      </c>
      <c r="U218" s="345">
        <f t="shared" si="91"/>
        <v>0</v>
      </c>
      <c r="V218" s="345">
        <f t="shared" si="92"/>
        <v>0</v>
      </c>
      <c r="W218" s="345">
        <f t="shared" si="93"/>
        <v>0</v>
      </c>
      <c r="X218" s="345">
        <f t="shared" si="94"/>
        <v>0</v>
      </c>
      <c r="Y218" s="345">
        <f t="shared" si="95"/>
        <v>0</v>
      </c>
      <c r="Z218" s="345">
        <f>IF(Q218&lt;&gt;"",VLOOKUP(Y218,TIME!$R$21:$V$24,MATCH(FC_DATA!Q218,TIME!$R$20:$V$20,0),FALSE),H218)</f>
        <v>0</v>
      </c>
      <c r="AA218" s="345" t="str">
        <f>IFERROR(VLOOKUP(X218&amp;Z218,TIME!$A$12:$D$71,4,FALSE),"")</f>
        <v/>
      </c>
      <c r="AB218" s="592">
        <f t="shared" ca="1" si="96"/>
        <v>0</v>
      </c>
      <c r="AC218" s="593" t="e">
        <f ca="1">IF(ISBLANK(H218)=FALSE,IF(D218="BRAND.com",I218,IF(ISNA(VLOOKUP(_xlfn.CONCAT(X218,Z218),TIME!$M$40:$M$42,1,FALSE)),I218,VLOOKUP(_xlfn.CONCAT(D218,G218,H218),M_BUSAREA_FC!$AF$5:$AJ$10,5,FALSE)*HLOOKUP(_xlfn.CONCAT(F218,H218),ST_OVERVIEW!$G$99:$I$130,MATCH(_xlfn.CONCAT(D218,E218),ST_OVERVIEW!$F$99:$F$130,0),FALSE))),IF(D218="BRAND.com",VLOOKUP(_xlfn.CONCAT(C218,D218,E218,TIME!$F$1,Z218),HIS_SALES!$B$2:$V$4859,19,FALSE)*I218,VLOOKUP(_xlfn.CONCAT(D218,F218,G218),Q_BUSAREA_FC!$AE$5:$AI$12,5,FALSE)*HLOOKUP(_xlfn.CONCAT(FC_DATA!F218,FC_DATA!G218),LT_OVERVIEW!$I$99:$M$130,MATCH(_xlfn.CONCAT(D218,FC_DATA!E218),LT_OVERVIEW!$H$99:$H$130,0),FALSE)*IFERROR(VLOOKUP(_xlfn.CONCAT(C218,D218,E218,TIME!$F$1,Z218),HIS_SALES!$B$2:$V$4859,19,FALSE),0)))</f>
        <v>#N/A</v>
      </c>
      <c r="AD218" s="341">
        <f t="shared" ca="1" si="97"/>
        <v>0</v>
      </c>
      <c r="AE218" s="363" t="str">
        <f t="shared" si="98"/>
        <v/>
      </c>
      <c r="AF218" s="342" t="str">
        <f t="shared" si="99"/>
        <v/>
      </c>
      <c r="AG218" s="411" t="e">
        <f ca="1">VLOOKUP(_xlfn.CONCAT(U218,V218,W218,VLOOKUP(X218&amp;Y218,TIME!$L$27:$O$34,4,FALSE),Y218),HIS_SALES!$A$2:$R$5093,18,FALSE)</f>
        <v>#N/A</v>
      </c>
      <c r="AH218" s="412" t="e">
        <f ca="1">IFERROR(IF(AND(V218=V217,W218=W217),0.5*(AB218+AB217)*AG218,(VLOOKUP(_xlfn.CONCAT(U218,V218,W218,X218,VLOOKUP(Z218,TIME!$S$28:$T$39,2,FALSE)),FC_DATA!$R$2:$AB$5000,MATCH("GS_I_M",FC_DATA!$R$1:$AB$1,0),FALSE)+FC_DATA!AB218)*0.5*FC_DATA!AG218),NA())</f>
        <v>#N/A</v>
      </c>
      <c r="AI218" s="491" t="e">
        <f ca="1">IF(V218="PARTNER.com",AH218,IF(AND(V218=V217,W218=W217),(1-AVERAGE(AD217,AD218))*AH218,(1-AVERAGE(AD218,VLOOKUP(_xlfn.CONCAT(U218,V218,W218,X218,M_BRAND_FC!$F$6),FC_DATA!$R$2:$AD$5000,MATCH("DISCOUNT_%_M",FC_DATA!$R$1:$AD$1,0),FALSE)))*AH218))</f>
        <v>#N/A</v>
      </c>
      <c r="AJ218" s="412" t="str">
        <f t="shared" ca="1" si="100"/>
        <v/>
      </c>
      <c r="AK218" s="413" t="str">
        <f>IFERROR(AE218/(Q_BRAND_FC!$T$24+1),"")</f>
        <v/>
      </c>
      <c r="AL218" s="88" t="str">
        <f t="shared" ca="1" si="101"/>
        <v/>
      </c>
      <c r="AM218" s="414" t="str">
        <f t="shared" ca="1" si="102"/>
        <v/>
      </c>
      <c r="AN218" s="58">
        <f>IFERROR(IF($V218="BRAND.com",HLOOKUP($X218&amp;$Z218,NWC_FC_NOOS!$C$4:$Q$23,MATCH(W218,NWC_FC_NOOS!$B$4:$B$23,0),FALSE),0),0)</f>
        <v>0</v>
      </c>
      <c r="AO218" s="57">
        <f>IFERROR(IF($V218="BRAND.com",HLOOKUP($X218&amp;$Z218,NWC_FC_NOOS!$T$4:$AH$23,MATCH(W218,NWC_FC_NOOS!$S$4:$S$23,0),FALSE),0),0)</f>
        <v>0</v>
      </c>
      <c r="AP218" s="57">
        <f>IFERROR(IF($V218="BRAND.com",HLOOKUP($X218&amp;$Z218,NWC_FC_NOOS!$C$50:$U$69,MATCH(W218,NWC_FC_NOOS!$B$50:$B$69,0),FALSE),0),0)</f>
        <v>0</v>
      </c>
      <c r="AQ218" s="58">
        <f>IFERROR(IF($V218="BRAND.com",HLOOKUP($X218&amp;$Z218,'NWC_FC_NON-NOOS'!$C$4:$Q$23,MATCH(W218,'NWC_FC_NON-NOOS'!$B$4:$B$23,0),FALSE),0),0)</f>
        <v>0</v>
      </c>
      <c r="AR218" s="57">
        <f>IFERROR(IF($V218="BRAND.com",HLOOKUP($X218&amp;$Z218,'NWC_FC_NON-NOOS'!$T$4:$AH$23,MATCH(W218,'NWC_FC_NON-NOOS'!$S$4:$S$23,0),FALSE),0),0)</f>
        <v>0</v>
      </c>
      <c r="AS218" s="57">
        <f>IFERROR(IF($V218="BRAND.com",HLOOKUP($X218&amp;$Z218,'NWC_FC_NON-NOOS'!$C$50:$U$69,MATCH(W218,'NWC_FC_NON-NOOS'!$B$50:$B$69,0),FALSE),0),0)</f>
        <v>0</v>
      </c>
      <c r="AT218" s="57">
        <f t="shared" si="104"/>
        <v>0</v>
      </c>
      <c r="AU218" s="57">
        <f t="shared" si="105"/>
        <v>0</v>
      </c>
      <c r="AV218" s="58">
        <f>IFERROR(IF($V218="BRAND.com",HLOOKUP($X218&amp;$Z218,PLANNING_FC!$BB$27:$BP$46,MATCH($W218,PLANNING_FC!$BA$27:$BA$46,0),FALSE),0),0)</f>
        <v>0</v>
      </c>
      <c r="AW218" s="58">
        <f>IFERROR(IF($V218="BRAND.com",HLOOKUP($X218&amp;$Z218,PLANNING_FC!$BB$4:$BP$23,MATCH($W218,PLANNING_FC!$BA$4:$BA$23,0),FALSE),0),0)</f>
        <v>0</v>
      </c>
      <c r="AX218" s="58">
        <f>IFERROR(IF($V218="BRAND.com",HLOOKUP($X218&amp;$Z218,PLANNING_FC!$T$27:$AH$46,MATCH($W218,PLANNING_FC!$B$27:$B$46,0),FALSE),0),0)</f>
        <v>0</v>
      </c>
      <c r="AY218" s="58">
        <f>IFERROR(IF($V218="BRAND.com",HLOOKUP($X218&amp;$Z218,PLANNING_FC!$T$4:$AH$23,MATCH($W218,PLANNING_FC!$B$4:$B$23,0),FALSE),0),0)</f>
        <v>0</v>
      </c>
      <c r="AZ218" s="58">
        <f>IFERROR(IF($V218="BRAND.com",HLOOKUP($X218&amp;$Z218,PLANNING_FC!$DA$27:$DO$46,MATCH($W218,PLANNING_FC!$CZ$27:$CZ$46,0),FALSE),0),0)</f>
        <v>0</v>
      </c>
      <c r="BA218" s="58">
        <f>IFERROR(IF($V218="BRAND.com",HLOOKUP($X218&amp;$Z218,PLANNING_FC!$DA$4:$DO$23,MATCH($W218,PLANNING_FC!$CZ$4:$CZ$23,0),FALSE),0),0)</f>
        <v>0</v>
      </c>
      <c r="BB218" s="883" t="str">
        <f>IF(V218="BRAND.com",IFERROR(HLOOKUP(X218&amp;Z218,PLANNING_FC!$AK$4:$AY$23,MATCH(W218,PLANNING_FC!$AJ$4:$AJ$23,0),FALSE)*1000,""),"")</f>
        <v/>
      </c>
      <c r="BC218" s="883" t="str">
        <f>IF(V218="BRAND.com",IFERROR(HLOOKUP(X218&amp;Z218,PLANNING_FC!$AK$27:$AY$46,MATCH(W218,PLANNING_FC!$AJ$27:$AJ$46,0),FALSE)*1000,""),"")</f>
        <v/>
      </c>
    </row>
    <row r="219" spans="1:55" x14ac:dyDescent="0.25">
      <c r="A219" s="509"/>
      <c r="B219" s="509"/>
      <c r="C219" s="509"/>
      <c r="D219" s="509"/>
      <c r="E219" s="509"/>
      <c r="F219" s="509"/>
      <c r="G219" s="509"/>
      <c r="H219" s="509"/>
      <c r="I219" s="512"/>
      <c r="J219" s="513"/>
      <c r="K219" s="879"/>
      <c r="L219" s="515"/>
      <c r="M219" s="516"/>
      <c r="N219" s="56">
        <f t="shared" si="86"/>
        <v>0</v>
      </c>
      <c r="O219" s="57">
        <f t="shared" si="87"/>
        <v>0</v>
      </c>
      <c r="P219" s="57">
        <f ca="1">IFERROR(IF(ISBLANK(H219),SUMIFS($AC:$AC,$V:$V,V219,$W:$W,W219,$X:$X,X219,$Y:$Y,Y219)*J219/(1-J219)*VLOOKUP(_xlfn.CONCAT(C219,D219,E219,TIME!$M$12,Z219),HIS_SALES!$B$2:$W$4859,20,FALSE),AC219*J219/(1-J219)),0)</f>
        <v>0</v>
      </c>
      <c r="Q219" s="541" t="str">
        <f t="shared" si="88"/>
        <v/>
      </c>
      <c r="R219" s="346" t="str">
        <f t="shared" si="89"/>
        <v>00000</v>
      </c>
      <c r="S219" s="344">
        <f t="shared" si="90"/>
        <v>0</v>
      </c>
      <c r="T219" s="345" t="str">
        <f t="shared" si="103"/>
        <v>000</v>
      </c>
      <c r="U219" s="345">
        <f t="shared" si="91"/>
        <v>0</v>
      </c>
      <c r="V219" s="345">
        <f t="shared" si="92"/>
        <v>0</v>
      </c>
      <c r="W219" s="345">
        <f t="shared" si="93"/>
        <v>0</v>
      </c>
      <c r="X219" s="345">
        <f t="shared" si="94"/>
        <v>0</v>
      </c>
      <c r="Y219" s="345">
        <f t="shared" si="95"/>
        <v>0</v>
      </c>
      <c r="Z219" s="345">
        <f>IF(Q219&lt;&gt;"",VLOOKUP(Y219,TIME!$R$21:$V$24,MATCH(FC_DATA!Q219,TIME!$R$20:$V$20,0),FALSE),H219)</f>
        <v>0</v>
      </c>
      <c r="AA219" s="345" t="str">
        <f>IFERROR(VLOOKUP(X219&amp;Z219,TIME!$A$12:$D$71,4,FALSE),"")</f>
        <v/>
      </c>
      <c r="AB219" s="592">
        <f t="shared" ca="1" si="96"/>
        <v>0</v>
      </c>
      <c r="AC219" s="593" t="e">
        <f ca="1">IF(ISBLANK(H219)=FALSE,IF(D219="BRAND.com",I219,IF(ISNA(VLOOKUP(_xlfn.CONCAT(X219,Z219),TIME!$M$40:$M$42,1,FALSE)),I219,VLOOKUP(_xlfn.CONCAT(D219,G219,H219),M_BUSAREA_FC!$AF$5:$AJ$10,5,FALSE)*HLOOKUP(_xlfn.CONCAT(F219,H219),ST_OVERVIEW!$G$99:$I$130,MATCH(_xlfn.CONCAT(D219,E219),ST_OVERVIEW!$F$99:$F$130,0),FALSE))),IF(D219="BRAND.com",VLOOKUP(_xlfn.CONCAT(C219,D219,E219,TIME!$F$1,Z219),HIS_SALES!$B$2:$V$4859,19,FALSE)*I219,VLOOKUP(_xlfn.CONCAT(D219,F219,G219),Q_BUSAREA_FC!$AE$5:$AI$12,5,FALSE)*HLOOKUP(_xlfn.CONCAT(FC_DATA!F219,FC_DATA!G219),LT_OVERVIEW!$I$99:$M$130,MATCH(_xlfn.CONCAT(D219,FC_DATA!E219),LT_OVERVIEW!$H$99:$H$130,0),FALSE)*IFERROR(VLOOKUP(_xlfn.CONCAT(C219,D219,E219,TIME!$F$1,Z219),HIS_SALES!$B$2:$V$4859,19,FALSE),0)))</f>
        <v>#N/A</v>
      </c>
      <c r="AD219" s="341">
        <f t="shared" ca="1" si="97"/>
        <v>0</v>
      </c>
      <c r="AE219" s="363" t="str">
        <f t="shared" si="98"/>
        <v/>
      </c>
      <c r="AF219" s="342" t="str">
        <f t="shared" si="99"/>
        <v/>
      </c>
      <c r="AG219" s="411" t="e">
        <f ca="1">VLOOKUP(_xlfn.CONCAT(U219,V219,W219,VLOOKUP(X219&amp;Y219,TIME!$L$27:$O$34,4,FALSE),Y219),HIS_SALES!$A$2:$R$5093,18,FALSE)</f>
        <v>#N/A</v>
      </c>
      <c r="AH219" s="412" t="e">
        <f ca="1">IFERROR(IF(AND(V219=V218,W219=W218),0.5*(AB219+AB218)*AG219,(VLOOKUP(_xlfn.CONCAT(U219,V219,W219,X219,VLOOKUP(Z219,TIME!$S$28:$T$39,2,FALSE)),FC_DATA!$R$2:$AB$5000,MATCH("GS_I_M",FC_DATA!$R$1:$AB$1,0),FALSE)+FC_DATA!AB219)*0.5*FC_DATA!AG219),NA())</f>
        <v>#N/A</v>
      </c>
      <c r="AI219" s="491" t="e">
        <f ca="1">IF(V219="PARTNER.com",AH219,IF(AND(V219=V218,W219=W218),(1-AVERAGE(AD218,AD219))*AH219,(1-AVERAGE(AD219,VLOOKUP(_xlfn.CONCAT(U219,V219,W219,X219,M_BRAND_FC!$F$6),FC_DATA!$R$2:$AD$5000,MATCH("DISCOUNT_%_M",FC_DATA!$R$1:$AD$1,0),FALSE)))*AH219))</f>
        <v>#N/A</v>
      </c>
      <c r="AJ219" s="412" t="str">
        <f t="shared" ca="1" si="100"/>
        <v/>
      </c>
      <c r="AK219" s="413" t="str">
        <f>IFERROR(AE219/(Q_BRAND_FC!$T$24+1),"")</f>
        <v/>
      </c>
      <c r="AL219" s="88" t="str">
        <f t="shared" ca="1" si="101"/>
        <v/>
      </c>
      <c r="AM219" s="414" t="str">
        <f t="shared" ca="1" si="102"/>
        <v/>
      </c>
      <c r="AN219" s="58">
        <f>IFERROR(IF($V219="BRAND.com",HLOOKUP($X219&amp;$Z219,NWC_FC_NOOS!$C$4:$Q$23,MATCH(W219,NWC_FC_NOOS!$B$4:$B$23,0),FALSE),0),0)</f>
        <v>0</v>
      </c>
      <c r="AO219" s="57">
        <f>IFERROR(IF($V219="BRAND.com",HLOOKUP($X219&amp;$Z219,NWC_FC_NOOS!$T$4:$AH$23,MATCH(W219,NWC_FC_NOOS!$S$4:$S$23,0),FALSE),0),0)</f>
        <v>0</v>
      </c>
      <c r="AP219" s="57">
        <f>IFERROR(IF($V219="BRAND.com",HLOOKUP($X219&amp;$Z219,NWC_FC_NOOS!$C$50:$U$69,MATCH(W219,NWC_FC_NOOS!$B$50:$B$69,0),FALSE),0),0)</f>
        <v>0</v>
      </c>
      <c r="AQ219" s="58">
        <f>IFERROR(IF($V219="BRAND.com",HLOOKUP($X219&amp;$Z219,'NWC_FC_NON-NOOS'!$C$4:$Q$23,MATCH(W219,'NWC_FC_NON-NOOS'!$B$4:$B$23,0),FALSE),0),0)</f>
        <v>0</v>
      </c>
      <c r="AR219" s="57">
        <f>IFERROR(IF($V219="BRAND.com",HLOOKUP($X219&amp;$Z219,'NWC_FC_NON-NOOS'!$T$4:$AH$23,MATCH(W219,'NWC_FC_NON-NOOS'!$S$4:$S$23,0),FALSE),0),0)</f>
        <v>0</v>
      </c>
      <c r="AS219" s="57">
        <f>IFERROR(IF($V219="BRAND.com",HLOOKUP($X219&amp;$Z219,'NWC_FC_NON-NOOS'!$C$50:$U$69,MATCH(W219,'NWC_FC_NON-NOOS'!$B$50:$B$69,0),FALSE),0),0)</f>
        <v>0</v>
      </c>
      <c r="AT219" s="57">
        <f t="shared" si="104"/>
        <v>0</v>
      </c>
      <c r="AU219" s="57">
        <f t="shared" si="105"/>
        <v>0</v>
      </c>
      <c r="AV219" s="58">
        <f>IFERROR(IF($V219="BRAND.com",HLOOKUP($X219&amp;$Z219,PLANNING_FC!$BB$27:$BP$46,MATCH($W219,PLANNING_FC!$BA$27:$BA$46,0),FALSE),0),0)</f>
        <v>0</v>
      </c>
      <c r="AW219" s="58">
        <f>IFERROR(IF($V219="BRAND.com",HLOOKUP($X219&amp;$Z219,PLANNING_FC!$BB$4:$BP$23,MATCH($W219,PLANNING_FC!$BA$4:$BA$23,0),FALSE),0),0)</f>
        <v>0</v>
      </c>
      <c r="AX219" s="58">
        <f>IFERROR(IF($V219="BRAND.com",HLOOKUP($X219&amp;$Z219,PLANNING_FC!$T$27:$AH$46,MATCH($W219,PLANNING_FC!$B$27:$B$46,0),FALSE),0),0)</f>
        <v>0</v>
      </c>
      <c r="AY219" s="58">
        <f>IFERROR(IF($V219="BRAND.com",HLOOKUP($X219&amp;$Z219,PLANNING_FC!$T$4:$AH$23,MATCH($W219,PLANNING_FC!$B$4:$B$23,0),FALSE),0),0)</f>
        <v>0</v>
      </c>
      <c r="AZ219" s="58">
        <f>IFERROR(IF($V219="BRAND.com",HLOOKUP($X219&amp;$Z219,PLANNING_FC!$DA$27:$DO$46,MATCH($W219,PLANNING_FC!$CZ$27:$CZ$46,0),FALSE),0),0)</f>
        <v>0</v>
      </c>
      <c r="BA219" s="58">
        <f>IFERROR(IF($V219="BRAND.com",HLOOKUP($X219&amp;$Z219,PLANNING_FC!$DA$4:$DO$23,MATCH($W219,PLANNING_FC!$CZ$4:$CZ$23,0),FALSE),0),0)</f>
        <v>0</v>
      </c>
      <c r="BB219" s="883" t="str">
        <f>IF(V219="BRAND.com",IFERROR(HLOOKUP(X219&amp;Z219,PLANNING_FC!$AK$4:$AY$23,MATCH(W219,PLANNING_FC!$AJ$4:$AJ$23,0),FALSE)*1000,""),"")</f>
        <v/>
      </c>
      <c r="BC219" s="883" t="str">
        <f>IF(V219="BRAND.com",IFERROR(HLOOKUP(X219&amp;Z219,PLANNING_FC!$AK$27:$AY$46,MATCH(W219,PLANNING_FC!$AJ$27:$AJ$46,0),FALSE)*1000,""),"")</f>
        <v/>
      </c>
    </row>
    <row r="220" spans="1:55" x14ac:dyDescent="0.25">
      <c r="A220" s="509"/>
      <c r="B220" s="509"/>
      <c r="C220" s="509"/>
      <c r="D220" s="509"/>
      <c r="E220" s="509"/>
      <c r="F220" s="509"/>
      <c r="G220" s="509"/>
      <c r="H220" s="509"/>
      <c r="I220" s="512"/>
      <c r="J220" s="513"/>
      <c r="K220" s="879"/>
      <c r="L220" s="515"/>
      <c r="M220" s="516"/>
      <c r="N220" s="56">
        <f t="shared" si="86"/>
        <v>0</v>
      </c>
      <c r="O220" s="57">
        <f t="shared" si="87"/>
        <v>0</v>
      </c>
      <c r="P220" s="57">
        <f ca="1">IFERROR(IF(ISBLANK(H220),SUMIFS($AC:$AC,$V:$V,V220,$W:$W,W220,$X:$X,X220,$Y:$Y,Y220)*J220/(1-J220)*VLOOKUP(_xlfn.CONCAT(C220,D220,E220,TIME!$M$12,Z220),HIS_SALES!$B$2:$W$4859,20,FALSE),AC220*J220/(1-J220)),0)</f>
        <v>0</v>
      </c>
      <c r="Q220" s="541" t="str">
        <f t="shared" si="88"/>
        <v/>
      </c>
      <c r="R220" s="346" t="str">
        <f t="shared" si="89"/>
        <v>00000</v>
      </c>
      <c r="S220" s="344">
        <f t="shared" si="90"/>
        <v>0</v>
      </c>
      <c r="T220" s="345" t="str">
        <f t="shared" si="103"/>
        <v>000</v>
      </c>
      <c r="U220" s="345">
        <f t="shared" si="91"/>
        <v>0</v>
      </c>
      <c r="V220" s="345">
        <f t="shared" si="92"/>
        <v>0</v>
      </c>
      <c r="W220" s="345">
        <f t="shared" si="93"/>
        <v>0</v>
      </c>
      <c r="X220" s="345">
        <f t="shared" si="94"/>
        <v>0</v>
      </c>
      <c r="Y220" s="345">
        <f t="shared" si="95"/>
        <v>0</v>
      </c>
      <c r="Z220" s="345">
        <f>IF(Q220&lt;&gt;"",VLOOKUP(Y220,TIME!$R$21:$V$24,MATCH(FC_DATA!Q220,TIME!$R$20:$V$20,0),FALSE),H220)</f>
        <v>0</v>
      </c>
      <c r="AA220" s="345" t="str">
        <f>IFERROR(VLOOKUP(X220&amp;Z220,TIME!$A$12:$D$71,4,FALSE),"")</f>
        <v/>
      </c>
      <c r="AB220" s="592">
        <f t="shared" ca="1" si="96"/>
        <v>0</v>
      </c>
      <c r="AC220" s="593" t="e">
        <f ca="1">IF(ISBLANK(H220)=FALSE,IF(D220="BRAND.com",I220,IF(ISNA(VLOOKUP(_xlfn.CONCAT(X220,Z220),TIME!$M$40:$M$42,1,FALSE)),I220,VLOOKUP(_xlfn.CONCAT(D220,G220,H220),M_BUSAREA_FC!$AF$5:$AJ$10,5,FALSE)*HLOOKUP(_xlfn.CONCAT(F220,H220),ST_OVERVIEW!$G$99:$I$130,MATCH(_xlfn.CONCAT(D220,E220),ST_OVERVIEW!$F$99:$F$130,0),FALSE))),IF(D220="BRAND.com",VLOOKUP(_xlfn.CONCAT(C220,D220,E220,TIME!$F$1,Z220),HIS_SALES!$B$2:$V$4859,19,FALSE)*I220,VLOOKUP(_xlfn.CONCAT(D220,F220,G220),Q_BUSAREA_FC!$AE$5:$AI$12,5,FALSE)*HLOOKUP(_xlfn.CONCAT(FC_DATA!F220,FC_DATA!G220),LT_OVERVIEW!$I$99:$M$130,MATCH(_xlfn.CONCAT(D220,FC_DATA!E220),LT_OVERVIEW!$H$99:$H$130,0),FALSE)*IFERROR(VLOOKUP(_xlfn.CONCAT(C220,D220,E220,TIME!$F$1,Z220),HIS_SALES!$B$2:$V$4859,19,FALSE),0)))</f>
        <v>#N/A</v>
      </c>
      <c r="AD220" s="341">
        <f t="shared" ca="1" si="97"/>
        <v>0</v>
      </c>
      <c r="AE220" s="363" t="str">
        <f t="shared" si="98"/>
        <v/>
      </c>
      <c r="AF220" s="342" t="str">
        <f t="shared" si="99"/>
        <v/>
      </c>
      <c r="AG220" s="411" t="e">
        <f ca="1">VLOOKUP(_xlfn.CONCAT(U220,V220,W220,VLOOKUP(X220&amp;Y220,TIME!$L$27:$O$34,4,FALSE),Y220),HIS_SALES!$A$2:$R$5093,18,FALSE)</f>
        <v>#N/A</v>
      </c>
      <c r="AH220" s="412" t="e">
        <f ca="1">IFERROR(IF(AND(V220=V219,W220=W219),0.5*(AB220+AB219)*AG220,(VLOOKUP(_xlfn.CONCAT(U220,V220,W220,X220,VLOOKUP(Z220,TIME!$S$28:$T$39,2,FALSE)),FC_DATA!$R$2:$AB$5000,MATCH("GS_I_M",FC_DATA!$R$1:$AB$1,0),FALSE)+FC_DATA!AB220)*0.5*FC_DATA!AG220),NA())</f>
        <v>#N/A</v>
      </c>
      <c r="AI220" s="491" t="e">
        <f ca="1">IF(V220="PARTNER.com",AH220,IF(AND(V220=V219,W220=W219),(1-AVERAGE(AD219,AD220))*AH220,(1-AVERAGE(AD220,VLOOKUP(_xlfn.CONCAT(U220,V220,W220,X220,M_BRAND_FC!$F$6),FC_DATA!$R$2:$AD$5000,MATCH("DISCOUNT_%_M",FC_DATA!$R$1:$AD$1,0),FALSE)))*AH220))</f>
        <v>#N/A</v>
      </c>
      <c r="AJ220" s="412" t="str">
        <f t="shared" ca="1" si="100"/>
        <v/>
      </c>
      <c r="AK220" s="413" t="str">
        <f>IFERROR(AE220/(Q_BRAND_FC!$T$24+1),"")</f>
        <v/>
      </c>
      <c r="AL220" s="88" t="str">
        <f t="shared" ca="1" si="101"/>
        <v/>
      </c>
      <c r="AM220" s="414" t="str">
        <f t="shared" ca="1" si="102"/>
        <v/>
      </c>
      <c r="AN220" s="58">
        <f>IFERROR(IF($V220="BRAND.com",HLOOKUP($X220&amp;$Z220,NWC_FC_NOOS!$C$4:$Q$23,MATCH(W220,NWC_FC_NOOS!$B$4:$B$23,0),FALSE),0),0)</f>
        <v>0</v>
      </c>
      <c r="AO220" s="57">
        <f>IFERROR(IF($V220="BRAND.com",HLOOKUP($X220&amp;$Z220,NWC_FC_NOOS!$T$4:$AH$23,MATCH(W220,NWC_FC_NOOS!$S$4:$S$23,0),FALSE),0),0)</f>
        <v>0</v>
      </c>
      <c r="AP220" s="57">
        <f>IFERROR(IF($V220="BRAND.com",HLOOKUP($X220&amp;$Z220,NWC_FC_NOOS!$C$50:$U$69,MATCH(W220,NWC_FC_NOOS!$B$50:$B$69,0),FALSE),0),0)</f>
        <v>0</v>
      </c>
      <c r="AQ220" s="58">
        <f>IFERROR(IF($V220="BRAND.com",HLOOKUP($X220&amp;$Z220,'NWC_FC_NON-NOOS'!$C$4:$Q$23,MATCH(W220,'NWC_FC_NON-NOOS'!$B$4:$B$23,0),FALSE),0),0)</f>
        <v>0</v>
      </c>
      <c r="AR220" s="57">
        <f>IFERROR(IF($V220="BRAND.com",HLOOKUP($X220&amp;$Z220,'NWC_FC_NON-NOOS'!$T$4:$AH$23,MATCH(W220,'NWC_FC_NON-NOOS'!$S$4:$S$23,0),FALSE),0),0)</f>
        <v>0</v>
      </c>
      <c r="AS220" s="57">
        <f>IFERROR(IF($V220="BRAND.com",HLOOKUP($X220&amp;$Z220,'NWC_FC_NON-NOOS'!$C$50:$U$69,MATCH(W220,'NWC_FC_NON-NOOS'!$B$50:$B$69,0),FALSE),0),0)</f>
        <v>0</v>
      </c>
      <c r="AT220" s="57">
        <f t="shared" si="104"/>
        <v>0</v>
      </c>
      <c r="AU220" s="57">
        <f t="shared" si="105"/>
        <v>0</v>
      </c>
      <c r="AV220" s="58">
        <f>IFERROR(IF($V220="BRAND.com",HLOOKUP($X220&amp;$Z220,PLANNING_FC!$BB$27:$BP$46,MATCH($W220,PLANNING_FC!$BA$27:$BA$46,0),FALSE),0),0)</f>
        <v>0</v>
      </c>
      <c r="AW220" s="58">
        <f>IFERROR(IF($V220="BRAND.com",HLOOKUP($X220&amp;$Z220,PLANNING_FC!$BB$4:$BP$23,MATCH($W220,PLANNING_FC!$BA$4:$BA$23,0),FALSE),0),0)</f>
        <v>0</v>
      </c>
      <c r="AX220" s="58">
        <f>IFERROR(IF($V220="BRAND.com",HLOOKUP($X220&amp;$Z220,PLANNING_FC!$T$27:$AH$46,MATCH($W220,PLANNING_FC!$B$27:$B$46,0),FALSE),0),0)</f>
        <v>0</v>
      </c>
      <c r="AY220" s="58">
        <f>IFERROR(IF($V220="BRAND.com",HLOOKUP($X220&amp;$Z220,PLANNING_FC!$T$4:$AH$23,MATCH($W220,PLANNING_FC!$B$4:$B$23,0),FALSE),0),0)</f>
        <v>0</v>
      </c>
      <c r="AZ220" s="58">
        <f>IFERROR(IF($V220="BRAND.com",HLOOKUP($X220&amp;$Z220,PLANNING_FC!$DA$27:$DO$46,MATCH($W220,PLANNING_FC!$CZ$27:$CZ$46,0),FALSE),0),0)</f>
        <v>0</v>
      </c>
      <c r="BA220" s="58">
        <f>IFERROR(IF($V220="BRAND.com",HLOOKUP($X220&amp;$Z220,PLANNING_FC!$DA$4:$DO$23,MATCH($W220,PLANNING_FC!$CZ$4:$CZ$23,0),FALSE),0),0)</f>
        <v>0</v>
      </c>
      <c r="BB220" s="883" t="str">
        <f>IF(V220="BRAND.com",IFERROR(HLOOKUP(X220&amp;Z220,PLANNING_FC!$AK$4:$AY$23,MATCH(W220,PLANNING_FC!$AJ$4:$AJ$23,0),FALSE)*1000,""),"")</f>
        <v/>
      </c>
      <c r="BC220" s="883" t="str">
        <f>IF(V220="BRAND.com",IFERROR(HLOOKUP(X220&amp;Z220,PLANNING_FC!$AK$27:$AY$46,MATCH(W220,PLANNING_FC!$AJ$27:$AJ$46,0),FALSE)*1000,""),"")</f>
        <v/>
      </c>
    </row>
    <row r="221" spans="1:55" x14ac:dyDescent="0.25">
      <c r="A221" s="509"/>
      <c r="B221" s="509"/>
      <c r="C221" s="509"/>
      <c r="D221" s="509"/>
      <c r="E221" s="509"/>
      <c r="F221" s="509"/>
      <c r="G221" s="509"/>
      <c r="H221" s="509"/>
      <c r="I221" s="512"/>
      <c r="J221" s="513"/>
      <c r="K221" s="879"/>
      <c r="L221" s="515"/>
      <c r="M221" s="516"/>
      <c r="N221" s="56">
        <f t="shared" si="86"/>
        <v>0</v>
      </c>
      <c r="O221" s="57">
        <f t="shared" si="87"/>
        <v>0</v>
      </c>
      <c r="P221" s="57">
        <f ca="1">IFERROR(IF(ISBLANK(H221),SUMIFS($AC:$AC,$V:$V,V221,$W:$W,W221,$X:$X,X221,$Y:$Y,Y221)*J221/(1-J221)*VLOOKUP(_xlfn.CONCAT(C221,D221,E221,TIME!$M$12,Z221),HIS_SALES!$B$2:$W$4859,20,FALSE),AC221*J221/(1-J221)),0)</f>
        <v>0</v>
      </c>
      <c r="Q221" s="541" t="str">
        <f t="shared" si="88"/>
        <v/>
      </c>
      <c r="R221" s="346" t="str">
        <f t="shared" si="89"/>
        <v>00000</v>
      </c>
      <c r="S221" s="344">
        <f t="shared" si="90"/>
        <v>0</v>
      </c>
      <c r="T221" s="345" t="str">
        <f t="shared" si="103"/>
        <v>000</v>
      </c>
      <c r="U221" s="345">
        <f t="shared" si="91"/>
        <v>0</v>
      </c>
      <c r="V221" s="345">
        <f t="shared" si="92"/>
        <v>0</v>
      </c>
      <c r="W221" s="345">
        <f t="shared" si="93"/>
        <v>0</v>
      </c>
      <c r="X221" s="345">
        <f t="shared" si="94"/>
        <v>0</v>
      </c>
      <c r="Y221" s="345">
        <f t="shared" si="95"/>
        <v>0</v>
      </c>
      <c r="Z221" s="345">
        <f>IF(Q221&lt;&gt;"",VLOOKUP(Y221,TIME!$R$21:$V$24,MATCH(FC_DATA!Q221,TIME!$R$20:$V$20,0),FALSE),H221)</f>
        <v>0</v>
      </c>
      <c r="AA221" s="345" t="str">
        <f>IFERROR(VLOOKUP(X221&amp;Z221,TIME!$A$12:$D$71,4,FALSE),"")</f>
        <v/>
      </c>
      <c r="AB221" s="592">
        <f t="shared" ca="1" si="96"/>
        <v>0</v>
      </c>
      <c r="AC221" s="593" t="e">
        <f ca="1">IF(ISBLANK(H221)=FALSE,IF(D221="BRAND.com",I221,IF(ISNA(VLOOKUP(_xlfn.CONCAT(X221,Z221),TIME!$M$40:$M$42,1,FALSE)),I221,VLOOKUP(_xlfn.CONCAT(D221,G221,H221),M_BUSAREA_FC!$AF$5:$AJ$10,5,FALSE)*HLOOKUP(_xlfn.CONCAT(F221,H221),ST_OVERVIEW!$G$99:$I$130,MATCH(_xlfn.CONCAT(D221,E221),ST_OVERVIEW!$F$99:$F$130,0),FALSE))),IF(D221="BRAND.com",VLOOKUP(_xlfn.CONCAT(C221,D221,E221,TIME!$F$1,Z221),HIS_SALES!$B$2:$V$4859,19,FALSE)*I221,VLOOKUP(_xlfn.CONCAT(D221,F221,G221),Q_BUSAREA_FC!$AE$5:$AI$12,5,FALSE)*HLOOKUP(_xlfn.CONCAT(FC_DATA!F221,FC_DATA!G221),LT_OVERVIEW!$I$99:$M$130,MATCH(_xlfn.CONCAT(D221,FC_DATA!E221),LT_OVERVIEW!$H$99:$H$130,0),FALSE)*IFERROR(VLOOKUP(_xlfn.CONCAT(C221,D221,E221,TIME!$F$1,Z221),HIS_SALES!$B$2:$V$4859,19,FALSE),0)))</f>
        <v>#N/A</v>
      </c>
      <c r="AD221" s="341">
        <f t="shared" ca="1" si="97"/>
        <v>0</v>
      </c>
      <c r="AE221" s="363" t="str">
        <f t="shared" si="98"/>
        <v/>
      </c>
      <c r="AF221" s="342" t="str">
        <f t="shared" si="99"/>
        <v/>
      </c>
      <c r="AG221" s="411" t="e">
        <f ca="1">VLOOKUP(_xlfn.CONCAT(U221,V221,W221,VLOOKUP(X221&amp;Y221,TIME!$L$27:$O$34,4,FALSE),Y221),HIS_SALES!$A$2:$R$5093,18,FALSE)</f>
        <v>#N/A</v>
      </c>
      <c r="AH221" s="412" t="e">
        <f ca="1">IFERROR(IF(AND(V221=V220,W221=W220),0.5*(AB221+AB220)*AG221,(VLOOKUP(_xlfn.CONCAT(U221,V221,W221,X221,VLOOKUP(Z221,TIME!$S$28:$T$39,2,FALSE)),FC_DATA!$R$2:$AB$5000,MATCH("GS_I_M",FC_DATA!$R$1:$AB$1,0),FALSE)+FC_DATA!AB221)*0.5*FC_DATA!AG221),NA())</f>
        <v>#N/A</v>
      </c>
      <c r="AI221" s="491" t="e">
        <f ca="1">IF(V221="PARTNER.com",AH221,IF(AND(V221=V220,W221=W220),(1-AVERAGE(AD220,AD221))*AH221,(1-AVERAGE(AD221,VLOOKUP(_xlfn.CONCAT(U221,V221,W221,X221,M_BRAND_FC!$F$6),FC_DATA!$R$2:$AD$5000,MATCH("DISCOUNT_%_M",FC_DATA!$R$1:$AD$1,0),FALSE)))*AH221))</f>
        <v>#N/A</v>
      </c>
      <c r="AJ221" s="412" t="str">
        <f t="shared" ca="1" si="100"/>
        <v/>
      </c>
      <c r="AK221" s="413" t="str">
        <f>IFERROR(AE221/(Q_BRAND_FC!$T$24+1),"")</f>
        <v/>
      </c>
      <c r="AL221" s="88" t="str">
        <f t="shared" ca="1" si="101"/>
        <v/>
      </c>
      <c r="AM221" s="414" t="str">
        <f t="shared" ca="1" si="102"/>
        <v/>
      </c>
      <c r="AN221" s="58">
        <f>IFERROR(IF($V221="BRAND.com",HLOOKUP($X221&amp;$Z221,NWC_FC_NOOS!$C$4:$Q$23,MATCH(W221,NWC_FC_NOOS!$B$4:$B$23,0),FALSE),0),0)</f>
        <v>0</v>
      </c>
      <c r="AO221" s="57">
        <f>IFERROR(IF($V221="BRAND.com",HLOOKUP($X221&amp;$Z221,NWC_FC_NOOS!$T$4:$AH$23,MATCH(W221,NWC_FC_NOOS!$S$4:$S$23,0),FALSE),0),0)</f>
        <v>0</v>
      </c>
      <c r="AP221" s="57">
        <f>IFERROR(IF($V221="BRAND.com",HLOOKUP($X221&amp;$Z221,NWC_FC_NOOS!$C$50:$U$69,MATCH(W221,NWC_FC_NOOS!$B$50:$B$69,0),FALSE),0),0)</f>
        <v>0</v>
      </c>
      <c r="AQ221" s="58">
        <f>IFERROR(IF($V221="BRAND.com",HLOOKUP($X221&amp;$Z221,'NWC_FC_NON-NOOS'!$C$4:$Q$23,MATCH(W221,'NWC_FC_NON-NOOS'!$B$4:$B$23,0),FALSE),0),0)</f>
        <v>0</v>
      </c>
      <c r="AR221" s="57">
        <f>IFERROR(IF($V221="BRAND.com",HLOOKUP($X221&amp;$Z221,'NWC_FC_NON-NOOS'!$T$4:$AH$23,MATCH(W221,'NWC_FC_NON-NOOS'!$S$4:$S$23,0),FALSE),0),0)</f>
        <v>0</v>
      </c>
      <c r="AS221" s="57">
        <f>IFERROR(IF($V221="BRAND.com",HLOOKUP($X221&amp;$Z221,'NWC_FC_NON-NOOS'!$C$50:$U$69,MATCH(W221,'NWC_FC_NON-NOOS'!$B$50:$B$69,0),FALSE),0),0)</f>
        <v>0</v>
      </c>
      <c r="AT221" s="57">
        <f t="shared" si="104"/>
        <v>0</v>
      </c>
      <c r="AU221" s="57">
        <f t="shared" si="105"/>
        <v>0</v>
      </c>
      <c r="AV221" s="58">
        <f>IFERROR(IF($V221="BRAND.com",HLOOKUP($X221&amp;$Z221,PLANNING_FC!$BB$27:$BP$46,MATCH($W221,PLANNING_FC!$BA$27:$BA$46,0),FALSE),0),0)</f>
        <v>0</v>
      </c>
      <c r="AW221" s="58">
        <f>IFERROR(IF($V221="BRAND.com",HLOOKUP($X221&amp;$Z221,PLANNING_FC!$BB$4:$BP$23,MATCH($W221,PLANNING_FC!$BA$4:$BA$23,0),FALSE),0),0)</f>
        <v>0</v>
      </c>
      <c r="AX221" s="58">
        <f>IFERROR(IF($V221="BRAND.com",HLOOKUP($X221&amp;$Z221,PLANNING_FC!$T$27:$AH$46,MATCH($W221,PLANNING_FC!$B$27:$B$46,0),FALSE),0),0)</f>
        <v>0</v>
      </c>
      <c r="AY221" s="58">
        <f>IFERROR(IF($V221="BRAND.com",HLOOKUP($X221&amp;$Z221,PLANNING_FC!$T$4:$AH$23,MATCH($W221,PLANNING_FC!$B$4:$B$23,0),FALSE),0),0)</f>
        <v>0</v>
      </c>
      <c r="AZ221" s="58">
        <f>IFERROR(IF($V221="BRAND.com",HLOOKUP($X221&amp;$Z221,PLANNING_FC!$DA$27:$DO$46,MATCH($W221,PLANNING_FC!$CZ$27:$CZ$46,0),FALSE),0),0)</f>
        <v>0</v>
      </c>
      <c r="BA221" s="58">
        <f>IFERROR(IF($V221="BRAND.com",HLOOKUP($X221&amp;$Z221,PLANNING_FC!$DA$4:$DO$23,MATCH($W221,PLANNING_FC!$CZ$4:$CZ$23,0),FALSE),0),0)</f>
        <v>0</v>
      </c>
      <c r="BB221" s="883" t="str">
        <f>IF(V221="BRAND.com",IFERROR(HLOOKUP(X221&amp;Z221,PLANNING_FC!$AK$4:$AY$23,MATCH(W221,PLANNING_FC!$AJ$4:$AJ$23,0),FALSE)*1000,""),"")</f>
        <v/>
      </c>
      <c r="BC221" s="883" t="str">
        <f>IF(V221="BRAND.com",IFERROR(HLOOKUP(X221&amp;Z221,PLANNING_FC!$AK$27:$AY$46,MATCH(W221,PLANNING_FC!$AJ$27:$AJ$46,0),FALSE)*1000,""),"")</f>
        <v/>
      </c>
    </row>
    <row r="222" spans="1:55" x14ac:dyDescent="0.25">
      <c r="A222" s="509"/>
      <c r="B222" s="509"/>
      <c r="C222" s="509"/>
      <c r="D222" s="509"/>
      <c r="E222" s="509"/>
      <c r="F222" s="509"/>
      <c r="G222" s="509"/>
      <c r="H222" s="509"/>
      <c r="I222" s="512"/>
      <c r="J222" s="513"/>
      <c r="K222" s="879"/>
      <c r="L222" s="515"/>
      <c r="M222" s="516"/>
      <c r="N222" s="56">
        <f t="shared" si="86"/>
        <v>0</v>
      </c>
      <c r="O222" s="57">
        <f t="shared" si="87"/>
        <v>0</v>
      </c>
      <c r="P222" s="57">
        <f ca="1">IFERROR(IF(ISBLANK(H222),SUMIFS($AC:$AC,$V:$V,V222,$W:$W,W222,$X:$X,X222,$Y:$Y,Y222)*J222/(1-J222)*VLOOKUP(_xlfn.CONCAT(C222,D222,E222,TIME!$M$12,Z222),HIS_SALES!$B$2:$W$4859,20,FALSE),AC222*J222/(1-J222)),0)</f>
        <v>0</v>
      </c>
      <c r="Q222" s="541" t="str">
        <f t="shared" si="88"/>
        <v/>
      </c>
      <c r="R222" s="346" t="str">
        <f t="shared" si="89"/>
        <v>00000</v>
      </c>
      <c r="S222" s="344">
        <f t="shared" si="90"/>
        <v>0</v>
      </c>
      <c r="T222" s="345" t="str">
        <f t="shared" si="103"/>
        <v>000</v>
      </c>
      <c r="U222" s="345">
        <f t="shared" si="91"/>
        <v>0</v>
      </c>
      <c r="V222" s="345">
        <f t="shared" si="92"/>
        <v>0</v>
      </c>
      <c r="W222" s="345">
        <f t="shared" si="93"/>
        <v>0</v>
      </c>
      <c r="X222" s="345">
        <f t="shared" si="94"/>
        <v>0</v>
      </c>
      <c r="Y222" s="345">
        <f t="shared" si="95"/>
        <v>0</v>
      </c>
      <c r="Z222" s="345">
        <f>IF(Q222&lt;&gt;"",VLOOKUP(Y222,TIME!$R$21:$V$24,MATCH(FC_DATA!Q222,TIME!$R$20:$V$20,0),FALSE),H222)</f>
        <v>0</v>
      </c>
      <c r="AA222" s="345" t="str">
        <f>IFERROR(VLOOKUP(X222&amp;Z222,TIME!$A$12:$D$71,4,FALSE),"")</f>
        <v/>
      </c>
      <c r="AB222" s="592">
        <f t="shared" ca="1" si="96"/>
        <v>0</v>
      </c>
      <c r="AC222" s="593" t="e">
        <f ca="1">IF(ISBLANK(H222)=FALSE,IF(D222="BRAND.com",I222,IF(ISNA(VLOOKUP(_xlfn.CONCAT(X222,Z222),TIME!$M$40:$M$42,1,FALSE)),I222,VLOOKUP(_xlfn.CONCAT(D222,G222,H222),M_BUSAREA_FC!$AF$5:$AJ$10,5,FALSE)*HLOOKUP(_xlfn.CONCAT(F222,H222),ST_OVERVIEW!$G$99:$I$130,MATCH(_xlfn.CONCAT(D222,E222),ST_OVERVIEW!$F$99:$F$130,0),FALSE))),IF(D222="BRAND.com",VLOOKUP(_xlfn.CONCAT(C222,D222,E222,TIME!$F$1,Z222),HIS_SALES!$B$2:$V$4859,19,FALSE)*I222,VLOOKUP(_xlfn.CONCAT(D222,F222,G222),Q_BUSAREA_FC!$AE$5:$AI$12,5,FALSE)*HLOOKUP(_xlfn.CONCAT(FC_DATA!F222,FC_DATA!G222),LT_OVERVIEW!$I$99:$M$130,MATCH(_xlfn.CONCAT(D222,FC_DATA!E222),LT_OVERVIEW!$H$99:$H$130,0),FALSE)*IFERROR(VLOOKUP(_xlfn.CONCAT(C222,D222,E222,TIME!$F$1,Z222),HIS_SALES!$B$2:$V$4859,19,FALSE),0)))</f>
        <v>#N/A</v>
      </c>
      <c r="AD222" s="341">
        <f t="shared" ca="1" si="97"/>
        <v>0</v>
      </c>
      <c r="AE222" s="363" t="str">
        <f t="shared" si="98"/>
        <v/>
      </c>
      <c r="AF222" s="342" t="str">
        <f t="shared" si="99"/>
        <v/>
      </c>
      <c r="AG222" s="411" t="e">
        <f ca="1">VLOOKUP(_xlfn.CONCAT(U222,V222,W222,VLOOKUP(X222&amp;Y222,TIME!$L$27:$O$34,4,FALSE),Y222),HIS_SALES!$A$2:$R$5093,18,FALSE)</f>
        <v>#N/A</v>
      </c>
      <c r="AH222" s="412" t="e">
        <f ca="1">IFERROR(IF(AND(V222=V221,W222=W221),0.5*(AB222+AB221)*AG222,(VLOOKUP(_xlfn.CONCAT(U222,V222,W222,X222,VLOOKUP(Z222,TIME!$S$28:$T$39,2,FALSE)),FC_DATA!$R$2:$AB$5000,MATCH("GS_I_M",FC_DATA!$R$1:$AB$1,0),FALSE)+FC_DATA!AB222)*0.5*FC_DATA!AG222),NA())</f>
        <v>#N/A</v>
      </c>
      <c r="AI222" s="491" t="e">
        <f ca="1">IF(V222="PARTNER.com",AH222,IF(AND(V222=V221,W222=W221),(1-AVERAGE(AD221,AD222))*AH222,(1-AVERAGE(AD222,VLOOKUP(_xlfn.CONCAT(U222,V222,W222,X222,M_BRAND_FC!$F$6),FC_DATA!$R$2:$AD$5000,MATCH("DISCOUNT_%_M",FC_DATA!$R$1:$AD$1,0),FALSE)))*AH222))</f>
        <v>#N/A</v>
      </c>
      <c r="AJ222" s="412" t="str">
        <f t="shared" ca="1" si="100"/>
        <v/>
      </c>
      <c r="AK222" s="413" t="str">
        <f>IFERROR(AE222/(Q_BRAND_FC!$T$24+1),"")</f>
        <v/>
      </c>
      <c r="AL222" s="88" t="str">
        <f t="shared" ca="1" si="101"/>
        <v/>
      </c>
      <c r="AM222" s="414" t="str">
        <f t="shared" ca="1" si="102"/>
        <v/>
      </c>
      <c r="AN222" s="58">
        <f>IFERROR(IF($V222="BRAND.com",HLOOKUP($X222&amp;$Z222,NWC_FC_NOOS!$C$4:$Q$23,MATCH(W222,NWC_FC_NOOS!$B$4:$B$23,0),FALSE),0),0)</f>
        <v>0</v>
      </c>
      <c r="AO222" s="57">
        <f>IFERROR(IF($V222="BRAND.com",HLOOKUP($X222&amp;$Z222,NWC_FC_NOOS!$T$4:$AH$23,MATCH(W222,NWC_FC_NOOS!$S$4:$S$23,0),FALSE),0),0)</f>
        <v>0</v>
      </c>
      <c r="AP222" s="57">
        <f>IFERROR(IF($V222="BRAND.com",HLOOKUP($X222&amp;$Z222,NWC_FC_NOOS!$C$50:$U$69,MATCH(W222,NWC_FC_NOOS!$B$50:$B$69,0),FALSE),0),0)</f>
        <v>0</v>
      </c>
      <c r="AQ222" s="58">
        <f>IFERROR(IF($V222="BRAND.com",HLOOKUP($X222&amp;$Z222,'NWC_FC_NON-NOOS'!$C$4:$Q$23,MATCH(W222,'NWC_FC_NON-NOOS'!$B$4:$B$23,0),FALSE),0),0)</f>
        <v>0</v>
      </c>
      <c r="AR222" s="57">
        <f>IFERROR(IF($V222="BRAND.com",HLOOKUP($X222&amp;$Z222,'NWC_FC_NON-NOOS'!$T$4:$AH$23,MATCH(W222,'NWC_FC_NON-NOOS'!$S$4:$S$23,0),FALSE),0),0)</f>
        <v>0</v>
      </c>
      <c r="AS222" s="57">
        <f>IFERROR(IF($V222="BRAND.com",HLOOKUP($X222&amp;$Z222,'NWC_FC_NON-NOOS'!$C$50:$U$69,MATCH(W222,'NWC_FC_NON-NOOS'!$B$50:$B$69,0),FALSE),0),0)</f>
        <v>0</v>
      </c>
      <c r="AT222" s="57">
        <f t="shared" si="104"/>
        <v>0</v>
      </c>
      <c r="AU222" s="57">
        <f t="shared" si="105"/>
        <v>0</v>
      </c>
      <c r="AV222" s="58">
        <f>IFERROR(IF($V222="BRAND.com",HLOOKUP($X222&amp;$Z222,PLANNING_FC!$BB$27:$BP$46,MATCH($W222,PLANNING_FC!$BA$27:$BA$46,0),FALSE),0),0)</f>
        <v>0</v>
      </c>
      <c r="AW222" s="58">
        <f>IFERROR(IF($V222="BRAND.com",HLOOKUP($X222&amp;$Z222,PLANNING_FC!$BB$4:$BP$23,MATCH($W222,PLANNING_FC!$BA$4:$BA$23,0),FALSE),0),0)</f>
        <v>0</v>
      </c>
      <c r="AX222" s="58">
        <f>IFERROR(IF($V222="BRAND.com",HLOOKUP($X222&amp;$Z222,PLANNING_FC!$T$27:$AH$46,MATCH($W222,PLANNING_FC!$B$27:$B$46,0),FALSE),0),0)</f>
        <v>0</v>
      </c>
      <c r="AY222" s="58">
        <f>IFERROR(IF($V222="BRAND.com",HLOOKUP($X222&amp;$Z222,PLANNING_FC!$T$4:$AH$23,MATCH($W222,PLANNING_FC!$B$4:$B$23,0),FALSE),0),0)</f>
        <v>0</v>
      </c>
      <c r="AZ222" s="58">
        <f>IFERROR(IF($V222="BRAND.com",HLOOKUP($X222&amp;$Z222,PLANNING_FC!$DA$27:$DO$46,MATCH($W222,PLANNING_FC!$CZ$27:$CZ$46,0),FALSE),0),0)</f>
        <v>0</v>
      </c>
      <c r="BA222" s="58">
        <f>IFERROR(IF($V222="BRAND.com",HLOOKUP($X222&amp;$Z222,PLANNING_FC!$DA$4:$DO$23,MATCH($W222,PLANNING_FC!$CZ$4:$CZ$23,0),FALSE),0),0)</f>
        <v>0</v>
      </c>
      <c r="BB222" s="883" t="str">
        <f>IF(V222="BRAND.com",IFERROR(HLOOKUP(X222&amp;Z222,PLANNING_FC!$AK$4:$AY$23,MATCH(W222,PLANNING_FC!$AJ$4:$AJ$23,0),FALSE)*1000,""),"")</f>
        <v/>
      </c>
      <c r="BC222" s="883" t="str">
        <f>IF(V222="BRAND.com",IFERROR(HLOOKUP(X222&amp;Z222,PLANNING_FC!$AK$27:$AY$46,MATCH(W222,PLANNING_FC!$AJ$27:$AJ$46,0),FALSE)*1000,""),"")</f>
        <v/>
      </c>
    </row>
    <row r="223" spans="1:55" x14ac:dyDescent="0.25">
      <c r="A223" s="509"/>
      <c r="B223" s="509"/>
      <c r="C223" s="509"/>
      <c r="D223" s="509"/>
      <c r="E223" s="509"/>
      <c r="F223" s="509"/>
      <c r="G223" s="509"/>
      <c r="H223" s="509"/>
      <c r="I223" s="512"/>
      <c r="J223" s="513"/>
      <c r="K223" s="879"/>
      <c r="L223" s="515"/>
      <c r="M223" s="516"/>
      <c r="N223" s="56">
        <f t="shared" si="86"/>
        <v>0</v>
      </c>
      <c r="O223" s="57">
        <f t="shared" si="87"/>
        <v>0</v>
      </c>
      <c r="P223" s="57">
        <f ca="1">IFERROR(IF(ISBLANK(H223),SUMIFS($AC:$AC,$V:$V,V223,$W:$W,W223,$X:$X,X223,$Y:$Y,Y223)*J223/(1-J223)*VLOOKUP(_xlfn.CONCAT(C223,D223,E223,TIME!$M$12,Z223),HIS_SALES!$B$2:$W$4859,20,FALSE),AC223*J223/(1-J223)),0)</f>
        <v>0</v>
      </c>
      <c r="Q223" s="541" t="str">
        <f t="shared" si="88"/>
        <v/>
      </c>
      <c r="R223" s="346" t="str">
        <f t="shared" si="89"/>
        <v>00000</v>
      </c>
      <c r="S223" s="344">
        <f t="shared" si="90"/>
        <v>0</v>
      </c>
      <c r="T223" s="345" t="str">
        <f t="shared" si="103"/>
        <v>000</v>
      </c>
      <c r="U223" s="345">
        <f t="shared" si="91"/>
        <v>0</v>
      </c>
      <c r="V223" s="345">
        <f t="shared" si="92"/>
        <v>0</v>
      </c>
      <c r="W223" s="345">
        <f t="shared" si="93"/>
        <v>0</v>
      </c>
      <c r="X223" s="345">
        <f t="shared" si="94"/>
        <v>0</v>
      </c>
      <c r="Y223" s="345">
        <f t="shared" si="95"/>
        <v>0</v>
      </c>
      <c r="Z223" s="345">
        <f>IF(Q223&lt;&gt;"",VLOOKUP(Y223,TIME!$R$21:$V$24,MATCH(FC_DATA!Q223,TIME!$R$20:$V$20,0),FALSE),H223)</f>
        <v>0</v>
      </c>
      <c r="AA223" s="345" t="str">
        <f>IFERROR(VLOOKUP(X223&amp;Z223,TIME!$A$12:$D$71,4,FALSE),"")</f>
        <v/>
      </c>
      <c r="AB223" s="592">
        <f t="shared" ca="1" si="96"/>
        <v>0</v>
      </c>
      <c r="AC223" s="593" t="e">
        <f ca="1">IF(ISBLANK(H223)=FALSE,IF(D223="BRAND.com",I223,IF(ISNA(VLOOKUP(_xlfn.CONCAT(X223,Z223),TIME!$M$40:$M$42,1,FALSE)),I223,VLOOKUP(_xlfn.CONCAT(D223,G223,H223),M_BUSAREA_FC!$AF$5:$AJ$10,5,FALSE)*HLOOKUP(_xlfn.CONCAT(F223,H223),ST_OVERVIEW!$G$99:$I$130,MATCH(_xlfn.CONCAT(D223,E223),ST_OVERVIEW!$F$99:$F$130,0),FALSE))),IF(D223="BRAND.com",VLOOKUP(_xlfn.CONCAT(C223,D223,E223,TIME!$F$1,Z223),HIS_SALES!$B$2:$V$4859,19,FALSE)*I223,VLOOKUP(_xlfn.CONCAT(D223,F223,G223),Q_BUSAREA_FC!$AE$5:$AI$12,5,FALSE)*HLOOKUP(_xlfn.CONCAT(FC_DATA!F223,FC_DATA!G223),LT_OVERVIEW!$I$99:$M$130,MATCH(_xlfn.CONCAT(D223,FC_DATA!E223),LT_OVERVIEW!$H$99:$H$130,0),FALSE)*IFERROR(VLOOKUP(_xlfn.CONCAT(C223,D223,E223,TIME!$F$1,Z223),HIS_SALES!$B$2:$V$4859,19,FALSE),0)))</f>
        <v>#N/A</v>
      </c>
      <c r="AD223" s="341">
        <f t="shared" ca="1" si="97"/>
        <v>0</v>
      </c>
      <c r="AE223" s="363" t="str">
        <f t="shared" si="98"/>
        <v/>
      </c>
      <c r="AF223" s="342" t="str">
        <f t="shared" si="99"/>
        <v/>
      </c>
      <c r="AG223" s="411" t="e">
        <f ca="1">VLOOKUP(_xlfn.CONCAT(U223,V223,W223,VLOOKUP(X223&amp;Y223,TIME!$L$27:$O$34,4,FALSE),Y223),HIS_SALES!$A$2:$R$5093,18,FALSE)</f>
        <v>#N/A</v>
      </c>
      <c r="AH223" s="412" t="e">
        <f ca="1">IFERROR(IF(AND(V223=V222,W223=W222),0.5*(AB223+AB222)*AG223,(VLOOKUP(_xlfn.CONCAT(U223,V223,W223,X223,VLOOKUP(Z223,TIME!$S$28:$T$39,2,FALSE)),FC_DATA!$R$2:$AB$5000,MATCH("GS_I_M",FC_DATA!$R$1:$AB$1,0),FALSE)+FC_DATA!AB223)*0.5*FC_DATA!AG223),NA())</f>
        <v>#N/A</v>
      </c>
      <c r="AI223" s="491" t="e">
        <f ca="1">IF(V223="PARTNER.com",AH223,IF(AND(V223=V222,W223=W222),(1-AVERAGE(AD222,AD223))*AH223,(1-AVERAGE(AD223,VLOOKUP(_xlfn.CONCAT(U223,V223,W223,X223,M_BRAND_FC!$F$6),FC_DATA!$R$2:$AD$5000,MATCH("DISCOUNT_%_M",FC_DATA!$R$1:$AD$1,0),FALSE)))*AH223))</f>
        <v>#N/A</v>
      </c>
      <c r="AJ223" s="412" t="str">
        <f t="shared" ca="1" si="100"/>
        <v/>
      </c>
      <c r="AK223" s="413" t="str">
        <f>IFERROR(AE223/(Q_BRAND_FC!$T$24+1),"")</f>
        <v/>
      </c>
      <c r="AL223" s="88" t="str">
        <f t="shared" ca="1" si="101"/>
        <v/>
      </c>
      <c r="AM223" s="414" t="str">
        <f t="shared" ca="1" si="102"/>
        <v/>
      </c>
      <c r="AN223" s="58">
        <f>IFERROR(IF($V223="BRAND.com",HLOOKUP($X223&amp;$Z223,NWC_FC_NOOS!$C$4:$Q$23,MATCH(W223,NWC_FC_NOOS!$B$4:$B$23,0),FALSE),0),0)</f>
        <v>0</v>
      </c>
      <c r="AO223" s="57">
        <f>IFERROR(IF($V223="BRAND.com",HLOOKUP($X223&amp;$Z223,NWC_FC_NOOS!$T$4:$AH$23,MATCH(W223,NWC_FC_NOOS!$S$4:$S$23,0),FALSE),0),0)</f>
        <v>0</v>
      </c>
      <c r="AP223" s="57">
        <f>IFERROR(IF($V223="BRAND.com",HLOOKUP($X223&amp;$Z223,NWC_FC_NOOS!$C$50:$U$69,MATCH(W223,NWC_FC_NOOS!$B$50:$B$69,0),FALSE),0),0)</f>
        <v>0</v>
      </c>
      <c r="AQ223" s="58">
        <f>IFERROR(IF($V223="BRAND.com",HLOOKUP($X223&amp;$Z223,'NWC_FC_NON-NOOS'!$C$4:$Q$23,MATCH(W223,'NWC_FC_NON-NOOS'!$B$4:$B$23,0),FALSE),0),0)</f>
        <v>0</v>
      </c>
      <c r="AR223" s="57">
        <f>IFERROR(IF($V223="BRAND.com",HLOOKUP($X223&amp;$Z223,'NWC_FC_NON-NOOS'!$T$4:$AH$23,MATCH(W223,'NWC_FC_NON-NOOS'!$S$4:$S$23,0),FALSE),0),0)</f>
        <v>0</v>
      </c>
      <c r="AS223" s="57">
        <f>IFERROR(IF($V223="BRAND.com",HLOOKUP($X223&amp;$Z223,'NWC_FC_NON-NOOS'!$C$50:$U$69,MATCH(W223,'NWC_FC_NON-NOOS'!$B$50:$B$69,0),FALSE),0),0)</f>
        <v>0</v>
      </c>
      <c r="AT223" s="57">
        <f t="shared" si="104"/>
        <v>0</v>
      </c>
      <c r="AU223" s="57">
        <f t="shared" si="105"/>
        <v>0</v>
      </c>
      <c r="AV223" s="58">
        <f>IFERROR(IF($V223="BRAND.com",HLOOKUP($X223&amp;$Z223,PLANNING_FC!$BB$27:$BP$46,MATCH($W223,PLANNING_FC!$BA$27:$BA$46,0),FALSE),0),0)</f>
        <v>0</v>
      </c>
      <c r="AW223" s="58">
        <f>IFERROR(IF($V223="BRAND.com",HLOOKUP($X223&amp;$Z223,PLANNING_FC!$BB$4:$BP$23,MATCH($W223,PLANNING_FC!$BA$4:$BA$23,0),FALSE),0),0)</f>
        <v>0</v>
      </c>
      <c r="AX223" s="58">
        <f>IFERROR(IF($V223="BRAND.com",HLOOKUP($X223&amp;$Z223,PLANNING_FC!$T$27:$AH$46,MATCH($W223,PLANNING_FC!$B$27:$B$46,0),FALSE),0),0)</f>
        <v>0</v>
      </c>
      <c r="AY223" s="58">
        <f>IFERROR(IF($V223="BRAND.com",HLOOKUP($X223&amp;$Z223,PLANNING_FC!$T$4:$AH$23,MATCH($W223,PLANNING_FC!$B$4:$B$23,0),FALSE),0),0)</f>
        <v>0</v>
      </c>
      <c r="AZ223" s="58">
        <f>IFERROR(IF($V223="BRAND.com",HLOOKUP($X223&amp;$Z223,PLANNING_FC!$DA$27:$DO$46,MATCH($W223,PLANNING_FC!$CZ$27:$CZ$46,0),FALSE),0),0)</f>
        <v>0</v>
      </c>
      <c r="BA223" s="58">
        <f>IFERROR(IF($V223="BRAND.com",HLOOKUP($X223&amp;$Z223,PLANNING_FC!$DA$4:$DO$23,MATCH($W223,PLANNING_FC!$CZ$4:$CZ$23,0),FALSE),0),0)</f>
        <v>0</v>
      </c>
      <c r="BB223" s="883" t="str">
        <f>IF(V223="BRAND.com",IFERROR(HLOOKUP(X223&amp;Z223,PLANNING_FC!$AK$4:$AY$23,MATCH(W223,PLANNING_FC!$AJ$4:$AJ$23,0),FALSE)*1000,""),"")</f>
        <v/>
      </c>
      <c r="BC223" s="883" t="str">
        <f>IF(V223="BRAND.com",IFERROR(HLOOKUP(X223&amp;Z223,PLANNING_FC!$AK$27:$AY$46,MATCH(W223,PLANNING_FC!$AJ$27:$AJ$46,0),FALSE)*1000,""),"")</f>
        <v/>
      </c>
    </row>
    <row r="224" spans="1:55" x14ac:dyDescent="0.25">
      <c r="A224" s="509"/>
      <c r="B224" s="509"/>
      <c r="C224" s="509"/>
      <c r="D224" s="509"/>
      <c r="E224" s="509"/>
      <c r="F224" s="509"/>
      <c r="G224" s="509"/>
      <c r="H224" s="509"/>
      <c r="I224" s="512"/>
      <c r="J224" s="513"/>
      <c r="K224" s="879"/>
      <c r="L224" s="515"/>
      <c r="M224" s="516"/>
      <c r="N224" s="56">
        <f t="shared" si="86"/>
        <v>0</v>
      </c>
      <c r="O224" s="57">
        <f t="shared" si="87"/>
        <v>0</v>
      </c>
      <c r="P224" s="57">
        <f ca="1">IFERROR(IF(ISBLANK(H224),SUMIFS($AC:$AC,$V:$V,V224,$W:$W,W224,$X:$X,X224,$Y:$Y,Y224)*J224/(1-J224)*VLOOKUP(_xlfn.CONCAT(C224,D224,E224,TIME!$M$12,Z224),HIS_SALES!$B$2:$W$4859,20,FALSE),AC224*J224/(1-J224)),0)</f>
        <v>0</v>
      </c>
      <c r="Q224" s="541" t="str">
        <f t="shared" si="88"/>
        <v/>
      </c>
      <c r="R224" s="346" t="str">
        <f t="shared" si="89"/>
        <v>00000</v>
      </c>
      <c r="S224" s="344">
        <f t="shared" si="90"/>
        <v>0</v>
      </c>
      <c r="T224" s="345" t="str">
        <f t="shared" si="103"/>
        <v>000</v>
      </c>
      <c r="U224" s="345">
        <f t="shared" si="91"/>
        <v>0</v>
      </c>
      <c r="V224" s="345">
        <f t="shared" si="92"/>
        <v>0</v>
      </c>
      <c r="W224" s="345">
        <f t="shared" si="93"/>
        <v>0</v>
      </c>
      <c r="X224" s="345">
        <f t="shared" si="94"/>
        <v>0</v>
      </c>
      <c r="Y224" s="345">
        <f t="shared" si="95"/>
        <v>0</v>
      </c>
      <c r="Z224" s="345">
        <f>IF(Q224&lt;&gt;"",VLOOKUP(Y224,TIME!$R$21:$V$24,MATCH(FC_DATA!Q224,TIME!$R$20:$V$20,0),FALSE),H224)</f>
        <v>0</v>
      </c>
      <c r="AA224" s="345" t="str">
        <f>IFERROR(VLOOKUP(X224&amp;Z224,TIME!$A$12:$D$71,4,FALSE),"")</f>
        <v/>
      </c>
      <c r="AB224" s="592">
        <f t="shared" ca="1" si="96"/>
        <v>0</v>
      </c>
      <c r="AC224" s="593" t="e">
        <f ca="1">IF(ISBLANK(H224)=FALSE,IF(D224="BRAND.com",I224,IF(ISNA(VLOOKUP(_xlfn.CONCAT(X224,Z224),TIME!$M$40:$M$42,1,FALSE)),I224,VLOOKUP(_xlfn.CONCAT(D224,G224,H224),M_BUSAREA_FC!$AF$5:$AJ$10,5,FALSE)*HLOOKUP(_xlfn.CONCAT(F224,H224),ST_OVERVIEW!$G$99:$I$130,MATCH(_xlfn.CONCAT(D224,E224),ST_OVERVIEW!$F$99:$F$130,0),FALSE))),IF(D224="BRAND.com",VLOOKUP(_xlfn.CONCAT(C224,D224,E224,TIME!$F$1,Z224),HIS_SALES!$B$2:$V$4859,19,FALSE)*I224,VLOOKUP(_xlfn.CONCAT(D224,F224,G224),Q_BUSAREA_FC!$AE$5:$AI$12,5,FALSE)*HLOOKUP(_xlfn.CONCAT(FC_DATA!F224,FC_DATA!G224),LT_OVERVIEW!$I$99:$M$130,MATCH(_xlfn.CONCAT(D224,FC_DATA!E224),LT_OVERVIEW!$H$99:$H$130,0),FALSE)*IFERROR(VLOOKUP(_xlfn.CONCAT(C224,D224,E224,TIME!$F$1,Z224),HIS_SALES!$B$2:$V$4859,19,FALSE),0)))</f>
        <v>#N/A</v>
      </c>
      <c r="AD224" s="341">
        <f t="shared" ca="1" si="97"/>
        <v>0</v>
      </c>
      <c r="AE224" s="363" t="str">
        <f t="shared" si="98"/>
        <v/>
      </c>
      <c r="AF224" s="342" t="str">
        <f t="shared" si="99"/>
        <v/>
      </c>
      <c r="AG224" s="411" t="e">
        <f ca="1">VLOOKUP(_xlfn.CONCAT(U224,V224,W224,VLOOKUP(X224&amp;Y224,TIME!$L$27:$O$34,4,FALSE),Y224),HIS_SALES!$A$2:$R$5093,18,FALSE)</f>
        <v>#N/A</v>
      </c>
      <c r="AH224" s="412" t="e">
        <f ca="1">IFERROR(IF(AND(V224=V223,W224=W223),0.5*(AB224+AB223)*AG224,(VLOOKUP(_xlfn.CONCAT(U224,V224,W224,X224,VLOOKUP(Z224,TIME!$S$28:$T$39,2,FALSE)),FC_DATA!$R$2:$AB$5000,MATCH("GS_I_M",FC_DATA!$R$1:$AB$1,0),FALSE)+FC_DATA!AB224)*0.5*FC_DATA!AG224),NA())</f>
        <v>#N/A</v>
      </c>
      <c r="AI224" s="491" t="e">
        <f ca="1">IF(V224="PARTNER.com",AH224,IF(AND(V224=V223,W224=W223),(1-AVERAGE(AD223,AD224))*AH224,(1-AVERAGE(AD224,VLOOKUP(_xlfn.CONCAT(U224,V224,W224,X224,M_BRAND_FC!$F$6),FC_DATA!$R$2:$AD$5000,MATCH("DISCOUNT_%_M",FC_DATA!$R$1:$AD$1,0),FALSE)))*AH224))</f>
        <v>#N/A</v>
      </c>
      <c r="AJ224" s="412" t="str">
        <f t="shared" ca="1" si="100"/>
        <v/>
      </c>
      <c r="AK224" s="413" t="str">
        <f>IFERROR(AE224/(Q_BRAND_FC!$T$24+1),"")</f>
        <v/>
      </c>
      <c r="AL224" s="88" t="str">
        <f t="shared" ca="1" si="101"/>
        <v/>
      </c>
      <c r="AM224" s="414" t="str">
        <f t="shared" ca="1" si="102"/>
        <v/>
      </c>
      <c r="AN224" s="58">
        <f>IFERROR(IF($V224="BRAND.com",HLOOKUP($X224&amp;$Z224,NWC_FC_NOOS!$C$4:$Q$23,MATCH(W224,NWC_FC_NOOS!$B$4:$B$23,0),FALSE),0),0)</f>
        <v>0</v>
      </c>
      <c r="AO224" s="57">
        <f>IFERROR(IF($V224="BRAND.com",HLOOKUP($X224&amp;$Z224,NWC_FC_NOOS!$T$4:$AH$23,MATCH(W224,NWC_FC_NOOS!$S$4:$S$23,0),FALSE),0),0)</f>
        <v>0</v>
      </c>
      <c r="AP224" s="57">
        <f>IFERROR(IF($V224="BRAND.com",HLOOKUP($X224&amp;$Z224,NWC_FC_NOOS!$C$50:$U$69,MATCH(W224,NWC_FC_NOOS!$B$50:$B$69,0),FALSE),0),0)</f>
        <v>0</v>
      </c>
      <c r="AQ224" s="58">
        <f>IFERROR(IF($V224="BRAND.com",HLOOKUP($X224&amp;$Z224,'NWC_FC_NON-NOOS'!$C$4:$Q$23,MATCH(W224,'NWC_FC_NON-NOOS'!$B$4:$B$23,0),FALSE),0),0)</f>
        <v>0</v>
      </c>
      <c r="AR224" s="57">
        <f>IFERROR(IF($V224="BRAND.com",HLOOKUP($X224&amp;$Z224,'NWC_FC_NON-NOOS'!$T$4:$AH$23,MATCH(W224,'NWC_FC_NON-NOOS'!$S$4:$S$23,0),FALSE),0),0)</f>
        <v>0</v>
      </c>
      <c r="AS224" s="57">
        <f>IFERROR(IF($V224="BRAND.com",HLOOKUP($X224&amp;$Z224,'NWC_FC_NON-NOOS'!$C$50:$U$69,MATCH(W224,'NWC_FC_NON-NOOS'!$B$50:$B$69,0),FALSE),0),0)</f>
        <v>0</v>
      </c>
      <c r="AT224" s="57">
        <f t="shared" si="104"/>
        <v>0</v>
      </c>
      <c r="AU224" s="57">
        <f t="shared" si="105"/>
        <v>0</v>
      </c>
      <c r="AV224" s="58">
        <f>IFERROR(IF($V224="BRAND.com",HLOOKUP($X224&amp;$Z224,PLANNING_FC!$BB$27:$BP$46,MATCH($W224,PLANNING_FC!$BA$27:$BA$46,0),FALSE),0),0)</f>
        <v>0</v>
      </c>
      <c r="AW224" s="58">
        <f>IFERROR(IF($V224="BRAND.com",HLOOKUP($X224&amp;$Z224,PLANNING_FC!$BB$4:$BP$23,MATCH($W224,PLANNING_FC!$BA$4:$BA$23,0),FALSE),0),0)</f>
        <v>0</v>
      </c>
      <c r="AX224" s="58">
        <f>IFERROR(IF($V224="BRAND.com",HLOOKUP($X224&amp;$Z224,PLANNING_FC!$T$27:$AH$46,MATCH($W224,PLANNING_FC!$B$27:$B$46,0),FALSE),0),0)</f>
        <v>0</v>
      </c>
      <c r="AY224" s="58">
        <f>IFERROR(IF($V224="BRAND.com",HLOOKUP($X224&amp;$Z224,PLANNING_FC!$T$4:$AH$23,MATCH($W224,PLANNING_FC!$B$4:$B$23,0),FALSE),0),0)</f>
        <v>0</v>
      </c>
      <c r="AZ224" s="58">
        <f>IFERROR(IF($V224="BRAND.com",HLOOKUP($X224&amp;$Z224,PLANNING_FC!$DA$27:$DO$46,MATCH($W224,PLANNING_FC!$CZ$27:$CZ$46,0),FALSE),0),0)</f>
        <v>0</v>
      </c>
      <c r="BA224" s="58">
        <f>IFERROR(IF($V224="BRAND.com",HLOOKUP($X224&amp;$Z224,PLANNING_FC!$DA$4:$DO$23,MATCH($W224,PLANNING_FC!$CZ$4:$CZ$23,0),FALSE),0),0)</f>
        <v>0</v>
      </c>
      <c r="BB224" s="883" t="str">
        <f>IF(V224="BRAND.com",IFERROR(HLOOKUP(X224&amp;Z224,PLANNING_FC!$AK$4:$AY$23,MATCH(W224,PLANNING_FC!$AJ$4:$AJ$23,0),FALSE)*1000,""),"")</f>
        <v/>
      </c>
      <c r="BC224" s="883" t="str">
        <f>IF(V224="BRAND.com",IFERROR(HLOOKUP(X224&amp;Z224,PLANNING_FC!$AK$27:$AY$46,MATCH(W224,PLANNING_FC!$AJ$27:$AJ$46,0),FALSE)*1000,""),"")</f>
        <v/>
      </c>
    </row>
    <row r="225" spans="1:55" x14ac:dyDescent="0.25">
      <c r="A225" s="509"/>
      <c r="B225" s="509"/>
      <c r="C225" s="509"/>
      <c r="D225" s="509"/>
      <c r="E225" s="509"/>
      <c r="F225" s="509"/>
      <c r="G225" s="509"/>
      <c r="H225" s="509"/>
      <c r="I225" s="512"/>
      <c r="J225" s="513"/>
      <c r="K225" s="879"/>
      <c r="L225" s="515"/>
      <c r="M225" s="516"/>
      <c r="N225" s="56">
        <f t="shared" si="86"/>
        <v>0</v>
      </c>
      <c r="O225" s="57">
        <f t="shared" si="87"/>
        <v>0</v>
      </c>
      <c r="P225" s="57">
        <f ca="1">IFERROR(IF(ISBLANK(H225),SUMIFS($AC:$AC,$V:$V,V225,$W:$W,W225,$X:$X,X225,$Y:$Y,Y225)*J225/(1-J225)*VLOOKUP(_xlfn.CONCAT(C225,D225,E225,TIME!$M$12,Z225),HIS_SALES!$B$2:$W$4859,20,FALSE),AC225*J225/(1-J225)),0)</f>
        <v>0</v>
      </c>
      <c r="Q225" s="541" t="str">
        <f t="shared" si="88"/>
        <v/>
      </c>
      <c r="R225" s="346" t="str">
        <f t="shared" si="89"/>
        <v>00000</v>
      </c>
      <c r="S225" s="344">
        <f t="shared" si="90"/>
        <v>0</v>
      </c>
      <c r="T225" s="345" t="str">
        <f t="shared" si="103"/>
        <v>000</v>
      </c>
      <c r="U225" s="345">
        <f t="shared" si="91"/>
        <v>0</v>
      </c>
      <c r="V225" s="345">
        <f t="shared" si="92"/>
        <v>0</v>
      </c>
      <c r="W225" s="345">
        <f t="shared" si="93"/>
        <v>0</v>
      </c>
      <c r="X225" s="345">
        <f t="shared" si="94"/>
        <v>0</v>
      </c>
      <c r="Y225" s="345">
        <f t="shared" si="95"/>
        <v>0</v>
      </c>
      <c r="Z225" s="345">
        <f>IF(Q225&lt;&gt;"",VLOOKUP(Y225,TIME!$R$21:$V$24,MATCH(FC_DATA!Q225,TIME!$R$20:$V$20,0),FALSE),H225)</f>
        <v>0</v>
      </c>
      <c r="AA225" s="345" t="str">
        <f>IFERROR(VLOOKUP(X225&amp;Z225,TIME!$A$12:$D$71,4,FALSE),"")</f>
        <v/>
      </c>
      <c r="AB225" s="592">
        <f t="shared" ca="1" si="96"/>
        <v>0</v>
      </c>
      <c r="AC225" s="593" t="e">
        <f ca="1">IF(ISBLANK(H225)=FALSE,IF(D225="BRAND.com",I225,IF(ISNA(VLOOKUP(_xlfn.CONCAT(X225,Z225),TIME!$M$40:$M$42,1,FALSE)),I225,VLOOKUP(_xlfn.CONCAT(D225,G225,H225),M_BUSAREA_FC!$AF$5:$AJ$10,5,FALSE)*HLOOKUP(_xlfn.CONCAT(F225,H225),ST_OVERVIEW!$G$99:$I$130,MATCH(_xlfn.CONCAT(D225,E225),ST_OVERVIEW!$F$99:$F$130,0),FALSE))),IF(D225="BRAND.com",VLOOKUP(_xlfn.CONCAT(C225,D225,E225,TIME!$F$1,Z225),HIS_SALES!$B$2:$V$4859,19,FALSE)*I225,VLOOKUP(_xlfn.CONCAT(D225,F225,G225),Q_BUSAREA_FC!$AE$5:$AI$12,5,FALSE)*HLOOKUP(_xlfn.CONCAT(FC_DATA!F225,FC_DATA!G225),LT_OVERVIEW!$I$99:$M$130,MATCH(_xlfn.CONCAT(D225,FC_DATA!E225),LT_OVERVIEW!$H$99:$H$130,0),FALSE)*IFERROR(VLOOKUP(_xlfn.CONCAT(C225,D225,E225,TIME!$F$1,Z225),HIS_SALES!$B$2:$V$4859,19,FALSE),0)))</f>
        <v>#N/A</v>
      </c>
      <c r="AD225" s="341">
        <f t="shared" ca="1" si="97"/>
        <v>0</v>
      </c>
      <c r="AE225" s="363" t="str">
        <f t="shared" si="98"/>
        <v/>
      </c>
      <c r="AF225" s="342" t="str">
        <f t="shared" si="99"/>
        <v/>
      </c>
      <c r="AG225" s="411" t="e">
        <f ca="1">VLOOKUP(_xlfn.CONCAT(U225,V225,W225,VLOOKUP(X225&amp;Y225,TIME!$L$27:$O$34,4,FALSE),Y225),HIS_SALES!$A$2:$R$5093,18,FALSE)</f>
        <v>#N/A</v>
      </c>
      <c r="AH225" s="412" t="e">
        <f ca="1">IFERROR(IF(AND(V225=V224,W225=W224),0.5*(AB225+AB224)*AG225,(VLOOKUP(_xlfn.CONCAT(U225,V225,W225,X225,VLOOKUP(Z225,TIME!$S$28:$T$39,2,FALSE)),FC_DATA!$R$2:$AB$5000,MATCH("GS_I_M",FC_DATA!$R$1:$AB$1,0),FALSE)+FC_DATA!AB225)*0.5*FC_DATA!AG225),NA())</f>
        <v>#N/A</v>
      </c>
      <c r="AI225" s="491" t="e">
        <f ca="1">IF(V225="PARTNER.com",AH225,IF(AND(V225=V224,W225=W224),(1-AVERAGE(AD224,AD225))*AH225,(1-AVERAGE(AD225,VLOOKUP(_xlfn.CONCAT(U225,V225,W225,X225,M_BRAND_FC!$F$6),FC_DATA!$R$2:$AD$5000,MATCH("DISCOUNT_%_M",FC_DATA!$R$1:$AD$1,0),FALSE)))*AH225))</f>
        <v>#N/A</v>
      </c>
      <c r="AJ225" s="412" t="str">
        <f t="shared" ca="1" si="100"/>
        <v/>
      </c>
      <c r="AK225" s="413" t="str">
        <f>IFERROR(AE225/(Q_BRAND_FC!$T$24+1),"")</f>
        <v/>
      </c>
      <c r="AL225" s="88" t="str">
        <f t="shared" ca="1" si="101"/>
        <v/>
      </c>
      <c r="AM225" s="414" t="str">
        <f t="shared" ca="1" si="102"/>
        <v/>
      </c>
      <c r="AN225" s="58">
        <f>IFERROR(IF($V225="BRAND.com",HLOOKUP($X225&amp;$Z225,NWC_FC_NOOS!$C$4:$Q$23,MATCH(W225,NWC_FC_NOOS!$B$4:$B$23,0),FALSE),0),0)</f>
        <v>0</v>
      </c>
      <c r="AO225" s="57">
        <f>IFERROR(IF($V225="BRAND.com",HLOOKUP($X225&amp;$Z225,NWC_FC_NOOS!$T$4:$AH$23,MATCH(W225,NWC_FC_NOOS!$S$4:$S$23,0),FALSE),0),0)</f>
        <v>0</v>
      </c>
      <c r="AP225" s="57">
        <f>IFERROR(IF($V225="BRAND.com",HLOOKUP($X225&amp;$Z225,NWC_FC_NOOS!$C$50:$U$69,MATCH(W225,NWC_FC_NOOS!$B$50:$B$69,0),FALSE),0),0)</f>
        <v>0</v>
      </c>
      <c r="AQ225" s="58">
        <f>IFERROR(IF($V225="BRAND.com",HLOOKUP($X225&amp;$Z225,'NWC_FC_NON-NOOS'!$C$4:$Q$23,MATCH(W225,'NWC_FC_NON-NOOS'!$B$4:$B$23,0),FALSE),0),0)</f>
        <v>0</v>
      </c>
      <c r="AR225" s="57">
        <f>IFERROR(IF($V225="BRAND.com",HLOOKUP($X225&amp;$Z225,'NWC_FC_NON-NOOS'!$T$4:$AH$23,MATCH(W225,'NWC_FC_NON-NOOS'!$S$4:$S$23,0),FALSE),0),0)</f>
        <v>0</v>
      </c>
      <c r="AS225" s="57">
        <f>IFERROR(IF($V225="BRAND.com",HLOOKUP($X225&amp;$Z225,'NWC_FC_NON-NOOS'!$C$50:$U$69,MATCH(W225,'NWC_FC_NON-NOOS'!$B$50:$B$69,0),FALSE),0),0)</f>
        <v>0</v>
      </c>
      <c r="AT225" s="57">
        <f t="shared" si="104"/>
        <v>0</v>
      </c>
      <c r="AU225" s="57">
        <f t="shared" si="105"/>
        <v>0</v>
      </c>
      <c r="AV225" s="58">
        <f>IFERROR(IF($V225="BRAND.com",HLOOKUP($X225&amp;$Z225,PLANNING_FC!$BB$27:$BP$46,MATCH($W225,PLANNING_FC!$BA$27:$BA$46,0),FALSE),0),0)</f>
        <v>0</v>
      </c>
      <c r="AW225" s="58">
        <f>IFERROR(IF($V225="BRAND.com",HLOOKUP($X225&amp;$Z225,PLANNING_FC!$BB$4:$BP$23,MATCH($W225,PLANNING_FC!$BA$4:$BA$23,0),FALSE),0),0)</f>
        <v>0</v>
      </c>
      <c r="AX225" s="58">
        <f>IFERROR(IF($V225="BRAND.com",HLOOKUP($X225&amp;$Z225,PLANNING_FC!$T$27:$AH$46,MATCH($W225,PLANNING_FC!$B$27:$B$46,0),FALSE),0),0)</f>
        <v>0</v>
      </c>
      <c r="AY225" s="58">
        <f>IFERROR(IF($V225="BRAND.com",HLOOKUP($X225&amp;$Z225,PLANNING_FC!$T$4:$AH$23,MATCH($W225,PLANNING_FC!$B$4:$B$23,0),FALSE),0),0)</f>
        <v>0</v>
      </c>
      <c r="AZ225" s="58">
        <f>IFERROR(IF($V225="BRAND.com",HLOOKUP($X225&amp;$Z225,PLANNING_FC!$DA$27:$DO$46,MATCH($W225,PLANNING_FC!$CZ$27:$CZ$46,0),FALSE),0),0)</f>
        <v>0</v>
      </c>
      <c r="BA225" s="58">
        <f>IFERROR(IF($V225="BRAND.com",HLOOKUP($X225&amp;$Z225,PLANNING_FC!$DA$4:$DO$23,MATCH($W225,PLANNING_FC!$CZ$4:$CZ$23,0),FALSE),0),0)</f>
        <v>0</v>
      </c>
      <c r="BB225" s="883" t="str">
        <f>IF(V225="BRAND.com",IFERROR(HLOOKUP(X225&amp;Z225,PLANNING_FC!$AK$4:$AY$23,MATCH(W225,PLANNING_FC!$AJ$4:$AJ$23,0),FALSE)*1000,""),"")</f>
        <v/>
      </c>
      <c r="BC225" s="883" t="str">
        <f>IF(V225="BRAND.com",IFERROR(HLOOKUP(X225&amp;Z225,PLANNING_FC!$AK$27:$AY$46,MATCH(W225,PLANNING_FC!$AJ$27:$AJ$46,0),FALSE)*1000,""),"")</f>
        <v/>
      </c>
    </row>
    <row r="226" spans="1:55" x14ac:dyDescent="0.25">
      <c r="A226" s="509"/>
      <c r="B226" s="509"/>
      <c r="C226" s="509"/>
      <c r="D226" s="509"/>
      <c r="E226" s="509"/>
      <c r="F226" s="509"/>
      <c r="G226" s="509"/>
      <c r="H226" s="509"/>
      <c r="I226" s="512"/>
      <c r="J226" s="513"/>
      <c r="K226" s="879"/>
      <c r="L226" s="515"/>
      <c r="M226" s="516"/>
      <c r="N226" s="56">
        <f t="shared" si="86"/>
        <v>0</v>
      </c>
      <c r="O226" s="57">
        <f t="shared" si="87"/>
        <v>0</v>
      </c>
      <c r="P226" s="57">
        <f ca="1">IFERROR(IF(ISBLANK(H226),SUMIFS($AC:$AC,$V:$V,V226,$W:$W,W226,$X:$X,X226,$Y:$Y,Y226)*J226/(1-J226)*VLOOKUP(_xlfn.CONCAT(C226,D226,E226,TIME!$M$12,Z226),HIS_SALES!$B$2:$W$4859,20,FALSE),AC226*J226/(1-J226)),0)</f>
        <v>0</v>
      </c>
      <c r="Q226" s="541" t="str">
        <f t="shared" si="88"/>
        <v/>
      </c>
      <c r="R226" s="346" t="str">
        <f t="shared" si="89"/>
        <v>00000</v>
      </c>
      <c r="S226" s="344">
        <f t="shared" si="90"/>
        <v>0</v>
      </c>
      <c r="T226" s="345" t="str">
        <f t="shared" si="103"/>
        <v>000</v>
      </c>
      <c r="U226" s="345">
        <f t="shared" si="91"/>
        <v>0</v>
      </c>
      <c r="V226" s="345">
        <f t="shared" si="92"/>
        <v>0</v>
      </c>
      <c r="W226" s="345">
        <f t="shared" si="93"/>
        <v>0</v>
      </c>
      <c r="X226" s="345">
        <f t="shared" si="94"/>
        <v>0</v>
      </c>
      <c r="Y226" s="345">
        <f t="shared" si="95"/>
        <v>0</v>
      </c>
      <c r="Z226" s="345">
        <f>IF(Q226&lt;&gt;"",VLOOKUP(Y226,TIME!$R$21:$V$24,MATCH(FC_DATA!Q226,TIME!$R$20:$V$20,0),FALSE),H226)</f>
        <v>0</v>
      </c>
      <c r="AA226" s="345" t="str">
        <f>IFERROR(VLOOKUP(X226&amp;Z226,TIME!$A$12:$D$71,4,FALSE),"")</f>
        <v/>
      </c>
      <c r="AB226" s="592">
        <f t="shared" ca="1" si="96"/>
        <v>0</v>
      </c>
      <c r="AC226" s="593" t="e">
        <f ca="1">IF(ISBLANK(H226)=FALSE,IF(D226="BRAND.com",I226,IF(ISNA(VLOOKUP(_xlfn.CONCAT(X226,Z226),TIME!$M$40:$M$42,1,FALSE)),I226,VLOOKUP(_xlfn.CONCAT(D226,G226,H226),M_BUSAREA_FC!$AF$5:$AJ$10,5,FALSE)*HLOOKUP(_xlfn.CONCAT(F226,H226),ST_OVERVIEW!$G$99:$I$130,MATCH(_xlfn.CONCAT(D226,E226),ST_OVERVIEW!$F$99:$F$130,0),FALSE))),IF(D226="BRAND.com",VLOOKUP(_xlfn.CONCAT(C226,D226,E226,TIME!$F$1,Z226),HIS_SALES!$B$2:$V$4859,19,FALSE)*I226,VLOOKUP(_xlfn.CONCAT(D226,F226,G226),Q_BUSAREA_FC!$AE$5:$AI$12,5,FALSE)*HLOOKUP(_xlfn.CONCAT(FC_DATA!F226,FC_DATA!G226),LT_OVERVIEW!$I$99:$M$130,MATCH(_xlfn.CONCAT(D226,FC_DATA!E226),LT_OVERVIEW!$H$99:$H$130,0),FALSE)*IFERROR(VLOOKUP(_xlfn.CONCAT(C226,D226,E226,TIME!$F$1,Z226),HIS_SALES!$B$2:$V$4859,19,FALSE),0)))</f>
        <v>#N/A</v>
      </c>
      <c r="AD226" s="341">
        <f t="shared" ca="1" si="97"/>
        <v>0</v>
      </c>
      <c r="AE226" s="363" t="str">
        <f t="shared" si="98"/>
        <v/>
      </c>
      <c r="AF226" s="342" t="str">
        <f t="shared" si="99"/>
        <v/>
      </c>
      <c r="AG226" s="411" t="e">
        <f ca="1">VLOOKUP(_xlfn.CONCAT(U226,V226,W226,VLOOKUP(X226&amp;Y226,TIME!$L$27:$O$34,4,FALSE),Y226),HIS_SALES!$A$2:$R$5093,18,FALSE)</f>
        <v>#N/A</v>
      </c>
      <c r="AH226" s="412" t="e">
        <f ca="1">IFERROR(IF(AND(V226=V225,W226=W225),0.5*(AB226+AB225)*AG226,(VLOOKUP(_xlfn.CONCAT(U226,V226,W226,X226,VLOOKUP(Z226,TIME!$S$28:$T$39,2,FALSE)),FC_DATA!$R$2:$AB$5000,MATCH("GS_I_M",FC_DATA!$R$1:$AB$1,0),FALSE)+FC_DATA!AB226)*0.5*FC_DATA!AG226),NA())</f>
        <v>#N/A</v>
      </c>
      <c r="AI226" s="491" t="e">
        <f ca="1">IF(V226="PARTNER.com",AH226,IF(AND(V226=V225,W226=W225),(1-AVERAGE(AD225,AD226))*AH226,(1-AVERAGE(AD226,VLOOKUP(_xlfn.CONCAT(U226,V226,W226,X226,M_BRAND_FC!$F$6),FC_DATA!$R$2:$AD$5000,MATCH("DISCOUNT_%_M",FC_DATA!$R$1:$AD$1,0),FALSE)))*AH226))</f>
        <v>#N/A</v>
      </c>
      <c r="AJ226" s="412" t="str">
        <f t="shared" ca="1" si="100"/>
        <v/>
      </c>
      <c r="AK226" s="413" t="str">
        <f>IFERROR(AE226/(Q_BRAND_FC!$T$24+1),"")</f>
        <v/>
      </c>
      <c r="AL226" s="88" t="str">
        <f t="shared" ca="1" si="101"/>
        <v/>
      </c>
      <c r="AM226" s="414" t="str">
        <f t="shared" ca="1" si="102"/>
        <v/>
      </c>
      <c r="AN226" s="58">
        <f>IFERROR(IF($V226="BRAND.com",HLOOKUP($X226&amp;$Z226,NWC_FC_NOOS!$C$4:$Q$23,MATCH(W226,NWC_FC_NOOS!$B$4:$B$23,0),FALSE),0),0)</f>
        <v>0</v>
      </c>
      <c r="AO226" s="57">
        <f>IFERROR(IF($V226="BRAND.com",HLOOKUP($X226&amp;$Z226,NWC_FC_NOOS!$T$4:$AH$23,MATCH(W226,NWC_FC_NOOS!$S$4:$S$23,0),FALSE),0),0)</f>
        <v>0</v>
      </c>
      <c r="AP226" s="57">
        <f>IFERROR(IF($V226="BRAND.com",HLOOKUP($X226&amp;$Z226,NWC_FC_NOOS!$C$50:$U$69,MATCH(W226,NWC_FC_NOOS!$B$50:$B$69,0),FALSE),0),0)</f>
        <v>0</v>
      </c>
      <c r="AQ226" s="58">
        <f>IFERROR(IF($V226="BRAND.com",HLOOKUP($X226&amp;$Z226,'NWC_FC_NON-NOOS'!$C$4:$Q$23,MATCH(W226,'NWC_FC_NON-NOOS'!$B$4:$B$23,0),FALSE),0),0)</f>
        <v>0</v>
      </c>
      <c r="AR226" s="57">
        <f>IFERROR(IF($V226="BRAND.com",HLOOKUP($X226&amp;$Z226,'NWC_FC_NON-NOOS'!$T$4:$AH$23,MATCH(W226,'NWC_FC_NON-NOOS'!$S$4:$S$23,0),FALSE),0),0)</f>
        <v>0</v>
      </c>
      <c r="AS226" s="57">
        <f>IFERROR(IF($V226="BRAND.com",HLOOKUP($X226&amp;$Z226,'NWC_FC_NON-NOOS'!$C$50:$U$69,MATCH(W226,'NWC_FC_NON-NOOS'!$B$50:$B$69,0),FALSE),0),0)</f>
        <v>0</v>
      </c>
      <c r="AT226" s="57">
        <f t="shared" si="104"/>
        <v>0</v>
      </c>
      <c r="AU226" s="57">
        <f t="shared" si="105"/>
        <v>0</v>
      </c>
      <c r="AV226" s="58">
        <f>IFERROR(IF($V226="BRAND.com",HLOOKUP($X226&amp;$Z226,PLANNING_FC!$BB$27:$BP$46,MATCH($W226,PLANNING_FC!$BA$27:$BA$46,0),FALSE),0),0)</f>
        <v>0</v>
      </c>
      <c r="AW226" s="58">
        <f>IFERROR(IF($V226="BRAND.com",HLOOKUP($X226&amp;$Z226,PLANNING_FC!$BB$4:$BP$23,MATCH($W226,PLANNING_FC!$BA$4:$BA$23,0),FALSE),0),0)</f>
        <v>0</v>
      </c>
      <c r="AX226" s="58">
        <f>IFERROR(IF($V226="BRAND.com",HLOOKUP($X226&amp;$Z226,PLANNING_FC!$T$27:$AH$46,MATCH($W226,PLANNING_FC!$B$27:$B$46,0),FALSE),0),0)</f>
        <v>0</v>
      </c>
      <c r="AY226" s="58">
        <f>IFERROR(IF($V226="BRAND.com",HLOOKUP($X226&amp;$Z226,PLANNING_FC!$T$4:$AH$23,MATCH($W226,PLANNING_FC!$B$4:$B$23,0),FALSE),0),0)</f>
        <v>0</v>
      </c>
      <c r="AZ226" s="58">
        <f>IFERROR(IF($V226="BRAND.com",HLOOKUP($X226&amp;$Z226,PLANNING_FC!$DA$27:$DO$46,MATCH($W226,PLANNING_FC!$CZ$27:$CZ$46,0),FALSE),0),0)</f>
        <v>0</v>
      </c>
      <c r="BA226" s="58">
        <f>IFERROR(IF($V226="BRAND.com",HLOOKUP($X226&amp;$Z226,PLANNING_FC!$DA$4:$DO$23,MATCH($W226,PLANNING_FC!$CZ$4:$CZ$23,0),FALSE),0),0)</f>
        <v>0</v>
      </c>
      <c r="BB226" s="883" t="str">
        <f>IF(V226="BRAND.com",IFERROR(HLOOKUP(X226&amp;Z226,PLANNING_FC!$AK$4:$AY$23,MATCH(W226,PLANNING_FC!$AJ$4:$AJ$23,0),FALSE)*1000,""),"")</f>
        <v/>
      </c>
      <c r="BC226" s="883" t="str">
        <f>IF(V226="BRAND.com",IFERROR(HLOOKUP(X226&amp;Z226,PLANNING_FC!$AK$27:$AY$46,MATCH(W226,PLANNING_FC!$AJ$27:$AJ$46,0),FALSE)*1000,""),"")</f>
        <v/>
      </c>
    </row>
    <row r="227" spans="1:55" x14ac:dyDescent="0.25">
      <c r="A227" s="509"/>
      <c r="B227" s="509"/>
      <c r="C227" s="509"/>
      <c r="D227" s="509"/>
      <c r="E227" s="509"/>
      <c r="F227" s="509"/>
      <c r="G227" s="509"/>
      <c r="H227" s="509"/>
      <c r="I227" s="512"/>
      <c r="J227" s="513"/>
      <c r="K227" s="879"/>
      <c r="L227" s="515"/>
      <c r="M227" s="516"/>
      <c r="N227" s="56">
        <f t="shared" si="86"/>
        <v>0</v>
      </c>
      <c r="O227" s="57">
        <f t="shared" si="87"/>
        <v>0</v>
      </c>
      <c r="P227" s="57">
        <f ca="1">IFERROR(IF(ISBLANK(H227),SUMIFS($AC:$AC,$V:$V,V227,$W:$W,W227,$X:$X,X227,$Y:$Y,Y227)*J227/(1-J227)*VLOOKUP(_xlfn.CONCAT(C227,D227,E227,TIME!$M$12,Z227),HIS_SALES!$B$2:$W$4859,20,FALSE),AC227*J227/(1-J227)),0)</f>
        <v>0</v>
      </c>
      <c r="Q227" s="541" t="str">
        <f t="shared" si="88"/>
        <v/>
      </c>
      <c r="R227" s="346" t="str">
        <f t="shared" si="89"/>
        <v>00000</v>
      </c>
      <c r="S227" s="344">
        <f t="shared" si="90"/>
        <v>0</v>
      </c>
      <c r="T227" s="345" t="str">
        <f t="shared" si="103"/>
        <v>000</v>
      </c>
      <c r="U227" s="345">
        <f t="shared" si="91"/>
        <v>0</v>
      </c>
      <c r="V227" s="345">
        <f t="shared" si="92"/>
        <v>0</v>
      </c>
      <c r="W227" s="345">
        <f t="shared" si="93"/>
        <v>0</v>
      </c>
      <c r="X227" s="345">
        <f t="shared" si="94"/>
        <v>0</v>
      </c>
      <c r="Y227" s="345">
        <f t="shared" si="95"/>
        <v>0</v>
      </c>
      <c r="Z227" s="345">
        <f>IF(Q227&lt;&gt;"",VLOOKUP(Y227,TIME!$R$21:$V$24,MATCH(FC_DATA!Q227,TIME!$R$20:$V$20,0),FALSE),H227)</f>
        <v>0</v>
      </c>
      <c r="AA227" s="345" t="str">
        <f>IFERROR(VLOOKUP(X227&amp;Z227,TIME!$A$12:$D$71,4,FALSE),"")</f>
        <v/>
      </c>
      <c r="AB227" s="592">
        <f t="shared" ca="1" si="96"/>
        <v>0</v>
      </c>
      <c r="AC227" s="593" t="e">
        <f ca="1">IF(ISBLANK(H227)=FALSE,IF(D227="BRAND.com",I227,IF(ISNA(VLOOKUP(_xlfn.CONCAT(X227,Z227),TIME!$M$40:$M$42,1,FALSE)),I227,VLOOKUP(_xlfn.CONCAT(D227,G227,H227),M_BUSAREA_FC!$AF$5:$AJ$10,5,FALSE)*HLOOKUP(_xlfn.CONCAT(F227,H227),ST_OVERVIEW!$G$99:$I$130,MATCH(_xlfn.CONCAT(D227,E227),ST_OVERVIEW!$F$99:$F$130,0),FALSE))),IF(D227="BRAND.com",VLOOKUP(_xlfn.CONCAT(C227,D227,E227,TIME!$F$1,Z227),HIS_SALES!$B$2:$V$4859,19,FALSE)*I227,VLOOKUP(_xlfn.CONCAT(D227,F227,G227),Q_BUSAREA_FC!$AE$5:$AI$12,5,FALSE)*HLOOKUP(_xlfn.CONCAT(FC_DATA!F227,FC_DATA!G227),LT_OVERVIEW!$I$99:$M$130,MATCH(_xlfn.CONCAT(D227,FC_DATA!E227),LT_OVERVIEW!$H$99:$H$130,0),FALSE)*IFERROR(VLOOKUP(_xlfn.CONCAT(C227,D227,E227,TIME!$F$1,Z227),HIS_SALES!$B$2:$V$4859,19,FALSE),0)))</f>
        <v>#N/A</v>
      </c>
      <c r="AD227" s="341">
        <f t="shared" ca="1" si="97"/>
        <v>0</v>
      </c>
      <c r="AE227" s="363" t="str">
        <f t="shared" si="98"/>
        <v/>
      </c>
      <c r="AF227" s="342" t="str">
        <f t="shared" si="99"/>
        <v/>
      </c>
      <c r="AG227" s="411" t="e">
        <f ca="1">VLOOKUP(_xlfn.CONCAT(U227,V227,W227,VLOOKUP(X227&amp;Y227,TIME!$L$27:$O$34,4,FALSE),Y227),HIS_SALES!$A$2:$R$5093,18,FALSE)</f>
        <v>#N/A</v>
      </c>
      <c r="AH227" s="412" t="e">
        <f ca="1">IFERROR(IF(AND(V227=V226,W227=W226),0.5*(AB227+AB226)*AG227,(VLOOKUP(_xlfn.CONCAT(U227,V227,W227,X227,VLOOKUP(Z227,TIME!$S$28:$T$39,2,FALSE)),FC_DATA!$R$2:$AB$5000,MATCH("GS_I_M",FC_DATA!$R$1:$AB$1,0),FALSE)+FC_DATA!AB227)*0.5*FC_DATA!AG227),NA())</f>
        <v>#N/A</v>
      </c>
      <c r="AI227" s="491" t="e">
        <f ca="1">IF(V227="PARTNER.com",AH227,IF(AND(V227=V226,W227=W226),(1-AVERAGE(AD226,AD227))*AH227,(1-AVERAGE(AD227,VLOOKUP(_xlfn.CONCAT(U227,V227,W227,X227,M_BRAND_FC!$F$6),FC_DATA!$R$2:$AD$5000,MATCH("DISCOUNT_%_M",FC_DATA!$R$1:$AD$1,0),FALSE)))*AH227))</f>
        <v>#N/A</v>
      </c>
      <c r="AJ227" s="412" t="str">
        <f t="shared" ca="1" si="100"/>
        <v/>
      </c>
      <c r="AK227" s="413" t="str">
        <f>IFERROR(AE227/(Q_BRAND_FC!$T$24+1),"")</f>
        <v/>
      </c>
      <c r="AL227" s="88" t="str">
        <f t="shared" ca="1" si="101"/>
        <v/>
      </c>
      <c r="AM227" s="414" t="str">
        <f t="shared" ca="1" si="102"/>
        <v/>
      </c>
      <c r="AN227" s="58">
        <f>IFERROR(IF($V227="BRAND.com",HLOOKUP($X227&amp;$Z227,NWC_FC_NOOS!$C$4:$Q$23,MATCH(W227,NWC_FC_NOOS!$B$4:$B$23,0),FALSE),0),0)</f>
        <v>0</v>
      </c>
      <c r="AO227" s="57">
        <f>IFERROR(IF($V227="BRAND.com",HLOOKUP($X227&amp;$Z227,NWC_FC_NOOS!$T$4:$AH$23,MATCH(W227,NWC_FC_NOOS!$S$4:$S$23,0),FALSE),0),0)</f>
        <v>0</v>
      </c>
      <c r="AP227" s="57">
        <f>IFERROR(IF($V227="BRAND.com",HLOOKUP($X227&amp;$Z227,NWC_FC_NOOS!$C$50:$U$69,MATCH(W227,NWC_FC_NOOS!$B$50:$B$69,0),FALSE),0),0)</f>
        <v>0</v>
      </c>
      <c r="AQ227" s="58">
        <f>IFERROR(IF($V227="BRAND.com",HLOOKUP($X227&amp;$Z227,'NWC_FC_NON-NOOS'!$C$4:$Q$23,MATCH(W227,'NWC_FC_NON-NOOS'!$B$4:$B$23,0),FALSE),0),0)</f>
        <v>0</v>
      </c>
      <c r="AR227" s="57">
        <f>IFERROR(IF($V227="BRAND.com",HLOOKUP($X227&amp;$Z227,'NWC_FC_NON-NOOS'!$T$4:$AH$23,MATCH(W227,'NWC_FC_NON-NOOS'!$S$4:$S$23,0),FALSE),0),0)</f>
        <v>0</v>
      </c>
      <c r="AS227" s="57">
        <f>IFERROR(IF($V227="BRAND.com",HLOOKUP($X227&amp;$Z227,'NWC_FC_NON-NOOS'!$C$50:$U$69,MATCH(W227,'NWC_FC_NON-NOOS'!$B$50:$B$69,0),FALSE),0),0)</f>
        <v>0</v>
      </c>
      <c r="AT227" s="57">
        <f t="shared" si="104"/>
        <v>0</v>
      </c>
      <c r="AU227" s="57">
        <f t="shared" si="105"/>
        <v>0</v>
      </c>
      <c r="AV227" s="58">
        <f>IFERROR(IF($V227="BRAND.com",HLOOKUP($X227&amp;$Z227,PLANNING_FC!$BB$27:$BP$46,MATCH($W227,PLANNING_FC!$BA$27:$BA$46,0),FALSE),0),0)</f>
        <v>0</v>
      </c>
      <c r="AW227" s="58">
        <f>IFERROR(IF($V227="BRAND.com",HLOOKUP($X227&amp;$Z227,PLANNING_FC!$BB$4:$BP$23,MATCH($W227,PLANNING_FC!$BA$4:$BA$23,0),FALSE),0),0)</f>
        <v>0</v>
      </c>
      <c r="AX227" s="58">
        <f>IFERROR(IF($V227="BRAND.com",HLOOKUP($X227&amp;$Z227,PLANNING_FC!$T$27:$AH$46,MATCH($W227,PLANNING_FC!$B$27:$B$46,0),FALSE),0),0)</f>
        <v>0</v>
      </c>
      <c r="AY227" s="58">
        <f>IFERROR(IF($V227="BRAND.com",HLOOKUP($X227&amp;$Z227,PLANNING_FC!$T$4:$AH$23,MATCH($W227,PLANNING_FC!$B$4:$B$23,0),FALSE),0),0)</f>
        <v>0</v>
      </c>
      <c r="AZ227" s="58">
        <f>IFERROR(IF($V227="BRAND.com",HLOOKUP($X227&amp;$Z227,PLANNING_FC!$DA$27:$DO$46,MATCH($W227,PLANNING_FC!$CZ$27:$CZ$46,0),FALSE),0),0)</f>
        <v>0</v>
      </c>
      <c r="BA227" s="58">
        <f>IFERROR(IF($V227="BRAND.com",HLOOKUP($X227&amp;$Z227,PLANNING_FC!$DA$4:$DO$23,MATCH($W227,PLANNING_FC!$CZ$4:$CZ$23,0),FALSE),0),0)</f>
        <v>0</v>
      </c>
      <c r="BB227" s="883" t="str">
        <f>IF(V227="BRAND.com",IFERROR(HLOOKUP(X227&amp;Z227,PLANNING_FC!$AK$4:$AY$23,MATCH(W227,PLANNING_FC!$AJ$4:$AJ$23,0),FALSE)*1000,""),"")</f>
        <v/>
      </c>
      <c r="BC227" s="883" t="str">
        <f>IF(V227="BRAND.com",IFERROR(HLOOKUP(X227&amp;Z227,PLANNING_FC!$AK$27:$AY$46,MATCH(W227,PLANNING_FC!$AJ$27:$AJ$46,0),FALSE)*1000,""),"")</f>
        <v/>
      </c>
    </row>
    <row r="228" spans="1:55" x14ac:dyDescent="0.25">
      <c r="A228" s="509"/>
      <c r="B228" s="509"/>
      <c r="C228" s="509"/>
      <c r="D228" s="509"/>
      <c r="E228" s="509"/>
      <c r="F228" s="509"/>
      <c r="G228" s="509"/>
      <c r="H228" s="509"/>
      <c r="I228" s="512"/>
      <c r="J228" s="513"/>
      <c r="K228" s="879"/>
      <c r="L228" s="515"/>
      <c r="M228" s="516"/>
      <c r="N228" s="56">
        <f t="shared" si="86"/>
        <v>0</v>
      </c>
      <c r="O228" s="57">
        <f t="shared" si="87"/>
        <v>0</v>
      </c>
      <c r="P228" s="57">
        <f ca="1">IFERROR(IF(ISBLANK(H228),SUMIFS($AC:$AC,$V:$V,V228,$W:$W,W228,$X:$X,X228,$Y:$Y,Y228)*J228/(1-J228)*VLOOKUP(_xlfn.CONCAT(C228,D228,E228,TIME!$M$12,Z228),HIS_SALES!$B$2:$W$4859,20,FALSE),AC228*J228/(1-J228)),0)</f>
        <v>0</v>
      </c>
      <c r="Q228" s="541" t="str">
        <f t="shared" si="88"/>
        <v/>
      </c>
      <c r="R228" s="346" t="str">
        <f t="shared" si="89"/>
        <v>00000</v>
      </c>
      <c r="S228" s="344">
        <f t="shared" si="90"/>
        <v>0</v>
      </c>
      <c r="T228" s="345" t="str">
        <f t="shared" si="103"/>
        <v>000</v>
      </c>
      <c r="U228" s="345">
        <f t="shared" si="91"/>
        <v>0</v>
      </c>
      <c r="V228" s="345">
        <f t="shared" si="92"/>
        <v>0</v>
      </c>
      <c r="W228" s="345">
        <f t="shared" si="93"/>
        <v>0</v>
      </c>
      <c r="X228" s="345">
        <f t="shared" si="94"/>
        <v>0</v>
      </c>
      <c r="Y228" s="345">
        <f t="shared" si="95"/>
        <v>0</v>
      </c>
      <c r="Z228" s="345">
        <f>IF(Q228&lt;&gt;"",VLOOKUP(Y228,TIME!$R$21:$V$24,MATCH(FC_DATA!Q228,TIME!$R$20:$V$20,0),FALSE),H228)</f>
        <v>0</v>
      </c>
      <c r="AA228" s="345" t="str">
        <f>IFERROR(VLOOKUP(X228&amp;Z228,TIME!$A$12:$D$71,4,FALSE),"")</f>
        <v/>
      </c>
      <c r="AB228" s="592">
        <f t="shared" ca="1" si="96"/>
        <v>0</v>
      </c>
      <c r="AC228" s="593" t="e">
        <f ca="1">IF(ISBLANK(H228)=FALSE,IF(D228="BRAND.com",I228,IF(ISNA(VLOOKUP(_xlfn.CONCAT(X228,Z228),TIME!$M$40:$M$42,1,FALSE)),I228,VLOOKUP(_xlfn.CONCAT(D228,G228,H228),M_BUSAREA_FC!$AF$5:$AJ$10,5,FALSE)*HLOOKUP(_xlfn.CONCAT(F228,H228),ST_OVERVIEW!$G$99:$I$130,MATCH(_xlfn.CONCAT(D228,E228),ST_OVERVIEW!$F$99:$F$130,0),FALSE))),IF(D228="BRAND.com",VLOOKUP(_xlfn.CONCAT(C228,D228,E228,TIME!$F$1,Z228),HIS_SALES!$B$2:$V$4859,19,FALSE)*I228,VLOOKUP(_xlfn.CONCAT(D228,F228,G228),Q_BUSAREA_FC!$AE$5:$AI$12,5,FALSE)*HLOOKUP(_xlfn.CONCAT(FC_DATA!F228,FC_DATA!G228),LT_OVERVIEW!$I$99:$M$130,MATCH(_xlfn.CONCAT(D228,FC_DATA!E228),LT_OVERVIEW!$H$99:$H$130,0),FALSE)*IFERROR(VLOOKUP(_xlfn.CONCAT(C228,D228,E228,TIME!$F$1,Z228),HIS_SALES!$B$2:$V$4859,19,FALSE),0)))</f>
        <v>#N/A</v>
      </c>
      <c r="AD228" s="341">
        <f t="shared" ca="1" si="97"/>
        <v>0</v>
      </c>
      <c r="AE228" s="363" t="str">
        <f t="shared" si="98"/>
        <v/>
      </c>
      <c r="AF228" s="342" t="str">
        <f t="shared" si="99"/>
        <v/>
      </c>
      <c r="AG228" s="411" t="e">
        <f ca="1">VLOOKUP(_xlfn.CONCAT(U228,V228,W228,VLOOKUP(X228&amp;Y228,TIME!$L$27:$O$34,4,FALSE),Y228),HIS_SALES!$A$2:$R$5093,18,FALSE)</f>
        <v>#N/A</v>
      </c>
      <c r="AH228" s="412" t="e">
        <f ca="1">IFERROR(IF(AND(V228=V227,W228=W227),0.5*(AB228+AB227)*AG228,(VLOOKUP(_xlfn.CONCAT(U228,V228,W228,X228,VLOOKUP(Z228,TIME!$S$28:$T$39,2,FALSE)),FC_DATA!$R$2:$AB$5000,MATCH("GS_I_M",FC_DATA!$R$1:$AB$1,0),FALSE)+FC_DATA!AB228)*0.5*FC_DATA!AG228),NA())</f>
        <v>#N/A</v>
      </c>
      <c r="AI228" s="491" t="e">
        <f ca="1">IF(V228="PARTNER.com",AH228,IF(AND(V228=V227,W228=W227),(1-AVERAGE(AD227,AD228))*AH228,(1-AVERAGE(AD228,VLOOKUP(_xlfn.CONCAT(U228,V228,W228,X228,M_BRAND_FC!$F$6),FC_DATA!$R$2:$AD$5000,MATCH("DISCOUNT_%_M",FC_DATA!$R$1:$AD$1,0),FALSE)))*AH228))</f>
        <v>#N/A</v>
      </c>
      <c r="AJ228" s="412" t="str">
        <f t="shared" ca="1" si="100"/>
        <v/>
      </c>
      <c r="AK228" s="413" t="str">
        <f>IFERROR(AE228/(Q_BRAND_FC!$T$24+1),"")</f>
        <v/>
      </c>
      <c r="AL228" s="88" t="str">
        <f t="shared" ca="1" si="101"/>
        <v/>
      </c>
      <c r="AM228" s="414" t="str">
        <f t="shared" ca="1" si="102"/>
        <v/>
      </c>
      <c r="AN228" s="58">
        <f>IFERROR(IF($V228="BRAND.com",HLOOKUP($X228&amp;$Z228,NWC_FC_NOOS!$C$4:$Q$23,MATCH(W228,NWC_FC_NOOS!$B$4:$B$23,0),FALSE),0),0)</f>
        <v>0</v>
      </c>
      <c r="AO228" s="57">
        <f>IFERROR(IF($V228="BRAND.com",HLOOKUP($X228&amp;$Z228,NWC_FC_NOOS!$T$4:$AH$23,MATCH(W228,NWC_FC_NOOS!$S$4:$S$23,0),FALSE),0),0)</f>
        <v>0</v>
      </c>
      <c r="AP228" s="57">
        <f>IFERROR(IF($V228="BRAND.com",HLOOKUP($X228&amp;$Z228,NWC_FC_NOOS!$C$50:$U$69,MATCH(W228,NWC_FC_NOOS!$B$50:$B$69,0),FALSE),0),0)</f>
        <v>0</v>
      </c>
      <c r="AQ228" s="58">
        <f>IFERROR(IF($V228="BRAND.com",HLOOKUP($X228&amp;$Z228,'NWC_FC_NON-NOOS'!$C$4:$Q$23,MATCH(W228,'NWC_FC_NON-NOOS'!$B$4:$B$23,0),FALSE),0),0)</f>
        <v>0</v>
      </c>
      <c r="AR228" s="57">
        <f>IFERROR(IF($V228="BRAND.com",HLOOKUP($X228&amp;$Z228,'NWC_FC_NON-NOOS'!$T$4:$AH$23,MATCH(W228,'NWC_FC_NON-NOOS'!$S$4:$S$23,0),FALSE),0),0)</f>
        <v>0</v>
      </c>
      <c r="AS228" s="57">
        <f>IFERROR(IF($V228="BRAND.com",HLOOKUP($X228&amp;$Z228,'NWC_FC_NON-NOOS'!$C$50:$U$69,MATCH(W228,'NWC_FC_NON-NOOS'!$B$50:$B$69,0),FALSE),0),0)</f>
        <v>0</v>
      </c>
      <c r="AT228" s="57">
        <f t="shared" si="104"/>
        <v>0</v>
      </c>
      <c r="AU228" s="57">
        <f t="shared" si="105"/>
        <v>0</v>
      </c>
      <c r="AV228" s="58">
        <f>IFERROR(IF($V228="BRAND.com",HLOOKUP($X228&amp;$Z228,PLANNING_FC!$BB$27:$BP$46,MATCH($W228,PLANNING_FC!$BA$27:$BA$46,0),FALSE),0),0)</f>
        <v>0</v>
      </c>
      <c r="AW228" s="58">
        <f>IFERROR(IF($V228="BRAND.com",HLOOKUP($X228&amp;$Z228,PLANNING_FC!$BB$4:$BP$23,MATCH($W228,PLANNING_FC!$BA$4:$BA$23,0),FALSE),0),0)</f>
        <v>0</v>
      </c>
      <c r="AX228" s="58">
        <f>IFERROR(IF($V228="BRAND.com",HLOOKUP($X228&amp;$Z228,PLANNING_FC!$T$27:$AH$46,MATCH($W228,PLANNING_FC!$B$27:$B$46,0),FALSE),0),0)</f>
        <v>0</v>
      </c>
      <c r="AY228" s="58">
        <f>IFERROR(IF($V228="BRAND.com",HLOOKUP($X228&amp;$Z228,PLANNING_FC!$T$4:$AH$23,MATCH($W228,PLANNING_FC!$B$4:$B$23,0),FALSE),0),0)</f>
        <v>0</v>
      </c>
      <c r="AZ228" s="58">
        <f>IFERROR(IF($V228="BRAND.com",HLOOKUP($X228&amp;$Z228,PLANNING_FC!$DA$27:$DO$46,MATCH($W228,PLANNING_FC!$CZ$27:$CZ$46,0),FALSE),0),0)</f>
        <v>0</v>
      </c>
      <c r="BA228" s="58">
        <f>IFERROR(IF($V228="BRAND.com",HLOOKUP($X228&amp;$Z228,PLANNING_FC!$DA$4:$DO$23,MATCH($W228,PLANNING_FC!$CZ$4:$CZ$23,0),FALSE),0),0)</f>
        <v>0</v>
      </c>
      <c r="BB228" s="883" t="str">
        <f>IF(V228="BRAND.com",IFERROR(HLOOKUP(X228&amp;Z228,PLANNING_FC!$AK$4:$AY$23,MATCH(W228,PLANNING_FC!$AJ$4:$AJ$23,0),FALSE)*1000,""),"")</f>
        <v/>
      </c>
      <c r="BC228" s="883" t="str">
        <f>IF(V228="BRAND.com",IFERROR(HLOOKUP(X228&amp;Z228,PLANNING_FC!$AK$27:$AY$46,MATCH(W228,PLANNING_FC!$AJ$27:$AJ$46,0),FALSE)*1000,""),"")</f>
        <v/>
      </c>
    </row>
    <row r="229" spans="1:55" x14ac:dyDescent="0.25">
      <c r="A229" s="509"/>
      <c r="B229" s="509"/>
      <c r="C229" s="509"/>
      <c r="D229" s="509"/>
      <c r="E229" s="509"/>
      <c r="F229" s="509"/>
      <c r="G229" s="509"/>
      <c r="H229" s="509"/>
      <c r="I229" s="512"/>
      <c r="J229" s="513"/>
      <c r="K229" s="879"/>
      <c r="L229" s="515"/>
      <c r="M229" s="516"/>
      <c r="N229" s="56">
        <f t="shared" si="86"/>
        <v>0</v>
      </c>
      <c r="O229" s="57">
        <f t="shared" si="87"/>
        <v>0</v>
      </c>
      <c r="P229" s="57">
        <f ca="1">IFERROR(IF(ISBLANK(H229),SUMIFS($AC:$AC,$V:$V,V229,$W:$W,W229,$X:$X,X229,$Y:$Y,Y229)*J229/(1-J229)*VLOOKUP(_xlfn.CONCAT(C229,D229,E229,TIME!$M$12,Z229),HIS_SALES!$B$2:$W$4859,20,FALSE),AC229*J229/(1-J229)),0)</f>
        <v>0</v>
      </c>
      <c r="Q229" s="541" t="str">
        <f t="shared" si="88"/>
        <v/>
      </c>
      <c r="R229" s="346" t="str">
        <f t="shared" si="89"/>
        <v>00000</v>
      </c>
      <c r="S229" s="344">
        <f t="shared" si="90"/>
        <v>0</v>
      </c>
      <c r="T229" s="345" t="str">
        <f t="shared" si="103"/>
        <v>000</v>
      </c>
      <c r="U229" s="345">
        <f t="shared" si="91"/>
        <v>0</v>
      </c>
      <c r="V229" s="345">
        <f t="shared" si="92"/>
        <v>0</v>
      </c>
      <c r="W229" s="345">
        <f t="shared" si="93"/>
        <v>0</v>
      </c>
      <c r="X229" s="345">
        <f t="shared" si="94"/>
        <v>0</v>
      </c>
      <c r="Y229" s="345">
        <f t="shared" si="95"/>
        <v>0</v>
      </c>
      <c r="Z229" s="345">
        <f>IF(Q229&lt;&gt;"",VLOOKUP(Y229,TIME!$R$21:$V$24,MATCH(FC_DATA!Q229,TIME!$R$20:$V$20,0),FALSE),H229)</f>
        <v>0</v>
      </c>
      <c r="AA229" s="345" t="str">
        <f>IFERROR(VLOOKUP(X229&amp;Z229,TIME!$A$12:$D$71,4,FALSE),"")</f>
        <v/>
      </c>
      <c r="AB229" s="592">
        <f t="shared" ca="1" si="96"/>
        <v>0</v>
      </c>
      <c r="AC229" s="593" t="e">
        <f ca="1">IF(ISBLANK(H229)=FALSE,IF(D229="BRAND.com",I229,IF(ISNA(VLOOKUP(_xlfn.CONCAT(X229,Z229),TIME!$M$40:$M$42,1,FALSE)),I229,VLOOKUP(_xlfn.CONCAT(D229,G229,H229),M_BUSAREA_FC!$AF$5:$AJ$10,5,FALSE)*HLOOKUP(_xlfn.CONCAT(F229,H229),ST_OVERVIEW!$G$99:$I$130,MATCH(_xlfn.CONCAT(D229,E229),ST_OVERVIEW!$F$99:$F$130,0),FALSE))),IF(D229="BRAND.com",VLOOKUP(_xlfn.CONCAT(C229,D229,E229,TIME!$F$1,Z229),HIS_SALES!$B$2:$V$4859,19,FALSE)*I229,VLOOKUP(_xlfn.CONCAT(D229,F229,G229),Q_BUSAREA_FC!$AE$5:$AI$12,5,FALSE)*HLOOKUP(_xlfn.CONCAT(FC_DATA!F229,FC_DATA!G229),LT_OVERVIEW!$I$99:$M$130,MATCH(_xlfn.CONCAT(D229,FC_DATA!E229),LT_OVERVIEW!$H$99:$H$130,0),FALSE)*IFERROR(VLOOKUP(_xlfn.CONCAT(C229,D229,E229,TIME!$F$1,Z229),HIS_SALES!$B$2:$V$4859,19,FALSE),0)))</f>
        <v>#N/A</v>
      </c>
      <c r="AD229" s="341">
        <f t="shared" ca="1" si="97"/>
        <v>0</v>
      </c>
      <c r="AE229" s="363" t="str">
        <f t="shared" si="98"/>
        <v/>
      </c>
      <c r="AF229" s="342" t="str">
        <f t="shared" si="99"/>
        <v/>
      </c>
      <c r="AG229" s="411" t="e">
        <f ca="1">VLOOKUP(_xlfn.CONCAT(U229,V229,W229,VLOOKUP(X229&amp;Y229,TIME!$L$27:$O$34,4,FALSE),Y229),HIS_SALES!$A$2:$R$5093,18,FALSE)</f>
        <v>#N/A</v>
      </c>
      <c r="AH229" s="412" t="e">
        <f ca="1">IFERROR(IF(AND(V229=V228,W229=W228),0.5*(AB229+AB228)*AG229,(VLOOKUP(_xlfn.CONCAT(U229,V229,W229,X229,VLOOKUP(Z229,TIME!$S$28:$T$39,2,FALSE)),FC_DATA!$R$2:$AB$5000,MATCH("GS_I_M",FC_DATA!$R$1:$AB$1,0),FALSE)+FC_DATA!AB229)*0.5*FC_DATA!AG229),NA())</f>
        <v>#N/A</v>
      </c>
      <c r="AI229" s="491" t="e">
        <f ca="1">IF(V229="PARTNER.com",AH229,IF(AND(V229=V228,W229=W228),(1-AVERAGE(AD228,AD229))*AH229,(1-AVERAGE(AD229,VLOOKUP(_xlfn.CONCAT(U229,V229,W229,X229,M_BRAND_FC!$F$6),FC_DATA!$R$2:$AD$5000,MATCH("DISCOUNT_%_M",FC_DATA!$R$1:$AD$1,0),FALSE)))*AH229))</f>
        <v>#N/A</v>
      </c>
      <c r="AJ229" s="412" t="str">
        <f t="shared" ca="1" si="100"/>
        <v/>
      </c>
      <c r="AK229" s="413" t="str">
        <f>IFERROR(AE229/(Q_BRAND_FC!$T$24+1),"")</f>
        <v/>
      </c>
      <c r="AL229" s="88" t="str">
        <f t="shared" ca="1" si="101"/>
        <v/>
      </c>
      <c r="AM229" s="414" t="str">
        <f t="shared" ca="1" si="102"/>
        <v/>
      </c>
      <c r="AN229" s="58">
        <f>IFERROR(IF($V229="BRAND.com",HLOOKUP($X229&amp;$Z229,NWC_FC_NOOS!$C$4:$Q$23,MATCH(W229,NWC_FC_NOOS!$B$4:$B$23,0),FALSE),0),0)</f>
        <v>0</v>
      </c>
      <c r="AO229" s="57">
        <f>IFERROR(IF($V229="BRAND.com",HLOOKUP($X229&amp;$Z229,NWC_FC_NOOS!$T$4:$AH$23,MATCH(W229,NWC_FC_NOOS!$S$4:$S$23,0),FALSE),0),0)</f>
        <v>0</v>
      </c>
      <c r="AP229" s="57">
        <f>IFERROR(IF($V229="BRAND.com",HLOOKUP($X229&amp;$Z229,NWC_FC_NOOS!$C$50:$U$69,MATCH(W229,NWC_FC_NOOS!$B$50:$B$69,0),FALSE),0),0)</f>
        <v>0</v>
      </c>
      <c r="AQ229" s="58">
        <f>IFERROR(IF($V229="BRAND.com",HLOOKUP($X229&amp;$Z229,'NWC_FC_NON-NOOS'!$C$4:$Q$23,MATCH(W229,'NWC_FC_NON-NOOS'!$B$4:$B$23,0),FALSE),0),0)</f>
        <v>0</v>
      </c>
      <c r="AR229" s="57">
        <f>IFERROR(IF($V229="BRAND.com",HLOOKUP($X229&amp;$Z229,'NWC_FC_NON-NOOS'!$T$4:$AH$23,MATCH(W229,'NWC_FC_NON-NOOS'!$S$4:$S$23,0),FALSE),0),0)</f>
        <v>0</v>
      </c>
      <c r="AS229" s="57">
        <f>IFERROR(IF($V229="BRAND.com",HLOOKUP($X229&amp;$Z229,'NWC_FC_NON-NOOS'!$C$50:$U$69,MATCH(W229,'NWC_FC_NON-NOOS'!$B$50:$B$69,0),FALSE),0),0)</f>
        <v>0</v>
      </c>
      <c r="AT229" s="57">
        <f t="shared" si="104"/>
        <v>0</v>
      </c>
      <c r="AU229" s="57">
        <f t="shared" si="105"/>
        <v>0</v>
      </c>
      <c r="AV229" s="58">
        <f>IFERROR(IF($V229="BRAND.com",HLOOKUP($X229&amp;$Z229,PLANNING_FC!$BB$27:$BP$46,MATCH($W229,PLANNING_FC!$BA$27:$BA$46,0),FALSE),0),0)</f>
        <v>0</v>
      </c>
      <c r="AW229" s="58">
        <f>IFERROR(IF($V229="BRAND.com",HLOOKUP($X229&amp;$Z229,PLANNING_FC!$BB$4:$BP$23,MATCH($W229,PLANNING_FC!$BA$4:$BA$23,0),FALSE),0),0)</f>
        <v>0</v>
      </c>
      <c r="AX229" s="58">
        <f>IFERROR(IF($V229="BRAND.com",HLOOKUP($X229&amp;$Z229,PLANNING_FC!$T$27:$AH$46,MATCH($W229,PLANNING_FC!$B$27:$B$46,0),FALSE),0),0)</f>
        <v>0</v>
      </c>
      <c r="AY229" s="58">
        <f>IFERROR(IF($V229="BRAND.com",HLOOKUP($X229&amp;$Z229,PLANNING_FC!$T$4:$AH$23,MATCH($W229,PLANNING_FC!$B$4:$B$23,0),FALSE),0),0)</f>
        <v>0</v>
      </c>
      <c r="AZ229" s="58">
        <f>IFERROR(IF($V229="BRAND.com",HLOOKUP($X229&amp;$Z229,PLANNING_FC!$DA$27:$DO$46,MATCH($W229,PLANNING_FC!$CZ$27:$CZ$46,0),FALSE),0),0)</f>
        <v>0</v>
      </c>
      <c r="BA229" s="58">
        <f>IFERROR(IF($V229="BRAND.com",HLOOKUP($X229&amp;$Z229,PLANNING_FC!$DA$4:$DO$23,MATCH($W229,PLANNING_FC!$CZ$4:$CZ$23,0),FALSE),0),0)</f>
        <v>0</v>
      </c>
      <c r="BB229" s="883" t="str">
        <f>IF(V229="BRAND.com",IFERROR(HLOOKUP(X229&amp;Z229,PLANNING_FC!$AK$4:$AY$23,MATCH(W229,PLANNING_FC!$AJ$4:$AJ$23,0),FALSE)*1000,""),"")</f>
        <v/>
      </c>
      <c r="BC229" s="883" t="str">
        <f>IF(V229="BRAND.com",IFERROR(HLOOKUP(X229&amp;Z229,PLANNING_FC!$AK$27:$AY$46,MATCH(W229,PLANNING_FC!$AJ$27:$AJ$46,0),FALSE)*1000,""),"")</f>
        <v/>
      </c>
    </row>
    <row r="230" spans="1:55" x14ac:dyDescent="0.25">
      <c r="A230" s="509"/>
      <c r="B230" s="509"/>
      <c r="C230" s="509"/>
      <c r="D230" s="509"/>
      <c r="E230" s="509"/>
      <c r="F230" s="509"/>
      <c r="G230" s="509"/>
      <c r="H230" s="509"/>
      <c r="I230" s="512"/>
      <c r="J230" s="513"/>
      <c r="K230" s="879"/>
      <c r="L230" s="515"/>
      <c r="M230" s="516"/>
      <c r="N230" s="56">
        <f t="shared" si="86"/>
        <v>0</v>
      </c>
      <c r="O230" s="57">
        <f t="shared" si="87"/>
        <v>0</v>
      </c>
      <c r="P230" s="57">
        <f ca="1">IFERROR(IF(ISBLANK(H230),SUMIFS($AC:$AC,$V:$V,V230,$W:$W,W230,$X:$X,X230,$Y:$Y,Y230)*J230/(1-J230)*VLOOKUP(_xlfn.CONCAT(C230,D230,E230,TIME!$M$12,Z230),HIS_SALES!$B$2:$W$4859,20,FALSE),AC230*J230/(1-J230)),0)</f>
        <v>0</v>
      </c>
      <c r="Q230" s="541" t="str">
        <f t="shared" si="88"/>
        <v/>
      </c>
      <c r="R230" s="346" t="str">
        <f t="shared" si="89"/>
        <v>00000</v>
      </c>
      <c r="S230" s="344">
        <f t="shared" si="90"/>
        <v>0</v>
      </c>
      <c r="T230" s="345" t="str">
        <f t="shared" si="103"/>
        <v>000</v>
      </c>
      <c r="U230" s="345">
        <f t="shared" si="91"/>
        <v>0</v>
      </c>
      <c r="V230" s="345">
        <f t="shared" si="92"/>
        <v>0</v>
      </c>
      <c r="W230" s="345">
        <f t="shared" si="93"/>
        <v>0</v>
      </c>
      <c r="X230" s="345">
        <f t="shared" si="94"/>
        <v>0</v>
      </c>
      <c r="Y230" s="345">
        <f t="shared" si="95"/>
        <v>0</v>
      </c>
      <c r="Z230" s="345">
        <f>IF(Q230&lt;&gt;"",VLOOKUP(Y230,TIME!$R$21:$V$24,MATCH(FC_DATA!Q230,TIME!$R$20:$V$20,0),FALSE),H230)</f>
        <v>0</v>
      </c>
      <c r="AA230" s="345" t="str">
        <f>IFERROR(VLOOKUP(X230&amp;Z230,TIME!$A$12:$D$71,4,FALSE),"")</f>
        <v/>
      </c>
      <c r="AB230" s="592">
        <f t="shared" ca="1" si="96"/>
        <v>0</v>
      </c>
      <c r="AC230" s="593" t="e">
        <f ca="1">IF(ISBLANK(H230)=FALSE,IF(D230="BRAND.com",I230,IF(ISNA(VLOOKUP(_xlfn.CONCAT(X230,Z230),TIME!$M$40:$M$42,1,FALSE)),I230,VLOOKUP(_xlfn.CONCAT(D230,G230,H230),M_BUSAREA_FC!$AF$5:$AJ$10,5,FALSE)*HLOOKUP(_xlfn.CONCAT(F230,H230),ST_OVERVIEW!$G$99:$I$130,MATCH(_xlfn.CONCAT(D230,E230),ST_OVERVIEW!$F$99:$F$130,0),FALSE))),IF(D230="BRAND.com",VLOOKUP(_xlfn.CONCAT(C230,D230,E230,TIME!$F$1,Z230),HIS_SALES!$B$2:$V$4859,19,FALSE)*I230,VLOOKUP(_xlfn.CONCAT(D230,F230,G230),Q_BUSAREA_FC!$AE$5:$AI$12,5,FALSE)*HLOOKUP(_xlfn.CONCAT(FC_DATA!F230,FC_DATA!G230),LT_OVERVIEW!$I$99:$M$130,MATCH(_xlfn.CONCAT(D230,FC_DATA!E230),LT_OVERVIEW!$H$99:$H$130,0),FALSE)*IFERROR(VLOOKUP(_xlfn.CONCAT(C230,D230,E230,TIME!$F$1,Z230),HIS_SALES!$B$2:$V$4859,19,FALSE),0)))</f>
        <v>#N/A</v>
      </c>
      <c r="AD230" s="341">
        <f t="shared" ca="1" si="97"/>
        <v>0</v>
      </c>
      <c r="AE230" s="363" t="str">
        <f t="shared" si="98"/>
        <v/>
      </c>
      <c r="AF230" s="342" t="str">
        <f t="shared" si="99"/>
        <v/>
      </c>
      <c r="AG230" s="411" t="e">
        <f ca="1">VLOOKUP(_xlfn.CONCAT(U230,V230,W230,VLOOKUP(X230&amp;Y230,TIME!$L$27:$O$34,4,FALSE),Y230),HIS_SALES!$A$2:$R$5093,18,FALSE)</f>
        <v>#N/A</v>
      </c>
      <c r="AH230" s="412" t="e">
        <f ca="1">IFERROR(IF(AND(V230=V229,W230=W229),0.5*(AB230+AB229)*AG230,(VLOOKUP(_xlfn.CONCAT(U230,V230,W230,X230,VLOOKUP(Z230,TIME!$S$28:$T$39,2,FALSE)),FC_DATA!$R$2:$AB$5000,MATCH("GS_I_M",FC_DATA!$R$1:$AB$1,0),FALSE)+FC_DATA!AB230)*0.5*FC_DATA!AG230),NA())</f>
        <v>#N/A</v>
      </c>
      <c r="AI230" s="491" t="e">
        <f ca="1">IF(V230="PARTNER.com",AH230,IF(AND(V230=V229,W230=W229),(1-AVERAGE(AD229,AD230))*AH230,(1-AVERAGE(AD230,VLOOKUP(_xlfn.CONCAT(U230,V230,W230,X230,M_BRAND_FC!$F$6),FC_DATA!$R$2:$AD$5000,MATCH("DISCOUNT_%_M",FC_DATA!$R$1:$AD$1,0),FALSE)))*AH230))</f>
        <v>#N/A</v>
      </c>
      <c r="AJ230" s="412" t="str">
        <f t="shared" ca="1" si="100"/>
        <v/>
      </c>
      <c r="AK230" s="413" t="str">
        <f>IFERROR(AE230/(Q_BRAND_FC!$T$24+1),"")</f>
        <v/>
      </c>
      <c r="AL230" s="88" t="str">
        <f t="shared" ca="1" si="101"/>
        <v/>
      </c>
      <c r="AM230" s="414" t="str">
        <f t="shared" ca="1" si="102"/>
        <v/>
      </c>
      <c r="AN230" s="58">
        <f>IFERROR(IF($V230="BRAND.com",HLOOKUP($X230&amp;$Z230,NWC_FC_NOOS!$C$4:$Q$23,MATCH(W230,NWC_FC_NOOS!$B$4:$B$23,0),FALSE),0),0)</f>
        <v>0</v>
      </c>
      <c r="AO230" s="57">
        <f>IFERROR(IF($V230="BRAND.com",HLOOKUP($X230&amp;$Z230,NWC_FC_NOOS!$T$4:$AH$23,MATCH(W230,NWC_FC_NOOS!$S$4:$S$23,0),FALSE),0),0)</f>
        <v>0</v>
      </c>
      <c r="AP230" s="57">
        <f>IFERROR(IF($V230="BRAND.com",HLOOKUP($X230&amp;$Z230,NWC_FC_NOOS!$C$50:$U$69,MATCH(W230,NWC_FC_NOOS!$B$50:$B$69,0),FALSE),0),0)</f>
        <v>0</v>
      </c>
      <c r="AQ230" s="58">
        <f>IFERROR(IF($V230="BRAND.com",HLOOKUP($X230&amp;$Z230,'NWC_FC_NON-NOOS'!$C$4:$Q$23,MATCH(W230,'NWC_FC_NON-NOOS'!$B$4:$B$23,0),FALSE),0),0)</f>
        <v>0</v>
      </c>
      <c r="AR230" s="57">
        <f>IFERROR(IF($V230="BRAND.com",HLOOKUP($X230&amp;$Z230,'NWC_FC_NON-NOOS'!$T$4:$AH$23,MATCH(W230,'NWC_FC_NON-NOOS'!$S$4:$S$23,0),FALSE),0),0)</f>
        <v>0</v>
      </c>
      <c r="AS230" s="57">
        <f>IFERROR(IF($V230="BRAND.com",HLOOKUP($X230&amp;$Z230,'NWC_FC_NON-NOOS'!$C$50:$U$69,MATCH(W230,'NWC_FC_NON-NOOS'!$B$50:$B$69,0),FALSE),0),0)</f>
        <v>0</v>
      </c>
      <c r="AT230" s="57">
        <f t="shared" si="104"/>
        <v>0</v>
      </c>
      <c r="AU230" s="57">
        <f t="shared" si="105"/>
        <v>0</v>
      </c>
      <c r="AV230" s="58">
        <f>IFERROR(IF($V230="BRAND.com",HLOOKUP($X230&amp;$Z230,PLANNING_FC!$BB$27:$BP$46,MATCH($W230,PLANNING_FC!$BA$27:$BA$46,0),FALSE),0),0)</f>
        <v>0</v>
      </c>
      <c r="AW230" s="58">
        <f>IFERROR(IF($V230="BRAND.com",HLOOKUP($X230&amp;$Z230,PLANNING_FC!$BB$4:$BP$23,MATCH($W230,PLANNING_FC!$BA$4:$BA$23,0),FALSE),0),0)</f>
        <v>0</v>
      </c>
      <c r="AX230" s="58">
        <f>IFERROR(IF($V230="BRAND.com",HLOOKUP($X230&amp;$Z230,PLANNING_FC!$T$27:$AH$46,MATCH($W230,PLANNING_FC!$B$27:$B$46,0),FALSE),0),0)</f>
        <v>0</v>
      </c>
      <c r="AY230" s="58">
        <f>IFERROR(IF($V230="BRAND.com",HLOOKUP($X230&amp;$Z230,PLANNING_FC!$T$4:$AH$23,MATCH($W230,PLANNING_FC!$B$4:$B$23,0),FALSE),0),0)</f>
        <v>0</v>
      </c>
      <c r="AZ230" s="58">
        <f>IFERROR(IF($V230="BRAND.com",HLOOKUP($X230&amp;$Z230,PLANNING_FC!$DA$27:$DO$46,MATCH($W230,PLANNING_FC!$CZ$27:$CZ$46,0),FALSE),0),0)</f>
        <v>0</v>
      </c>
      <c r="BA230" s="58">
        <f>IFERROR(IF($V230="BRAND.com",HLOOKUP($X230&amp;$Z230,PLANNING_FC!$DA$4:$DO$23,MATCH($W230,PLANNING_FC!$CZ$4:$CZ$23,0),FALSE),0),0)</f>
        <v>0</v>
      </c>
      <c r="BB230" s="883" t="str">
        <f>IF(V230="BRAND.com",IFERROR(HLOOKUP(X230&amp;Z230,PLANNING_FC!$AK$4:$AY$23,MATCH(W230,PLANNING_FC!$AJ$4:$AJ$23,0),FALSE)*1000,""),"")</f>
        <v/>
      </c>
      <c r="BC230" s="883" t="str">
        <f>IF(V230="BRAND.com",IFERROR(HLOOKUP(X230&amp;Z230,PLANNING_FC!$AK$27:$AY$46,MATCH(W230,PLANNING_FC!$AJ$27:$AJ$46,0),FALSE)*1000,""),"")</f>
        <v/>
      </c>
    </row>
    <row r="231" spans="1:55" x14ac:dyDescent="0.25">
      <c r="A231" s="509"/>
      <c r="B231" s="509"/>
      <c r="C231" s="509"/>
      <c r="D231" s="509"/>
      <c r="E231" s="509"/>
      <c r="F231" s="509"/>
      <c r="G231" s="509"/>
      <c r="H231" s="509"/>
      <c r="I231" s="512"/>
      <c r="J231" s="513"/>
      <c r="K231" s="879"/>
      <c r="L231" s="515"/>
      <c r="M231" s="516"/>
      <c r="N231" s="56">
        <f t="shared" si="86"/>
        <v>0</v>
      </c>
      <c r="O231" s="57">
        <f t="shared" si="87"/>
        <v>0</v>
      </c>
      <c r="P231" s="57">
        <f ca="1">IFERROR(IF(ISBLANK(H231),SUMIFS($AC:$AC,$V:$V,V231,$W:$W,W231,$X:$X,X231,$Y:$Y,Y231)*J231/(1-J231)*VLOOKUP(_xlfn.CONCAT(C231,D231,E231,TIME!$M$12,Z231),HIS_SALES!$B$2:$W$4859,20,FALSE),AC231*J231/(1-J231)),0)</f>
        <v>0</v>
      </c>
      <c r="Q231" s="541" t="str">
        <f t="shared" si="88"/>
        <v/>
      </c>
      <c r="R231" s="346" t="str">
        <f t="shared" si="89"/>
        <v>00000</v>
      </c>
      <c r="S231" s="344">
        <f t="shared" si="90"/>
        <v>0</v>
      </c>
      <c r="T231" s="345" t="str">
        <f t="shared" si="103"/>
        <v>000</v>
      </c>
      <c r="U231" s="345">
        <f t="shared" si="91"/>
        <v>0</v>
      </c>
      <c r="V231" s="345">
        <f t="shared" si="92"/>
        <v>0</v>
      </c>
      <c r="W231" s="345">
        <f t="shared" si="93"/>
        <v>0</v>
      </c>
      <c r="X231" s="345">
        <f t="shared" si="94"/>
        <v>0</v>
      </c>
      <c r="Y231" s="345">
        <f t="shared" si="95"/>
        <v>0</v>
      </c>
      <c r="Z231" s="345">
        <f>IF(Q231&lt;&gt;"",VLOOKUP(Y231,TIME!$R$21:$V$24,MATCH(FC_DATA!Q231,TIME!$R$20:$V$20,0),FALSE),H231)</f>
        <v>0</v>
      </c>
      <c r="AA231" s="345" t="str">
        <f>IFERROR(VLOOKUP(X231&amp;Z231,TIME!$A$12:$D$71,4,FALSE),"")</f>
        <v/>
      </c>
      <c r="AB231" s="592">
        <f t="shared" ca="1" si="96"/>
        <v>0</v>
      </c>
      <c r="AC231" s="593" t="e">
        <f ca="1">IF(ISBLANK(H231)=FALSE,IF(D231="BRAND.com",I231,IF(ISNA(VLOOKUP(_xlfn.CONCAT(X231,Z231),TIME!$M$40:$M$42,1,FALSE)),I231,VLOOKUP(_xlfn.CONCAT(D231,G231,H231),M_BUSAREA_FC!$AF$5:$AJ$10,5,FALSE)*HLOOKUP(_xlfn.CONCAT(F231,H231),ST_OVERVIEW!$G$99:$I$130,MATCH(_xlfn.CONCAT(D231,E231),ST_OVERVIEW!$F$99:$F$130,0),FALSE))),IF(D231="BRAND.com",VLOOKUP(_xlfn.CONCAT(C231,D231,E231,TIME!$F$1,Z231),HIS_SALES!$B$2:$V$4859,19,FALSE)*I231,VLOOKUP(_xlfn.CONCAT(D231,F231,G231),Q_BUSAREA_FC!$AE$5:$AI$12,5,FALSE)*HLOOKUP(_xlfn.CONCAT(FC_DATA!F231,FC_DATA!G231),LT_OVERVIEW!$I$99:$M$130,MATCH(_xlfn.CONCAT(D231,FC_DATA!E231),LT_OVERVIEW!$H$99:$H$130,0),FALSE)*IFERROR(VLOOKUP(_xlfn.CONCAT(C231,D231,E231,TIME!$F$1,Z231),HIS_SALES!$B$2:$V$4859,19,FALSE),0)))</f>
        <v>#N/A</v>
      </c>
      <c r="AD231" s="341">
        <f t="shared" ca="1" si="97"/>
        <v>0</v>
      </c>
      <c r="AE231" s="363" t="str">
        <f t="shared" si="98"/>
        <v/>
      </c>
      <c r="AF231" s="342" t="str">
        <f t="shared" si="99"/>
        <v/>
      </c>
      <c r="AG231" s="411" t="e">
        <f ca="1">VLOOKUP(_xlfn.CONCAT(U231,V231,W231,VLOOKUP(X231&amp;Y231,TIME!$L$27:$O$34,4,FALSE),Y231),HIS_SALES!$A$2:$R$5093,18,FALSE)</f>
        <v>#N/A</v>
      </c>
      <c r="AH231" s="412" t="e">
        <f ca="1">IFERROR(IF(AND(V231=V230,W231=W230),0.5*(AB231+AB230)*AG231,(VLOOKUP(_xlfn.CONCAT(U231,V231,W231,X231,VLOOKUP(Z231,TIME!$S$28:$T$39,2,FALSE)),FC_DATA!$R$2:$AB$5000,MATCH("GS_I_M",FC_DATA!$R$1:$AB$1,0),FALSE)+FC_DATA!AB231)*0.5*FC_DATA!AG231),NA())</f>
        <v>#N/A</v>
      </c>
      <c r="AI231" s="491" t="e">
        <f ca="1">IF(V231="PARTNER.com",AH231,IF(AND(V231=V230,W231=W230),(1-AVERAGE(AD230,AD231))*AH231,(1-AVERAGE(AD231,VLOOKUP(_xlfn.CONCAT(U231,V231,W231,X231,M_BRAND_FC!$F$6),FC_DATA!$R$2:$AD$5000,MATCH("DISCOUNT_%_M",FC_DATA!$R$1:$AD$1,0),FALSE)))*AH231))</f>
        <v>#N/A</v>
      </c>
      <c r="AJ231" s="412" t="str">
        <f t="shared" ca="1" si="100"/>
        <v/>
      </c>
      <c r="AK231" s="413" t="str">
        <f>IFERROR(AE231/(Q_BRAND_FC!$T$24+1),"")</f>
        <v/>
      </c>
      <c r="AL231" s="88" t="str">
        <f t="shared" ca="1" si="101"/>
        <v/>
      </c>
      <c r="AM231" s="414" t="str">
        <f t="shared" ca="1" si="102"/>
        <v/>
      </c>
      <c r="AN231" s="58">
        <f>IFERROR(IF($V231="BRAND.com",HLOOKUP($X231&amp;$Z231,NWC_FC_NOOS!$C$4:$Q$23,MATCH(W231,NWC_FC_NOOS!$B$4:$B$23,0),FALSE),0),0)</f>
        <v>0</v>
      </c>
      <c r="AO231" s="57">
        <f>IFERROR(IF($V231="BRAND.com",HLOOKUP($X231&amp;$Z231,NWC_FC_NOOS!$T$4:$AH$23,MATCH(W231,NWC_FC_NOOS!$S$4:$S$23,0),FALSE),0),0)</f>
        <v>0</v>
      </c>
      <c r="AP231" s="57">
        <f>IFERROR(IF($V231="BRAND.com",HLOOKUP($X231&amp;$Z231,NWC_FC_NOOS!$C$50:$U$69,MATCH(W231,NWC_FC_NOOS!$B$50:$B$69,0),FALSE),0),0)</f>
        <v>0</v>
      </c>
      <c r="AQ231" s="58">
        <f>IFERROR(IF($V231="BRAND.com",HLOOKUP($X231&amp;$Z231,'NWC_FC_NON-NOOS'!$C$4:$Q$23,MATCH(W231,'NWC_FC_NON-NOOS'!$B$4:$B$23,0),FALSE),0),0)</f>
        <v>0</v>
      </c>
      <c r="AR231" s="57">
        <f>IFERROR(IF($V231="BRAND.com",HLOOKUP($X231&amp;$Z231,'NWC_FC_NON-NOOS'!$T$4:$AH$23,MATCH(W231,'NWC_FC_NON-NOOS'!$S$4:$S$23,0),FALSE),0),0)</f>
        <v>0</v>
      </c>
      <c r="AS231" s="57">
        <f>IFERROR(IF($V231="BRAND.com",HLOOKUP($X231&amp;$Z231,'NWC_FC_NON-NOOS'!$C$50:$U$69,MATCH(W231,'NWC_FC_NON-NOOS'!$B$50:$B$69,0),FALSE),0),0)</f>
        <v>0</v>
      </c>
      <c r="AT231" s="57">
        <f t="shared" si="104"/>
        <v>0</v>
      </c>
      <c r="AU231" s="57">
        <f t="shared" si="105"/>
        <v>0</v>
      </c>
      <c r="AV231" s="58">
        <f>IFERROR(IF($V231="BRAND.com",HLOOKUP($X231&amp;$Z231,PLANNING_FC!$BB$27:$BP$46,MATCH($W231,PLANNING_FC!$BA$27:$BA$46,0),FALSE),0),0)</f>
        <v>0</v>
      </c>
      <c r="AW231" s="58">
        <f>IFERROR(IF($V231="BRAND.com",HLOOKUP($X231&amp;$Z231,PLANNING_FC!$BB$4:$BP$23,MATCH($W231,PLANNING_FC!$BA$4:$BA$23,0),FALSE),0),0)</f>
        <v>0</v>
      </c>
      <c r="AX231" s="58">
        <f>IFERROR(IF($V231="BRAND.com",HLOOKUP($X231&amp;$Z231,PLANNING_FC!$T$27:$AH$46,MATCH($W231,PLANNING_FC!$B$27:$B$46,0),FALSE),0),0)</f>
        <v>0</v>
      </c>
      <c r="AY231" s="58">
        <f>IFERROR(IF($V231="BRAND.com",HLOOKUP($X231&amp;$Z231,PLANNING_FC!$T$4:$AH$23,MATCH($W231,PLANNING_FC!$B$4:$B$23,0),FALSE),0),0)</f>
        <v>0</v>
      </c>
      <c r="AZ231" s="58">
        <f>IFERROR(IF($V231="BRAND.com",HLOOKUP($X231&amp;$Z231,PLANNING_FC!$DA$27:$DO$46,MATCH($W231,PLANNING_FC!$CZ$27:$CZ$46,0),FALSE),0),0)</f>
        <v>0</v>
      </c>
      <c r="BA231" s="58">
        <f>IFERROR(IF($V231="BRAND.com",HLOOKUP($X231&amp;$Z231,PLANNING_FC!$DA$4:$DO$23,MATCH($W231,PLANNING_FC!$CZ$4:$CZ$23,0),FALSE),0),0)</f>
        <v>0</v>
      </c>
      <c r="BB231" s="883" t="str">
        <f>IF(V231="BRAND.com",IFERROR(HLOOKUP(X231&amp;Z231,PLANNING_FC!$AK$4:$AY$23,MATCH(W231,PLANNING_FC!$AJ$4:$AJ$23,0),FALSE)*1000,""),"")</f>
        <v/>
      </c>
      <c r="BC231" s="883" t="str">
        <f>IF(V231="BRAND.com",IFERROR(HLOOKUP(X231&amp;Z231,PLANNING_FC!$AK$27:$AY$46,MATCH(W231,PLANNING_FC!$AJ$27:$AJ$46,0),FALSE)*1000,""),"")</f>
        <v/>
      </c>
    </row>
    <row r="232" spans="1:55" x14ac:dyDescent="0.25">
      <c r="A232" s="509"/>
      <c r="B232" s="509"/>
      <c r="C232" s="509"/>
      <c r="D232" s="509"/>
      <c r="E232" s="509"/>
      <c r="F232" s="509"/>
      <c r="G232" s="509"/>
      <c r="H232" s="509"/>
      <c r="I232" s="512"/>
      <c r="J232" s="513"/>
      <c r="K232" s="879"/>
      <c r="L232" s="515"/>
      <c r="M232" s="516"/>
      <c r="N232" s="56">
        <f t="shared" si="86"/>
        <v>0</v>
      </c>
      <c r="O232" s="57">
        <f t="shared" si="87"/>
        <v>0</v>
      </c>
      <c r="P232" s="57">
        <f ca="1">IFERROR(IF(ISBLANK(H232),SUMIFS($AC:$AC,$V:$V,V232,$W:$W,W232,$X:$X,X232,$Y:$Y,Y232)*J232/(1-J232)*VLOOKUP(_xlfn.CONCAT(C232,D232,E232,TIME!$M$12,Z232),HIS_SALES!$B$2:$W$4859,20,FALSE),AC232*J232/(1-J232)),0)</f>
        <v>0</v>
      </c>
      <c r="Q232" s="541" t="str">
        <f t="shared" si="88"/>
        <v/>
      </c>
      <c r="R232" s="346" t="str">
        <f t="shared" si="89"/>
        <v>00000</v>
      </c>
      <c r="S232" s="344">
        <f t="shared" si="90"/>
        <v>0</v>
      </c>
      <c r="T232" s="345" t="str">
        <f t="shared" si="103"/>
        <v>000</v>
      </c>
      <c r="U232" s="345">
        <f t="shared" si="91"/>
        <v>0</v>
      </c>
      <c r="V232" s="345">
        <f t="shared" si="92"/>
        <v>0</v>
      </c>
      <c r="W232" s="345">
        <f t="shared" si="93"/>
        <v>0</v>
      </c>
      <c r="X232" s="345">
        <f t="shared" si="94"/>
        <v>0</v>
      </c>
      <c r="Y232" s="345">
        <f t="shared" si="95"/>
        <v>0</v>
      </c>
      <c r="Z232" s="345">
        <f>IF(Q232&lt;&gt;"",VLOOKUP(Y232,TIME!$R$21:$V$24,MATCH(FC_DATA!Q232,TIME!$R$20:$V$20,0),FALSE),H232)</f>
        <v>0</v>
      </c>
      <c r="AA232" s="345" t="str">
        <f>IFERROR(VLOOKUP(X232&amp;Z232,TIME!$A$12:$D$71,4,FALSE),"")</f>
        <v/>
      </c>
      <c r="AB232" s="592">
        <f t="shared" ca="1" si="96"/>
        <v>0</v>
      </c>
      <c r="AC232" s="593" t="e">
        <f ca="1">IF(ISBLANK(H232)=FALSE,IF(D232="BRAND.com",I232,IF(ISNA(VLOOKUP(_xlfn.CONCAT(X232,Z232),TIME!$M$40:$M$42,1,FALSE)),I232,VLOOKUP(_xlfn.CONCAT(D232,G232,H232),M_BUSAREA_FC!$AF$5:$AJ$10,5,FALSE)*HLOOKUP(_xlfn.CONCAT(F232,H232),ST_OVERVIEW!$G$99:$I$130,MATCH(_xlfn.CONCAT(D232,E232),ST_OVERVIEW!$F$99:$F$130,0),FALSE))),IF(D232="BRAND.com",VLOOKUP(_xlfn.CONCAT(C232,D232,E232,TIME!$F$1,Z232),HIS_SALES!$B$2:$V$4859,19,FALSE)*I232,VLOOKUP(_xlfn.CONCAT(D232,F232,G232),Q_BUSAREA_FC!$AE$5:$AI$12,5,FALSE)*HLOOKUP(_xlfn.CONCAT(FC_DATA!F232,FC_DATA!G232),LT_OVERVIEW!$I$99:$M$130,MATCH(_xlfn.CONCAT(D232,FC_DATA!E232),LT_OVERVIEW!$H$99:$H$130,0),FALSE)*IFERROR(VLOOKUP(_xlfn.CONCAT(C232,D232,E232,TIME!$F$1,Z232),HIS_SALES!$B$2:$V$4859,19,FALSE),0)))</f>
        <v>#N/A</v>
      </c>
      <c r="AD232" s="341">
        <f t="shared" ca="1" si="97"/>
        <v>0</v>
      </c>
      <c r="AE232" s="363" t="str">
        <f t="shared" si="98"/>
        <v/>
      </c>
      <c r="AF232" s="342" t="str">
        <f t="shared" si="99"/>
        <v/>
      </c>
      <c r="AG232" s="411" t="e">
        <f ca="1">VLOOKUP(_xlfn.CONCAT(U232,V232,W232,VLOOKUP(X232&amp;Y232,TIME!$L$27:$O$34,4,FALSE),Y232),HIS_SALES!$A$2:$R$5093,18,FALSE)</f>
        <v>#N/A</v>
      </c>
      <c r="AH232" s="412" t="e">
        <f ca="1">IFERROR(IF(AND(V232=V231,W232=W231),0.5*(AB232+AB231)*AG232,(VLOOKUP(_xlfn.CONCAT(U232,V232,W232,X232,VLOOKUP(Z232,TIME!$S$28:$T$39,2,FALSE)),FC_DATA!$R$2:$AB$5000,MATCH("GS_I_M",FC_DATA!$R$1:$AB$1,0),FALSE)+FC_DATA!AB232)*0.5*FC_DATA!AG232),NA())</f>
        <v>#N/A</v>
      </c>
      <c r="AI232" s="491" t="e">
        <f ca="1">IF(V232="PARTNER.com",AH232,IF(AND(V232=V231,W232=W231),(1-AVERAGE(AD231,AD232))*AH232,(1-AVERAGE(AD232,VLOOKUP(_xlfn.CONCAT(U232,V232,W232,X232,M_BRAND_FC!$F$6),FC_DATA!$R$2:$AD$5000,MATCH("DISCOUNT_%_M",FC_DATA!$R$1:$AD$1,0),FALSE)))*AH232))</f>
        <v>#N/A</v>
      </c>
      <c r="AJ232" s="412" t="str">
        <f t="shared" ca="1" si="100"/>
        <v/>
      </c>
      <c r="AK232" s="413" t="str">
        <f>IFERROR(AE232/(Q_BRAND_FC!$T$24+1),"")</f>
        <v/>
      </c>
      <c r="AL232" s="88" t="str">
        <f t="shared" ca="1" si="101"/>
        <v/>
      </c>
      <c r="AM232" s="414" t="str">
        <f t="shared" ca="1" si="102"/>
        <v/>
      </c>
      <c r="AN232" s="58">
        <f>IFERROR(IF($V232="BRAND.com",HLOOKUP($X232&amp;$Z232,NWC_FC_NOOS!$C$4:$Q$23,MATCH(W232,NWC_FC_NOOS!$B$4:$B$23,0),FALSE),0),0)</f>
        <v>0</v>
      </c>
      <c r="AO232" s="57">
        <f>IFERROR(IF($V232="BRAND.com",HLOOKUP($X232&amp;$Z232,NWC_FC_NOOS!$T$4:$AH$23,MATCH(W232,NWC_FC_NOOS!$S$4:$S$23,0),FALSE),0),0)</f>
        <v>0</v>
      </c>
      <c r="AP232" s="57">
        <f>IFERROR(IF($V232="BRAND.com",HLOOKUP($X232&amp;$Z232,NWC_FC_NOOS!$C$50:$U$69,MATCH(W232,NWC_FC_NOOS!$B$50:$B$69,0),FALSE),0),0)</f>
        <v>0</v>
      </c>
      <c r="AQ232" s="58">
        <f>IFERROR(IF($V232="BRAND.com",HLOOKUP($X232&amp;$Z232,'NWC_FC_NON-NOOS'!$C$4:$Q$23,MATCH(W232,'NWC_FC_NON-NOOS'!$B$4:$B$23,0),FALSE),0),0)</f>
        <v>0</v>
      </c>
      <c r="AR232" s="57">
        <f>IFERROR(IF($V232="BRAND.com",HLOOKUP($X232&amp;$Z232,'NWC_FC_NON-NOOS'!$T$4:$AH$23,MATCH(W232,'NWC_FC_NON-NOOS'!$S$4:$S$23,0),FALSE),0),0)</f>
        <v>0</v>
      </c>
      <c r="AS232" s="57">
        <f>IFERROR(IF($V232="BRAND.com",HLOOKUP($X232&amp;$Z232,'NWC_FC_NON-NOOS'!$C$50:$U$69,MATCH(W232,'NWC_FC_NON-NOOS'!$B$50:$B$69,0),FALSE),0),0)</f>
        <v>0</v>
      </c>
      <c r="AT232" s="57">
        <f t="shared" si="104"/>
        <v>0</v>
      </c>
      <c r="AU232" s="57">
        <f t="shared" si="105"/>
        <v>0</v>
      </c>
      <c r="AV232" s="58">
        <f>IFERROR(IF($V232="BRAND.com",HLOOKUP($X232&amp;$Z232,PLANNING_FC!$BB$27:$BP$46,MATCH($W232,PLANNING_FC!$BA$27:$BA$46,0),FALSE),0),0)</f>
        <v>0</v>
      </c>
      <c r="AW232" s="58">
        <f>IFERROR(IF($V232="BRAND.com",HLOOKUP($X232&amp;$Z232,PLANNING_FC!$BB$4:$BP$23,MATCH($W232,PLANNING_FC!$BA$4:$BA$23,0),FALSE),0),0)</f>
        <v>0</v>
      </c>
      <c r="AX232" s="58">
        <f>IFERROR(IF($V232="BRAND.com",HLOOKUP($X232&amp;$Z232,PLANNING_FC!$T$27:$AH$46,MATCH($W232,PLANNING_FC!$B$27:$B$46,0),FALSE),0),0)</f>
        <v>0</v>
      </c>
      <c r="AY232" s="58">
        <f>IFERROR(IF($V232="BRAND.com",HLOOKUP($X232&amp;$Z232,PLANNING_FC!$T$4:$AH$23,MATCH($W232,PLANNING_FC!$B$4:$B$23,0),FALSE),0),0)</f>
        <v>0</v>
      </c>
      <c r="AZ232" s="58">
        <f>IFERROR(IF($V232="BRAND.com",HLOOKUP($X232&amp;$Z232,PLANNING_FC!$DA$27:$DO$46,MATCH($W232,PLANNING_FC!$CZ$27:$CZ$46,0),FALSE),0),0)</f>
        <v>0</v>
      </c>
      <c r="BA232" s="58">
        <f>IFERROR(IF($V232="BRAND.com",HLOOKUP($X232&amp;$Z232,PLANNING_FC!$DA$4:$DO$23,MATCH($W232,PLANNING_FC!$CZ$4:$CZ$23,0),FALSE),0),0)</f>
        <v>0</v>
      </c>
      <c r="BB232" s="883" t="str">
        <f>IF(V232="BRAND.com",IFERROR(HLOOKUP(X232&amp;Z232,PLANNING_FC!$AK$4:$AY$23,MATCH(W232,PLANNING_FC!$AJ$4:$AJ$23,0),FALSE)*1000,""),"")</f>
        <v/>
      </c>
      <c r="BC232" s="883" t="str">
        <f>IF(V232="BRAND.com",IFERROR(HLOOKUP(X232&amp;Z232,PLANNING_FC!$AK$27:$AY$46,MATCH(W232,PLANNING_FC!$AJ$27:$AJ$46,0),FALSE)*1000,""),"")</f>
        <v/>
      </c>
    </row>
    <row r="233" spans="1:55" x14ac:dyDescent="0.25">
      <c r="A233" s="509"/>
      <c r="B233" s="509"/>
      <c r="C233" s="509"/>
      <c r="D233" s="509"/>
      <c r="E233" s="509"/>
      <c r="F233" s="509"/>
      <c r="G233" s="509"/>
      <c r="H233" s="509"/>
      <c r="I233" s="512"/>
      <c r="J233" s="513"/>
      <c r="K233" s="879"/>
      <c r="L233" s="515"/>
      <c r="M233" s="516"/>
      <c r="N233" s="56">
        <f t="shared" si="86"/>
        <v>0</v>
      </c>
      <c r="O233" s="57">
        <f t="shared" si="87"/>
        <v>0</v>
      </c>
      <c r="P233" s="57">
        <f ca="1">IFERROR(IF(ISBLANK(H233),SUMIFS($AC:$AC,$V:$V,V233,$W:$W,W233,$X:$X,X233,$Y:$Y,Y233)*J233/(1-J233)*VLOOKUP(_xlfn.CONCAT(C233,D233,E233,TIME!$M$12,Z233),HIS_SALES!$B$2:$W$4859,20,FALSE),AC233*J233/(1-J233)),0)</f>
        <v>0</v>
      </c>
      <c r="Q233" s="541" t="str">
        <f t="shared" si="88"/>
        <v/>
      </c>
      <c r="R233" s="346" t="str">
        <f t="shared" si="89"/>
        <v>00000</v>
      </c>
      <c r="S233" s="344">
        <f t="shared" si="90"/>
        <v>0</v>
      </c>
      <c r="T233" s="345" t="str">
        <f t="shared" si="103"/>
        <v>000</v>
      </c>
      <c r="U233" s="345">
        <f t="shared" si="91"/>
        <v>0</v>
      </c>
      <c r="V233" s="345">
        <f t="shared" si="92"/>
        <v>0</v>
      </c>
      <c r="W233" s="345">
        <f t="shared" si="93"/>
        <v>0</v>
      </c>
      <c r="X233" s="345">
        <f t="shared" si="94"/>
        <v>0</v>
      </c>
      <c r="Y233" s="345">
        <f t="shared" si="95"/>
        <v>0</v>
      </c>
      <c r="Z233" s="345">
        <f>IF(Q233&lt;&gt;"",VLOOKUP(Y233,TIME!$R$21:$V$24,MATCH(FC_DATA!Q233,TIME!$R$20:$V$20,0),FALSE),H233)</f>
        <v>0</v>
      </c>
      <c r="AA233" s="345" t="str">
        <f>IFERROR(VLOOKUP(X233&amp;Z233,TIME!$A$12:$D$71,4,FALSE),"")</f>
        <v/>
      </c>
      <c r="AB233" s="592">
        <f t="shared" ca="1" si="96"/>
        <v>0</v>
      </c>
      <c r="AC233" s="593" t="e">
        <f ca="1">IF(ISBLANK(H233)=FALSE,IF(D233="BRAND.com",I233,IF(ISNA(VLOOKUP(_xlfn.CONCAT(X233,Z233),TIME!$M$40:$M$42,1,FALSE)),I233,VLOOKUP(_xlfn.CONCAT(D233,G233,H233),M_BUSAREA_FC!$AF$5:$AJ$10,5,FALSE)*HLOOKUP(_xlfn.CONCAT(F233,H233),ST_OVERVIEW!$G$99:$I$130,MATCH(_xlfn.CONCAT(D233,E233),ST_OVERVIEW!$F$99:$F$130,0),FALSE))),IF(D233="BRAND.com",VLOOKUP(_xlfn.CONCAT(C233,D233,E233,TIME!$F$1,Z233),HIS_SALES!$B$2:$V$4859,19,FALSE)*I233,VLOOKUP(_xlfn.CONCAT(D233,F233,G233),Q_BUSAREA_FC!$AE$5:$AI$12,5,FALSE)*HLOOKUP(_xlfn.CONCAT(FC_DATA!F233,FC_DATA!G233),LT_OVERVIEW!$I$99:$M$130,MATCH(_xlfn.CONCAT(D233,FC_DATA!E233),LT_OVERVIEW!$H$99:$H$130,0),FALSE)*IFERROR(VLOOKUP(_xlfn.CONCAT(C233,D233,E233,TIME!$F$1,Z233),HIS_SALES!$B$2:$V$4859,19,FALSE),0)))</f>
        <v>#N/A</v>
      </c>
      <c r="AD233" s="341">
        <f t="shared" ca="1" si="97"/>
        <v>0</v>
      </c>
      <c r="AE233" s="363" t="str">
        <f t="shared" si="98"/>
        <v/>
      </c>
      <c r="AF233" s="342" t="str">
        <f t="shared" si="99"/>
        <v/>
      </c>
      <c r="AG233" s="411" t="e">
        <f ca="1">VLOOKUP(_xlfn.CONCAT(U233,V233,W233,VLOOKUP(X233&amp;Y233,TIME!$L$27:$O$34,4,FALSE),Y233),HIS_SALES!$A$2:$R$5093,18,FALSE)</f>
        <v>#N/A</v>
      </c>
      <c r="AH233" s="412" t="e">
        <f ca="1">IFERROR(IF(AND(V233=V232,W233=W232),0.5*(AB233+AB232)*AG233,(VLOOKUP(_xlfn.CONCAT(U233,V233,W233,X233,VLOOKUP(Z233,TIME!$S$28:$T$39,2,FALSE)),FC_DATA!$R$2:$AB$5000,MATCH("GS_I_M",FC_DATA!$R$1:$AB$1,0),FALSE)+FC_DATA!AB233)*0.5*FC_DATA!AG233),NA())</f>
        <v>#N/A</v>
      </c>
      <c r="AI233" s="491" t="e">
        <f ca="1">IF(V233="PARTNER.com",AH233,IF(AND(V233=V232,W233=W232),(1-AVERAGE(AD232,AD233))*AH233,(1-AVERAGE(AD233,VLOOKUP(_xlfn.CONCAT(U233,V233,W233,X233,M_BRAND_FC!$F$6),FC_DATA!$R$2:$AD$5000,MATCH("DISCOUNT_%_M",FC_DATA!$R$1:$AD$1,0),FALSE)))*AH233))</f>
        <v>#N/A</v>
      </c>
      <c r="AJ233" s="412" t="str">
        <f t="shared" ca="1" si="100"/>
        <v/>
      </c>
      <c r="AK233" s="413" t="str">
        <f>IFERROR(AE233/(Q_BRAND_FC!$T$24+1),"")</f>
        <v/>
      </c>
      <c r="AL233" s="88" t="str">
        <f t="shared" ca="1" si="101"/>
        <v/>
      </c>
      <c r="AM233" s="414" t="str">
        <f t="shared" ca="1" si="102"/>
        <v/>
      </c>
      <c r="AN233" s="58">
        <f>IFERROR(IF($V233="BRAND.com",HLOOKUP($X233&amp;$Z233,NWC_FC_NOOS!$C$4:$Q$23,MATCH(W233,NWC_FC_NOOS!$B$4:$B$23,0),FALSE),0),0)</f>
        <v>0</v>
      </c>
      <c r="AO233" s="57">
        <f>IFERROR(IF($V233="BRAND.com",HLOOKUP($X233&amp;$Z233,NWC_FC_NOOS!$T$4:$AH$23,MATCH(W233,NWC_FC_NOOS!$S$4:$S$23,0),FALSE),0),0)</f>
        <v>0</v>
      </c>
      <c r="AP233" s="57">
        <f>IFERROR(IF($V233="BRAND.com",HLOOKUP($X233&amp;$Z233,NWC_FC_NOOS!$C$50:$U$69,MATCH(W233,NWC_FC_NOOS!$B$50:$B$69,0),FALSE),0),0)</f>
        <v>0</v>
      </c>
      <c r="AQ233" s="58">
        <f>IFERROR(IF($V233="BRAND.com",HLOOKUP($X233&amp;$Z233,'NWC_FC_NON-NOOS'!$C$4:$Q$23,MATCH(W233,'NWC_FC_NON-NOOS'!$B$4:$B$23,0),FALSE),0),0)</f>
        <v>0</v>
      </c>
      <c r="AR233" s="57">
        <f>IFERROR(IF($V233="BRAND.com",HLOOKUP($X233&amp;$Z233,'NWC_FC_NON-NOOS'!$T$4:$AH$23,MATCH(W233,'NWC_FC_NON-NOOS'!$S$4:$S$23,0),FALSE),0),0)</f>
        <v>0</v>
      </c>
      <c r="AS233" s="57">
        <f>IFERROR(IF($V233="BRAND.com",HLOOKUP($X233&amp;$Z233,'NWC_FC_NON-NOOS'!$C$50:$U$69,MATCH(W233,'NWC_FC_NON-NOOS'!$B$50:$B$69,0),FALSE),0),0)</f>
        <v>0</v>
      </c>
      <c r="AT233" s="57">
        <f t="shared" si="104"/>
        <v>0</v>
      </c>
      <c r="AU233" s="57">
        <f t="shared" si="105"/>
        <v>0</v>
      </c>
      <c r="AV233" s="58">
        <f>IFERROR(IF($V233="BRAND.com",HLOOKUP($X233&amp;$Z233,PLANNING_FC!$BB$27:$BP$46,MATCH($W233,PLANNING_FC!$BA$27:$BA$46,0),FALSE),0),0)</f>
        <v>0</v>
      </c>
      <c r="AW233" s="58">
        <f>IFERROR(IF($V233="BRAND.com",HLOOKUP($X233&amp;$Z233,PLANNING_FC!$BB$4:$BP$23,MATCH($W233,PLANNING_FC!$BA$4:$BA$23,0),FALSE),0),0)</f>
        <v>0</v>
      </c>
      <c r="AX233" s="58">
        <f>IFERROR(IF($V233="BRAND.com",HLOOKUP($X233&amp;$Z233,PLANNING_FC!$T$27:$AH$46,MATCH($W233,PLANNING_FC!$B$27:$B$46,0),FALSE),0),0)</f>
        <v>0</v>
      </c>
      <c r="AY233" s="58">
        <f>IFERROR(IF($V233="BRAND.com",HLOOKUP($X233&amp;$Z233,PLANNING_FC!$T$4:$AH$23,MATCH($W233,PLANNING_FC!$B$4:$B$23,0),FALSE),0),0)</f>
        <v>0</v>
      </c>
      <c r="AZ233" s="58">
        <f>IFERROR(IF($V233="BRAND.com",HLOOKUP($X233&amp;$Z233,PLANNING_FC!$DA$27:$DO$46,MATCH($W233,PLANNING_FC!$CZ$27:$CZ$46,0),FALSE),0),0)</f>
        <v>0</v>
      </c>
      <c r="BA233" s="58">
        <f>IFERROR(IF($V233="BRAND.com",HLOOKUP($X233&amp;$Z233,PLANNING_FC!$DA$4:$DO$23,MATCH($W233,PLANNING_FC!$CZ$4:$CZ$23,0),FALSE),0),0)</f>
        <v>0</v>
      </c>
      <c r="BB233" s="883" t="str">
        <f>IF(V233="BRAND.com",IFERROR(HLOOKUP(X233&amp;Z233,PLANNING_FC!$AK$4:$AY$23,MATCH(W233,PLANNING_FC!$AJ$4:$AJ$23,0),FALSE)*1000,""),"")</f>
        <v/>
      </c>
      <c r="BC233" s="883" t="str">
        <f>IF(V233="BRAND.com",IFERROR(HLOOKUP(X233&amp;Z233,PLANNING_FC!$AK$27:$AY$46,MATCH(W233,PLANNING_FC!$AJ$27:$AJ$46,0),FALSE)*1000,""),"")</f>
        <v/>
      </c>
    </row>
    <row r="234" spans="1:55" x14ac:dyDescent="0.25">
      <c r="A234" s="509"/>
      <c r="B234" s="509"/>
      <c r="C234" s="509"/>
      <c r="D234" s="509"/>
      <c r="E234" s="509"/>
      <c r="F234" s="509"/>
      <c r="G234" s="509"/>
      <c r="H234" s="509"/>
      <c r="I234" s="512"/>
      <c r="J234" s="513"/>
      <c r="K234" s="879"/>
      <c r="L234" s="515"/>
      <c r="M234" s="516"/>
      <c r="N234" s="56">
        <f t="shared" si="86"/>
        <v>0</v>
      </c>
      <c r="O234" s="57">
        <f t="shared" si="87"/>
        <v>0</v>
      </c>
      <c r="P234" s="57">
        <f ca="1">IFERROR(IF(ISBLANK(H234),SUMIFS($AC:$AC,$V:$V,V234,$W:$W,W234,$X:$X,X234,$Y:$Y,Y234)*J234/(1-J234)*VLOOKUP(_xlfn.CONCAT(C234,D234,E234,TIME!$M$12,Z234),HIS_SALES!$B$2:$W$4859,20,FALSE),AC234*J234/(1-J234)),0)</f>
        <v>0</v>
      </c>
      <c r="Q234" s="541" t="str">
        <f t="shared" si="88"/>
        <v/>
      </c>
      <c r="R234" s="346" t="str">
        <f t="shared" si="89"/>
        <v>00000</v>
      </c>
      <c r="S234" s="344">
        <f t="shared" si="90"/>
        <v>0</v>
      </c>
      <c r="T234" s="345" t="str">
        <f t="shared" si="103"/>
        <v>000</v>
      </c>
      <c r="U234" s="345">
        <f t="shared" si="91"/>
        <v>0</v>
      </c>
      <c r="V234" s="345">
        <f t="shared" si="92"/>
        <v>0</v>
      </c>
      <c r="W234" s="345">
        <f t="shared" si="93"/>
        <v>0</v>
      </c>
      <c r="X234" s="345">
        <f t="shared" si="94"/>
        <v>0</v>
      </c>
      <c r="Y234" s="345">
        <f t="shared" si="95"/>
        <v>0</v>
      </c>
      <c r="Z234" s="345">
        <f>IF(Q234&lt;&gt;"",VLOOKUP(Y234,TIME!$R$21:$V$24,MATCH(FC_DATA!Q234,TIME!$R$20:$V$20,0),FALSE),H234)</f>
        <v>0</v>
      </c>
      <c r="AA234" s="345" t="str">
        <f>IFERROR(VLOOKUP(X234&amp;Z234,TIME!$A$12:$D$71,4,FALSE),"")</f>
        <v/>
      </c>
      <c r="AB234" s="592">
        <f t="shared" ca="1" si="96"/>
        <v>0</v>
      </c>
      <c r="AC234" s="593" t="e">
        <f ca="1">IF(ISBLANK(H234)=FALSE,IF(D234="BRAND.com",I234,IF(ISNA(VLOOKUP(_xlfn.CONCAT(X234,Z234),TIME!$M$40:$M$42,1,FALSE)),I234,VLOOKUP(_xlfn.CONCAT(D234,G234,H234),M_BUSAREA_FC!$AF$5:$AJ$10,5,FALSE)*HLOOKUP(_xlfn.CONCAT(F234,H234),ST_OVERVIEW!$G$99:$I$130,MATCH(_xlfn.CONCAT(D234,E234),ST_OVERVIEW!$F$99:$F$130,0),FALSE))),IF(D234="BRAND.com",VLOOKUP(_xlfn.CONCAT(C234,D234,E234,TIME!$F$1,Z234),HIS_SALES!$B$2:$V$4859,19,FALSE)*I234,VLOOKUP(_xlfn.CONCAT(D234,F234,G234),Q_BUSAREA_FC!$AE$5:$AI$12,5,FALSE)*HLOOKUP(_xlfn.CONCAT(FC_DATA!F234,FC_DATA!G234),LT_OVERVIEW!$I$99:$M$130,MATCH(_xlfn.CONCAT(D234,FC_DATA!E234),LT_OVERVIEW!$H$99:$H$130,0),FALSE)*IFERROR(VLOOKUP(_xlfn.CONCAT(C234,D234,E234,TIME!$F$1,Z234),HIS_SALES!$B$2:$V$4859,19,FALSE),0)))</f>
        <v>#N/A</v>
      </c>
      <c r="AD234" s="341">
        <f t="shared" ca="1" si="97"/>
        <v>0</v>
      </c>
      <c r="AE234" s="363" t="str">
        <f t="shared" si="98"/>
        <v/>
      </c>
      <c r="AF234" s="342" t="str">
        <f t="shared" si="99"/>
        <v/>
      </c>
      <c r="AG234" s="411" t="e">
        <f ca="1">VLOOKUP(_xlfn.CONCAT(U234,V234,W234,VLOOKUP(X234&amp;Y234,TIME!$L$27:$O$34,4,FALSE),Y234),HIS_SALES!$A$2:$R$5093,18,FALSE)</f>
        <v>#N/A</v>
      </c>
      <c r="AH234" s="412" t="e">
        <f ca="1">IFERROR(IF(AND(V234=V233,W234=W233),0.5*(AB234+AB233)*AG234,(VLOOKUP(_xlfn.CONCAT(U234,V234,W234,X234,VLOOKUP(Z234,TIME!$S$28:$T$39,2,FALSE)),FC_DATA!$R$2:$AB$5000,MATCH("GS_I_M",FC_DATA!$R$1:$AB$1,0),FALSE)+FC_DATA!AB234)*0.5*FC_DATA!AG234),NA())</f>
        <v>#N/A</v>
      </c>
      <c r="AI234" s="491" t="e">
        <f ca="1">IF(V234="PARTNER.com",AH234,IF(AND(V234=V233,W234=W233),(1-AVERAGE(AD233,AD234))*AH234,(1-AVERAGE(AD234,VLOOKUP(_xlfn.CONCAT(U234,V234,W234,X234,M_BRAND_FC!$F$6),FC_DATA!$R$2:$AD$5000,MATCH("DISCOUNT_%_M",FC_DATA!$R$1:$AD$1,0),FALSE)))*AH234))</f>
        <v>#N/A</v>
      </c>
      <c r="AJ234" s="412" t="str">
        <f t="shared" ca="1" si="100"/>
        <v/>
      </c>
      <c r="AK234" s="413" t="str">
        <f>IFERROR(AE234/(Q_BRAND_FC!$T$24+1),"")</f>
        <v/>
      </c>
      <c r="AL234" s="88" t="str">
        <f t="shared" ca="1" si="101"/>
        <v/>
      </c>
      <c r="AM234" s="414" t="str">
        <f t="shared" ca="1" si="102"/>
        <v/>
      </c>
      <c r="AN234" s="58">
        <f>IFERROR(IF($V234="BRAND.com",HLOOKUP($X234&amp;$Z234,NWC_FC_NOOS!$C$4:$Q$23,MATCH(W234,NWC_FC_NOOS!$B$4:$B$23,0),FALSE),0),0)</f>
        <v>0</v>
      </c>
      <c r="AO234" s="57">
        <f>IFERROR(IF($V234="BRAND.com",HLOOKUP($X234&amp;$Z234,NWC_FC_NOOS!$T$4:$AH$23,MATCH(W234,NWC_FC_NOOS!$S$4:$S$23,0),FALSE),0),0)</f>
        <v>0</v>
      </c>
      <c r="AP234" s="57">
        <f>IFERROR(IF($V234="BRAND.com",HLOOKUP($X234&amp;$Z234,NWC_FC_NOOS!$C$50:$U$69,MATCH(W234,NWC_FC_NOOS!$B$50:$B$69,0),FALSE),0),0)</f>
        <v>0</v>
      </c>
      <c r="AQ234" s="58">
        <f>IFERROR(IF($V234="BRAND.com",HLOOKUP($X234&amp;$Z234,'NWC_FC_NON-NOOS'!$C$4:$Q$23,MATCH(W234,'NWC_FC_NON-NOOS'!$B$4:$B$23,0),FALSE),0),0)</f>
        <v>0</v>
      </c>
      <c r="AR234" s="57">
        <f>IFERROR(IF($V234="BRAND.com",HLOOKUP($X234&amp;$Z234,'NWC_FC_NON-NOOS'!$T$4:$AH$23,MATCH(W234,'NWC_FC_NON-NOOS'!$S$4:$S$23,0),FALSE),0),0)</f>
        <v>0</v>
      </c>
      <c r="AS234" s="57">
        <f>IFERROR(IF($V234="BRAND.com",HLOOKUP($X234&amp;$Z234,'NWC_FC_NON-NOOS'!$C$50:$U$69,MATCH(W234,'NWC_FC_NON-NOOS'!$B$50:$B$69,0),FALSE),0),0)</f>
        <v>0</v>
      </c>
      <c r="AT234" s="57">
        <f t="shared" si="104"/>
        <v>0</v>
      </c>
      <c r="AU234" s="57">
        <f t="shared" si="105"/>
        <v>0</v>
      </c>
      <c r="AV234" s="58">
        <f>IFERROR(IF($V234="BRAND.com",HLOOKUP($X234&amp;$Z234,PLANNING_FC!$BB$27:$BP$46,MATCH($W234,PLANNING_FC!$BA$27:$BA$46,0),FALSE),0),0)</f>
        <v>0</v>
      </c>
      <c r="AW234" s="58">
        <f>IFERROR(IF($V234="BRAND.com",HLOOKUP($X234&amp;$Z234,PLANNING_FC!$BB$4:$BP$23,MATCH($W234,PLANNING_FC!$BA$4:$BA$23,0),FALSE),0),0)</f>
        <v>0</v>
      </c>
      <c r="AX234" s="58">
        <f>IFERROR(IF($V234="BRAND.com",HLOOKUP($X234&amp;$Z234,PLANNING_FC!$T$27:$AH$46,MATCH($W234,PLANNING_FC!$B$27:$B$46,0),FALSE),0),0)</f>
        <v>0</v>
      </c>
      <c r="AY234" s="58">
        <f>IFERROR(IF($V234="BRAND.com",HLOOKUP($X234&amp;$Z234,PLANNING_FC!$T$4:$AH$23,MATCH($W234,PLANNING_FC!$B$4:$B$23,0),FALSE),0),0)</f>
        <v>0</v>
      </c>
      <c r="AZ234" s="58">
        <f>IFERROR(IF($V234="BRAND.com",HLOOKUP($X234&amp;$Z234,PLANNING_FC!$DA$27:$DO$46,MATCH($W234,PLANNING_FC!$CZ$27:$CZ$46,0),FALSE),0),0)</f>
        <v>0</v>
      </c>
      <c r="BA234" s="58">
        <f>IFERROR(IF($V234="BRAND.com",HLOOKUP($X234&amp;$Z234,PLANNING_FC!$DA$4:$DO$23,MATCH($W234,PLANNING_FC!$CZ$4:$CZ$23,0),FALSE),0),0)</f>
        <v>0</v>
      </c>
      <c r="BB234" s="883" t="str">
        <f>IF(V234="BRAND.com",IFERROR(HLOOKUP(X234&amp;Z234,PLANNING_FC!$AK$4:$AY$23,MATCH(W234,PLANNING_FC!$AJ$4:$AJ$23,0),FALSE)*1000,""),"")</f>
        <v/>
      </c>
      <c r="BC234" s="883" t="str">
        <f>IF(V234="BRAND.com",IFERROR(HLOOKUP(X234&amp;Z234,PLANNING_FC!$AK$27:$AY$46,MATCH(W234,PLANNING_FC!$AJ$27:$AJ$46,0),FALSE)*1000,""),"")</f>
        <v/>
      </c>
    </row>
    <row r="235" spans="1:55" x14ac:dyDescent="0.25">
      <c r="A235" s="509"/>
      <c r="B235" s="509"/>
      <c r="C235" s="509"/>
      <c r="D235" s="509"/>
      <c r="E235" s="509"/>
      <c r="F235" s="509"/>
      <c r="G235" s="509"/>
      <c r="H235" s="509"/>
      <c r="I235" s="512"/>
      <c r="J235" s="513"/>
      <c r="K235" s="879"/>
      <c r="L235" s="515"/>
      <c r="M235" s="516"/>
      <c r="N235" s="56">
        <f t="shared" si="86"/>
        <v>0</v>
      </c>
      <c r="O235" s="57">
        <f t="shared" si="87"/>
        <v>0</v>
      </c>
      <c r="P235" s="57">
        <f ca="1">IFERROR(IF(ISBLANK(H235),SUMIFS($AC:$AC,$V:$V,V235,$W:$W,W235,$X:$X,X235,$Y:$Y,Y235)*J235/(1-J235)*VLOOKUP(_xlfn.CONCAT(C235,D235,E235,TIME!$M$12,Z235),HIS_SALES!$B$2:$W$4859,20,FALSE),AC235*J235/(1-J235)),0)</f>
        <v>0</v>
      </c>
      <c r="Q235" s="541" t="str">
        <f t="shared" si="88"/>
        <v/>
      </c>
      <c r="R235" s="346" t="str">
        <f t="shared" si="89"/>
        <v>00000</v>
      </c>
      <c r="S235" s="344">
        <f t="shared" si="90"/>
        <v>0</v>
      </c>
      <c r="T235" s="345" t="str">
        <f t="shared" si="103"/>
        <v>000</v>
      </c>
      <c r="U235" s="345">
        <f t="shared" si="91"/>
        <v>0</v>
      </c>
      <c r="V235" s="345">
        <f t="shared" si="92"/>
        <v>0</v>
      </c>
      <c r="W235" s="345">
        <f t="shared" si="93"/>
        <v>0</v>
      </c>
      <c r="X235" s="345">
        <f t="shared" si="94"/>
        <v>0</v>
      </c>
      <c r="Y235" s="345">
        <f t="shared" si="95"/>
        <v>0</v>
      </c>
      <c r="Z235" s="345">
        <f>IF(Q235&lt;&gt;"",VLOOKUP(Y235,TIME!$R$21:$V$24,MATCH(FC_DATA!Q235,TIME!$R$20:$V$20,0),FALSE),H235)</f>
        <v>0</v>
      </c>
      <c r="AA235" s="345" t="str">
        <f>IFERROR(VLOOKUP(X235&amp;Z235,TIME!$A$12:$D$71,4,FALSE),"")</f>
        <v/>
      </c>
      <c r="AB235" s="592">
        <f t="shared" ca="1" si="96"/>
        <v>0</v>
      </c>
      <c r="AC235" s="593" t="e">
        <f ca="1">IF(ISBLANK(H235)=FALSE,IF(D235="BRAND.com",I235,IF(ISNA(VLOOKUP(_xlfn.CONCAT(X235,Z235),TIME!$M$40:$M$42,1,FALSE)),I235,VLOOKUP(_xlfn.CONCAT(D235,G235,H235),M_BUSAREA_FC!$AF$5:$AJ$10,5,FALSE)*HLOOKUP(_xlfn.CONCAT(F235,H235),ST_OVERVIEW!$G$99:$I$130,MATCH(_xlfn.CONCAT(D235,E235),ST_OVERVIEW!$F$99:$F$130,0),FALSE))),IF(D235="BRAND.com",VLOOKUP(_xlfn.CONCAT(C235,D235,E235,TIME!$F$1,Z235),HIS_SALES!$B$2:$V$4859,19,FALSE)*I235,VLOOKUP(_xlfn.CONCAT(D235,F235,G235),Q_BUSAREA_FC!$AE$5:$AI$12,5,FALSE)*HLOOKUP(_xlfn.CONCAT(FC_DATA!F235,FC_DATA!G235),LT_OVERVIEW!$I$99:$M$130,MATCH(_xlfn.CONCAT(D235,FC_DATA!E235),LT_OVERVIEW!$H$99:$H$130,0),FALSE)*IFERROR(VLOOKUP(_xlfn.CONCAT(C235,D235,E235,TIME!$F$1,Z235),HIS_SALES!$B$2:$V$4859,19,FALSE),0)))</f>
        <v>#N/A</v>
      </c>
      <c r="AD235" s="341">
        <f t="shared" ca="1" si="97"/>
        <v>0</v>
      </c>
      <c r="AE235" s="363" t="str">
        <f t="shared" si="98"/>
        <v/>
      </c>
      <c r="AF235" s="342" t="str">
        <f t="shared" si="99"/>
        <v/>
      </c>
      <c r="AG235" s="411" t="e">
        <f ca="1">VLOOKUP(_xlfn.CONCAT(U235,V235,W235,VLOOKUP(X235&amp;Y235,TIME!$L$27:$O$34,4,FALSE),Y235),HIS_SALES!$A$2:$R$5093,18,FALSE)</f>
        <v>#N/A</v>
      </c>
      <c r="AH235" s="412" t="e">
        <f ca="1">IFERROR(IF(AND(V235=V234,W235=W234),0.5*(AB235+AB234)*AG235,(VLOOKUP(_xlfn.CONCAT(U235,V235,W235,X235,VLOOKUP(Z235,TIME!$S$28:$T$39,2,FALSE)),FC_DATA!$R$2:$AB$5000,MATCH("GS_I_M",FC_DATA!$R$1:$AB$1,0),FALSE)+FC_DATA!AB235)*0.5*FC_DATA!AG235),NA())</f>
        <v>#N/A</v>
      </c>
      <c r="AI235" s="491" t="e">
        <f ca="1">IF(V235="PARTNER.com",AH235,IF(AND(V235=V234,W235=W234),(1-AVERAGE(AD234,AD235))*AH235,(1-AVERAGE(AD235,VLOOKUP(_xlfn.CONCAT(U235,V235,W235,X235,M_BRAND_FC!$F$6),FC_DATA!$R$2:$AD$5000,MATCH("DISCOUNT_%_M",FC_DATA!$R$1:$AD$1,0),FALSE)))*AH235))</f>
        <v>#N/A</v>
      </c>
      <c r="AJ235" s="412" t="str">
        <f t="shared" ca="1" si="100"/>
        <v/>
      </c>
      <c r="AK235" s="413" t="str">
        <f>IFERROR(AE235/(Q_BRAND_FC!$T$24+1),"")</f>
        <v/>
      </c>
      <c r="AL235" s="88" t="str">
        <f t="shared" ca="1" si="101"/>
        <v/>
      </c>
      <c r="AM235" s="414" t="str">
        <f t="shared" ca="1" si="102"/>
        <v/>
      </c>
      <c r="AN235" s="58">
        <f>IFERROR(IF($V235="BRAND.com",HLOOKUP($X235&amp;$Z235,NWC_FC_NOOS!$C$4:$Q$23,MATCH(W235,NWC_FC_NOOS!$B$4:$B$23,0),FALSE),0),0)</f>
        <v>0</v>
      </c>
      <c r="AO235" s="57">
        <f>IFERROR(IF($V235="BRAND.com",HLOOKUP($X235&amp;$Z235,NWC_FC_NOOS!$T$4:$AH$23,MATCH(W235,NWC_FC_NOOS!$S$4:$S$23,0),FALSE),0),0)</f>
        <v>0</v>
      </c>
      <c r="AP235" s="57">
        <f>IFERROR(IF($V235="BRAND.com",HLOOKUP($X235&amp;$Z235,NWC_FC_NOOS!$C$50:$U$69,MATCH(W235,NWC_FC_NOOS!$B$50:$B$69,0),FALSE),0),0)</f>
        <v>0</v>
      </c>
      <c r="AQ235" s="58">
        <f>IFERROR(IF($V235="BRAND.com",HLOOKUP($X235&amp;$Z235,'NWC_FC_NON-NOOS'!$C$4:$Q$23,MATCH(W235,'NWC_FC_NON-NOOS'!$B$4:$B$23,0),FALSE),0),0)</f>
        <v>0</v>
      </c>
      <c r="AR235" s="57">
        <f>IFERROR(IF($V235="BRAND.com",HLOOKUP($X235&amp;$Z235,'NWC_FC_NON-NOOS'!$T$4:$AH$23,MATCH(W235,'NWC_FC_NON-NOOS'!$S$4:$S$23,0),FALSE),0),0)</f>
        <v>0</v>
      </c>
      <c r="AS235" s="57">
        <f>IFERROR(IF($V235="BRAND.com",HLOOKUP($X235&amp;$Z235,'NWC_FC_NON-NOOS'!$C$50:$U$69,MATCH(W235,'NWC_FC_NON-NOOS'!$B$50:$B$69,0),FALSE),0),0)</f>
        <v>0</v>
      </c>
      <c r="AT235" s="57">
        <f t="shared" si="104"/>
        <v>0</v>
      </c>
      <c r="AU235" s="57">
        <f t="shared" si="105"/>
        <v>0</v>
      </c>
      <c r="AV235" s="58">
        <f>IFERROR(IF($V235="BRAND.com",HLOOKUP($X235&amp;$Z235,PLANNING_FC!$BB$27:$BP$46,MATCH($W235,PLANNING_FC!$BA$27:$BA$46,0),FALSE),0),0)</f>
        <v>0</v>
      </c>
      <c r="AW235" s="58">
        <f>IFERROR(IF($V235="BRAND.com",HLOOKUP($X235&amp;$Z235,PLANNING_FC!$BB$4:$BP$23,MATCH($W235,PLANNING_FC!$BA$4:$BA$23,0),FALSE),0),0)</f>
        <v>0</v>
      </c>
      <c r="AX235" s="58">
        <f>IFERROR(IF($V235="BRAND.com",HLOOKUP($X235&amp;$Z235,PLANNING_FC!$T$27:$AH$46,MATCH($W235,PLANNING_FC!$B$27:$B$46,0),FALSE),0),0)</f>
        <v>0</v>
      </c>
      <c r="AY235" s="58">
        <f>IFERROR(IF($V235="BRAND.com",HLOOKUP($X235&amp;$Z235,PLANNING_FC!$T$4:$AH$23,MATCH($W235,PLANNING_FC!$B$4:$B$23,0),FALSE),0),0)</f>
        <v>0</v>
      </c>
      <c r="AZ235" s="58">
        <f>IFERROR(IF($V235="BRAND.com",HLOOKUP($X235&amp;$Z235,PLANNING_FC!$DA$27:$DO$46,MATCH($W235,PLANNING_FC!$CZ$27:$CZ$46,0),FALSE),0),0)</f>
        <v>0</v>
      </c>
      <c r="BA235" s="58">
        <f>IFERROR(IF($V235="BRAND.com",HLOOKUP($X235&amp;$Z235,PLANNING_FC!$DA$4:$DO$23,MATCH($W235,PLANNING_FC!$CZ$4:$CZ$23,0),FALSE),0),0)</f>
        <v>0</v>
      </c>
      <c r="BB235" s="883" t="str">
        <f>IF(V235="BRAND.com",IFERROR(HLOOKUP(X235&amp;Z235,PLANNING_FC!$AK$4:$AY$23,MATCH(W235,PLANNING_FC!$AJ$4:$AJ$23,0),FALSE)*1000,""),"")</f>
        <v/>
      </c>
      <c r="BC235" s="883" t="str">
        <f>IF(V235="BRAND.com",IFERROR(HLOOKUP(X235&amp;Z235,PLANNING_FC!$AK$27:$AY$46,MATCH(W235,PLANNING_FC!$AJ$27:$AJ$46,0),FALSE)*1000,""),"")</f>
        <v/>
      </c>
    </row>
    <row r="236" spans="1:55" x14ac:dyDescent="0.25">
      <c r="A236" s="509"/>
      <c r="B236" s="509"/>
      <c r="C236" s="509"/>
      <c r="D236" s="509"/>
      <c r="E236" s="509"/>
      <c r="F236" s="509"/>
      <c r="G236" s="509"/>
      <c r="H236" s="509"/>
      <c r="I236" s="512"/>
      <c r="J236" s="513"/>
      <c r="K236" s="879"/>
      <c r="L236" s="515"/>
      <c r="M236" s="516"/>
      <c r="N236" s="56">
        <f t="shared" si="86"/>
        <v>0</v>
      </c>
      <c r="O236" s="57">
        <f t="shared" si="87"/>
        <v>0</v>
      </c>
      <c r="P236" s="57">
        <f ca="1">IFERROR(IF(ISBLANK(H236),SUMIFS($AC:$AC,$V:$V,V236,$W:$W,W236,$X:$X,X236,$Y:$Y,Y236)*J236/(1-J236)*VLOOKUP(_xlfn.CONCAT(C236,D236,E236,TIME!$M$12,Z236),HIS_SALES!$B$2:$W$4859,20,FALSE),AC236*J236/(1-J236)),0)</f>
        <v>0</v>
      </c>
      <c r="Q236" s="541" t="str">
        <f t="shared" si="88"/>
        <v/>
      </c>
      <c r="R236" s="346" t="str">
        <f t="shared" si="89"/>
        <v>00000</v>
      </c>
      <c r="S236" s="344">
        <f t="shared" si="90"/>
        <v>0</v>
      </c>
      <c r="T236" s="345" t="str">
        <f t="shared" si="103"/>
        <v>000</v>
      </c>
      <c r="U236" s="345">
        <f t="shared" si="91"/>
        <v>0</v>
      </c>
      <c r="V236" s="345">
        <f t="shared" si="92"/>
        <v>0</v>
      </c>
      <c r="W236" s="345">
        <f t="shared" si="93"/>
        <v>0</v>
      </c>
      <c r="X236" s="345">
        <f t="shared" si="94"/>
        <v>0</v>
      </c>
      <c r="Y236" s="345">
        <f t="shared" si="95"/>
        <v>0</v>
      </c>
      <c r="Z236" s="345">
        <f>IF(Q236&lt;&gt;"",VLOOKUP(Y236,TIME!$R$21:$V$24,MATCH(FC_DATA!Q236,TIME!$R$20:$V$20,0),FALSE),H236)</f>
        <v>0</v>
      </c>
      <c r="AA236" s="345" t="str">
        <f>IFERROR(VLOOKUP(X236&amp;Z236,TIME!$A$12:$D$71,4,FALSE),"")</f>
        <v/>
      </c>
      <c r="AB236" s="592">
        <f t="shared" ca="1" si="96"/>
        <v>0</v>
      </c>
      <c r="AC236" s="593" t="e">
        <f ca="1">IF(ISBLANK(H236)=FALSE,IF(D236="BRAND.com",I236,IF(ISNA(VLOOKUP(_xlfn.CONCAT(X236,Z236),TIME!$M$40:$M$42,1,FALSE)),I236,VLOOKUP(_xlfn.CONCAT(D236,G236,H236),M_BUSAREA_FC!$AF$5:$AJ$10,5,FALSE)*HLOOKUP(_xlfn.CONCAT(F236,H236),ST_OVERVIEW!$G$99:$I$130,MATCH(_xlfn.CONCAT(D236,E236),ST_OVERVIEW!$F$99:$F$130,0),FALSE))),IF(D236="BRAND.com",VLOOKUP(_xlfn.CONCAT(C236,D236,E236,TIME!$F$1,Z236),HIS_SALES!$B$2:$V$4859,19,FALSE)*I236,VLOOKUP(_xlfn.CONCAT(D236,F236,G236),Q_BUSAREA_FC!$AE$5:$AI$12,5,FALSE)*HLOOKUP(_xlfn.CONCAT(FC_DATA!F236,FC_DATA!G236),LT_OVERVIEW!$I$99:$M$130,MATCH(_xlfn.CONCAT(D236,FC_DATA!E236),LT_OVERVIEW!$H$99:$H$130,0),FALSE)*IFERROR(VLOOKUP(_xlfn.CONCAT(C236,D236,E236,TIME!$F$1,Z236),HIS_SALES!$B$2:$V$4859,19,FALSE),0)))</f>
        <v>#N/A</v>
      </c>
      <c r="AD236" s="341">
        <f t="shared" ca="1" si="97"/>
        <v>0</v>
      </c>
      <c r="AE236" s="363" t="str">
        <f t="shared" si="98"/>
        <v/>
      </c>
      <c r="AF236" s="342" t="str">
        <f t="shared" si="99"/>
        <v/>
      </c>
      <c r="AG236" s="411" t="e">
        <f ca="1">VLOOKUP(_xlfn.CONCAT(U236,V236,W236,VLOOKUP(X236&amp;Y236,TIME!$L$27:$O$34,4,FALSE),Y236),HIS_SALES!$A$2:$R$5093,18,FALSE)</f>
        <v>#N/A</v>
      </c>
      <c r="AH236" s="412" t="e">
        <f ca="1">IFERROR(IF(AND(V236=V235,W236=W235),0.5*(AB236+AB235)*AG236,(VLOOKUP(_xlfn.CONCAT(U236,V236,W236,X236,VLOOKUP(Z236,TIME!$S$28:$T$39,2,FALSE)),FC_DATA!$R$2:$AB$5000,MATCH("GS_I_M",FC_DATA!$R$1:$AB$1,0),FALSE)+FC_DATA!AB236)*0.5*FC_DATA!AG236),NA())</f>
        <v>#N/A</v>
      </c>
      <c r="AI236" s="491" t="e">
        <f ca="1">IF(V236="PARTNER.com",AH236,IF(AND(V236=V235,W236=W235),(1-AVERAGE(AD235,AD236))*AH236,(1-AVERAGE(AD236,VLOOKUP(_xlfn.CONCAT(U236,V236,W236,X236,M_BRAND_FC!$F$6),FC_DATA!$R$2:$AD$5000,MATCH("DISCOUNT_%_M",FC_DATA!$R$1:$AD$1,0),FALSE)))*AH236))</f>
        <v>#N/A</v>
      </c>
      <c r="AJ236" s="412" t="str">
        <f t="shared" ca="1" si="100"/>
        <v/>
      </c>
      <c r="AK236" s="413" t="str">
        <f>IFERROR(AE236/(Q_BRAND_FC!$T$24+1),"")</f>
        <v/>
      </c>
      <c r="AL236" s="88" t="str">
        <f t="shared" ca="1" si="101"/>
        <v/>
      </c>
      <c r="AM236" s="414" t="str">
        <f t="shared" ca="1" si="102"/>
        <v/>
      </c>
      <c r="AN236" s="58">
        <f>IFERROR(IF($V236="BRAND.com",HLOOKUP($X236&amp;$Z236,NWC_FC_NOOS!$C$4:$Q$23,MATCH(W236,NWC_FC_NOOS!$B$4:$B$23,0),FALSE),0),0)</f>
        <v>0</v>
      </c>
      <c r="AO236" s="57">
        <f>IFERROR(IF($V236="BRAND.com",HLOOKUP($X236&amp;$Z236,NWC_FC_NOOS!$T$4:$AH$23,MATCH(W236,NWC_FC_NOOS!$S$4:$S$23,0),FALSE),0),0)</f>
        <v>0</v>
      </c>
      <c r="AP236" s="57">
        <f>IFERROR(IF($V236="BRAND.com",HLOOKUP($X236&amp;$Z236,NWC_FC_NOOS!$C$50:$U$69,MATCH(W236,NWC_FC_NOOS!$B$50:$B$69,0),FALSE),0),0)</f>
        <v>0</v>
      </c>
      <c r="AQ236" s="58">
        <f>IFERROR(IF($V236="BRAND.com",HLOOKUP($X236&amp;$Z236,'NWC_FC_NON-NOOS'!$C$4:$Q$23,MATCH(W236,'NWC_FC_NON-NOOS'!$B$4:$B$23,0),FALSE),0),0)</f>
        <v>0</v>
      </c>
      <c r="AR236" s="57">
        <f>IFERROR(IF($V236="BRAND.com",HLOOKUP($X236&amp;$Z236,'NWC_FC_NON-NOOS'!$T$4:$AH$23,MATCH(W236,'NWC_FC_NON-NOOS'!$S$4:$S$23,0),FALSE),0),0)</f>
        <v>0</v>
      </c>
      <c r="AS236" s="57">
        <f>IFERROR(IF($V236="BRAND.com",HLOOKUP($X236&amp;$Z236,'NWC_FC_NON-NOOS'!$C$50:$U$69,MATCH(W236,'NWC_FC_NON-NOOS'!$B$50:$B$69,0),FALSE),0),0)</f>
        <v>0</v>
      </c>
      <c r="AT236" s="57">
        <f t="shared" si="104"/>
        <v>0</v>
      </c>
      <c r="AU236" s="57">
        <f t="shared" si="105"/>
        <v>0</v>
      </c>
      <c r="AV236" s="58">
        <f>IFERROR(IF($V236="BRAND.com",HLOOKUP($X236&amp;$Z236,PLANNING_FC!$BB$27:$BP$46,MATCH($W236,PLANNING_FC!$BA$27:$BA$46,0),FALSE),0),0)</f>
        <v>0</v>
      </c>
      <c r="AW236" s="58">
        <f>IFERROR(IF($V236="BRAND.com",HLOOKUP($X236&amp;$Z236,PLANNING_FC!$BB$4:$BP$23,MATCH($W236,PLANNING_FC!$BA$4:$BA$23,0),FALSE),0),0)</f>
        <v>0</v>
      </c>
      <c r="AX236" s="58">
        <f>IFERROR(IF($V236="BRAND.com",HLOOKUP($X236&amp;$Z236,PLANNING_FC!$T$27:$AH$46,MATCH($W236,PLANNING_FC!$B$27:$B$46,0),FALSE),0),0)</f>
        <v>0</v>
      </c>
      <c r="AY236" s="58">
        <f>IFERROR(IF($V236="BRAND.com",HLOOKUP($X236&amp;$Z236,PLANNING_FC!$T$4:$AH$23,MATCH($W236,PLANNING_FC!$B$4:$B$23,0),FALSE),0),0)</f>
        <v>0</v>
      </c>
      <c r="AZ236" s="58">
        <f>IFERROR(IF($V236="BRAND.com",HLOOKUP($X236&amp;$Z236,PLANNING_FC!$DA$27:$DO$46,MATCH($W236,PLANNING_FC!$CZ$27:$CZ$46,0),FALSE),0),0)</f>
        <v>0</v>
      </c>
      <c r="BA236" s="58">
        <f>IFERROR(IF($V236="BRAND.com",HLOOKUP($X236&amp;$Z236,PLANNING_FC!$DA$4:$DO$23,MATCH($W236,PLANNING_FC!$CZ$4:$CZ$23,0),FALSE),0),0)</f>
        <v>0</v>
      </c>
      <c r="BB236" s="883" t="str">
        <f>IF(V236="BRAND.com",IFERROR(HLOOKUP(X236&amp;Z236,PLANNING_FC!$AK$4:$AY$23,MATCH(W236,PLANNING_FC!$AJ$4:$AJ$23,0),FALSE)*1000,""),"")</f>
        <v/>
      </c>
      <c r="BC236" s="883" t="str">
        <f>IF(V236="BRAND.com",IFERROR(HLOOKUP(X236&amp;Z236,PLANNING_FC!$AK$27:$AY$46,MATCH(W236,PLANNING_FC!$AJ$27:$AJ$46,0),FALSE)*1000,""),"")</f>
        <v/>
      </c>
    </row>
    <row r="237" spans="1:55" x14ac:dyDescent="0.25">
      <c r="A237" s="509"/>
      <c r="B237" s="509"/>
      <c r="C237" s="509"/>
      <c r="D237" s="509"/>
      <c r="E237" s="509"/>
      <c r="F237" s="509"/>
      <c r="G237" s="509"/>
      <c r="H237" s="509"/>
      <c r="I237" s="512"/>
      <c r="J237" s="513"/>
      <c r="K237" s="879"/>
      <c r="L237" s="515"/>
      <c r="M237" s="516"/>
      <c r="N237" s="56">
        <f t="shared" si="86"/>
        <v>0</v>
      </c>
      <c r="O237" s="57">
        <f t="shared" si="87"/>
        <v>0</v>
      </c>
      <c r="P237" s="57">
        <f ca="1">IFERROR(IF(ISBLANK(H237),SUMIFS($AC:$AC,$V:$V,V237,$W:$W,W237,$X:$X,X237,$Y:$Y,Y237)*J237/(1-J237)*VLOOKUP(_xlfn.CONCAT(C237,D237,E237,TIME!$M$12,Z237),HIS_SALES!$B$2:$W$4859,20,FALSE),AC237*J237/(1-J237)),0)</f>
        <v>0</v>
      </c>
      <c r="Q237" s="541" t="str">
        <f t="shared" si="88"/>
        <v/>
      </c>
      <c r="R237" s="346" t="str">
        <f t="shared" si="89"/>
        <v>00000</v>
      </c>
      <c r="S237" s="344">
        <f t="shared" si="90"/>
        <v>0</v>
      </c>
      <c r="T237" s="345" t="str">
        <f t="shared" si="103"/>
        <v>000</v>
      </c>
      <c r="U237" s="345">
        <f t="shared" si="91"/>
        <v>0</v>
      </c>
      <c r="V237" s="345">
        <f t="shared" si="92"/>
        <v>0</v>
      </c>
      <c r="W237" s="345">
        <f t="shared" si="93"/>
        <v>0</v>
      </c>
      <c r="X237" s="345">
        <f t="shared" si="94"/>
        <v>0</v>
      </c>
      <c r="Y237" s="345">
        <f t="shared" si="95"/>
        <v>0</v>
      </c>
      <c r="Z237" s="345">
        <f>IF(Q237&lt;&gt;"",VLOOKUP(Y237,TIME!$R$21:$V$24,MATCH(FC_DATA!Q237,TIME!$R$20:$V$20,0),FALSE),H237)</f>
        <v>0</v>
      </c>
      <c r="AA237" s="345" t="str">
        <f>IFERROR(VLOOKUP(X237&amp;Z237,TIME!$A$12:$D$71,4,FALSE),"")</f>
        <v/>
      </c>
      <c r="AB237" s="592">
        <f t="shared" ca="1" si="96"/>
        <v>0</v>
      </c>
      <c r="AC237" s="593" t="e">
        <f ca="1">IF(ISBLANK(H237)=FALSE,IF(D237="BRAND.com",I237,IF(ISNA(VLOOKUP(_xlfn.CONCAT(X237,Z237),TIME!$M$40:$M$42,1,FALSE)),I237,VLOOKUP(_xlfn.CONCAT(D237,G237,H237),M_BUSAREA_FC!$AF$5:$AJ$10,5,FALSE)*HLOOKUP(_xlfn.CONCAT(F237,H237),ST_OVERVIEW!$G$99:$I$130,MATCH(_xlfn.CONCAT(D237,E237),ST_OVERVIEW!$F$99:$F$130,0),FALSE))),IF(D237="BRAND.com",VLOOKUP(_xlfn.CONCAT(C237,D237,E237,TIME!$F$1,Z237),HIS_SALES!$B$2:$V$4859,19,FALSE)*I237,VLOOKUP(_xlfn.CONCAT(D237,F237,G237),Q_BUSAREA_FC!$AE$5:$AI$12,5,FALSE)*HLOOKUP(_xlfn.CONCAT(FC_DATA!F237,FC_DATA!G237),LT_OVERVIEW!$I$99:$M$130,MATCH(_xlfn.CONCAT(D237,FC_DATA!E237),LT_OVERVIEW!$H$99:$H$130,0),FALSE)*IFERROR(VLOOKUP(_xlfn.CONCAT(C237,D237,E237,TIME!$F$1,Z237),HIS_SALES!$B$2:$V$4859,19,FALSE),0)))</f>
        <v>#N/A</v>
      </c>
      <c r="AD237" s="341">
        <f t="shared" ca="1" si="97"/>
        <v>0</v>
      </c>
      <c r="AE237" s="363" t="str">
        <f t="shared" si="98"/>
        <v/>
      </c>
      <c r="AF237" s="342" t="str">
        <f t="shared" si="99"/>
        <v/>
      </c>
      <c r="AG237" s="411" t="e">
        <f ca="1">VLOOKUP(_xlfn.CONCAT(U237,V237,W237,VLOOKUP(X237&amp;Y237,TIME!$L$27:$O$34,4,FALSE),Y237),HIS_SALES!$A$2:$R$5093,18,FALSE)</f>
        <v>#N/A</v>
      </c>
      <c r="AH237" s="412" t="e">
        <f ca="1">IFERROR(IF(AND(V237=V236,W237=W236),0.5*(AB237+AB236)*AG237,(VLOOKUP(_xlfn.CONCAT(U237,V237,W237,X237,VLOOKUP(Z237,TIME!$S$28:$T$39,2,FALSE)),FC_DATA!$R$2:$AB$5000,MATCH("GS_I_M",FC_DATA!$R$1:$AB$1,0),FALSE)+FC_DATA!AB237)*0.5*FC_DATA!AG237),NA())</f>
        <v>#N/A</v>
      </c>
      <c r="AI237" s="491" t="e">
        <f ca="1">IF(V237="PARTNER.com",AH237,IF(AND(V237=V236,W237=W236),(1-AVERAGE(AD236,AD237))*AH237,(1-AVERAGE(AD237,VLOOKUP(_xlfn.CONCAT(U237,V237,W237,X237,M_BRAND_FC!$F$6),FC_DATA!$R$2:$AD$5000,MATCH("DISCOUNT_%_M",FC_DATA!$R$1:$AD$1,0),FALSE)))*AH237))</f>
        <v>#N/A</v>
      </c>
      <c r="AJ237" s="412" t="str">
        <f t="shared" ca="1" si="100"/>
        <v/>
      </c>
      <c r="AK237" s="413" t="str">
        <f>IFERROR(AE237/(Q_BRAND_FC!$T$24+1),"")</f>
        <v/>
      </c>
      <c r="AL237" s="88" t="str">
        <f t="shared" ca="1" si="101"/>
        <v/>
      </c>
      <c r="AM237" s="414" t="str">
        <f t="shared" ca="1" si="102"/>
        <v/>
      </c>
      <c r="AN237" s="58">
        <f>IFERROR(IF($V237="BRAND.com",HLOOKUP($X237&amp;$Z237,NWC_FC_NOOS!$C$4:$Q$23,MATCH(W237,NWC_FC_NOOS!$B$4:$B$23,0),FALSE),0),0)</f>
        <v>0</v>
      </c>
      <c r="AO237" s="57">
        <f>IFERROR(IF($V237="BRAND.com",HLOOKUP($X237&amp;$Z237,NWC_FC_NOOS!$T$4:$AH$23,MATCH(W237,NWC_FC_NOOS!$S$4:$S$23,0),FALSE),0),0)</f>
        <v>0</v>
      </c>
      <c r="AP237" s="57">
        <f>IFERROR(IF($V237="BRAND.com",HLOOKUP($X237&amp;$Z237,NWC_FC_NOOS!$C$50:$U$69,MATCH(W237,NWC_FC_NOOS!$B$50:$B$69,0),FALSE),0),0)</f>
        <v>0</v>
      </c>
      <c r="AQ237" s="58">
        <f>IFERROR(IF($V237="BRAND.com",HLOOKUP($X237&amp;$Z237,'NWC_FC_NON-NOOS'!$C$4:$Q$23,MATCH(W237,'NWC_FC_NON-NOOS'!$B$4:$B$23,0),FALSE),0),0)</f>
        <v>0</v>
      </c>
      <c r="AR237" s="57">
        <f>IFERROR(IF($V237="BRAND.com",HLOOKUP($X237&amp;$Z237,'NWC_FC_NON-NOOS'!$T$4:$AH$23,MATCH(W237,'NWC_FC_NON-NOOS'!$S$4:$S$23,0),FALSE),0),0)</f>
        <v>0</v>
      </c>
      <c r="AS237" s="57">
        <f>IFERROR(IF($V237="BRAND.com",HLOOKUP($X237&amp;$Z237,'NWC_FC_NON-NOOS'!$C$50:$U$69,MATCH(W237,'NWC_FC_NON-NOOS'!$B$50:$B$69,0),FALSE),0),0)</f>
        <v>0</v>
      </c>
      <c r="AT237" s="57">
        <f t="shared" si="104"/>
        <v>0</v>
      </c>
      <c r="AU237" s="57">
        <f t="shared" si="105"/>
        <v>0</v>
      </c>
      <c r="AV237" s="58">
        <f>IFERROR(IF($V237="BRAND.com",HLOOKUP($X237&amp;$Z237,PLANNING_FC!$BB$27:$BP$46,MATCH($W237,PLANNING_FC!$BA$27:$BA$46,0),FALSE),0),0)</f>
        <v>0</v>
      </c>
      <c r="AW237" s="58">
        <f>IFERROR(IF($V237="BRAND.com",HLOOKUP($X237&amp;$Z237,PLANNING_FC!$BB$4:$BP$23,MATCH($W237,PLANNING_FC!$BA$4:$BA$23,0),FALSE),0),0)</f>
        <v>0</v>
      </c>
      <c r="AX237" s="58">
        <f>IFERROR(IF($V237="BRAND.com",HLOOKUP($X237&amp;$Z237,PLANNING_FC!$T$27:$AH$46,MATCH($W237,PLANNING_FC!$B$27:$B$46,0),FALSE),0),0)</f>
        <v>0</v>
      </c>
      <c r="AY237" s="58">
        <f>IFERROR(IF($V237="BRAND.com",HLOOKUP($X237&amp;$Z237,PLANNING_FC!$T$4:$AH$23,MATCH($W237,PLANNING_FC!$B$4:$B$23,0),FALSE),0),0)</f>
        <v>0</v>
      </c>
      <c r="AZ237" s="58">
        <f>IFERROR(IF($V237="BRAND.com",HLOOKUP($X237&amp;$Z237,PLANNING_FC!$DA$27:$DO$46,MATCH($W237,PLANNING_FC!$CZ$27:$CZ$46,0),FALSE),0),0)</f>
        <v>0</v>
      </c>
      <c r="BA237" s="58">
        <f>IFERROR(IF($V237="BRAND.com",HLOOKUP($X237&amp;$Z237,PLANNING_FC!$DA$4:$DO$23,MATCH($W237,PLANNING_FC!$CZ$4:$CZ$23,0),FALSE),0),0)</f>
        <v>0</v>
      </c>
      <c r="BB237" s="883" t="str">
        <f>IF(V237="BRAND.com",IFERROR(HLOOKUP(X237&amp;Z237,PLANNING_FC!$AK$4:$AY$23,MATCH(W237,PLANNING_FC!$AJ$4:$AJ$23,0),FALSE)*1000,""),"")</f>
        <v/>
      </c>
      <c r="BC237" s="883" t="str">
        <f>IF(V237="BRAND.com",IFERROR(HLOOKUP(X237&amp;Z237,PLANNING_FC!$AK$27:$AY$46,MATCH(W237,PLANNING_FC!$AJ$27:$AJ$46,0),FALSE)*1000,""),"")</f>
        <v/>
      </c>
    </row>
    <row r="238" spans="1:55" x14ac:dyDescent="0.25">
      <c r="A238" s="509"/>
      <c r="B238" s="509"/>
      <c r="C238" s="509"/>
      <c r="D238" s="509"/>
      <c r="E238" s="509"/>
      <c r="F238" s="509"/>
      <c r="G238" s="509"/>
      <c r="H238" s="509"/>
      <c r="I238" s="512"/>
      <c r="J238" s="513"/>
      <c r="K238" s="879"/>
      <c r="L238" s="515"/>
      <c r="M238" s="516"/>
      <c r="N238" s="56">
        <f t="shared" si="86"/>
        <v>0</v>
      </c>
      <c r="O238" s="57">
        <f t="shared" si="87"/>
        <v>0</v>
      </c>
      <c r="P238" s="57">
        <f ca="1">IFERROR(IF(ISBLANK(H238),SUMIFS($AC:$AC,$V:$V,V238,$W:$W,W238,$X:$X,X238,$Y:$Y,Y238)*J238/(1-J238)*VLOOKUP(_xlfn.CONCAT(C238,D238,E238,TIME!$M$12,Z238),HIS_SALES!$B$2:$W$4859,20,FALSE),AC238*J238/(1-J238)),0)</f>
        <v>0</v>
      </c>
      <c r="Q238" s="541" t="str">
        <f t="shared" si="88"/>
        <v/>
      </c>
      <c r="R238" s="346" t="str">
        <f t="shared" si="89"/>
        <v>00000</v>
      </c>
      <c r="S238" s="344">
        <f t="shared" si="90"/>
        <v>0</v>
      </c>
      <c r="T238" s="345" t="str">
        <f t="shared" si="103"/>
        <v>000</v>
      </c>
      <c r="U238" s="345">
        <f t="shared" si="91"/>
        <v>0</v>
      </c>
      <c r="V238" s="345">
        <f t="shared" si="92"/>
        <v>0</v>
      </c>
      <c r="W238" s="345">
        <f t="shared" si="93"/>
        <v>0</v>
      </c>
      <c r="X238" s="345">
        <f t="shared" si="94"/>
        <v>0</v>
      </c>
      <c r="Y238" s="345">
        <f t="shared" si="95"/>
        <v>0</v>
      </c>
      <c r="Z238" s="345">
        <f>IF(Q238&lt;&gt;"",VLOOKUP(Y238,TIME!$R$21:$V$24,MATCH(FC_DATA!Q238,TIME!$R$20:$V$20,0),FALSE),H238)</f>
        <v>0</v>
      </c>
      <c r="AA238" s="345" t="str">
        <f>IFERROR(VLOOKUP(X238&amp;Z238,TIME!$A$12:$D$71,4,FALSE),"")</f>
        <v/>
      </c>
      <c r="AB238" s="592">
        <f t="shared" ca="1" si="96"/>
        <v>0</v>
      </c>
      <c r="AC238" s="593" t="e">
        <f ca="1">IF(ISBLANK(H238)=FALSE,IF(D238="BRAND.com",I238,IF(ISNA(VLOOKUP(_xlfn.CONCAT(X238,Z238),TIME!$M$40:$M$42,1,FALSE)),I238,VLOOKUP(_xlfn.CONCAT(D238,G238,H238),M_BUSAREA_FC!$AF$5:$AJ$10,5,FALSE)*HLOOKUP(_xlfn.CONCAT(F238,H238),ST_OVERVIEW!$G$99:$I$130,MATCH(_xlfn.CONCAT(D238,E238),ST_OVERVIEW!$F$99:$F$130,0),FALSE))),IF(D238="BRAND.com",VLOOKUP(_xlfn.CONCAT(C238,D238,E238,TIME!$F$1,Z238),HIS_SALES!$B$2:$V$4859,19,FALSE)*I238,VLOOKUP(_xlfn.CONCAT(D238,F238,G238),Q_BUSAREA_FC!$AE$5:$AI$12,5,FALSE)*HLOOKUP(_xlfn.CONCAT(FC_DATA!F238,FC_DATA!G238),LT_OVERVIEW!$I$99:$M$130,MATCH(_xlfn.CONCAT(D238,FC_DATA!E238),LT_OVERVIEW!$H$99:$H$130,0),FALSE)*IFERROR(VLOOKUP(_xlfn.CONCAT(C238,D238,E238,TIME!$F$1,Z238),HIS_SALES!$B$2:$V$4859,19,FALSE),0)))</f>
        <v>#N/A</v>
      </c>
      <c r="AD238" s="341">
        <f t="shared" ca="1" si="97"/>
        <v>0</v>
      </c>
      <c r="AE238" s="363" t="str">
        <f t="shared" si="98"/>
        <v/>
      </c>
      <c r="AF238" s="342" t="str">
        <f t="shared" si="99"/>
        <v/>
      </c>
      <c r="AG238" s="411" t="e">
        <f ca="1">VLOOKUP(_xlfn.CONCAT(U238,V238,W238,VLOOKUP(X238&amp;Y238,TIME!$L$27:$O$34,4,FALSE),Y238),HIS_SALES!$A$2:$R$5093,18,FALSE)</f>
        <v>#N/A</v>
      </c>
      <c r="AH238" s="412" t="e">
        <f ca="1">IFERROR(IF(AND(V238=V237,W238=W237),0.5*(AB238+AB237)*AG238,(VLOOKUP(_xlfn.CONCAT(U238,V238,W238,X238,VLOOKUP(Z238,TIME!$S$28:$T$39,2,FALSE)),FC_DATA!$R$2:$AB$5000,MATCH("GS_I_M",FC_DATA!$R$1:$AB$1,0),FALSE)+FC_DATA!AB238)*0.5*FC_DATA!AG238),NA())</f>
        <v>#N/A</v>
      </c>
      <c r="AI238" s="491" t="e">
        <f ca="1">IF(V238="PARTNER.com",AH238,IF(AND(V238=V237,W238=W237),(1-AVERAGE(AD237,AD238))*AH238,(1-AVERAGE(AD238,VLOOKUP(_xlfn.CONCAT(U238,V238,W238,X238,M_BRAND_FC!$F$6),FC_DATA!$R$2:$AD$5000,MATCH("DISCOUNT_%_M",FC_DATA!$R$1:$AD$1,0),FALSE)))*AH238))</f>
        <v>#N/A</v>
      </c>
      <c r="AJ238" s="412" t="str">
        <f t="shared" ca="1" si="100"/>
        <v/>
      </c>
      <c r="AK238" s="413" t="str">
        <f>IFERROR(AE238/(Q_BRAND_FC!$T$24+1),"")</f>
        <v/>
      </c>
      <c r="AL238" s="88" t="str">
        <f t="shared" ca="1" si="101"/>
        <v/>
      </c>
      <c r="AM238" s="414" t="str">
        <f t="shared" ca="1" si="102"/>
        <v/>
      </c>
      <c r="AN238" s="58">
        <f>IFERROR(IF($V238="BRAND.com",HLOOKUP($X238&amp;$Z238,NWC_FC_NOOS!$C$4:$Q$23,MATCH(W238,NWC_FC_NOOS!$B$4:$B$23,0),FALSE),0),0)</f>
        <v>0</v>
      </c>
      <c r="AO238" s="57">
        <f>IFERROR(IF($V238="BRAND.com",HLOOKUP($X238&amp;$Z238,NWC_FC_NOOS!$T$4:$AH$23,MATCH(W238,NWC_FC_NOOS!$S$4:$S$23,0),FALSE),0),0)</f>
        <v>0</v>
      </c>
      <c r="AP238" s="57">
        <f>IFERROR(IF($V238="BRAND.com",HLOOKUP($X238&amp;$Z238,NWC_FC_NOOS!$C$50:$U$69,MATCH(W238,NWC_FC_NOOS!$B$50:$B$69,0),FALSE),0),0)</f>
        <v>0</v>
      </c>
      <c r="AQ238" s="58">
        <f>IFERROR(IF($V238="BRAND.com",HLOOKUP($X238&amp;$Z238,'NWC_FC_NON-NOOS'!$C$4:$Q$23,MATCH(W238,'NWC_FC_NON-NOOS'!$B$4:$B$23,0),FALSE),0),0)</f>
        <v>0</v>
      </c>
      <c r="AR238" s="57">
        <f>IFERROR(IF($V238="BRAND.com",HLOOKUP($X238&amp;$Z238,'NWC_FC_NON-NOOS'!$T$4:$AH$23,MATCH(W238,'NWC_FC_NON-NOOS'!$S$4:$S$23,0),FALSE),0),0)</f>
        <v>0</v>
      </c>
      <c r="AS238" s="57">
        <f>IFERROR(IF($V238="BRAND.com",HLOOKUP($X238&amp;$Z238,'NWC_FC_NON-NOOS'!$C$50:$U$69,MATCH(W238,'NWC_FC_NON-NOOS'!$B$50:$B$69,0),FALSE),0),0)</f>
        <v>0</v>
      </c>
      <c r="AT238" s="57">
        <f t="shared" si="104"/>
        <v>0</v>
      </c>
      <c r="AU238" s="57">
        <f t="shared" si="105"/>
        <v>0</v>
      </c>
      <c r="AV238" s="58">
        <f>IFERROR(IF($V238="BRAND.com",HLOOKUP($X238&amp;$Z238,PLANNING_FC!$BB$27:$BP$46,MATCH($W238,PLANNING_FC!$BA$27:$BA$46,0),FALSE),0),0)</f>
        <v>0</v>
      </c>
      <c r="AW238" s="58">
        <f>IFERROR(IF($V238="BRAND.com",HLOOKUP($X238&amp;$Z238,PLANNING_FC!$BB$4:$BP$23,MATCH($W238,PLANNING_FC!$BA$4:$BA$23,0),FALSE),0),0)</f>
        <v>0</v>
      </c>
      <c r="AX238" s="58">
        <f>IFERROR(IF($V238="BRAND.com",HLOOKUP($X238&amp;$Z238,PLANNING_FC!$T$27:$AH$46,MATCH($W238,PLANNING_FC!$B$27:$B$46,0),FALSE),0),0)</f>
        <v>0</v>
      </c>
      <c r="AY238" s="58">
        <f>IFERROR(IF($V238="BRAND.com",HLOOKUP($X238&amp;$Z238,PLANNING_FC!$T$4:$AH$23,MATCH($W238,PLANNING_FC!$B$4:$B$23,0),FALSE),0),0)</f>
        <v>0</v>
      </c>
      <c r="AZ238" s="58">
        <f>IFERROR(IF($V238="BRAND.com",HLOOKUP($X238&amp;$Z238,PLANNING_FC!$DA$27:$DO$46,MATCH($W238,PLANNING_FC!$CZ$27:$CZ$46,0),FALSE),0),0)</f>
        <v>0</v>
      </c>
      <c r="BA238" s="58">
        <f>IFERROR(IF($V238="BRAND.com",HLOOKUP($X238&amp;$Z238,PLANNING_FC!$DA$4:$DO$23,MATCH($W238,PLANNING_FC!$CZ$4:$CZ$23,0),FALSE),0),0)</f>
        <v>0</v>
      </c>
      <c r="BB238" s="883" t="str">
        <f>IF(V238="BRAND.com",IFERROR(HLOOKUP(X238&amp;Z238,PLANNING_FC!$AK$4:$AY$23,MATCH(W238,PLANNING_FC!$AJ$4:$AJ$23,0),FALSE)*1000,""),"")</f>
        <v/>
      </c>
      <c r="BC238" s="883" t="str">
        <f>IF(V238="BRAND.com",IFERROR(HLOOKUP(X238&amp;Z238,PLANNING_FC!$AK$27:$AY$46,MATCH(W238,PLANNING_FC!$AJ$27:$AJ$46,0),FALSE)*1000,""),"")</f>
        <v/>
      </c>
    </row>
    <row r="239" spans="1:55" x14ac:dyDescent="0.25">
      <c r="A239" s="509"/>
      <c r="B239" s="509"/>
      <c r="C239" s="509"/>
      <c r="D239" s="509"/>
      <c r="E239" s="509"/>
      <c r="F239" s="509"/>
      <c r="G239" s="509"/>
      <c r="H239" s="509"/>
      <c r="I239" s="512"/>
      <c r="J239" s="513"/>
      <c r="K239" s="879"/>
      <c r="L239" s="515"/>
      <c r="M239" s="516"/>
      <c r="N239" s="56">
        <f t="shared" si="86"/>
        <v>0</v>
      </c>
      <c r="O239" s="57">
        <f t="shared" si="87"/>
        <v>0</v>
      </c>
      <c r="P239" s="57">
        <f ca="1">IFERROR(IF(ISBLANK(H239),SUMIFS($AC:$AC,$V:$V,V239,$W:$W,W239,$X:$X,X239,$Y:$Y,Y239)*J239/(1-J239)*VLOOKUP(_xlfn.CONCAT(C239,D239,E239,TIME!$M$12,Z239),HIS_SALES!$B$2:$W$4859,20,FALSE),AC239*J239/(1-J239)),0)</f>
        <v>0</v>
      </c>
      <c r="Q239" s="541" t="str">
        <f t="shared" si="88"/>
        <v/>
      </c>
      <c r="R239" s="346" t="str">
        <f t="shared" si="89"/>
        <v>00000</v>
      </c>
      <c r="S239" s="344">
        <f t="shared" si="90"/>
        <v>0</v>
      </c>
      <c r="T239" s="345" t="str">
        <f t="shared" si="103"/>
        <v>000</v>
      </c>
      <c r="U239" s="345">
        <f t="shared" si="91"/>
        <v>0</v>
      </c>
      <c r="V239" s="345">
        <f t="shared" si="92"/>
        <v>0</v>
      </c>
      <c r="W239" s="345">
        <f t="shared" si="93"/>
        <v>0</v>
      </c>
      <c r="X239" s="345">
        <f t="shared" si="94"/>
        <v>0</v>
      </c>
      <c r="Y239" s="345">
        <f t="shared" si="95"/>
        <v>0</v>
      </c>
      <c r="Z239" s="345">
        <f>IF(Q239&lt;&gt;"",VLOOKUP(Y239,TIME!$R$21:$V$24,MATCH(FC_DATA!Q239,TIME!$R$20:$V$20,0),FALSE),H239)</f>
        <v>0</v>
      </c>
      <c r="AA239" s="345" t="str">
        <f>IFERROR(VLOOKUP(X239&amp;Z239,TIME!$A$12:$D$71,4,FALSE),"")</f>
        <v/>
      </c>
      <c r="AB239" s="592">
        <f t="shared" ca="1" si="96"/>
        <v>0</v>
      </c>
      <c r="AC239" s="593" t="e">
        <f ca="1">IF(ISBLANK(H239)=FALSE,IF(D239="BRAND.com",I239,IF(ISNA(VLOOKUP(_xlfn.CONCAT(X239,Z239),TIME!$M$40:$M$42,1,FALSE)),I239,VLOOKUP(_xlfn.CONCAT(D239,G239,H239),M_BUSAREA_FC!$AF$5:$AJ$10,5,FALSE)*HLOOKUP(_xlfn.CONCAT(F239,H239),ST_OVERVIEW!$G$99:$I$130,MATCH(_xlfn.CONCAT(D239,E239),ST_OVERVIEW!$F$99:$F$130,0),FALSE))),IF(D239="BRAND.com",VLOOKUP(_xlfn.CONCAT(C239,D239,E239,TIME!$F$1,Z239),HIS_SALES!$B$2:$V$4859,19,FALSE)*I239,VLOOKUP(_xlfn.CONCAT(D239,F239,G239),Q_BUSAREA_FC!$AE$5:$AI$12,5,FALSE)*HLOOKUP(_xlfn.CONCAT(FC_DATA!F239,FC_DATA!G239),LT_OVERVIEW!$I$99:$M$130,MATCH(_xlfn.CONCAT(D239,FC_DATA!E239),LT_OVERVIEW!$H$99:$H$130,0),FALSE)*IFERROR(VLOOKUP(_xlfn.CONCAT(C239,D239,E239,TIME!$F$1,Z239),HIS_SALES!$B$2:$V$4859,19,FALSE),0)))</f>
        <v>#N/A</v>
      </c>
      <c r="AD239" s="341">
        <f t="shared" ca="1" si="97"/>
        <v>0</v>
      </c>
      <c r="AE239" s="363" t="str">
        <f t="shared" si="98"/>
        <v/>
      </c>
      <c r="AF239" s="342" t="str">
        <f t="shared" si="99"/>
        <v/>
      </c>
      <c r="AG239" s="411" t="e">
        <f ca="1">VLOOKUP(_xlfn.CONCAT(U239,V239,W239,VLOOKUP(X239&amp;Y239,TIME!$L$27:$O$34,4,FALSE),Y239),HIS_SALES!$A$2:$R$5093,18,FALSE)</f>
        <v>#N/A</v>
      </c>
      <c r="AH239" s="412" t="e">
        <f ca="1">IFERROR(IF(AND(V239=V238,W239=W238),0.5*(AB239+AB238)*AG239,(VLOOKUP(_xlfn.CONCAT(U239,V239,W239,X239,VLOOKUP(Z239,TIME!$S$28:$T$39,2,FALSE)),FC_DATA!$R$2:$AB$5000,MATCH("GS_I_M",FC_DATA!$R$1:$AB$1,0),FALSE)+FC_DATA!AB239)*0.5*FC_DATA!AG239),NA())</f>
        <v>#N/A</v>
      </c>
      <c r="AI239" s="491" t="e">
        <f ca="1">IF(V239="PARTNER.com",AH239,IF(AND(V239=V238,W239=W238),(1-AVERAGE(AD238,AD239))*AH239,(1-AVERAGE(AD239,VLOOKUP(_xlfn.CONCAT(U239,V239,W239,X239,M_BRAND_FC!$F$6),FC_DATA!$R$2:$AD$5000,MATCH("DISCOUNT_%_M",FC_DATA!$R$1:$AD$1,0),FALSE)))*AH239))</f>
        <v>#N/A</v>
      </c>
      <c r="AJ239" s="412" t="str">
        <f t="shared" ca="1" si="100"/>
        <v/>
      </c>
      <c r="AK239" s="413" t="str">
        <f>IFERROR(AE239/(Q_BRAND_FC!$T$24+1),"")</f>
        <v/>
      </c>
      <c r="AL239" s="88" t="str">
        <f t="shared" ca="1" si="101"/>
        <v/>
      </c>
      <c r="AM239" s="414" t="str">
        <f t="shared" ca="1" si="102"/>
        <v/>
      </c>
      <c r="AN239" s="58">
        <f>IFERROR(IF($V239="BRAND.com",HLOOKUP($X239&amp;$Z239,NWC_FC_NOOS!$C$4:$Q$23,MATCH(W239,NWC_FC_NOOS!$B$4:$B$23,0),FALSE),0),0)</f>
        <v>0</v>
      </c>
      <c r="AO239" s="57">
        <f>IFERROR(IF($V239="BRAND.com",HLOOKUP($X239&amp;$Z239,NWC_FC_NOOS!$T$4:$AH$23,MATCH(W239,NWC_FC_NOOS!$S$4:$S$23,0),FALSE),0),0)</f>
        <v>0</v>
      </c>
      <c r="AP239" s="57">
        <f>IFERROR(IF($V239="BRAND.com",HLOOKUP($X239&amp;$Z239,NWC_FC_NOOS!$C$50:$U$69,MATCH(W239,NWC_FC_NOOS!$B$50:$B$69,0),FALSE),0),0)</f>
        <v>0</v>
      </c>
      <c r="AQ239" s="58">
        <f>IFERROR(IF($V239="BRAND.com",HLOOKUP($X239&amp;$Z239,'NWC_FC_NON-NOOS'!$C$4:$Q$23,MATCH(W239,'NWC_FC_NON-NOOS'!$B$4:$B$23,0),FALSE),0),0)</f>
        <v>0</v>
      </c>
      <c r="AR239" s="57">
        <f>IFERROR(IF($V239="BRAND.com",HLOOKUP($X239&amp;$Z239,'NWC_FC_NON-NOOS'!$T$4:$AH$23,MATCH(W239,'NWC_FC_NON-NOOS'!$S$4:$S$23,0),FALSE),0),0)</f>
        <v>0</v>
      </c>
      <c r="AS239" s="57">
        <f>IFERROR(IF($V239="BRAND.com",HLOOKUP($X239&amp;$Z239,'NWC_FC_NON-NOOS'!$C$50:$U$69,MATCH(W239,'NWC_FC_NON-NOOS'!$B$50:$B$69,0),FALSE),0),0)</f>
        <v>0</v>
      </c>
      <c r="AT239" s="57">
        <f t="shared" si="104"/>
        <v>0</v>
      </c>
      <c r="AU239" s="57">
        <f t="shared" si="105"/>
        <v>0</v>
      </c>
      <c r="AV239" s="58">
        <f>IFERROR(IF($V239="BRAND.com",HLOOKUP($X239&amp;$Z239,PLANNING_FC!$BB$27:$BP$46,MATCH($W239,PLANNING_FC!$BA$27:$BA$46,0),FALSE),0),0)</f>
        <v>0</v>
      </c>
      <c r="AW239" s="58">
        <f>IFERROR(IF($V239="BRAND.com",HLOOKUP($X239&amp;$Z239,PLANNING_FC!$BB$4:$BP$23,MATCH($W239,PLANNING_FC!$BA$4:$BA$23,0),FALSE),0),0)</f>
        <v>0</v>
      </c>
      <c r="AX239" s="58">
        <f>IFERROR(IF($V239="BRAND.com",HLOOKUP($X239&amp;$Z239,PLANNING_FC!$T$27:$AH$46,MATCH($W239,PLANNING_FC!$B$27:$B$46,0),FALSE),0),0)</f>
        <v>0</v>
      </c>
      <c r="AY239" s="58">
        <f>IFERROR(IF($V239="BRAND.com",HLOOKUP($X239&amp;$Z239,PLANNING_FC!$T$4:$AH$23,MATCH($W239,PLANNING_FC!$B$4:$B$23,0),FALSE),0),0)</f>
        <v>0</v>
      </c>
      <c r="AZ239" s="58">
        <f>IFERROR(IF($V239="BRAND.com",HLOOKUP($X239&amp;$Z239,PLANNING_FC!$DA$27:$DO$46,MATCH($W239,PLANNING_FC!$CZ$27:$CZ$46,0),FALSE),0),0)</f>
        <v>0</v>
      </c>
      <c r="BA239" s="58">
        <f>IFERROR(IF($V239="BRAND.com",HLOOKUP($X239&amp;$Z239,PLANNING_FC!$DA$4:$DO$23,MATCH($W239,PLANNING_FC!$CZ$4:$CZ$23,0),FALSE),0),0)</f>
        <v>0</v>
      </c>
      <c r="BB239" s="883" t="str">
        <f>IF(V239="BRAND.com",IFERROR(HLOOKUP(X239&amp;Z239,PLANNING_FC!$AK$4:$AY$23,MATCH(W239,PLANNING_FC!$AJ$4:$AJ$23,0),FALSE)*1000,""),"")</f>
        <v/>
      </c>
      <c r="BC239" s="883" t="str">
        <f>IF(V239="BRAND.com",IFERROR(HLOOKUP(X239&amp;Z239,PLANNING_FC!$AK$27:$AY$46,MATCH(W239,PLANNING_FC!$AJ$27:$AJ$46,0),FALSE)*1000,""),"")</f>
        <v/>
      </c>
    </row>
    <row r="240" spans="1:55" x14ac:dyDescent="0.25">
      <c r="A240" s="509"/>
      <c r="B240" s="509"/>
      <c r="C240" s="509"/>
      <c r="D240" s="509"/>
      <c r="E240" s="509"/>
      <c r="F240" s="509"/>
      <c r="G240" s="509"/>
      <c r="H240" s="509"/>
      <c r="I240" s="512"/>
      <c r="J240" s="513"/>
      <c r="K240" s="879"/>
      <c r="L240" s="515"/>
      <c r="M240" s="516"/>
      <c r="N240" s="56">
        <f t="shared" si="86"/>
        <v>0</v>
      </c>
      <c r="O240" s="57">
        <f t="shared" si="87"/>
        <v>0</v>
      </c>
      <c r="P240" s="57">
        <f ca="1">IFERROR(IF(ISBLANK(H240),SUMIFS($AC:$AC,$V:$V,V240,$W:$W,W240,$X:$X,X240,$Y:$Y,Y240)*J240/(1-J240)*VLOOKUP(_xlfn.CONCAT(C240,D240,E240,TIME!$M$12,Z240),HIS_SALES!$B$2:$W$4859,20,FALSE),AC240*J240/(1-J240)),0)</f>
        <v>0</v>
      </c>
      <c r="Q240" s="541" t="str">
        <f t="shared" si="88"/>
        <v/>
      </c>
      <c r="R240" s="346" t="str">
        <f t="shared" si="89"/>
        <v>00000</v>
      </c>
      <c r="S240" s="344">
        <f t="shared" si="90"/>
        <v>0</v>
      </c>
      <c r="T240" s="345" t="str">
        <f t="shared" si="103"/>
        <v>000</v>
      </c>
      <c r="U240" s="345">
        <f t="shared" si="91"/>
        <v>0</v>
      </c>
      <c r="V240" s="345">
        <f t="shared" si="92"/>
        <v>0</v>
      </c>
      <c r="W240" s="345">
        <f t="shared" si="93"/>
        <v>0</v>
      </c>
      <c r="X240" s="345">
        <f t="shared" si="94"/>
        <v>0</v>
      </c>
      <c r="Y240" s="345">
        <f t="shared" si="95"/>
        <v>0</v>
      </c>
      <c r="Z240" s="345">
        <f>IF(Q240&lt;&gt;"",VLOOKUP(Y240,TIME!$R$21:$V$24,MATCH(FC_DATA!Q240,TIME!$R$20:$V$20,0),FALSE),H240)</f>
        <v>0</v>
      </c>
      <c r="AA240" s="345" t="str">
        <f>IFERROR(VLOOKUP(X240&amp;Z240,TIME!$A$12:$D$71,4,FALSE),"")</f>
        <v/>
      </c>
      <c r="AB240" s="592">
        <f t="shared" ca="1" si="96"/>
        <v>0</v>
      </c>
      <c r="AC240" s="593" t="e">
        <f ca="1">IF(ISBLANK(H240)=FALSE,IF(D240="BRAND.com",I240,IF(ISNA(VLOOKUP(_xlfn.CONCAT(X240,Z240),TIME!$M$40:$M$42,1,FALSE)),I240,VLOOKUP(_xlfn.CONCAT(D240,G240,H240),M_BUSAREA_FC!$AF$5:$AJ$10,5,FALSE)*HLOOKUP(_xlfn.CONCAT(F240,H240),ST_OVERVIEW!$G$99:$I$130,MATCH(_xlfn.CONCAT(D240,E240),ST_OVERVIEW!$F$99:$F$130,0),FALSE))),IF(D240="BRAND.com",VLOOKUP(_xlfn.CONCAT(C240,D240,E240,TIME!$F$1,Z240),HIS_SALES!$B$2:$V$4859,19,FALSE)*I240,VLOOKUP(_xlfn.CONCAT(D240,F240,G240),Q_BUSAREA_FC!$AE$5:$AI$12,5,FALSE)*HLOOKUP(_xlfn.CONCAT(FC_DATA!F240,FC_DATA!G240),LT_OVERVIEW!$I$99:$M$130,MATCH(_xlfn.CONCAT(D240,FC_DATA!E240),LT_OVERVIEW!$H$99:$H$130,0),FALSE)*IFERROR(VLOOKUP(_xlfn.CONCAT(C240,D240,E240,TIME!$F$1,Z240),HIS_SALES!$B$2:$V$4859,19,FALSE),0)))</f>
        <v>#N/A</v>
      </c>
      <c r="AD240" s="341">
        <f t="shared" ca="1" si="97"/>
        <v>0</v>
      </c>
      <c r="AE240" s="363" t="str">
        <f t="shared" si="98"/>
        <v/>
      </c>
      <c r="AF240" s="342" t="str">
        <f t="shared" si="99"/>
        <v/>
      </c>
      <c r="AG240" s="411" t="e">
        <f ca="1">VLOOKUP(_xlfn.CONCAT(U240,V240,W240,VLOOKUP(X240&amp;Y240,TIME!$L$27:$O$34,4,FALSE),Y240),HIS_SALES!$A$2:$R$5093,18,FALSE)</f>
        <v>#N/A</v>
      </c>
      <c r="AH240" s="412" t="e">
        <f ca="1">IFERROR(IF(AND(V240=V239,W240=W239),0.5*(AB240+AB239)*AG240,(VLOOKUP(_xlfn.CONCAT(U240,V240,W240,X240,VLOOKUP(Z240,TIME!$S$28:$T$39,2,FALSE)),FC_DATA!$R$2:$AB$5000,MATCH("GS_I_M",FC_DATA!$R$1:$AB$1,0),FALSE)+FC_DATA!AB240)*0.5*FC_DATA!AG240),NA())</f>
        <v>#N/A</v>
      </c>
      <c r="AI240" s="491" t="e">
        <f ca="1">IF(V240="PARTNER.com",AH240,IF(AND(V240=V239,W240=W239),(1-AVERAGE(AD239,AD240))*AH240,(1-AVERAGE(AD240,VLOOKUP(_xlfn.CONCAT(U240,V240,W240,X240,M_BRAND_FC!$F$6),FC_DATA!$R$2:$AD$5000,MATCH("DISCOUNT_%_M",FC_DATA!$R$1:$AD$1,0),FALSE)))*AH240))</f>
        <v>#N/A</v>
      </c>
      <c r="AJ240" s="412" t="str">
        <f t="shared" ca="1" si="100"/>
        <v/>
      </c>
      <c r="AK240" s="413" t="str">
        <f>IFERROR(AE240/(Q_BRAND_FC!$T$24+1),"")</f>
        <v/>
      </c>
      <c r="AL240" s="88" t="str">
        <f t="shared" ca="1" si="101"/>
        <v/>
      </c>
      <c r="AM240" s="414" t="str">
        <f t="shared" ca="1" si="102"/>
        <v/>
      </c>
      <c r="AN240" s="58">
        <f>IFERROR(IF($V240="BRAND.com",HLOOKUP($X240&amp;$Z240,NWC_FC_NOOS!$C$4:$Q$23,MATCH(W240,NWC_FC_NOOS!$B$4:$B$23,0),FALSE),0),0)</f>
        <v>0</v>
      </c>
      <c r="AO240" s="57">
        <f>IFERROR(IF($V240="BRAND.com",HLOOKUP($X240&amp;$Z240,NWC_FC_NOOS!$T$4:$AH$23,MATCH(W240,NWC_FC_NOOS!$S$4:$S$23,0),FALSE),0),0)</f>
        <v>0</v>
      </c>
      <c r="AP240" s="57">
        <f>IFERROR(IF($V240="BRAND.com",HLOOKUP($X240&amp;$Z240,NWC_FC_NOOS!$C$50:$U$69,MATCH(W240,NWC_FC_NOOS!$B$50:$B$69,0),FALSE),0),0)</f>
        <v>0</v>
      </c>
      <c r="AQ240" s="58">
        <f>IFERROR(IF($V240="BRAND.com",HLOOKUP($X240&amp;$Z240,'NWC_FC_NON-NOOS'!$C$4:$Q$23,MATCH(W240,'NWC_FC_NON-NOOS'!$B$4:$B$23,0),FALSE),0),0)</f>
        <v>0</v>
      </c>
      <c r="AR240" s="57">
        <f>IFERROR(IF($V240="BRAND.com",HLOOKUP($X240&amp;$Z240,'NWC_FC_NON-NOOS'!$T$4:$AH$23,MATCH(W240,'NWC_FC_NON-NOOS'!$S$4:$S$23,0),FALSE),0),0)</f>
        <v>0</v>
      </c>
      <c r="AS240" s="57">
        <f>IFERROR(IF($V240="BRAND.com",HLOOKUP($X240&amp;$Z240,'NWC_FC_NON-NOOS'!$C$50:$U$69,MATCH(W240,'NWC_FC_NON-NOOS'!$B$50:$B$69,0),FALSE),0),0)</f>
        <v>0</v>
      </c>
      <c r="AT240" s="57">
        <f t="shared" si="104"/>
        <v>0</v>
      </c>
      <c r="AU240" s="57">
        <f t="shared" si="105"/>
        <v>0</v>
      </c>
      <c r="AV240" s="58">
        <f>IFERROR(IF($V240="BRAND.com",HLOOKUP($X240&amp;$Z240,PLANNING_FC!$BB$27:$BP$46,MATCH($W240,PLANNING_FC!$BA$27:$BA$46,0),FALSE),0),0)</f>
        <v>0</v>
      </c>
      <c r="AW240" s="58">
        <f>IFERROR(IF($V240="BRAND.com",HLOOKUP($X240&amp;$Z240,PLANNING_FC!$BB$4:$BP$23,MATCH($W240,PLANNING_FC!$BA$4:$BA$23,0),FALSE),0),0)</f>
        <v>0</v>
      </c>
      <c r="AX240" s="58">
        <f>IFERROR(IF($V240="BRAND.com",HLOOKUP($X240&amp;$Z240,PLANNING_FC!$T$27:$AH$46,MATCH($W240,PLANNING_FC!$B$27:$B$46,0),FALSE),0),0)</f>
        <v>0</v>
      </c>
      <c r="AY240" s="58">
        <f>IFERROR(IF($V240="BRAND.com",HLOOKUP($X240&amp;$Z240,PLANNING_FC!$T$4:$AH$23,MATCH($W240,PLANNING_FC!$B$4:$B$23,0),FALSE),0),0)</f>
        <v>0</v>
      </c>
      <c r="AZ240" s="58">
        <f>IFERROR(IF($V240="BRAND.com",HLOOKUP($X240&amp;$Z240,PLANNING_FC!$DA$27:$DO$46,MATCH($W240,PLANNING_FC!$CZ$27:$CZ$46,0),FALSE),0),0)</f>
        <v>0</v>
      </c>
      <c r="BA240" s="58">
        <f>IFERROR(IF($V240="BRAND.com",HLOOKUP($X240&amp;$Z240,PLANNING_FC!$DA$4:$DO$23,MATCH($W240,PLANNING_FC!$CZ$4:$CZ$23,0),FALSE),0),0)</f>
        <v>0</v>
      </c>
      <c r="BB240" s="883" t="str">
        <f>IF(V240="BRAND.com",IFERROR(HLOOKUP(X240&amp;Z240,PLANNING_FC!$AK$4:$AY$23,MATCH(W240,PLANNING_FC!$AJ$4:$AJ$23,0),FALSE)*1000,""),"")</f>
        <v/>
      </c>
      <c r="BC240" s="883" t="str">
        <f>IF(V240="BRAND.com",IFERROR(HLOOKUP(X240&amp;Z240,PLANNING_FC!$AK$27:$AY$46,MATCH(W240,PLANNING_FC!$AJ$27:$AJ$46,0),FALSE)*1000,""),"")</f>
        <v/>
      </c>
    </row>
    <row r="241" spans="1:55" x14ac:dyDescent="0.25">
      <c r="A241" s="509"/>
      <c r="B241" s="509"/>
      <c r="C241" s="509"/>
      <c r="D241" s="509"/>
      <c r="E241" s="509"/>
      <c r="F241" s="509"/>
      <c r="G241" s="509"/>
      <c r="H241" s="509"/>
      <c r="I241" s="512"/>
      <c r="J241" s="513"/>
      <c r="K241" s="879"/>
      <c r="L241" s="515"/>
      <c r="M241" s="516"/>
      <c r="N241" s="56">
        <f t="shared" si="86"/>
        <v>0</v>
      </c>
      <c r="O241" s="57">
        <f t="shared" si="87"/>
        <v>0</v>
      </c>
      <c r="P241" s="57">
        <f ca="1">IFERROR(IF(ISBLANK(H241),SUMIFS($AC:$AC,$V:$V,V241,$W:$W,W241,$X:$X,X241,$Y:$Y,Y241)*J241/(1-J241)*VLOOKUP(_xlfn.CONCAT(C241,D241,E241,TIME!$M$12,Z241),HIS_SALES!$B$2:$W$4859,20,FALSE),AC241*J241/(1-J241)),0)</f>
        <v>0</v>
      </c>
      <c r="Q241" s="541" t="str">
        <f t="shared" si="88"/>
        <v/>
      </c>
      <c r="R241" s="346" t="str">
        <f t="shared" si="89"/>
        <v>00000</v>
      </c>
      <c r="S241" s="344">
        <f t="shared" si="90"/>
        <v>0</v>
      </c>
      <c r="T241" s="345" t="str">
        <f t="shared" si="103"/>
        <v>000</v>
      </c>
      <c r="U241" s="345">
        <f t="shared" si="91"/>
        <v>0</v>
      </c>
      <c r="V241" s="345">
        <f t="shared" si="92"/>
        <v>0</v>
      </c>
      <c r="W241" s="345">
        <f t="shared" si="93"/>
        <v>0</v>
      </c>
      <c r="X241" s="345">
        <f t="shared" si="94"/>
        <v>0</v>
      </c>
      <c r="Y241" s="345">
        <f t="shared" si="95"/>
        <v>0</v>
      </c>
      <c r="Z241" s="345">
        <f>IF(Q241&lt;&gt;"",VLOOKUP(Y241,TIME!$R$21:$V$24,MATCH(FC_DATA!Q241,TIME!$R$20:$V$20,0),FALSE),H241)</f>
        <v>0</v>
      </c>
      <c r="AA241" s="345" t="str">
        <f>IFERROR(VLOOKUP(X241&amp;Z241,TIME!$A$12:$D$71,4,FALSE),"")</f>
        <v/>
      </c>
      <c r="AB241" s="592">
        <f t="shared" ca="1" si="96"/>
        <v>0</v>
      </c>
      <c r="AC241" s="593" t="e">
        <f ca="1">IF(ISBLANK(H241)=FALSE,IF(D241="BRAND.com",I241,IF(ISNA(VLOOKUP(_xlfn.CONCAT(X241,Z241),TIME!$M$40:$M$42,1,FALSE)),I241,VLOOKUP(_xlfn.CONCAT(D241,G241,H241),M_BUSAREA_FC!$AF$5:$AJ$10,5,FALSE)*HLOOKUP(_xlfn.CONCAT(F241,H241),ST_OVERVIEW!$G$99:$I$130,MATCH(_xlfn.CONCAT(D241,E241),ST_OVERVIEW!$F$99:$F$130,0),FALSE))),IF(D241="BRAND.com",VLOOKUP(_xlfn.CONCAT(C241,D241,E241,TIME!$F$1,Z241),HIS_SALES!$B$2:$V$4859,19,FALSE)*I241,VLOOKUP(_xlfn.CONCAT(D241,F241,G241),Q_BUSAREA_FC!$AE$5:$AI$12,5,FALSE)*HLOOKUP(_xlfn.CONCAT(FC_DATA!F241,FC_DATA!G241),LT_OVERVIEW!$I$99:$M$130,MATCH(_xlfn.CONCAT(D241,FC_DATA!E241),LT_OVERVIEW!$H$99:$H$130,0),FALSE)*IFERROR(VLOOKUP(_xlfn.CONCAT(C241,D241,E241,TIME!$F$1,Z241),HIS_SALES!$B$2:$V$4859,19,FALSE),0)))</f>
        <v>#N/A</v>
      </c>
      <c r="AD241" s="341">
        <f t="shared" ca="1" si="97"/>
        <v>0</v>
      </c>
      <c r="AE241" s="363" t="str">
        <f t="shared" si="98"/>
        <v/>
      </c>
      <c r="AF241" s="342" t="str">
        <f t="shared" si="99"/>
        <v/>
      </c>
      <c r="AG241" s="411" t="e">
        <f ca="1">VLOOKUP(_xlfn.CONCAT(U241,V241,W241,VLOOKUP(X241&amp;Y241,TIME!$L$27:$O$34,4,FALSE),Y241),HIS_SALES!$A$2:$R$5093,18,FALSE)</f>
        <v>#N/A</v>
      </c>
      <c r="AH241" s="412" t="e">
        <f ca="1">IFERROR(IF(AND(V241=V240,W241=W240),0.5*(AB241+AB240)*AG241,(VLOOKUP(_xlfn.CONCAT(U241,V241,W241,X241,VLOOKUP(Z241,TIME!$S$28:$T$39,2,FALSE)),FC_DATA!$R$2:$AB$5000,MATCH("GS_I_M",FC_DATA!$R$1:$AB$1,0),FALSE)+FC_DATA!AB241)*0.5*FC_DATA!AG241),NA())</f>
        <v>#N/A</v>
      </c>
      <c r="AI241" s="491" t="e">
        <f ca="1">IF(V241="PARTNER.com",AH241,IF(AND(V241=V240,W241=W240),(1-AVERAGE(AD240,AD241))*AH241,(1-AVERAGE(AD241,VLOOKUP(_xlfn.CONCAT(U241,V241,W241,X241,M_BRAND_FC!$F$6),FC_DATA!$R$2:$AD$5000,MATCH("DISCOUNT_%_M",FC_DATA!$R$1:$AD$1,0),FALSE)))*AH241))</f>
        <v>#N/A</v>
      </c>
      <c r="AJ241" s="412" t="str">
        <f t="shared" ca="1" si="100"/>
        <v/>
      </c>
      <c r="AK241" s="413" t="str">
        <f>IFERROR(AE241/(Q_BRAND_FC!$T$24+1),"")</f>
        <v/>
      </c>
      <c r="AL241" s="88" t="str">
        <f t="shared" ca="1" si="101"/>
        <v/>
      </c>
      <c r="AM241" s="414" t="str">
        <f t="shared" ca="1" si="102"/>
        <v/>
      </c>
      <c r="AN241" s="58">
        <f>IFERROR(IF($V241="BRAND.com",HLOOKUP($X241&amp;$Z241,NWC_FC_NOOS!$C$4:$Q$23,MATCH(W241,NWC_FC_NOOS!$B$4:$B$23,0),FALSE),0),0)</f>
        <v>0</v>
      </c>
      <c r="AO241" s="57">
        <f>IFERROR(IF($V241="BRAND.com",HLOOKUP($X241&amp;$Z241,NWC_FC_NOOS!$T$4:$AH$23,MATCH(W241,NWC_FC_NOOS!$S$4:$S$23,0),FALSE),0),0)</f>
        <v>0</v>
      </c>
      <c r="AP241" s="57">
        <f>IFERROR(IF($V241="BRAND.com",HLOOKUP($X241&amp;$Z241,NWC_FC_NOOS!$C$50:$U$69,MATCH(W241,NWC_FC_NOOS!$B$50:$B$69,0),FALSE),0),0)</f>
        <v>0</v>
      </c>
      <c r="AQ241" s="58">
        <f>IFERROR(IF($V241="BRAND.com",HLOOKUP($X241&amp;$Z241,'NWC_FC_NON-NOOS'!$C$4:$Q$23,MATCH(W241,'NWC_FC_NON-NOOS'!$B$4:$B$23,0),FALSE),0),0)</f>
        <v>0</v>
      </c>
      <c r="AR241" s="57">
        <f>IFERROR(IF($V241="BRAND.com",HLOOKUP($X241&amp;$Z241,'NWC_FC_NON-NOOS'!$T$4:$AH$23,MATCH(W241,'NWC_FC_NON-NOOS'!$S$4:$S$23,0),FALSE),0),0)</f>
        <v>0</v>
      </c>
      <c r="AS241" s="57">
        <f>IFERROR(IF($V241="BRAND.com",HLOOKUP($X241&amp;$Z241,'NWC_FC_NON-NOOS'!$C$50:$U$69,MATCH(W241,'NWC_FC_NON-NOOS'!$B$50:$B$69,0),FALSE),0),0)</f>
        <v>0</v>
      </c>
      <c r="AT241" s="57">
        <f t="shared" si="104"/>
        <v>0</v>
      </c>
      <c r="AU241" s="57">
        <f t="shared" si="105"/>
        <v>0</v>
      </c>
      <c r="AV241" s="58">
        <f>IFERROR(IF($V241="BRAND.com",HLOOKUP($X241&amp;$Z241,PLANNING_FC!$BB$27:$BP$46,MATCH($W241,PLANNING_FC!$BA$27:$BA$46,0),FALSE),0),0)</f>
        <v>0</v>
      </c>
      <c r="AW241" s="58">
        <f>IFERROR(IF($V241="BRAND.com",HLOOKUP($X241&amp;$Z241,PLANNING_FC!$BB$4:$BP$23,MATCH($W241,PLANNING_FC!$BA$4:$BA$23,0),FALSE),0),0)</f>
        <v>0</v>
      </c>
      <c r="AX241" s="58">
        <f>IFERROR(IF($V241="BRAND.com",HLOOKUP($X241&amp;$Z241,PLANNING_FC!$T$27:$AH$46,MATCH($W241,PLANNING_FC!$B$27:$B$46,0),FALSE),0),0)</f>
        <v>0</v>
      </c>
      <c r="AY241" s="58">
        <f>IFERROR(IF($V241="BRAND.com",HLOOKUP($X241&amp;$Z241,PLANNING_FC!$T$4:$AH$23,MATCH($W241,PLANNING_FC!$B$4:$B$23,0),FALSE),0),0)</f>
        <v>0</v>
      </c>
      <c r="AZ241" s="58">
        <f>IFERROR(IF($V241="BRAND.com",HLOOKUP($X241&amp;$Z241,PLANNING_FC!$DA$27:$DO$46,MATCH($W241,PLANNING_FC!$CZ$27:$CZ$46,0),FALSE),0),0)</f>
        <v>0</v>
      </c>
      <c r="BA241" s="58">
        <f>IFERROR(IF($V241="BRAND.com",HLOOKUP($X241&amp;$Z241,PLANNING_FC!$DA$4:$DO$23,MATCH($W241,PLANNING_FC!$CZ$4:$CZ$23,0),FALSE),0),0)</f>
        <v>0</v>
      </c>
      <c r="BB241" s="883" t="str">
        <f>IF(V241="BRAND.com",IFERROR(HLOOKUP(X241&amp;Z241,PLANNING_FC!$AK$4:$AY$23,MATCH(W241,PLANNING_FC!$AJ$4:$AJ$23,0),FALSE)*1000,""),"")</f>
        <v/>
      </c>
      <c r="BC241" s="883" t="str">
        <f>IF(V241="BRAND.com",IFERROR(HLOOKUP(X241&amp;Z241,PLANNING_FC!$AK$27:$AY$46,MATCH(W241,PLANNING_FC!$AJ$27:$AJ$46,0),FALSE)*1000,""),"")</f>
        <v/>
      </c>
    </row>
    <row r="242" spans="1:55" x14ac:dyDescent="0.25">
      <c r="A242" s="509"/>
      <c r="B242" s="509"/>
      <c r="C242" s="509"/>
      <c r="D242" s="509"/>
      <c r="E242" s="509"/>
      <c r="F242" s="509"/>
      <c r="G242" s="509"/>
      <c r="H242" s="509"/>
      <c r="I242" s="512"/>
      <c r="J242" s="513"/>
      <c r="K242" s="879"/>
      <c r="L242" s="515"/>
      <c r="M242" s="516"/>
      <c r="N242" s="56">
        <f t="shared" si="86"/>
        <v>0</v>
      </c>
      <c r="O242" s="57">
        <f t="shared" si="87"/>
        <v>0</v>
      </c>
      <c r="P242" s="57">
        <f ca="1">IFERROR(IF(ISBLANK(H242),SUMIFS($AC:$AC,$V:$V,V242,$W:$W,W242,$X:$X,X242,$Y:$Y,Y242)*J242/(1-J242)*VLOOKUP(_xlfn.CONCAT(C242,D242,E242,TIME!$M$12,Z242),HIS_SALES!$B$2:$W$4859,20,FALSE),AC242*J242/(1-J242)),0)</f>
        <v>0</v>
      </c>
      <c r="Q242" s="541" t="str">
        <f t="shared" si="88"/>
        <v/>
      </c>
      <c r="R242" s="346" t="str">
        <f t="shared" si="89"/>
        <v>00000</v>
      </c>
      <c r="S242" s="344">
        <f t="shared" si="90"/>
        <v>0</v>
      </c>
      <c r="T242" s="345" t="str">
        <f t="shared" si="103"/>
        <v>000</v>
      </c>
      <c r="U242" s="345">
        <f t="shared" si="91"/>
        <v>0</v>
      </c>
      <c r="V242" s="345">
        <f t="shared" si="92"/>
        <v>0</v>
      </c>
      <c r="W242" s="345">
        <f t="shared" si="93"/>
        <v>0</v>
      </c>
      <c r="X242" s="345">
        <f t="shared" si="94"/>
        <v>0</v>
      </c>
      <c r="Y242" s="345">
        <f t="shared" si="95"/>
        <v>0</v>
      </c>
      <c r="Z242" s="345">
        <f>IF(Q242&lt;&gt;"",VLOOKUP(Y242,TIME!$R$21:$V$24,MATCH(FC_DATA!Q242,TIME!$R$20:$V$20,0),FALSE),H242)</f>
        <v>0</v>
      </c>
      <c r="AA242" s="345" t="str">
        <f>IFERROR(VLOOKUP(X242&amp;Z242,TIME!$A$12:$D$71,4,FALSE),"")</f>
        <v/>
      </c>
      <c r="AB242" s="592">
        <f t="shared" ca="1" si="96"/>
        <v>0</v>
      </c>
      <c r="AC242" s="593" t="e">
        <f ca="1">IF(ISBLANK(H242)=FALSE,IF(D242="BRAND.com",I242,IF(ISNA(VLOOKUP(_xlfn.CONCAT(X242,Z242),TIME!$M$40:$M$42,1,FALSE)),I242,VLOOKUP(_xlfn.CONCAT(D242,G242,H242),M_BUSAREA_FC!$AF$5:$AJ$10,5,FALSE)*HLOOKUP(_xlfn.CONCAT(F242,H242),ST_OVERVIEW!$G$99:$I$130,MATCH(_xlfn.CONCAT(D242,E242),ST_OVERVIEW!$F$99:$F$130,0),FALSE))),IF(D242="BRAND.com",VLOOKUP(_xlfn.CONCAT(C242,D242,E242,TIME!$F$1,Z242),HIS_SALES!$B$2:$V$4859,19,FALSE)*I242,VLOOKUP(_xlfn.CONCAT(D242,F242,G242),Q_BUSAREA_FC!$AE$5:$AI$12,5,FALSE)*HLOOKUP(_xlfn.CONCAT(FC_DATA!F242,FC_DATA!G242),LT_OVERVIEW!$I$99:$M$130,MATCH(_xlfn.CONCAT(D242,FC_DATA!E242),LT_OVERVIEW!$H$99:$H$130,0),FALSE)*IFERROR(VLOOKUP(_xlfn.CONCAT(C242,D242,E242,TIME!$F$1,Z242),HIS_SALES!$B$2:$V$4859,19,FALSE),0)))</f>
        <v>#N/A</v>
      </c>
      <c r="AD242" s="341">
        <f t="shared" ca="1" si="97"/>
        <v>0</v>
      </c>
      <c r="AE242" s="363" t="str">
        <f t="shared" si="98"/>
        <v/>
      </c>
      <c r="AF242" s="342" t="str">
        <f t="shared" si="99"/>
        <v/>
      </c>
      <c r="AG242" s="411" t="e">
        <f ca="1">VLOOKUP(_xlfn.CONCAT(U242,V242,W242,VLOOKUP(X242&amp;Y242,TIME!$L$27:$O$34,4,FALSE),Y242),HIS_SALES!$A$2:$R$5093,18,FALSE)</f>
        <v>#N/A</v>
      </c>
      <c r="AH242" s="412" t="e">
        <f ca="1">IFERROR(IF(AND(V242=V241,W242=W241),0.5*(AB242+AB241)*AG242,(VLOOKUP(_xlfn.CONCAT(U242,V242,W242,X242,VLOOKUP(Z242,TIME!$S$28:$T$39,2,FALSE)),FC_DATA!$R$2:$AB$5000,MATCH("GS_I_M",FC_DATA!$R$1:$AB$1,0),FALSE)+FC_DATA!AB242)*0.5*FC_DATA!AG242),NA())</f>
        <v>#N/A</v>
      </c>
      <c r="AI242" s="491" t="e">
        <f ca="1">IF(V242="PARTNER.com",AH242,IF(AND(V242=V241,W242=W241),(1-AVERAGE(AD241,AD242))*AH242,(1-AVERAGE(AD242,VLOOKUP(_xlfn.CONCAT(U242,V242,W242,X242,M_BRAND_FC!$F$6),FC_DATA!$R$2:$AD$5000,MATCH("DISCOUNT_%_M",FC_DATA!$R$1:$AD$1,0),FALSE)))*AH242))</f>
        <v>#N/A</v>
      </c>
      <c r="AJ242" s="412" t="str">
        <f t="shared" ca="1" si="100"/>
        <v/>
      </c>
      <c r="AK242" s="413" t="str">
        <f>IFERROR(AE242/(Q_BRAND_FC!$T$24+1),"")</f>
        <v/>
      </c>
      <c r="AL242" s="88" t="str">
        <f t="shared" ca="1" si="101"/>
        <v/>
      </c>
      <c r="AM242" s="414" t="str">
        <f t="shared" ca="1" si="102"/>
        <v/>
      </c>
      <c r="AN242" s="58">
        <f>IFERROR(IF($V242="BRAND.com",HLOOKUP($X242&amp;$Z242,NWC_FC_NOOS!$C$4:$Q$23,MATCH(W242,NWC_FC_NOOS!$B$4:$B$23,0),FALSE),0),0)</f>
        <v>0</v>
      </c>
      <c r="AO242" s="57">
        <f>IFERROR(IF($V242="BRAND.com",HLOOKUP($X242&amp;$Z242,NWC_FC_NOOS!$T$4:$AH$23,MATCH(W242,NWC_FC_NOOS!$S$4:$S$23,0),FALSE),0),0)</f>
        <v>0</v>
      </c>
      <c r="AP242" s="57">
        <f>IFERROR(IF($V242="BRAND.com",HLOOKUP($X242&amp;$Z242,NWC_FC_NOOS!$C$50:$U$69,MATCH(W242,NWC_FC_NOOS!$B$50:$B$69,0),FALSE),0),0)</f>
        <v>0</v>
      </c>
      <c r="AQ242" s="58">
        <f>IFERROR(IF($V242="BRAND.com",HLOOKUP($X242&amp;$Z242,'NWC_FC_NON-NOOS'!$C$4:$Q$23,MATCH(W242,'NWC_FC_NON-NOOS'!$B$4:$B$23,0),FALSE),0),0)</f>
        <v>0</v>
      </c>
      <c r="AR242" s="57">
        <f>IFERROR(IF($V242="BRAND.com",HLOOKUP($X242&amp;$Z242,'NWC_FC_NON-NOOS'!$T$4:$AH$23,MATCH(W242,'NWC_FC_NON-NOOS'!$S$4:$S$23,0),FALSE),0),0)</f>
        <v>0</v>
      </c>
      <c r="AS242" s="57">
        <f>IFERROR(IF($V242="BRAND.com",HLOOKUP($X242&amp;$Z242,'NWC_FC_NON-NOOS'!$C$50:$U$69,MATCH(W242,'NWC_FC_NON-NOOS'!$B$50:$B$69,0),FALSE),0),0)</f>
        <v>0</v>
      </c>
      <c r="AT242" s="57">
        <f t="shared" si="104"/>
        <v>0</v>
      </c>
      <c r="AU242" s="57">
        <f t="shared" si="105"/>
        <v>0</v>
      </c>
      <c r="AV242" s="58">
        <f>IFERROR(IF($V242="BRAND.com",HLOOKUP($X242&amp;$Z242,PLANNING_FC!$BB$27:$BP$46,MATCH($W242,PLANNING_FC!$BA$27:$BA$46,0),FALSE),0),0)</f>
        <v>0</v>
      </c>
      <c r="AW242" s="58">
        <f>IFERROR(IF($V242="BRAND.com",HLOOKUP($X242&amp;$Z242,PLANNING_FC!$BB$4:$BP$23,MATCH($W242,PLANNING_FC!$BA$4:$BA$23,0),FALSE),0),0)</f>
        <v>0</v>
      </c>
      <c r="AX242" s="58">
        <f>IFERROR(IF($V242="BRAND.com",HLOOKUP($X242&amp;$Z242,PLANNING_FC!$T$27:$AH$46,MATCH($W242,PLANNING_FC!$B$27:$B$46,0),FALSE),0),0)</f>
        <v>0</v>
      </c>
      <c r="AY242" s="58">
        <f>IFERROR(IF($V242="BRAND.com",HLOOKUP($X242&amp;$Z242,PLANNING_FC!$T$4:$AH$23,MATCH($W242,PLANNING_FC!$B$4:$B$23,0),FALSE),0),0)</f>
        <v>0</v>
      </c>
      <c r="AZ242" s="58">
        <f>IFERROR(IF($V242="BRAND.com",HLOOKUP($X242&amp;$Z242,PLANNING_FC!$DA$27:$DO$46,MATCH($W242,PLANNING_FC!$CZ$27:$CZ$46,0),FALSE),0),0)</f>
        <v>0</v>
      </c>
      <c r="BA242" s="58">
        <f>IFERROR(IF($V242="BRAND.com",HLOOKUP($X242&amp;$Z242,PLANNING_FC!$DA$4:$DO$23,MATCH($W242,PLANNING_FC!$CZ$4:$CZ$23,0),FALSE),0),0)</f>
        <v>0</v>
      </c>
      <c r="BB242" s="883" t="str">
        <f>IF(V242="BRAND.com",IFERROR(HLOOKUP(X242&amp;Z242,PLANNING_FC!$AK$4:$AY$23,MATCH(W242,PLANNING_FC!$AJ$4:$AJ$23,0),FALSE)*1000,""),"")</f>
        <v/>
      </c>
      <c r="BC242" s="883" t="str">
        <f>IF(V242="BRAND.com",IFERROR(HLOOKUP(X242&amp;Z242,PLANNING_FC!$AK$27:$AY$46,MATCH(W242,PLANNING_FC!$AJ$27:$AJ$46,0),FALSE)*1000,""),"")</f>
        <v/>
      </c>
    </row>
    <row r="243" spans="1:55" x14ac:dyDescent="0.25">
      <c r="A243" s="509"/>
      <c r="B243" s="509"/>
      <c r="C243" s="509"/>
      <c r="D243" s="509"/>
      <c r="E243" s="509"/>
      <c r="F243" s="509"/>
      <c r="G243" s="509"/>
      <c r="H243" s="509"/>
      <c r="I243" s="512"/>
      <c r="J243" s="513"/>
      <c r="K243" s="879"/>
      <c r="L243" s="515"/>
      <c r="M243" s="516"/>
      <c r="N243" s="56">
        <f t="shared" si="86"/>
        <v>0</v>
      </c>
      <c r="O243" s="57">
        <f t="shared" si="87"/>
        <v>0</v>
      </c>
      <c r="P243" s="57">
        <f ca="1">IFERROR(IF(ISBLANK(H243),SUMIFS($AC:$AC,$V:$V,V243,$W:$W,W243,$X:$X,X243,$Y:$Y,Y243)*J243/(1-J243)*VLOOKUP(_xlfn.CONCAT(C243,D243,E243,TIME!$M$12,Z243),HIS_SALES!$B$2:$W$4859,20,FALSE),AC243*J243/(1-J243)),0)</f>
        <v>0</v>
      </c>
      <c r="Q243" s="541" t="str">
        <f t="shared" si="88"/>
        <v/>
      </c>
      <c r="R243" s="346" t="str">
        <f t="shared" si="89"/>
        <v>00000</v>
      </c>
      <c r="S243" s="344">
        <f t="shared" si="90"/>
        <v>0</v>
      </c>
      <c r="T243" s="345" t="str">
        <f t="shared" si="103"/>
        <v>000</v>
      </c>
      <c r="U243" s="345">
        <f t="shared" si="91"/>
        <v>0</v>
      </c>
      <c r="V243" s="345">
        <f t="shared" si="92"/>
        <v>0</v>
      </c>
      <c r="W243" s="345">
        <f t="shared" si="93"/>
        <v>0</v>
      </c>
      <c r="X243" s="345">
        <f t="shared" si="94"/>
        <v>0</v>
      </c>
      <c r="Y243" s="345">
        <f t="shared" si="95"/>
        <v>0</v>
      </c>
      <c r="Z243" s="345">
        <f>IF(Q243&lt;&gt;"",VLOOKUP(Y243,TIME!$R$21:$V$24,MATCH(FC_DATA!Q243,TIME!$R$20:$V$20,0),FALSE),H243)</f>
        <v>0</v>
      </c>
      <c r="AA243" s="345" t="str">
        <f>IFERROR(VLOOKUP(X243&amp;Z243,TIME!$A$12:$D$71,4,FALSE),"")</f>
        <v/>
      </c>
      <c r="AB243" s="592">
        <f t="shared" ca="1" si="96"/>
        <v>0</v>
      </c>
      <c r="AC243" s="593" t="e">
        <f ca="1">IF(ISBLANK(H243)=FALSE,IF(D243="BRAND.com",I243,IF(ISNA(VLOOKUP(_xlfn.CONCAT(X243,Z243),TIME!$M$40:$M$42,1,FALSE)),I243,VLOOKUP(_xlfn.CONCAT(D243,G243,H243),M_BUSAREA_FC!$AF$5:$AJ$10,5,FALSE)*HLOOKUP(_xlfn.CONCAT(F243,H243),ST_OVERVIEW!$G$99:$I$130,MATCH(_xlfn.CONCAT(D243,E243),ST_OVERVIEW!$F$99:$F$130,0),FALSE))),IF(D243="BRAND.com",VLOOKUP(_xlfn.CONCAT(C243,D243,E243,TIME!$F$1,Z243),HIS_SALES!$B$2:$V$4859,19,FALSE)*I243,VLOOKUP(_xlfn.CONCAT(D243,F243,G243),Q_BUSAREA_FC!$AE$5:$AI$12,5,FALSE)*HLOOKUP(_xlfn.CONCAT(FC_DATA!F243,FC_DATA!G243),LT_OVERVIEW!$I$99:$M$130,MATCH(_xlfn.CONCAT(D243,FC_DATA!E243),LT_OVERVIEW!$H$99:$H$130,0),FALSE)*IFERROR(VLOOKUP(_xlfn.CONCAT(C243,D243,E243,TIME!$F$1,Z243),HIS_SALES!$B$2:$V$4859,19,FALSE),0)))</f>
        <v>#N/A</v>
      </c>
      <c r="AD243" s="341">
        <f t="shared" ca="1" si="97"/>
        <v>0</v>
      </c>
      <c r="AE243" s="363" t="str">
        <f t="shared" si="98"/>
        <v/>
      </c>
      <c r="AF243" s="342" t="str">
        <f t="shared" si="99"/>
        <v/>
      </c>
      <c r="AG243" s="411" t="e">
        <f ca="1">VLOOKUP(_xlfn.CONCAT(U243,V243,W243,VLOOKUP(X243&amp;Y243,TIME!$L$27:$O$34,4,FALSE),Y243),HIS_SALES!$A$2:$R$5093,18,FALSE)</f>
        <v>#N/A</v>
      </c>
      <c r="AH243" s="412" t="e">
        <f ca="1">IFERROR(IF(AND(V243=V242,W243=W242),0.5*(AB243+AB242)*AG243,(VLOOKUP(_xlfn.CONCAT(U243,V243,W243,X243,VLOOKUP(Z243,TIME!$S$28:$T$39,2,FALSE)),FC_DATA!$R$2:$AB$5000,MATCH("GS_I_M",FC_DATA!$R$1:$AB$1,0),FALSE)+FC_DATA!AB243)*0.5*FC_DATA!AG243),NA())</f>
        <v>#N/A</v>
      </c>
      <c r="AI243" s="491" t="e">
        <f ca="1">IF(V243="PARTNER.com",AH243,IF(AND(V243=V242,W243=W242),(1-AVERAGE(AD242,AD243))*AH243,(1-AVERAGE(AD243,VLOOKUP(_xlfn.CONCAT(U243,V243,W243,X243,M_BRAND_FC!$F$6),FC_DATA!$R$2:$AD$5000,MATCH("DISCOUNT_%_M",FC_DATA!$R$1:$AD$1,0),FALSE)))*AH243))</f>
        <v>#N/A</v>
      </c>
      <c r="AJ243" s="412" t="str">
        <f t="shared" ca="1" si="100"/>
        <v/>
      </c>
      <c r="AK243" s="413" t="str">
        <f>IFERROR(AE243/(Q_BRAND_FC!$T$24+1),"")</f>
        <v/>
      </c>
      <c r="AL243" s="88" t="str">
        <f t="shared" ca="1" si="101"/>
        <v/>
      </c>
      <c r="AM243" s="414" t="str">
        <f t="shared" ca="1" si="102"/>
        <v/>
      </c>
      <c r="AN243" s="58">
        <f>IFERROR(IF($V243="BRAND.com",HLOOKUP($X243&amp;$Z243,NWC_FC_NOOS!$C$4:$Q$23,MATCH(W243,NWC_FC_NOOS!$B$4:$B$23,0),FALSE),0),0)</f>
        <v>0</v>
      </c>
      <c r="AO243" s="57">
        <f>IFERROR(IF($V243="BRAND.com",HLOOKUP($X243&amp;$Z243,NWC_FC_NOOS!$T$4:$AH$23,MATCH(W243,NWC_FC_NOOS!$S$4:$S$23,0),FALSE),0),0)</f>
        <v>0</v>
      </c>
      <c r="AP243" s="57">
        <f>IFERROR(IF($V243="BRAND.com",HLOOKUP($X243&amp;$Z243,NWC_FC_NOOS!$C$50:$U$69,MATCH(W243,NWC_FC_NOOS!$B$50:$B$69,0),FALSE),0),0)</f>
        <v>0</v>
      </c>
      <c r="AQ243" s="58">
        <f>IFERROR(IF($V243="BRAND.com",HLOOKUP($X243&amp;$Z243,'NWC_FC_NON-NOOS'!$C$4:$Q$23,MATCH(W243,'NWC_FC_NON-NOOS'!$B$4:$B$23,0),FALSE),0),0)</f>
        <v>0</v>
      </c>
      <c r="AR243" s="57">
        <f>IFERROR(IF($V243="BRAND.com",HLOOKUP($X243&amp;$Z243,'NWC_FC_NON-NOOS'!$T$4:$AH$23,MATCH(W243,'NWC_FC_NON-NOOS'!$S$4:$S$23,0),FALSE),0),0)</f>
        <v>0</v>
      </c>
      <c r="AS243" s="57">
        <f>IFERROR(IF($V243="BRAND.com",HLOOKUP($X243&amp;$Z243,'NWC_FC_NON-NOOS'!$C$50:$U$69,MATCH(W243,'NWC_FC_NON-NOOS'!$B$50:$B$69,0),FALSE),0),0)</f>
        <v>0</v>
      </c>
      <c r="AT243" s="57">
        <f t="shared" si="104"/>
        <v>0</v>
      </c>
      <c r="AU243" s="57">
        <f t="shared" si="105"/>
        <v>0</v>
      </c>
      <c r="AV243" s="58">
        <f>IFERROR(IF($V243="BRAND.com",HLOOKUP($X243&amp;$Z243,PLANNING_FC!$BB$27:$BP$46,MATCH($W243,PLANNING_FC!$BA$27:$BA$46,0),FALSE),0),0)</f>
        <v>0</v>
      </c>
      <c r="AW243" s="58">
        <f>IFERROR(IF($V243="BRAND.com",HLOOKUP($X243&amp;$Z243,PLANNING_FC!$BB$4:$BP$23,MATCH($W243,PLANNING_FC!$BA$4:$BA$23,0),FALSE),0),0)</f>
        <v>0</v>
      </c>
      <c r="AX243" s="58">
        <f>IFERROR(IF($V243="BRAND.com",HLOOKUP($X243&amp;$Z243,PLANNING_FC!$T$27:$AH$46,MATCH($W243,PLANNING_FC!$B$27:$B$46,0),FALSE),0),0)</f>
        <v>0</v>
      </c>
      <c r="AY243" s="58">
        <f>IFERROR(IF($V243="BRAND.com",HLOOKUP($X243&amp;$Z243,PLANNING_FC!$T$4:$AH$23,MATCH($W243,PLANNING_FC!$B$4:$B$23,0),FALSE),0),0)</f>
        <v>0</v>
      </c>
      <c r="AZ243" s="58">
        <f>IFERROR(IF($V243="BRAND.com",HLOOKUP($X243&amp;$Z243,PLANNING_FC!$DA$27:$DO$46,MATCH($W243,PLANNING_FC!$CZ$27:$CZ$46,0),FALSE),0),0)</f>
        <v>0</v>
      </c>
      <c r="BA243" s="58">
        <f>IFERROR(IF($V243="BRAND.com",HLOOKUP($X243&amp;$Z243,PLANNING_FC!$DA$4:$DO$23,MATCH($W243,PLANNING_FC!$CZ$4:$CZ$23,0),FALSE),0),0)</f>
        <v>0</v>
      </c>
      <c r="BB243" s="883" t="str">
        <f>IF(V243="BRAND.com",IFERROR(HLOOKUP(X243&amp;Z243,PLANNING_FC!$AK$4:$AY$23,MATCH(W243,PLANNING_FC!$AJ$4:$AJ$23,0),FALSE)*1000,""),"")</f>
        <v/>
      </c>
      <c r="BC243" s="883" t="str">
        <f>IF(V243="BRAND.com",IFERROR(HLOOKUP(X243&amp;Z243,PLANNING_FC!$AK$27:$AY$46,MATCH(W243,PLANNING_FC!$AJ$27:$AJ$46,0),FALSE)*1000,""),"")</f>
        <v/>
      </c>
    </row>
    <row r="244" spans="1:55" x14ac:dyDescent="0.25">
      <c r="A244" s="509"/>
      <c r="B244" s="509"/>
      <c r="C244" s="509"/>
      <c r="D244" s="509"/>
      <c r="E244" s="509"/>
      <c r="F244" s="509"/>
      <c r="G244" s="509"/>
      <c r="H244" s="509"/>
      <c r="I244" s="512"/>
      <c r="J244" s="513"/>
      <c r="K244" s="879"/>
      <c r="L244" s="515"/>
      <c r="M244" s="516"/>
      <c r="N244" s="56">
        <f t="shared" si="86"/>
        <v>0</v>
      </c>
      <c r="O244" s="57">
        <f t="shared" si="87"/>
        <v>0</v>
      </c>
      <c r="P244" s="57">
        <f ca="1">IFERROR(IF(ISBLANK(H244),SUMIFS($AC:$AC,$V:$V,V244,$W:$W,W244,$X:$X,X244,$Y:$Y,Y244)*J244/(1-J244)*VLOOKUP(_xlfn.CONCAT(C244,D244,E244,TIME!$M$12,Z244),HIS_SALES!$B$2:$W$4859,20,FALSE),AC244*J244/(1-J244)),0)</f>
        <v>0</v>
      </c>
      <c r="Q244" s="541" t="str">
        <f t="shared" si="88"/>
        <v/>
      </c>
      <c r="R244" s="346" t="str">
        <f t="shared" si="89"/>
        <v>00000</v>
      </c>
      <c r="S244" s="344">
        <f t="shared" si="90"/>
        <v>0</v>
      </c>
      <c r="T244" s="345" t="str">
        <f t="shared" si="103"/>
        <v>000</v>
      </c>
      <c r="U244" s="345">
        <f t="shared" si="91"/>
        <v>0</v>
      </c>
      <c r="V244" s="345">
        <f t="shared" si="92"/>
        <v>0</v>
      </c>
      <c r="W244" s="345">
        <f t="shared" si="93"/>
        <v>0</v>
      </c>
      <c r="X244" s="345">
        <f t="shared" si="94"/>
        <v>0</v>
      </c>
      <c r="Y244" s="345">
        <f t="shared" si="95"/>
        <v>0</v>
      </c>
      <c r="Z244" s="345">
        <f>IF(Q244&lt;&gt;"",VLOOKUP(Y244,TIME!$R$21:$V$24,MATCH(FC_DATA!Q244,TIME!$R$20:$V$20,0),FALSE),H244)</f>
        <v>0</v>
      </c>
      <c r="AA244" s="345" t="str">
        <f>IFERROR(VLOOKUP(X244&amp;Z244,TIME!$A$12:$D$71,4,FALSE),"")</f>
        <v/>
      </c>
      <c r="AB244" s="592">
        <f t="shared" ca="1" si="96"/>
        <v>0</v>
      </c>
      <c r="AC244" s="593" t="e">
        <f ca="1">IF(ISBLANK(H244)=FALSE,IF(D244="BRAND.com",I244,IF(ISNA(VLOOKUP(_xlfn.CONCAT(X244,Z244),TIME!$M$40:$M$42,1,FALSE)),I244,VLOOKUP(_xlfn.CONCAT(D244,G244,H244),M_BUSAREA_FC!$AF$5:$AJ$10,5,FALSE)*HLOOKUP(_xlfn.CONCAT(F244,H244),ST_OVERVIEW!$G$99:$I$130,MATCH(_xlfn.CONCAT(D244,E244),ST_OVERVIEW!$F$99:$F$130,0),FALSE))),IF(D244="BRAND.com",VLOOKUP(_xlfn.CONCAT(C244,D244,E244,TIME!$F$1,Z244),HIS_SALES!$B$2:$V$4859,19,FALSE)*I244,VLOOKUP(_xlfn.CONCAT(D244,F244,G244),Q_BUSAREA_FC!$AE$5:$AI$12,5,FALSE)*HLOOKUP(_xlfn.CONCAT(FC_DATA!F244,FC_DATA!G244),LT_OVERVIEW!$I$99:$M$130,MATCH(_xlfn.CONCAT(D244,FC_DATA!E244),LT_OVERVIEW!$H$99:$H$130,0),FALSE)*IFERROR(VLOOKUP(_xlfn.CONCAT(C244,D244,E244,TIME!$F$1,Z244),HIS_SALES!$B$2:$V$4859,19,FALSE),0)))</f>
        <v>#N/A</v>
      </c>
      <c r="AD244" s="341">
        <f t="shared" ca="1" si="97"/>
        <v>0</v>
      </c>
      <c r="AE244" s="363" t="str">
        <f t="shared" si="98"/>
        <v/>
      </c>
      <c r="AF244" s="342" t="str">
        <f t="shared" si="99"/>
        <v/>
      </c>
      <c r="AG244" s="411" t="e">
        <f ca="1">VLOOKUP(_xlfn.CONCAT(U244,V244,W244,VLOOKUP(X244&amp;Y244,TIME!$L$27:$O$34,4,FALSE),Y244),HIS_SALES!$A$2:$R$5093,18,FALSE)</f>
        <v>#N/A</v>
      </c>
      <c r="AH244" s="412" t="e">
        <f ca="1">IFERROR(IF(AND(V244=V243,W244=W243),0.5*(AB244+AB243)*AG244,(VLOOKUP(_xlfn.CONCAT(U244,V244,W244,X244,VLOOKUP(Z244,TIME!$S$28:$T$39,2,FALSE)),FC_DATA!$R$2:$AB$5000,MATCH("GS_I_M",FC_DATA!$R$1:$AB$1,0),FALSE)+FC_DATA!AB244)*0.5*FC_DATA!AG244),NA())</f>
        <v>#N/A</v>
      </c>
      <c r="AI244" s="491" t="e">
        <f ca="1">IF(V244="PARTNER.com",AH244,IF(AND(V244=V243,W244=W243),(1-AVERAGE(AD243,AD244))*AH244,(1-AVERAGE(AD244,VLOOKUP(_xlfn.CONCAT(U244,V244,W244,X244,M_BRAND_FC!$F$6),FC_DATA!$R$2:$AD$5000,MATCH("DISCOUNT_%_M",FC_DATA!$R$1:$AD$1,0),FALSE)))*AH244))</f>
        <v>#N/A</v>
      </c>
      <c r="AJ244" s="412" t="str">
        <f t="shared" ca="1" si="100"/>
        <v/>
      </c>
      <c r="AK244" s="413" t="str">
        <f>IFERROR(AE244/(Q_BRAND_FC!$T$24+1),"")</f>
        <v/>
      </c>
      <c r="AL244" s="88" t="str">
        <f t="shared" ca="1" si="101"/>
        <v/>
      </c>
      <c r="AM244" s="414" t="str">
        <f t="shared" ca="1" si="102"/>
        <v/>
      </c>
      <c r="AN244" s="58">
        <f>IFERROR(IF($V244="BRAND.com",HLOOKUP($X244&amp;$Z244,NWC_FC_NOOS!$C$4:$Q$23,MATCH(W244,NWC_FC_NOOS!$B$4:$B$23,0),FALSE),0),0)</f>
        <v>0</v>
      </c>
      <c r="AO244" s="57">
        <f>IFERROR(IF($V244="BRAND.com",HLOOKUP($X244&amp;$Z244,NWC_FC_NOOS!$T$4:$AH$23,MATCH(W244,NWC_FC_NOOS!$S$4:$S$23,0),FALSE),0),0)</f>
        <v>0</v>
      </c>
      <c r="AP244" s="57">
        <f>IFERROR(IF($V244="BRAND.com",HLOOKUP($X244&amp;$Z244,NWC_FC_NOOS!$C$50:$U$69,MATCH(W244,NWC_FC_NOOS!$B$50:$B$69,0),FALSE),0),0)</f>
        <v>0</v>
      </c>
      <c r="AQ244" s="58">
        <f>IFERROR(IF($V244="BRAND.com",HLOOKUP($X244&amp;$Z244,'NWC_FC_NON-NOOS'!$C$4:$Q$23,MATCH(W244,'NWC_FC_NON-NOOS'!$B$4:$B$23,0),FALSE),0),0)</f>
        <v>0</v>
      </c>
      <c r="AR244" s="57">
        <f>IFERROR(IF($V244="BRAND.com",HLOOKUP($X244&amp;$Z244,'NWC_FC_NON-NOOS'!$T$4:$AH$23,MATCH(W244,'NWC_FC_NON-NOOS'!$S$4:$S$23,0),FALSE),0),0)</f>
        <v>0</v>
      </c>
      <c r="AS244" s="57">
        <f>IFERROR(IF($V244="BRAND.com",HLOOKUP($X244&amp;$Z244,'NWC_FC_NON-NOOS'!$C$50:$U$69,MATCH(W244,'NWC_FC_NON-NOOS'!$B$50:$B$69,0),FALSE),0),0)</f>
        <v>0</v>
      </c>
      <c r="AT244" s="57">
        <f t="shared" si="104"/>
        <v>0</v>
      </c>
      <c r="AU244" s="57">
        <f t="shared" si="105"/>
        <v>0</v>
      </c>
      <c r="AV244" s="58">
        <f>IFERROR(IF($V244="BRAND.com",HLOOKUP($X244&amp;$Z244,PLANNING_FC!$BB$27:$BP$46,MATCH($W244,PLANNING_FC!$BA$27:$BA$46,0),FALSE),0),0)</f>
        <v>0</v>
      </c>
      <c r="AW244" s="58">
        <f>IFERROR(IF($V244="BRAND.com",HLOOKUP($X244&amp;$Z244,PLANNING_FC!$BB$4:$BP$23,MATCH($W244,PLANNING_FC!$BA$4:$BA$23,0),FALSE),0),0)</f>
        <v>0</v>
      </c>
      <c r="AX244" s="58">
        <f>IFERROR(IF($V244="BRAND.com",HLOOKUP($X244&amp;$Z244,PLANNING_FC!$T$27:$AH$46,MATCH($W244,PLANNING_FC!$B$27:$B$46,0),FALSE),0),0)</f>
        <v>0</v>
      </c>
      <c r="AY244" s="58">
        <f>IFERROR(IF($V244="BRAND.com",HLOOKUP($X244&amp;$Z244,PLANNING_FC!$T$4:$AH$23,MATCH($W244,PLANNING_FC!$B$4:$B$23,0),FALSE),0),0)</f>
        <v>0</v>
      </c>
      <c r="AZ244" s="58">
        <f>IFERROR(IF($V244="BRAND.com",HLOOKUP($X244&amp;$Z244,PLANNING_FC!$DA$27:$DO$46,MATCH($W244,PLANNING_FC!$CZ$27:$CZ$46,0),FALSE),0),0)</f>
        <v>0</v>
      </c>
      <c r="BA244" s="58">
        <f>IFERROR(IF($V244="BRAND.com",HLOOKUP($X244&amp;$Z244,PLANNING_FC!$DA$4:$DO$23,MATCH($W244,PLANNING_FC!$CZ$4:$CZ$23,0),FALSE),0),0)</f>
        <v>0</v>
      </c>
      <c r="BB244" s="883" t="str">
        <f>IF(V244="BRAND.com",IFERROR(HLOOKUP(X244&amp;Z244,PLANNING_FC!$AK$4:$AY$23,MATCH(W244,PLANNING_FC!$AJ$4:$AJ$23,0),FALSE)*1000,""),"")</f>
        <v/>
      </c>
      <c r="BC244" s="883" t="str">
        <f>IF(V244="BRAND.com",IFERROR(HLOOKUP(X244&amp;Z244,PLANNING_FC!$AK$27:$AY$46,MATCH(W244,PLANNING_FC!$AJ$27:$AJ$46,0),FALSE)*1000,""),"")</f>
        <v/>
      </c>
    </row>
    <row r="245" spans="1:55" x14ac:dyDescent="0.25">
      <c r="A245" s="509"/>
      <c r="B245" s="509"/>
      <c r="C245" s="509"/>
      <c r="D245" s="509"/>
      <c r="E245" s="509"/>
      <c r="F245" s="509"/>
      <c r="G245" s="509"/>
      <c r="H245" s="509"/>
      <c r="I245" s="512"/>
      <c r="J245" s="513"/>
      <c r="K245" s="879"/>
      <c r="L245" s="515"/>
      <c r="M245" s="516"/>
      <c r="N245" s="56">
        <f t="shared" si="86"/>
        <v>0</v>
      </c>
      <c r="O245" s="57">
        <f t="shared" si="87"/>
        <v>0</v>
      </c>
      <c r="P245" s="57">
        <f ca="1">IFERROR(IF(ISBLANK(H245),SUMIFS($AC:$AC,$V:$V,V245,$W:$W,W245,$X:$X,X245,$Y:$Y,Y245)*J245/(1-J245)*VLOOKUP(_xlfn.CONCAT(C245,D245,E245,TIME!$M$12,Z245),HIS_SALES!$B$2:$W$4859,20,FALSE),AC245*J245/(1-J245)),0)</f>
        <v>0</v>
      </c>
      <c r="Q245" s="541" t="str">
        <f t="shared" si="88"/>
        <v/>
      </c>
      <c r="R245" s="346" t="str">
        <f t="shared" si="89"/>
        <v>00000</v>
      </c>
      <c r="S245" s="344">
        <f t="shared" si="90"/>
        <v>0</v>
      </c>
      <c r="T245" s="345" t="str">
        <f t="shared" si="103"/>
        <v>000</v>
      </c>
      <c r="U245" s="345">
        <f t="shared" si="91"/>
        <v>0</v>
      </c>
      <c r="V245" s="345">
        <f t="shared" si="92"/>
        <v>0</v>
      </c>
      <c r="W245" s="345">
        <f t="shared" si="93"/>
        <v>0</v>
      </c>
      <c r="X245" s="345">
        <f t="shared" si="94"/>
        <v>0</v>
      </c>
      <c r="Y245" s="345">
        <f t="shared" si="95"/>
        <v>0</v>
      </c>
      <c r="Z245" s="345">
        <f>IF(Q245&lt;&gt;"",VLOOKUP(Y245,TIME!$R$21:$V$24,MATCH(FC_DATA!Q245,TIME!$R$20:$V$20,0),FALSE),H245)</f>
        <v>0</v>
      </c>
      <c r="AA245" s="345" t="str">
        <f>IFERROR(VLOOKUP(X245&amp;Z245,TIME!$A$12:$D$71,4,FALSE),"")</f>
        <v/>
      </c>
      <c r="AB245" s="592">
        <f t="shared" ca="1" si="96"/>
        <v>0</v>
      </c>
      <c r="AC245" s="593" t="e">
        <f ca="1">IF(ISBLANK(H245)=FALSE,IF(D245="BRAND.com",I245,IF(ISNA(VLOOKUP(_xlfn.CONCAT(X245,Z245),TIME!$M$40:$M$42,1,FALSE)),I245,VLOOKUP(_xlfn.CONCAT(D245,G245,H245),M_BUSAREA_FC!$AF$5:$AJ$10,5,FALSE)*HLOOKUP(_xlfn.CONCAT(F245,H245),ST_OVERVIEW!$G$99:$I$130,MATCH(_xlfn.CONCAT(D245,E245),ST_OVERVIEW!$F$99:$F$130,0),FALSE))),IF(D245="BRAND.com",VLOOKUP(_xlfn.CONCAT(C245,D245,E245,TIME!$F$1,Z245),HIS_SALES!$B$2:$V$4859,19,FALSE)*I245,VLOOKUP(_xlfn.CONCAT(D245,F245,G245),Q_BUSAREA_FC!$AE$5:$AI$12,5,FALSE)*HLOOKUP(_xlfn.CONCAT(FC_DATA!F245,FC_DATA!G245),LT_OVERVIEW!$I$99:$M$130,MATCH(_xlfn.CONCAT(D245,FC_DATA!E245),LT_OVERVIEW!$H$99:$H$130,0),FALSE)*IFERROR(VLOOKUP(_xlfn.CONCAT(C245,D245,E245,TIME!$F$1,Z245),HIS_SALES!$B$2:$V$4859,19,FALSE),0)))</f>
        <v>#N/A</v>
      </c>
      <c r="AD245" s="341">
        <f t="shared" ca="1" si="97"/>
        <v>0</v>
      </c>
      <c r="AE245" s="363" t="str">
        <f t="shared" si="98"/>
        <v/>
      </c>
      <c r="AF245" s="342" t="str">
        <f t="shared" si="99"/>
        <v/>
      </c>
      <c r="AG245" s="411" t="e">
        <f ca="1">VLOOKUP(_xlfn.CONCAT(U245,V245,W245,VLOOKUP(X245&amp;Y245,TIME!$L$27:$O$34,4,FALSE),Y245),HIS_SALES!$A$2:$R$5093,18,FALSE)</f>
        <v>#N/A</v>
      </c>
      <c r="AH245" s="412" t="e">
        <f ca="1">IFERROR(IF(AND(V245=V244,W245=W244),0.5*(AB245+AB244)*AG245,(VLOOKUP(_xlfn.CONCAT(U245,V245,W245,X245,VLOOKUP(Z245,TIME!$S$28:$T$39,2,FALSE)),FC_DATA!$R$2:$AB$5000,MATCH("GS_I_M",FC_DATA!$R$1:$AB$1,0),FALSE)+FC_DATA!AB245)*0.5*FC_DATA!AG245),NA())</f>
        <v>#N/A</v>
      </c>
      <c r="AI245" s="491" t="e">
        <f ca="1">IF(V245="PARTNER.com",AH245,IF(AND(V245=V244,W245=W244),(1-AVERAGE(AD244,AD245))*AH245,(1-AVERAGE(AD245,VLOOKUP(_xlfn.CONCAT(U245,V245,W245,X245,M_BRAND_FC!$F$6),FC_DATA!$R$2:$AD$5000,MATCH("DISCOUNT_%_M",FC_DATA!$R$1:$AD$1,0),FALSE)))*AH245))</f>
        <v>#N/A</v>
      </c>
      <c r="AJ245" s="412" t="str">
        <f t="shared" ca="1" si="100"/>
        <v/>
      </c>
      <c r="AK245" s="413" t="str">
        <f>IFERROR(AE245/(Q_BRAND_FC!$T$24+1),"")</f>
        <v/>
      </c>
      <c r="AL245" s="88" t="str">
        <f t="shared" ca="1" si="101"/>
        <v/>
      </c>
      <c r="AM245" s="414" t="str">
        <f t="shared" ca="1" si="102"/>
        <v/>
      </c>
      <c r="AN245" s="58">
        <f>IFERROR(IF($V245="BRAND.com",HLOOKUP($X245&amp;$Z245,NWC_FC_NOOS!$C$4:$Q$23,MATCH(W245,NWC_FC_NOOS!$B$4:$B$23,0),FALSE),0),0)</f>
        <v>0</v>
      </c>
      <c r="AO245" s="57">
        <f>IFERROR(IF($V245="BRAND.com",HLOOKUP($X245&amp;$Z245,NWC_FC_NOOS!$T$4:$AH$23,MATCH(W245,NWC_FC_NOOS!$S$4:$S$23,0),FALSE),0),0)</f>
        <v>0</v>
      </c>
      <c r="AP245" s="57">
        <f>IFERROR(IF($V245="BRAND.com",HLOOKUP($X245&amp;$Z245,NWC_FC_NOOS!$C$50:$U$69,MATCH(W245,NWC_FC_NOOS!$B$50:$B$69,0),FALSE),0),0)</f>
        <v>0</v>
      </c>
      <c r="AQ245" s="58">
        <f>IFERROR(IF($V245="BRAND.com",HLOOKUP($X245&amp;$Z245,'NWC_FC_NON-NOOS'!$C$4:$Q$23,MATCH(W245,'NWC_FC_NON-NOOS'!$B$4:$B$23,0),FALSE),0),0)</f>
        <v>0</v>
      </c>
      <c r="AR245" s="57">
        <f>IFERROR(IF($V245="BRAND.com",HLOOKUP($X245&amp;$Z245,'NWC_FC_NON-NOOS'!$T$4:$AH$23,MATCH(W245,'NWC_FC_NON-NOOS'!$S$4:$S$23,0),FALSE),0),0)</f>
        <v>0</v>
      </c>
      <c r="AS245" s="57">
        <f>IFERROR(IF($V245="BRAND.com",HLOOKUP($X245&amp;$Z245,'NWC_FC_NON-NOOS'!$C$50:$U$69,MATCH(W245,'NWC_FC_NON-NOOS'!$B$50:$B$69,0),FALSE),0),0)</f>
        <v>0</v>
      </c>
      <c r="AT245" s="57">
        <f t="shared" si="104"/>
        <v>0</v>
      </c>
      <c r="AU245" s="57">
        <f t="shared" si="105"/>
        <v>0</v>
      </c>
      <c r="AV245" s="58">
        <f>IFERROR(IF($V245="BRAND.com",HLOOKUP($X245&amp;$Z245,PLANNING_FC!$BB$27:$BP$46,MATCH($W245,PLANNING_FC!$BA$27:$BA$46,0),FALSE),0),0)</f>
        <v>0</v>
      </c>
      <c r="AW245" s="58">
        <f>IFERROR(IF($V245="BRAND.com",HLOOKUP($X245&amp;$Z245,PLANNING_FC!$BB$4:$BP$23,MATCH($W245,PLANNING_FC!$BA$4:$BA$23,0),FALSE),0),0)</f>
        <v>0</v>
      </c>
      <c r="AX245" s="58">
        <f>IFERROR(IF($V245="BRAND.com",HLOOKUP($X245&amp;$Z245,PLANNING_FC!$T$27:$AH$46,MATCH($W245,PLANNING_FC!$B$27:$B$46,0),FALSE),0),0)</f>
        <v>0</v>
      </c>
      <c r="AY245" s="58">
        <f>IFERROR(IF($V245="BRAND.com",HLOOKUP($X245&amp;$Z245,PLANNING_FC!$T$4:$AH$23,MATCH($W245,PLANNING_FC!$B$4:$B$23,0),FALSE),0),0)</f>
        <v>0</v>
      </c>
      <c r="AZ245" s="58">
        <f>IFERROR(IF($V245="BRAND.com",HLOOKUP($X245&amp;$Z245,PLANNING_FC!$DA$27:$DO$46,MATCH($W245,PLANNING_FC!$CZ$27:$CZ$46,0),FALSE),0),0)</f>
        <v>0</v>
      </c>
      <c r="BA245" s="58">
        <f>IFERROR(IF($V245="BRAND.com",HLOOKUP($X245&amp;$Z245,PLANNING_FC!$DA$4:$DO$23,MATCH($W245,PLANNING_FC!$CZ$4:$CZ$23,0),FALSE),0),0)</f>
        <v>0</v>
      </c>
      <c r="BB245" s="883" t="str">
        <f>IF(V245="BRAND.com",IFERROR(HLOOKUP(X245&amp;Z245,PLANNING_FC!$AK$4:$AY$23,MATCH(W245,PLANNING_FC!$AJ$4:$AJ$23,0),FALSE)*1000,""),"")</f>
        <v/>
      </c>
      <c r="BC245" s="883" t="str">
        <f>IF(V245="BRAND.com",IFERROR(HLOOKUP(X245&amp;Z245,PLANNING_FC!$AK$27:$AY$46,MATCH(W245,PLANNING_FC!$AJ$27:$AJ$46,0),FALSE)*1000,""),"")</f>
        <v/>
      </c>
    </row>
    <row r="246" spans="1:55" x14ac:dyDescent="0.25">
      <c r="A246" s="509"/>
      <c r="B246" s="509"/>
      <c r="C246" s="509"/>
      <c r="D246" s="509"/>
      <c r="E246" s="509"/>
      <c r="F246" s="509"/>
      <c r="G246" s="509"/>
      <c r="H246" s="509"/>
      <c r="I246" s="512"/>
      <c r="J246" s="513"/>
      <c r="K246" s="879"/>
      <c r="L246" s="515"/>
      <c r="M246" s="516"/>
      <c r="N246" s="56">
        <f t="shared" si="86"/>
        <v>0</v>
      </c>
      <c r="O246" s="57">
        <f t="shared" si="87"/>
        <v>0</v>
      </c>
      <c r="P246" s="57">
        <f ca="1">IFERROR(IF(ISBLANK(H246),SUMIFS($AC:$AC,$V:$V,V246,$W:$W,W246,$X:$X,X246,$Y:$Y,Y246)*J246/(1-J246)*VLOOKUP(_xlfn.CONCAT(C246,D246,E246,TIME!$M$12,Z246),HIS_SALES!$B$2:$W$4859,20,FALSE),AC246*J246/(1-J246)),0)</f>
        <v>0</v>
      </c>
      <c r="Q246" s="541" t="str">
        <f t="shared" si="88"/>
        <v/>
      </c>
      <c r="R246" s="346" t="str">
        <f t="shared" si="89"/>
        <v>00000</v>
      </c>
      <c r="S246" s="344">
        <f t="shared" si="90"/>
        <v>0</v>
      </c>
      <c r="T246" s="345" t="str">
        <f t="shared" si="103"/>
        <v>000</v>
      </c>
      <c r="U246" s="345">
        <f t="shared" si="91"/>
        <v>0</v>
      </c>
      <c r="V246" s="345">
        <f t="shared" si="92"/>
        <v>0</v>
      </c>
      <c r="W246" s="345">
        <f t="shared" si="93"/>
        <v>0</v>
      </c>
      <c r="X246" s="345">
        <f t="shared" si="94"/>
        <v>0</v>
      </c>
      <c r="Y246" s="345">
        <f t="shared" si="95"/>
        <v>0</v>
      </c>
      <c r="Z246" s="345">
        <f>IF(Q246&lt;&gt;"",VLOOKUP(Y246,TIME!$R$21:$V$24,MATCH(FC_DATA!Q246,TIME!$R$20:$V$20,0),FALSE),H246)</f>
        <v>0</v>
      </c>
      <c r="AA246" s="345" t="str">
        <f>IFERROR(VLOOKUP(X246&amp;Z246,TIME!$A$12:$D$71,4,FALSE),"")</f>
        <v/>
      </c>
      <c r="AB246" s="592">
        <f t="shared" ca="1" si="96"/>
        <v>0</v>
      </c>
      <c r="AC246" s="593" t="e">
        <f ca="1">IF(ISBLANK(H246)=FALSE,IF(D246="BRAND.com",I246,IF(ISNA(VLOOKUP(_xlfn.CONCAT(X246,Z246),TIME!$M$40:$M$42,1,FALSE)),I246,VLOOKUP(_xlfn.CONCAT(D246,G246,H246),M_BUSAREA_FC!$AF$5:$AJ$10,5,FALSE)*HLOOKUP(_xlfn.CONCAT(F246,H246),ST_OVERVIEW!$G$99:$I$130,MATCH(_xlfn.CONCAT(D246,E246),ST_OVERVIEW!$F$99:$F$130,0),FALSE))),IF(D246="BRAND.com",VLOOKUP(_xlfn.CONCAT(C246,D246,E246,TIME!$F$1,Z246),HIS_SALES!$B$2:$V$4859,19,FALSE)*I246,VLOOKUP(_xlfn.CONCAT(D246,F246,G246),Q_BUSAREA_FC!$AE$5:$AI$12,5,FALSE)*HLOOKUP(_xlfn.CONCAT(FC_DATA!F246,FC_DATA!G246),LT_OVERVIEW!$I$99:$M$130,MATCH(_xlfn.CONCAT(D246,FC_DATA!E246),LT_OVERVIEW!$H$99:$H$130,0),FALSE)*IFERROR(VLOOKUP(_xlfn.CONCAT(C246,D246,E246,TIME!$F$1,Z246),HIS_SALES!$B$2:$V$4859,19,FALSE),0)))</f>
        <v>#N/A</v>
      </c>
      <c r="AD246" s="341">
        <f t="shared" ca="1" si="97"/>
        <v>0</v>
      </c>
      <c r="AE246" s="363" t="str">
        <f t="shared" si="98"/>
        <v/>
      </c>
      <c r="AF246" s="342" t="str">
        <f t="shared" si="99"/>
        <v/>
      </c>
      <c r="AG246" s="411" t="e">
        <f ca="1">VLOOKUP(_xlfn.CONCAT(U246,V246,W246,VLOOKUP(X246&amp;Y246,TIME!$L$27:$O$34,4,FALSE),Y246),HIS_SALES!$A$2:$R$5093,18,FALSE)</f>
        <v>#N/A</v>
      </c>
      <c r="AH246" s="412" t="e">
        <f ca="1">IFERROR(IF(AND(V246=V245,W246=W245),0.5*(AB246+AB245)*AG246,(VLOOKUP(_xlfn.CONCAT(U246,V246,W246,X246,VLOOKUP(Z246,TIME!$S$28:$T$39,2,FALSE)),FC_DATA!$R$2:$AB$5000,MATCH("GS_I_M",FC_DATA!$R$1:$AB$1,0),FALSE)+FC_DATA!AB246)*0.5*FC_DATA!AG246),NA())</f>
        <v>#N/A</v>
      </c>
      <c r="AI246" s="491" t="e">
        <f ca="1">IF(V246="PARTNER.com",AH246,IF(AND(V246=V245,W246=W245),(1-AVERAGE(AD245,AD246))*AH246,(1-AVERAGE(AD246,VLOOKUP(_xlfn.CONCAT(U246,V246,W246,X246,M_BRAND_FC!$F$6),FC_DATA!$R$2:$AD$5000,MATCH("DISCOUNT_%_M",FC_DATA!$R$1:$AD$1,0),FALSE)))*AH246))</f>
        <v>#N/A</v>
      </c>
      <c r="AJ246" s="412" t="str">
        <f t="shared" ca="1" si="100"/>
        <v/>
      </c>
      <c r="AK246" s="413" t="str">
        <f>IFERROR(AE246/(Q_BRAND_FC!$T$24+1),"")</f>
        <v/>
      </c>
      <c r="AL246" s="88" t="str">
        <f t="shared" ca="1" si="101"/>
        <v/>
      </c>
      <c r="AM246" s="414" t="str">
        <f t="shared" ca="1" si="102"/>
        <v/>
      </c>
      <c r="AN246" s="58">
        <f>IFERROR(IF($V246="BRAND.com",HLOOKUP($X246&amp;$Z246,NWC_FC_NOOS!$C$4:$Q$23,MATCH(W246,NWC_FC_NOOS!$B$4:$B$23,0),FALSE),0),0)</f>
        <v>0</v>
      </c>
      <c r="AO246" s="57">
        <f>IFERROR(IF($V246="BRAND.com",HLOOKUP($X246&amp;$Z246,NWC_FC_NOOS!$T$4:$AH$23,MATCH(W246,NWC_FC_NOOS!$S$4:$S$23,0),FALSE),0),0)</f>
        <v>0</v>
      </c>
      <c r="AP246" s="57">
        <f>IFERROR(IF($V246="BRAND.com",HLOOKUP($X246&amp;$Z246,NWC_FC_NOOS!$C$50:$U$69,MATCH(W246,NWC_FC_NOOS!$B$50:$B$69,0),FALSE),0),0)</f>
        <v>0</v>
      </c>
      <c r="AQ246" s="58">
        <f>IFERROR(IF($V246="BRAND.com",HLOOKUP($X246&amp;$Z246,'NWC_FC_NON-NOOS'!$C$4:$Q$23,MATCH(W246,'NWC_FC_NON-NOOS'!$B$4:$B$23,0),FALSE),0),0)</f>
        <v>0</v>
      </c>
      <c r="AR246" s="57">
        <f>IFERROR(IF($V246="BRAND.com",HLOOKUP($X246&amp;$Z246,'NWC_FC_NON-NOOS'!$T$4:$AH$23,MATCH(W246,'NWC_FC_NON-NOOS'!$S$4:$S$23,0),FALSE),0),0)</f>
        <v>0</v>
      </c>
      <c r="AS246" s="57">
        <f>IFERROR(IF($V246="BRAND.com",HLOOKUP($X246&amp;$Z246,'NWC_FC_NON-NOOS'!$C$50:$U$69,MATCH(W246,'NWC_FC_NON-NOOS'!$B$50:$B$69,0),FALSE),0),0)</f>
        <v>0</v>
      </c>
      <c r="AT246" s="57">
        <f t="shared" si="104"/>
        <v>0</v>
      </c>
      <c r="AU246" s="57">
        <f t="shared" si="105"/>
        <v>0</v>
      </c>
      <c r="AV246" s="58">
        <f>IFERROR(IF($V246="BRAND.com",HLOOKUP($X246&amp;$Z246,PLANNING_FC!$BB$27:$BP$46,MATCH($W246,PLANNING_FC!$BA$27:$BA$46,0),FALSE),0),0)</f>
        <v>0</v>
      </c>
      <c r="AW246" s="58">
        <f>IFERROR(IF($V246="BRAND.com",HLOOKUP($X246&amp;$Z246,PLANNING_FC!$BB$4:$BP$23,MATCH($W246,PLANNING_FC!$BA$4:$BA$23,0),FALSE),0),0)</f>
        <v>0</v>
      </c>
      <c r="AX246" s="58">
        <f>IFERROR(IF($V246="BRAND.com",HLOOKUP($X246&amp;$Z246,PLANNING_FC!$T$27:$AH$46,MATCH($W246,PLANNING_FC!$B$27:$B$46,0),FALSE),0),0)</f>
        <v>0</v>
      </c>
      <c r="AY246" s="58">
        <f>IFERROR(IF($V246="BRAND.com",HLOOKUP($X246&amp;$Z246,PLANNING_FC!$T$4:$AH$23,MATCH($W246,PLANNING_FC!$B$4:$B$23,0),FALSE),0),0)</f>
        <v>0</v>
      </c>
      <c r="AZ246" s="58">
        <f>IFERROR(IF($V246="BRAND.com",HLOOKUP($X246&amp;$Z246,PLANNING_FC!$DA$27:$DO$46,MATCH($W246,PLANNING_FC!$CZ$27:$CZ$46,0),FALSE),0),0)</f>
        <v>0</v>
      </c>
      <c r="BA246" s="58">
        <f>IFERROR(IF($V246="BRAND.com",HLOOKUP($X246&amp;$Z246,PLANNING_FC!$DA$4:$DO$23,MATCH($W246,PLANNING_FC!$CZ$4:$CZ$23,0),FALSE),0),0)</f>
        <v>0</v>
      </c>
      <c r="BB246" s="883" t="str">
        <f>IF(V246="BRAND.com",IFERROR(HLOOKUP(X246&amp;Z246,PLANNING_FC!$AK$4:$AY$23,MATCH(W246,PLANNING_FC!$AJ$4:$AJ$23,0),FALSE)*1000,""),"")</f>
        <v/>
      </c>
      <c r="BC246" s="883" t="str">
        <f>IF(V246="BRAND.com",IFERROR(HLOOKUP(X246&amp;Z246,PLANNING_FC!$AK$27:$AY$46,MATCH(W246,PLANNING_FC!$AJ$27:$AJ$46,0),FALSE)*1000,""),"")</f>
        <v/>
      </c>
    </row>
    <row r="247" spans="1:55" x14ac:dyDescent="0.25">
      <c r="A247" s="509"/>
      <c r="B247" s="509"/>
      <c r="C247" s="509"/>
      <c r="D247" s="509"/>
      <c r="E247" s="509"/>
      <c r="F247" s="509"/>
      <c r="G247" s="509"/>
      <c r="H247" s="509"/>
      <c r="I247" s="512"/>
      <c r="J247" s="513"/>
      <c r="K247" s="879"/>
      <c r="L247" s="515"/>
      <c r="M247" s="516"/>
      <c r="N247" s="56">
        <f t="shared" si="86"/>
        <v>0</v>
      </c>
      <c r="O247" s="57">
        <f t="shared" si="87"/>
        <v>0</v>
      </c>
      <c r="P247" s="57">
        <f ca="1">IFERROR(IF(ISBLANK(H247),SUMIFS($AC:$AC,$V:$V,V247,$W:$W,W247,$X:$X,X247,$Y:$Y,Y247)*J247/(1-J247)*VLOOKUP(_xlfn.CONCAT(C247,D247,E247,TIME!$M$12,Z247),HIS_SALES!$B$2:$W$4859,20,FALSE),AC247*J247/(1-J247)),0)</f>
        <v>0</v>
      </c>
      <c r="Q247" s="541" t="str">
        <f t="shared" si="88"/>
        <v/>
      </c>
      <c r="R247" s="346" t="str">
        <f t="shared" si="89"/>
        <v>00000</v>
      </c>
      <c r="S247" s="344">
        <f t="shared" si="90"/>
        <v>0</v>
      </c>
      <c r="T247" s="345" t="str">
        <f t="shared" si="103"/>
        <v>000</v>
      </c>
      <c r="U247" s="345">
        <f t="shared" si="91"/>
        <v>0</v>
      </c>
      <c r="V247" s="345">
        <f t="shared" si="92"/>
        <v>0</v>
      </c>
      <c r="W247" s="345">
        <f t="shared" si="93"/>
        <v>0</v>
      </c>
      <c r="X247" s="345">
        <f t="shared" si="94"/>
        <v>0</v>
      </c>
      <c r="Y247" s="345">
        <f t="shared" si="95"/>
        <v>0</v>
      </c>
      <c r="Z247" s="345">
        <f>IF(Q247&lt;&gt;"",VLOOKUP(Y247,TIME!$R$21:$V$24,MATCH(FC_DATA!Q247,TIME!$R$20:$V$20,0),FALSE),H247)</f>
        <v>0</v>
      </c>
      <c r="AA247" s="345" t="str">
        <f>IFERROR(VLOOKUP(X247&amp;Z247,TIME!$A$12:$D$71,4,FALSE),"")</f>
        <v/>
      </c>
      <c r="AB247" s="592">
        <f t="shared" ca="1" si="96"/>
        <v>0</v>
      </c>
      <c r="AC247" s="593" t="e">
        <f ca="1">IF(ISBLANK(H247)=FALSE,IF(D247="BRAND.com",I247,IF(ISNA(VLOOKUP(_xlfn.CONCAT(X247,Z247),TIME!$M$40:$M$42,1,FALSE)),I247,VLOOKUP(_xlfn.CONCAT(D247,G247,H247),M_BUSAREA_FC!$AF$5:$AJ$10,5,FALSE)*HLOOKUP(_xlfn.CONCAT(F247,H247),ST_OVERVIEW!$G$99:$I$130,MATCH(_xlfn.CONCAT(D247,E247),ST_OVERVIEW!$F$99:$F$130,0),FALSE))),IF(D247="BRAND.com",VLOOKUP(_xlfn.CONCAT(C247,D247,E247,TIME!$F$1,Z247),HIS_SALES!$B$2:$V$4859,19,FALSE)*I247,VLOOKUP(_xlfn.CONCAT(D247,F247,G247),Q_BUSAREA_FC!$AE$5:$AI$12,5,FALSE)*HLOOKUP(_xlfn.CONCAT(FC_DATA!F247,FC_DATA!G247),LT_OVERVIEW!$I$99:$M$130,MATCH(_xlfn.CONCAT(D247,FC_DATA!E247),LT_OVERVIEW!$H$99:$H$130,0),FALSE)*IFERROR(VLOOKUP(_xlfn.CONCAT(C247,D247,E247,TIME!$F$1,Z247),HIS_SALES!$B$2:$V$4859,19,FALSE),0)))</f>
        <v>#N/A</v>
      </c>
      <c r="AD247" s="341">
        <f t="shared" ca="1" si="97"/>
        <v>0</v>
      </c>
      <c r="AE247" s="363" t="str">
        <f t="shared" si="98"/>
        <v/>
      </c>
      <c r="AF247" s="342" t="str">
        <f t="shared" si="99"/>
        <v/>
      </c>
      <c r="AG247" s="411" t="e">
        <f ca="1">VLOOKUP(_xlfn.CONCAT(U247,V247,W247,VLOOKUP(X247&amp;Y247,TIME!$L$27:$O$34,4,FALSE),Y247),HIS_SALES!$A$2:$R$5093,18,FALSE)</f>
        <v>#N/A</v>
      </c>
      <c r="AH247" s="412" t="e">
        <f ca="1">IFERROR(IF(AND(V247=V246,W247=W246),0.5*(AB247+AB246)*AG247,(VLOOKUP(_xlfn.CONCAT(U247,V247,W247,X247,VLOOKUP(Z247,TIME!$S$28:$T$39,2,FALSE)),FC_DATA!$R$2:$AB$5000,MATCH("GS_I_M",FC_DATA!$R$1:$AB$1,0),FALSE)+FC_DATA!AB247)*0.5*FC_DATA!AG247),NA())</f>
        <v>#N/A</v>
      </c>
      <c r="AI247" s="491" t="e">
        <f ca="1">IF(V247="PARTNER.com",AH247,IF(AND(V247=V246,W247=W246),(1-AVERAGE(AD246,AD247))*AH247,(1-AVERAGE(AD247,VLOOKUP(_xlfn.CONCAT(U247,V247,W247,X247,M_BRAND_FC!$F$6),FC_DATA!$R$2:$AD$5000,MATCH("DISCOUNT_%_M",FC_DATA!$R$1:$AD$1,0),FALSE)))*AH247))</f>
        <v>#N/A</v>
      </c>
      <c r="AJ247" s="412" t="str">
        <f t="shared" ca="1" si="100"/>
        <v/>
      </c>
      <c r="AK247" s="413" t="str">
        <f>IFERROR(AE247/(Q_BRAND_FC!$T$24+1),"")</f>
        <v/>
      </c>
      <c r="AL247" s="88" t="str">
        <f t="shared" ca="1" si="101"/>
        <v/>
      </c>
      <c r="AM247" s="414" t="str">
        <f t="shared" ca="1" si="102"/>
        <v/>
      </c>
      <c r="AN247" s="58">
        <f>IFERROR(IF($V247="BRAND.com",HLOOKUP($X247&amp;$Z247,NWC_FC_NOOS!$C$4:$Q$23,MATCH(W247,NWC_FC_NOOS!$B$4:$B$23,0),FALSE),0),0)</f>
        <v>0</v>
      </c>
      <c r="AO247" s="57">
        <f>IFERROR(IF($V247="BRAND.com",HLOOKUP($X247&amp;$Z247,NWC_FC_NOOS!$T$4:$AH$23,MATCH(W247,NWC_FC_NOOS!$S$4:$S$23,0),FALSE),0),0)</f>
        <v>0</v>
      </c>
      <c r="AP247" s="57">
        <f>IFERROR(IF($V247="BRAND.com",HLOOKUP($X247&amp;$Z247,NWC_FC_NOOS!$C$50:$U$69,MATCH(W247,NWC_FC_NOOS!$B$50:$B$69,0),FALSE),0),0)</f>
        <v>0</v>
      </c>
      <c r="AQ247" s="58">
        <f>IFERROR(IF($V247="BRAND.com",HLOOKUP($X247&amp;$Z247,'NWC_FC_NON-NOOS'!$C$4:$Q$23,MATCH(W247,'NWC_FC_NON-NOOS'!$B$4:$B$23,0),FALSE),0),0)</f>
        <v>0</v>
      </c>
      <c r="AR247" s="57">
        <f>IFERROR(IF($V247="BRAND.com",HLOOKUP($X247&amp;$Z247,'NWC_FC_NON-NOOS'!$T$4:$AH$23,MATCH(W247,'NWC_FC_NON-NOOS'!$S$4:$S$23,0),FALSE),0),0)</f>
        <v>0</v>
      </c>
      <c r="AS247" s="57">
        <f>IFERROR(IF($V247="BRAND.com",HLOOKUP($X247&amp;$Z247,'NWC_FC_NON-NOOS'!$C$50:$U$69,MATCH(W247,'NWC_FC_NON-NOOS'!$B$50:$B$69,0),FALSE),0),0)</f>
        <v>0</v>
      </c>
      <c r="AT247" s="57">
        <f t="shared" si="104"/>
        <v>0</v>
      </c>
      <c r="AU247" s="57">
        <f t="shared" si="105"/>
        <v>0</v>
      </c>
      <c r="AV247" s="58">
        <f>IFERROR(IF($V247="BRAND.com",HLOOKUP($X247&amp;$Z247,PLANNING_FC!$BB$27:$BP$46,MATCH($W247,PLANNING_FC!$BA$27:$BA$46,0),FALSE),0),0)</f>
        <v>0</v>
      </c>
      <c r="AW247" s="58">
        <f>IFERROR(IF($V247="BRAND.com",HLOOKUP($X247&amp;$Z247,PLANNING_FC!$BB$4:$BP$23,MATCH($W247,PLANNING_FC!$BA$4:$BA$23,0),FALSE),0),0)</f>
        <v>0</v>
      </c>
      <c r="AX247" s="58">
        <f>IFERROR(IF($V247="BRAND.com",HLOOKUP($X247&amp;$Z247,PLANNING_FC!$T$27:$AH$46,MATCH($W247,PLANNING_FC!$B$27:$B$46,0),FALSE),0),0)</f>
        <v>0</v>
      </c>
      <c r="AY247" s="58">
        <f>IFERROR(IF($V247="BRAND.com",HLOOKUP($X247&amp;$Z247,PLANNING_FC!$T$4:$AH$23,MATCH($W247,PLANNING_FC!$B$4:$B$23,0),FALSE),0),0)</f>
        <v>0</v>
      </c>
      <c r="AZ247" s="58">
        <f>IFERROR(IF($V247="BRAND.com",HLOOKUP($X247&amp;$Z247,PLANNING_FC!$DA$27:$DO$46,MATCH($W247,PLANNING_FC!$CZ$27:$CZ$46,0),FALSE),0),0)</f>
        <v>0</v>
      </c>
      <c r="BA247" s="58">
        <f>IFERROR(IF($V247="BRAND.com",HLOOKUP($X247&amp;$Z247,PLANNING_FC!$DA$4:$DO$23,MATCH($W247,PLANNING_FC!$CZ$4:$CZ$23,0),FALSE),0),0)</f>
        <v>0</v>
      </c>
      <c r="BB247" s="883" t="str">
        <f>IF(V247="BRAND.com",IFERROR(HLOOKUP(X247&amp;Z247,PLANNING_FC!$AK$4:$AY$23,MATCH(W247,PLANNING_FC!$AJ$4:$AJ$23,0),FALSE)*1000,""),"")</f>
        <v/>
      </c>
      <c r="BC247" s="883" t="str">
        <f>IF(V247="BRAND.com",IFERROR(HLOOKUP(X247&amp;Z247,PLANNING_FC!$AK$27:$AY$46,MATCH(W247,PLANNING_FC!$AJ$27:$AJ$46,0),FALSE)*1000,""),"")</f>
        <v/>
      </c>
    </row>
    <row r="248" spans="1:55" x14ac:dyDescent="0.25">
      <c r="A248" s="509"/>
      <c r="B248" s="509"/>
      <c r="C248" s="509"/>
      <c r="D248" s="509"/>
      <c r="E248" s="509"/>
      <c r="F248" s="509"/>
      <c r="G248" s="509"/>
      <c r="H248" s="509"/>
      <c r="I248" s="512"/>
      <c r="J248" s="513"/>
      <c r="K248" s="879"/>
      <c r="L248" s="515"/>
      <c r="M248" s="516"/>
      <c r="N248" s="56">
        <f t="shared" si="86"/>
        <v>0</v>
      </c>
      <c r="O248" s="57">
        <f t="shared" si="87"/>
        <v>0</v>
      </c>
      <c r="P248" s="57">
        <f ca="1">IFERROR(IF(ISBLANK(H248),SUMIFS($AC:$AC,$V:$V,V248,$W:$W,W248,$X:$X,X248,$Y:$Y,Y248)*J248/(1-J248)*VLOOKUP(_xlfn.CONCAT(C248,D248,E248,TIME!$M$12,Z248),HIS_SALES!$B$2:$W$4859,20,FALSE),AC248*J248/(1-J248)),0)</f>
        <v>0</v>
      </c>
      <c r="Q248" s="541" t="str">
        <f t="shared" si="88"/>
        <v/>
      </c>
      <c r="R248" s="346" t="str">
        <f t="shared" si="89"/>
        <v>00000</v>
      </c>
      <c r="S248" s="344">
        <f t="shared" si="90"/>
        <v>0</v>
      </c>
      <c r="T248" s="345" t="str">
        <f t="shared" si="103"/>
        <v>000</v>
      </c>
      <c r="U248" s="345">
        <f t="shared" si="91"/>
        <v>0</v>
      </c>
      <c r="V248" s="345">
        <f t="shared" si="92"/>
        <v>0</v>
      </c>
      <c r="W248" s="345">
        <f t="shared" si="93"/>
        <v>0</v>
      </c>
      <c r="X248" s="345">
        <f t="shared" si="94"/>
        <v>0</v>
      </c>
      <c r="Y248" s="345">
        <f t="shared" si="95"/>
        <v>0</v>
      </c>
      <c r="Z248" s="345">
        <f>IF(Q248&lt;&gt;"",VLOOKUP(Y248,TIME!$R$21:$V$24,MATCH(FC_DATA!Q248,TIME!$R$20:$V$20,0),FALSE),H248)</f>
        <v>0</v>
      </c>
      <c r="AA248" s="345" t="str">
        <f>IFERROR(VLOOKUP(X248&amp;Z248,TIME!$A$12:$D$71,4,FALSE),"")</f>
        <v/>
      </c>
      <c r="AB248" s="592">
        <f t="shared" ca="1" si="96"/>
        <v>0</v>
      </c>
      <c r="AC248" s="593" t="e">
        <f ca="1">IF(ISBLANK(H248)=FALSE,IF(D248="BRAND.com",I248,IF(ISNA(VLOOKUP(_xlfn.CONCAT(X248,Z248),TIME!$M$40:$M$42,1,FALSE)),I248,VLOOKUP(_xlfn.CONCAT(D248,G248,H248),M_BUSAREA_FC!$AF$5:$AJ$10,5,FALSE)*HLOOKUP(_xlfn.CONCAT(F248,H248),ST_OVERVIEW!$G$99:$I$130,MATCH(_xlfn.CONCAT(D248,E248),ST_OVERVIEW!$F$99:$F$130,0),FALSE))),IF(D248="BRAND.com",VLOOKUP(_xlfn.CONCAT(C248,D248,E248,TIME!$F$1,Z248),HIS_SALES!$B$2:$V$4859,19,FALSE)*I248,VLOOKUP(_xlfn.CONCAT(D248,F248,G248),Q_BUSAREA_FC!$AE$5:$AI$12,5,FALSE)*HLOOKUP(_xlfn.CONCAT(FC_DATA!F248,FC_DATA!G248),LT_OVERVIEW!$I$99:$M$130,MATCH(_xlfn.CONCAT(D248,FC_DATA!E248),LT_OVERVIEW!$H$99:$H$130,0),FALSE)*IFERROR(VLOOKUP(_xlfn.CONCAT(C248,D248,E248,TIME!$F$1,Z248),HIS_SALES!$B$2:$V$4859,19,FALSE),0)))</f>
        <v>#N/A</v>
      </c>
      <c r="AD248" s="341">
        <f t="shared" ca="1" si="97"/>
        <v>0</v>
      </c>
      <c r="AE248" s="363" t="str">
        <f t="shared" si="98"/>
        <v/>
      </c>
      <c r="AF248" s="342" t="str">
        <f t="shared" si="99"/>
        <v/>
      </c>
      <c r="AG248" s="411" t="e">
        <f ca="1">VLOOKUP(_xlfn.CONCAT(U248,V248,W248,VLOOKUP(X248&amp;Y248,TIME!$L$27:$O$34,4,FALSE),Y248),HIS_SALES!$A$2:$R$5093,18,FALSE)</f>
        <v>#N/A</v>
      </c>
      <c r="AH248" s="412" t="e">
        <f ca="1">IFERROR(IF(AND(V248=V247,W248=W247),0.5*(AB248+AB247)*AG248,(VLOOKUP(_xlfn.CONCAT(U248,V248,W248,X248,VLOOKUP(Z248,TIME!$S$28:$T$39,2,FALSE)),FC_DATA!$R$2:$AB$5000,MATCH("GS_I_M",FC_DATA!$R$1:$AB$1,0),FALSE)+FC_DATA!AB248)*0.5*FC_DATA!AG248),NA())</f>
        <v>#N/A</v>
      </c>
      <c r="AI248" s="491" t="e">
        <f ca="1">IF(V248="PARTNER.com",AH248,IF(AND(V248=V247,W248=W247),(1-AVERAGE(AD247,AD248))*AH248,(1-AVERAGE(AD248,VLOOKUP(_xlfn.CONCAT(U248,V248,W248,X248,M_BRAND_FC!$F$6),FC_DATA!$R$2:$AD$5000,MATCH("DISCOUNT_%_M",FC_DATA!$R$1:$AD$1,0),FALSE)))*AH248))</f>
        <v>#N/A</v>
      </c>
      <c r="AJ248" s="412" t="str">
        <f t="shared" ca="1" si="100"/>
        <v/>
      </c>
      <c r="AK248" s="413" t="str">
        <f>IFERROR(AE248/(Q_BRAND_FC!$T$24+1),"")</f>
        <v/>
      </c>
      <c r="AL248" s="88" t="str">
        <f t="shared" ca="1" si="101"/>
        <v/>
      </c>
      <c r="AM248" s="414" t="str">
        <f t="shared" ca="1" si="102"/>
        <v/>
      </c>
      <c r="AN248" s="58">
        <f>IFERROR(IF($V248="BRAND.com",HLOOKUP($X248&amp;$Z248,NWC_FC_NOOS!$C$4:$Q$23,MATCH(W248,NWC_FC_NOOS!$B$4:$B$23,0),FALSE),0),0)</f>
        <v>0</v>
      </c>
      <c r="AO248" s="57">
        <f>IFERROR(IF($V248="BRAND.com",HLOOKUP($X248&amp;$Z248,NWC_FC_NOOS!$T$4:$AH$23,MATCH(W248,NWC_FC_NOOS!$S$4:$S$23,0),FALSE),0),0)</f>
        <v>0</v>
      </c>
      <c r="AP248" s="57">
        <f>IFERROR(IF($V248="BRAND.com",HLOOKUP($X248&amp;$Z248,NWC_FC_NOOS!$C$50:$U$69,MATCH(W248,NWC_FC_NOOS!$B$50:$B$69,0),FALSE),0),0)</f>
        <v>0</v>
      </c>
      <c r="AQ248" s="58">
        <f>IFERROR(IF($V248="BRAND.com",HLOOKUP($X248&amp;$Z248,'NWC_FC_NON-NOOS'!$C$4:$Q$23,MATCH(W248,'NWC_FC_NON-NOOS'!$B$4:$B$23,0),FALSE),0),0)</f>
        <v>0</v>
      </c>
      <c r="AR248" s="57">
        <f>IFERROR(IF($V248="BRAND.com",HLOOKUP($X248&amp;$Z248,'NWC_FC_NON-NOOS'!$T$4:$AH$23,MATCH(W248,'NWC_FC_NON-NOOS'!$S$4:$S$23,0),FALSE),0),0)</f>
        <v>0</v>
      </c>
      <c r="AS248" s="57">
        <f>IFERROR(IF($V248="BRAND.com",HLOOKUP($X248&amp;$Z248,'NWC_FC_NON-NOOS'!$C$50:$U$69,MATCH(W248,'NWC_FC_NON-NOOS'!$B$50:$B$69,0),FALSE),0),0)</f>
        <v>0</v>
      </c>
      <c r="AT248" s="57">
        <f t="shared" si="104"/>
        <v>0</v>
      </c>
      <c r="AU248" s="57">
        <f t="shared" si="105"/>
        <v>0</v>
      </c>
      <c r="AV248" s="58">
        <f>IFERROR(IF($V248="BRAND.com",HLOOKUP($X248&amp;$Z248,PLANNING_FC!$BB$27:$BP$46,MATCH($W248,PLANNING_FC!$BA$27:$BA$46,0),FALSE),0),0)</f>
        <v>0</v>
      </c>
      <c r="AW248" s="58">
        <f>IFERROR(IF($V248="BRAND.com",HLOOKUP($X248&amp;$Z248,PLANNING_FC!$BB$4:$BP$23,MATCH($W248,PLANNING_FC!$BA$4:$BA$23,0),FALSE),0),0)</f>
        <v>0</v>
      </c>
      <c r="AX248" s="58">
        <f>IFERROR(IF($V248="BRAND.com",HLOOKUP($X248&amp;$Z248,PLANNING_FC!$T$27:$AH$46,MATCH($W248,PLANNING_FC!$B$27:$B$46,0),FALSE),0),0)</f>
        <v>0</v>
      </c>
      <c r="AY248" s="58">
        <f>IFERROR(IF($V248="BRAND.com",HLOOKUP($X248&amp;$Z248,PLANNING_FC!$T$4:$AH$23,MATCH($W248,PLANNING_FC!$B$4:$B$23,0),FALSE),0),0)</f>
        <v>0</v>
      </c>
      <c r="AZ248" s="58">
        <f>IFERROR(IF($V248="BRAND.com",HLOOKUP($X248&amp;$Z248,PLANNING_FC!$DA$27:$DO$46,MATCH($W248,PLANNING_FC!$CZ$27:$CZ$46,0),FALSE),0),0)</f>
        <v>0</v>
      </c>
      <c r="BA248" s="58">
        <f>IFERROR(IF($V248="BRAND.com",HLOOKUP($X248&amp;$Z248,PLANNING_FC!$DA$4:$DO$23,MATCH($W248,PLANNING_FC!$CZ$4:$CZ$23,0),FALSE),0),0)</f>
        <v>0</v>
      </c>
      <c r="BB248" s="883" t="str">
        <f>IF(V248="BRAND.com",IFERROR(HLOOKUP(X248&amp;Z248,PLANNING_FC!$AK$4:$AY$23,MATCH(W248,PLANNING_FC!$AJ$4:$AJ$23,0),FALSE)*1000,""),"")</f>
        <v/>
      </c>
      <c r="BC248" s="883" t="str">
        <f>IF(V248="BRAND.com",IFERROR(HLOOKUP(X248&amp;Z248,PLANNING_FC!$AK$27:$AY$46,MATCH(W248,PLANNING_FC!$AJ$27:$AJ$46,0),FALSE)*1000,""),"")</f>
        <v/>
      </c>
    </row>
    <row r="249" spans="1:55" x14ac:dyDescent="0.25">
      <c r="A249" s="509"/>
      <c r="B249" s="509"/>
      <c r="C249" s="509"/>
      <c r="D249" s="509"/>
      <c r="E249" s="509"/>
      <c r="F249" s="509"/>
      <c r="G249" s="509"/>
      <c r="H249" s="509"/>
      <c r="I249" s="512"/>
      <c r="J249" s="513"/>
      <c r="K249" s="879"/>
      <c r="L249" s="515"/>
      <c r="M249" s="516"/>
      <c r="N249" s="56">
        <f t="shared" si="86"/>
        <v>0</v>
      </c>
      <c r="O249" s="57">
        <f t="shared" si="87"/>
        <v>0</v>
      </c>
      <c r="P249" s="57">
        <f ca="1">IFERROR(IF(ISBLANK(H249),SUMIFS($AC:$AC,$V:$V,V249,$W:$W,W249,$X:$X,X249,$Y:$Y,Y249)*J249/(1-J249)*VLOOKUP(_xlfn.CONCAT(C249,D249,E249,TIME!$M$12,Z249),HIS_SALES!$B$2:$W$4859,20,FALSE),AC249*J249/(1-J249)),0)</f>
        <v>0</v>
      </c>
      <c r="Q249" s="541" t="str">
        <f t="shared" si="88"/>
        <v/>
      </c>
      <c r="R249" s="346" t="str">
        <f t="shared" si="89"/>
        <v>00000</v>
      </c>
      <c r="S249" s="344">
        <f t="shared" si="90"/>
        <v>0</v>
      </c>
      <c r="T249" s="345" t="str">
        <f t="shared" si="103"/>
        <v>000</v>
      </c>
      <c r="U249" s="345">
        <f t="shared" si="91"/>
        <v>0</v>
      </c>
      <c r="V249" s="345">
        <f t="shared" si="92"/>
        <v>0</v>
      </c>
      <c r="W249" s="345">
        <f t="shared" si="93"/>
        <v>0</v>
      </c>
      <c r="X249" s="345">
        <f t="shared" si="94"/>
        <v>0</v>
      </c>
      <c r="Y249" s="345">
        <f t="shared" si="95"/>
        <v>0</v>
      </c>
      <c r="Z249" s="345">
        <f>IF(Q249&lt;&gt;"",VLOOKUP(Y249,TIME!$R$21:$V$24,MATCH(FC_DATA!Q249,TIME!$R$20:$V$20,0),FALSE),H249)</f>
        <v>0</v>
      </c>
      <c r="AA249" s="345" t="str">
        <f>IFERROR(VLOOKUP(X249&amp;Z249,TIME!$A$12:$D$71,4,FALSE),"")</f>
        <v/>
      </c>
      <c r="AB249" s="592">
        <f t="shared" ca="1" si="96"/>
        <v>0</v>
      </c>
      <c r="AC249" s="593" t="e">
        <f ca="1">IF(ISBLANK(H249)=FALSE,IF(D249="BRAND.com",I249,IF(ISNA(VLOOKUP(_xlfn.CONCAT(X249,Z249),TIME!$M$40:$M$42,1,FALSE)),I249,VLOOKUP(_xlfn.CONCAT(D249,G249,H249),M_BUSAREA_FC!$AF$5:$AJ$10,5,FALSE)*HLOOKUP(_xlfn.CONCAT(F249,H249),ST_OVERVIEW!$G$99:$I$130,MATCH(_xlfn.CONCAT(D249,E249),ST_OVERVIEW!$F$99:$F$130,0),FALSE))),IF(D249="BRAND.com",VLOOKUP(_xlfn.CONCAT(C249,D249,E249,TIME!$F$1,Z249),HIS_SALES!$B$2:$V$4859,19,FALSE)*I249,VLOOKUP(_xlfn.CONCAT(D249,F249,G249),Q_BUSAREA_FC!$AE$5:$AI$12,5,FALSE)*HLOOKUP(_xlfn.CONCAT(FC_DATA!F249,FC_DATA!G249),LT_OVERVIEW!$I$99:$M$130,MATCH(_xlfn.CONCAT(D249,FC_DATA!E249),LT_OVERVIEW!$H$99:$H$130,0),FALSE)*IFERROR(VLOOKUP(_xlfn.CONCAT(C249,D249,E249,TIME!$F$1,Z249),HIS_SALES!$B$2:$V$4859,19,FALSE),0)))</f>
        <v>#N/A</v>
      </c>
      <c r="AD249" s="341">
        <f t="shared" ca="1" si="97"/>
        <v>0</v>
      </c>
      <c r="AE249" s="363" t="str">
        <f t="shared" si="98"/>
        <v/>
      </c>
      <c r="AF249" s="342" t="str">
        <f t="shared" si="99"/>
        <v/>
      </c>
      <c r="AG249" s="411" t="e">
        <f ca="1">VLOOKUP(_xlfn.CONCAT(U249,V249,W249,VLOOKUP(X249&amp;Y249,TIME!$L$27:$O$34,4,FALSE),Y249),HIS_SALES!$A$2:$R$5093,18,FALSE)</f>
        <v>#N/A</v>
      </c>
      <c r="AH249" s="412" t="e">
        <f ca="1">IFERROR(IF(AND(V249=V248,W249=W248),0.5*(AB249+AB248)*AG249,(VLOOKUP(_xlfn.CONCAT(U249,V249,W249,X249,VLOOKUP(Z249,TIME!$S$28:$T$39,2,FALSE)),FC_DATA!$R$2:$AB$5000,MATCH("GS_I_M",FC_DATA!$R$1:$AB$1,0),FALSE)+FC_DATA!AB249)*0.5*FC_DATA!AG249),NA())</f>
        <v>#N/A</v>
      </c>
      <c r="AI249" s="491" t="e">
        <f ca="1">IF(V249="PARTNER.com",AH249,IF(AND(V249=V248,W249=W248),(1-AVERAGE(AD248,AD249))*AH249,(1-AVERAGE(AD249,VLOOKUP(_xlfn.CONCAT(U249,V249,W249,X249,M_BRAND_FC!$F$6),FC_DATA!$R$2:$AD$5000,MATCH("DISCOUNT_%_M",FC_DATA!$R$1:$AD$1,0),FALSE)))*AH249))</f>
        <v>#N/A</v>
      </c>
      <c r="AJ249" s="412" t="str">
        <f t="shared" ca="1" si="100"/>
        <v/>
      </c>
      <c r="AK249" s="413" t="str">
        <f>IFERROR(AE249/(Q_BRAND_FC!$T$24+1),"")</f>
        <v/>
      </c>
      <c r="AL249" s="88" t="str">
        <f t="shared" ca="1" si="101"/>
        <v/>
      </c>
      <c r="AM249" s="414" t="str">
        <f t="shared" ca="1" si="102"/>
        <v/>
      </c>
      <c r="AN249" s="58">
        <f>IFERROR(IF($V249="BRAND.com",HLOOKUP($X249&amp;$Z249,NWC_FC_NOOS!$C$4:$Q$23,MATCH(W249,NWC_FC_NOOS!$B$4:$B$23,0),FALSE),0),0)</f>
        <v>0</v>
      </c>
      <c r="AO249" s="57">
        <f>IFERROR(IF($V249="BRAND.com",HLOOKUP($X249&amp;$Z249,NWC_FC_NOOS!$T$4:$AH$23,MATCH(W249,NWC_FC_NOOS!$S$4:$S$23,0),FALSE),0),0)</f>
        <v>0</v>
      </c>
      <c r="AP249" s="57">
        <f>IFERROR(IF($V249="BRAND.com",HLOOKUP($X249&amp;$Z249,NWC_FC_NOOS!$C$50:$U$69,MATCH(W249,NWC_FC_NOOS!$B$50:$B$69,0),FALSE),0),0)</f>
        <v>0</v>
      </c>
      <c r="AQ249" s="58">
        <f>IFERROR(IF($V249="BRAND.com",HLOOKUP($X249&amp;$Z249,'NWC_FC_NON-NOOS'!$C$4:$Q$23,MATCH(W249,'NWC_FC_NON-NOOS'!$B$4:$B$23,0),FALSE),0),0)</f>
        <v>0</v>
      </c>
      <c r="AR249" s="57">
        <f>IFERROR(IF($V249="BRAND.com",HLOOKUP($X249&amp;$Z249,'NWC_FC_NON-NOOS'!$T$4:$AH$23,MATCH(W249,'NWC_FC_NON-NOOS'!$S$4:$S$23,0),FALSE),0),0)</f>
        <v>0</v>
      </c>
      <c r="AS249" s="57">
        <f>IFERROR(IF($V249="BRAND.com",HLOOKUP($X249&amp;$Z249,'NWC_FC_NON-NOOS'!$C$50:$U$69,MATCH(W249,'NWC_FC_NON-NOOS'!$B$50:$B$69,0),FALSE),0),0)</f>
        <v>0</v>
      </c>
      <c r="AT249" s="57">
        <f t="shared" si="104"/>
        <v>0</v>
      </c>
      <c r="AU249" s="57">
        <f t="shared" si="105"/>
        <v>0</v>
      </c>
      <c r="AV249" s="58">
        <f>IFERROR(IF($V249="BRAND.com",HLOOKUP($X249&amp;$Z249,PLANNING_FC!$BB$27:$BP$46,MATCH($W249,PLANNING_FC!$BA$27:$BA$46,0),FALSE),0),0)</f>
        <v>0</v>
      </c>
      <c r="AW249" s="58">
        <f>IFERROR(IF($V249="BRAND.com",HLOOKUP($X249&amp;$Z249,PLANNING_FC!$BB$4:$BP$23,MATCH($W249,PLANNING_FC!$BA$4:$BA$23,0),FALSE),0),0)</f>
        <v>0</v>
      </c>
      <c r="AX249" s="58">
        <f>IFERROR(IF($V249="BRAND.com",HLOOKUP($X249&amp;$Z249,PLANNING_FC!$T$27:$AH$46,MATCH($W249,PLANNING_FC!$B$27:$B$46,0),FALSE),0),0)</f>
        <v>0</v>
      </c>
      <c r="AY249" s="58">
        <f>IFERROR(IF($V249="BRAND.com",HLOOKUP($X249&amp;$Z249,PLANNING_FC!$T$4:$AH$23,MATCH($W249,PLANNING_FC!$B$4:$B$23,0),FALSE),0),0)</f>
        <v>0</v>
      </c>
      <c r="AZ249" s="58">
        <f>IFERROR(IF($V249="BRAND.com",HLOOKUP($X249&amp;$Z249,PLANNING_FC!$DA$27:$DO$46,MATCH($W249,PLANNING_FC!$CZ$27:$CZ$46,0),FALSE),0),0)</f>
        <v>0</v>
      </c>
      <c r="BA249" s="58">
        <f>IFERROR(IF($V249="BRAND.com",HLOOKUP($X249&amp;$Z249,PLANNING_FC!$DA$4:$DO$23,MATCH($W249,PLANNING_FC!$CZ$4:$CZ$23,0),FALSE),0),0)</f>
        <v>0</v>
      </c>
      <c r="BB249" s="883" t="str">
        <f>IF(V249="BRAND.com",IFERROR(HLOOKUP(X249&amp;Z249,PLANNING_FC!$AK$4:$AY$23,MATCH(W249,PLANNING_FC!$AJ$4:$AJ$23,0),FALSE)*1000,""),"")</f>
        <v/>
      </c>
      <c r="BC249" s="883" t="str">
        <f>IF(V249="BRAND.com",IFERROR(HLOOKUP(X249&amp;Z249,PLANNING_FC!$AK$27:$AY$46,MATCH(W249,PLANNING_FC!$AJ$27:$AJ$46,0),FALSE)*1000,""),"")</f>
        <v/>
      </c>
    </row>
    <row r="250" spans="1:55" x14ac:dyDescent="0.25">
      <c r="A250" s="509"/>
      <c r="B250" s="509"/>
      <c r="C250" s="509"/>
      <c r="D250" s="509"/>
      <c r="E250" s="509"/>
      <c r="F250" s="509"/>
      <c r="G250" s="509"/>
      <c r="H250" s="509"/>
      <c r="I250" s="512"/>
      <c r="J250" s="513"/>
      <c r="K250" s="879"/>
      <c r="L250" s="515"/>
      <c r="M250" s="516"/>
      <c r="N250" s="56">
        <f t="shared" si="86"/>
        <v>0</v>
      </c>
      <c r="O250" s="57">
        <f t="shared" si="87"/>
        <v>0</v>
      </c>
      <c r="P250" s="57">
        <f ca="1">IFERROR(IF(ISBLANK(H250),SUMIFS($AC:$AC,$V:$V,V250,$W:$W,W250,$X:$X,X250,$Y:$Y,Y250)*J250/(1-J250)*VLOOKUP(_xlfn.CONCAT(C250,D250,E250,TIME!$M$12,Z250),HIS_SALES!$B$2:$W$4859,20,FALSE),AC250*J250/(1-J250)),0)</f>
        <v>0</v>
      </c>
      <c r="Q250" s="541" t="str">
        <f t="shared" si="88"/>
        <v/>
      </c>
      <c r="R250" s="346" t="str">
        <f t="shared" si="89"/>
        <v>00000</v>
      </c>
      <c r="S250" s="344">
        <f t="shared" si="90"/>
        <v>0</v>
      </c>
      <c r="T250" s="345" t="str">
        <f t="shared" si="103"/>
        <v>000</v>
      </c>
      <c r="U250" s="345">
        <f t="shared" si="91"/>
        <v>0</v>
      </c>
      <c r="V250" s="345">
        <f t="shared" si="92"/>
        <v>0</v>
      </c>
      <c r="W250" s="345">
        <f t="shared" si="93"/>
        <v>0</v>
      </c>
      <c r="X250" s="345">
        <f t="shared" si="94"/>
        <v>0</v>
      </c>
      <c r="Y250" s="345">
        <f t="shared" si="95"/>
        <v>0</v>
      </c>
      <c r="Z250" s="345">
        <f>IF(Q250&lt;&gt;"",VLOOKUP(Y250,TIME!$R$21:$V$24,MATCH(FC_DATA!Q250,TIME!$R$20:$V$20,0),FALSE),H250)</f>
        <v>0</v>
      </c>
      <c r="AA250" s="345" t="str">
        <f>IFERROR(VLOOKUP(X250&amp;Z250,TIME!$A$12:$D$71,4,FALSE),"")</f>
        <v/>
      </c>
      <c r="AB250" s="592">
        <f t="shared" ca="1" si="96"/>
        <v>0</v>
      </c>
      <c r="AC250" s="593" t="e">
        <f ca="1">IF(ISBLANK(H250)=FALSE,IF(D250="BRAND.com",I250,IF(ISNA(VLOOKUP(_xlfn.CONCAT(X250,Z250),TIME!$M$40:$M$42,1,FALSE)),I250,VLOOKUP(_xlfn.CONCAT(D250,G250,H250),M_BUSAREA_FC!$AF$5:$AJ$10,5,FALSE)*HLOOKUP(_xlfn.CONCAT(F250,H250),ST_OVERVIEW!$G$99:$I$130,MATCH(_xlfn.CONCAT(D250,E250),ST_OVERVIEW!$F$99:$F$130,0),FALSE))),IF(D250="BRAND.com",VLOOKUP(_xlfn.CONCAT(C250,D250,E250,TIME!$F$1,Z250),HIS_SALES!$B$2:$V$4859,19,FALSE)*I250,VLOOKUP(_xlfn.CONCAT(D250,F250,G250),Q_BUSAREA_FC!$AE$5:$AI$12,5,FALSE)*HLOOKUP(_xlfn.CONCAT(FC_DATA!F250,FC_DATA!G250),LT_OVERVIEW!$I$99:$M$130,MATCH(_xlfn.CONCAT(D250,FC_DATA!E250),LT_OVERVIEW!$H$99:$H$130,0),FALSE)*IFERROR(VLOOKUP(_xlfn.CONCAT(C250,D250,E250,TIME!$F$1,Z250),HIS_SALES!$B$2:$V$4859,19,FALSE),0)))</f>
        <v>#N/A</v>
      </c>
      <c r="AD250" s="341">
        <f t="shared" ca="1" si="97"/>
        <v>0</v>
      </c>
      <c r="AE250" s="363" t="str">
        <f t="shared" si="98"/>
        <v/>
      </c>
      <c r="AF250" s="342" t="str">
        <f t="shared" si="99"/>
        <v/>
      </c>
      <c r="AG250" s="411" t="e">
        <f ca="1">VLOOKUP(_xlfn.CONCAT(U250,V250,W250,VLOOKUP(X250&amp;Y250,TIME!$L$27:$O$34,4,FALSE),Y250),HIS_SALES!$A$2:$R$5093,18,FALSE)</f>
        <v>#N/A</v>
      </c>
      <c r="AH250" s="412" t="e">
        <f ca="1">IFERROR(IF(AND(V250=V249,W250=W249),0.5*(AB250+AB249)*AG250,(VLOOKUP(_xlfn.CONCAT(U250,V250,W250,X250,VLOOKUP(Z250,TIME!$S$28:$T$39,2,FALSE)),FC_DATA!$R$2:$AB$5000,MATCH("GS_I_M",FC_DATA!$R$1:$AB$1,0),FALSE)+FC_DATA!AB250)*0.5*FC_DATA!AG250),NA())</f>
        <v>#N/A</v>
      </c>
      <c r="AI250" s="491" t="e">
        <f ca="1">IF(V250="PARTNER.com",AH250,IF(AND(V250=V249,W250=W249),(1-AVERAGE(AD249,AD250))*AH250,(1-AVERAGE(AD250,VLOOKUP(_xlfn.CONCAT(U250,V250,W250,X250,M_BRAND_FC!$F$6),FC_DATA!$R$2:$AD$5000,MATCH("DISCOUNT_%_M",FC_DATA!$R$1:$AD$1,0),FALSE)))*AH250))</f>
        <v>#N/A</v>
      </c>
      <c r="AJ250" s="412" t="str">
        <f t="shared" ca="1" si="100"/>
        <v/>
      </c>
      <c r="AK250" s="413" t="str">
        <f>IFERROR(AE250/(Q_BRAND_FC!$T$24+1),"")</f>
        <v/>
      </c>
      <c r="AL250" s="88" t="str">
        <f t="shared" ca="1" si="101"/>
        <v/>
      </c>
      <c r="AM250" s="414" t="str">
        <f t="shared" ca="1" si="102"/>
        <v/>
      </c>
      <c r="AN250" s="58">
        <f>IFERROR(IF($V250="BRAND.com",HLOOKUP($X250&amp;$Z250,NWC_FC_NOOS!$C$4:$Q$23,MATCH(W250,NWC_FC_NOOS!$B$4:$B$23,0),FALSE),0),0)</f>
        <v>0</v>
      </c>
      <c r="AO250" s="57">
        <f>IFERROR(IF($V250="BRAND.com",HLOOKUP($X250&amp;$Z250,NWC_FC_NOOS!$T$4:$AH$23,MATCH(W250,NWC_FC_NOOS!$S$4:$S$23,0),FALSE),0),0)</f>
        <v>0</v>
      </c>
      <c r="AP250" s="57">
        <f>IFERROR(IF($V250="BRAND.com",HLOOKUP($X250&amp;$Z250,NWC_FC_NOOS!$C$50:$U$69,MATCH(W250,NWC_FC_NOOS!$B$50:$B$69,0),FALSE),0),0)</f>
        <v>0</v>
      </c>
      <c r="AQ250" s="58">
        <f>IFERROR(IF($V250="BRAND.com",HLOOKUP($X250&amp;$Z250,'NWC_FC_NON-NOOS'!$C$4:$Q$23,MATCH(W250,'NWC_FC_NON-NOOS'!$B$4:$B$23,0),FALSE),0),0)</f>
        <v>0</v>
      </c>
      <c r="AR250" s="57">
        <f>IFERROR(IF($V250="BRAND.com",HLOOKUP($X250&amp;$Z250,'NWC_FC_NON-NOOS'!$T$4:$AH$23,MATCH(W250,'NWC_FC_NON-NOOS'!$S$4:$S$23,0),FALSE),0),0)</f>
        <v>0</v>
      </c>
      <c r="AS250" s="57">
        <f>IFERROR(IF($V250="BRAND.com",HLOOKUP($X250&amp;$Z250,'NWC_FC_NON-NOOS'!$C$50:$U$69,MATCH(W250,'NWC_FC_NON-NOOS'!$B$50:$B$69,0),FALSE),0),0)</f>
        <v>0</v>
      </c>
      <c r="AT250" s="57">
        <f t="shared" si="104"/>
        <v>0</v>
      </c>
      <c r="AU250" s="57">
        <f t="shared" si="105"/>
        <v>0</v>
      </c>
      <c r="AV250" s="58">
        <f>IFERROR(IF($V250="BRAND.com",HLOOKUP($X250&amp;$Z250,PLANNING_FC!$BB$27:$BP$46,MATCH($W250,PLANNING_FC!$BA$27:$BA$46,0),FALSE),0),0)</f>
        <v>0</v>
      </c>
      <c r="AW250" s="58">
        <f>IFERROR(IF($V250="BRAND.com",HLOOKUP($X250&amp;$Z250,PLANNING_FC!$BB$4:$BP$23,MATCH($W250,PLANNING_FC!$BA$4:$BA$23,0),FALSE),0),0)</f>
        <v>0</v>
      </c>
      <c r="AX250" s="58">
        <f>IFERROR(IF($V250="BRAND.com",HLOOKUP($X250&amp;$Z250,PLANNING_FC!$T$27:$AH$46,MATCH($W250,PLANNING_FC!$B$27:$B$46,0),FALSE),0),0)</f>
        <v>0</v>
      </c>
      <c r="AY250" s="58">
        <f>IFERROR(IF($V250="BRAND.com",HLOOKUP($X250&amp;$Z250,PLANNING_FC!$T$4:$AH$23,MATCH($W250,PLANNING_FC!$B$4:$B$23,0),FALSE),0),0)</f>
        <v>0</v>
      </c>
      <c r="AZ250" s="58">
        <f>IFERROR(IF($V250="BRAND.com",HLOOKUP($X250&amp;$Z250,PLANNING_FC!$DA$27:$DO$46,MATCH($W250,PLANNING_FC!$CZ$27:$CZ$46,0),FALSE),0),0)</f>
        <v>0</v>
      </c>
      <c r="BA250" s="58">
        <f>IFERROR(IF($V250="BRAND.com",HLOOKUP($X250&amp;$Z250,PLANNING_FC!$DA$4:$DO$23,MATCH($W250,PLANNING_FC!$CZ$4:$CZ$23,0),FALSE),0),0)</f>
        <v>0</v>
      </c>
      <c r="BB250" s="883" t="str">
        <f>IF(V250="BRAND.com",IFERROR(HLOOKUP(X250&amp;Z250,PLANNING_FC!$AK$4:$AY$23,MATCH(W250,PLANNING_FC!$AJ$4:$AJ$23,0),FALSE)*1000,""),"")</f>
        <v/>
      </c>
      <c r="BC250" s="883" t="str">
        <f>IF(V250="BRAND.com",IFERROR(HLOOKUP(X250&amp;Z250,PLANNING_FC!$AK$27:$AY$46,MATCH(W250,PLANNING_FC!$AJ$27:$AJ$46,0),FALSE)*1000,""),"")</f>
        <v/>
      </c>
    </row>
    <row r="251" spans="1:55" x14ac:dyDescent="0.25">
      <c r="A251" s="509"/>
      <c r="B251" s="509"/>
      <c r="C251" s="509"/>
      <c r="D251" s="509"/>
      <c r="E251" s="509"/>
      <c r="F251" s="509"/>
      <c r="G251" s="509"/>
      <c r="H251" s="509"/>
      <c r="I251" s="512"/>
      <c r="J251" s="513"/>
      <c r="K251" s="879"/>
      <c r="L251" s="515"/>
      <c r="M251" s="516"/>
      <c r="N251" s="56">
        <f t="shared" si="86"/>
        <v>0</v>
      </c>
      <c r="O251" s="57">
        <f t="shared" si="87"/>
        <v>0</v>
      </c>
      <c r="P251" s="57">
        <f ca="1">IFERROR(IF(ISBLANK(H251),SUMIFS($AC:$AC,$V:$V,V251,$W:$W,W251,$X:$X,X251,$Y:$Y,Y251)*J251/(1-J251)*VLOOKUP(_xlfn.CONCAT(C251,D251,E251,TIME!$M$12,Z251),HIS_SALES!$B$2:$W$4859,20,FALSE),AC251*J251/(1-J251)),0)</f>
        <v>0</v>
      </c>
      <c r="Q251" s="541" t="str">
        <f t="shared" si="88"/>
        <v/>
      </c>
      <c r="R251" s="346" t="str">
        <f t="shared" si="89"/>
        <v>00000</v>
      </c>
      <c r="S251" s="344">
        <f t="shared" si="90"/>
        <v>0</v>
      </c>
      <c r="T251" s="345" t="str">
        <f t="shared" si="103"/>
        <v>000</v>
      </c>
      <c r="U251" s="345">
        <f t="shared" si="91"/>
        <v>0</v>
      </c>
      <c r="V251" s="345">
        <f t="shared" si="92"/>
        <v>0</v>
      </c>
      <c r="W251" s="345">
        <f t="shared" si="93"/>
        <v>0</v>
      </c>
      <c r="X251" s="345">
        <f t="shared" si="94"/>
        <v>0</v>
      </c>
      <c r="Y251" s="345">
        <f t="shared" si="95"/>
        <v>0</v>
      </c>
      <c r="Z251" s="345">
        <f>IF(Q251&lt;&gt;"",VLOOKUP(Y251,TIME!$R$21:$V$24,MATCH(FC_DATA!Q251,TIME!$R$20:$V$20,0),FALSE),H251)</f>
        <v>0</v>
      </c>
      <c r="AA251" s="345" t="str">
        <f>IFERROR(VLOOKUP(X251&amp;Z251,TIME!$A$12:$D$71,4,FALSE),"")</f>
        <v/>
      </c>
      <c r="AB251" s="592">
        <f t="shared" ca="1" si="96"/>
        <v>0</v>
      </c>
      <c r="AC251" s="593" t="e">
        <f ca="1">IF(ISBLANK(H251)=FALSE,IF(D251="BRAND.com",I251,IF(ISNA(VLOOKUP(_xlfn.CONCAT(X251,Z251),TIME!$M$40:$M$42,1,FALSE)),I251,VLOOKUP(_xlfn.CONCAT(D251,G251,H251),M_BUSAREA_FC!$AF$5:$AJ$10,5,FALSE)*HLOOKUP(_xlfn.CONCAT(F251,H251),ST_OVERVIEW!$G$99:$I$130,MATCH(_xlfn.CONCAT(D251,E251),ST_OVERVIEW!$F$99:$F$130,0),FALSE))),IF(D251="BRAND.com",VLOOKUP(_xlfn.CONCAT(C251,D251,E251,TIME!$F$1,Z251),HIS_SALES!$B$2:$V$4859,19,FALSE)*I251,VLOOKUP(_xlfn.CONCAT(D251,F251,G251),Q_BUSAREA_FC!$AE$5:$AI$12,5,FALSE)*HLOOKUP(_xlfn.CONCAT(FC_DATA!F251,FC_DATA!G251),LT_OVERVIEW!$I$99:$M$130,MATCH(_xlfn.CONCAT(D251,FC_DATA!E251),LT_OVERVIEW!$H$99:$H$130,0),FALSE)*IFERROR(VLOOKUP(_xlfn.CONCAT(C251,D251,E251,TIME!$F$1,Z251),HIS_SALES!$B$2:$V$4859,19,FALSE),0)))</f>
        <v>#N/A</v>
      </c>
      <c r="AD251" s="341">
        <f t="shared" ca="1" si="97"/>
        <v>0</v>
      </c>
      <c r="AE251" s="363" t="str">
        <f t="shared" si="98"/>
        <v/>
      </c>
      <c r="AF251" s="342" t="str">
        <f t="shared" si="99"/>
        <v/>
      </c>
      <c r="AG251" s="411" t="e">
        <f ca="1">VLOOKUP(_xlfn.CONCAT(U251,V251,W251,VLOOKUP(X251&amp;Y251,TIME!$L$27:$O$34,4,FALSE),Y251),HIS_SALES!$A$2:$R$5093,18,FALSE)</f>
        <v>#N/A</v>
      </c>
      <c r="AH251" s="412" t="e">
        <f ca="1">IFERROR(IF(AND(V251=V250,W251=W250),0.5*(AB251+AB250)*AG251,(VLOOKUP(_xlfn.CONCAT(U251,V251,W251,X251,VLOOKUP(Z251,TIME!$S$28:$T$39,2,FALSE)),FC_DATA!$R$2:$AB$5000,MATCH("GS_I_M",FC_DATA!$R$1:$AB$1,0),FALSE)+FC_DATA!AB251)*0.5*FC_DATA!AG251),NA())</f>
        <v>#N/A</v>
      </c>
      <c r="AI251" s="491" t="e">
        <f ca="1">IF(V251="PARTNER.com",AH251,IF(AND(V251=V250,W251=W250),(1-AVERAGE(AD250,AD251))*AH251,(1-AVERAGE(AD251,VLOOKUP(_xlfn.CONCAT(U251,V251,W251,X251,M_BRAND_FC!$F$6),FC_DATA!$R$2:$AD$5000,MATCH("DISCOUNT_%_M",FC_DATA!$R$1:$AD$1,0),FALSE)))*AH251))</f>
        <v>#N/A</v>
      </c>
      <c r="AJ251" s="412" t="str">
        <f t="shared" ca="1" si="100"/>
        <v/>
      </c>
      <c r="AK251" s="413" t="str">
        <f>IFERROR(AE251/(Q_BRAND_FC!$T$24+1),"")</f>
        <v/>
      </c>
      <c r="AL251" s="88" t="str">
        <f t="shared" ca="1" si="101"/>
        <v/>
      </c>
      <c r="AM251" s="414" t="str">
        <f t="shared" ca="1" si="102"/>
        <v/>
      </c>
      <c r="AN251" s="58">
        <f>IFERROR(IF($V251="BRAND.com",HLOOKUP($X251&amp;$Z251,NWC_FC_NOOS!$C$4:$Q$23,MATCH(W251,NWC_FC_NOOS!$B$4:$B$23,0),FALSE),0),0)</f>
        <v>0</v>
      </c>
      <c r="AO251" s="57">
        <f>IFERROR(IF($V251="BRAND.com",HLOOKUP($X251&amp;$Z251,NWC_FC_NOOS!$T$4:$AH$23,MATCH(W251,NWC_FC_NOOS!$S$4:$S$23,0),FALSE),0),0)</f>
        <v>0</v>
      </c>
      <c r="AP251" s="57">
        <f>IFERROR(IF($V251="BRAND.com",HLOOKUP($X251&amp;$Z251,NWC_FC_NOOS!$C$50:$U$69,MATCH(W251,NWC_FC_NOOS!$B$50:$B$69,0),FALSE),0),0)</f>
        <v>0</v>
      </c>
      <c r="AQ251" s="58">
        <f>IFERROR(IF($V251="BRAND.com",HLOOKUP($X251&amp;$Z251,'NWC_FC_NON-NOOS'!$C$4:$Q$23,MATCH(W251,'NWC_FC_NON-NOOS'!$B$4:$B$23,0),FALSE),0),0)</f>
        <v>0</v>
      </c>
      <c r="AR251" s="57">
        <f>IFERROR(IF($V251="BRAND.com",HLOOKUP($X251&amp;$Z251,'NWC_FC_NON-NOOS'!$T$4:$AH$23,MATCH(W251,'NWC_FC_NON-NOOS'!$S$4:$S$23,0),FALSE),0),0)</f>
        <v>0</v>
      </c>
      <c r="AS251" s="57">
        <f>IFERROR(IF($V251="BRAND.com",HLOOKUP($X251&amp;$Z251,'NWC_FC_NON-NOOS'!$C$50:$U$69,MATCH(W251,'NWC_FC_NON-NOOS'!$B$50:$B$69,0),FALSE),0),0)</f>
        <v>0</v>
      </c>
      <c r="AT251" s="57">
        <f t="shared" si="104"/>
        <v>0</v>
      </c>
      <c r="AU251" s="57">
        <f t="shared" si="105"/>
        <v>0</v>
      </c>
      <c r="AV251" s="58">
        <f>IFERROR(IF($V251="BRAND.com",HLOOKUP($X251&amp;$Z251,PLANNING_FC!$BB$27:$BP$46,MATCH($W251,PLANNING_FC!$BA$27:$BA$46,0),FALSE),0),0)</f>
        <v>0</v>
      </c>
      <c r="AW251" s="58">
        <f>IFERROR(IF($V251="BRAND.com",HLOOKUP($X251&amp;$Z251,PLANNING_FC!$BB$4:$BP$23,MATCH($W251,PLANNING_FC!$BA$4:$BA$23,0),FALSE),0),0)</f>
        <v>0</v>
      </c>
      <c r="AX251" s="58">
        <f>IFERROR(IF($V251="BRAND.com",HLOOKUP($X251&amp;$Z251,PLANNING_FC!$T$27:$AH$46,MATCH($W251,PLANNING_FC!$B$27:$B$46,0),FALSE),0),0)</f>
        <v>0</v>
      </c>
      <c r="AY251" s="58">
        <f>IFERROR(IF($V251="BRAND.com",HLOOKUP($X251&amp;$Z251,PLANNING_FC!$T$4:$AH$23,MATCH($W251,PLANNING_FC!$B$4:$B$23,0),FALSE),0),0)</f>
        <v>0</v>
      </c>
      <c r="AZ251" s="58">
        <f>IFERROR(IF($V251="BRAND.com",HLOOKUP($X251&amp;$Z251,PLANNING_FC!$DA$27:$DO$46,MATCH($W251,PLANNING_FC!$CZ$27:$CZ$46,0),FALSE),0),0)</f>
        <v>0</v>
      </c>
      <c r="BA251" s="58">
        <f>IFERROR(IF($V251="BRAND.com",HLOOKUP($X251&amp;$Z251,PLANNING_FC!$DA$4:$DO$23,MATCH($W251,PLANNING_FC!$CZ$4:$CZ$23,0),FALSE),0),0)</f>
        <v>0</v>
      </c>
      <c r="BB251" s="883" t="str">
        <f>IF(V251="BRAND.com",IFERROR(HLOOKUP(X251&amp;Z251,PLANNING_FC!$AK$4:$AY$23,MATCH(W251,PLANNING_FC!$AJ$4:$AJ$23,0),FALSE)*1000,""),"")</f>
        <v/>
      </c>
      <c r="BC251" s="883" t="str">
        <f>IF(V251="BRAND.com",IFERROR(HLOOKUP(X251&amp;Z251,PLANNING_FC!$AK$27:$AY$46,MATCH(W251,PLANNING_FC!$AJ$27:$AJ$46,0),FALSE)*1000,""),"")</f>
        <v/>
      </c>
    </row>
    <row r="252" spans="1:55" x14ac:dyDescent="0.25">
      <c r="A252" s="509"/>
      <c r="B252" s="509"/>
      <c r="C252" s="509"/>
      <c r="D252" s="509"/>
      <c r="E252" s="509"/>
      <c r="F252" s="509"/>
      <c r="G252" s="509"/>
      <c r="H252" s="509"/>
      <c r="I252" s="512"/>
      <c r="J252" s="513"/>
      <c r="K252" s="879"/>
      <c r="L252" s="515"/>
      <c r="M252" s="516"/>
      <c r="N252" s="56">
        <f t="shared" si="86"/>
        <v>0</v>
      </c>
      <c r="O252" s="57">
        <f t="shared" si="87"/>
        <v>0</v>
      </c>
      <c r="P252" s="57">
        <f ca="1">IFERROR(IF(ISBLANK(H252),SUMIFS($AC:$AC,$V:$V,V252,$W:$W,W252,$X:$X,X252,$Y:$Y,Y252)*J252/(1-J252)*VLOOKUP(_xlfn.CONCAT(C252,D252,E252,TIME!$M$12,Z252),HIS_SALES!$B$2:$W$4859,20,FALSE),AC252*J252/(1-J252)),0)</f>
        <v>0</v>
      </c>
      <c r="Q252" s="541" t="str">
        <f t="shared" si="88"/>
        <v/>
      </c>
      <c r="R252" s="346" t="str">
        <f t="shared" si="89"/>
        <v>00000</v>
      </c>
      <c r="S252" s="344">
        <f t="shared" si="90"/>
        <v>0</v>
      </c>
      <c r="T252" s="345" t="str">
        <f t="shared" si="103"/>
        <v>000</v>
      </c>
      <c r="U252" s="345">
        <f t="shared" si="91"/>
        <v>0</v>
      </c>
      <c r="V252" s="345">
        <f t="shared" si="92"/>
        <v>0</v>
      </c>
      <c r="W252" s="345">
        <f t="shared" si="93"/>
        <v>0</v>
      </c>
      <c r="X252" s="345">
        <f t="shared" si="94"/>
        <v>0</v>
      </c>
      <c r="Y252" s="345">
        <f t="shared" si="95"/>
        <v>0</v>
      </c>
      <c r="Z252" s="345">
        <f>IF(Q252&lt;&gt;"",VLOOKUP(Y252,TIME!$R$21:$V$24,MATCH(FC_DATA!Q252,TIME!$R$20:$V$20,0),FALSE),H252)</f>
        <v>0</v>
      </c>
      <c r="AA252" s="345" t="str">
        <f>IFERROR(VLOOKUP(X252&amp;Z252,TIME!$A$12:$D$71,4,FALSE),"")</f>
        <v/>
      </c>
      <c r="AB252" s="592">
        <f t="shared" ca="1" si="96"/>
        <v>0</v>
      </c>
      <c r="AC252" s="593" t="e">
        <f ca="1">IF(ISBLANK(H252)=FALSE,IF(D252="BRAND.com",I252,IF(ISNA(VLOOKUP(_xlfn.CONCAT(X252,Z252),TIME!$M$40:$M$42,1,FALSE)),I252,VLOOKUP(_xlfn.CONCAT(D252,G252,H252),M_BUSAREA_FC!$AF$5:$AJ$10,5,FALSE)*HLOOKUP(_xlfn.CONCAT(F252,H252),ST_OVERVIEW!$G$99:$I$130,MATCH(_xlfn.CONCAT(D252,E252),ST_OVERVIEW!$F$99:$F$130,0),FALSE))),IF(D252="BRAND.com",VLOOKUP(_xlfn.CONCAT(C252,D252,E252,TIME!$F$1,Z252),HIS_SALES!$B$2:$V$4859,19,FALSE)*I252,VLOOKUP(_xlfn.CONCAT(D252,F252,G252),Q_BUSAREA_FC!$AE$5:$AI$12,5,FALSE)*HLOOKUP(_xlfn.CONCAT(FC_DATA!F252,FC_DATA!G252),LT_OVERVIEW!$I$99:$M$130,MATCH(_xlfn.CONCAT(D252,FC_DATA!E252),LT_OVERVIEW!$H$99:$H$130,0),FALSE)*IFERROR(VLOOKUP(_xlfn.CONCAT(C252,D252,E252,TIME!$F$1,Z252),HIS_SALES!$B$2:$V$4859,19,FALSE),0)))</f>
        <v>#N/A</v>
      </c>
      <c r="AD252" s="341">
        <f t="shared" ca="1" si="97"/>
        <v>0</v>
      </c>
      <c r="AE252" s="363" t="str">
        <f t="shared" si="98"/>
        <v/>
      </c>
      <c r="AF252" s="342" t="str">
        <f t="shared" si="99"/>
        <v/>
      </c>
      <c r="AG252" s="411" t="e">
        <f ca="1">VLOOKUP(_xlfn.CONCAT(U252,V252,W252,VLOOKUP(X252&amp;Y252,TIME!$L$27:$O$34,4,FALSE),Y252),HIS_SALES!$A$2:$R$5093,18,FALSE)</f>
        <v>#N/A</v>
      </c>
      <c r="AH252" s="412" t="e">
        <f ca="1">IFERROR(IF(AND(V252=V251,W252=W251),0.5*(AB252+AB251)*AG252,(VLOOKUP(_xlfn.CONCAT(U252,V252,W252,X252,VLOOKUP(Z252,TIME!$S$28:$T$39,2,FALSE)),FC_DATA!$R$2:$AB$5000,MATCH("GS_I_M",FC_DATA!$R$1:$AB$1,0),FALSE)+FC_DATA!AB252)*0.5*FC_DATA!AG252),NA())</f>
        <v>#N/A</v>
      </c>
      <c r="AI252" s="491" t="e">
        <f ca="1">IF(V252="PARTNER.com",AH252,IF(AND(V252=V251,W252=W251),(1-AVERAGE(AD251,AD252))*AH252,(1-AVERAGE(AD252,VLOOKUP(_xlfn.CONCAT(U252,V252,W252,X252,M_BRAND_FC!$F$6),FC_DATA!$R$2:$AD$5000,MATCH("DISCOUNT_%_M",FC_DATA!$R$1:$AD$1,0),FALSE)))*AH252))</f>
        <v>#N/A</v>
      </c>
      <c r="AJ252" s="412" t="str">
        <f t="shared" ca="1" si="100"/>
        <v/>
      </c>
      <c r="AK252" s="413" t="str">
        <f>IFERROR(AE252/(Q_BRAND_FC!$T$24+1),"")</f>
        <v/>
      </c>
      <c r="AL252" s="88" t="str">
        <f t="shared" ca="1" si="101"/>
        <v/>
      </c>
      <c r="AM252" s="414" t="str">
        <f t="shared" ca="1" si="102"/>
        <v/>
      </c>
      <c r="AN252" s="58">
        <f>IFERROR(IF($V252="BRAND.com",HLOOKUP($X252&amp;$Z252,NWC_FC_NOOS!$C$4:$Q$23,MATCH(W252,NWC_FC_NOOS!$B$4:$B$23,0),FALSE),0),0)</f>
        <v>0</v>
      </c>
      <c r="AO252" s="57">
        <f>IFERROR(IF($V252="BRAND.com",HLOOKUP($X252&amp;$Z252,NWC_FC_NOOS!$T$4:$AH$23,MATCH(W252,NWC_FC_NOOS!$S$4:$S$23,0),FALSE),0),0)</f>
        <v>0</v>
      </c>
      <c r="AP252" s="57">
        <f>IFERROR(IF($V252="BRAND.com",HLOOKUP($X252&amp;$Z252,NWC_FC_NOOS!$C$50:$U$69,MATCH(W252,NWC_FC_NOOS!$B$50:$B$69,0),FALSE),0),0)</f>
        <v>0</v>
      </c>
      <c r="AQ252" s="58">
        <f>IFERROR(IF($V252="BRAND.com",HLOOKUP($X252&amp;$Z252,'NWC_FC_NON-NOOS'!$C$4:$Q$23,MATCH(W252,'NWC_FC_NON-NOOS'!$B$4:$B$23,0),FALSE),0),0)</f>
        <v>0</v>
      </c>
      <c r="AR252" s="57">
        <f>IFERROR(IF($V252="BRAND.com",HLOOKUP($X252&amp;$Z252,'NWC_FC_NON-NOOS'!$T$4:$AH$23,MATCH(W252,'NWC_FC_NON-NOOS'!$S$4:$S$23,0),FALSE),0),0)</f>
        <v>0</v>
      </c>
      <c r="AS252" s="57">
        <f>IFERROR(IF($V252="BRAND.com",HLOOKUP($X252&amp;$Z252,'NWC_FC_NON-NOOS'!$C$50:$U$69,MATCH(W252,'NWC_FC_NON-NOOS'!$B$50:$B$69,0),FALSE),0),0)</f>
        <v>0</v>
      </c>
      <c r="AT252" s="57">
        <f t="shared" si="104"/>
        <v>0</v>
      </c>
      <c r="AU252" s="57">
        <f t="shared" si="105"/>
        <v>0</v>
      </c>
      <c r="AV252" s="58">
        <f>IFERROR(IF($V252="BRAND.com",HLOOKUP($X252&amp;$Z252,PLANNING_FC!$BB$27:$BP$46,MATCH($W252,PLANNING_FC!$BA$27:$BA$46,0),FALSE),0),0)</f>
        <v>0</v>
      </c>
      <c r="AW252" s="58">
        <f>IFERROR(IF($V252="BRAND.com",HLOOKUP($X252&amp;$Z252,PLANNING_FC!$BB$4:$BP$23,MATCH($W252,PLANNING_FC!$BA$4:$BA$23,0),FALSE),0),0)</f>
        <v>0</v>
      </c>
      <c r="AX252" s="58">
        <f>IFERROR(IF($V252="BRAND.com",HLOOKUP($X252&amp;$Z252,PLANNING_FC!$T$27:$AH$46,MATCH($W252,PLANNING_FC!$B$27:$B$46,0),FALSE),0),0)</f>
        <v>0</v>
      </c>
      <c r="AY252" s="58">
        <f>IFERROR(IF($V252="BRAND.com",HLOOKUP($X252&amp;$Z252,PLANNING_FC!$T$4:$AH$23,MATCH($W252,PLANNING_FC!$B$4:$B$23,0),FALSE),0),0)</f>
        <v>0</v>
      </c>
      <c r="AZ252" s="58">
        <f>IFERROR(IF($V252="BRAND.com",HLOOKUP($X252&amp;$Z252,PLANNING_FC!$DA$27:$DO$46,MATCH($W252,PLANNING_FC!$CZ$27:$CZ$46,0),FALSE),0),0)</f>
        <v>0</v>
      </c>
      <c r="BA252" s="58">
        <f>IFERROR(IF($V252="BRAND.com",HLOOKUP($X252&amp;$Z252,PLANNING_FC!$DA$4:$DO$23,MATCH($W252,PLANNING_FC!$CZ$4:$CZ$23,0),FALSE),0),0)</f>
        <v>0</v>
      </c>
      <c r="BB252" s="883" t="str">
        <f>IF(V252="BRAND.com",IFERROR(HLOOKUP(X252&amp;Z252,PLANNING_FC!$AK$4:$AY$23,MATCH(W252,PLANNING_FC!$AJ$4:$AJ$23,0),FALSE)*1000,""),"")</f>
        <v/>
      </c>
      <c r="BC252" s="883" t="str">
        <f>IF(V252="BRAND.com",IFERROR(HLOOKUP(X252&amp;Z252,PLANNING_FC!$AK$27:$AY$46,MATCH(W252,PLANNING_FC!$AJ$27:$AJ$46,0),FALSE)*1000,""),"")</f>
        <v/>
      </c>
    </row>
    <row r="253" spans="1:55" x14ac:dyDescent="0.25">
      <c r="A253" s="509"/>
      <c r="B253" s="509"/>
      <c r="C253" s="509"/>
      <c r="D253" s="509"/>
      <c r="E253" s="509"/>
      <c r="F253" s="509"/>
      <c r="G253" s="509"/>
      <c r="H253" s="509"/>
      <c r="I253" s="512"/>
      <c r="J253" s="513"/>
      <c r="K253" s="879"/>
      <c r="L253" s="515"/>
      <c r="M253" s="516"/>
      <c r="N253" s="56">
        <f t="shared" si="86"/>
        <v>0</v>
      </c>
      <c r="O253" s="57">
        <f t="shared" si="87"/>
        <v>0</v>
      </c>
      <c r="P253" s="57">
        <f ca="1">IFERROR(IF(ISBLANK(H253),SUMIFS($AC:$AC,$V:$V,V253,$W:$W,W253,$X:$X,X253,$Y:$Y,Y253)*J253/(1-J253)*VLOOKUP(_xlfn.CONCAT(C253,D253,E253,TIME!$M$12,Z253),HIS_SALES!$B$2:$W$4859,20,FALSE),AC253*J253/(1-J253)),0)</f>
        <v>0</v>
      </c>
      <c r="Q253" s="541" t="str">
        <f t="shared" si="88"/>
        <v/>
      </c>
      <c r="R253" s="346" t="str">
        <f t="shared" si="89"/>
        <v>00000</v>
      </c>
      <c r="S253" s="344">
        <f t="shared" si="90"/>
        <v>0</v>
      </c>
      <c r="T253" s="345" t="str">
        <f t="shared" si="103"/>
        <v>000</v>
      </c>
      <c r="U253" s="345">
        <f t="shared" si="91"/>
        <v>0</v>
      </c>
      <c r="V253" s="345">
        <f t="shared" si="92"/>
        <v>0</v>
      </c>
      <c r="W253" s="345">
        <f t="shared" si="93"/>
        <v>0</v>
      </c>
      <c r="X253" s="345">
        <f t="shared" si="94"/>
        <v>0</v>
      </c>
      <c r="Y253" s="345">
        <f t="shared" si="95"/>
        <v>0</v>
      </c>
      <c r="Z253" s="345">
        <f>IF(Q253&lt;&gt;"",VLOOKUP(Y253,TIME!$R$21:$V$24,MATCH(FC_DATA!Q253,TIME!$R$20:$V$20,0),FALSE),H253)</f>
        <v>0</v>
      </c>
      <c r="AA253" s="345" t="str">
        <f>IFERROR(VLOOKUP(X253&amp;Z253,TIME!$A$12:$D$71,4,FALSE),"")</f>
        <v/>
      </c>
      <c r="AB253" s="592">
        <f t="shared" ca="1" si="96"/>
        <v>0</v>
      </c>
      <c r="AC253" s="593" t="e">
        <f ca="1">IF(ISBLANK(H253)=FALSE,IF(D253="BRAND.com",I253,IF(ISNA(VLOOKUP(_xlfn.CONCAT(X253,Z253),TIME!$M$40:$M$42,1,FALSE)),I253,VLOOKUP(_xlfn.CONCAT(D253,G253,H253),M_BUSAREA_FC!$AF$5:$AJ$10,5,FALSE)*HLOOKUP(_xlfn.CONCAT(F253,H253),ST_OVERVIEW!$G$99:$I$130,MATCH(_xlfn.CONCAT(D253,E253),ST_OVERVIEW!$F$99:$F$130,0),FALSE))),IF(D253="BRAND.com",VLOOKUP(_xlfn.CONCAT(C253,D253,E253,TIME!$F$1,Z253),HIS_SALES!$B$2:$V$4859,19,FALSE)*I253,VLOOKUP(_xlfn.CONCAT(D253,F253,G253),Q_BUSAREA_FC!$AE$5:$AI$12,5,FALSE)*HLOOKUP(_xlfn.CONCAT(FC_DATA!F253,FC_DATA!G253),LT_OVERVIEW!$I$99:$M$130,MATCH(_xlfn.CONCAT(D253,FC_DATA!E253),LT_OVERVIEW!$H$99:$H$130,0),FALSE)*IFERROR(VLOOKUP(_xlfn.CONCAT(C253,D253,E253,TIME!$F$1,Z253),HIS_SALES!$B$2:$V$4859,19,FALSE),0)))</f>
        <v>#N/A</v>
      </c>
      <c r="AD253" s="341">
        <f t="shared" ca="1" si="97"/>
        <v>0</v>
      </c>
      <c r="AE253" s="363" t="str">
        <f t="shared" si="98"/>
        <v/>
      </c>
      <c r="AF253" s="342" t="str">
        <f t="shared" si="99"/>
        <v/>
      </c>
      <c r="AG253" s="411" t="e">
        <f ca="1">VLOOKUP(_xlfn.CONCAT(U253,V253,W253,VLOOKUP(X253&amp;Y253,TIME!$L$27:$O$34,4,FALSE),Y253),HIS_SALES!$A$2:$R$5093,18,FALSE)</f>
        <v>#N/A</v>
      </c>
      <c r="AH253" s="412" t="e">
        <f ca="1">IFERROR(IF(AND(V253=V252,W253=W252),0.5*(AB253+AB252)*AG253,(VLOOKUP(_xlfn.CONCAT(U253,V253,W253,X253,VLOOKUP(Z253,TIME!$S$28:$T$39,2,FALSE)),FC_DATA!$R$2:$AB$5000,MATCH("GS_I_M",FC_DATA!$R$1:$AB$1,0),FALSE)+FC_DATA!AB253)*0.5*FC_DATA!AG253),NA())</f>
        <v>#N/A</v>
      </c>
      <c r="AI253" s="491" t="e">
        <f ca="1">IF(V253="PARTNER.com",AH253,IF(AND(V253=V252,W253=W252),(1-AVERAGE(AD252,AD253))*AH253,(1-AVERAGE(AD253,VLOOKUP(_xlfn.CONCAT(U253,V253,W253,X253,M_BRAND_FC!$F$6),FC_DATA!$R$2:$AD$5000,MATCH("DISCOUNT_%_M",FC_DATA!$R$1:$AD$1,0),FALSE)))*AH253))</f>
        <v>#N/A</v>
      </c>
      <c r="AJ253" s="412" t="str">
        <f t="shared" ca="1" si="100"/>
        <v/>
      </c>
      <c r="AK253" s="413" t="str">
        <f>IFERROR(AE253/(Q_BRAND_FC!$T$24+1),"")</f>
        <v/>
      </c>
      <c r="AL253" s="88" t="str">
        <f t="shared" ca="1" si="101"/>
        <v/>
      </c>
      <c r="AM253" s="414" t="str">
        <f t="shared" ca="1" si="102"/>
        <v/>
      </c>
      <c r="AN253" s="58">
        <f>IFERROR(IF($V253="BRAND.com",HLOOKUP($X253&amp;$Z253,NWC_FC_NOOS!$C$4:$Q$23,MATCH(W253,NWC_FC_NOOS!$B$4:$B$23,0),FALSE),0),0)</f>
        <v>0</v>
      </c>
      <c r="AO253" s="57">
        <f>IFERROR(IF($V253="BRAND.com",HLOOKUP($X253&amp;$Z253,NWC_FC_NOOS!$T$4:$AH$23,MATCH(W253,NWC_FC_NOOS!$S$4:$S$23,0),FALSE),0),0)</f>
        <v>0</v>
      </c>
      <c r="AP253" s="57">
        <f>IFERROR(IF($V253="BRAND.com",HLOOKUP($X253&amp;$Z253,NWC_FC_NOOS!$C$50:$U$69,MATCH(W253,NWC_FC_NOOS!$B$50:$B$69,0),FALSE),0),0)</f>
        <v>0</v>
      </c>
      <c r="AQ253" s="58">
        <f>IFERROR(IF($V253="BRAND.com",HLOOKUP($X253&amp;$Z253,'NWC_FC_NON-NOOS'!$C$4:$Q$23,MATCH(W253,'NWC_FC_NON-NOOS'!$B$4:$B$23,0),FALSE),0),0)</f>
        <v>0</v>
      </c>
      <c r="AR253" s="57">
        <f>IFERROR(IF($V253="BRAND.com",HLOOKUP($X253&amp;$Z253,'NWC_FC_NON-NOOS'!$T$4:$AH$23,MATCH(W253,'NWC_FC_NON-NOOS'!$S$4:$S$23,0),FALSE),0),0)</f>
        <v>0</v>
      </c>
      <c r="AS253" s="57">
        <f>IFERROR(IF($V253="BRAND.com",HLOOKUP($X253&amp;$Z253,'NWC_FC_NON-NOOS'!$C$50:$U$69,MATCH(W253,'NWC_FC_NON-NOOS'!$B$50:$B$69,0),FALSE),0),0)</f>
        <v>0</v>
      </c>
      <c r="AT253" s="57">
        <f t="shared" si="104"/>
        <v>0</v>
      </c>
      <c r="AU253" s="57">
        <f t="shared" si="105"/>
        <v>0</v>
      </c>
      <c r="AV253" s="58">
        <f>IFERROR(IF($V253="BRAND.com",HLOOKUP($X253&amp;$Z253,PLANNING_FC!$BB$27:$BP$46,MATCH($W253,PLANNING_FC!$BA$27:$BA$46,0),FALSE),0),0)</f>
        <v>0</v>
      </c>
      <c r="AW253" s="58">
        <f>IFERROR(IF($V253="BRAND.com",HLOOKUP($X253&amp;$Z253,PLANNING_FC!$BB$4:$BP$23,MATCH($W253,PLANNING_FC!$BA$4:$BA$23,0),FALSE),0),0)</f>
        <v>0</v>
      </c>
      <c r="AX253" s="58">
        <f>IFERROR(IF($V253="BRAND.com",HLOOKUP($X253&amp;$Z253,PLANNING_FC!$T$27:$AH$46,MATCH($W253,PLANNING_FC!$B$27:$B$46,0),FALSE),0),0)</f>
        <v>0</v>
      </c>
      <c r="AY253" s="58">
        <f>IFERROR(IF($V253="BRAND.com",HLOOKUP($X253&amp;$Z253,PLANNING_FC!$T$4:$AH$23,MATCH($W253,PLANNING_FC!$B$4:$B$23,0),FALSE),0),0)</f>
        <v>0</v>
      </c>
      <c r="AZ253" s="58">
        <f>IFERROR(IF($V253="BRAND.com",HLOOKUP($X253&amp;$Z253,PLANNING_FC!$DA$27:$DO$46,MATCH($W253,PLANNING_FC!$CZ$27:$CZ$46,0),FALSE),0),0)</f>
        <v>0</v>
      </c>
      <c r="BA253" s="58">
        <f>IFERROR(IF($V253="BRAND.com",HLOOKUP($X253&amp;$Z253,PLANNING_FC!$DA$4:$DO$23,MATCH($W253,PLANNING_FC!$CZ$4:$CZ$23,0),FALSE),0),0)</f>
        <v>0</v>
      </c>
      <c r="BB253" s="883" t="str">
        <f>IF(V253="BRAND.com",IFERROR(HLOOKUP(X253&amp;Z253,PLANNING_FC!$AK$4:$AY$23,MATCH(W253,PLANNING_FC!$AJ$4:$AJ$23,0),FALSE)*1000,""),"")</f>
        <v/>
      </c>
      <c r="BC253" s="883" t="str">
        <f>IF(V253="BRAND.com",IFERROR(HLOOKUP(X253&amp;Z253,PLANNING_FC!$AK$27:$AY$46,MATCH(W253,PLANNING_FC!$AJ$27:$AJ$46,0),FALSE)*1000,""),"")</f>
        <v/>
      </c>
    </row>
    <row r="254" spans="1:55" x14ac:dyDescent="0.25">
      <c r="A254" s="509"/>
      <c r="B254" s="509"/>
      <c r="C254" s="509"/>
      <c r="D254" s="509"/>
      <c r="E254" s="509"/>
      <c r="F254" s="509"/>
      <c r="G254" s="509"/>
      <c r="H254" s="509"/>
      <c r="I254" s="512"/>
      <c r="J254" s="513"/>
      <c r="K254" s="879"/>
      <c r="L254" s="515"/>
      <c r="M254" s="516"/>
      <c r="N254" s="56">
        <f t="shared" si="86"/>
        <v>0</v>
      </c>
      <c r="O254" s="57">
        <f t="shared" si="87"/>
        <v>0</v>
      </c>
      <c r="P254" s="57">
        <f ca="1">IFERROR(IF(ISBLANK(H254),SUMIFS($AC:$AC,$V:$V,V254,$W:$W,W254,$X:$X,X254,$Y:$Y,Y254)*J254/(1-J254)*VLOOKUP(_xlfn.CONCAT(C254,D254,E254,TIME!$M$12,Z254),HIS_SALES!$B$2:$W$4859,20,FALSE),AC254*J254/(1-J254)),0)</f>
        <v>0</v>
      </c>
      <c r="Q254" s="541" t="str">
        <f t="shared" si="88"/>
        <v/>
      </c>
      <c r="R254" s="346" t="str">
        <f t="shared" si="89"/>
        <v>00000</v>
      </c>
      <c r="S254" s="344">
        <f t="shared" si="90"/>
        <v>0</v>
      </c>
      <c r="T254" s="345" t="str">
        <f t="shared" si="103"/>
        <v>000</v>
      </c>
      <c r="U254" s="345">
        <f t="shared" si="91"/>
        <v>0</v>
      </c>
      <c r="V254" s="345">
        <f t="shared" si="92"/>
        <v>0</v>
      </c>
      <c r="W254" s="345">
        <f t="shared" si="93"/>
        <v>0</v>
      </c>
      <c r="X254" s="345">
        <f t="shared" si="94"/>
        <v>0</v>
      </c>
      <c r="Y254" s="345">
        <f t="shared" si="95"/>
        <v>0</v>
      </c>
      <c r="Z254" s="345">
        <f>IF(Q254&lt;&gt;"",VLOOKUP(Y254,TIME!$R$21:$V$24,MATCH(FC_DATA!Q254,TIME!$R$20:$V$20,0),FALSE),H254)</f>
        <v>0</v>
      </c>
      <c r="AA254" s="345" t="str">
        <f>IFERROR(VLOOKUP(X254&amp;Z254,TIME!$A$12:$D$71,4,FALSE),"")</f>
        <v/>
      </c>
      <c r="AB254" s="592">
        <f t="shared" ca="1" si="96"/>
        <v>0</v>
      </c>
      <c r="AC254" s="593" t="e">
        <f ca="1">IF(ISBLANK(H254)=FALSE,IF(D254="BRAND.com",I254,IF(ISNA(VLOOKUP(_xlfn.CONCAT(X254,Z254),TIME!$M$40:$M$42,1,FALSE)),I254,VLOOKUP(_xlfn.CONCAT(D254,G254,H254),M_BUSAREA_FC!$AF$5:$AJ$10,5,FALSE)*HLOOKUP(_xlfn.CONCAT(F254,H254),ST_OVERVIEW!$G$99:$I$130,MATCH(_xlfn.CONCAT(D254,E254),ST_OVERVIEW!$F$99:$F$130,0),FALSE))),IF(D254="BRAND.com",VLOOKUP(_xlfn.CONCAT(C254,D254,E254,TIME!$F$1,Z254),HIS_SALES!$B$2:$V$4859,19,FALSE)*I254,VLOOKUP(_xlfn.CONCAT(D254,F254,G254),Q_BUSAREA_FC!$AE$5:$AI$12,5,FALSE)*HLOOKUP(_xlfn.CONCAT(FC_DATA!F254,FC_DATA!G254),LT_OVERVIEW!$I$99:$M$130,MATCH(_xlfn.CONCAT(D254,FC_DATA!E254),LT_OVERVIEW!$H$99:$H$130,0),FALSE)*IFERROR(VLOOKUP(_xlfn.CONCAT(C254,D254,E254,TIME!$F$1,Z254),HIS_SALES!$B$2:$V$4859,19,FALSE),0)))</f>
        <v>#N/A</v>
      </c>
      <c r="AD254" s="341">
        <f t="shared" ca="1" si="97"/>
        <v>0</v>
      </c>
      <c r="AE254" s="363" t="str">
        <f t="shared" si="98"/>
        <v/>
      </c>
      <c r="AF254" s="342" t="str">
        <f t="shared" si="99"/>
        <v/>
      </c>
      <c r="AG254" s="411" t="e">
        <f ca="1">VLOOKUP(_xlfn.CONCAT(U254,V254,W254,VLOOKUP(X254&amp;Y254,TIME!$L$27:$O$34,4,FALSE),Y254),HIS_SALES!$A$2:$R$5093,18,FALSE)</f>
        <v>#N/A</v>
      </c>
      <c r="AH254" s="412" t="e">
        <f ca="1">IFERROR(IF(AND(V254=V253,W254=W253),0.5*(AB254+AB253)*AG254,(VLOOKUP(_xlfn.CONCAT(U254,V254,W254,X254,VLOOKUP(Z254,TIME!$S$28:$T$39,2,FALSE)),FC_DATA!$R$2:$AB$5000,MATCH("GS_I_M",FC_DATA!$R$1:$AB$1,0),FALSE)+FC_DATA!AB254)*0.5*FC_DATA!AG254),NA())</f>
        <v>#N/A</v>
      </c>
      <c r="AI254" s="491" t="e">
        <f ca="1">IF(V254="PARTNER.com",AH254,IF(AND(V254=V253,W254=W253),(1-AVERAGE(AD253,AD254))*AH254,(1-AVERAGE(AD254,VLOOKUP(_xlfn.CONCAT(U254,V254,W254,X254,M_BRAND_FC!$F$6),FC_DATA!$R$2:$AD$5000,MATCH("DISCOUNT_%_M",FC_DATA!$R$1:$AD$1,0),FALSE)))*AH254))</f>
        <v>#N/A</v>
      </c>
      <c r="AJ254" s="412" t="str">
        <f t="shared" ca="1" si="100"/>
        <v/>
      </c>
      <c r="AK254" s="413" t="str">
        <f>IFERROR(AE254/(Q_BRAND_FC!$T$24+1),"")</f>
        <v/>
      </c>
      <c r="AL254" s="88" t="str">
        <f t="shared" ca="1" si="101"/>
        <v/>
      </c>
      <c r="AM254" s="414" t="str">
        <f t="shared" ca="1" si="102"/>
        <v/>
      </c>
      <c r="AN254" s="58">
        <f>IFERROR(IF($V254="BRAND.com",HLOOKUP($X254&amp;$Z254,NWC_FC_NOOS!$C$4:$Q$23,MATCH(W254,NWC_FC_NOOS!$B$4:$B$23,0),FALSE),0),0)</f>
        <v>0</v>
      </c>
      <c r="AO254" s="57">
        <f>IFERROR(IF($V254="BRAND.com",HLOOKUP($X254&amp;$Z254,NWC_FC_NOOS!$T$4:$AH$23,MATCH(W254,NWC_FC_NOOS!$S$4:$S$23,0),FALSE),0),0)</f>
        <v>0</v>
      </c>
      <c r="AP254" s="57">
        <f>IFERROR(IF($V254="BRAND.com",HLOOKUP($X254&amp;$Z254,NWC_FC_NOOS!$C$50:$U$69,MATCH(W254,NWC_FC_NOOS!$B$50:$B$69,0),FALSE),0),0)</f>
        <v>0</v>
      </c>
      <c r="AQ254" s="58">
        <f>IFERROR(IF($V254="BRAND.com",HLOOKUP($X254&amp;$Z254,'NWC_FC_NON-NOOS'!$C$4:$Q$23,MATCH(W254,'NWC_FC_NON-NOOS'!$B$4:$B$23,0),FALSE),0),0)</f>
        <v>0</v>
      </c>
      <c r="AR254" s="57">
        <f>IFERROR(IF($V254="BRAND.com",HLOOKUP($X254&amp;$Z254,'NWC_FC_NON-NOOS'!$T$4:$AH$23,MATCH(W254,'NWC_FC_NON-NOOS'!$S$4:$S$23,0),FALSE),0),0)</f>
        <v>0</v>
      </c>
      <c r="AS254" s="57">
        <f>IFERROR(IF($V254="BRAND.com",HLOOKUP($X254&amp;$Z254,'NWC_FC_NON-NOOS'!$C$50:$U$69,MATCH(W254,'NWC_FC_NON-NOOS'!$B$50:$B$69,0),FALSE),0),0)</f>
        <v>0</v>
      </c>
      <c r="AT254" s="57">
        <f t="shared" si="104"/>
        <v>0</v>
      </c>
      <c r="AU254" s="57">
        <f t="shared" si="105"/>
        <v>0</v>
      </c>
      <c r="AV254" s="58">
        <f>IFERROR(IF($V254="BRAND.com",HLOOKUP($X254&amp;$Z254,PLANNING_FC!$BB$27:$BP$46,MATCH($W254,PLANNING_FC!$BA$27:$BA$46,0),FALSE),0),0)</f>
        <v>0</v>
      </c>
      <c r="AW254" s="58">
        <f>IFERROR(IF($V254="BRAND.com",HLOOKUP($X254&amp;$Z254,PLANNING_FC!$BB$4:$BP$23,MATCH($W254,PLANNING_FC!$BA$4:$BA$23,0),FALSE),0),0)</f>
        <v>0</v>
      </c>
      <c r="AX254" s="58">
        <f>IFERROR(IF($V254="BRAND.com",HLOOKUP($X254&amp;$Z254,PLANNING_FC!$T$27:$AH$46,MATCH($W254,PLANNING_FC!$B$27:$B$46,0),FALSE),0),0)</f>
        <v>0</v>
      </c>
      <c r="AY254" s="58">
        <f>IFERROR(IF($V254="BRAND.com",HLOOKUP($X254&amp;$Z254,PLANNING_FC!$T$4:$AH$23,MATCH($W254,PLANNING_FC!$B$4:$B$23,0),FALSE),0),0)</f>
        <v>0</v>
      </c>
      <c r="AZ254" s="58">
        <f>IFERROR(IF($V254="BRAND.com",HLOOKUP($X254&amp;$Z254,PLANNING_FC!$DA$27:$DO$46,MATCH($W254,PLANNING_FC!$CZ$27:$CZ$46,0),FALSE),0),0)</f>
        <v>0</v>
      </c>
      <c r="BA254" s="58">
        <f>IFERROR(IF($V254="BRAND.com",HLOOKUP($X254&amp;$Z254,PLANNING_FC!$DA$4:$DO$23,MATCH($W254,PLANNING_FC!$CZ$4:$CZ$23,0),FALSE),0),0)</f>
        <v>0</v>
      </c>
      <c r="BB254" s="883" t="str">
        <f>IF(V254="BRAND.com",IFERROR(HLOOKUP(X254&amp;Z254,PLANNING_FC!$AK$4:$AY$23,MATCH(W254,PLANNING_FC!$AJ$4:$AJ$23,0),FALSE)*1000,""),"")</f>
        <v/>
      </c>
      <c r="BC254" s="883" t="str">
        <f>IF(V254="BRAND.com",IFERROR(HLOOKUP(X254&amp;Z254,PLANNING_FC!$AK$27:$AY$46,MATCH(W254,PLANNING_FC!$AJ$27:$AJ$46,0),FALSE)*1000,""),"")</f>
        <v/>
      </c>
    </row>
    <row r="255" spans="1:55" x14ac:dyDescent="0.25">
      <c r="A255" s="509"/>
      <c r="B255" s="509"/>
      <c r="C255" s="509"/>
      <c r="D255" s="509"/>
      <c r="E255" s="509"/>
      <c r="F255" s="509"/>
      <c r="G255" s="509"/>
      <c r="H255" s="509"/>
      <c r="I255" s="512"/>
      <c r="J255" s="513"/>
      <c r="K255" s="879"/>
      <c r="L255" s="515"/>
      <c r="M255" s="516"/>
      <c r="N255" s="56">
        <f t="shared" si="86"/>
        <v>0</v>
      </c>
      <c r="O255" s="57">
        <f t="shared" si="87"/>
        <v>0</v>
      </c>
      <c r="P255" s="57">
        <f ca="1">IFERROR(IF(ISBLANK(H255),SUMIFS($AC:$AC,$V:$V,V255,$W:$W,W255,$X:$X,X255,$Y:$Y,Y255)*J255/(1-J255)*VLOOKUP(_xlfn.CONCAT(C255,D255,E255,TIME!$M$12,Z255),HIS_SALES!$B$2:$W$4859,20,FALSE),AC255*J255/(1-J255)),0)</f>
        <v>0</v>
      </c>
      <c r="Q255" s="541" t="str">
        <f t="shared" si="88"/>
        <v/>
      </c>
      <c r="R255" s="346" t="str">
        <f t="shared" si="89"/>
        <v>00000</v>
      </c>
      <c r="S255" s="344">
        <f t="shared" si="90"/>
        <v>0</v>
      </c>
      <c r="T255" s="345" t="str">
        <f t="shared" si="103"/>
        <v>000</v>
      </c>
      <c r="U255" s="345">
        <f t="shared" si="91"/>
        <v>0</v>
      </c>
      <c r="V255" s="345">
        <f t="shared" si="92"/>
        <v>0</v>
      </c>
      <c r="W255" s="345">
        <f t="shared" si="93"/>
        <v>0</v>
      </c>
      <c r="X255" s="345">
        <f t="shared" si="94"/>
        <v>0</v>
      </c>
      <c r="Y255" s="345">
        <f t="shared" si="95"/>
        <v>0</v>
      </c>
      <c r="Z255" s="345">
        <f>IF(Q255&lt;&gt;"",VLOOKUP(Y255,TIME!$R$21:$V$24,MATCH(FC_DATA!Q255,TIME!$R$20:$V$20,0),FALSE),H255)</f>
        <v>0</v>
      </c>
      <c r="AA255" s="345" t="str">
        <f>IFERROR(VLOOKUP(X255&amp;Z255,TIME!$A$12:$D$71,4,FALSE),"")</f>
        <v/>
      </c>
      <c r="AB255" s="592">
        <f t="shared" ca="1" si="96"/>
        <v>0</v>
      </c>
      <c r="AC255" s="593" t="e">
        <f ca="1">IF(ISBLANK(H255)=FALSE,IF(D255="BRAND.com",I255,IF(ISNA(VLOOKUP(_xlfn.CONCAT(X255,Z255),TIME!$M$40:$M$42,1,FALSE)),I255,VLOOKUP(_xlfn.CONCAT(D255,G255,H255),M_BUSAREA_FC!$AF$5:$AJ$10,5,FALSE)*HLOOKUP(_xlfn.CONCAT(F255,H255),ST_OVERVIEW!$G$99:$I$130,MATCH(_xlfn.CONCAT(D255,E255),ST_OVERVIEW!$F$99:$F$130,0),FALSE))),IF(D255="BRAND.com",VLOOKUP(_xlfn.CONCAT(C255,D255,E255,TIME!$F$1,Z255),HIS_SALES!$B$2:$V$4859,19,FALSE)*I255,VLOOKUP(_xlfn.CONCAT(D255,F255,G255),Q_BUSAREA_FC!$AE$5:$AI$12,5,FALSE)*HLOOKUP(_xlfn.CONCAT(FC_DATA!F255,FC_DATA!G255),LT_OVERVIEW!$I$99:$M$130,MATCH(_xlfn.CONCAT(D255,FC_DATA!E255),LT_OVERVIEW!$H$99:$H$130,0),FALSE)*IFERROR(VLOOKUP(_xlfn.CONCAT(C255,D255,E255,TIME!$F$1,Z255),HIS_SALES!$B$2:$V$4859,19,FALSE),0)))</f>
        <v>#N/A</v>
      </c>
      <c r="AD255" s="341">
        <f t="shared" ca="1" si="97"/>
        <v>0</v>
      </c>
      <c r="AE255" s="363" t="str">
        <f t="shared" si="98"/>
        <v/>
      </c>
      <c r="AF255" s="342" t="str">
        <f t="shared" si="99"/>
        <v/>
      </c>
      <c r="AG255" s="411" t="e">
        <f ca="1">VLOOKUP(_xlfn.CONCAT(U255,V255,W255,VLOOKUP(X255&amp;Y255,TIME!$L$27:$O$34,4,FALSE),Y255),HIS_SALES!$A$2:$R$5093,18,FALSE)</f>
        <v>#N/A</v>
      </c>
      <c r="AH255" s="412" t="e">
        <f ca="1">IFERROR(IF(AND(V255=V254,W255=W254),0.5*(AB255+AB254)*AG255,(VLOOKUP(_xlfn.CONCAT(U255,V255,W255,X255,VLOOKUP(Z255,TIME!$S$28:$T$39,2,FALSE)),FC_DATA!$R$2:$AB$5000,MATCH("GS_I_M",FC_DATA!$R$1:$AB$1,0),FALSE)+FC_DATA!AB255)*0.5*FC_DATA!AG255),NA())</f>
        <v>#N/A</v>
      </c>
      <c r="AI255" s="491" t="e">
        <f ca="1">IF(V255="PARTNER.com",AH255,IF(AND(V255=V254,W255=W254),(1-AVERAGE(AD254,AD255))*AH255,(1-AVERAGE(AD255,VLOOKUP(_xlfn.CONCAT(U255,V255,W255,X255,M_BRAND_FC!$F$6),FC_DATA!$R$2:$AD$5000,MATCH("DISCOUNT_%_M",FC_DATA!$R$1:$AD$1,0),FALSE)))*AH255))</f>
        <v>#N/A</v>
      </c>
      <c r="AJ255" s="412" t="str">
        <f t="shared" ca="1" si="100"/>
        <v/>
      </c>
      <c r="AK255" s="413" t="str">
        <f>IFERROR(AE255/(Q_BRAND_FC!$T$24+1),"")</f>
        <v/>
      </c>
      <c r="AL255" s="88" t="str">
        <f t="shared" ca="1" si="101"/>
        <v/>
      </c>
      <c r="AM255" s="414" t="str">
        <f t="shared" ca="1" si="102"/>
        <v/>
      </c>
      <c r="AN255" s="58">
        <f>IFERROR(IF($V255="BRAND.com",HLOOKUP($X255&amp;$Z255,NWC_FC_NOOS!$C$4:$Q$23,MATCH(W255,NWC_FC_NOOS!$B$4:$B$23,0),FALSE),0),0)</f>
        <v>0</v>
      </c>
      <c r="AO255" s="57">
        <f>IFERROR(IF($V255="BRAND.com",HLOOKUP($X255&amp;$Z255,NWC_FC_NOOS!$T$4:$AH$23,MATCH(W255,NWC_FC_NOOS!$S$4:$S$23,0),FALSE),0),0)</f>
        <v>0</v>
      </c>
      <c r="AP255" s="57">
        <f>IFERROR(IF($V255="BRAND.com",HLOOKUP($X255&amp;$Z255,NWC_FC_NOOS!$C$50:$U$69,MATCH(W255,NWC_FC_NOOS!$B$50:$B$69,0),FALSE),0),0)</f>
        <v>0</v>
      </c>
      <c r="AQ255" s="58">
        <f>IFERROR(IF($V255="BRAND.com",HLOOKUP($X255&amp;$Z255,'NWC_FC_NON-NOOS'!$C$4:$Q$23,MATCH(W255,'NWC_FC_NON-NOOS'!$B$4:$B$23,0),FALSE),0),0)</f>
        <v>0</v>
      </c>
      <c r="AR255" s="57">
        <f>IFERROR(IF($V255="BRAND.com",HLOOKUP($X255&amp;$Z255,'NWC_FC_NON-NOOS'!$T$4:$AH$23,MATCH(W255,'NWC_FC_NON-NOOS'!$S$4:$S$23,0),FALSE),0),0)</f>
        <v>0</v>
      </c>
      <c r="AS255" s="57">
        <f>IFERROR(IF($V255="BRAND.com",HLOOKUP($X255&amp;$Z255,'NWC_FC_NON-NOOS'!$C$50:$U$69,MATCH(W255,'NWC_FC_NON-NOOS'!$B$50:$B$69,0),FALSE),0),0)</f>
        <v>0</v>
      </c>
      <c r="AT255" s="57">
        <f t="shared" si="104"/>
        <v>0</v>
      </c>
      <c r="AU255" s="57">
        <f t="shared" si="105"/>
        <v>0</v>
      </c>
      <c r="AV255" s="58">
        <f>IFERROR(IF($V255="BRAND.com",HLOOKUP($X255&amp;$Z255,PLANNING_FC!$BB$27:$BP$46,MATCH($W255,PLANNING_FC!$BA$27:$BA$46,0),FALSE),0),0)</f>
        <v>0</v>
      </c>
      <c r="AW255" s="58">
        <f>IFERROR(IF($V255="BRAND.com",HLOOKUP($X255&amp;$Z255,PLANNING_FC!$BB$4:$BP$23,MATCH($W255,PLANNING_FC!$BA$4:$BA$23,0),FALSE),0),0)</f>
        <v>0</v>
      </c>
      <c r="AX255" s="58">
        <f>IFERROR(IF($V255="BRAND.com",HLOOKUP($X255&amp;$Z255,PLANNING_FC!$T$27:$AH$46,MATCH($W255,PLANNING_FC!$B$27:$B$46,0),FALSE),0),0)</f>
        <v>0</v>
      </c>
      <c r="AY255" s="58">
        <f>IFERROR(IF($V255="BRAND.com",HLOOKUP($X255&amp;$Z255,PLANNING_FC!$T$4:$AH$23,MATCH($W255,PLANNING_FC!$B$4:$B$23,0),FALSE),0),0)</f>
        <v>0</v>
      </c>
      <c r="AZ255" s="58">
        <f>IFERROR(IF($V255="BRAND.com",HLOOKUP($X255&amp;$Z255,PLANNING_FC!$DA$27:$DO$46,MATCH($W255,PLANNING_FC!$CZ$27:$CZ$46,0),FALSE),0),0)</f>
        <v>0</v>
      </c>
      <c r="BA255" s="58">
        <f>IFERROR(IF($V255="BRAND.com",HLOOKUP($X255&amp;$Z255,PLANNING_FC!$DA$4:$DO$23,MATCH($W255,PLANNING_FC!$CZ$4:$CZ$23,0),FALSE),0),0)</f>
        <v>0</v>
      </c>
      <c r="BB255" s="883" t="str">
        <f>IF(V255="BRAND.com",IFERROR(HLOOKUP(X255&amp;Z255,PLANNING_FC!$AK$4:$AY$23,MATCH(W255,PLANNING_FC!$AJ$4:$AJ$23,0),FALSE)*1000,""),"")</f>
        <v/>
      </c>
      <c r="BC255" s="883" t="str">
        <f>IF(V255="BRAND.com",IFERROR(HLOOKUP(X255&amp;Z255,PLANNING_FC!$AK$27:$AY$46,MATCH(W255,PLANNING_FC!$AJ$27:$AJ$46,0),FALSE)*1000,""),"")</f>
        <v/>
      </c>
    </row>
    <row r="256" spans="1:55" x14ac:dyDescent="0.25">
      <c r="A256" s="509"/>
      <c r="B256" s="509"/>
      <c r="C256" s="509"/>
      <c r="D256" s="509"/>
      <c r="E256" s="509"/>
      <c r="F256" s="509"/>
      <c r="G256" s="509"/>
      <c r="H256" s="509"/>
      <c r="I256" s="512"/>
      <c r="J256" s="513"/>
      <c r="K256" s="879"/>
      <c r="L256" s="515"/>
      <c r="M256" s="516"/>
      <c r="N256" s="56">
        <f t="shared" si="86"/>
        <v>0</v>
      </c>
      <c r="O256" s="57">
        <f t="shared" si="87"/>
        <v>0</v>
      </c>
      <c r="P256" s="57">
        <f ca="1">IFERROR(IF(ISBLANK(H256),SUMIFS($AC:$AC,$V:$V,V256,$W:$W,W256,$X:$X,X256,$Y:$Y,Y256)*J256/(1-J256)*VLOOKUP(_xlfn.CONCAT(C256,D256,E256,TIME!$M$12,Z256),HIS_SALES!$B$2:$W$4859,20,FALSE),AC256*J256/(1-J256)),0)</f>
        <v>0</v>
      </c>
      <c r="Q256" s="541" t="str">
        <f t="shared" si="88"/>
        <v/>
      </c>
      <c r="R256" s="346" t="str">
        <f t="shared" si="89"/>
        <v>00000</v>
      </c>
      <c r="S256" s="344">
        <f t="shared" si="90"/>
        <v>0</v>
      </c>
      <c r="T256" s="345" t="str">
        <f t="shared" si="103"/>
        <v>000</v>
      </c>
      <c r="U256" s="345">
        <f t="shared" si="91"/>
        <v>0</v>
      </c>
      <c r="V256" s="345">
        <f t="shared" si="92"/>
        <v>0</v>
      </c>
      <c r="W256" s="345">
        <f t="shared" si="93"/>
        <v>0</v>
      </c>
      <c r="X256" s="345">
        <f t="shared" si="94"/>
        <v>0</v>
      </c>
      <c r="Y256" s="345">
        <f t="shared" si="95"/>
        <v>0</v>
      </c>
      <c r="Z256" s="345">
        <f>IF(Q256&lt;&gt;"",VLOOKUP(Y256,TIME!$R$21:$V$24,MATCH(FC_DATA!Q256,TIME!$R$20:$V$20,0),FALSE),H256)</f>
        <v>0</v>
      </c>
      <c r="AA256" s="345" t="str">
        <f>IFERROR(VLOOKUP(X256&amp;Z256,TIME!$A$12:$D$71,4,FALSE),"")</f>
        <v/>
      </c>
      <c r="AB256" s="592">
        <f t="shared" ca="1" si="96"/>
        <v>0</v>
      </c>
      <c r="AC256" s="593" t="e">
        <f ca="1">IF(ISBLANK(H256)=FALSE,IF(D256="BRAND.com",I256,IF(ISNA(VLOOKUP(_xlfn.CONCAT(X256,Z256),TIME!$M$40:$M$42,1,FALSE)),I256,VLOOKUP(_xlfn.CONCAT(D256,G256,H256),M_BUSAREA_FC!$AF$5:$AJ$10,5,FALSE)*HLOOKUP(_xlfn.CONCAT(F256,H256),ST_OVERVIEW!$G$99:$I$130,MATCH(_xlfn.CONCAT(D256,E256),ST_OVERVIEW!$F$99:$F$130,0),FALSE))),IF(D256="BRAND.com",VLOOKUP(_xlfn.CONCAT(C256,D256,E256,TIME!$F$1,Z256),HIS_SALES!$B$2:$V$4859,19,FALSE)*I256,VLOOKUP(_xlfn.CONCAT(D256,F256,G256),Q_BUSAREA_FC!$AE$5:$AI$12,5,FALSE)*HLOOKUP(_xlfn.CONCAT(FC_DATA!F256,FC_DATA!G256),LT_OVERVIEW!$I$99:$M$130,MATCH(_xlfn.CONCAT(D256,FC_DATA!E256),LT_OVERVIEW!$H$99:$H$130,0),FALSE)*IFERROR(VLOOKUP(_xlfn.CONCAT(C256,D256,E256,TIME!$F$1,Z256),HIS_SALES!$B$2:$V$4859,19,FALSE),0)))</f>
        <v>#N/A</v>
      </c>
      <c r="AD256" s="341">
        <f t="shared" ca="1" si="97"/>
        <v>0</v>
      </c>
      <c r="AE256" s="363" t="str">
        <f t="shared" si="98"/>
        <v/>
      </c>
      <c r="AF256" s="342" t="str">
        <f t="shared" si="99"/>
        <v/>
      </c>
      <c r="AG256" s="411" t="e">
        <f ca="1">VLOOKUP(_xlfn.CONCAT(U256,V256,W256,VLOOKUP(X256&amp;Y256,TIME!$L$27:$O$34,4,FALSE),Y256),HIS_SALES!$A$2:$R$5093,18,FALSE)</f>
        <v>#N/A</v>
      </c>
      <c r="AH256" s="412" t="e">
        <f ca="1">IFERROR(IF(AND(V256=V255,W256=W255),0.5*(AB256+AB255)*AG256,(VLOOKUP(_xlfn.CONCAT(U256,V256,W256,X256,VLOOKUP(Z256,TIME!$S$28:$T$39,2,FALSE)),FC_DATA!$R$2:$AB$5000,MATCH("GS_I_M",FC_DATA!$R$1:$AB$1,0),FALSE)+FC_DATA!AB256)*0.5*FC_DATA!AG256),NA())</f>
        <v>#N/A</v>
      </c>
      <c r="AI256" s="491" t="e">
        <f ca="1">IF(V256="PARTNER.com",AH256,IF(AND(V256=V255,W256=W255),(1-AVERAGE(AD255,AD256))*AH256,(1-AVERAGE(AD256,VLOOKUP(_xlfn.CONCAT(U256,V256,W256,X256,M_BRAND_FC!$F$6),FC_DATA!$R$2:$AD$5000,MATCH("DISCOUNT_%_M",FC_DATA!$R$1:$AD$1,0),FALSE)))*AH256))</f>
        <v>#N/A</v>
      </c>
      <c r="AJ256" s="412" t="str">
        <f t="shared" ca="1" si="100"/>
        <v/>
      </c>
      <c r="AK256" s="413" t="str">
        <f>IFERROR(AE256/(Q_BRAND_FC!$T$24+1),"")</f>
        <v/>
      </c>
      <c r="AL256" s="88" t="str">
        <f t="shared" ca="1" si="101"/>
        <v/>
      </c>
      <c r="AM256" s="414" t="str">
        <f t="shared" ca="1" si="102"/>
        <v/>
      </c>
      <c r="AN256" s="58">
        <f>IFERROR(IF($V256="BRAND.com",HLOOKUP($X256&amp;$Z256,NWC_FC_NOOS!$C$4:$Q$23,MATCH(W256,NWC_FC_NOOS!$B$4:$B$23,0),FALSE),0),0)</f>
        <v>0</v>
      </c>
      <c r="AO256" s="57">
        <f>IFERROR(IF($V256="BRAND.com",HLOOKUP($X256&amp;$Z256,NWC_FC_NOOS!$T$4:$AH$23,MATCH(W256,NWC_FC_NOOS!$S$4:$S$23,0),FALSE),0),0)</f>
        <v>0</v>
      </c>
      <c r="AP256" s="57">
        <f>IFERROR(IF($V256="BRAND.com",HLOOKUP($X256&amp;$Z256,NWC_FC_NOOS!$C$50:$U$69,MATCH(W256,NWC_FC_NOOS!$B$50:$B$69,0),FALSE),0),0)</f>
        <v>0</v>
      </c>
      <c r="AQ256" s="58">
        <f>IFERROR(IF($V256="BRAND.com",HLOOKUP($X256&amp;$Z256,'NWC_FC_NON-NOOS'!$C$4:$Q$23,MATCH(W256,'NWC_FC_NON-NOOS'!$B$4:$B$23,0),FALSE),0),0)</f>
        <v>0</v>
      </c>
      <c r="AR256" s="57">
        <f>IFERROR(IF($V256="BRAND.com",HLOOKUP($X256&amp;$Z256,'NWC_FC_NON-NOOS'!$T$4:$AH$23,MATCH(W256,'NWC_FC_NON-NOOS'!$S$4:$S$23,0),FALSE),0),0)</f>
        <v>0</v>
      </c>
      <c r="AS256" s="57">
        <f>IFERROR(IF($V256="BRAND.com",HLOOKUP($X256&amp;$Z256,'NWC_FC_NON-NOOS'!$C$50:$U$69,MATCH(W256,'NWC_FC_NON-NOOS'!$B$50:$B$69,0),FALSE),0),0)</f>
        <v>0</v>
      </c>
      <c r="AT256" s="57">
        <f t="shared" si="104"/>
        <v>0</v>
      </c>
      <c r="AU256" s="57">
        <f t="shared" si="105"/>
        <v>0</v>
      </c>
      <c r="AV256" s="58">
        <f>IFERROR(IF($V256="BRAND.com",HLOOKUP($X256&amp;$Z256,PLANNING_FC!$BB$27:$BP$46,MATCH($W256,PLANNING_FC!$BA$27:$BA$46,0),FALSE),0),0)</f>
        <v>0</v>
      </c>
      <c r="AW256" s="58">
        <f>IFERROR(IF($V256="BRAND.com",HLOOKUP($X256&amp;$Z256,PLANNING_FC!$BB$4:$BP$23,MATCH($W256,PLANNING_FC!$BA$4:$BA$23,0),FALSE),0),0)</f>
        <v>0</v>
      </c>
      <c r="AX256" s="58">
        <f>IFERROR(IF($V256="BRAND.com",HLOOKUP($X256&amp;$Z256,PLANNING_FC!$T$27:$AH$46,MATCH($W256,PLANNING_FC!$B$27:$B$46,0),FALSE),0),0)</f>
        <v>0</v>
      </c>
      <c r="AY256" s="58">
        <f>IFERROR(IF($V256="BRAND.com",HLOOKUP($X256&amp;$Z256,PLANNING_FC!$T$4:$AH$23,MATCH($W256,PLANNING_FC!$B$4:$B$23,0),FALSE),0),0)</f>
        <v>0</v>
      </c>
      <c r="AZ256" s="58">
        <f>IFERROR(IF($V256="BRAND.com",HLOOKUP($X256&amp;$Z256,PLANNING_FC!$DA$27:$DO$46,MATCH($W256,PLANNING_FC!$CZ$27:$CZ$46,0),FALSE),0),0)</f>
        <v>0</v>
      </c>
      <c r="BA256" s="58">
        <f>IFERROR(IF($V256="BRAND.com",HLOOKUP($X256&amp;$Z256,PLANNING_FC!$DA$4:$DO$23,MATCH($W256,PLANNING_FC!$CZ$4:$CZ$23,0),FALSE),0),0)</f>
        <v>0</v>
      </c>
      <c r="BB256" s="883" t="str">
        <f>IF(V256="BRAND.com",IFERROR(HLOOKUP(X256&amp;Z256,PLANNING_FC!$AK$4:$AY$23,MATCH(W256,PLANNING_FC!$AJ$4:$AJ$23,0),FALSE)*1000,""),"")</f>
        <v/>
      </c>
      <c r="BC256" s="883" t="str">
        <f>IF(V256="BRAND.com",IFERROR(HLOOKUP(X256&amp;Z256,PLANNING_FC!$AK$27:$AY$46,MATCH(W256,PLANNING_FC!$AJ$27:$AJ$46,0),FALSE)*1000,""),"")</f>
        <v/>
      </c>
    </row>
    <row r="257" spans="1:55" x14ac:dyDescent="0.25">
      <c r="A257" s="509"/>
      <c r="B257" s="509"/>
      <c r="C257" s="509"/>
      <c r="D257" s="509"/>
      <c r="E257" s="509"/>
      <c r="F257" s="509"/>
      <c r="G257" s="509"/>
      <c r="H257" s="509"/>
      <c r="I257" s="512"/>
      <c r="J257" s="513"/>
      <c r="K257" s="879"/>
      <c r="L257" s="515"/>
      <c r="M257" s="516"/>
      <c r="N257" s="56">
        <f t="shared" si="86"/>
        <v>0</v>
      </c>
      <c r="O257" s="57">
        <f t="shared" si="87"/>
        <v>0</v>
      </c>
      <c r="P257" s="57">
        <f ca="1">IFERROR(IF(ISBLANK(H257),SUMIFS($AC:$AC,$V:$V,V257,$W:$W,W257,$X:$X,X257,$Y:$Y,Y257)*J257/(1-J257)*VLOOKUP(_xlfn.CONCAT(C257,D257,E257,TIME!$M$12,Z257),HIS_SALES!$B$2:$W$4859,20,FALSE),AC257*J257/(1-J257)),0)</f>
        <v>0</v>
      </c>
      <c r="Q257" s="541" t="str">
        <f t="shared" si="88"/>
        <v/>
      </c>
      <c r="R257" s="346" t="str">
        <f t="shared" si="89"/>
        <v>00000</v>
      </c>
      <c r="S257" s="344">
        <f t="shared" si="90"/>
        <v>0</v>
      </c>
      <c r="T257" s="345" t="str">
        <f t="shared" si="103"/>
        <v>000</v>
      </c>
      <c r="U257" s="345">
        <f t="shared" si="91"/>
        <v>0</v>
      </c>
      <c r="V257" s="345">
        <f t="shared" si="92"/>
        <v>0</v>
      </c>
      <c r="W257" s="345">
        <f t="shared" si="93"/>
        <v>0</v>
      </c>
      <c r="X257" s="345">
        <f t="shared" si="94"/>
        <v>0</v>
      </c>
      <c r="Y257" s="345">
        <f t="shared" si="95"/>
        <v>0</v>
      </c>
      <c r="Z257" s="345">
        <f>IF(Q257&lt;&gt;"",VLOOKUP(Y257,TIME!$R$21:$V$24,MATCH(FC_DATA!Q257,TIME!$R$20:$V$20,0),FALSE),H257)</f>
        <v>0</v>
      </c>
      <c r="AA257" s="345" t="str">
        <f>IFERROR(VLOOKUP(X257&amp;Z257,TIME!$A$12:$D$71,4,FALSE),"")</f>
        <v/>
      </c>
      <c r="AB257" s="592">
        <f t="shared" ca="1" si="96"/>
        <v>0</v>
      </c>
      <c r="AC257" s="593" t="e">
        <f ca="1">IF(ISBLANK(H257)=FALSE,IF(D257="BRAND.com",I257,IF(ISNA(VLOOKUP(_xlfn.CONCAT(X257,Z257),TIME!$M$40:$M$42,1,FALSE)),I257,VLOOKUP(_xlfn.CONCAT(D257,G257,H257),M_BUSAREA_FC!$AF$5:$AJ$10,5,FALSE)*HLOOKUP(_xlfn.CONCAT(F257,H257),ST_OVERVIEW!$G$99:$I$130,MATCH(_xlfn.CONCAT(D257,E257),ST_OVERVIEW!$F$99:$F$130,0),FALSE))),IF(D257="BRAND.com",VLOOKUP(_xlfn.CONCAT(C257,D257,E257,TIME!$F$1,Z257),HIS_SALES!$B$2:$V$4859,19,FALSE)*I257,VLOOKUP(_xlfn.CONCAT(D257,F257,G257),Q_BUSAREA_FC!$AE$5:$AI$12,5,FALSE)*HLOOKUP(_xlfn.CONCAT(FC_DATA!F257,FC_DATA!G257),LT_OVERVIEW!$I$99:$M$130,MATCH(_xlfn.CONCAT(D257,FC_DATA!E257),LT_OVERVIEW!$H$99:$H$130,0),FALSE)*IFERROR(VLOOKUP(_xlfn.CONCAT(C257,D257,E257,TIME!$F$1,Z257),HIS_SALES!$B$2:$V$4859,19,FALSE),0)))</f>
        <v>#N/A</v>
      </c>
      <c r="AD257" s="341">
        <f t="shared" ca="1" si="97"/>
        <v>0</v>
      </c>
      <c r="AE257" s="363" t="str">
        <f t="shared" si="98"/>
        <v/>
      </c>
      <c r="AF257" s="342" t="str">
        <f t="shared" si="99"/>
        <v/>
      </c>
      <c r="AG257" s="411" t="e">
        <f ca="1">VLOOKUP(_xlfn.CONCAT(U257,V257,W257,VLOOKUP(X257&amp;Y257,TIME!$L$27:$O$34,4,FALSE),Y257),HIS_SALES!$A$2:$R$5093,18,FALSE)</f>
        <v>#N/A</v>
      </c>
      <c r="AH257" s="412" t="e">
        <f ca="1">IFERROR(IF(AND(V257=V256,W257=W256),0.5*(AB257+AB256)*AG257,(VLOOKUP(_xlfn.CONCAT(U257,V257,W257,X257,VLOOKUP(Z257,TIME!$S$28:$T$39,2,FALSE)),FC_DATA!$R$2:$AB$5000,MATCH("GS_I_M",FC_DATA!$R$1:$AB$1,0),FALSE)+FC_DATA!AB257)*0.5*FC_DATA!AG257),NA())</f>
        <v>#N/A</v>
      </c>
      <c r="AI257" s="491" t="e">
        <f ca="1">IF(V257="PARTNER.com",AH257,IF(AND(V257=V256,W257=W256),(1-AVERAGE(AD256,AD257))*AH257,(1-AVERAGE(AD257,VLOOKUP(_xlfn.CONCAT(U257,V257,W257,X257,M_BRAND_FC!$F$6),FC_DATA!$R$2:$AD$5000,MATCH("DISCOUNT_%_M",FC_DATA!$R$1:$AD$1,0),FALSE)))*AH257))</f>
        <v>#N/A</v>
      </c>
      <c r="AJ257" s="412" t="str">
        <f t="shared" ca="1" si="100"/>
        <v/>
      </c>
      <c r="AK257" s="413" t="str">
        <f>IFERROR(AE257/(Q_BRAND_FC!$T$24+1),"")</f>
        <v/>
      </c>
      <c r="AL257" s="88" t="str">
        <f t="shared" ca="1" si="101"/>
        <v/>
      </c>
      <c r="AM257" s="414" t="str">
        <f t="shared" ca="1" si="102"/>
        <v/>
      </c>
      <c r="AN257" s="58">
        <f>IFERROR(IF($V257="BRAND.com",HLOOKUP($X257&amp;$Z257,NWC_FC_NOOS!$C$4:$Q$23,MATCH(W257,NWC_FC_NOOS!$B$4:$B$23,0),FALSE),0),0)</f>
        <v>0</v>
      </c>
      <c r="AO257" s="57">
        <f>IFERROR(IF($V257="BRAND.com",HLOOKUP($X257&amp;$Z257,NWC_FC_NOOS!$T$4:$AH$23,MATCH(W257,NWC_FC_NOOS!$S$4:$S$23,0),FALSE),0),0)</f>
        <v>0</v>
      </c>
      <c r="AP257" s="57">
        <f>IFERROR(IF($V257="BRAND.com",HLOOKUP($X257&amp;$Z257,NWC_FC_NOOS!$C$50:$U$69,MATCH(W257,NWC_FC_NOOS!$B$50:$B$69,0),FALSE),0),0)</f>
        <v>0</v>
      </c>
      <c r="AQ257" s="58">
        <f>IFERROR(IF($V257="BRAND.com",HLOOKUP($X257&amp;$Z257,'NWC_FC_NON-NOOS'!$C$4:$Q$23,MATCH(W257,'NWC_FC_NON-NOOS'!$B$4:$B$23,0),FALSE),0),0)</f>
        <v>0</v>
      </c>
      <c r="AR257" s="57">
        <f>IFERROR(IF($V257="BRAND.com",HLOOKUP($X257&amp;$Z257,'NWC_FC_NON-NOOS'!$T$4:$AH$23,MATCH(W257,'NWC_FC_NON-NOOS'!$S$4:$S$23,0),FALSE),0),0)</f>
        <v>0</v>
      </c>
      <c r="AS257" s="57">
        <f>IFERROR(IF($V257="BRAND.com",HLOOKUP($X257&amp;$Z257,'NWC_FC_NON-NOOS'!$C$50:$U$69,MATCH(W257,'NWC_FC_NON-NOOS'!$B$50:$B$69,0),FALSE),0),0)</f>
        <v>0</v>
      </c>
      <c r="AT257" s="57">
        <f t="shared" si="104"/>
        <v>0</v>
      </c>
      <c r="AU257" s="57">
        <f t="shared" si="105"/>
        <v>0</v>
      </c>
      <c r="AV257" s="58">
        <f>IFERROR(IF($V257="BRAND.com",HLOOKUP($X257&amp;$Z257,PLANNING_FC!$BB$27:$BP$46,MATCH($W257,PLANNING_FC!$BA$27:$BA$46,0),FALSE),0),0)</f>
        <v>0</v>
      </c>
      <c r="AW257" s="58">
        <f>IFERROR(IF($V257="BRAND.com",HLOOKUP($X257&amp;$Z257,PLANNING_FC!$BB$4:$BP$23,MATCH($W257,PLANNING_FC!$BA$4:$BA$23,0),FALSE),0),0)</f>
        <v>0</v>
      </c>
      <c r="AX257" s="58">
        <f>IFERROR(IF($V257="BRAND.com",HLOOKUP($X257&amp;$Z257,PLANNING_FC!$T$27:$AH$46,MATCH($W257,PLANNING_FC!$B$27:$B$46,0),FALSE),0),0)</f>
        <v>0</v>
      </c>
      <c r="AY257" s="58">
        <f>IFERROR(IF($V257="BRAND.com",HLOOKUP($X257&amp;$Z257,PLANNING_FC!$T$4:$AH$23,MATCH($W257,PLANNING_FC!$B$4:$B$23,0),FALSE),0),0)</f>
        <v>0</v>
      </c>
      <c r="AZ257" s="58">
        <f>IFERROR(IF($V257="BRAND.com",HLOOKUP($X257&amp;$Z257,PLANNING_FC!$DA$27:$DO$46,MATCH($W257,PLANNING_FC!$CZ$27:$CZ$46,0),FALSE),0),0)</f>
        <v>0</v>
      </c>
      <c r="BA257" s="58">
        <f>IFERROR(IF($V257="BRAND.com",HLOOKUP($X257&amp;$Z257,PLANNING_FC!$DA$4:$DO$23,MATCH($W257,PLANNING_FC!$CZ$4:$CZ$23,0),FALSE),0),0)</f>
        <v>0</v>
      </c>
      <c r="BB257" s="883" t="str">
        <f>IF(V257="BRAND.com",IFERROR(HLOOKUP(X257&amp;Z257,PLANNING_FC!$AK$4:$AY$23,MATCH(W257,PLANNING_FC!$AJ$4:$AJ$23,0),FALSE)*1000,""),"")</f>
        <v/>
      </c>
      <c r="BC257" s="883" t="str">
        <f>IF(V257="BRAND.com",IFERROR(HLOOKUP(X257&amp;Z257,PLANNING_FC!$AK$27:$AY$46,MATCH(W257,PLANNING_FC!$AJ$27:$AJ$46,0),FALSE)*1000,""),"")</f>
        <v/>
      </c>
    </row>
    <row r="258" spans="1:55" x14ac:dyDescent="0.25">
      <c r="A258" s="509"/>
      <c r="B258" s="509"/>
      <c r="C258" s="509"/>
      <c r="D258" s="509"/>
      <c r="E258" s="509"/>
      <c r="F258" s="509"/>
      <c r="G258" s="509"/>
      <c r="H258" s="509"/>
      <c r="I258" s="512"/>
      <c r="J258" s="513"/>
      <c r="K258" s="879"/>
      <c r="L258" s="515"/>
      <c r="M258" s="516"/>
      <c r="N258" s="56">
        <f t="shared" ref="N258:N321" si="106">IFERROR(I258/(1-J258)*J258,0)</f>
        <v>0</v>
      </c>
      <c r="O258" s="57">
        <f t="shared" ref="O258:O321" si="107">IFERROR(I258+N258,0)</f>
        <v>0</v>
      </c>
      <c r="P258" s="57">
        <f ca="1">IFERROR(IF(ISBLANK(H258),SUMIFS($AC:$AC,$V:$V,V258,$W:$W,W258,$X:$X,X258,$Y:$Y,Y258)*J258/(1-J258)*VLOOKUP(_xlfn.CONCAT(C258,D258,E258,TIME!$M$12,Z258),HIS_SALES!$B$2:$W$4859,20,FALSE),AC258*J258/(1-J258)),0)</f>
        <v>0</v>
      </c>
      <c r="Q258" s="541" t="str">
        <f t="shared" ref="Q258:Q321" si="108">IF(AND(A258&lt;&gt;"",H258=""),IF(A258=A257,Q257+1,1),"")</f>
        <v/>
      </c>
      <c r="R258" s="346" t="str">
        <f t="shared" ref="R258:R321" si="109">U258&amp;V258&amp;W258&amp;X258&amp;Z258</f>
        <v>00000</v>
      </c>
      <c r="S258" s="344">
        <f t="shared" ref="S258:S321" si="110">B258</f>
        <v>0</v>
      </c>
      <c r="T258" s="345" t="str">
        <f t="shared" si="103"/>
        <v>000</v>
      </c>
      <c r="U258" s="345">
        <f t="shared" ref="U258:U321" si="111">C258</f>
        <v>0</v>
      </c>
      <c r="V258" s="345">
        <f t="shared" ref="V258:V321" si="112">D258</f>
        <v>0</v>
      </c>
      <c r="W258" s="345">
        <f t="shared" ref="W258:W321" si="113">E258</f>
        <v>0</v>
      </c>
      <c r="X258" s="345">
        <f t="shared" ref="X258:X321" si="114">F258</f>
        <v>0</v>
      </c>
      <c r="Y258" s="345">
        <f t="shared" ref="Y258:Y321" si="115">G258</f>
        <v>0</v>
      </c>
      <c r="Z258" s="345">
        <f>IF(Q258&lt;&gt;"",VLOOKUP(Y258,TIME!$R$21:$V$24,MATCH(FC_DATA!Q258,TIME!$R$20:$V$20,0),FALSE),H258)</f>
        <v>0</v>
      </c>
      <c r="AA258" s="345" t="str">
        <f>IFERROR(VLOOKUP(X258&amp;Z258,TIME!$A$12:$D$71,4,FALSE),"")</f>
        <v/>
      </c>
      <c r="AB258" s="592">
        <f t="shared" ref="AB258:AB321" ca="1" si="116">IFERROR(AC258+P258,0)</f>
        <v>0</v>
      </c>
      <c r="AC258" s="593" t="e">
        <f ca="1">IF(ISBLANK(H258)=FALSE,IF(D258="BRAND.com",I258,IF(ISNA(VLOOKUP(_xlfn.CONCAT(X258,Z258),TIME!$M$40:$M$42,1,FALSE)),I258,VLOOKUP(_xlfn.CONCAT(D258,G258,H258),M_BUSAREA_FC!$AF$5:$AJ$10,5,FALSE)*HLOOKUP(_xlfn.CONCAT(F258,H258),ST_OVERVIEW!$G$99:$I$130,MATCH(_xlfn.CONCAT(D258,E258),ST_OVERVIEW!$F$99:$F$130,0),FALSE))),IF(D258="BRAND.com",VLOOKUP(_xlfn.CONCAT(C258,D258,E258,TIME!$F$1,Z258),HIS_SALES!$B$2:$V$4859,19,FALSE)*I258,VLOOKUP(_xlfn.CONCAT(D258,F258,G258),Q_BUSAREA_FC!$AE$5:$AI$12,5,FALSE)*HLOOKUP(_xlfn.CONCAT(FC_DATA!F258,FC_DATA!G258),LT_OVERVIEW!$I$99:$M$130,MATCH(_xlfn.CONCAT(D258,FC_DATA!E258),LT_OVERVIEW!$H$99:$H$130,0),FALSE)*IFERROR(VLOOKUP(_xlfn.CONCAT(C258,D258,E258,TIME!$F$1,Z258),HIS_SALES!$B$2:$V$4859,19,FALSE),0)))</f>
        <v>#N/A</v>
      </c>
      <c r="AD258" s="341">
        <f t="shared" ref="AD258:AD321" ca="1" si="117">IFERROR(IF(D258="PARTNER.com",0,1-AC258/AB258),0)</f>
        <v>0</v>
      </c>
      <c r="AE258" s="363" t="str">
        <f t="shared" ref="AE258:AE321" si="118">IF(A258&lt;&gt;"",K258,"")</f>
        <v/>
      </c>
      <c r="AF258" s="342" t="str">
        <f t="shared" ref="AF258:AF321" si="119">IF(B258&lt;&gt;"",M258,"")</f>
        <v/>
      </c>
      <c r="AG258" s="411" t="e">
        <f ca="1">VLOOKUP(_xlfn.CONCAT(U258,V258,W258,VLOOKUP(X258&amp;Y258,TIME!$L$27:$O$34,4,FALSE),Y258),HIS_SALES!$A$2:$R$5093,18,FALSE)</f>
        <v>#N/A</v>
      </c>
      <c r="AH258" s="412" t="e">
        <f ca="1">IFERROR(IF(AND(V258=V257,W258=W257),0.5*(AB258+AB257)*AG258,(VLOOKUP(_xlfn.CONCAT(U258,V258,W258,X258,VLOOKUP(Z258,TIME!$S$28:$T$39,2,FALSE)),FC_DATA!$R$2:$AB$5000,MATCH("GS_I_M",FC_DATA!$R$1:$AB$1,0),FALSE)+FC_DATA!AB258)*0.5*FC_DATA!AG258),NA())</f>
        <v>#N/A</v>
      </c>
      <c r="AI258" s="491" t="e">
        <f ca="1">IF(V258="PARTNER.com",AH258,IF(AND(V258=V257,W258=W257),(1-AVERAGE(AD257,AD258))*AH258,(1-AVERAGE(AD258,VLOOKUP(_xlfn.CONCAT(U258,V258,W258,X258,M_BRAND_FC!$F$6),FC_DATA!$R$2:$AD$5000,MATCH("DISCOUNT_%_M",FC_DATA!$R$1:$AD$1,0),FALSE)))*AH258))</f>
        <v>#N/A</v>
      </c>
      <c r="AJ258" s="412" t="str">
        <f t="shared" ref="AJ258:AJ321" ca="1" si="120">IFERROR(AC258-AI258,"")</f>
        <v/>
      </c>
      <c r="AK258" s="413" t="str">
        <f>IFERROR(AE258/(Q_BRAND_FC!$T$24+1),"")</f>
        <v/>
      </c>
      <c r="AL258" s="88" t="str">
        <f t="shared" ref="AL258:AL321" ca="1" si="121">IFERROR((AB258-AH258)/AK258*AF258,"")</f>
        <v/>
      </c>
      <c r="AM258" s="414" t="str">
        <f t="shared" ref="AM258:AM321" ca="1" si="122">IFERROR((AB258-AH258)/AK258*(1-AF258),"")</f>
        <v/>
      </c>
      <c r="AN258" s="58">
        <f>IFERROR(IF($V258="BRAND.com",HLOOKUP($X258&amp;$Z258,NWC_FC_NOOS!$C$4:$Q$23,MATCH(W258,NWC_FC_NOOS!$B$4:$B$23,0),FALSE),0),0)</f>
        <v>0</v>
      </c>
      <c r="AO258" s="57">
        <f>IFERROR(IF($V258="BRAND.com",HLOOKUP($X258&amp;$Z258,NWC_FC_NOOS!$T$4:$AH$23,MATCH(W258,NWC_FC_NOOS!$S$4:$S$23,0),FALSE),0),0)</f>
        <v>0</v>
      </c>
      <c r="AP258" s="57">
        <f>IFERROR(IF($V258="BRAND.com",HLOOKUP($X258&amp;$Z258,NWC_FC_NOOS!$C$50:$U$69,MATCH(W258,NWC_FC_NOOS!$B$50:$B$69,0),FALSE),0),0)</f>
        <v>0</v>
      </c>
      <c r="AQ258" s="58">
        <f>IFERROR(IF($V258="BRAND.com",HLOOKUP($X258&amp;$Z258,'NWC_FC_NON-NOOS'!$C$4:$Q$23,MATCH(W258,'NWC_FC_NON-NOOS'!$B$4:$B$23,0),FALSE),0),0)</f>
        <v>0</v>
      </c>
      <c r="AR258" s="57">
        <f>IFERROR(IF($V258="BRAND.com",HLOOKUP($X258&amp;$Z258,'NWC_FC_NON-NOOS'!$T$4:$AH$23,MATCH(W258,'NWC_FC_NON-NOOS'!$S$4:$S$23,0),FALSE),0),0)</f>
        <v>0</v>
      </c>
      <c r="AS258" s="57">
        <f>IFERROR(IF($V258="BRAND.com",HLOOKUP($X258&amp;$Z258,'NWC_FC_NON-NOOS'!$C$50:$U$69,MATCH(W258,'NWC_FC_NON-NOOS'!$B$50:$B$69,0),FALSE),0),0)</f>
        <v>0</v>
      </c>
      <c r="AT258" s="57">
        <f t="shared" si="104"/>
        <v>0</v>
      </c>
      <c r="AU258" s="57">
        <f t="shared" si="105"/>
        <v>0</v>
      </c>
      <c r="AV258" s="58">
        <f>IFERROR(IF($V258="BRAND.com",HLOOKUP($X258&amp;$Z258,PLANNING_FC!$BB$27:$BP$46,MATCH($W258,PLANNING_FC!$BA$27:$BA$46,0),FALSE),0),0)</f>
        <v>0</v>
      </c>
      <c r="AW258" s="58">
        <f>IFERROR(IF($V258="BRAND.com",HLOOKUP($X258&amp;$Z258,PLANNING_FC!$BB$4:$BP$23,MATCH($W258,PLANNING_FC!$BA$4:$BA$23,0),FALSE),0),0)</f>
        <v>0</v>
      </c>
      <c r="AX258" s="58">
        <f>IFERROR(IF($V258="BRAND.com",HLOOKUP($X258&amp;$Z258,PLANNING_FC!$T$27:$AH$46,MATCH($W258,PLANNING_FC!$B$27:$B$46,0),FALSE),0),0)</f>
        <v>0</v>
      </c>
      <c r="AY258" s="58">
        <f>IFERROR(IF($V258="BRAND.com",HLOOKUP($X258&amp;$Z258,PLANNING_FC!$T$4:$AH$23,MATCH($W258,PLANNING_FC!$B$4:$B$23,0),FALSE),0),0)</f>
        <v>0</v>
      </c>
      <c r="AZ258" s="58">
        <f>IFERROR(IF($V258="BRAND.com",HLOOKUP($X258&amp;$Z258,PLANNING_FC!$DA$27:$DO$46,MATCH($W258,PLANNING_FC!$CZ$27:$CZ$46,0),FALSE),0),0)</f>
        <v>0</v>
      </c>
      <c r="BA258" s="58">
        <f>IFERROR(IF($V258="BRAND.com",HLOOKUP($X258&amp;$Z258,PLANNING_FC!$DA$4:$DO$23,MATCH($W258,PLANNING_FC!$CZ$4:$CZ$23,0),FALSE),0),0)</f>
        <v>0</v>
      </c>
      <c r="BB258" s="883" t="str">
        <f>IF(V258="BRAND.com",IFERROR(HLOOKUP(X258&amp;Z258,PLANNING_FC!$AK$4:$AY$23,MATCH(W258,PLANNING_FC!$AJ$4:$AJ$23,0),FALSE)*1000,""),"")</f>
        <v/>
      </c>
      <c r="BC258" s="883" t="str">
        <f>IF(V258="BRAND.com",IFERROR(HLOOKUP(X258&amp;Z258,PLANNING_FC!$AK$27:$AY$46,MATCH(W258,PLANNING_FC!$AJ$27:$AJ$46,0),FALSE)*1000,""),"")</f>
        <v/>
      </c>
    </row>
    <row r="259" spans="1:55" x14ac:dyDescent="0.25">
      <c r="A259" s="509"/>
      <c r="B259" s="509"/>
      <c r="C259" s="509"/>
      <c r="D259" s="509"/>
      <c r="E259" s="509"/>
      <c r="F259" s="509"/>
      <c r="G259" s="509"/>
      <c r="H259" s="509"/>
      <c r="I259" s="512"/>
      <c r="J259" s="513"/>
      <c r="K259" s="879"/>
      <c r="L259" s="515"/>
      <c r="M259" s="516"/>
      <c r="N259" s="56">
        <f t="shared" si="106"/>
        <v>0</v>
      </c>
      <c r="O259" s="57">
        <f t="shared" si="107"/>
        <v>0</v>
      </c>
      <c r="P259" s="57">
        <f ca="1">IFERROR(IF(ISBLANK(H259),SUMIFS($AC:$AC,$V:$V,V259,$W:$W,W259,$X:$X,X259,$Y:$Y,Y259)*J259/(1-J259)*VLOOKUP(_xlfn.CONCAT(C259,D259,E259,TIME!$M$12,Z259),HIS_SALES!$B$2:$W$4859,20,FALSE),AC259*J259/(1-J259)),0)</f>
        <v>0</v>
      </c>
      <c r="Q259" s="541" t="str">
        <f t="shared" si="108"/>
        <v/>
      </c>
      <c r="R259" s="346" t="str">
        <f t="shared" si="109"/>
        <v>00000</v>
      </c>
      <c r="S259" s="344">
        <f t="shared" si="110"/>
        <v>0</v>
      </c>
      <c r="T259" s="345" t="str">
        <f t="shared" ref="T259:T322" si="123">U259&amp;V259&amp;W259&amp;AA259</f>
        <v>000</v>
      </c>
      <c r="U259" s="345">
        <f t="shared" si="111"/>
        <v>0</v>
      </c>
      <c r="V259" s="345">
        <f t="shared" si="112"/>
        <v>0</v>
      </c>
      <c r="W259" s="345">
        <f t="shared" si="113"/>
        <v>0</v>
      </c>
      <c r="X259" s="345">
        <f t="shared" si="114"/>
        <v>0</v>
      </c>
      <c r="Y259" s="345">
        <f t="shared" si="115"/>
        <v>0</v>
      </c>
      <c r="Z259" s="345">
        <f>IF(Q259&lt;&gt;"",VLOOKUP(Y259,TIME!$R$21:$V$24,MATCH(FC_DATA!Q259,TIME!$R$20:$V$20,0),FALSE),H259)</f>
        <v>0</v>
      </c>
      <c r="AA259" s="345" t="str">
        <f>IFERROR(VLOOKUP(X259&amp;Z259,TIME!$A$12:$D$71,4,FALSE),"")</f>
        <v/>
      </c>
      <c r="AB259" s="592">
        <f t="shared" ca="1" si="116"/>
        <v>0</v>
      </c>
      <c r="AC259" s="593" t="e">
        <f ca="1">IF(ISBLANK(H259)=FALSE,IF(D259="BRAND.com",I259,IF(ISNA(VLOOKUP(_xlfn.CONCAT(X259,Z259),TIME!$M$40:$M$42,1,FALSE)),I259,VLOOKUP(_xlfn.CONCAT(D259,G259,H259),M_BUSAREA_FC!$AF$5:$AJ$10,5,FALSE)*HLOOKUP(_xlfn.CONCAT(F259,H259),ST_OVERVIEW!$G$99:$I$130,MATCH(_xlfn.CONCAT(D259,E259),ST_OVERVIEW!$F$99:$F$130,0),FALSE))),IF(D259="BRAND.com",VLOOKUP(_xlfn.CONCAT(C259,D259,E259,TIME!$F$1,Z259),HIS_SALES!$B$2:$V$4859,19,FALSE)*I259,VLOOKUP(_xlfn.CONCAT(D259,F259,G259),Q_BUSAREA_FC!$AE$5:$AI$12,5,FALSE)*HLOOKUP(_xlfn.CONCAT(FC_DATA!F259,FC_DATA!G259),LT_OVERVIEW!$I$99:$M$130,MATCH(_xlfn.CONCAT(D259,FC_DATA!E259),LT_OVERVIEW!$H$99:$H$130,0),FALSE)*IFERROR(VLOOKUP(_xlfn.CONCAT(C259,D259,E259,TIME!$F$1,Z259),HIS_SALES!$B$2:$V$4859,19,FALSE),0)))</f>
        <v>#N/A</v>
      </c>
      <c r="AD259" s="341">
        <f t="shared" ca="1" si="117"/>
        <v>0</v>
      </c>
      <c r="AE259" s="363" t="str">
        <f t="shared" si="118"/>
        <v/>
      </c>
      <c r="AF259" s="342" t="str">
        <f t="shared" si="119"/>
        <v/>
      </c>
      <c r="AG259" s="411" t="e">
        <f ca="1">VLOOKUP(_xlfn.CONCAT(U259,V259,W259,VLOOKUP(X259&amp;Y259,TIME!$L$27:$O$34,4,FALSE),Y259),HIS_SALES!$A$2:$R$5093,18,FALSE)</f>
        <v>#N/A</v>
      </c>
      <c r="AH259" s="412" t="e">
        <f ca="1">IFERROR(IF(AND(V259=V258,W259=W258),0.5*(AB259+AB258)*AG259,(VLOOKUP(_xlfn.CONCAT(U259,V259,W259,X259,VLOOKUP(Z259,TIME!$S$28:$T$39,2,FALSE)),FC_DATA!$R$2:$AB$5000,MATCH("GS_I_M",FC_DATA!$R$1:$AB$1,0),FALSE)+FC_DATA!AB259)*0.5*FC_DATA!AG259),NA())</f>
        <v>#N/A</v>
      </c>
      <c r="AI259" s="491" t="e">
        <f ca="1">IF(V259="PARTNER.com",AH259,IF(AND(V259=V258,W259=W258),(1-AVERAGE(AD258,AD259))*AH259,(1-AVERAGE(AD259,VLOOKUP(_xlfn.CONCAT(U259,V259,W259,X259,M_BRAND_FC!$F$6),FC_DATA!$R$2:$AD$5000,MATCH("DISCOUNT_%_M",FC_DATA!$R$1:$AD$1,0),FALSE)))*AH259))</f>
        <v>#N/A</v>
      </c>
      <c r="AJ259" s="412" t="str">
        <f t="shared" ca="1" si="120"/>
        <v/>
      </c>
      <c r="AK259" s="413" t="str">
        <f>IFERROR(AE259/(Q_BRAND_FC!$T$24+1),"")</f>
        <v/>
      </c>
      <c r="AL259" s="88" t="str">
        <f t="shared" ca="1" si="121"/>
        <v/>
      </c>
      <c r="AM259" s="414" t="str">
        <f t="shared" ca="1" si="122"/>
        <v/>
      </c>
      <c r="AN259" s="58">
        <f>IFERROR(IF($V259="BRAND.com",HLOOKUP($X259&amp;$Z259,NWC_FC_NOOS!$C$4:$Q$23,MATCH(W259,NWC_FC_NOOS!$B$4:$B$23,0),FALSE),0),0)</f>
        <v>0</v>
      </c>
      <c r="AO259" s="57">
        <f>IFERROR(IF($V259="BRAND.com",HLOOKUP($X259&amp;$Z259,NWC_FC_NOOS!$T$4:$AH$23,MATCH(W259,NWC_FC_NOOS!$S$4:$S$23,0),FALSE),0),0)</f>
        <v>0</v>
      </c>
      <c r="AP259" s="57">
        <f>IFERROR(IF($V259="BRAND.com",HLOOKUP($X259&amp;$Z259,NWC_FC_NOOS!$C$50:$U$69,MATCH(W259,NWC_FC_NOOS!$B$50:$B$69,0),FALSE),0),0)</f>
        <v>0</v>
      </c>
      <c r="AQ259" s="58">
        <f>IFERROR(IF($V259="BRAND.com",HLOOKUP($X259&amp;$Z259,'NWC_FC_NON-NOOS'!$C$4:$Q$23,MATCH(W259,'NWC_FC_NON-NOOS'!$B$4:$B$23,0),FALSE),0),0)</f>
        <v>0</v>
      </c>
      <c r="AR259" s="57">
        <f>IFERROR(IF($V259="BRAND.com",HLOOKUP($X259&amp;$Z259,'NWC_FC_NON-NOOS'!$T$4:$AH$23,MATCH(W259,'NWC_FC_NON-NOOS'!$S$4:$S$23,0),FALSE),0),0)</f>
        <v>0</v>
      </c>
      <c r="AS259" s="57">
        <f>IFERROR(IF($V259="BRAND.com",HLOOKUP($X259&amp;$Z259,'NWC_FC_NON-NOOS'!$C$50:$U$69,MATCH(W259,'NWC_FC_NON-NOOS'!$B$50:$B$69,0),FALSE),0),0)</f>
        <v>0</v>
      </c>
      <c r="AT259" s="57">
        <f t="shared" ref="AT259:AT322" si="124">AO259+AR259</f>
        <v>0</v>
      </c>
      <c r="AU259" s="57">
        <f t="shared" ref="AU259:AU322" si="125">AP259+AS259</f>
        <v>0</v>
      </c>
      <c r="AV259" s="58">
        <f>IFERROR(IF($V259="BRAND.com",HLOOKUP($X259&amp;$Z259,PLANNING_FC!$BB$27:$BP$46,MATCH($W259,PLANNING_FC!$BA$27:$BA$46,0),FALSE),0),0)</f>
        <v>0</v>
      </c>
      <c r="AW259" s="58">
        <f>IFERROR(IF($V259="BRAND.com",HLOOKUP($X259&amp;$Z259,PLANNING_FC!$BB$4:$BP$23,MATCH($W259,PLANNING_FC!$BA$4:$BA$23,0),FALSE),0),0)</f>
        <v>0</v>
      </c>
      <c r="AX259" s="58">
        <f>IFERROR(IF($V259="BRAND.com",HLOOKUP($X259&amp;$Z259,PLANNING_FC!$T$27:$AH$46,MATCH($W259,PLANNING_FC!$B$27:$B$46,0),FALSE),0),0)</f>
        <v>0</v>
      </c>
      <c r="AY259" s="58">
        <f>IFERROR(IF($V259="BRAND.com",HLOOKUP($X259&amp;$Z259,PLANNING_FC!$T$4:$AH$23,MATCH($W259,PLANNING_FC!$B$4:$B$23,0),FALSE),0),0)</f>
        <v>0</v>
      </c>
      <c r="AZ259" s="58">
        <f>IFERROR(IF($V259="BRAND.com",HLOOKUP($X259&amp;$Z259,PLANNING_FC!$DA$27:$DO$46,MATCH($W259,PLANNING_FC!$CZ$27:$CZ$46,0),FALSE),0),0)</f>
        <v>0</v>
      </c>
      <c r="BA259" s="58">
        <f>IFERROR(IF($V259="BRAND.com",HLOOKUP($X259&amp;$Z259,PLANNING_FC!$DA$4:$DO$23,MATCH($W259,PLANNING_FC!$CZ$4:$CZ$23,0),FALSE),0),0)</f>
        <v>0</v>
      </c>
      <c r="BB259" s="883" t="str">
        <f>IF(V259="BRAND.com",IFERROR(HLOOKUP(X259&amp;Z259,PLANNING_FC!$AK$4:$AY$23,MATCH(W259,PLANNING_FC!$AJ$4:$AJ$23,0),FALSE)*1000,""),"")</f>
        <v/>
      </c>
      <c r="BC259" s="883" t="str">
        <f>IF(V259="BRAND.com",IFERROR(HLOOKUP(X259&amp;Z259,PLANNING_FC!$AK$27:$AY$46,MATCH(W259,PLANNING_FC!$AJ$27:$AJ$46,0),FALSE)*1000,""),"")</f>
        <v/>
      </c>
    </row>
    <row r="260" spans="1:55" x14ac:dyDescent="0.25">
      <c r="A260" s="509"/>
      <c r="B260" s="509"/>
      <c r="C260" s="509"/>
      <c r="D260" s="509"/>
      <c r="E260" s="509"/>
      <c r="F260" s="509"/>
      <c r="G260" s="509"/>
      <c r="H260" s="509"/>
      <c r="I260" s="512"/>
      <c r="J260" s="513"/>
      <c r="K260" s="879"/>
      <c r="L260" s="515"/>
      <c r="M260" s="516"/>
      <c r="N260" s="56">
        <f t="shared" si="106"/>
        <v>0</v>
      </c>
      <c r="O260" s="57">
        <f t="shared" si="107"/>
        <v>0</v>
      </c>
      <c r="P260" s="57">
        <f ca="1">IFERROR(IF(ISBLANK(H260),SUMIFS($AC:$AC,$V:$V,V260,$W:$W,W260,$X:$X,X260,$Y:$Y,Y260)*J260/(1-J260)*VLOOKUP(_xlfn.CONCAT(C260,D260,E260,TIME!$M$12,Z260),HIS_SALES!$B$2:$W$4859,20,FALSE),AC260*J260/(1-J260)),0)</f>
        <v>0</v>
      </c>
      <c r="Q260" s="541" t="str">
        <f t="shared" si="108"/>
        <v/>
      </c>
      <c r="R260" s="346" t="str">
        <f t="shared" si="109"/>
        <v>00000</v>
      </c>
      <c r="S260" s="344">
        <f t="shared" si="110"/>
        <v>0</v>
      </c>
      <c r="T260" s="345" t="str">
        <f t="shared" si="123"/>
        <v>000</v>
      </c>
      <c r="U260" s="345">
        <f t="shared" si="111"/>
        <v>0</v>
      </c>
      <c r="V260" s="345">
        <f t="shared" si="112"/>
        <v>0</v>
      </c>
      <c r="W260" s="345">
        <f t="shared" si="113"/>
        <v>0</v>
      </c>
      <c r="X260" s="345">
        <f t="shared" si="114"/>
        <v>0</v>
      </c>
      <c r="Y260" s="345">
        <f t="shared" si="115"/>
        <v>0</v>
      </c>
      <c r="Z260" s="345">
        <f>IF(Q260&lt;&gt;"",VLOOKUP(Y260,TIME!$R$21:$V$24,MATCH(FC_DATA!Q260,TIME!$R$20:$V$20,0),FALSE),H260)</f>
        <v>0</v>
      </c>
      <c r="AA260" s="345" t="str">
        <f>IFERROR(VLOOKUP(X260&amp;Z260,TIME!$A$12:$D$71,4,FALSE),"")</f>
        <v/>
      </c>
      <c r="AB260" s="592">
        <f t="shared" ca="1" si="116"/>
        <v>0</v>
      </c>
      <c r="AC260" s="593" t="e">
        <f ca="1">IF(ISBLANK(H260)=FALSE,IF(D260="BRAND.com",I260,IF(ISNA(VLOOKUP(_xlfn.CONCAT(X260,Z260),TIME!$M$40:$M$42,1,FALSE)),I260,VLOOKUP(_xlfn.CONCAT(D260,G260,H260),M_BUSAREA_FC!$AF$5:$AJ$10,5,FALSE)*HLOOKUP(_xlfn.CONCAT(F260,H260),ST_OVERVIEW!$G$99:$I$130,MATCH(_xlfn.CONCAT(D260,E260),ST_OVERVIEW!$F$99:$F$130,0),FALSE))),IF(D260="BRAND.com",VLOOKUP(_xlfn.CONCAT(C260,D260,E260,TIME!$F$1,Z260),HIS_SALES!$B$2:$V$4859,19,FALSE)*I260,VLOOKUP(_xlfn.CONCAT(D260,F260,G260),Q_BUSAREA_FC!$AE$5:$AI$12,5,FALSE)*HLOOKUP(_xlfn.CONCAT(FC_DATA!F260,FC_DATA!G260),LT_OVERVIEW!$I$99:$M$130,MATCH(_xlfn.CONCAT(D260,FC_DATA!E260),LT_OVERVIEW!$H$99:$H$130,0),FALSE)*IFERROR(VLOOKUP(_xlfn.CONCAT(C260,D260,E260,TIME!$F$1,Z260),HIS_SALES!$B$2:$V$4859,19,FALSE),0)))</f>
        <v>#N/A</v>
      </c>
      <c r="AD260" s="341">
        <f t="shared" ca="1" si="117"/>
        <v>0</v>
      </c>
      <c r="AE260" s="363" t="str">
        <f t="shared" si="118"/>
        <v/>
      </c>
      <c r="AF260" s="342" t="str">
        <f t="shared" si="119"/>
        <v/>
      </c>
      <c r="AG260" s="411" t="e">
        <f ca="1">VLOOKUP(_xlfn.CONCAT(U260,V260,W260,VLOOKUP(X260&amp;Y260,TIME!$L$27:$O$34,4,FALSE),Y260),HIS_SALES!$A$2:$R$5093,18,FALSE)</f>
        <v>#N/A</v>
      </c>
      <c r="AH260" s="412" t="e">
        <f ca="1">IFERROR(IF(AND(V260=V259,W260=W259),0.5*(AB260+AB259)*AG260,(VLOOKUP(_xlfn.CONCAT(U260,V260,W260,X260,VLOOKUP(Z260,TIME!$S$28:$T$39,2,FALSE)),FC_DATA!$R$2:$AB$5000,MATCH("GS_I_M",FC_DATA!$R$1:$AB$1,0),FALSE)+FC_DATA!AB260)*0.5*FC_DATA!AG260),NA())</f>
        <v>#N/A</v>
      </c>
      <c r="AI260" s="491" t="e">
        <f ca="1">IF(V260="PARTNER.com",AH260,IF(AND(V260=V259,W260=W259),(1-AVERAGE(AD259,AD260))*AH260,(1-AVERAGE(AD260,VLOOKUP(_xlfn.CONCAT(U260,V260,W260,X260,M_BRAND_FC!$F$6),FC_DATA!$R$2:$AD$5000,MATCH("DISCOUNT_%_M",FC_DATA!$R$1:$AD$1,0),FALSE)))*AH260))</f>
        <v>#N/A</v>
      </c>
      <c r="AJ260" s="412" t="str">
        <f t="shared" ca="1" si="120"/>
        <v/>
      </c>
      <c r="AK260" s="413" t="str">
        <f>IFERROR(AE260/(Q_BRAND_FC!$T$24+1),"")</f>
        <v/>
      </c>
      <c r="AL260" s="88" t="str">
        <f t="shared" ca="1" si="121"/>
        <v/>
      </c>
      <c r="AM260" s="414" t="str">
        <f t="shared" ca="1" si="122"/>
        <v/>
      </c>
      <c r="AN260" s="58">
        <f>IFERROR(IF($V260="BRAND.com",HLOOKUP($X260&amp;$Z260,NWC_FC_NOOS!$C$4:$Q$23,MATCH(W260,NWC_FC_NOOS!$B$4:$B$23,0),FALSE),0),0)</f>
        <v>0</v>
      </c>
      <c r="AO260" s="57">
        <f>IFERROR(IF($V260="BRAND.com",HLOOKUP($X260&amp;$Z260,NWC_FC_NOOS!$T$4:$AH$23,MATCH(W260,NWC_FC_NOOS!$S$4:$S$23,0),FALSE),0),0)</f>
        <v>0</v>
      </c>
      <c r="AP260" s="57">
        <f>IFERROR(IF($V260="BRAND.com",HLOOKUP($X260&amp;$Z260,NWC_FC_NOOS!$C$50:$U$69,MATCH(W260,NWC_FC_NOOS!$B$50:$B$69,0),FALSE),0),0)</f>
        <v>0</v>
      </c>
      <c r="AQ260" s="58">
        <f>IFERROR(IF($V260="BRAND.com",HLOOKUP($X260&amp;$Z260,'NWC_FC_NON-NOOS'!$C$4:$Q$23,MATCH(W260,'NWC_FC_NON-NOOS'!$B$4:$B$23,0),FALSE),0),0)</f>
        <v>0</v>
      </c>
      <c r="AR260" s="57">
        <f>IFERROR(IF($V260="BRAND.com",HLOOKUP($X260&amp;$Z260,'NWC_FC_NON-NOOS'!$T$4:$AH$23,MATCH(W260,'NWC_FC_NON-NOOS'!$S$4:$S$23,0),FALSE),0),0)</f>
        <v>0</v>
      </c>
      <c r="AS260" s="57">
        <f>IFERROR(IF($V260="BRAND.com",HLOOKUP($X260&amp;$Z260,'NWC_FC_NON-NOOS'!$C$50:$U$69,MATCH(W260,'NWC_FC_NON-NOOS'!$B$50:$B$69,0),FALSE),0),0)</f>
        <v>0</v>
      </c>
      <c r="AT260" s="57">
        <f t="shared" si="124"/>
        <v>0</v>
      </c>
      <c r="AU260" s="57">
        <f t="shared" si="125"/>
        <v>0</v>
      </c>
      <c r="AV260" s="58">
        <f>IFERROR(IF($V260="BRAND.com",HLOOKUP($X260&amp;$Z260,PLANNING_FC!$BB$27:$BP$46,MATCH($W260,PLANNING_FC!$BA$27:$BA$46,0),FALSE),0),0)</f>
        <v>0</v>
      </c>
      <c r="AW260" s="58">
        <f>IFERROR(IF($V260="BRAND.com",HLOOKUP($X260&amp;$Z260,PLANNING_FC!$BB$4:$BP$23,MATCH($W260,PLANNING_FC!$BA$4:$BA$23,0),FALSE),0),0)</f>
        <v>0</v>
      </c>
      <c r="AX260" s="58">
        <f>IFERROR(IF($V260="BRAND.com",HLOOKUP($X260&amp;$Z260,PLANNING_FC!$T$27:$AH$46,MATCH($W260,PLANNING_FC!$B$27:$B$46,0),FALSE),0),0)</f>
        <v>0</v>
      </c>
      <c r="AY260" s="58">
        <f>IFERROR(IF($V260="BRAND.com",HLOOKUP($X260&amp;$Z260,PLANNING_FC!$T$4:$AH$23,MATCH($W260,PLANNING_FC!$B$4:$B$23,0),FALSE),0),0)</f>
        <v>0</v>
      </c>
      <c r="AZ260" s="58">
        <f>IFERROR(IF($V260="BRAND.com",HLOOKUP($X260&amp;$Z260,PLANNING_FC!$DA$27:$DO$46,MATCH($W260,PLANNING_FC!$CZ$27:$CZ$46,0),FALSE),0),0)</f>
        <v>0</v>
      </c>
      <c r="BA260" s="58">
        <f>IFERROR(IF($V260="BRAND.com",HLOOKUP($X260&amp;$Z260,PLANNING_FC!$DA$4:$DO$23,MATCH($W260,PLANNING_FC!$CZ$4:$CZ$23,0),FALSE),0),0)</f>
        <v>0</v>
      </c>
      <c r="BB260" s="883" t="str">
        <f>IF(V260="BRAND.com",IFERROR(HLOOKUP(X260&amp;Z260,PLANNING_FC!$AK$4:$AY$23,MATCH(W260,PLANNING_FC!$AJ$4:$AJ$23,0),FALSE)*1000,""),"")</f>
        <v/>
      </c>
      <c r="BC260" s="883" t="str">
        <f>IF(V260="BRAND.com",IFERROR(HLOOKUP(X260&amp;Z260,PLANNING_FC!$AK$27:$AY$46,MATCH(W260,PLANNING_FC!$AJ$27:$AJ$46,0),FALSE)*1000,""),"")</f>
        <v/>
      </c>
    </row>
    <row r="261" spans="1:55" x14ac:dyDescent="0.25">
      <c r="A261" s="509"/>
      <c r="B261" s="509"/>
      <c r="C261" s="509"/>
      <c r="D261" s="509"/>
      <c r="E261" s="509"/>
      <c r="F261" s="509"/>
      <c r="G261" s="509"/>
      <c r="H261" s="509"/>
      <c r="I261" s="512"/>
      <c r="J261" s="513"/>
      <c r="K261" s="879"/>
      <c r="L261" s="515"/>
      <c r="M261" s="516"/>
      <c r="N261" s="56">
        <f t="shared" si="106"/>
        <v>0</v>
      </c>
      <c r="O261" s="57">
        <f t="shared" si="107"/>
        <v>0</v>
      </c>
      <c r="P261" s="57">
        <f ca="1">IFERROR(IF(ISBLANK(H261),SUMIFS($AC:$AC,$V:$V,V261,$W:$W,W261,$X:$X,X261,$Y:$Y,Y261)*J261/(1-J261)*VLOOKUP(_xlfn.CONCAT(C261,D261,E261,TIME!$M$12,Z261),HIS_SALES!$B$2:$W$4859,20,FALSE),AC261*J261/(1-J261)),0)</f>
        <v>0</v>
      </c>
      <c r="Q261" s="541" t="str">
        <f t="shared" si="108"/>
        <v/>
      </c>
      <c r="R261" s="346" t="str">
        <f t="shared" si="109"/>
        <v>00000</v>
      </c>
      <c r="S261" s="344">
        <f t="shared" si="110"/>
        <v>0</v>
      </c>
      <c r="T261" s="345" t="str">
        <f t="shared" si="123"/>
        <v>000</v>
      </c>
      <c r="U261" s="345">
        <f t="shared" si="111"/>
        <v>0</v>
      </c>
      <c r="V261" s="345">
        <f t="shared" si="112"/>
        <v>0</v>
      </c>
      <c r="W261" s="345">
        <f t="shared" si="113"/>
        <v>0</v>
      </c>
      <c r="X261" s="345">
        <f t="shared" si="114"/>
        <v>0</v>
      </c>
      <c r="Y261" s="345">
        <f t="shared" si="115"/>
        <v>0</v>
      </c>
      <c r="Z261" s="345">
        <f>IF(Q261&lt;&gt;"",VLOOKUP(Y261,TIME!$R$21:$V$24,MATCH(FC_DATA!Q261,TIME!$R$20:$V$20,0),FALSE),H261)</f>
        <v>0</v>
      </c>
      <c r="AA261" s="345" t="str">
        <f>IFERROR(VLOOKUP(X261&amp;Z261,TIME!$A$12:$D$71,4,FALSE),"")</f>
        <v/>
      </c>
      <c r="AB261" s="592">
        <f t="shared" ca="1" si="116"/>
        <v>0</v>
      </c>
      <c r="AC261" s="593" t="e">
        <f ca="1">IF(ISBLANK(H261)=FALSE,IF(D261="BRAND.com",I261,IF(ISNA(VLOOKUP(_xlfn.CONCAT(X261,Z261),TIME!$M$40:$M$42,1,FALSE)),I261,VLOOKUP(_xlfn.CONCAT(D261,G261,H261),M_BUSAREA_FC!$AF$5:$AJ$10,5,FALSE)*HLOOKUP(_xlfn.CONCAT(F261,H261),ST_OVERVIEW!$G$99:$I$130,MATCH(_xlfn.CONCAT(D261,E261),ST_OVERVIEW!$F$99:$F$130,0),FALSE))),IF(D261="BRAND.com",VLOOKUP(_xlfn.CONCAT(C261,D261,E261,TIME!$F$1,Z261),HIS_SALES!$B$2:$V$4859,19,FALSE)*I261,VLOOKUP(_xlfn.CONCAT(D261,F261,G261),Q_BUSAREA_FC!$AE$5:$AI$12,5,FALSE)*HLOOKUP(_xlfn.CONCAT(FC_DATA!F261,FC_DATA!G261),LT_OVERVIEW!$I$99:$M$130,MATCH(_xlfn.CONCAT(D261,FC_DATA!E261),LT_OVERVIEW!$H$99:$H$130,0),FALSE)*IFERROR(VLOOKUP(_xlfn.CONCAT(C261,D261,E261,TIME!$F$1,Z261),HIS_SALES!$B$2:$V$4859,19,FALSE),0)))</f>
        <v>#N/A</v>
      </c>
      <c r="AD261" s="341">
        <f t="shared" ca="1" si="117"/>
        <v>0</v>
      </c>
      <c r="AE261" s="363" t="str">
        <f t="shared" si="118"/>
        <v/>
      </c>
      <c r="AF261" s="342" t="str">
        <f t="shared" si="119"/>
        <v/>
      </c>
      <c r="AG261" s="411" t="e">
        <f ca="1">VLOOKUP(_xlfn.CONCAT(U261,V261,W261,VLOOKUP(X261&amp;Y261,TIME!$L$27:$O$34,4,FALSE),Y261),HIS_SALES!$A$2:$R$5093,18,FALSE)</f>
        <v>#N/A</v>
      </c>
      <c r="AH261" s="412" t="e">
        <f ca="1">IFERROR(IF(AND(V261=V260,W261=W260),0.5*(AB261+AB260)*AG261,(VLOOKUP(_xlfn.CONCAT(U261,V261,W261,X261,VLOOKUP(Z261,TIME!$S$28:$T$39,2,FALSE)),FC_DATA!$R$2:$AB$5000,MATCH("GS_I_M",FC_DATA!$R$1:$AB$1,0),FALSE)+FC_DATA!AB261)*0.5*FC_DATA!AG261),NA())</f>
        <v>#N/A</v>
      </c>
      <c r="AI261" s="491" t="e">
        <f ca="1">IF(V261="PARTNER.com",AH261,IF(AND(V261=V260,W261=W260),(1-AVERAGE(AD260,AD261))*AH261,(1-AVERAGE(AD261,VLOOKUP(_xlfn.CONCAT(U261,V261,W261,X261,M_BRAND_FC!$F$6),FC_DATA!$R$2:$AD$5000,MATCH("DISCOUNT_%_M",FC_DATA!$R$1:$AD$1,0),FALSE)))*AH261))</f>
        <v>#N/A</v>
      </c>
      <c r="AJ261" s="412" t="str">
        <f t="shared" ca="1" si="120"/>
        <v/>
      </c>
      <c r="AK261" s="413" t="str">
        <f>IFERROR(AE261/(Q_BRAND_FC!$T$24+1),"")</f>
        <v/>
      </c>
      <c r="AL261" s="88" t="str">
        <f t="shared" ca="1" si="121"/>
        <v/>
      </c>
      <c r="AM261" s="414" t="str">
        <f t="shared" ca="1" si="122"/>
        <v/>
      </c>
      <c r="AN261" s="58">
        <f>IFERROR(IF($V261="BRAND.com",HLOOKUP($X261&amp;$Z261,NWC_FC_NOOS!$C$4:$Q$23,MATCH(W261,NWC_FC_NOOS!$B$4:$B$23,0),FALSE),0),0)</f>
        <v>0</v>
      </c>
      <c r="AO261" s="57">
        <f>IFERROR(IF($V261="BRAND.com",HLOOKUP($X261&amp;$Z261,NWC_FC_NOOS!$T$4:$AH$23,MATCH(W261,NWC_FC_NOOS!$S$4:$S$23,0),FALSE),0),0)</f>
        <v>0</v>
      </c>
      <c r="AP261" s="57">
        <f>IFERROR(IF($V261="BRAND.com",HLOOKUP($X261&amp;$Z261,NWC_FC_NOOS!$C$50:$U$69,MATCH(W261,NWC_FC_NOOS!$B$50:$B$69,0),FALSE),0),0)</f>
        <v>0</v>
      </c>
      <c r="AQ261" s="58">
        <f>IFERROR(IF($V261="BRAND.com",HLOOKUP($X261&amp;$Z261,'NWC_FC_NON-NOOS'!$C$4:$Q$23,MATCH(W261,'NWC_FC_NON-NOOS'!$B$4:$B$23,0),FALSE),0),0)</f>
        <v>0</v>
      </c>
      <c r="AR261" s="57">
        <f>IFERROR(IF($V261="BRAND.com",HLOOKUP($X261&amp;$Z261,'NWC_FC_NON-NOOS'!$T$4:$AH$23,MATCH(W261,'NWC_FC_NON-NOOS'!$S$4:$S$23,0),FALSE),0),0)</f>
        <v>0</v>
      </c>
      <c r="AS261" s="57">
        <f>IFERROR(IF($V261="BRAND.com",HLOOKUP($X261&amp;$Z261,'NWC_FC_NON-NOOS'!$C$50:$U$69,MATCH(W261,'NWC_FC_NON-NOOS'!$B$50:$B$69,0),FALSE),0),0)</f>
        <v>0</v>
      </c>
      <c r="AT261" s="57">
        <f t="shared" si="124"/>
        <v>0</v>
      </c>
      <c r="AU261" s="57">
        <f t="shared" si="125"/>
        <v>0</v>
      </c>
      <c r="AV261" s="58">
        <f>IFERROR(IF($V261="BRAND.com",HLOOKUP($X261&amp;$Z261,PLANNING_FC!$BB$27:$BP$46,MATCH($W261,PLANNING_FC!$BA$27:$BA$46,0),FALSE),0),0)</f>
        <v>0</v>
      </c>
      <c r="AW261" s="58">
        <f>IFERROR(IF($V261="BRAND.com",HLOOKUP($X261&amp;$Z261,PLANNING_FC!$BB$4:$BP$23,MATCH($W261,PLANNING_FC!$BA$4:$BA$23,0),FALSE),0),0)</f>
        <v>0</v>
      </c>
      <c r="AX261" s="58">
        <f>IFERROR(IF($V261="BRAND.com",HLOOKUP($X261&amp;$Z261,PLANNING_FC!$T$27:$AH$46,MATCH($W261,PLANNING_FC!$B$27:$B$46,0),FALSE),0),0)</f>
        <v>0</v>
      </c>
      <c r="AY261" s="58">
        <f>IFERROR(IF($V261="BRAND.com",HLOOKUP($X261&amp;$Z261,PLANNING_FC!$T$4:$AH$23,MATCH($W261,PLANNING_FC!$B$4:$B$23,0),FALSE),0),0)</f>
        <v>0</v>
      </c>
      <c r="AZ261" s="58">
        <f>IFERROR(IF($V261="BRAND.com",HLOOKUP($X261&amp;$Z261,PLANNING_FC!$DA$27:$DO$46,MATCH($W261,PLANNING_FC!$CZ$27:$CZ$46,0),FALSE),0),0)</f>
        <v>0</v>
      </c>
      <c r="BA261" s="58">
        <f>IFERROR(IF($V261="BRAND.com",HLOOKUP($X261&amp;$Z261,PLANNING_FC!$DA$4:$DO$23,MATCH($W261,PLANNING_FC!$CZ$4:$CZ$23,0),FALSE),0),0)</f>
        <v>0</v>
      </c>
      <c r="BB261" s="883" t="str">
        <f>IF(V261="BRAND.com",IFERROR(HLOOKUP(X261&amp;Z261,PLANNING_FC!$AK$4:$AY$23,MATCH(W261,PLANNING_FC!$AJ$4:$AJ$23,0),FALSE)*1000,""),"")</f>
        <v/>
      </c>
      <c r="BC261" s="883" t="str">
        <f>IF(V261="BRAND.com",IFERROR(HLOOKUP(X261&amp;Z261,PLANNING_FC!$AK$27:$AY$46,MATCH(W261,PLANNING_FC!$AJ$27:$AJ$46,0),FALSE)*1000,""),"")</f>
        <v/>
      </c>
    </row>
    <row r="262" spans="1:55" x14ac:dyDescent="0.25">
      <c r="A262" s="509"/>
      <c r="B262" s="509"/>
      <c r="C262" s="509"/>
      <c r="D262" s="509"/>
      <c r="E262" s="509"/>
      <c r="F262" s="509"/>
      <c r="G262" s="509"/>
      <c r="H262" s="509"/>
      <c r="I262" s="512"/>
      <c r="J262" s="513"/>
      <c r="K262" s="879"/>
      <c r="L262" s="515"/>
      <c r="M262" s="516"/>
      <c r="N262" s="56">
        <f t="shared" si="106"/>
        <v>0</v>
      </c>
      <c r="O262" s="57">
        <f t="shared" si="107"/>
        <v>0</v>
      </c>
      <c r="P262" s="57">
        <f ca="1">IFERROR(IF(ISBLANK(H262),SUMIFS($AC:$AC,$V:$V,V262,$W:$W,W262,$X:$X,X262,$Y:$Y,Y262)*J262/(1-J262)*VLOOKUP(_xlfn.CONCAT(C262,D262,E262,TIME!$M$12,Z262),HIS_SALES!$B$2:$W$4859,20,FALSE),AC262*J262/(1-J262)),0)</f>
        <v>0</v>
      </c>
      <c r="Q262" s="541" t="str">
        <f t="shared" si="108"/>
        <v/>
      </c>
      <c r="R262" s="346" t="str">
        <f t="shared" si="109"/>
        <v>00000</v>
      </c>
      <c r="S262" s="344">
        <f t="shared" si="110"/>
        <v>0</v>
      </c>
      <c r="T262" s="345" t="str">
        <f t="shared" si="123"/>
        <v>000</v>
      </c>
      <c r="U262" s="345">
        <f t="shared" si="111"/>
        <v>0</v>
      </c>
      <c r="V262" s="345">
        <f t="shared" si="112"/>
        <v>0</v>
      </c>
      <c r="W262" s="345">
        <f t="shared" si="113"/>
        <v>0</v>
      </c>
      <c r="X262" s="345">
        <f t="shared" si="114"/>
        <v>0</v>
      </c>
      <c r="Y262" s="345">
        <f t="shared" si="115"/>
        <v>0</v>
      </c>
      <c r="Z262" s="345">
        <f>IF(Q262&lt;&gt;"",VLOOKUP(Y262,TIME!$R$21:$V$24,MATCH(FC_DATA!Q262,TIME!$R$20:$V$20,0),FALSE),H262)</f>
        <v>0</v>
      </c>
      <c r="AA262" s="345" t="str">
        <f>IFERROR(VLOOKUP(X262&amp;Z262,TIME!$A$12:$D$71,4,FALSE),"")</f>
        <v/>
      </c>
      <c r="AB262" s="592">
        <f t="shared" ca="1" si="116"/>
        <v>0</v>
      </c>
      <c r="AC262" s="593" t="e">
        <f ca="1">IF(ISBLANK(H262)=FALSE,IF(D262="BRAND.com",I262,IF(ISNA(VLOOKUP(_xlfn.CONCAT(X262,Z262),TIME!$M$40:$M$42,1,FALSE)),I262,VLOOKUP(_xlfn.CONCAT(D262,G262,H262),M_BUSAREA_FC!$AF$5:$AJ$10,5,FALSE)*HLOOKUP(_xlfn.CONCAT(F262,H262),ST_OVERVIEW!$G$99:$I$130,MATCH(_xlfn.CONCAT(D262,E262),ST_OVERVIEW!$F$99:$F$130,0),FALSE))),IF(D262="BRAND.com",VLOOKUP(_xlfn.CONCAT(C262,D262,E262,TIME!$F$1,Z262),HIS_SALES!$B$2:$V$4859,19,FALSE)*I262,VLOOKUP(_xlfn.CONCAT(D262,F262,G262),Q_BUSAREA_FC!$AE$5:$AI$12,5,FALSE)*HLOOKUP(_xlfn.CONCAT(FC_DATA!F262,FC_DATA!G262),LT_OVERVIEW!$I$99:$M$130,MATCH(_xlfn.CONCAT(D262,FC_DATA!E262),LT_OVERVIEW!$H$99:$H$130,0),FALSE)*IFERROR(VLOOKUP(_xlfn.CONCAT(C262,D262,E262,TIME!$F$1,Z262),HIS_SALES!$B$2:$V$4859,19,FALSE),0)))</f>
        <v>#N/A</v>
      </c>
      <c r="AD262" s="341">
        <f t="shared" ca="1" si="117"/>
        <v>0</v>
      </c>
      <c r="AE262" s="363" t="str">
        <f t="shared" si="118"/>
        <v/>
      </c>
      <c r="AF262" s="342" t="str">
        <f t="shared" si="119"/>
        <v/>
      </c>
      <c r="AG262" s="411" t="e">
        <f ca="1">VLOOKUP(_xlfn.CONCAT(U262,V262,W262,VLOOKUP(X262&amp;Y262,TIME!$L$27:$O$34,4,FALSE),Y262),HIS_SALES!$A$2:$R$5093,18,FALSE)</f>
        <v>#N/A</v>
      </c>
      <c r="AH262" s="412" t="e">
        <f ca="1">IFERROR(IF(AND(V262=V261,W262=W261),0.5*(AB262+AB261)*AG262,(VLOOKUP(_xlfn.CONCAT(U262,V262,W262,X262,VLOOKUP(Z262,TIME!$S$28:$T$39,2,FALSE)),FC_DATA!$R$2:$AB$5000,MATCH("GS_I_M",FC_DATA!$R$1:$AB$1,0),FALSE)+FC_DATA!AB262)*0.5*FC_DATA!AG262),NA())</f>
        <v>#N/A</v>
      </c>
      <c r="AI262" s="491" t="e">
        <f ca="1">IF(V262="PARTNER.com",AH262,IF(AND(V262=V261,W262=W261),(1-AVERAGE(AD261,AD262))*AH262,(1-AVERAGE(AD262,VLOOKUP(_xlfn.CONCAT(U262,V262,W262,X262,M_BRAND_FC!$F$6),FC_DATA!$R$2:$AD$5000,MATCH("DISCOUNT_%_M",FC_DATA!$R$1:$AD$1,0),FALSE)))*AH262))</f>
        <v>#N/A</v>
      </c>
      <c r="AJ262" s="412" t="str">
        <f t="shared" ca="1" si="120"/>
        <v/>
      </c>
      <c r="AK262" s="413" t="str">
        <f>IFERROR(AE262/(Q_BRAND_FC!$T$24+1),"")</f>
        <v/>
      </c>
      <c r="AL262" s="88" t="str">
        <f t="shared" ca="1" si="121"/>
        <v/>
      </c>
      <c r="AM262" s="414" t="str">
        <f t="shared" ca="1" si="122"/>
        <v/>
      </c>
      <c r="AN262" s="58">
        <f>IFERROR(IF($V262="BRAND.com",HLOOKUP($X262&amp;$Z262,NWC_FC_NOOS!$C$4:$Q$23,MATCH(W262,NWC_FC_NOOS!$B$4:$B$23,0),FALSE),0),0)</f>
        <v>0</v>
      </c>
      <c r="AO262" s="57">
        <f>IFERROR(IF($V262="BRAND.com",HLOOKUP($X262&amp;$Z262,NWC_FC_NOOS!$T$4:$AH$23,MATCH(W262,NWC_FC_NOOS!$S$4:$S$23,0),FALSE),0),0)</f>
        <v>0</v>
      </c>
      <c r="AP262" s="57">
        <f>IFERROR(IF($V262="BRAND.com",HLOOKUP($X262&amp;$Z262,NWC_FC_NOOS!$C$50:$U$69,MATCH(W262,NWC_FC_NOOS!$B$50:$B$69,0),FALSE),0),0)</f>
        <v>0</v>
      </c>
      <c r="AQ262" s="58">
        <f>IFERROR(IF($V262="BRAND.com",HLOOKUP($X262&amp;$Z262,'NWC_FC_NON-NOOS'!$C$4:$Q$23,MATCH(W262,'NWC_FC_NON-NOOS'!$B$4:$B$23,0),FALSE),0),0)</f>
        <v>0</v>
      </c>
      <c r="AR262" s="57">
        <f>IFERROR(IF($V262="BRAND.com",HLOOKUP($X262&amp;$Z262,'NWC_FC_NON-NOOS'!$T$4:$AH$23,MATCH(W262,'NWC_FC_NON-NOOS'!$S$4:$S$23,0),FALSE),0),0)</f>
        <v>0</v>
      </c>
      <c r="AS262" s="57">
        <f>IFERROR(IF($V262="BRAND.com",HLOOKUP($X262&amp;$Z262,'NWC_FC_NON-NOOS'!$C$50:$U$69,MATCH(W262,'NWC_FC_NON-NOOS'!$B$50:$B$69,0),FALSE),0),0)</f>
        <v>0</v>
      </c>
      <c r="AT262" s="57">
        <f t="shared" si="124"/>
        <v>0</v>
      </c>
      <c r="AU262" s="57">
        <f t="shared" si="125"/>
        <v>0</v>
      </c>
      <c r="AV262" s="58">
        <f>IFERROR(IF($V262="BRAND.com",HLOOKUP($X262&amp;$Z262,PLANNING_FC!$BB$27:$BP$46,MATCH($W262,PLANNING_FC!$BA$27:$BA$46,0),FALSE),0),0)</f>
        <v>0</v>
      </c>
      <c r="AW262" s="58">
        <f>IFERROR(IF($V262="BRAND.com",HLOOKUP($X262&amp;$Z262,PLANNING_FC!$BB$4:$BP$23,MATCH($W262,PLANNING_FC!$BA$4:$BA$23,0),FALSE),0),0)</f>
        <v>0</v>
      </c>
      <c r="AX262" s="58">
        <f>IFERROR(IF($V262="BRAND.com",HLOOKUP($X262&amp;$Z262,PLANNING_FC!$T$27:$AH$46,MATCH($W262,PLANNING_FC!$B$27:$B$46,0),FALSE),0),0)</f>
        <v>0</v>
      </c>
      <c r="AY262" s="58">
        <f>IFERROR(IF($V262="BRAND.com",HLOOKUP($X262&amp;$Z262,PLANNING_FC!$T$4:$AH$23,MATCH($W262,PLANNING_FC!$B$4:$B$23,0),FALSE),0),0)</f>
        <v>0</v>
      </c>
      <c r="AZ262" s="58">
        <f>IFERROR(IF($V262="BRAND.com",HLOOKUP($X262&amp;$Z262,PLANNING_FC!$DA$27:$DO$46,MATCH($W262,PLANNING_FC!$CZ$27:$CZ$46,0),FALSE),0),0)</f>
        <v>0</v>
      </c>
      <c r="BA262" s="58">
        <f>IFERROR(IF($V262="BRAND.com",HLOOKUP($X262&amp;$Z262,PLANNING_FC!$DA$4:$DO$23,MATCH($W262,PLANNING_FC!$CZ$4:$CZ$23,0),FALSE),0),0)</f>
        <v>0</v>
      </c>
      <c r="BB262" s="883" t="str">
        <f>IF(V262="BRAND.com",IFERROR(HLOOKUP(X262&amp;Z262,PLANNING_FC!$AK$4:$AY$23,MATCH(W262,PLANNING_FC!$AJ$4:$AJ$23,0),FALSE)*1000,""),"")</f>
        <v/>
      </c>
      <c r="BC262" s="883" t="str">
        <f>IF(V262="BRAND.com",IFERROR(HLOOKUP(X262&amp;Z262,PLANNING_FC!$AK$27:$AY$46,MATCH(W262,PLANNING_FC!$AJ$27:$AJ$46,0),FALSE)*1000,""),"")</f>
        <v/>
      </c>
    </row>
    <row r="263" spans="1:55" x14ac:dyDescent="0.25">
      <c r="A263" s="509"/>
      <c r="B263" s="509"/>
      <c r="C263" s="509"/>
      <c r="D263" s="509"/>
      <c r="E263" s="509"/>
      <c r="F263" s="509"/>
      <c r="G263" s="509"/>
      <c r="H263" s="509"/>
      <c r="I263" s="512"/>
      <c r="J263" s="513"/>
      <c r="K263" s="879"/>
      <c r="L263" s="515"/>
      <c r="M263" s="516"/>
      <c r="N263" s="56">
        <f t="shared" si="106"/>
        <v>0</v>
      </c>
      <c r="O263" s="57">
        <f t="shared" si="107"/>
        <v>0</v>
      </c>
      <c r="P263" s="57">
        <f ca="1">IFERROR(IF(ISBLANK(H263),SUMIFS($AC:$AC,$V:$V,V263,$W:$W,W263,$X:$X,X263,$Y:$Y,Y263)*J263/(1-J263)*VLOOKUP(_xlfn.CONCAT(C263,D263,E263,TIME!$M$12,Z263),HIS_SALES!$B$2:$W$4859,20,FALSE),AC263*J263/(1-J263)),0)</f>
        <v>0</v>
      </c>
      <c r="Q263" s="541" t="str">
        <f t="shared" si="108"/>
        <v/>
      </c>
      <c r="R263" s="346" t="str">
        <f t="shared" si="109"/>
        <v>00000</v>
      </c>
      <c r="S263" s="344">
        <f t="shared" si="110"/>
        <v>0</v>
      </c>
      <c r="T263" s="345" t="str">
        <f t="shared" si="123"/>
        <v>000</v>
      </c>
      <c r="U263" s="345">
        <f t="shared" si="111"/>
        <v>0</v>
      </c>
      <c r="V263" s="345">
        <f t="shared" si="112"/>
        <v>0</v>
      </c>
      <c r="W263" s="345">
        <f t="shared" si="113"/>
        <v>0</v>
      </c>
      <c r="X263" s="345">
        <f t="shared" si="114"/>
        <v>0</v>
      </c>
      <c r="Y263" s="345">
        <f t="shared" si="115"/>
        <v>0</v>
      </c>
      <c r="Z263" s="345">
        <f>IF(Q263&lt;&gt;"",VLOOKUP(Y263,TIME!$R$21:$V$24,MATCH(FC_DATA!Q263,TIME!$R$20:$V$20,0),FALSE),H263)</f>
        <v>0</v>
      </c>
      <c r="AA263" s="345" t="str">
        <f>IFERROR(VLOOKUP(X263&amp;Z263,TIME!$A$12:$D$71,4,FALSE),"")</f>
        <v/>
      </c>
      <c r="AB263" s="592">
        <f t="shared" ca="1" si="116"/>
        <v>0</v>
      </c>
      <c r="AC263" s="593" t="e">
        <f ca="1">IF(ISBLANK(H263)=FALSE,IF(D263="BRAND.com",I263,IF(ISNA(VLOOKUP(_xlfn.CONCAT(X263,Z263),TIME!$M$40:$M$42,1,FALSE)),I263,VLOOKUP(_xlfn.CONCAT(D263,G263,H263),M_BUSAREA_FC!$AF$5:$AJ$10,5,FALSE)*HLOOKUP(_xlfn.CONCAT(F263,H263),ST_OVERVIEW!$G$99:$I$130,MATCH(_xlfn.CONCAT(D263,E263),ST_OVERVIEW!$F$99:$F$130,0),FALSE))),IF(D263="BRAND.com",VLOOKUP(_xlfn.CONCAT(C263,D263,E263,TIME!$F$1,Z263),HIS_SALES!$B$2:$V$4859,19,FALSE)*I263,VLOOKUP(_xlfn.CONCAT(D263,F263,G263),Q_BUSAREA_FC!$AE$5:$AI$12,5,FALSE)*HLOOKUP(_xlfn.CONCAT(FC_DATA!F263,FC_DATA!G263),LT_OVERVIEW!$I$99:$M$130,MATCH(_xlfn.CONCAT(D263,FC_DATA!E263),LT_OVERVIEW!$H$99:$H$130,0),FALSE)*IFERROR(VLOOKUP(_xlfn.CONCAT(C263,D263,E263,TIME!$F$1,Z263),HIS_SALES!$B$2:$V$4859,19,FALSE),0)))</f>
        <v>#N/A</v>
      </c>
      <c r="AD263" s="341">
        <f t="shared" ca="1" si="117"/>
        <v>0</v>
      </c>
      <c r="AE263" s="363" t="str">
        <f t="shared" si="118"/>
        <v/>
      </c>
      <c r="AF263" s="342" t="str">
        <f t="shared" si="119"/>
        <v/>
      </c>
      <c r="AG263" s="411" t="e">
        <f ca="1">VLOOKUP(_xlfn.CONCAT(U263,V263,W263,VLOOKUP(X263&amp;Y263,TIME!$L$27:$O$34,4,FALSE),Y263),HIS_SALES!$A$2:$R$5093,18,FALSE)</f>
        <v>#N/A</v>
      </c>
      <c r="AH263" s="412" t="e">
        <f ca="1">IFERROR(IF(AND(V263=V262,W263=W262),0.5*(AB263+AB262)*AG263,(VLOOKUP(_xlfn.CONCAT(U263,V263,W263,X263,VLOOKUP(Z263,TIME!$S$28:$T$39,2,FALSE)),FC_DATA!$R$2:$AB$5000,MATCH("GS_I_M",FC_DATA!$R$1:$AB$1,0),FALSE)+FC_DATA!AB263)*0.5*FC_DATA!AG263),NA())</f>
        <v>#N/A</v>
      </c>
      <c r="AI263" s="491" t="e">
        <f ca="1">IF(V263="PARTNER.com",AH263,IF(AND(V263=V262,W263=W262),(1-AVERAGE(AD262,AD263))*AH263,(1-AVERAGE(AD263,VLOOKUP(_xlfn.CONCAT(U263,V263,W263,X263,M_BRAND_FC!$F$6),FC_DATA!$R$2:$AD$5000,MATCH("DISCOUNT_%_M",FC_DATA!$R$1:$AD$1,0),FALSE)))*AH263))</f>
        <v>#N/A</v>
      </c>
      <c r="AJ263" s="412" t="str">
        <f t="shared" ca="1" si="120"/>
        <v/>
      </c>
      <c r="AK263" s="413" t="str">
        <f>IFERROR(AE263/(Q_BRAND_FC!$T$24+1),"")</f>
        <v/>
      </c>
      <c r="AL263" s="88" t="str">
        <f t="shared" ca="1" si="121"/>
        <v/>
      </c>
      <c r="AM263" s="414" t="str">
        <f t="shared" ca="1" si="122"/>
        <v/>
      </c>
      <c r="AN263" s="58">
        <f>IFERROR(IF($V263="BRAND.com",HLOOKUP($X263&amp;$Z263,NWC_FC_NOOS!$C$4:$Q$23,MATCH(W263,NWC_FC_NOOS!$B$4:$B$23,0),FALSE),0),0)</f>
        <v>0</v>
      </c>
      <c r="AO263" s="57">
        <f>IFERROR(IF($V263="BRAND.com",HLOOKUP($X263&amp;$Z263,NWC_FC_NOOS!$T$4:$AH$23,MATCH(W263,NWC_FC_NOOS!$S$4:$S$23,0),FALSE),0),0)</f>
        <v>0</v>
      </c>
      <c r="AP263" s="57">
        <f>IFERROR(IF($V263="BRAND.com",HLOOKUP($X263&amp;$Z263,NWC_FC_NOOS!$C$50:$U$69,MATCH(W263,NWC_FC_NOOS!$B$50:$B$69,0),FALSE),0),0)</f>
        <v>0</v>
      </c>
      <c r="AQ263" s="58">
        <f>IFERROR(IF($V263="BRAND.com",HLOOKUP($X263&amp;$Z263,'NWC_FC_NON-NOOS'!$C$4:$Q$23,MATCH(W263,'NWC_FC_NON-NOOS'!$B$4:$B$23,0),FALSE),0),0)</f>
        <v>0</v>
      </c>
      <c r="AR263" s="57">
        <f>IFERROR(IF($V263="BRAND.com",HLOOKUP($X263&amp;$Z263,'NWC_FC_NON-NOOS'!$T$4:$AH$23,MATCH(W263,'NWC_FC_NON-NOOS'!$S$4:$S$23,0),FALSE),0),0)</f>
        <v>0</v>
      </c>
      <c r="AS263" s="57">
        <f>IFERROR(IF($V263="BRAND.com",HLOOKUP($X263&amp;$Z263,'NWC_FC_NON-NOOS'!$C$50:$U$69,MATCH(W263,'NWC_FC_NON-NOOS'!$B$50:$B$69,0),FALSE),0),0)</f>
        <v>0</v>
      </c>
      <c r="AT263" s="57">
        <f t="shared" si="124"/>
        <v>0</v>
      </c>
      <c r="AU263" s="57">
        <f t="shared" si="125"/>
        <v>0</v>
      </c>
      <c r="AV263" s="58">
        <f>IFERROR(IF($V263="BRAND.com",HLOOKUP($X263&amp;$Z263,PLANNING_FC!$BB$27:$BP$46,MATCH($W263,PLANNING_FC!$BA$27:$BA$46,0),FALSE),0),0)</f>
        <v>0</v>
      </c>
      <c r="AW263" s="58">
        <f>IFERROR(IF($V263="BRAND.com",HLOOKUP($X263&amp;$Z263,PLANNING_FC!$BB$4:$BP$23,MATCH($W263,PLANNING_FC!$BA$4:$BA$23,0),FALSE),0),0)</f>
        <v>0</v>
      </c>
      <c r="AX263" s="58">
        <f>IFERROR(IF($V263="BRAND.com",HLOOKUP($X263&amp;$Z263,PLANNING_FC!$T$27:$AH$46,MATCH($W263,PLANNING_FC!$B$27:$B$46,0),FALSE),0),0)</f>
        <v>0</v>
      </c>
      <c r="AY263" s="58">
        <f>IFERROR(IF($V263="BRAND.com",HLOOKUP($X263&amp;$Z263,PLANNING_FC!$T$4:$AH$23,MATCH($W263,PLANNING_FC!$B$4:$B$23,0),FALSE),0),0)</f>
        <v>0</v>
      </c>
      <c r="AZ263" s="58">
        <f>IFERROR(IF($V263="BRAND.com",HLOOKUP($X263&amp;$Z263,PLANNING_FC!$DA$27:$DO$46,MATCH($W263,PLANNING_FC!$CZ$27:$CZ$46,0),FALSE),0),0)</f>
        <v>0</v>
      </c>
      <c r="BA263" s="58">
        <f>IFERROR(IF($V263="BRAND.com",HLOOKUP($X263&amp;$Z263,PLANNING_FC!$DA$4:$DO$23,MATCH($W263,PLANNING_FC!$CZ$4:$CZ$23,0),FALSE),0),0)</f>
        <v>0</v>
      </c>
      <c r="BB263" s="883" t="str">
        <f>IF(V263="BRAND.com",IFERROR(HLOOKUP(X263&amp;Z263,PLANNING_FC!$AK$4:$AY$23,MATCH(W263,PLANNING_FC!$AJ$4:$AJ$23,0),FALSE)*1000,""),"")</f>
        <v/>
      </c>
      <c r="BC263" s="883" t="str">
        <f>IF(V263="BRAND.com",IFERROR(HLOOKUP(X263&amp;Z263,PLANNING_FC!$AK$27:$AY$46,MATCH(W263,PLANNING_FC!$AJ$27:$AJ$46,0),FALSE)*1000,""),"")</f>
        <v/>
      </c>
    </row>
    <row r="264" spans="1:55" x14ac:dyDescent="0.25">
      <c r="A264" s="509"/>
      <c r="B264" s="509"/>
      <c r="C264" s="509"/>
      <c r="D264" s="509"/>
      <c r="E264" s="509"/>
      <c r="F264" s="509"/>
      <c r="G264" s="509"/>
      <c r="H264" s="509"/>
      <c r="I264" s="512"/>
      <c r="J264" s="513"/>
      <c r="K264" s="879"/>
      <c r="L264" s="515"/>
      <c r="M264" s="516"/>
      <c r="N264" s="56">
        <f t="shared" si="106"/>
        <v>0</v>
      </c>
      <c r="O264" s="57">
        <f t="shared" si="107"/>
        <v>0</v>
      </c>
      <c r="P264" s="57">
        <f ca="1">IFERROR(IF(ISBLANK(H264),SUMIFS($AC:$AC,$V:$V,V264,$W:$W,W264,$X:$X,X264,$Y:$Y,Y264)*J264/(1-J264)*VLOOKUP(_xlfn.CONCAT(C264,D264,E264,TIME!$M$12,Z264),HIS_SALES!$B$2:$W$4859,20,FALSE),AC264*J264/(1-J264)),0)</f>
        <v>0</v>
      </c>
      <c r="Q264" s="541" t="str">
        <f t="shared" si="108"/>
        <v/>
      </c>
      <c r="R264" s="346" t="str">
        <f t="shared" si="109"/>
        <v>00000</v>
      </c>
      <c r="S264" s="344">
        <f t="shared" si="110"/>
        <v>0</v>
      </c>
      <c r="T264" s="345" t="str">
        <f t="shared" si="123"/>
        <v>000</v>
      </c>
      <c r="U264" s="345">
        <f t="shared" si="111"/>
        <v>0</v>
      </c>
      <c r="V264" s="345">
        <f t="shared" si="112"/>
        <v>0</v>
      </c>
      <c r="W264" s="345">
        <f t="shared" si="113"/>
        <v>0</v>
      </c>
      <c r="X264" s="345">
        <f t="shared" si="114"/>
        <v>0</v>
      </c>
      <c r="Y264" s="345">
        <f t="shared" si="115"/>
        <v>0</v>
      </c>
      <c r="Z264" s="345">
        <f>IF(Q264&lt;&gt;"",VLOOKUP(Y264,TIME!$R$21:$V$24,MATCH(FC_DATA!Q264,TIME!$R$20:$V$20,0),FALSE),H264)</f>
        <v>0</v>
      </c>
      <c r="AA264" s="345" t="str">
        <f>IFERROR(VLOOKUP(X264&amp;Z264,TIME!$A$12:$D$71,4,FALSE),"")</f>
        <v/>
      </c>
      <c r="AB264" s="592">
        <f t="shared" ca="1" si="116"/>
        <v>0</v>
      </c>
      <c r="AC264" s="593" t="e">
        <f ca="1">IF(ISBLANK(H264)=FALSE,IF(D264="BRAND.com",I264,IF(ISNA(VLOOKUP(_xlfn.CONCAT(X264,Z264),TIME!$M$40:$M$42,1,FALSE)),I264,VLOOKUP(_xlfn.CONCAT(D264,G264,H264),M_BUSAREA_FC!$AF$5:$AJ$10,5,FALSE)*HLOOKUP(_xlfn.CONCAT(F264,H264),ST_OVERVIEW!$G$99:$I$130,MATCH(_xlfn.CONCAT(D264,E264),ST_OVERVIEW!$F$99:$F$130,0),FALSE))),IF(D264="BRAND.com",VLOOKUP(_xlfn.CONCAT(C264,D264,E264,TIME!$F$1,Z264),HIS_SALES!$B$2:$V$4859,19,FALSE)*I264,VLOOKUP(_xlfn.CONCAT(D264,F264,G264),Q_BUSAREA_FC!$AE$5:$AI$12,5,FALSE)*HLOOKUP(_xlfn.CONCAT(FC_DATA!F264,FC_DATA!G264),LT_OVERVIEW!$I$99:$M$130,MATCH(_xlfn.CONCAT(D264,FC_DATA!E264),LT_OVERVIEW!$H$99:$H$130,0),FALSE)*IFERROR(VLOOKUP(_xlfn.CONCAT(C264,D264,E264,TIME!$F$1,Z264),HIS_SALES!$B$2:$V$4859,19,FALSE),0)))</f>
        <v>#N/A</v>
      </c>
      <c r="AD264" s="341">
        <f t="shared" ca="1" si="117"/>
        <v>0</v>
      </c>
      <c r="AE264" s="363" t="str">
        <f t="shared" si="118"/>
        <v/>
      </c>
      <c r="AF264" s="342" t="str">
        <f t="shared" si="119"/>
        <v/>
      </c>
      <c r="AG264" s="411" t="e">
        <f ca="1">VLOOKUP(_xlfn.CONCAT(U264,V264,W264,VLOOKUP(X264&amp;Y264,TIME!$L$27:$O$34,4,FALSE),Y264),HIS_SALES!$A$2:$R$5093,18,FALSE)</f>
        <v>#N/A</v>
      </c>
      <c r="AH264" s="412" t="e">
        <f ca="1">IFERROR(IF(AND(V264=V263,W264=W263),0.5*(AB264+AB263)*AG264,(VLOOKUP(_xlfn.CONCAT(U264,V264,W264,X264,VLOOKUP(Z264,TIME!$S$28:$T$39,2,FALSE)),FC_DATA!$R$2:$AB$5000,MATCH("GS_I_M",FC_DATA!$R$1:$AB$1,0),FALSE)+FC_DATA!AB264)*0.5*FC_DATA!AG264),NA())</f>
        <v>#N/A</v>
      </c>
      <c r="AI264" s="491" t="e">
        <f ca="1">IF(V264="PARTNER.com",AH264,IF(AND(V264=V263,W264=W263),(1-AVERAGE(AD263,AD264))*AH264,(1-AVERAGE(AD264,VLOOKUP(_xlfn.CONCAT(U264,V264,W264,X264,M_BRAND_FC!$F$6),FC_DATA!$R$2:$AD$5000,MATCH("DISCOUNT_%_M",FC_DATA!$R$1:$AD$1,0),FALSE)))*AH264))</f>
        <v>#N/A</v>
      </c>
      <c r="AJ264" s="412" t="str">
        <f t="shared" ca="1" si="120"/>
        <v/>
      </c>
      <c r="AK264" s="413" t="str">
        <f>IFERROR(AE264/(Q_BRAND_FC!$T$24+1),"")</f>
        <v/>
      </c>
      <c r="AL264" s="88" t="str">
        <f t="shared" ca="1" si="121"/>
        <v/>
      </c>
      <c r="AM264" s="414" t="str">
        <f t="shared" ca="1" si="122"/>
        <v/>
      </c>
      <c r="AN264" s="58">
        <f>IFERROR(IF($V264="BRAND.com",HLOOKUP($X264&amp;$Z264,NWC_FC_NOOS!$C$4:$Q$23,MATCH(W264,NWC_FC_NOOS!$B$4:$B$23,0),FALSE),0),0)</f>
        <v>0</v>
      </c>
      <c r="AO264" s="57">
        <f>IFERROR(IF($V264="BRAND.com",HLOOKUP($X264&amp;$Z264,NWC_FC_NOOS!$T$4:$AH$23,MATCH(W264,NWC_FC_NOOS!$S$4:$S$23,0),FALSE),0),0)</f>
        <v>0</v>
      </c>
      <c r="AP264" s="57">
        <f>IFERROR(IF($V264="BRAND.com",HLOOKUP($X264&amp;$Z264,NWC_FC_NOOS!$C$50:$U$69,MATCH(W264,NWC_FC_NOOS!$B$50:$B$69,0),FALSE),0),0)</f>
        <v>0</v>
      </c>
      <c r="AQ264" s="58">
        <f>IFERROR(IF($V264="BRAND.com",HLOOKUP($X264&amp;$Z264,'NWC_FC_NON-NOOS'!$C$4:$Q$23,MATCH(W264,'NWC_FC_NON-NOOS'!$B$4:$B$23,0),FALSE),0),0)</f>
        <v>0</v>
      </c>
      <c r="AR264" s="57">
        <f>IFERROR(IF($V264="BRAND.com",HLOOKUP($X264&amp;$Z264,'NWC_FC_NON-NOOS'!$T$4:$AH$23,MATCH(W264,'NWC_FC_NON-NOOS'!$S$4:$S$23,0),FALSE),0),0)</f>
        <v>0</v>
      </c>
      <c r="AS264" s="57">
        <f>IFERROR(IF($V264="BRAND.com",HLOOKUP($X264&amp;$Z264,'NWC_FC_NON-NOOS'!$C$50:$U$69,MATCH(W264,'NWC_FC_NON-NOOS'!$B$50:$B$69,0),FALSE),0),0)</f>
        <v>0</v>
      </c>
      <c r="AT264" s="57">
        <f t="shared" si="124"/>
        <v>0</v>
      </c>
      <c r="AU264" s="57">
        <f t="shared" si="125"/>
        <v>0</v>
      </c>
      <c r="AV264" s="58">
        <f>IFERROR(IF($V264="BRAND.com",HLOOKUP($X264&amp;$Z264,PLANNING_FC!$BB$27:$BP$46,MATCH($W264,PLANNING_FC!$BA$27:$BA$46,0),FALSE),0),0)</f>
        <v>0</v>
      </c>
      <c r="AW264" s="58">
        <f>IFERROR(IF($V264="BRAND.com",HLOOKUP($X264&amp;$Z264,PLANNING_FC!$BB$4:$BP$23,MATCH($W264,PLANNING_FC!$BA$4:$BA$23,0),FALSE),0),0)</f>
        <v>0</v>
      </c>
      <c r="AX264" s="58">
        <f>IFERROR(IF($V264="BRAND.com",HLOOKUP($X264&amp;$Z264,PLANNING_FC!$T$27:$AH$46,MATCH($W264,PLANNING_FC!$B$27:$B$46,0),FALSE),0),0)</f>
        <v>0</v>
      </c>
      <c r="AY264" s="58">
        <f>IFERROR(IF($V264="BRAND.com",HLOOKUP($X264&amp;$Z264,PLANNING_FC!$T$4:$AH$23,MATCH($W264,PLANNING_FC!$B$4:$B$23,0),FALSE),0),0)</f>
        <v>0</v>
      </c>
      <c r="AZ264" s="58">
        <f>IFERROR(IF($V264="BRAND.com",HLOOKUP($X264&amp;$Z264,PLANNING_FC!$DA$27:$DO$46,MATCH($W264,PLANNING_FC!$CZ$27:$CZ$46,0),FALSE),0),0)</f>
        <v>0</v>
      </c>
      <c r="BA264" s="58">
        <f>IFERROR(IF($V264="BRAND.com",HLOOKUP($X264&amp;$Z264,PLANNING_FC!$DA$4:$DO$23,MATCH($W264,PLANNING_FC!$CZ$4:$CZ$23,0),FALSE),0),0)</f>
        <v>0</v>
      </c>
      <c r="BB264" s="883" t="str">
        <f>IF(V264="BRAND.com",IFERROR(HLOOKUP(X264&amp;Z264,PLANNING_FC!$AK$4:$AY$23,MATCH(W264,PLANNING_FC!$AJ$4:$AJ$23,0),FALSE)*1000,""),"")</f>
        <v/>
      </c>
      <c r="BC264" s="883" t="str">
        <f>IF(V264="BRAND.com",IFERROR(HLOOKUP(X264&amp;Z264,PLANNING_FC!$AK$27:$AY$46,MATCH(W264,PLANNING_FC!$AJ$27:$AJ$46,0),FALSE)*1000,""),"")</f>
        <v/>
      </c>
    </row>
    <row r="265" spans="1:55" x14ac:dyDescent="0.25">
      <c r="A265" s="509"/>
      <c r="B265" s="509"/>
      <c r="C265" s="509"/>
      <c r="D265" s="509"/>
      <c r="E265" s="509"/>
      <c r="F265" s="509"/>
      <c r="G265" s="509"/>
      <c r="H265" s="509"/>
      <c r="I265" s="512"/>
      <c r="J265" s="513"/>
      <c r="K265" s="879"/>
      <c r="L265" s="515"/>
      <c r="M265" s="516"/>
      <c r="N265" s="56">
        <f t="shared" si="106"/>
        <v>0</v>
      </c>
      <c r="O265" s="57">
        <f t="shared" si="107"/>
        <v>0</v>
      </c>
      <c r="P265" s="57">
        <f ca="1">IFERROR(IF(ISBLANK(H265),SUMIFS($AC:$AC,$V:$V,V265,$W:$W,W265,$X:$X,X265,$Y:$Y,Y265)*J265/(1-J265)*VLOOKUP(_xlfn.CONCAT(C265,D265,E265,TIME!$M$12,Z265),HIS_SALES!$B$2:$W$4859,20,FALSE),AC265*J265/(1-J265)),0)</f>
        <v>0</v>
      </c>
      <c r="Q265" s="541" t="str">
        <f t="shared" si="108"/>
        <v/>
      </c>
      <c r="R265" s="346" t="str">
        <f t="shared" si="109"/>
        <v>00000</v>
      </c>
      <c r="S265" s="344">
        <f t="shared" si="110"/>
        <v>0</v>
      </c>
      <c r="T265" s="345" t="str">
        <f t="shared" si="123"/>
        <v>000</v>
      </c>
      <c r="U265" s="345">
        <f t="shared" si="111"/>
        <v>0</v>
      </c>
      <c r="V265" s="345">
        <f t="shared" si="112"/>
        <v>0</v>
      </c>
      <c r="W265" s="345">
        <f t="shared" si="113"/>
        <v>0</v>
      </c>
      <c r="X265" s="345">
        <f t="shared" si="114"/>
        <v>0</v>
      </c>
      <c r="Y265" s="345">
        <f t="shared" si="115"/>
        <v>0</v>
      </c>
      <c r="Z265" s="345">
        <f>IF(Q265&lt;&gt;"",VLOOKUP(Y265,TIME!$R$21:$V$24,MATCH(FC_DATA!Q265,TIME!$R$20:$V$20,0),FALSE),H265)</f>
        <v>0</v>
      </c>
      <c r="AA265" s="345" t="str">
        <f>IFERROR(VLOOKUP(X265&amp;Z265,TIME!$A$12:$D$71,4,FALSE),"")</f>
        <v/>
      </c>
      <c r="AB265" s="592">
        <f t="shared" ca="1" si="116"/>
        <v>0</v>
      </c>
      <c r="AC265" s="593" t="e">
        <f ca="1">IF(ISBLANK(H265)=FALSE,IF(D265="BRAND.com",I265,IF(ISNA(VLOOKUP(_xlfn.CONCAT(X265,Z265),TIME!$M$40:$M$42,1,FALSE)),I265,VLOOKUP(_xlfn.CONCAT(D265,G265,H265),M_BUSAREA_FC!$AF$5:$AJ$10,5,FALSE)*HLOOKUP(_xlfn.CONCAT(F265,H265),ST_OVERVIEW!$G$99:$I$130,MATCH(_xlfn.CONCAT(D265,E265),ST_OVERVIEW!$F$99:$F$130,0),FALSE))),IF(D265="BRAND.com",VLOOKUP(_xlfn.CONCAT(C265,D265,E265,TIME!$F$1,Z265),HIS_SALES!$B$2:$V$4859,19,FALSE)*I265,VLOOKUP(_xlfn.CONCAT(D265,F265,G265),Q_BUSAREA_FC!$AE$5:$AI$12,5,FALSE)*HLOOKUP(_xlfn.CONCAT(FC_DATA!F265,FC_DATA!G265),LT_OVERVIEW!$I$99:$M$130,MATCH(_xlfn.CONCAT(D265,FC_DATA!E265),LT_OVERVIEW!$H$99:$H$130,0),FALSE)*IFERROR(VLOOKUP(_xlfn.CONCAT(C265,D265,E265,TIME!$F$1,Z265),HIS_SALES!$B$2:$V$4859,19,FALSE),0)))</f>
        <v>#N/A</v>
      </c>
      <c r="AD265" s="341">
        <f t="shared" ca="1" si="117"/>
        <v>0</v>
      </c>
      <c r="AE265" s="363" t="str">
        <f t="shared" si="118"/>
        <v/>
      </c>
      <c r="AF265" s="342" t="str">
        <f t="shared" si="119"/>
        <v/>
      </c>
      <c r="AG265" s="411" t="e">
        <f ca="1">VLOOKUP(_xlfn.CONCAT(U265,V265,W265,VLOOKUP(X265&amp;Y265,TIME!$L$27:$O$34,4,FALSE),Y265),HIS_SALES!$A$2:$R$5093,18,FALSE)</f>
        <v>#N/A</v>
      </c>
      <c r="AH265" s="412" t="e">
        <f ca="1">IFERROR(IF(AND(V265=V264,W265=W264),0.5*(AB265+AB264)*AG265,(VLOOKUP(_xlfn.CONCAT(U265,V265,W265,X265,VLOOKUP(Z265,TIME!$S$28:$T$39,2,FALSE)),FC_DATA!$R$2:$AB$5000,MATCH("GS_I_M",FC_DATA!$R$1:$AB$1,0),FALSE)+FC_DATA!AB265)*0.5*FC_DATA!AG265),NA())</f>
        <v>#N/A</v>
      </c>
      <c r="AI265" s="491" t="e">
        <f ca="1">IF(V265="PARTNER.com",AH265,IF(AND(V265=V264,W265=W264),(1-AVERAGE(AD264,AD265))*AH265,(1-AVERAGE(AD265,VLOOKUP(_xlfn.CONCAT(U265,V265,W265,X265,M_BRAND_FC!$F$6),FC_DATA!$R$2:$AD$5000,MATCH("DISCOUNT_%_M",FC_DATA!$R$1:$AD$1,0),FALSE)))*AH265))</f>
        <v>#N/A</v>
      </c>
      <c r="AJ265" s="412" t="str">
        <f t="shared" ca="1" si="120"/>
        <v/>
      </c>
      <c r="AK265" s="413" t="str">
        <f>IFERROR(AE265/(Q_BRAND_FC!$T$24+1),"")</f>
        <v/>
      </c>
      <c r="AL265" s="88" t="str">
        <f t="shared" ca="1" si="121"/>
        <v/>
      </c>
      <c r="AM265" s="414" t="str">
        <f t="shared" ca="1" si="122"/>
        <v/>
      </c>
      <c r="AN265" s="58">
        <f>IFERROR(IF($V265="BRAND.com",HLOOKUP($X265&amp;$Z265,NWC_FC_NOOS!$C$4:$Q$23,MATCH(W265,NWC_FC_NOOS!$B$4:$B$23,0),FALSE),0),0)</f>
        <v>0</v>
      </c>
      <c r="AO265" s="57">
        <f>IFERROR(IF($V265="BRAND.com",HLOOKUP($X265&amp;$Z265,NWC_FC_NOOS!$T$4:$AH$23,MATCH(W265,NWC_FC_NOOS!$S$4:$S$23,0),FALSE),0),0)</f>
        <v>0</v>
      </c>
      <c r="AP265" s="57">
        <f>IFERROR(IF($V265="BRAND.com",HLOOKUP($X265&amp;$Z265,NWC_FC_NOOS!$C$50:$U$69,MATCH(W265,NWC_FC_NOOS!$B$50:$B$69,0),FALSE),0),0)</f>
        <v>0</v>
      </c>
      <c r="AQ265" s="58">
        <f>IFERROR(IF($V265="BRAND.com",HLOOKUP($X265&amp;$Z265,'NWC_FC_NON-NOOS'!$C$4:$Q$23,MATCH(W265,'NWC_FC_NON-NOOS'!$B$4:$B$23,0),FALSE),0),0)</f>
        <v>0</v>
      </c>
      <c r="AR265" s="57">
        <f>IFERROR(IF($V265="BRAND.com",HLOOKUP($X265&amp;$Z265,'NWC_FC_NON-NOOS'!$T$4:$AH$23,MATCH(W265,'NWC_FC_NON-NOOS'!$S$4:$S$23,0),FALSE),0),0)</f>
        <v>0</v>
      </c>
      <c r="AS265" s="57">
        <f>IFERROR(IF($V265="BRAND.com",HLOOKUP($X265&amp;$Z265,'NWC_FC_NON-NOOS'!$C$50:$U$69,MATCH(W265,'NWC_FC_NON-NOOS'!$B$50:$B$69,0),FALSE),0),0)</f>
        <v>0</v>
      </c>
      <c r="AT265" s="57">
        <f t="shared" si="124"/>
        <v>0</v>
      </c>
      <c r="AU265" s="57">
        <f t="shared" si="125"/>
        <v>0</v>
      </c>
      <c r="AV265" s="58">
        <f>IFERROR(IF($V265="BRAND.com",HLOOKUP($X265&amp;$Z265,PLANNING_FC!$BB$27:$BP$46,MATCH($W265,PLANNING_FC!$BA$27:$BA$46,0),FALSE),0),0)</f>
        <v>0</v>
      </c>
      <c r="AW265" s="58">
        <f>IFERROR(IF($V265="BRAND.com",HLOOKUP($X265&amp;$Z265,PLANNING_FC!$BB$4:$BP$23,MATCH($W265,PLANNING_FC!$BA$4:$BA$23,0),FALSE),0),0)</f>
        <v>0</v>
      </c>
      <c r="AX265" s="58">
        <f>IFERROR(IF($V265="BRAND.com",HLOOKUP($X265&amp;$Z265,PLANNING_FC!$T$27:$AH$46,MATCH($W265,PLANNING_FC!$B$27:$B$46,0),FALSE),0),0)</f>
        <v>0</v>
      </c>
      <c r="AY265" s="58">
        <f>IFERROR(IF($V265="BRAND.com",HLOOKUP($X265&amp;$Z265,PLANNING_FC!$T$4:$AH$23,MATCH($W265,PLANNING_FC!$B$4:$B$23,0),FALSE),0),0)</f>
        <v>0</v>
      </c>
      <c r="AZ265" s="58">
        <f>IFERROR(IF($V265="BRAND.com",HLOOKUP($X265&amp;$Z265,PLANNING_FC!$DA$27:$DO$46,MATCH($W265,PLANNING_FC!$CZ$27:$CZ$46,0),FALSE),0),0)</f>
        <v>0</v>
      </c>
      <c r="BA265" s="58">
        <f>IFERROR(IF($V265="BRAND.com",HLOOKUP($X265&amp;$Z265,PLANNING_FC!$DA$4:$DO$23,MATCH($W265,PLANNING_FC!$CZ$4:$CZ$23,0),FALSE),0),0)</f>
        <v>0</v>
      </c>
      <c r="BB265" s="883" t="str">
        <f>IF(V265="BRAND.com",IFERROR(HLOOKUP(X265&amp;Z265,PLANNING_FC!$AK$4:$AY$23,MATCH(W265,PLANNING_FC!$AJ$4:$AJ$23,0),FALSE)*1000,""),"")</f>
        <v/>
      </c>
      <c r="BC265" s="883" t="str">
        <f>IF(V265="BRAND.com",IFERROR(HLOOKUP(X265&amp;Z265,PLANNING_FC!$AK$27:$AY$46,MATCH(W265,PLANNING_FC!$AJ$27:$AJ$46,0),FALSE)*1000,""),"")</f>
        <v/>
      </c>
    </row>
    <row r="266" spans="1:55" x14ac:dyDescent="0.25">
      <c r="A266" s="509"/>
      <c r="B266" s="509"/>
      <c r="C266" s="509"/>
      <c r="D266" s="509"/>
      <c r="E266" s="509"/>
      <c r="F266" s="509"/>
      <c r="G266" s="509"/>
      <c r="H266" s="509"/>
      <c r="I266" s="512"/>
      <c r="J266" s="513"/>
      <c r="K266" s="879"/>
      <c r="L266" s="515"/>
      <c r="M266" s="516"/>
      <c r="N266" s="56">
        <f t="shared" si="106"/>
        <v>0</v>
      </c>
      <c r="O266" s="57">
        <f t="shared" si="107"/>
        <v>0</v>
      </c>
      <c r="P266" s="57">
        <f ca="1">IFERROR(IF(ISBLANK(H266),SUMIFS($AC:$AC,$V:$V,V266,$W:$W,W266,$X:$X,X266,$Y:$Y,Y266)*J266/(1-J266)*VLOOKUP(_xlfn.CONCAT(C266,D266,E266,TIME!$M$12,Z266),HIS_SALES!$B$2:$W$4859,20,FALSE),AC266*J266/(1-J266)),0)</f>
        <v>0</v>
      </c>
      <c r="Q266" s="541" t="str">
        <f t="shared" si="108"/>
        <v/>
      </c>
      <c r="R266" s="346" t="str">
        <f t="shared" si="109"/>
        <v>00000</v>
      </c>
      <c r="S266" s="344">
        <f t="shared" si="110"/>
        <v>0</v>
      </c>
      <c r="T266" s="345" t="str">
        <f t="shared" si="123"/>
        <v>000</v>
      </c>
      <c r="U266" s="345">
        <f t="shared" si="111"/>
        <v>0</v>
      </c>
      <c r="V266" s="345">
        <f t="shared" si="112"/>
        <v>0</v>
      </c>
      <c r="W266" s="345">
        <f t="shared" si="113"/>
        <v>0</v>
      </c>
      <c r="X266" s="345">
        <f t="shared" si="114"/>
        <v>0</v>
      </c>
      <c r="Y266" s="345">
        <f t="shared" si="115"/>
        <v>0</v>
      </c>
      <c r="Z266" s="345">
        <f>IF(Q266&lt;&gt;"",VLOOKUP(Y266,TIME!$R$21:$V$24,MATCH(FC_DATA!Q266,TIME!$R$20:$V$20,0),FALSE),H266)</f>
        <v>0</v>
      </c>
      <c r="AA266" s="345" t="str">
        <f>IFERROR(VLOOKUP(X266&amp;Z266,TIME!$A$12:$D$71,4,FALSE),"")</f>
        <v/>
      </c>
      <c r="AB266" s="592">
        <f t="shared" ca="1" si="116"/>
        <v>0</v>
      </c>
      <c r="AC266" s="593" t="e">
        <f ca="1">IF(ISBLANK(H266)=FALSE,IF(D266="BRAND.com",I266,IF(ISNA(VLOOKUP(_xlfn.CONCAT(X266,Z266),TIME!$M$40:$M$42,1,FALSE)),I266,VLOOKUP(_xlfn.CONCAT(D266,G266,H266),M_BUSAREA_FC!$AF$5:$AJ$10,5,FALSE)*HLOOKUP(_xlfn.CONCAT(F266,H266),ST_OVERVIEW!$G$99:$I$130,MATCH(_xlfn.CONCAT(D266,E266),ST_OVERVIEW!$F$99:$F$130,0),FALSE))),IF(D266="BRAND.com",VLOOKUP(_xlfn.CONCAT(C266,D266,E266,TIME!$F$1,Z266),HIS_SALES!$B$2:$V$4859,19,FALSE)*I266,VLOOKUP(_xlfn.CONCAT(D266,F266,G266),Q_BUSAREA_FC!$AE$5:$AI$12,5,FALSE)*HLOOKUP(_xlfn.CONCAT(FC_DATA!F266,FC_DATA!G266),LT_OVERVIEW!$I$99:$M$130,MATCH(_xlfn.CONCAT(D266,FC_DATA!E266),LT_OVERVIEW!$H$99:$H$130,0),FALSE)*IFERROR(VLOOKUP(_xlfn.CONCAT(C266,D266,E266,TIME!$F$1,Z266),HIS_SALES!$B$2:$V$4859,19,FALSE),0)))</f>
        <v>#N/A</v>
      </c>
      <c r="AD266" s="341">
        <f t="shared" ca="1" si="117"/>
        <v>0</v>
      </c>
      <c r="AE266" s="363" t="str">
        <f t="shared" si="118"/>
        <v/>
      </c>
      <c r="AF266" s="342" t="str">
        <f t="shared" si="119"/>
        <v/>
      </c>
      <c r="AG266" s="411" t="e">
        <f ca="1">VLOOKUP(_xlfn.CONCAT(U266,V266,W266,VLOOKUP(X266&amp;Y266,TIME!$L$27:$O$34,4,FALSE),Y266),HIS_SALES!$A$2:$R$5093,18,FALSE)</f>
        <v>#N/A</v>
      </c>
      <c r="AH266" s="412" t="e">
        <f ca="1">IFERROR(IF(AND(V266=V265,W266=W265),0.5*(AB266+AB265)*AG266,(VLOOKUP(_xlfn.CONCAT(U266,V266,W266,X266,VLOOKUP(Z266,TIME!$S$28:$T$39,2,FALSE)),FC_DATA!$R$2:$AB$5000,MATCH("GS_I_M",FC_DATA!$R$1:$AB$1,0),FALSE)+FC_DATA!AB266)*0.5*FC_DATA!AG266),NA())</f>
        <v>#N/A</v>
      </c>
      <c r="AI266" s="491" t="e">
        <f ca="1">IF(V266="PARTNER.com",AH266,IF(AND(V266=V265,W266=W265),(1-AVERAGE(AD265,AD266))*AH266,(1-AVERAGE(AD266,VLOOKUP(_xlfn.CONCAT(U266,V266,W266,X266,M_BRAND_FC!$F$6),FC_DATA!$R$2:$AD$5000,MATCH("DISCOUNT_%_M",FC_DATA!$R$1:$AD$1,0),FALSE)))*AH266))</f>
        <v>#N/A</v>
      </c>
      <c r="AJ266" s="412" t="str">
        <f t="shared" ca="1" si="120"/>
        <v/>
      </c>
      <c r="AK266" s="413" t="str">
        <f>IFERROR(AE266/(Q_BRAND_FC!$T$24+1),"")</f>
        <v/>
      </c>
      <c r="AL266" s="88" t="str">
        <f t="shared" ca="1" si="121"/>
        <v/>
      </c>
      <c r="AM266" s="414" t="str">
        <f t="shared" ca="1" si="122"/>
        <v/>
      </c>
      <c r="AN266" s="58">
        <f>IFERROR(IF($V266="BRAND.com",HLOOKUP($X266&amp;$Z266,NWC_FC_NOOS!$C$4:$Q$23,MATCH(W266,NWC_FC_NOOS!$B$4:$B$23,0),FALSE),0),0)</f>
        <v>0</v>
      </c>
      <c r="AO266" s="57">
        <f>IFERROR(IF($V266="BRAND.com",HLOOKUP($X266&amp;$Z266,NWC_FC_NOOS!$T$4:$AH$23,MATCH(W266,NWC_FC_NOOS!$S$4:$S$23,0),FALSE),0),0)</f>
        <v>0</v>
      </c>
      <c r="AP266" s="57">
        <f>IFERROR(IF($V266="BRAND.com",HLOOKUP($X266&amp;$Z266,NWC_FC_NOOS!$C$50:$U$69,MATCH(W266,NWC_FC_NOOS!$B$50:$B$69,0),FALSE),0),0)</f>
        <v>0</v>
      </c>
      <c r="AQ266" s="58">
        <f>IFERROR(IF($V266="BRAND.com",HLOOKUP($X266&amp;$Z266,'NWC_FC_NON-NOOS'!$C$4:$Q$23,MATCH(W266,'NWC_FC_NON-NOOS'!$B$4:$B$23,0),FALSE),0),0)</f>
        <v>0</v>
      </c>
      <c r="AR266" s="57">
        <f>IFERROR(IF($V266="BRAND.com",HLOOKUP($X266&amp;$Z266,'NWC_FC_NON-NOOS'!$T$4:$AH$23,MATCH(W266,'NWC_FC_NON-NOOS'!$S$4:$S$23,0),FALSE),0),0)</f>
        <v>0</v>
      </c>
      <c r="AS266" s="57">
        <f>IFERROR(IF($V266="BRAND.com",HLOOKUP($X266&amp;$Z266,'NWC_FC_NON-NOOS'!$C$50:$U$69,MATCH(W266,'NWC_FC_NON-NOOS'!$B$50:$B$69,0),FALSE),0),0)</f>
        <v>0</v>
      </c>
      <c r="AT266" s="57">
        <f t="shared" si="124"/>
        <v>0</v>
      </c>
      <c r="AU266" s="57">
        <f t="shared" si="125"/>
        <v>0</v>
      </c>
      <c r="AV266" s="58">
        <f>IFERROR(IF($V266="BRAND.com",HLOOKUP($X266&amp;$Z266,PLANNING_FC!$BB$27:$BP$46,MATCH($W266,PLANNING_FC!$BA$27:$BA$46,0),FALSE),0),0)</f>
        <v>0</v>
      </c>
      <c r="AW266" s="58">
        <f>IFERROR(IF($V266="BRAND.com",HLOOKUP($X266&amp;$Z266,PLANNING_FC!$BB$4:$BP$23,MATCH($W266,PLANNING_FC!$BA$4:$BA$23,0),FALSE),0),0)</f>
        <v>0</v>
      </c>
      <c r="AX266" s="58">
        <f>IFERROR(IF($V266="BRAND.com",HLOOKUP($X266&amp;$Z266,PLANNING_FC!$T$27:$AH$46,MATCH($W266,PLANNING_FC!$B$27:$B$46,0),FALSE),0),0)</f>
        <v>0</v>
      </c>
      <c r="AY266" s="58">
        <f>IFERROR(IF($V266="BRAND.com",HLOOKUP($X266&amp;$Z266,PLANNING_FC!$T$4:$AH$23,MATCH($W266,PLANNING_FC!$B$4:$B$23,0),FALSE),0),0)</f>
        <v>0</v>
      </c>
      <c r="AZ266" s="58">
        <f>IFERROR(IF($V266="BRAND.com",HLOOKUP($X266&amp;$Z266,PLANNING_FC!$DA$27:$DO$46,MATCH($W266,PLANNING_FC!$CZ$27:$CZ$46,0),FALSE),0),0)</f>
        <v>0</v>
      </c>
      <c r="BA266" s="58">
        <f>IFERROR(IF($V266="BRAND.com",HLOOKUP($X266&amp;$Z266,PLANNING_FC!$DA$4:$DO$23,MATCH($W266,PLANNING_FC!$CZ$4:$CZ$23,0),FALSE),0),0)</f>
        <v>0</v>
      </c>
      <c r="BB266" s="883" t="str">
        <f>IF(V266="BRAND.com",IFERROR(HLOOKUP(X266&amp;Z266,PLANNING_FC!$AK$4:$AY$23,MATCH(W266,PLANNING_FC!$AJ$4:$AJ$23,0),FALSE)*1000,""),"")</f>
        <v/>
      </c>
      <c r="BC266" s="883" t="str">
        <f>IF(V266="BRAND.com",IFERROR(HLOOKUP(X266&amp;Z266,PLANNING_FC!$AK$27:$AY$46,MATCH(W266,PLANNING_FC!$AJ$27:$AJ$46,0),FALSE)*1000,""),"")</f>
        <v/>
      </c>
    </row>
    <row r="267" spans="1:55" x14ac:dyDescent="0.25">
      <c r="A267" s="509"/>
      <c r="B267" s="509"/>
      <c r="C267" s="509"/>
      <c r="D267" s="509"/>
      <c r="E267" s="509"/>
      <c r="F267" s="509"/>
      <c r="G267" s="509"/>
      <c r="H267" s="509"/>
      <c r="I267" s="512"/>
      <c r="J267" s="513"/>
      <c r="K267" s="879"/>
      <c r="L267" s="515"/>
      <c r="M267" s="516"/>
      <c r="N267" s="56">
        <f t="shared" si="106"/>
        <v>0</v>
      </c>
      <c r="O267" s="57">
        <f t="shared" si="107"/>
        <v>0</v>
      </c>
      <c r="P267" s="57">
        <f ca="1">IFERROR(IF(ISBLANK(H267),SUMIFS($AC:$AC,$V:$V,V267,$W:$W,W267,$X:$X,X267,$Y:$Y,Y267)*J267/(1-J267)*VLOOKUP(_xlfn.CONCAT(C267,D267,E267,TIME!$M$12,Z267),HIS_SALES!$B$2:$W$4859,20,FALSE),AC267*J267/(1-J267)),0)</f>
        <v>0</v>
      </c>
      <c r="Q267" s="541" t="str">
        <f t="shared" si="108"/>
        <v/>
      </c>
      <c r="R267" s="346" t="str">
        <f t="shared" si="109"/>
        <v>00000</v>
      </c>
      <c r="S267" s="344">
        <f t="shared" si="110"/>
        <v>0</v>
      </c>
      <c r="T267" s="345" t="str">
        <f t="shared" si="123"/>
        <v>000</v>
      </c>
      <c r="U267" s="345">
        <f t="shared" si="111"/>
        <v>0</v>
      </c>
      <c r="V267" s="345">
        <f t="shared" si="112"/>
        <v>0</v>
      </c>
      <c r="W267" s="345">
        <f t="shared" si="113"/>
        <v>0</v>
      </c>
      <c r="X267" s="345">
        <f t="shared" si="114"/>
        <v>0</v>
      </c>
      <c r="Y267" s="345">
        <f t="shared" si="115"/>
        <v>0</v>
      </c>
      <c r="Z267" s="345">
        <f>IF(Q267&lt;&gt;"",VLOOKUP(Y267,TIME!$R$21:$V$24,MATCH(FC_DATA!Q267,TIME!$R$20:$V$20,0),FALSE),H267)</f>
        <v>0</v>
      </c>
      <c r="AA267" s="345" t="str">
        <f>IFERROR(VLOOKUP(X267&amp;Z267,TIME!$A$12:$D$71,4,FALSE),"")</f>
        <v/>
      </c>
      <c r="AB267" s="592">
        <f t="shared" ca="1" si="116"/>
        <v>0</v>
      </c>
      <c r="AC267" s="593" t="e">
        <f ca="1">IF(ISBLANK(H267)=FALSE,IF(D267="BRAND.com",I267,IF(ISNA(VLOOKUP(_xlfn.CONCAT(X267,Z267),TIME!$M$40:$M$42,1,FALSE)),I267,VLOOKUP(_xlfn.CONCAT(D267,G267,H267),M_BUSAREA_FC!$AF$5:$AJ$10,5,FALSE)*HLOOKUP(_xlfn.CONCAT(F267,H267),ST_OVERVIEW!$G$99:$I$130,MATCH(_xlfn.CONCAT(D267,E267),ST_OVERVIEW!$F$99:$F$130,0),FALSE))),IF(D267="BRAND.com",VLOOKUP(_xlfn.CONCAT(C267,D267,E267,TIME!$F$1,Z267),HIS_SALES!$B$2:$V$4859,19,FALSE)*I267,VLOOKUP(_xlfn.CONCAT(D267,F267,G267),Q_BUSAREA_FC!$AE$5:$AI$12,5,FALSE)*HLOOKUP(_xlfn.CONCAT(FC_DATA!F267,FC_DATA!G267),LT_OVERVIEW!$I$99:$M$130,MATCH(_xlfn.CONCAT(D267,FC_DATA!E267),LT_OVERVIEW!$H$99:$H$130,0),FALSE)*IFERROR(VLOOKUP(_xlfn.CONCAT(C267,D267,E267,TIME!$F$1,Z267),HIS_SALES!$B$2:$V$4859,19,FALSE),0)))</f>
        <v>#N/A</v>
      </c>
      <c r="AD267" s="341">
        <f t="shared" ca="1" si="117"/>
        <v>0</v>
      </c>
      <c r="AE267" s="363" t="str">
        <f t="shared" si="118"/>
        <v/>
      </c>
      <c r="AF267" s="342" t="str">
        <f t="shared" si="119"/>
        <v/>
      </c>
      <c r="AG267" s="411" t="e">
        <f ca="1">VLOOKUP(_xlfn.CONCAT(U267,V267,W267,VLOOKUP(X267&amp;Y267,TIME!$L$27:$O$34,4,FALSE),Y267),HIS_SALES!$A$2:$R$5093,18,FALSE)</f>
        <v>#N/A</v>
      </c>
      <c r="AH267" s="412" t="e">
        <f ca="1">IFERROR(IF(AND(V267=V266,W267=W266),0.5*(AB267+AB266)*AG267,(VLOOKUP(_xlfn.CONCAT(U267,V267,W267,X267,VLOOKUP(Z267,TIME!$S$28:$T$39,2,FALSE)),FC_DATA!$R$2:$AB$5000,MATCH("GS_I_M",FC_DATA!$R$1:$AB$1,0),FALSE)+FC_DATA!AB267)*0.5*FC_DATA!AG267),NA())</f>
        <v>#N/A</v>
      </c>
      <c r="AI267" s="491" t="e">
        <f ca="1">IF(V267="PARTNER.com",AH267,IF(AND(V267=V266,W267=W266),(1-AVERAGE(AD266,AD267))*AH267,(1-AVERAGE(AD267,VLOOKUP(_xlfn.CONCAT(U267,V267,W267,X267,M_BRAND_FC!$F$6),FC_DATA!$R$2:$AD$5000,MATCH("DISCOUNT_%_M",FC_DATA!$R$1:$AD$1,0),FALSE)))*AH267))</f>
        <v>#N/A</v>
      </c>
      <c r="AJ267" s="412" t="str">
        <f t="shared" ca="1" si="120"/>
        <v/>
      </c>
      <c r="AK267" s="413" t="str">
        <f>IFERROR(AE267/(Q_BRAND_FC!$T$24+1),"")</f>
        <v/>
      </c>
      <c r="AL267" s="88" t="str">
        <f t="shared" ca="1" si="121"/>
        <v/>
      </c>
      <c r="AM267" s="414" t="str">
        <f t="shared" ca="1" si="122"/>
        <v/>
      </c>
      <c r="AN267" s="58">
        <f>IFERROR(IF($V267="BRAND.com",HLOOKUP($X267&amp;$Z267,NWC_FC_NOOS!$C$4:$Q$23,MATCH(W267,NWC_FC_NOOS!$B$4:$B$23,0),FALSE),0),0)</f>
        <v>0</v>
      </c>
      <c r="AO267" s="57">
        <f>IFERROR(IF($V267="BRAND.com",HLOOKUP($X267&amp;$Z267,NWC_FC_NOOS!$T$4:$AH$23,MATCH(W267,NWC_FC_NOOS!$S$4:$S$23,0),FALSE),0),0)</f>
        <v>0</v>
      </c>
      <c r="AP267" s="57">
        <f>IFERROR(IF($V267="BRAND.com",HLOOKUP($X267&amp;$Z267,NWC_FC_NOOS!$C$50:$U$69,MATCH(W267,NWC_FC_NOOS!$B$50:$B$69,0),FALSE),0),0)</f>
        <v>0</v>
      </c>
      <c r="AQ267" s="58">
        <f>IFERROR(IF($V267="BRAND.com",HLOOKUP($X267&amp;$Z267,'NWC_FC_NON-NOOS'!$C$4:$Q$23,MATCH(W267,'NWC_FC_NON-NOOS'!$B$4:$B$23,0),FALSE),0),0)</f>
        <v>0</v>
      </c>
      <c r="AR267" s="57">
        <f>IFERROR(IF($V267="BRAND.com",HLOOKUP($X267&amp;$Z267,'NWC_FC_NON-NOOS'!$T$4:$AH$23,MATCH(W267,'NWC_FC_NON-NOOS'!$S$4:$S$23,0),FALSE),0),0)</f>
        <v>0</v>
      </c>
      <c r="AS267" s="57">
        <f>IFERROR(IF($V267="BRAND.com",HLOOKUP($X267&amp;$Z267,'NWC_FC_NON-NOOS'!$C$50:$U$69,MATCH(W267,'NWC_FC_NON-NOOS'!$B$50:$B$69,0),FALSE),0),0)</f>
        <v>0</v>
      </c>
      <c r="AT267" s="57">
        <f t="shared" si="124"/>
        <v>0</v>
      </c>
      <c r="AU267" s="57">
        <f t="shared" si="125"/>
        <v>0</v>
      </c>
      <c r="AV267" s="58">
        <f>IFERROR(IF($V267="BRAND.com",HLOOKUP($X267&amp;$Z267,PLANNING_FC!$BB$27:$BP$46,MATCH($W267,PLANNING_FC!$BA$27:$BA$46,0),FALSE),0),0)</f>
        <v>0</v>
      </c>
      <c r="AW267" s="58">
        <f>IFERROR(IF($V267="BRAND.com",HLOOKUP($X267&amp;$Z267,PLANNING_FC!$BB$4:$BP$23,MATCH($W267,PLANNING_FC!$BA$4:$BA$23,0),FALSE),0),0)</f>
        <v>0</v>
      </c>
      <c r="AX267" s="58">
        <f>IFERROR(IF($V267="BRAND.com",HLOOKUP($X267&amp;$Z267,PLANNING_FC!$T$27:$AH$46,MATCH($W267,PLANNING_FC!$B$27:$B$46,0),FALSE),0),0)</f>
        <v>0</v>
      </c>
      <c r="AY267" s="58">
        <f>IFERROR(IF($V267="BRAND.com",HLOOKUP($X267&amp;$Z267,PLANNING_FC!$T$4:$AH$23,MATCH($W267,PLANNING_FC!$B$4:$B$23,0),FALSE),0),0)</f>
        <v>0</v>
      </c>
      <c r="AZ267" s="58">
        <f>IFERROR(IF($V267="BRAND.com",HLOOKUP($X267&amp;$Z267,PLANNING_FC!$DA$27:$DO$46,MATCH($W267,PLANNING_FC!$CZ$27:$CZ$46,0),FALSE),0),0)</f>
        <v>0</v>
      </c>
      <c r="BA267" s="58">
        <f>IFERROR(IF($V267="BRAND.com",HLOOKUP($X267&amp;$Z267,PLANNING_FC!$DA$4:$DO$23,MATCH($W267,PLANNING_FC!$CZ$4:$CZ$23,0),FALSE),0),0)</f>
        <v>0</v>
      </c>
      <c r="BB267" s="883" t="str">
        <f>IF(V267="BRAND.com",IFERROR(HLOOKUP(X267&amp;Z267,PLANNING_FC!$AK$4:$AY$23,MATCH(W267,PLANNING_FC!$AJ$4:$AJ$23,0),FALSE)*1000,""),"")</f>
        <v/>
      </c>
      <c r="BC267" s="883" t="str">
        <f>IF(V267="BRAND.com",IFERROR(HLOOKUP(X267&amp;Z267,PLANNING_FC!$AK$27:$AY$46,MATCH(W267,PLANNING_FC!$AJ$27:$AJ$46,0),FALSE)*1000,""),"")</f>
        <v/>
      </c>
    </row>
    <row r="268" spans="1:55" x14ac:dyDescent="0.25">
      <c r="A268" s="509"/>
      <c r="B268" s="509"/>
      <c r="C268" s="509"/>
      <c r="D268" s="509"/>
      <c r="E268" s="509"/>
      <c r="F268" s="509"/>
      <c r="G268" s="509"/>
      <c r="H268" s="509"/>
      <c r="I268" s="512"/>
      <c r="J268" s="513"/>
      <c r="K268" s="879"/>
      <c r="L268" s="515"/>
      <c r="M268" s="516"/>
      <c r="N268" s="56">
        <f t="shared" si="106"/>
        <v>0</v>
      </c>
      <c r="O268" s="57">
        <f t="shared" si="107"/>
        <v>0</v>
      </c>
      <c r="P268" s="57">
        <f ca="1">IFERROR(IF(ISBLANK(H268),SUMIFS($AC:$AC,$V:$V,V268,$W:$W,W268,$X:$X,X268,$Y:$Y,Y268)*J268/(1-J268)*VLOOKUP(_xlfn.CONCAT(C268,D268,E268,TIME!$M$12,Z268),HIS_SALES!$B$2:$W$4859,20,FALSE),AC268*J268/(1-J268)),0)</f>
        <v>0</v>
      </c>
      <c r="Q268" s="541" t="str">
        <f t="shared" si="108"/>
        <v/>
      </c>
      <c r="R268" s="346" t="str">
        <f t="shared" si="109"/>
        <v>00000</v>
      </c>
      <c r="S268" s="344">
        <f t="shared" si="110"/>
        <v>0</v>
      </c>
      <c r="T268" s="345" t="str">
        <f t="shared" si="123"/>
        <v>000</v>
      </c>
      <c r="U268" s="345">
        <f t="shared" si="111"/>
        <v>0</v>
      </c>
      <c r="V268" s="345">
        <f t="shared" si="112"/>
        <v>0</v>
      </c>
      <c r="W268" s="345">
        <f t="shared" si="113"/>
        <v>0</v>
      </c>
      <c r="X268" s="345">
        <f t="shared" si="114"/>
        <v>0</v>
      </c>
      <c r="Y268" s="345">
        <f t="shared" si="115"/>
        <v>0</v>
      </c>
      <c r="Z268" s="345">
        <f>IF(Q268&lt;&gt;"",VLOOKUP(Y268,TIME!$R$21:$V$24,MATCH(FC_DATA!Q268,TIME!$R$20:$V$20,0),FALSE),H268)</f>
        <v>0</v>
      </c>
      <c r="AA268" s="345" t="str">
        <f>IFERROR(VLOOKUP(X268&amp;Z268,TIME!$A$12:$D$71,4,FALSE),"")</f>
        <v/>
      </c>
      <c r="AB268" s="592">
        <f t="shared" ca="1" si="116"/>
        <v>0</v>
      </c>
      <c r="AC268" s="593" t="e">
        <f ca="1">IF(ISBLANK(H268)=FALSE,IF(D268="BRAND.com",I268,IF(ISNA(VLOOKUP(_xlfn.CONCAT(X268,Z268),TIME!$M$40:$M$42,1,FALSE)),I268,VLOOKUP(_xlfn.CONCAT(D268,G268,H268),M_BUSAREA_FC!$AF$5:$AJ$10,5,FALSE)*HLOOKUP(_xlfn.CONCAT(F268,H268),ST_OVERVIEW!$G$99:$I$130,MATCH(_xlfn.CONCAT(D268,E268),ST_OVERVIEW!$F$99:$F$130,0),FALSE))),IF(D268="BRAND.com",VLOOKUP(_xlfn.CONCAT(C268,D268,E268,TIME!$F$1,Z268),HIS_SALES!$B$2:$V$4859,19,FALSE)*I268,VLOOKUP(_xlfn.CONCAT(D268,F268,G268),Q_BUSAREA_FC!$AE$5:$AI$12,5,FALSE)*HLOOKUP(_xlfn.CONCAT(FC_DATA!F268,FC_DATA!G268),LT_OVERVIEW!$I$99:$M$130,MATCH(_xlfn.CONCAT(D268,FC_DATA!E268),LT_OVERVIEW!$H$99:$H$130,0),FALSE)*IFERROR(VLOOKUP(_xlfn.CONCAT(C268,D268,E268,TIME!$F$1,Z268),HIS_SALES!$B$2:$V$4859,19,FALSE),0)))</f>
        <v>#N/A</v>
      </c>
      <c r="AD268" s="341">
        <f t="shared" ca="1" si="117"/>
        <v>0</v>
      </c>
      <c r="AE268" s="363" t="str">
        <f t="shared" si="118"/>
        <v/>
      </c>
      <c r="AF268" s="342" t="str">
        <f t="shared" si="119"/>
        <v/>
      </c>
      <c r="AG268" s="411" t="e">
        <f ca="1">VLOOKUP(_xlfn.CONCAT(U268,V268,W268,VLOOKUP(X268&amp;Y268,TIME!$L$27:$O$34,4,FALSE),Y268),HIS_SALES!$A$2:$R$5093,18,FALSE)</f>
        <v>#N/A</v>
      </c>
      <c r="AH268" s="412" t="e">
        <f ca="1">IFERROR(IF(AND(V268=V267,W268=W267),0.5*(AB268+AB267)*AG268,(VLOOKUP(_xlfn.CONCAT(U268,V268,W268,X268,VLOOKUP(Z268,TIME!$S$28:$T$39,2,FALSE)),FC_DATA!$R$2:$AB$5000,MATCH("GS_I_M",FC_DATA!$R$1:$AB$1,0),FALSE)+FC_DATA!AB268)*0.5*FC_DATA!AG268),NA())</f>
        <v>#N/A</v>
      </c>
      <c r="AI268" s="491" t="e">
        <f ca="1">IF(V268="PARTNER.com",AH268,IF(AND(V268=V267,W268=W267),(1-AVERAGE(AD267,AD268))*AH268,(1-AVERAGE(AD268,VLOOKUP(_xlfn.CONCAT(U268,V268,W268,X268,M_BRAND_FC!$F$6),FC_DATA!$R$2:$AD$5000,MATCH("DISCOUNT_%_M",FC_DATA!$R$1:$AD$1,0),FALSE)))*AH268))</f>
        <v>#N/A</v>
      </c>
      <c r="AJ268" s="412" t="str">
        <f t="shared" ca="1" si="120"/>
        <v/>
      </c>
      <c r="AK268" s="413" t="str">
        <f>IFERROR(AE268/(Q_BRAND_FC!$T$24+1),"")</f>
        <v/>
      </c>
      <c r="AL268" s="88" t="str">
        <f t="shared" ca="1" si="121"/>
        <v/>
      </c>
      <c r="AM268" s="414" t="str">
        <f t="shared" ca="1" si="122"/>
        <v/>
      </c>
      <c r="AN268" s="58">
        <f>IFERROR(IF($V268="BRAND.com",HLOOKUP($X268&amp;$Z268,NWC_FC_NOOS!$C$4:$Q$23,MATCH(W268,NWC_FC_NOOS!$B$4:$B$23,0),FALSE),0),0)</f>
        <v>0</v>
      </c>
      <c r="AO268" s="57">
        <f>IFERROR(IF($V268="BRAND.com",HLOOKUP($X268&amp;$Z268,NWC_FC_NOOS!$T$4:$AH$23,MATCH(W268,NWC_FC_NOOS!$S$4:$S$23,0),FALSE),0),0)</f>
        <v>0</v>
      </c>
      <c r="AP268" s="57">
        <f>IFERROR(IF($V268="BRAND.com",HLOOKUP($X268&amp;$Z268,NWC_FC_NOOS!$C$50:$U$69,MATCH(W268,NWC_FC_NOOS!$B$50:$B$69,0),FALSE),0),0)</f>
        <v>0</v>
      </c>
      <c r="AQ268" s="58">
        <f>IFERROR(IF($V268="BRAND.com",HLOOKUP($X268&amp;$Z268,'NWC_FC_NON-NOOS'!$C$4:$Q$23,MATCH(W268,'NWC_FC_NON-NOOS'!$B$4:$B$23,0),FALSE),0),0)</f>
        <v>0</v>
      </c>
      <c r="AR268" s="57">
        <f>IFERROR(IF($V268="BRAND.com",HLOOKUP($X268&amp;$Z268,'NWC_FC_NON-NOOS'!$T$4:$AH$23,MATCH(W268,'NWC_FC_NON-NOOS'!$S$4:$S$23,0),FALSE),0),0)</f>
        <v>0</v>
      </c>
      <c r="AS268" s="57">
        <f>IFERROR(IF($V268="BRAND.com",HLOOKUP($X268&amp;$Z268,'NWC_FC_NON-NOOS'!$C$50:$U$69,MATCH(W268,'NWC_FC_NON-NOOS'!$B$50:$B$69,0),FALSE),0),0)</f>
        <v>0</v>
      </c>
      <c r="AT268" s="57">
        <f t="shared" si="124"/>
        <v>0</v>
      </c>
      <c r="AU268" s="57">
        <f t="shared" si="125"/>
        <v>0</v>
      </c>
      <c r="AV268" s="58">
        <f>IFERROR(IF($V268="BRAND.com",HLOOKUP($X268&amp;$Z268,PLANNING_FC!$BB$27:$BP$46,MATCH($W268,PLANNING_FC!$BA$27:$BA$46,0),FALSE),0),0)</f>
        <v>0</v>
      </c>
      <c r="AW268" s="58">
        <f>IFERROR(IF($V268="BRAND.com",HLOOKUP($X268&amp;$Z268,PLANNING_FC!$BB$4:$BP$23,MATCH($W268,PLANNING_FC!$BA$4:$BA$23,0),FALSE),0),0)</f>
        <v>0</v>
      </c>
      <c r="AX268" s="58">
        <f>IFERROR(IF($V268="BRAND.com",HLOOKUP($X268&amp;$Z268,PLANNING_FC!$T$27:$AH$46,MATCH($W268,PLANNING_FC!$B$27:$B$46,0),FALSE),0),0)</f>
        <v>0</v>
      </c>
      <c r="AY268" s="58">
        <f>IFERROR(IF($V268="BRAND.com",HLOOKUP($X268&amp;$Z268,PLANNING_FC!$T$4:$AH$23,MATCH($W268,PLANNING_FC!$B$4:$B$23,0),FALSE),0),0)</f>
        <v>0</v>
      </c>
      <c r="AZ268" s="58">
        <f>IFERROR(IF($V268="BRAND.com",HLOOKUP($X268&amp;$Z268,PLANNING_FC!$DA$27:$DO$46,MATCH($W268,PLANNING_FC!$CZ$27:$CZ$46,0),FALSE),0),0)</f>
        <v>0</v>
      </c>
      <c r="BA268" s="58">
        <f>IFERROR(IF($V268="BRAND.com",HLOOKUP($X268&amp;$Z268,PLANNING_FC!$DA$4:$DO$23,MATCH($W268,PLANNING_FC!$CZ$4:$CZ$23,0),FALSE),0),0)</f>
        <v>0</v>
      </c>
      <c r="BB268" s="883" t="str">
        <f>IF(V268="BRAND.com",IFERROR(HLOOKUP(X268&amp;Z268,PLANNING_FC!$AK$4:$AY$23,MATCH(W268,PLANNING_FC!$AJ$4:$AJ$23,0),FALSE)*1000,""),"")</f>
        <v/>
      </c>
      <c r="BC268" s="883" t="str">
        <f>IF(V268="BRAND.com",IFERROR(HLOOKUP(X268&amp;Z268,PLANNING_FC!$AK$27:$AY$46,MATCH(W268,PLANNING_FC!$AJ$27:$AJ$46,0),FALSE)*1000,""),"")</f>
        <v/>
      </c>
    </row>
    <row r="269" spans="1:55" x14ac:dyDescent="0.25">
      <c r="A269" s="509"/>
      <c r="B269" s="509"/>
      <c r="C269" s="509"/>
      <c r="D269" s="509"/>
      <c r="E269" s="509"/>
      <c r="F269" s="509"/>
      <c r="G269" s="509"/>
      <c r="H269" s="509"/>
      <c r="I269" s="512"/>
      <c r="J269" s="513"/>
      <c r="K269" s="879"/>
      <c r="L269" s="515"/>
      <c r="M269" s="516"/>
      <c r="N269" s="56">
        <f t="shared" si="106"/>
        <v>0</v>
      </c>
      <c r="O269" s="57">
        <f t="shared" si="107"/>
        <v>0</v>
      </c>
      <c r="P269" s="57">
        <f ca="1">IFERROR(IF(ISBLANK(H269),SUMIFS($AC:$AC,$V:$V,V269,$W:$W,W269,$X:$X,X269,$Y:$Y,Y269)*J269/(1-J269)*VLOOKUP(_xlfn.CONCAT(C269,D269,E269,TIME!$M$12,Z269),HIS_SALES!$B$2:$W$4859,20,FALSE),AC269*J269/(1-J269)),0)</f>
        <v>0</v>
      </c>
      <c r="Q269" s="541" t="str">
        <f t="shared" si="108"/>
        <v/>
      </c>
      <c r="R269" s="346" t="str">
        <f t="shared" si="109"/>
        <v>00000</v>
      </c>
      <c r="S269" s="344">
        <f t="shared" si="110"/>
        <v>0</v>
      </c>
      <c r="T269" s="345" t="str">
        <f t="shared" si="123"/>
        <v>000</v>
      </c>
      <c r="U269" s="345">
        <f t="shared" si="111"/>
        <v>0</v>
      </c>
      <c r="V269" s="345">
        <f t="shared" si="112"/>
        <v>0</v>
      </c>
      <c r="W269" s="345">
        <f t="shared" si="113"/>
        <v>0</v>
      </c>
      <c r="X269" s="345">
        <f t="shared" si="114"/>
        <v>0</v>
      </c>
      <c r="Y269" s="345">
        <f t="shared" si="115"/>
        <v>0</v>
      </c>
      <c r="Z269" s="345">
        <f>IF(Q269&lt;&gt;"",VLOOKUP(Y269,TIME!$R$21:$V$24,MATCH(FC_DATA!Q269,TIME!$R$20:$V$20,0),FALSE),H269)</f>
        <v>0</v>
      </c>
      <c r="AA269" s="345" t="str">
        <f>IFERROR(VLOOKUP(X269&amp;Z269,TIME!$A$12:$D$71,4,FALSE),"")</f>
        <v/>
      </c>
      <c r="AB269" s="592">
        <f t="shared" ca="1" si="116"/>
        <v>0</v>
      </c>
      <c r="AC269" s="593" t="e">
        <f ca="1">IF(ISBLANK(H269)=FALSE,IF(D269="BRAND.com",I269,IF(ISNA(VLOOKUP(_xlfn.CONCAT(X269,Z269),TIME!$M$40:$M$42,1,FALSE)),I269,VLOOKUP(_xlfn.CONCAT(D269,G269,H269),M_BUSAREA_FC!$AF$5:$AJ$10,5,FALSE)*HLOOKUP(_xlfn.CONCAT(F269,H269),ST_OVERVIEW!$G$99:$I$130,MATCH(_xlfn.CONCAT(D269,E269),ST_OVERVIEW!$F$99:$F$130,0),FALSE))),IF(D269="BRAND.com",VLOOKUP(_xlfn.CONCAT(C269,D269,E269,TIME!$F$1,Z269),HIS_SALES!$B$2:$V$4859,19,FALSE)*I269,VLOOKUP(_xlfn.CONCAT(D269,F269,G269),Q_BUSAREA_FC!$AE$5:$AI$12,5,FALSE)*HLOOKUP(_xlfn.CONCAT(FC_DATA!F269,FC_DATA!G269),LT_OVERVIEW!$I$99:$M$130,MATCH(_xlfn.CONCAT(D269,FC_DATA!E269),LT_OVERVIEW!$H$99:$H$130,0),FALSE)*IFERROR(VLOOKUP(_xlfn.CONCAT(C269,D269,E269,TIME!$F$1,Z269),HIS_SALES!$B$2:$V$4859,19,FALSE),0)))</f>
        <v>#N/A</v>
      </c>
      <c r="AD269" s="341">
        <f t="shared" ca="1" si="117"/>
        <v>0</v>
      </c>
      <c r="AE269" s="363" t="str">
        <f t="shared" si="118"/>
        <v/>
      </c>
      <c r="AF269" s="342" t="str">
        <f t="shared" si="119"/>
        <v/>
      </c>
      <c r="AG269" s="411" t="e">
        <f ca="1">VLOOKUP(_xlfn.CONCAT(U269,V269,W269,VLOOKUP(X269&amp;Y269,TIME!$L$27:$O$34,4,FALSE),Y269),HIS_SALES!$A$2:$R$5093,18,FALSE)</f>
        <v>#N/A</v>
      </c>
      <c r="AH269" s="412" t="e">
        <f ca="1">IFERROR(IF(AND(V269=V268,W269=W268),0.5*(AB269+AB268)*AG269,(VLOOKUP(_xlfn.CONCAT(U269,V269,W269,X269,VLOOKUP(Z269,TIME!$S$28:$T$39,2,FALSE)),FC_DATA!$R$2:$AB$5000,MATCH("GS_I_M",FC_DATA!$R$1:$AB$1,0),FALSE)+FC_DATA!AB269)*0.5*FC_DATA!AG269),NA())</f>
        <v>#N/A</v>
      </c>
      <c r="AI269" s="491" t="e">
        <f ca="1">IF(V269="PARTNER.com",AH269,IF(AND(V269=V268,W269=W268),(1-AVERAGE(AD268,AD269))*AH269,(1-AVERAGE(AD269,VLOOKUP(_xlfn.CONCAT(U269,V269,W269,X269,M_BRAND_FC!$F$6),FC_DATA!$R$2:$AD$5000,MATCH("DISCOUNT_%_M",FC_DATA!$R$1:$AD$1,0),FALSE)))*AH269))</f>
        <v>#N/A</v>
      </c>
      <c r="AJ269" s="412" t="str">
        <f t="shared" ca="1" si="120"/>
        <v/>
      </c>
      <c r="AK269" s="413" t="str">
        <f>IFERROR(AE269/(Q_BRAND_FC!$T$24+1),"")</f>
        <v/>
      </c>
      <c r="AL269" s="88" t="str">
        <f t="shared" ca="1" si="121"/>
        <v/>
      </c>
      <c r="AM269" s="414" t="str">
        <f t="shared" ca="1" si="122"/>
        <v/>
      </c>
      <c r="AN269" s="58">
        <f>IFERROR(IF($V269="BRAND.com",HLOOKUP($X269&amp;$Z269,NWC_FC_NOOS!$C$4:$Q$23,MATCH(W269,NWC_FC_NOOS!$B$4:$B$23,0),FALSE),0),0)</f>
        <v>0</v>
      </c>
      <c r="AO269" s="57">
        <f>IFERROR(IF($V269="BRAND.com",HLOOKUP($X269&amp;$Z269,NWC_FC_NOOS!$T$4:$AH$23,MATCH(W269,NWC_FC_NOOS!$S$4:$S$23,0),FALSE),0),0)</f>
        <v>0</v>
      </c>
      <c r="AP269" s="57">
        <f>IFERROR(IF($V269="BRAND.com",HLOOKUP($X269&amp;$Z269,NWC_FC_NOOS!$C$50:$U$69,MATCH(W269,NWC_FC_NOOS!$B$50:$B$69,0),FALSE),0),0)</f>
        <v>0</v>
      </c>
      <c r="AQ269" s="58">
        <f>IFERROR(IF($V269="BRAND.com",HLOOKUP($X269&amp;$Z269,'NWC_FC_NON-NOOS'!$C$4:$Q$23,MATCH(W269,'NWC_FC_NON-NOOS'!$B$4:$B$23,0),FALSE),0),0)</f>
        <v>0</v>
      </c>
      <c r="AR269" s="57">
        <f>IFERROR(IF($V269="BRAND.com",HLOOKUP($X269&amp;$Z269,'NWC_FC_NON-NOOS'!$T$4:$AH$23,MATCH(W269,'NWC_FC_NON-NOOS'!$S$4:$S$23,0),FALSE),0),0)</f>
        <v>0</v>
      </c>
      <c r="AS269" s="57">
        <f>IFERROR(IF($V269="BRAND.com",HLOOKUP($X269&amp;$Z269,'NWC_FC_NON-NOOS'!$C$50:$U$69,MATCH(W269,'NWC_FC_NON-NOOS'!$B$50:$B$69,0),FALSE),0),0)</f>
        <v>0</v>
      </c>
      <c r="AT269" s="57">
        <f t="shared" si="124"/>
        <v>0</v>
      </c>
      <c r="AU269" s="57">
        <f t="shared" si="125"/>
        <v>0</v>
      </c>
      <c r="AV269" s="58">
        <f>IFERROR(IF($V269="BRAND.com",HLOOKUP($X269&amp;$Z269,PLANNING_FC!$BB$27:$BP$46,MATCH($W269,PLANNING_FC!$BA$27:$BA$46,0),FALSE),0),0)</f>
        <v>0</v>
      </c>
      <c r="AW269" s="58">
        <f>IFERROR(IF($V269="BRAND.com",HLOOKUP($X269&amp;$Z269,PLANNING_FC!$BB$4:$BP$23,MATCH($W269,PLANNING_FC!$BA$4:$BA$23,0),FALSE),0),0)</f>
        <v>0</v>
      </c>
      <c r="AX269" s="58">
        <f>IFERROR(IF($V269="BRAND.com",HLOOKUP($X269&amp;$Z269,PLANNING_FC!$T$27:$AH$46,MATCH($W269,PLANNING_FC!$B$27:$B$46,0),FALSE),0),0)</f>
        <v>0</v>
      </c>
      <c r="AY269" s="58">
        <f>IFERROR(IF($V269="BRAND.com",HLOOKUP($X269&amp;$Z269,PLANNING_FC!$T$4:$AH$23,MATCH($W269,PLANNING_FC!$B$4:$B$23,0),FALSE),0),0)</f>
        <v>0</v>
      </c>
      <c r="AZ269" s="58">
        <f>IFERROR(IF($V269="BRAND.com",HLOOKUP($X269&amp;$Z269,PLANNING_FC!$DA$27:$DO$46,MATCH($W269,PLANNING_FC!$CZ$27:$CZ$46,0),FALSE),0),0)</f>
        <v>0</v>
      </c>
      <c r="BA269" s="58">
        <f>IFERROR(IF($V269="BRAND.com",HLOOKUP($X269&amp;$Z269,PLANNING_FC!$DA$4:$DO$23,MATCH($W269,PLANNING_FC!$CZ$4:$CZ$23,0),FALSE),0),0)</f>
        <v>0</v>
      </c>
      <c r="BB269" s="883" t="str">
        <f>IF(V269="BRAND.com",IFERROR(HLOOKUP(X269&amp;Z269,PLANNING_FC!$AK$4:$AY$23,MATCH(W269,PLANNING_FC!$AJ$4:$AJ$23,0),FALSE)*1000,""),"")</f>
        <v/>
      </c>
      <c r="BC269" s="883" t="str">
        <f>IF(V269="BRAND.com",IFERROR(HLOOKUP(X269&amp;Z269,PLANNING_FC!$AK$27:$AY$46,MATCH(W269,PLANNING_FC!$AJ$27:$AJ$46,0),FALSE)*1000,""),"")</f>
        <v/>
      </c>
    </row>
    <row r="270" spans="1:55" x14ac:dyDescent="0.25">
      <c r="A270" s="509"/>
      <c r="B270" s="509"/>
      <c r="C270" s="509"/>
      <c r="D270" s="509"/>
      <c r="E270" s="509"/>
      <c r="F270" s="509"/>
      <c r="G270" s="509"/>
      <c r="H270" s="509"/>
      <c r="I270" s="512"/>
      <c r="J270" s="513"/>
      <c r="K270" s="879"/>
      <c r="L270" s="515"/>
      <c r="M270" s="516"/>
      <c r="N270" s="56">
        <f t="shared" si="106"/>
        <v>0</v>
      </c>
      <c r="O270" s="57">
        <f t="shared" si="107"/>
        <v>0</v>
      </c>
      <c r="P270" s="57">
        <f ca="1">IFERROR(IF(ISBLANK(H270),SUMIFS($AC:$AC,$V:$V,V270,$W:$W,W270,$X:$X,X270,$Y:$Y,Y270)*J270/(1-J270)*VLOOKUP(_xlfn.CONCAT(C270,D270,E270,TIME!$M$12,Z270),HIS_SALES!$B$2:$W$4859,20,FALSE),AC270*J270/(1-J270)),0)</f>
        <v>0</v>
      </c>
      <c r="Q270" s="541" t="str">
        <f t="shared" si="108"/>
        <v/>
      </c>
      <c r="R270" s="346" t="str">
        <f t="shared" si="109"/>
        <v>00000</v>
      </c>
      <c r="S270" s="344">
        <f t="shared" si="110"/>
        <v>0</v>
      </c>
      <c r="T270" s="345" t="str">
        <f t="shared" si="123"/>
        <v>000</v>
      </c>
      <c r="U270" s="345">
        <f t="shared" si="111"/>
        <v>0</v>
      </c>
      <c r="V270" s="345">
        <f t="shared" si="112"/>
        <v>0</v>
      </c>
      <c r="W270" s="345">
        <f t="shared" si="113"/>
        <v>0</v>
      </c>
      <c r="X270" s="345">
        <f t="shared" si="114"/>
        <v>0</v>
      </c>
      <c r="Y270" s="345">
        <f t="shared" si="115"/>
        <v>0</v>
      </c>
      <c r="Z270" s="345">
        <f>IF(Q270&lt;&gt;"",VLOOKUP(Y270,TIME!$R$21:$V$24,MATCH(FC_DATA!Q270,TIME!$R$20:$V$20,0),FALSE),H270)</f>
        <v>0</v>
      </c>
      <c r="AA270" s="345" t="str">
        <f>IFERROR(VLOOKUP(X270&amp;Z270,TIME!$A$12:$D$71,4,FALSE),"")</f>
        <v/>
      </c>
      <c r="AB270" s="592">
        <f t="shared" ca="1" si="116"/>
        <v>0</v>
      </c>
      <c r="AC270" s="593" t="e">
        <f ca="1">IF(ISBLANK(H270)=FALSE,IF(D270="BRAND.com",I270,IF(ISNA(VLOOKUP(_xlfn.CONCAT(X270,Z270),TIME!$M$40:$M$42,1,FALSE)),I270,VLOOKUP(_xlfn.CONCAT(D270,G270,H270),M_BUSAREA_FC!$AF$5:$AJ$10,5,FALSE)*HLOOKUP(_xlfn.CONCAT(F270,H270),ST_OVERVIEW!$G$99:$I$130,MATCH(_xlfn.CONCAT(D270,E270),ST_OVERVIEW!$F$99:$F$130,0),FALSE))),IF(D270="BRAND.com",VLOOKUP(_xlfn.CONCAT(C270,D270,E270,TIME!$F$1,Z270),HIS_SALES!$B$2:$V$4859,19,FALSE)*I270,VLOOKUP(_xlfn.CONCAT(D270,F270,G270),Q_BUSAREA_FC!$AE$5:$AI$12,5,FALSE)*HLOOKUP(_xlfn.CONCAT(FC_DATA!F270,FC_DATA!G270),LT_OVERVIEW!$I$99:$M$130,MATCH(_xlfn.CONCAT(D270,FC_DATA!E270),LT_OVERVIEW!$H$99:$H$130,0),FALSE)*IFERROR(VLOOKUP(_xlfn.CONCAT(C270,D270,E270,TIME!$F$1,Z270),HIS_SALES!$B$2:$V$4859,19,FALSE),0)))</f>
        <v>#N/A</v>
      </c>
      <c r="AD270" s="341">
        <f t="shared" ca="1" si="117"/>
        <v>0</v>
      </c>
      <c r="AE270" s="363" t="str">
        <f t="shared" si="118"/>
        <v/>
      </c>
      <c r="AF270" s="342" t="str">
        <f t="shared" si="119"/>
        <v/>
      </c>
      <c r="AG270" s="411" t="e">
        <f ca="1">VLOOKUP(_xlfn.CONCAT(U270,V270,W270,VLOOKUP(X270&amp;Y270,TIME!$L$27:$O$34,4,FALSE),Y270),HIS_SALES!$A$2:$R$5093,18,FALSE)</f>
        <v>#N/A</v>
      </c>
      <c r="AH270" s="412" t="e">
        <f ca="1">IFERROR(IF(AND(V270=V269,W270=W269),0.5*(AB270+AB269)*AG270,(VLOOKUP(_xlfn.CONCAT(U270,V270,W270,X270,VLOOKUP(Z270,TIME!$S$28:$T$39,2,FALSE)),FC_DATA!$R$2:$AB$5000,MATCH("GS_I_M",FC_DATA!$R$1:$AB$1,0),FALSE)+FC_DATA!AB270)*0.5*FC_DATA!AG270),NA())</f>
        <v>#N/A</v>
      </c>
      <c r="AI270" s="491" t="e">
        <f ca="1">IF(V270="PARTNER.com",AH270,IF(AND(V270=V269,W270=W269),(1-AVERAGE(AD269,AD270))*AH270,(1-AVERAGE(AD270,VLOOKUP(_xlfn.CONCAT(U270,V270,W270,X270,M_BRAND_FC!$F$6),FC_DATA!$R$2:$AD$5000,MATCH("DISCOUNT_%_M",FC_DATA!$R$1:$AD$1,0),FALSE)))*AH270))</f>
        <v>#N/A</v>
      </c>
      <c r="AJ270" s="412" t="str">
        <f t="shared" ca="1" si="120"/>
        <v/>
      </c>
      <c r="AK270" s="413" t="str">
        <f>IFERROR(AE270/(Q_BRAND_FC!$T$24+1),"")</f>
        <v/>
      </c>
      <c r="AL270" s="88" t="str">
        <f t="shared" ca="1" si="121"/>
        <v/>
      </c>
      <c r="AM270" s="414" t="str">
        <f t="shared" ca="1" si="122"/>
        <v/>
      </c>
      <c r="AN270" s="58">
        <f>IFERROR(IF($V270="BRAND.com",HLOOKUP($X270&amp;$Z270,NWC_FC_NOOS!$C$4:$Q$23,MATCH(W270,NWC_FC_NOOS!$B$4:$B$23,0),FALSE),0),0)</f>
        <v>0</v>
      </c>
      <c r="AO270" s="57">
        <f>IFERROR(IF($V270="BRAND.com",HLOOKUP($X270&amp;$Z270,NWC_FC_NOOS!$T$4:$AH$23,MATCH(W270,NWC_FC_NOOS!$S$4:$S$23,0),FALSE),0),0)</f>
        <v>0</v>
      </c>
      <c r="AP270" s="57">
        <f>IFERROR(IF($V270="BRAND.com",HLOOKUP($X270&amp;$Z270,NWC_FC_NOOS!$C$50:$U$69,MATCH(W270,NWC_FC_NOOS!$B$50:$B$69,0),FALSE),0),0)</f>
        <v>0</v>
      </c>
      <c r="AQ270" s="58">
        <f>IFERROR(IF($V270="BRAND.com",HLOOKUP($X270&amp;$Z270,'NWC_FC_NON-NOOS'!$C$4:$Q$23,MATCH(W270,'NWC_FC_NON-NOOS'!$B$4:$B$23,0),FALSE),0),0)</f>
        <v>0</v>
      </c>
      <c r="AR270" s="57">
        <f>IFERROR(IF($V270="BRAND.com",HLOOKUP($X270&amp;$Z270,'NWC_FC_NON-NOOS'!$T$4:$AH$23,MATCH(W270,'NWC_FC_NON-NOOS'!$S$4:$S$23,0),FALSE),0),0)</f>
        <v>0</v>
      </c>
      <c r="AS270" s="57">
        <f>IFERROR(IF($V270="BRAND.com",HLOOKUP($X270&amp;$Z270,'NWC_FC_NON-NOOS'!$C$50:$U$69,MATCH(W270,'NWC_FC_NON-NOOS'!$B$50:$B$69,0),FALSE),0),0)</f>
        <v>0</v>
      </c>
      <c r="AT270" s="57">
        <f t="shared" si="124"/>
        <v>0</v>
      </c>
      <c r="AU270" s="57">
        <f t="shared" si="125"/>
        <v>0</v>
      </c>
      <c r="AV270" s="58">
        <f>IFERROR(IF($V270="BRAND.com",HLOOKUP($X270&amp;$Z270,PLANNING_FC!$BB$27:$BP$46,MATCH($W270,PLANNING_FC!$BA$27:$BA$46,0),FALSE),0),0)</f>
        <v>0</v>
      </c>
      <c r="AW270" s="58">
        <f>IFERROR(IF($V270="BRAND.com",HLOOKUP($X270&amp;$Z270,PLANNING_FC!$BB$4:$BP$23,MATCH($W270,PLANNING_FC!$BA$4:$BA$23,0),FALSE),0),0)</f>
        <v>0</v>
      </c>
      <c r="AX270" s="58">
        <f>IFERROR(IF($V270="BRAND.com",HLOOKUP($X270&amp;$Z270,PLANNING_FC!$T$27:$AH$46,MATCH($W270,PLANNING_FC!$B$27:$B$46,0),FALSE),0),0)</f>
        <v>0</v>
      </c>
      <c r="AY270" s="58">
        <f>IFERROR(IF($V270="BRAND.com",HLOOKUP($X270&amp;$Z270,PLANNING_FC!$T$4:$AH$23,MATCH($W270,PLANNING_FC!$B$4:$B$23,0),FALSE),0),0)</f>
        <v>0</v>
      </c>
      <c r="AZ270" s="58">
        <f>IFERROR(IF($V270="BRAND.com",HLOOKUP($X270&amp;$Z270,PLANNING_FC!$DA$27:$DO$46,MATCH($W270,PLANNING_FC!$CZ$27:$CZ$46,0),FALSE),0),0)</f>
        <v>0</v>
      </c>
      <c r="BA270" s="58">
        <f>IFERROR(IF($V270="BRAND.com",HLOOKUP($X270&amp;$Z270,PLANNING_FC!$DA$4:$DO$23,MATCH($W270,PLANNING_FC!$CZ$4:$CZ$23,0),FALSE),0),0)</f>
        <v>0</v>
      </c>
      <c r="BB270" s="883" t="str">
        <f>IF(V270="BRAND.com",IFERROR(HLOOKUP(X270&amp;Z270,PLANNING_FC!$AK$4:$AY$23,MATCH(W270,PLANNING_FC!$AJ$4:$AJ$23,0),FALSE)*1000,""),"")</f>
        <v/>
      </c>
      <c r="BC270" s="883" t="str">
        <f>IF(V270="BRAND.com",IFERROR(HLOOKUP(X270&amp;Z270,PLANNING_FC!$AK$27:$AY$46,MATCH(W270,PLANNING_FC!$AJ$27:$AJ$46,0),FALSE)*1000,""),"")</f>
        <v/>
      </c>
    </row>
    <row r="271" spans="1:55" x14ac:dyDescent="0.25">
      <c r="A271" s="509"/>
      <c r="B271" s="509"/>
      <c r="C271" s="509"/>
      <c r="D271" s="509"/>
      <c r="E271" s="509"/>
      <c r="F271" s="509"/>
      <c r="G271" s="509"/>
      <c r="H271" s="509"/>
      <c r="I271" s="512"/>
      <c r="J271" s="513"/>
      <c r="K271" s="879"/>
      <c r="L271" s="515"/>
      <c r="M271" s="516"/>
      <c r="N271" s="56">
        <f t="shared" si="106"/>
        <v>0</v>
      </c>
      <c r="O271" s="57">
        <f t="shared" si="107"/>
        <v>0</v>
      </c>
      <c r="P271" s="57">
        <f ca="1">IFERROR(IF(ISBLANK(H271),SUMIFS($AC:$AC,$V:$V,V271,$W:$W,W271,$X:$X,X271,$Y:$Y,Y271)*J271/(1-J271)*VLOOKUP(_xlfn.CONCAT(C271,D271,E271,TIME!$M$12,Z271),HIS_SALES!$B$2:$W$4859,20,FALSE),AC271*J271/(1-J271)),0)</f>
        <v>0</v>
      </c>
      <c r="Q271" s="541" t="str">
        <f t="shared" si="108"/>
        <v/>
      </c>
      <c r="R271" s="346" t="str">
        <f t="shared" si="109"/>
        <v>00000</v>
      </c>
      <c r="S271" s="344">
        <f t="shared" si="110"/>
        <v>0</v>
      </c>
      <c r="T271" s="345" t="str">
        <f t="shared" si="123"/>
        <v>000</v>
      </c>
      <c r="U271" s="345">
        <f t="shared" si="111"/>
        <v>0</v>
      </c>
      <c r="V271" s="345">
        <f t="shared" si="112"/>
        <v>0</v>
      </c>
      <c r="W271" s="345">
        <f t="shared" si="113"/>
        <v>0</v>
      </c>
      <c r="X271" s="345">
        <f t="shared" si="114"/>
        <v>0</v>
      </c>
      <c r="Y271" s="345">
        <f t="shared" si="115"/>
        <v>0</v>
      </c>
      <c r="Z271" s="345">
        <f>IF(Q271&lt;&gt;"",VLOOKUP(Y271,TIME!$R$21:$V$24,MATCH(FC_DATA!Q271,TIME!$R$20:$V$20,0),FALSE),H271)</f>
        <v>0</v>
      </c>
      <c r="AA271" s="345" t="str">
        <f>IFERROR(VLOOKUP(X271&amp;Z271,TIME!$A$12:$D$71,4,FALSE),"")</f>
        <v/>
      </c>
      <c r="AB271" s="592">
        <f t="shared" ca="1" si="116"/>
        <v>0</v>
      </c>
      <c r="AC271" s="593" t="e">
        <f ca="1">IF(ISBLANK(H271)=FALSE,IF(D271="BRAND.com",I271,IF(ISNA(VLOOKUP(_xlfn.CONCAT(X271,Z271),TIME!$M$40:$M$42,1,FALSE)),I271,VLOOKUP(_xlfn.CONCAT(D271,G271,H271),M_BUSAREA_FC!$AF$5:$AJ$10,5,FALSE)*HLOOKUP(_xlfn.CONCAT(F271,H271),ST_OVERVIEW!$G$99:$I$130,MATCH(_xlfn.CONCAT(D271,E271),ST_OVERVIEW!$F$99:$F$130,0),FALSE))),IF(D271="BRAND.com",VLOOKUP(_xlfn.CONCAT(C271,D271,E271,TIME!$F$1,Z271),HIS_SALES!$B$2:$V$4859,19,FALSE)*I271,VLOOKUP(_xlfn.CONCAT(D271,F271,G271),Q_BUSAREA_FC!$AE$5:$AI$12,5,FALSE)*HLOOKUP(_xlfn.CONCAT(FC_DATA!F271,FC_DATA!G271),LT_OVERVIEW!$I$99:$M$130,MATCH(_xlfn.CONCAT(D271,FC_DATA!E271),LT_OVERVIEW!$H$99:$H$130,0),FALSE)*IFERROR(VLOOKUP(_xlfn.CONCAT(C271,D271,E271,TIME!$F$1,Z271),HIS_SALES!$B$2:$V$4859,19,FALSE),0)))</f>
        <v>#N/A</v>
      </c>
      <c r="AD271" s="341">
        <f t="shared" ca="1" si="117"/>
        <v>0</v>
      </c>
      <c r="AE271" s="363" t="str">
        <f t="shared" si="118"/>
        <v/>
      </c>
      <c r="AF271" s="342" t="str">
        <f t="shared" si="119"/>
        <v/>
      </c>
      <c r="AG271" s="411" t="e">
        <f ca="1">VLOOKUP(_xlfn.CONCAT(U271,V271,W271,VLOOKUP(X271&amp;Y271,TIME!$L$27:$O$34,4,FALSE),Y271),HIS_SALES!$A$2:$R$5093,18,FALSE)</f>
        <v>#N/A</v>
      </c>
      <c r="AH271" s="412" t="e">
        <f ca="1">IFERROR(IF(AND(V271=V270,W271=W270),0.5*(AB271+AB270)*AG271,(VLOOKUP(_xlfn.CONCAT(U271,V271,W271,X271,VLOOKUP(Z271,TIME!$S$28:$T$39,2,FALSE)),FC_DATA!$R$2:$AB$5000,MATCH("GS_I_M",FC_DATA!$R$1:$AB$1,0),FALSE)+FC_DATA!AB271)*0.5*FC_DATA!AG271),NA())</f>
        <v>#N/A</v>
      </c>
      <c r="AI271" s="491" t="e">
        <f ca="1">IF(V271="PARTNER.com",AH271,IF(AND(V271=V270,W271=W270),(1-AVERAGE(AD270,AD271))*AH271,(1-AVERAGE(AD271,VLOOKUP(_xlfn.CONCAT(U271,V271,W271,X271,M_BRAND_FC!$F$6),FC_DATA!$R$2:$AD$5000,MATCH("DISCOUNT_%_M",FC_DATA!$R$1:$AD$1,0),FALSE)))*AH271))</f>
        <v>#N/A</v>
      </c>
      <c r="AJ271" s="412" t="str">
        <f t="shared" ca="1" si="120"/>
        <v/>
      </c>
      <c r="AK271" s="413" t="str">
        <f>IFERROR(AE271/(Q_BRAND_FC!$T$24+1),"")</f>
        <v/>
      </c>
      <c r="AL271" s="88" t="str">
        <f t="shared" ca="1" si="121"/>
        <v/>
      </c>
      <c r="AM271" s="414" t="str">
        <f t="shared" ca="1" si="122"/>
        <v/>
      </c>
      <c r="AN271" s="58">
        <f>IFERROR(IF($V271="BRAND.com",HLOOKUP($X271&amp;$Z271,NWC_FC_NOOS!$C$4:$Q$23,MATCH(W271,NWC_FC_NOOS!$B$4:$B$23,0),FALSE),0),0)</f>
        <v>0</v>
      </c>
      <c r="AO271" s="57">
        <f>IFERROR(IF($V271="BRAND.com",HLOOKUP($X271&amp;$Z271,NWC_FC_NOOS!$T$4:$AH$23,MATCH(W271,NWC_FC_NOOS!$S$4:$S$23,0),FALSE),0),0)</f>
        <v>0</v>
      </c>
      <c r="AP271" s="57">
        <f>IFERROR(IF($V271="BRAND.com",HLOOKUP($X271&amp;$Z271,NWC_FC_NOOS!$C$50:$U$69,MATCH(W271,NWC_FC_NOOS!$B$50:$B$69,0),FALSE),0),0)</f>
        <v>0</v>
      </c>
      <c r="AQ271" s="58">
        <f>IFERROR(IF($V271="BRAND.com",HLOOKUP($X271&amp;$Z271,'NWC_FC_NON-NOOS'!$C$4:$Q$23,MATCH(W271,'NWC_FC_NON-NOOS'!$B$4:$B$23,0),FALSE),0),0)</f>
        <v>0</v>
      </c>
      <c r="AR271" s="57">
        <f>IFERROR(IF($V271="BRAND.com",HLOOKUP($X271&amp;$Z271,'NWC_FC_NON-NOOS'!$T$4:$AH$23,MATCH(W271,'NWC_FC_NON-NOOS'!$S$4:$S$23,0),FALSE),0),0)</f>
        <v>0</v>
      </c>
      <c r="AS271" s="57">
        <f>IFERROR(IF($V271="BRAND.com",HLOOKUP($X271&amp;$Z271,'NWC_FC_NON-NOOS'!$C$50:$U$69,MATCH(W271,'NWC_FC_NON-NOOS'!$B$50:$B$69,0),FALSE),0),0)</f>
        <v>0</v>
      </c>
      <c r="AT271" s="57">
        <f t="shared" si="124"/>
        <v>0</v>
      </c>
      <c r="AU271" s="57">
        <f t="shared" si="125"/>
        <v>0</v>
      </c>
      <c r="AV271" s="58">
        <f>IFERROR(IF($V271="BRAND.com",HLOOKUP($X271&amp;$Z271,PLANNING_FC!$BB$27:$BP$46,MATCH($W271,PLANNING_FC!$BA$27:$BA$46,0),FALSE),0),0)</f>
        <v>0</v>
      </c>
      <c r="AW271" s="58">
        <f>IFERROR(IF($V271="BRAND.com",HLOOKUP($X271&amp;$Z271,PLANNING_FC!$BB$4:$BP$23,MATCH($W271,PLANNING_FC!$BA$4:$BA$23,0),FALSE),0),0)</f>
        <v>0</v>
      </c>
      <c r="AX271" s="58">
        <f>IFERROR(IF($V271="BRAND.com",HLOOKUP($X271&amp;$Z271,PLANNING_FC!$T$27:$AH$46,MATCH($W271,PLANNING_FC!$B$27:$B$46,0),FALSE),0),0)</f>
        <v>0</v>
      </c>
      <c r="AY271" s="58">
        <f>IFERROR(IF($V271="BRAND.com",HLOOKUP($X271&amp;$Z271,PLANNING_FC!$T$4:$AH$23,MATCH($W271,PLANNING_FC!$B$4:$B$23,0),FALSE),0),0)</f>
        <v>0</v>
      </c>
      <c r="AZ271" s="58">
        <f>IFERROR(IF($V271="BRAND.com",HLOOKUP($X271&amp;$Z271,PLANNING_FC!$DA$27:$DO$46,MATCH($W271,PLANNING_FC!$CZ$27:$CZ$46,0),FALSE),0),0)</f>
        <v>0</v>
      </c>
      <c r="BA271" s="58">
        <f>IFERROR(IF($V271="BRAND.com",HLOOKUP($X271&amp;$Z271,PLANNING_FC!$DA$4:$DO$23,MATCH($W271,PLANNING_FC!$CZ$4:$CZ$23,0),FALSE),0),0)</f>
        <v>0</v>
      </c>
      <c r="BB271" s="883" t="str">
        <f>IF(V271="BRAND.com",IFERROR(HLOOKUP(X271&amp;Z271,PLANNING_FC!$AK$4:$AY$23,MATCH(W271,PLANNING_FC!$AJ$4:$AJ$23,0),FALSE)*1000,""),"")</f>
        <v/>
      </c>
      <c r="BC271" s="883" t="str">
        <f>IF(V271="BRAND.com",IFERROR(HLOOKUP(X271&amp;Z271,PLANNING_FC!$AK$27:$AY$46,MATCH(W271,PLANNING_FC!$AJ$27:$AJ$46,0),FALSE)*1000,""),"")</f>
        <v/>
      </c>
    </row>
    <row r="272" spans="1:55" x14ac:dyDescent="0.25">
      <c r="A272" s="509"/>
      <c r="B272" s="509"/>
      <c r="C272" s="509"/>
      <c r="D272" s="509"/>
      <c r="E272" s="509"/>
      <c r="F272" s="509"/>
      <c r="G272" s="509"/>
      <c r="H272" s="509"/>
      <c r="I272" s="512"/>
      <c r="J272" s="513"/>
      <c r="K272" s="879"/>
      <c r="L272" s="515"/>
      <c r="M272" s="516"/>
      <c r="N272" s="56">
        <f t="shared" si="106"/>
        <v>0</v>
      </c>
      <c r="O272" s="57">
        <f t="shared" si="107"/>
        <v>0</v>
      </c>
      <c r="P272" s="57">
        <f ca="1">IFERROR(IF(ISBLANK(H272),SUMIFS($AC:$AC,$V:$V,V272,$W:$W,W272,$X:$X,X272,$Y:$Y,Y272)*J272/(1-J272)*VLOOKUP(_xlfn.CONCAT(C272,D272,E272,TIME!$M$12,Z272),HIS_SALES!$B$2:$W$4859,20,FALSE),AC272*J272/(1-J272)),0)</f>
        <v>0</v>
      </c>
      <c r="Q272" s="541" t="str">
        <f t="shared" si="108"/>
        <v/>
      </c>
      <c r="R272" s="346" t="str">
        <f t="shared" si="109"/>
        <v>00000</v>
      </c>
      <c r="S272" s="344">
        <f t="shared" si="110"/>
        <v>0</v>
      </c>
      <c r="T272" s="345" t="str">
        <f t="shared" si="123"/>
        <v>000</v>
      </c>
      <c r="U272" s="345">
        <f t="shared" si="111"/>
        <v>0</v>
      </c>
      <c r="V272" s="345">
        <f t="shared" si="112"/>
        <v>0</v>
      </c>
      <c r="W272" s="345">
        <f t="shared" si="113"/>
        <v>0</v>
      </c>
      <c r="X272" s="345">
        <f t="shared" si="114"/>
        <v>0</v>
      </c>
      <c r="Y272" s="345">
        <f t="shared" si="115"/>
        <v>0</v>
      </c>
      <c r="Z272" s="345">
        <f>IF(Q272&lt;&gt;"",VLOOKUP(Y272,TIME!$R$21:$V$24,MATCH(FC_DATA!Q272,TIME!$R$20:$V$20,0),FALSE),H272)</f>
        <v>0</v>
      </c>
      <c r="AA272" s="345" t="str">
        <f>IFERROR(VLOOKUP(X272&amp;Z272,TIME!$A$12:$D$71,4,FALSE),"")</f>
        <v/>
      </c>
      <c r="AB272" s="592">
        <f t="shared" ca="1" si="116"/>
        <v>0</v>
      </c>
      <c r="AC272" s="593" t="e">
        <f ca="1">IF(ISBLANK(H272)=FALSE,IF(D272="BRAND.com",I272,IF(ISNA(VLOOKUP(_xlfn.CONCAT(X272,Z272),TIME!$M$40:$M$42,1,FALSE)),I272,VLOOKUP(_xlfn.CONCAT(D272,G272,H272),M_BUSAREA_FC!$AF$5:$AJ$10,5,FALSE)*HLOOKUP(_xlfn.CONCAT(F272,H272),ST_OVERVIEW!$G$99:$I$130,MATCH(_xlfn.CONCAT(D272,E272),ST_OVERVIEW!$F$99:$F$130,0),FALSE))),IF(D272="BRAND.com",VLOOKUP(_xlfn.CONCAT(C272,D272,E272,TIME!$F$1,Z272),HIS_SALES!$B$2:$V$4859,19,FALSE)*I272,VLOOKUP(_xlfn.CONCAT(D272,F272,G272),Q_BUSAREA_FC!$AE$5:$AI$12,5,FALSE)*HLOOKUP(_xlfn.CONCAT(FC_DATA!F272,FC_DATA!G272),LT_OVERVIEW!$I$99:$M$130,MATCH(_xlfn.CONCAT(D272,FC_DATA!E272),LT_OVERVIEW!$H$99:$H$130,0),FALSE)*IFERROR(VLOOKUP(_xlfn.CONCAT(C272,D272,E272,TIME!$F$1,Z272),HIS_SALES!$B$2:$V$4859,19,FALSE),0)))</f>
        <v>#N/A</v>
      </c>
      <c r="AD272" s="341">
        <f t="shared" ca="1" si="117"/>
        <v>0</v>
      </c>
      <c r="AE272" s="363" t="str">
        <f t="shared" si="118"/>
        <v/>
      </c>
      <c r="AF272" s="342" t="str">
        <f t="shared" si="119"/>
        <v/>
      </c>
      <c r="AG272" s="411" t="e">
        <f ca="1">VLOOKUP(_xlfn.CONCAT(U272,V272,W272,VLOOKUP(X272&amp;Y272,TIME!$L$27:$O$34,4,FALSE),Y272),HIS_SALES!$A$2:$R$5093,18,FALSE)</f>
        <v>#N/A</v>
      </c>
      <c r="AH272" s="412" t="e">
        <f ca="1">IFERROR(IF(AND(V272=V271,W272=W271),0.5*(AB272+AB271)*AG272,(VLOOKUP(_xlfn.CONCAT(U272,V272,W272,X272,VLOOKUP(Z272,TIME!$S$28:$T$39,2,FALSE)),FC_DATA!$R$2:$AB$5000,MATCH("GS_I_M",FC_DATA!$R$1:$AB$1,0),FALSE)+FC_DATA!AB272)*0.5*FC_DATA!AG272),NA())</f>
        <v>#N/A</v>
      </c>
      <c r="AI272" s="491" t="e">
        <f ca="1">IF(V272="PARTNER.com",AH272,IF(AND(V272=V271,W272=W271),(1-AVERAGE(AD271,AD272))*AH272,(1-AVERAGE(AD272,VLOOKUP(_xlfn.CONCAT(U272,V272,W272,X272,M_BRAND_FC!$F$6),FC_DATA!$R$2:$AD$5000,MATCH("DISCOUNT_%_M",FC_DATA!$R$1:$AD$1,0),FALSE)))*AH272))</f>
        <v>#N/A</v>
      </c>
      <c r="AJ272" s="412" t="str">
        <f t="shared" ca="1" si="120"/>
        <v/>
      </c>
      <c r="AK272" s="413" t="str">
        <f>IFERROR(AE272/(Q_BRAND_FC!$T$24+1),"")</f>
        <v/>
      </c>
      <c r="AL272" s="88" t="str">
        <f t="shared" ca="1" si="121"/>
        <v/>
      </c>
      <c r="AM272" s="414" t="str">
        <f t="shared" ca="1" si="122"/>
        <v/>
      </c>
      <c r="AN272" s="58">
        <f>IFERROR(IF($V272="BRAND.com",HLOOKUP($X272&amp;$Z272,NWC_FC_NOOS!$C$4:$Q$23,MATCH(W272,NWC_FC_NOOS!$B$4:$B$23,0),FALSE),0),0)</f>
        <v>0</v>
      </c>
      <c r="AO272" s="57">
        <f>IFERROR(IF($V272="BRAND.com",HLOOKUP($X272&amp;$Z272,NWC_FC_NOOS!$T$4:$AH$23,MATCH(W272,NWC_FC_NOOS!$S$4:$S$23,0),FALSE),0),0)</f>
        <v>0</v>
      </c>
      <c r="AP272" s="57">
        <f>IFERROR(IF($V272="BRAND.com",HLOOKUP($X272&amp;$Z272,NWC_FC_NOOS!$C$50:$U$69,MATCH(W272,NWC_FC_NOOS!$B$50:$B$69,0),FALSE),0),0)</f>
        <v>0</v>
      </c>
      <c r="AQ272" s="58">
        <f>IFERROR(IF($V272="BRAND.com",HLOOKUP($X272&amp;$Z272,'NWC_FC_NON-NOOS'!$C$4:$Q$23,MATCH(W272,'NWC_FC_NON-NOOS'!$B$4:$B$23,0),FALSE),0),0)</f>
        <v>0</v>
      </c>
      <c r="AR272" s="57">
        <f>IFERROR(IF($V272="BRAND.com",HLOOKUP($X272&amp;$Z272,'NWC_FC_NON-NOOS'!$T$4:$AH$23,MATCH(W272,'NWC_FC_NON-NOOS'!$S$4:$S$23,0),FALSE),0),0)</f>
        <v>0</v>
      </c>
      <c r="AS272" s="57">
        <f>IFERROR(IF($V272="BRAND.com",HLOOKUP($X272&amp;$Z272,'NWC_FC_NON-NOOS'!$C$50:$U$69,MATCH(W272,'NWC_FC_NON-NOOS'!$B$50:$B$69,0),FALSE),0),0)</f>
        <v>0</v>
      </c>
      <c r="AT272" s="57">
        <f t="shared" si="124"/>
        <v>0</v>
      </c>
      <c r="AU272" s="57">
        <f t="shared" si="125"/>
        <v>0</v>
      </c>
      <c r="AV272" s="58">
        <f>IFERROR(IF($V272="BRAND.com",HLOOKUP($X272&amp;$Z272,PLANNING_FC!$BB$27:$BP$46,MATCH($W272,PLANNING_FC!$BA$27:$BA$46,0),FALSE),0),0)</f>
        <v>0</v>
      </c>
      <c r="AW272" s="58">
        <f>IFERROR(IF($V272="BRAND.com",HLOOKUP($X272&amp;$Z272,PLANNING_FC!$BB$4:$BP$23,MATCH($W272,PLANNING_FC!$BA$4:$BA$23,0),FALSE),0),0)</f>
        <v>0</v>
      </c>
      <c r="AX272" s="58">
        <f>IFERROR(IF($V272="BRAND.com",HLOOKUP($X272&amp;$Z272,PLANNING_FC!$T$27:$AH$46,MATCH($W272,PLANNING_FC!$B$27:$B$46,0),FALSE),0),0)</f>
        <v>0</v>
      </c>
      <c r="AY272" s="58">
        <f>IFERROR(IF($V272="BRAND.com",HLOOKUP($X272&amp;$Z272,PLANNING_FC!$T$4:$AH$23,MATCH($W272,PLANNING_FC!$B$4:$B$23,0),FALSE),0),0)</f>
        <v>0</v>
      </c>
      <c r="AZ272" s="58">
        <f>IFERROR(IF($V272="BRAND.com",HLOOKUP($X272&amp;$Z272,PLANNING_FC!$DA$27:$DO$46,MATCH($W272,PLANNING_FC!$CZ$27:$CZ$46,0),FALSE),0),0)</f>
        <v>0</v>
      </c>
      <c r="BA272" s="58">
        <f>IFERROR(IF($V272="BRAND.com",HLOOKUP($X272&amp;$Z272,PLANNING_FC!$DA$4:$DO$23,MATCH($W272,PLANNING_FC!$CZ$4:$CZ$23,0),FALSE),0),0)</f>
        <v>0</v>
      </c>
      <c r="BB272" s="883" t="str">
        <f>IF(V272="BRAND.com",IFERROR(HLOOKUP(X272&amp;Z272,PLANNING_FC!$AK$4:$AY$23,MATCH(W272,PLANNING_FC!$AJ$4:$AJ$23,0),FALSE)*1000,""),"")</f>
        <v/>
      </c>
      <c r="BC272" s="883" t="str">
        <f>IF(V272="BRAND.com",IFERROR(HLOOKUP(X272&amp;Z272,PLANNING_FC!$AK$27:$AY$46,MATCH(W272,PLANNING_FC!$AJ$27:$AJ$46,0),FALSE)*1000,""),"")</f>
        <v/>
      </c>
    </row>
    <row r="273" spans="1:55" x14ac:dyDescent="0.25">
      <c r="A273" s="509"/>
      <c r="B273" s="509"/>
      <c r="C273" s="509"/>
      <c r="D273" s="509"/>
      <c r="E273" s="509"/>
      <c r="F273" s="509"/>
      <c r="G273" s="509"/>
      <c r="H273" s="509"/>
      <c r="I273" s="512"/>
      <c r="J273" s="513"/>
      <c r="K273" s="879"/>
      <c r="L273" s="515"/>
      <c r="M273" s="516"/>
      <c r="N273" s="56">
        <f t="shared" si="106"/>
        <v>0</v>
      </c>
      <c r="O273" s="57">
        <f t="shared" si="107"/>
        <v>0</v>
      </c>
      <c r="P273" s="57">
        <f ca="1">IFERROR(IF(ISBLANK(H273),SUMIFS($AC:$AC,$V:$V,V273,$W:$W,W273,$X:$X,X273,$Y:$Y,Y273)*J273/(1-J273)*VLOOKUP(_xlfn.CONCAT(C273,D273,E273,TIME!$M$12,Z273),HIS_SALES!$B$2:$W$4859,20,FALSE),AC273*J273/(1-J273)),0)</f>
        <v>0</v>
      </c>
      <c r="Q273" s="541" t="str">
        <f t="shared" si="108"/>
        <v/>
      </c>
      <c r="R273" s="346" t="str">
        <f t="shared" si="109"/>
        <v>00000</v>
      </c>
      <c r="S273" s="344">
        <f t="shared" si="110"/>
        <v>0</v>
      </c>
      <c r="T273" s="345" t="str">
        <f t="shared" si="123"/>
        <v>000</v>
      </c>
      <c r="U273" s="345">
        <f t="shared" si="111"/>
        <v>0</v>
      </c>
      <c r="V273" s="345">
        <f t="shared" si="112"/>
        <v>0</v>
      </c>
      <c r="W273" s="345">
        <f t="shared" si="113"/>
        <v>0</v>
      </c>
      <c r="X273" s="345">
        <f t="shared" si="114"/>
        <v>0</v>
      </c>
      <c r="Y273" s="345">
        <f t="shared" si="115"/>
        <v>0</v>
      </c>
      <c r="Z273" s="345">
        <f>IF(Q273&lt;&gt;"",VLOOKUP(Y273,TIME!$R$21:$V$24,MATCH(FC_DATA!Q273,TIME!$R$20:$V$20,0),FALSE),H273)</f>
        <v>0</v>
      </c>
      <c r="AA273" s="345" t="str">
        <f>IFERROR(VLOOKUP(X273&amp;Z273,TIME!$A$12:$D$71,4,FALSE),"")</f>
        <v/>
      </c>
      <c r="AB273" s="592">
        <f t="shared" ca="1" si="116"/>
        <v>0</v>
      </c>
      <c r="AC273" s="593" t="e">
        <f ca="1">IF(ISBLANK(H273)=FALSE,IF(D273="BRAND.com",I273,IF(ISNA(VLOOKUP(_xlfn.CONCAT(X273,Z273),TIME!$M$40:$M$42,1,FALSE)),I273,VLOOKUP(_xlfn.CONCAT(D273,G273,H273),M_BUSAREA_FC!$AF$5:$AJ$10,5,FALSE)*HLOOKUP(_xlfn.CONCAT(F273,H273),ST_OVERVIEW!$G$99:$I$130,MATCH(_xlfn.CONCAT(D273,E273),ST_OVERVIEW!$F$99:$F$130,0),FALSE))),IF(D273="BRAND.com",VLOOKUP(_xlfn.CONCAT(C273,D273,E273,TIME!$F$1,Z273),HIS_SALES!$B$2:$V$4859,19,FALSE)*I273,VLOOKUP(_xlfn.CONCAT(D273,F273,G273),Q_BUSAREA_FC!$AE$5:$AI$12,5,FALSE)*HLOOKUP(_xlfn.CONCAT(FC_DATA!F273,FC_DATA!G273),LT_OVERVIEW!$I$99:$M$130,MATCH(_xlfn.CONCAT(D273,FC_DATA!E273),LT_OVERVIEW!$H$99:$H$130,0),FALSE)*IFERROR(VLOOKUP(_xlfn.CONCAT(C273,D273,E273,TIME!$F$1,Z273),HIS_SALES!$B$2:$V$4859,19,FALSE),0)))</f>
        <v>#N/A</v>
      </c>
      <c r="AD273" s="341">
        <f t="shared" ca="1" si="117"/>
        <v>0</v>
      </c>
      <c r="AE273" s="363" t="str">
        <f t="shared" si="118"/>
        <v/>
      </c>
      <c r="AF273" s="342" t="str">
        <f t="shared" si="119"/>
        <v/>
      </c>
      <c r="AG273" s="411" t="e">
        <f ca="1">VLOOKUP(_xlfn.CONCAT(U273,V273,W273,VLOOKUP(X273&amp;Y273,TIME!$L$27:$O$34,4,FALSE),Y273),HIS_SALES!$A$2:$R$5093,18,FALSE)</f>
        <v>#N/A</v>
      </c>
      <c r="AH273" s="412" t="e">
        <f ca="1">IFERROR(IF(AND(V273=V272,W273=W272),0.5*(AB273+AB272)*AG273,(VLOOKUP(_xlfn.CONCAT(U273,V273,W273,X273,VLOOKUP(Z273,TIME!$S$28:$T$39,2,FALSE)),FC_DATA!$R$2:$AB$5000,MATCH("GS_I_M",FC_DATA!$R$1:$AB$1,0),FALSE)+FC_DATA!AB273)*0.5*FC_DATA!AG273),NA())</f>
        <v>#N/A</v>
      </c>
      <c r="AI273" s="491" t="e">
        <f ca="1">IF(V273="PARTNER.com",AH273,IF(AND(V273=V272,W273=W272),(1-AVERAGE(AD272,AD273))*AH273,(1-AVERAGE(AD273,VLOOKUP(_xlfn.CONCAT(U273,V273,W273,X273,M_BRAND_FC!$F$6),FC_DATA!$R$2:$AD$5000,MATCH("DISCOUNT_%_M",FC_DATA!$R$1:$AD$1,0),FALSE)))*AH273))</f>
        <v>#N/A</v>
      </c>
      <c r="AJ273" s="412" t="str">
        <f t="shared" ca="1" si="120"/>
        <v/>
      </c>
      <c r="AK273" s="413" t="str">
        <f>IFERROR(AE273/(Q_BRAND_FC!$T$24+1),"")</f>
        <v/>
      </c>
      <c r="AL273" s="88" t="str">
        <f t="shared" ca="1" si="121"/>
        <v/>
      </c>
      <c r="AM273" s="414" t="str">
        <f t="shared" ca="1" si="122"/>
        <v/>
      </c>
      <c r="AN273" s="58">
        <f>IFERROR(IF($V273="BRAND.com",HLOOKUP($X273&amp;$Z273,NWC_FC_NOOS!$C$4:$Q$23,MATCH(W273,NWC_FC_NOOS!$B$4:$B$23,0),FALSE),0),0)</f>
        <v>0</v>
      </c>
      <c r="AO273" s="57">
        <f>IFERROR(IF($V273="BRAND.com",HLOOKUP($X273&amp;$Z273,NWC_FC_NOOS!$T$4:$AH$23,MATCH(W273,NWC_FC_NOOS!$S$4:$S$23,0),FALSE),0),0)</f>
        <v>0</v>
      </c>
      <c r="AP273" s="57">
        <f>IFERROR(IF($V273="BRAND.com",HLOOKUP($X273&amp;$Z273,NWC_FC_NOOS!$C$50:$U$69,MATCH(W273,NWC_FC_NOOS!$B$50:$B$69,0),FALSE),0),0)</f>
        <v>0</v>
      </c>
      <c r="AQ273" s="58">
        <f>IFERROR(IF($V273="BRAND.com",HLOOKUP($X273&amp;$Z273,'NWC_FC_NON-NOOS'!$C$4:$Q$23,MATCH(W273,'NWC_FC_NON-NOOS'!$B$4:$B$23,0),FALSE),0),0)</f>
        <v>0</v>
      </c>
      <c r="AR273" s="57">
        <f>IFERROR(IF($V273="BRAND.com",HLOOKUP($X273&amp;$Z273,'NWC_FC_NON-NOOS'!$T$4:$AH$23,MATCH(W273,'NWC_FC_NON-NOOS'!$S$4:$S$23,0),FALSE),0),0)</f>
        <v>0</v>
      </c>
      <c r="AS273" s="57">
        <f>IFERROR(IF($V273="BRAND.com",HLOOKUP($X273&amp;$Z273,'NWC_FC_NON-NOOS'!$C$50:$U$69,MATCH(W273,'NWC_FC_NON-NOOS'!$B$50:$B$69,0),FALSE),0),0)</f>
        <v>0</v>
      </c>
      <c r="AT273" s="57">
        <f t="shared" si="124"/>
        <v>0</v>
      </c>
      <c r="AU273" s="57">
        <f t="shared" si="125"/>
        <v>0</v>
      </c>
      <c r="AV273" s="58">
        <f>IFERROR(IF($V273="BRAND.com",HLOOKUP($X273&amp;$Z273,PLANNING_FC!$BB$27:$BP$46,MATCH($W273,PLANNING_FC!$BA$27:$BA$46,0),FALSE),0),0)</f>
        <v>0</v>
      </c>
      <c r="AW273" s="58">
        <f>IFERROR(IF($V273="BRAND.com",HLOOKUP($X273&amp;$Z273,PLANNING_FC!$BB$4:$BP$23,MATCH($W273,PLANNING_FC!$BA$4:$BA$23,0),FALSE),0),0)</f>
        <v>0</v>
      </c>
      <c r="AX273" s="58">
        <f>IFERROR(IF($V273="BRAND.com",HLOOKUP($X273&amp;$Z273,PLANNING_FC!$T$27:$AH$46,MATCH($W273,PLANNING_FC!$B$27:$B$46,0),FALSE),0),0)</f>
        <v>0</v>
      </c>
      <c r="AY273" s="58">
        <f>IFERROR(IF($V273="BRAND.com",HLOOKUP($X273&amp;$Z273,PLANNING_FC!$T$4:$AH$23,MATCH($W273,PLANNING_FC!$B$4:$B$23,0),FALSE),0),0)</f>
        <v>0</v>
      </c>
      <c r="AZ273" s="58">
        <f>IFERROR(IF($V273="BRAND.com",HLOOKUP($X273&amp;$Z273,PLANNING_FC!$DA$27:$DO$46,MATCH($W273,PLANNING_FC!$CZ$27:$CZ$46,0),FALSE),0),0)</f>
        <v>0</v>
      </c>
      <c r="BA273" s="58">
        <f>IFERROR(IF($V273="BRAND.com",HLOOKUP($X273&amp;$Z273,PLANNING_FC!$DA$4:$DO$23,MATCH($W273,PLANNING_FC!$CZ$4:$CZ$23,0),FALSE),0),0)</f>
        <v>0</v>
      </c>
      <c r="BB273" s="883" t="str">
        <f>IF(V273="BRAND.com",IFERROR(HLOOKUP(X273&amp;Z273,PLANNING_FC!$AK$4:$AY$23,MATCH(W273,PLANNING_FC!$AJ$4:$AJ$23,0),FALSE)*1000,""),"")</f>
        <v/>
      </c>
      <c r="BC273" s="883" t="str">
        <f>IF(V273="BRAND.com",IFERROR(HLOOKUP(X273&amp;Z273,PLANNING_FC!$AK$27:$AY$46,MATCH(W273,PLANNING_FC!$AJ$27:$AJ$46,0),FALSE)*1000,""),"")</f>
        <v/>
      </c>
    </row>
    <row r="274" spans="1:55" x14ac:dyDescent="0.25">
      <c r="A274" s="509"/>
      <c r="B274" s="509"/>
      <c r="C274" s="509"/>
      <c r="D274" s="509"/>
      <c r="E274" s="509"/>
      <c r="F274" s="509"/>
      <c r="G274" s="509"/>
      <c r="H274" s="509"/>
      <c r="I274" s="512"/>
      <c r="J274" s="513"/>
      <c r="K274" s="879"/>
      <c r="L274" s="515"/>
      <c r="M274" s="516"/>
      <c r="N274" s="56">
        <f t="shared" si="106"/>
        <v>0</v>
      </c>
      <c r="O274" s="57">
        <f t="shared" si="107"/>
        <v>0</v>
      </c>
      <c r="P274" s="57">
        <f ca="1">IFERROR(IF(ISBLANK(H274),SUMIFS($AC:$AC,$V:$V,V274,$W:$W,W274,$X:$X,X274,$Y:$Y,Y274)*J274/(1-J274)*VLOOKUP(_xlfn.CONCAT(C274,D274,E274,TIME!$M$12,Z274),HIS_SALES!$B$2:$W$4859,20,FALSE),AC274*J274/(1-J274)),0)</f>
        <v>0</v>
      </c>
      <c r="Q274" s="541" t="str">
        <f t="shared" si="108"/>
        <v/>
      </c>
      <c r="R274" s="346" t="str">
        <f t="shared" si="109"/>
        <v>00000</v>
      </c>
      <c r="S274" s="344">
        <f t="shared" si="110"/>
        <v>0</v>
      </c>
      <c r="T274" s="345" t="str">
        <f t="shared" si="123"/>
        <v>000</v>
      </c>
      <c r="U274" s="345">
        <f t="shared" si="111"/>
        <v>0</v>
      </c>
      <c r="V274" s="345">
        <f t="shared" si="112"/>
        <v>0</v>
      </c>
      <c r="W274" s="345">
        <f t="shared" si="113"/>
        <v>0</v>
      </c>
      <c r="X274" s="345">
        <f t="shared" si="114"/>
        <v>0</v>
      </c>
      <c r="Y274" s="345">
        <f t="shared" si="115"/>
        <v>0</v>
      </c>
      <c r="Z274" s="345">
        <f>IF(Q274&lt;&gt;"",VLOOKUP(Y274,TIME!$R$21:$V$24,MATCH(FC_DATA!Q274,TIME!$R$20:$V$20,0),FALSE),H274)</f>
        <v>0</v>
      </c>
      <c r="AA274" s="345" t="str">
        <f>IFERROR(VLOOKUP(X274&amp;Z274,TIME!$A$12:$D$71,4,FALSE),"")</f>
        <v/>
      </c>
      <c r="AB274" s="592">
        <f t="shared" ca="1" si="116"/>
        <v>0</v>
      </c>
      <c r="AC274" s="593" t="e">
        <f ca="1">IF(ISBLANK(H274)=FALSE,IF(D274="BRAND.com",I274,IF(ISNA(VLOOKUP(_xlfn.CONCAT(X274,Z274),TIME!$M$40:$M$42,1,FALSE)),I274,VLOOKUP(_xlfn.CONCAT(D274,G274,H274),M_BUSAREA_FC!$AF$5:$AJ$10,5,FALSE)*HLOOKUP(_xlfn.CONCAT(F274,H274),ST_OVERVIEW!$G$99:$I$130,MATCH(_xlfn.CONCAT(D274,E274),ST_OVERVIEW!$F$99:$F$130,0),FALSE))),IF(D274="BRAND.com",VLOOKUP(_xlfn.CONCAT(C274,D274,E274,TIME!$F$1,Z274),HIS_SALES!$B$2:$V$4859,19,FALSE)*I274,VLOOKUP(_xlfn.CONCAT(D274,F274,G274),Q_BUSAREA_FC!$AE$5:$AI$12,5,FALSE)*HLOOKUP(_xlfn.CONCAT(FC_DATA!F274,FC_DATA!G274),LT_OVERVIEW!$I$99:$M$130,MATCH(_xlfn.CONCAT(D274,FC_DATA!E274),LT_OVERVIEW!$H$99:$H$130,0),FALSE)*IFERROR(VLOOKUP(_xlfn.CONCAT(C274,D274,E274,TIME!$F$1,Z274),HIS_SALES!$B$2:$V$4859,19,FALSE),0)))</f>
        <v>#N/A</v>
      </c>
      <c r="AD274" s="341">
        <f t="shared" ca="1" si="117"/>
        <v>0</v>
      </c>
      <c r="AE274" s="363" t="str">
        <f t="shared" si="118"/>
        <v/>
      </c>
      <c r="AF274" s="342" t="str">
        <f t="shared" si="119"/>
        <v/>
      </c>
      <c r="AG274" s="411" t="e">
        <f ca="1">VLOOKUP(_xlfn.CONCAT(U274,V274,W274,VLOOKUP(X274&amp;Y274,TIME!$L$27:$O$34,4,FALSE),Y274),HIS_SALES!$A$2:$R$5093,18,FALSE)</f>
        <v>#N/A</v>
      </c>
      <c r="AH274" s="412" t="e">
        <f ca="1">IFERROR(IF(AND(V274=V273,W274=W273),0.5*(AB274+AB273)*AG274,(VLOOKUP(_xlfn.CONCAT(U274,V274,W274,X274,VLOOKUP(Z274,TIME!$S$28:$T$39,2,FALSE)),FC_DATA!$R$2:$AB$5000,MATCH("GS_I_M",FC_DATA!$R$1:$AB$1,0),FALSE)+FC_DATA!AB274)*0.5*FC_DATA!AG274),NA())</f>
        <v>#N/A</v>
      </c>
      <c r="AI274" s="491" t="e">
        <f ca="1">IF(V274="PARTNER.com",AH274,IF(AND(V274=V273,W274=W273),(1-AVERAGE(AD273,AD274))*AH274,(1-AVERAGE(AD274,VLOOKUP(_xlfn.CONCAT(U274,V274,W274,X274,M_BRAND_FC!$F$6),FC_DATA!$R$2:$AD$5000,MATCH("DISCOUNT_%_M",FC_DATA!$R$1:$AD$1,0),FALSE)))*AH274))</f>
        <v>#N/A</v>
      </c>
      <c r="AJ274" s="412" t="str">
        <f t="shared" ca="1" si="120"/>
        <v/>
      </c>
      <c r="AK274" s="413" t="str">
        <f>IFERROR(AE274/(Q_BRAND_FC!$T$24+1),"")</f>
        <v/>
      </c>
      <c r="AL274" s="88" t="str">
        <f t="shared" ca="1" si="121"/>
        <v/>
      </c>
      <c r="AM274" s="414" t="str">
        <f t="shared" ca="1" si="122"/>
        <v/>
      </c>
      <c r="AN274" s="58">
        <f>IFERROR(IF($V274="BRAND.com",HLOOKUP($X274&amp;$Z274,NWC_FC_NOOS!$C$4:$Q$23,MATCH(W274,NWC_FC_NOOS!$B$4:$B$23,0),FALSE),0),0)</f>
        <v>0</v>
      </c>
      <c r="AO274" s="57">
        <f>IFERROR(IF($V274="BRAND.com",HLOOKUP($X274&amp;$Z274,NWC_FC_NOOS!$T$4:$AH$23,MATCH(W274,NWC_FC_NOOS!$S$4:$S$23,0),FALSE),0),0)</f>
        <v>0</v>
      </c>
      <c r="AP274" s="57">
        <f>IFERROR(IF($V274="BRAND.com",HLOOKUP($X274&amp;$Z274,NWC_FC_NOOS!$C$50:$U$69,MATCH(W274,NWC_FC_NOOS!$B$50:$B$69,0),FALSE),0),0)</f>
        <v>0</v>
      </c>
      <c r="AQ274" s="58">
        <f>IFERROR(IF($V274="BRAND.com",HLOOKUP($X274&amp;$Z274,'NWC_FC_NON-NOOS'!$C$4:$Q$23,MATCH(W274,'NWC_FC_NON-NOOS'!$B$4:$B$23,0),FALSE),0),0)</f>
        <v>0</v>
      </c>
      <c r="AR274" s="57">
        <f>IFERROR(IF($V274="BRAND.com",HLOOKUP($X274&amp;$Z274,'NWC_FC_NON-NOOS'!$T$4:$AH$23,MATCH(W274,'NWC_FC_NON-NOOS'!$S$4:$S$23,0),FALSE),0),0)</f>
        <v>0</v>
      </c>
      <c r="AS274" s="57">
        <f>IFERROR(IF($V274="BRAND.com",HLOOKUP($X274&amp;$Z274,'NWC_FC_NON-NOOS'!$C$50:$U$69,MATCH(W274,'NWC_FC_NON-NOOS'!$B$50:$B$69,0),FALSE),0),0)</f>
        <v>0</v>
      </c>
      <c r="AT274" s="57">
        <f t="shared" si="124"/>
        <v>0</v>
      </c>
      <c r="AU274" s="57">
        <f t="shared" si="125"/>
        <v>0</v>
      </c>
      <c r="AV274" s="58">
        <f>IFERROR(IF($V274="BRAND.com",HLOOKUP($X274&amp;$Z274,PLANNING_FC!$BB$27:$BP$46,MATCH($W274,PLANNING_FC!$BA$27:$BA$46,0),FALSE),0),0)</f>
        <v>0</v>
      </c>
      <c r="AW274" s="58">
        <f>IFERROR(IF($V274="BRAND.com",HLOOKUP($X274&amp;$Z274,PLANNING_FC!$BB$4:$BP$23,MATCH($W274,PLANNING_FC!$BA$4:$BA$23,0),FALSE),0),0)</f>
        <v>0</v>
      </c>
      <c r="AX274" s="58">
        <f>IFERROR(IF($V274="BRAND.com",HLOOKUP($X274&amp;$Z274,PLANNING_FC!$T$27:$AH$46,MATCH($W274,PLANNING_FC!$B$27:$B$46,0),FALSE),0),0)</f>
        <v>0</v>
      </c>
      <c r="AY274" s="58">
        <f>IFERROR(IF($V274="BRAND.com",HLOOKUP($X274&amp;$Z274,PLANNING_FC!$T$4:$AH$23,MATCH($W274,PLANNING_FC!$B$4:$B$23,0),FALSE),0),0)</f>
        <v>0</v>
      </c>
      <c r="AZ274" s="58">
        <f>IFERROR(IF($V274="BRAND.com",HLOOKUP($X274&amp;$Z274,PLANNING_FC!$DA$27:$DO$46,MATCH($W274,PLANNING_FC!$CZ$27:$CZ$46,0),FALSE),0),0)</f>
        <v>0</v>
      </c>
      <c r="BA274" s="58">
        <f>IFERROR(IF($V274="BRAND.com",HLOOKUP($X274&amp;$Z274,PLANNING_FC!$DA$4:$DO$23,MATCH($W274,PLANNING_FC!$CZ$4:$CZ$23,0),FALSE),0),0)</f>
        <v>0</v>
      </c>
      <c r="BB274" s="883" t="str">
        <f>IF(V274="BRAND.com",IFERROR(HLOOKUP(X274&amp;Z274,PLANNING_FC!$AK$4:$AY$23,MATCH(W274,PLANNING_FC!$AJ$4:$AJ$23,0),FALSE)*1000,""),"")</f>
        <v/>
      </c>
      <c r="BC274" s="883" t="str">
        <f>IF(V274="BRAND.com",IFERROR(HLOOKUP(X274&amp;Z274,PLANNING_FC!$AK$27:$AY$46,MATCH(W274,PLANNING_FC!$AJ$27:$AJ$46,0),FALSE)*1000,""),"")</f>
        <v/>
      </c>
    </row>
    <row r="275" spans="1:55" x14ac:dyDescent="0.25">
      <c r="A275" s="509"/>
      <c r="B275" s="509"/>
      <c r="C275" s="509"/>
      <c r="D275" s="509"/>
      <c r="E275" s="509"/>
      <c r="F275" s="509"/>
      <c r="G275" s="509"/>
      <c r="H275" s="509"/>
      <c r="I275" s="512"/>
      <c r="J275" s="513"/>
      <c r="K275" s="879"/>
      <c r="L275" s="515"/>
      <c r="M275" s="516"/>
      <c r="N275" s="56">
        <f t="shared" si="106"/>
        <v>0</v>
      </c>
      <c r="O275" s="57">
        <f t="shared" si="107"/>
        <v>0</v>
      </c>
      <c r="P275" s="57">
        <f ca="1">IFERROR(IF(ISBLANK(H275),SUMIFS($AC:$AC,$V:$V,V275,$W:$W,W275,$X:$X,X275,$Y:$Y,Y275)*J275/(1-J275)*VLOOKUP(_xlfn.CONCAT(C275,D275,E275,TIME!$M$12,Z275),HIS_SALES!$B$2:$W$4859,20,FALSE),AC275*J275/(1-J275)),0)</f>
        <v>0</v>
      </c>
      <c r="Q275" s="541" t="str">
        <f t="shared" si="108"/>
        <v/>
      </c>
      <c r="R275" s="346" t="str">
        <f t="shared" si="109"/>
        <v>00000</v>
      </c>
      <c r="S275" s="344">
        <f t="shared" si="110"/>
        <v>0</v>
      </c>
      <c r="T275" s="345" t="str">
        <f t="shared" si="123"/>
        <v>000</v>
      </c>
      <c r="U275" s="345">
        <f t="shared" si="111"/>
        <v>0</v>
      </c>
      <c r="V275" s="345">
        <f t="shared" si="112"/>
        <v>0</v>
      </c>
      <c r="W275" s="345">
        <f t="shared" si="113"/>
        <v>0</v>
      </c>
      <c r="X275" s="345">
        <f t="shared" si="114"/>
        <v>0</v>
      </c>
      <c r="Y275" s="345">
        <f t="shared" si="115"/>
        <v>0</v>
      </c>
      <c r="Z275" s="345">
        <f>IF(Q275&lt;&gt;"",VLOOKUP(Y275,TIME!$R$21:$V$24,MATCH(FC_DATA!Q275,TIME!$R$20:$V$20,0),FALSE),H275)</f>
        <v>0</v>
      </c>
      <c r="AA275" s="345" t="str">
        <f>IFERROR(VLOOKUP(X275&amp;Z275,TIME!$A$12:$D$71,4,FALSE),"")</f>
        <v/>
      </c>
      <c r="AB275" s="592">
        <f t="shared" ca="1" si="116"/>
        <v>0</v>
      </c>
      <c r="AC275" s="593" t="e">
        <f ca="1">IF(ISBLANK(H275)=FALSE,IF(D275="BRAND.com",I275,IF(ISNA(VLOOKUP(_xlfn.CONCAT(X275,Z275),TIME!$M$40:$M$42,1,FALSE)),I275,VLOOKUP(_xlfn.CONCAT(D275,G275,H275),M_BUSAREA_FC!$AF$5:$AJ$10,5,FALSE)*HLOOKUP(_xlfn.CONCAT(F275,H275),ST_OVERVIEW!$G$99:$I$130,MATCH(_xlfn.CONCAT(D275,E275),ST_OVERVIEW!$F$99:$F$130,0),FALSE))),IF(D275="BRAND.com",VLOOKUP(_xlfn.CONCAT(C275,D275,E275,TIME!$F$1,Z275),HIS_SALES!$B$2:$V$4859,19,FALSE)*I275,VLOOKUP(_xlfn.CONCAT(D275,F275,G275),Q_BUSAREA_FC!$AE$5:$AI$12,5,FALSE)*HLOOKUP(_xlfn.CONCAT(FC_DATA!F275,FC_DATA!G275),LT_OVERVIEW!$I$99:$M$130,MATCH(_xlfn.CONCAT(D275,FC_DATA!E275),LT_OVERVIEW!$H$99:$H$130,0),FALSE)*IFERROR(VLOOKUP(_xlfn.CONCAT(C275,D275,E275,TIME!$F$1,Z275),HIS_SALES!$B$2:$V$4859,19,FALSE),0)))</f>
        <v>#N/A</v>
      </c>
      <c r="AD275" s="341">
        <f t="shared" ca="1" si="117"/>
        <v>0</v>
      </c>
      <c r="AE275" s="363" t="str">
        <f t="shared" si="118"/>
        <v/>
      </c>
      <c r="AF275" s="342" t="str">
        <f t="shared" si="119"/>
        <v/>
      </c>
      <c r="AG275" s="411" t="e">
        <f ca="1">VLOOKUP(_xlfn.CONCAT(U275,V275,W275,VLOOKUP(X275&amp;Y275,TIME!$L$27:$O$34,4,FALSE),Y275),HIS_SALES!$A$2:$R$5093,18,FALSE)</f>
        <v>#N/A</v>
      </c>
      <c r="AH275" s="412" t="e">
        <f ca="1">IFERROR(IF(AND(V275=V274,W275=W274),0.5*(AB275+AB274)*AG275,(VLOOKUP(_xlfn.CONCAT(U275,V275,W275,X275,VLOOKUP(Z275,TIME!$S$28:$T$39,2,FALSE)),FC_DATA!$R$2:$AB$5000,MATCH("GS_I_M",FC_DATA!$R$1:$AB$1,0),FALSE)+FC_DATA!AB275)*0.5*FC_DATA!AG275),NA())</f>
        <v>#N/A</v>
      </c>
      <c r="AI275" s="491" t="e">
        <f ca="1">IF(V275="PARTNER.com",AH275,IF(AND(V275=V274,W275=W274),(1-AVERAGE(AD274,AD275))*AH275,(1-AVERAGE(AD275,VLOOKUP(_xlfn.CONCAT(U275,V275,W275,X275,M_BRAND_FC!$F$6),FC_DATA!$R$2:$AD$5000,MATCH("DISCOUNT_%_M",FC_DATA!$R$1:$AD$1,0),FALSE)))*AH275))</f>
        <v>#N/A</v>
      </c>
      <c r="AJ275" s="412" t="str">
        <f t="shared" ca="1" si="120"/>
        <v/>
      </c>
      <c r="AK275" s="413" t="str">
        <f>IFERROR(AE275/(Q_BRAND_FC!$T$24+1),"")</f>
        <v/>
      </c>
      <c r="AL275" s="88" t="str">
        <f t="shared" ca="1" si="121"/>
        <v/>
      </c>
      <c r="AM275" s="414" t="str">
        <f t="shared" ca="1" si="122"/>
        <v/>
      </c>
      <c r="AN275" s="58">
        <f>IFERROR(IF($V275="BRAND.com",HLOOKUP($X275&amp;$Z275,NWC_FC_NOOS!$C$4:$Q$23,MATCH(W275,NWC_FC_NOOS!$B$4:$B$23,0),FALSE),0),0)</f>
        <v>0</v>
      </c>
      <c r="AO275" s="57">
        <f>IFERROR(IF($V275="BRAND.com",HLOOKUP($X275&amp;$Z275,NWC_FC_NOOS!$T$4:$AH$23,MATCH(W275,NWC_FC_NOOS!$S$4:$S$23,0),FALSE),0),0)</f>
        <v>0</v>
      </c>
      <c r="AP275" s="57">
        <f>IFERROR(IF($V275="BRAND.com",HLOOKUP($X275&amp;$Z275,NWC_FC_NOOS!$C$50:$U$69,MATCH(W275,NWC_FC_NOOS!$B$50:$B$69,0),FALSE),0),0)</f>
        <v>0</v>
      </c>
      <c r="AQ275" s="58">
        <f>IFERROR(IF($V275="BRAND.com",HLOOKUP($X275&amp;$Z275,'NWC_FC_NON-NOOS'!$C$4:$Q$23,MATCH(W275,'NWC_FC_NON-NOOS'!$B$4:$B$23,0),FALSE),0),0)</f>
        <v>0</v>
      </c>
      <c r="AR275" s="57">
        <f>IFERROR(IF($V275="BRAND.com",HLOOKUP($X275&amp;$Z275,'NWC_FC_NON-NOOS'!$T$4:$AH$23,MATCH(W275,'NWC_FC_NON-NOOS'!$S$4:$S$23,0),FALSE),0),0)</f>
        <v>0</v>
      </c>
      <c r="AS275" s="57">
        <f>IFERROR(IF($V275="BRAND.com",HLOOKUP($X275&amp;$Z275,'NWC_FC_NON-NOOS'!$C$50:$U$69,MATCH(W275,'NWC_FC_NON-NOOS'!$B$50:$B$69,0),FALSE),0),0)</f>
        <v>0</v>
      </c>
      <c r="AT275" s="57">
        <f t="shared" si="124"/>
        <v>0</v>
      </c>
      <c r="AU275" s="57">
        <f t="shared" si="125"/>
        <v>0</v>
      </c>
      <c r="AV275" s="58">
        <f>IFERROR(IF($V275="BRAND.com",HLOOKUP($X275&amp;$Z275,PLANNING_FC!$BB$27:$BP$46,MATCH($W275,PLANNING_FC!$BA$27:$BA$46,0),FALSE),0),0)</f>
        <v>0</v>
      </c>
      <c r="AW275" s="58">
        <f>IFERROR(IF($V275="BRAND.com",HLOOKUP($X275&amp;$Z275,PLANNING_FC!$BB$4:$BP$23,MATCH($W275,PLANNING_FC!$BA$4:$BA$23,0),FALSE),0),0)</f>
        <v>0</v>
      </c>
      <c r="AX275" s="58">
        <f>IFERROR(IF($V275="BRAND.com",HLOOKUP($X275&amp;$Z275,PLANNING_FC!$T$27:$AH$46,MATCH($W275,PLANNING_FC!$B$27:$B$46,0),FALSE),0),0)</f>
        <v>0</v>
      </c>
      <c r="AY275" s="58">
        <f>IFERROR(IF($V275="BRAND.com",HLOOKUP($X275&amp;$Z275,PLANNING_FC!$T$4:$AH$23,MATCH($W275,PLANNING_FC!$B$4:$B$23,0),FALSE),0),0)</f>
        <v>0</v>
      </c>
      <c r="AZ275" s="58">
        <f>IFERROR(IF($V275="BRAND.com",HLOOKUP($X275&amp;$Z275,PLANNING_FC!$DA$27:$DO$46,MATCH($W275,PLANNING_FC!$CZ$27:$CZ$46,0),FALSE),0),0)</f>
        <v>0</v>
      </c>
      <c r="BA275" s="58">
        <f>IFERROR(IF($V275="BRAND.com",HLOOKUP($X275&amp;$Z275,PLANNING_FC!$DA$4:$DO$23,MATCH($W275,PLANNING_FC!$CZ$4:$CZ$23,0),FALSE),0),0)</f>
        <v>0</v>
      </c>
      <c r="BB275" s="883" t="str">
        <f>IF(V275="BRAND.com",IFERROR(HLOOKUP(X275&amp;Z275,PLANNING_FC!$AK$4:$AY$23,MATCH(W275,PLANNING_FC!$AJ$4:$AJ$23,0),FALSE)*1000,""),"")</f>
        <v/>
      </c>
      <c r="BC275" s="883" t="str">
        <f>IF(V275="BRAND.com",IFERROR(HLOOKUP(X275&amp;Z275,PLANNING_FC!$AK$27:$AY$46,MATCH(W275,PLANNING_FC!$AJ$27:$AJ$46,0),FALSE)*1000,""),"")</f>
        <v/>
      </c>
    </row>
    <row r="276" spans="1:55" x14ac:dyDescent="0.25">
      <c r="A276" s="509"/>
      <c r="B276" s="509"/>
      <c r="C276" s="509"/>
      <c r="D276" s="509"/>
      <c r="E276" s="509"/>
      <c r="F276" s="509"/>
      <c r="G276" s="509"/>
      <c r="H276" s="509"/>
      <c r="I276" s="512"/>
      <c r="J276" s="513"/>
      <c r="K276" s="879"/>
      <c r="L276" s="515"/>
      <c r="M276" s="516"/>
      <c r="N276" s="56">
        <f t="shared" si="106"/>
        <v>0</v>
      </c>
      <c r="O276" s="57">
        <f t="shared" si="107"/>
        <v>0</v>
      </c>
      <c r="P276" s="57">
        <f ca="1">IFERROR(IF(ISBLANK(H276),SUMIFS($AC:$AC,$V:$V,V276,$W:$W,W276,$X:$X,X276,$Y:$Y,Y276)*J276/(1-J276)*VLOOKUP(_xlfn.CONCAT(C276,D276,E276,TIME!$M$12,Z276),HIS_SALES!$B$2:$W$4859,20,FALSE),AC276*J276/(1-J276)),0)</f>
        <v>0</v>
      </c>
      <c r="Q276" s="541" t="str">
        <f t="shared" si="108"/>
        <v/>
      </c>
      <c r="R276" s="346" t="str">
        <f t="shared" si="109"/>
        <v>00000</v>
      </c>
      <c r="S276" s="344">
        <f t="shared" si="110"/>
        <v>0</v>
      </c>
      <c r="T276" s="345" t="str">
        <f t="shared" si="123"/>
        <v>000</v>
      </c>
      <c r="U276" s="345">
        <f t="shared" si="111"/>
        <v>0</v>
      </c>
      <c r="V276" s="345">
        <f t="shared" si="112"/>
        <v>0</v>
      </c>
      <c r="W276" s="345">
        <f t="shared" si="113"/>
        <v>0</v>
      </c>
      <c r="X276" s="345">
        <f t="shared" si="114"/>
        <v>0</v>
      </c>
      <c r="Y276" s="345">
        <f t="shared" si="115"/>
        <v>0</v>
      </c>
      <c r="Z276" s="345">
        <f>IF(Q276&lt;&gt;"",VLOOKUP(Y276,TIME!$R$21:$V$24,MATCH(FC_DATA!Q276,TIME!$R$20:$V$20,0),FALSE),H276)</f>
        <v>0</v>
      </c>
      <c r="AA276" s="345" t="str">
        <f>IFERROR(VLOOKUP(X276&amp;Z276,TIME!$A$12:$D$71,4,FALSE),"")</f>
        <v/>
      </c>
      <c r="AB276" s="592">
        <f t="shared" ca="1" si="116"/>
        <v>0</v>
      </c>
      <c r="AC276" s="593" t="e">
        <f ca="1">IF(ISBLANK(H276)=FALSE,IF(D276="BRAND.com",I276,IF(ISNA(VLOOKUP(_xlfn.CONCAT(X276,Z276),TIME!$M$40:$M$42,1,FALSE)),I276,VLOOKUP(_xlfn.CONCAT(D276,G276,H276),M_BUSAREA_FC!$AF$5:$AJ$10,5,FALSE)*HLOOKUP(_xlfn.CONCAT(F276,H276),ST_OVERVIEW!$G$99:$I$130,MATCH(_xlfn.CONCAT(D276,E276),ST_OVERVIEW!$F$99:$F$130,0),FALSE))),IF(D276="BRAND.com",VLOOKUP(_xlfn.CONCAT(C276,D276,E276,TIME!$F$1,Z276),HIS_SALES!$B$2:$V$4859,19,FALSE)*I276,VLOOKUP(_xlfn.CONCAT(D276,F276,G276),Q_BUSAREA_FC!$AE$5:$AI$12,5,FALSE)*HLOOKUP(_xlfn.CONCAT(FC_DATA!F276,FC_DATA!G276),LT_OVERVIEW!$I$99:$M$130,MATCH(_xlfn.CONCAT(D276,FC_DATA!E276),LT_OVERVIEW!$H$99:$H$130,0),FALSE)*IFERROR(VLOOKUP(_xlfn.CONCAT(C276,D276,E276,TIME!$F$1,Z276),HIS_SALES!$B$2:$V$4859,19,FALSE),0)))</f>
        <v>#N/A</v>
      </c>
      <c r="AD276" s="341">
        <f t="shared" ca="1" si="117"/>
        <v>0</v>
      </c>
      <c r="AE276" s="363" t="str">
        <f t="shared" si="118"/>
        <v/>
      </c>
      <c r="AF276" s="342" t="str">
        <f t="shared" si="119"/>
        <v/>
      </c>
      <c r="AG276" s="411" t="e">
        <f ca="1">VLOOKUP(_xlfn.CONCAT(U276,V276,W276,VLOOKUP(X276&amp;Y276,TIME!$L$27:$O$34,4,FALSE),Y276),HIS_SALES!$A$2:$R$5093,18,FALSE)</f>
        <v>#N/A</v>
      </c>
      <c r="AH276" s="412" t="e">
        <f ca="1">IFERROR(IF(AND(V276=V275,W276=W275),0.5*(AB276+AB275)*AG276,(VLOOKUP(_xlfn.CONCAT(U276,V276,W276,X276,VLOOKUP(Z276,TIME!$S$28:$T$39,2,FALSE)),FC_DATA!$R$2:$AB$5000,MATCH("GS_I_M",FC_DATA!$R$1:$AB$1,0),FALSE)+FC_DATA!AB276)*0.5*FC_DATA!AG276),NA())</f>
        <v>#N/A</v>
      </c>
      <c r="AI276" s="491" t="e">
        <f ca="1">IF(V276="PARTNER.com",AH276,IF(AND(V276=V275,W276=W275),(1-AVERAGE(AD275,AD276))*AH276,(1-AVERAGE(AD276,VLOOKUP(_xlfn.CONCAT(U276,V276,W276,X276,M_BRAND_FC!$F$6),FC_DATA!$R$2:$AD$5000,MATCH("DISCOUNT_%_M",FC_DATA!$R$1:$AD$1,0),FALSE)))*AH276))</f>
        <v>#N/A</v>
      </c>
      <c r="AJ276" s="412" t="str">
        <f t="shared" ca="1" si="120"/>
        <v/>
      </c>
      <c r="AK276" s="413" t="str">
        <f>IFERROR(AE276/(Q_BRAND_FC!$T$24+1),"")</f>
        <v/>
      </c>
      <c r="AL276" s="88" t="str">
        <f t="shared" ca="1" si="121"/>
        <v/>
      </c>
      <c r="AM276" s="414" t="str">
        <f t="shared" ca="1" si="122"/>
        <v/>
      </c>
      <c r="AN276" s="58">
        <f>IFERROR(IF($V276="BRAND.com",HLOOKUP($X276&amp;$Z276,NWC_FC_NOOS!$C$4:$Q$23,MATCH(W276,NWC_FC_NOOS!$B$4:$B$23,0),FALSE),0),0)</f>
        <v>0</v>
      </c>
      <c r="AO276" s="57">
        <f>IFERROR(IF($V276="BRAND.com",HLOOKUP($X276&amp;$Z276,NWC_FC_NOOS!$T$4:$AH$23,MATCH(W276,NWC_FC_NOOS!$S$4:$S$23,0),FALSE),0),0)</f>
        <v>0</v>
      </c>
      <c r="AP276" s="57">
        <f>IFERROR(IF($V276="BRAND.com",HLOOKUP($X276&amp;$Z276,NWC_FC_NOOS!$C$50:$U$69,MATCH(W276,NWC_FC_NOOS!$B$50:$B$69,0),FALSE),0),0)</f>
        <v>0</v>
      </c>
      <c r="AQ276" s="58">
        <f>IFERROR(IF($V276="BRAND.com",HLOOKUP($X276&amp;$Z276,'NWC_FC_NON-NOOS'!$C$4:$Q$23,MATCH(W276,'NWC_FC_NON-NOOS'!$B$4:$B$23,0),FALSE),0),0)</f>
        <v>0</v>
      </c>
      <c r="AR276" s="57">
        <f>IFERROR(IF($V276="BRAND.com",HLOOKUP($X276&amp;$Z276,'NWC_FC_NON-NOOS'!$T$4:$AH$23,MATCH(W276,'NWC_FC_NON-NOOS'!$S$4:$S$23,0),FALSE),0),0)</f>
        <v>0</v>
      </c>
      <c r="AS276" s="57">
        <f>IFERROR(IF($V276="BRAND.com",HLOOKUP($X276&amp;$Z276,'NWC_FC_NON-NOOS'!$C$50:$U$69,MATCH(W276,'NWC_FC_NON-NOOS'!$B$50:$B$69,0),FALSE),0),0)</f>
        <v>0</v>
      </c>
      <c r="AT276" s="57">
        <f t="shared" si="124"/>
        <v>0</v>
      </c>
      <c r="AU276" s="57">
        <f t="shared" si="125"/>
        <v>0</v>
      </c>
      <c r="AV276" s="58">
        <f>IFERROR(IF($V276="BRAND.com",HLOOKUP($X276&amp;$Z276,PLANNING_FC!$BB$27:$BP$46,MATCH($W276,PLANNING_FC!$BA$27:$BA$46,0),FALSE),0),0)</f>
        <v>0</v>
      </c>
      <c r="AW276" s="58">
        <f>IFERROR(IF($V276="BRAND.com",HLOOKUP($X276&amp;$Z276,PLANNING_FC!$BB$4:$BP$23,MATCH($W276,PLANNING_FC!$BA$4:$BA$23,0),FALSE),0),0)</f>
        <v>0</v>
      </c>
      <c r="AX276" s="58">
        <f>IFERROR(IF($V276="BRAND.com",HLOOKUP($X276&amp;$Z276,PLANNING_FC!$T$27:$AH$46,MATCH($W276,PLANNING_FC!$B$27:$B$46,0),FALSE),0),0)</f>
        <v>0</v>
      </c>
      <c r="AY276" s="58">
        <f>IFERROR(IF($V276="BRAND.com",HLOOKUP($X276&amp;$Z276,PLANNING_FC!$T$4:$AH$23,MATCH($W276,PLANNING_FC!$B$4:$B$23,0),FALSE),0),0)</f>
        <v>0</v>
      </c>
      <c r="AZ276" s="58">
        <f>IFERROR(IF($V276="BRAND.com",HLOOKUP($X276&amp;$Z276,PLANNING_FC!$DA$27:$DO$46,MATCH($W276,PLANNING_FC!$CZ$27:$CZ$46,0),FALSE),0),0)</f>
        <v>0</v>
      </c>
      <c r="BA276" s="58">
        <f>IFERROR(IF($V276="BRAND.com",HLOOKUP($X276&amp;$Z276,PLANNING_FC!$DA$4:$DO$23,MATCH($W276,PLANNING_FC!$CZ$4:$CZ$23,0),FALSE),0),0)</f>
        <v>0</v>
      </c>
      <c r="BB276" s="883" t="str">
        <f>IF(V276="BRAND.com",IFERROR(HLOOKUP(X276&amp;Z276,PLANNING_FC!$AK$4:$AY$23,MATCH(W276,PLANNING_FC!$AJ$4:$AJ$23,0),FALSE)*1000,""),"")</f>
        <v/>
      </c>
      <c r="BC276" s="883" t="str">
        <f>IF(V276="BRAND.com",IFERROR(HLOOKUP(X276&amp;Z276,PLANNING_FC!$AK$27:$AY$46,MATCH(W276,PLANNING_FC!$AJ$27:$AJ$46,0),FALSE)*1000,""),"")</f>
        <v/>
      </c>
    </row>
    <row r="277" spans="1:55" x14ac:dyDescent="0.25">
      <c r="A277" s="509"/>
      <c r="B277" s="509"/>
      <c r="C277" s="509"/>
      <c r="D277" s="509"/>
      <c r="E277" s="509"/>
      <c r="F277" s="509"/>
      <c r="G277" s="509"/>
      <c r="H277" s="509"/>
      <c r="I277" s="512"/>
      <c r="J277" s="513"/>
      <c r="K277" s="879"/>
      <c r="L277" s="515"/>
      <c r="M277" s="516"/>
      <c r="N277" s="56">
        <f t="shared" si="106"/>
        <v>0</v>
      </c>
      <c r="O277" s="57">
        <f t="shared" si="107"/>
        <v>0</v>
      </c>
      <c r="P277" s="57">
        <f ca="1">IFERROR(IF(ISBLANK(H277),SUMIFS($AC:$AC,$V:$V,V277,$W:$W,W277,$X:$X,X277,$Y:$Y,Y277)*J277/(1-J277)*VLOOKUP(_xlfn.CONCAT(C277,D277,E277,TIME!$M$12,Z277),HIS_SALES!$B$2:$W$4859,20,FALSE),AC277*J277/(1-J277)),0)</f>
        <v>0</v>
      </c>
      <c r="Q277" s="541" t="str">
        <f t="shared" si="108"/>
        <v/>
      </c>
      <c r="R277" s="346" t="str">
        <f t="shared" si="109"/>
        <v>00000</v>
      </c>
      <c r="S277" s="344">
        <f t="shared" si="110"/>
        <v>0</v>
      </c>
      <c r="T277" s="345" t="str">
        <f t="shared" si="123"/>
        <v>000</v>
      </c>
      <c r="U277" s="345">
        <f t="shared" si="111"/>
        <v>0</v>
      </c>
      <c r="V277" s="345">
        <f t="shared" si="112"/>
        <v>0</v>
      </c>
      <c r="W277" s="345">
        <f t="shared" si="113"/>
        <v>0</v>
      </c>
      <c r="X277" s="345">
        <f t="shared" si="114"/>
        <v>0</v>
      </c>
      <c r="Y277" s="345">
        <f t="shared" si="115"/>
        <v>0</v>
      </c>
      <c r="Z277" s="345">
        <f>IF(Q277&lt;&gt;"",VLOOKUP(Y277,TIME!$R$21:$V$24,MATCH(FC_DATA!Q277,TIME!$R$20:$V$20,0),FALSE),H277)</f>
        <v>0</v>
      </c>
      <c r="AA277" s="345" t="str">
        <f>IFERROR(VLOOKUP(X277&amp;Z277,TIME!$A$12:$D$71,4,FALSE),"")</f>
        <v/>
      </c>
      <c r="AB277" s="592">
        <f t="shared" ca="1" si="116"/>
        <v>0</v>
      </c>
      <c r="AC277" s="593" t="e">
        <f ca="1">IF(ISBLANK(H277)=FALSE,IF(D277="BRAND.com",I277,IF(ISNA(VLOOKUP(_xlfn.CONCAT(X277,Z277),TIME!$M$40:$M$42,1,FALSE)),I277,VLOOKUP(_xlfn.CONCAT(D277,G277,H277),M_BUSAREA_FC!$AF$5:$AJ$10,5,FALSE)*HLOOKUP(_xlfn.CONCAT(F277,H277),ST_OVERVIEW!$G$99:$I$130,MATCH(_xlfn.CONCAT(D277,E277),ST_OVERVIEW!$F$99:$F$130,0),FALSE))),IF(D277="BRAND.com",VLOOKUP(_xlfn.CONCAT(C277,D277,E277,TIME!$F$1,Z277),HIS_SALES!$B$2:$V$4859,19,FALSE)*I277,VLOOKUP(_xlfn.CONCAT(D277,F277,G277),Q_BUSAREA_FC!$AE$5:$AI$12,5,FALSE)*HLOOKUP(_xlfn.CONCAT(FC_DATA!F277,FC_DATA!G277),LT_OVERVIEW!$I$99:$M$130,MATCH(_xlfn.CONCAT(D277,FC_DATA!E277),LT_OVERVIEW!$H$99:$H$130,0),FALSE)*IFERROR(VLOOKUP(_xlfn.CONCAT(C277,D277,E277,TIME!$F$1,Z277),HIS_SALES!$B$2:$V$4859,19,FALSE),0)))</f>
        <v>#N/A</v>
      </c>
      <c r="AD277" s="341">
        <f t="shared" ca="1" si="117"/>
        <v>0</v>
      </c>
      <c r="AE277" s="363" t="str">
        <f t="shared" si="118"/>
        <v/>
      </c>
      <c r="AF277" s="342" t="str">
        <f t="shared" si="119"/>
        <v/>
      </c>
      <c r="AG277" s="411" t="e">
        <f ca="1">VLOOKUP(_xlfn.CONCAT(U277,V277,W277,VLOOKUP(X277&amp;Y277,TIME!$L$27:$O$34,4,FALSE),Y277),HIS_SALES!$A$2:$R$5093,18,FALSE)</f>
        <v>#N/A</v>
      </c>
      <c r="AH277" s="412" t="e">
        <f ca="1">IFERROR(IF(AND(V277=V276,W277=W276),0.5*(AB277+AB276)*AG277,(VLOOKUP(_xlfn.CONCAT(U277,V277,W277,X277,VLOOKUP(Z277,TIME!$S$28:$T$39,2,FALSE)),FC_DATA!$R$2:$AB$5000,MATCH("GS_I_M",FC_DATA!$R$1:$AB$1,0),FALSE)+FC_DATA!AB277)*0.5*FC_DATA!AG277),NA())</f>
        <v>#N/A</v>
      </c>
      <c r="AI277" s="491" t="e">
        <f ca="1">IF(V277="PARTNER.com",AH277,IF(AND(V277=V276,W277=W276),(1-AVERAGE(AD276,AD277))*AH277,(1-AVERAGE(AD277,VLOOKUP(_xlfn.CONCAT(U277,V277,W277,X277,M_BRAND_FC!$F$6),FC_DATA!$R$2:$AD$5000,MATCH("DISCOUNT_%_M",FC_DATA!$R$1:$AD$1,0),FALSE)))*AH277))</f>
        <v>#N/A</v>
      </c>
      <c r="AJ277" s="412" t="str">
        <f t="shared" ca="1" si="120"/>
        <v/>
      </c>
      <c r="AK277" s="413" t="str">
        <f>IFERROR(AE277/(Q_BRAND_FC!$T$24+1),"")</f>
        <v/>
      </c>
      <c r="AL277" s="88" t="str">
        <f t="shared" ca="1" si="121"/>
        <v/>
      </c>
      <c r="AM277" s="414" t="str">
        <f t="shared" ca="1" si="122"/>
        <v/>
      </c>
      <c r="AN277" s="58">
        <f>IFERROR(IF($V277="BRAND.com",HLOOKUP($X277&amp;$Z277,NWC_FC_NOOS!$C$4:$Q$23,MATCH(W277,NWC_FC_NOOS!$B$4:$B$23,0),FALSE),0),0)</f>
        <v>0</v>
      </c>
      <c r="AO277" s="57">
        <f>IFERROR(IF($V277="BRAND.com",HLOOKUP($X277&amp;$Z277,NWC_FC_NOOS!$T$4:$AH$23,MATCH(W277,NWC_FC_NOOS!$S$4:$S$23,0),FALSE),0),0)</f>
        <v>0</v>
      </c>
      <c r="AP277" s="57">
        <f>IFERROR(IF($V277="BRAND.com",HLOOKUP($X277&amp;$Z277,NWC_FC_NOOS!$C$50:$U$69,MATCH(W277,NWC_FC_NOOS!$B$50:$B$69,0),FALSE),0),0)</f>
        <v>0</v>
      </c>
      <c r="AQ277" s="58">
        <f>IFERROR(IF($V277="BRAND.com",HLOOKUP($X277&amp;$Z277,'NWC_FC_NON-NOOS'!$C$4:$Q$23,MATCH(W277,'NWC_FC_NON-NOOS'!$B$4:$B$23,0),FALSE),0),0)</f>
        <v>0</v>
      </c>
      <c r="AR277" s="57">
        <f>IFERROR(IF($V277="BRAND.com",HLOOKUP($X277&amp;$Z277,'NWC_FC_NON-NOOS'!$T$4:$AH$23,MATCH(W277,'NWC_FC_NON-NOOS'!$S$4:$S$23,0),FALSE),0),0)</f>
        <v>0</v>
      </c>
      <c r="AS277" s="57">
        <f>IFERROR(IF($V277="BRAND.com",HLOOKUP($X277&amp;$Z277,'NWC_FC_NON-NOOS'!$C$50:$U$69,MATCH(W277,'NWC_FC_NON-NOOS'!$B$50:$B$69,0),FALSE),0),0)</f>
        <v>0</v>
      </c>
      <c r="AT277" s="57">
        <f t="shared" si="124"/>
        <v>0</v>
      </c>
      <c r="AU277" s="57">
        <f t="shared" si="125"/>
        <v>0</v>
      </c>
      <c r="AV277" s="58">
        <f>IFERROR(IF($V277="BRAND.com",HLOOKUP($X277&amp;$Z277,PLANNING_FC!$BB$27:$BP$46,MATCH($W277,PLANNING_FC!$BA$27:$BA$46,0),FALSE),0),0)</f>
        <v>0</v>
      </c>
      <c r="AW277" s="58">
        <f>IFERROR(IF($V277="BRAND.com",HLOOKUP($X277&amp;$Z277,PLANNING_FC!$BB$4:$BP$23,MATCH($W277,PLANNING_FC!$BA$4:$BA$23,0),FALSE),0),0)</f>
        <v>0</v>
      </c>
      <c r="AX277" s="58">
        <f>IFERROR(IF($V277="BRAND.com",HLOOKUP($X277&amp;$Z277,PLANNING_FC!$T$27:$AH$46,MATCH($W277,PLANNING_FC!$B$27:$B$46,0),FALSE),0),0)</f>
        <v>0</v>
      </c>
      <c r="AY277" s="58">
        <f>IFERROR(IF($V277="BRAND.com",HLOOKUP($X277&amp;$Z277,PLANNING_FC!$T$4:$AH$23,MATCH($W277,PLANNING_FC!$B$4:$B$23,0),FALSE),0),0)</f>
        <v>0</v>
      </c>
      <c r="AZ277" s="58">
        <f>IFERROR(IF($V277="BRAND.com",HLOOKUP($X277&amp;$Z277,PLANNING_FC!$DA$27:$DO$46,MATCH($W277,PLANNING_FC!$CZ$27:$CZ$46,0),FALSE),0),0)</f>
        <v>0</v>
      </c>
      <c r="BA277" s="58">
        <f>IFERROR(IF($V277="BRAND.com",HLOOKUP($X277&amp;$Z277,PLANNING_FC!$DA$4:$DO$23,MATCH($W277,PLANNING_FC!$CZ$4:$CZ$23,0),FALSE),0),0)</f>
        <v>0</v>
      </c>
      <c r="BB277" s="883" t="str">
        <f>IF(V277="BRAND.com",IFERROR(HLOOKUP(X277&amp;Z277,PLANNING_FC!$AK$4:$AY$23,MATCH(W277,PLANNING_FC!$AJ$4:$AJ$23,0),FALSE)*1000,""),"")</f>
        <v/>
      </c>
      <c r="BC277" s="883" t="str">
        <f>IF(V277="BRAND.com",IFERROR(HLOOKUP(X277&amp;Z277,PLANNING_FC!$AK$27:$AY$46,MATCH(W277,PLANNING_FC!$AJ$27:$AJ$46,0),FALSE)*1000,""),"")</f>
        <v/>
      </c>
    </row>
    <row r="278" spans="1:55" x14ac:dyDescent="0.25">
      <c r="A278" s="509"/>
      <c r="B278" s="509"/>
      <c r="C278" s="509"/>
      <c r="D278" s="509"/>
      <c r="E278" s="509"/>
      <c r="F278" s="509"/>
      <c r="G278" s="509"/>
      <c r="H278" s="509"/>
      <c r="I278" s="512"/>
      <c r="J278" s="513"/>
      <c r="K278" s="879"/>
      <c r="L278" s="515"/>
      <c r="M278" s="516"/>
      <c r="N278" s="56">
        <f t="shared" si="106"/>
        <v>0</v>
      </c>
      <c r="O278" s="57">
        <f t="shared" si="107"/>
        <v>0</v>
      </c>
      <c r="P278" s="57">
        <f ca="1">IFERROR(IF(ISBLANK(H278),SUMIFS($AC:$AC,$V:$V,V278,$W:$W,W278,$X:$X,X278,$Y:$Y,Y278)*J278/(1-J278)*VLOOKUP(_xlfn.CONCAT(C278,D278,E278,TIME!$M$12,Z278),HIS_SALES!$B$2:$W$4859,20,FALSE),AC278*J278/(1-J278)),0)</f>
        <v>0</v>
      </c>
      <c r="Q278" s="541" t="str">
        <f t="shared" si="108"/>
        <v/>
      </c>
      <c r="R278" s="346" t="str">
        <f t="shared" si="109"/>
        <v>00000</v>
      </c>
      <c r="S278" s="344">
        <f t="shared" si="110"/>
        <v>0</v>
      </c>
      <c r="T278" s="345" t="str">
        <f t="shared" si="123"/>
        <v>000</v>
      </c>
      <c r="U278" s="345">
        <f t="shared" si="111"/>
        <v>0</v>
      </c>
      <c r="V278" s="345">
        <f t="shared" si="112"/>
        <v>0</v>
      </c>
      <c r="W278" s="345">
        <f t="shared" si="113"/>
        <v>0</v>
      </c>
      <c r="X278" s="345">
        <f t="shared" si="114"/>
        <v>0</v>
      </c>
      <c r="Y278" s="345">
        <f t="shared" si="115"/>
        <v>0</v>
      </c>
      <c r="Z278" s="345">
        <f>IF(Q278&lt;&gt;"",VLOOKUP(Y278,TIME!$R$21:$V$24,MATCH(FC_DATA!Q278,TIME!$R$20:$V$20,0),FALSE),H278)</f>
        <v>0</v>
      </c>
      <c r="AA278" s="345" t="str">
        <f>IFERROR(VLOOKUP(X278&amp;Z278,TIME!$A$12:$D$71,4,FALSE),"")</f>
        <v/>
      </c>
      <c r="AB278" s="592">
        <f t="shared" ca="1" si="116"/>
        <v>0</v>
      </c>
      <c r="AC278" s="593" t="e">
        <f ca="1">IF(ISBLANK(H278)=FALSE,IF(D278="BRAND.com",I278,IF(ISNA(VLOOKUP(_xlfn.CONCAT(X278,Z278),TIME!$M$40:$M$42,1,FALSE)),I278,VLOOKUP(_xlfn.CONCAT(D278,G278,H278),M_BUSAREA_FC!$AF$5:$AJ$10,5,FALSE)*HLOOKUP(_xlfn.CONCAT(F278,H278),ST_OVERVIEW!$G$99:$I$130,MATCH(_xlfn.CONCAT(D278,E278),ST_OVERVIEW!$F$99:$F$130,0),FALSE))),IF(D278="BRAND.com",VLOOKUP(_xlfn.CONCAT(C278,D278,E278,TIME!$F$1,Z278),HIS_SALES!$B$2:$V$4859,19,FALSE)*I278,VLOOKUP(_xlfn.CONCAT(D278,F278,G278),Q_BUSAREA_FC!$AE$5:$AI$12,5,FALSE)*HLOOKUP(_xlfn.CONCAT(FC_DATA!F278,FC_DATA!G278),LT_OVERVIEW!$I$99:$M$130,MATCH(_xlfn.CONCAT(D278,FC_DATA!E278),LT_OVERVIEW!$H$99:$H$130,0),FALSE)*IFERROR(VLOOKUP(_xlfn.CONCAT(C278,D278,E278,TIME!$F$1,Z278),HIS_SALES!$B$2:$V$4859,19,FALSE),0)))</f>
        <v>#N/A</v>
      </c>
      <c r="AD278" s="341">
        <f t="shared" ca="1" si="117"/>
        <v>0</v>
      </c>
      <c r="AE278" s="363" t="str">
        <f t="shared" si="118"/>
        <v/>
      </c>
      <c r="AF278" s="342" t="str">
        <f t="shared" si="119"/>
        <v/>
      </c>
      <c r="AG278" s="411" t="e">
        <f ca="1">VLOOKUP(_xlfn.CONCAT(U278,V278,W278,VLOOKUP(X278&amp;Y278,TIME!$L$27:$O$34,4,FALSE),Y278),HIS_SALES!$A$2:$R$5093,18,FALSE)</f>
        <v>#N/A</v>
      </c>
      <c r="AH278" s="412" t="e">
        <f ca="1">IFERROR(IF(AND(V278=V277,W278=W277),0.5*(AB278+AB277)*AG278,(VLOOKUP(_xlfn.CONCAT(U278,V278,W278,X278,VLOOKUP(Z278,TIME!$S$28:$T$39,2,FALSE)),FC_DATA!$R$2:$AB$5000,MATCH("GS_I_M",FC_DATA!$R$1:$AB$1,0),FALSE)+FC_DATA!AB278)*0.5*FC_DATA!AG278),NA())</f>
        <v>#N/A</v>
      </c>
      <c r="AI278" s="491" t="e">
        <f ca="1">IF(V278="PARTNER.com",AH278,IF(AND(V278=V277,W278=W277),(1-AVERAGE(AD277,AD278))*AH278,(1-AVERAGE(AD278,VLOOKUP(_xlfn.CONCAT(U278,V278,W278,X278,M_BRAND_FC!$F$6),FC_DATA!$R$2:$AD$5000,MATCH("DISCOUNT_%_M",FC_DATA!$R$1:$AD$1,0),FALSE)))*AH278))</f>
        <v>#N/A</v>
      </c>
      <c r="AJ278" s="412" t="str">
        <f t="shared" ca="1" si="120"/>
        <v/>
      </c>
      <c r="AK278" s="413" t="str">
        <f>IFERROR(AE278/(Q_BRAND_FC!$T$24+1),"")</f>
        <v/>
      </c>
      <c r="AL278" s="88" t="str">
        <f t="shared" ca="1" si="121"/>
        <v/>
      </c>
      <c r="AM278" s="414" t="str">
        <f t="shared" ca="1" si="122"/>
        <v/>
      </c>
      <c r="AN278" s="58">
        <f>IFERROR(IF($V278="BRAND.com",HLOOKUP($X278&amp;$Z278,NWC_FC_NOOS!$C$4:$Q$23,MATCH(W278,NWC_FC_NOOS!$B$4:$B$23,0),FALSE),0),0)</f>
        <v>0</v>
      </c>
      <c r="AO278" s="57">
        <f>IFERROR(IF($V278="BRAND.com",HLOOKUP($X278&amp;$Z278,NWC_FC_NOOS!$T$4:$AH$23,MATCH(W278,NWC_FC_NOOS!$S$4:$S$23,0),FALSE),0),0)</f>
        <v>0</v>
      </c>
      <c r="AP278" s="57">
        <f>IFERROR(IF($V278="BRAND.com",HLOOKUP($X278&amp;$Z278,NWC_FC_NOOS!$C$50:$U$69,MATCH(W278,NWC_FC_NOOS!$B$50:$B$69,0),FALSE),0),0)</f>
        <v>0</v>
      </c>
      <c r="AQ278" s="58">
        <f>IFERROR(IF($V278="BRAND.com",HLOOKUP($X278&amp;$Z278,'NWC_FC_NON-NOOS'!$C$4:$Q$23,MATCH(W278,'NWC_FC_NON-NOOS'!$B$4:$B$23,0),FALSE),0),0)</f>
        <v>0</v>
      </c>
      <c r="AR278" s="57">
        <f>IFERROR(IF($V278="BRAND.com",HLOOKUP($X278&amp;$Z278,'NWC_FC_NON-NOOS'!$T$4:$AH$23,MATCH(W278,'NWC_FC_NON-NOOS'!$S$4:$S$23,0),FALSE),0),0)</f>
        <v>0</v>
      </c>
      <c r="AS278" s="57">
        <f>IFERROR(IF($V278="BRAND.com",HLOOKUP($X278&amp;$Z278,'NWC_FC_NON-NOOS'!$C$50:$U$69,MATCH(W278,'NWC_FC_NON-NOOS'!$B$50:$B$69,0),FALSE),0),0)</f>
        <v>0</v>
      </c>
      <c r="AT278" s="57">
        <f t="shared" si="124"/>
        <v>0</v>
      </c>
      <c r="AU278" s="57">
        <f t="shared" si="125"/>
        <v>0</v>
      </c>
      <c r="AV278" s="58">
        <f>IFERROR(IF($V278="BRAND.com",HLOOKUP($X278&amp;$Z278,PLANNING_FC!$BB$27:$BP$46,MATCH($W278,PLANNING_FC!$BA$27:$BA$46,0),FALSE),0),0)</f>
        <v>0</v>
      </c>
      <c r="AW278" s="58">
        <f>IFERROR(IF($V278="BRAND.com",HLOOKUP($X278&amp;$Z278,PLANNING_FC!$BB$4:$BP$23,MATCH($W278,PLANNING_FC!$BA$4:$BA$23,0),FALSE),0),0)</f>
        <v>0</v>
      </c>
      <c r="AX278" s="58">
        <f>IFERROR(IF($V278="BRAND.com",HLOOKUP($X278&amp;$Z278,PLANNING_FC!$T$27:$AH$46,MATCH($W278,PLANNING_FC!$B$27:$B$46,0),FALSE),0),0)</f>
        <v>0</v>
      </c>
      <c r="AY278" s="58">
        <f>IFERROR(IF($V278="BRAND.com",HLOOKUP($X278&amp;$Z278,PLANNING_FC!$T$4:$AH$23,MATCH($W278,PLANNING_FC!$B$4:$B$23,0),FALSE),0),0)</f>
        <v>0</v>
      </c>
      <c r="AZ278" s="58">
        <f>IFERROR(IF($V278="BRAND.com",HLOOKUP($X278&amp;$Z278,PLANNING_FC!$DA$27:$DO$46,MATCH($W278,PLANNING_FC!$CZ$27:$CZ$46,0),FALSE),0),0)</f>
        <v>0</v>
      </c>
      <c r="BA278" s="58">
        <f>IFERROR(IF($V278="BRAND.com",HLOOKUP($X278&amp;$Z278,PLANNING_FC!$DA$4:$DO$23,MATCH($W278,PLANNING_FC!$CZ$4:$CZ$23,0),FALSE),0),0)</f>
        <v>0</v>
      </c>
      <c r="BB278" s="883" t="str">
        <f>IF(V278="BRAND.com",IFERROR(HLOOKUP(X278&amp;Z278,PLANNING_FC!$AK$4:$AY$23,MATCH(W278,PLANNING_FC!$AJ$4:$AJ$23,0),FALSE)*1000,""),"")</f>
        <v/>
      </c>
      <c r="BC278" s="883" t="str">
        <f>IF(V278="BRAND.com",IFERROR(HLOOKUP(X278&amp;Z278,PLANNING_FC!$AK$27:$AY$46,MATCH(W278,PLANNING_FC!$AJ$27:$AJ$46,0),FALSE)*1000,""),"")</f>
        <v/>
      </c>
    </row>
    <row r="279" spans="1:55" x14ac:dyDescent="0.25">
      <c r="A279" s="509"/>
      <c r="B279" s="509"/>
      <c r="C279" s="509"/>
      <c r="D279" s="509"/>
      <c r="E279" s="509"/>
      <c r="F279" s="509"/>
      <c r="G279" s="509"/>
      <c r="H279" s="509"/>
      <c r="I279" s="512"/>
      <c r="J279" s="513"/>
      <c r="K279" s="879"/>
      <c r="L279" s="515"/>
      <c r="M279" s="516"/>
      <c r="N279" s="56">
        <f t="shared" si="106"/>
        <v>0</v>
      </c>
      <c r="O279" s="57">
        <f t="shared" si="107"/>
        <v>0</v>
      </c>
      <c r="P279" s="57">
        <f ca="1">IFERROR(IF(ISBLANK(H279),SUMIFS($AC:$AC,$V:$V,V279,$W:$W,W279,$X:$X,X279,$Y:$Y,Y279)*J279/(1-J279)*VLOOKUP(_xlfn.CONCAT(C279,D279,E279,TIME!$M$12,Z279),HIS_SALES!$B$2:$W$4859,20,FALSE),AC279*J279/(1-J279)),0)</f>
        <v>0</v>
      </c>
      <c r="Q279" s="541" t="str">
        <f t="shared" si="108"/>
        <v/>
      </c>
      <c r="R279" s="346" t="str">
        <f t="shared" si="109"/>
        <v>00000</v>
      </c>
      <c r="S279" s="344">
        <f t="shared" si="110"/>
        <v>0</v>
      </c>
      <c r="T279" s="345" t="str">
        <f t="shared" si="123"/>
        <v>000</v>
      </c>
      <c r="U279" s="345">
        <f t="shared" si="111"/>
        <v>0</v>
      </c>
      <c r="V279" s="345">
        <f t="shared" si="112"/>
        <v>0</v>
      </c>
      <c r="W279" s="345">
        <f t="shared" si="113"/>
        <v>0</v>
      </c>
      <c r="X279" s="345">
        <f t="shared" si="114"/>
        <v>0</v>
      </c>
      <c r="Y279" s="345">
        <f t="shared" si="115"/>
        <v>0</v>
      </c>
      <c r="Z279" s="345">
        <f>IF(Q279&lt;&gt;"",VLOOKUP(Y279,TIME!$R$21:$V$24,MATCH(FC_DATA!Q279,TIME!$R$20:$V$20,0),FALSE),H279)</f>
        <v>0</v>
      </c>
      <c r="AA279" s="345" t="str">
        <f>IFERROR(VLOOKUP(X279&amp;Z279,TIME!$A$12:$D$71,4,FALSE),"")</f>
        <v/>
      </c>
      <c r="AB279" s="592">
        <f t="shared" ca="1" si="116"/>
        <v>0</v>
      </c>
      <c r="AC279" s="593" t="e">
        <f ca="1">IF(ISBLANK(H279)=FALSE,IF(D279="BRAND.com",I279,IF(ISNA(VLOOKUP(_xlfn.CONCAT(X279,Z279),TIME!$M$40:$M$42,1,FALSE)),I279,VLOOKUP(_xlfn.CONCAT(D279,G279,H279),M_BUSAREA_FC!$AF$5:$AJ$10,5,FALSE)*HLOOKUP(_xlfn.CONCAT(F279,H279),ST_OVERVIEW!$G$99:$I$130,MATCH(_xlfn.CONCAT(D279,E279),ST_OVERVIEW!$F$99:$F$130,0),FALSE))),IF(D279="BRAND.com",VLOOKUP(_xlfn.CONCAT(C279,D279,E279,TIME!$F$1,Z279),HIS_SALES!$B$2:$V$4859,19,FALSE)*I279,VLOOKUP(_xlfn.CONCAT(D279,F279,G279),Q_BUSAREA_FC!$AE$5:$AI$12,5,FALSE)*HLOOKUP(_xlfn.CONCAT(FC_DATA!F279,FC_DATA!G279),LT_OVERVIEW!$I$99:$M$130,MATCH(_xlfn.CONCAT(D279,FC_DATA!E279),LT_OVERVIEW!$H$99:$H$130,0),FALSE)*IFERROR(VLOOKUP(_xlfn.CONCAT(C279,D279,E279,TIME!$F$1,Z279),HIS_SALES!$B$2:$V$4859,19,FALSE),0)))</f>
        <v>#N/A</v>
      </c>
      <c r="AD279" s="341">
        <f t="shared" ca="1" si="117"/>
        <v>0</v>
      </c>
      <c r="AE279" s="363" t="str">
        <f t="shared" si="118"/>
        <v/>
      </c>
      <c r="AF279" s="342" t="str">
        <f t="shared" si="119"/>
        <v/>
      </c>
      <c r="AG279" s="411" t="e">
        <f ca="1">VLOOKUP(_xlfn.CONCAT(U279,V279,W279,VLOOKUP(X279&amp;Y279,TIME!$L$27:$O$34,4,FALSE),Y279),HIS_SALES!$A$2:$R$5093,18,FALSE)</f>
        <v>#N/A</v>
      </c>
      <c r="AH279" s="412" t="e">
        <f ca="1">IFERROR(IF(AND(V279=V278,W279=W278),0.5*(AB279+AB278)*AG279,(VLOOKUP(_xlfn.CONCAT(U279,V279,W279,X279,VLOOKUP(Z279,TIME!$S$28:$T$39,2,FALSE)),FC_DATA!$R$2:$AB$5000,MATCH("GS_I_M",FC_DATA!$R$1:$AB$1,0),FALSE)+FC_DATA!AB279)*0.5*FC_DATA!AG279),NA())</f>
        <v>#N/A</v>
      </c>
      <c r="AI279" s="491" t="e">
        <f ca="1">IF(V279="PARTNER.com",AH279,IF(AND(V279=V278,W279=W278),(1-AVERAGE(AD278,AD279))*AH279,(1-AVERAGE(AD279,VLOOKUP(_xlfn.CONCAT(U279,V279,W279,X279,M_BRAND_FC!$F$6),FC_DATA!$R$2:$AD$5000,MATCH("DISCOUNT_%_M",FC_DATA!$R$1:$AD$1,0),FALSE)))*AH279))</f>
        <v>#N/A</v>
      </c>
      <c r="AJ279" s="412" t="str">
        <f t="shared" ca="1" si="120"/>
        <v/>
      </c>
      <c r="AK279" s="413" t="str">
        <f>IFERROR(AE279/(Q_BRAND_FC!$T$24+1),"")</f>
        <v/>
      </c>
      <c r="AL279" s="88" t="str">
        <f t="shared" ca="1" si="121"/>
        <v/>
      </c>
      <c r="AM279" s="414" t="str">
        <f t="shared" ca="1" si="122"/>
        <v/>
      </c>
      <c r="AN279" s="58">
        <f>IFERROR(IF($V279="BRAND.com",HLOOKUP($X279&amp;$Z279,NWC_FC_NOOS!$C$4:$Q$23,MATCH(W279,NWC_FC_NOOS!$B$4:$B$23,0),FALSE),0),0)</f>
        <v>0</v>
      </c>
      <c r="AO279" s="57">
        <f>IFERROR(IF($V279="BRAND.com",HLOOKUP($X279&amp;$Z279,NWC_FC_NOOS!$T$4:$AH$23,MATCH(W279,NWC_FC_NOOS!$S$4:$S$23,0),FALSE),0),0)</f>
        <v>0</v>
      </c>
      <c r="AP279" s="57">
        <f>IFERROR(IF($V279="BRAND.com",HLOOKUP($X279&amp;$Z279,NWC_FC_NOOS!$C$50:$U$69,MATCH(W279,NWC_FC_NOOS!$B$50:$B$69,0),FALSE),0),0)</f>
        <v>0</v>
      </c>
      <c r="AQ279" s="58">
        <f>IFERROR(IF($V279="BRAND.com",HLOOKUP($X279&amp;$Z279,'NWC_FC_NON-NOOS'!$C$4:$Q$23,MATCH(W279,'NWC_FC_NON-NOOS'!$B$4:$B$23,0),FALSE),0),0)</f>
        <v>0</v>
      </c>
      <c r="AR279" s="57">
        <f>IFERROR(IF($V279="BRAND.com",HLOOKUP($X279&amp;$Z279,'NWC_FC_NON-NOOS'!$T$4:$AH$23,MATCH(W279,'NWC_FC_NON-NOOS'!$S$4:$S$23,0),FALSE),0),0)</f>
        <v>0</v>
      </c>
      <c r="AS279" s="57">
        <f>IFERROR(IF($V279="BRAND.com",HLOOKUP($X279&amp;$Z279,'NWC_FC_NON-NOOS'!$C$50:$U$69,MATCH(W279,'NWC_FC_NON-NOOS'!$B$50:$B$69,0),FALSE),0),0)</f>
        <v>0</v>
      </c>
      <c r="AT279" s="57">
        <f t="shared" si="124"/>
        <v>0</v>
      </c>
      <c r="AU279" s="57">
        <f t="shared" si="125"/>
        <v>0</v>
      </c>
      <c r="AV279" s="58">
        <f>IFERROR(IF($V279="BRAND.com",HLOOKUP($X279&amp;$Z279,PLANNING_FC!$BB$27:$BP$46,MATCH($W279,PLANNING_FC!$BA$27:$BA$46,0),FALSE),0),0)</f>
        <v>0</v>
      </c>
      <c r="AW279" s="58">
        <f>IFERROR(IF($V279="BRAND.com",HLOOKUP($X279&amp;$Z279,PLANNING_FC!$BB$4:$BP$23,MATCH($W279,PLANNING_FC!$BA$4:$BA$23,0),FALSE),0),0)</f>
        <v>0</v>
      </c>
      <c r="AX279" s="58">
        <f>IFERROR(IF($V279="BRAND.com",HLOOKUP($X279&amp;$Z279,PLANNING_FC!$T$27:$AH$46,MATCH($W279,PLANNING_FC!$B$27:$B$46,0),FALSE),0),0)</f>
        <v>0</v>
      </c>
      <c r="AY279" s="58">
        <f>IFERROR(IF($V279="BRAND.com",HLOOKUP($X279&amp;$Z279,PLANNING_FC!$T$4:$AH$23,MATCH($W279,PLANNING_FC!$B$4:$B$23,0),FALSE),0),0)</f>
        <v>0</v>
      </c>
      <c r="AZ279" s="58">
        <f>IFERROR(IF($V279="BRAND.com",HLOOKUP($X279&amp;$Z279,PLANNING_FC!$DA$27:$DO$46,MATCH($W279,PLANNING_FC!$CZ$27:$CZ$46,0),FALSE),0),0)</f>
        <v>0</v>
      </c>
      <c r="BA279" s="58">
        <f>IFERROR(IF($V279="BRAND.com",HLOOKUP($X279&amp;$Z279,PLANNING_FC!$DA$4:$DO$23,MATCH($W279,PLANNING_FC!$CZ$4:$CZ$23,0),FALSE),0),0)</f>
        <v>0</v>
      </c>
      <c r="BB279" s="883" t="str">
        <f>IF(V279="BRAND.com",IFERROR(HLOOKUP(X279&amp;Z279,PLANNING_FC!$AK$4:$AY$23,MATCH(W279,PLANNING_FC!$AJ$4:$AJ$23,0),FALSE)*1000,""),"")</f>
        <v/>
      </c>
      <c r="BC279" s="883" t="str">
        <f>IF(V279="BRAND.com",IFERROR(HLOOKUP(X279&amp;Z279,PLANNING_FC!$AK$27:$AY$46,MATCH(W279,PLANNING_FC!$AJ$27:$AJ$46,0),FALSE)*1000,""),"")</f>
        <v/>
      </c>
    </row>
    <row r="280" spans="1:55" x14ac:dyDescent="0.25">
      <c r="A280" s="509"/>
      <c r="B280" s="509"/>
      <c r="C280" s="509"/>
      <c r="D280" s="509"/>
      <c r="E280" s="509"/>
      <c r="F280" s="509"/>
      <c r="G280" s="509"/>
      <c r="H280" s="509"/>
      <c r="I280" s="512"/>
      <c r="J280" s="513"/>
      <c r="K280" s="879"/>
      <c r="L280" s="515"/>
      <c r="M280" s="516"/>
      <c r="N280" s="56">
        <f t="shared" si="106"/>
        <v>0</v>
      </c>
      <c r="O280" s="57">
        <f t="shared" si="107"/>
        <v>0</v>
      </c>
      <c r="P280" s="57">
        <f ca="1">IFERROR(IF(ISBLANK(H280),SUMIFS($AC:$AC,$V:$V,V280,$W:$W,W280,$X:$X,X280,$Y:$Y,Y280)*J280/(1-J280)*VLOOKUP(_xlfn.CONCAT(C280,D280,E280,TIME!$M$12,Z280),HIS_SALES!$B$2:$W$4859,20,FALSE),AC280*J280/(1-J280)),0)</f>
        <v>0</v>
      </c>
      <c r="Q280" s="541" t="str">
        <f t="shared" si="108"/>
        <v/>
      </c>
      <c r="R280" s="346" t="str">
        <f t="shared" si="109"/>
        <v>00000</v>
      </c>
      <c r="S280" s="344">
        <f t="shared" si="110"/>
        <v>0</v>
      </c>
      <c r="T280" s="345" t="str">
        <f t="shared" si="123"/>
        <v>000</v>
      </c>
      <c r="U280" s="345">
        <f t="shared" si="111"/>
        <v>0</v>
      </c>
      <c r="V280" s="345">
        <f t="shared" si="112"/>
        <v>0</v>
      </c>
      <c r="W280" s="345">
        <f t="shared" si="113"/>
        <v>0</v>
      </c>
      <c r="X280" s="345">
        <f t="shared" si="114"/>
        <v>0</v>
      </c>
      <c r="Y280" s="345">
        <f t="shared" si="115"/>
        <v>0</v>
      </c>
      <c r="Z280" s="345">
        <f>IF(Q280&lt;&gt;"",VLOOKUP(Y280,TIME!$R$21:$V$24,MATCH(FC_DATA!Q280,TIME!$R$20:$V$20,0),FALSE),H280)</f>
        <v>0</v>
      </c>
      <c r="AA280" s="345" t="str">
        <f>IFERROR(VLOOKUP(X280&amp;Z280,TIME!$A$12:$D$71,4,FALSE),"")</f>
        <v/>
      </c>
      <c r="AB280" s="592">
        <f t="shared" ca="1" si="116"/>
        <v>0</v>
      </c>
      <c r="AC280" s="593" t="e">
        <f ca="1">IF(ISBLANK(H280)=FALSE,IF(D280="BRAND.com",I280,IF(ISNA(VLOOKUP(_xlfn.CONCAT(X280,Z280),TIME!$M$40:$M$42,1,FALSE)),I280,VLOOKUP(_xlfn.CONCAT(D280,G280,H280),M_BUSAREA_FC!$AF$5:$AJ$10,5,FALSE)*HLOOKUP(_xlfn.CONCAT(F280,H280),ST_OVERVIEW!$G$99:$I$130,MATCH(_xlfn.CONCAT(D280,E280),ST_OVERVIEW!$F$99:$F$130,0),FALSE))),IF(D280="BRAND.com",VLOOKUP(_xlfn.CONCAT(C280,D280,E280,TIME!$F$1,Z280),HIS_SALES!$B$2:$V$4859,19,FALSE)*I280,VLOOKUP(_xlfn.CONCAT(D280,F280,G280),Q_BUSAREA_FC!$AE$5:$AI$12,5,FALSE)*HLOOKUP(_xlfn.CONCAT(FC_DATA!F280,FC_DATA!G280),LT_OVERVIEW!$I$99:$M$130,MATCH(_xlfn.CONCAT(D280,FC_DATA!E280),LT_OVERVIEW!$H$99:$H$130,0),FALSE)*IFERROR(VLOOKUP(_xlfn.CONCAT(C280,D280,E280,TIME!$F$1,Z280),HIS_SALES!$B$2:$V$4859,19,FALSE),0)))</f>
        <v>#N/A</v>
      </c>
      <c r="AD280" s="341">
        <f t="shared" ca="1" si="117"/>
        <v>0</v>
      </c>
      <c r="AE280" s="363" t="str">
        <f t="shared" si="118"/>
        <v/>
      </c>
      <c r="AF280" s="342" t="str">
        <f t="shared" si="119"/>
        <v/>
      </c>
      <c r="AG280" s="411" t="e">
        <f ca="1">VLOOKUP(_xlfn.CONCAT(U280,V280,W280,VLOOKUP(X280&amp;Y280,TIME!$L$27:$O$34,4,FALSE),Y280),HIS_SALES!$A$2:$R$5093,18,FALSE)</f>
        <v>#N/A</v>
      </c>
      <c r="AH280" s="412" t="e">
        <f ca="1">IFERROR(IF(AND(V280=V279,W280=W279),0.5*(AB280+AB279)*AG280,(VLOOKUP(_xlfn.CONCAT(U280,V280,W280,X280,VLOOKUP(Z280,TIME!$S$28:$T$39,2,FALSE)),FC_DATA!$R$2:$AB$5000,MATCH("GS_I_M",FC_DATA!$R$1:$AB$1,0),FALSE)+FC_DATA!AB280)*0.5*FC_DATA!AG280),NA())</f>
        <v>#N/A</v>
      </c>
      <c r="AI280" s="491" t="e">
        <f ca="1">IF(V280="PARTNER.com",AH280,IF(AND(V280=V279,W280=W279),(1-AVERAGE(AD279,AD280))*AH280,(1-AVERAGE(AD280,VLOOKUP(_xlfn.CONCAT(U280,V280,W280,X280,M_BRAND_FC!$F$6),FC_DATA!$R$2:$AD$5000,MATCH("DISCOUNT_%_M",FC_DATA!$R$1:$AD$1,0),FALSE)))*AH280))</f>
        <v>#N/A</v>
      </c>
      <c r="AJ280" s="412" t="str">
        <f t="shared" ca="1" si="120"/>
        <v/>
      </c>
      <c r="AK280" s="413" t="str">
        <f>IFERROR(AE280/(Q_BRAND_FC!$T$24+1),"")</f>
        <v/>
      </c>
      <c r="AL280" s="88" t="str">
        <f t="shared" ca="1" si="121"/>
        <v/>
      </c>
      <c r="AM280" s="414" t="str">
        <f t="shared" ca="1" si="122"/>
        <v/>
      </c>
      <c r="AN280" s="58">
        <f>IFERROR(IF($V280="BRAND.com",HLOOKUP($X280&amp;$Z280,NWC_FC_NOOS!$C$4:$Q$23,MATCH(W280,NWC_FC_NOOS!$B$4:$B$23,0),FALSE),0),0)</f>
        <v>0</v>
      </c>
      <c r="AO280" s="57">
        <f>IFERROR(IF($V280="BRAND.com",HLOOKUP($X280&amp;$Z280,NWC_FC_NOOS!$T$4:$AH$23,MATCH(W280,NWC_FC_NOOS!$S$4:$S$23,0),FALSE),0),0)</f>
        <v>0</v>
      </c>
      <c r="AP280" s="57">
        <f>IFERROR(IF($V280="BRAND.com",HLOOKUP($X280&amp;$Z280,NWC_FC_NOOS!$C$50:$U$69,MATCH(W280,NWC_FC_NOOS!$B$50:$B$69,0),FALSE),0),0)</f>
        <v>0</v>
      </c>
      <c r="AQ280" s="58">
        <f>IFERROR(IF($V280="BRAND.com",HLOOKUP($X280&amp;$Z280,'NWC_FC_NON-NOOS'!$C$4:$Q$23,MATCH(W280,'NWC_FC_NON-NOOS'!$B$4:$B$23,0),FALSE),0),0)</f>
        <v>0</v>
      </c>
      <c r="AR280" s="57">
        <f>IFERROR(IF($V280="BRAND.com",HLOOKUP($X280&amp;$Z280,'NWC_FC_NON-NOOS'!$T$4:$AH$23,MATCH(W280,'NWC_FC_NON-NOOS'!$S$4:$S$23,0),FALSE),0),0)</f>
        <v>0</v>
      </c>
      <c r="AS280" s="57">
        <f>IFERROR(IF($V280="BRAND.com",HLOOKUP($X280&amp;$Z280,'NWC_FC_NON-NOOS'!$C$50:$U$69,MATCH(W280,'NWC_FC_NON-NOOS'!$B$50:$B$69,0),FALSE),0),0)</f>
        <v>0</v>
      </c>
      <c r="AT280" s="57">
        <f t="shared" si="124"/>
        <v>0</v>
      </c>
      <c r="AU280" s="57">
        <f t="shared" si="125"/>
        <v>0</v>
      </c>
      <c r="AV280" s="58">
        <f>IFERROR(IF($V280="BRAND.com",HLOOKUP($X280&amp;$Z280,PLANNING_FC!$BB$27:$BP$46,MATCH($W280,PLANNING_FC!$BA$27:$BA$46,0),FALSE),0),0)</f>
        <v>0</v>
      </c>
      <c r="AW280" s="58">
        <f>IFERROR(IF($V280="BRAND.com",HLOOKUP($X280&amp;$Z280,PLANNING_FC!$BB$4:$BP$23,MATCH($W280,PLANNING_FC!$BA$4:$BA$23,0),FALSE),0),0)</f>
        <v>0</v>
      </c>
      <c r="AX280" s="58">
        <f>IFERROR(IF($V280="BRAND.com",HLOOKUP($X280&amp;$Z280,PLANNING_FC!$T$27:$AH$46,MATCH($W280,PLANNING_FC!$B$27:$B$46,0),FALSE),0),0)</f>
        <v>0</v>
      </c>
      <c r="AY280" s="58">
        <f>IFERROR(IF($V280="BRAND.com",HLOOKUP($X280&amp;$Z280,PLANNING_FC!$T$4:$AH$23,MATCH($W280,PLANNING_FC!$B$4:$B$23,0),FALSE),0),0)</f>
        <v>0</v>
      </c>
      <c r="AZ280" s="58">
        <f>IFERROR(IF($V280="BRAND.com",HLOOKUP($X280&amp;$Z280,PLANNING_FC!$DA$27:$DO$46,MATCH($W280,PLANNING_FC!$CZ$27:$CZ$46,0),FALSE),0),0)</f>
        <v>0</v>
      </c>
      <c r="BA280" s="58">
        <f>IFERROR(IF($V280="BRAND.com",HLOOKUP($X280&amp;$Z280,PLANNING_FC!$DA$4:$DO$23,MATCH($W280,PLANNING_FC!$CZ$4:$CZ$23,0),FALSE),0),0)</f>
        <v>0</v>
      </c>
      <c r="BB280" s="883" t="str">
        <f>IF(V280="BRAND.com",IFERROR(HLOOKUP(X280&amp;Z280,PLANNING_FC!$AK$4:$AY$23,MATCH(W280,PLANNING_FC!$AJ$4:$AJ$23,0),FALSE)*1000,""),"")</f>
        <v/>
      </c>
      <c r="BC280" s="883" t="str">
        <f>IF(V280="BRAND.com",IFERROR(HLOOKUP(X280&amp;Z280,PLANNING_FC!$AK$27:$AY$46,MATCH(W280,PLANNING_FC!$AJ$27:$AJ$46,0),FALSE)*1000,""),"")</f>
        <v/>
      </c>
    </row>
    <row r="281" spans="1:55" x14ac:dyDescent="0.25">
      <c r="A281" s="509"/>
      <c r="B281" s="509"/>
      <c r="C281" s="509"/>
      <c r="D281" s="509"/>
      <c r="E281" s="509"/>
      <c r="F281" s="509"/>
      <c r="G281" s="509"/>
      <c r="H281" s="509"/>
      <c r="I281" s="512"/>
      <c r="J281" s="513"/>
      <c r="K281" s="879"/>
      <c r="L281" s="515"/>
      <c r="M281" s="516"/>
      <c r="N281" s="56">
        <f t="shared" si="106"/>
        <v>0</v>
      </c>
      <c r="O281" s="57">
        <f t="shared" si="107"/>
        <v>0</v>
      </c>
      <c r="P281" s="57">
        <f ca="1">IFERROR(IF(ISBLANK(H281),SUMIFS($AC:$AC,$V:$V,V281,$W:$W,W281,$X:$X,X281,$Y:$Y,Y281)*J281/(1-J281)*VLOOKUP(_xlfn.CONCAT(C281,D281,E281,TIME!$M$12,Z281),HIS_SALES!$B$2:$W$4859,20,FALSE),AC281*J281/(1-J281)),0)</f>
        <v>0</v>
      </c>
      <c r="Q281" s="541" t="str">
        <f t="shared" si="108"/>
        <v/>
      </c>
      <c r="R281" s="346" t="str">
        <f t="shared" si="109"/>
        <v>00000</v>
      </c>
      <c r="S281" s="344">
        <f t="shared" si="110"/>
        <v>0</v>
      </c>
      <c r="T281" s="345" t="str">
        <f t="shared" si="123"/>
        <v>000</v>
      </c>
      <c r="U281" s="345">
        <f t="shared" si="111"/>
        <v>0</v>
      </c>
      <c r="V281" s="345">
        <f t="shared" si="112"/>
        <v>0</v>
      </c>
      <c r="W281" s="345">
        <f t="shared" si="113"/>
        <v>0</v>
      </c>
      <c r="X281" s="345">
        <f t="shared" si="114"/>
        <v>0</v>
      </c>
      <c r="Y281" s="345">
        <f t="shared" si="115"/>
        <v>0</v>
      </c>
      <c r="Z281" s="345">
        <f>IF(Q281&lt;&gt;"",VLOOKUP(Y281,TIME!$R$21:$V$24,MATCH(FC_DATA!Q281,TIME!$R$20:$V$20,0),FALSE),H281)</f>
        <v>0</v>
      </c>
      <c r="AA281" s="345" t="str">
        <f>IFERROR(VLOOKUP(X281&amp;Z281,TIME!$A$12:$D$71,4,FALSE),"")</f>
        <v/>
      </c>
      <c r="AB281" s="592">
        <f t="shared" ca="1" si="116"/>
        <v>0</v>
      </c>
      <c r="AC281" s="593" t="e">
        <f ca="1">IF(ISBLANK(H281)=FALSE,IF(D281="BRAND.com",I281,IF(ISNA(VLOOKUP(_xlfn.CONCAT(X281,Z281),TIME!$M$40:$M$42,1,FALSE)),I281,VLOOKUP(_xlfn.CONCAT(D281,G281,H281),M_BUSAREA_FC!$AF$5:$AJ$10,5,FALSE)*HLOOKUP(_xlfn.CONCAT(F281,H281),ST_OVERVIEW!$G$99:$I$130,MATCH(_xlfn.CONCAT(D281,E281),ST_OVERVIEW!$F$99:$F$130,0),FALSE))),IF(D281="BRAND.com",VLOOKUP(_xlfn.CONCAT(C281,D281,E281,TIME!$F$1,Z281),HIS_SALES!$B$2:$V$4859,19,FALSE)*I281,VLOOKUP(_xlfn.CONCAT(D281,F281,G281),Q_BUSAREA_FC!$AE$5:$AI$12,5,FALSE)*HLOOKUP(_xlfn.CONCAT(FC_DATA!F281,FC_DATA!G281),LT_OVERVIEW!$I$99:$M$130,MATCH(_xlfn.CONCAT(D281,FC_DATA!E281),LT_OVERVIEW!$H$99:$H$130,0),FALSE)*IFERROR(VLOOKUP(_xlfn.CONCAT(C281,D281,E281,TIME!$F$1,Z281),HIS_SALES!$B$2:$V$4859,19,FALSE),0)))</f>
        <v>#N/A</v>
      </c>
      <c r="AD281" s="341">
        <f t="shared" ca="1" si="117"/>
        <v>0</v>
      </c>
      <c r="AE281" s="363" t="str">
        <f t="shared" si="118"/>
        <v/>
      </c>
      <c r="AF281" s="342" t="str">
        <f t="shared" si="119"/>
        <v/>
      </c>
      <c r="AG281" s="411" t="e">
        <f ca="1">VLOOKUP(_xlfn.CONCAT(U281,V281,W281,VLOOKUP(X281&amp;Y281,TIME!$L$27:$O$34,4,FALSE),Y281),HIS_SALES!$A$2:$R$5093,18,FALSE)</f>
        <v>#N/A</v>
      </c>
      <c r="AH281" s="412" t="e">
        <f ca="1">IFERROR(IF(AND(V281=V280,W281=W280),0.5*(AB281+AB280)*AG281,(VLOOKUP(_xlfn.CONCAT(U281,V281,W281,X281,VLOOKUP(Z281,TIME!$S$28:$T$39,2,FALSE)),FC_DATA!$R$2:$AB$5000,MATCH("GS_I_M",FC_DATA!$R$1:$AB$1,0),FALSE)+FC_DATA!AB281)*0.5*FC_DATA!AG281),NA())</f>
        <v>#N/A</v>
      </c>
      <c r="AI281" s="491" t="e">
        <f ca="1">IF(V281="PARTNER.com",AH281,IF(AND(V281=V280,W281=W280),(1-AVERAGE(AD280,AD281))*AH281,(1-AVERAGE(AD281,VLOOKUP(_xlfn.CONCAT(U281,V281,W281,X281,M_BRAND_FC!$F$6),FC_DATA!$R$2:$AD$5000,MATCH("DISCOUNT_%_M",FC_DATA!$R$1:$AD$1,0),FALSE)))*AH281))</f>
        <v>#N/A</v>
      </c>
      <c r="AJ281" s="412" t="str">
        <f t="shared" ca="1" si="120"/>
        <v/>
      </c>
      <c r="AK281" s="413" t="str">
        <f>IFERROR(AE281/(Q_BRAND_FC!$T$24+1),"")</f>
        <v/>
      </c>
      <c r="AL281" s="88" t="str">
        <f t="shared" ca="1" si="121"/>
        <v/>
      </c>
      <c r="AM281" s="414" t="str">
        <f t="shared" ca="1" si="122"/>
        <v/>
      </c>
      <c r="AN281" s="58">
        <f>IFERROR(IF($V281="BRAND.com",HLOOKUP($X281&amp;$Z281,NWC_FC_NOOS!$C$4:$Q$23,MATCH(W281,NWC_FC_NOOS!$B$4:$B$23,0),FALSE),0),0)</f>
        <v>0</v>
      </c>
      <c r="AO281" s="57">
        <f>IFERROR(IF($V281="BRAND.com",HLOOKUP($X281&amp;$Z281,NWC_FC_NOOS!$T$4:$AH$23,MATCH(W281,NWC_FC_NOOS!$S$4:$S$23,0),FALSE),0),0)</f>
        <v>0</v>
      </c>
      <c r="AP281" s="57">
        <f>IFERROR(IF($V281="BRAND.com",HLOOKUP($X281&amp;$Z281,NWC_FC_NOOS!$C$50:$U$69,MATCH(W281,NWC_FC_NOOS!$B$50:$B$69,0),FALSE),0),0)</f>
        <v>0</v>
      </c>
      <c r="AQ281" s="58">
        <f>IFERROR(IF($V281="BRAND.com",HLOOKUP($X281&amp;$Z281,'NWC_FC_NON-NOOS'!$C$4:$Q$23,MATCH(W281,'NWC_FC_NON-NOOS'!$B$4:$B$23,0),FALSE),0),0)</f>
        <v>0</v>
      </c>
      <c r="AR281" s="57">
        <f>IFERROR(IF($V281="BRAND.com",HLOOKUP($X281&amp;$Z281,'NWC_FC_NON-NOOS'!$T$4:$AH$23,MATCH(W281,'NWC_FC_NON-NOOS'!$S$4:$S$23,0),FALSE),0),0)</f>
        <v>0</v>
      </c>
      <c r="AS281" s="57">
        <f>IFERROR(IF($V281="BRAND.com",HLOOKUP($X281&amp;$Z281,'NWC_FC_NON-NOOS'!$C$50:$U$69,MATCH(W281,'NWC_FC_NON-NOOS'!$B$50:$B$69,0),FALSE),0),0)</f>
        <v>0</v>
      </c>
      <c r="AT281" s="57">
        <f t="shared" si="124"/>
        <v>0</v>
      </c>
      <c r="AU281" s="57">
        <f t="shared" si="125"/>
        <v>0</v>
      </c>
      <c r="AV281" s="58">
        <f>IFERROR(IF($V281="BRAND.com",HLOOKUP($X281&amp;$Z281,PLANNING_FC!$BB$27:$BP$46,MATCH($W281,PLANNING_FC!$BA$27:$BA$46,0),FALSE),0),0)</f>
        <v>0</v>
      </c>
      <c r="AW281" s="58">
        <f>IFERROR(IF($V281="BRAND.com",HLOOKUP($X281&amp;$Z281,PLANNING_FC!$BB$4:$BP$23,MATCH($W281,PLANNING_FC!$BA$4:$BA$23,0),FALSE),0),0)</f>
        <v>0</v>
      </c>
      <c r="AX281" s="58">
        <f>IFERROR(IF($V281="BRAND.com",HLOOKUP($X281&amp;$Z281,PLANNING_FC!$T$27:$AH$46,MATCH($W281,PLANNING_FC!$B$27:$B$46,0),FALSE),0),0)</f>
        <v>0</v>
      </c>
      <c r="AY281" s="58">
        <f>IFERROR(IF($V281="BRAND.com",HLOOKUP($X281&amp;$Z281,PLANNING_FC!$T$4:$AH$23,MATCH($W281,PLANNING_FC!$B$4:$B$23,0),FALSE),0),0)</f>
        <v>0</v>
      </c>
      <c r="AZ281" s="58">
        <f>IFERROR(IF($V281="BRAND.com",HLOOKUP($X281&amp;$Z281,PLANNING_FC!$DA$27:$DO$46,MATCH($W281,PLANNING_FC!$CZ$27:$CZ$46,0),FALSE),0),0)</f>
        <v>0</v>
      </c>
      <c r="BA281" s="58">
        <f>IFERROR(IF($V281="BRAND.com",HLOOKUP($X281&amp;$Z281,PLANNING_FC!$DA$4:$DO$23,MATCH($W281,PLANNING_FC!$CZ$4:$CZ$23,0),FALSE),0),0)</f>
        <v>0</v>
      </c>
      <c r="BB281" s="883" t="str">
        <f>IF(V281="BRAND.com",IFERROR(HLOOKUP(X281&amp;Z281,PLANNING_FC!$AK$4:$AY$23,MATCH(W281,PLANNING_FC!$AJ$4:$AJ$23,0),FALSE)*1000,""),"")</f>
        <v/>
      </c>
      <c r="BC281" s="883" t="str">
        <f>IF(V281="BRAND.com",IFERROR(HLOOKUP(X281&amp;Z281,PLANNING_FC!$AK$27:$AY$46,MATCH(W281,PLANNING_FC!$AJ$27:$AJ$46,0),FALSE)*1000,""),"")</f>
        <v/>
      </c>
    </row>
    <row r="282" spans="1:55" x14ac:dyDescent="0.25">
      <c r="A282" s="509"/>
      <c r="B282" s="509"/>
      <c r="C282" s="509"/>
      <c r="D282" s="509"/>
      <c r="E282" s="509"/>
      <c r="F282" s="509"/>
      <c r="G282" s="509"/>
      <c r="H282" s="509"/>
      <c r="I282" s="512"/>
      <c r="J282" s="513"/>
      <c r="K282" s="879"/>
      <c r="L282" s="515"/>
      <c r="M282" s="516"/>
      <c r="N282" s="56">
        <f t="shared" si="106"/>
        <v>0</v>
      </c>
      <c r="O282" s="57">
        <f t="shared" si="107"/>
        <v>0</v>
      </c>
      <c r="P282" s="57">
        <f ca="1">IFERROR(IF(ISBLANK(H282),SUMIFS($AC:$AC,$V:$V,V282,$W:$W,W282,$X:$X,X282,$Y:$Y,Y282)*J282/(1-J282)*VLOOKUP(_xlfn.CONCAT(C282,D282,E282,TIME!$M$12,Z282),HIS_SALES!$B$2:$W$4859,20,FALSE),AC282*J282/(1-J282)),0)</f>
        <v>0</v>
      </c>
      <c r="Q282" s="541" t="str">
        <f t="shared" si="108"/>
        <v/>
      </c>
      <c r="R282" s="346" t="str">
        <f t="shared" si="109"/>
        <v>00000</v>
      </c>
      <c r="S282" s="344">
        <f t="shared" si="110"/>
        <v>0</v>
      </c>
      <c r="T282" s="345" t="str">
        <f t="shared" si="123"/>
        <v>000</v>
      </c>
      <c r="U282" s="345">
        <f t="shared" si="111"/>
        <v>0</v>
      </c>
      <c r="V282" s="345">
        <f t="shared" si="112"/>
        <v>0</v>
      </c>
      <c r="W282" s="345">
        <f t="shared" si="113"/>
        <v>0</v>
      </c>
      <c r="X282" s="345">
        <f t="shared" si="114"/>
        <v>0</v>
      </c>
      <c r="Y282" s="345">
        <f t="shared" si="115"/>
        <v>0</v>
      </c>
      <c r="Z282" s="345">
        <f>IF(Q282&lt;&gt;"",VLOOKUP(Y282,TIME!$R$21:$V$24,MATCH(FC_DATA!Q282,TIME!$R$20:$V$20,0),FALSE),H282)</f>
        <v>0</v>
      </c>
      <c r="AA282" s="345" t="str">
        <f>IFERROR(VLOOKUP(X282&amp;Z282,TIME!$A$12:$D$71,4,FALSE),"")</f>
        <v/>
      </c>
      <c r="AB282" s="592">
        <f t="shared" ca="1" si="116"/>
        <v>0</v>
      </c>
      <c r="AC282" s="593" t="e">
        <f ca="1">IF(ISBLANK(H282)=FALSE,IF(D282="BRAND.com",I282,IF(ISNA(VLOOKUP(_xlfn.CONCAT(X282,Z282),TIME!$M$40:$M$42,1,FALSE)),I282,VLOOKUP(_xlfn.CONCAT(D282,G282,H282),M_BUSAREA_FC!$AF$5:$AJ$10,5,FALSE)*HLOOKUP(_xlfn.CONCAT(F282,H282),ST_OVERVIEW!$G$99:$I$130,MATCH(_xlfn.CONCAT(D282,E282),ST_OVERVIEW!$F$99:$F$130,0),FALSE))),IF(D282="BRAND.com",VLOOKUP(_xlfn.CONCAT(C282,D282,E282,TIME!$F$1,Z282),HIS_SALES!$B$2:$V$4859,19,FALSE)*I282,VLOOKUP(_xlfn.CONCAT(D282,F282,G282),Q_BUSAREA_FC!$AE$5:$AI$12,5,FALSE)*HLOOKUP(_xlfn.CONCAT(FC_DATA!F282,FC_DATA!G282),LT_OVERVIEW!$I$99:$M$130,MATCH(_xlfn.CONCAT(D282,FC_DATA!E282),LT_OVERVIEW!$H$99:$H$130,0),FALSE)*IFERROR(VLOOKUP(_xlfn.CONCAT(C282,D282,E282,TIME!$F$1,Z282),HIS_SALES!$B$2:$V$4859,19,FALSE),0)))</f>
        <v>#N/A</v>
      </c>
      <c r="AD282" s="341">
        <f t="shared" ca="1" si="117"/>
        <v>0</v>
      </c>
      <c r="AE282" s="363" t="str">
        <f t="shared" si="118"/>
        <v/>
      </c>
      <c r="AF282" s="342" t="str">
        <f t="shared" si="119"/>
        <v/>
      </c>
      <c r="AG282" s="411" t="e">
        <f ca="1">VLOOKUP(_xlfn.CONCAT(U282,V282,W282,VLOOKUP(X282&amp;Y282,TIME!$L$27:$O$34,4,FALSE),Y282),HIS_SALES!$A$2:$R$5093,18,FALSE)</f>
        <v>#N/A</v>
      </c>
      <c r="AH282" s="412" t="e">
        <f ca="1">IFERROR(IF(AND(V282=V281,W282=W281),0.5*(AB282+AB281)*AG282,(VLOOKUP(_xlfn.CONCAT(U282,V282,W282,X282,VLOOKUP(Z282,TIME!$S$28:$T$39,2,FALSE)),FC_DATA!$R$2:$AB$5000,MATCH("GS_I_M",FC_DATA!$R$1:$AB$1,0),FALSE)+FC_DATA!AB282)*0.5*FC_DATA!AG282),NA())</f>
        <v>#N/A</v>
      </c>
      <c r="AI282" s="491" t="e">
        <f ca="1">IF(V282="PARTNER.com",AH282,IF(AND(V282=V281,W282=W281),(1-AVERAGE(AD281,AD282))*AH282,(1-AVERAGE(AD282,VLOOKUP(_xlfn.CONCAT(U282,V282,W282,X282,M_BRAND_FC!$F$6),FC_DATA!$R$2:$AD$5000,MATCH("DISCOUNT_%_M",FC_DATA!$R$1:$AD$1,0),FALSE)))*AH282))</f>
        <v>#N/A</v>
      </c>
      <c r="AJ282" s="412" t="str">
        <f t="shared" ca="1" si="120"/>
        <v/>
      </c>
      <c r="AK282" s="413" t="str">
        <f>IFERROR(AE282/(Q_BRAND_FC!$T$24+1),"")</f>
        <v/>
      </c>
      <c r="AL282" s="88" t="str">
        <f t="shared" ca="1" si="121"/>
        <v/>
      </c>
      <c r="AM282" s="414" t="str">
        <f t="shared" ca="1" si="122"/>
        <v/>
      </c>
      <c r="AN282" s="58">
        <f>IFERROR(IF($V282="BRAND.com",HLOOKUP($X282&amp;$Z282,NWC_FC_NOOS!$C$4:$Q$23,MATCH(W282,NWC_FC_NOOS!$B$4:$B$23,0),FALSE),0),0)</f>
        <v>0</v>
      </c>
      <c r="AO282" s="57">
        <f>IFERROR(IF($V282="BRAND.com",HLOOKUP($X282&amp;$Z282,NWC_FC_NOOS!$T$4:$AH$23,MATCH(W282,NWC_FC_NOOS!$S$4:$S$23,0),FALSE),0),0)</f>
        <v>0</v>
      </c>
      <c r="AP282" s="57">
        <f>IFERROR(IF($V282="BRAND.com",HLOOKUP($X282&amp;$Z282,NWC_FC_NOOS!$C$50:$U$69,MATCH(W282,NWC_FC_NOOS!$B$50:$B$69,0),FALSE),0),0)</f>
        <v>0</v>
      </c>
      <c r="AQ282" s="58">
        <f>IFERROR(IF($V282="BRAND.com",HLOOKUP($X282&amp;$Z282,'NWC_FC_NON-NOOS'!$C$4:$Q$23,MATCH(W282,'NWC_FC_NON-NOOS'!$B$4:$B$23,0),FALSE),0),0)</f>
        <v>0</v>
      </c>
      <c r="AR282" s="57">
        <f>IFERROR(IF($V282="BRAND.com",HLOOKUP($X282&amp;$Z282,'NWC_FC_NON-NOOS'!$T$4:$AH$23,MATCH(W282,'NWC_FC_NON-NOOS'!$S$4:$S$23,0),FALSE),0),0)</f>
        <v>0</v>
      </c>
      <c r="AS282" s="57">
        <f>IFERROR(IF($V282="BRAND.com",HLOOKUP($X282&amp;$Z282,'NWC_FC_NON-NOOS'!$C$50:$U$69,MATCH(W282,'NWC_FC_NON-NOOS'!$B$50:$B$69,0),FALSE),0),0)</f>
        <v>0</v>
      </c>
      <c r="AT282" s="57">
        <f t="shared" si="124"/>
        <v>0</v>
      </c>
      <c r="AU282" s="57">
        <f t="shared" si="125"/>
        <v>0</v>
      </c>
      <c r="AV282" s="58">
        <f>IFERROR(IF($V282="BRAND.com",HLOOKUP($X282&amp;$Z282,PLANNING_FC!$BB$27:$BP$46,MATCH($W282,PLANNING_FC!$BA$27:$BA$46,0),FALSE),0),0)</f>
        <v>0</v>
      </c>
      <c r="AW282" s="58">
        <f>IFERROR(IF($V282="BRAND.com",HLOOKUP($X282&amp;$Z282,PLANNING_FC!$BB$4:$BP$23,MATCH($W282,PLANNING_FC!$BA$4:$BA$23,0),FALSE),0),0)</f>
        <v>0</v>
      </c>
      <c r="AX282" s="58">
        <f>IFERROR(IF($V282="BRAND.com",HLOOKUP($X282&amp;$Z282,PLANNING_FC!$T$27:$AH$46,MATCH($W282,PLANNING_FC!$B$27:$B$46,0),FALSE),0),0)</f>
        <v>0</v>
      </c>
      <c r="AY282" s="58">
        <f>IFERROR(IF($V282="BRAND.com",HLOOKUP($X282&amp;$Z282,PLANNING_FC!$T$4:$AH$23,MATCH($W282,PLANNING_FC!$B$4:$B$23,0),FALSE),0),0)</f>
        <v>0</v>
      </c>
      <c r="AZ282" s="58">
        <f>IFERROR(IF($V282="BRAND.com",HLOOKUP($X282&amp;$Z282,PLANNING_FC!$DA$27:$DO$46,MATCH($W282,PLANNING_FC!$CZ$27:$CZ$46,0),FALSE),0),0)</f>
        <v>0</v>
      </c>
      <c r="BA282" s="58">
        <f>IFERROR(IF($V282="BRAND.com",HLOOKUP($X282&amp;$Z282,PLANNING_FC!$DA$4:$DO$23,MATCH($W282,PLANNING_FC!$CZ$4:$CZ$23,0),FALSE),0),0)</f>
        <v>0</v>
      </c>
      <c r="BB282" s="883" t="str">
        <f>IF(V282="BRAND.com",IFERROR(HLOOKUP(X282&amp;Z282,PLANNING_FC!$AK$4:$AY$23,MATCH(W282,PLANNING_FC!$AJ$4:$AJ$23,0),FALSE)*1000,""),"")</f>
        <v/>
      </c>
      <c r="BC282" s="883" t="str">
        <f>IF(V282="BRAND.com",IFERROR(HLOOKUP(X282&amp;Z282,PLANNING_FC!$AK$27:$AY$46,MATCH(W282,PLANNING_FC!$AJ$27:$AJ$46,0),FALSE)*1000,""),"")</f>
        <v/>
      </c>
    </row>
    <row r="283" spans="1:55" x14ac:dyDescent="0.25">
      <c r="A283" s="509"/>
      <c r="B283" s="509"/>
      <c r="C283" s="509"/>
      <c r="D283" s="509"/>
      <c r="E283" s="509"/>
      <c r="F283" s="509"/>
      <c r="G283" s="509"/>
      <c r="H283" s="509"/>
      <c r="I283" s="512"/>
      <c r="J283" s="513"/>
      <c r="K283" s="879"/>
      <c r="L283" s="515"/>
      <c r="M283" s="516"/>
      <c r="N283" s="56">
        <f t="shared" si="106"/>
        <v>0</v>
      </c>
      <c r="O283" s="57">
        <f t="shared" si="107"/>
        <v>0</v>
      </c>
      <c r="P283" s="57">
        <f ca="1">IFERROR(IF(ISBLANK(H283),SUMIFS($AC:$AC,$V:$V,V283,$W:$W,W283,$X:$X,X283,$Y:$Y,Y283)*J283/(1-J283)*VLOOKUP(_xlfn.CONCAT(C283,D283,E283,TIME!$M$12,Z283),HIS_SALES!$B$2:$W$4859,20,FALSE),AC283*J283/(1-J283)),0)</f>
        <v>0</v>
      </c>
      <c r="Q283" s="541" t="str">
        <f t="shared" si="108"/>
        <v/>
      </c>
      <c r="R283" s="346" t="str">
        <f t="shared" si="109"/>
        <v>00000</v>
      </c>
      <c r="S283" s="344">
        <f t="shared" si="110"/>
        <v>0</v>
      </c>
      <c r="T283" s="345" t="str">
        <f t="shared" si="123"/>
        <v>000</v>
      </c>
      <c r="U283" s="345">
        <f t="shared" si="111"/>
        <v>0</v>
      </c>
      <c r="V283" s="345">
        <f t="shared" si="112"/>
        <v>0</v>
      </c>
      <c r="W283" s="345">
        <f t="shared" si="113"/>
        <v>0</v>
      </c>
      <c r="X283" s="345">
        <f t="shared" si="114"/>
        <v>0</v>
      </c>
      <c r="Y283" s="345">
        <f t="shared" si="115"/>
        <v>0</v>
      </c>
      <c r="Z283" s="345">
        <f>IF(Q283&lt;&gt;"",VLOOKUP(Y283,TIME!$R$21:$V$24,MATCH(FC_DATA!Q283,TIME!$R$20:$V$20,0),FALSE),H283)</f>
        <v>0</v>
      </c>
      <c r="AA283" s="345" t="str">
        <f>IFERROR(VLOOKUP(X283&amp;Z283,TIME!$A$12:$D$71,4,FALSE),"")</f>
        <v/>
      </c>
      <c r="AB283" s="592">
        <f t="shared" ca="1" si="116"/>
        <v>0</v>
      </c>
      <c r="AC283" s="593" t="e">
        <f ca="1">IF(ISBLANK(H283)=FALSE,IF(D283="BRAND.com",I283,IF(ISNA(VLOOKUP(_xlfn.CONCAT(X283,Z283),TIME!$M$40:$M$42,1,FALSE)),I283,VLOOKUP(_xlfn.CONCAT(D283,G283,H283),M_BUSAREA_FC!$AF$5:$AJ$10,5,FALSE)*HLOOKUP(_xlfn.CONCAT(F283,H283),ST_OVERVIEW!$G$99:$I$130,MATCH(_xlfn.CONCAT(D283,E283),ST_OVERVIEW!$F$99:$F$130,0),FALSE))),IF(D283="BRAND.com",VLOOKUP(_xlfn.CONCAT(C283,D283,E283,TIME!$F$1,Z283),HIS_SALES!$B$2:$V$4859,19,FALSE)*I283,VLOOKUP(_xlfn.CONCAT(D283,F283,G283),Q_BUSAREA_FC!$AE$5:$AI$12,5,FALSE)*HLOOKUP(_xlfn.CONCAT(FC_DATA!F283,FC_DATA!G283),LT_OVERVIEW!$I$99:$M$130,MATCH(_xlfn.CONCAT(D283,FC_DATA!E283),LT_OVERVIEW!$H$99:$H$130,0),FALSE)*IFERROR(VLOOKUP(_xlfn.CONCAT(C283,D283,E283,TIME!$F$1,Z283),HIS_SALES!$B$2:$V$4859,19,FALSE),0)))</f>
        <v>#N/A</v>
      </c>
      <c r="AD283" s="341">
        <f t="shared" ca="1" si="117"/>
        <v>0</v>
      </c>
      <c r="AE283" s="363" t="str">
        <f t="shared" si="118"/>
        <v/>
      </c>
      <c r="AF283" s="342" t="str">
        <f t="shared" si="119"/>
        <v/>
      </c>
      <c r="AG283" s="411" t="e">
        <f ca="1">VLOOKUP(_xlfn.CONCAT(U283,V283,W283,VLOOKUP(X283&amp;Y283,TIME!$L$27:$O$34,4,FALSE),Y283),HIS_SALES!$A$2:$R$5093,18,FALSE)</f>
        <v>#N/A</v>
      </c>
      <c r="AH283" s="412" t="e">
        <f ca="1">IFERROR(IF(AND(V283=V282,W283=W282),0.5*(AB283+AB282)*AG283,(VLOOKUP(_xlfn.CONCAT(U283,V283,W283,X283,VLOOKUP(Z283,TIME!$S$28:$T$39,2,FALSE)),FC_DATA!$R$2:$AB$5000,MATCH("GS_I_M",FC_DATA!$R$1:$AB$1,0),FALSE)+FC_DATA!AB283)*0.5*FC_DATA!AG283),NA())</f>
        <v>#N/A</v>
      </c>
      <c r="AI283" s="491" t="e">
        <f ca="1">IF(V283="PARTNER.com",AH283,IF(AND(V283=V282,W283=W282),(1-AVERAGE(AD282,AD283))*AH283,(1-AVERAGE(AD283,VLOOKUP(_xlfn.CONCAT(U283,V283,W283,X283,M_BRAND_FC!$F$6),FC_DATA!$R$2:$AD$5000,MATCH("DISCOUNT_%_M",FC_DATA!$R$1:$AD$1,0),FALSE)))*AH283))</f>
        <v>#N/A</v>
      </c>
      <c r="AJ283" s="412" t="str">
        <f t="shared" ca="1" si="120"/>
        <v/>
      </c>
      <c r="AK283" s="413" t="str">
        <f>IFERROR(AE283/(Q_BRAND_FC!$T$24+1),"")</f>
        <v/>
      </c>
      <c r="AL283" s="88" t="str">
        <f t="shared" ca="1" si="121"/>
        <v/>
      </c>
      <c r="AM283" s="414" t="str">
        <f t="shared" ca="1" si="122"/>
        <v/>
      </c>
      <c r="AN283" s="58">
        <f>IFERROR(IF($V283="BRAND.com",HLOOKUP($X283&amp;$Z283,NWC_FC_NOOS!$C$4:$Q$23,MATCH(W283,NWC_FC_NOOS!$B$4:$B$23,0),FALSE),0),0)</f>
        <v>0</v>
      </c>
      <c r="AO283" s="57">
        <f>IFERROR(IF($V283="BRAND.com",HLOOKUP($X283&amp;$Z283,NWC_FC_NOOS!$T$4:$AH$23,MATCH(W283,NWC_FC_NOOS!$S$4:$S$23,0),FALSE),0),0)</f>
        <v>0</v>
      </c>
      <c r="AP283" s="57">
        <f>IFERROR(IF($V283="BRAND.com",HLOOKUP($X283&amp;$Z283,NWC_FC_NOOS!$C$50:$U$69,MATCH(W283,NWC_FC_NOOS!$B$50:$B$69,0),FALSE),0),0)</f>
        <v>0</v>
      </c>
      <c r="AQ283" s="58">
        <f>IFERROR(IF($V283="BRAND.com",HLOOKUP($X283&amp;$Z283,'NWC_FC_NON-NOOS'!$C$4:$Q$23,MATCH(W283,'NWC_FC_NON-NOOS'!$B$4:$B$23,0),FALSE),0),0)</f>
        <v>0</v>
      </c>
      <c r="AR283" s="57">
        <f>IFERROR(IF($V283="BRAND.com",HLOOKUP($X283&amp;$Z283,'NWC_FC_NON-NOOS'!$T$4:$AH$23,MATCH(W283,'NWC_FC_NON-NOOS'!$S$4:$S$23,0),FALSE),0),0)</f>
        <v>0</v>
      </c>
      <c r="AS283" s="57">
        <f>IFERROR(IF($V283="BRAND.com",HLOOKUP($X283&amp;$Z283,'NWC_FC_NON-NOOS'!$C$50:$U$69,MATCH(W283,'NWC_FC_NON-NOOS'!$B$50:$B$69,0),FALSE),0),0)</f>
        <v>0</v>
      </c>
      <c r="AT283" s="57">
        <f t="shared" si="124"/>
        <v>0</v>
      </c>
      <c r="AU283" s="57">
        <f t="shared" si="125"/>
        <v>0</v>
      </c>
      <c r="AV283" s="58">
        <f>IFERROR(IF($V283="BRAND.com",HLOOKUP($X283&amp;$Z283,PLANNING_FC!$BB$27:$BP$46,MATCH($W283,PLANNING_FC!$BA$27:$BA$46,0),FALSE),0),0)</f>
        <v>0</v>
      </c>
      <c r="AW283" s="58">
        <f>IFERROR(IF($V283="BRAND.com",HLOOKUP($X283&amp;$Z283,PLANNING_FC!$BB$4:$BP$23,MATCH($W283,PLANNING_FC!$BA$4:$BA$23,0),FALSE),0),0)</f>
        <v>0</v>
      </c>
      <c r="AX283" s="58">
        <f>IFERROR(IF($V283="BRAND.com",HLOOKUP($X283&amp;$Z283,PLANNING_FC!$T$27:$AH$46,MATCH($W283,PLANNING_FC!$B$27:$B$46,0),FALSE),0),0)</f>
        <v>0</v>
      </c>
      <c r="AY283" s="58">
        <f>IFERROR(IF($V283="BRAND.com",HLOOKUP($X283&amp;$Z283,PLANNING_FC!$T$4:$AH$23,MATCH($W283,PLANNING_FC!$B$4:$B$23,0),FALSE),0),0)</f>
        <v>0</v>
      </c>
      <c r="AZ283" s="58">
        <f>IFERROR(IF($V283="BRAND.com",HLOOKUP($X283&amp;$Z283,PLANNING_FC!$DA$27:$DO$46,MATCH($W283,PLANNING_FC!$CZ$27:$CZ$46,0),FALSE),0),0)</f>
        <v>0</v>
      </c>
      <c r="BA283" s="58">
        <f>IFERROR(IF($V283="BRAND.com",HLOOKUP($X283&amp;$Z283,PLANNING_FC!$DA$4:$DO$23,MATCH($W283,PLANNING_FC!$CZ$4:$CZ$23,0),FALSE),0),0)</f>
        <v>0</v>
      </c>
      <c r="BB283" s="883" t="str">
        <f>IF(V283="BRAND.com",IFERROR(HLOOKUP(X283&amp;Z283,PLANNING_FC!$AK$4:$AY$23,MATCH(W283,PLANNING_FC!$AJ$4:$AJ$23,0),FALSE)*1000,""),"")</f>
        <v/>
      </c>
      <c r="BC283" s="883" t="str">
        <f>IF(V283="BRAND.com",IFERROR(HLOOKUP(X283&amp;Z283,PLANNING_FC!$AK$27:$AY$46,MATCH(W283,PLANNING_FC!$AJ$27:$AJ$46,0),FALSE)*1000,""),"")</f>
        <v/>
      </c>
    </row>
    <row r="284" spans="1:55" x14ac:dyDescent="0.25">
      <c r="A284" s="509"/>
      <c r="B284" s="509"/>
      <c r="C284" s="509"/>
      <c r="D284" s="509"/>
      <c r="E284" s="509"/>
      <c r="F284" s="509"/>
      <c r="G284" s="509"/>
      <c r="H284" s="509"/>
      <c r="I284" s="512"/>
      <c r="J284" s="513"/>
      <c r="K284" s="879"/>
      <c r="L284" s="515"/>
      <c r="M284" s="516"/>
      <c r="N284" s="56">
        <f t="shared" si="106"/>
        <v>0</v>
      </c>
      <c r="O284" s="57">
        <f t="shared" si="107"/>
        <v>0</v>
      </c>
      <c r="P284" s="57">
        <f ca="1">IFERROR(IF(ISBLANK(H284),SUMIFS($AC:$AC,$V:$V,V284,$W:$W,W284,$X:$X,X284,$Y:$Y,Y284)*J284/(1-J284)*VLOOKUP(_xlfn.CONCAT(C284,D284,E284,TIME!$M$12,Z284),HIS_SALES!$B$2:$W$4859,20,FALSE),AC284*J284/(1-J284)),0)</f>
        <v>0</v>
      </c>
      <c r="Q284" s="541" t="str">
        <f t="shared" si="108"/>
        <v/>
      </c>
      <c r="R284" s="346" t="str">
        <f t="shared" si="109"/>
        <v>00000</v>
      </c>
      <c r="S284" s="344">
        <f t="shared" si="110"/>
        <v>0</v>
      </c>
      <c r="T284" s="345" t="str">
        <f t="shared" si="123"/>
        <v>000</v>
      </c>
      <c r="U284" s="345">
        <f t="shared" si="111"/>
        <v>0</v>
      </c>
      <c r="V284" s="345">
        <f t="shared" si="112"/>
        <v>0</v>
      </c>
      <c r="W284" s="345">
        <f t="shared" si="113"/>
        <v>0</v>
      </c>
      <c r="X284" s="345">
        <f t="shared" si="114"/>
        <v>0</v>
      </c>
      <c r="Y284" s="345">
        <f t="shared" si="115"/>
        <v>0</v>
      </c>
      <c r="Z284" s="345">
        <f>IF(Q284&lt;&gt;"",VLOOKUP(Y284,TIME!$R$21:$V$24,MATCH(FC_DATA!Q284,TIME!$R$20:$V$20,0),FALSE),H284)</f>
        <v>0</v>
      </c>
      <c r="AA284" s="345" t="str">
        <f>IFERROR(VLOOKUP(X284&amp;Z284,TIME!$A$12:$D$71,4,FALSE),"")</f>
        <v/>
      </c>
      <c r="AB284" s="592">
        <f t="shared" ca="1" si="116"/>
        <v>0</v>
      </c>
      <c r="AC284" s="593" t="e">
        <f ca="1">IF(ISBLANK(H284)=FALSE,IF(D284="BRAND.com",I284,IF(ISNA(VLOOKUP(_xlfn.CONCAT(X284,Z284),TIME!$M$40:$M$42,1,FALSE)),I284,VLOOKUP(_xlfn.CONCAT(D284,G284,H284),M_BUSAREA_FC!$AF$5:$AJ$10,5,FALSE)*HLOOKUP(_xlfn.CONCAT(F284,H284),ST_OVERVIEW!$G$99:$I$130,MATCH(_xlfn.CONCAT(D284,E284),ST_OVERVIEW!$F$99:$F$130,0),FALSE))),IF(D284="BRAND.com",VLOOKUP(_xlfn.CONCAT(C284,D284,E284,TIME!$F$1,Z284),HIS_SALES!$B$2:$V$4859,19,FALSE)*I284,VLOOKUP(_xlfn.CONCAT(D284,F284,G284),Q_BUSAREA_FC!$AE$5:$AI$12,5,FALSE)*HLOOKUP(_xlfn.CONCAT(FC_DATA!F284,FC_DATA!G284),LT_OVERVIEW!$I$99:$M$130,MATCH(_xlfn.CONCAT(D284,FC_DATA!E284),LT_OVERVIEW!$H$99:$H$130,0),FALSE)*IFERROR(VLOOKUP(_xlfn.CONCAT(C284,D284,E284,TIME!$F$1,Z284),HIS_SALES!$B$2:$V$4859,19,FALSE),0)))</f>
        <v>#N/A</v>
      </c>
      <c r="AD284" s="341">
        <f t="shared" ca="1" si="117"/>
        <v>0</v>
      </c>
      <c r="AE284" s="363" t="str">
        <f t="shared" si="118"/>
        <v/>
      </c>
      <c r="AF284" s="342" t="str">
        <f t="shared" si="119"/>
        <v/>
      </c>
      <c r="AG284" s="411" t="e">
        <f ca="1">VLOOKUP(_xlfn.CONCAT(U284,V284,W284,VLOOKUP(X284&amp;Y284,TIME!$L$27:$O$34,4,FALSE),Y284),HIS_SALES!$A$2:$R$5093,18,FALSE)</f>
        <v>#N/A</v>
      </c>
      <c r="AH284" s="412" t="e">
        <f ca="1">IFERROR(IF(AND(V284=V283,W284=W283),0.5*(AB284+AB283)*AG284,(VLOOKUP(_xlfn.CONCAT(U284,V284,W284,X284,VLOOKUP(Z284,TIME!$S$28:$T$39,2,FALSE)),FC_DATA!$R$2:$AB$5000,MATCH("GS_I_M",FC_DATA!$R$1:$AB$1,0),FALSE)+FC_DATA!AB284)*0.5*FC_DATA!AG284),NA())</f>
        <v>#N/A</v>
      </c>
      <c r="AI284" s="491" t="e">
        <f ca="1">IF(V284="PARTNER.com",AH284,IF(AND(V284=V283,W284=W283),(1-AVERAGE(AD283,AD284))*AH284,(1-AVERAGE(AD284,VLOOKUP(_xlfn.CONCAT(U284,V284,W284,X284,M_BRAND_FC!$F$6),FC_DATA!$R$2:$AD$5000,MATCH("DISCOUNT_%_M",FC_DATA!$R$1:$AD$1,0),FALSE)))*AH284))</f>
        <v>#N/A</v>
      </c>
      <c r="AJ284" s="412" t="str">
        <f t="shared" ca="1" si="120"/>
        <v/>
      </c>
      <c r="AK284" s="413" t="str">
        <f>IFERROR(AE284/(Q_BRAND_FC!$T$24+1),"")</f>
        <v/>
      </c>
      <c r="AL284" s="88" t="str">
        <f t="shared" ca="1" si="121"/>
        <v/>
      </c>
      <c r="AM284" s="414" t="str">
        <f t="shared" ca="1" si="122"/>
        <v/>
      </c>
      <c r="AN284" s="58">
        <f>IFERROR(IF($V284="BRAND.com",HLOOKUP($X284&amp;$Z284,NWC_FC_NOOS!$C$4:$Q$23,MATCH(W284,NWC_FC_NOOS!$B$4:$B$23,0),FALSE),0),0)</f>
        <v>0</v>
      </c>
      <c r="AO284" s="57">
        <f>IFERROR(IF($V284="BRAND.com",HLOOKUP($X284&amp;$Z284,NWC_FC_NOOS!$T$4:$AH$23,MATCH(W284,NWC_FC_NOOS!$S$4:$S$23,0),FALSE),0),0)</f>
        <v>0</v>
      </c>
      <c r="AP284" s="57">
        <f>IFERROR(IF($V284="BRAND.com",HLOOKUP($X284&amp;$Z284,NWC_FC_NOOS!$C$50:$U$69,MATCH(W284,NWC_FC_NOOS!$B$50:$B$69,0),FALSE),0),0)</f>
        <v>0</v>
      </c>
      <c r="AQ284" s="58">
        <f>IFERROR(IF($V284="BRAND.com",HLOOKUP($X284&amp;$Z284,'NWC_FC_NON-NOOS'!$C$4:$Q$23,MATCH(W284,'NWC_FC_NON-NOOS'!$B$4:$B$23,0),FALSE),0),0)</f>
        <v>0</v>
      </c>
      <c r="AR284" s="57">
        <f>IFERROR(IF($V284="BRAND.com",HLOOKUP($X284&amp;$Z284,'NWC_FC_NON-NOOS'!$T$4:$AH$23,MATCH(W284,'NWC_FC_NON-NOOS'!$S$4:$S$23,0),FALSE),0),0)</f>
        <v>0</v>
      </c>
      <c r="AS284" s="57">
        <f>IFERROR(IF($V284="BRAND.com",HLOOKUP($X284&amp;$Z284,'NWC_FC_NON-NOOS'!$C$50:$U$69,MATCH(W284,'NWC_FC_NON-NOOS'!$B$50:$B$69,0),FALSE),0),0)</f>
        <v>0</v>
      </c>
      <c r="AT284" s="57">
        <f t="shared" si="124"/>
        <v>0</v>
      </c>
      <c r="AU284" s="57">
        <f t="shared" si="125"/>
        <v>0</v>
      </c>
      <c r="AV284" s="58">
        <f>IFERROR(IF($V284="BRAND.com",HLOOKUP($X284&amp;$Z284,PLANNING_FC!$BB$27:$BP$46,MATCH($W284,PLANNING_FC!$BA$27:$BA$46,0),FALSE),0),0)</f>
        <v>0</v>
      </c>
      <c r="AW284" s="58">
        <f>IFERROR(IF($V284="BRAND.com",HLOOKUP($X284&amp;$Z284,PLANNING_FC!$BB$4:$BP$23,MATCH($W284,PLANNING_FC!$BA$4:$BA$23,0),FALSE),0),0)</f>
        <v>0</v>
      </c>
      <c r="AX284" s="58">
        <f>IFERROR(IF($V284="BRAND.com",HLOOKUP($X284&amp;$Z284,PLANNING_FC!$T$27:$AH$46,MATCH($W284,PLANNING_FC!$B$27:$B$46,0),FALSE),0),0)</f>
        <v>0</v>
      </c>
      <c r="AY284" s="58">
        <f>IFERROR(IF($V284="BRAND.com",HLOOKUP($X284&amp;$Z284,PLANNING_FC!$T$4:$AH$23,MATCH($W284,PLANNING_FC!$B$4:$B$23,0),FALSE),0),0)</f>
        <v>0</v>
      </c>
      <c r="AZ284" s="58">
        <f>IFERROR(IF($V284="BRAND.com",HLOOKUP($X284&amp;$Z284,PLANNING_FC!$DA$27:$DO$46,MATCH($W284,PLANNING_FC!$CZ$27:$CZ$46,0),FALSE),0),0)</f>
        <v>0</v>
      </c>
      <c r="BA284" s="58">
        <f>IFERROR(IF($V284="BRAND.com",HLOOKUP($X284&amp;$Z284,PLANNING_FC!$DA$4:$DO$23,MATCH($W284,PLANNING_FC!$CZ$4:$CZ$23,0),FALSE),0),0)</f>
        <v>0</v>
      </c>
      <c r="BB284" s="883" t="str">
        <f>IF(V284="BRAND.com",IFERROR(HLOOKUP(X284&amp;Z284,PLANNING_FC!$AK$4:$AY$23,MATCH(W284,PLANNING_FC!$AJ$4:$AJ$23,0),FALSE)*1000,""),"")</f>
        <v/>
      </c>
      <c r="BC284" s="883" t="str">
        <f>IF(V284="BRAND.com",IFERROR(HLOOKUP(X284&amp;Z284,PLANNING_FC!$AK$27:$AY$46,MATCH(W284,PLANNING_FC!$AJ$27:$AJ$46,0),FALSE)*1000,""),"")</f>
        <v/>
      </c>
    </row>
    <row r="285" spans="1:55" x14ac:dyDescent="0.25">
      <c r="A285" s="509"/>
      <c r="B285" s="509"/>
      <c r="C285" s="509"/>
      <c r="D285" s="509"/>
      <c r="E285" s="509"/>
      <c r="F285" s="509"/>
      <c r="G285" s="509"/>
      <c r="H285" s="509"/>
      <c r="I285" s="512"/>
      <c r="J285" s="513"/>
      <c r="K285" s="879"/>
      <c r="L285" s="515"/>
      <c r="M285" s="516"/>
      <c r="N285" s="56">
        <f t="shared" si="106"/>
        <v>0</v>
      </c>
      <c r="O285" s="57">
        <f t="shared" si="107"/>
        <v>0</v>
      </c>
      <c r="P285" s="57">
        <f ca="1">IFERROR(IF(ISBLANK(H285),SUMIFS($AC:$AC,$V:$V,V285,$W:$W,W285,$X:$X,X285,$Y:$Y,Y285)*J285/(1-J285)*VLOOKUP(_xlfn.CONCAT(C285,D285,E285,TIME!$M$12,Z285),HIS_SALES!$B$2:$W$4859,20,FALSE),AC285*J285/(1-J285)),0)</f>
        <v>0</v>
      </c>
      <c r="Q285" s="541" t="str">
        <f t="shared" si="108"/>
        <v/>
      </c>
      <c r="R285" s="346" t="str">
        <f t="shared" si="109"/>
        <v>00000</v>
      </c>
      <c r="S285" s="344">
        <f t="shared" si="110"/>
        <v>0</v>
      </c>
      <c r="T285" s="345" t="str">
        <f t="shared" si="123"/>
        <v>000</v>
      </c>
      <c r="U285" s="345">
        <f t="shared" si="111"/>
        <v>0</v>
      </c>
      <c r="V285" s="345">
        <f t="shared" si="112"/>
        <v>0</v>
      </c>
      <c r="W285" s="345">
        <f t="shared" si="113"/>
        <v>0</v>
      </c>
      <c r="X285" s="345">
        <f t="shared" si="114"/>
        <v>0</v>
      </c>
      <c r="Y285" s="345">
        <f t="shared" si="115"/>
        <v>0</v>
      </c>
      <c r="Z285" s="345">
        <f>IF(Q285&lt;&gt;"",VLOOKUP(Y285,TIME!$R$21:$V$24,MATCH(FC_DATA!Q285,TIME!$R$20:$V$20,0),FALSE),H285)</f>
        <v>0</v>
      </c>
      <c r="AA285" s="345" t="str">
        <f>IFERROR(VLOOKUP(X285&amp;Z285,TIME!$A$12:$D$71,4,FALSE),"")</f>
        <v/>
      </c>
      <c r="AB285" s="592">
        <f t="shared" ca="1" si="116"/>
        <v>0</v>
      </c>
      <c r="AC285" s="593" t="e">
        <f ca="1">IF(ISBLANK(H285)=FALSE,IF(D285="BRAND.com",I285,IF(ISNA(VLOOKUP(_xlfn.CONCAT(X285,Z285),TIME!$M$40:$M$42,1,FALSE)),I285,VLOOKUP(_xlfn.CONCAT(D285,G285,H285),M_BUSAREA_FC!$AF$5:$AJ$10,5,FALSE)*HLOOKUP(_xlfn.CONCAT(F285,H285),ST_OVERVIEW!$G$99:$I$130,MATCH(_xlfn.CONCAT(D285,E285),ST_OVERVIEW!$F$99:$F$130,0),FALSE))),IF(D285="BRAND.com",VLOOKUP(_xlfn.CONCAT(C285,D285,E285,TIME!$F$1,Z285),HIS_SALES!$B$2:$V$4859,19,FALSE)*I285,VLOOKUP(_xlfn.CONCAT(D285,F285,G285),Q_BUSAREA_FC!$AE$5:$AI$12,5,FALSE)*HLOOKUP(_xlfn.CONCAT(FC_DATA!F285,FC_DATA!G285),LT_OVERVIEW!$I$99:$M$130,MATCH(_xlfn.CONCAT(D285,FC_DATA!E285),LT_OVERVIEW!$H$99:$H$130,0),FALSE)*IFERROR(VLOOKUP(_xlfn.CONCAT(C285,D285,E285,TIME!$F$1,Z285),HIS_SALES!$B$2:$V$4859,19,FALSE),0)))</f>
        <v>#N/A</v>
      </c>
      <c r="AD285" s="341">
        <f t="shared" ca="1" si="117"/>
        <v>0</v>
      </c>
      <c r="AE285" s="363" t="str">
        <f t="shared" si="118"/>
        <v/>
      </c>
      <c r="AF285" s="342" t="str">
        <f t="shared" si="119"/>
        <v/>
      </c>
      <c r="AG285" s="411" t="e">
        <f ca="1">VLOOKUP(_xlfn.CONCAT(U285,V285,W285,VLOOKUP(X285&amp;Y285,TIME!$L$27:$O$34,4,FALSE),Y285),HIS_SALES!$A$2:$R$5093,18,FALSE)</f>
        <v>#N/A</v>
      </c>
      <c r="AH285" s="412" t="e">
        <f ca="1">IFERROR(IF(AND(V285=V284,W285=W284),0.5*(AB285+AB284)*AG285,(VLOOKUP(_xlfn.CONCAT(U285,V285,W285,X285,VLOOKUP(Z285,TIME!$S$28:$T$39,2,FALSE)),FC_DATA!$R$2:$AB$5000,MATCH("GS_I_M",FC_DATA!$R$1:$AB$1,0),FALSE)+FC_DATA!AB285)*0.5*FC_DATA!AG285),NA())</f>
        <v>#N/A</v>
      </c>
      <c r="AI285" s="491" t="e">
        <f ca="1">IF(V285="PARTNER.com",AH285,IF(AND(V285=V284,W285=W284),(1-AVERAGE(AD284,AD285))*AH285,(1-AVERAGE(AD285,VLOOKUP(_xlfn.CONCAT(U285,V285,W285,X285,M_BRAND_FC!$F$6),FC_DATA!$R$2:$AD$5000,MATCH("DISCOUNT_%_M",FC_DATA!$R$1:$AD$1,0),FALSE)))*AH285))</f>
        <v>#N/A</v>
      </c>
      <c r="AJ285" s="412" t="str">
        <f t="shared" ca="1" si="120"/>
        <v/>
      </c>
      <c r="AK285" s="413" t="str">
        <f>IFERROR(AE285/(Q_BRAND_FC!$T$24+1),"")</f>
        <v/>
      </c>
      <c r="AL285" s="88" t="str">
        <f t="shared" ca="1" si="121"/>
        <v/>
      </c>
      <c r="AM285" s="414" t="str">
        <f t="shared" ca="1" si="122"/>
        <v/>
      </c>
      <c r="AN285" s="58">
        <f>IFERROR(IF($V285="BRAND.com",HLOOKUP($X285&amp;$Z285,NWC_FC_NOOS!$C$4:$Q$23,MATCH(W285,NWC_FC_NOOS!$B$4:$B$23,0),FALSE),0),0)</f>
        <v>0</v>
      </c>
      <c r="AO285" s="57">
        <f>IFERROR(IF($V285="BRAND.com",HLOOKUP($X285&amp;$Z285,NWC_FC_NOOS!$T$4:$AH$23,MATCH(W285,NWC_FC_NOOS!$S$4:$S$23,0),FALSE),0),0)</f>
        <v>0</v>
      </c>
      <c r="AP285" s="57">
        <f>IFERROR(IF($V285="BRAND.com",HLOOKUP($X285&amp;$Z285,NWC_FC_NOOS!$C$50:$U$69,MATCH(W285,NWC_FC_NOOS!$B$50:$B$69,0),FALSE),0),0)</f>
        <v>0</v>
      </c>
      <c r="AQ285" s="58">
        <f>IFERROR(IF($V285="BRAND.com",HLOOKUP($X285&amp;$Z285,'NWC_FC_NON-NOOS'!$C$4:$Q$23,MATCH(W285,'NWC_FC_NON-NOOS'!$B$4:$B$23,0),FALSE),0),0)</f>
        <v>0</v>
      </c>
      <c r="AR285" s="57">
        <f>IFERROR(IF($V285="BRAND.com",HLOOKUP($X285&amp;$Z285,'NWC_FC_NON-NOOS'!$T$4:$AH$23,MATCH(W285,'NWC_FC_NON-NOOS'!$S$4:$S$23,0),FALSE),0),0)</f>
        <v>0</v>
      </c>
      <c r="AS285" s="57">
        <f>IFERROR(IF($V285="BRAND.com",HLOOKUP($X285&amp;$Z285,'NWC_FC_NON-NOOS'!$C$50:$U$69,MATCH(W285,'NWC_FC_NON-NOOS'!$B$50:$B$69,0),FALSE),0),0)</f>
        <v>0</v>
      </c>
      <c r="AT285" s="57">
        <f t="shared" si="124"/>
        <v>0</v>
      </c>
      <c r="AU285" s="57">
        <f t="shared" si="125"/>
        <v>0</v>
      </c>
      <c r="AV285" s="58">
        <f>IFERROR(IF($V285="BRAND.com",HLOOKUP($X285&amp;$Z285,PLANNING_FC!$BB$27:$BP$46,MATCH($W285,PLANNING_FC!$BA$27:$BA$46,0),FALSE),0),0)</f>
        <v>0</v>
      </c>
      <c r="AW285" s="58">
        <f>IFERROR(IF($V285="BRAND.com",HLOOKUP($X285&amp;$Z285,PLANNING_FC!$BB$4:$BP$23,MATCH($W285,PLANNING_FC!$BA$4:$BA$23,0),FALSE),0),0)</f>
        <v>0</v>
      </c>
      <c r="AX285" s="58">
        <f>IFERROR(IF($V285="BRAND.com",HLOOKUP($X285&amp;$Z285,PLANNING_FC!$T$27:$AH$46,MATCH($W285,PLANNING_FC!$B$27:$B$46,0),FALSE),0),0)</f>
        <v>0</v>
      </c>
      <c r="AY285" s="58">
        <f>IFERROR(IF($V285="BRAND.com",HLOOKUP($X285&amp;$Z285,PLANNING_FC!$T$4:$AH$23,MATCH($W285,PLANNING_FC!$B$4:$B$23,0),FALSE),0),0)</f>
        <v>0</v>
      </c>
      <c r="AZ285" s="58">
        <f>IFERROR(IF($V285="BRAND.com",HLOOKUP($X285&amp;$Z285,PLANNING_FC!$DA$27:$DO$46,MATCH($W285,PLANNING_FC!$CZ$27:$CZ$46,0),FALSE),0),0)</f>
        <v>0</v>
      </c>
      <c r="BA285" s="58">
        <f>IFERROR(IF($V285="BRAND.com",HLOOKUP($X285&amp;$Z285,PLANNING_FC!$DA$4:$DO$23,MATCH($W285,PLANNING_FC!$CZ$4:$CZ$23,0),FALSE),0),0)</f>
        <v>0</v>
      </c>
      <c r="BB285" s="883" t="str">
        <f>IF(V285="BRAND.com",IFERROR(HLOOKUP(X285&amp;Z285,PLANNING_FC!$AK$4:$AY$23,MATCH(W285,PLANNING_FC!$AJ$4:$AJ$23,0),FALSE)*1000,""),"")</f>
        <v/>
      </c>
      <c r="BC285" s="883" t="str">
        <f>IF(V285="BRAND.com",IFERROR(HLOOKUP(X285&amp;Z285,PLANNING_FC!$AK$27:$AY$46,MATCH(W285,PLANNING_FC!$AJ$27:$AJ$46,0),FALSE)*1000,""),"")</f>
        <v/>
      </c>
    </row>
    <row r="286" spans="1:55" x14ac:dyDescent="0.25">
      <c r="A286" s="509"/>
      <c r="B286" s="509"/>
      <c r="C286" s="509"/>
      <c r="D286" s="509"/>
      <c r="E286" s="509"/>
      <c r="F286" s="509"/>
      <c r="G286" s="509"/>
      <c r="H286" s="509"/>
      <c r="I286" s="512"/>
      <c r="J286" s="513"/>
      <c r="K286" s="879"/>
      <c r="L286" s="515"/>
      <c r="M286" s="516"/>
      <c r="N286" s="56">
        <f t="shared" si="106"/>
        <v>0</v>
      </c>
      <c r="O286" s="57">
        <f t="shared" si="107"/>
        <v>0</v>
      </c>
      <c r="P286" s="57">
        <f ca="1">IFERROR(IF(ISBLANK(H286),SUMIFS($AC:$AC,$V:$V,V286,$W:$W,W286,$X:$X,X286,$Y:$Y,Y286)*J286/(1-J286)*VLOOKUP(_xlfn.CONCAT(C286,D286,E286,TIME!$M$12,Z286),HIS_SALES!$B$2:$W$4859,20,FALSE),AC286*J286/(1-J286)),0)</f>
        <v>0</v>
      </c>
      <c r="Q286" s="541" t="str">
        <f t="shared" si="108"/>
        <v/>
      </c>
      <c r="R286" s="346" t="str">
        <f t="shared" si="109"/>
        <v>00000</v>
      </c>
      <c r="S286" s="344">
        <f t="shared" si="110"/>
        <v>0</v>
      </c>
      <c r="T286" s="345" t="str">
        <f t="shared" si="123"/>
        <v>000</v>
      </c>
      <c r="U286" s="345">
        <f t="shared" si="111"/>
        <v>0</v>
      </c>
      <c r="V286" s="345">
        <f t="shared" si="112"/>
        <v>0</v>
      </c>
      <c r="W286" s="345">
        <f t="shared" si="113"/>
        <v>0</v>
      </c>
      <c r="X286" s="345">
        <f t="shared" si="114"/>
        <v>0</v>
      </c>
      <c r="Y286" s="345">
        <f t="shared" si="115"/>
        <v>0</v>
      </c>
      <c r="Z286" s="345">
        <f>IF(Q286&lt;&gt;"",VLOOKUP(Y286,TIME!$R$21:$V$24,MATCH(FC_DATA!Q286,TIME!$R$20:$V$20,0),FALSE),H286)</f>
        <v>0</v>
      </c>
      <c r="AA286" s="345" t="str">
        <f>IFERROR(VLOOKUP(X286&amp;Z286,TIME!$A$12:$D$71,4,FALSE),"")</f>
        <v/>
      </c>
      <c r="AB286" s="592">
        <f t="shared" ca="1" si="116"/>
        <v>0</v>
      </c>
      <c r="AC286" s="593" t="e">
        <f ca="1">IF(ISBLANK(H286)=FALSE,IF(D286="BRAND.com",I286,IF(ISNA(VLOOKUP(_xlfn.CONCAT(X286,Z286),TIME!$M$40:$M$42,1,FALSE)),I286,VLOOKUP(_xlfn.CONCAT(D286,G286,H286),M_BUSAREA_FC!$AF$5:$AJ$10,5,FALSE)*HLOOKUP(_xlfn.CONCAT(F286,H286),ST_OVERVIEW!$G$99:$I$130,MATCH(_xlfn.CONCAT(D286,E286),ST_OVERVIEW!$F$99:$F$130,0),FALSE))),IF(D286="BRAND.com",VLOOKUP(_xlfn.CONCAT(C286,D286,E286,TIME!$F$1,Z286),HIS_SALES!$B$2:$V$4859,19,FALSE)*I286,VLOOKUP(_xlfn.CONCAT(D286,F286,G286),Q_BUSAREA_FC!$AE$5:$AI$12,5,FALSE)*HLOOKUP(_xlfn.CONCAT(FC_DATA!F286,FC_DATA!G286),LT_OVERVIEW!$I$99:$M$130,MATCH(_xlfn.CONCAT(D286,FC_DATA!E286),LT_OVERVIEW!$H$99:$H$130,0),FALSE)*IFERROR(VLOOKUP(_xlfn.CONCAT(C286,D286,E286,TIME!$F$1,Z286),HIS_SALES!$B$2:$V$4859,19,FALSE),0)))</f>
        <v>#N/A</v>
      </c>
      <c r="AD286" s="341">
        <f t="shared" ca="1" si="117"/>
        <v>0</v>
      </c>
      <c r="AE286" s="363" t="str">
        <f t="shared" si="118"/>
        <v/>
      </c>
      <c r="AF286" s="342" t="str">
        <f t="shared" si="119"/>
        <v/>
      </c>
      <c r="AG286" s="411" t="e">
        <f ca="1">VLOOKUP(_xlfn.CONCAT(U286,V286,W286,VLOOKUP(X286&amp;Y286,TIME!$L$27:$O$34,4,FALSE),Y286),HIS_SALES!$A$2:$R$5093,18,FALSE)</f>
        <v>#N/A</v>
      </c>
      <c r="AH286" s="412" t="e">
        <f ca="1">IFERROR(IF(AND(V286=V285,W286=W285),0.5*(AB286+AB285)*AG286,(VLOOKUP(_xlfn.CONCAT(U286,V286,W286,X286,VLOOKUP(Z286,TIME!$S$28:$T$39,2,FALSE)),FC_DATA!$R$2:$AB$5000,MATCH("GS_I_M",FC_DATA!$R$1:$AB$1,0),FALSE)+FC_DATA!AB286)*0.5*FC_DATA!AG286),NA())</f>
        <v>#N/A</v>
      </c>
      <c r="AI286" s="491" t="e">
        <f ca="1">IF(V286="PARTNER.com",AH286,IF(AND(V286=V285,W286=W285),(1-AVERAGE(AD285,AD286))*AH286,(1-AVERAGE(AD286,VLOOKUP(_xlfn.CONCAT(U286,V286,W286,X286,M_BRAND_FC!$F$6),FC_DATA!$R$2:$AD$5000,MATCH("DISCOUNT_%_M",FC_DATA!$R$1:$AD$1,0),FALSE)))*AH286))</f>
        <v>#N/A</v>
      </c>
      <c r="AJ286" s="412" t="str">
        <f t="shared" ca="1" si="120"/>
        <v/>
      </c>
      <c r="AK286" s="413" t="str">
        <f>IFERROR(AE286/(Q_BRAND_FC!$T$24+1),"")</f>
        <v/>
      </c>
      <c r="AL286" s="88" t="str">
        <f t="shared" ca="1" si="121"/>
        <v/>
      </c>
      <c r="AM286" s="414" t="str">
        <f t="shared" ca="1" si="122"/>
        <v/>
      </c>
      <c r="AN286" s="58">
        <f>IFERROR(IF($V286="BRAND.com",HLOOKUP($X286&amp;$Z286,NWC_FC_NOOS!$C$4:$Q$23,MATCH(W286,NWC_FC_NOOS!$B$4:$B$23,0),FALSE),0),0)</f>
        <v>0</v>
      </c>
      <c r="AO286" s="57">
        <f>IFERROR(IF($V286="BRAND.com",HLOOKUP($X286&amp;$Z286,NWC_FC_NOOS!$T$4:$AH$23,MATCH(W286,NWC_FC_NOOS!$S$4:$S$23,0),FALSE),0),0)</f>
        <v>0</v>
      </c>
      <c r="AP286" s="57">
        <f>IFERROR(IF($V286="BRAND.com",HLOOKUP($X286&amp;$Z286,NWC_FC_NOOS!$C$50:$U$69,MATCH(W286,NWC_FC_NOOS!$B$50:$B$69,0),FALSE),0),0)</f>
        <v>0</v>
      </c>
      <c r="AQ286" s="58">
        <f>IFERROR(IF($V286="BRAND.com",HLOOKUP($X286&amp;$Z286,'NWC_FC_NON-NOOS'!$C$4:$Q$23,MATCH(W286,'NWC_FC_NON-NOOS'!$B$4:$B$23,0),FALSE),0),0)</f>
        <v>0</v>
      </c>
      <c r="AR286" s="57">
        <f>IFERROR(IF($V286="BRAND.com",HLOOKUP($X286&amp;$Z286,'NWC_FC_NON-NOOS'!$T$4:$AH$23,MATCH(W286,'NWC_FC_NON-NOOS'!$S$4:$S$23,0),FALSE),0),0)</f>
        <v>0</v>
      </c>
      <c r="AS286" s="57">
        <f>IFERROR(IF($V286="BRAND.com",HLOOKUP($X286&amp;$Z286,'NWC_FC_NON-NOOS'!$C$50:$U$69,MATCH(W286,'NWC_FC_NON-NOOS'!$B$50:$B$69,0),FALSE),0),0)</f>
        <v>0</v>
      </c>
      <c r="AT286" s="57">
        <f t="shared" si="124"/>
        <v>0</v>
      </c>
      <c r="AU286" s="57">
        <f t="shared" si="125"/>
        <v>0</v>
      </c>
      <c r="AV286" s="58">
        <f>IFERROR(IF($V286="BRAND.com",HLOOKUP($X286&amp;$Z286,PLANNING_FC!$BB$27:$BP$46,MATCH($W286,PLANNING_FC!$BA$27:$BA$46,0),FALSE),0),0)</f>
        <v>0</v>
      </c>
      <c r="AW286" s="58">
        <f>IFERROR(IF($V286="BRAND.com",HLOOKUP($X286&amp;$Z286,PLANNING_FC!$BB$4:$BP$23,MATCH($W286,PLANNING_FC!$BA$4:$BA$23,0),FALSE),0),0)</f>
        <v>0</v>
      </c>
      <c r="AX286" s="58">
        <f>IFERROR(IF($V286="BRAND.com",HLOOKUP($X286&amp;$Z286,PLANNING_FC!$T$27:$AH$46,MATCH($W286,PLANNING_FC!$B$27:$B$46,0),FALSE),0),0)</f>
        <v>0</v>
      </c>
      <c r="AY286" s="58">
        <f>IFERROR(IF($V286="BRAND.com",HLOOKUP($X286&amp;$Z286,PLANNING_FC!$T$4:$AH$23,MATCH($W286,PLANNING_FC!$B$4:$B$23,0),FALSE),0),0)</f>
        <v>0</v>
      </c>
      <c r="AZ286" s="58">
        <f>IFERROR(IF($V286="BRAND.com",HLOOKUP($X286&amp;$Z286,PLANNING_FC!$DA$27:$DO$46,MATCH($W286,PLANNING_FC!$CZ$27:$CZ$46,0),FALSE),0),0)</f>
        <v>0</v>
      </c>
      <c r="BA286" s="58">
        <f>IFERROR(IF($V286="BRAND.com",HLOOKUP($X286&amp;$Z286,PLANNING_FC!$DA$4:$DO$23,MATCH($W286,PLANNING_FC!$CZ$4:$CZ$23,0),FALSE),0),0)</f>
        <v>0</v>
      </c>
      <c r="BB286" s="883" t="str">
        <f>IF(V286="BRAND.com",IFERROR(HLOOKUP(X286&amp;Z286,PLANNING_FC!$AK$4:$AY$23,MATCH(W286,PLANNING_FC!$AJ$4:$AJ$23,0),FALSE)*1000,""),"")</f>
        <v/>
      </c>
      <c r="BC286" s="883" t="str">
        <f>IF(V286="BRAND.com",IFERROR(HLOOKUP(X286&amp;Z286,PLANNING_FC!$AK$27:$AY$46,MATCH(W286,PLANNING_FC!$AJ$27:$AJ$46,0),FALSE)*1000,""),"")</f>
        <v/>
      </c>
    </row>
    <row r="287" spans="1:55" x14ac:dyDescent="0.25">
      <c r="A287" s="509"/>
      <c r="B287" s="509"/>
      <c r="C287" s="509"/>
      <c r="D287" s="509"/>
      <c r="E287" s="509"/>
      <c r="F287" s="509"/>
      <c r="G287" s="509"/>
      <c r="H287" s="509"/>
      <c r="I287" s="512"/>
      <c r="J287" s="513"/>
      <c r="K287" s="879"/>
      <c r="L287" s="515"/>
      <c r="M287" s="516"/>
      <c r="N287" s="56">
        <f t="shared" si="106"/>
        <v>0</v>
      </c>
      <c r="O287" s="57">
        <f t="shared" si="107"/>
        <v>0</v>
      </c>
      <c r="P287" s="57">
        <f ca="1">IFERROR(IF(ISBLANK(H287),SUMIFS($AC:$AC,$V:$V,V287,$W:$W,W287,$X:$X,X287,$Y:$Y,Y287)*J287/(1-J287)*VLOOKUP(_xlfn.CONCAT(C287,D287,E287,TIME!$M$12,Z287),HIS_SALES!$B$2:$W$4859,20,FALSE),AC287*J287/(1-J287)),0)</f>
        <v>0</v>
      </c>
      <c r="Q287" s="541" t="str">
        <f t="shared" si="108"/>
        <v/>
      </c>
      <c r="R287" s="346" t="str">
        <f t="shared" si="109"/>
        <v>00000</v>
      </c>
      <c r="S287" s="344">
        <f t="shared" si="110"/>
        <v>0</v>
      </c>
      <c r="T287" s="345" t="str">
        <f t="shared" si="123"/>
        <v>000</v>
      </c>
      <c r="U287" s="345">
        <f t="shared" si="111"/>
        <v>0</v>
      </c>
      <c r="V287" s="345">
        <f t="shared" si="112"/>
        <v>0</v>
      </c>
      <c r="W287" s="345">
        <f t="shared" si="113"/>
        <v>0</v>
      </c>
      <c r="X287" s="345">
        <f t="shared" si="114"/>
        <v>0</v>
      </c>
      <c r="Y287" s="345">
        <f t="shared" si="115"/>
        <v>0</v>
      </c>
      <c r="Z287" s="345">
        <f>IF(Q287&lt;&gt;"",VLOOKUP(Y287,TIME!$R$21:$V$24,MATCH(FC_DATA!Q287,TIME!$R$20:$V$20,0),FALSE),H287)</f>
        <v>0</v>
      </c>
      <c r="AA287" s="345" t="str">
        <f>IFERROR(VLOOKUP(X287&amp;Z287,TIME!$A$12:$D$71,4,FALSE),"")</f>
        <v/>
      </c>
      <c r="AB287" s="592">
        <f t="shared" ca="1" si="116"/>
        <v>0</v>
      </c>
      <c r="AC287" s="593" t="e">
        <f ca="1">IF(ISBLANK(H287)=FALSE,IF(D287="BRAND.com",I287,IF(ISNA(VLOOKUP(_xlfn.CONCAT(X287,Z287),TIME!$M$40:$M$42,1,FALSE)),I287,VLOOKUP(_xlfn.CONCAT(D287,G287,H287),M_BUSAREA_FC!$AF$5:$AJ$10,5,FALSE)*HLOOKUP(_xlfn.CONCAT(F287,H287),ST_OVERVIEW!$G$99:$I$130,MATCH(_xlfn.CONCAT(D287,E287),ST_OVERVIEW!$F$99:$F$130,0),FALSE))),IF(D287="BRAND.com",VLOOKUP(_xlfn.CONCAT(C287,D287,E287,TIME!$F$1,Z287),HIS_SALES!$B$2:$V$4859,19,FALSE)*I287,VLOOKUP(_xlfn.CONCAT(D287,F287,G287),Q_BUSAREA_FC!$AE$5:$AI$12,5,FALSE)*HLOOKUP(_xlfn.CONCAT(FC_DATA!F287,FC_DATA!G287),LT_OVERVIEW!$I$99:$M$130,MATCH(_xlfn.CONCAT(D287,FC_DATA!E287),LT_OVERVIEW!$H$99:$H$130,0),FALSE)*IFERROR(VLOOKUP(_xlfn.CONCAT(C287,D287,E287,TIME!$F$1,Z287),HIS_SALES!$B$2:$V$4859,19,FALSE),0)))</f>
        <v>#N/A</v>
      </c>
      <c r="AD287" s="341">
        <f t="shared" ca="1" si="117"/>
        <v>0</v>
      </c>
      <c r="AE287" s="363" t="str">
        <f t="shared" si="118"/>
        <v/>
      </c>
      <c r="AF287" s="342" t="str">
        <f t="shared" si="119"/>
        <v/>
      </c>
      <c r="AG287" s="411" t="e">
        <f ca="1">VLOOKUP(_xlfn.CONCAT(U287,V287,W287,VLOOKUP(X287&amp;Y287,TIME!$L$27:$O$34,4,FALSE),Y287),HIS_SALES!$A$2:$R$5093,18,FALSE)</f>
        <v>#N/A</v>
      </c>
      <c r="AH287" s="412" t="e">
        <f ca="1">IFERROR(IF(AND(V287=V286,W287=W286),0.5*(AB287+AB286)*AG287,(VLOOKUP(_xlfn.CONCAT(U287,V287,W287,X287,VLOOKUP(Z287,TIME!$S$28:$T$39,2,FALSE)),FC_DATA!$R$2:$AB$5000,MATCH("GS_I_M",FC_DATA!$R$1:$AB$1,0),FALSE)+FC_DATA!AB287)*0.5*FC_DATA!AG287),NA())</f>
        <v>#N/A</v>
      </c>
      <c r="AI287" s="491" t="e">
        <f ca="1">IF(V287="PARTNER.com",AH287,IF(AND(V287=V286,W287=W286),(1-AVERAGE(AD286,AD287))*AH287,(1-AVERAGE(AD287,VLOOKUP(_xlfn.CONCAT(U287,V287,W287,X287,M_BRAND_FC!$F$6),FC_DATA!$R$2:$AD$5000,MATCH("DISCOUNT_%_M",FC_DATA!$R$1:$AD$1,0),FALSE)))*AH287))</f>
        <v>#N/A</v>
      </c>
      <c r="AJ287" s="412" t="str">
        <f t="shared" ca="1" si="120"/>
        <v/>
      </c>
      <c r="AK287" s="413" t="str">
        <f>IFERROR(AE287/(Q_BRAND_FC!$T$24+1),"")</f>
        <v/>
      </c>
      <c r="AL287" s="88" t="str">
        <f t="shared" ca="1" si="121"/>
        <v/>
      </c>
      <c r="AM287" s="414" t="str">
        <f t="shared" ca="1" si="122"/>
        <v/>
      </c>
      <c r="AN287" s="58">
        <f>IFERROR(IF($V287="BRAND.com",HLOOKUP($X287&amp;$Z287,NWC_FC_NOOS!$C$4:$Q$23,MATCH(W287,NWC_FC_NOOS!$B$4:$B$23,0),FALSE),0),0)</f>
        <v>0</v>
      </c>
      <c r="AO287" s="57">
        <f>IFERROR(IF($V287="BRAND.com",HLOOKUP($X287&amp;$Z287,NWC_FC_NOOS!$T$4:$AH$23,MATCH(W287,NWC_FC_NOOS!$S$4:$S$23,0),FALSE),0),0)</f>
        <v>0</v>
      </c>
      <c r="AP287" s="57">
        <f>IFERROR(IF($V287="BRAND.com",HLOOKUP($X287&amp;$Z287,NWC_FC_NOOS!$C$50:$U$69,MATCH(W287,NWC_FC_NOOS!$B$50:$B$69,0),FALSE),0),0)</f>
        <v>0</v>
      </c>
      <c r="AQ287" s="58">
        <f>IFERROR(IF($V287="BRAND.com",HLOOKUP($X287&amp;$Z287,'NWC_FC_NON-NOOS'!$C$4:$Q$23,MATCH(W287,'NWC_FC_NON-NOOS'!$B$4:$B$23,0),FALSE),0),0)</f>
        <v>0</v>
      </c>
      <c r="AR287" s="57">
        <f>IFERROR(IF($V287="BRAND.com",HLOOKUP($X287&amp;$Z287,'NWC_FC_NON-NOOS'!$T$4:$AH$23,MATCH(W287,'NWC_FC_NON-NOOS'!$S$4:$S$23,0),FALSE),0),0)</f>
        <v>0</v>
      </c>
      <c r="AS287" s="57">
        <f>IFERROR(IF($V287="BRAND.com",HLOOKUP($X287&amp;$Z287,'NWC_FC_NON-NOOS'!$C$50:$U$69,MATCH(W287,'NWC_FC_NON-NOOS'!$B$50:$B$69,0),FALSE),0),0)</f>
        <v>0</v>
      </c>
      <c r="AT287" s="57">
        <f t="shared" si="124"/>
        <v>0</v>
      </c>
      <c r="AU287" s="57">
        <f t="shared" si="125"/>
        <v>0</v>
      </c>
      <c r="AV287" s="58">
        <f>IFERROR(IF($V287="BRAND.com",HLOOKUP($X287&amp;$Z287,PLANNING_FC!$BB$27:$BP$46,MATCH($W287,PLANNING_FC!$BA$27:$BA$46,0),FALSE),0),0)</f>
        <v>0</v>
      </c>
      <c r="AW287" s="58">
        <f>IFERROR(IF($V287="BRAND.com",HLOOKUP($X287&amp;$Z287,PLANNING_FC!$BB$4:$BP$23,MATCH($W287,PLANNING_FC!$BA$4:$BA$23,0),FALSE),0),0)</f>
        <v>0</v>
      </c>
      <c r="AX287" s="58">
        <f>IFERROR(IF($V287="BRAND.com",HLOOKUP($X287&amp;$Z287,PLANNING_FC!$T$27:$AH$46,MATCH($W287,PLANNING_FC!$B$27:$B$46,0),FALSE),0),0)</f>
        <v>0</v>
      </c>
      <c r="AY287" s="58">
        <f>IFERROR(IF($V287="BRAND.com",HLOOKUP($X287&amp;$Z287,PLANNING_FC!$T$4:$AH$23,MATCH($W287,PLANNING_FC!$B$4:$B$23,0),FALSE),0),0)</f>
        <v>0</v>
      </c>
      <c r="AZ287" s="58">
        <f>IFERROR(IF($V287="BRAND.com",HLOOKUP($X287&amp;$Z287,PLANNING_FC!$DA$27:$DO$46,MATCH($W287,PLANNING_FC!$CZ$27:$CZ$46,0),FALSE),0),0)</f>
        <v>0</v>
      </c>
      <c r="BA287" s="58">
        <f>IFERROR(IF($V287="BRAND.com",HLOOKUP($X287&amp;$Z287,PLANNING_FC!$DA$4:$DO$23,MATCH($W287,PLANNING_FC!$CZ$4:$CZ$23,0),FALSE),0),0)</f>
        <v>0</v>
      </c>
      <c r="BB287" s="883" t="str">
        <f>IF(V287="BRAND.com",IFERROR(HLOOKUP(X287&amp;Z287,PLANNING_FC!$AK$4:$AY$23,MATCH(W287,PLANNING_FC!$AJ$4:$AJ$23,0),FALSE)*1000,""),"")</f>
        <v/>
      </c>
      <c r="BC287" s="883" t="str">
        <f>IF(V287="BRAND.com",IFERROR(HLOOKUP(X287&amp;Z287,PLANNING_FC!$AK$27:$AY$46,MATCH(W287,PLANNING_FC!$AJ$27:$AJ$46,0),FALSE)*1000,""),"")</f>
        <v/>
      </c>
    </row>
    <row r="288" spans="1:55" x14ac:dyDescent="0.25">
      <c r="A288" s="509"/>
      <c r="B288" s="509"/>
      <c r="C288" s="509"/>
      <c r="D288" s="509"/>
      <c r="E288" s="509"/>
      <c r="F288" s="509"/>
      <c r="G288" s="509"/>
      <c r="H288" s="509"/>
      <c r="I288" s="512"/>
      <c r="J288" s="513"/>
      <c r="K288" s="879"/>
      <c r="L288" s="515"/>
      <c r="M288" s="516"/>
      <c r="N288" s="56">
        <f t="shared" si="106"/>
        <v>0</v>
      </c>
      <c r="O288" s="57">
        <f t="shared" si="107"/>
        <v>0</v>
      </c>
      <c r="P288" s="57">
        <f ca="1">IFERROR(IF(ISBLANK(H288),SUMIFS($AC:$AC,$V:$V,V288,$W:$W,W288,$X:$X,X288,$Y:$Y,Y288)*J288/(1-J288)*VLOOKUP(_xlfn.CONCAT(C288,D288,E288,TIME!$M$12,Z288),HIS_SALES!$B$2:$W$4859,20,FALSE),AC288*J288/(1-J288)),0)</f>
        <v>0</v>
      </c>
      <c r="Q288" s="541" t="str">
        <f t="shared" si="108"/>
        <v/>
      </c>
      <c r="R288" s="346" t="str">
        <f t="shared" si="109"/>
        <v>00000</v>
      </c>
      <c r="S288" s="344">
        <f t="shared" si="110"/>
        <v>0</v>
      </c>
      <c r="T288" s="345" t="str">
        <f t="shared" si="123"/>
        <v>000</v>
      </c>
      <c r="U288" s="345">
        <f t="shared" si="111"/>
        <v>0</v>
      </c>
      <c r="V288" s="345">
        <f t="shared" si="112"/>
        <v>0</v>
      </c>
      <c r="W288" s="345">
        <f t="shared" si="113"/>
        <v>0</v>
      </c>
      <c r="X288" s="345">
        <f t="shared" si="114"/>
        <v>0</v>
      </c>
      <c r="Y288" s="345">
        <f t="shared" si="115"/>
        <v>0</v>
      </c>
      <c r="Z288" s="345">
        <f>IF(Q288&lt;&gt;"",VLOOKUP(Y288,TIME!$R$21:$V$24,MATCH(FC_DATA!Q288,TIME!$R$20:$V$20,0),FALSE),H288)</f>
        <v>0</v>
      </c>
      <c r="AA288" s="345" t="str">
        <f>IFERROR(VLOOKUP(X288&amp;Z288,TIME!$A$12:$D$71,4,FALSE),"")</f>
        <v/>
      </c>
      <c r="AB288" s="592">
        <f t="shared" ca="1" si="116"/>
        <v>0</v>
      </c>
      <c r="AC288" s="593" t="e">
        <f ca="1">IF(ISBLANK(H288)=FALSE,IF(D288="BRAND.com",I288,IF(ISNA(VLOOKUP(_xlfn.CONCAT(X288,Z288),TIME!$M$40:$M$42,1,FALSE)),I288,VLOOKUP(_xlfn.CONCAT(D288,G288,H288),M_BUSAREA_FC!$AF$5:$AJ$10,5,FALSE)*HLOOKUP(_xlfn.CONCAT(F288,H288),ST_OVERVIEW!$G$99:$I$130,MATCH(_xlfn.CONCAT(D288,E288),ST_OVERVIEW!$F$99:$F$130,0),FALSE))),IF(D288="BRAND.com",VLOOKUP(_xlfn.CONCAT(C288,D288,E288,TIME!$F$1,Z288),HIS_SALES!$B$2:$V$4859,19,FALSE)*I288,VLOOKUP(_xlfn.CONCAT(D288,F288,G288),Q_BUSAREA_FC!$AE$5:$AI$12,5,FALSE)*HLOOKUP(_xlfn.CONCAT(FC_DATA!F288,FC_DATA!G288),LT_OVERVIEW!$I$99:$M$130,MATCH(_xlfn.CONCAT(D288,FC_DATA!E288),LT_OVERVIEW!$H$99:$H$130,0),FALSE)*IFERROR(VLOOKUP(_xlfn.CONCAT(C288,D288,E288,TIME!$F$1,Z288),HIS_SALES!$B$2:$V$4859,19,FALSE),0)))</f>
        <v>#N/A</v>
      </c>
      <c r="AD288" s="341">
        <f t="shared" ca="1" si="117"/>
        <v>0</v>
      </c>
      <c r="AE288" s="363" t="str">
        <f t="shared" si="118"/>
        <v/>
      </c>
      <c r="AF288" s="342" t="str">
        <f t="shared" si="119"/>
        <v/>
      </c>
      <c r="AG288" s="411" t="e">
        <f ca="1">VLOOKUP(_xlfn.CONCAT(U288,V288,W288,VLOOKUP(X288&amp;Y288,TIME!$L$27:$O$34,4,FALSE),Y288),HIS_SALES!$A$2:$R$5093,18,FALSE)</f>
        <v>#N/A</v>
      </c>
      <c r="AH288" s="412" t="e">
        <f ca="1">IFERROR(IF(AND(V288=V287,W288=W287),0.5*(AB288+AB287)*AG288,(VLOOKUP(_xlfn.CONCAT(U288,V288,W288,X288,VLOOKUP(Z288,TIME!$S$28:$T$39,2,FALSE)),FC_DATA!$R$2:$AB$5000,MATCH("GS_I_M",FC_DATA!$R$1:$AB$1,0),FALSE)+FC_DATA!AB288)*0.5*FC_DATA!AG288),NA())</f>
        <v>#N/A</v>
      </c>
      <c r="AI288" s="491" t="e">
        <f ca="1">IF(V288="PARTNER.com",AH288,IF(AND(V288=V287,W288=W287),(1-AVERAGE(AD287,AD288))*AH288,(1-AVERAGE(AD288,VLOOKUP(_xlfn.CONCAT(U288,V288,W288,X288,M_BRAND_FC!$F$6),FC_DATA!$R$2:$AD$5000,MATCH("DISCOUNT_%_M",FC_DATA!$R$1:$AD$1,0),FALSE)))*AH288))</f>
        <v>#N/A</v>
      </c>
      <c r="AJ288" s="412" t="str">
        <f t="shared" ca="1" si="120"/>
        <v/>
      </c>
      <c r="AK288" s="413" t="str">
        <f>IFERROR(AE288/(Q_BRAND_FC!$T$24+1),"")</f>
        <v/>
      </c>
      <c r="AL288" s="88" t="str">
        <f t="shared" ca="1" si="121"/>
        <v/>
      </c>
      <c r="AM288" s="414" t="str">
        <f t="shared" ca="1" si="122"/>
        <v/>
      </c>
      <c r="AN288" s="58">
        <f>IFERROR(IF($V288="BRAND.com",HLOOKUP($X288&amp;$Z288,NWC_FC_NOOS!$C$4:$Q$23,MATCH(W288,NWC_FC_NOOS!$B$4:$B$23,0),FALSE),0),0)</f>
        <v>0</v>
      </c>
      <c r="AO288" s="57">
        <f>IFERROR(IF($V288="BRAND.com",HLOOKUP($X288&amp;$Z288,NWC_FC_NOOS!$T$4:$AH$23,MATCH(W288,NWC_FC_NOOS!$S$4:$S$23,0),FALSE),0),0)</f>
        <v>0</v>
      </c>
      <c r="AP288" s="57">
        <f>IFERROR(IF($V288="BRAND.com",HLOOKUP($X288&amp;$Z288,NWC_FC_NOOS!$C$50:$U$69,MATCH(W288,NWC_FC_NOOS!$B$50:$B$69,0),FALSE),0),0)</f>
        <v>0</v>
      </c>
      <c r="AQ288" s="58">
        <f>IFERROR(IF($V288="BRAND.com",HLOOKUP($X288&amp;$Z288,'NWC_FC_NON-NOOS'!$C$4:$Q$23,MATCH(W288,'NWC_FC_NON-NOOS'!$B$4:$B$23,0),FALSE),0),0)</f>
        <v>0</v>
      </c>
      <c r="AR288" s="57">
        <f>IFERROR(IF($V288="BRAND.com",HLOOKUP($X288&amp;$Z288,'NWC_FC_NON-NOOS'!$T$4:$AH$23,MATCH(W288,'NWC_FC_NON-NOOS'!$S$4:$S$23,0),FALSE),0),0)</f>
        <v>0</v>
      </c>
      <c r="AS288" s="57">
        <f>IFERROR(IF($V288="BRAND.com",HLOOKUP($X288&amp;$Z288,'NWC_FC_NON-NOOS'!$C$50:$U$69,MATCH(W288,'NWC_FC_NON-NOOS'!$B$50:$B$69,0),FALSE),0),0)</f>
        <v>0</v>
      </c>
      <c r="AT288" s="57">
        <f t="shared" si="124"/>
        <v>0</v>
      </c>
      <c r="AU288" s="57">
        <f t="shared" si="125"/>
        <v>0</v>
      </c>
      <c r="AV288" s="58">
        <f>IFERROR(IF($V288="BRAND.com",HLOOKUP($X288&amp;$Z288,PLANNING_FC!$BB$27:$BP$46,MATCH($W288,PLANNING_FC!$BA$27:$BA$46,0),FALSE),0),0)</f>
        <v>0</v>
      </c>
      <c r="AW288" s="58">
        <f>IFERROR(IF($V288="BRAND.com",HLOOKUP($X288&amp;$Z288,PLANNING_FC!$BB$4:$BP$23,MATCH($W288,PLANNING_FC!$BA$4:$BA$23,0),FALSE),0),0)</f>
        <v>0</v>
      </c>
      <c r="AX288" s="58">
        <f>IFERROR(IF($V288="BRAND.com",HLOOKUP($X288&amp;$Z288,PLANNING_FC!$T$27:$AH$46,MATCH($W288,PLANNING_FC!$B$27:$B$46,0),FALSE),0),0)</f>
        <v>0</v>
      </c>
      <c r="AY288" s="58">
        <f>IFERROR(IF($V288="BRAND.com",HLOOKUP($X288&amp;$Z288,PLANNING_FC!$T$4:$AH$23,MATCH($W288,PLANNING_FC!$B$4:$B$23,0),FALSE),0),0)</f>
        <v>0</v>
      </c>
      <c r="AZ288" s="58">
        <f>IFERROR(IF($V288="BRAND.com",HLOOKUP($X288&amp;$Z288,PLANNING_FC!$DA$27:$DO$46,MATCH($W288,PLANNING_FC!$CZ$27:$CZ$46,0),FALSE),0),0)</f>
        <v>0</v>
      </c>
      <c r="BA288" s="58">
        <f>IFERROR(IF($V288="BRAND.com",HLOOKUP($X288&amp;$Z288,PLANNING_FC!$DA$4:$DO$23,MATCH($W288,PLANNING_FC!$CZ$4:$CZ$23,0),FALSE),0),0)</f>
        <v>0</v>
      </c>
      <c r="BB288" s="883" t="str">
        <f>IF(V288="BRAND.com",IFERROR(HLOOKUP(X288&amp;Z288,PLANNING_FC!$AK$4:$AY$23,MATCH(W288,PLANNING_FC!$AJ$4:$AJ$23,0),FALSE)*1000,""),"")</f>
        <v/>
      </c>
      <c r="BC288" s="883" t="str">
        <f>IF(V288="BRAND.com",IFERROR(HLOOKUP(X288&amp;Z288,PLANNING_FC!$AK$27:$AY$46,MATCH(W288,PLANNING_FC!$AJ$27:$AJ$46,0),FALSE)*1000,""),"")</f>
        <v/>
      </c>
    </row>
    <row r="289" spans="1:55" x14ac:dyDescent="0.25">
      <c r="A289" s="509"/>
      <c r="B289" s="509"/>
      <c r="C289" s="509"/>
      <c r="D289" s="509"/>
      <c r="E289" s="509"/>
      <c r="F289" s="509"/>
      <c r="G289" s="509"/>
      <c r="H289" s="509"/>
      <c r="I289" s="512"/>
      <c r="J289" s="513"/>
      <c r="K289" s="879"/>
      <c r="L289" s="515"/>
      <c r="M289" s="516"/>
      <c r="N289" s="56">
        <f t="shared" si="106"/>
        <v>0</v>
      </c>
      <c r="O289" s="57">
        <f t="shared" si="107"/>
        <v>0</v>
      </c>
      <c r="P289" s="57">
        <f ca="1">IFERROR(IF(ISBLANK(H289),SUMIFS($AC:$AC,$V:$V,V289,$W:$W,W289,$X:$X,X289,$Y:$Y,Y289)*J289/(1-J289)*VLOOKUP(_xlfn.CONCAT(C289,D289,E289,TIME!$M$12,Z289),HIS_SALES!$B$2:$W$4859,20,FALSE),AC289*J289/(1-J289)),0)</f>
        <v>0</v>
      </c>
      <c r="Q289" s="541" t="str">
        <f t="shared" si="108"/>
        <v/>
      </c>
      <c r="R289" s="346" t="str">
        <f t="shared" si="109"/>
        <v>00000</v>
      </c>
      <c r="S289" s="344">
        <f t="shared" si="110"/>
        <v>0</v>
      </c>
      <c r="T289" s="345" t="str">
        <f t="shared" si="123"/>
        <v>000</v>
      </c>
      <c r="U289" s="345">
        <f t="shared" si="111"/>
        <v>0</v>
      </c>
      <c r="V289" s="345">
        <f t="shared" si="112"/>
        <v>0</v>
      </c>
      <c r="W289" s="345">
        <f t="shared" si="113"/>
        <v>0</v>
      </c>
      <c r="X289" s="345">
        <f t="shared" si="114"/>
        <v>0</v>
      </c>
      <c r="Y289" s="345">
        <f t="shared" si="115"/>
        <v>0</v>
      </c>
      <c r="Z289" s="345">
        <f>IF(Q289&lt;&gt;"",VLOOKUP(Y289,TIME!$R$21:$V$24,MATCH(FC_DATA!Q289,TIME!$R$20:$V$20,0),FALSE),H289)</f>
        <v>0</v>
      </c>
      <c r="AA289" s="345" t="str">
        <f>IFERROR(VLOOKUP(X289&amp;Z289,TIME!$A$12:$D$71,4,FALSE),"")</f>
        <v/>
      </c>
      <c r="AB289" s="592">
        <f t="shared" ca="1" si="116"/>
        <v>0</v>
      </c>
      <c r="AC289" s="593" t="e">
        <f ca="1">IF(ISBLANK(H289)=FALSE,IF(D289="BRAND.com",I289,IF(ISNA(VLOOKUP(_xlfn.CONCAT(X289,Z289),TIME!$M$40:$M$42,1,FALSE)),I289,VLOOKUP(_xlfn.CONCAT(D289,G289,H289),M_BUSAREA_FC!$AF$5:$AJ$10,5,FALSE)*HLOOKUP(_xlfn.CONCAT(F289,H289),ST_OVERVIEW!$G$99:$I$130,MATCH(_xlfn.CONCAT(D289,E289),ST_OVERVIEW!$F$99:$F$130,0),FALSE))),IF(D289="BRAND.com",VLOOKUP(_xlfn.CONCAT(C289,D289,E289,TIME!$F$1,Z289),HIS_SALES!$B$2:$V$4859,19,FALSE)*I289,VLOOKUP(_xlfn.CONCAT(D289,F289,G289),Q_BUSAREA_FC!$AE$5:$AI$12,5,FALSE)*HLOOKUP(_xlfn.CONCAT(FC_DATA!F289,FC_DATA!G289),LT_OVERVIEW!$I$99:$M$130,MATCH(_xlfn.CONCAT(D289,FC_DATA!E289),LT_OVERVIEW!$H$99:$H$130,0),FALSE)*IFERROR(VLOOKUP(_xlfn.CONCAT(C289,D289,E289,TIME!$F$1,Z289),HIS_SALES!$B$2:$V$4859,19,FALSE),0)))</f>
        <v>#N/A</v>
      </c>
      <c r="AD289" s="341">
        <f t="shared" ca="1" si="117"/>
        <v>0</v>
      </c>
      <c r="AE289" s="363" t="str">
        <f t="shared" si="118"/>
        <v/>
      </c>
      <c r="AF289" s="342" t="str">
        <f t="shared" si="119"/>
        <v/>
      </c>
      <c r="AG289" s="411" t="e">
        <f ca="1">VLOOKUP(_xlfn.CONCAT(U289,V289,W289,VLOOKUP(X289&amp;Y289,TIME!$L$27:$O$34,4,FALSE),Y289),HIS_SALES!$A$2:$R$5093,18,FALSE)</f>
        <v>#N/A</v>
      </c>
      <c r="AH289" s="412" t="e">
        <f ca="1">IFERROR(IF(AND(V289=V288,W289=W288),0.5*(AB289+AB288)*AG289,(VLOOKUP(_xlfn.CONCAT(U289,V289,W289,X289,VLOOKUP(Z289,TIME!$S$28:$T$39,2,FALSE)),FC_DATA!$R$2:$AB$5000,MATCH("GS_I_M",FC_DATA!$R$1:$AB$1,0),FALSE)+FC_DATA!AB289)*0.5*FC_DATA!AG289),NA())</f>
        <v>#N/A</v>
      </c>
      <c r="AI289" s="491" t="e">
        <f ca="1">IF(V289="PARTNER.com",AH289,IF(AND(V289=V288,W289=W288),(1-AVERAGE(AD288,AD289))*AH289,(1-AVERAGE(AD289,VLOOKUP(_xlfn.CONCAT(U289,V289,W289,X289,M_BRAND_FC!$F$6),FC_DATA!$R$2:$AD$5000,MATCH("DISCOUNT_%_M",FC_DATA!$R$1:$AD$1,0),FALSE)))*AH289))</f>
        <v>#N/A</v>
      </c>
      <c r="AJ289" s="412" t="str">
        <f t="shared" ca="1" si="120"/>
        <v/>
      </c>
      <c r="AK289" s="413" t="str">
        <f>IFERROR(AE289/(Q_BRAND_FC!$T$24+1),"")</f>
        <v/>
      </c>
      <c r="AL289" s="88" t="str">
        <f t="shared" ca="1" si="121"/>
        <v/>
      </c>
      <c r="AM289" s="414" t="str">
        <f t="shared" ca="1" si="122"/>
        <v/>
      </c>
      <c r="AN289" s="58">
        <f>IFERROR(IF($V289="BRAND.com",HLOOKUP($X289&amp;$Z289,NWC_FC_NOOS!$C$4:$Q$23,MATCH(W289,NWC_FC_NOOS!$B$4:$B$23,0),FALSE),0),0)</f>
        <v>0</v>
      </c>
      <c r="AO289" s="57">
        <f>IFERROR(IF($V289="BRAND.com",HLOOKUP($X289&amp;$Z289,NWC_FC_NOOS!$T$4:$AH$23,MATCH(W289,NWC_FC_NOOS!$S$4:$S$23,0),FALSE),0),0)</f>
        <v>0</v>
      </c>
      <c r="AP289" s="57">
        <f>IFERROR(IF($V289="BRAND.com",HLOOKUP($X289&amp;$Z289,NWC_FC_NOOS!$C$50:$U$69,MATCH(W289,NWC_FC_NOOS!$B$50:$B$69,0),FALSE),0),0)</f>
        <v>0</v>
      </c>
      <c r="AQ289" s="58">
        <f>IFERROR(IF($V289="BRAND.com",HLOOKUP($X289&amp;$Z289,'NWC_FC_NON-NOOS'!$C$4:$Q$23,MATCH(W289,'NWC_FC_NON-NOOS'!$B$4:$B$23,0),FALSE),0),0)</f>
        <v>0</v>
      </c>
      <c r="AR289" s="57">
        <f>IFERROR(IF($V289="BRAND.com",HLOOKUP($X289&amp;$Z289,'NWC_FC_NON-NOOS'!$T$4:$AH$23,MATCH(W289,'NWC_FC_NON-NOOS'!$S$4:$S$23,0),FALSE),0),0)</f>
        <v>0</v>
      </c>
      <c r="AS289" s="57">
        <f>IFERROR(IF($V289="BRAND.com",HLOOKUP($X289&amp;$Z289,'NWC_FC_NON-NOOS'!$C$50:$U$69,MATCH(W289,'NWC_FC_NON-NOOS'!$B$50:$B$69,0),FALSE),0),0)</f>
        <v>0</v>
      </c>
      <c r="AT289" s="57">
        <f t="shared" si="124"/>
        <v>0</v>
      </c>
      <c r="AU289" s="57">
        <f t="shared" si="125"/>
        <v>0</v>
      </c>
      <c r="AV289" s="58">
        <f>IFERROR(IF($V289="BRAND.com",HLOOKUP($X289&amp;$Z289,PLANNING_FC!$BB$27:$BP$46,MATCH($W289,PLANNING_FC!$BA$27:$BA$46,0),FALSE),0),0)</f>
        <v>0</v>
      </c>
      <c r="AW289" s="58">
        <f>IFERROR(IF($V289="BRAND.com",HLOOKUP($X289&amp;$Z289,PLANNING_FC!$BB$4:$BP$23,MATCH($W289,PLANNING_FC!$BA$4:$BA$23,0),FALSE),0),0)</f>
        <v>0</v>
      </c>
      <c r="AX289" s="58">
        <f>IFERROR(IF($V289="BRAND.com",HLOOKUP($X289&amp;$Z289,PLANNING_FC!$T$27:$AH$46,MATCH($W289,PLANNING_FC!$B$27:$B$46,0),FALSE),0),0)</f>
        <v>0</v>
      </c>
      <c r="AY289" s="58">
        <f>IFERROR(IF($V289="BRAND.com",HLOOKUP($X289&amp;$Z289,PLANNING_FC!$T$4:$AH$23,MATCH($W289,PLANNING_FC!$B$4:$B$23,0),FALSE),0),0)</f>
        <v>0</v>
      </c>
      <c r="AZ289" s="58">
        <f>IFERROR(IF($V289="BRAND.com",HLOOKUP($X289&amp;$Z289,PLANNING_FC!$DA$27:$DO$46,MATCH($W289,PLANNING_FC!$CZ$27:$CZ$46,0),FALSE),0),0)</f>
        <v>0</v>
      </c>
      <c r="BA289" s="58">
        <f>IFERROR(IF($V289="BRAND.com",HLOOKUP($X289&amp;$Z289,PLANNING_FC!$DA$4:$DO$23,MATCH($W289,PLANNING_FC!$CZ$4:$CZ$23,0),FALSE),0),0)</f>
        <v>0</v>
      </c>
      <c r="BB289" s="883" t="str">
        <f>IF(V289="BRAND.com",IFERROR(HLOOKUP(X289&amp;Z289,PLANNING_FC!$AK$4:$AY$23,MATCH(W289,PLANNING_FC!$AJ$4:$AJ$23,0),FALSE)*1000,""),"")</f>
        <v/>
      </c>
      <c r="BC289" s="883" t="str">
        <f>IF(V289="BRAND.com",IFERROR(HLOOKUP(X289&amp;Z289,PLANNING_FC!$AK$27:$AY$46,MATCH(W289,PLANNING_FC!$AJ$27:$AJ$46,0),FALSE)*1000,""),"")</f>
        <v/>
      </c>
    </row>
    <row r="290" spans="1:55" x14ac:dyDescent="0.25">
      <c r="A290" s="509"/>
      <c r="B290" s="509"/>
      <c r="C290" s="509"/>
      <c r="D290" s="509"/>
      <c r="E290" s="509"/>
      <c r="F290" s="509"/>
      <c r="G290" s="509"/>
      <c r="H290" s="509"/>
      <c r="I290" s="512"/>
      <c r="J290" s="513"/>
      <c r="K290" s="879"/>
      <c r="L290" s="515"/>
      <c r="M290" s="516"/>
      <c r="N290" s="56">
        <f t="shared" si="106"/>
        <v>0</v>
      </c>
      <c r="O290" s="57">
        <f t="shared" si="107"/>
        <v>0</v>
      </c>
      <c r="P290" s="57">
        <f ca="1">IFERROR(IF(ISBLANK(H290),SUMIFS($AC:$AC,$V:$V,V290,$W:$W,W290,$X:$X,X290,$Y:$Y,Y290)*J290/(1-J290)*VLOOKUP(_xlfn.CONCAT(C290,D290,E290,TIME!$M$12,Z290),HIS_SALES!$B$2:$W$4859,20,FALSE),AC290*J290/(1-J290)),0)</f>
        <v>0</v>
      </c>
      <c r="Q290" s="541" t="str">
        <f t="shared" si="108"/>
        <v/>
      </c>
      <c r="R290" s="346" t="str">
        <f t="shared" si="109"/>
        <v>00000</v>
      </c>
      <c r="S290" s="344">
        <f t="shared" si="110"/>
        <v>0</v>
      </c>
      <c r="T290" s="345" t="str">
        <f t="shared" si="123"/>
        <v>000</v>
      </c>
      <c r="U290" s="345">
        <f t="shared" si="111"/>
        <v>0</v>
      </c>
      <c r="V290" s="345">
        <f t="shared" si="112"/>
        <v>0</v>
      </c>
      <c r="W290" s="345">
        <f t="shared" si="113"/>
        <v>0</v>
      </c>
      <c r="X290" s="345">
        <f t="shared" si="114"/>
        <v>0</v>
      </c>
      <c r="Y290" s="345">
        <f t="shared" si="115"/>
        <v>0</v>
      </c>
      <c r="Z290" s="345">
        <f>IF(Q290&lt;&gt;"",VLOOKUP(Y290,TIME!$R$21:$V$24,MATCH(FC_DATA!Q290,TIME!$R$20:$V$20,0),FALSE),H290)</f>
        <v>0</v>
      </c>
      <c r="AA290" s="345" t="str">
        <f>IFERROR(VLOOKUP(X290&amp;Z290,TIME!$A$12:$D$71,4,FALSE),"")</f>
        <v/>
      </c>
      <c r="AB290" s="592">
        <f t="shared" ca="1" si="116"/>
        <v>0</v>
      </c>
      <c r="AC290" s="593" t="e">
        <f ca="1">IF(ISBLANK(H290)=FALSE,IF(D290="BRAND.com",I290,IF(ISNA(VLOOKUP(_xlfn.CONCAT(X290,Z290),TIME!$M$40:$M$42,1,FALSE)),I290,VLOOKUP(_xlfn.CONCAT(D290,G290,H290),M_BUSAREA_FC!$AF$5:$AJ$10,5,FALSE)*HLOOKUP(_xlfn.CONCAT(F290,H290),ST_OVERVIEW!$G$99:$I$130,MATCH(_xlfn.CONCAT(D290,E290),ST_OVERVIEW!$F$99:$F$130,0),FALSE))),IF(D290="BRAND.com",VLOOKUP(_xlfn.CONCAT(C290,D290,E290,TIME!$F$1,Z290),HIS_SALES!$B$2:$V$4859,19,FALSE)*I290,VLOOKUP(_xlfn.CONCAT(D290,F290,G290),Q_BUSAREA_FC!$AE$5:$AI$12,5,FALSE)*HLOOKUP(_xlfn.CONCAT(FC_DATA!F290,FC_DATA!G290),LT_OVERVIEW!$I$99:$M$130,MATCH(_xlfn.CONCAT(D290,FC_DATA!E290),LT_OVERVIEW!$H$99:$H$130,0),FALSE)*IFERROR(VLOOKUP(_xlfn.CONCAT(C290,D290,E290,TIME!$F$1,Z290),HIS_SALES!$B$2:$V$4859,19,FALSE),0)))</f>
        <v>#N/A</v>
      </c>
      <c r="AD290" s="341">
        <f t="shared" ca="1" si="117"/>
        <v>0</v>
      </c>
      <c r="AE290" s="363" t="str">
        <f t="shared" si="118"/>
        <v/>
      </c>
      <c r="AF290" s="342" t="str">
        <f t="shared" si="119"/>
        <v/>
      </c>
      <c r="AG290" s="411" t="e">
        <f ca="1">VLOOKUP(_xlfn.CONCAT(U290,V290,W290,VLOOKUP(X290&amp;Y290,TIME!$L$27:$O$34,4,FALSE),Y290),HIS_SALES!$A$2:$R$5093,18,FALSE)</f>
        <v>#N/A</v>
      </c>
      <c r="AH290" s="412" t="e">
        <f ca="1">IFERROR(IF(AND(V290=V289,W290=W289),0.5*(AB290+AB289)*AG290,(VLOOKUP(_xlfn.CONCAT(U290,V290,W290,X290,VLOOKUP(Z290,TIME!$S$28:$T$39,2,FALSE)),FC_DATA!$R$2:$AB$5000,MATCH("GS_I_M",FC_DATA!$R$1:$AB$1,0),FALSE)+FC_DATA!AB290)*0.5*FC_DATA!AG290),NA())</f>
        <v>#N/A</v>
      </c>
      <c r="AI290" s="491" t="e">
        <f ca="1">IF(V290="PARTNER.com",AH290,IF(AND(V290=V289,W290=W289),(1-AVERAGE(AD289,AD290))*AH290,(1-AVERAGE(AD290,VLOOKUP(_xlfn.CONCAT(U290,V290,W290,X290,M_BRAND_FC!$F$6),FC_DATA!$R$2:$AD$5000,MATCH("DISCOUNT_%_M",FC_DATA!$R$1:$AD$1,0),FALSE)))*AH290))</f>
        <v>#N/A</v>
      </c>
      <c r="AJ290" s="412" t="str">
        <f t="shared" ca="1" si="120"/>
        <v/>
      </c>
      <c r="AK290" s="413" t="str">
        <f>IFERROR(AE290/(Q_BRAND_FC!$T$24+1),"")</f>
        <v/>
      </c>
      <c r="AL290" s="88" t="str">
        <f t="shared" ca="1" si="121"/>
        <v/>
      </c>
      <c r="AM290" s="414" t="str">
        <f t="shared" ca="1" si="122"/>
        <v/>
      </c>
      <c r="AN290" s="58">
        <f>IFERROR(IF($V290="BRAND.com",HLOOKUP($X290&amp;$Z290,NWC_FC_NOOS!$C$4:$Q$23,MATCH(W290,NWC_FC_NOOS!$B$4:$B$23,0),FALSE),0),0)</f>
        <v>0</v>
      </c>
      <c r="AO290" s="57">
        <f>IFERROR(IF($V290="BRAND.com",HLOOKUP($X290&amp;$Z290,NWC_FC_NOOS!$T$4:$AH$23,MATCH(W290,NWC_FC_NOOS!$S$4:$S$23,0),FALSE),0),0)</f>
        <v>0</v>
      </c>
      <c r="AP290" s="57">
        <f>IFERROR(IF($V290="BRAND.com",HLOOKUP($X290&amp;$Z290,NWC_FC_NOOS!$C$50:$U$69,MATCH(W290,NWC_FC_NOOS!$B$50:$B$69,0),FALSE),0),0)</f>
        <v>0</v>
      </c>
      <c r="AQ290" s="58">
        <f>IFERROR(IF($V290="BRAND.com",HLOOKUP($X290&amp;$Z290,'NWC_FC_NON-NOOS'!$C$4:$Q$23,MATCH(W290,'NWC_FC_NON-NOOS'!$B$4:$B$23,0),FALSE),0),0)</f>
        <v>0</v>
      </c>
      <c r="AR290" s="57">
        <f>IFERROR(IF($V290="BRAND.com",HLOOKUP($X290&amp;$Z290,'NWC_FC_NON-NOOS'!$T$4:$AH$23,MATCH(W290,'NWC_FC_NON-NOOS'!$S$4:$S$23,0),FALSE),0),0)</f>
        <v>0</v>
      </c>
      <c r="AS290" s="57">
        <f>IFERROR(IF($V290="BRAND.com",HLOOKUP($X290&amp;$Z290,'NWC_FC_NON-NOOS'!$C$50:$U$69,MATCH(W290,'NWC_FC_NON-NOOS'!$B$50:$B$69,0),FALSE),0),0)</f>
        <v>0</v>
      </c>
      <c r="AT290" s="57">
        <f t="shared" si="124"/>
        <v>0</v>
      </c>
      <c r="AU290" s="57">
        <f t="shared" si="125"/>
        <v>0</v>
      </c>
      <c r="AV290" s="58">
        <f>IFERROR(IF($V290="BRAND.com",HLOOKUP($X290&amp;$Z290,PLANNING_FC!$BB$27:$BP$46,MATCH($W290,PLANNING_FC!$BA$27:$BA$46,0),FALSE),0),0)</f>
        <v>0</v>
      </c>
      <c r="AW290" s="58">
        <f>IFERROR(IF($V290="BRAND.com",HLOOKUP($X290&amp;$Z290,PLANNING_FC!$BB$4:$BP$23,MATCH($W290,PLANNING_FC!$BA$4:$BA$23,0),FALSE),0),0)</f>
        <v>0</v>
      </c>
      <c r="AX290" s="58">
        <f>IFERROR(IF($V290="BRAND.com",HLOOKUP($X290&amp;$Z290,PLANNING_FC!$T$27:$AH$46,MATCH($W290,PLANNING_FC!$B$27:$B$46,0),FALSE),0),0)</f>
        <v>0</v>
      </c>
      <c r="AY290" s="58">
        <f>IFERROR(IF($V290="BRAND.com",HLOOKUP($X290&amp;$Z290,PLANNING_FC!$T$4:$AH$23,MATCH($W290,PLANNING_FC!$B$4:$B$23,0),FALSE),0),0)</f>
        <v>0</v>
      </c>
      <c r="AZ290" s="58">
        <f>IFERROR(IF($V290="BRAND.com",HLOOKUP($X290&amp;$Z290,PLANNING_FC!$DA$27:$DO$46,MATCH($W290,PLANNING_FC!$CZ$27:$CZ$46,0),FALSE),0),0)</f>
        <v>0</v>
      </c>
      <c r="BA290" s="58">
        <f>IFERROR(IF($V290="BRAND.com",HLOOKUP($X290&amp;$Z290,PLANNING_FC!$DA$4:$DO$23,MATCH($W290,PLANNING_FC!$CZ$4:$CZ$23,0),FALSE),0),0)</f>
        <v>0</v>
      </c>
      <c r="BB290" s="883" t="str">
        <f>IF(V290="BRAND.com",IFERROR(HLOOKUP(X290&amp;Z290,PLANNING_FC!$AK$4:$AY$23,MATCH(W290,PLANNING_FC!$AJ$4:$AJ$23,0),FALSE)*1000,""),"")</f>
        <v/>
      </c>
      <c r="BC290" s="883" t="str">
        <f>IF(V290="BRAND.com",IFERROR(HLOOKUP(X290&amp;Z290,PLANNING_FC!$AK$27:$AY$46,MATCH(W290,PLANNING_FC!$AJ$27:$AJ$46,0),FALSE)*1000,""),"")</f>
        <v/>
      </c>
    </row>
    <row r="291" spans="1:55" x14ac:dyDescent="0.25">
      <c r="A291" s="509"/>
      <c r="B291" s="509"/>
      <c r="C291" s="509"/>
      <c r="D291" s="509"/>
      <c r="E291" s="509"/>
      <c r="F291" s="509"/>
      <c r="G291" s="509"/>
      <c r="H291" s="509"/>
      <c r="I291" s="512"/>
      <c r="J291" s="513"/>
      <c r="K291" s="879"/>
      <c r="L291" s="515"/>
      <c r="M291" s="516"/>
      <c r="N291" s="56">
        <f t="shared" si="106"/>
        <v>0</v>
      </c>
      <c r="O291" s="57">
        <f t="shared" si="107"/>
        <v>0</v>
      </c>
      <c r="P291" s="57">
        <f ca="1">IFERROR(IF(ISBLANK(H291),SUMIFS($AC:$AC,$V:$V,V291,$W:$W,W291,$X:$X,X291,$Y:$Y,Y291)*J291/(1-J291)*VLOOKUP(_xlfn.CONCAT(C291,D291,E291,TIME!$M$12,Z291),HIS_SALES!$B$2:$W$4859,20,FALSE),AC291*J291/(1-J291)),0)</f>
        <v>0</v>
      </c>
      <c r="Q291" s="541" t="str">
        <f t="shared" si="108"/>
        <v/>
      </c>
      <c r="R291" s="346" t="str">
        <f t="shared" si="109"/>
        <v>00000</v>
      </c>
      <c r="S291" s="344">
        <f t="shared" si="110"/>
        <v>0</v>
      </c>
      <c r="T291" s="345" t="str">
        <f t="shared" si="123"/>
        <v>000</v>
      </c>
      <c r="U291" s="345">
        <f t="shared" si="111"/>
        <v>0</v>
      </c>
      <c r="V291" s="345">
        <f t="shared" si="112"/>
        <v>0</v>
      </c>
      <c r="W291" s="345">
        <f t="shared" si="113"/>
        <v>0</v>
      </c>
      <c r="X291" s="345">
        <f t="shared" si="114"/>
        <v>0</v>
      </c>
      <c r="Y291" s="345">
        <f t="shared" si="115"/>
        <v>0</v>
      </c>
      <c r="Z291" s="345">
        <f>IF(Q291&lt;&gt;"",VLOOKUP(Y291,TIME!$R$21:$V$24,MATCH(FC_DATA!Q291,TIME!$R$20:$V$20,0),FALSE),H291)</f>
        <v>0</v>
      </c>
      <c r="AA291" s="345" t="str">
        <f>IFERROR(VLOOKUP(X291&amp;Z291,TIME!$A$12:$D$71,4,FALSE),"")</f>
        <v/>
      </c>
      <c r="AB291" s="592">
        <f t="shared" ca="1" si="116"/>
        <v>0</v>
      </c>
      <c r="AC291" s="593" t="e">
        <f ca="1">IF(ISBLANK(H291)=FALSE,IF(D291="BRAND.com",I291,IF(ISNA(VLOOKUP(_xlfn.CONCAT(X291,Z291),TIME!$M$40:$M$42,1,FALSE)),I291,VLOOKUP(_xlfn.CONCAT(D291,G291,H291),M_BUSAREA_FC!$AF$5:$AJ$10,5,FALSE)*HLOOKUP(_xlfn.CONCAT(F291,H291),ST_OVERVIEW!$G$99:$I$130,MATCH(_xlfn.CONCAT(D291,E291),ST_OVERVIEW!$F$99:$F$130,0),FALSE))),IF(D291="BRAND.com",VLOOKUP(_xlfn.CONCAT(C291,D291,E291,TIME!$F$1,Z291),HIS_SALES!$B$2:$V$4859,19,FALSE)*I291,VLOOKUP(_xlfn.CONCAT(D291,F291,G291),Q_BUSAREA_FC!$AE$5:$AI$12,5,FALSE)*HLOOKUP(_xlfn.CONCAT(FC_DATA!F291,FC_DATA!G291),LT_OVERVIEW!$I$99:$M$130,MATCH(_xlfn.CONCAT(D291,FC_DATA!E291),LT_OVERVIEW!$H$99:$H$130,0),FALSE)*IFERROR(VLOOKUP(_xlfn.CONCAT(C291,D291,E291,TIME!$F$1,Z291),HIS_SALES!$B$2:$V$4859,19,FALSE),0)))</f>
        <v>#N/A</v>
      </c>
      <c r="AD291" s="341">
        <f t="shared" ca="1" si="117"/>
        <v>0</v>
      </c>
      <c r="AE291" s="363" t="str">
        <f t="shared" si="118"/>
        <v/>
      </c>
      <c r="AF291" s="342" t="str">
        <f t="shared" si="119"/>
        <v/>
      </c>
      <c r="AG291" s="411" t="e">
        <f ca="1">VLOOKUP(_xlfn.CONCAT(U291,V291,W291,VLOOKUP(X291&amp;Y291,TIME!$L$27:$O$34,4,FALSE),Y291),HIS_SALES!$A$2:$R$5093,18,FALSE)</f>
        <v>#N/A</v>
      </c>
      <c r="AH291" s="412" t="e">
        <f ca="1">IFERROR(IF(AND(V291=V290,W291=W290),0.5*(AB291+AB290)*AG291,(VLOOKUP(_xlfn.CONCAT(U291,V291,W291,X291,VLOOKUP(Z291,TIME!$S$28:$T$39,2,FALSE)),FC_DATA!$R$2:$AB$5000,MATCH("GS_I_M",FC_DATA!$R$1:$AB$1,0),FALSE)+FC_DATA!AB291)*0.5*FC_DATA!AG291),NA())</f>
        <v>#N/A</v>
      </c>
      <c r="AI291" s="491" t="e">
        <f ca="1">IF(V291="PARTNER.com",AH291,IF(AND(V291=V290,W291=W290),(1-AVERAGE(AD290,AD291))*AH291,(1-AVERAGE(AD291,VLOOKUP(_xlfn.CONCAT(U291,V291,W291,X291,M_BRAND_FC!$F$6),FC_DATA!$R$2:$AD$5000,MATCH("DISCOUNT_%_M",FC_DATA!$R$1:$AD$1,0),FALSE)))*AH291))</f>
        <v>#N/A</v>
      </c>
      <c r="AJ291" s="412" t="str">
        <f t="shared" ca="1" si="120"/>
        <v/>
      </c>
      <c r="AK291" s="413" t="str">
        <f>IFERROR(AE291/(Q_BRAND_FC!$T$24+1),"")</f>
        <v/>
      </c>
      <c r="AL291" s="88" t="str">
        <f t="shared" ca="1" si="121"/>
        <v/>
      </c>
      <c r="AM291" s="414" t="str">
        <f t="shared" ca="1" si="122"/>
        <v/>
      </c>
      <c r="AN291" s="58">
        <f>IFERROR(IF($V291="BRAND.com",HLOOKUP($X291&amp;$Z291,NWC_FC_NOOS!$C$4:$Q$23,MATCH(W291,NWC_FC_NOOS!$B$4:$B$23,0),FALSE),0),0)</f>
        <v>0</v>
      </c>
      <c r="AO291" s="57">
        <f>IFERROR(IF($V291="BRAND.com",HLOOKUP($X291&amp;$Z291,NWC_FC_NOOS!$T$4:$AH$23,MATCH(W291,NWC_FC_NOOS!$S$4:$S$23,0),FALSE),0),0)</f>
        <v>0</v>
      </c>
      <c r="AP291" s="57">
        <f>IFERROR(IF($V291="BRAND.com",HLOOKUP($X291&amp;$Z291,NWC_FC_NOOS!$C$50:$U$69,MATCH(W291,NWC_FC_NOOS!$B$50:$B$69,0),FALSE),0),0)</f>
        <v>0</v>
      </c>
      <c r="AQ291" s="58">
        <f>IFERROR(IF($V291="BRAND.com",HLOOKUP($X291&amp;$Z291,'NWC_FC_NON-NOOS'!$C$4:$Q$23,MATCH(W291,'NWC_FC_NON-NOOS'!$B$4:$B$23,0),FALSE),0),0)</f>
        <v>0</v>
      </c>
      <c r="AR291" s="57">
        <f>IFERROR(IF($V291="BRAND.com",HLOOKUP($X291&amp;$Z291,'NWC_FC_NON-NOOS'!$T$4:$AH$23,MATCH(W291,'NWC_FC_NON-NOOS'!$S$4:$S$23,0),FALSE),0),0)</f>
        <v>0</v>
      </c>
      <c r="AS291" s="57">
        <f>IFERROR(IF($V291="BRAND.com",HLOOKUP($X291&amp;$Z291,'NWC_FC_NON-NOOS'!$C$50:$U$69,MATCH(W291,'NWC_FC_NON-NOOS'!$B$50:$B$69,0),FALSE),0),0)</f>
        <v>0</v>
      </c>
      <c r="AT291" s="57">
        <f t="shared" si="124"/>
        <v>0</v>
      </c>
      <c r="AU291" s="57">
        <f t="shared" si="125"/>
        <v>0</v>
      </c>
      <c r="AV291" s="58">
        <f>IFERROR(IF($V291="BRAND.com",HLOOKUP($X291&amp;$Z291,PLANNING_FC!$BB$27:$BP$46,MATCH($W291,PLANNING_FC!$BA$27:$BA$46,0),FALSE),0),0)</f>
        <v>0</v>
      </c>
      <c r="AW291" s="58">
        <f>IFERROR(IF($V291="BRAND.com",HLOOKUP($X291&amp;$Z291,PLANNING_FC!$BB$4:$BP$23,MATCH($W291,PLANNING_FC!$BA$4:$BA$23,0),FALSE),0),0)</f>
        <v>0</v>
      </c>
      <c r="AX291" s="58">
        <f>IFERROR(IF($V291="BRAND.com",HLOOKUP($X291&amp;$Z291,PLANNING_FC!$T$27:$AH$46,MATCH($W291,PLANNING_FC!$B$27:$B$46,0),FALSE),0),0)</f>
        <v>0</v>
      </c>
      <c r="AY291" s="58">
        <f>IFERROR(IF($V291="BRAND.com",HLOOKUP($X291&amp;$Z291,PLANNING_FC!$T$4:$AH$23,MATCH($W291,PLANNING_FC!$B$4:$B$23,0),FALSE),0),0)</f>
        <v>0</v>
      </c>
      <c r="AZ291" s="58">
        <f>IFERROR(IF($V291="BRAND.com",HLOOKUP($X291&amp;$Z291,PLANNING_FC!$DA$27:$DO$46,MATCH($W291,PLANNING_FC!$CZ$27:$CZ$46,0),FALSE),0),0)</f>
        <v>0</v>
      </c>
      <c r="BA291" s="58">
        <f>IFERROR(IF($V291="BRAND.com",HLOOKUP($X291&amp;$Z291,PLANNING_FC!$DA$4:$DO$23,MATCH($W291,PLANNING_FC!$CZ$4:$CZ$23,0),FALSE),0),0)</f>
        <v>0</v>
      </c>
      <c r="BB291" s="883" t="str">
        <f>IF(V291="BRAND.com",IFERROR(HLOOKUP(X291&amp;Z291,PLANNING_FC!$AK$4:$AY$23,MATCH(W291,PLANNING_FC!$AJ$4:$AJ$23,0),FALSE)*1000,""),"")</f>
        <v/>
      </c>
      <c r="BC291" s="883" t="str">
        <f>IF(V291="BRAND.com",IFERROR(HLOOKUP(X291&amp;Z291,PLANNING_FC!$AK$27:$AY$46,MATCH(W291,PLANNING_FC!$AJ$27:$AJ$46,0),FALSE)*1000,""),"")</f>
        <v/>
      </c>
    </row>
    <row r="292" spans="1:55" x14ac:dyDescent="0.25">
      <c r="A292" s="509"/>
      <c r="B292" s="509"/>
      <c r="C292" s="509"/>
      <c r="D292" s="509"/>
      <c r="E292" s="509"/>
      <c r="F292" s="509"/>
      <c r="G292" s="509"/>
      <c r="H292" s="509"/>
      <c r="I292" s="512"/>
      <c r="J292" s="513"/>
      <c r="K292" s="879"/>
      <c r="L292" s="515"/>
      <c r="M292" s="516"/>
      <c r="N292" s="56">
        <f t="shared" si="106"/>
        <v>0</v>
      </c>
      <c r="O292" s="57">
        <f t="shared" si="107"/>
        <v>0</v>
      </c>
      <c r="P292" s="57">
        <f ca="1">IFERROR(IF(ISBLANK(H292),SUMIFS($AC:$AC,$V:$V,V292,$W:$W,W292,$X:$X,X292,$Y:$Y,Y292)*J292/(1-J292)*VLOOKUP(_xlfn.CONCAT(C292,D292,E292,TIME!$M$12,Z292),HIS_SALES!$B$2:$W$4859,20,FALSE),AC292*J292/(1-J292)),0)</f>
        <v>0</v>
      </c>
      <c r="Q292" s="541" t="str">
        <f t="shared" si="108"/>
        <v/>
      </c>
      <c r="R292" s="346" t="str">
        <f t="shared" si="109"/>
        <v>00000</v>
      </c>
      <c r="S292" s="344">
        <f t="shared" si="110"/>
        <v>0</v>
      </c>
      <c r="T292" s="345" t="str">
        <f t="shared" si="123"/>
        <v>000</v>
      </c>
      <c r="U292" s="345">
        <f t="shared" si="111"/>
        <v>0</v>
      </c>
      <c r="V292" s="345">
        <f t="shared" si="112"/>
        <v>0</v>
      </c>
      <c r="W292" s="345">
        <f t="shared" si="113"/>
        <v>0</v>
      </c>
      <c r="X292" s="345">
        <f t="shared" si="114"/>
        <v>0</v>
      </c>
      <c r="Y292" s="345">
        <f t="shared" si="115"/>
        <v>0</v>
      </c>
      <c r="Z292" s="345">
        <f>IF(Q292&lt;&gt;"",VLOOKUP(Y292,TIME!$R$21:$V$24,MATCH(FC_DATA!Q292,TIME!$R$20:$V$20,0),FALSE),H292)</f>
        <v>0</v>
      </c>
      <c r="AA292" s="345" t="str">
        <f>IFERROR(VLOOKUP(X292&amp;Z292,TIME!$A$12:$D$71,4,FALSE),"")</f>
        <v/>
      </c>
      <c r="AB292" s="592">
        <f t="shared" ca="1" si="116"/>
        <v>0</v>
      </c>
      <c r="AC292" s="593" t="e">
        <f ca="1">IF(ISBLANK(H292)=FALSE,IF(D292="BRAND.com",I292,IF(ISNA(VLOOKUP(_xlfn.CONCAT(X292,Z292),TIME!$M$40:$M$42,1,FALSE)),I292,VLOOKUP(_xlfn.CONCAT(D292,G292,H292),M_BUSAREA_FC!$AF$5:$AJ$10,5,FALSE)*HLOOKUP(_xlfn.CONCAT(F292,H292),ST_OVERVIEW!$G$99:$I$130,MATCH(_xlfn.CONCAT(D292,E292),ST_OVERVIEW!$F$99:$F$130,0),FALSE))),IF(D292="BRAND.com",VLOOKUP(_xlfn.CONCAT(C292,D292,E292,TIME!$F$1,Z292),HIS_SALES!$B$2:$V$4859,19,FALSE)*I292,VLOOKUP(_xlfn.CONCAT(D292,F292,G292),Q_BUSAREA_FC!$AE$5:$AI$12,5,FALSE)*HLOOKUP(_xlfn.CONCAT(FC_DATA!F292,FC_DATA!G292),LT_OVERVIEW!$I$99:$M$130,MATCH(_xlfn.CONCAT(D292,FC_DATA!E292),LT_OVERVIEW!$H$99:$H$130,0),FALSE)*IFERROR(VLOOKUP(_xlfn.CONCAT(C292,D292,E292,TIME!$F$1,Z292),HIS_SALES!$B$2:$V$4859,19,FALSE),0)))</f>
        <v>#N/A</v>
      </c>
      <c r="AD292" s="341">
        <f t="shared" ca="1" si="117"/>
        <v>0</v>
      </c>
      <c r="AE292" s="363" t="str">
        <f t="shared" si="118"/>
        <v/>
      </c>
      <c r="AF292" s="342" t="str">
        <f t="shared" si="119"/>
        <v/>
      </c>
      <c r="AG292" s="411" t="e">
        <f ca="1">VLOOKUP(_xlfn.CONCAT(U292,V292,W292,VLOOKUP(X292&amp;Y292,TIME!$L$27:$O$34,4,FALSE),Y292),HIS_SALES!$A$2:$R$5093,18,FALSE)</f>
        <v>#N/A</v>
      </c>
      <c r="AH292" s="412" t="e">
        <f ca="1">IFERROR(IF(AND(V292=V291,W292=W291),0.5*(AB292+AB291)*AG292,(VLOOKUP(_xlfn.CONCAT(U292,V292,W292,X292,VLOOKUP(Z292,TIME!$S$28:$T$39,2,FALSE)),FC_DATA!$R$2:$AB$5000,MATCH("GS_I_M",FC_DATA!$R$1:$AB$1,0),FALSE)+FC_DATA!AB292)*0.5*FC_DATA!AG292),NA())</f>
        <v>#N/A</v>
      </c>
      <c r="AI292" s="491" t="e">
        <f ca="1">IF(V292="PARTNER.com",AH292,IF(AND(V292=V291,W292=W291),(1-AVERAGE(AD291,AD292))*AH292,(1-AVERAGE(AD292,VLOOKUP(_xlfn.CONCAT(U292,V292,W292,X292,M_BRAND_FC!$F$6),FC_DATA!$R$2:$AD$5000,MATCH("DISCOUNT_%_M",FC_DATA!$R$1:$AD$1,0),FALSE)))*AH292))</f>
        <v>#N/A</v>
      </c>
      <c r="AJ292" s="412" t="str">
        <f t="shared" ca="1" si="120"/>
        <v/>
      </c>
      <c r="AK292" s="413" t="str">
        <f>IFERROR(AE292/(Q_BRAND_FC!$T$24+1),"")</f>
        <v/>
      </c>
      <c r="AL292" s="88" t="str">
        <f t="shared" ca="1" si="121"/>
        <v/>
      </c>
      <c r="AM292" s="414" t="str">
        <f t="shared" ca="1" si="122"/>
        <v/>
      </c>
      <c r="AN292" s="58">
        <f>IFERROR(IF($V292="BRAND.com",HLOOKUP($X292&amp;$Z292,NWC_FC_NOOS!$C$4:$Q$23,MATCH(W292,NWC_FC_NOOS!$B$4:$B$23,0),FALSE),0),0)</f>
        <v>0</v>
      </c>
      <c r="AO292" s="57">
        <f>IFERROR(IF($V292="BRAND.com",HLOOKUP($X292&amp;$Z292,NWC_FC_NOOS!$T$4:$AH$23,MATCH(W292,NWC_FC_NOOS!$S$4:$S$23,0),FALSE),0),0)</f>
        <v>0</v>
      </c>
      <c r="AP292" s="57">
        <f>IFERROR(IF($V292="BRAND.com",HLOOKUP($X292&amp;$Z292,NWC_FC_NOOS!$C$50:$U$69,MATCH(W292,NWC_FC_NOOS!$B$50:$B$69,0),FALSE),0),0)</f>
        <v>0</v>
      </c>
      <c r="AQ292" s="58">
        <f>IFERROR(IF($V292="BRAND.com",HLOOKUP($X292&amp;$Z292,'NWC_FC_NON-NOOS'!$C$4:$Q$23,MATCH(W292,'NWC_FC_NON-NOOS'!$B$4:$B$23,0),FALSE),0),0)</f>
        <v>0</v>
      </c>
      <c r="AR292" s="57">
        <f>IFERROR(IF($V292="BRAND.com",HLOOKUP($X292&amp;$Z292,'NWC_FC_NON-NOOS'!$T$4:$AH$23,MATCH(W292,'NWC_FC_NON-NOOS'!$S$4:$S$23,0),FALSE),0),0)</f>
        <v>0</v>
      </c>
      <c r="AS292" s="57">
        <f>IFERROR(IF($V292="BRAND.com",HLOOKUP($X292&amp;$Z292,'NWC_FC_NON-NOOS'!$C$50:$U$69,MATCH(W292,'NWC_FC_NON-NOOS'!$B$50:$B$69,0),FALSE),0),0)</f>
        <v>0</v>
      </c>
      <c r="AT292" s="57">
        <f t="shared" si="124"/>
        <v>0</v>
      </c>
      <c r="AU292" s="57">
        <f t="shared" si="125"/>
        <v>0</v>
      </c>
      <c r="AV292" s="58">
        <f>IFERROR(IF($V292="BRAND.com",HLOOKUP($X292&amp;$Z292,PLANNING_FC!$BB$27:$BP$46,MATCH($W292,PLANNING_FC!$BA$27:$BA$46,0),FALSE),0),0)</f>
        <v>0</v>
      </c>
      <c r="AW292" s="58">
        <f>IFERROR(IF($V292="BRAND.com",HLOOKUP($X292&amp;$Z292,PLANNING_FC!$BB$4:$BP$23,MATCH($W292,PLANNING_FC!$BA$4:$BA$23,0),FALSE),0),0)</f>
        <v>0</v>
      </c>
      <c r="AX292" s="58">
        <f>IFERROR(IF($V292="BRAND.com",HLOOKUP($X292&amp;$Z292,PLANNING_FC!$T$27:$AH$46,MATCH($W292,PLANNING_FC!$B$27:$B$46,0),FALSE),0),0)</f>
        <v>0</v>
      </c>
      <c r="AY292" s="58">
        <f>IFERROR(IF($V292="BRAND.com",HLOOKUP($X292&amp;$Z292,PLANNING_FC!$T$4:$AH$23,MATCH($W292,PLANNING_FC!$B$4:$B$23,0),FALSE),0),0)</f>
        <v>0</v>
      </c>
      <c r="AZ292" s="58">
        <f>IFERROR(IF($V292="BRAND.com",HLOOKUP($X292&amp;$Z292,PLANNING_FC!$DA$27:$DO$46,MATCH($W292,PLANNING_FC!$CZ$27:$CZ$46,0),FALSE),0),0)</f>
        <v>0</v>
      </c>
      <c r="BA292" s="58">
        <f>IFERROR(IF($V292="BRAND.com",HLOOKUP($X292&amp;$Z292,PLANNING_FC!$DA$4:$DO$23,MATCH($W292,PLANNING_FC!$CZ$4:$CZ$23,0),FALSE),0),0)</f>
        <v>0</v>
      </c>
      <c r="BB292" s="883" t="str">
        <f>IF(V292="BRAND.com",IFERROR(HLOOKUP(X292&amp;Z292,PLANNING_FC!$AK$4:$AY$23,MATCH(W292,PLANNING_FC!$AJ$4:$AJ$23,0),FALSE)*1000,""),"")</f>
        <v/>
      </c>
      <c r="BC292" s="883" t="str">
        <f>IF(V292="BRAND.com",IFERROR(HLOOKUP(X292&amp;Z292,PLANNING_FC!$AK$27:$AY$46,MATCH(W292,PLANNING_FC!$AJ$27:$AJ$46,0),FALSE)*1000,""),"")</f>
        <v/>
      </c>
    </row>
    <row r="293" spans="1:55" x14ac:dyDescent="0.25">
      <c r="A293" s="509"/>
      <c r="B293" s="509"/>
      <c r="C293" s="509"/>
      <c r="D293" s="509"/>
      <c r="E293" s="509"/>
      <c r="F293" s="509"/>
      <c r="G293" s="509"/>
      <c r="H293" s="509"/>
      <c r="I293" s="512"/>
      <c r="J293" s="513"/>
      <c r="K293" s="879"/>
      <c r="L293" s="515"/>
      <c r="M293" s="516"/>
      <c r="N293" s="56">
        <f t="shared" si="106"/>
        <v>0</v>
      </c>
      <c r="O293" s="57">
        <f t="shared" si="107"/>
        <v>0</v>
      </c>
      <c r="P293" s="57">
        <f ca="1">IFERROR(IF(ISBLANK(H293),SUMIFS($AC:$AC,$V:$V,V293,$W:$W,W293,$X:$X,X293,$Y:$Y,Y293)*J293/(1-J293)*VLOOKUP(_xlfn.CONCAT(C293,D293,E293,TIME!$M$12,Z293),HIS_SALES!$B$2:$W$4859,20,FALSE),AC293*J293/(1-J293)),0)</f>
        <v>0</v>
      </c>
      <c r="Q293" s="541" t="str">
        <f t="shared" si="108"/>
        <v/>
      </c>
      <c r="R293" s="346" t="str">
        <f t="shared" si="109"/>
        <v>00000</v>
      </c>
      <c r="S293" s="344">
        <f t="shared" si="110"/>
        <v>0</v>
      </c>
      <c r="T293" s="345" t="str">
        <f t="shared" si="123"/>
        <v>000</v>
      </c>
      <c r="U293" s="345">
        <f t="shared" si="111"/>
        <v>0</v>
      </c>
      <c r="V293" s="345">
        <f t="shared" si="112"/>
        <v>0</v>
      </c>
      <c r="W293" s="345">
        <f t="shared" si="113"/>
        <v>0</v>
      </c>
      <c r="X293" s="345">
        <f t="shared" si="114"/>
        <v>0</v>
      </c>
      <c r="Y293" s="345">
        <f t="shared" si="115"/>
        <v>0</v>
      </c>
      <c r="Z293" s="345">
        <f>IF(Q293&lt;&gt;"",VLOOKUP(Y293,TIME!$R$21:$V$24,MATCH(FC_DATA!Q293,TIME!$R$20:$V$20,0),FALSE),H293)</f>
        <v>0</v>
      </c>
      <c r="AA293" s="345" t="str">
        <f>IFERROR(VLOOKUP(X293&amp;Z293,TIME!$A$12:$D$71,4,FALSE),"")</f>
        <v/>
      </c>
      <c r="AB293" s="592">
        <f t="shared" ca="1" si="116"/>
        <v>0</v>
      </c>
      <c r="AC293" s="593" t="e">
        <f ca="1">IF(ISBLANK(H293)=FALSE,IF(D293="BRAND.com",I293,IF(ISNA(VLOOKUP(_xlfn.CONCAT(X293,Z293),TIME!$M$40:$M$42,1,FALSE)),I293,VLOOKUP(_xlfn.CONCAT(D293,G293,H293),M_BUSAREA_FC!$AF$5:$AJ$10,5,FALSE)*HLOOKUP(_xlfn.CONCAT(F293,H293),ST_OVERVIEW!$G$99:$I$130,MATCH(_xlfn.CONCAT(D293,E293),ST_OVERVIEW!$F$99:$F$130,0),FALSE))),IF(D293="BRAND.com",VLOOKUP(_xlfn.CONCAT(C293,D293,E293,TIME!$F$1,Z293),HIS_SALES!$B$2:$V$4859,19,FALSE)*I293,VLOOKUP(_xlfn.CONCAT(D293,F293,G293),Q_BUSAREA_FC!$AE$5:$AI$12,5,FALSE)*HLOOKUP(_xlfn.CONCAT(FC_DATA!F293,FC_DATA!G293),LT_OVERVIEW!$I$99:$M$130,MATCH(_xlfn.CONCAT(D293,FC_DATA!E293),LT_OVERVIEW!$H$99:$H$130,0),FALSE)*IFERROR(VLOOKUP(_xlfn.CONCAT(C293,D293,E293,TIME!$F$1,Z293),HIS_SALES!$B$2:$V$4859,19,FALSE),0)))</f>
        <v>#N/A</v>
      </c>
      <c r="AD293" s="341">
        <f t="shared" ca="1" si="117"/>
        <v>0</v>
      </c>
      <c r="AE293" s="363" t="str">
        <f t="shared" si="118"/>
        <v/>
      </c>
      <c r="AF293" s="342" t="str">
        <f t="shared" si="119"/>
        <v/>
      </c>
      <c r="AG293" s="411" t="e">
        <f ca="1">VLOOKUP(_xlfn.CONCAT(U293,V293,W293,VLOOKUP(X293&amp;Y293,TIME!$L$27:$O$34,4,FALSE),Y293),HIS_SALES!$A$2:$R$5093,18,FALSE)</f>
        <v>#N/A</v>
      </c>
      <c r="AH293" s="412" t="e">
        <f ca="1">IFERROR(IF(AND(V293=V292,W293=W292),0.5*(AB293+AB292)*AG293,(VLOOKUP(_xlfn.CONCAT(U293,V293,W293,X293,VLOOKUP(Z293,TIME!$S$28:$T$39,2,FALSE)),FC_DATA!$R$2:$AB$5000,MATCH("GS_I_M",FC_DATA!$R$1:$AB$1,0),FALSE)+FC_DATA!AB293)*0.5*FC_DATA!AG293),NA())</f>
        <v>#N/A</v>
      </c>
      <c r="AI293" s="491" t="e">
        <f ca="1">IF(V293="PARTNER.com",AH293,IF(AND(V293=V292,W293=W292),(1-AVERAGE(AD292,AD293))*AH293,(1-AVERAGE(AD293,VLOOKUP(_xlfn.CONCAT(U293,V293,W293,X293,M_BRAND_FC!$F$6),FC_DATA!$R$2:$AD$5000,MATCH("DISCOUNT_%_M",FC_DATA!$R$1:$AD$1,0),FALSE)))*AH293))</f>
        <v>#N/A</v>
      </c>
      <c r="AJ293" s="412" t="str">
        <f t="shared" ca="1" si="120"/>
        <v/>
      </c>
      <c r="AK293" s="413" t="str">
        <f>IFERROR(AE293/(Q_BRAND_FC!$T$24+1),"")</f>
        <v/>
      </c>
      <c r="AL293" s="88" t="str">
        <f t="shared" ca="1" si="121"/>
        <v/>
      </c>
      <c r="AM293" s="414" t="str">
        <f t="shared" ca="1" si="122"/>
        <v/>
      </c>
      <c r="AN293" s="58">
        <f>IFERROR(IF($V293="BRAND.com",HLOOKUP($X293&amp;$Z293,NWC_FC_NOOS!$C$4:$Q$23,MATCH(W293,NWC_FC_NOOS!$B$4:$B$23,0),FALSE),0),0)</f>
        <v>0</v>
      </c>
      <c r="AO293" s="57">
        <f>IFERROR(IF($V293="BRAND.com",HLOOKUP($X293&amp;$Z293,NWC_FC_NOOS!$T$4:$AH$23,MATCH(W293,NWC_FC_NOOS!$S$4:$S$23,0),FALSE),0),0)</f>
        <v>0</v>
      </c>
      <c r="AP293" s="57">
        <f>IFERROR(IF($V293="BRAND.com",HLOOKUP($X293&amp;$Z293,NWC_FC_NOOS!$C$50:$U$69,MATCH(W293,NWC_FC_NOOS!$B$50:$B$69,0),FALSE),0),0)</f>
        <v>0</v>
      </c>
      <c r="AQ293" s="58">
        <f>IFERROR(IF($V293="BRAND.com",HLOOKUP($X293&amp;$Z293,'NWC_FC_NON-NOOS'!$C$4:$Q$23,MATCH(W293,'NWC_FC_NON-NOOS'!$B$4:$B$23,0),FALSE),0),0)</f>
        <v>0</v>
      </c>
      <c r="AR293" s="57">
        <f>IFERROR(IF($V293="BRAND.com",HLOOKUP($X293&amp;$Z293,'NWC_FC_NON-NOOS'!$T$4:$AH$23,MATCH(W293,'NWC_FC_NON-NOOS'!$S$4:$S$23,0),FALSE),0),0)</f>
        <v>0</v>
      </c>
      <c r="AS293" s="57">
        <f>IFERROR(IF($V293="BRAND.com",HLOOKUP($X293&amp;$Z293,'NWC_FC_NON-NOOS'!$C$50:$U$69,MATCH(W293,'NWC_FC_NON-NOOS'!$B$50:$B$69,0),FALSE),0),0)</f>
        <v>0</v>
      </c>
      <c r="AT293" s="57">
        <f t="shared" si="124"/>
        <v>0</v>
      </c>
      <c r="AU293" s="57">
        <f t="shared" si="125"/>
        <v>0</v>
      </c>
      <c r="AV293" s="58">
        <f>IFERROR(IF($V293="BRAND.com",HLOOKUP($X293&amp;$Z293,PLANNING_FC!$BB$27:$BP$46,MATCH($W293,PLANNING_FC!$BA$27:$BA$46,0),FALSE),0),0)</f>
        <v>0</v>
      </c>
      <c r="AW293" s="58">
        <f>IFERROR(IF($V293="BRAND.com",HLOOKUP($X293&amp;$Z293,PLANNING_FC!$BB$4:$BP$23,MATCH($W293,PLANNING_FC!$BA$4:$BA$23,0),FALSE),0),0)</f>
        <v>0</v>
      </c>
      <c r="AX293" s="58">
        <f>IFERROR(IF($V293="BRAND.com",HLOOKUP($X293&amp;$Z293,PLANNING_FC!$T$27:$AH$46,MATCH($W293,PLANNING_FC!$B$27:$B$46,0),FALSE),0),0)</f>
        <v>0</v>
      </c>
      <c r="AY293" s="58">
        <f>IFERROR(IF($V293="BRAND.com",HLOOKUP($X293&amp;$Z293,PLANNING_FC!$T$4:$AH$23,MATCH($W293,PLANNING_FC!$B$4:$B$23,0),FALSE),0),0)</f>
        <v>0</v>
      </c>
      <c r="AZ293" s="58">
        <f>IFERROR(IF($V293="BRAND.com",HLOOKUP($X293&amp;$Z293,PLANNING_FC!$DA$27:$DO$46,MATCH($W293,PLANNING_FC!$CZ$27:$CZ$46,0),FALSE),0),0)</f>
        <v>0</v>
      </c>
      <c r="BA293" s="58">
        <f>IFERROR(IF($V293="BRAND.com",HLOOKUP($X293&amp;$Z293,PLANNING_FC!$DA$4:$DO$23,MATCH($W293,PLANNING_FC!$CZ$4:$CZ$23,0),FALSE),0),0)</f>
        <v>0</v>
      </c>
      <c r="BB293" s="883" t="str">
        <f>IF(V293="BRAND.com",IFERROR(HLOOKUP(X293&amp;Z293,PLANNING_FC!$AK$4:$AY$23,MATCH(W293,PLANNING_FC!$AJ$4:$AJ$23,0),FALSE)*1000,""),"")</f>
        <v/>
      </c>
      <c r="BC293" s="883" t="str">
        <f>IF(V293="BRAND.com",IFERROR(HLOOKUP(X293&amp;Z293,PLANNING_FC!$AK$27:$AY$46,MATCH(W293,PLANNING_FC!$AJ$27:$AJ$46,0),FALSE)*1000,""),"")</f>
        <v/>
      </c>
    </row>
    <row r="294" spans="1:55" x14ac:dyDescent="0.25">
      <c r="A294" s="509"/>
      <c r="B294" s="509"/>
      <c r="C294" s="509"/>
      <c r="D294" s="509"/>
      <c r="E294" s="509"/>
      <c r="F294" s="509"/>
      <c r="G294" s="509"/>
      <c r="H294" s="509"/>
      <c r="I294" s="512"/>
      <c r="J294" s="513"/>
      <c r="K294" s="879"/>
      <c r="L294" s="515"/>
      <c r="M294" s="516"/>
      <c r="N294" s="56">
        <f t="shared" si="106"/>
        <v>0</v>
      </c>
      <c r="O294" s="57">
        <f t="shared" si="107"/>
        <v>0</v>
      </c>
      <c r="P294" s="57">
        <f ca="1">IFERROR(IF(ISBLANK(H294),SUMIFS($AC:$AC,$V:$V,V294,$W:$W,W294,$X:$X,X294,$Y:$Y,Y294)*J294/(1-J294)*VLOOKUP(_xlfn.CONCAT(C294,D294,E294,TIME!$M$12,Z294),HIS_SALES!$B$2:$W$4859,20,FALSE),AC294*J294/(1-J294)),0)</f>
        <v>0</v>
      </c>
      <c r="Q294" s="541" t="str">
        <f t="shared" si="108"/>
        <v/>
      </c>
      <c r="R294" s="346" t="str">
        <f t="shared" si="109"/>
        <v>00000</v>
      </c>
      <c r="S294" s="344">
        <f t="shared" si="110"/>
        <v>0</v>
      </c>
      <c r="T294" s="345" t="str">
        <f t="shared" si="123"/>
        <v>000</v>
      </c>
      <c r="U294" s="345">
        <f t="shared" si="111"/>
        <v>0</v>
      </c>
      <c r="V294" s="345">
        <f t="shared" si="112"/>
        <v>0</v>
      </c>
      <c r="W294" s="345">
        <f t="shared" si="113"/>
        <v>0</v>
      </c>
      <c r="X294" s="345">
        <f t="shared" si="114"/>
        <v>0</v>
      </c>
      <c r="Y294" s="345">
        <f t="shared" si="115"/>
        <v>0</v>
      </c>
      <c r="Z294" s="345">
        <f>IF(Q294&lt;&gt;"",VLOOKUP(Y294,TIME!$R$21:$V$24,MATCH(FC_DATA!Q294,TIME!$R$20:$V$20,0),FALSE),H294)</f>
        <v>0</v>
      </c>
      <c r="AA294" s="345" t="str">
        <f>IFERROR(VLOOKUP(X294&amp;Z294,TIME!$A$12:$D$71,4,FALSE),"")</f>
        <v/>
      </c>
      <c r="AB294" s="592">
        <f t="shared" ca="1" si="116"/>
        <v>0</v>
      </c>
      <c r="AC294" s="593" t="e">
        <f ca="1">IF(ISBLANK(H294)=FALSE,IF(D294="BRAND.com",I294,IF(ISNA(VLOOKUP(_xlfn.CONCAT(X294,Z294),TIME!$M$40:$M$42,1,FALSE)),I294,VLOOKUP(_xlfn.CONCAT(D294,G294,H294),M_BUSAREA_FC!$AF$5:$AJ$10,5,FALSE)*HLOOKUP(_xlfn.CONCAT(F294,H294),ST_OVERVIEW!$G$99:$I$130,MATCH(_xlfn.CONCAT(D294,E294),ST_OVERVIEW!$F$99:$F$130,0),FALSE))),IF(D294="BRAND.com",VLOOKUP(_xlfn.CONCAT(C294,D294,E294,TIME!$F$1,Z294),HIS_SALES!$B$2:$V$4859,19,FALSE)*I294,VLOOKUP(_xlfn.CONCAT(D294,F294,G294),Q_BUSAREA_FC!$AE$5:$AI$12,5,FALSE)*HLOOKUP(_xlfn.CONCAT(FC_DATA!F294,FC_DATA!G294),LT_OVERVIEW!$I$99:$M$130,MATCH(_xlfn.CONCAT(D294,FC_DATA!E294),LT_OVERVIEW!$H$99:$H$130,0),FALSE)*IFERROR(VLOOKUP(_xlfn.CONCAT(C294,D294,E294,TIME!$F$1,Z294),HIS_SALES!$B$2:$V$4859,19,FALSE),0)))</f>
        <v>#N/A</v>
      </c>
      <c r="AD294" s="341">
        <f t="shared" ca="1" si="117"/>
        <v>0</v>
      </c>
      <c r="AE294" s="363" t="str">
        <f t="shared" si="118"/>
        <v/>
      </c>
      <c r="AF294" s="342" t="str">
        <f t="shared" si="119"/>
        <v/>
      </c>
      <c r="AG294" s="411" t="e">
        <f ca="1">VLOOKUP(_xlfn.CONCAT(U294,V294,W294,VLOOKUP(X294&amp;Y294,TIME!$L$27:$O$34,4,FALSE),Y294),HIS_SALES!$A$2:$R$5093,18,FALSE)</f>
        <v>#N/A</v>
      </c>
      <c r="AH294" s="412" t="e">
        <f ca="1">IFERROR(IF(AND(V294=V293,W294=W293),0.5*(AB294+AB293)*AG294,(VLOOKUP(_xlfn.CONCAT(U294,V294,W294,X294,VLOOKUP(Z294,TIME!$S$28:$T$39,2,FALSE)),FC_DATA!$R$2:$AB$5000,MATCH("GS_I_M",FC_DATA!$R$1:$AB$1,0),FALSE)+FC_DATA!AB294)*0.5*FC_DATA!AG294),NA())</f>
        <v>#N/A</v>
      </c>
      <c r="AI294" s="491" t="e">
        <f ca="1">IF(V294="PARTNER.com",AH294,IF(AND(V294=V293,W294=W293),(1-AVERAGE(AD293,AD294))*AH294,(1-AVERAGE(AD294,VLOOKUP(_xlfn.CONCAT(U294,V294,W294,X294,M_BRAND_FC!$F$6),FC_DATA!$R$2:$AD$5000,MATCH("DISCOUNT_%_M",FC_DATA!$R$1:$AD$1,0),FALSE)))*AH294))</f>
        <v>#N/A</v>
      </c>
      <c r="AJ294" s="412" t="str">
        <f t="shared" ca="1" si="120"/>
        <v/>
      </c>
      <c r="AK294" s="413" t="str">
        <f>IFERROR(AE294/(Q_BRAND_FC!$T$24+1),"")</f>
        <v/>
      </c>
      <c r="AL294" s="88" t="str">
        <f t="shared" ca="1" si="121"/>
        <v/>
      </c>
      <c r="AM294" s="414" t="str">
        <f t="shared" ca="1" si="122"/>
        <v/>
      </c>
      <c r="AN294" s="58">
        <f>IFERROR(IF($V294="BRAND.com",HLOOKUP($X294&amp;$Z294,NWC_FC_NOOS!$C$4:$Q$23,MATCH(W294,NWC_FC_NOOS!$B$4:$B$23,0),FALSE),0),0)</f>
        <v>0</v>
      </c>
      <c r="AO294" s="57">
        <f>IFERROR(IF($V294="BRAND.com",HLOOKUP($X294&amp;$Z294,NWC_FC_NOOS!$T$4:$AH$23,MATCH(W294,NWC_FC_NOOS!$S$4:$S$23,0),FALSE),0),0)</f>
        <v>0</v>
      </c>
      <c r="AP294" s="57">
        <f>IFERROR(IF($V294="BRAND.com",HLOOKUP($X294&amp;$Z294,NWC_FC_NOOS!$C$50:$U$69,MATCH(W294,NWC_FC_NOOS!$B$50:$B$69,0),FALSE),0),0)</f>
        <v>0</v>
      </c>
      <c r="AQ294" s="58">
        <f>IFERROR(IF($V294="BRAND.com",HLOOKUP($X294&amp;$Z294,'NWC_FC_NON-NOOS'!$C$4:$Q$23,MATCH(W294,'NWC_FC_NON-NOOS'!$B$4:$B$23,0),FALSE),0),0)</f>
        <v>0</v>
      </c>
      <c r="AR294" s="57">
        <f>IFERROR(IF($V294="BRAND.com",HLOOKUP($X294&amp;$Z294,'NWC_FC_NON-NOOS'!$T$4:$AH$23,MATCH(W294,'NWC_FC_NON-NOOS'!$S$4:$S$23,0),FALSE),0),0)</f>
        <v>0</v>
      </c>
      <c r="AS294" s="57">
        <f>IFERROR(IF($V294="BRAND.com",HLOOKUP($X294&amp;$Z294,'NWC_FC_NON-NOOS'!$C$50:$U$69,MATCH(W294,'NWC_FC_NON-NOOS'!$B$50:$B$69,0),FALSE),0),0)</f>
        <v>0</v>
      </c>
      <c r="AT294" s="57">
        <f t="shared" si="124"/>
        <v>0</v>
      </c>
      <c r="AU294" s="57">
        <f t="shared" si="125"/>
        <v>0</v>
      </c>
      <c r="AV294" s="58">
        <f>IFERROR(IF($V294="BRAND.com",HLOOKUP($X294&amp;$Z294,PLANNING_FC!$BB$27:$BP$46,MATCH($W294,PLANNING_FC!$BA$27:$BA$46,0),FALSE),0),0)</f>
        <v>0</v>
      </c>
      <c r="AW294" s="58">
        <f>IFERROR(IF($V294="BRAND.com",HLOOKUP($X294&amp;$Z294,PLANNING_FC!$BB$4:$BP$23,MATCH($W294,PLANNING_FC!$BA$4:$BA$23,0),FALSE),0),0)</f>
        <v>0</v>
      </c>
      <c r="AX294" s="58">
        <f>IFERROR(IF($V294="BRAND.com",HLOOKUP($X294&amp;$Z294,PLANNING_FC!$T$27:$AH$46,MATCH($W294,PLANNING_FC!$B$27:$B$46,0),FALSE),0),0)</f>
        <v>0</v>
      </c>
      <c r="AY294" s="58">
        <f>IFERROR(IF($V294="BRAND.com",HLOOKUP($X294&amp;$Z294,PLANNING_FC!$T$4:$AH$23,MATCH($W294,PLANNING_FC!$B$4:$B$23,0),FALSE),0),0)</f>
        <v>0</v>
      </c>
      <c r="AZ294" s="58">
        <f>IFERROR(IF($V294="BRAND.com",HLOOKUP($X294&amp;$Z294,PLANNING_FC!$DA$27:$DO$46,MATCH($W294,PLANNING_FC!$CZ$27:$CZ$46,0),FALSE),0),0)</f>
        <v>0</v>
      </c>
      <c r="BA294" s="58">
        <f>IFERROR(IF($V294="BRAND.com",HLOOKUP($X294&amp;$Z294,PLANNING_FC!$DA$4:$DO$23,MATCH($W294,PLANNING_FC!$CZ$4:$CZ$23,0),FALSE),0),0)</f>
        <v>0</v>
      </c>
      <c r="BB294" s="883" t="str">
        <f>IF(V294="BRAND.com",IFERROR(HLOOKUP(X294&amp;Z294,PLANNING_FC!$AK$4:$AY$23,MATCH(W294,PLANNING_FC!$AJ$4:$AJ$23,0),FALSE)*1000,""),"")</f>
        <v/>
      </c>
      <c r="BC294" s="883" t="str">
        <f>IF(V294="BRAND.com",IFERROR(HLOOKUP(X294&amp;Z294,PLANNING_FC!$AK$27:$AY$46,MATCH(W294,PLANNING_FC!$AJ$27:$AJ$46,0),FALSE)*1000,""),"")</f>
        <v/>
      </c>
    </row>
    <row r="295" spans="1:55" x14ac:dyDescent="0.25">
      <c r="A295" s="509"/>
      <c r="B295" s="509"/>
      <c r="C295" s="509"/>
      <c r="D295" s="509"/>
      <c r="E295" s="509"/>
      <c r="F295" s="509"/>
      <c r="G295" s="509"/>
      <c r="H295" s="509"/>
      <c r="I295" s="512"/>
      <c r="J295" s="513"/>
      <c r="K295" s="879"/>
      <c r="L295" s="515"/>
      <c r="M295" s="516"/>
      <c r="N295" s="56">
        <f t="shared" si="106"/>
        <v>0</v>
      </c>
      <c r="O295" s="57">
        <f t="shared" si="107"/>
        <v>0</v>
      </c>
      <c r="P295" s="57">
        <f ca="1">IFERROR(IF(ISBLANK(H295),SUMIFS($AC:$AC,$V:$V,V295,$W:$W,W295,$X:$X,X295,$Y:$Y,Y295)*J295/(1-J295)*VLOOKUP(_xlfn.CONCAT(C295,D295,E295,TIME!$M$12,Z295),HIS_SALES!$B$2:$W$4859,20,FALSE),AC295*J295/(1-J295)),0)</f>
        <v>0</v>
      </c>
      <c r="Q295" s="541" t="str">
        <f t="shared" si="108"/>
        <v/>
      </c>
      <c r="R295" s="346" t="str">
        <f t="shared" si="109"/>
        <v>00000</v>
      </c>
      <c r="S295" s="344">
        <f t="shared" si="110"/>
        <v>0</v>
      </c>
      <c r="T295" s="345" t="str">
        <f t="shared" si="123"/>
        <v>000</v>
      </c>
      <c r="U295" s="345">
        <f t="shared" si="111"/>
        <v>0</v>
      </c>
      <c r="V295" s="345">
        <f t="shared" si="112"/>
        <v>0</v>
      </c>
      <c r="W295" s="345">
        <f t="shared" si="113"/>
        <v>0</v>
      </c>
      <c r="X295" s="345">
        <f t="shared" si="114"/>
        <v>0</v>
      </c>
      <c r="Y295" s="345">
        <f t="shared" si="115"/>
        <v>0</v>
      </c>
      <c r="Z295" s="345">
        <f>IF(Q295&lt;&gt;"",VLOOKUP(Y295,TIME!$R$21:$V$24,MATCH(FC_DATA!Q295,TIME!$R$20:$V$20,0),FALSE),H295)</f>
        <v>0</v>
      </c>
      <c r="AA295" s="345" t="str">
        <f>IFERROR(VLOOKUP(X295&amp;Z295,TIME!$A$12:$D$71,4,FALSE),"")</f>
        <v/>
      </c>
      <c r="AB295" s="592">
        <f t="shared" ca="1" si="116"/>
        <v>0</v>
      </c>
      <c r="AC295" s="593" t="e">
        <f ca="1">IF(ISBLANK(H295)=FALSE,IF(D295="BRAND.com",I295,IF(ISNA(VLOOKUP(_xlfn.CONCAT(X295,Z295),TIME!$M$40:$M$42,1,FALSE)),I295,VLOOKUP(_xlfn.CONCAT(D295,G295,H295),M_BUSAREA_FC!$AF$5:$AJ$10,5,FALSE)*HLOOKUP(_xlfn.CONCAT(F295,H295),ST_OVERVIEW!$G$99:$I$130,MATCH(_xlfn.CONCAT(D295,E295),ST_OVERVIEW!$F$99:$F$130,0),FALSE))),IF(D295="BRAND.com",VLOOKUP(_xlfn.CONCAT(C295,D295,E295,TIME!$F$1,Z295),HIS_SALES!$B$2:$V$4859,19,FALSE)*I295,VLOOKUP(_xlfn.CONCAT(D295,F295,G295),Q_BUSAREA_FC!$AE$5:$AI$12,5,FALSE)*HLOOKUP(_xlfn.CONCAT(FC_DATA!F295,FC_DATA!G295),LT_OVERVIEW!$I$99:$M$130,MATCH(_xlfn.CONCAT(D295,FC_DATA!E295),LT_OVERVIEW!$H$99:$H$130,0),FALSE)*IFERROR(VLOOKUP(_xlfn.CONCAT(C295,D295,E295,TIME!$F$1,Z295),HIS_SALES!$B$2:$V$4859,19,FALSE),0)))</f>
        <v>#N/A</v>
      </c>
      <c r="AD295" s="341">
        <f t="shared" ca="1" si="117"/>
        <v>0</v>
      </c>
      <c r="AE295" s="363" t="str">
        <f t="shared" si="118"/>
        <v/>
      </c>
      <c r="AF295" s="342" t="str">
        <f t="shared" si="119"/>
        <v/>
      </c>
      <c r="AG295" s="411" t="e">
        <f ca="1">VLOOKUP(_xlfn.CONCAT(U295,V295,W295,VLOOKUP(X295&amp;Y295,TIME!$L$27:$O$34,4,FALSE),Y295),HIS_SALES!$A$2:$R$5093,18,FALSE)</f>
        <v>#N/A</v>
      </c>
      <c r="AH295" s="412" t="e">
        <f ca="1">IFERROR(IF(AND(V295=V294,W295=W294),0.5*(AB295+AB294)*AG295,(VLOOKUP(_xlfn.CONCAT(U295,V295,W295,X295,VLOOKUP(Z295,TIME!$S$28:$T$39,2,FALSE)),FC_DATA!$R$2:$AB$5000,MATCH("GS_I_M",FC_DATA!$R$1:$AB$1,0),FALSE)+FC_DATA!AB295)*0.5*FC_DATA!AG295),NA())</f>
        <v>#N/A</v>
      </c>
      <c r="AI295" s="491" t="e">
        <f ca="1">IF(V295="PARTNER.com",AH295,IF(AND(V295=V294,W295=W294),(1-AVERAGE(AD294,AD295))*AH295,(1-AVERAGE(AD295,VLOOKUP(_xlfn.CONCAT(U295,V295,W295,X295,M_BRAND_FC!$F$6),FC_DATA!$R$2:$AD$5000,MATCH("DISCOUNT_%_M",FC_DATA!$R$1:$AD$1,0),FALSE)))*AH295))</f>
        <v>#N/A</v>
      </c>
      <c r="AJ295" s="412" t="str">
        <f t="shared" ca="1" si="120"/>
        <v/>
      </c>
      <c r="AK295" s="413" t="str">
        <f>IFERROR(AE295/(Q_BRAND_FC!$T$24+1),"")</f>
        <v/>
      </c>
      <c r="AL295" s="88" t="str">
        <f t="shared" ca="1" si="121"/>
        <v/>
      </c>
      <c r="AM295" s="414" t="str">
        <f t="shared" ca="1" si="122"/>
        <v/>
      </c>
      <c r="AN295" s="58">
        <f>IFERROR(IF($V295="BRAND.com",HLOOKUP($X295&amp;$Z295,NWC_FC_NOOS!$C$4:$Q$23,MATCH(W295,NWC_FC_NOOS!$B$4:$B$23,0),FALSE),0),0)</f>
        <v>0</v>
      </c>
      <c r="AO295" s="57">
        <f>IFERROR(IF($V295="BRAND.com",HLOOKUP($X295&amp;$Z295,NWC_FC_NOOS!$T$4:$AH$23,MATCH(W295,NWC_FC_NOOS!$S$4:$S$23,0),FALSE),0),0)</f>
        <v>0</v>
      </c>
      <c r="AP295" s="57">
        <f>IFERROR(IF($V295="BRAND.com",HLOOKUP($X295&amp;$Z295,NWC_FC_NOOS!$C$50:$U$69,MATCH(W295,NWC_FC_NOOS!$B$50:$B$69,0),FALSE),0),0)</f>
        <v>0</v>
      </c>
      <c r="AQ295" s="58">
        <f>IFERROR(IF($V295="BRAND.com",HLOOKUP($X295&amp;$Z295,'NWC_FC_NON-NOOS'!$C$4:$Q$23,MATCH(W295,'NWC_FC_NON-NOOS'!$B$4:$B$23,0),FALSE),0),0)</f>
        <v>0</v>
      </c>
      <c r="AR295" s="57">
        <f>IFERROR(IF($V295="BRAND.com",HLOOKUP($X295&amp;$Z295,'NWC_FC_NON-NOOS'!$T$4:$AH$23,MATCH(W295,'NWC_FC_NON-NOOS'!$S$4:$S$23,0),FALSE),0),0)</f>
        <v>0</v>
      </c>
      <c r="AS295" s="57">
        <f>IFERROR(IF($V295="BRAND.com",HLOOKUP($X295&amp;$Z295,'NWC_FC_NON-NOOS'!$C$50:$U$69,MATCH(W295,'NWC_FC_NON-NOOS'!$B$50:$B$69,0),FALSE),0),0)</f>
        <v>0</v>
      </c>
      <c r="AT295" s="57">
        <f t="shared" si="124"/>
        <v>0</v>
      </c>
      <c r="AU295" s="57">
        <f t="shared" si="125"/>
        <v>0</v>
      </c>
      <c r="AV295" s="58">
        <f>IFERROR(IF($V295="BRAND.com",HLOOKUP($X295&amp;$Z295,PLANNING_FC!$BB$27:$BP$46,MATCH($W295,PLANNING_FC!$BA$27:$BA$46,0),FALSE),0),0)</f>
        <v>0</v>
      </c>
      <c r="AW295" s="58">
        <f>IFERROR(IF($V295="BRAND.com",HLOOKUP($X295&amp;$Z295,PLANNING_FC!$BB$4:$BP$23,MATCH($W295,PLANNING_FC!$BA$4:$BA$23,0),FALSE),0),0)</f>
        <v>0</v>
      </c>
      <c r="AX295" s="58">
        <f>IFERROR(IF($V295="BRAND.com",HLOOKUP($X295&amp;$Z295,PLANNING_FC!$T$27:$AH$46,MATCH($W295,PLANNING_FC!$B$27:$B$46,0),FALSE),0),0)</f>
        <v>0</v>
      </c>
      <c r="AY295" s="58">
        <f>IFERROR(IF($V295="BRAND.com",HLOOKUP($X295&amp;$Z295,PLANNING_FC!$T$4:$AH$23,MATCH($W295,PLANNING_FC!$B$4:$B$23,0),FALSE),0),0)</f>
        <v>0</v>
      </c>
      <c r="AZ295" s="58">
        <f>IFERROR(IF($V295="BRAND.com",HLOOKUP($X295&amp;$Z295,PLANNING_FC!$DA$27:$DO$46,MATCH($W295,PLANNING_FC!$CZ$27:$CZ$46,0),FALSE),0),0)</f>
        <v>0</v>
      </c>
      <c r="BA295" s="58">
        <f>IFERROR(IF($V295="BRAND.com",HLOOKUP($X295&amp;$Z295,PLANNING_FC!$DA$4:$DO$23,MATCH($W295,PLANNING_FC!$CZ$4:$CZ$23,0),FALSE),0),0)</f>
        <v>0</v>
      </c>
      <c r="BB295" s="883" t="str">
        <f>IF(V295="BRAND.com",IFERROR(HLOOKUP(X295&amp;Z295,PLANNING_FC!$AK$4:$AY$23,MATCH(W295,PLANNING_FC!$AJ$4:$AJ$23,0),FALSE)*1000,""),"")</f>
        <v/>
      </c>
      <c r="BC295" s="883" t="str">
        <f>IF(V295="BRAND.com",IFERROR(HLOOKUP(X295&amp;Z295,PLANNING_FC!$AK$27:$AY$46,MATCH(W295,PLANNING_FC!$AJ$27:$AJ$46,0),FALSE)*1000,""),"")</f>
        <v/>
      </c>
    </row>
    <row r="296" spans="1:55" x14ac:dyDescent="0.25">
      <c r="A296" s="509"/>
      <c r="B296" s="509"/>
      <c r="C296" s="509"/>
      <c r="D296" s="509"/>
      <c r="E296" s="509"/>
      <c r="F296" s="509"/>
      <c r="G296" s="509"/>
      <c r="H296" s="509"/>
      <c r="I296" s="512"/>
      <c r="J296" s="513"/>
      <c r="K296" s="879"/>
      <c r="L296" s="515"/>
      <c r="M296" s="516"/>
      <c r="N296" s="56">
        <f t="shared" si="106"/>
        <v>0</v>
      </c>
      <c r="O296" s="57">
        <f t="shared" si="107"/>
        <v>0</v>
      </c>
      <c r="P296" s="57">
        <f ca="1">IFERROR(IF(ISBLANK(H296),SUMIFS($AC:$AC,$V:$V,V296,$W:$W,W296,$X:$X,X296,$Y:$Y,Y296)*J296/(1-J296)*VLOOKUP(_xlfn.CONCAT(C296,D296,E296,TIME!$M$12,Z296),HIS_SALES!$B$2:$W$4859,20,FALSE),AC296*J296/(1-J296)),0)</f>
        <v>0</v>
      </c>
      <c r="Q296" s="541" t="str">
        <f t="shared" si="108"/>
        <v/>
      </c>
      <c r="R296" s="346" t="str">
        <f t="shared" si="109"/>
        <v>00000</v>
      </c>
      <c r="S296" s="344">
        <f t="shared" si="110"/>
        <v>0</v>
      </c>
      <c r="T296" s="345" t="str">
        <f t="shared" si="123"/>
        <v>000</v>
      </c>
      <c r="U296" s="345">
        <f t="shared" si="111"/>
        <v>0</v>
      </c>
      <c r="V296" s="345">
        <f t="shared" si="112"/>
        <v>0</v>
      </c>
      <c r="W296" s="345">
        <f t="shared" si="113"/>
        <v>0</v>
      </c>
      <c r="X296" s="345">
        <f t="shared" si="114"/>
        <v>0</v>
      </c>
      <c r="Y296" s="345">
        <f t="shared" si="115"/>
        <v>0</v>
      </c>
      <c r="Z296" s="345">
        <f>IF(Q296&lt;&gt;"",VLOOKUP(Y296,TIME!$R$21:$V$24,MATCH(FC_DATA!Q296,TIME!$R$20:$V$20,0),FALSE),H296)</f>
        <v>0</v>
      </c>
      <c r="AA296" s="345" t="str">
        <f>IFERROR(VLOOKUP(X296&amp;Z296,TIME!$A$12:$D$71,4,FALSE),"")</f>
        <v/>
      </c>
      <c r="AB296" s="592">
        <f t="shared" ca="1" si="116"/>
        <v>0</v>
      </c>
      <c r="AC296" s="593" t="e">
        <f ca="1">IF(ISBLANK(H296)=FALSE,IF(D296="BRAND.com",I296,IF(ISNA(VLOOKUP(_xlfn.CONCAT(X296,Z296),TIME!$M$40:$M$42,1,FALSE)),I296,VLOOKUP(_xlfn.CONCAT(D296,G296,H296),M_BUSAREA_FC!$AF$5:$AJ$10,5,FALSE)*HLOOKUP(_xlfn.CONCAT(F296,H296),ST_OVERVIEW!$G$99:$I$130,MATCH(_xlfn.CONCAT(D296,E296),ST_OVERVIEW!$F$99:$F$130,0),FALSE))),IF(D296="BRAND.com",VLOOKUP(_xlfn.CONCAT(C296,D296,E296,TIME!$F$1,Z296),HIS_SALES!$B$2:$V$4859,19,FALSE)*I296,VLOOKUP(_xlfn.CONCAT(D296,F296,G296),Q_BUSAREA_FC!$AE$5:$AI$12,5,FALSE)*HLOOKUP(_xlfn.CONCAT(FC_DATA!F296,FC_DATA!G296),LT_OVERVIEW!$I$99:$M$130,MATCH(_xlfn.CONCAT(D296,FC_DATA!E296),LT_OVERVIEW!$H$99:$H$130,0),FALSE)*IFERROR(VLOOKUP(_xlfn.CONCAT(C296,D296,E296,TIME!$F$1,Z296),HIS_SALES!$B$2:$V$4859,19,FALSE),0)))</f>
        <v>#N/A</v>
      </c>
      <c r="AD296" s="341">
        <f t="shared" ca="1" si="117"/>
        <v>0</v>
      </c>
      <c r="AE296" s="363" t="str">
        <f t="shared" si="118"/>
        <v/>
      </c>
      <c r="AF296" s="342" t="str">
        <f t="shared" si="119"/>
        <v/>
      </c>
      <c r="AG296" s="411" t="e">
        <f ca="1">VLOOKUP(_xlfn.CONCAT(U296,V296,W296,VLOOKUP(X296&amp;Y296,TIME!$L$27:$O$34,4,FALSE),Y296),HIS_SALES!$A$2:$R$5093,18,FALSE)</f>
        <v>#N/A</v>
      </c>
      <c r="AH296" s="412" t="e">
        <f ca="1">IFERROR(IF(AND(V296=V295,W296=W295),0.5*(AB296+AB295)*AG296,(VLOOKUP(_xlfn.CONCAT(U296,V296,W296,X296,VLOOKUP(Z296,TIME!$S$28:$T$39,2,FALSE)),FC_DATA!$R$2:$AB$5000,MATCH("GS_I_M",FC_DATA!$R$1:$AB$1,0),FALSE)+FC_DATA!AB296)*0.5*FC_DATA!AG296),NA())</f>
        <v>#N/A</v>
      </c>
      <c r="AI296" s="491" t="e">
        <f ca="1">IF(V296="PARTNER.com",AH296,IF(AND(V296=V295,W296=W295),(1-AVERAGE(AD295,AD296))*AH296,(1-AVERAGE(AD296,VLOOKUP(_xlfn.CONCAT(U296,V296,W296,X296,M_BRAND_FC!$F$6),FC_DATA!$R$2:$AD$5000,MATCH("DISCOUNT_%_M",FC_DATA!$R$1:$AD$1,0),FALSE)))*AH296))</f>
        <v>#N/A</v>
      </c>
      <c r="AJ296" s="412" t="str">
        <f t="shared" ca="1" si="120"/>
        <v/>
      </c>
      <c r="AK296" s="413" t="str">
        <f>IFERROR(AE296/(Q_BRAND_FC!$T$24+1),"")</f>
        <v/>
      </c>
      <c r="AL296" s="88" t="str">
        <f t="shared" ca="1" si="121"/>
        <v/>
      </c>
      <c r="AM296" s="414" t="str">
        <f t="shared" ca="1" si="122"/>
        <v/>
      </c>
      <c r="AN296" s="58">
        <f>IFERROR(IF($V296="BRAND.com",HLOOKUP($X296&amp;$Z296,NWC_FC_NOOS!$C$4:$Q$23,MATCH(W296,NWC_FC_NOOS!$B$4:$B$23,0),FALSE),0),0)</f>
        <v>0</v>
      </c>
      <c r="AO296" s="57">
        <f>IFERROR(IF($V296="BRAND.com",HLOOKUP($X296&amp;$Z296,NWC_FC_NOOS!$T$4:$AH$23,MATCH(W296,NWC_FC_NOOS!$S$4:$S$23,0),FALSE),0),0)</f>
        <v>0</v>
      </c>
      <c r="AP296" s="57">
        <f>IFERROR(IF($V296="BRAND.com",HLOOKUP($X296&amp;$Z296,NWC_FC_NOOS!$C$50:$U$69,MATCH(W296,NWC_FC_NOOS!$B$50:$B$69,0),FALSE),0),0)</f>
        <v>0</v>
      </c>
      <c r="AQ296" s="58">
        <f>IFERROR(IF($V296="BRAND.com",HLOOKUP($X296&amp;$Z296,'NWC_FC_NON-NOOS'!$C$4:$Q$23,MATCH(W296,'NWC_FC_NON-NOOS'!$B$4:$B$23,0),FALSE),0),0)</f>
        <v>0</v>
      </c>
      <c r="AR296" s="57">
        <f>IFERROR(IF($V296="BRAND.com",HLOOKUP($X296&amp;$Z296,'NWC_FC_NON-NOOS'!$T$4:$AH$23,MATCH(W296,'NWC_FC_NON-NOOS'!$S$4:$S$23,0),FALSE),0),0)</f>
        <v>0</v>
      </c>
      <c r="AS296" s="57">
        <f>IFERROR(IF($V296="BRAND.com",HLOOKUP($X296&amp;$Z296,'NWC_FC_NON-NOOS'!$C$50:$U$69,MATCH(W296,'NWC_FC_NON-NOOS'!$B$50:$B$69,0),FALSE),0),0)</f>
        <v>0</v>
      </c>
      <c r="AT296" s="57">
        <f t="shared" si="124"/>
        <v>0</v>
      </c>
      <c r="AU296" s="57">
        <f t="shared" si="125"/>
        <v>0</v>
      </c>
      <c r="AV296" s="58">
        <f>IFERROR(IF($V296="BRAND.com",HLOOKUP($X296&amp;$Z296,PLANNING_FC!$BB$27:$BP$46,MATCH($W296,PLANNING_FC!$BA$27:$BA$46,0),FALSE),0),0)</f>
        <v>0</v>
      </c>
      <c r="AW296" s="58">
        <f>IFERROR(IF($V296="BRAND.com",HLOOKUP($X296&amp;$Z296,PLANNING_FC!$BB$4:$BP$23,MATCH($W296,PLANNING_FC!$BA$4:$BA$23,0),FALSE),0),0)</f>
        <v>0</v>
      </c>
      <c r="AX296" s="58">
        <f>IFERROR(IF($V296="BRAND.com",HLOOKUP($X296&amp;$Z296,PLANNING_FC!$T$27:$AH$46,MATCH($W296,PLANNING_FC!$B$27:$B$46,0),FALSE),0),0)</f>
        <v>0</v>
      </c>
      <c r="AY296" s="58">
        <f>IFERROR(IF($V296="BRAND.com",HLOOKUP($X296&amp;$Z296,PLANNING_FC!$T$4:$AH$23,MATCH($W296,PLANNING_FC!$B$4:$B$23,0),FALSE),0),0)</f>
        <v>0</v>
      </c>
      <c r="AZ296" s="58">
        <f>IFERROR(IF($V296="BRAND.com",HLOOKUP($X296&amp;$Z296,PLANNING_FC!$DA$27:$DO$46,MATCH($W296,PLANNING_FC!$CZ$27:$CZ$46,0),FALSE),0),0)</f>
        <v>0</v>
      </c>
      <c r="BA296" s="58">
        <f>IFERROR(IF($V296="BRAND.com",HLOOKUP($X296&amp;$Z296,PLANNING_FC!$DA$4:$DO$23,MATCH($W296,PLANNING_FC!$CZ$4:$CZ$23,0),FALSE),0),0)</f>
        <v>0</v>
      </c>
      <c r="BB296" s="883" t="str">
        <f>IF(V296="BRAND.com",IFERROR(HLOOKUP(X296&amp;Z296,PLANNING_FC!$AK$4:$AY$23,MATCH(W296,PLANNING_FC!$AJ$4:$AJ$23,0),FALSE)*1000,""),"")</f>
        <v/>
      </c>
      <c r="BC296" s="883" t="str">
        <f>IF(V296="BRAND.com",IFERROR(HLOOKUP(X296&amp;Z296,PLANNING_FC!$AK$27:$AY$46,MATCH(W296,PLANNING_FC!$AJ$27:$AJ$46,0),FALSE)*1000,""),"")</f>
        <v/>
      </c>
    </row>
    <row r="297" spans="1:55" x14ac:dyDescent="0.25">
      <c r="A297" s="509"/>
      <c r="B297" s="509"/>
      <c r="C297" s="509"/>
      <c r="D297" s="509"/>
      <c r="E297" s="509"/>
      <c r="F297" s="509"/>
      <c r="G297" s="509"/>
      <c r="H297" s="509"/>
      <c r="I297" s="512"/>
      <c r="J297" s="513"/>
      <c r="K297" s="879"/>
      <c r="L297" s="515"/>
      <c r="M297" s="516"/>
      <c r="N297" s="56">
        <f t="shared" si="106"/>
        <v>0</v>
      </c>
      <c r="O297" s="57">
        <f t="shared" si="107"/>
        <v>0</v>
      </c>
      <c r="P297" s="57">
        <f ca="1">IFERROR(IF(ISBLANK(H297),SUMIFS($AC:$AC,$V:$V,V297,$W:$W,W297,$X:$X,X297,$Y:$Y,Y297)*J297/(1-J297)*VLOOKUP(_xlfn.CONCAT(C297,D297,E297,TIME!$M$12,Z297),HIS_SALES!$B$2:$W$4859,20,FALSE),AC297*J297/(1-J297)),0)</f>
        <v>0</v>
      </c>
      <c r="Q297" s="541" t="str">
        <f t="shared" si="108"/>
        <v/>
      </c>
      <c r="R297" s="346" t="str">
        <f t="shared" si="109"/>
        <v>00000</v>
      </c>
      <c r="S297" s="344">
        <f t="shared" si="110"/>
        <v>0</v>
      </c>
      <c r="T297" s="345" t="str">
        <f t="shared" si="123"/>
        <v>000</v>
      </c>
      <c r="U297" s="345">
        <f t="shared" si="111"/>
        <v>0</v>
      </c>
      <c r="V297" s="345">
        <f t="shared" si="112"/>
        <v>0</v>
      </c>
      <c r="W297" s="345">
        <f t="shared" si="113"/>
        <v>0</v>
      </c>
      <c r="X297" s="345">
        <f t="shared" si="114"/>
        <v>0</v>
      </c>
      <c r="Y297" s="345">
        <f t="shared" si="115"/>
        <v>0</v>
      </c>
      <c r="Z297" s="345">
        <f>IF(Q297&lt;&gt;"",VLOOKUP(Y297,TIME!$R$21:$V$24,MATCH(FC_DATA!Q297,TIME!$R$20:$V$20,0),FALSE),H297)</f>
        <v>0</v>
      </c>
      <c r="AA297" s="345" t="str">
        <f>IFERROR(VLOOKUP(X297&amp;Z297,TIME!$A$12:$D$71,4,FALSE),"")</f>
        <v/>
      </c>
      <c r="AB297" s="592">
        <f t="shared" ca="1" si="116"/>
        <v>0</v>
      </c>
      <c r="AC297" s="593" t="e">
        <f ca="1">IF(ISBLANK(H297)=FALSE,IF(D297="BRAND.com",I297,IF(ISNA(VLOOKUP(_xlfn.CONCAT(X297,Z297),TIME!$M$40:$M$42,1,FALSE)),I297,VLOOKUP(_xlfn.CONCAT(D297,G297,H297),M_BUSAREA_FC!$AF$5:$AJ$10,5,FALSE)*HLOOKUP(_xlfn.CONCAT(F297,H297),ST_OVERVIEW!$G$99:$I$130,MATCH(_xlfn.CONCAT(D297,E297),ST_OVERVIEW!$F$99:$F$130,0),FALSE))),IF(D297="BRAND.com",VLOOKUP(_xlfn.CONCAT(C297,D297,E297,TIME!$F$1,Z297),HIS_SALES!$B$2:$V$4859,19,FALSE)*I297,VLOOKUP(_xlfn.CONCAT(D297,F297,G297),Q_BUSAREA_FC!$AE$5:$AI$12,5,FALSE)*HLOOKUP(_xlfn.CONCAT(FC_DATA!F297,FC_DATA!G297),LT_OVERVIEW!$I$99:$M$130,MATCH(_xlfn.CONCAT(D297,FC_DATA!E297),LT_OVERVIEW!$H$99:$H$130,0),FALSE)*IFERROR(VLOOKUP(_xlfn.CONCAT(C297,D297,E297,TIME!$F$1,Z297),HIS_SALES!$B$2:$V$4859,19,FALSE),0)))</f>
        <v>#N/A</v>
      </c>
      <c r="AD297" s="341">
        <f t="shared" ca="1" si="117"/>
        <v>0</v>
      </c>
      <c r="AE297" s="363" t="str">
        <f t="shared" si="118"/>
        <v/>
      </c>
      <c r="AF297" s="342" t="str">
        <f t="shared" si="119"/>
        <v/>
      </c>
      <c r="AG297" s="411" t="e">
        <f ca="1">VLOOKUP(_xlfn.CONCAT(U297,V297,W297,VLOOKUP(X297&amp;Y297,TIME!$L$27:$O$34,4,FALSE),Y297),HIS_SALES!$A$2:$R$5093,18,FALSE)</f>
        <v>#N/A</v>
      </c>
      <c r="AH297" s="412" t="e">
        <f ca="1">IFERROR(IF(AND(V297=V296,W297=W296),0.5*(AB297+AB296)*AG297,(VLOOKUP(_xlfn.CONCAT(U297,V297,W297,X297,VLOOKUP(Z297,TIME!$S$28:$T$39,2,FALSE)),FC_DATA!$R$2:$AB$5000,MATCH("GS_I_M",FC_DATA!$R$1:$AB$1,0),FALSE)+FC_DATA!AB297)*0.5*FC_DATA!AG297),NA())</f>
        <v>#N/A</v>
      </c>
      <c r="AI297" s="491" t="e">
        <f ca="1">IF(V297="PARTNER.com",AH297,IF(AND(V297=V296,W297=W296),(1-AVERAGE(AD296,AD297))*AH297,(1-AVERAGE(AD297,VLOOKUP(_xlfn.CONCAT(U297,V297,W297,X297,M_BRAND_FC!$F$6),FC_DATA!$R$2:$AD$5000,MATCH("DISCOUNT_%_M",FC_DATA!$R$1:$AD$1,0),FALSE)))*AH297))</f>
        <v>#N/A</v>
      </c>
      <c r="AJ297" s="412" t="str">
        <f t="shared" ca="1" si="120"/>
        <v/>
      </c>
      <c r="AK297" s="413" t="str">
        <f>IFERROR(AE297/(Q_BRAND_FC!$T$24+1),"")</f>
        <v/>
      </c>
      <c r="AL297" s="88" t="str">
        <f t="shared" ca="1" si="121"/>
        <v/>
      </c>
      <c r="AM297" s="414" t="str">
        <f t="shared" ca="1" si="122"/>
        <v/>
      </c>
      <c r="AN297" s="58">
        <f>IFERROR(IF($V297="BRAND.com",HLOOKUP($X297&amp;$Z297,NWC_FC_NOOS!$C$4:$Q$23,MATCH(W297,NWC_FC_NOOS!$B$4:$B$23,0),FALSE),0),0)</f>
        <v>0</v>
      </c>
      <c r="AO297" s="57">
        <f>IFERROR(IF($V297="BRAND.com",HLOOKUP($X297&amp;$Z297,NWC_FC_NOOS!$T$4:$AH$23,MATCH(W297,NWC_FC_NOOS!$S$4:$S$23,0),FALSE),0),0)</f>
        <v>0</v>
      </c>
      <c r="AP297" s="57">
        <f>IFERROR(IF($V297="BRAND.com",HLOOKUP($X297&amp;$Z297,NWC_FC_NOOS!$C$50:$U$69,MATCH(W297,NWC_FC_NOOS!$B$50:$B$69,0),FALSE),0),0)</f>
        <v>0</v>
      </c>
      <c r="AQ297" s="58">
        <f>IFERROR(IF($V297="BRAND.com",HLOOKUP($X297&amp;$Z297,'NWC_FC_NON-NOOS'!$C$4:$Q$23,MATCH(W297,'NWC_FC_NON-NOOS'!$B$4:$B$23,0),FALSE),0),0)</f>
        <v>0</v>
      </c>
      <c r="AR297" s="57">
        <f>IFERROR(IF($V297="BRAND.com",HLOOKUP($X297&amp;$Z297,'NWC_FC_NON-NOOS'!$T$4:$AH$23,MATCH(W297,'NWC_FC_NON-NOOS'!$S$4:$S$23,0),FALSE),0),0)</f>
        <v>0</v>
      </c>
      <c r="AS297" s="57">
        <f>IFERROR(IF($V297="BRAND.com",HLOOKUP($X297&amp;$Z297,'NWC_FC_NON-NOOS'!$C$50:$U$69,MATCH(W297,'NWC_FC_NON-NOOS'!$B$50:$B$69,0),FALSE),0),0)</f>
        <v>0</v>
      </c>
      <c r="AT297" s="57">
        <f t="shared" si="124"/>
        <v>0</v>
      </c>
      <c r="AU297" s="57">
        <f t="shared" si="125"/>
        <v>0</v>
      </c>
      <c r="AV297" s="58">
        <f>IFERROR(IF($V297="BRAND.com",HLOOKUP($X297&amp;$Z297,PLANNING_FC!$BB$27:$BP$46,MATCH($W297,PLANNING_FC!$BA$27:$BA$46,0),FALSE),0),0)</f>
        <v>0</v>
      </c>
      <c r="AW297" s="58">
        <f>IFERROR(IF($V297="BRAND.com",HLOOKUP($X297&amp;$Z297,PLANNING_FC!$BB$4:$BP$23,MATCH($W297,PLANNING_FC!$BA$4:$BA$23,0),FALSE),0),0)</f>
        <v>0</v>
      </c>
      <c r="AX297" s="58">
        <f>IFERROR(IF($V297="BRAND.com",HLOOKUP($X297&amp;$Z297,PLANNING_FC!$T$27:$AH$46,MATCH($W297,PLANNING_FC!$B$27:$B$46,0),FALSE),0),0)</f>
        <v>0</v>
      </c>
      <c r="AY297" s="58">
        <f>IFERROR(IF($V297="BRAND.com",HLOOKUP($X297&amp;$Z297,PLANNING_FC!$T$4:$AH$23,MATCH($W297,PLANNING_FC!$B$4:$B$23,0),FALSE),0),0)</f>
        <v>0</v>
      </c>
      <c r="AZ297" s="58">
        <f>IFERROR(IF($V297="BRAND.com",HLOOKUP($X297&amp;$Z297,PLANNING_FC!$DA$27:$DO$46,MATCH($W297,PLANNING_FC!$CZ$27:$CZ$46,0),FALSE),0),0)</f>
        <v>0</v>
      </c>
      <c r="BA297" s="58">
        <f>IFERROR(IF($V297="BRAND.com",HLOOKUP($X297&amp;$Z297,PLANNING_FC!$DA$4:$DO$23,MATCH($W297,PLANNING_FC!$CZ$4:$CZ$23,0),FALSE),0),0)</f>
        <v>0</v>
      </c>
      <c r="BB297" s="883" t="str">
        <f>IF(V297="BRAND.com",IFERROR(HLOOKUP(X297&amp;Z297,PLANNING_FC!$AK$4:$AY$23,MATCH(W297,PLANNING_FC!$AJ$4:$AJ$23,0),FALSE)*1000,""),"")</f>
        <v/>
      </c>
      <c r="BC297" s="883" t="str">
        <f>IF(V297="BRAND.com",IFERROR(HLOOKUP(X297&amp;Z297,PLANNING_FC!$AK$27:$AY$46,MATCH(W297,PLANNING_FC!$AJ$27:$AJ$46,0),FALSE)*1000,""),"")</f>
        <v/>
      </c>
    </row>
    <row r="298" spans="1:55" x14ac:dyDescent="0.25">
      <c r="A298" s="509"/>
      <c r="B298" s="509"/>
      <c r="C298" s="509"/>
      <c r="D298" s="509"/>
      <c r="E298" s="509"/>
      <c r="F298" s="509"/>
      <c r="G298" s="509"/>
      <c r="H298" s="509"/>
      <c r="I298" s="512"/>
      <c r="J298" s="513"/>
      <c r="K298" s="879"/>
      <c r="L298" s="515"/>
      <c r="M298" s="516"/>
      <c r="N298" s="56">
        <f t="shared" si="106"/>
        <v>0</v>
      </c>
      <c r="O298" s="57">
        <f t="shared" si="107"/>
        <v>0</v>
      </c>
      <c r="P298" s="57">
        <f ca="1">IFERROR(IF(ISBLANK(H298),SUMIFS($AC:$AC,$V:$V,V298,$W:$W,W298,$X:$X,X298,$Y:$Y,Y298)*J298/(1-J298)*VLOOKUP(_xlfn.CONCAT(C298,D298,E298,TIME!$M$12,Z298),HIS_SALES!$B$2:$W$4859,20,FALSE),AC298*J298/(1-J298)),0)</f>
        <v>0</v>
      </c>
      <c r="Q298" s="541" t="str">
        <f t="shared" si="108"/>
        <v/>
      </c>
      <c r="R298" s="346" t="str">
        <f t="shared" si="109"/>
        <v>00000</v>
      </c>
      <c r="S298" s="344">
        <f t="shared" si="110"/>
        <v>0</v>
      </c>
      <c r="T298" s="345" t="str">
        <f t="shared" si="123"/>
        <v>000</v>
      </c>
      <c r="U298" s="345">
        <f t="shared" si="111"/>
        <v>0</v>
      </c>
      <c r="V298" s="345">
        <f t="shared" si="112"/>
        <v>0</v>
      </c>
      <c r="W298" s="345">
        <f t="shared" si="113"/>
        <v>0</v>
      </c>
      <c r="X298" s="345">
        <f t="shared" si="114"/>
        <v>0</v>
      </c>
      <c r="Y298" s="345">
        <f t="shared" si="115"/>
        <v>0</v>
      </c>
      <c r="Z298" s="345">
        <f>IF(Q298&lt;&gt;"",VLOOKUP(Y298,TIME!$R$21:$V$24,MATCH(FC_DATA!Q298,TIME!$R$20:$V$20,0),FALSE),H298)</f>
        <v>0</v>
      </c>
      <c r="AA298" s="345" t="str">
        <f>IFERROR(VLOOKUP(X298&amp;Z298,TIME!$A$12:$D$71,4,FALSE),"")</f>
        <v/>
      </c>
      <c r="AB298" s="592">
        <f t="shared" ca="1" si="116"/>
        <v>0</v>
      </c>
      <c r="AC298" s="593" t="e">
        <f ca="1">IF(ISBLANK(H298)=FALSE,IF(D298="BRAND.com",I298,IF(ISNA(VLOOKUP(_xlfn.CONCAT(X298,Z298),TIME!$M$40:$M$42,1,FALSE)),I298,VLOOKUP(_xlfn.CONCAT(D298,G298,H298),M_BUSAREA_FC!$AF$5:$AJ$10,5,FALSE)*HLOOKUP(_xlfn.CONCAT(F298,H298),ST_OVERVIEW!$G$99:$I$130,MATCH(_xlfn.CONCAT(D298,E298),ST_OVERVIEW!$F$99:$F$130,0),FALSE))),IF(D298="BRAND.com",VLOOKUP(_xlfn.CONCAT(C298,D298,E298,TIME!$F$1,Z298),HIS_SALES!$B$2:$V$4859,19,FALSE)*I298,VLOOKUP(_xlfn.CONCAT(D298,F298,G298),Q_BUSAREA_FC!$AE$5:$AI$12,5,FALSE)*HLOOKUP(_xlfn.CONCAT(FC_DATA!F298,FC_DATA!G298),LT_OVERVIEW!$I$99:$M$130,MATCH(_xlfn.CONCAT(D298,FC_DATA!E298),LT_OVERVIEW!$H$99:$H$130,0),FALSE)*IFERROR(VLOOKUP(_xlfn.CONCAT(C298,D298,E298,TIME!$F$1,Z298),HIS_SALES!$B$2:$V$4859,19,FALSE),0)))</f>
        <v>#N/A</v>
      </c>
      <c r="AD298" s="341">
        <f t="shared" ca="1" si="117"/>
        <v>0</v>
      </c>
      <c r="AE298" s="363" t="str">
        <f t="shared" si="118"/>
        <v/>
      </c>
      <c r="AF298" s="342" t="str">
        <f t="shared" si="119"/>
        <v/>
      </c>
      <c r="AG298" s="411" t="e">
        <f ca="1">VLOOKUP(_xlfn.CONCAT(U298,V298,W298,VLOOKUP(X298&amp;Y298,TIME!$L$27:$O$34,4,FALSE),Y298),HIS_SALES!$A$2:$R$5093,18,FALSE)</f>
        <v>#N/A</v>
      </c>
      <c r="AH298" s="412" t="e">
        <f ca="1">IFERROR(IF(AND(V298=V297,W298=W297),0.5*(AB298+AB297)*AG298,(VLOOKUP(_xlfn.CONCAT(U298,V298,W298,X298,VLOOKUP(Z298,TIME!$S$28:$T$39,2,FALSE)),FC_DATA!$R$2:$AB$5000,MATCH("GS_I_M",FC_DATA!$R$1:$AB$1,0),FALSE)+FC_DATA!AB298)*0.5*FC_DATA!AG298),NA())</f>
        <v>#N/A</v>
      </c>
      <c r="AI298" s="491" t="e">
        <f ca="1">IF(V298="PARTNER.com",AH298,IF(AND(V298=V297,W298=W297),(1-AVERAGE(AD297,AD298))*AH298,(1-AVERAGE(AD298,VLOOKUP(_xlfn.CONCAT(U298,V298,W298,X298,M_BRAND_FC!$F$6),FC_DATA!$R$2:$AD$5000,MATCH("DISCOUNT_%_M",FC_DATA!$R$1:$AD$1,0),FALSE)))*AH298))</f>
        <v>#N/A</v>
      </c>
      <c r="AJ298" s="412" t="str">
        <f t="shared" ca="1" si="120"/>
        <v/>
      </c>
      <c r="AK298" s="413" t="str">
        <f>IFERROR(AE298/(Q_BRAND_FC!$T$24+1),"")</f>
        <v/>
      </c>
      <c r="AL298" s="88" t="str">
        <f t="shared" ca="1" si="121"/>
        <v/>
      </c>
      <c r="AM298" s="414" t="str">
        <f t="shared" ca="1" si="122"/>
        <v/>
      </c>
      <c r="AN298" s="58">
        <f>IFERROR(IF($V298="BRAND.com",HLOOKUP($X298&amp;$Z298,NWC_FC_NOOS!$C$4:$Q$23,MATCH(W298,NWC_FC_NOOS!$B$4:$B$23,0),FALSE),0),0)</f>
        <v>0</v>
      </c>
      <c r="AO298" s="57">
        <f>IFERROR(IF($V298="BRAND.com",HLOOKUP($X298&amp;$Z298,NWC_FC_NOOS!$T$4:$AH$23,MATCH(W298,NWC_FC_NOOS!$S$4:$S$23,0),FALSE),0),0)</f>
        <v>0</v>
      </c>
      <c r="AP298" s="57">
        <f>IFERROR(IF($V298="BRAND.com",HLOOKUP($X298&amp;$Z298,NWC_FC_NOOS!$C$50:$U$69,MATCH(W298,NWC_FC_NOOS!$B$50:$B$69,0),FALSE),0),0)</f>
        <v>0</v>
      </c>
      <c r="AQ298" s="58">
        <f>IFERROR(IF($V298="BRAND.com",HLOOKUP($X298&amp;$Z298,'NWC_FC_NON-NOOS'!$C$4:$Q$23,MATCH(W298,'NWC_FC_NON-NOOS'!$B$4:$B$23,0),FALSE),0),0)</f>
        <v>0</v>
      </c>
      <c r="AR298" s="57">
        <f>IFERROR(IF($V298="BRAND.com",HLOOKUP($X298&amp;$Z298,'NWC_FC_NON-NOOS'!$T$4:$AH$23,MATCH(W298,'NWC_FC_NON-NOOS'!$S$4:$S$23,0),FALSE),0),0)</f>
        <v>0</v>
      </c>
      <c r="AS298" s="57">
        <f>IFERROR(IF($V298="BRAND.com",HLOOKUP($X298&amp;$Z298,'NWC_FC_NON-NOOS'!$C$50:$U$69,MATCH(W298,'NWC_FC_NON-NOOS'!$B$50:$B$69,0),FALSE),0),0)</f>
        <v>0</v>
      </c>
      <c r="AT298" s="57">
        <f t="shared" si="124"/>
        <v>0</v>
      </c>
      <c r="AU298" s="57">
        <f t="shared" si="125"/>
        <v>0</v>
      </c>
      <c r="AV298" s="58">
        <f>IFERROR(IF($V298="BRAND.com",HLOOKUP($X298&amp;$Z298,PLANNING_FC!$BB$27:$BP$46,MATCH($W298,PLANNING_FC!$BA$27:$BA$46,0),FALSE),0),0)</f>
        <v>0</v>
      </c>
      <c r="AW298" s="58">
        <f>IFERROR(IF($V298="BRAND.com",HLOOKUP($X298&amp;$Z298,PLANNING_FC!$BB$4:$BP$23,MATCH($W298,PLANNING_FC!$BA$4:$BA$23,0),FALSE),0),0)</f>
        <v>0</v>
      </c>
      <c r="AX298" s="58">
        <f>IFERROR(IF($V298="BRAND.com",HLOOKUP($X298&amp;$Z298,PLANNING_FC!$T$27:$AH$46,MATCH($W298,PLANNING_FC!$B$27:$B$46,0),FALSE),0),0)</f>
        <v>0</v>
      </c>
      <c r="AY298" s="58">
        <f>IFERROR(IF($V298="BRAND.com",HLOOKUP($X298&amp;$Z298,PLANNING_FC!$T$4:$AH$23,MATCH($W298,PLANNING_FC!$B$4:$B$23,0),FALSE),0),0)</f>
        <v>0</v>
      </c>
      <c r="AZ298" s="58">
        <f>IFERROR(IF($V298="BRAND.com",HLOOKUP($X298&amp;$Z298,PLANNING_FC!$DA$27:$DO$46,MATCH($W298,PLANNING_FC!$CZ$27:$CZ$46,0),FALSE),0),0)</f>
        <v>0</v>
      </c>
      <c r="BA298" s="58">
        <f>IFERROR(IF($V298="BRAND.com",HLOOKUP($X298&amp;$Z298,PLANNING_FC!$DA$4:$DO$23,MATCH($W298,PLANNING_FC!$CZ$4:$CZ$23,0),FALSE),0),0)</f>
        <v>0</v>
      </c>
      <c r="BB298" s="883" t="str">
        <f>IF(V298="BRAND.com",IFERROR(HLOOKUP(X298&amp;Z298,PLANNING_FC!$AK$4:$AY$23,MATCH(W298,PLANNING_FC!$AJ$4:$AJ$23,0),FALSE)*1000,""),"")</f>
        <v/>
      </c>
      <c r="BC298" s="883" t="str">
        <f>IF(V298="BRAND.com",IFERROR(HLOOKUP(X298&amp;Z298,PLANNING_FC!$AK$27:$AY$46,MATCH(W298,PLANNING_FC!$AJ$27:$AJ$46,0),FALSE)*1000,""),"")</f>
        <v/>
      </c>
    </row>
    <row r="299" spans="1:55" x14ac:dyDescent="0.25">
      <c r="A299" s="509"/>
      <c r="B299" s="509"/>
      <c r="C299" s="509"/>
      <c r="D299" s="509"/>
      <c r="E299" s="509"/>
      <c r="F299" s="509"/>
      <c r="G299" s="509"/>
      <c r="H299" s="509"/>
      <c r="I299" s="512"/>
      <c r="J299" s="513"/>
      <c r="K299" s="879"/>
      <c r="L299" s="515"/>
      <c r="M299" s="516"/>
      <c r="N299" s="56">
        <f t="shared" si="106"/>
        <v>0</v>
      </c>
      <c r="O299" s="57">
        <f t="shared" si="107"/>
        <v>0</v>
      </c>
      <c r="P299" s="57">
        <f ca="1">IFERROR(IF(ISBLANK(H299),SUMIFS($AC:$AC,$V:$V,V299,$W:$W,W299,$X:$X,X299,$Y:$Y,Y299)*J299/(1-J299)*VLOOKUP(_xlfn.CONCAT(C299,D299,E299,TIME!$M$12,Z299),HIS_SALES!$B$2:$W$4859,20,FALSE),AC299*J299/(1-J299)),0)</f>
        <v>0</v>
      </c>
      <c r="Q299" s="541" t="str">
        <f t="shared" si="108"/>
        <v/>
      </c>
      <c r="R299" s="346" t="str">
        <f t="shared" si="109"/>
        <v>00000</v>
      </c>
      <c r="S299" s="344">
        <f t="shared" si="110"/>
        <v>0</v>
      </c>
      <c r="T299" s="345" t="str">
        <f t="shared" si="123"/>
        <v>000</v>
      </c>
      <c r="U299" s="345">
        <f t="shared" si="111"/>
        <v>0</v>
      </c>
      <c r="V299" s="345">
        <f t="shared" si="112"/>
        <v>0</v>
      </c>
      <c r="W299" s="345">
        <f t="shared" si="113"/>
        <v>0</v>
      </c>
      <c r="X299" s="345">
        <f t="shared" si="114"/>
        <v>0</v>
      </c>
      <c r="Y299" s="345">
        <f t="shared" si="115"/>
        <v>0</v>
      </c>
      <c r="Z299" s="345">
        <f>IF(Q299&lt;&gt;"",VLOOKUP(Y299,TIME!$R$21:$V$24,MATCH(FC_DATA!Q299,TIME!$R$20:$V$20,0),FALSE),H299)</f>
        <v>0</v>
      </c>
      <c r="AA299" s="345" t="str">
        <f>IFERROR(VLOOKUP(X299&amp;Z299,TIME!$A$12:$D$71,4,FALSE),"")</f>
        <v/>
      </c>
      <c r="AB299" s="592">
        <f t="shared" ca="1" si="116"/>
        <v>0</v>
      </c>
      <c r="AC299" s="593" t="e">
        <f ca="1">IF(ISBLANK(H299)=FALSE,IF(D299="BRAND.com",I299,IF(ISNA(VLOOKUP(_xlfn.CONCAT(X299,Z299),TIME!$M$40:$M$42,1,FALSE)),I299,VLOOKUP(_xlfn.CONCAT(D299,G299,H299),M_BUSAREA_FC!$AF$5:$AJ$10,5,FALSE)*HLOOKUP(_xlfn.CONCAT(F299,H299),ST_OVERVIEW!$G$99:$I$130,MATCH(_xlfn.CONCAT(D299,E299),ST_OVERVIEW!$F$99:$F$130,0),FALSE))),IF(D299="BRAND.com",VLOOKUP(_xlfn.CONCAT(C299,D299,E299,TIME!$F$1,Z299),HIS_SALES!$B$2:$V$4859,19,FALSE)*I299,VLOOKUP(_xlfn.CONCAT(D299,F299,G299),Q_BUSAREA_FC!$AE$5:$AI$12,5,FALSE)*HLOOKUP(_xlfn.CONCAT(FC_DATA!F299,FC_DATA!G299),LT_OVERVIEW!$I$99:$M$130,MATCH(_xlfn.CONCAT(D299,FC_DATA!E299),LT_OVERVIEW!$H$99:$H$130,0),FALSE)*IFERROR(VLOOKUP(_xlfn.CONCAT(C299,D299,E299,TIME!$F$1,Z299),HIS_SALES!$B$2:$V$4859,19,FALSE),0)))</f>
        <v>#N/A</v>
      </c>
      <c r="AD299" s="341">
        <f t="shared" ca="1" si="117"/>
        <v>0</v>
      </c>
      <c r="AE299" s="363" t="str">
        <f t="shared" si="118"/>
        <v/>
      </c>
      <c r="AF299" s="342" t="str">
        <f t="shared" si="119"/>
        <v/>
      </c>
      <c r="AG299" s="411" t="e">
        <f ca="1">VLOOKUP(_xlfn.CONCAT(U299,V299,W299,VLOOKUP(X299&amp;Y299,TIME!$L$27:$O$34,4,FALSE),Y299),HIS_SALES!$A$2:$R$5093,18,FALSE)</f>
        <v>#N/A</v>
      </c>
      <c r="AH299" s="412" t="e">
        <f ca="1">IFERROR(IF(AND(V299=V298,W299=W298),0.5*(AB299+AB298)*AG299,(VLOOKUP(_xlfn.CONCAT(U299,V299,W299,X299,VLOOKUP(Z299,TIME!$S$28:$T$39,2,FALSE)),FC_DATA!$R$2:$AB$5000,MATCH("GS_I_M",FC_DATA!$R$1:$AB$1,0),FALSE)+FC_DATA!AB299)*0.5*FC_DATA!AG299),NA())</f>
        <v>#N/A</v>
      </c>
      <c r="AI299" s="491" t="e">
        <f ca="1">IF(V299="PARTNER.com",AH299,IF(AND(V299=V298,W299=W298),(1-AVERAGE(AD298,AD299))*AH299,(1-AVERAGE(AD299,VLOOKUP(_xlfn.CONCAT(U299,V299,W299,X299,M_BRAND_FC!$F$6),FC_DATA!$R$2:$AD$5000,MATCH("DISCOUNT_%_M",FC_DATA!$R$1:$AD$1,0),FALSE)))*AH299))</f>
        <v>#N/A</v>
      </c>
      <c r="AJ299" s="412" t="str">
        <f t="shared" ca="1" si="120"/>
        <v/>
      </c>
      <c r="AK299" s="413" t="str">
        <f>IFERROR(AE299/(Q_BRAND_FC!$T$24+1),"")</f>
        <v/>
      </c>
      <c r="AL299" s="88" t="str">
        <f t="shared" ca="1" si="121"/>
        <v/>
      </c>
      <c r="AM299" s="414" t="str">
        <f t="shared" ca="1" si="122"/>
        <v/>
      </c>
      <c r="AN299" s="58">
        <f>IFERROR(IF($V299="BRAND.com",HLOOKUP($X299&amp;$Z299,NWC_FC_NOOS!$C$4:$Q$23,MATCH(W299,NWC_FC_NOOS!$B$4:$B$23,0),FALSE),0),0)</f>
        <v>0</v>
      </c>
      <c r="AO299" s="57">
        <f>IFERROR(IF($V299="BRAND.com",HLOOKUP($X299&amp;$Z299,NWC_FC_NOOS!$T$4:$AH$23,MATCH(W299,NWC_FC_NOOS!$S$4:$S$23,0),FALSE),0),0)</f>
        <v>0</v>
      </c>
      <c r="AP299" s="57">
        <f>IFERROR(IF($V299="BRAND.com",HLOOKUP($X299&amp;$Z299,NWC_FC_NOOS!$C$50:$U$69,MATCH(W299,NWC_FC_NOOS!$B$50:$B$69,0),FALSE),0),0)</f>
        <v>0</v>
      </c>
      <c r="AQ299" s="58">
        <f>IFERROR(IF($V299="BRAND.com",HLOOKUP($X299&amp;$Z299,'NWC_FC_NON-NOOS'!$C$4:$Q$23,MATCH(W299,'NWC_FC_NON-NOOS'!$B$4:$B$23,0),FALSE),0),0)</f>
        <v>0</v>
      </c>
      <c r="AR299" s="57">
        <f>IFERROR(IF($V299="BRAND.com",HLOOKUP($X299&amp;$Z299,'NWC_FC_NON-NOOS'!$T$4:$AH$23,MATCH(W299,'NWC_FC_NON-NOOS'!$S$4:$S$23,0),FALSE),0),0)</f>
        <v>0</v>
      </c>
      <c r="AS299" s="57">
        <f>IFERROR(IF($V299="BRAND.com",HLOOKUP($X299&amp;$Z299,'NWC_FC_NON-NOOS'!$C$50:$U$69,MATCH(W299,'NWC_FC_NON-NOOS'!$B$50:$B$69,0),FALSE),0),0)</f>
        <v>0</v>
      </c>
      <c r="AT299" s="57">
        <f t="shared" si="124"/>
        <v>0</v>
      </c>
      <c r="AU299" s="57">
        <f t="shared" si="125"/>
        <v>0</v>
      </c>
      <c r="AV299" s="58">
        <f>IFERROR(IF($V299="BRAND.com",HLOOKUP($X299&amp;$Z299,PLANNING_FC!$BB$27:$BP$46,MATCH($W299,PLANNING_FC!$BA$27:$BA$46,0),FALSE),0),0)</f>
        <v>0</v>
      </c>
      <c r="AW299" s="58">
        <f>IFERROR(IF($V299="BRAND.com",HLOOKUP($X299&amp;$Z299,PLANNING_FC!$BB$4:$BP$23,MATCH($W299,PLANNING_FC!$BA$4:$BA$23,0),FALSE),0),0)</f>
        <v>0</v>
      </c>
      <c r="AX299" s="58">
        <f>IFERROR(IF($V299="BRAND.com",HLOOKUP($X299&amp;$Z299,PLANNING_FC!$T$27:$AH$46,MATCH($W299,PLANNING_FC!$B$27:$B$46,0),FALSE),0),0)</f>
        <v>0</v>
      </c>
      <c r="AY299" s="58">
        <f>IFERROR(IF($V299="BRAND.com",HLOOKUP($X299&amp;$Z299,PLANNING_FC!$T$4:$AH$23,MATCH($W299,PLANNING_FC!$B$4:$B$23,0),FALSE),0),0)</f>
        <v>0</v>
      </c>
      <c r="AZ299" s="58">
        <f>IFERROR(IF($V299="BRAND.com",HLOOKUP($X299&amp;$Z299,PLANNING_FC!$DA$27:$DO$46,MATCH($W299,PLANNING_FC!$CZ$27:$CZ$46,0),FALSE),0),0)</f>
        <v>0</v>
      </c>
      <c r="BA299" s="58">
        <f>IFERROR(IF($V299="BRAND.com",HLOOKUP($X299&amp;$Z299,PLANNING_FC!$DA$4:$DO$23,MATCH($W299,PLANNING_FC!$CZ$4:$CZ$23,0),FALSE),0),0)</f>
        <v>0</v>
      </c>
      <c r="BB299" s="883" t="str">
        <f>IF(V299="BRAND.com",IFERROR(HLOOKUP(X299&amp;Z299,PLANNING_FC!$AK$4:$AY$23,MATCH(W299,PLANNING_FC!$AJ$4:$AJ$23,0),FALSE)*1000,""),"")</f>
        <v/>
      </c>
      <c r="BC299" s="883" t="str">
        <f>IF(V299="BRAND.com",IFERROR(HLOOKUP(X299&amp;Z299,PLANNING_FC!$AK$27:$AY$46,MATCH(W299,PLANNING_FC!$AJ$27:$AJ$46,0),FALSE)*1000,""),"")</f>
        <v/>
      </c>
    </row>
    <row r="300" spans="1:55" x14ac:dyDescent="0.25">
      <c r="A300" s="509"/>
      <c r="B300" s="509"/>
      <c r="C300" s="509"/>
      <c r="D300" s="509"/>
      <c r="E300" s="509"/>
      <c r="F300" s="509"/>
      <c r="G300" s="509"/>
      <c r="H300" s="509"/>
      <c r="I300" s="512"/>
      <c r="J300" s="513"/>
      <c r="K300" s="879"/>
      <c r="L300" s="515"/>
      <c r="M300" s="516"/>
      <c r="N300" s="56">
        <f t="shared" si="106"/>
        <v>0</v>
      </c>
      <c r="O300" s="57">
        <f t="shared" si="107"/>
        <v>0</v>
      </c>
      <c r="P300" s="57">
        <f ca="1">IFERROR(IF(ISBLANK(H300),SUMIFS($AC:$AC,$V:$V,V300,$W:$W,W300,$X:$X,X300,$Y:$Y,Y300)*J300/(1-J300)*VLOOKUP(_xlfn.CONCAT(C300,D300,E300,TIME!$M$12,Z300),HIS_SALES!$B$2:$W$4859,20,FALSE),AC300*J300/(1-J300)),0)</f>
        <v>0</v>
      </c>
      <c r="Q300" s="541" t="str">
        <f t="shared" si="108"/>
        <v/>
      </c>
      <c r="R300" s="346" t="str">
        <f t="shared" si="109"/>
        <v>00000</v>
      </c>
      <c r="S300" s="344">
        <f t="shared" si="110"/>
        <v>0</v>
      </c>
      <c r="T300" s="345" t="str">
        <f t="shared" si="123"/>
        <v>000</v>
      </c>
      <c r="U300" s="345">
        <f t="shared" si="111"/>
        <v>0</v>
      </c>
      <c r="V300" s="345">
        <f t="shared" si="112"/>
        <v>0</v>
      </c>
      <c r="W300" s="345">
        <f t="shared" si="113"/>
        <v>0</v>
      </c>
      <c r="X300" s="345">
        <f t="shared" si="114"/>
        <v>0</v>
      </c>
      <c r="Y300" s="345">
        <f t="shared" si="115"/>
        <v>0</v>
      </c>
      <c r="Z300" s="345">
        <f>IF(Q300&lt;&gt;"",VLOOKUP(Y300,TIME!$R$21:$V$24,MATCH(FC_DATA!Q300,TIME!$R$20:$V$20,0),FALSE),H300)</f>
        <v>0</v>
      </c>
      <c r="AA300" s="345" t="str">
        <f>IFERROR(VLOOKUP(X300&amp;Z300,TIME!$A$12:$D$71,4,FALSE),"")</f>
        <v/>
      </c>
      <c r="AB300" s="592">
        <f t="shared" ca="1" si="116"/>
        <v>0</v>
      </c>
      <c r="AC300" s="593" t="e">
        <f ca="1">IF(ISBLANK(H300)=FALSE,IF(D300="BRAND.com",I300,IF(ISNA(VLOOKUP(_xlfn.CONCAT(X300,Z300),TIME!$M$40:$M$42,1,FALSE)),I300,VLOOKUP(_xlfn.CONCAT(D300,G300,H300),M_BUSAREA_FC!$AF$5:$AJ$10,5,FALSE)*HLOOKUP(_xlfn.CONCAT(F300,H300),ST_OVERVIEW!$G$99:$I$130,MATCH(_xlfn.CONCAT(D300,E300),ST_OVERVIEW!$F$99:$F$130,0),FALSE))),IF(D300="BRAND.com",VLOOKUP(_xlfn.CONCAT(C300,D300,E300,TIME!$F$1,Z300),HIS_SALES!$B$2:$V$4859,19,FALSE)*I300,VLOOKUP(_xlfn.CONCAT(D300,F300,G300),Q_BUSAREA_FC!$AE$5:$AI$12,5,FALSE)*HLOOKUP(_xlfn.CONCAT(FC_DATA!F300,FC_DATA!G300),LT_OVERVIEW!$I$99:$M$130,MATCH(_xlfn.CONCAT(D300,FC_DATA!E300),LT_OVERVIEW!$H$99:$H$130,0),FALSE)*IFERROR(VLOOKUP(_xlfn.CONCAT(C300,D300,E300,TIME!$F$1,Z300),HIS_SALES!$B$2:$V$4859,19,FALSE),0)))</f>
        <v>#N/A</v>
      </c>
      <c r="AD300" s="341">
        <f t="shared" ca="1" si="117"/>
        <v>0</v>
      </c>
      <c r="AE300" s="363" t="str">
        <f t="shared" si="118"/>
        <v/>
      </c>
      <c r="AF300" s="342" t="str">
        <f t="shared" si="119"/>
        <v/>
      </c>
      <c r="AG300" s="411" t="e">
        <f ca="1">VLOOKUP(_xlfn.CONCAT(U300,V300,W300,VLOOKUP(X300&amp;Y300,TIME!$L$27:$O$34,4,FALSE),Y300),HIS_SALES!$A$2:$R$5093,18,FALSE)</f>
        <v>#N/A</v>
      </c>
      <c r="AH300" s="412" t="e">
        <f ca="1">IFERROR(IF(AND(V300=V299,W300=W299),0.5*(AB300+AB299)*AG300,(VLOOKUP(_xlfn.CONCAT(U300,V300,W300,X300,VLOOKUP(Z300,TIME!$S$28:$T$39,2,FALSE)),FC_DATA!$R$2:$AB$5000,MATCH("GS_I_M",FC_DATA!$R$1:$AB$1,0),FALSE)+FC_DATA!AB300)*0.5*FC_DATA!AG300),NA())</f>
        <v>#N/A</v>
      </c>
      <c r="AI300" s="491" t="e">
        <f ca="1">IF(V300="PARTNER.com",AH300,IF(AND(V300=V299,W300=W299),(1-AVERAGE(AD299,AD300))*AH300,(1-AVERAGE(AD300,VLOOKUP(_xlfn.CONCAT(U300,V300,W300,X300,M_BRAND_FC!$F$6),FC_DATA!$R$2:$AD$5000,MATCH("DISCOUNT_%_M",FC_DATA!$R$1:$AD$1,0),FALSE)))*AH300))</f>
        <v>#N/A</v>
      </c>
      <c r="AJ300" s="412" t="str">
        <f t="shared" ca="1" si="120"/>
        <v/>
      </c>
      <c r="AK300" s="413" t="str">
        <f>IFERROR(AE300/(Q_BRAND_FC!$T$24+1),"")</f>
        <v/>
      </c>
      <c r="AL300" s="88" t="str">
        <f t="shared" ca="1" si="121"/>
        <v/>
      </c>
      <c r="AM300" s="414" t="str">
        <f t="shared" ca="1" si="122"/>
        <v/>
      </c>
      <c r="AN300" s="58">
        <f>IFERROR(IF($V300="BRAND.com",HLOOKUP($X300&amp;$Z300,NWC_FC_NOOS!$C$4:$Q$23,MATCH(W300,NWC_FC_NOOS!$B$4:$B$23,0),FALSE),0),0)</f>
        <v>0</v>
      </c>
      <c r="AO300" s="57">
        <f>IFERROR(IF($V300="BRAND.com",HLOOKUP($X300&amp;$Z300,NWC_FC_NOOS!$T$4:$AH$23,MATCH(W300,NWC_FC_NOOS!$S$4:$S$23,0),FALSE),0),0)</f>
        <v>0</v>
      </c>
      <c r="AP300" s="57">
        <f>IFERROR(IF($V300="BRAND.com",HLOOKUP($X300&amp;$Z300,NWC_FC_NOOS!$C$50:$U$69,MATCH(W300,NWC_FC_NOOS!$B$50:$B$69,0),FALSE),0),0)</f>
        <v>0</v>
      </c>
      <c r="AQ300" s="58">
        <f>IFERROR(IF($V300="BRAND.com",HLOOKUP($X300&amp;$Z300,'NWC_FC_NON-NOOS'!$C$4:$Q$23,MATCH(W300,'NWC_FC_NON-NOOS'!$B$4:$B$23,0),FALSE),0),0)</f>
        <v>0</v>
      </c>
      <c r="AR300" s="57">
        <f>IFERROR(IF($V300="BRAND.com",HLOOKUP($X300&amp;$Z300,'NWC_FC_NON-NOOS'!$T$4:$AH$23,MATCH(W300,'NWC_FC_NON-NOOS'!$S$4:$S$23,0),FALSE),0),0)</f>
        <v>0</v>
      </c>
      <c r="AS300" s="57">
        <f>IFERROR(IF($V300="BRAND.com",HLOOKUP($X300&amp;$Z300,'NWC_FC_NON-NOOS'!$C$50:$U$69,MATCH(W300,'NWC_FC_NON-NOOS'!$B$50:$B$69,0),FALSE),0),0)</f>
        <v>0</v>
      </c>
      <c r="AT300" s="57">
        <f t="shared" si="124"/>
        <v>0</v>
      </c>
      <c r="AU300" s="57">
        <f t="shared" si="125"/>
        <v>0</v>
      </c>
      <c r="AV300" s="58">
        <f>IFERROR(IF($V300="BRAND.com",HLOOKUP($X300&amp;$Z300,PLANNING_FC!$BB$27:$BP$46,MATCH($W300,PLANNING_FC!$BA$27:$BA$46,0),FALSE),0),0)</f>
        <v>0</v>
      </c>
      <c r="AW300" s="58">
        <f>IFERROR(IF($V300="BRAND.com",HLOOKUP($X300&amp;$Z300,PLANNING_FC!$BB$4:$BP$23,MATCH($W300,PLANNING_FC!$BA$4:$BA$23,0),FALSE),0),0)</f>
        <v>0</v>
      </c>
      <c r="AX300" s="58">
        <f>IFERROR(IF($V300="BRAND.com",HLOOKUP($X300&amp;$Z300,PLANNING_FC!$T$27:$AH$46,MATCH($W300,PLANNING_FC!$B$27:$B$46,0),FALSE),0),0)</f>
        <v>0</v>
      </c>
      <c r="AY300" s="58">
        <f>IFERROR(IF($V300="BRAND.com",HLOOKUP($X300&amp;$Z300,PLANNING_FC!$T$4:$AH$23,MATCH($W300,PLANNING_FC!$B$4:$B$23,0),FALSE),0),0)</f>
        <v>0</v>
      </c>
      <c r="AZ300" s="58">
        <f>IFERROR(IF($V300="BRAND.com",HLOOKUP($X300&amp;$Z300,PLANNING_FC!$DA$27:$DO$46,MATCH($W300,PLANNING_FC!$CZ$27:$CZ$46,0),FALSE),0),0)</f>
        <v>0</v>
      </c>
      <c r="BA300" s="58">
        <f>IFERROR(IF($V300="BRAND.com",HLOOKUP($X300&amp;$Z300,PLANNING_FC!$DA$4:$DO$23,MATCH($W300,PLANNING_FC!$CZ$4:$CZ$23,0),FALSE),0),0)</f>
        <v>0</v>
      </c>
      <c r="BB300" s="883" t="str">
        <f>IF(V300="BRAND.com",IFERROR(HLOOKUP(X300&amp;Z300,PLANNING_FC!$AK$4:$AY$23,MATCH(W300,PLANNING_FC!$AJ$4:$AJ$23,0),FALSE)*1000,""),"")</f>
        <v/>
      </c>
      <c r="BC300" s="883" t="str">
        <f>IF(V300="BRAND.com",IFERROR(HLOOKUP(X300&amp;Z300,PLANNING_FC!$AK$27:$AY$46,MATCH(W300,PLANNING_FC!$AJ$27:$AJ$46,0),FALSE)*1000,""),"")</f>
        <v/>
      </c>
    </row>
    <row r="301" spans="1:55" x14ac:dyDescent="0.25">
      <c r="A301" s="509"/>
      <c r="B301" s="509"/>
      <c r="C301" s="509"/>
      <c r="D301" s="509"/>
      <c r="E301" s="509"/>
      <c r="F301" s="509"/>
      <c r="G301" s="509"/>
      <c r="H301" s="509"/>
      <c r="I301" s="512"/>
      <c r="J301" s="513"/>
      <c r="K301" s="879"/>
      <c r="L301" s="515"/>
      <c r="M301" s="516"/>
      <c r="N301" s="56">
        <f t="shared" si="106"/>
        <v>0</v>
      </c>
      <c r="O301" s="57">
        <f t="shared" si="107"/>
        <v>0</v>
      </c>
      <c r="P301" s="57">
        <f ca="1">IFERROR(IF(ISBLANK(H301),SUMIFS($AC:$AC,$V:$V,V301,$W:$W,W301,$X:$X,X301,$Y:$Y,Y301)*J301/(1-J301)*VLOOKUP(_xlfn.CONCAT(C301,D301,E301,TIME!$M$12,Z301),HIS_SALES!$B$2:$W$4859,20,FALSE),AC301*J301/(1-J301)),0)</f>
        <v>0</v>
      </c>
      <c r="Q301" s="541" t="str">
        <f t="shared" si="108"/>
        <v/>
      </c>
      <c r="R301" s="346" t="str">
        <f t="shared" si="109"/>
        <v>00000</v>
      </c>
      <c r="S301" s="344">
        <f t="shared" si="110"/>
        <v>0</v>
      </c>
      <c r="T301" s="345" t="str">
        <f t="shared" si="123"/>
        <v>000</v>
      </c>
      <c r="U301" s="345">
        <f t="shared" si="111"/>
        <v>0</v>
      </c>
      <c r="V301" s="345">
        <f t="shared" si="112"/>
        <v>0</v>
      </c>
      <c r="W301" s="345">
        <f t="shared" si="113"/>
        <v>0</v>
      </c>
      <c r="X301" s="345">
        <f t="shared" si="114"/>
        <v>0</v>
      </c>
      <c r="Y301" s="345">
        <f t="shared" si="115"/>
        <v>0</v>
      </c>
      <c r="Z301" s="345">
        <f>IF(Q301&lt;&gt;"",VLOOKUP(Y301,TIME!$R$21:$V$24,MATCH(FC_DATA!Q301,TIME!$R$20:$V$20,0),FALSE),H301)</f>
        <v>0</v>
      </c>
      <c r="AA301" s="345" t="str">
        <f>IFERROR(VLOOKUP(X301&amp;Z301,TIME!$A$12:$D$71,4,FALSE),"")</f>
        <v/>
      </c>
      <c r="AB301" s="592">
        <f t="shared" ca="1" si="116"/>
        <v>0</v>
      </c>
      <c r="AC301" s="593" t="e">
        <f ca="1">IF(ISBLANK(H301)=FALSE,IF(D301="BRAND.com",I301,IF(ISNA(VLOOKUP(_xlfn.CONCAT(X301,Z301),TIME!$M$40:$M$42,1,FALSE)),I301,VLOOKUP(_xlfn.CONCAT(D301,G301,H301),M_BUSAREA_FC!$AF$5:$AJ$10,5,FALSE)*HLOOKUP(_xlfn.CONCAT(F301,H301),ST_OVERVIEW!$G$99:$I$130,MATCH(_xlfn.CONCAT(D301,E301),ST_OVERVIEW!$F$99:$F$130,0),FALSE))),IF(D301="BRAND.com",VLOOKUP(_xlfn.CONCAT(C301,D301,E301,TIME!$F$1,Z301),HIS_SALES!$B$2:$V$4859,19,FALSE)*I301,VLOOKUP(_xlfn.CONCAT(D301,F301,G301),Q_BUSAREA_FC!$AE$5:$AI$12,5,FALSE)*HLOOKUP(_xlfn.CONCAT(FC_DATA!F301,FC_DATA!G301),LT_OVERVIEW!$I$99:$M$130,MATCH(_xlfn.CONCAT(D301,FC_DATA!E301),LT_OVERVIEW!$H$99:$H$130,0),FALSE)*IFERROR(VLOOKUP(_xlfn.CONCAT(C301,D301,E301,TIME!$F$1,Z301),HIS_SALES!$B$2:$V$4859,19,FALSE),0)))</f>
        <v>#N/A</v>
      </c>
      <c r="AD301" s="341">
        <f t="shared" ca="1" si="117"/>
        <v>0</v>
      </c>
      <c r="AE301" s="363" t="str">
        <f t="shared" si="118"/>
        <v/>
      </c>
      <c r="AF301" s="342" t="str">
        <f t="shared" si="119"/>
        <v/>
      </c>
      <c r="AG301" s="411" t="e">
        <f ca="1">VLOOKUP(_xlfn.CONCAT(U301,V301,W301,VLOOKUP(X301&amp;Y301,TIME!$L$27:$O$34,4,FALSE),Y301),HIS_SALES!$A$2:$R$5093,18,FALSE)</f>
        <v>#N/A</v>
      </c>
      <c r="AH301" s="412" t="e">
        <f ca="1">IFERROR(IF(AND(V301=V300,W301=W300),0.5*(AB301+AB300)*AG301,(VLOOKUP(_xlfn.CONCAT(U301,V301,W301,X301,VLOOKUP(Z301,TIME!$S$28:$T$39,2,FALSE)),FC_DATA!$R$2:$AB$5000,MATCH("GS_I_M",FC_DATA!$R$1:$AB$1,0),FALSE)+FC_DATA!AB301)*0.5*FC_DATA!AG301),NA())</f>
        <v>#N/A</v>
      </c>
      <c r="AI301" s="491" t="e">
        <f ca="1">IF(V301="PARTNER.com",AH301,IF(AND(V301=V300,W301=W300),(1-AVERAGE(AD300,AD301))*AH301,(1-AVERAGE(AD301,VLOOKUP(_xlfn.CONCAT(U301,V301,W301,X301,M_BRAND_FC!$F$6),FC_DATA!$R$2:$AD$5000,MATCH("DISCOUNT_%_M",FC_DATA!$R$1:$AD$1,0),FALSE)))*AH301))</f>
        <v>#N/A</v>
      </c>
      <c r="AJ301" s="412" t="str">
        <f t="shared" ca="1" si="120"/>
        <v/>
      </c>
      <c r="AK301" s="413" t="str">
        <f>IFERROR(AE301/(Q_BRAND_FC!$T$24+1),"")</f>
        <v/>
      </c>
      <c r="AL301" s="88" t="str">
        <f t="shared" ca="1" si="121"/>
        <v/>
      </c>
      <c r="AM301" s="414" t="str">
        <f t="shared" ca="1" si="122"/>
        <v/>
      </c>
      <c r="AN301" s="58">
        <f>IFERROR(IF($V301="BRAND.com",HLOOKUP($X301&amp;$Z301,NWC_FC_NOOS!$C$4:$Q$23,MATCH(W301,NWC_FC_NOOS!$B$4:$B$23,0),FALSE),0),0)</f>
        <v>0</v>
      </c>
      <c r="AO301" s="57">
        <f>IFERROR(IF($V301="BRAND.com",HLOOKUP($X301&amp;$Z301,NWC_FC_NOOS!$T$4:$AH$23,MATCH(W301,NWC_FC_NOOS!$S$4:$S$23,0),FALSE),0),0)</f>
        <v>0</v>
      </c>
      <c r="AP301" s="57">
        <f>IFERROR(IF($V301="BRAND.com",HLOOKUP($X301&amp;$Z301,NWC_FC_NOOS!$C$50:$U$69,MATCH(W301,NWC_FC_NOOS!$B$50:$B$69,0),FALSE),0),0)</f>
        <v>0</v>
      </c>
      <c r="AQ301" s="58">
        <f>IFERROR(IF($V301="BRAND.com",HLOOKUP($X301&amp;$Z301,'NWC_FC_NON-NOOS'!$C$4:$Q$23,MATCH(W301,'NWC_FC_NON-NOOS'!$B$4:$B$23,0),FALSE),0),0)</f>
        <v>0</v>
      </c>
      <c r="AR301" s="57">
        <f>IFERROR(IF($V301="BRAND.com",HLOOKUP($X301&amp;$Z301,'NWC_FC_NON-NOOS'!$T$4:$AH$23,MATCH(W301,'NWC_FC_NON-NOOS'!$S$4:$S$23,0),FALSE),0),0)</f>
        <v>0</v>
      </c>
      <c r="AS301" s="57">
        <f>IFERROR(IF($V301="BRAND.com",HLOOKUP($X301&amp;$Z301,'NWC_FC_NON-NOOS'!$C$50:$U$69,MATCH(W301,'NWC_FC_NON-NOOS'!$B$50:$B$69,0),FALSE),0),0)</f>
        <v>0</v>
      </c>
      <c r="AT301" s="57">
        <f t="shared" si="124"/>
        <v>0</v>
      </c>
      <c r="AU301" s="57">
        <f t="shared" si="125"/>
        <v>0</v>
      </c>
      <c r="AV301" s="58">
        <f>IFERROR(IF($V301="BRAND.com",HLOOKUP($X301&amp;$Z301,PLANNING_FC!$BB$27:$BP$46,MATCH($W301,PLANNING_FC!$BA$27:$BA$46,0),FALSE),0),0)</f>
        <v>0</v>
      </c>
      <c r="AW301" s="58">
        <f>IFERROR(IF($V301="BRAND.com",HLOOKUP($X301&amp;$Z301,PLANNING_FC!$BB$4:$BP$23,MATCH($W301,PLANNING_FC!$BA$4:$BA$23,0),FALSE),0),0)</f>
        <v>0</v>
      </c>
      <c r="AX301" s="58">
        <f>IFERROR(IF($V301="BRAND.com",HLOOKUP($X301&amp;$Z301,PLANNING_FC!$T$27:$AH$46,MATCH($W301,PLANNING_FC!$B$27:$B$46,0),FALSE),0),0)</f>
        <v>0</v>
      </c>
      <c r="AY301" s="58">
        <f>IFERROR(IF($V301="BRAND.com",HLOOKUP($X301&amp;$Z301,PLANNING_FC!$T$4:$AH$23,MATCH($W301,PLANNING_FC!$B$4:$B$23,0),FALSE),0),0)</f>
        <v>0</v>
      </c>
      <c r="AZ301" s="58">
        <f>IFERROR(IF($V301="BRAND.com",HLOOKUP($X301&amp;$Z301,PLANNING_FC!$DA$27:$DO$46,MATCH($W301,PLANNING_FC!$CZ$27:$CZ$46,0),FALSE),0),0)</f>
        <v>0</v>
      </c>
      <c r="BA301" s="58">
        <f>IFERROR(IF($V301="BRAND.com",HLOOKUP($X301&amp;$Z301,PLANNING_FC!$DA$4:$DO$23,MATCH($W301,PLANNING_FC!$CZ$4:$CZ$23,0),FALSE),0),0)</f>
        <v>0</v>
      </c>
      <c r="BB301" s="883" t="str">
        <f>IF(V301="BRAND.com",IFERROR(HLOOKUP(X301&amp;Z301,PLANNING_FC!$AK$4:$AY$23,MATCH(W301,PLANNING_FC!$AJ$4:$AJ$23,0),FALSE)*1000,""),"")</f>
        <v/>
      </c>
      <c r="BC301" s="883" t="str">
        <f>IF(V301="BRAND.com",IFERROR(HLOOKUP(X301&amp;Z301,PLANNING_FC!$AK$27:$AY$46,MATCH(W301,PLANNING_FC!$AJ$27:$AJ$46,0),FALSE)*1000,""),"")</f>
        <v/>
      </c>
    </row>
    <row r="302" spans="1:55" x14ac:dyDescent="0.25">
      <c r="A302" s="509"/>
      <c r="B302" s="509"/>
      <c r="C302" s="509"/>
      <c r="D302" s="509"/>
      <c r="E302" s="509"/>
      <c r="F302" s="509"/>
      <c r="G302" s="509"/>
      <c r="H302" s="509"/>
      <c r="I302" s="512"/>
      <c r="J302" s="513"/>
      <c r="K302" s="879"/>
      <c r="L302" s="515"/>
      <c r="M302" s="516"/>
      <c r="N302" s="56">
        <f t="shared" si="106"/>
        <v>0</v>
      </c>
      <c r="O302" s="57">
        <f t="shared" si="107"/>
        <v>0</v>
      </c>
      <c r="P302" s="57">
        <f ca="1">IFERROR(IF(ISBLANK(H302),SUMIFS($AC:$AC,$V:$V,V302,$W:$W,W302,$X:$X,X302,$Y:$Y,Y302)*J302/(1-J302)*VLOOKUP(_xlfn.CONCAT(C302,D302,E302,TIME!$M$12,Z302),HIS_SALES!$B$2:$W$4859,20,FALSE),AC302*J302/(1-J302)),0)</f>
        <v>0</v>
      </c>
      <c r="Q302" s="541" t="str">
        <f t="shared" si="108"/>
        <v/>
      </c>
      <c r="R302" s="346" t="str">
        <f t="shared" si="109"/>
        <v>00000</v>
      </c>
      <c r="S302" s="344">
        <f t="shared" si="110"/>
        <v>0</v>
      </c>
      <c r="T302" s="345" t="str">
        <f t="shared" si="123"/>
        <v>000</v>
      </c>
      <c r="U302" s="345">
        <f t="shared" si="111"/>
        <v>0</v>
      </c>
      <c r="V302" s="345">
        <f t="shared" si="112"/>
        <v>0</v>
      </c>
      <c r="W302" s="345">
        <f t="shared" si="113"/>
        <v>0</v>
      </c>
      <c r="X302" s="345">
        <f t="shared" si="114"/>
        <v>0</v>
      </c>
      <c r="Y302" s="345">
        <f t="shared" si="115"/>
        <v>0</v>
      </c>
      <c r="Z302" s="345">
        <f>IF(Q302&lt;&gt;"",VLOOKUP(Y302,TIME!$R$21:$V$24,MATCH(FC_DATA!Q302,TIME!$R$20:$V$20,0),FALSE),H302)</f>
        <v>0</v>
      </c>
      <c r="AA302" s="345" t="str">
        <f>IFERROR(VLOOKUP(X302&amp;Z302,TIME!$A$12:$D$71,4,FALSE),"")</f>
        <v/>
      </c>
      <c r="AB302" s="592">
        <f t="shared" ca="1" si="116"/>
        <v>0</v>
      </c>
      <c r="AC302" s="593" t="e">
        <f ca="1">IF(ISBLANK(H302)=FALSE,IF(D302="BRAND.com",I302,IF(ISNA(VLOOKUP(_xlfn.CONCAT(X302,Z302),TIME!$M$40:$M$42,1,FALSE)),I302,VLOOKUP(_xlfn.CONCAT(D302,G302,H302),M_BUSAREA_FC!$AF$5:$AJ$10,5,FALSE)*HLOOKUP(_xlfn.CONCAT(F302,H302),ST_OVERVIEW!$G$99:$I$130,MATCH(_xlfn.CONCAT(D302,E302),ST_OVERVIEW!$F$99:$F$130,0),FALSE))),IF(D302="BRAND.com",VLOOKUP(_xlfn.CONCAT(C302,D302,E302,TIME!$F$1,Z302),HIS_SALES!$B$2:$V$4859,19,FALSE)*I302,VLOOKUP(_xlfn.CONCAT(D302,F302,G302),Q_BUSAREA_FC!$AE$5:$AI$12,5,FALSE)*HLOOKUP(_xlfn.CONCAT(FC_DATA!F302,FC_DATA!G302),LT_OVERVIEW!$I$99:$M$130,MATCH(_xlfn.CONCAT(D302,FC_DATA!E302),LT_OVERVIEW!$H$99:$H$130,0),FALSE)*IFERROR(VLOOKUP(_xlfn.CONCAT(C302,D302,E302,TIME!$F$1,Z302),HIS_SALES!$B$2:$V$4859,19,FALSE),0)))</f>
        <v>#N/A</v>
      </c>
      <c r="AD302" s="341">
        <f t="shared" ca="1" si="117"/>
        <v>0</v>
      </c>
      <c r="AE302" s="363" t="str">
        <f t="shared" si="118"/>
        <v/>
      </c>
      <c r="AF302" s="342" t="str">
        <f t="shared" si="119"/>
        <v/>
      </c>
      <c r="AG302" s="411" t="e">
        <f ca="1">VLOOKUP(_xlfn.CONCAT(U302,V302,W302,VLOOKUP(X302&amp;Y302,TIME!$L$27:$O$34,4,FALSE),Y302),HIS_SALES!$A$2:$R$5093,18,FALSE)</f>
        <v>#N/A</v>
      </c>
      <c r="AH302" s="412" t="e">
        <f ca="1">IFERROR(IF(AND(V302=V301,W302=W301),0.5*(AB302+AB301)*AG302,(VLOOKUP(_xlfn.CONCAT(U302,V302,W302,X302,VLOOKUP(Z302,TIME!$S$28:$T$39,2,FALSE)),FC_DATA!$R$2:$AB$5000,MATCH("GS_I_M",FC_DATA!$R$1:$AB$1,0),FALSE)+FC_DATA!AB302)*0.5*FC_DATA!AG302),NA())</f>
        <v>#N/A</v>
      </c>
      <c r="AI302" s="491" t="e">
        <f ca="1">IF(V302="PARTNER.com",AH302,IF(AND(V302=V301,W302=W301),(1-AVERAGE(AD301,AD302))*AH302,(1-AVERAGE(AD302,VLOOKUP(_xlfn.CONCAT(U302,V302,W302,X302,M_BRAND_FC!$F$6),FC_DATA!$R$2:$AD$5000,MATCH("DISCOUNT_%_M",FC_DATA!$R$1:$AD$1,0),FALSE)))*AH302))</f>
        <v>#N/A</v>
      </c>
      <c r="AJ302" s="412" t="str">
        <f t="shared" ca="1" si="120"/>
        <v/>
      </c>
      <c r="AK302" s="413" t="str">
        <f>IFERROR(AE302/(Q_BRAND_FC!$T$24+1),"")</f>
        <v/>
      </c>
      <c r="AL302" s="88" t="str">
        <f t="shared" ca="1" si="121"/>
        <v/>
      </c>
      <c r="AM302" s="414" t="str">
        <f t="shared" ca="1" si="122"/>
        <v/>
      </c>
      <c r="AN302" s="58">
        <f>IFERROR(IF($V302="BRAND.com",HLOOKUP($X302&amp;$Z302,NWC_FC_NOOS!$C$4:$Q$23,MATCH(W302,NWC_FC_NOOS!$B$4:$B$23,0),FALSE),0),0)</f>
        <v>0</v>
      </c>
      <c r="AO302" s="57">
        <f>IFERROR(IF($V302="BRAND.com",HLOOKUP($X302&amp;$Z302,NWC_FC_NOOS!$T$4:$AH$23,MATCH(W302,NWC_FC_NOOS!$S$4:$S$23,0),FALSE),0),0)</f>
        <v>0</v>
      </c>
      <c r="AP302" s="57">
        <f>IFERROR(IF($V302="BRAND.com",HLOOKUP($X302&amp;$Z302,NWC_FC_NOOS!$C$50:$U$69,MATCH(W302,NWC_FC_NOOS!$B$50:$B$69,0),FALSE),0),0)</f>
        <v>0</v>
      </c>
      <c r="AQ302" s="58">
        <f>IFERROR(IF($V302="BRAND.com",HLOOKUP($X302&amp;$Z302,'NWC_FC_NON-NOOS'!$C$4:$Q$23,MATCH(W302,'NWC_FC_NON-NOOS'!$B$4:$B$23,0),FALSE),0),0)</f>
        <v>0</v>
      </c>
      <c r="AR302" s="57">
        <f>IFERROR(IF($V302="BRAND.com",HLOOKUP($X302&amp;$Z302,'NWC_FC_NON-NOOS'!$T$4:$AH$23,MATCH(W302,'NWC_FC_NON-NOOS'!$S$4:$S$23,0),FALSE),0),0)</f>
        <v>0</v>
      </c>
      <c r="AS302" s="57">
        <f>IFERROR(IF($V302="BRAND.com",HLOOKUP($X302&amp;$Z302,'NWC_FC_NON-NOOS'!$C$50:$U$69,MATCH(W302,'NWC_FC_NON-NOOS'!$B$50:$B$69,0),FALSE),0),0)</f>
        <v>0</v>
      </c>
      <c r="AT302" s="57">
        <f t="shared" si="124"/>
        <v>0</v>
      </c>
      <c r="AU302" s="57">
        <f t="shared" si="125"/>
        <v>0</v>
      </c>
      <c r="AV302" s="58">
        <f>IFERROR(IF($V302="BRAND.com",HLOOKUP($X302&amp;$Z302,PLANNING_FC!$BB$27:$BP$46,MATCH($W302,PLANNING_FC!$BA$27:$BA$46,0),FALSE),0),0)</f>
        <v>0</v>
      </c>
      <c r="AW302" s="58">
        <f>IFERROR(IF($V302="BRAND.com",HLOOKUP($X302&amp;$Z302,PLANNING_FC!$BB$4:$BP$23,MATCH($W302,PLANNING_FC!$BA$4:$BA$23,0),FALSE),0),0)</f>
        <v>0</v>
      </c>
      <c r="AX302" s="58">
        <f>IFERROR(IF($V302="BRAND.com",HLOOKUP($X302&amp;$Z302,PLANNING_FC!$T$27:$AH$46,MATCH($W302,PLANNING_FC!$B$27:$B$46,0),FALSE),0),0)</f>
        <v>0</v>
      </c>
      <c r="AY302" s="58">
        <f>IFERROR(IF($V302="BRAND.com",HLOOKUP($X302&amp;$Z302,PLANNING_FC!$T$4:$AH$23,MATCH($W302,PLANNING_FC!$B$4:$B$23,0),FALSE),0),0)</f>
        <v>0</v>
      </c>
      <c r="AZ302" s="58">
        <f>IFERROR(IF($V302="BRAND.com",HLOOKUP($X302&amp;$Z302,PLANNING_FC!$DA$27:$DO$46,MATCH($W302,PLANNING_FC!$CZ$27:$CZ$46,0),FALSE),0),0)</f>
        <v>0</v>
      </c>
      <c r="BA302" s="58">
        <f>IFERROR(IF($V302="BRAND.com",HLOOKUP($X302&amp;$Z302,PLANNING_FC!$DA$4:$DO$23,MATCH($W302,PLANNING_FC!$CZ$4:$CZ$23,0),FALSE),0),0)</f>
        <v>0</v>
      </c>
      <c r="BB302" s="883" t="str">
        <f>IF(V302="BRAND.com",IFERROR(HLOOKUP(X302&amp;Z302,PLANNING_FC!$AK$4:$AY$23,MATCH(W302,PLANNING_FC!$AJ$4:$AJ$23,0),FALSE)*1000,""),"")</f>
        <v/>
      </c>
      <c r="BC302" s="883" t="str">
        <f>IF(V302="BRAND.com",IFERROR(HLOOKUP(X302&amp;Z302,PLANNING_FC!$AK$27:$AY$46,MATCH(W302,PLANNING_FC!$AJ$27:$AJ$46,0),FALSE)*1000,""),"")</f>
        <v/>
      </c>
    </row>
    <row r="303" spans="1:55" x14ac:dyDescent="0.25">
      <c r="A303" s="509"/>
      <c r="B303" s="509"/>
      <c r="C303" s="509"/>
      <c r="D303" s="509"/>
      <c r="E303" s="509"/>
      <c r="F303" s="509"/>
      <c r="G303" s="509"/>
      <c r="H303" s="509"/>
      <c r="I303" s="512"/>
      <c r="J303" s="513"/>
      <c r="K303" s="879"/>
      <c r="L303" s="515"/>
      <c r="M303" s="516"/>
      <c r="N303" s="56">
        <f t="shared" si="106"/>
        <v>0</v>
      </c>
      <c r="O303" s="57">
        <f t="shared" si="107"/>
        <v>0</v>
      </c>
      <c r="P303" s="57">
        <f ca="1">IFERROR(IF(ISBLANK(H303),SUMIFS($AC:$AC,$V:$V,V303,$W:$W,W303,$X:$X,X303,$Y:$Y,Y303)*J303/(1-J303)*VLOOKUP(_xlfn.CONCAT(C303,D303,E303,TIME!$M$12,Z303),HIS_SALES!$B$2:$W$4859,20,FALSE),AC303*J303/(1-J303)),0)</f>
        <v>0</v>
      </c>
      <c r="Q303" s="541" t="str">
        <f t="shared" si="108"/>
        <v/>
      </c>
      <c r="R303" s="346" t="str">
        <f t="shared" si="109"/>
        <v>00000</v>
      </c>
      <c r="S303" s="344">
        <f t="shared" si="110"/>
        <v>0</v>
      </c>
      <c r="T303" s="345" t="str">
        <f t="shared" si="123"/>
        <v>000</v>
      </c>
      <c r="U303" s="345">
        <f t="shared" si="111"/>
        <v>0</v>
      </c>
      <c r="V303" s="345">
        <f t="shared" si="112"/>
        <v>0</v>
      </c>
      <c r="W303" s="345">
        <f t="shared" si="113"/>
        <v>0</v>
      </c>
      <c r="X303" s="345">
        <f t="shared" si="114"/>
        <v>0</v>
      </c>
      <c r="Y303" s="345">
        <f t="shared" si="115"/>
        <v>0</v>
      </c>
      <c r="Z303" s="345">
        <f>IF(Q303&lt;&gt;"",VLOOKUP(Y303,TIME!$R$21:$V$24,MATCH(FC_DATA!Q303,TIME!$R$20:$V$20,0),FALSE),H303)</f>
        <v>0</v>
      </c>
      <c r="AA303" s="345" t="str">
        <f>IFERROR(VLOOKUP(X303&amp;Z303,TIME!$A$12:$D$71,4,FALSE),"")</f>
        <v/>
      </c>
      <c r="AB303" s="592">
        <f t="shared" ca="1" si="116"/>
        <v>0</v>
      </c>
      <c r="AC303" s="593" t="e">
        <f ca="1">IF(ISBLANK(H303)=FALSE,IF(D303="BRAND.com",I303,IF(ISNA(VLOOKUP(_xlfn.CONCAT(X303,Z303),TIME!$M$40:$M$42,1,FALSE)),I303,VLOOKUP(_xlfn.CONCAT(D303,G303,H303),M_BUSAREA_FC!$AF$5:$AJ$10,5,FALSE)*HLOOKUP(_xlfn.CONCAT(F303,H303),ST_OVERVIEW!$G$99:$I$130,MATCH(_xlfn.CONCAT(D303,E303),ST_OVERVIEW!$F$99:$F$130,0),FALSE))),IF(D303="BRAND.com",VLOOKUP(_xlfn.CONCAT(C303,D303,E303,TIME!$F$1,Z303),HIS_SALES!$B$2:$V$4859,19,FALSE)*I303,VLOOKUP(_xlfn.CONCAT(D303,F303,G303),Q_BUSAREA_FC!$AE$5:$AI$12,5,FALSE)*HLOOKUP(_xlfn.CONCAT(FC_DATA!F303,FC_DATA!G303),LT_OVERVIEW!$I$99:$M$130,MATCH(_xlfn.CONCAT(D303,FC_DATA!E303),LT_OVERVIEW!$H$99:$H$130,0),FALSE)*IFERROR(VLOOKUP(_xlfn.CONCAT(C303,D303,E303,TIME!$F$1,Z303),HIS_SALES!$B$2:$V$4859,19,FALSE),0)))</f>
        <v>#N/A</v>
      </c>
      <c r="AD303" s="341">
        <f t="shared" ca="1" si="117"/>
        <v>0</v>
      </c>
      <c r="AE303" s="363" t="str">
        <f t="shared" si="118"/>
        <v/>
      </c>
      <c r="AF303" s="342" t="str">
        <f t="shared" si="119"/>
        <v/>
      </c>
      <c r="AG303" s="411" t="e">
        <f ca="1">VLOOKUP(_xlfn.CONCAT(U303,V303,W303,VLOOKUP(X303&amp;Y303,TIME!$L$27:$O$34,4,FALSE),Y303),HIS_SALES!$A$2:$R$5093,18,FALSE)</f>
        <v>#N/A</v>
      </c>
      <c r="AH303" s="412" t="e">
        <f ca="1">IFERROR(IF(AND(V303=V302,W303=W302),0.5*(AB303+AB302)*AG303,(VLOOKUP(_xlfn.CONCAT(U303,V303,W303,X303,VLOOKUP(Z303,TIME!$S$28:$T$39,2,FALSE)),FC_DATA!$R$2:$AB$5000,MATCH("GS_I_M",FC_DATA!$R$1:$AB$1,0),FALSE)+FC_DATA!AB303)*0.5*FC_DATA!AG303),NA())</f>
        <v>#N/A</v>
      </c>
      <c r="AI303" s="491" t="e">
        <f ca="1">IF(V303="PARTNER.com",AH303,IF(AND(V303=V302,W303=W302),(1-AVERAGE(AD302,AD303))*AH303,(1-AVERAGE(AD303,VLOOKUP(_xlfn.CONCAT(U303,V303,W303,X303,M_BRAND_FC!$F$6),FC_DATA!$R$2:$AD$5000,MATCH("DISCOUNT_%_M",FC_DATA!$R$1:$AD$1,0),FALSE)))*AH303))</f>
        <v>#N/A</v>
      </c>
      <c r="AJ303" s="412" t="str">
        <f t="shared" ca="1" si="120"/>
        <v/>
      </c>
      <c r="AK303" s="413" t="str">
        <f>IFERROR(AE303/(Q_BRAND_FC!$T$24+1),"")</f>
        <v/>
      </c>
      <c r="AL303" s="88" t="str">
        <f t="shared" ca="1" si="121"/>
        <v/>
      </c>
      <c r="AM303" s="414" t="str">
        <f t="shared" ca="1" si="122"/>
        <v/>
      </c>
      <c r="AN303" s="58">
        <f>IFERROR(IF($V303="BRAND.com",HLOOKUP($X303&amp;$Z303,NWC_FC_NOOS!$C$4:$Q$23,MATCH(W303,NWC_FC_NOOS!$B$4:$B$23,0),FALSE),0),0)</f>
        <v>0</v>
      </c>
      <c r="AO303" s="57">
        <f>IFERROR(IF($V303="BRAND.com",HLOOKUP($X303&amp;$Z303,NWC_FC_NOOS!$T$4:$AH$23,MATCH(W303,NWC_FC_NOOS!$S$4:$S$23,0),FALSE),0),0)</f>
        <v>0</v>
      </c>
      <c r="AP303" s="57">
        <f>IFERROR(IF($V303="BRAND.com",HLOOKUP($X303&amp;$Z303,NWC_FC_NOOS!$C$50:$U$69,MATCH(W303,NWC_FC_NOOS!$B$50:$B$69,0),FALSE),0),0)</f>
        <v>0</v>
      </c>
      <c r="AQ303" s="58">
        <f>IFERROR(IF($V303="BRAND.com",HLOOKUP($X303&amp;$Z303,'NWC_FC_NON-NOOS'!$C$4:$Q$23,MATCH(W303,'NWC_FC_NON-NOOS'!$B$4:$B$23,0),FALSE),0),0)</f>
        <v>0</v>
      </c>
      <c r="AR303" s="57">
        <f>IFERROR(IF($V303="BRAND.com",HLOOKUP($X303&amp;$Z303,'NWC_FC_NON-NOOS'!$T$4:$AH$23,MATCH(W303,'NWC_FC_NON-NOOS'!$S$4:$S$23,0),FALSE),0),0)</f>
        <v>0</v>
      </c>
      <c r="AS303" s="57">
        <f>IFERROR(IF($V303="BRAND.com",HLOOKUP($X303&amp;$Z303,'NWC_FC_NON-NOOS'!$C$50:$U$69,MATCH(W303,'NWC_FC_NON-NOOS'!$B$50:$B$69,0),FALSE),0),0)</f>
        <v>0</v>
      </c>
      <c r="AT303" s="57">
        <f t="shared" si="124"/>
        <v>0</v>
      </c>
      <c r="AU303" s="57">
        <f t="shared" si="125"/>
        <v>0</v>
      </c>
      <c r="AV303" s="58">
        <f>IFERROR(IF($V303="BRAND.com",HLOOKUP($X303&amp;$Z303,PLANNING_FC!$BB$27:$BP$46,MATCH($W303,PLANNING_FC!$BA$27:$BA$46,0),FALSE),0),0)</f>
        <v>0</v>
      </c>
      <c r="AW303" s="58">
        <f>IFERROR(IF($V303="BRAND.com",HLOOKUP($X303&amp;$Z303,PLANNING_FC!$BB$4:$BP$23,MATCH($W303,PLANNING_FC!$BA$4:$BA$23,0),FALSE),0),0)</f>
        <v>0</v>
      </c>
      <c r="AX303" s="58">
        <f>IFERROR(IF($V303="BRAND.com",HLOOKUP($X303&amp;$Z303,PLANNING_FC!$T$27:$AH$46,MATCH($W303,PLANNING_FC!$B$27:$B$46,0),FALSE),0),0)</f>
        <v>0</v>
      </c>
      <c r="AY303" s="58">
        <f>IFERROR(IF($V303="BRAND.com",HLOOKUP($X303&amp;$Z303,PLANNING_FC!$T$4:$AH$23,MATCH($W303,PLANNING_FC!$B$4:$B$23,0),FALSE),0),0)</f>
        <v>0</v>
      </c>
      <c r="AZ303" s="58">
        <f>IFERROR(IF($V303="BRAND.com",HLOOKUP($X303&amp;$Z303,PLANNING_FC!$DA$27:$DO$46,MATCH($W303,PLANNING_FC!$CZ$27:$CZ$46,0),FALSE),0),0)</f>
        <v>0</v>
      </c>
      <c r="BA303" s="58">
        <f>IFERROR(IF($V303="BRAND.com",HLOOKUP($X303&amp;$Z303,PLANNING_FC!$DA$4:$DO$23,MATCH($W303,PLANNING_FC!$CZ$4:$CZ$23,0),FALSE),0),0)</f>
        <v>0</v>
      </c>
      <c r="BB303" s="883" t="str">
        <f>IF(V303="BRAND.com",IFERROR(HLOOKUP(X303&amp;Z303,PLANNING_FC!$AK$4:$AY$23,MATCH(W303,PLANNING_FC!$AJ$4:$AJ$23,0),FALSE)*1000,""),"")</f>
        <v/>
      </c>
      <c r="BC303" s="883" t="str">
        <f>IF(V303="BRAND.com",IFERROR(HLOOKUP(X303&amp;Z303,PLANNING_FC!$AK$27:$AY$46,MATCH(W303,PLANNING_FC!$AJ$27:$AJ$46,0),FALSE)*1000,""),"")</f>
        <v/>
      </c>
    </row>
    <row r="304" spans="1:55" x14ac:dyDescent="0.25">
      <c r="A304" s="509"/>
      <c r="B304" s="509"/>
      <c r="C304" s="509"/>
      <c r="D304" s="509"/>
      <c r="E304" s="509"/>
      <c r="F304" s="509"/>
      <c r="G304" s="509"/>
      <c r="H304" s="509"/>
      <c r="I304" s="512"/>
      <c r="J304" s="513"/>
      <c r="K304" s="879"/>
      <c r="L304" s="515"/>
      <c r="M304" s="516"/>
      <c r="N304" s="56">
        <f t="shared" si="106"/>
        <v>0</v>
      </c>
      <c r="O304" s="57">
        <f t="shared" si="107"/>
        <v>0</v>
      </c>
      <c r="P304" s="57">
        <f ca="1">IFERROR(IF(ISBLANK(H304),SUMIFS($AC:$AC,$V:$V,V304,$W:$W,W304,$X:$X,X304,$Y:$Y,Y304)*J304/(1-J304)*VLOOKUP(_xlfn.CONCAT(C304,D304,E304,TIME!$M$12,Z304),HIS_SALES!$B$2:$W$4859,20,FALSE),AC304*J304/(1-J304)),0)</f>
        <v>0</v>
      </c>
      <c r="Q304" s="541" t="str">
        <f t="shared" si="108"/>
        <v/>
      </c>
      <c r="R304" s="346" t="str">
        <f t="shared" si="109"/>
        <v>00000</v>
      </c>
      <c r="S304" s="344">
        <f t="shared" si="110"/>
        <v>0</v>
      </c>
      <c r="T304" s="345" t="str">
        <f t="shared" si="123"/>
        <v>000</v>
      </c>
      <c r="U304" s="345">
        <f t="shared" si="111"/>
        <v>0</v>
      </c>
      <c r="V304" s="345">
        <f t="shared" si="112"/>
        <v>0</v>
      </c>
      <c r="W304" s="345">
        <f t="shared" si="113"/>
        <v>0</v>
      </c>
      <c r="X304" s="345">
        <f t="shared" si="114"/>
        <v>0</v>
      </c>
      <c r="Y304" s="345">
        <f t="shared" si="115"/>
        <v>0</v>
      </c>
      <c r="Z304" s="345">
        <f>IF(Q304&lt;&gt;"",VLOOKUP(Y304,TIME!$R$21:$V$24,MATCH(FC_DATA!Q304,TIME!$R$20:$V$20,0),FALSE),H304)</f>
        <v>0</v>
      </c>
      <c r="AA304" s="345" t="str">
        <f>IFERROR(VLOOKUP(X304&amp;Z304,TIME!$A$12:$D$71,4,FALSE),"")</f>
        <v/>
      </c>
      <c r="AB304" s="592">
        <f t="shared" ca="1" si="116"/>
        <v>0</v>
      </c>
      <c r="AC304" s="593" t="e">
        <f ca="1">IF(ISBLANK(H304)=FALSE,IF(D304="BRAND.com",I304,IF(ISNA(VLOOKUP(_xlfn.CONCAT(X304,Z304),TIME!$M$40:$M$42,1,FALSE)),I304,VLOOKUP(_xlfn.CONCAT(D304,G304,H304),M_BUSAREA_FC!$AF$5:$AJ$10,5,FALSE)*HLOOKUP(_xlfn.CONCAT(F304,H304),ST_OVERVIEW!$G$99:$I$130,MATCH(_xlfn.CONCAT(D304,E304),ST_OVERVIEW!$F$99:$F$130,0),FALSE))),IF(D304="BRAND.com",VLOOKUP(_xlfn.CONCAT(C304,D304,E304,TIME!$F$1,Z304),HIS_SALES!$B$2:$V$4859,19,FALSE)*I304,VLOOKUP(_xlfn.CONCAT(D304,F304,G304),Q_BUSAREA_FC!$AE$5:$AI$12,5,FALSE)*HLOOKUP(_xlfn.CONCAT(FC_DATA!F304,FC_DATA!G304),LT_OVERVIEW!$I$99:$M$130,MATCH(_xlfn.CONCAT(D304,FC_DATA!E304),LT_OVERVIEW!$H$99:$H$130,0),FALSE)*IFERROR(VLOOKUP(_xlfn.CONCAT(C304,D304,E304,TIME!$F$1,Z304),HIS_SALES!$B$2:$V$4859,19,FALSE),0)))</f>
        <v>#N/A</v>
      </c>
      <c r="AD304" s="341">
        <f t="shared" ca="1" si="117"/>
        <v>0</v>
      </c>
      <c r="AE304" s="363" t="str">
        <f t="shared" si="118"/>
        <v/>
      </c>
      <c r="AF304" s="342" t="str">
        <f t="shared" si="119"/>
        <v/>
      </c>
      <c r="AG304" s="411" t="e">
        <f ca="1">VLOOKUP(_xlfn.CONCAT(U304,V304,W304,VLOOKUP(X304&amp;Y304,TIME!$L$27:$O$34,4,FALSE),Y304),HIS_SALES!$A$2:$R$5093,18,FALSE)</f>
        <v>#N/A</v>
      </c>
      <c r="AH304" s="412" t="e">
        <f ca="1">IFERROR(IF(AND(V304=V303,W304=W303),0.5*(AB304+AB303)*AG304,(VLOOKUP(_xlfn.CONCAT(U304,V304,W304,X304,VLOOKUP(Z304,TIME!$S$28:$T$39,2,FALSE)),FC_DATA!$R$2:$AB$5000,MATCH("GS_I_M",FC_DATA!$R$1:$AB$1,0),FALSE)+FC_DATA!AB304)*0.5*FC_DATA!AG304),NA())</f>
        <v>#N/A</v>
      </c>
      <c r="AI304" s="491" t="e">
        <f ca="1">IF(V304="PARTNER.com",AH304,IF(AND(V304=V303,W304=W303),(1-AVERAGE(AD303,AD304))*AH304,(1-AVERAGE(AD304,VLOOKUP(_xlfn.CONCAT(U304,V304,W304,X304,M_BRAND_FC!$F$6),FC_DATA!$R$2:$AD$5000,MATCH("DISCOUNT_%_M",FC_DATA!$R$1:$AD$1,0),FALSE)))*AH304))</f>
        <v>#N/A</v>
      </c>
      <c r="AJ304" s="412" t="str">
        <f t="shared" ca="1" si="120"/>
        <v/>
      </c>
      <c r="AK304" s="413" t="str">
        <f>IFERROR(AE304/(Q_BRAND_FC!$T$24+1),"")</f>
        <v/>
      </c>
      <c r="AL304" s="88" t="str">
        <f t="shared" ca="1" si="121"/>
        <v/>
      </c>
      <c r="AM304" s="414" t="str">
        <f t="shared" ca="1" si="122"/>
        <v/>
      </c>
      <c r="AN304" s="58">
        <f>IFERROR(IF($V304="BRAND.com",HLOOKUP($X304&amp;$Z304,NWC_FC_NOOS!$C$4:$Q$23,MATCH(W304,NWC_FC_NOOS!$B$4:$B$23,0),FALSE),0),0)</f>
        <v>0</v>
      </c>
      <c r="AO304" s="57">
        <f>IFERROR(IF($V304="BRAND.com",HLOOKUP($X304&amp;$Z304,NWC_FC_NOOS!$T$4:$AH$23,MATCH(W304,NWC_FC_NOOS!$S$4:$S$23,0),FALSE),0),0)</f>
        <v>0</v>
      </c>
      <c r="AP304" s="57">
        <f>IFERROR(IF($V304="BRAND.com",HLOOKUP($X304&amp;$Z304,NWC_FC_NOOS!$C$50:$U$69,MATCH(W304,NWC_FC_NOOS!$B$50:$B$69,0),FALSE),0),0)</f>
        <v>0</v>
      </c>
      <c r="AQ304" s="58">
        <f>IFERROR(IF($V304="BRAND.com",HLOOKUP($X304&amp;$Z304,'NWC_FC_NON-NOOS'!$C$4:$Q$23,MATCH(W304,'NWC_FC_NON-NOOS'!$B$4:$B$23,0),FALSE),0),0)</f>
        <v>0</v>
      </c>
      <c r="AR304" s="57">
        <f>IFERROR(IF($V304="BRAND.com",HLOOKUP($X304&amp;$Z304,'NWC_FC_NON-NOOS'!$T$4:$AH$23,MATCH(W304,'NWC_FC_NON-NOOS'!$S$4:$S$23,0),FALSE),0),0)</f>
        <v>0</v>
      </c>
      <c r="AS304" s="57">
        <f>IFERROR(IF($V304="BRAND.com",HLOOKUP($X304&amp;$Z304,'NWC_FC_NON-NOOS'!$C$50:$U$69,MATCH(W304,'NWC_FC_NON-NOOS'!$B$50:$B$69,0),FALSE),0),0)</f>
        <v>0</v>
      </c>
      <c r="AT304" s="57">
        <f t="shared" si="124"/>
        <v>0</v>
      </c>
      <c r="AU304" s="57">
        <f t="shared" si="125"/>
        <v>0</v>
      </c>
      <c r="AV304" s="58">
        <f>IFERROR(IF($V304="BRAND.com",HLOOKUP($X304&amp;$Z304,PLANNING_FC!$BB$27:$BP$46,MATCH($W304,PLANNING_FC!$BA$27:$BA$46,0),FALSE),0),0)</f>
        <v>0</v>
      </c>
      <c r="AW304" s="58">
        <f>IFERROR(IF($V304="BRAND.com",HLOOKUP($X304&amp;$Z304,PLANNING_FC!$BB$4:$BP$23,MATCH($W304,PLANNING_FC!$BA$4:$BA$23,0),FALSE),0),0)</f>
        <v>0</v>
      </c>
      <c r="AX304" s="58">
        <f>IFERROR(IF($V304="BRAND.com",HLOOKUP($X304&amp;$Z304,PLANNING_FC!$T$27:$AH$46,MATCH($W304,PLANNING_FC!$B$27:$B$46,0),FALSE),0),0)</f>
        <v>0</v>
      </c>
      <c r="AY304" s="58">
        <f>IFERROR(IF($V304="BRAND.com",HLOOKUP($X304&amp;$Z304,PLANNING_FC!$T$4:$AH$23,MATCH($W304,PLANNING_FC!$B$4:$B$23,0),FALSE),0),0)</f>
        <v>0</v>
      </c>
      <c r="AZ304" s="58">
        <f>IFERROR(IF($V304="BRAND.com",HLOOKUP($X304&amp;$Z304,PLANNING_FC!$DA$27:$DO$46,MATCH($W304,PLANNING_FC!$CZ$27:$CZ$46,0),FALSE),0),0)</f>
        <v>0</v>
      </c>
      <c r="BA304" s="58">
        <f>IFERROR(IF($V304="BRAND.com",HLOOKUP($X304&amp;$Z304,PLANNING_FC!$DA$4:$DO$23,MATCH($W304,PLANNING_FC!$CZ$4:$CZ$23,0),FALSE),0),0)</f>
        <v>0</v>
      </c>
      <c r="BB304" s="883" t="str">
        <f>IF(V304="BRAND.com",IFERROR(HLOOKUP(X304&amp;Z304,PLANNING_FC!$AK$4:$AY$23,MATCH(W304,PLANNING_FC!$AJ$4:$AJ$23,0),FALSE)*1000,""),"")</f>
        <v/>
      </c>
      <c r="BC304" s="883" t="str">
        <f>IF(V304="BRAND.com",IFERROR(HLOOKUP(X304&amp;Z304,PLANNING_FC!$AK$27:$AY$46,MATCH(W304,PLANNING_FC!$AJ$27:$AJ$46,0),FALSE)*1000,""),"")</f>
        <v/>
      </c>
    </row>
    <row r="305" spans="1:55" x14ac:dyDescent="0.25">
      <c r="A305" s="509"/>
      <c r="B305" s="509"/>
      <c r="C305" s="509"/>
      <c r="D305" s="509"/>
      <c r="E305" s="509"/>
      <c r="F305" s="509"/>
      <c r="G305" s="509"/>
      <c r="H305" s="509"/>
      <c r="I305" s="512"/>
      <c r="J305" s="513"/>
      <c r="K305" s="879"/>
      <c r="L305" s="515"/>
      <c r="M305" s="516"/>
      <c r="N305" s="56">
        <f t="shared" si="106"/>
        <v>0</v>
      </c>
      <c r="O305" s="57">
        <f t="shared" si="107"/>
        <v>0</v>
      </c>
      <c r="P305" s="57">
        <f ca="1">IFERROR(IF(ISBLANK(H305),SUMIFS($AC:$AC,$V:$V,V305,$W:$W,W305,$X:$X,X305,$Y:$Y,Y305)*J305/(1-J305)*VLOOKUP(_xlfn.CONCAT(C305,D305,E305,TIME!$M$12,Z305),HIS_SALES!$B$2:$W$4859,20,FALSE),AC305*J305/(1-J305)),0)</f>
        <v>0</v>
      </c>
      <c r="Q305" s="541" t="str">
        <f t="shared" si="108"/>
        <v/>
      </c>
      <c r="R305" s="346" t="str">
        <f t="shared" si="109"/>
        <v>00000</v>
      </c>
      <c r="S305" s="344">
        <f t="shared" si="110"/>
        <v>0</v>
      </c>
      <c r="T305" s="345" t="str">
        <f t="shared" si="123"/>
        <v>000</v>
      </c>
      <c r="U305" s="345">
        <f t="shared" si="111"/>
        <v>0</v>
      </c>
      <c r="V305" s="345">
        <f t="shared" si="112"/>
        <v>0</v>
      </c>
      <c r="W305" s="345">
        <f t="shared" si="113"/>
        <v>0</v>
      </c>
      <c r="X305" s="345">
        <f t="shared" si="114"/>
        <v>0</v>
      </c>
      <c r="Y305" s="345">
        <f t="shared" si="115"/>
        <v>0</v>
      </c>
      <c r="Z305" s="345">
        <f>IF(Q305&lt;&gt;"",VLOOKUP(Y305,TIME!$R$21:$V$24,MATCH(FC_DATA!Q305,TIME!$R$20:$V$20,0),FALSE),H305)</f>
        <v>0</v>
      </c>
      <c r="AA305" s="345" t="str">
        <f>IFERROR(VLOOKUP(X305&amp;Z305,TIME!$A$12:$D$71,4,FALSE),"")</f>
        <v/>
      </c>
      <c r="AB305" s="592">
        <f t="shared" ca="1" si="116"/>
        <v>0</v>
      </c>
      <c r="AC305" s="593" t="e">
        <f ca="1">IF(ISBLANK(H305)=FALSE,IF(D305="BRAND.com",I305,IF(ISNA(VLOOKUP(_xlfn.CONCAT(X305,Z305),TIME!$M$40:$M$42,1,FALSE)),I305,VLOOKUP(_xlfn.CONCAT(D305,G305,H305),M_BUSAREA_FC!$AF$5:$AJ$10,5,FALSE)*HLOOKUP(_xlfn.CONCAT(F305,H305),ST_OVERVIEW!$G$99:$I$130,MATCH(_xlfn.CONCAT(D305,E305),ST_OVERVIEW!$F$99:$F$130,0),FALSE))),IF(D305="BRAND.com",VLOOKUP(_xlfn.CONCAT(C305,D305,E305,TIME!$F$1,Z305),HIS_SALES!$B$2:$V$4859,19,FALSE)*I305,VLOOKUP(_xlfn.CONCAT(D305,F305,G305),Q_BUSAREA_FC!$AE$5:$AI$12,5,FALSE)*HLOOKUP(_xlfn.CONCAT(FC_DATA!F305,FC_DATA!G305),LT_OVERVIEW!$I$99:$M$130,MATCH(_xlfn.CONCAT(D305,FC_DATA!E305),LT_OVERVIEW!$H$99:$H$130,0),FALSE)*IFERROR(VLOOKUP(_xlfn.CONCAT(C305,D305,E305,TIME!$F$1,Z305),HIS_SALES!$B$2:$V$4859,19,FALSE),0)))</f>
        <v>#N/A</v>
      </c>
      <c r="AD305" s="341">
        <f t="shared" ca="1" si="117"/>
        <v>0</v>
      </c>
      <c r="AE305" s="363" t="str">
        <f t="shared" si="118"/>
        <v/>
      </c>
      <c r="AF305" s="342" t="str">
        <f t="shared" si="119"/>
        <v/>
      </c>
      <c r="AG305" s="411" t="e">
        <f ca="1">VLOOKUP(_xlfn.CONCAT(U305,V305,W305,VLOOKUP(X305&amp;Y305,TIME!$L$27:$O$34,4,FALSE),Y305),HIS_SALES!$A$2:$R$5093,18,FALSE)</f>
        <v>#N/A</v>
      </c>
      <c r="AH305" s="412" t="e">
        <f ca="1">IFERROR(IF(AND(V305=V304,W305=W304),0.5*(AB305+AB304)*AG305,(VLOOKUP(_xlfn.CONCAT(U305,V305,W305,X305,VLOOKUP(Z305,TIME!$S$28:$T$39,2,FALSE)),FC_DATA!$R$2:$AB$5000,MATCH("GS_I_M",FC_DATA!$R$1:$AB$1,0),FALSE)+FC_DATA!AB305)*0.5*FC_DATA!AG305),NA())</f>
        <v>#N/A</v>
      </c>
      <c r="AI305" s="491" t="e">
        <f ca="1">IF(V305="PARTNER.com",AH305,IF(AND(V305=V304,W305=W304),(1-AVERAGE(AD304,AD305))*AH305,(1-AVERAGE(AD305,VLOOKUP(_xlfn.CONCAT(U305,V305,W305,X305,M_BRAND_FC!$F$6),FC_DATA!$R$2:$AD$5000,MATCH("DISCOUNT_%_M",FC_DATA!$R$1:$AD$1,0),FALSE)))*AH305))</f>
        <v>#N/A</v>
      </c>
      <c r="AJ305" s="412" t="str">
        <f t="shared" ca="1" si="120"/>
        <v/>
      </c>
      <c r="AK305" s="413" t="str">
        <f>IFERROR(AE305/(Q_BRAND_FC!$T$24+1),"")</f>
        <v/>
      </c>
      <c r="AL305" s="88" t="str">
        <f t="shared" ca="1" si="121"/>
        <v/>
      </c>
      <c r="AM305" s="414" t="str">
        <f t="shared" ca="1" si="122"/>
        <v/>
      </c>
      <c r="AN305" s="58">
        <f>IFERROR(IF($V305="BRAND.com",HLOOKUP($X305&amp;$Z305,NWC_FC_NOOS!$C$4:$Q$23,MATCH(W305,NWC_FC_NOOS!$B$4:$B$23,0),FALSE),0),0)</f>
        <v>0</v>
      </c>
      <c r="AO305" s="57">
        <f>IFERROR(IF($V305="BRAND.com",HLOOKUP($X305&amp;$Z305,NWC_FC_NOOS!$T$4:$AH$23,MATCH(W305,NWC_FC_NOOS!$S$4:$S$23,0),FALSE),0),0)</f>
        <v>0</v>
      </c>
      <c r="AP305" s="57">
        <f>IFERROR(IF($V305="BRAND.com",HLOOKUP($X305&amp;$Z305,NWC_FC_NOOS!$C$50:$U$69,MATCH(W305,NWC_FC_NOOS!$B$50:$B$69,0),FALSE),0),0)</f>
        <v>0</v>
      </c>
      <c r="AQ305" s="58">
        <f>IFERROR(IF($V305="BRAND.com",HLOOKUP($X305&amp;$Z305,'NWC_FC_NON-NOOS'!$C$4:$Q$23,MATCH(W305,'NWC_FC_NON-NOOS'!$B$4:$B$23,0),FALSE),0),0)</f>
        <v>0</v>
      </c>
      <c r="AR305" s="57">
        <f>IFERROR(IF($V305="BRAND.com",HLOOKUP($X305&amp;$Z305,'NWC_FC_NON-NOOS'!$T$4:$AH$23,MATCH(W305,'NWC_FC_NON-NOOS'!$S$4:$S$23,0),FALSE),0),0)</f>
        <v>0</v>
      </c>
      <c r="AS305" s="57">
        <f>IFERROR(IF($V305="BRAND.com",HLOOKUP($X305&amp;$Z305,'NWC_FC_NON-NOOS'!$C$50:$U$69,MATCH(W305,'NWC_FC_NON-NOOS'!$B$50:$B$69,0),FALSE),0),0)</f>
        <v>0</v>
      </c>
      <c r="AT305" s="57">
        <f t="shared" si="124"/>
        <v>0</v>
      </c>
      <c r="AU305" s="57">
        <f t="shared" si="125"/>
        <v>0</v>
      </c>
      <c r="AV305" s="58">
        <f>IFERROR(IF($V305="BRAND.com",HLOOKUP($X305&amp;$Z305,PLANNING_FC!$BB$27:$BP$46,MATCH($W305,PLANNING_FC!$BA$27:$BA$46,0),FALSE),0),0)</f>
        <v>0</v>
      </c>
      <c r="AW305" s="58">
        <f>IFERROR(IF($V305="BRAND.com",HLOOKUP($X305&amp;$Z305,PLANNING_FC!$BB$4:$BP$23,MATCH($W305,PLANNING_FC!$BA$4:$BA$23,0),FALSE),0),0)</f>
        <v>0</v>
      </c>
      <c r="AX305" s="58">
        <f>IFERROR(IF($V305="BRAND.com",HLOOKUP($X305&amp;$Z305,PLANNING_FC!$T$27:$AH$46,MATCH($W305,PLANNING_FC!$B$27:$B$46,0),FALSE),0),0)</f>
        <v>0</v>
      </c>
      <c r="AY305" s="58">
        <f>IFERROR(IF($V305="BRAND.com",HLOOKUP($X305&amp;$Z305,PLANNING_FC!$T$4:$AH$23,MATCH($W305,PLANNING_FC!$B$4:$B$23,0),FALSE),0),0)</f>
        <v>0</v>
      </c>
      <c r="AZ305" s="58">
        <f>IFERROR(IF($V305="BRAND.com",HLOOKUP($X305&amp;$Z305,PLANNING_FC!$DA$27:$DO$46,MATCH($W305,PLANNING_FC!$CZ$27:$CZ$46,0),FALSE),0),0)</f>
        <v>0</v>
      </c>
      <c r="BA305" s="58">
        <f>IFERROR(IF($V305="BRAND.com",HLOOKUP($X305&amp;$Z305,PLANNING_FC!$DA$4:$DO$23,MATCH($W305,PLANNING_FC!$CZ$4:$CZ$23,0),FALSE),0),0)</f>
        <v>0</v>
      </c>
      <c r="BB305" s="883" t="str">
        <f>IF(V305="BRAND.com",IFERROR(HLOOKUP(X305&amp;Z305,PLANNING_FC!$AK$4:$AY$23,MATCH(W305,PLANNING_FC!$AJ$4:$AJ$23,0),FALSE)*1000,""),"")</f>
        <v/>
      </c>
      <c r="BC305" s="883" t="str">
        <f>IF(V305="BRAND.com",IFERROR(HLOOKUP(X305&amp;Z305,PLANNING_FC!$AK$27:$AY$46,MATCH(W305,PLANNING_FC!$AJ$27:$AJ$46,0),FALSE)*1000,""),"")</f>
        <v/>
      </c>
    </row>
    <row r="306" spans="1:55" x14ac:dyDescent="0.25">
      <c r="A306" s="509"/>
      <c r="B306" s="509"/>
      <c r="C306" s="509"/>
      <c r="D306" s="509"/>
      <c r="E306" s="509"/>
      <c r="F306" s="509"/>
      <c r="G306" s="509"/>
      <c r="H306" s="509"/>
      <c r="I306" s="512"/>
      <c r="J306" s="513"/>
      <c r="K306" s="879"/>
      <c r="L306" s="515"/>
      <c r="M306" s="516"/>
      <c r="N306" s="56">
        <f t="shared" si="106"/>
        <v>0</v>
      </c>
      <c r="O306" s="57">
        <f t="shared" si="107"/>
        <v>0</v>
      </c>
      <c r="P306" s="57">
        <f ca="1">IFERROR(IF(ISBLANK(H306),SUMIFS($AC:$AC,$V:$V,V306,$W:$W,W306,$X:$X,X306,$Y:$Y,Y306)*J306/(1-J306)*VLOOKUP(_xlfn.CONCAT(C306,D306,E306,TIME!$M$12,Z306),HIS_SALES!$B$2:$W$4859,20,FALSE),AC306*J306/(1-J306)),0)</f>
        <v>0</v>
      </c>
      <c r="Q306" s="541" t="str">
        <f t="shared" si="108"/>
        <v/>
      </c>
      <c r="R306" s="346" t="str">
        <f t="shared" si="109"/>
        <v>00000</v>
      </c>
      <c r="S306" s="344">
        <f t="shared" si="110"/>
        <v>0</v>
      </c>
      <c r="T306" s="345" t="str">
        <f t="shared" si="123"/>
        <v>000</v>
      </c>
      <c r="U306" s="345">
        <f t="shared" si="111"/>
        <v>0</v>
      </c>
      <c r="V306" s="345">
        <f t="shared" si="112"/>
        <v>0</v>
      </c>
      <c r="W306" s="345">
        <f t="shared" si="113"/>
        <v>0</v>
      </c>
      <c r="X306" s="345">
        <f t="shared" si="114"/>
        <v>0</v>
      </c>
      <c r="Y306" s="345">
        <f t="shared" si="115"/>
        <v>0</v>
      </c>
      <c r="Z306" s="345">
        <f>IF(Q306&lt;&gt;"",VLOOKUP(Y306,TIME!$R$21:$V$24,MATCH(FC_DATA!Q306,TIME!$R$20:$V$20,0),FALSE),H306)</f>
        <v>0</v>
      </c>
      <c r="AA306" s="345" t="str">
        <f>IFERROR(VLOOKUP(X306&amp;Z306,TIME!$A$12:$D$71,4,FALSE),"")</f>
        <v/>
      </c>
      <c r="AB306" s="592">
        <f t="shared" ca="1" si="116"/>
        <v>0</v>
      </c>
      <c r="AC306" s="593" t="e">
        <f ca="1">IF(ISBLANK(H306)=FALSE,IF(D306="BRAND.com",I306,IF(ISNA(VLOOKUP(_xlfn.CONCAT(X306,Z306),TIME!$M$40:$M$42,1,FALSE)),I306,VLOOKUP(_xlfn.CONCAT(D306,G306,H306),M_BUSAREA_FC!$AF$5:$AJ$10,5,FALSE)*HLOOKUP(_xlfn.CONCAT(F306,H306),ST_OVERVIEW!$G$99:$I$130,MATCH(_xlfn.CONCAT(D306,E306),ST_OVERVIEW!$F$99:$F$130,0),FALSE))),IF(D306="BRAND.com",VLOOKUP(_xlfn.CONCAT(C306,D306,E306,TIME!$F$1,Z306),HIS_SALES!$B$2:$V$4859,19,FALSE)*I306,VLOOKUP(_xlfn.CONCAT(D306,F306,G306),Q_BUSAREA_FC!$AE$5:$AI$12,5,FALSE)*HLOOKUP(_xlfn.CONCAT(FC_DATA!F306,FC_DATA!G306),LT_OVERVIEW!$I$99:$M$130,MATCH(_xlfn.CONCAT(D306,FC_DATA!E306),LT_OVERVIEW!$H$99:$H$130,0),FALSE)*IFERROR(VLOOKUP(_xlfn.CONCAT(C306,D306,E306,TIME!$F$1,Z306),HIS_SALES!$B$2:$V$4859,19,FALSE),0)))</f>
        <v>#N/A</v>
      </c>
      <c r="AD306" s="341">
        <f t="shared" ca="1" si="117"/>
        <v>0</v>
      </c>
      <c r="AE306" s="363" t="str">
        <f t="shared" si="118"/>
        <v/>
      </c>
      <c r="AF306" s="342" t="str">
        <f t="shared" si="119"/>
        <v/>
      </c>
      <c r="AG306" s="411" t="e">
        <f ca="1">VLOOKUP(_xlfn.CONCAT(U306,V306,W306,VLOOKUP(X306&amp;Y306,TIME!$L$27:$O$34,4,FALSE),Y306),HIS_SALES!$A$2:$R$5093,18,FALSE)</f>
        <v>#N/A</v>
      </c>
      <c r="AH306" s="412" t="e">
        <f ca="1">IFERROR(IF(AND(V306=V305,W306=W305),0.5*(AB306+AB305)*AG306,(VLOOKUP(_xlfn.CONCAT(U306,V306,W306,X306,VLOOKUP(Z306,TIME!$S$28:$T$39,2,FALSE)),FC_DATA!$R$2:$AB$5000,MATCH("GS_I_M",FC_DATA!$R$1:$AB$1,0),FALSE)+FC_DATA!AB306)*0.5*FC_DATA!AG306),NA())</f>
        <v>#N/A</v>
      </c>
      <c r="AI306" s="491" t="e">
        <f ca="1">IF(V306="PARTNER.com",AH306,IF(AND(V306=V305,W306=W305),(1-AVERAGE(AD305,AD306))*AH306,(1-AVERAGE(AD306,VLOOKUP(_xlfn.CONCAT(U306,V306,W306,X306,M_BRAND_FC!$F$6),FC_DATA!$R$2:$AD$5000,MATCH("DISCOUNT_%_M",FC_DATA!$R$1:$AD$1,0),FALSE)))*AH306))</f>
        <v>#N/A</v>
      </c>
      <c r="AJ306" s="412" t="str">
        <f t="shared" ca="1" si="120"/>
        <v/>
      </c>
      <c r="AK306" s="413" t="str">
        <f>IFERROR(AE306/(Q_BRAND_FC!$T$24+1),"")</f>
        <v/>
      </c>
      <c r="AL306" s="88" t="str">
        <f t="shared" ca="1" si="121"/>
        <v/>
      </c>
      <c r="AM306" s="414" t="str">
        <f t="shared" ca="1" si="122"/>
        <v/>
      </c>
      <c r="AN306" s="58">
        <f>IFERROR(IF($V306="BRAND.com",HLOOKUP($X306&amp;$Z306,NWC_FC_NOOS!$C$4:$Q$23,MATCH(W306,NWC_FC_NOOS!$B$4:$B$23,0),FALSE),0),0)</f>
        <v>0</v>
      </c>
      <c r="AO306" s="57">
        <f>IFERROR(IF($V306="BRAND.com",HLOOKUP($X306&amp;$Z306,NWC_FC_NOOS!$T$4:$AH$23,MATCH(W306,NWC_FC_NOOS!$S$4:$S$23,0),FALSE),0),0)</f>
        <v>0</v>
      </c>
      <c r="AP306" s="57">
        <f>IFERROR(IF($V306="BRAND.com",HLOOKUP($X306&amp;$Z306,NWC_FC_NOOS!$C$50:$U$69,MATCH(W306,NWC_FC_NOOS!$B$50:$B$69,0),FALSE),0),0)</f>
        <v>0</v>
      </c>
      <c r="AQ306" s="58">
        <f>IFERROR(IF($V306="BRAND.com",HLOOKUP($X306&amp;$Z306,'NWC_FC_NON-NOOS'!$C$4:$Q$23,MATCH(W306,'NWC_FC_NON-NOOS'!$B$4:$B$23,0),FALSE),0),0)</f>
        <v>0</v>
      </c>
      <c r="AR306" s="57">
        <f>IFERROR(IF($V306="BRAND.com",HLOOKUP($X306&amp;$Z306,'NWC_FC_NON-NOOS'!$T$4:$AH$23,MATCH(W306,'NWC_FC_NON-NOOS'!$S$4:$S$23,0),FALSE),0),0)</f>
        <v>0</v>
      </c>
      <c r="AS306" s="57">
        <f>IFERROR(IF($V306="BRAND.com",HLOOKUP($X306&amp;$Z306,'NWC_FC_NON-NOOS'!$C$50:$U$69,MATCH(W306,'NWC_FC_NON-NOOS'!$B$50:$B$69,0),FALSE),0),0)</f>
        <v>0</v>
      </c>
      <c r="AT306" s="57">
        <f t="shared" si="124"/>
        <v>0</v>
      </c>
      <c r="AU306" s="57">
        <f t="shared" si="125"/>
        <v>0</v>
      </c>
      <c r="AV306" s="58">
        <f>IFERROR(IF($V306="BRAND.com",HLOOKUP($X306&amp;$Z306,PLANNING_FC!$BB$27:$BP$46,MATCH($W306,PLANNING_FC!$BA$27:$BA$46,0),FALSE),0),0)</f>
        <v>0</v>
      </c>
      <c r="AW306" s="58">
        <f>IFERROR(IF($V306="BRAND.com",HLOOKUP($X306&amp;$Z306,PLANNING_FC!$BB$4:$BP$23,MATCH($W306,PLANNING_FC!$BA$4:$BA$23,0),FALSE),0),0)</f>
        <v>0</v>
      </c>
      <c r="AX306" s="58">
        <f>IFERROR(IF($V306="BRAND.com",HLOOKUP($X306&amp;$Z306,PLANNING_FC!$T$27:$AH$46,MATCH($W306,PLANNING_FC!$B$27:$B$46,0),FALSE),0),0)</f>
        <v>0</v>
      </c>
      <c r="AY306" s="58">
        <f>IFERROR(IF($V306="BRAND.com",HLOOKUP($X306&amp;$Z306,PLANNING_FC!$T$4:$AH$23,MATCH($W306,PLANNING_FC!$B$4:$B$23,0),FALSE),0),0)</f>
        <v>0</v>
      </c>
      <c r="AZ306" s="58">
        <f>IFERROR(IF($V306="BRAND.com",HLOOKUP($X306&amp;$Z306,PLANNING_FC!$DA$27:$DO$46,MATCH($W306,PLANNING_FC!$CZ$27:$CZ$46,0),FALSE),0),0)</f>
        <v>0</v>
      </c>
      <c r="BA306" s="58">
        <f>IFERROR(IF($V306="BRAND.com",HLOOKUP($X306&amp;$Z306,PLANNING_FC!$DA$4:$DO$23,MATCH($W306,PLANNING_FC!$CZ$4:$CZ$23,0),FALSE),0),0)</f>
        <v>0</v>
      </c>
      <c r="BB306" s="883" t="str">
        <f>IF(V306="BRAND.com",IFERROR(HLOOKUP(X306&amp;Z306,PLANNING_FC!$AK$4:$AY$23,MATCH(W306,PLANNING_FC!$AJ$4:$AJ$23,0),FALSE)*1000,""),"")</f>
        <v/>
      </c>
      <c r="BC306" s="883" t="str">
        <f>IF(V306="BRAND.com",IFERROR(HLOOKUP(X306&amp;Z306,PLANNING_FC!$AK$27:$AY$46,MATCH(W306,PLANNING_FC!$AJ$27:$AJ$46,0),FALSE)*1000,""),"")</f>
        <v/>
      </c>
    </row>
    <row r="307" spans="1:55" x14ac:dyDescent="0.25">
      <c r="A307" s="509"/>
      <c r="B307" s="509"/>
      <c r="C307" s="509"/>
      <c r="D307" s="509"/>
      <c r="E307" s="509"/>
      <c r="F307" s="509"/>
      <c r="G307" s="509"/>
      <c r="H307" s="509"/>
      <c r="I307" s="512"/>
      <c r="J307" s="513"/>
      <c r="K307" s="879"/>
      <c r="L307" s="515"/>
      <c r="M307" s="516"/>
      <c r="N307" s="56">
        <f t="shared" si="106"/>
        <v>0</v>
      </c>
      <c r="O307" s="57">
        <f t="shared" si="107"/>
        <v>0</v>
      </c>
      <c r="P307" s="57">
        <f ca="1">IFERROR(IF(ISBLANK(H307),SUMIFS($AC:$AC,$V:$V,V307,$W:$W,W307,$X:$X,X307,$Y:$Y,Y307)*J307/(1-J307)*VLOOKUP(_xlfn.CONCAT(C307,D307,E307,TIME!$M$12,Z307),HIS_SALES!$B$2:$W$4859,20,FALSE),AC307*J307/(1-J307)),0)</f>
        <v>0</v>
      </c>
      <c r="Q307" s="541" t="str">
        <f t="shared" si="108"/>
        <v/>
      </c>
      <c r="R307" s="346" t="str">
        <f t="shared" si="109"/>
        <v>00000</v>
      </c>
      <c r="S307" s="344">
        <f t="shared" si="110"/>
        <v>0</v>
      </c>
      <c r="T307" s="345" t="str">
        <f t="shared" si="123"/>
        <v>000</v>
      </c>
      <c r="U307" s="345">
        <f t="shared" si="111"/>
        <v>0</v>
      </c>
      <c r="V307" s="345">
        <f t="shared" si="112"/>
        <v>0</v>
      </c>
      <c r="W307" s="345">
        <f t="shared" si="113"/>
        <v>0</v>
      </c>
      <c r="X307" s="345">
        <f t="shared" si="114"/>
        <v>0</v>
      </c>
      <c r="Y307" s="345">
        <f t="shared" si="115"/>
        <v>0</v>
      </c>
      <c r="Z307" s="345">
        <f>IF(Q307&lt;&gt;"",VLOOKUP(Y307,TIME!$R$21:$V$24,MATCH(FC_DATA!Q307,TIME!$R$20:$V$20,0),FALSE),H307)</f>
        <v>0</v>
      </c>
      <c r="AA307" s="345" t="str">
        <f>IFERROR(VLOOKUP(X307&amp;Z307,TIME!$A$12:$D$71,4,FALSE),"")</f>
        <v/>
      </c>
      <c r="AB307" s="592">
        <f t="shared" ca="1" si="116"/>
        <v>0</v>
      </c>
      <c r="AC307" s="593" t="e">
        <f ca="1">IF(ISBLANK(H307)=FALSE,IF(D307="BRAND.com",I307,IF(ISNA(VLOOKUP(_xlfn.CONCAT(X307,Z307),TIME!$M$40:$M$42,1,FALSE)),I307,VLOOKUP(_xlfn.CONCAT(D307,G307,H307),M_BUSAREA_FC!$AF$5:$AJ$10,5,FALSE)*HLOOKUP(_xlfn.CONCAT(F307,H307),ST_OVERVIEW!$G$99:$I$130,MATCH(_xlfn.CONCAT(D307,E307),ST_OVERVIEW!$F$99:$F$130,0),FALSE))),IF(D307="BRAND.com",VLOOKUP(_xlfn.CONCAT(C307,D307,E307,TIME!$F$1,Z307),HIS_SALES!$B$2:$V$4859,19,FALSE)*I307,VLOOKUP(_xlfn.CONCAT(D307,F307,G307),Q_BUSAREA_FC!$AE$5:$AI$12,5,FALSE)*HLOOKUP(_xlfn.CONCAT(FC_DATA!F307,FC_DATA!G307),LT_OVERVIEW!$I$99:$M$130,MATCH(_xlfn.CONCAT(D307,FC_DATA!E307),LT_OVERVIEW!$H$99:$H$130,0),FALSE)*IFERROR(VLOOKUP(_xlfn.CONCAT(C307,D307,E307,TIME!$F$1,Z307),HIS_SALES!$B$2:$V$4859,19,FALSE),0)))</f>
        <v>#N/A</v>
      </c>
      <c r="AD307" s="341">
        <f t="shared" ca="1" si="117"/>
        <v>0</v>
      </c>
      <c r="AE307" s="363" t="str">
        <f t="shared" si="118"/>
        <v/>
      </c>
      <c r="AF307" s="342" t="str">
        <f t="shared" si="119"/>
        <v/>
      </c>
      <c r="AG307" s="411" t="e">
        <f ca="1">VLOOKUP(_xlfn.CONCAT(U307,V307,W307,VLOOKUP(X307&amp;Y307,TIME!$L$27:$O$34,4,FALSE),Y307),HIS_SALES!$A$2:$R$5093,18,FALSE)</f>
        <v>#N/A</v>
      </c>
      <c r="AH307" s="412" t="e">
        <f ca="1">IFERROR(IF(AND(V307=V306,W307=W306),0.5*(AB307+AB306)*AG307,(VLOOKUP(_xlfn.CONCAT(U307,V307,W307,X307,VLOOKUP(Z307,TIME!$S$28:$T$39,2,FALSE)),FC_DATA!$R$2:$AB$5000,MATCH("GS_I_M",FC_DATA!$R$1:$AB$1,0),FALSE)+FC_DATA!AB307)*0.5*FC_DATA!AG307),NA())</f>
        <v>#N/A</v>
      </c>
      <c r="AI307" s="491" t="e">
        <f ca="1">IF(V307="PARTNER.com",AH307,IF(AND(V307=V306,W307=W306),(1-AVERAGE(AD306,AD307))*AH307,(1-AVERAGE(AD307,VLOOKUP(_xlfn.CONCAT(U307,V307,W307,X307,M_BRAND_FC!$F$6),FC_DATA!$R$2:$AD$5000,MATCH("DISCOUNT_%_M",FC_DATA!$R$1:$AD$1,0),FALSE)))*AH307))</f>
        <v>#N/A</v>
      </c>
      <c r="AJ307" s="412" t="str">
        <f t="shared" ca="1" si="120"/>
        <v/>
      </c>
      <c r="AK307" s="413" t="str">
        <f>IFERROR(AE307/(Q_BRAND_FC!$T$24+1),"")</f>
        <v/>
      </c>
      <c r="AL307" s="88" t="str">
        <f t="shared" ca="1" si="121"/>
        <v/>
      </c>
      <c r="AM307" s="414" t="str">
        <f t="shared" ca="1" si="122"/>
        <v/>
      </c>
      <c r="AN307" s="58">
        <f>IFERROR(IF($V307="BRAND.com",HLOOKUP($X307&amp;$Z307,NWC_FC_NOOS!$C$4:$Q$23,MATCH(W307,NWC_FC_NOOS!$B$4:$B$23,0),FALSE),0),0)</f>
        <v>0</v>
      </c>
      <c r="AO307" s="57">
        <f>IFERROR(IF($V307="BRAND.com",HLOOKUP($X307&amp;$Z307,NWC_FC_NOOS!$T$4:$AH$23,MATCH(W307,NWC_FC_NOOS!$S$4:$S$23,0),FALSE),0),0)</f>
        <v>0</v>
      </c>
      <c r="AP307" s="57">
        <f>IFERROR(IF($V307="BRAND.com",HLOOKUP($X307&amp;$Z307,NWC_FC_NOOS!$C$50:$U$69,MATCH(W307,NWC_FC_NOOS!$B$50:$B$69,0),FALSE),0),0)</f>
        <v>0</v>
      </c>
      <c r="AQ307" s="58">
        <f>IFERROR(IF($V307="BRAND.com",HLOOKUP($X307&amp;$Z307,'NWC_FC_NON-NOOS'!$C$4:$Q$23,MATCH(W307,'NWC_FC_NON-NOOS'!$B$4:$B$23,0),FALSE),0),0)</f>
        <v>0</v>
      </c>
      <c r="AR307" s="57">
        <f>IFERROR(IF($V307="BRAND.com",HLOOKUP($X307&amp;$Z307,'NWC_FC_NON-NOOS'!$T$4:$AH$23,MATCH(W307,'NWC_FC_NON-NOOS'!$S$4:$S$23,0),FALSE),0),0)</f>
        <v>0</v>
      </c>
      <c r="AS307" s="57">
        <f>IFERROR(IF($V307="BRAND.com",HLOOKUP($X307&amp;$Z307,'NWC_FC_NON-NOOS'!$C$50:$U$69,MATCH(W307,'NWC_FC_NON-NOOS'!$B$50:$B$69,0),FALSE),0),0)</f>
        <v>0</v>
      </c>
      <c r="AT307" s="57">
        <f t="shared" si="124"/>
        <v>0</v>
      </c>
      <c r="AU307" s="57">
        <f t="shared" si="125"/>
        <v>0</v>
      </c>
      <c r="AV307" s="58">
        <f>IFERROR(IF($V307="BRAND.com",HLOOKUP($X307&amp;$Z307,PLANNING_FC!$BB$27:$BP$46,MATCH($W307,PLANNING_FC!$BA$27:$BA$46,0),FALSE),0),0)</f>
        <v>0</v>
      </c>
      <c r="AW307" s="58">
        <f>IFERROR(IF($V307="BRAND.com",HLOOKUP($X307&amp;$Z307,PLANNING_FC!$BB$4:$BP$23,MATCH($W307,PLANNING_FC!$BA$4:$BA$23,0),FALSE),0),0)</f>
        <v>0</v>
      </c>
      <c r="AX307" s="58">
        <f>IFERROR(IF($V307="BRAND.com",HLOOKUP($X307&amp;$Z307,PLANNING_FC!$T$27:$AH$46,MATCH($W307,PLANNING_FC!$B$27:$B$46,0),FALSE),0),0)</f>
        <v>0</v>
      </c>
      <c r="AY307" s="58">
        <f>IFERROR(IF($V307="BRAND.com",HLOOKUP($X307&amp;$Z307,PLANNING_FC!$T$4:$AH$23,MATCH($W307,PLANNING_FC!$B$4:$B$23,0),FALSE),0),0)</f>
        <v>0</v>
      </c>
      <c r="AZ307" s="58">
        <f>IFERROR(IF($V307="BRAND.com",HLOOKUP($X307&amp;$Z307,PLANNING_FC!$DA$27:$DO$46,MATCH($W307,PLANNING_FC!$CZ$27:$CZ$46,0),FALSE),0),0)</f>
        <v>0</v>
      </c>
      <c r="BA307" s="58">
        <f>IFERROR(IF($V307="BRAND.com",HLOOKUP($X307&amp;$Z307,PLANNING_FC!$DA$4:$DO$23,MATCH($W307,PLANNING_FC!$CZ$4:$CZ$23,0),FALSE),0),0)</f>
        <v>0</v>
      </c>
      <c r="BB307" s="883" t="str">
        <f>IF(V307="BRAND.com",IFERROR(HLOOKUP(X307&amp;Z307,PLANNING_FC!$AK$4:$AY$23,MATCH(W307,PLANNING_FC!$AJ$4:$AJ$23,0),FALSE)*1000,""),"")</f>
        <v/>
      </c>
      <c r="BC307" s="883" t="str">
        <f>IF(V307="BRAND.com",IFERROR(HLOOKUP(X307&amp;Z307,PLANNING_FC!$AK$27:$AY$46,MATCH(W307,PLANNING_FC!$AJ$27:$AJ$46,0),FALSE)*1000,""),"")</f>
        <v/>
      </c>
    </row>
    <row r="308" spans="1:55" x14ac:dyDescent="0.25">
      <c r="A308" s="509"/>
      <c r="B308" s="509"/>
      <c r="C308" s="509"/>
      <c r="D308" s="509"/>
      <c r="E308" s="509"/>
      <c r="F308" s="509"/>
      <c r="G308" s="509"/>
      <c r="H308" s="509"/>
      <c r="I308" s="512"/>
      <c r="J308" s="513"/>
      <c r="K308" s="879"/>
      <c r="L308" s="515"/>
      <c r="M308" s="516"/>
      <c r="N308" s="56">
        <f t="shared" si="106"/>
        <v>0</v>
      </c>
      <c r="O308" s="57">
        <f t="shared" si="107"/>
        <v>0</v>
      </c>
      <c r="P308" s="57">
        <f ca="1">IFERROR(IF(ISBLANK(H308),SUMIFS($AC:$AC,$V:$V,V308,$W:$W,W308,$X:$X,X308,$Y:$Y,Y308)*J308/(1-J308)*VLOOKUP(_xlfn.CONCAT(C308,D308,E308,TIME!$M$12,Z308),HIS_SALES!$B$2:$W$4859,20,FALSE),AC308*J308/(1-J308)),0)</f>
        <v>0</v>
      </c>
      <c r="Q308" s="541" t="str">
        <f t="shared" si="108"/>
        <v/>
      </c>
      <c r="R308" s="346" t="str">
        <f t="shared" si="109"/>
        <v>00000</v>
      </c>
      <c r="S308" s="344">
        <f t="shared" si="110"/>
        <v>0</v>
      </c>
      <c r="T308" s="345" t="str">
        <f t="shared" si="123"/>
        <v>000</v>
      </c>
      <c r="U308" s="345">
        <f t="shared" si="111"/>
        <v>0</v>
      </c>
      <c r="V308" s="345">
        <f t="shared" si="112"/>
        <v>0</v>
      </c>
      <c r="W308" s="345">
        <f t="shared" si="113"/>
        <v>0</v>
      </c>
      <c r="X308" s="345">
        <f t="shared" si="114"/>
        <v>0</v>
      </c>
      <c r="Y308" s="345">
        <f t="shared" si="115"/>
        <v>0</v>
      </c>
      <c r="Z308" s="345">
        <f>IF(Q308&lt;&gt;"",VLOOKUP(Y308,TIME!$R$21:$V$24,MATCH(FC_DATA!Q308,TIME!$R$20:$V$20,0),FALSE),H308)</f>
        <v>0</v>
      </c>
      <c r="AA308" s="345" t="str">
        <f>IFERROR(VLOOKUP(X308&amp;Z308,TIME!$A$12:$D$71,4,FALSE),"")</f>
        <v/>
      </c>
      <c r="AB308" s="592">
        <f t="shared" ca="1" si="116"/>
        <v>0</v>
      </c>
      <c r="AC308" s="593" t="e">
        <f ca="1">IF(ISBLANK(H308)=FALSE,IF(D308="BRAND.com",I308,IF(ISNA(VLOOKUP(_xlfn.CONCAT(X308,Z308),TIME!$M$40:$M$42,1,FALSE)),I308,VLOOKUP(_xlfn.CONCAT(D308,G308,H308),M_BUSAREA_FC!$AF$5:$AJ$10,5,FALSE)*HLOOKUP(_xlfn.CONCAT(F308,H308),ST_OVERVIEW!$G$99:$I$130,MATCH(_xlfn.CONCAT(D308,E308),ST_OVERVIEW!$F$99:$F$130,0),FALSE))),IF(D308="BRAND.com",VLOOKUP(_xlfn.CONCAT(C308,D308,E308,TIME!$F$1,Z308),HIS_SALES!$B$2:$V$4859,19,FALSE)*I308,VLOOKUP(_xlfn.CONCAT(D308,F308,G308),Q_BUSAREA_FC!$AE$5:$AI$12,5,FALSE)*HLOOKUP(_xlfn.CONCAT(FC_DATA!F308,FC_DATA!G308),LT_OVERVIEW!$I$99:$M$130,MATCH(_xlfn.CONCAT(D308,FC_DATA!E308),LT_OVERVIEW!$H$99:$H$130,0),FALSE)*IFERROR(VLOOKUP(_xlfn.CONCAT(C308,D308,E308,TIME!$F$1,Z308),HIS_SALES!$B$2:$V$4859,19,FALSE),0)))</f>
        <v>#N/A</v>
      </c>
      <c r="AD308" s="341">
        <f t="shared" ca="1" si="117"/>
        <v>0</v>
      </c>
      <c r="AE308" s="363" t="str">
        <f t="shared" si="118"/>
        <v/>
      </c>
      <c r="AF308" s="342" t="str">
        <f t="shared" si="119"/>
        <v/>
      </c>
      <c r="AG308" s="411" t="e">
        <f ca="1">VLOOKUP(_xlfn.CONCAT(U308,V308,W308,VLOOKUP(X308&amp;Y308,TIME!$L$27:$O$34,4,FALSE),Y308),HIS_SALES!$A$2:$R$5093,18,FALSE)</f>
        <v>#N/A</v>
      </c>
      <c r="AH308" s="412" t="e">
        <f ca="1">IFERROR(IF(AND(V308=V307,W308=W307),0.5*(AB308+AB307)*AG308,(VLOOKUP(_xlfn.CONCAT(U308,V308,W308,X308,VLOOKUP(Z308,TIME!$S$28:$T$39,2,FALSE)),FC_DATA!$R$2:$AB$5000,MATCH("GS_I_M",FC_DATA!$R$1:$AB$1,0),FALSE)+FC_DATA!AB308)*0.5*FC_DATA!AG308),NA())</f>
        <v>#N/A</v>
      </c>
      <c r="AI308" s="491" t="e">
        <f ca="1">IF(V308="PARTNER.com",AH308,IF(AND(V308=V307,W308=W307),(1-AVERAGE(AD307,AD308))*AH308,(1-AVERAGE(AD308,VLOOKUP(_xlfn.CONCAT(U308,V308,W308,X308,M_BRAND_FC!$F$6),FC_DATA!$R$2:$AD$5000,MATCH("DISCOUNT_%_M",FC_DATA!$R$1:$AD$1,0),FALSE)))*AH308))</f>
        <v>#N/A</v>
      </c>
      <c r="AJ308" s="412" t="str">
        <f t="shared" ca="1" si="120"/>
        <v/>
      </c>
      <c r="AK308" s="413" t="str">
        <f>IFERROR(AE308/(Q_BRAND_FC!$T$24+1),"")</f>
        <v/>
      </c>
      <c r="AL308" s="88" t="str">
        <f t="shared" ca="1" si="121"/>
        <v/>
      </c>
      <c r="AM308" s="414" t="str">
        <f t="shared" ca="1" si="122"/>
        <v/>
      </c>
      <c r="AN308" s="58">
        <f>IFERROR(IF($V308="BRAND.com",HLOOKUP($X308&amp;$Z308,NWC_FC_NOOS!$C$4:$Q$23,MATCH(W308,NWC_FC_NOOS!$B$4:$B$23,0),FALSE),0),0)</f>
        <v>0</v>
      </c>
      <c r="AO308" s="57">
        <f>IFERROR(IF($V308="BRAND.com",HLOOKUP($X308&amp;$Z308,NWC_FC_NOOS!$T$4:$AH$23,MATCH(W308,NWC_FC_NOOS!$S$4:$S$23,0),FALSE),0),0)</f>
        <v>0</v>
      </c>
      <c r="AP308" s="57">
        <f>IFERROR(IF($V308="BRAND.com",HLOOKUP($X308&amp;$Z308,NWC_FC_NOOS!$C$50:$U$69,MATCH(W308,NWC_FC_NOOS!$B$50:$B$69,0),FALSE),0),0)</f>
        <v>0</v>
      </c>
      <c r="AQ308" s="58">
        <f>IFERROR(IF($V308="BRAND.com",HLOOKUP($X308&amp;$Z308,'NWC_FC_NON-NOOS'!$C$4:$Q$23,MATCH(W308,'NWC_FC_NON-NOOS'!$B$4:$B$23,0),FALSE),0),0)</f>
        <v>0</v>
      </c>
      <c r="AR308" s="57">
        <f>IFERROR(IF($V308="BRAND.com",HLOOKUP($X308&amp;$Z308,'NWC_FC_NON-NOOS'!$T$4:$AH$23,MATCH(W308,'NWC_FC_NON-NOOS'!$S$4:$S$23,0),FALSE),0),0)</f>
        <v>0</v>
      </c>
      <c r="AS308" s="57">
        <f>IFERROR(IF($V308="BRAND.com",HLOOKUP($X308&amp;$Z308,'NWC_FC_NON-NOOS'!$C$50:$U$69,MATCH(W308,'NWC_FC_NON-NOOS'!$B$50:$B$69,0),FALSE),0),0)</f>
        <v>0</v>
      </c>
      <c r="AT308" s="57">
        <f t="shared" si="124"/>
        <v>0</v>
      </c>
      <c r="AU308" s="57">
        <f t="shared" si="125"/>
        <v>0</v>
      </c>
      <c r="AV308" s="58">
        <f>IFERROR(IF($V308="BRAND.com",HLOOKUP($X308&amp;$Z308,PLANNING_FC!$BB$27:$BP$46,MATCH($W308,PLANNING_FC!$BA$27:$BA$46,0),FALSE),0),0)</f>
        <v>0</v>
      </c>
      <c r="AW308" s="58">
        <f>IFERROR(IF($V308="BRAND.com",HLOOKUP($X308&amp;$Z308,PLANNING_FC!$BB$4:$BP$23,MATCH($W308,PLANNING_FC!$BA$4:$BA$23,0),FALSE),0),0)</f>
        <v>0</v>
      </c>
      <c r="AX308" s="58">
        <f>IFERROR(IF($V308="BRAND.com",HLOOKUP($X308&amp;$Z308,PLANNING_FC!$T$27:$AH$46,MATCH($W308,PLANNING_FC!$B$27:$B$46,0),FALSE),0),0)</f>
        <v>0</v>
      </c>
      <c r="AY308" s="58">
        <f>IFERROR(IF($V308="BRAND.com",HLOOKUP($X308&amp;$Z308,PLANNING_FC!$T$4:$AH$23,MATCH($W308,PLANNING_FC!$B$4:$B$23,0),FALSE),0),0)</f>
        <v>0</v>
      </c>
      <c r="AZ308" s="58">
        <f>IFERROR(IF($V308="BRAND.com",HLOOKUP($X308&amp;$Z308,PLANNING_FC!$DA$27:$DO$46,MATCH($W308,PLANNING_FC!$CZ$27:$CZ$46,0),FALSE),0),0)</f>
        <v>0</v>
      </c>
      <c r="BA308" s="58">
        <f>IFERROR(IF($V308="BRAND.com",HLOOKUP($X308&amp;$Z308,PLANNING_FC!$DA$4:$DO$23,MATCH($W308,PLANNING_FC!$CZ$4:$CZ$23,0),FALSE),0),0)</f>
        <v>0</v>
      </c>
      <c r="BB308" s="883" t="str">
        <f>IF(V308="BRAND.com",IFERROR(HLOOKUP(X308&amp;Z308,PLANNING_FC!$AK$4:$AY$23,MATCH(W308,PLANNING_FC!$AJ$4:$AJ$23,0),FALSE)*1000,""),"")</f>
        <v/>
      </c>
      <c r="BC308" s="883" t="str">
        <f>IF(V308="BRAND.com",IFERROR(HLOOKUP(X308&amp;Z308,PLANNING_FC!$AK$27:$AY$46,MATCH(W308,PLANNING_FC!$AJ$27:$AJ$46,0),FALSE)*1000,""),"")</f>
        <v/>
      </c>
    </row>
    <row r="309" spans="1:55" x14ac:dyDescent="0.25">
      <c r="A309" s="509"/>
      <c r="B309" s="509"/>
      <c r="C309" s="509"/>
      <c r="D309" s="509"/>
      <c r="E309" s="509"/>
      <c r="F309" s="509"/>
      <c r="G309" s="509"/>
      <c r="H309" s="509"/>
      <c r="I309" s="512"/>
      <c r="J309" s="513"/>
      <c r="K309" s="879"/>
      <c r="L309" s="515"/>
      <c r="M309" s="516"/>
      <c r="N309" s="56">
        <f t="shared" si="106"/>
        <v>0</v>
      </c>
      <c r="O309" s="57">
        <f t="shared" si="107"/>
        <v>0</v>
      </c>
      <c r="P309" s="57">
        <f ca="1">IFERROR(IF(ISBLANK(H309),SUMIFS($AC:$AC,$V:$V,V309,$W:$W,W309,$X:$X,X309,$Y:$Y,Y309)*J309/(1-J309)*VLOOKUP(_xlfn.CONCAT(C309,D309,E309,TIME!$M$12,Z309),HIS_SALES!$B$2:$W$4859,20,FALSE),AC309*J309/(1-J309)),0)</f>
        <v>0</v>
      </c>
      <c r="Q309" s="541" t="str">
        <f t="shared" si="108"/>
        <v/>
      </c>
      <c r="R309" s="346" t="str">
        <f t="shared" si="109"/>
        <v>00000</v>
      </c>
      <c r="S309" s="344">
        <f t="shared" si="110"/>
        <v>0</v>
      </c>
      <c r="T309" s="345" t="str">
        <f t="shared" si="123"/>
        <v>000</v>
      </c>
      <c r="U309" s="345">
        <f t="shared" si="111"/>
        <v>0</v>
      </c>
      <c r="V309" s="345">
        <f t="shared" si="112"/>
        <v>0</v>
      </c>
      <c r="W309" s="345">
        <f t="shared" si="113"/>
        <v>0</v>
      </c>
      <c r="X309" s="345">
        <f t="shared" si="114"/>
        <v>0</v>
      </c>
      <c r="Y309" s="345">
        <f t="shared" si="115"/>
        <v>0</v>
      </c>
      <c r="Z309" s="345">
        <f>IF(Q309&lt;&gt;"",VLOOKUP(Y309,TIME!$R$21:$V$24,MATCH(FC_DATA!Q309,TIME!$R$20:$V$20,0),FALSE),H309)</f>
        <v>0</v>
      </c>
      <c r="AA309" s="345" t="str">
        <f>IFERROR(VLOOKUP(X309&amp;Z309,TIME!$A$12:$D$71,4,FALSE),"")</f>
        <v/>
      </c>
      <c r="AB309" s="592">
        <f t="shared" ca="1" si="116"/>
        <v>0</v>
      </c>
      <c r="AC309" s="593" t="e">
        <f ca="1">IF(ISBLANK(H309)=FALSE,IF(D309="BRAND.com",I309,IF(ISNA(VLOOKUP(_xlfn.CONCAT(X309,Z309),TIME!$M$40:$M$42,1,FALSE)),I309,VLOOKUP(_xlfn.CONCAT(D309,G309,H309),M_BUSAREA_FC!$AF$5:$AJ$10,5,FALSE)*HLOOKUP(_xlfn.CONCAT(F309,H309),ST_OVERVIEW!$G$99:$I$130,MATCH(_xlfn.CONCAT(D309,E309),ST_OVERVIEW!$F$99:$F$130,0),FALSE))),IF(D309="BRAND.com",VLOOKUP(_xlfn.CONCAT(C309,D309,E309,TIME!$F$1,Z309),HIS_SALES!$B$2:$V$4859,19,FALSE)*I309,VLOOKUP(_xlfn.CONCAT(D309,F309,G309),Q_BUSAREA_FC!$AE$5:$AI$12,5,FALSE)*HLOOKUP(_xlfn.CONCAT(FC_DATA!F309,FC_DATA!G309),LT_OVERVIEW!$I$99:$M$130,MATCH(_xlfn.CONCAT(D309,FC_DATA!E309),LT_OVERVIEW!$H$99:$H$130,0),FALSE)*IFERROR(VLOOKUP(_xlfn.CONCAT(C309,D309,E309,TIME!$F$1,Z309),HIS_SALES!$B$2:$V$4859,19,FALSE),0)))</f>
        <v>#N/A</v>
      </c>
      <c r="AD309" s="341">
        <f t="shared" ca="1" si="117"/>
        <v>0</v>
      </c>
      <c r="AE309" s="363" t="str">
        <f t="shared" si="118"/>
        <v/>
      </c>
      <c r="AF309" s="342" t="str">
        <f t="shared" si="119"/>
        <v/>
      </c>
      <c r="AG309" s="411" t="e">
        <f ca="1">VLOOKUP(_xlfn.CONCAT(U309,V309,W309,VLOOKUP(X309&amp;Y309,TIME!$L$27:$O$34,4,FALSE),Y309),HIS_SALES!$A$2:$R$5093,18,FALSE)</f>
        <v>#N/A</v>
      </c>
      <c r="AH309" s="412" t="e">
        <f ca="1">IFERROR(IF(AND(V309=V308,W309=W308),0.5*(AB309+AB308)*AG309,(VLOOKUP(_xlfn.CONCAT(U309,V309,W309,X309,VLOOKUP(Z309,TIME!$S$28:$T$39,2,FALSE)),FC_DATA!$R$2:$AB$5000,MATCH("GS_I_M",FC_DATA!$R$1:$AB$1,0),FALSE)+FC_DATA!AB309)*0.5*FC_DATA!AG309),NA())</f>
        <v>#N/A</v>
      </c>
      <c r="AI309" s="491" t="e">
        <f ca="1">IF(V309="PARTNER.com",AH309,IF(AND(V309=V308,W309=W308),(1-AVERAGE(AD308,AD309))*AH309,(1-AVERAGE(AD309,VLOOKUP(_xlfn.CONCAT(U309,V309,W309,X309,M_BRAND_FC!$F$6),FC_DATA!$R$2:$AD$5000,MATCH("DISCOUNT_%_M",FC_DATA!$R$1:$AD$1,0),FALSE)))*AH309))</f>
        <v>#N/A</v>
      </c>
      <c r="AJ309" s="412" t="str">
        <f t="shared" ca="1" si="120"/>
        <v/>
      </c>
      <c r="AK309" s="413" t="str">
        <f>IFERROR(AE309/(Q_BRAND_FC!$T$24+1),"")</f>
        <v/>
      </c>
      <c r="AL309" s="88" t="str">
        <f t="shared" ca="1" si="121"/>
        <v/>
      </c>
      <c r="AM309" s="414" t="str">
        <f t="shared" ca="1" si="122"/>
        <v/>
      </c>
      <c r="AN309" s="58">
        <f>IFERROR(IF($V309="BRAND.com",HLOOKUP($X309&amp;$Z309,NWC_FC_NOOS!$C$4:$Q$23,MATCH(W309,NWC_FC_NOOS!$B$4:$B$23,0),FALSE),0),0)</f>
        <v>0</v>
      </c>
      <c r="AO309" s="57">
        <f>IFERROR(IF($V309="BRAND.com",HLOOKUP($X309&amp;$Z309,NWC_FC_NOOS!$T$4:$AH$23,MATCH(W309,NWC_FC_NOOS!$S$4:$S$23,0),FALSE),0),0)</f>
        <v>0</v>
      </c>
      <c r="AP309" s="57">
        <f>IFERROR(IF($V309="BRAND.com",HLOOKUP($X309&amp;$Z309,NWC_FC_NOOS!$C$50:$U$69,MATCH(W309,NWC_FC_NOOS!$B$50:$B$69,0),FALSE),0),0)</f>
        <v>0</v>
      </c>
      <c r="AQ309" s="58">
        <f>IFERROR(IF($V309="BRAND.com",HLOOKUP($X309&amp;$Z309,'NWC_FC_NON-NOOS'!$C$4:$Q$23,MATCH(W309,'NWC_FC_NON-NOOS'!$B$4:$B$23,0),FALSE),0),0)</f>
        <v>0</v>
      </c>
      <c r="AR309" s="57">
        <f>IFERROR(IF($V309="BRAND.com",HLOOKUP($X309&amp;$Z309,'NWC_FC_NON-NOOS'!$T$4:$AH$23,MATCH(W309,'NWC_FC_NON-NOOS'!$S$4:$S$23,0),FALSE),0),0)</f>
        <v>0</v>
      </c>
      <c r="AS309" s="57">
        <f>IFERROR(IF($V309="BRAND.com",HLOOKUP($X309&amp;$Z309,'NWC_FC_NON-NOOS'!$C$50:$U$69,MATCH(W309,'NWC_FC_NON-NOOS'!$B$50:$B$69,0),FALSE),0),0)</f>
        <v>0</v>
      </c>
      <c r="AT309" s="57">
        <f t="shared" si="124"/>
        <v>0</v>
      </c>
      <c r="AU309" s="57">
        <f t="shared" si="125"/>
        <v>0</v>
      </c>
      <c r="AV309" s="58">
        <f>IFERROR(IF($V309="BRAND.com",HLOOKUP($X309&amp;$Z309,PLANNING_FC!$BB$27:$BP$46,MATCH($W309,PLANNING_FC!$BA$27:$BA$46,0),FALSE),0),0)</f>
        <v>0</v>
      </c>
      <c r="AW309" s="58">
        <f>IFERROR(IF($V309="BRAND.com",HLOOKUP($X309&amp;$Z309,PLANNING_FC!$BB$4:$BP$23,MATCH($W309,PLANNING_FC!$BA$4:$BA$23,0),FALSE),0),0)</f>
        <v>0</v>
      </c>
      <c r="AX309" s="58">
        <f>IFERROR(IF($V309="BRAND.com",HLOOKUP($X309&amp;$Z309,PLANNING_FC!$T$27:$AH$46,MATCH($W309,PLANNING_FC!$B$27:$B$46,0),FALSE),0),0)</f>
        <v>0</v>
      </c>
      <c r="AY309" s="58">
        <f>IFERROR(IF($V309="BRAND.com",HLOOKUP($X309&amp;$Z309,PLANNING_FC!$T$4:$AH$23,MATCH($W309,PLANNING_FC!$B$4:$B$23,0),FALSE),0),0)</f>
        <v>0</v>
      </c>
      <c r="AZ309" s="58">
        <f>IFERROR(IF($V309="BRAND.com",HLOOKUP($X309&amp;$Z309,PLANNING_FC!$DA$27:$DO$46,MATCH($W309,PLANNING_FC!$CZ$27:$CZ$46,0),FALSE),0),0)</f>
        <v>0</v>
      </c>
      <c r="BA309" s="58">
        <f>IFERROR(IF($V309="BRAND.com",HLOOKUP($X309&amp;$Z309,PLANNING_FC!$DA$4:$DO$23,MATCH($W309,PLANNING_FC!$CZ$4:$CZ$23,0),FALSE),0),0)</f>
        <v>0</v>
      </c>
      <c r="BB309" s="883" t="str">
        <f>IF(V309="BRAND.com",IFERROR(HLOOKUP(X309&amp;Z309,PLANNING_FC!$AK$4:$AY$23,MATCH(W309,PLANNING_FC!$AJ$4:$AJ$23,0),FALSE)*1000,""),"")</f>
        <v/>
      </c>
      <c r="BC309" s="883" t="str">
        <f>IF(V309="BRAND.com",IFERROR(HLOOKUP(X309&amp;Z309,PLANNING_FC!$AK$27:$AY$46,MATCH(W309,PLANNING_FC!$AJ$27:$AJ$46,0),FALSE)*1000,""),"")</f>
        <v/>
      </c>
    </row>
    <row r="310" spans="1:55" x14ac:dyDescent="0.25">
      <c r="A310" s="509"/>
      <c r="B310" s="509"/>
      <c r="C310" s="509"/>
      <c r="D310" s="509"/>
      <c r="E310" s="509"/>
      <c r="F310" s="509"/>
      <c r="G310" s="509"/>
      <c r="H310" s="509"/>
      <c r="I310" s="512"/>
      <c r="J310" s="513"/>
      <c r="K310" s="879"/>
      <c r="L310" s="515"/>
      <c r="M310" s="516"/>
      <c r="N310" s="56">
        <f t="shared" si="106"/>
        <v>0</v>
      </c>
      <c r="O310" s="57">
        <f t="shared" si="107"/>
        <v>0</v>
      </c>
      <c r="P310" s="57">
        <f ca="1">IFERROR(IF(ISBLANK(H310),SUMIFS($AC:$AC,$V:$V,V310,$W:$W,W310,$X:$X,X310,$Y:$Y,Y310)*J310/(1-J310)*VLOOKUP(_xlfn.CONCAT(C310,D310,E310,TIME!$M$12,Z310),HIS_SALES!$B$2:$W$4859,20,FALSE),AC310*J310/(1-J310)),0)</f>
        <v>0</v>
      </c>
      <c r="Q310" s="541" t="str">
        <f t="shared" si="108"/>
        <v/>
      </c>
      <c r="R310" s="346" t="str">
        <f t="shared" si="109"/>
        <v>00000</v>
      </c>
      <c r="S310" s="344">
        <f t="shared" si="110"/>
        <v>0</v>
      </c>
      <c r="T310" s="345" t="str">
        <f t="shared" si="123"/>
        <v>000</v>
      </c>
      <c r="U310" s="345">
        <f t="shared" si="111"/>
        <v>0</v>
      </c>
      <c r="V310" s="345">
        <f t="shared" si="112"/>
        <v>0</v>
      </c>
      <c r="W310" s="345">
        <f t="shared" si="113"/>
        <v>0</v>
      </c>
      <c r="X310" s="345">
        <f t="shared" si="114"/>
        <v>0</v>
      </c>
      <c r="Y310" s="345">
        <f t="shared" si="115"/>
        <v>0</v>
      </c>
      <c r="Z310" s="345">
        <f>IF(Q310&lt;&gt;"",VLOOKUP(Y310,TIME!$R$21:$V$24,MATCH(FC_DATA!Q310,TIME!$R$20:$V$20,0),FALSE),H310)</f>
        <v>0</v>
      </c>
      <c r="AA310" s="345" t="str">
        <f>IFERROR(VLOOKUP(X310&amp;Z310,TIME!$A$12:$D$71,4,FALSE),"")</f>
        <v/>
      </c>
      <c r="AB310" s="592">
        <f t="shared" ca="1" si="116"/>
        <v>0</v>
      </c>
      <c r="AC310" s="593" t="e">
        <f ca="1">IF(ISBLANK(H310)=FALSE,IF(D310="BRAND.com",I310,IF(ISNA(VLOOKUP(_xlfn.CONCAT(X310,Z310),TIME!$M$40:$M$42,1,FALSE)),I310,VLOOKUP(_xlfn.CONCAT(D310,G310,H310),M_BUSAREA_FC!$AF$5:$AJ$10,5,FALSE)*HLOOKUP(_xlfn.CONCAT(F310,H310),ST_OVERVIEW!$G$99:$I$130,MATCH(_xlfn.CONCAT(D310,E310),ST_OVERVIEW!$F$99:$F$130,0),FALSE))),IF(D310="BRAND.com",VLOOKUP(_xlfn.CONCAT(C310,D310,E310,TIME!$F$1,Z310),HIS_SALES!$B$2:$V$4859,19,FALSE)*I310,VLOOKUP(_xlfn.CONCAT(D310,F310,G310),Q_BUSAREA_FC!$AE$5:$AI$12,5,FALSE)*HLOOKUP(_xlfn.CONCAT(FC_DATA!F310,FC_DATA!G310),LT_OVERVIEW!$I$99:$M$130,MATCH(_xlfn.CONCAT(D310,FC_DATA!E310),LT_OVERVIEW!$H$99:$H$130,0),FALSE)*IFERROR(VLOOKUP(_xlfn.CONCAT(C310,D310,E310,TIME!$F$1,Z310),HIS_SALES!$B$2:$V$4859,19,FALSE),0)))</f>
        <v>#N/A</v>
      </c>
      <c r="AD310" s="341">
        <f t="shared" ca="1" si="117"/>
        <v>0</v>
      </c>
      <c r="AE310" s="363" t="str">
        <f t="shared" si="118"/>
        <v/>
      </c>
      <c r="AF310" s="342" t="str">
        <f t="shared" si="119"/>
        <v/>
      </c>
      <c r="AG310" s="411" t="e">
        <f ca="1">VLOOKUP(_xlfn.CONCAT(U310,V310,W310,VLOOKUP(X310&amp;Y310,TIME!$L$27:$O$34,4,FALSE),Y310),HIS_SALES!$A$2:$R$5093,18,FALSE)</f>
        <v>#N/A</v>
      </c>
      <c r="AH310" s="412" t="e">
        <f ca="1">IFERROR(IF(AND(V310=V309,W310=W309),0.5*(AB310+AB309)*AG310,(VLOOKUP(_xlfn.CONCAT(U310,V310,W310,X310,VLOOKUP(Z310,TIME!$S$28:$T$39,2,FALSE)),FC_DATA!$R$2:$AB$5000,MATCH("GS_I_M",FC_DATA!$R$1:$AB$1,0),FALSE)+FC_DATA!AB310)*0.5*FC_DATA!AG310),NA())</f>
        <v>#N/A</v>
      </c>
      <c r="AI310" s="491" t="e">
        <f ca="1">IF(V310="PARTNER.com",AH310,IF(AND(V310=V309,W310=W309),(1-AVERAGE(AD309,AD310))*AH310,(1-AVERAGE(AD310,VLOOKUP(_xlfn.CONCAT(U310,V310,W310,X310,M_BRAND_FC!$F$6),FC_DATA!$R$2:$AD$5000,MATCH("DISCOUNT_%_M",FC_DATA!$R$1:$AD$1,0),FALSE)))*AH310))</f>
        <v>#N/A</v>
      </c>
      <c r="AJ310" s="412" t="str">
        <f t="shared" ca="1" si="120"/>
        <v/>
      </c>
      <c r="AK310" s="413" t="str">
        <f>IFERROR(AE310/(Q_BRAND_FC!$T$24+1),"")</f>
        <v/>
      </c>
      <c r="AL310" s="88" t="str">
        <f t="shared" ca="1" si="121"/>
        <v/>
      </c>
      <c r="AM310" s="414" t="str">
        <f t="shared" ca="1" si="122"/>
        <v/>
      </c>
      <c r="AN310" s="58">
        <f>IFERROR(IF($V310="BRAND.com",HLOOKUP($X310&amp;$Z310,NWC_FC_NOOS!$C$4:$Q$23,MATCH(W310,NWC_FC_NOOS!$B$4:$B$23,0),FALSE),0),0)</f>
        <v>0</v>
      </c>
      <c r="AO310" s="57">
        <f>IFERROR(IF($V310="BRAND.com",HLOOKUP($X310&amp;$Z310,NWC_FC_NOOS!$T$4:$AH$23,MATCH(W310,NWC_FC_NOOS!$S$4:$S$23,0),FALSE),0),0)</f>
        <v>0</v>
      </c>
      <c r="AP310" s="57">
        <f>IFERROR(IF($V310="BRAND.com",HLOOKUP($X310&amp;$Z310,NWC_FC_NOOS!$C$50:$U$69,MATCH(W310,NWC_FC_NOOS!$B$50:$B$69,0),FALSE),0),0)</f>
        <v>0</v>
      </c>
      <c r="AQ310" s="58">
        <f>IFERROR(IF($V310="BRAND.com",HLOOKUP($X310&amp;$Z310,'NWC_FC_NON-NOOS'!$C$4:$Q$23,MATCH(W310,'NWC_FC_NON-NOOS'!$B$4:$B$23,0),FALSE),0),0)</f>
        <v>0</v>
      </c>
      <c r="AR310" s="57">
        <f>IFERROR(IF($V310="BRAND.com",HLOOKUP($X310&amp;$Z310,'NWC_FC_NON-NOOS'!$T$4:$AH$23,MATCH(W310,'NWC_FC_NON-NOOS'!$S$4:$S$23,0),FALSE),0),0)</f>
        <v>0</v>
      </c>
      <c r="AS310" s="57">
        <f>IFERROR(IF($V310="BRAND.com",HLOOKUP($X310&amp;$Z310,'NWC_FC_NON-NOOS'!$C$50:$U$69,MATCH(W310,'NWC_FC_NON-NOOS'!$B$50:$B$69,0),FALSE),0),0)</f>
        <v>0</v>
      </c>
      <c r="AT310" s="57">
        <f t="shared" si="124"/>
        <v>0</v>
      </c>
      <c r="AU310" s="57">
        <f t="shared" si="125"/>
        <v>0</v>
      </c>
      <c r="AV310" s="58">
        <f>IFERROR(IF($V310="BRAND.com",HLOOKUP($X310&amp;$Z310,PLANNING_FC!$BB$27:$BP$46,MATCH($W310,PLANNING_FC!$BA$27:$BA$46,0),FALSE),0),0)</f>
        <v>0</v>
      </c>
      <c r="AW310" s="58">
        <f>IFERROR(IF($V310="BRAND.com",HLOOKUP($X310&amp;$Z310,PLANNING_FC!$BB$4:$BP$23,MATCH($W310,PLANNING_FC!$BA$4:$BA$23,0),FALSE),0),0)</f>
        <v>0</v>
      </c>
      <c r="AX310" s="58">
        <f>IFERROR(IF($V310="BRAND.com",HLOOKUP($X310&amp;$Z310,PLANNING_FC!$T$27:$AH$46,MATCH($W310,PLANNING_FC!$B$27:$B$46,0),FALSE),0),0)</f>
        <v>0</v>
      </c>
      <c r="AY310" s="58">
        <f>IFERROR(IF($V310="BRAND.com",HLOOKUP($X310&amp;$Z310,PLANNING_FC!$T$4:$AH$23,MATCH($W310,PLANNING_FC!$B$4:$B$23,0),FALSE),0),0)</f>
        <v>0</v>
      </c>
      <c r="AZ310" s="58">
        <f>IFERROR(IF($V310="BRAND.com",HLOOKUP($X310&amp;$Z310,PLANNING_FC!$DA$27:$DO$46,MATCH($W310,PLANNING_FC!$CZ$27:$CZ$46,0),FALSE),0),0)</f>
        <v>0</v>
      </c>
      <c r="BA310" s="58">
        <f>IFERROR(IF($V310="BRAND.com",HLOOKUP($X310&amp;$Z310,PLANNING_FC!$DA$4:$DO$23,MATCH($W310,PLANNING_FC!$CZ$4:$CZ$23,0),FALSE),0),0)</f>
        <v>0</v>
      </c>
      <c r="BB310" s="883" t="str">
        <f>IF(V310="BRAND.com",IFERROR(HLOOKUP(X310&amp;Z310,PLANNING_FC!$AK$4:$AY$23,MATCH(W310,PLANNING_FC!$AJ$4:$AJ$23,0),FALSE)*1000,""),"")</f>
        <v/>
      </c>
      <c r="BC310" s="883" t="str">
        <f>IF(V310="BRAND.com",IFERROR(HLOOKUP(X310&amp;Z310,PLANNING_FC!$AK$27:$AY$46,MATCH(W310,PLANNING_FC!$AJ$27:$AJ$46,0),FALSE)*1000,""),"")</f>
        <v/>
      </c>
    </row>
    <row r="311" spans="1:55" x14ac:dyDescent="0.25">
      <c r="A311" s="509"/>
      <c r="B311" s="509"/>
      <c r="C311" s="509"/>
      <c r="D311" s="509"/>
      <c r="E311" s="509"/>
      <c r="F311" s="509"/>
      <c r="G311" s="509"/>
      <c r="H311" s="509"/>
      <c r="I311" s="512"/>
      <c r="J311" s="513"/>
      <c r="K311" s="879"/>
      <c r="L311" s="515"/>
      <c r="M311" s="516"/>
      <c r="N311" s="56">
        <f t="shared" si="106"/>
        <v>0</v>
      </c>
      <c r="O311" s="57">
        <f t="shared" si="107"/>
        <v>0</v>
      </c>
      <c r="P311" s="57">
        <f ca="1">IFERROR(IF(ISBLANK(H311),SUMIFS($AC:$AC,$V:$V,V311,$W:$W,W311,$X:$X,X311,$Y:$Y,Y311)*J311/(1-J311)*VLOOKUP(_xlfn.CONCAT(C311,D311,E311,TIME!$M$12,Z311),HIS_SALES!$B$2:$W$4859,20,FALSE),AC311*J311/(1-J311)),0)</f>
        <v>0</v>
      </c>
      <c r="Q311" s="541" t="str">
        <f t="shared" si="108"/>
        <v/>
      </c>
      <c r="R311" s="346" t="str">
        <f t="shared" si="109"/>
        <v>00000</v>
      </c>
      <c r="S311" s="344">
        <f t="shared" si="110"/>
        <v>0</v>
      </c>
      <c r="T311" s="345" t="str">
        <f t="shared" si="123"/>
        <v>000</v>
      </c>
      <c r="U311" s="345">
        <f t="shared" si="111"/>
        <v>0</v>
      </c>
      <c r="V311" s="345">
        <f t="shared" si="112"/>
        <v>0</v>
      </c>
      <c r="W311" s="345">
        <f t="shared" si="113"/>
        <v>0</v>
      </c>
      <c r="X311" s="345">
        <f t="shared" si="114"/>
        <v>0</v>
      </c>
      <c r="Y311" s="345">
        <f t="shared" si="115"/>
        <v>0</v>
      </c>
      <c r="Z311" s="345">
        <f>IF(Q311&lt;&gt;"",VLOOKUP(Y311,TIME!$R$21:$V$24,MATCH(FC_DATA!Q311,TIME!$R$20:$V$20,0),FALSE),H311)</f>
        <v>0</v>
      </c>
      <c r="AA311" s="345" t="str">
        <f>IFERROR(VLOOKUP(X311&amp;Z311,TIME!$A$12:$D$71,4,FALSE),"")</f>
        <v/>
      </c>
      <c r="AB311" s="592">
        <f t="shared" ca="1" si="116"/>
        <v>0</v>
      </c>
      <c r="AC311" s="593" t="e">
        <f ca="1">IF(ISBLANK(H311)=FALSE,IF(D311="BRAND.com",I311,IF(ISNA(VLOOKUP(_xlfn.CONCAT(X311,Z311),TIME!$M$40:$M$42,1,FALSE)),I311,VLOOKUP(_xlfn.CONCAT(D311,G311,H311),M_BUSAREA_FC!$AF$5:$AJ$10,5,FALSE)*HLOOKUP(_xlfn.CONCAT(F311,H311),ST_OVERVIEW!$G$99:$I$130,MATCH(_xlfn.CONCAT(D311,E311),ST_OVERVIEW!$F$99:$F$130,0),FALSE))),IF(D311="BRAND.com",VLOOKUP(_xlfn.CONCAT(C311,D311,E311,TIME!$F$1,Z311),HIS_SALES!$B$2:$V$4859,19,FALSE)*I311,VLOOKUP(_xlfn.CONCAT(D311,F311,G311),Q_BUSAREA_FC!$AE$5:$AI$12,5,FALSE)*HLOOKUP(_xlfn.CONCAT(FC_DATA!F311,FC_DATA!G311),LT_OVERVIEW!$I$99:$M$130,MATCH(_xlfn.CONCAT(D311,FC_DATA!E311),LT_OVERVIEW!$H$99:$H$130,0),FALSE)*IFERROR(VLOOKUP(_xlfn.CONCAT(C311,D311,E311,TIME!$F$1,Z311),HIS_SALES!$B$2:$V$4859,19,FALSE),0)))</f>
        <v>#N/A</v>
      </c>
      <c r="AD311" s="341">
        <f t="shared" ca="1" si="117"/>
        <v>0</v>
      </c>
      <c r="AE311" s="363" t="str">
        <f t="shared" si="118"/>
        <v/>
      </c>
      <c r="AF311" s="342" t="str">
        <f t="shared" si="119"/>
        <v/>
      </c>
      <c r="AG311" s="411" t="e">
        <f ca="1">VLOOKUP(_xlfn.CONCAT(U311,V311,W311,VLOOKUP(X311&amp;Y311,TIME!$L$27:$O$34,4,FALSE),Y311),HIS_SALES!$A$2:$R$5093,18,FALSE)</f>
        <v>#N/A</v>
      </c>
      <c r="AH311" s="412" t="e">
        <f ca="1">IFERROR(IF(AND(V311=V310,W311=W310),0.5*(AB311+AB310)*AG311,(VLOOKUP(_xlfn.CONCAT(U311,V311,W311,X311,VLOOKUP(Z311,TIME!$S$28:$T$39,2,FALSE)),FC_DATA!$R$2:$AB$5000,MATCH("GS_I_M",FC_DATA!$R$1:$AB$1,0),FALSE)+FC_DATA!AB311)*0.5*FC_DATA!AG311),NA())</f>
        <v>#N/A</v>
      </c>
      <c r="AI311" s="491" t="e">
        <f ca="1">IF(V311="PARTNER.com",AH311,IF(AND(V311=V310,W311=W310),(1-AVERAGE(AD310,AD311))*AH311,(1-AVERAGE(AD311,VLOOKUP(_xlfn.CONCAT(U311,V311,W311,X311,M_BRAND_FC!$F$6),FC_DATA!$R$2:$AD$5000,MATCH("DISCOUNT_%_M",FC_DATA!$R$1:$AD$1,0),FALSE)))*AH311))</f>
        <v>#N/A</v>
      </c>
      <c r="AJ311" s="412" t="str">
        <f t="shared" ca="1" si="120"/>
        <v/>
      </c>
      <c r="AK311" s="413" t="str">
        <f>IFERROR(AE311/(Q_BRAND_FC!$T$24+1),"")</f>
        <v/>
      </c>
      <c r="AL311" s="88" t="str">
        <f t="shared" ca="1" si="121"/>
        <v/>
      </c>
      <c r="AM311" s="414" t="str">
        <f t="shared" ca="1" si="122"/>
        <v/>
      </c>
      <c r="AN311" s="58">
        <f>IFERROR(IF($V311="BRAND.com",HLOOKUP($X311&amp;$Z311,NWC_FC_NOOS!$C$4:$Q$23,MATCH(W311,NWC_FC_NOOS!$B$4:$B$23,0),FALSE),0),0)</f>
        <v>0</v>
      </c>
      <c r="AO311" s="57">
        <f>IFERROR(IF($V311="BRAND.com",HLOOKUP($X311&amp;$Z311,NWC_FC_NOOS!$T$4:$AH$23,MATCH(W311,NWC_FC_NOOS!$S$4:$S$23,0),FALSE),0),0)</f>
        <v>0</v>
      </c>
      <c r="AP311" s="57">
        <f>IFERROR(IF($V311="BRAND.com",HLOOKUP($X311&amp;$Z311,NWC_FC_NOOS!$C$50:$U$69,MATCH(W311,NWC_FC_NOOS!$B$50:$B$69,0),FALSE),0),0)</f>
        <v>0</v>
      </c>
      <c r="AQ311" s="58">
        <f>IFERROR(IF($V311="BRAND.com",HLOOKUP($X311&amp;$Z311,'NWC_FC_NON-NOOS'!$C$4:$Q$23,MATCH(W311,'NWC_FC_NON-NOOS'!$B$4:$B$23,0),FALSE),0),0)</f>
        <v>0</v>
      </c>
      <c r="AR311" s="57">
        <f>IFERROR(IF($V311="BRAND.com",HLOOKUP($X311&amp;$Z311,'NWC_FC_NON-NOOS'!$T$4:$AH$23,MATCH(W311,'NWC_FC_NON-NOOS'!$S$4:$S$23,0),FALSE),0),0)</f>
        <v>0</v>
      </c>
      <c r="AS311" s="57">
        <f>IFERROR(IF($V311="BRAND.com",HLOOKUP($X311&amp;$Z311,'NWC_FC_NON-NOOS'!$C$50:$U$69,MATCH(W311,'NWC_FC_NON-NOOS'!$B$50:$B$69,0),FALSE),0),0)</f>
        <v>0</v>
      </c>
      <c r="AT311" s="57">
        <f t="shared" si="124"/>
        <v>0</v>
      </c>
      <c r="AU311" s="57">
        <f t="shared" si="125"/>
        <v>0</v>
      </c>
      <c r="AV311" s="58">
        <f>IFERROR(IF($V311="BRAND.com",HLOOKUP($X311&amp;$Z311,PLANNING_FC!$BB$27:$BP$46,MATCH($W311,PLANNING_FC!$BA$27:$BA$46,0),FALSE),0),0)</f>
        <v>0</v>
      </c>
      <c r="AW311" s="58">
        <f>IFERROR(IF($V311="BRAND.com",HLOOKUP($X311&amp;$Z311,PLANNING_FC!$BB$4:$BP$23,MATCH($W311,PLANNING_FC!$BA$4:$BA$23,0),FALSE),0),0)</f>
        <v>0</v>
      </c>
      <c r="AX311" s="58">
        <f>IFERROR(IF($V311="BRAND.com",HLOOKUP($X311&amp;$Z311,PLANNING_FC!$T$27:$AH$46,MATCH($W311,PLANNING_FC!$B$27:$B$46,0),FALSE),0),0)</f>
        <v>0</v>
      </c>
      <c r="AY311" s="58">
        <f>IFERROR(IF($V311="BRAND.com",HLOOKUP($X311&amp;$Z311,PLANNING_FC!$T$4:$AH$23,MATCH($W311,PLANNING_FC!$B$4:$B$23,0),FALSE),0),0)</f>
        <v>0</v>
      </c>
      <c r="AZ311" s="58">
        <f>IFERROR(IF($V311="BRAND.com",HLOOKUP($X311&amp;$Z311,PLANNING_FC!$DA$27:$DO$46,MATCH($W311,PLANNING_FC!$CZ$27:$CZ$46,0),FALSE),0),0)</f>
        <v>0</v>
      </c>
      <c r="BA311" s="58">
        <f>IFERROR(IF($V311="BRAND.com",HLOOKUP($X311&amp;$Z311,PLANNING_FC!$DA$4:$DO$23,MATCH($W311,PLANNING_FC!$CZ$4:$CZ$23,0),FALSE),0),0)</f>
        <v>0</v>
      </c>
      <c r="BB311" s="883" t="str">
        <f>IF(V311="BRAND.com",IFERROR(HLOOKUP(X311&amp;Z311,PLANNING_FC!$AK$4:$AY$23,MATCH(W311,PLANNING_FC!$AJ$4:$AJ$23,0),FALSE)*1000,""),"")</f>
        <v/>
      </c>
      <c r="BC311" s="883" t="str">
        <f>IF(V311="BRAND.com",IFERROR(HLOOKUP(X311&amp;Z311,PLANNING_FC!$AK$27:$AY$46,MATCH(W311,PLANNING_FC!$AJ$27:$AJ$46,0),FALSE)*1000,""),"")</f>
        <v/>
      </c>
    </row>
    <row r="312" spans="1:55" x14ac:dyDescent="0.25">
      <c r="A312" s="509"/>
      <c r="B312" s="509"/>
      <c r="C312" s="509"/>
      <c r="D312" s="509"/>
      <c r="E312" s="509"/>
      <c r="F312" s="509"/>
      <c r="G312" s="509"/>
      <c r="H312" s="509"/>
      <c r="I312" s="512"/>
      <c r="J312" s="513"/>
      <c r="K312" s="879"/>
      <c r="L312" s="515"/>
      <c r="M312" s="516"/>
      <c r="N312" s="56">
        <f t="shared" si="106"/>
        <v>0</v>
      </c>
      <c r="O312" s="57">
        <f t="shared" si="107"/>
        <v>0</v>
      </c>
      <c r="P312" s="57">
        <f ca="1">IFERROR(IF(ISBLANK(H312),SUMIFS($AC:$AC,$V:$V,V312,$W:$W,W312,$X:$X,X312,$Y:$Y,Y312)*J312/(1-J312)*VLOOKUP(_xlfn.CONCAT(C312,D312,E312,TIME!$M$12,Z312),HIS_SALES!$B$2:$W$4859,20,FALSE),AC312*J312/(1-J312)),0)</f>
        <v>0</v>
      </c>
      <c r="Q312" s="541" t="str">
        <f t="shared" si="108"/>
        <v/>
      </c>
      <c r="R312" s="346" t="str">
        <f t="shared" si="109"/>
        <v>00000</v>
      </c>
      <c r="S312" s="344">
        <f t="shared" si="110"/>
        <v>0</v>
      </c>
      <c r="T312" s="345" t="str">
        <f t="shared" si="123"/>
        <v>000</v>
      </c>
      <c r="U312" s="345">
        <f t="shared" si="111"/>
        <v>0</v>
      </c>
      <c r="V312" s="345">
        <f t="shared" si="112"/>
        <v>0</v>
      </c>
      <c r="W312" s="345">
        <f t="shared" si="113"/>
        <v>0</v>
      </c>
      <c r="X312" s="345">
        <f t="shared" si="114"/>
        <v>0</v>
      </c>
      <c r="Y312" s="345">
        <f t="shared" si="115"/>
        <v>0</v>
      </c>
      <c r="Z312" s="345">
        <f>IF(Q312&lt;&gt;"",VLOOKUP(Y312,TIME!$R$21:$V$24,MATCH(FC_DATA!Q312,TIME!$R$20:$V$20,0),FALSE),H312)</f>
        <v>0</v>
      </c>
      <c r="AA312" s="345" t="str">
        <f>IFERROR(VLOOKUP(X312&amp;Z312,TIME!$A$12:$D$71,4,FALSE),"")</f>
        <v/>
      </c>
      <c r="AB312" s="592">
        <f t="shared" ca="1" si="116"/>
        <v>0</v>
      </c>
      <c r="AC312" s="593" t="e">
        <f ca="1">IF(ISBLANK(H312)=FALSE,IF(D312="BRAND.com",I312,IF(ISNA(VLOOKUP(_xlfn.CONCAT(X312,Z312),TIME!$M$40:$M$42,1,FALSE)),I312,VLOOKUP(_xlfn.CONCAT(D312,G312,H312),M_BUSAREA_FC!$AF$5:$AJ$10,5,FALSE)*HLOOKUP(_xlfn.CONCAT(F312,H312),ST_OVERVIEW!$G$99:$I$130,MATCH(_xlfn.CONCAT(D312,E312),ST_OVERVIEW!$F$99:$F$130,0),FALSE))),IF(D312="BRAND.com",VLOOKUP(_xlfn.CONCAT(C312,D312,E312,TIME!$F$1,Z312),HIS_SALES!$B$2:$V$4859,19,FALSE)*I312,VLOOKUP(_xlfn.CONCAT(D312,F312,G312),Q_BUSAREA_FC!$AE$5:$AI$12,5,FALSE)*HLOOKUP(_xlfn.CONCAT(FC_DATA!F312,FC_DATA!G312),LT_OVERVIEW!$I$99:$M$130,MATCH(_xlfn.CONCAT(D312,FC_DATA!E312),LT_OVERVIEW!$H$99:$H$130,0),FALSE)*IFERROR(VLOOKUP(_xlfn.CONCAT(C312,D312,E312,TIME!$F$1,Z312),HIS_SALES!$B$2:$V$4859,19,FALSE),0)))</f>
        <v>#N/A</v>
      </c>
      <c r="AD312" s="341">
        <f t="shared" ca="1" si="117"/>
        <v>0</v>
      </c>
      <c r="AE312" s="363" t="str">
        <f t="shared" si="118"/>
        <v/>
      </c>
      <c r="AF312" s="342" t="str">
        <f t="shared" si="119"/>
        <v/>
      </c>
      <c r="AG312" s="411" t="e">
        <f ca="1">VLOOKUP(_xlfn.CONCAT(U312,V312,W312,VLOOKUP(X312&amp;Y312,TIME!$L$27:$O$34,4,FALSE),Y312),HIS_SALES!$A$2:$R$5093,18,FALSE)</f>
        <v>#N/A</v>
      </c>
      <c r="AH312" s="412" t="e">
        <f ca="1">IFERROR(IF(AND(V312=V311,W312=W311),0.5*(AB312+AB311)*AG312,(VLOOKUP(_xlfn.CONCAT(U312,V312,W312,X312,VLOOKUP(Z312,TIME!$S$28:$T$39,2,FALSE)),FC_DATA!$R$2:$AB$5000,MATCH("GS_I_M",FC_DATA!$R$1:$AB$1,0),FALSE)+FC_DATA!AB312)*0.5*FC_DATA!AG312),NA())</f>
        <v>#N/A</v>
      </c>
      <c r="AI312" s="491" t="e">
        <f ca="1">IF(V312="PARTNER.com",AH312,IF(AND(V312=V311,W312=W311),(1-AVERAGE(AD311,AD312))*AH312,(1-AVERAGE(AD312,VLOOKUP(_xlfn.CONCAT(U312,V312,W312,X312,M_BRAND_FC!$F$6),FC_DATA!$R$2:$AD$5000,MATCH("DISCOUNT_%_M",FC_DATA!$R$1:$AD$1,0),FALSE)))*AH312))</f>
        <v>#N/A</v>
      </c>
      <c r="AJ312" s="412" t="str">
        <f t="shared" ca="1" si="120"/>
        <v/>
      </c>
      <c r="AK312" s="413" t="str">
        <f>IFERROR(AE312/(Q_BRAND_FC!$T$24+1),"")</f>
        <v/>
      </c>
      <c r="AL312" s="88" t="str">
        <f t="shared" ca="1" si="121"/>
        <v/>
      </c>
      <c r="AM312" s="414" t="str">
        <f t="shared" ca="1" si="122"/>
        <v/>
      </c>
      <c r="AN312" s="58">
        <f>IFERROR(IF($V312="BRAND.com",HLOOKUP($X312&amp;$Z312,NWC_FC_NOOS!$C$4:$Q$23,MATCH(W312,NWC_FC_NOOS!$B$4:$B$23,0),FALSE),0),0)</f>
        <v>0</v>
      </c>
      <c r="AO312" s="57">
        <f>IFERROR(IF($V312="BRAND.com",HLOOKUP($X312&amp;$Z312,NWC_FC_NOOS!$T$4:$AH$23,MATCH(W312,NWC_FC_NOOS!$S$4:$S$23,0),FALSE),0),0)</f>
        <v>0</v>
      </c>
      <c r="AP312" s="57">
        <f>IFERROR(IF($V312="BRAND.com",HLOOKUP($X312&amp;$Z312,NWC_FC_NOOS!$C$50:$U$69,MATCH(W312,NWC_FC_NOOS!$B$50:$B$69,0),FALSE),0),0)</f>
        <v>0</v>
      </c>
      <c r="AQ312" s="58">
        <f>IFERROR(IF($V312="BRAND.com",HLOOKUP($X312&amp;$Z312,'NWC_FC_NON-NOOS'!$C$4:$Q$23,MATCH(W312,'NWC_FC_NON-NOOS'!$B$4:$B$23,0),FALSE),0),0)</f>
        <v>0</v>
      </c>
      <c r="AR312" s="57">
        <f>IFERROR(IF($V312="BRAND.com",HLOOKUP($X312&amp;$Z312,'NWC_FC_NON-NOOS'!$T$4:$AH$23,MATCH(W312,'NWC_FC_NON-NOOS'!$S$4:$S$23,0),FALSE),0),0)</f>
        <v>0</v>
      </c>
      <c r="AS312" s="57">
        <f>IFERROR(IF($V312="BRAND.com",HLOOKUP($X312&amp;$Z312,'NWC_FC_NON-NOOS'!$C$50:$U$69,MATCH(W312,'NWC_FC_NON-NOOS'!$B$50:$B$69,0),FALSE),0),0)</f>
        <v>0</v>
      </c>
      <c r="AT312" s="57">
        <f t="shared" si="124"/>
        <v>0</v>
      </c>
      <c r="AU312" s="57">
        <f t="shared" si="125"/>
        <v>0</v>
      </c>
      <c r="AV312" s="58">
        <f>IFERROR(IF($V312="BRAND.com",HLOOKUP($X312&amp;$Z312,PLANNING_FC!$BB$27:$BP$46,MATCH($W312,PLANNING_FC!$BA$27:$BA$46,0),FALSE),0),0)</f>
        <v>0</v>
      </c>
      <c r="AW312" s="58">
        <f>IFERROR(IF($V312="BRAND.com",HLOOKUP($X312&amp;$Z312,PLANNING_FC!$BB$4:$BP$23,MATCH($W312,PLANNING_FC!$BA$4:$BA$23,0),FALSE),0),0)</f>
        <v>0</v>
      </c>
      <c r="AX312" s="58">
        <f>IFERROR(IF($V312="BRAND.com",HLOOKUP($X312&amp;$Z312,PLANNING_FC!$T$27:$AH$46,MATCH($W312,PLANNING_FC!$B$27:$B$46,0),FALSE),0),0)</f>
        <v>0</v>
      </c>
      <c r="AY312" s="58">
        <f>IFERROR(IF($V312="BRAND.com",HLOOKUP($X312&amp;$Z312,PLANNING_FC!$T$4:$AH$23,MATCH($W312,PLANNING_FC!$B$4:$B$23,0),FALSE),0),0)</f>
        <v>0</v>
      </c>
      <c r="AZ312" s="58">
        <f>IFERROR(IF($V312="BRAND.com",HLOOKUP($X312&amp;$Z312,PLANNING_FC!$DA$27:$DO$46,MATCH($W312,PLANNING_FC!$CZ$27:$CZ$46,0),FALSE),0),0)</f>
        <v>0</v>
      </c>
      <c r="BA312" s="58">
        <f>IFERROR(IF($V312="BRAND.com",HLOOKUP($X312&amp;$Z312,PLANNING_FC!$DA$4:$DO$23,MATCH($W312,PLANNING_FC!$CZ$4:$CZ$23,0),FALSE),0),0)</f>
        <v>0</v>
      </c>
      <c r="BB312" s="883" t="str">
        <f>IF(V312="BRAND.com",IFERROR(HLOOKUP(X312&amp;Z312,PLANNING_FC!$AK$4:$AY$23,MATCH(W312,PLANNING_FC!$AJ$4:$AJ$23,0),FALSE)*1000,""),"")</f>
        <v/>
      </c>
      <c r="BC312" s="883" t="str">
        <f>IF(V312="BRAND.com",IFERROR(HLOOKUP(X312&amp;Z312,PLANNING_FC!$AK$27:$AY$46,MATCH(W312,PLANNING_FC!$AJ$27:$AJ$46,0),FALSE)*1000,""),"")</f>
        <v/>
      </c>
    </row>
    <row r="313" spans="1:55" x14ac:dyDescent="0.25">
      <c r="A313" s="509"/>
      <c r="B313" s="509"/>
      <c r="C313" s="509"/>
      <c r="D313" s="509"/>
      <c r="E313" s="509"/>
      <c r="F313" s="509"/>
      <c r="G313" s="509"/>
      <c r="H313" s="509"/>
      <c r="I313" s="512"/>
      <c r="J313" s="513"/>
      <c r="K313" s="879"/>
      <c r="L313" s="515"/>
      <c r="M313" s="516"/>
      <c r="N313" s="56">
        <f t="shared" si="106"/>
        <v>0</v>
      </c>
      <c r="O313" s="57">
        <f t="shared" si="107"/>
        <v>0</v>
      </c>
      <c r="P313" s="57">
        <f ca="1">IFERROR(IF(ISBLANK(H313),SUMIFS($AC:$AC,$V:$V,V313,$W:$W,W313,$X:$X,X313,$Y:$Y,Y313)*J313/(1-J313)*VLOOKUP(_xlfn.CONCAT(C313,D313,E313,TIME!$M$12,Z313),HIS_SALES!$B$2:$W$4859,20,FALSE),AC313*J313/(1-J313)),0)</f>
        <v>0</v>
      </c>
      <c r="Q313" s="541" t="str">
        <f t="shared" si="108"/>
        <v/>
      </c>
      <c r="R313" s="346" t="str">
        <f t="shared" si="109"/>
        <v>00000</v>
      </c>
      <c r="S313" s="344">
        <f t="shared" si="110"/>
        <v>0</v>
      </c>
      <c r="T313" s="345" t="str">
        <f t="shared" si="123"/>
        <v>000</v>
      </c>
      <c r="U313" s="345">
        <f t="shared" si="111"/>
        <v>0</v>
      </c>
      <c r="V313" s="345">
        <f t="shared" si="112"/>
        <v>0</v>
      </c>
      <c r="W313" s="345">
        <f t="shared" si="113"/>
        <v>0</v>
      </c>
      <c r="X313" s="345">
        <f t="shared" si="114"/>
        <v>0</v>
      </c>
      <c r="Y313" s="345">
        <f t="shared" si="115"/>
        <v>0</v>
      </c>
      <c r="Z313" s="345">
        <f>IF(Q313&lt;&gt;"",VLOOKUP(Y313,TIME!$R$21:$V$24,MATCH(FC_DATA!Q313,TIME!$R$20:$V$20,0),FALSE),H313)</f>
        <v>0</v>
      </c>
      <c r="AA313" s="345" t="str">
        <f>IFERROR(VLOOKUP(X313&amp;Z313,TIME!$A$12:$D$71,4,FALSE),"")</f>
        <v/>
      </c>
      <c r="AB313" s="592">
        <f t="shared" ca="1" si="116"/>
        <v>0</v>
      </c>
      <c r="AC313" s="593" t="e">
        <f ca="1">IF(ISBLANK(H313)=FALSE,IF(D313="BRAND.com",I313,IF(ISNA(VLOOKUP(_xlfn.CONCAT(X313,Z313),TIME!$M$40:$M$42,1,FALSE)),I313,VLOOKUP(_xlfn.CONCAT(D313,G313,H313),M_BUSAREA_FC!$AF$5:$AJ$10,5,FALSE)*HLOOKUP(_xlfn.CONCAT(F313,H313),ST_OVERVIEW!$G$99:$I$130,MATCH(_xlfn.CONCAT(D313,E313),ST_OVERVIEW!$F$99:$F$130,0),FALSE))),IF(D313="BRAND.com",VLOOKUP(_xlfn.CONCAT(C313,D313,E313,TIME!$F$1,Z313),HIS_SALES!$B$2:$V$4859,19,FALSE)*I313,VLOOKUP(_xlfn.CONCAT(D313,F313,G313),Q_BUSAREA_FC!$AE$5:$AI$12,5,FALSE)*HLOOKUP(_xlfn.CONCAT(FC_DATA!F313,FC_DATA!G313),LT_OVERVIEW!$I$99:$M$130,MATCH(_xlfn.CONCAT(D313,FC_DATA!E313),LT_OVERVIEW!$H$99:$H$130,0),FALSE)*IFERROR(VLOOKUP(_xlfn.CONCAT(C313,D313,E313,TIME!$F$1,Z313),HIS_SALES!$B$2:$V$4859,19,FALSE),0)))</f>
        <v>#N/A</v>
      </c>
      <c r="AD313" s="341">
        <f t="shared" ca="1" si="117"/>
        <v>0</v>
      </c>
      <c r="AE313" s="363" t="str">
        <f t="shared" si="118"/>
        <v/>
      </c>
      <c r="AF313" s="342" t="str">
        <f t="shared" si="119"/>
        <v/>
      </c>
      <c r="AG313" s="411" t="e">
        <f ca="1">VLOOKUP(_xlfn.CONCAT(U313,V313,W313,VLOOKUP(X313&amp;Y313,TIME!$L$27:$O$34,4,FALSE),Y313),HIS_SALES!$A$2:$R$5093,18,FALSE)</f>
        <v>#N/A</v>
      </c>
      <c r="AH313" s="412" t="e">
        <f ca="1">IFERROR(IF(AND(V313=V312,W313=W312),0.5*(AB313+AB312)*AG313,(VLOOKUP(_xlfn.CONCAT(U313,V313,W313,X313,VLOOKUP(Z313,TIME!$S$28:$T$39,2,FALSE)),FC_DATA!$R$2:$AB$5000,MATCH("GS_I_M",FC_DATA!$R$1:$AB$1,0),FALSE)+FC_DATA!AB313)*0.5*FC_DATA!AG313),NA())</f>
        <v>#N/A</v>
      </c>
      <c r="AI313" s="491" t="e">
        <f ca="1">IF(V313="PARTNER.com",AH313,IF(AND(V313=V312,W313=W312),(1-AVERAGE(AD312,AD313))*AH313,(1-AVERAGE(AD313,VLOOKUP(_xlfn.CONCAT(U313,V313,W313,X313,M_BRAND_FC!$F$6),FC_DATA!$R$2:$AD$5000,MATCH("DISCOUNT_%_M",FC_DATA!$R$1:$AD$1,0),FALSE)))*AH313))</f>
        <v>#N/A</v>
      </c>
      <c r="AJ313" s="412" t="str">
        <f t="shared" ca="1" si="120"/>
        <v/>
      </c>
      <c r="AK313" s="413" t="str">
        <f>IFERROR(AE313/(Q_BRAND_FC!$T$24+1),"")</f>
        <v/>
      </c>
      <c r="AL313" s="88" t="str">
        <f t="shared" ca="1" si="121"/>
        <v/>
      </c>
      <c r="AM313" s="414" t="str">
        <f t="shared" ca="1" si="122"/>
        <v/>
      </c>
      <c r="AN313" s="58">
        <f>IFERROR(IF($V313="BRAND.com",HLOOKUP($X313&amp;$Z313,NWC_FC_NOOS!$C$4:$Q$23,MATCH(W313,NWC_FC_NOOS!$B$4:$B$23,0),FALSE),0),0)</f>
        <v>0</v>
      </c>
      <c r="AO313" s="57">
        <f>IFERROR(IF($V313="BRAND.com",HLOOKUP($X313&amp;$Z313,NWC_FC_NOOS!$T$4:$AH$23,MATCH(W313,NWC_FC_NOOS!$S$4:$S$23,0),FALSE),0),0)</f>
        <v>0</v>
      </c>
      <c r="AP313" s="57">
        <f>IFERROR(IF($V313="BRAND.com",HLOOKUP($X313&amp;$Z313,NWC_FC_NOOS!$C$50:$U$69,MATCH(W313,NWC_FC_NOOS!$B$50:$B$69,0),FALSE),0),0)</f>
        <v>0</v>
      </c>
      <c r="AQ313" s="58">
        <f>IFERROR(IF($V313="BRAND.com",HLOOKUP($X313&amp;$Z313,'NWC_FC_NON-NOOS'!$C$4:$Q$23,MATCH(W313,'NWC_FC_NON-NOOS'!$B$4:$B$23,0),FALSE),0),0)</f>
        <v>0</v>
      </c>
      <c r="AR313" s="57">
        <f>IFERROR(IF($V313="BRAND.com",HLOOKUP($X313&amp;$Z313,'NWC_FC_NON-NOOS'!$T$4:$AH$23,MATCH(W313,'NWC_FC_NON-NOOS'!$S$4:$S$23,0),FALSE),0),0)</f>
        <v>0</v>
      </c>
      <c r="AS313" s="57">
        <f>IFERROR(IF($V313="BRAND.com",HLOOKUP($X313&amp;$Z313,'NWC_FC_NON-NOOS'!$C$50:$U$69,MATCH(W313,'NWC_FC_NON-NOOS'!$B$50:$B$69,0),FALSE),0),0)</f>
        <v>0</v>
      </c>
      <c r="AT313" s="57">
        <f t="shared" si="124"/>
        <v>0</v>
      </c>
      <c r="AU313" s="57">
        <f t="shared" si="125"/>
        <v>0</v>
      </c>
      <c r="AV313" s="58">
        <f>IFERROR(IF($V313="BRAND.com",HLOOKUP($X313&amp;$Z313,PLANNING_FC!$BB$27:$BP$46,MATCH($W313,PLANNING_FC!$BA$27:$BA$46,0),FALSE),0),0)</f>
        <v>0</v>
      </c>
      <c r="AW313" s="58">
        <f>IFERROR(IF($V313="BRAND.com",HLOOKUP($X313&amp;$Z313,PLANNING_FC!$BB$4:$BP$23,MATCH($W313,PLANNING_FC!$BA$4:$BA$23,0),FALSE),0),0)</f>
        <v>0</v>
      </c>
      <c r="AX313" s="58">
        <f>IFERROR(IF($V313="BRAND.com",HLOOKUP($X313&amp;$Z313,PLANNING_FC!$T$27:$AH$46,MATCH($W313,PLANNING_FC!$B$27:$B$46,0),FALSE),0),0)</f>
        <v>0</v>
      </c>
      <c r="AY313" s="58">
        <f>IFERROR(IF($V313="BRAND.com",HLOOKUP($X313&amp;$Z313,PLANNING_FC!$T$4:$AH$23,MATCH($W313,PLANNING_FC!$B$4:$B$23,0),FALSE),0),0)</f>
        <v>0</v>
      </c>
      <c r="AZ313" s="58">
        <f>IFERROR(IF($V313="BRAND.com",HLOOKUP($X313&amp;$Z313,PLANNING_FC!$DA$27:$DO$46,MATCH($W313,PLANNING_FC!$CZ$27:$CZ$46,0),FALSE),0),0)</f>
        <v>0</v>
      </c>
      <c r="BA313" s="58">
        <f>IFERROR(IF($V313="BRAND.com",HLOOKUP($X313&amp;$Z313,PLANNING_FC!$DA$4:$DO$23,MATCH($W313,PLANNING_FC!$CZ$4:$CZ$23,0),FALSE),0),0)</f>
        <v>0</v>
      </c>
      <c r="BB313" s="883" t="str">
        <f>IF(V313="BRAND.com",IFERROR(HLOOKUP(X313&amp;Z313,PLANNING_FC!$AK$4:$AY$23,MATCH(W313,PLANNING_FC!$AJ$4:$AJ$23,0),FALSE)*1000,""),"")</f>
        <v/>
      </c>
      <c r="BC313" s="883" t="str">
        <f>IF(V313="BRAND.com",IFERROR(HLOOKUP(X313&amp;Z313,PLANNING_FC!$AK$27:$AY$46,MATCH(W313,PLANNING_FC!$AJ$27:$AJ$46,0),FALSE)*1000,""),"")</f>
        <v/>
      </c>
    </row>
    <row r="314" spans="1:55" x14ac:dyDescent="0.25">
      <c r="A314" s="509"/>
      <c r="B314" s="509"/>
      <c r="C314" s="509"/>
      <c r="D314" s="509"/>
      <c r="E314" s="509"/>
      <c r="F314" s="509"/>
      <c r="G314" s="509"/>
      <c r="H314" s="509"/>
      <c r="I314" s="512"/>
      <c r="J314" s="513"/>
      <c r="K314" s="879"/>
      <c r="L314" s="515"/>
      <c r="M314" s="516"/>
      <c r="N314" s="56">
        <f t="shared" si="106"/>
        <v>0</v>
      </c>
      <c r="O314" s="57">
        <f t="shared" si="107"/>
        <v>0</v>
      </c>
      <c r="P314" s="57">
        <f ca="1">IFERROR(IF(ISBLANK(H314),SUMIFS($AC:$AC,$V:$V,V314,$W:$W,W314,$X:$X,X314,$Y:$Y,Y314)*J314/(1-J314)*VLOOKUP(_xlfn.CONCAT(C314,D314,E314,TIME!$M$12,Z314),HIS_SALES!$B$2:$W$4859,20,FALSE),AC314*J314/(1-J314)),0)</f>
        <v>0</v>
      </c>
      <c r="Q314" s="541" t="str">
        <f t="shared" si="108"/>
        <v/>
      </c>
      <c r="R314" s="346" t="str">
        <f t="shared" si="109"/>
        <v>00000</v>
      </c>
      <c r="S314" s="344">
        <f t="shared" si="110"/>
        <v>0</v>
      </c>
      <c r="T314" s="345" t="str">
        <f t="shared" si="123"/>
        <v>000</v>
      </c>
      <c r="U314" s="345">
        <f t="shared" si="111"/>
        <v>0</v>
      </c>
      <c r="V314" s="345">
        <f t="shared" si="112"/>
        <v>0</v>
      </c>
      <c r="W314" s="345">
        <f t="shared" si="113"/>
        <v>0</v>
      </c>
      <c r="X314" s="345">
        <f t="shared" si="114"/>
        <v>0</v>
      </c>
      <c r="Y314" s="345">
        <f t="shared" si="115"/>
        <v>0</v>
      </c>
      <c r="Z314" s="345">
        <f>IF(Q314&lt;&gt;"",VLOOKUP(Y314,TIME!$R$21:$V$24,MATCH(FC_DATA!Q314,TIME!$R$20:$V$20,0),FALSE),H314)</f>
        <v>0</v>
      </c>
      <c r="AA314" s="345" t="str">
        <f>IFERROR(VLOOKUP(X314&amp;Z314,TIME!$A$12:$D$71,4,FALSE),"")</f>
        <v/>
      </c>
      <c r="AB314" s="592">
        <f t="shared" ca="1" si="116"/>
        <v>0</v>
      </c>
      <c r="AC314" s="593" t="e">
        <f ca="1">IF(ISBLANK(H314)=FALSE,IF(D314="BRAND.com",I314,IF(ISNA(VLOOKUP(_xlfn.CONCAT(X314,Z314),TIME!$M$40:$M$42,1,FALSE)),I314,VLOOKUP(_xlfn.CONCAT(D314,G314,H314),M_BUSAREA_FC!$AF$5:$AJ$10,5,FALSE)*HLOOKUP(_xlfn.CONCAT(F314,H314),ST_OVERVIEW!$G$99:$I$130,MATCH(_xlfn.CONCAT(D314,E314),ST_OVERVIEW!$F$99:$F$130,0),FALSE))),IF(D314="BRAND.com",VLOOKUP(_xlfn.CONCAT(C314,D314,E314,TIME!$F$1,Z314),HIS_SALES!$B$2:$V$4859,19,FALSE)*I314,VLOOKUP(_xlfn.CONCAT(D314,F314,G314),Q_BUSAREA_FC!$AE$5:$AI$12,5,FALSE)*HLOOKUP(_xlfn.CONCAT(FC_DATA!F314,FC_DATA!G314),LT_OVERVIEW!$I$99:$M$130,MATCH(_xlfn.CONCAT(D314,FC_DATA!E314),LT_OVERVIEW!$H$99:$H$130,0),FALSE)*IFERROR(VLOOKUP(_xlfn.CONCAT(C314,D314,E314,TIME!$F$1,Z314),HIS_SALES!$B$2:$V$4859,19,FALSE),0)))</f>
        <v>#N/A</v>
      </c>
      <c r="AD314" s="341">
        <f t="shared" ca="1" si="117"/>
        <v>0</v>
      </c>
      <c r="AE314" s="363" t="str">
        <f t="shared" si="118"/>
        <v/>
      </c>
      <c r="AF314" s="342" t="str">
        <f t="shared" si="119"/>
        <v/>
      </c>
      <c r="AG314" s="411" t="e">
        <f ca="1">VLOOKUP(_xlfn.CONCAT(U314,V314,W314,VLOOKUP(X314&amp;Y314,TIME!$L$27:$O$34,4,FALSE),Y314),HIS_SALES!$A$2:$R$5093,18,FALSE)</f>
        <v>#N/A</v>
      </c>
      <c r="AH314" s="412" t="e">
        <f ca="1">IFERROR(IF(AND(V314=V313,W314=W313),0.5*(AB314+AB313)*AG314,(VLOOKUP(_xlfn.CONCAT(U314,V314,W314,X314,VLOOKUP(Z314,TIME!$S$28:$T$39,2,FALSE)),FC_DATA!$R$2:$AB$5000,MATCH("GS_I_M",FC_DATA!$R$1:$AB$1,0),FALSE)+FC_DATA!AB314)*0.5*FC_DATA!AG314),NA())</f>
        <v>#N/A</v>
      </c>
      <c r="AI314" s="491" t="e">
        <f ca="1">IF(V314="PARTNER.com",AH314,IF(AND(V314=V313,W314=W313),(1-AVERAGE(AD313,AD314))*AH314,(1-AVERAGE(AD314,VLOOKUP(_xlfn.CONCAT(U314,V314,W314,X314,M_BRAND_FC!$F$6),FC_DATA!$R$2:$AD$5000,MATCH("DISCOUNT_%_M",FC_DATA!$R$1:$AD$1,0),FALSE)))*AH314))</f>
        <v>#N/A</v>
      </c>
      <c r="AJ314" s="412" t="str">
        <f t="shared" ca="1" si="120"/>
        <v/>
      </c>
      <c r="AK314" s="413" t="str">
        <f>IFERROR(AE314/(Q_BRAND_FC!$T$24+1),"")</f>
        <v/>
      </c>
      <c r="AL314" s="88" t="str">
        <f t="shared" ca="1" si="121"/>
        <v/>
      </c>
      <c r="AM314" s="414" t="str">
        <f t="shared" ca="1" si="122"/>
        <v/>
      </c>
      <c r="AN314" s="58">
        <f>IFERROR(IF($V314="BRAND.com",HLOOKUP($X314&amp;$Z314,NWC_FC_NOOS!$C$4:$Q$23,MATCH(W314,NWC_FC_NOOS!$B$4:$B$23,0),FALSE),0),0)</f>
        <v>0</v>
      </c>
      <c r="AO314" s="57">
        <f>IFERROR(IF($V314="BRAND.com",HLOOKUP($X314&amp;$Z314,NWC_FC_NOOS!$T$4:$AH$23,MATCH(W314,NWC_FC_NOOS!$S$4:$S$23,0),FALSE),0),0)</f>
        <v>0</v>
      </c>
      <c r="AP314" s="57">
        <f>IFERROR(IF($V314="BRAND.com",HLOOKUP($X314&amp;$Z314,NWC_FC_NOOS!$C$50:$U$69,MATCH(W314,NWC_FC_NOOS!$B$50:$B$69,0),FALSE),0),0)</f>
        <v>0</v>
      </c>
      <c r="AQ314" s="58">
        <f>IFERROR(IF($V314="BRAND.com",HLOOKUP($X314&amp;$Z314,'NWC_FC_NON-NOOS'!$C$4:$Q$23,MATCH(W314,'NWC_FC_NON-NOOS'!$B$4:$B$23,0),FALSE),0),0)</f>
        <v>0</v>
      </c>
      <c r="AR314" s="57">
        <f>IFERROR(IF($V314="BRAND.com",HLOOKUP($X314&amp;$Z314,'NWC_FC_NON-NOOS'!$T$4:$AH$23,MATCH(W314,'NWC_FC_NON-NOOS'!$S$4:$S$23,0),FALSE),0),0)</f>
        <v>0</v>
      </c>
      <c r="AS314" s="57">
        <f>IFERROR(IF($V314="BRAND.com",HLOOKUP($X314&amp;$Z314,'NWC_FC_NON-NOOS'!$C$50:$U$69,MATCH(W314,'NWC_FC_NON-NOOS'!$B$50:$B$69,0),FALSE),0),0)</f>
        <v>0</v>
      </c>
      <c r="AT314" s="57">
        <f t="shared" si="124"/>
        <v>0</v>
      </c>
      <c r="AU314" s="57">
        <f t="shared" si="125"/>
        <v>0</v>
      </c>
      <c r="AV314" s="58">
        <f>IFERROR(IF($V314="BRAND.com",HLOOKUP($X314&amp;$Z314,PLANNING_FC!$BB$27:$BP$46,MATCH($W314,PLANNING_FC!$BA$27:$BA$46,0),FALSE),0),0)</f>
        <v>0</v>
      </c>
      <c r="AW314" s="58">
        <f>IFERROR(IF($V314="BRAND.com",HLOOKUP($X314&amp;$Z314,PLANNING_FC!$BB$4:$BP$23,MATCH($W314,PLANNING_FC!$BA$4:$BA$23,0),FALSE),0),0)</f>
        <v>0</v>
      </c>
      <c r="AX314" s="58">
        <f>IFERROR(IF($V314="BRAND.com",HLOOKUP($X314&amp;$Z314,PLANNING_FC!$T$27:$AH$46,MATCH($W314,PLANNING_FC!$B$27:$B$46,0),FALSE),0),0)</f>
        <v>0</v>
      </c>
      <c r="AY314" s="58">
        <f>IFERROR(IF($V314="BRAND.com",HLOOKUP($X314&amp;$Z314,PLANNING_FC!$T$4:$AH$23,MATCH($W314,PLANNING_FC!$B$4:$B$23,0),FALSE),0),0)</f>
        <v>0</v>
      </c>
      <c r="AZ314" s="58">
        <f>IFERROR(IF($V314="BRAND.com",HLOOKUP($X314&amp;$Z314,PLANNING_FC!$DA$27:$DO$46,MATCH($W314,PLANNING_FC!$CZ$27:$CZ$46,0),FALSE),0),0)</f>
        <v>0</v>
      </c>
      <c r="BA314" s="58">
        <f>IFERROR(IF($V314="BRAND.com",HLOOKUP($X314&amp;$Z314,PLANNING_FC!$DA$4:$DO$23,MATCH($W314,PLANNING_FC!$CZ$4:$CZ$23,0),FALSE),0),0)</f>
        <v>0</v>
      </c>
      <c r="BB314" s="883" t="str">
        <f>IF(V314="BRAND.com",IFERROR(HLOOKUP(X314&amp;Z314,PLANNING_FC!$AK$4:$AY$23,MATCH(W314,PLANNING_FC!$AJ$4:$AJ$23,0),FALSE)*1000,""),"")</f>
        <v/>
      </c>
      <c r="BC314" s="883" t="str">
        <f>IF(V314="BRAND.com",IFERROR(HLOOKUP(X314&amp;Z314,PLANNING_FC!$AK$27:$AY$46,MATCH(W314,PLANNING_FC!$AJ$27:$AJ$46,0),FALSE)*1000,""),"")</f>
        <v/>
      </c>
    </row>
    <row r="315" spans="1:55" x14ac:dyDescent="0.25">
      <c r="A315" s="509"/>
      <c r="B315" s="509"/>
      <c r="C315" s="509"/>
      <c r="D315" s="509"/>
      <c r="E315" s="509"/>
      <c r="F315" s="509"/>
      <c r="G315" s="509"/>
      <c r="H315" s="509"/>
      <c r="I315" s="512"/>
      <c r="J315" s="513"/>
      <c r="K315" s="879"/>
      <c r="L315" s="515"/>
      <c r="M315" s="516"/>
      <c r="N315" s="56">
        <f t="shared" si="106"/>
        <v>0</v>
      </c>
      <c r="O315" s="57">
        <f t="shared" si="107"/>
        <v>0</v>
      </c>
      <c r="P315" s="57">
        <f ca="1">IFERROR(IF(ISBLANK(H315),SUMIFS($AC:$AC,$V:$V,V315,$W:$W,W315,$X:$X,X315,$Y:$Y,Y315)*J315/(1-J315)*VLOOKUP(_xlfn.CONCAT(C315,D315,E315,TIME!$M$12,Z315),HIS_SALES!$B$2:$W$4859,20,FALSE),AC315*J315/(1-J315)),0)</f>
        <v>0</v>
      </c>
      <c r="Q315" s="541" t="str">
        <f t="shared" si="108"/>
        <v/>
      </c>
      <c r="R315" s="346" t="str">
        <f t="shared" si="109"/>
        <v>00000</v>
      </c>
      <c r="S315" s="344">
        <f t="shared" si="110"/>
        <v>0</v>
      </c>
      <c r="T315" s="345" t="str">
        <f t="shared" si="123"/>
        <v>000</v>
      </c>
      <c r="U315" s="345">
        <f t="shared" si="111"/>
        <v>0</v>
      </c>
      <c r="V315" s="345">
        <f t="shared" si="112"/>
        <v>0</v>
      </c>
      <c r="W315" s="345">
        <f t="shared" si="113"/>
        <v>0</v>
      </c>
      <c r="X315" s="345">
        <f t="shared" si="114"/>
        <v>0</v>
      </c>
      <c r="Y315" s="345">
        <f t="shared" si="115"/>
        <v>0</v>
      </c>
      <c r="Z315" s="345">
        <f>IF(Q315&lt;&gt;"",VLOOKUP(Y315,TIME!$R$21:$V$24,MATCH(FC_DATA!Q315,TIME!$R$20:$V$20,0),FALSE),H315)</f>
        <v>0</v>
      </c>
      <c r="AA315" s="345" t="str">
        <f>IFERROR(VLOOKUP(X315&amp;Z315,TIME!$A$12:$D$71,4,FALSE),"")</f>
        <v/>
      </c>
      <c r="AB315" s="592">
        <f t="shared" ca="1" si="116"/>
        <v>0</v>
      </c>
      <c r="AC315" s="593" t="e">
        <f ca="1">IF(ISBLANK(H315)=FALSE,IF(D315="BRAND.com",I315,IF(ISNA(VLOOKUP(_xlfn.CONCAT(X315,Z315),TIME!$M$40:$M$42,1,FALSE)),I315,VLOOKUP(_xlfn.CONCAT(D315,G315,H315),M_BUSAREA_FC!$AF$5:$AJ$10,5,FALSE)*HLOOKUP(_xlfn.CONCAT(F315,H315),ST_OVERVIEW!$G$99:$I$130,MATCH(_xlfn.CONCAT(D315,E315),ST_OVERVIEW!$F$99:$F$130,0),FALSE))),IF(D315="BRAND.com",VLOOKUP(_xlfn.CONCAT(C315,D315,E315,TIME!$F$1,Z315),HIS_SALES!$B$2:$V$4859,19,FALSE)*I315,VLOOKUP(_xlfn.CONCAT(D315,F315,G315),Q_BUSAREA_FC!$AE$5:$AI$12,5,FALSE)*HLOOKUP(_xlfn.CONCAT(FC_DATA!F315,FC_DATA!G315),LT_OVERVIEW!$I$99:$M$130,MATCH(_xlfn.CONCAT(D315,FC_DATA!E315),LT_OVERVIEW!$H$99:$H$130,0),FALSE)*IFERROR(VLOOKUP(_xlfn.CONCAT(C315,D315,E315,TIME!$F$1,Z315),HIS_SALES!$B$2:$V$4859,19,FALSE),0)))</f>
        <v>#N/A</v>
      </c>
      <c r="AD315" s="341">
        <f t="shared" ca="1" si="117"/>
        <v>0</v>
      </c>
      <c r="AE315" s="363" t="str">
        <f t="shared" si="118"/>
        <v/>
      </c>
      <c r="AF315" s="342" t="str">
        <f t="shared" si="119"/>
        <v/>
      </c>
      <c r="AG315" s="411" t="e">
        <f ca="1">VLOOKUP(_xlfn.CONCAT(U315,V315,W315,VLOOKUP(X315&amp;Y315,TIME!$L$27:$O$34,4,FALSE),Y315),HIS_SALES!$A$2:$R$5093,18,FALSE)</f>
        <v>#N/A</v>
      </c>
      <c r="AH315" s="412" t="e">
        <f ca="1">IFERROR(IF(AND(V315=V314,W315=W314),0.5*(AB315+AB314)*AG315,(VLOOKUP(_xlfn.CONCAT(U315,V315,W315,X315,VLOOKUP(Z315,TIME!$S$28:$T$39,2,FALSE)),FC_DATA!$R$2:$AB$5000,MATCH("GS_I_M",FC_DATA!$R$1:$AB$1,0),FALSE)+FC_DATA!AB315)*0.5*FC_DATA!AG315),NA())</f>
        <v>#N/A</v>
      </c>
      <c r="AI315" s="491" t="e">
        <f ca="1">IF(V315="PARTNER.com",AH315,IF(AND(V315=V314,W315=W314),(1-AVERAGE(AD314,AD315))*AH315,(1-AVERAGE(AD315,VLOOKUP(_xlfn.CONCAT(U315,V315,W315,X315,M_BRAND_FC!$F$6),FC_DATA!$R$2:$AD$5000,MATCH("DISCOUNT_%_M",FC_DATA!$R$1:$AD$1,0),FALSE)))*AH315))</f>
        <v>#N/A</v>
      </c>
      <c r="AJ315" s="412" t="str">
        <f t="shared" ca="1" si="120"/>
        <v/>
      </c>
      <c r="AK315" s="413" t="str">
        <f>IFERROR(AE315/(Q_BRAND_FC!$T$24+1),"")</f>
        <v/>
      </c>
      <c r="AL315" s="88" t="str">
        <f t="shared" ca="1" si="121"/>
        <v/>
      </c>
      <c r="AM315" s="414" t="str">
        <f t="shared" ca="1" si="122"/>
        <v/>
      </c>
      <c r="AN315" s="58">
        <f>IFERROR(IF($V315="BRAND.com",HLOOKUP($X315&amp;$Z315,NWC_FC_NOOS!$C$4:$Q$23,MATCH(W315,NWC_FC_NOOS!$B$4:$B$23,0),FALSE),0),0)</f>
        <v>0</v>
      </c>
      <c r="AO315" s="57">
        <f>IFERROR(IF($V315="BRAND.com",HLOOKUP($X315&amp;$Z315,NWC_FC_NOOS!$T$4:$AH$23,MATCH(W315,NWC_FC_NOOS!$S$4:$S$23,0),FALSE),0),0)</f>
        <v>0</v>
      </c>
      <c r="AP315" s="57">
        <f>IFERROR(IF($V315="BRAND.com",HLOOKUP($X315&amp;$Z315,NWC_FC_NOOS!$C$50:$U$69,MATCH(W315,NWC_FC_NOOS!$B$50:$B$69,0),FALSE),0),0)</f>
        <v>0</v>
      </c>
      <c r="AQ315" s="58">
        <f>IFERROR(IF($V315="BRAND.com",HLOOKUP($X315&amp;$Z315,'NWC_FC_NON-NOOS'!$C$4:$Q$23,MATCH(W315,'NWC_FC_NON-NOOS'!$B$4:$B$23,0),FALSE),0),0)</f>
        <v>0</v>
      </c>
      <c r="AR315" s="57">
        <f>IFERROR(IF($V315="BRAND.com",HLOOKUP($X315&amp;$Z315,'NWC_FC_NON-NOOS'!$T$4:$AH$23,MATCH(W315,'NWC_FC_NON-NOOS'!$S$4:$S$23,0),FALSE),0),0)</f>
        <v>0</v>
      </c>
      <c r="AS315" s="57">
        <f>IFERROR(IF($V315="BRAND.com",HLOOKUP($X315&amp;$Z315,'NWC_FC_NON-NOOS'!$C$50:$U$69,MATCH(W315,'NWC_FC_NON-NOOS'!$B$50:$B$69,0),FALSE),0),0)</f>
        <v>0</v>
      </c>
      <c r="AT315" s="57">
        <f t="shared" si="124"/>
        <v>0</v>
      </c>
      <c r="AU315" s="57">
        <f t="shared" si="125"/>
        <v>0</v>
      </c>
      <c r="AV315" s="58">
        <f>IFERROR(IF($V315="BRAND.com",HLOOKUP($X315&amp;$Z315,PLANNING_FC!$BB$27:$BP$46,MATCH($W315,PLANNING_FC!$BA$27:$BA$46,0),FALSE),0),0)</f>
        <v>0</v>
      </c>
      <c r="AW315" s="58">
        <f>IFERROR(IF($V315="BRAND.com",HLOOKUP($X315&amp;$Z315,PLANNING_FC!$BB$4:$BP$23,MATCH($W315,PLANNING_FC!$BA$4:$BA$23,0),FALSE),0),0)</f>
        <v>0</v>
      </c>
      <c r="AX315" s="58">
        <f>IFERROR(IF($V315="BRAND.com",HLOOKUP($X315&amp;$Z315,PLANNING_FC!$T$27:$AH$46,MATCH($W315,PLANNING_FC!$B$27:$B$46,0),FALSE),0),0)</f>
        <v>0</v>
      </c>
      <c r="AY315" s="58">
        <f>IFERROR(IF($V315="BRAND.com",HLOOKUP($X315&amp;$Z315,PLANNING_FC!$T$4:$AH$23,MATCH($W315,PLANNING_FC!$B$4:$B$23,0),FALSE),0),0)</f>
        <v>0</v>
      </c>
      <c r="AZ315" s="58">
        <f>IFERROR(IF($V315="BRAND.com",HLOOKUP($X315&amp;$Z315,PLANNING_FC!$DA$27:$DO$46,MATCH($W315,PLANNING_FC!$CZ$27:$CZ$46,0),FALSE),0),0)</f>
        <v>0</v>
      </c>
      <c r="BA315" s="58">
        <f>IFERROR(IF($V315="BRAND.com",HLOOKUP($X315&amp;$Z315,PLANNING_FC!$DA$4:$DO$23,MATCH($W315,PLANNING_FC!$CZ$4:$CZ$23,0),FALSE),0),0)</f>
        <v>0</v>
      </c>
      <c r="BB315" s="883" t="str">
        <f>IF(V315="BRAND.com",IFERROR(HLOOKUP(X315&amp;Z315,PLANNING_FC!$AK$4:$AY$23,MATCH(W315,PLANNING_FC!$AJ$4:$AJ$23,0),FALSE)*1000,""),"")</f>
        <v/>
      </c>
      <c r="BC315" s="883" t="str">
        <f>IF(V315="BRAND.com",IFERROR(HLOOKUP(X315&amp;Z315,PLANNING_FC!$AK$27:$AY$46,MATCH(W315,PLANNING_FC!$AJ$27:$AJ$46,0),FALSE)*1000,""),"")</f>
        <v/>
      </c>
    </row>
    <row r="316" spans="1:55" x14ac:dyDescent="0.25">
      <c r="A316" s="509"/>
      <c r="B316" s="509"/>
      <c r="C316" s="509"/>
      <c r="D316" s="509"/>
      <c r="E316" s="509"/>
      <c r="F316" s="509"/>
      <c r="G316" s="509"/>
      <c r="H316" s="509"/>
      <c r="I316" s="512"/>
      <c r="J316" s="513"/>
      <c r="K316" s="879"/>
      <c r="L316" s="515"/>
      <c r="M316" s="516"/>
      <c r="N316" s="56">
        <f t="shared" si="106"/>
        <v>0</v>
      </c>
      <c r="O316" s="57">
        <f t="shared" si="107"/>
        <v>0</v>
      </c>
      <c r="P316" s="57">
        <f ca="1">IFERROR(IF(ISBLANK(H316),SUMIFS($AC:$AC,$V:$V,V316,$W:$W,W316,$X:$X,X316,$Y:$Y,Y316)*J316/(1-J316)*VLOOKUP(_xlfn.CONCAT(C316,D316,E316,TIME!$M$12,Z316),HIS_SALES!$B$2:$W$4859,20,FALSE),AC316*J316/(1-J316)),0)</f>
        <v>0</v>
      </c>
      <c r="Q316" s="541" t="str">
        <f t="shared" si="108"/>
        <v/>
      </c>
      <c r="R316" s="346" t="str">
        <f t="shared" si="109"/>
        <v>00000</v>
      </c>
      <c r="S316" s="344">
        <f t="shared" si="110"/>
        <v>0</v>
      </c>
      <c r="T316" s="345" t="str">
        <f t="shared" si="123"/>
        <v>000</v>
      </c>
      <c r="U316" s="345">
        <f t="shared" si="111"/>
        <v>0</v>
      </c>
      <c r="V316" s="345">
        <f t="shared" si="112"/>
        <v>0</v>
      </c>
      <c r="W316" s="345">
        <f t="shared" si="113"/>
        <v>0</v>
      </c>
      <c r="X316" s="345">
        <f t="shared" si="114"/>
        <v>0</v>
      </c>
      <c r="Y316" s="345">
        <f t="shared" si="115"/>
        <v>0</v>
      </c>
      <c r="Z316" s="345">
        <f>IF(Q316&lt;&gt;"",VLOOKUP(Y316,TIME!$R$21:$V$24,MATCH(FC_DATA!Q316,TIME!$R$20:$V$20,0),FALSE),H316)</f>
        <v>0</v>
      </c>
      <c r="AA316" s="345" t="str">
        <f>IFERROR(VLOOKUP(X316&amp;Z316,TIME!$A$12:$D$71,4,FALSE),"")</f>
        <v/>
      </c>
      <c r="AB316" s="592">
        <f t="shared" ca="1" si="116"/>
        <v>0</v>
      </c>
      <c r="AC316" s="593" t="e">
        <f ca="1">IF(ISBLANK(H316)=FALSE,IF(D316="BRAND.com",I316,IF(ISNA(VLOOKUP(_xlfn.CONCAT(X316,Z316),TIME!$M$40:$M$42,1,FALSE)),I316,VLOOKUP(_xlfn.CONCAT(D316,G316,H316),M_BUSAREA_FC!$AF$5:$AJ$10,5,FALSE)*HLOOKUP(_xlfn.CONCAT(F316,H316),ST_OVERVIEW!$G$99:$I$130,MATCH(_xlfn.CONCAT(D316,E316),ST_OVERVIEW!$F$99:$F$130,0),FALSE))),IF(D316="BRAND.com",VLOOKUP(_xlfn.CONCAT(C316,D316,E316,TIME!$F$1,Z316),HIS_SALES!$B$2:$V$4859,19,FALSE)*I316,VLOOKUP(_xlfn.CONCAT(D316,F316,G316),Q_BUSAREA_FC!$AE$5:$AI$12,5,FALSE)*HLOOKUP(_xlfn.CONCAT(FC_DATA!F316,FC_DATA!G316),LT_OVERVIEW!$I$99:$M$130,MATCH(_xlfn.CONCAT(D316,FC_DATA!E316),LT_OVERVIEW!$H$99:$H$130,0),FALSE)*IFERROR(VLOOKUP(_xlfn.CONCAT(C316,D316,E316,TIME!$F$1,Z316),HIS_SALES!$B$2:$V$4859,19,FALSE),0)))</f>
        <v>#N/A</v>
      </c>
      <c r="AD316" s="341">
        <f t="shared" ca="1" si="117"/>
        <v>0</v>
      </c>
      <c r="AE316" s="363" t="str">
        <f t="shared" si="118"/>
        <v/>
      </c>
      <c r="AF316" s="342" t="str">
        <f t="shared" si="119"/>
        <v/>
      </c>
      <c r="AG316" s="411" t="e">
        <f ca="1">VLOOKUP(_xlfn.CONCAT(U316,V316,W316,VLOOKUP(X316&amp;Y316,TIME!$L$27:$O$34,4,FALSE),Y316),HIS_SALES!$A$2:$R$5093,18,FALSE)</f>
        <v>#N/A</v>
      </c>
      <c r="AH316" s="412" t="e">
        <f ca="1">IFERROR(IF(AND(V316=V315,W316=W315),0.5*(AB316+AB315)*AG316,(VLOOKUP(_xlfn.CONCAT(U316,V316,W316,X316,VLOOKUP(Z316,TIME!$S$28:$T$39,2,FALSE)),FC_DATA!$R$2:$AB$5000,MATCH("GS_I_M",FC_DATA!$R$1:$AB$1,0),FALSE)+FC_DATA!AB316)*0.5*FC_DATA!AG316),NA())</f>
        <v>#N/A</v>
      </c>
      <c r="AI316" s="491" t="e">
        <f ca="1">IF(V316="PARTNER.com",AH316,IF(AND(V316=V315,W316=W315),(1-AVERAGE(AD315,AD316))*AH316,(1-AVERAGE(AD316,VLOOKUP(_xlfn.CONCAT(U316,V316,W316,X316,M_BRAND_FC!$F$6),FC_DATA!$R$2:$AD$5000,MATCH("DISCOUNT_%_M",FC_DATA!$R$1:$AD$1,0),FALSE)))*AH316))</f>
        <v>#N/A</v>
      </c>
      <c r="AJ316" s="412" t="str">
        <f t="shared" ca="1" si="120"/>
        <v/>
      </c>
      <c r="AK316" s="413" t="str">
        <f>IFERROR(AE316/(Q_BRAND_FC!$T$24+1),"")</f>
        <v/>
      </c>
      <c r="AL316" s="88" t="str">
        <f t="shared" ca="1" si="121"/>
        <v/>
      </c>
      <c r="AM316" s="414" t="str">
        <f t="shared" ca="1" si="122"/>
        <v/>
      </c>
      <c r="AN316" s="58">
        <f>IFERROR(IF($V316="BRAND.com",HLOOKUP($X316&amp;$Z316,NWC_FC_NOOS!$C$4:$Q$23,MATCH(W316,NWC_FC_NOOS!$B$4:$B$23,0),FALSE),0),0)</f>
        <v>0</v>
      </c>
      <c r="AO316" s="57">
        <f>IFERROR(IF($V316="BRAND.com",HLOOKUP($X316&amp;$Z316,NWC_FC_NOOS!$T$4:$AH$23,MATCH(W316,NWC_FC_NOOS!$S$4:$S$23,0),FALSE),0),0)</f>
        <v>0</v>
      </c>
      <c r="AP316" s="57">
        <f>IFERROR(IF($V316="BRAND.com",HLOOKUP($X316&amp;$Z316,NWC_FC_NOOS!$C$50:$U$69,MATCH(W316,NWC_FC_NOOS!$B$50:$B$69,0),FALSE),0),0)</f>
        <v>0</v>
      </c>
      <c r="AQ316" s="58">
        <f>IFERROR(IF($V316="BRAND.com",HLOOKUP($X316&amp;$Z316,'NWC_FC_NON-NOOS'!$C$4:$Q$23,MATCH(W316,'NWC_FC_NON-NOOS'!$B$4:$B$23,0),FALSE),0),0)</f>
        <v>0</v>
      </c>
      <c r="AR316" s="57">
        <f>IFERROR(IF($V316="BRAND.com",HLOOKUP($X316&amp;$Z316,'NWC_FC_NON-NOOS'!$T$4:$AH$23,MATCH(W316,'NWC_FC_NON-NOOS'!$S$4:$S$23,0),FALSE),0),0)</f>
        <v>0</v>
      </c>
      <c r="AS316" s="57">
        <f>IFERROR(IF($V316="BRAND.com",HLOOKUP($X316&amp;$Z316,'NWC_FC_NON-NOOS'!$C$50:$U$69,MATCH(W316,'NWC_FC_NON-NOOS'!$B$50:$B$69,0),FALSE),0),0)</f>
        <v>0</v>
      </c>
      <c r="AT316" s="57">
        <f t="shared" si="124"/>
        <v>0</v>
      </c>
      <c r="AU316" s="57">
        <f t="shared" si="125"/>
        <v>0</v>
      </c>
      <c r="AV316" s="58">
        <f>IFERROR(IF($V316="BRAND.com",HLOOKUP($X316&amp;$Z316,PLANNING_FC!$BB$27:$BP$46,MATCH($W316,PLANNING_FC!$BA$27:$BA$46,0),FALSE),0),0)</f>
        <v>0</v>
      </c>
      <c r="AW316" s="58">
        <f>IFERROR(IF($V316="BRAND.com",HLOOKUP($X316&amp;$Z316,PLANNING_FC!$BB$4:$BP$23,MATCH($W316,PLANNING_FC!$BA$4:$BA$23,0),FALSE),0),0)</f>
        <v>0</v>
      </c>
      <c r="AX316" s="58">
        <f>IFERROR(IF($V316="BRAND.com",HLOOKUP($X316&amp;$Z316,PLANNING_FC!$T$27:$AH$46,MATCH($W316,PLANNING_FC!$B$27:$B$46,0),FALSE),0),0)</f>
        <v>0</v>
      </c>
      <c r="AY316" s="58">
        <f>IFERROR(IF($V316="BRAND.com",HLOOKUP($X316&amp;$Z316,PLANNING_FC!$T$4:$AH$23,MATCH($W316,PLANNING_FC!$B$4:$B$23,0),FALSE),0),0)</f>
        <v>0</v>
      </c>
      <c r="AZ316" s="58">
        <f>IFERROR(IF($V316="BRAND.com",HLOOKUP($X316&amp;$Z316,PLANNING_FC!$DA$27:$DO$46,MATCH($W316,PLANNING_FC!$CZ$27:$CZ$46,0),FALSE),0),0)</f>
        <v>0</v>
      </c>
      <c r="BA316" s="58">
        <f>IFERROR(IF($V316="BRAND.com",HLOOKUP($X316&amp;$Z316,PLANNING_FC!$DA$4:$DO$23,MATCH($W316,PLANNING_FC!$CZ$4:$CZ$23,0),FALSE),0),0)</f>
        <v>0</v>
      </c>
      <c r="BB316" s="883" t="str">
        <f>IF(V316="BRAND.com",IFERROR(HLOOKUP(X316&amp;Z316,PLANNING_FC!$AK$4:$AY$23,MATCH(W316,PLANNING_FC!$AJ$4:$AJ$23,0),FALSE)*1000,""),"")</f>
        <v/>
      </c>
      <c r="BC316" s="883" t="str">
        <f>IF(V316="BRAND.com",IFERROR(HLOOKUP(X316&amp;Z316,PLANNING_FC!$AK$27:$AY$46,MATCH(W316,PLANNING_FC!$AJ$27:$AJ$46,0),FALSE)*1000,""),"")</f>
        <v/>
      </c>
    </row>
    <row r="317" spans="1:55" x14ac:dyDescent="0.25">
      <c r="A317" s="509"/>
      <c r="B317" s="509"/>
      <c r="C317" s="509"/>
      <c r="D317" s="509"/>
      <c r="E317" s="509"/>
      <c r="F317" s="509"/>
      <c r="G317" s="509"/>
      <c r="H317" s="509"/>
      <c r="I317" s="512"/>
      <c r="J317" s="513"/>
      <c r="K317" s="879"/>
      <c r="L317" s="515"/>
      <c r="M317" s="516"/>
      <c r="N317" s="56">
        <f t="shared" si="106"/>
        <v>0</v>
      </c>
      <c r="O317" s="57">
        <f t="shared" si="107"/>
        <v>0</v>
      </c>
      <c r="P317" s="57">
        <f ca="1">IFERROR(IF(ISBLANK(H317),SUMIFS($AC:$AC,$V:$V,V317,$W:$W,W317,$X:$X,X317,$Y:$Y,Y317)*J317/(1-J317)*VLOOKUP(_xlfn.CONCAT(C317,D317,E317,TIME!$M$12,Z317),HIS_SALES!$B$2:$W$4859,20,FALSE),AC317*J317/(1-J317)),0)</f>
        <v>0</v>
      </c>
      <c r="Q317" s="541" t="str">
        <f t="shared" si="108"/>
        <v/>
      </c>
      <c r="R317" s="346" t="str">
        <f t="shared" si="109"/>
        <v>00000</v>
      </c>
      <c r="S317" s="344">
        <f t="shared" si="110"/>
        <v>0</v>
      </c>
      <c r="T317" s="345" t="str">
        <f t="shared" si="123"/>
        <v>000</v>
      </c>
      <c r="U317" s="345">
        <f t="shared" si="111"/>
        <v>0</v>
      </c>
      <c r="V317" s="345">
        <f t="shared" si="112"/>
        <v>0</v>
      </c>
      <c r="W317" s="345">
        <f t="shared" si="113"/>
        <v>0</v>
      </c>
      <c r="X317" s="345">
        <f t="shared" si="114"/>
        <v>0</v>
      </c>
      <c r="Y317" s="345">
        <f t="shared" si="115"/>
        <v>0</v>
      </c>
      <c r="Z317" s="345">
        <f>IF(Q317&lt;&gt;"",VLOOKUP(Y317,TIME!$R$21:$V$24,MATCH(FC_DATA!Q317,TIME!$R$20:$V$20,0),FALSE),H317)</f>
        <v>0</v>
      </c>
      <c r="AA317" s="345" t="str">
        <f>IFERROR(VLOOKUP(X317&amp;Z317,TIME!$A$12:$D$71,4,FALSE),"")</f>
        <v/>
      </c>
      <c r="AB317" s="592">
        <f t="shared" ca="1" si="116"/>
        <v>0</v>
      </c>
      <c r="AC317" s="593" t="e">
        <f ca="1">IF(ISBLANK(H317)=FALSE,IF(D317="BRAND.com",I317,IF(ISNA(VLOOKUP(_xlfn.CONCAT(X317,Z317),TIME!$M$40:$M$42,1,FALSE)),I317,VLOOKUP(_xlfn.CONCAT(D317,G317,H317),M_BUSAREA_FC!$AF$5:$AJ$10,5,FALSE)*HLOOKUP(_xlfn.CONCAT(F317,H317),ST_OVERVIEW!$G$99:$I$130,MATCH(_xlfn.CONCAT(D317,E317),ST_OVERVIEW!$F$99:$F$130,0),FALSE))),IF(D317="BRAND.com",VLOOKUP(_xlfn.CONCAT(C317,D317,E317,TIME!$F$1,Z317),HIS_SALES!$B$2:$V$4859,19,FALSE)*I317,VLOOKUP(_xlfn.CONCAT(D317,F317,G317),Q_BUSAREA_FC!$AE$5:$AI$12,5,FALSE)*HLOOKUP(_xlfn.CONCAT(FC_DATA!F317,FC_DATA!G317),LT_OVERVIEW!$I$99:$M$130,MATCH(_xlfn.CONCAT(D317,FC_DATA!E317),LT_OVERVIEW!$H$99:$H$130,0),FALSE)*IFERROR(VLOOKUP(_xlfn.CONCAT(C317,D317,E317,TIME!$F$1,Z317),HIS_SALES!$B$2:$V$4859,19,FALSE),0)))</f>
        <v>#N/A</v>
      </c>
      <c r="AD317" s="341">
        <f t="shared" ca="1" si="117"/>
        <v>0</v>
      </c>
      <c r="AE317" s="363" t="str">
        <f t="shared" si="118"/>
        <v/>
      </c>
      <c r="AF317" s="342" t="str">
        <f t="shared" si="119"/>
        <v/>
      </c>
      <c r="AG317" s="411" t="e">
        <f ca="1">VLOOKUP(_xlfn.CONCAT(U317,V317,W317,VLOOKUP(X317&amp;Y317,TIME!$L$27:$O$34,4,FALSE),Y317),HIS_SALES!$A$2:$R$5093,18,FALSE)</f>
        <v>#N/A</v>
      </c>
      <c r="AH317" s="412" t="e">
        <f ca="1">IFERROR(IF(AND(V317=V316,W317=W316),0.5*(AB317+AB316)*AG317,(VLOOKUP(_xlfn.CONCAT(U317,V317,W317,X317,VLOOKUP(Z317,TIME!$S$28:$T$39,2,FALSE)),FC_DATA!$R$2:$AB$5000,MATCH("GS_I_M",FC_DATA!$R$1:$AB$1,0),FALSE)+FC_DATA!AB317)*0.5*FC_DATA!AG317),NA())</f>
        <v>#N/A</v>
      </c>
      <c r="AI317" s="491" t="e">
        <f ca="1">IF(V317="PARTNER.com",AH317,IF(AND(V317=V316,W317=W316),(1-AVERAGE(AD316,AD317))*AH317,(1-AVERAGE(AD317,VLOOKUP(_xlfn.CONCAT(U317,V317,W317,X317,M_BRAND_FC!$F$6),FC_DATA!$R$2:$AD$5000,MATCH("DISCOUNT_%_M",FC_DATA!$R$1:$AD$1,0),FALSE)))*AH317))</f>
        <v>#N/A</v>
      </c>
      <c r="AJ317" s="412" t="str">
        <f t="shared" ca="1" si="120"/>
        <v/>
      </c>
      <c r="AK317" s="413" t="str">
        <f>IFERROR(AE317/(Q_BRAND_FC!$T$24+1),"")</f>
        <v/>
      </c>
      <c r="AL317" s="88" t="str">
        <f t="shared" ca="1" si="121"/>
        <v/>
      </c>
      <c r="AM317" s="414" t="str">
        <f t="shared" ca="1" si="122"/>
        <v/>
      </c>
      <c r="AN317" s="58">
        <f>IFERROR(IF($V317="BRAND.com",HLOOKUP($X317&amp;$Z317,NWC_FC_NOOS!$C$4:$Q$23,MATCH(W317,NWC_FC_NOOS!$B$4:$B$23,0),FALSE),0),0)</f>
        <v>0</v>
      </c>
      <c r="AO317" s="57">
        <f>IFERROR(IF($V317="BRAND.com",HLOOKUP($X317&amp;$Z317,NWC_FC_NOOS!$T$4:$AH$23,MATCH(W317,NWC_FC_NOOS!$S$4:$S$23,0),FALSE),0),0)</f>
        <v>0</v>
      </c>
      <c r="AP317" s="57">
        <f>IFERROR(IF($V317="BRAND.com",HLOOKUP($X317&amp;$Z317,NWC_FC_NOOS!$C$50:$U$69,MATCH(W317,NWC_FC_NOOS!$B$50:$B$69,0),FALSE),0),0)</f>
        <v>0</v>
      </c>
      <c r="AQ317" s="58">
        <f>IFERROR(IF($V317="BRAND.com",HLOOKUP($X317&amp;$Z317,'NWC_FC_NON-NOOS'!$C$4:$Q$23,MATCH(W317,'NWC_FC_NON-NOOS'!$B$4:$B$23,0),FALSE),0),0)</f>
        <v>0</v>
      </c>
      <c r="AR317" s="57">
        <f>IFERROR(IF($V317="BRAND.com",HLOOKUP($X317&amp;$Z317,'NWC_FC_NON-NOOS'!$T$4:$AH$23,MATCH(W317,'NWC_FC_NON-NOOS'!$S$4:$S$23,0),FALSE),0),0)</f>
        <v>0</v>
      </c>
      <c r="AS317" s="57">
        <f>IFERROR(IF($V317="BRAND.com",HLOOKUP($X317&amp;$Z317,'NWC_FC_NON-NOOS'!$C$50:$U$69,MATCH(W317,'NWC_FC_NON-NOOS'!$B$50:$B$69,0),FALSE),0),0)</f>
        <v>0</v>
      </c>
      <c r="AT317" s="57">
        <f t="shared" si="124"/>
        <v>0</v>
      </c>
      <c r="AU317" s="57">
        <f t="shared" si="125"/>
        <v>0</v>
      </c>
      <c r="AV317" s="58">
        <f>IFERROR(IF($V317="BRAND.com",HLOOKUP($X317&amp;$Z317,PLANNING_FC!$BB$27:$BP$46,MATCH($W317,PLANNING_FC!$BA$27:$BA$46,0),FALSE),0),0)</f>
        <v>0</v>
      </c>
      <c r="AW317" s="58">
        <f>IFERROR(IF($V317="BRAND.com",HLOOKUP($X317&amp;$Z317,PLANNING_FC!$BB$4:$BP$23,MATCH($W317,PLANNING_FC!$BA$4:$BA$23,0),FALSE),0),0)</f>
        <v>0</v>
      </c>
      <c r="AX317" s="58">
        <f>IFERROR(IF($V317="BRAND.com",HLOOKUP($X317&amp;$Z317,PLANNING_FC!$T$27:$AH$46,MATCH($W317,PLANNING_FC!$B$27:$B$46,0),FALSE),0),0)</f>
        <v>0</v>
      </c>
      <c r="AY317" s="58">
        <f>IFERROR(IF($V317="BRAND.com",HLOOKUP($X317&amp;$Z317,PLANNING_FC!$T$4:$AH$23,MATCH($W317,PLANNING_FC!$B$4:$B$23,0),FALSE),0),0)</f>
        <v>0</v>
      </c>
      <c r="AZ317" s="58">
        <f>IFERROR(IF($V317="BRAND.com",HLOOKUP($X317&amp;$Z317,PLANNING_FC!$DA$27:$DO$46,MATCH($W317,PLANNING_FC!$CZ$27:$CZ$46,0),FALSE),0),0)</f>
        <v>0</v>
      </c>
      <c r="BA317" s="58">
        <f>IFERROR(IF($V317="BRAND.com",HLOOKUP($X317&amp;$Z317,PLANNING_FC!$DA$4:$DO$23,MATCH($W317,PLANNING_FC!$CZ$4:$CZ$23,0),FALSE),0),0)</f>
        <v>0</v>
      </c>
      <c r="BB317" s="883" t="str">
        <f>IF(V317="BRAND.com",IFERROR(HLOOKUP(X317&amp;Z317,PLANNING_FC!$AK$4:$AY$23,MATCH(W317,PLANNING_FC!$AJ$4:$AJ$23,0),FALSE)*1000,""),"")</f>
        <v/>
      </c>
      <c r="BC317" s="883" t="str">
        <f>IF(V317="BRAND.com",IFERROR(HLOOKUP(X317&amp;Z317,PLANNING_FC!$AK$27:$AY$46,MATCH(W317,PLANNING_FC!$AJ$27:$AJ$46,0),FALSE)*1000,""),"")</f>
        <v/>
      </c>
    </row>
    <row r="318" spans="1:55" x14ac:dyDescent="0.25">
      <c r="A318" s="509"/>
      <c r="B318" s="509"/>
      <c r="C318" s="509"/>
      <c r="D318" s="509"/>
      <c r="E318" s="509"/>
      <c r="F318" s="509"/>
      <c r="G318" s="509"/>
      <c r="H318" s="509"/>
      <c r="I318" s="512"/>
      <c r="J318" s="513"/>
      <c r="K318" s="879"/>
      <c r="L318" s="515"/>
      <c r="M318" s="516"/>
      <c r="N318" s="56">
        <f t="shared" si="106"/>
        <v>0</v>
      </c>
      <c r="O318" s="57">
        <f t="shared" si="107"/>
        <v>0</v>
      </c>
      <c r="P318" s="57">
        <f ca="1">IFERROR(IF(ISBLANK(H318),SUMIFS($AC:$AC,$V:$V,V318,$W:$W,W318,$X:$X,X318,$Y:$Y,Y318)*J318/(1-J318)*VLOOKUP(_xlfn.CONCAT(C318,D318,E318,TIME!$M$12,Z318),HIS_SALES!$B$2:$W$4859,20,FALSE),AC318*J318/(1-J318)),0)</f>
        <v>0</v>
      </c>
      <c r="Q318" s="541" t="str">
        <f t="shared" si="108"/>
        <v/>
      </c>
      <c r="R318" s="346" t="str">
        <f t="shared" si="109"/>
        <v>00000</v>
      </c>
      <c r="S318" s="344">
        <f t="shared" si="110"/>
        <v>0</v>
      </c>
      <c r="T318" s="345" t="str">
        <f t="shared" si="123"/>
        <v>000</v>
      </c>
      <c r="U318" s="345">
        <f t="shared" si="111"/>
        <v>0</v>
      </c>
      <c r="V318" s="345">
        <f t="shared" si="112"/>
        <v>0</v>
      </c>
      <c r="W318" s="345">
        <f t="shared" si="113"/>
        <v>0</v>
      </c>
      <c r="X318" s="345">
        <f t="shared" si="114"/>
        <v>0</v>
      </c>
      <c r="Y318" s="345">
        <f t="shared" si="115"/>
        <v>0</v>
      </c>
      <c r="Z318" s="345">
        <f>IF(Q318&lt;&gt;"",VLOOKUP(Y318,TIME!$R$21:$V$24,MATCH(FC_DATA!Q318,TIME!$R$20:$V$20,0),FALSE),H318)</f>
        <v>0</v>
      </c>
      <c r="AA318" s="345" t="str">
        <f>IFERROR(VLOOKUP(X318&amp;Z318,TIME!$A$12:$D$71,4,FALSE),"")</f>
        <v/>
      </c>
      <c r="AB318" s="592">
        <f t="shared" ca="1" si="116"/>
        <v>0</v>
      </c>
      <c r="AC318" s="593" t="e">
        <f ca="1">IF(ISBLANK(H318)=FALSE,IF(D318="BRAND.com",I318,IF(ISNA(VLOOKUP(_xlfn.CONCAT(X318,Z318),TIME!$M$40:$M$42,1,FALSE)),I318,VLOOKUP(_xlfn.CONCAT(D318,G318,H318),M_BUSAREA_FC!$AF$5:$AJ$10,5,FALSE)*HLOOKUP(_xlfn.CONCAT(F318,H318),ST_OVERVIEW!$G$99:$I$130,MATCH(_xlfn.CONCAT(D318,E318),ST_OVERVIEW!$F$99:$F$130,0),FALSE))),IF(D318="BRAND.com",VLOOKUP(_xlfn.CONCAT(C318,D318,E318,TIME!$F$1,Z318),HIS_SALES!$B$2:$V$4859,19,FALSE)*I318,VLOOKUP(_xlfn.CONCAT(D318,F318,G318),Q_BUSAREA_FC!$AE$5:$AI$12,5,FALSE)*HLOOKUP(_xlfn.CONCAT(FC_DATA!F318,FC_DATA!G318),LT_OVERVIEW!$I$99:$M$130,MATCH(_xlfn.CONCAT(D318,FC_DATA!E318),LT_OVERVIEW!$H$99:$H$130,0),FALSE)*IFERROR(VLOOKUP(_xlfn.CONCAT(C318,D318,E318,TIME!$F$1,Z318),HIS_SALES!$B$2:$V$4859,19,FALSE),0)))</f>
        <v>#N/A</v>
      </c>
      <c r="AD318" s="341">
        <f t="shared" ca="1" si="117"/>
        <v>0</v>
      </c>
      <c r="AE318" s="363" t="str">
        <f t="shared" si="118"/>
        <v/>
      </c>
      <c r="AF318" s="342" t="str">
        <f t="shared" si="119"/>
        <v/>
      </c>
      <c r="AG318" s="411" t="e">
        <f ca="1">VLOOKUP(_xlfn.CONCAT(U318,V318,W318,VLOOKUP(X318&amp;Y318,TIME!$L$27:$O$34,4,FALSE),Y318),HIS_SALES!$A$2:$R$5093,18,FALSE)</f>
        <v>#N/A</v>
      </c>
      <c r="AH318" s="412" t="e">
        <f ca="1">IFERROR(IF(AND(V318=V317,W318=W317),0.5*(AB318+AB317)*AG318,(VLOOKUP(_xlfn.CONCAT(U318,V318,W318,X318,VLOOKUP(Z318,TIME!$S$28:$T$39,2,FALSE)),FC_DATA!$R$2:$AB$5000,MATCH("GS_I_M",FC_DATA!$R$1:$AB$1,0),FALSE)+FC_DATA!AB318)*0.5*FC_DATA!AG318),NA())</f>
        <v>#N/A</v>
      </c>
      <c r="AI318" s="491" t="e">
        <f ca="1">IF(V318="PARTNER.com",AH318,IF(AND(V318=V317,W318=W317),(1-AVERAGE(AD317,AD318))*AH318,(1-AVERAGE(AD318,VLOOKUP(_xlfn.CONCAT(U318,V318,W318,X318,M_BRAND_FC!$F$6),FC_DATA!$R$2:$AD$5000,MATCH("DISCOUNT_%_M",FC_DATA!$R$1:$AD$1,0),FALSE)))*AH318))</f>
        <v>#N/A</v>
      </c>
      <c r="AJ318" s="412" t="str">
        <f t="shared" ca="1" si="120"/>
        <v/>
      </c>
      <c r="AK318" s="413" t="str">
        <f>IFERROR(AE318/(Q_BRAND_FC!$T$24+1),"")</f>
        <v/>
      </c>
      <c r="AL318" s="88" t="str">
        <f t="shared" ca="1" si="121"/>
        <v/>
      </c>
      <c r="AM318" s="414" t="str">
        <f t="shared" ca="1" si="122"/>
        <v/>
      </c>
      <c r="AN318" s="58">
        <f>IFERROR(IF($V318="BRAND.com",HLOOKUP($X318&amp;$Z318,NWC_FC_NOOS!$C$4:$Q$23,MATCH(W318,NWC_FC_NOOS!$B$4:$B$23,0),FALSE),0),0)</f>
        <v>0</v>
      </c>
      <c r="AO318" s="57">
        <f>IFERROR(IF($V318="BRAND.com",HLOOKUP($X318&amp;$Z318,NWC_FC_NOOS!$T$4:$AH$23,MATCH(W318,NWC_FC_NOOS!$S$4:$S$23,0),FALSE),0),0)</f>
        <v>0</v>
      </c>
      <c r="AP318" s="57">
        <f>IFERROR(IF($V318="BRAND.com",HLOOKUP($X318&amp;$Z318,NWC_FC_NOOS!$C$50:$U$69,MATCH(W318,NWC_FC_NOOS!$B$50:$B$69,0),FALSE),0),0)</f>
        <v>0</v>
      </c>
      <c r="AQ318" s="58">
        <f>IFERROR(IF($V318="BRAND.com",HLOOKUP($X318&amp;$Z318,'NWC_FC_NON-NOOS'!$C$4:$Q$23,MATCH(W318,'NWC_FC_NON-NOOS'!$B$4:$B$23,0),FALSE),0),0)</f>
        <v>0</v>
      </c>
      <c r="AR318" s="57">
        <f>IFERROR(IF($V318="BRAND.com",HLOOKUP($X318&amp;$Z318,'NWC_FC_NON-NOOS'!$T$4:$AH$23,MATCH(W318,'NWC_FC_NON-NOOS'!$S$4:$S$23,0),FALSE),0),0)</f>
        <v>0</v>
      </c>
      <c r="AS318" s="57">
        <f>IFERROR(IF($V318="BRAND.com",HLOOKUP($X318&amp;$Z318,'NWC_FC_NON-NOOS'!$C$50:$U$69,MATCH(W318,'NWC_FC_NON-NOOS'!$B$50:$B$69,0),FALSE),0),0)</f>
        <v>0</v>
      </c>
      <c r="AT318" s="57">
        <f t="shared" si="124"/>
        <v>0</v>
      </c>
      <c r="AU318" s="57">
        <f t="shared" si="125"/>
        <v>0</v>
      </c>
      <c r="AV318" s="58">
        <f>IFERROR(IF($V318="BRAND.com",HLOOKUP($X318&amp;$Z318,PLANNING_FC!$BB$27:$BP$46,MATCH($W318,PLANNING_FC!$BA$27:$BA$46,0),FALSE),0),0)</f>
        <v>0</v>
      </c>
      <c r="AW318" s="58">
        <f>IFERROR(IF($V318="BRAND.com",HLOOKUP($X318&amp;$Z318,PLANNING_FC!$BB$4:$BP$23,MATCH($W318,PLANNING_FC!$BA$4:$BA$23,0),FALSE),0),0)</f>
        <v>0</v>
      </c>
      <c r="AX318" s="58">
        <f>IFERROR(IF($V318="BRAND.com",HLOOKUP($X318&amp;$Z318,PLANNING_FC!$T$27:$AH$46,MATCH($W318,PLANNING_FC!$B$27:$B$46,0),FALSE),0),0)</f>
        <v>0</v>
      </c>
      <c r="AY318" s="58">
        <f>IFERROR(IF($V318="BRAND.com",HLOOKUP($X318&amp;$Z318,PLANNING_FC!$T$4:$AH$23,MATCH($W318,PLANNING_FC!$B$4:$B$23,0),FALSE),0),0)</f>
        <v>0</v>
      </c>
      <c r="AZ318" s="58">
        <f>IFERROR(IF($V318="BRAND.com",HLOOKUP($X318&amp;$Z318,PLANNING_FC!$DA$27:$DO$46,MATCH($W318,PLANNING_FC!$CZ$27:$CZ$46,0),FALSE),0),0)</f>
        <v>0</v>
      </c>
      <c r="BA318" s="58">
        <f>IFERROR(IF($V318="BRAND.com",HLOOKUP($X318&amp;$Z318,PLANNING_FC!$DA$4:$DO$23,MATCH($W318,PLANNING_FC!$CZ$4:$CZ$23,0),FALSE),0),0)</f>
        <v>0</v>
      </c>
      <c r="BB318" s="883" t="str">
        <f>IF(V318="BRAND.com",IFERROR(HLOOKUP(X318&amp;Z318,PLANNING_FC!$AK$4:$AY$23,MATCH(W318,PLANNING_FC!$AJ$4:$AJ$23,0),FALSE)*1000,""),"")</f>
        <v/>
      </c>
      <c r="BC318" s="883" t="str">
        <f>IF(V318="BRAND.com",IFERROR(HLOOKUP(X318&amp;Z318,PLANNING_FC!$AK$27:$AY$46,MATCH(W318,PLANNING_FC!$AJ$27:$AJ$46,0),FALSE)*1000,""),"")</f>
        <v/>
      </c>
    </row>
    <row r="319" spans="1:55" x14ac:dyDescent="0.25">
      <c r="A319" s="509"/>
      <c r="B319" s="509"/>
      <c r="C319" s="509"/>
      <c r="D319" s="509"/>
      <c r="E319" s="509"/>
      <c r="F319" s="509"/>
      <c r="G319" s="509"/>
      <c r="H319" s="509"/>
      <c r="I319" s="512"/>
      <c r="J319" s="513"/>
      <c r="K319" s="879"/>
      <c r="L319" s="515"/>
      <c r="M319" s="516"/>
      <c r="N319" s="56">
        <f t="shared" si="106"/>
        <v>0</v>
      </c>
      <c r="O319" s="57">
        <f t="shared" si="107"/>
        <v>0</v>
      </c>
      <c r="P319" s="57">
        <f ca="1">IFERROR(IF(ISBLANK(H319),SUMIFS($AC:$AC,$V:$V,V319,$W:$W,W319,$X:$X,X319,$Y:$Y,Y319)*J319/(1-J319)*VLOOKUP(_xlfn.CONCAT(C319,D319,E319,TIME!$M$12,Z319),HIS_SALES!$B$2:$W$4859,20,FALSE),AC319*J319/(1-J319)),0)</f>
        <v>0</v>
      </c>
      <c r="Q319" s="541" t="str">
        <f t="shared" si="108"/>
        <v/>
      </c>
      <c r="R319" s="346" t="str">
        <f t="shared" si="109"/>
        <v>00000</v>
      </c>
      <c r="S319" s="344">
        <f t="shared" si="110"/>
        <v>0</v>
      </c>
      <c r="T319" s="345" t="str">
        <f t="shared" si="123"/>
        <v>000</v>
      </c>
      <c r="U319" s="345">
        <f t="shared" si="111"/>
        <v>0</v>
      </c>
      <c r="V319" s="345">
        <f t="shared" si="112"/>
        <v>0</v>
      </c>
      <c r="W319" s="345">
        <f t="shared" si="113"/>
        <v>0</v>
      </c>
      <c r="X319" s="345">
        <f t="shared" si="114"/>
        <v>0</v>
      </c>
      <c r="Y319" s="345">
        <f t="shared" si="115"/>
        <v>0</v>
      </c>
      <c r="Z319" s="345">
        <f>IF(Q319&lt;&gt;"",VLOOKUP(Y319,TIME!$R$21:$V$24,MATCH(FC_DATA!Q319,TIME!$R$20:$V$20,0),FALSE),H319)</f>
        <v>0</v>
      </c>
      <c r="AA319" s="345" t="str">
        <f>IFERROR(VLOOKUP(X319&amp;Z319,TIME!$A$12:$D$71,4,FALSE),"")</f>
        <v/>
      </c>
      <c r="AB319" s="592">
        <f t="shared" ca="1" si="116"/>
        <v>0</v>
      </c>
      <c r="AC319" s="593" t="e">
        <f ca="1">IF(ISBLANK(H319)=FALSE,IF(D319="BRAND.com",I319,IF(ISNA(VLOOKUP(_xlfn.CONCAT(X319,Z319),TIME!$M$40:$M$42,1,FALSE)),I319,VLOOKUP(_xlfn.CONCAT(D319,G319,H319),M_BUSAREA_FC!$AF$5:$AJ$10,5,FALSE)*HLOOKUP(_xlfn.CONCAT(F319,H319),ST_OVERVIEW!$G$99:$I$130,MATCH(_xlfn.CONCAT(D319,E319),ST_OVERVIEW!$F$99:$F$130,0),FALSE))),IF(D319="BRAND.com",VLOOKUP(_xlfn.CONCAT(C319,D319,E319,TIME!$F$1,Z319),HIS_SALES!$B$2:$V$4859,19,FALSE)*I319,VLOOKUP(_xlfn.CONCAT(D319,F319,G319),Q_BUSAREA_FC!$AE$5:$AI$12,5,FALSE)*HLOOKUP(_xlfn.CONCAT(FC_DATA!F319,FC_DATA!G319),LT_OVERVIEW!$I$99:$M$130,MATCH(_xlfn.CONCAT(D319,FC_DATA!E319),LT_OVERVIEW!$H$99:$H$130,0),FALSE)*IFERROR(VLOOKUP(_xlfn.CONCAT(C319,D319,E319,TIME!$F$1,Z319),HIS_SALES!$B$2:$V$4859,19,FALSE),0)))</f>
        <v>#N/A</v>
      </c>
      <c r="AD319" s="341">
        <f t="shared" ca="1" si="117"/>
        <v>0</v>
      </c>
      <c r="AE319" s="363" t="str">
        <f t="shared" si="118"/>
        <v/>
      </c>
      <c r="AF319" s="342" t="str">
        <f t="shared" si="119"/>
        <v/>
      </c>
      <c r="AG319" s="411" t="e">
        <f ca="1">VLOOKUP(_xlfn.CONCAT(U319,V319,W319,VLOOKUP(X319&amp;Y319,TIME!$L$27:$O$34,4,FALSE),Y319),HIS_SALES!$A$2:$R$5093,18,FALSE)</f>
        <v>#N/A</v>
      </c>
      <c r="AH319" s="412" t="e">
        <f ca="1">IFERROR(IF(AND(V319=V318,W319=W318),0.5*(AB319+AB318)*AG319,(VLOOKUP(_xlfn.CONCAT(U319,V319,W319,X319,VLOOKUP(Z319,TIME!$S$28:$T$39,2,FALSE)),FC_DATA!$R$2:$AB$5000,MATCH("GS_I_M",FC_DATA!$R$1:$AB$1,0),FALSE)+FC_DATA!AB319)*0.5*FC_DATA!AG319),NA())</f>
        <v>#N/A</v>
      </c>
      <c r="AI319" s="491" t="e">
        <f ca="1">IF(V319="PARTNER.com",AH319,IF(AND(V319=V318,W319=W318),(1-AVERAGE(AD318,AD319))*AH319,(1-AVERAGE(AD319,VLOOKUP(_xlfn.CONCAT(U319,V319,W319,X319,M_BRAND_FC!$F$6),FC_DATA!$R$2:$AD$5000,MATCH("DISCOUNT_%_M",FC_DATA!$R$1:$AD$1,0),FALSE)))*AH319))</f>
        <v>#N/A</v>
      </c>
      <c r="AJ319" s="412" t="str">
        <f t="shared" ca="1" si="120"/>
        <v/>
      </c>
      <c r="AK319" s="413" t="str">
        <f>IFERROR(AE319/(Q_BRAND_FC!$T$24+1),"")</f>
        <v/>
      </c>
      <c r="AL319" s="88" t="str">
        <f t="shared" ca="1" si="121"/>
        <v/>
      </c>
      <c r="AM319" s="414" t="str">
        <f t="shared" ca="1" si="122"/>
        <v/>
      </c>
      <c r="AN319" s="58">
        <f>IFERROR(IF($V319="BRAND.com",HLOOKUP($X319&amp;$Z319,NWC_FC_NOOS!$C$4:$Q$23,MATCH(W319,NWC_FC_NOOS!$B$4:$B$23,0),FALSE),0),0)</f>
        <v>0</v>
      </c>
      <c r="AO319" s="57">
        <f>IFERROR(IF($V319="BRAND.com",HLOOKUP($X319&amp;$Z319,NWC_FC_NOOS!$T$4:$AH$23,MATCH(W319,NWC_FC_NOOS!$S$4:$S$23,0),FALSE),0),0)</f>
        <v>0</v>
      </c>
      <c r="AP319" s="57">
        <f>IFERROR(IF($V319="BRAND.com",HLOOKUP($X319&amp;$Z319,NWC_FC_NOOS!$C$50:$U$69,MATCH(W319,NWC_FC_NOOS!$B$50:$B$69,0),FALSE),0),0)</f>
        <v>0</v>
      </c>
      <c r="AQ319" s="58">
        <f>IFERROR(IF($V319="BRAND.com",HLOOKUP($X319&amp;$Z319,'NWC_FC_NON-NOOS'!$C$4:$Q$23,MATCH(W319,'NWC_FC_NON-NOOS'!$B$4:$B$23,0),FALSE),0),0)</f>
        <v>0</v>
      </c>
      <c r="AR319" s="57">
        <f>IFERROR(IF($V319="BRAND.com",HLOOKUP($X319&amp;$Z319,'NWC_FC_NON-NOOS'!$T$4:$AH$23,MATCH(W319,'NWC_FC_NON-NOOS'!$S$4:$S$23,0),FALSE),0),0)</f>
        <v>0</v>
      </c>
      <c r="AS319" s="57">
        <f>IFERROR(IF($V319="BRAND.com",HLOOKUP($X319&amp;$Z319,'NWC_FC_NON-NOOS'!$C$50:$U$69,MATCH(W319,'NWC_FC_NON-NOOS'!$B$50:$B$69,0),FALSE),0),0)</f>
        <v>0</v>
      </c>
      <c r="AT319" s="57">
        <f t="shared" si="124"/>
        <v>0</v>
      </c>
      <c r="AU319" s="57">
        <f t="shared" si="125"/>
        <v>0</v>
      </c>
      <c r="AV319" s="58">
        <f>IFERROR(IF($V319="BRAND.com",HLOOKUP($X319&amp;$Z319,PLANNING_FC!$BB$27:$BP$46,MATCH($W319,PLANNING_FC!$BA$27:$BA$46,0),FALSE),0),0)</f>
        <v>0</v>
      </c>
      <c r="AW319" s="58">
        <f>IFERROR(IF($V319="BRAND.com",HLOOKUP($X319&amp;$Z319,PLANNING_FC!$BB$4:$BP$23,MATCH($W319,PLANNING_FC!$BA$4:$BA$23,0),FALSE),0),0)</f>
        <v>0</v>
      </c>
      <c r="AX319" s="58">
        <f>IFERROR(IF($V319="BRAND.com",HLOOKUP($X319&amp;$Z319,PLANNING_FC!$T$27:$AH$46,MATCH($W319,PLANNING_FC!$B$27:$B$46,0),FALSE),0),0)</f>
        <v>0</v>
      </c>
      <c r="AY319" s="58">
        <f>IFERROR(IF($V319="BRAND.com",HLOOKUP($X319&amp;$Z319,PLANNING_FC!$T$4:$AH$23,MATCH($W319,PLANNING_FC!$B$4:$B$23,0),FALSE),0),0)</f>
        <v>0</v>
      </c>
      <c r="AZ319" s="58">
        <f>IFERROR(IF($V319="BRAND.com",HLOOKUP($X319&amp;$Z319,PLANNING_FC!$DA$27:$DO$46,MATCH($W319,PLANNING_FC!$CZ$27:$CZ$46,0),FALSE),0),0)</f>
        <v>0</v>
      </c>
      <c r="BA319" s="58">
        <f>IFERROR(IF($V319="BRAND.com",HLOOKUP($X319&amp;$Z319,PLANNING_FC!$DA$4:$DO$23,MATCH($W319,PLANNING_FC!$CZ$4:$CZ$23,0),FALSE),0),0)</f>
        <v>0</v>
      </c>
      <c r="BB319" s="883" t="str">
        <f>IF(V319="BRAND.com",IFERROR(HLOOKUP(X319&amp;Z319,PLANNING_FC!$AK$4:$AY$23,MATCH(W319,PLANNING_FC!$AJ$4:$AJ$23,0),FALSE)*1000,""),"")</f>
        <v/>
      </c>
      <c r="BC319" s="883" t="str">
        <f>IF(V319="BRAND.com",IFERROR(HLOOKUP(X319&amp;Z319,PLANNING_FC!$AK$27:$AY$46,MATCH(W319,PLANNING_FC!$AJ$27:$AJ$46,0),FALSE)*1000,""),"")</f>
        <v/>
      </c>
    </row>
    <row r="320" spans="1:55" x14ac:dyDescent="0.25">
      <c r="A320" s="509"/>
      <c r="B320" s="509"/>
      <c r="C320" s="509"/>
      <c r="D320" s="509"/>
      <c r="E320" s="509"/>
      <c r="F320" s="509"/>
      <c r="G320" s="509"/>
      <c r="H320" s="509"/>
      <c r="I320" s="512"/>
      <c r="J320" s="513"/>
      <c r="K320" s="879"/>
      <c r="L320" s="515"/>
      <c r="M320" s="516"/>
      <c r="N320" s="56">
        <f t="shared" si="106"/>
        <v>0</v>
      </c>
      <c r="O320" s="57">
        <f t="shared" si="107"/>
        <v>0</v>
      </c>
      <c r="P320" s="57">
        <f ca="1">IFERROR(IF(ISBLANK(H320),SUMIFS($AC:$AC,$V:$V,V320,$W:$W,W320,$X:$X,X320,$Y:$Y,Y320)*J320/(1-J320)*VLOOKUP(_xlfn.CONCAT(C320,D320,E320,TIME!$M$12,Z320),HIS_SALES!$B$2:$W$4859,20,FALSE),AC320*J320/(1-J320)),0)</f>
        <v>0</v>
      </c>
      <c r="Q320" s="541" t="str">
        <f t="shared" si="108"/>
        <v/>
      </c>
      <c r="R320" s="346" t="str">
        <f t="shared" si="109"/>
        <v>00000</v>
      </c>
      <c r="S320" s="344">
        <f t="shared" si="110"/>
        <v>0</v>
      </c>
      <c r="T320" s="345" t="str">
        <f t="shared" si="123"/>
        <v>000</v>
      </c>
      <c r="U320" s="345">
        <f t="shared" si="111"/>
        <v>0</v>
      </c>
      <c r="V320" s="345">
        <f t="shared" si="112"/>
        <v>0</v>
      </c>
      <c r="W320" s="345">
        <f t="shared" si="113"/>
        <v>0</v>
      </c>
      <c r="X320" s="345">
        <f t="shared" si="114"/>
        <v>0</v>
      </c>
      <c r="Y320" s="345">
        <f t="shared" si="115"/>
        <v>0</v>
      </c>
      <c r="Z320" s="345">
        <f>IF(Q320&lt;&gt;"",VLOOKUP(Y320,TIME!$R$21:$V$24,MATCH(FC_DATA!Q320,TIME!$R$20:$V$20,0),FALSE),H320)</f>
        <v>0</v>
      </c>
      <c r="AA320" s="345" t="str">
        <f>IFERROR(VLOOKUP(X320&amp;Z320,TIME!$A$12:$D$71,4,FALSE),"")</f>
        <v/>
      </c>
      <c r="AB320" s="592">
        <f t="shared" ca="1" si="116"/>
        <v>0</v>
      </c>
      <c r="AC320" s="593" t="e">
        <f ca="1">IF(ISBLANK(H320)=FALSE,IF(D320="BRAND.com",I320,IF(ISNA(VLOOKUP(_xlfn.CONCAT(X320,Z320),TIME!$M$40:$M$42,1,FALSE)),I320,VLOOKUP(_xlfn.CONCAT(D320,G320,H320),M_BUSAREA_FC!$AF$5:$AJ$10,5,FALSE)*HLOOKUP(_xlfn.CONCAT(F320,H320),ST_OVERVIEW!$G$99:$I$130,MATCH(_xlfn.CONCAT(D320,E320),ST_OVERVIEW!$F$99:$F$130,0),FALSE))),IF(D320="BRAND.com",VLOOKUP(_xlfn.CONCAT(C320,D320,E320,TIME!$F$1,Z320),HIS_SALES!$B$2:$V$4859,19,FALSE)*I320,VLOOKUP(_xlfn.CONCAT(D320,F320,G320),Q_BUSAREA_FC!$AE$5:$AI$12,5,FALSE)*HLOOKUP(_xlfn.CONCAT(FC_DATA!F320,FC_DATA!G320),LT_OVERVIEW!$I$99:$M$130,MATCH(_xlfn.CONCAT(D320,FC_DATA!E320),LT_OVERVIEW!$H$99:$H$130,0),FALSE)*IFERROR(VLOOKUP(_xlfn.CONCAT(C320,D320,E320,TIME!$F$1,Z320),HIS_SALES!$B$2:$V$4859,19,FALSE),0)))</f>
        <v>#N/A</v>
      </c>
      <c r="AD320" s="341">
        <f t="shared" ca="1" si="117"/>
        <v>0</v>
      </c>
      <c r="AE320" s="363" t="str">
        <f t="shared" si="118"/>
        <v/>
      </c>
      <c r="AF320" s="342" t="str">
        <f t="shared" si="119"/>
        <v/>
      </c>
      <c r="AG320" s="411" t="e">
        <f ca="1">VLOOKUP(_xlfn.CONCAT(U320,V320,W320,VLOOKUP(X320&amp;Y320,TIME!$L$27:$O$34,4,FALSE),Y320),HIS_SALES!$A$2:$R$5093,18,FALSE)</f>
        <v>#N/A</v>
      </c>
      <c r="AH320" s="412" t="e">
        <f ca="1">IFERROR(IF(AND(V320=V319,W320=W319),0.5*(AB320+AB319)*AG320,(VLOOKUP(_xlfn.CONCAT(U320,V320,W320,X320,VLOOKUP(Z320,TIME!$S$28:$T$39,2,FALSE)),FC_DATA!$R$2:$AB$5000,MATCH("GS_I_M",FC_DATA!$R$1:$AB$1,0),FALSE)+FC_DATA!AB320)*0.5*FC_DATA!AG320),NA())</f>
        <v>#N/A</v>
      </c>
      <c r="AI320" s="491" t="e">
        <f ca="1">IF(V320="PARTNER.com",AH320,IF(AND(V320=V319,W320=W319),(1-AVERAGE(AD319,AD320))*AH320,(1-AVERAGE(AD320,VLOOKUP(_xlfn.CONCAT(U320,V320,W320,X320,M_BRAND_FC!$F$6),FC_DATA!$R$2:$AD$5000,MATCH("DISCOUNT_%_M",FC_DATA!$R$1:$AD$1,0),FALSE)))*AH320))</f>
        <v>#N/A</v>
      </c>
      <c r="AJ320" s="412" t="str">
        <f t="shared" ca="1" si="120"/>
        <v/>
      </c>
      <c r="AK320" s="413" t="str">
        <f>IFERROR(AE320/(Q_BRAND_FC!$T$24+1),"")</f>
        <v/>
      </c>
      <c r="AL320" s="88" t="str">
        <f t="shared" ca="1" si="121"/>
        <v/>
      </c>
      <c r="AM320" s="414" t="str">
        <f t="shared" ca="1" si="122"/>
        <v/>
      </c>
      <c r="AN320" s="58">
        <f>IFERROR(IF($V320="BRAND.com",HLOOKUP($X320&amp;$Z320,NWC_FC_NOOS!$C$4:$Q$23,MATCH(W320,NWC_FC_NOOS!$B$4:$B$23,0),FALSE),0),0)</f>
        <v>0</v>
      </c>
      <c r="AO320" s="57">
        <f>IFERROR(IF($V320="BRAND.com",HLOOKUP($X320&amp;$Z320,NWC_FC_NOOS!$T$4:$AH$23,MATCH(W320,NWC_FC_NOOS!$S$4:$S$23,0),FALSE),0),0)</f>
        <v>0</v>
      </c>
      <c r="AP320" s="57">
        <f>IFERROR(IF($V320="BRAND.com",HLOOKUP($X320&amp;$Z320,NWC_FC_NOOS!$C$50:$U$69,MATCH(W320,NWC_FC_NOOS!$B$50:$B$69,0),FALSE),0),0)</f>
        <v>0</v>
      </c>
      <c r="AQ320" s="58">
        <f>IFERROR(IF($V320="BRAND.com",HLOOKUP($X320&amp;$Z320,'NWC_FC_NON-NOOS'!$C$4:$Q$23,MATCH(W320,'NWC_FC_NON-NOOS'!$B$4:$B$23,0),FALSE),0),0)</f>
        <v>0</v>
      </c>
      <c r="AR320" s="57">
        <f>IFERROR(IF($V320="BRAND.com",HLOOKUP($X320&amp;$Z320,'NWC_FC_NON-NOOS'!$T$4:$AH$23,MATCH(W320,'NWC_FC_NON-NOOS'!$S$4:$S$23,0),FALSE),0),0)</f>
        <v>0</v>
      </c>
      <c r="AS320" s="57">
        <f>IFERROR(IF($V320="BRAND.com",HLOOKUP($X320&amp;$Z320,'NWC_FC_NON-NOOS'!$C$50:$U$69,MATCH(W320,'NWC_FC_NON-NOOS'!$B$50:$B$69,0),FALSE),0),0)</f>
        <v>0</v>
      </c>
      <c r="AT320" s="57">
        <f t="shared" si="124"/>
        <v>0</v>
      </c>
      <c r="AU320" s="57">
        <f t="shared" si="125"/>
        <v>0</v>
      </c>
      <c r="AV320" s="58">
        <f>IFERROR(IF($V320="BRAND.com",HLOOKUP($X320&amp;$Z320,PLANNING_FC!$BB$27:$BP$46,MATCH($W320,PLANNING_FC!$BA$27:$BA$46,0),FALSE),0),0)</f>
        <v>0</v>
      </c>
      <c r="AW320" s="58">
        <f>IFERROR(IF($V320="BRAND.com",HLOOKUP($X320&amp;$Z320,PLANNING_FC!$BB$4:$BP$23,MATCH($W320,PLANNING_FC!$BA$4:$BA$23,0),FALSE),0),0)</f>
        <v>0</v>
      </c>
      <c r="AX320" s="58">
        <f>IFERROR(IF($V320="BRAND.com",HLOOKUP($X320&amp;$Z320,PLANNING_FC!$T$27:$AH$46,MATCH($W320,PLANNING_FC!$B$27:$B$46,0),FALSE),0),0)</f>
        <v>0</v>
      </c>
      <c r="AY320" s="58">
        <f>IFERROR(IF($V320="BRAND.com",HLOOKUP($X320&amp;$Z320,PLANNING_FC!$T$4:$AH$23,MATCH($W320,PLANNING_FC!$B$4:$B$23,0),FALSE),0),0)</f>
        <v>0</v>
      </c>
      <c r="AZ320" s="58">
        <f>IFERROR(IF($V320="BRAND.com",HLOOKUP($X320&amp;$Z320,PLANNING_FC!$DA$27:$DO$46,MATCH($W320,PLANNING_FC!$CZ$27:$CZ$46,0),FALSE),0),0)</f>
        <v>0</v>
      </c>
      <c r="BA320" s="58">
        <f>IFERROR(IF($V320="BRAND.com",HLOOKUP($X320&amp;$Z320,PLANNING_FC!$DA$4:$DO$23,MATCH($W320,PLANNING_FC!$CZ$4:$CZ$23,0),FALSE),0),0)</f>
        <v>0</v>
      </c>
      <c r="BB320" s="883" t="str">
        <f>IF(V320="BRAND.com",IFERROR(HLOOKUP(X320&amp;Z320,PLANNING_FC!$AK$4:$AY$23,MATCH(W320,PLANNING_FC!$AJ$4:$AJ$23,0),FALSE)*1000,""),"")</f>
        <v/>
      </c>
      <c r="BC320" s="883" t="str">
        <f>IF(V320="BRAND.com",IFERROR(HLOOKUP(X320&amp;Z320,PLANNING_FC!$AK$27:$AY$46,MATCH(W320,PLANNING_FC!$AJ$27:$AJ$46,0),FALSE)*1000,""),"")</f>
        <v/>
      </c>
    </row>
    <row r="321" spans="1:55" x14ac:dyDescent="0.25">
      <c r="A321" s="509"/>
      <c r="B321" s="509"/>
      <c r="C321" s="509"/>
      <c r="D321" s="509"/>
      <c r="E321" s="509"/>
      <c r="F321" s="509"/>
      <c r="G321" s="509"/>
      <c r="H321" s="509"/>
      <c r="I321" s="512"/>
      <c r="J321" s="513"/>
      <c r="K321" s="879"/>
      <c r="L321" s="515"/>
      <c r="M321" s="516"/>
      <c r="N321" s="56">
        <f t="shared" si="106"/>
        <v>0</v>
      </c>
      <c r="O321" s="57">
        <f t="shared" si="107"/>
        <v>0</v>
      </c>
      <c r="P321" s="57">
        <f ca="1">IFERROR(IF(ISBLANK(H321),SUMIFS($AC:$AC,$V:$V,V321,$W:$W,W321,$X:$X,X321,$Y:$Y,Y321)*J321/(1-J321)*VLOOKUP(_xlfn.CONCAT(C321,D321,E321,TIME!$M$12,Z321),HIS_SALES!$B$2:$W$4859,20,FALSE),AC321*J321/(1-J321)),0)</f>
        <v>0</v>
      </c>
      <c r="Q321" s="541" t="str">
        <f t="shared" si="108"/>
        <v/>
      </c>
      <c r="R321" s="346" t="str">
        <f t="shared" si="109"/>
        <v>00000</v>
      </c>
      <c r="S321" s="344">
        <f t="shared" si="110"/>
        <v>0</v>
      </c>
      <c r="T321" s="345" t="str">
        <f t="shared" si="123"/>
        <v>000</v>
      </c>
      <c r="U321" s="345">
        <f t="shared" si="111"/>
        <v>0</v>
      </c>
      <c r="V321" s="345">
        <f t="shared" si="112"/>
        <v>0</v>
      </c>
      <c r="W321" s="345">
        <f t="shared" si="113"/>
        <v>0</v>
      </c>
      <c r="X321" s="345">
        <f t="shared" si="114"/>
        <v>0</v>
      </c>
      <c r="Y321" s="345">
        <f t="shared" si="115"/>
        <v>0</v>
      </c>
      <c r="Z321" s="345">
        <f>IF(Q321&lt;&gt;"",VLOOKUP(Y321,TIME!$R$21:$V$24,MATCH(FC_DATA!Q321,TIME!$R$20:$V$20,0),FALSE),H321)</f>
        <v>0</v>
      </c>
      <c r="AA321" s="345" t="str">
        <f>IFERROR(VLOOKUP(X321&amp;Z321,TIME!$A$12:$D$71,4,FALSE),"")</f>
        <v/>
      </c>
      <c r="AB321" s="592">
        <f t="shared" ca="1" si="116"/>
        <v>0</v>
      </c>
      <c r="AC321" s="593" t="e">
        <f ca="1">IF(ISBLANK(H321)=FALSE,IF(D321="BRAND.com",I321,IF(ISNA(VLOOKUP(_xlfn.CONCAT(X321,Z321),TIME!$M$40:$M$42,1,FALSE)),I321,VLOOKUP(_xlfn.CONCAT(D321,G321,H321),M_BUSAREA_FC!$AF$5:$AJ$10,5,FALSE)*HLOOKUP(_xlfn.CONCAT(F321,H321),ST_OVERVIEW!$G$99:$I$130,MATCH(_xlfn.CONCAT(D321,E321),ST_OVERVIEW!$F$99:$F$130,0),FALSE))),IF(D321="BRAND.com",VLOOKUP(_xlfn.CONCAT(C321,D321,E321,TIME!$F$1,Z321),HIS_SALES!$B$2:$V$4859,19,FALSE)*I321,VLOOKUP(_xlfn.CONCAT(D321,F321,G321),Q_BUSAREA_FC!$AE$5:$AI$12,5,FALSE)*HLOOKUP(_xlfn.CONCAT(FC_DATA!F321,FC_DATA!G321),LT_OVERVIEW!$I$99:$M$130,MATCH(_xlfn.CONCAT(D321,FC_DATA!E321),LT_OVERVIEW!$H$99:$H$130,0),FALSE)*IFERROR(VLOOKUP(_xlfn.CONCAT(C321,D321,E321,TIME!$F$1,Z321),HIS_SALES!$B$2:$V$4859,19,FALSE),0)))</f>
        <v>#N/A</v>
      </c>
      <c r="AD321" s="341">
        <f t="shared" ca="1" si="117"/>
        <v>0</v>
      </c>
      <c r="AE321" s="363" t="str">
        <f t="shared" si="118"/>
        <v/>
      </c>
      <c r="AF321" s="342" t="str">
        <f t="shared" si="119"/>
        <v/>
      </c>
      <c r="AG321" s="411" t="e">
        <f ca="1">VLOOKUP(_xlfn.CONCAT(U321,V321,W321,VLOOKUP(X321&amp;Y321,TIME!$L$27:$O$34,4,FALSE),Y321),HIS_SALES!$A$2:$R$5093,18,FALSE)</f>
        <v>#N/A</v>
      </c>
      <c r="AH321" s="412" t="e">
        <f ca="1">IFERROR(IF(AND(V321=V320,W321=W320),0.5*(AB321+AB320)*AG321,(VLOOKUP(_xlfn.CONCAT(U321,V321,W321,X321,VLOOKUP(Z321,TIME!$S$28:$T$39,2,FALSE)),FC_DATA!$R$2:$AB$5000,MATCH("GS_I_M",FC_DATA!$R$1:$AB$1,0),FALSE)+FC_DATA!AB321)*0.5*FC_DATA!AG321),NA())</f>
        <v>#N/A</v>
      </c>
      <c r="AI321" s="491" t="e">
        <f ca="1">IF(V321="PARTNER.com",AH321,IF(AND(V321=V320,W321=W320),(1-AVERAGE(AD320,AD321))*AH321,(1-AVERAGE(AD321,VLOOKUP(_xlfn.CONCAT(U321,V321,W321,X321,M_BRAND_FC!$F$6),FC_DATA!$R$2:$AD$5000,MATCH("DISCOUNT_%_M",FC_DATA!$R$1:$AD$1,0),FALSE)))*AH321))</f>
        <v>#N/A</v>
      </c>
      <c r="AJ321" s="412" t="str">
        <f t="shared" ca="1" si="120"/>
        <v/>
      </c>
      <c r="AK321" s="413" t="str">
        <f>IFERROR(AE321/(Q_BRAND_FC!$T$24+1),"")</f>
        <v/>
      </c>
      <c r="AL321" s="88" t="str">
        <f t="shared" ca="1" si="121"/>
        <v/>
      </c>
      <c r="AM321" s="414" t="str">
        <f t="shared" ca="1" si="122"/>
        <v/>
      </c>
      <c r="AN321" s="58">
        <f>IFERROR(IF($V321="BRAND.com",HLOOKUP($X321&amp;$Z321,NWC_FC_NOOS!$C$4:$Q$23,MATCH(W321,NWC_FC_NOOS!$B$4:$B$23,0),FALSE),0),0)</f>
        <v>0</v>
      </c>
      <c r="AO321" s="57">
        <f>IFERROR(IF($V321="BRAND.com",HLOOKUP($X321&amp;$Z321,NWC_FC_NOOS!$T$4:$AH$23,MATCH(W321,NWC_FC_NOOS!$S$4:$S$23,0),FALSE),0),0)</f>
        <v>0</v>
      </c>
      <c r="AP321" s="57">
        <f>IFERROR(IF($V321="BRAND.com",HLOOKUP($X321&amp;$Z321,NWC_FC_NOOS!$C$50:$U$69,MATCH(W321,NWC_FC_NOOS!$B$50:$B$69,0),FALSE),0),0)</f>
        <v>0</v>
      </c>
      <c r="AQ321" s="58">
        <f>IFERROR(IF($V321="BRAND.com",HLOOKUP($X321&amp;$Z321,'NWC_FC_NON-NOOS'!$C$4:$Q$23,MATCH(W321,'NWC_FC_NON-NOOS'!$B$4:$B$23,0),FALSE),0),0)</f>
        <v>0</v>
      </c>
      <c r="AR321" s="57">
        <f>IFERROR(IF($V321="BRAND.com",HLOOKUP($X321&amp;$Z321,'NWC_FC_NON-NOOS'!$T$4:$AH$23,MATCH(W321,'NWC_FC_NON-NOOS'!$S$4:$S$23,0),FALSE),0),0)</f>
        <v>0</v>
      </c>
      <c r="AS321" s="57">
        <f>IFERROR(IF($V321="BRAND.com",HLOOKUP($X321&amp;$Z321,'NWC_FC_NON-NOOS'!$C$50:$U$69,MATCH(W321,'NWC_FC_NON-NOOS'!$B$50:$B$69,0),FALSE),0),0)</f>
        <v>0</v>
      </c>
      <c r="AT321" s="57">
        <f t="shared" si="124"/>
        <v>0</v>
      </c>
      <c r="AU321" s="57">
        <f t="shared" si="125"/>
        <v>0</v>
      </c>
      <c r="AV321" s="58">
        <f>IFERROR(IF($V321="BRAND.com",HLOOKUP($X321&amp;$Z321,PLANNING_FC!$BB$27:$BP$46,MATCH($W321,PLANNING_FC!$BA$27:$BA$46,0),FALSE),0),0)</f>
        <v>0</v>
      </c>
      <c r="AW321" s="58">
        <f>IFERROR(IF($V321="BRAND.com",HLOOKUP($X321&amp;$Z321,PLANNING_FC!$BB$4:$BP$23,MATCH($W321,PLANNING_FC!$BA$4:$BA$23,0),FALSE),0),0)</f>
        <v>0</v>
      </c>
      <c r="AX321" s="58">
        <f>IFERROR(IF($V321="BRAND.com",HLOOKUP($X321&amp;$Z321,PLANNING_FC!$T$27:$AH$46,MATCH($W321,PLANNING_FC!$B$27:$B$46,0),FALSE),0),0)</f>
        <v>0</v>
      </c>
      <c r="AY321" s="58">
        <f>IFERROR(IF($V321="BRAND.com",HLOOKUP($X321&amp;$Z321,PLANNING_FC!$T$4:$AH$23,MATCH($W321,PLANNING_FC!$B$4:$B$23,0),FALSE),0),0)</f>
        <v>0</v>
      </c>
      <c r="AZ321" s="58">
        <f>IFERROR(IF($V321="BRAND.com",HLOOKUP($X321&amp;$Z321,PLANNING_FC!$DA$27:$DO$46,MATCH($W321,PLANNING_FC!$CZ$27:$CZ$46,0),FALSE),0),0)</f>
        <v>0</v>
      </c>
      <c r="BA321" s="58">
        <f>IFERROR(IF($V321="BRAND.com",HLOOKUP($X321&amp;$Z321,PLANNING_FC!$DA$4:$DO$23,MATCH($W321,PLANNING_FC!$CZ$4:$CZ$23,0),FALSE),0),0)</f>
        <v>0</v>
      </c>
      <c r="BB321" s="883" t="str">
        <f>IF(V321="BRAND.com",IFERROR(HLOOKUP(X321&amp;Z321,PLANNING_FC!$AK$4:$AY$23,MATCH(W321,PLANNING_FC!$AJ$4:$AJ$23,0),FALSE)*1000,""),"")</f>
        <v/>
      </c>
      <c r="BC321" s="883" t="str">
        <f>IF(V321="BRAND.com",IFERROR(HLOOKUP(X321&amp;Z321,PLANNING_FC!$AK$27:$AY$46,MATCH(W321,PLANNING_FC!$AJ$27:$AJ$46,0),FALSE)*1000,""),"")</f>
        <v/>
      </c>
    </row>
    <row r="322" spans="1:55" x14ac:dyDescent="0.25">
      <c r="A322" s="509"/>
      <c r="B322" s="509"/>
      <c r="C322" s="509"/>
      <c r="D322" s="509"/>
      <c r="E322" s="509"/>
      <c r="F322" s="509"/>
      <c r="G322" s="509"/>
      <c r="H322" s="509"/>
      <c r="I322" s="512"/>
      <c r="J322" s="513"/>
      <c r="K322" s="879"/>
      <c r="L322" s="515"/>
      <c r="M322" s="516"/>
      <c r="N322" s="56">
        <f t="shared" ref="N322:N385" si="126">IFERROR(I322/(1-J322)*J322,0)</f>
        <v>0</v>
      </c>
      <c r="O322" s="57">
        <f t="shared" ref="O322:O385" si="127">IFERROR(I322+N322,0)</f>
        <v>0</v>
      </c>
      <c r="P322" s="57">
        <f ca="1">IFERROR(IF(ISBLANK(H322),SUMIFS($AC:$AC,$V:$V,V322,$W:$W,W322,$X:$X,X322,$Y:$Y,Y322)*J322/(1-J322)*VLOOKUP(_xlfn.CONCAT(C322,D322,E322,TIME!$M$12,Z322),HIS_SALES!$B$2:$W$4859,20,FALSE),AC322*J322/(1-J322)),0)</f>
        <v>0</v>
      </c>
      <c r="Q322" s="541" t="str">
        <f t="shared" ref="Q322:Q385" si="128">IF(AND(A322&lt;&gt;"",H322=""),IF(A322=A321,Q321+1,1),"")</f>
        <v/>
      </c>
      <c r="R322" s="346" t="str">
        <f t="shared" ref="R322:R385" si="129">U322&amp;V322&amp;W322&amp;X322&amp;Z322</f>
        <v>00000</v>
      </c>
      <c r="S322" s="344">
        <f t="shared" ref="S322:S385" si="130">B322</f>
        <v>0</v>
      </c>
      <c r="T322" s="345" t="str">
        <f t="shared" si="123"/>
        <v>000</v>
      </c>
      <c r="U322" s="345">
        <f t="shared" ref="U322:U385" si="131">C322</f>
        <v>0</v>
      </c>
      <c r="V322" s="345">
        <f t="shared" ref="V322:V385" si="132">D322</f>
        <v>0</v>
      </c>
      <c r="W322" s="345">
        <f t="shared" ref="W322:W385" si="133">E322</f>
        <v>0</v>
      </c>
      <c r="X322" s="345">
        <f t="shared" ref="X322:X385" si="134">F322</f>
        <v>0</v>
      </c>
      <c r="Y322" s="345">
        <f t="shared" ref="Y322:Y385" si="135">G322</f>
        <v>0</v>
      </c>
      <c r="Z322" s="345">
        <f>IF(Q322&lt;&gt;"",VLOOKUP(Y322,TIME!$R$21:$V$24,MATCH(FC_DATA!Q322,TIME!$R$20:$V$20,0),FALSE),H322)</f>
        <v>0</v>
      </c>
      <c r="AA322" s="345" t="str">
        <f>IFERROR(VLOOKUP(X322&amp;Z322,TIME!$A$12:$D$71,4,FALSE),"")</f>
        <v/>
      </c>
      <c r="AB322" s="592">
        <f t="shared" ref="AB322:AB385" ca="1" si="136">IFERROR(AC322+P322,0)</f>
        <v>0</v>
      </c>
      <c r="AC322" s="593" t="e">
        <f ca="1">IF(ISBLANK(H322)=FALSE,IF(D322="BRAND.com",I322,IF(ISNA(VLOOKUP(_xlfn.CONCAT(X322,Z322),TIME!$M$40:$M$42,1,FALSE)),I322,VLOOKUP(_xlfn.CONCAT(D322,G322,H322),M_BUSAREA_FC!$AF$5:$AJ$10,5,FALSE)*HLOOKUP(_xlfn.CONCAT(F322,H322),ST_OVERVIEW!$G$99:$I$130,MATCH(_xlfn.CONCAT(D322,E322),ST_OVERVIEW!$F$99:$F$130,0),FALSE))),IF(D322="BRAND.com",VLOOKUP(_xlfn.CONCAT(C322,D322,E322,TIME!$F$1,Z322),HIS_SALES!$B$2:$V$4859,19,FALSE)*I322,VLOOKUP(_xlfn.CONCAT(D322,F322,G322),Q_BUSAREA_FC!$AE$5:$AI$12,5,FALSE)*HLOOKUP(_xlfn.CONCAT(FC_DATA!F322,FC_DATA!G322),LT_OVERVIEW!$I$99:$M$130,MATCH(_xlfn.CONCAT(D322,FC_DATA!E322),LT_OVERVIEW!$H$99:$H$130,0),FALSE)*IFERROR(VLOOKUP(_xlfn.CONCAT(C322,D322,E322,TIME!$F$1,Z322),HIS_SALES!$B$2:$V$4859,19,FALSE),0)))</f>
        <v>#N/A</v>
      </c>
      <c r="AD322" s="341">
        <f t="shared" ref="AD322:AD385" ca="1" si="137">IFERROR(IF(D322="PARTNER.com",0,1-AC322/AB322),0)</f>
        <v>0</v>
      </c>
      <c r="AE322" s="363" t="str">
        <f t="shared" ref="AE322:AE385" si="138">IF(A322&lt;&gt;"",K322,"")</f>
        <v/>
      </c>
      <c r="AF322" s="342" t="str">
        <f t="shared" ref="AF322:AF385" si="139">IF(B322&lt;&gt;"",M322,"")</f>
        <v/>
      </c>
      <c r="AG322" s="411" t="e">
        <f ca="1">VLOOKUP(_xlfn.CONCAT(U322,V322,W322,VLOOKUP(X322&amp;Y322,TIME!$L$27:$O$34,4,FALSE),Y322),HIS_SALES!$A$2:$R$5093,18,FALSE)</f>
        <v>#N/A</v>
      </c>
      <c r="AH322" s="412" t="e">
        <f ca="1">IFERROR(IF(AND(V322=V321,W322=W321),0.5*(AB322+AB321)*AG322,(VLOOKUP(_xlfn.CONCAT(U322,V322,W322,X322,VLOOKUP(Z322,TIME!$S$28:$T$39,2,FALSE)),FC_DATA!$R$2:$AB$5000,MATCH("GS_I_M",FC_DATA!$R$1:$AB$1,0),FALSE)+FC_DATA!AB322)*0.5*FC_DATA!AG322),NA())</f>
        <v>#N/A</v>
      </c>
      <c r="AI322" s="491" t="e">
        <f ca="1">IF(V322="PARTNER.com",AH322,IF(AND(V322=V321,W322=W321),(1-AVERAGE(AD321,AD322))*AH322,(1-AVERAGE(AD322,VLOOKUP(_xlfn.CONCAT(U322,V322,W322,X322,M_BRAND_FC!$F$6),FC_DATA!$R$2:$AD$5000,MATCH("DISCOUNT_%_M",FC_DATA!$R$1:$AD$1,0),FALSE)))*AH322))</f>
        <v>#N/A</v>
      </c>
      <c r="AJ322" s="412" t="str">
        <f t="shared" ref="AJ322:AJ385" ca="1" si="140">IFERROR(AC322-AI322,"")</f>
        <v/>
      </c>
      <c r="AK322" s="413" t="str">
        <f>IFERROR(AE322/(Q_BRAND_FC!$T$24+1),"")</f>
        <v/>
      </c>
      <c r="AL322" s="88" t="str">
        <f t="shared" ref="AL322:AL385" ca="1" si="141">IFERROR((AB322-AH322)/AK322*AF322,"")</f>
        <v/>
      </c>
      <c r="AM322" s="414" t="str">
        <f t="shared" ref="AM322:AM385" ca="1" si="142">IFERROR((AB322-AH322)/AK322*(1-AF322),"")</f>
        <v/>
      </c>
      <c r="AN322" s="58">
        <f>IFERROR(IF($V322="BRAND.com",HLOOKUP($X322&amp;$Z322,NWC_FC_NOOS!$C$4:$Q$23,MATCH(W322,NWC_FC_NOOS!$B$4:$B$23,0),FALSE),0),0)</f>
        <v>0</v>
      </c>
      <c r="AO322" s="57">
        <f>IFERROR(IF($V322="BRAND.com",HLOOKUP($X322&amp;$Z322,NWC_FC_NOOS!$T$4:$AH$23,MATCH(W322,NWC_FC_NOOS!$S$4:$S$23,0),FALSE),0),0)</f>
        <v>0</v>
      </c>
      <c r="AP322" s="57">
        <f>IFERROR(IF($V322="BRAND.com",HLOOKUP($X322&amp;$Z322,NWC_FC_NOOS!$C$50:$U$69,MATCH(W322,NWC_FC_NOOS!$B$50:$B$69,0),FALSE),0),0)</f>
        <v>0</v>
      </c>
      <c r="AQ322" s="58">
        <f>IFERROR(IF($V322="BRAND.com",HLOOKUP($X322&amp;$Z322,'NWC_FC_NON-NOOS'!$C$4:$Q$23,MATCH(W322,'NWC_FC_NON-NOOS'!$B$4:$B$23,0),FALSE),0),0)</f>
        <v>0</v>
      </c>
      <c r="AR322" s="57">
        <f>IFERROR(IF($V322="BRAND.com",HLOOKUP($X322&amp;$Z322,'NWC_FC_NON-NOOS'!$T$4:$AH$23,MATCH(W322,'NWC_FC_NON-NOOS'!$S$4:$S$23,0),FALSE),0),0)</f>
        <v>0</v>
      </c>
      <c r="AS322" s="57">
        <f>IFERROR(IF($V322="BRAND.com",HLOOKUP($X322&amp;$Z322,'NWC_FC_NON-NOOS'!$C$50:$U$69,MATCH(W322,'NWC_FC_NON-NOOS'!$B$50:$B$69,0),FALSE),0),0)</f>
        <v>0</v>
      </c>
      <c r="AT322" s="57">
        <f t="shared" si="124"/>
        <v>0</v>
      </c>
      <c r="AU322" s="57">
        <f t="shared" si="125"/>
        <v>0</v>
      </c>
      <c r="AV322" s="58">
        <f>IFERROR(IF($V322="BRAND.com",HLOOKUP($X322&amp;$Z322,PLANNING_FC!$BB$27:$BP$46,MATCH($W322,PLANNING_FC!$BA$27:$BA$46,0),FALSE),0),0)</f>
        <v>0</v>
      </c>
      <c r="AW322" s="58">
        <f>IFERROR(IF($V322="BRAND.com",HLOOKUP($X322&amp;$Z322,PLANNING_FC!$BB$4:$BP$23,MATCH($W322,PLANNING_FC!$BA$4:$BA$23,0),FALSE),0),0)</f>
        <v>0</v>
      </c>
      <c r="AX322" s="58">
        <f>IFERROR(IF($V322="BRAND.com",HLOOKUP($X322&amp;$Z322,PLANNING_FC!$T$27:$AH$46,MATCH($W322,PLANNING_FC!$B$27:$B$46,0),FALSE),0),0)</f>
        <v>0</v>
      </c>
      <c r="AY322" s="58">
        <f>IFERROR(IF($V322="BRAND.com",HLOOKUP($X322&amp;$Z322,PLANNING_FC!$T$4:$AH$23,MATCH($W322,PLANNING_FC!$B$4:$B$23,0),FALSE),0),0)</f>
        <v>0</v>
      </c>
      <c r="AZ322" s="58">
        <f>IFERROR(IF($V322="BRAND.com",HLOOKUP($X322&amp;$Z322,PLANNING_FC!$DA$27:$DO$46,MATCH($W322,PLANNING_FC!$CZ$27:$CZ$46,0),FALSE),0),0)</f>
        <v>0</v>
      </c>
      <c r="BA322" s="58">
        <f>IFERROR(IF($V322="BRAND.com",HLOOKUP($X322&amp;$Z322,PLANNING_FC!$DA$4:$DO$23,MATCH($W322,PLANNING_FC!$CZ$4:$CZ$23,0),FALSE),0),0)</f>
        <v>0</v>
      </c>
      <c r="BB322" s="883" t="str">
        <f>IF(V322="BRAND.com",IFERROR(HLOOKUP(X322&amp;Z322,PLANNING_FC!$AK$4:$AY$23,MATCH(W322,PLANNING_FC!$AJ$4:$AJ$23,0),FALSE)*1000,""),"")</f>
        <v/>
      </c>
      <c r="BC322" s="883" t="str">
        <f>IF(V322="BRAND.com",IFERROR(HLOOKUP(X322&amp;Z322,PLANNING_FC!$AK$27:$AY$46,MATCH(W322,PLANNING_FC!$AJ$27:$AJ$46,0),FALSE)*1000,""),"")</f>
        <v/>
      </c>
    </row>
    <row r="323" spans="1:55" x14ac:dyDescent="0.25">
      <c r="A323" s="509"/>
      <c r="B323" s="509"/>
      <c r="C323" s="509"/>
      <c r="D323" s="509"/>
      <c r="E323" s="509"/>
      <c r="F323" s="509"/>
      <c r="G323" s="509"/>
      <c r="H323" s="509"/>
      <c r="I323" s="512"/>
      <c r="J323" s="513"/>
      <c r="K323" s="879"/>
      <c r="L323" s="515"/>
      <c r="M323" s="516"/>
      <c r="N323" s="56">
        <f t="shared" si="126"/>
        <v>0</v>
      </c>
      <c r="O323" s="57">
        <f t="shared" si="127"/>
        <v>0</v>
      </c>
      <c r="P323" s="57">
        <f ca="1">IFERROR(IF(ISBLANK(H323),SUMIFS($AC:$AC,$V:$V,V323,$W:$W,W323,$X:$X,X323,$Y:$Y,Y323)*J323/(1-J323)*VLOOKUP(_xlfn.CONCAT(C323,D323,E323,TIME!$M$12,Z323),HIS_SALES!$B$2:$W$4859,20,FALSE),AC323*J323/(1-J323)),0)</f>
        <v>0</v>
      </c>
      <c r="Q323" s="541" t="str">
        <f t="shared" si="128"/>
        <v/>
      </c>
      <c r="R323" s="346" t="str">
        <f t="shared" si="129"/>
        <v>00000</v>
      </c>
      <c r="S323" s="344">
        <f t="shared" si="130"/>
        <v>0</v>
      </c>
      <c r="T323" s="345" t="str">
        <f t="shared" ref="T323:T386" si="143">U323&amp;V323&amp;W323&amp;AA323</f>
        <v>000</v>
      </c>
      <c r="U323" s="345">
        <f t="shared" si="131"/>
        <v>0</v>
      </c>
      <c r="V323" s="345">
        <f t="shared" si="132"/>
        <v>0</v>
      </c>
      <c r="W323" s="345">
        <f t="shared" si="133"/>
        <v>0</v>
      </c>
      <c r="X323" s="345">
        <f t="shared" si="134"/>
        <v>0</v>
      </c>
      <c r="Y323" s="345">
        <f t="shared" si="135"/>
        <v>0</v>
      </c>
      <c r="Z323" s="345">
        <f>IF(Q323&lt;&gt;"",VLOOKUP(Y323,TIME!$R$21:$V$24,MATCH(FC_DATA!Q323,TIME!$R$20:$V$20,0),FALSE),H323)</f>
        <v>0</v>
      </c>
      <c r="AA323" s="345" t="str">
        <f>IFERROR(VLOOKUP(X323&amp;Z323,TIME!$A$12:$D$71,4,FALSE),"")</f>
        <v/>
      </c>
      <c r="AB323" s="592">
        <f t="shared" ca="1" si="136"/>
        <v>0</v>
      </c>
      <c r="AC323" s="593" t="e">
        <f ca="1">IF(ISBLANK(H323)=FALSE,IF(D323="BRAND.com",I323,IF(ISNA(VLOOKUP(_xlfn.CONCAT(X323,Z323),TIME!$M$40:$M$42,1,FALSE)),I323,VLOOKUP(_xlfn.CONCAT(D323,G323,H323),M_BUSAREA_FC!$AF$5:$AJ$10,5,FALSE)*HLOOKUP(_xlfn.CONCAT(F323,H323),ST_OVERVIEW!$G$99:$I$130,MATCH(_xlfn.CONCAT(D323,E323),ST_OVERVIEW!$F$99:$F$130,0),FALSE))),IF(D323="BRAND.com",VLOOKUP(_xlfn.CONCAT(C323,D323,E323,TIME!$F$1,Z323),HIS_SALES!$B$2:$V$4859,19,FALSE)*I323,VLOOKUP(_xlfn.CONCAT(D323,F323,G323),Q_BUSAREA_FC!$AE$5:$AI$12,5,FALSE)*HLOOKUP(_xlfn.CONCAT(FC_DATA!F323,FC_DATA!G323),LT_OVERVIEW!$I$99:$M$130,MATCH(_xlfn.CONCAT(D323,FC_DATA!E323),LT_OVERVIEW!$H$99:$H$130,0),FALSE)*IFERROR(VLOOKUP(_xlfn.CONCAT(C323,D323,E323,TIME!$F$1,Z323),HIS_SALES!$B$2:$V$4859,19,FALSE),0)))</f>
        <v>#N/A</v>
      </c>
      <c r="AD323" s="341">
        <f t="shared" ca="1" si="137"/>
        <v>0</v>
      </c>
      <c r="AE323" s="363" t="str">
        <f t="shared" si="138"/>
        <v/>
      </c>
      <c r="AF323" s="342" t="str">
        <f t="shared" si="139"/>
        <v/>
      </c>
      <c r="AG323" s="411" t="e">
        <f ca="1">VLOOKUP(_xlfn.CONCAT(U323,V323,W323,VLOOKUP(X323&amp;Y323,TIME!$L$27:$O$34,4,FALSE),Y323),HIS_SALES!$A$2:$R$5093,18,FALSE)</f>
        <v>#N/A</v>
      </c>
      <c r="AH323" s="412" t="e">
        <f ca="1">IFERROR(IF(AND(V323=V322,W323=W322),0.5*(AB323+AB322)*AG323,(VLOOKUP(_xlfn.CONCAT(U323,V323,W323,X323,VLOOKUP(Z323,TIME!$S$28:$T$39,2,FALSE)),FC_DATA!$R$2:$AB$5000,MATCH("GS_I_M",FC_DATA!$R$1:$AB$1,0),FALSE)+FC_DATA!AB323)*0.5*FC_DATA!AG323),NA())</f>
        <v>#N/A</v>
      </c>
      <c r="AI323" s="491" t="e">
        <f ca="1">IF(V323="PARTNER.com",AH323,IF(AND(V323=V322,W323=W322),(1-AVERAGE(AD322,AD323))*AH323,(1-AVERAGE(AD323,VLOOKUP(_xlfn.CONCAT(U323,V323,W323,X323,M_BRAND_FC!$F$6),FC_DATA!$R$2:$AD$5000,MATCH("DISCOUNT_%_M",FC_DATA!$R$1:$AD$1,0),FALSE)))*AH323))</f>
        <v>#N/A</v>
      </c>
      <c r="AJ323" s="412" t="str">
        <f t="shared" ca="1" si="140"/>
        <v/>
      </c>
      <c r="AK323" s="413" t="str">
        <f>IFERROR(AE323/(Q_BRAND_FC!$T$24+1),"")</f>
        <v/>
      </c>
      <c r="AL323" s="88" t="str">
        <f t="shared" ca="1" si="141"/>
        <v/>
      </c>
      <c r="AM323" s="414" t="str">
        <f t="shared" ca="1" si="142"/>
        <v/>
      </c>
      <c r="AN323" s="58">
        <f>IFERROR(IF($V323="BRAND.com",HLOOKUP($X323&amp;$Z323,NWC_FC_NOOS!$C$4:$Q$23,MATCH(W323,NWC_FC_NOOS!$B$4:$B$23,0),FALSE),0),0)</f>
        <v>0</v>
      </c>
      <c r="AO323" s="57">
        <f>IFERROR(IF($V323="BRAND.com",HLOOKUP($X323&amp;$Z323,NWC_FC_NOOS!$T$4:$AH$23,MATCH(W323,NWC_FC_NOOS!$S$4:$S$23,0),FALSE),0),0)</f>
        <v>0</v>
      </c>
      <c r="AP323" s="57">
        <f>IFERROR(IF($V323="BRAND.com",HLOOKUP($X323&amp;$Z323,NWC_FC_NOOS!$C$50:$U$69,MATCH(W323,NWC_FC_NOOS!$B$50:$B$69,0),FALSE),0),0)</f>
        <v>0</v>
      </c>
      <c r="AQ323" s="58">
        <f>IFERROR(IF($V323="BRAND.com",HLOOKUP($X323&amp;$Z323,'NWC_FC_NON-NOOS'!$C$4:$Q$23,MATCH(W323,'NWC_FC_NON-NOOS'!$B$4:$B$23,0),FALSE),0),0)</f>
        <v>0</v>
      </c>
      <c r="AR323" s="57">
        <f>IFERROR(IF($V323="BRAND.com",HLOOKUP($X323&amp;$Z323,'NWC_FC_NON-NOOS'!$T$4:$AH$23,MATCH(W323,'NWC_FC_NON-NOOS'!$S$4:$S$23,0),FALSE),0),0)</f>
        <v>0</v>
      </c>
      <c r="AS323" s="57">
        <f>IFERROR(IF($V323="BRAND.com",HLOOKUP($X323&amp;$Z323,'NWC_FC_NON-NOOS'!$C$50:$U$69,MATCH(W323,'NWC_FC_NON-NOOS'!$B$50:$B$69,0),FALSE),0),0)</f>
        <v>0</v>
      </c>
      <c r="AT323" s="57">
        <f t="shared" ref="AT323:AT386" si="144">AO323+AR323</f>
        <v>0</v>
      </c>
      <c r="AU323" s="57">
        <f t="shared" ref="AU323:AU386" si="145">AP323+AS323</f>
        <v>0</v>
      </c>
      <c r="AV323" s="58">
        <f>IFERROR(IF($V323="BRAND.com",HLOOKUP($X323&amp;$Z323,PLANNING_FC!$BB$27:$BP$46,MATCH($W323,PLANNING_FC!$BA$27:$BA$46,0),FALSE),0),0)</f>
        <v>0</v>
      </c>
      <c r="AW323" s="58">
        <f>IFERROR(IF($V323="BRAND.com",HLOOKUP($X323&amp;$Z323,PLANNING_FC!$BB$4:$BP$23,MATCH($W323,PLANNING_FC!$BA$4:$BA$23,0),FALSE),0),0)</f>
        <v>0</v>
      </c>
      <c r="AX323" s="58">
        <f>IFERROR(IF($V323="BRAND.com",HLOOKUP($X323&amp;$Z323,PLANNING_FC!$T$27:$AH$46,MATCH($W323,PLANNING_FC!$B$27:$B$46,0),FALSE),0),0)</f>
        <v>0</v>
      </c>
      <c r="AY323" s="58">
        <f>IFERROR(IF($V323="BRAND.com",HLOOKUP($X323&amp;$Z323,PLANNING_FC!$T$4:$AH$23,MATCH($W323,PLANNING_FC!$B$4:$B$23,0),FALSE),0),0)</f>
        <v>0</v>
      </c>
      <c r="AZ323" s="58">
        <f>IFERROR(IF($V323="BRAND.com",HLOOKUP($X323&amp;$Z323,PLANNING_FC!$DA$27:$DO$46,MATCH($W323,PLANNING_FC!$CZ$27:$CZ$46,0),FALSE),0),0)</f>
        <v>0</v>
      </c>
      <c r="BA323" s="58">
        <f>IFERROR(IF($V323="BRAND.com",HLOOKUP($X323&amp;$Z323,PLANNING_FC!$DA$4:$DO$23,MATCH($W323,PLANNING_FC!$CZ$4:$CZ$23,0),FALSE),0),0)</f>
        <v>0</v>
      </c>
      <c r="BB323" s="883" t="str">
        <f>IF(V323="BRAND.com",IFERROR(HLOOKUP(X323&amp;Z323,PLANNING_FC!$AK$4:$AY$23,MATCH(W323,PLANNING_FC!$AJ$4:$AJ$23,0),FALSE)*1000,""),"")</f>
        <v/>
      </c>
      <c r="BC323" s="883" t="str">
        <f>IF(V323="BRAND.com",IFERROR(HLOOKUP(X323&amp;Z323,PLANNING_FC!$AK$27:$AY$46,MATCH(W323,PLANNING_FC!$AJ$27:$AJ$46,0),FALSE)*1000,""),"")</f>
        <v/>
      </c>
    </row>
    <row r="324" spans="1:55" x14ac:dyDescent="0.25">
      <c r="A324" s="509"/>
      <c r="B324" s="509"/>
      <c r="C324" s="509"/>
      <c r="D324" s="509"/>
      <c r="E324" s="509"/>
      <c r="F324" s="509"/>
      <c r="G324" s="509"/>
      <c r="H324" s="509"/>
      <c r="I324" s="512"/>
      <c r="J324" s="513"/>
      <c r="K324" s="879"/>
      <c r="L324" s="515"/>
      <c r="M324" s="516"/>
      <c r="N324" s="56">
        <f t="shared" si="126"/>
        <v>0</v>
      </c>
      <c r="O324" s="57">
        <f t="shared" si="127"/>
        <v>0</v>
      </c>
      <c r="P324" s="57">
        <f ca="1">IFERROR(IF(ISBLANK(H324),SUMIFS($AC:$AC,$V:$V,V324,$W:$W,W324,$X:$X,X324,$Y:$Y,Y324)*J324/(1-J324)*VLOOKUP(_xlfn.CONCAT(C324,D324,E324,TIME!$M$12,Z324),HIS_SALES!$B$2:$W$4859,20,FALSE),AC324*J324/(1-J324)),0)</f>
        <v>0</v>
      </c>
      <c r="Q324" s="541" t="str">
        <f t="shared" si="128"/>
        <v/>
      </c>
      <c r="R324" s="346" t="str">
        <f t="shared" si="129"/>
        <v>00000</v>
      </c>
      <c r="S324" s="344">
        <f t="shared" si="130"/>
        <v>0</v>
      </c>
      <c r="T324" s="345" t="str">
        <f t="shared" si="143"/>
        <v>000</v>
      </c>
      <c r="U324" s="345">
        <f t="shared" si="131"/>
        <v>0</v>
      </c>
      <c r="V324" s="345">
        <f t="shared" si="132"/>
        <v>0</v>
      </c>
      <c r="W324" s="345">
        <f t="shared" si="133"/>
        <v>0</v>
      </c>
      <c r="X324" s="345">
        <f t="shared" si="134"/>
        <v>0</v>
      </c>
      <c r="Y324" s="345">
        <f t="shared" si="135"/>
        <v>0</v>
      </c>
      <c r="Z324" s="345">
        <f>IF(Q324&lt;&gt;"",VLOOKUP(Y324,TIME!$R$21:$V$24,MATCH(FC_DATA!Q324,TIME!$R$20:$V$20,0),FALSE),H324)</f>
        <v>0</v>
      </c>
      <c r="AA324" s="345" t="str">
        <f>IFERROR(VLOOKUP(X324&amp;Z324,TIME!$A$12:$D$71,4,FALSE),"")</f>
        <v/>
      </c>
      <c r="AB324" s="592">
        <f t="shared" ca="1" si="136"/>
        <v>0</v>
      </c>
      <c r="AC324" s="593" t="e">
        <f ca="1">IF(ISBLANK(H324)=FALSE,IF(D324="BRAND.com",I324,IF(ISNA(VLOOKUP(_xlfn.CONCAT(X324,Z324),TIME!$M$40:$M$42,1,FALSE)),I324,VLOOKUP(_xlfn.CONCAT(D324,G324,H324),M_BUSAREA_FC!$AF$5:$AJ$10,5,FALSE)*HLOOKUP(_xlfn.CONCAT(F324,H324),ST_OVERVIEW!$G$99:$I$130,MATCH(_xlfn.CONCAT(D324,E324),ST_OVERVIEW!$F$99:$F$130,0),FALSE))),IF(D324="BRAND.com",VLOOKUP(_xlfn.CONCAT(C324,D324,E324,TIME!$F$1,Z324),HIS_SALES!$B$2:$V$4859,19,FALSE)*I324,VLOOKUP(_xlfn.CONCAT(D324,F324,G324),Q_BUSAREA_FC!$AE$5:$AI$12,5,FALSE)*HLOOKUP(_xlfn.CONCAT(FC_DATA!F324,FC_DATA!G324),LT_OVERVIEW!$I$99:$M$130,MATCH(_xlfn.CONCAT(D324,FC_DATA!E324),LT_OVERVIEW!$H$99:$H$130,0),FALSE)*IFERROR(VLOOKUP(_xlfn.CONCAT(C324,D324,E324,TIME!$F$1,Z324),HIS_SALES!$B$2:$V$4859,19,FALSE),0)))</f>
        <v>#N/A</v>
      </c>
      <c r="AD324" s="341">
        <f t="shared" ca="1" si="137"/>
        <v>0</v>
      </c>
      <c r="AE324" s="363" t="str">
        <f t="shared" si="138"/>
        <v/>
      </c>
      <c r="AF324" s="342" t="str">
        <f t="shared" si="139"/>
        <v/>
      </c>
      <c r="AG324" s="411" t="e">
        <f ca="1">VLOOKUP(_xlfn.CONCAT(U324,V324,W324,VLOOKUP(X324&amp;Y324,TIME!$L$27:$O$34,4,FALSE),Y324),HIS_SALES!$A$2:$R$5093,18,FALSE)</f>
        <v>#N/A</v>
      </c>
      <c r="AH324" s="412" t="e">
        <f ca="1">IFERROR(IF(AND(V324=V323,W324=W323),0.5*(AB324+AB323)*AG324,(VLOOKUP(_xlfn.CONCAT(U324,V324,W324,X324,VLOOKUP(Z324,TIME!$S$28:$T$39,2,FALSE)),FC_DATA!$R$2:$AB$5000,MATCH("GS_I_M",FC_DATA!$R$1:$AB$1,0),FALSE)+FC_DATA!AB324)*0.5*FC_DATA!AG324),NA())</f>
        <v>#N/A</v>
      </c>
      <c r="AI324" s="491" t="e">
        <f ca="1">IF(V324="PARTNER.com",AH324,IF(AND(V324=V323,W324=W323),(1-AVERAGE(AD323,AD324))*AH324,(1-AVERAGE(AD324,VLOOKUP(_xlfn.CONCAT(U324,V324,W324,X324,M_BRAND_FC!$F$6),FC_DATA!$R$2:$AD$5000,MATCH("DISCOUNT_%_M",FC_DATA!$R$1:$AD$1,0),FALSE)))*AH324))</f>
        <v>#N/A</v>
      </c>
      <c r="AJ324" s="412" t="str">
        <f t="shared" ca="1" si="140"/>
        <v/>
      </c>
      <c r="AK324" s="413" t="str">
        <f>IFERROR(AE324/(Q_BRAND_FC!$T$24+1),"")</f>
        <v/>
      </c>
      <c r="AL324" s="88" t="str">
        <f t="shared" ca="1" si="141"/>
        <v/>
      </c>
      <c r="AM324" s="414" t="str">
        <f t="shared" ca="1" si="142"/>
        <v/>
      </c>
      <c r="AN324" s="58">
        <f>IFERROR(IF($V324="BRAND.com",HLOOKUP($X324&amp;$Z324,NWC_FC_NOOS!$C$4:$Q$23,MATCH(W324,NWC_FC_NOOS!$B$4:$B$23,0),FALSE),0),0)</f>
        <v>0</v>
      </c>
      <c r="AO324" s="57">
        <f>IFERROR(IF($V324="BRAND.com",HLOOKUP($X324&amp;$Z324,NWC_FC_NOOS!$T$4:$AH$23,MATCH(W324,NWC_FC_NOOS!$S$4:$S$23,0),FALSE),0),0)</f>
        <v>0</v>
      </c>
      <c r="AP324" s="57">
        <f>IFERROR(IF($V324="BRAND.com",HLOOKUP($X324&amp;$Z324,NWC_FC_NOOS!$C$50:$U$69,MATCH(W324,NWC_FC_NOOS!$B$50:$B$69,0),FALSE),0),0)</f>
        <v>0</v>
      </c>
      <c r="AQ324" s="58">
        <f>IFERROR(IF($V324="BRAND.com",HLOOKUP($X324&amp;$Z324,'NWC_FC_NON-NOOS'!$C$4:$Q$23,MATCH(W324,'NWC_FC_NON-NOOS'!$B$4:$B$23,0),FALSE),0),0)</f>
        <v>0</v>
      </c>
      <c r="AR324" s="57">
        <f>IFERROR(IF($V324="BRAND.com",HLOOKUP($X324&amp;$Z324,'NWC_FC_NON-NOOS'!$T$4:$AH$23,MATCH(W324,'NWC_FC_NON-NOOS'!$S$4:$S$23,0),FALSE),0),0)</f>
        <v>0</v>
      </c>
      <c r="AS324" s="57">
        <f>IFERROR(IF($V324="BRAND.com",HLOOKUP($X324&amp;$Z324,'NWC_FC_NON-NOOS'!$C$50:$U$69,MATCH(W324,'NWC_FC_NON-NOOS'!$B$50:$B$69,0),FALSE),0),0)</f>
        <v>0</v>
      </c>
      <c r="AT324" s="57">
        <f t="shared" si="144"/>
        <v>0</v>
      </c>
      <c r="AU324" s="57">
        <f t="shared" si="145"/>
        <v>0</v>
      </c>
      <c r="AV324" s="58">
        <f>IFERROR(IF($V324="BRAND.com",HLOOKUP($X324&amp;$Z324,PLANNING_FC!$BB$27:$BP$46,MATCH($W324,PLANNING_FC!$BA$27:$BA$46,0),FALSE),0),0)</f>
        <v>0</v>
      </c>
      <c r="AW324" s="58">
        <f>IFERROR(IF($V324="BRAND.com",HLOOKUP($X324&amp;$Z324,PLANNING_FC!$BB$4:$BP$23,MATCH($W324,PLANNING_FC!$BA$4:$BA$23,0),FALSE),0),0)</f>
        <v>0</v>
      </c>
      <c r="AX324" s="58">
        <f>IFERROR(IF($V324="BRAND.com",HLOOKUP($X324&amp;$Z324,PLANNING_FC!$T$27:$AH$46,MATCH($W324,PLANNING_FC!$B$27:$B$46,0),FALSE),0),0)</f>
        <v>0</v>
      </c>
      <c r="AY324" s="58">
        <f>IFERROR(IF($V324="BRAND.com",HLOOKUP($X324&amp;$Z324,PLANNING_FC!$T$4:$AH$23,MATCH($W324,PLANNING_FC!$B$4:$B$23,0),FALSE),0),0)</f>
        <v>0</v>
      </c>
      <c r="AZ324" s="58">
        <f>IFERROR(IF($V324="BRAND.com",HLOOKUP($X324&amp;$Z324,PLANNING_FC!$DA$27:$DO$46,MATCH($W324,PLANNING_FC!$CZ$27:$CZ$46,0),FALSE),0),0)</f>
        <v>0</v>
      </c>
      <c r="BA324" s="58">
        <f>IFERROR(IF($V324="BRAND.com",HLOOKUP($X324&amp;$Z324,PLANNING_FC!$DA$4:$DO$23,MATCH($W324,PLANNING_FC!$CZ$4:$CZ$23,0),FALSE),0),0)</f>
        <v>0</v>
      </c>
      <c r="BB324" s="883" t="str">
        <f>IF(V324="BRAND.com",IFERROR(HLOOKUP(X324&amp;Z324,PLANNING_FC!$AK$4:$AY$23,MATCH(W324,PLANNING_FC!$AJ$4:$AJ$23,0),FALSE)*1000,""),"")</f>
        <v/>
      </c>
      <c r="BC324" s="883" t="str">
        <f>IF(V324="BRAND.com",IFERROR(HLOOKUP(X324&amp;Z324,PLANNING_FC!$AK$27:$AY$46,MATCH(W324,PLANNING_FC!$AJ$27:$AJ$46,0),FALSE)*1000,""),"")</f>
        <v/>
      </c>
    </row>
    <row r="325" spans="1:55" x14ac:dyDescent="0.25">
      <c r="A325" s="509"/>
      <c r="B325" s="509"/>
      <c r="C325" s="509"/>
      <c r="D325" s="509"/>
      <c r="E325" s="509"/>
      <c r="F325" s="509"/>
      <c r="G325" s="509"/>
      <c r="H325" s="509"/>
      <c r="I325" s="512"/>
      <c r="J325" s="513"/>
      <c r="K325" s="879"/>
      <c r="L325" s="515"/>
      <c r="M325" s="516"/>
      <c r="N325" s="56">
        <f t="shared" si="126"/>
        <v>0</v>
      </c>
      <c r="O325" s="57">
        <f t="shared" si="127"/>
        <v>0</v>
      </c>
      <c r="P325" s="57">
        <f ca="1">IFERROR(IF(ISBLANK(H325),SUMIFS($AC:$AC,$V:$V,V325,$W:$W,W325,$X:$X,X325,$Y:$Y,Y325)*J325/(1-J325)*VLOOKUP(_xlfn.CONCAT(C325,D325,E325,TIME!$M$12,Z325),HIS_SALES!$B$2:$W$4859,20,FALSE),AC325*J325/(1-J325)),0)</f>
        <v>0</v>
      </c>
      <c r="Q325" s="541" t="str">
        <f t="shared" si="128"/>
        <v/>
      </c>
      <c r="R325" s="346" t="str">
        <f t="shared" si="129"/>
        <v>00000</v>
      </c>
      <c r="S325" s="344">
        <f t="shared" si="130"/>
        <v>0</v>
      </c>
      <c r="T325" s="345" t="str">
        <f t="shared" si="143"/>
        <v>000</v>
      </c>
      <c r="U325" s="345">
        <f t="shared" si="131"/>
        <v>0</v>
      </c>
      <c r="V325" s="345">
        <f t="shared" si="132"/>
        <v>0</v>
      </c>
      <c r="W325" s="345">
        <f t="shared" si="133"/>
        <v>0</v>
      </c>
      <c r="X325" s="345">
        <f t="shared" si="134"/>
        <v>0</v>
      </c>
      <c r="Y325" s="345">
        <f t="shared" si="135"/>
        <v>0</v>
      </c>
      <c r="Z325" s="345">
        <f>IF(Q325&lt;&gt;"",VLOOKUP(Y325,TIME!$R$21:$V$24,MATCH(FC_DATA!Q325,TIME!$R$20:$V$20,0),FALSE),H325)</f>
        <v>0</v>
      </c>
      <c r="AA325" s="345" t="str">
        <f>IFERROR(VLOOKUP(X325&amp;Z325,TIME!$A$12:$D$71,4,FALSE),"")</f>
        <v/>
      </c>
      <c r="AB325" s="592">
        <f t="shared" ca="1" si="136"/>
        <v>0</v>
      </c>
      <c r="AC325" s="593" t="e">
        <f ca="1">IF(ISBLANK(H325)=FALSE,IF(D325="BRAND.com",I325,IF(ISNA(VLOOKUP(_xlfn.CONCAT(X325,Z325),TIME!$M$40:$M$42,1,FALSE)),I325,VLOOKUP(_xlfn.CONCAT(D325,G325,H325),M_BUSAREA_FC!$AF$5:$AJ$10,5,FALSE)*HLOOKUP(_xlfn.CONCAT(F325,H325),ST_OVERVIEW!$G$99:$I$130,MATCH(_xlfn.CONCAT(D325,E325),ST_OVERVIEW!$F$99:$F$130,0),FALSE))),IF(D325="BRAND.com",VLOOKUP(_xlfn.CONCAT(C325,D325,E325,TIME!$F$1,Z325),HIS_SALES!$B$2:$V$4859,19,FALSE)*I325,VLOOKUP(_xlfn.CONCAT(D325,F325,G325),Q_BUSAREA_FC!$AE$5:$AI$12,5,FALSE)*HLOOKUP(_xlfn.CONCAT(FC_DATA!F325,FC_DATA!G325),LT_OVERVIEW!$I$99:$M$130,MATCH(_xlfn.CONCAT(D325,FC_DATA!E325),LT_OVERVIEW!$H$99:$H$130,0),FALSE)*IFERROR(VLOOKUP(_xlfn.CONCAT(C325,D325,E325,TIME!$F$1,Z325),HIS_SALES!$B$2:$V$4859,19,FALSE),0)))</f>
        <v>#N/A</v>
      </c>
      <c r="AD325" s="341">
        <f t="shared" ca="1" si="137"/>
        <v>0</v>
      </c>
      <c r="AE325" s="363" t="str">
        <f t="shared" si="138"/>
        <v/>
      </c>
      <c r="AF325" s="342" t="str">
        <f t="shared" si="139"/>
        <v/>
      </c>
      <c r="AG325" s="411" t="e">
        <f ca="1">VLOOKUP(_xlfn.CONCAT(U325,V325,W325,VLOOKUP(X325&amp;Y325,TIME!$L$27:$O$34,4,FALSE),Y325),HIS_SALES!$A$2:$R$5093,18,FALSE)</f>
        <v>#N/A</v>
      </c>
      <c r="AH325" s="412" t="e">
        <f ca="1">IFERROR(IF(AND(V325=V324,W325=W324),0.5*(AB325+AB324)*AG325,(VLOOKUP(_xlfn.CONCAT(U325,V325,W325,X325,VLOOKUP(Z325,TIME!$S$28:$T$39,2,FALSE)),FC_DATA!$R$2:$AB$5000,MATCH("GS_I_M",FC_DATA!$R$1:$AB$1,0),FALSE)+FC_DATA!AB325)*0.5*FC_DATA!AG325),NA())</f>
        <v>#N/A</v>
      </c>
      <c r="AI325" s="491" t="e">
        <f ca="1">IF(V325="PARTNER.com",AH325,IF(AND(V325=V324,W325=W324),(1-AVERAGE(AD324,AD325))*AH325,(1-AVERAGE(AD325,VLOOKUP(_xlfn.CONCAT(U325,V325,W325,X325,M_BRAND_FC!$F$6),FC_DATA!$R$2:$AD$5000,MATCH("DISCOUNT_%_M",FC_DATA!$R$1:$AD$1,0),FALSE)))*AH325))</f>
        <v>#N/A</v>
      </c>
      <c r="AJ325" s="412" t="str">
        <f t="shared" ca="1" si="140"/>
        <v/>
      </c>
      <c r="AK325" s="413" t="str">
        <f>IFERROR(AE325/(Q_BRAND_FC!$T$24+1),"")</f>
        <v/>
      </c>
      <c r="AL325" s="88" t="str">
        <f t="shared" ca="1" si="141"/>
        <v/>
      </c>
      <c r="AM325" s="414" t="str">
        <f t="shared" ca="1" si="142"/>
        <v/>
      </c>
      <c r="AN325" s="58">
        <f>IFERROR(IF($V325="BRAND.com",HLOOKUP($X325&amp;$Z325,NWC_FC_NOOS!$C$4:$Q$23,MATCH(W325,NWC_FC_NOOS!$B$4:$B$23,0),FALSE),0),0)</f>
        <v>0</v>
      </c>
      <c r="AO325" s="57">
        <f>IFERROR(IF($V325="BRAND.com",HLOOKUP($X325&amp;$Z325,NWC_FC_NOOS!$T$4:$AH$23,MATCH(W325,NWC_FC_NOOS!$S$4:$S$23,0),FALSE),0),0)</f>
        <v>0</v>
      </c>
      <c r="AP325" s="57">
        <f>IFERROR(IF($V325="BRAND.com",HLOOKUP($X325&amp;$Z325,NWC_FC_NOOS!$C$50:$U$69,MATCH(W325,NWC_FC_NOOS!$B$50:$B$69,0),FALSE),0),0)</f>
        <v>0</v>
      </c>
      <c r="AQ325" s="58">
        <f>IFERROR(IF($V325="BRAND.com",HLOOKUP($X325&amp;$Z325,'NWC_FC_NON-NOOS'!$C$4:$Q$23,MATCH(W325,'NWC_FC_NON-NOOS'!$B$4:$B$23,0),FALSE),0),0)</f>
        <v>0</v>
      </c>
      <c r="AR325" s="57">
        <f>IFERROR(IF($V325="BRAND.com",HLOOKUP($X325&amp;$Z325,'NWC_FC_NON-NOOS'!$T$4:$AH$23,MATCH(W325,'NWC_FC_NON-NOOS'!$S$4:$S$23,0),FALSE),0),0)</f>
        <v>0</v>
      </c>
      <c r="AS325" s="57">
        <f>IFERROR(IF($V325="BRAND.com",HLOOKUP($X325&amp;$Z325,'NWC_FC_NON-NOOS'!$C$50:$U$69,MATCH(W325,'NWC_FC_NON-NOOS'!$B$50:$B$69,0),FALSE),0),0)</f>
        <v>0</v>
      </c>
      <c r="AT325" s="57">
        <f t="shared" si="144"/>
        <v>0</v>
      </c>
      <c r="AU325" s="57">
        <f t="shared" si="145"/>
        <v>0</v>
      </c>
      <c r="AV325" s="58">
        <f>IFERROR(IF($V325="BRAND.com",HLOOKUP($X325&amp;$Z325,PLANNING_FC!$BB$27:$BP$46,MATCH($W325,PLANNING_FC!$BA$27:$BA$46,0),FALSE),0),0)</f>
        <v>0</v>
      </c>
      <c r="AW325" s="58">
        <f>IFERROR(IF($V325="BRAND.com",HLOOKUP($X325&amp;$Z325,PLANNING_FC!$BB$4:$BP$23,MATCH($W325,PLANNING_FC!$BA$4:$BA$23,0),FALSE),0),0)</f>
        <v>0</v>
      </c>
      <c r="AX325" s="58">
        <f>IFERROR(IF($V325="BRAND.com",HLOOKUP($X325&amp;$Z325,PLANNING_FC!$T$27:$AH$46,MATCH($W325,PLANNING_FC!$B$27:$B$46,0),FALSE),0),0)</f>
        <v>0</v>
      </c>
      <c r="AY325" s="58">
        <f>IFERROR(IF($V325="BRAND.com",HLOOKUP($X325&amp;$Z325,PLANNING_FC!$T$4:$AH$23,MATCH($W325,PLANNING_FC!$B$4:$B$23,0),FALSE),0),0)</f>
        <v>0</v>
      </c>
      <c r="AZ325" s="58">
        <f>IFERROR(IF($V325="BRAND.com",HLOOKUP($X325&amp;$Z325,PLANNING_FC!$DA$27:$DO$46,MATCH($W325,PLANNING_FC!$CZ$27:$CZ$46,0),FALSE),0),0)</f>
        <v>0</v>
      </c>
      <c r="BA325" s="58">
        <f>IFERROR(IF($V325="BRAND.com",HLOOKUP($X325&amp;$Z325,PLANNING_FC!$DA$4:$DO$23,MATCH($W325,PLANNING_FC!$CZ$4:$CZ$23,0),FALSE),0),0)</f>
        <v>0</v>
      </c>
      <c r="BB325" s="883" t="str">
        <f>IF(V325="BRAND.com",IFERROR(HLOOKUP(X325&amp;Z325,PLANNING_FC!$AK$4:$AY$23,MATCH(W325,PLANNING_FC!$AJ$4:$AJ$23,0),FALSE)*1000,""),"")</f>
        <v/>
      </c>
      <c r="BC325" s="883" t="str">
        <f>IF(V325="BRAND.com",IFERROR(HLOOKUP(X325&amp;Z325,PLANNING_FC!$AK$27:$AY$46,MATCH(W325,PLANNING_FC!$AJ$27:$AJ$46,0),FALSE)*1000,""),"")</f>
        <v/>
      </c>
    </row>
    <row r="326" spans="1:55" x14ac:dyDescent="0.25">
      <c r="A326" s="509"/>
      <c r="B326" s="509"/>
      <c r="C326" s="509"/>
      <c r="D326" s="509"/>
      <c r="E326" s="509"/>
      <c r="F326" s="509"/>
      <c r="G326" s="509"/>
      <c r="H326" s="509"/>
      <c r="I326" s="512"/>
      <c r="J326" s="513"/>
      <c r="K326" s="879"/>
      <c r="L326" s="515"/>
      <c r="M326" s="516"/>
      <c r="N326" s="56">
        <f t="shared" si="126"/>
        <v>0</v>
      </c>
      <c r="O326" s="57">
        <f t="shared" si="127"/>
        <v>0</v>
      </c>
      <c r="P326" s="57">
        <f ca="1">IFERROR(IF(ISBLANK(H326),SUMIFS($AC:$AC,$V:$V,V326,$W:$W,W326,$X:$X,X326,$Y:$Y,Y326)*J326/(1-J326)*VLOOKUP(_xlfn.CONCAT(C326,D326,E326,TIME!$M$12,Z326),HIS_SALES!$B$2:$W$4859,20,FALSE),AC326*J326/(1-J326)),0)</f>
        <v>0</v>
      </c>
      <c r="Q326" s="541" t="str">
        <f t="shared" si="128"/>
        <v/>
      </c>
      <c r="R326" s="346" t="str">
        <f t="shared" si="129"/>
        <v>00000</v>
      </c>
      <c r="S326" s="344">
        <f t="shared" si="130"/>
        <v>0</v>
      </c>
      <c r="T326" s="345" t="str">
        <f t="shared" si="143"/>
        <v>000</v>
      </c>
      <c r="U326" s="345">
        <f t="shared" si="131"/>
        <v>0</v>
      </c>
      <c r="V326" s="345">
        <f t="shared" si="132"/>
        <v>0</v>
      </c>
      <c r="W326" s="345">
        <f t="shared" si="133"/>
        <v>0</v>
      </c>
      <c r="X326" s="345">
        <f t="shared" si="134"/>
        <v>0</v>
      </c>
      <c r="Y326" s="345">
        <f t="shared" si="135"/>
        <v>0</v>
      </c>
      <c r="Z326" s="345">
        <f>IF(Q326&lt;&gt;"",VLOOKUP(Y326,TIME!$R$21:$V$24,MATCH(FC_DATA!Q326,TIME!$R$20:$V$20,0),FALSE),H326)</f>
        <v>0</v>
      </c>
      <c r="AA326" s="345" t="str">
        <f>IFERROR(VLOOKUP(X326&amp;Z326,TIME!$A$12:$D$71,4,FALSE),"")</f>
        <v/>
      </c>
      <c r="AB326" s="592">
        <f t="shared" ca="1" si="136"/>
        <v>0</v>
      </c>
      <c r="AC326" s="593" t="e">
        <f ca="1">IF(ISBLANK(H326)=FALSE,IF(D326="BRAND.com",I326,IF(ISNA(VLOOKUP(_xlfn.CONCAT(X326,Z326),TIME!$M$40:$M$42,1,FALSE)),I326,VLOOKUP(_xlfn.CONCAT(D326,G326,H326),M_BUSAREA_FC!$AF$5:$AJ$10,5,FALSE)*HLOOKUP(_xlfn.CONCAT(F326,H326),ST_OVERVIEW!$G$99:$I$130,MATCH(_xlfn.CONCAT(D326,E326),ST_OVERVIEW!$F$99:$F$130,0),FALSE))),IF(D326="BRAND.com",VLOOKUP(_xlfn.CONCAT(C326,D326,E326,TIME!$F$1,Z326),HIS_SALES!$B$2:$V$4859,19,FALSE)*I326,VLOOKUP(_xlfn.CONCAT(D326,F326,G326),Q_BUSAREA_FC!$AE$5:$AI$12,5,FALSE)*HLOOKUP(_xlfn.CONCAT(FC_DATA!F326,FC_DATA!G326),LT_OVERVIEW!$I$99:$M$130,MATCH(_xlfn.CONCAT(D326,FC_DATA!E326),LT_OVERVIEW!$H$99:$H$130,0),FALSE)*IFERROR(VLOOKUP(_xlfn.CONCAT(C326,D326,E326,TIME!$F$1,Z326),HIS_SALES!$B$2:$V$4859,19,FALSE),0)))</f>
        <v>#N/A</v>
      </c>
      <c r="AD326" s="341">
        <f t="shared" ca="1" si="137"/>
        <v>0</v>
      </c>
      <c r="AE326" s="363" t="str">
        <f t="shared" si="138"/>
        <v/>
      </c>
      <c r="AF326" s="342" t="str">
        <f t="shared" si="139"/>
        <v/>
      </c>
      <c r="AG326" s="411" t="e">
        <f ca="1">VLOOKUP(_xlfn.CONCAT(U326,V326,W326,VLOOKUP(X326&amp;Y326,TIME!$L$27:$O$34,4,FALSE),Y326),HIS_SALES!$A$2:$R$5093,18,FALSE)</f>
        <v>#N/A</v>
      </c>
      <c r="AH326" s="412" t="e">
        <f ca="1">IFERROR(IF(AND(V326=V325,W326=W325),0.5*(AB326+AB325)*AG326,(VLOOKUP(_xlfn.CONCAT(U326,V326,W326,X326,VLOOKUP(Z326,TIME!$S$28:$T$39,2,FALSE)),FC_DATA!$R$2:$AB$5000,MATCH("GS_I_M",FC_DATA!$R$1:$AB$1,0),FALSE)+FC_DATA!AB326)*0.5*FC_DATA!AG326),NA())</f>
        <v>#N/A</v>
      </c>
      <c r="AI326" s="491" t="e">
        <f ca="1">IF(V326="PARTNER.com",AH326,IF(AND(V326=V325,W326=W325),(1-AVERAGE(AD325,AD326))*AH326,(1-AVERAGE(AD326,VLOOKUP(_xlfn.CONCAT(U326,V326,W326,X326,M_BRAND_FC!$F$6),FC_DATA!$R$2:$AD$5000,MATCH("DISCOUNT_%_M",FC_DATA!$R$1:$AD$1,0),FALSE)))*AH326))</f>
        <v>#N/A</v>
      </c>
      <c r="AJ326" s="412" t="str">
        <f t="shared" ca="1" si="140"/>
        <v/>
      </c>
      <c r="AK326" s="413" t="str">
        <f>IFERROR(AE326/(Q_BRAND_FC!$T$24+1),"")</f>
        <v/>
      </c>
      <c r="AL326" s="88" t="str">
        <f t="shared" ca="1" si="141"/>
        <v/>
      </c>
      <c r="AM326" s="414" t="str">
        <f t="shared" ca="1" si="142"/>
        <v/>
      </c>
      <c r="AN326" s="58">
        <f>IFERROR(IF($V326="BRAND.com",HLOOKUP($X326&amp;$Z326,NWC_FC_NOOS!$C$4:$Q$23,MATCH(W326,NWC_FC_NOOS!$B$4:$B$23,0),FALSE),0),0)</f>
        <v>0</v>
      </c>
      <c r="AO326" s="57">
        <f>IFERROR(IF($V326="BRAND.com",HLOOKUP($X326&amp;$Z326,NWC_FC_NOOS!$T$4:$AH$23,MATCH(W326,NWC_FC_NOOS!$S$4:$S$23,0),FALSE),0),0)</f>
        <v>0</v>
      </c>
      <c r="AP326" s="57">
        <f>IFERROR(IF($V326="BRAND.com",HLOOKUP($X326&amp;$Z326,NWC_FC_NOOS!$C$50:$U$69,MATCH(W326,NWC_FC_NOOS!$B$50:$B$69,0),FALSE),0),0)</f>
        <v>0</v>
      </c>
      <c r="AQ326" s="58">
        <f>IFERROR(IF($V326="BRAND.com",HLOOKUP($X326&amp;$Z326,'NWC_FC_NON-NOOS'!$C$4:$Q$23,MATCH(W326,'NWC_FC_NON-NOOS'!$B$4:$B$23,0),FALSE),0),0)</f>
        <v>0</v>
      </c>
      <c r="AR326" s="57">
        <f>IFERROR(IF($V326="BRAND.com",HLOOKUP($X326&amp;$Z326,'NWC_FC_NON-NOOS'!$T$4:$AH$23,MATCH(W326,'NWC_FC_NON-NOOS'!$S$4:$S$23,0),FALSE),0),0)</f>
        <v>0</v>
      </c>
      <c r="AS326" s="57">
        <f>IFERROR(IF($V326="BRAND.com",HLOOKUP($X326&amp;$Z326,'NWC_FC_NON-NOOS'!$C$50:$U$69,MATCH(W326,'NWC_FC_NON-NOOS'!$B$50:$B$69,0),FALSE),0),0)</f>
        <v>0</v>
      </c>
      <c r="AT326" s="57">
        <f t="shared" si="144"/>
        <v>0</v>
      </c>
      <c r="AU326" s="57">
        <f t="shared" si="145"/>
        <v>0</v>
      </c>
      <c r="AV326" s="58">
        <f>IFERROR(IF($V326="BRAND.com",HLOOKUP($X326&amp;$Z326,PLANNING_FC!$BB$27:$BP$46,MATCH($W326,PLANNING_FC!$BA$27:$BA$46,0),FALSE),0),0)</f>
        <v>0</v>
      </c>
      <c r="AW326" s="58">
        <f>IFERROR(IF($V326="BRAND.com",HLOOKUP($X326&amp;$Z326,PLANNING_FC!$BB$4:$BP$23,MATCH($W326,PLANNING_FC!$BA$4:$BA$23,0),FALSE),0),0)</f>
        <v>0</v>
      </c>
      <c r="AX326" s="58">
        <f>IFERROR(IF($V326="BRAND.com",HLOOKUP($X326&amp;$Z326,PLANNING_FC!$T$27:$AH$46,MATCH($W326,PLANNING_FC!$B$27:$B$46,0),FALSE),0),0)</f>
        <v>0</v>
      </c>
      <c r="AY326" s="58">
        <f>IFERROR(IF($V326="BRAND.com",HLOOKUP($X326&amp;$Z326,PLANNING_FC!$T$4:$AH$23,MATCH($W326,PLANNING_FC!$B$4:$B$23,0),FALSE),0),0)</f>
        <v>0</v>
      </c>
      <c r="AZ326" s="58">
        <f>IFERROR(IF($V326="BRAND.com",HLOOKUP($X326&amp;$Z326,PLANNING_FC!$DA$27:$DO$46,MATCH($W326,PLANNING_FC!$CZ$27:$CZ$46,0),FALSE),0),0)</f>
        <v>0</v>
      </c>
      <c r="BA326" s="58">
        <f>IFERROR(IF($V326="BRAND.com",HLOOKUP($X326&amp;$Z326,PLANNING_FC!$DA$4:$DO$23,MATCH($W326,PLANNING_FC!$CZ$4:$CZ$23,0),FALSE),0),0)</f>
        <v>0</v>
      </c>
      <c r="BB326" s="883" t="str">
        <f>IF(V326="BRAND.com",IFERROR(HLOOKUP(X326&amp;Z326,PLANNING_FC!$AK$4:$AY$23,MATCH(W326,PLANNING_FC!$AJ$4:$AJ$23,0),FALSE)*1000,""),"")</f>
        <v/>
      </c>
      <c r="BC326" s="883" t="str">
        <f>IF(V326="BRAND.com",IFERROR(HLOOKUP(X326&amp;Z326,PLANNING_FC!$AK$27:$AY$46,MATCH(W326,PLANNING_FC!$AJ$27:$AJ$46,0),FALSE)*1000,""),"")</f>
        <v/>
      </c>
    </row>
    <row r="327" spans="1:55" x14ac:dyDescent="0.25">
      <c r="A327" s="509"/>
      <c r="B327" s="509"/>
      <c r="C327" s="509"/>
      <c r="D327" s="509"/>
      <c r="E327" s="509"/>
      <c r="F327" s="509"/>
      <c r="G327" s="509"/>
      <c r="H327" s="509"/>
      <c r="I327" s="512"/>
      <c r="J327" s="513"/>
      <c r="K327" s="879"/>
      <c r="L327" s="515"/>
      <c r="M327" s="516"/>
      <c r="N327" s="56">
        <f t="shared" si="126"/>
        <v>0</v>
      </c>
      <c r="O327" s="57">
        <f t="shared" si="127"/>
        <v>0</v>
      </c>
      <c r="P327" s="57">
        <f ca="1">IFERROR(IF(ISBLANK(H327),SUMIFS($AC:$AC,$V:$V,V327,$W:$W,W327,$X:$X,X327,$Y:$Y,Y327)*J327/(1-J327)*VLOOKUP(_xlfn.CONCAT(C327,D327,E327,TIME!$M$12,Z327),HIS_SALES!$B$2:$W$4859,20,FALSE),AC327*J327/(1-J327)),0)</f>
        <v>0</v>
      </c>
      <c r="Q327" s="541" t="str">
        <f t="shared" si="128"/>
        <v/>
      </c>
      <c r="R327" s="346" t="str">
        <f t="shared" si="129"/>
        <v>00000</v>
      </c>
      <c r="S327" s="344">
        <f t="shared" si="130"/>
        <v>0</v>
      </c>
      <c r="T327" s="345" t="str">
        <f t="shared" si="143"/>
        <v>000</v>
      </c>
      <c r="U327" s="345">
        <f t="shared" si="131"/>
        <v>0</v>
      </c>
      <c r="V327" s="345">
        <f t="shared" si="132"/>
        <v>0</v>
      </c>
      <c r="W327" s="345">
        <f t="shared" si="133"/>
        <v>0</v>
      </c>
      <c r="X327" s="345">
        <f t="shared" si="134"/>
        <v>0</v>
      </c>
      <c r="Y327" s="345">
        <f t="shared" si="135"/>
        <v>0</v>
      </c>
      <c r="Z327" s="345">
        <f>IF(Q327&lt;&gt;"",VLOOKUP(Y327,TIME!$R$21:$V$24,MATCH(FC_DATA!Q327,TIME!$R$20:$V$20,0),FALSE),H327)</f>
        <v>0</v>
      </c>
      <c r="AA327" s="345" t="str">
        <f>IFERROR(VLOOKUP(X327&amp;Z327,TIME!$A$12:$D$71,4,FALSE),"")</f>
        <v/>
      </c>
      <c r="AB327" s="592">
        <f t="shared" ca="1" si="136"/>
        <v>0</v>
      </c>
      <c r="AC327" s="593" t="e">
        <f ca="1">IF(ISBLANK(H327)=FALSE,IF(D327="BRAND.com",I327,IF(ISNA(VLOOKUP(_xlfn.CONCAT(X327,Z327),TIME!$M$40:$M$42,1,FALSE)),I327,VLOOKUP(_xlfn.CONCAT(D327,G327,H327),M_BUSAREA_FC!$AF$5:$AJ$10,5,FALSE)*HLOOKUP(_xlfn.CONCAT(F327,H327),ST_OVERVIEW!$G$99:$I$130,MATCH(_xlfn.CONCAT(D327,E327),ST_OVERVIEW!$F$99:$F$130,0),FALSE))),IF(D327="BRAND.com",VLOOKUP(_xlfn.CONCAT(C327,D327,E327,TIME!$F$1,Z327),HIS_SALES!$B$2:$V$4859,19,FALSE)*I327,VLOOKUP(_xlfn.CONCAT(D327,F327,G327),Q_BUSAREA_FC!$AE$5:$AI$12,5,FALSE)*HLOOKUP(_xlfn.CONCAT(FC_DATA!F327,FC_DATA!G327),LT_OVERVIEW!$I$99:$M$130,MATCH(_xlfn.CONCAT(D327,FC_DATA!E327),LT_OVERVIEW!$H$99:$H$130,0),FALSE)*IFERROR(VLOOKUP(_xlfn.CONCAT(C327,D327,E327,TIME!$F$1,Z327),HIS_SALES!$B$2:$V$4859,19,FALSE),0)))</f>
        <v>#N/A</v>
      </c>
      <c r="AD327" s="341">
        <f t="shared" ca="1" si="137"/>
        <v>0</v>
      </c>
      <c r="AE327" s="363" t="str">
        <f t="shared" si="138"/>
        <v/>
      </c>
      <c r="AF327" s="342" t="str">
        <f t="shared" si="139"/>
        <v/>
      </c>
      <c r="AG327" s="411" t="e">
        <f ca="1">VLOOKUP(_xlfn.CONCAT(U327,V327,W327,VLOOKUP(X327&amp;Y327,TIME!$L$27:$O$34,4,FALSE),Y327),HIS_SALES!$A$2:$R$5093,18,FALSE)</f>
        <v>#N/A</v>
      </c>
      <c r="AH327" s="412" t="e">
        <f ca="1">IFERROR(IF(AND(V327=V326,W327=W326),0.5*(AB327+AB326)*AG327,(VLOOKUP(_xlfn.CONCAT(U327,V327,W327,X327,VLOOKUP(Z327,TIME!$S$28:$T$39,2,FALSE)),FC_DATA!$R$2:$AB$5000,MATCH("GS_I_M",FC_DATA!$R$1:$AB$1,0),FALSE)+FC_DATA!AB327)*0.5*FC_DATA!AG327),NA())</f>
        <v>#N/A</v>
      </c>
      <c r="AI327" s="491" t="e">
        <f ca="1">IF(V327="PARTNER.com",AH327,IF(AND(V327=V326,W327=W326),(1-AVERAGE(AD326,AD327))*AH327,(1-AVERAGE(AD327,VLOOKUP(_xlfn.CONCAT(U327,V327,W327,X327,M_BRAND_FC!$F$6),FC_DATA!$R$2:$AD$5000,MATCH("DISCOUNT_%_M",FC_DATA!$R$1:$AD$1,0),FALSE)))*AH327))</f>
        <v>#N/A</v>
      </c>
      <c r="AJ327" s="412" t="str">
        <f t="shared" ca="1" si="140"/>
        <v/>
      </c>
      <c r="AK327" s="413" t="str">
        <f>IFERROR(AE327/(Q_BRAND_FC!$T$24+1),"")</f>
        <v/>
      </c>
      <c r="AL327" s="88" t="str">
        <f t="shared" ca="1" si="141"/>
        <v/>
      </c>
      <c r="AM327" s="414" t="str">
        <f t="shared" ca="1" si="142"/>
        <v/>
      </c>
      <c r="AN327" s="58">
        <f>IFERROR(IF($V327="BRAND.com",HLOOKUP($X327&amp;$Z327,NWC_FC_NOOS!$C$4:$Q$23,MATCH(W327,NWC_FC_NOOS!$B$4:$B$23,0),FALSE),0),0)</f>
        <v>0</v>
      </c>
      <c r="AO327" s="57">
        <f>IFERROR(IF($V327="BRAND.com",HLOOKUP($X327&amp;$Z327,NWC_FC_NOOS!$T$4:$AH$23,MATCH(W327,NWC_FC_NOOS!$S$4:$S$23,0),FALSE),0),0)</f>
        <v>0</v>
      </c>
      <c r="AP327" s="57">
        <f>IFERROR(IF($V327="BRAND.com",HLOOKUP($X327&amp;$Z327,NWC_FC_NOOS!$C$50:$U$69,MATCH(W327,NWC_FC_NOOS!$B$50:$B$69,0),FALSE),0),0)</f>
        <v>0</v>
      </c>
      <c r="AQ327" s="58">
        <f>IFERROR(IF($V327="BRAND.com",HLOOKUP($X327&amp;$Z327,'NWC_FC_NON-NOOS'!$C$4:$Q$23,MATCH(W327,'NWC_FC_NON-NOOS'!$B$4:$B$23,0),FALSE),0),0)</f>
        <v>0</v>
      </c>
      <c r="AR327" s="57">
        <f>IFERROR(IF($V327="BRAND.com",HLOOKUP($X327&amp;$Z327,'NWC_FC_NON-NOOS'!$T$4:$AH$23,MATCH(W327,'NWC_FC_NON-NOOS'!$S$4:$S$23,0),FALSE),0),0)</f>
        <v>0</v>
      </c>
      <c r="AS327" s="57">
        <f>IFERROR(IF($V327="BRAND.com",HLOOKUP($X327&amp;$Z327,'NWC_FC_NON-NOOS'!$C$50:$U$69,MATCH(W327,'NWC_FC_NON-NOOS'!$B$50:$B$69,0),FALSE),0),0)</f>
        <v>0</v>
      </c>
      <c r="AT327" s="57">
        <f t="shared" si="144"/>
        <v>0</v>
      </c>
      <c r="AU327" s="57">
        <f t="shared" si="145"/>
        <v>0</v>
      </c>
      <c r="AV327" s="58">
        <f>IFERROR(IF($V327="BRAND.com",HLOOKUP($X327&amp;$Z327,PLANNING_FC!$BB$27:$BP$46,MATCH($W327,PLANNING_FC!$BA$27:$BA$46,0),FALSE),0),0)</f>
        <v>0</v>
      </c>
      <c r="AW327" s="58">
        <f>IFERROR(IF($V327="BRAND.com",HLOOKUP($X327&amp;$Z327,PLANNING_FC!$BB$4:$BP$23,MATCH($W327,PLANNING_FC!$BA$4:$BA$23,0),FALSE),0),0)</f>
        <v>0</v>
      </c>
      <c r="AX327" s="58">
        <f>IFERROR(IF($V327="BRAND.com",HLOOKUP($X327&amp;$Z327,PLANNING_FC!$T$27:$AH$46,MATCH($W327,PLANNING_FC!$B$27:$B$46,0),FALSE),0),0)</f>
        <v>0</v>
      </c>
      <c r="AY327" s="58">
        <f>IFERROR(IF($V327="BRAND.com",HLOOKUP($X327&amp;$Z327,PLANNING_FC!$T$4:$AH$23,MATCH($W327,PLANNING_FC!$B$4:$B$23,0),FALSE),0),0)</f>
        <v>0</v>
      </c>
      <c r="AZ327" s="58">
        <f>IFERROR(IF($V327="BRAND.com",HLOOKUP($X327&amp;$Z327,PLANNING_FC!$DA$27:$DO$46,MATCH($W327,PLANNING_FC!$CZ$27:$CZ$46,0),FALSE),0),0)</f>
        <v>0</v>
      </c>
      <c r="BA327" s="58">
        <f>IFERROR(IF($V327="BRAND.com",HLOOKUP($X327&amp;$Z327,PLANNING_FC!$DA$4:$DO$23,MATCH($W327,PLANNING_FC!$CZ$4:$CZ$23,0),FALSE),0),0)</f>
        <v>0</v>
      </c>
      <c r="BB327" s="883" t="str">
        <f>IF(V327="BRAND.com",IFERROR(HLOOKUP(X327&amp;Z327,PLANNING_FC!$AK$4:$AY$23,MATCH(W327,PLANNING_FC!$AJ$4:$AJ$23,0),FALSE)*1000,""),"")</f>
        <v/>
      </c>
      <c r="BC327" s="883" t="str">
        <f>IF(V327="BRAND.com",IFERROR(HLOOKUP(X327&amp;Z327,PLANNING_FC!$AK$27:$AY$46,MATCH(W327,PLANNING_FC!$AJ$27:$AJ$46,0),FALSE)*1000,""),"")</f>
        <v/>
      </c>
    </row>
    <row r="328" spans="1:55" x14ac:dyDescent="0.25">
      <c r="A328" s="509"/>
      <c r="B328" s="509"/>
      <c r="C328" s="509"/>
      <c r="D328" s="509"/>
      <c r="E328" s="509"/>
      <c r="F328" s="509"/>
      <c r="G328" s="509"/>
      <c r="H328" s="509"/>
      <c r="I328" s="512"/>
      <c r="J328" s="513"/>
      <c r="K328" s="879"/>
      <c r="L328" s="515"/>
      <c r="M328" s="516"/>
      <c r="N328" s="56">
        <f t="shared" si="126"/>
        <v>0</v>
      </c>
      <c r="O328" s="57">
        <f t="shared" si="127"/>
        <v>0</v>
      </c>
      <c r="P328" s="57">
        <f ca="1">IFERROR(IF(ISBLANK(H328),SUMIFS($AC:$AC,$V:$V,V328,$W:$W,W328,$X:$X,X328,$Y:$Y,Y328)*J328/(1-J328)*VLOOKUP(_xlfn.CONCAT(C328,D328,E328,TIME!$M$12,Z328),HIS_SALES!$B$2:$W$4859,20,FALSE),AC328*J328/(1-J328)),0)</f>
        <v>0</v>
      </c>
      <c r="Q328" s="541" t="str">
        <f t="shared" si="128"/>
        <v/>
      </c>
      <c r="R328" s="346" t="str">
        <f t="shared" si="129"/>
        <v>00000</v>
      </c>
      <c r="S328" s="344">
        <f t="shared" si="130"/>
        <v>0</v>
      </c>
      <c r="T328" s="345" t="str">
        <f t="shared" si="143"/>
        <v>000</v>
      </c>
      <c r="U328" s="345">
        <f t="shared" si="131"/>
        <v>0</v>
      </c>
      <c r="V328" s="345">
        <f t="shared" si="132"/>
        <v>0</v>
      </c>
      <c r="W328" s="345">
        <f t="shared" si="133"/>
        <v>0</v>
      </c>
      <c r="X328" s="345">
        <f t="shared" si="134"/>
        <v>0</v>
      </c>
      <c r="Y328" s="345">
        <f t="shared" si="135"/>
        <v>0</v>
      </c>
      <c r="Z328" s="345">
        <f>IF(Q328&lt;&gt;"",VLOOKUP(Y328,TIME!$R$21:$V$24,MATCH(FC_DATA!Q328,TIME!$R$20:$V$20,0),FALSE),H328)</f>
        <v>0</v>
      </c>
      <c r="AA328" s="345" t="str">
        <f>IFERROR(VLOOKUP(X328&amp;Z328,TIME!$A$12:$D$71,4,FALSE),"")</f>
        <v/>
      </c>
      <c r="AB328" s="592">
        <f t="shared" ca="1" si="136"/>
        <v>0</v>
      </c>
      <c r="AC328" s="593" t="e">
        <f ca="1">IF(ISBLANK(H328)=FALSE,IF(D328="BRAND.com",I328,IF(ISNA(VLOOKUP(_xlfn.CONCAT(X328,Z328),TIME!$M$40:$M$42,1,FALSE)),I328,VLOOKUP(_xlfn.CONCAT(D328,G328,H328),M_BUSAREA_FC!$AF$5:$AJ$10,5,FALSE)*HLOOKUP(_xlfn.CONCAT(F328,H328),ST_OVERVIEW!$G$99:$I$130,MATCH(_xlfn.CONCAT(D328,E328),ST_OVERVIEW!$F$99:$F$130,0),FALSE))),IF(D328="BRAND.com",VLOOKUP(_xlfn.CONCAT(C328,D328,E328,TIME!$F$1,Z328),HIS_SALES!$B$2:$V$4859,19,FALSE)*I328,VLOOKUP(_xlfn.CONCAT(D328,F328,G328),Q_BUSAREA_FC!$AE$5:$AI$12,5,FALSE)*HLOOKUP(_xlfn.CONCAT(FC_DATA!F328,FC_DATA!G328),LT_OVERVIEW!$I$99:$M$130,MATCH(_xlfn.CONCAT(D328,FC_DATA!E328),LT_OVERVIEW!$H$99:$H$130,0),FALSE)*IFERROR(VLOOKUP(_xlfn.CONCAT(C328,D328,E328,TIME!$F$1,Z328),HIS_SALES!$B$2:$V$4859,19,FALSE),0)))</f>
        <v>#N/A</v>
      </c>
      <c r="AD328" s="341">
        <f t="shared" ca="1" si="137"/>
        <v>0</v>
      </c>
      <c r="AE328" s="363" t="str">
        <f t="shared" si="138"/>
        <v/>
      </c>
      <c r="AF328" s="342" t="str">
        <f t="shared" si="139"/>
        <v/>
      </c>
      <c r="AG328" s="411" t="e">
        <f ca="1">VLOOKUP(_xlfn.CONCAT(U328,V328,W328,VLOOKUP(X328&amp;Y328,TIME!$L$27:$O$34,4,FALSE),Y328),HIS_SALES!$A$2:$R$5093,18,FALSE)</f>
        <v>#N/A</v>
      </c>
      <c r="AH328" s="412" t="e">
        <f ca="1">IFERROR(IF(AND(V328=V327,W328=W327),0.5*(AB328+AB327)*AG328,(VLOOKUP(_xlfn.CONCAT(U328,V328,W328,X328,VLOOKUP(Z328,TIME!$S$28:$T$39,2,FALSE)),FC_DATA!$R$2:$AB$5000,MATCH("GS_I_M",FC_DATA!$R$1:$AB$1,0),FALSE)+FC_DATA!AB328)*0.5*FC_DATA!AG328),NA())</f>
        <v>#N/A</v>
      </c>
      <c r="AI328" s="491" t="e">
        <f ca="1">IF(V328="PARTNER.com",AH328,IF(AND(V328=V327,W328=W327),(1-AVERAGE(AD327,AD328))*AH328,(1-AVERAGE(AD328,VLOOKUP(_xlfn.CONCAT(U328,V328,W328,X328,M_BRAND_FC!$F$6),FC_DATA!$R$2:$AD$5000,MATCH("DISCOUNT_%_M",FC_DATA!$R$1:$AD$1,0),FALSE)))*AH328))</f>
        <v>#N/A</v>
      </c>
      <c r="AJ328" s="412" t="str">
        <f t="shared" ca="1" si="140"/>
        <v/>
      </c>
      <c r="AK328" s="413" t="str">
        <f>IFERROR(AE328/(Q_BRAND_FC!$T$24+1),"")</f>
        <v/>
      </c>
      <c r="AL328" s="88" t="str">
        <f t="shared" ca="1" si="141"/>
        <v/>
      </c>
      <c r="AM328" s="414" t="str">
        <f t="shared" ca="1" si="142"/>
        <v/>
      </c>
      <c r="AN328" s="58">
        <f>IFERROR(IF($V328="BRAND.com",HLOOKUP($X328&amp;$Z328,NWC_FC_NOOS!$C$4:$Q$23,MATCH(W328,NWC_FC_NOOS!$B$4:$B$23,0),FALSE),0),0)</f>
        <v>0</v>
      </c>
      <c r="AO328" s="57">
        <f>IFERROR(IF($V328="BRAND.com",HLOOKUP($X328&amp;$Z328,NWC_FC_NOOS!$T$4:$AH$23,MATCH(W328,NWC_FC_NOOS!$S$4:$S$23,0),FALSE),0),0)</f>
        <v>0</v>
      </c>
      <c r="AP328" s="57">
        <f>IFERROR(IF($V328="BRAND.com",HLOOKUP($X328&amp;$Z328,NWC_FC_NOOS!$C$50:$U$69,MATCH(W328,NWC_FC_NOOS!$B$50:$B$69,0),FALSE),0),0)</f>
        <v>0</v>
      </c>
      <c r="AQ328" s="58">
        <f>IFERROR(IF($V328="BRAND.com",HLOOKUP($X328&amp;$Z328,'NWC_FC_NON-NOOS'!$C$4:$Q$23,MATCH(W328,'NWC_FC_NON-NOOS'!$B$4:$B$23,0),FALSE),0),0)</f>
        <v>0</v>
      </c>
      <c r="AR328" s="57">
        <f>IFERROR(IF($V328="BRAND.com",HLOOKUP($X328&amp;$Z328,'NWC_FC_NON-NOOS'!$T$4:$AH$23,MATCH(W328,'NWC_FC_NON-NOOS'!$S$4:$S$23,0),FALSE),0),0)</f>
        <v>0</v>
      </c>
      <c r="AS328" s="57">
        <f>IFERROR(IF($V328="BRAND.com",HLOOKUP($X328&amp;$Z328,'NWC_FC_NON-NOOS'!$C$50:$U$69,MATCH(W328,'NWC_FC_NON-NOOS'!$B$50:$B$69,0),FALSE),0),0)</f>
        <v>0</v>
      </c>
      <c r="AT328" s="57">
        <f t="shared" si="144"/>
        <v>0</v>
      </c>
      <c r="AU328" s="57">
        <f t="shared" si="145"/>
        <v>0</v>
      </c>
      <c r="AV328" s="58">
        <f>IFERROR(IF($V328="BRAND.com",HLOOKUP($X328&amp;$Z328,PLANNING_FC!$BB$27:$BP$46,MATCH($W328,PLANNING_FC!$BA$27:$BA$46,0),FALSE),0),0)</f>
        <v>0</v>
      </c>
      <c r="AW328" s="58">
        <f>IFERROR(IF($V328="BRAND.com",HLOOKUP($X328&amp;$Z328,PLANNING_FC!$BB$4:$BP$23,MATCH($W328,PLANNING_FC!$BA$4:$BA$23,0),FALSE),0),0)</f>
        <v>0</v>
      </c>
      <c r="AX328" s="58">
        <f>IFERROR(IF($V328="BRAND.com",HLOOKUP($X328&amp;$Z328,PLANNING_FC!$T$27:$AH$46,MATCH($W328,PLANNING_FC!$B$27:$B$46,0),FALSE),0),0)</f>
        <v>0</v>
      </c>
      <c r="AY328" s="58">
        <f>IFERROR(IF($V328="BRAND.com",HLOOKUP($X328&amp;$Z328,PLANNING_FC!$T$4:$AH$23,MATCH($W328,PLANNING_FC!$B$4:$B$23,0),FALSE),0),0)</f>
        <v>0</v>
      </c>
      <c r="AZ328" s="58">
        <f>IFERROR(IF($V328="BRAND.com",HLOOKUP($X328&amp;$Z328,PLANNING_FC!$DA$27:$DO$46,MATCH($W328,PLANNING_FC!$CZ$27:$CZ$46,0),FALSE),0),0)</f>
        <v>0</v>
      </c>
      <c r="BA328" s="58">
        <f>IFERROR(IF($V328="BRAND.com",HLOOKUP($X328&amp;$Z328,PLANNING_FC!$DA$4:$DO$23,MATCH($W328,PLANNING_FC!$CZ$4:$CZ$23,0),FALSE),0),0)</f>
        <v>0</v>
      </c>
      <c r="BB328" s="883" t="str">
        <f>IF(V328="BRAND.com",IFERROR(HLOOKUP(X328&amp;Z328,PLANNING_FC!$AK$4:$AY$23,MATCH(W328,PLANNING_FC!$AJ$4:$AJ$23,0),FALSE)*1000,""),"")</f>
        <v/>
      </c>
      <c r="BC328" s="883" t="str">
        <f>IF(V328="BRAND.com",IFERROR(HLOOKUP(X328&amp;Z328,PLANNING_FC!$AK$27:$AY$46,MATCH(W328,PLANNING_FC!$AJ$27:$AJ$46,0),FALSE)*1000,""),"")</f>
        <v/>
      </c>
    </row>
    <row r="329" spans="1:55" x14ac:dyDescent="0.25">
      <c r="A329" s="509"/>
      <c r="B329" s="509"/>
      <c r="C329" s="509"/>
      <c r="D329" s="509"/>
      <c r="E329" s="509"/>
      <c r="F329" s="509"/>
      <c r="G329" s="509"/>
      <c r="H329" s="509"/>
      <c r="I329" s="512"/>
      <c r="J329" s="513"/>
      <c r="K329" s="879"/>
      <c r="L329" s="515"/>
      <c r="M329" s="516"/>
      <c r="N329" s="56">
        <f t="shared" si="126"/>
        <v>0</v>
      </c>
      <c r="O329" s="57">
        <f t="shared" si="127"/>
        <v>0</v>
      </c>
      <c r="P329" s="57">
        <f ca="1">IFERROR(IF(ISBLANK(H329),SUMIFS($AC:$AC,$V:$V,V329,$W:$W,W329,$X:$X,X329,$Y:$Y,Y329)*J329/(1-J329)*VLOOKUP(_xlfn.CONCAT(C329,D329,E329,TIME!$M$12,Z329),HIS_SALES!$B$2:$W$4859,20,FALSE),AC329*J329/(1-J329)),0)</f>
        <v>0</v>
      </c>
      <c r="Q329" s="541" t="str">
        <f t="shared" si="128"/>
        <v/>
      </c>
      <c r="R329" s="346" t="str">
        <f t="shared" si="129"/>
        <v>00000</v>
      </c>
      <c r="S329" s="344">
        <f t="shared" si="130"/>
        <v>0</v>
      </c>
      <c r="T329" s="345" t="str">
        <f t="shared" si="143"/>
        <v>000</v>
      </c>
      <c r="U329" s="345">
        <f t="shared" si="131"/>
        <v>0</v>
      </c>
      <c r="V329" s="345">
        <f t="shared" si="132"/>
        <v>0</v>
      </c>
      <c r="W329" s="345">
        <f t="shared" si="133"/>
        <v>0</v>
      </c>
      <c r="X329" s="345">
        <f t="shared" si="134"/>
        <v>0</v>
      </c>
      <c r="Y329" s="345">
        <f t="shared" si="135"/>
        <v>0</v>
      </c>
      <c r="Z329" s="345">
        <f>IF(Q329&lt;&gt;"",VLOOKUP(Y329,TIME!$R$21:$V$24,MATCH(FC_DATA!Q329,TIME!$R$20:$V$20,0),FALSE),H329)</f>
        <v>0</v>
      </c>
      <c r="AA329" s="345" t="str">
        <f>IFERROR(VLOOKUP(X329&amp;Z329,TIME!$A$12:$D$71,4,FALSE),"")</f>
        <v/>
      </c>
      <c r="AB329" s="592">
        <f t="shared" ca="1" si="136"/>
        <v>0</v>
      </c>
      <c r="AC329" s="593" t="e">
        <f ca="1">IF(ISBLANK(H329)=FALSE,IF(D329="BRAND.com",I329,IF(ISNA(VLOOKUP(_xlfn.CONCAT(X329,Z329),TIME!$M$40:$M$42,1,FALSE)),I329,VLOOKUP(_xlfn.CONCAT(D329,G329,H329),M_BUSAREA_FC!$AF$5:$AJ$10,5,FALSE)*HLOOKUP(_xlfn.CONCAT(F329,H329),ST_OVERVIEW!$G$99:$I$130,MATCH(_xlfn.CONCAT(D329,E329),ST_OVERVIEW!$F$99:$F$130,0),FALSE))),IF(D329="BRAND.com",VLOOKUP(_xlfn.CONCAT(C329,D329,E329,TIME!$F$1,Z329),HIS_SALES!$B$2:$V$4859,19,FALSE)*I329,VLOOKUP(_xlfn.CONCAT(D329,F329,G329),Q_BUSAREA_FC!$AE$5:$AI$12,5,FALSE)*HLOOKUP(_xlfn.CONCAT(FC_DATA!F329,FC_DATA!G329),LT_OVERVIEW!$I$99:$M$130,MATCH(_xlfn.CONCAT(D329,FC_DATA!E329),LT_OVERVIEW!$H$99:$H$130,0),FALSE)*IFERROR(VLOOKUP(_xlfn.CONCAT(C329,D329,E329,TIME!$F$1,Z329),HIS_SALES!$B$2:$V$4859,19,FALSE),0)))</f>
        <v>#N/A</v>
      </c>
      <c r="AD329" s="341">
        <f t="shared" ca="1" si="137"/>
        <v>0</v>
      </c>
      <c r="AE329" s="363" t="str">
        <f t="shared" si="138"/>
        <v/>
      </c>
      <c r="AF329" s="342" t="str">
        <f t="shared" si="139"/>
        <v/>
      </c>
      <c r="AG329" s="411" t="e">
        <f ca="1">VLOOKUP(_xlfn.CONCAT(U329,V329,W329,VLOOKUP(X329&amp;Y329,TIME!$L$27:$O$34,4,FALSE),Y329),HIS_SALES!$A$2:$R$5093,18,FALSE)</f>
        <v>#N/A</v>
      </c>
      <c r="AH329" s="412" t="e">
        <f ca="1">IFERROR(IF(AND(V329=V328,W329=W328),0.5*(AB329+AB328)*AG329,(VLOOKUP(_xlfn.CONCAT(U329,V329,W329,X329,VLOOKUP(Z329,TIME!$S$28:$T$39,2,FALSE)),FC_DATA!$R$2:$AB$5000,MATCH("GS_I_M",FC_DATA!$R$1:$AB$1,0),FALSE)+FC_DATA!AB329)*0.5*FC_DATA!AG329),NA())</f>
        <v>#N/A</v>
      </c>
      <c r="AI329" s="491" t="e">
        <f ca="1">IF(V329="PARTNER.com",AH329,IF(AND(V329=V328,W329=W328),(1-AVERAGE(AD328,AD329))*AH329,(1-AVERAGE(AD329,VLOOKUP(_xlfn.CONCAT(U329,V329,W329,X329,M_BRAND_FC!$F$6),FC_DATA!$R$2:$AD$5000,MATCH("DISCOUNT_%_M",FC_DATA!$R$1:$AD$1,0),FALSE)))*AH329))</f>
        <v>#N/A</v>
      </c>
      <c r="AJ329" s="412" t="str">
        <f t="shared" ca="1" si="140"/>
        <v/>
      </c>
      <c r="AK329" s="413" t="str">
        <f>IFERROR(AE329/(Q_BRAND_FC!$T$24+1),"")</f>
        <v/>
      </c>
      <c r="AL329" s="88" t="str">
        <f t="shared" ca="1" si="141"/>
        <v/>
      </c>
      <c r="AM329" s="414" t="str">
        <f t="shared" ca="1" si="142"/>
        <v/>
      </c>
      <c r="AN329" s="58">
        <f>IFERROR(IF($V329="BRAND.com",HLOOKUP($X329&amp;$Z329,NWC_FC_NOOS!$C$4:$Q$23,MATCH(W329,NWC_FC_NOOS!$B$4:$B$23,0),FALSE),0),0)</f>
        <v>0</v>
      </c>
      <c r="AO329" s="57">
        <f>IFERROR(IF($V329="BRAND.com",HLOOKUP($X329&amp;$Z329,NWC_FC_NOOS!$T$4:$AH$23,MATCH(W329,NWC_FC_NOOS!$S$4:$S$23,0),FALSE),0),0)</f>
        <v>0</v>
      </c>
      <c r="AP329" s="57">
        <f>IFERROR(IF($V329="BRAND.com",HLOOKUP($X329&amp;$Z329,NWC_FC_NOOS!$C$50:$U$69,MATCH(W329,NWC_FC_NOOS!$B$50:$B$69,0),FALSE),0),0)</f>
        <v>0</v>
      </c>
      <c r="AQ329" s="58">
        <f>IFERROR(IF($V329="BRAND.com",HLOOKUP($X329&amp;$Z329,'NWC_FC_NON-NOOS'!$C$4:$Q$23,MATCH(W329,'NWC_FC_NON-NOOS'!$B$4:$B$23,0),FALSE),0),0)</f>
        <v>0</v>
      </c>
      <c r="AR329" s="57">
        <f>IFERROR(IF($V329="BRAND.com",HLOOKUP($X329&amp;$Z329,'NWC_FC_NON-NOOS'!$T$4:$AH$23,MATCH(W329,'NWC_FC_NON-NOOS'!$S$4:$S$23,0),FALSE),0),0)</f>
        <v>0</v>
      </c>
      <c r="AS329" s="57">
        <f>IFERROR(IF($V329="BRAND.com",HLOOKUP($X329&amp;$Z329,'NWC_FC_NON-NOOS'!$C$50:$U$69,MATCH(W329,'NWC_FC_NON-NOOS'!$B$50:$B$69,0),FALSE),0),0)</f>
        <v>0</v>
      </c>
      <c r="AT329" s="57">
        <f t="shared" si="144"/>
        <v>0</v>
      </c>
      <c r="AU329" s="57">
        <f t="shared" si="145"/>
        <v>0</v>
      </c>
      <c r="AV329" s="58">
        <f>IFERROR(IF($V329="BRAND.com",HLOOKUP($X329&amp;$Z329,PLANNING_FC!$BB$27:$BP$46,MATCH($W329,PLANNING_FC!$BA$27:$BA$46,0),FALSE),0),0)</f>
        <v>0</v>
      </c>
      <c r="AW329" s="58">
        <f>IFERROR(IF($V329="BRAND.com",HLOOKUP($X329&amp;$Z329,PLANNING_FC!$BB$4:$BP$23,MATCH($W329,PLANNING_FC!$BA$4:$BA$23,0),FALSE),0),0)</f>
        <v>0</v>
      </c>
      <c r="AX329" s="58">
        <f>IFERROR(IF($V329="BRAND.com",HLOOKUP($X329&amp;$Z329,PLANNING_FC!$T$27:$AH$46,MATCH($W329,PLANNING_FC!$B$27:$B$46,0),FALSE),0),0)</f>
        <v>0</v>
      </c>
      <c r="AY329" s="58">
        <f>IFERROR(IF($V329="BRAND.com",HLOOKUP($X329&amp;$Z329,PLANNING_FC!$T$4:$AH$23,MATCH($W329,PLANNING_FC!$B$4:$B$23,0),FALSE),0),0)</f>
        <v>0</v>
      </c>
      <c r="AZ329" s="58">
        <f>IFERROR(IF($V329="BRAND.com",HLOOKUP($X329&amp;$Z329,PLANNING_FC!$DA$27:$DO$46,MATCH($W329,PLANNING_FC!$CZ$27:$CZ$46,0),FALSE),0),0)</f>
        <v>0</v>
      </c>
      <c r="BA329" s="58">
        <f>IFERROR(IF($V329="BRAND.com",HLOOKUP($X329&amp;$Z329,PLANNING_FC!$DA$4:$DO$23,MATCH($W329,PLANNING_FC!$CZ$4:$CZ$23,0),FALSE),0),0)</f>
        <v>0</v>
      </c>
      <c r="BB329" s="883" t="str">
        <f>IF(V329="BRAND.com",IFERROR(HLOOKUP(X329&amp;Z329,PLANNING_FC!$AK$4:$AY$23,MATCH(W329,PLANNING_FC!$AJ$4:$AJ$23,0),FALSE)*1000,""),"")</f>
        <v/>
      </c>
      <c r="BC329" s="883" t="str">
        <f>IF(V329="BRAND.com",IFERROR(HLOOKUP(X329&amp;Z329,PLANNING_FC!$AK$27:$AY$46,MATCH(W329,PLANNING_FC!$AJ$27:$AJ$46,0),FALSE)*1000,""),"")</f>
        <v/>
      </c>
    </row>
    <row r="330" spans="1:55" x14ac:dyDescent="0.25">
      <c r="A330" s="509"/>
      <c r="B330" s="509"/>
      <c r="C330" s="509"/>
      <c r="D330" s="509"/>
      <c r="E330" s="509"/>
      <c r="F330" s="509"/>
      <c r="G330" s="509"/>
      <c r="H330" s="509"/>
      <c r="I330" s="512"/>
      <c r="J330" s="513"/>
      <c r="K330" s="879"/>
      <c r="L330" s="515"/>
      <c r="M330" s="516"/>
      <c r="N330" s="56">
        <f t="shared" si="126"/>
        <v>0</v>
      </c>
      <c r="O330" s="57">
        <f t="shared" si="127"/>
        <v>0</v>
      </c>
      <c r="P330" s="57">
        <f ca="1">IFERROR(IF(ISBLANK(H330),SUMIFS($AC:$AC,$V:$V,V330,$W:$W,W330,$X:$X,X330,$Y:$Y,Y330)*J330/(1-J330)*VLOOKUP(_xlfn.CONCAT(C330,D330,E330,TIME!$M$12,Z330),HIS_SALES!$B$2:$W$4859,20,FALSE),AC330*J330/(1-J330)),0)</f>
        <v>0</v>
      </c>
      <c r="Q330" s="541" t="str">
        <f t="shared" si="128"/>
        <v/>
      </c>
      <c r="R330" s="346" t="str">
        <f t="shared" si="129"/>
        <v>00000</v>
      </c>
      <c r="S330" s="344">
        <f t="shared" si="130"/>
        <v>0</v>
      </c>
      <c r="T330" s="345" t="str">
        <f t="shared" si="143"/>
        <v>000</v>
      </c>
      <c r="U330" s="345">
        <f t="shared" si="131"/>
        <v>0</v>
      </c>
      <c r="V330" s="345">
        <f t="shared" si="132"/>
        <v>0</v>
      </c>
      <c r="W330" s="345">
        <f t="shared" si="133"/>
        <v>0</v>
      </c>
      <c r="X330" s="345">
        <f t="shared" si="134"/>
        <v>0</v>
      </c>
      <c r="Y330" s="345">
        <f t="shared" si="135"/>
        <v>0</v>
      </c>
      <c r="Z330" s="345">
        <f>IF(Q330&lt;&gt;"",VLOOKUP(Y330,TIME!$R$21:$V$24,MATCH(FC_DATA!Q330,TIME!$R$20:$V$20,0),FALSE),H330)</f>
        <v>0</v>
      </c>
      <c r="AA330" s="345" t="str">
        <f>IFERROR(VLOOKUP(X330&amp;Z330,TIME!$A$12:$D$71,4,FALSE),"")</f>
        <v/>
      </c>
      <c r="AB330" s="592">
        <f t="shared" ca="1" si="136"/>
        <v>0</v>
      </c>
      <c r="AC330" s="593" t="e">
        <f ca="1">IF(ISBLANK(H330)=FALSE,IF(D330="BRAND.com",I330,IF(ISNA(VLOOKUP(_xlfn.CONCAT(X330,Z330),TIME!$M$40:$M$42,1,FALSE)),I330,VLOOKUP(_xlfn.CONCAT(D330,G330,H330),M_BUSAREA_FC!$AF$5:$AJ$10,5,FALSE)*HLOOKUP(_xlfn.CONCAT(F330,H330),ST_OVERVIEW!$G$99:$I$130,MATCH(_xlfn.CONCAT(D330,E330),ST_OVERVIEW!$F$99:$F$130,0),FALSE))),IF(D330="BRAND.com",VLOOKUP(_xlfn.CONCAT(C330,D330,E330,TIME!$F$1,Z330),HIS_SALES!$B$2:$V$4859,19,FALSE)*I330,VLOOKUP(_xlfn.CONCAT(D330,F330,G330),Q_BUSAREA_FC!$AE$5:$AI$12,5,FALSE)*HLOOKUP(_xlfn.CONCAT(FC_DATA!F330,FC_DATA!G330),LT_OVERVIEW!$I$99:$M$130,MATCH(_xlfn.CONCAT(D330,FC_DATA!E330),LT_OVERVIEW!$H$99:$H$130,0),FALSE)*IFERROR(VLOOKUP(_xlfn.CONCAT(C330,D330,E330,TIME!$F$1,Z330),HIS_SALES!$B$2:$V$4859,19,FALSE),0)))</f>
        <v>#N/A</v>
      </c>
      <c r="AD330" s="341">
        <f t="shared" ca="1" si="137"/>
        <v>0</v>
      </c>
      <c r="AE330" s="363" t="str">
        <f t="shared" si="138"/>
        <v/>
      </c>
      <c r="AF330" s="342" t="str">
        <f t="shared" si="139"/>
        <v/>
      </c>
      <c r="AG330" s="411" t="e">
        <f ca="1">VLOOKUP(_xlfn.CONCAT(U330,V330,W330,VLOOKUP(X330&amp;Y330,TIME!$L$27:$O$34,4,FALSE),Y330),HIS_SALES!$A$2:$R$5093,18,FALSE)</f>
        <v>#N/A</v>
      </c>
      <c r="AH330" s="412" t="e">
        <f ca="1">IFERROR(IF(AND(V330=V329,W330=W329),0.5*(AB330+AB329)*AG330,(VLOOKUP(_xlfn.CONCAT(U330,V330,W330,X330,VLOOKUP(Z330,TIME!$S$28:$T$39,2,FALSE)),FC_DATA!$R$2:$AB$5000,MATCH("GS_I_M",FC_DATA!$R$1:$AB$1,0),FALSE)+FC_DATA!AB330)*0.5*FC_DATA!AG330),NA())</f>
        <v>#N/A</v>
      </c>
      <c r="AI330" s="491" t="e">
        <f ca="1">IF(V330="PARTNER.com",AH330,IF(AND(V330=V329,W330=W329),(1-AVERAGE(AD329,AD330))*AH330,(1-AVERAGE(AD330,VLOOKUP(_xlfn.CONCAT(U330,V330,W330,X330,M_BRAND_FC!$F$6),FC_DATA!$R$2:$AD$5000,MATCH("DISCOUNT_%_M",FC_DATA!$R$1:$AD$1,0),FALSE)))*AH330))</f>
        <v>#N/A</v>
      </c>
      <c r="AJ330" s="412" t="str">
        <f t="shared" ca="1" si="140"/>
        <v/>
      </c>
      <c r="AK330" s="413" t="str">
        <f>IFERROR(AE330/(Q_BRAND_FC!$T$24+1),"")</f>
        <v/>
      </c>
      <c r="AL330" s="88" t="str">
        <f t="shared" ca="1" si="141"/>
        <v/>
      </c>
      <c r="AM330" s="414" t="str">
        <f t="shared" ca="1" si="142"/>
        <v/>
      </c>
      <c r="AN330" s="58">
        <f>IFERROR(IF($V330="BRAND.com",HLOOKUP($X330&amp;$Z330,NWC_FC_NOOS!$C$4:$Q$23,MATCH(W330,NWC_FC_NOOS!$B$4:$B$23,0),FALSE),0),0)</f>
        <v>0</v>
      </c>
      <c r="AO330" s="57">
        <f>IFERROR(IF($V330="BRAND.com",HLOOKUP($X330&amp;$Z330,NWC_FC_NOOS!$T$4:$AH$23,MATCH(W330,NWC_FC_NOOS!$S$4:$S$23,0),FALSE),0),0)</f>
        <v>0</v>
      </c>
      <c r="AP330" s="57">
        <f>IFERROR(IF($V330="BRAND.com",HLOOKUP($X330&amp;$Z330,NWC_FC_NOOS!$C$50:$U$69,MATCH(W330,NWC_FC_NOOS!$B$50:$B$69,0),FALSE),0),0)</f>
        <v>0</v>
      </c>
      <c r="AQ330" s="58">
        <f>IFERROR(IF($V330="BRAND.com",HLOOKUP($X330&amp;$Z330,'NWC_FC_NON-NOOS'!$C$4:$Q$23,MATCH(W330,'NWC_FC_NON-NOOS'!$B$4:$B$23,0),FALSE),0),0)</f>
        <v>0</v>
      </c>
      <c r="AR330" s="57">
        <f>IFERROR(IF($V330="BRAND.com",HLOOKUP($X330&amp;$Z330,'NWC_FC_NON-NOOS'!$T$4:$AH$23,MATCH(W330,'NWC_FC_NON-NOOS'!$S$4:$S$23,0),FALSE),0),0)</f>
        <v>0</v>
      </c>
      <c r="AS330" s="57">
        <f>IFERROR(IF($V330="BRAND.com",HLOOKUP($X330&amp;$Z330,'NWC_FC_NON-NOOS'!$C$50:$U$69,MATCH(W330,'NWC_FC_NON-NOOS'!$B$50:$B$69,0),FALSE),0),0)</f>
        <v>0</v>
      </c>
      <c r="AT330" s="57">
        <f t="shared" si="144"/>
        <v>0</v>
      </c>
      <c r="AU330" s="57">
        <f t="shared" si="145"/>
        <v>0</v>
      </c>
      <c r="AV330" s="58">
        <f>IFERROR(IF($V330="BRAND.com",HLOOKUP($X330&amp;$Z330,PLANNING_FC!$BB$27:$BP$46,MATCH($W330,PLANNING_FC!$BA$27:$BA$46,0),FALSE),0),0)</f>
        <v>0</v>
      </c>
      <c r="AW330" s="58">
        <f>IFERROR(IF($V330="BRAND.com",HLOOKUP($X330&amp;$Z330,PLANNING_FC!$BB$4:$BP$23,MATCH($W330,PLANNING_FC!$BA$4:$BA$23,0),FALSE),0),0)</f>
        <v>0</v>
      </c>
      <c r="AX330" s="58">
        <f>IFERROR(IF($V330="BRAND.com",HLOOKUP($X330&amp;$Z330,PLANNING_FC!$T$27:$AH$46,MATCH($W330,PLANNING_FC!$B$27:$B$46,0),FALSE),0),0)</f>
        <v>0</v>
      </c>
      <c r="AY330" s="58">
        <f>IFERROR(IF($V330="BRAND.com",HLOOKUP($X330&amp;$Z330,PLANNING_FC!$T$4:$AH$23,MATCH($W330,PLANNING_FC!$B$4:$B$23,0),FALSE),0),0)</f>
        <v>0</v>
      </c>
      <c r="AZ330" s="58">
        <f>IFERROR(IF($V330="BRAND.com",HLOOKUP($X330&amp;$Z330,PLANNING_FC!$DA$27:$DO$46,MATCH($W330,PLANNING_FC!$CZ$27:$CZ$46,0),FALSE),0),0)</f>
        <v>0</v>
      </c>
      <c r="BA330" s="58">
        <f>IFERROR(IF($V330="BRAND.com",HLOOKUP($X330&amp;$Z330,PLANNING_FC!$DA$4:$DO$23,MATCH($W330,PLANNING_FC!$CZ$4:$CZ$23,0),FALSE),0),0)</f>
        <v>0</v>
      </c>
      <c r="BB330" s="883" t="str">
        <f>IF(V330="BRAND.com",IFERROR(HLOOKUP(X330&amp;Z330,PLANNING_FC!$AK$4:$AY$23,MATCH(W330,PLANNING_FC!$AJ$4:$AJ$23,0),FALSE)*1000,""),"")</f>
        <v/>
      </c>
      <c r="BC330" s="883" t="str">
        <f>IF(V330="BRAND.com",IFERROR(HLOOKUP(X330&amp;Z330,PLANNING_FC!$AK$27:$AY$46,MATCH(W330,PLANNING_FC!$AJ$27:$AJ$46,0),FALSE)*1000,""),"")</f>
        <v/>
      </c>
    </row>
    <row r="331" spans="1:55" x14ac:dyDescent="0.25">
      <c r="A331" s="509"/>
      <c r="B331" s="509"/>
      <c r="C331" s="509"/>
      <c r="D331" s="509"/>
      <c r="E331" s="509"/>
      <c r="F331" s="509"/>
      <c r="G331" s="509"/>
      <c r="H331" s="509"/>
      <c r="I331" s="512"/>
      <c r="J331" s="513"/>
      <c r="K331" s="879"/>
      <c r="L331" s="515"/>
      <c r="M331" s="516"/>
      <c r="N331" s="56">
        <f t="shared" si="126"/>
        <v>0</v>
      </c>
      <c r="O331" s="57">
        <f t="shared" si="127"/>
        <v>0</v>
      </c>
      <c r="P331" s="57">
        <f ca="1">IFERROR(IF(ISBLANK(H331),SUMIFS($AC:$AC,$V:$V,V331,$W:$W,W331,$X:$X,X331,$Y:$Y,Y331)*J331/(1-J331)*VLOOKUP(_xlfn.CONCAT(C331,D331,E331,TIME!$M$12,Z331),HIS_SALES!$B$2:$W$4859,20,FALSE),AC331*J331/(1-J331)),0)</f>
        <v>0</v>
      </c>
      <c r="Q331" s="541" t="str">
        <f t="shared" si="128"/>
        <v/>
      </c>
      <c r="R331" s="346" t="str">
        <f t="shared" si="129"/>
        <v>00000</v>
      </c>
      <c r="S331" s="344">
        <f t="shared" si="130"/>
        <v>0</v>
      </c>
      <c r="T331" s="345" t="str">
        <f t="shared" si="143"/>
        <v>000</v>
      </c>
      <c r="U331" s="345">
        <f t="shared" si="131"/>
        <v>0</v>
      </c>
      <c r="V331" s="345">
        <f t="shared" si="132"/>
        <v>0</v>
      </c>
      <c r="W331" s="345">
        <f t="shared" si="133"/>
        <v>0</v>
      </c>
      <c r="X331" s="345">
        <f t="shared" si="134"/>
        <v>0</v>
      </c>
      <c r="Y331" s="345">
        <f t="shared" si="135"/>
        <v>0</v>
      </c>
      <c r="Z331" s="345">
        <f>IF(Q331&lt;&gt;"",VLOOKUP(Y331,TIME!$R$21:$V$24,MATCH(FC_DATA!Q331,TIME!$R$20:$V$20,0),FALSE),H331)</f>
        <v>0</v>
      </c>
      <c r="AA331" s="345" t="str">
        <f>IFERROR(VLOOKUP(X331&amp;Z331,TIME!$A$12:$D$71,4,FALSE),"")</f>
        <v/>
      </c>
      <c r="AB331" s="592">
        <f t="shared" ca="1" si="136"/>
        <v>0</v>
      </c>
      <c r="AC331" s="593" t="e">
        <f ca="1">IF(ISBLANK(H331)=FALSE,IF(D331="BRAND.com",I331,IF(ISNA(VLOOKUP(_xlfn.CONCAT(X331,Z331),TIME!$M$40:$M$42,1,FALSE)),I331,VLOOKUP(_xlfn.CONCAT(D331,G331,H331),M_BUSAREA_FC!$AF$5:$AJ$10,5,FALSE)*HLOOKUP(_xlfn.CONCAT(F331,H331),ST_OVERVIEW!$G$99:$I$130,MATCH(_xlfn.CONCAT(D331,E331),ST_OVERVIEW!$F$99:$F$130,0),FALSE))),IF(D331="BRAND.com",VLOOKUP(_xlfn.CONCAT(C331,D331,E331,TIME!$F$1,Z331),HIS_SALES!$B$2:$V$4859,19,FALSE)*I331,VLOOKUP(_xlfn.CONCAT(D331,F331,G331),Q_BUSAREA_FC!$AE$5:$AI$12,5,FALSE)*HLOOKUP(_xlfn.CONCAT(FC_DATA!F331,FC_DATA!G331),LT_OVERVIEW!$I$99:$M$130,MATCH(_xlfn.CONCAT(D331,FC_DATA!E331),LT_OVERVIEW!$H$99:$H$130,0),FALSE)*IFERROR(VLOOKUP(_xlfn.CONCAT(C331,D331,E331,TIME!$F$1,Z331),HIS_SALES!$B$2:$V$4859,19,FALSE),0)))</f>
        <v>#N/A</v>
      </c>
      <c r="AD331" s="341">
        <f t="shared" ca="1" si="137"/>
        <v>0</v>
      </c>
      <c r="AE331" s="363" t="str">
        <f t="shared" si="138"/>
        <v/>
      </c>
      <c r="AF331" s="342" t="str">
        <f t="shared" si="139"/>
        <v/>
      </c>
      <c r="AG331" s="411" t="e">
        <f ca="1">VLOOKUP(_xlfn.CONCAT(U331,V331,W331,VLOOKUP(X331&amp;Y331,TIME!$L$27:$O$34,4,FALSE),Y331),HIS_SALES!$A$2:$R$5093,18,FALSE)</f>
        <v>#N/A</v>
      </c>
      <c r="AH331" s="412" t="e">
        <f ca="1">IFERROR(IF(AND(V331=V330,W331=W330),0.5*(AB331+AB330)*AG331,(VLOOKUP(_xlfn.CONCAT(U331,V331,W331,X331,VLOOKUP(Z331,TIME!$S$28:$T$39,2,FALSE)),FC_DATA!$R$2:$AB$5000,MATCH("GS_I_M",FC_DATA!$R$1:$AB$1,0),FALSE)+FC_DATA!AB331)*0.5*FC_DATA!AG331),NA())</f>
        <v>#N/A</v>
      </c>
      <c r="AI331" s="491" t="e">
        <f ca="1">IF(V331="PARTNER.com",AH331,IF(AND(V331=V330,W331=W330),(1-AVERAGE(AD330,AD331))*AH331,(1-AVERAGE(AD331,VLOOKUP(_xlfn.CONCAT(U331,V331,W331,X331,M_BRAND_FC!$F$6),FC_DATA!$R$2:$AD$5000,MATCH("DISCOUNT_%_M",FC_DATA!$R$1:$AD$1,0),FALSE)))*AH331))</f>
        <v>#N/A</v>
      </c>
      <c r="AJ331" s="412" t="str">
        <f t="shared" ca="1" si="140"/>
        <v/>
      </c>
      <c r="AK331" s="413" t="str">
        <f>IFERROR(AE331/(Q_BRAND_FC!$T$24+1),"")</f>
        <v/>
      </c>
      <c r="AL331" s="88" t="str">
        <f t="shared" ca="1" si="141"/>
        <v/>
      </c>
      <c r="AM331" s="414" t="str">
        <f t="shared" ca="1" si="142"/>
        <v/>
      </c>
      <c r="AN331" s="58">
        <f>IFERROR(IF($V331="BRAND.com",HLOOKUP($X331&amp;$Z331,NWC_FC_NOOS!$C$4:$Q$23,MATCH(W331,NWC_FC_NOOS!$B$4:$B$23,0),FALSE),0),0)</f>
        <v>0</v>
      </c>
      <c r="AO331" s="57">
        <f>IFERROR(IF($V331="BRAND.com",HLOOKUP($X331&amp;$Z331,NWC_FC_NOOS!$T$4:$AH$23,MATCH(W331,NWC_FC_NOOS!$S$4:$S$23,0),FALSE),0),0)</f>
        <v>0</v>
      </c>
      <c r="AP331" s="57">
        <f>IFERROR(IF($V331="BRAND.com",HLOOKUP($X331&amp;$Z331,NWC_FC_NOOS!$C$50:$U$69,MATCH(W331,NWC_FC_NOOS!$B$50:$B$69,0),FALSE),0),0)</f>
        <v>0</v>
      </c>
      <c r="AQ331" s="58">
        <f>IFERROR(IF($V331="BRAND.com",HLOOKUP($X331&amp;$Z331,'NWC_FC_NON-NOOS'!$C$4:$Q$23,MATCH(W331,'NWC_FC_NON-NOOS'!$B$4:$B$23,0),FALSE),0),0)</f>
        <v>0</v>
      </c>
      <c r="AR331" s="57">
        <f>IFERROR(IF($V331="BRAND.com",HLOOKUP($X331&amp;$Z331,'NWC_FC_NON-NOOS'!$T$4:$AH$23,MATCH(W331,'NWC_FC_NON-NOOS'!$S$4:$S$23,0),FALSE),0),0)</f>
        <v>0</v>
      </c>
      <c r="AS331" s="57">
        <f>IFERROR(IF($V331="BRAND.com",HLOOKUP($X331&amp;$Z331,'NWC_FC_NON-NOOS'!$C$50:$U$69,MATCH(W331,'NWC_FC_NON-NOOS'!$B$50:$B$69,0),FALSE),0),0)</f>
        <v>0</v>
      </c>
      <c r="AT331" s="57">
        <f t="shared" si="144"/>
        <v>0</v>
      </c>
      <c r="AU331" s="57">
        <f t="shared" si="145"/>
        <v>0</v>
      </c>
      <c r="AV331" s="58">
        <f>IFERROR(IF($V331="BRAND.com",HLOOKUP($X331&amp;$Z331,PLANNING_FC!$BB$27:$BP$46,MATCH($W331,PLANNING_FC!$BA$27:$BA$46,0),FALSE),0),0)</f>
        <v>0</v>
      </c>
      <c r="AW331" s="58">
        <f>IFERROR(IF($V331="BRAND.com",HLOOKUP($X331&amp;$Z331,PLANNING_FC!$BB$4:$BP$23,MATCH($W331,PLANNING_FC!$BA$4:$BA$23,0),FALSE),0),0)</f>
        <v>0</v>
      </c>
      <c r="AX331" s="58">
        <f>IFERROR(IF($V331="BRAND.com",HLOOKUP($X331&amp;$Z331,PLANNING_FC!$T$27:$AH$46,MATCH($W331,PLANNING_FC!$B$27:$B$46,0),FALSE),0),0)</f>
        <v>0</v>
      </c>
      <c r="AY331" s="58">
        <f>IFERROR(IF($V331="BRAND.com",HLOOKUP($X331&amp;$Z331,PLANNING_FC!$T$4:$AH$23,MATCH($W331,PLANNING_FC!$B$4:$B$23,0),FALSE),0),0)</f>
        <v>0</v>
      </c>
      <c r="AZ331" s="58">
        <f>IFERROR(IF($V331="BRAND.com",HLOOKUP($X331&amp;$Z331,PLANNING_FC!$DA$27:$DO$46,MATCH($W331,PLANNING_FC!$CZ$27:$CZ$46,0),FALSE),0),0)</f>
        <v>0</v>
      </c>
      <c r="BA331" s="58">
        <f>IFERROR(IF($V331="BRAND.com",HLOOKUP($X331&amp;$Z331,PLANNING_FC!$DA$4:$DO$23,MATCH($W331,PLANNING_FC!$CZ$4:$CZ$23,0),FALSE),0),0)</f>
        <v>0</v>
      </c>
      <c r="BB331" s="883" t="str">
        <f>IF(V331="BRAND.com",IFERROR(HLOOKUP(X331&amp;Z331,PLANNING_FC!$AK$4:$AY$23,MATCH(W331,PLANNING_FC!$AJ$4:$AJ$23,0),FALSE)*1000,""),"")</f>
        <v/>
      </c>
      <c r="BC331" s="883" t="str">
        <f>IF(V331="BRAND.com",IFERROR(HLOOKUP(X331&amp;Z331,PLANNING_FC!$AK$27:$AY$46,MATCH(W331,PLANNING_FC!$AJ$27:$AJ$46,0),FALSE)*1000,""),"")</f>
        <v/>
      </c>
    </row>
    <row r="332" spans="1:55" x14ac:dyDescent="0.25">
      <c r="A332" s="509"/>
      <c r="B332" s="509"/>
      <c r="C332" s="509"/>
      <c r="D332" s="509"/>
      <c r="E332" s="509"/>
      <c r="F332" s="509"/>
      <c r="G332" s="509"/>
      <c r="H332" s="509"/>
      <c r="I332" s="512"/>
      <c r="J332" s="513"/>
      <c r="K332" s="879"/>
      <c r="L332" s="515"/>
      <c r="M332" s="516"/>
      <c r="N332" s="56">
        <f t="shared" si="126"/>
        <v>0</v>
      </c>
      <c r="O332" s="57">
        <f t="shared" si="127"/>
        <v>0</v>
      </c>
      <c r="P332" s="57">
        <f ca="1">IFERROR(IF(ISBLANK(H332),SUMIFS($AC:$AC,$V:$V,V332,$W:$W,W332,$X:$X,X332,$Y:$Y,Y332)*J332/(1-J332)*VLOOKUP(_xlfn.CONCAT(C332,D332,E332,TIME!$M$12,Z332),HIS_SALES!$B$2:$W$4859,20,FALSE),AC332*J332/(1-J332)),0)</f>
        <v>0</v>
      </c>
      <c r="Q332" s="541" t="str">
        <f t="shared" si="128"/>
        <v/>
      </c>
      <c r="R332" s="346" t="str">
        <f t="shared" si="129"/>
        <v>00000</v>
      </c>
      <c r="S332" s="344">
        <f t="shared" si="130"/>
        <v>0</v>
      </c>
      <c r="T332" s="345" t="str">
        <f t="shared" si="143"/>
        <v>000</v>
      </c>
      <c r="U332" s="345">
        <f t="shared" si="131"/>
        <v>0</v>
      </c>
      <c r="V332" s="345">
        <f t="shared" si="132"/>
        <v>0</v>
      </c>
      <c r="W332" s="345">
        <f t="shared" si="133"/>
        <v>0</v>
      </c>
      <c r="X332" s="345">
        <f t="shared" si="134"/>
        <v>0</v>
      </c>
      <c r="Y332" s="345">
        <f t="shared" si="135"/>
        <v>0</v>
      </c>
      <c r="Z332" s="345">
        <f>IF(Q332&lt;&gt;"",VLOOKUP(Y332,TIME!$R$21:$V$24,MATCH(FC_DATA!Q332,TIME!$R$20:$V$20,0),FALSE),H332)</f>
        <v>0</v>
      </c>
      <c r="AA332" s="345" t="str">
        <f>IFERROR(VLOOKUP(X332&amp;Z332,TIME!$A$12:$D$71,4,FALSE),"")</f>
        <v/>
      </c>
      <c r="AB332" s="592">
        <f t="shared" ca="1" si="136"/>
        <v>0</v>
      </c>
      <c r="AC332" s="593" t="e">
        <f ca="1">IF(ISBLANK(H332)=FALSE,IF(D332="BRAND.com",I332,IF(ISNA(VLOOKUP(_xlfn.CONCAT(X332,Z332),TIME!$M$40:$M$42,1,FALSE)),I332,VLOOKUP(_xlfn.CONCAT(D332,G332,H332),M_BUSAREA_FC!$AF$5:$AJ$10,5,FALSE)*HLOOKUP(_xlfn.CONCAT(F332,H332),ST_OVERVIEW!$G$99:$I$130,MATCH(_xlfn.CONCAT(D332,E332),ST_OVERVIEW!$F$99:$F$130,0),FALSE))),IF(D332="BRAND.com",VLOOKUP(_xlfn.CONCAT(C332,D332,E332,TIME!$F$1,Z332),HIS_SALES!$B$2:$V$4859,19,FALSE)*I332,VLOOKUP(_xlfn.CONCAT(D332,F332,G332),Q_BUSAREA_FC!$AE$5:$AI$12,5,FALSE)*HLOOKUP(_xlfn.CONCAT(FC_DATA!F332,FC_DATA!G332),LT_OVERVIEW!$I$99:$M$130,MATCH(_xlfn.CONCAT(D332,FC_DATA!E332),LT_OVERVIEW!$H$99:$H$130,0),FALSE)*IFERROR(VLOOKUP(_xlfn.CONCAT(C332,D332,E332,TIME!$F$1,Z332),HIS_SALES!$B$2:$V$4859,19,FALSE),0)))</f>
        <v>#N/A</v>
      </c>
      <c r="AD332" s="341">
        <f t="shared" ca="1" si="137"/>
        <v>0</v>
      </c>
      <c r="AE332" s="363" t="str">
        <f t="shared" si="138"/>
        <v/>
      </c>
      <c r="AF332" s="342" t="str">
        <f t="shared" si="139"/>
        <v/>
      </c>
      <c r="AG332" s="411" t="e">
        <f ca="1">VLOOKUP(_xlfn.CONCAT(U332,V332,W332,VLOOKUP(X332&amp;Y332,TIME!$L$27:$O$34,4,FALSE),Y332),HIS_SALES!$A$2:$R$5093,18,FALSE)</f>
        <v>#N/A</v>
      </c>
      <c r="AH332" s="412" t="e">
        <f ca="1">IFERROR(IF(AND(V332=V331,W332=W331),0.5*(AB332+AB331)*AG332,(VLOOKUP(_xlfn.CONCAT(U332,V332,W332,X332,VLOOKUP(Z332,TIME!$S$28:$T$39,2,FALSE)),FC_DATA!$R$2:$AB$5000,MATCH("GS_I_M",FC_DATA!$R$1:$AB$1,0),FALSE)+FC_DATA!AB332)*0.5*FC_DATA!AG332),NA())</f>
        <v>#N/A</v>
      </c>
      <c r="AI332" s="491" t="e">
        <f ca="1">IF(V332="PARTNER.com",AH332,IF(AND(V332=V331,W332=W331),(1-AVERAGE(AD331,AD332))*AH332,(1-AVERAGE(AD332,VLOOKUP(_xlfn.CONCAT(U332,V332,W332,X332,M_BRAND_FC!$F$6),FC_DATA!$R$2:$AD$5000,MATCH("DISCOUNT_%_M",FC_DATA!$R$1:$AD$1,0),FALSE)))*AH332))</f>
        <v>#N/A</v>
      </c>
      <c r="AJ332" s="412" t="str">
        <f t="shared" ca="1" si="140"/>
        <v/>
      </c>
      <c r="AK332" s="413" t="str">
        <f>IFERROR(AE332/(Q_BRAND_FC!$T$24+1),"")</f>
        <v/>
      </c>
      <c r="AL332" s="88" t="str">
        <f t="shared" ca="1" si="141"/>
        <v/>
      </c>
      <c r="AM332" s="414" t="str">
        <f t="shared" ca="1" si="142"/>
        <v/>
      </c>
      <c r="AN332" s="58">
        <f>IFERROR(IF($V332="BRAND.com",HLOOKUP($X332&amp;$Z332,NWC_FC_NOOS!$C$4:$Q$23,MATCH(W332,NWC_FC_NOOS!$B$4:$B$23,0),FALSE),0),0)</f>
        <v>0</v>
      </c>
      <c r="AO332" s="57">
        <f>IFERROR(IF($V332="BRAND.com",HLOOKUP($X332&amp;$Z332,NWC_FC_NOOS!$T$4:$AH$23,MATCH(W332,NWC_FC_NOOS!$S$4:$S$23,0),FALSE),0),0)</f>
        <v>0</v>
      </c>
      <c r="AP332" s="57">
        <f>IFERROR(IF($V332="BRAND.com",HLOOKUP($X332&amp;$Z332,NWC_FC_NOOS!$C$50:$U$69,MATCH(W332,NWC_FC_NOOS!$B$50:$B$69,0),FALSE),0),0)</f>
        <v>0</v>
      </c>
      <c r="AQ332" s="58">
        <f>IFERROR(IF($V332="BRAND.com",HLOOKUP($X332&amp;$Z332,'NWC_FC_NON-NOOS'!$C$4:$Q$23,MATCH(W332,'NWC_FC_NON-NOOS'!$B$4:$B$23,0),FALSE),0),0)</f>
        <v>0</v>
      </c>
      <c r="AR332" s="57">
        <f>IFERROR(IF($V332="BRAND.com",HLOOKUP($X332&amp;$Z332,'NWC_FC_NON-NOOS'!$T$4:$AH$23,MATCH(W332,'NWC_FC_NON-NOOS'!$S$4:$S$23,0),FALSE),0),0)</f>
        <v>0</v>
      </c>
      <c r="AS332" s="57">
        <f>IFERROR(IF($V332="BRAND.com",HLOOKUP($X332&amp;$Z332,'NWC_FC_NON-NOOS'!$C$50:$U$69,MATCH(W332,'NWC_FC_NON-NOOS'!$B$50:$B$69,0),FALSE),0),0)</f>
        <v>0</v>
      </c>
      <c r="AT332" s="57">
        <f t="shared" si="144"/>
        <v>0</v>
      </c>
      <c r="AU332" s="57">
        <f t="shared" si="145"/>
        <v>0</v>
      </c>
      <c r="AV332" s="58">
        <f>IFERROR(IF($V332="BRAND.com",HLOOKUP($X332&amp;$Z332,PLANNING_FC!$BB$27:$BP$46,MATCH($W332,PLANNING_FC!$BA$27:$BA$46,0),FALSE),0),0)</f>
        <v>0</v>
      </c>
      <c r="AW332" s="58">
        <f>IFERROR(IF($V332="BRAND.com",HLOOKUP($X332&amp;$Z332,PLANNING_FC!$BB$4:$BP$23,MATCH($W332,PLANNING_FC!$BA$4:$BA$23,0),FALSE),0),0)</f>
        <v>0</v>
      </c>
      <c r="AX332" s="58">
        <f>IFERROR(IF($V332="BRAND.com",HLOOKUP($X332&amp;$Z332,PLANNING_FC!$T$27:$AH$46,MATCH($W332,PLANNING_FC!$B$27:$B$46,0),FALSE),0),0)</f>
        <v>0</v>
      </c>
      <c r="AY332" s="58">
        <f>IFERROR(IF($V332="BRAND.com",HLOOKUP($X332&amp;$Z332,PLANNING_FC!$T$4:$AH$23,MATCH($W332,PLANNING_FC!$B$4:$B$23,0),FALSE),0),0)</f>
        <v>0</v>
      </c>
      <c r="AZ332" s="58">
        <f>IFERROR(IF($V332="BRAND.com",HLOOKUP($X332&amp;$Z332,PLANNING_FC!$DA$27:$DO$46,MATCH($W332,PLANNING_FC!$CZ$27:$CZ$46,0),FALSE),0),0)</f>
        <v>0</v>
      </c>
      <c r="BA332" s="58">
        <f>IFERROR(IF($V332="BRAND.com",HLOOKUP($X332&amp;$Z332,PLANNING_FC!$DA$4:$DO$23,MATCH($W332,PLANNING_FC!$CZ$4:$CZ$23,0),FALSE),0),0)</f>
        <v>0</v>
      </c>
      <c r="BB332" s="883" t="str">
        <f>IF(V332="BRAND.com",IFERROR(HLOOKUP(X332&amp;Z332,PLANNING_FC!$AK$4:$AY$23,MATCH(W332,PLANNING_FC!$AJ$4:$AJ$23,0),FALSE)*1000,""),"")</f>
        <v/>
      </c>
      <c r="BC332" s="883" t="str">
        <f>IF(V332="BRAND.com",IFERROR(HLOOKUP(X332&amp;Z332,PLANNING_FC!$AK$27:$AY$46,MATCH(W332,PLANNING_FC!$AJ$27:$AJ$46,0),FALSE)*1000,""),"")</f>
        <v/>
      </c>
    </row>
    <row r="333" spans="1:55" x14ac:dyDescent="0.25">
      <c r="A333" s="509"/>
      <c r="B333" s="509"/>
      <c r="C333" s="509"/>
      <c r="D333" s="509"/>
      <c r="E333" s="509"/>
      <c r="F333" s="509"/>
      <c r="G333" s="509"/>
      <c r="H333" s="509"/>
      <c r="I333" s="512"/>
      <c r="J333" s="513"/>
      <c r="K333" s="879"/>
      <c r="L333" s="515"/>
      <c r="M333" s="516"/>
      <c r="N333" s="56">
        <f t="shared" si="126"/>
        <v>0</v>
      </c>
      <c r="O333" s="57">
        <f t="shared" si="127"/>
        <v>0</v>
      </c>
      <c r="P333" s="57">
        <f ca="1">IFERROR(IF(ISBLANK(H333),SUMIFS($AC:$AC,$V:$V,V333,$W:$W,W333,$X:$X,X333,$Y:$Y,Y333)*J333/(1-J333)*VLOOKUP(_xlfn.CONCAT(C333,D333,E333,TIME!$M$12,Z333),HIS_SALES!$B$2:$W$4859,20,FALSE),AC333*J333/(1-J333)),0)</f>
        <v>0</v>
      </c>
      <c r="Q333" s="541" t="str">
        <f t="shared" si="128"/>
        <v/>
      </c>
      <c r="R333" s="346" t="str">
        <f t="shared" si="129"/>
        <v>00000</v>
      </c>
      <c r="S333" s="344">
        <f t="shared" si="130"/>
        <v>0</v>
      </c>
      <c r="T333" s="345" t="str">
        <f t="shared" si="143"/>
        <v>000</v>
      </c>
      <c r="U333" s="345">
        <f t="shared" si="131"/>
        <v>0</v>
      </c>
      <c r="V333" s="345">
        <f t="shared" si="132"/>
        <v>0</v>
      </c>
      <c r="W333" s="345">
        <f t="shared" si="133"/>
        <v>0</v>
      </c>
      <c r="X333" s="345">
        <f t="shared" si="134"/>
        <v>0</v>
      </c>
      <c r="Y333" s="345">
        <f t="shared" si="135"/>
        <v>0</v>
      </c>
      <c r="Z333" s="345">
        <f>IF(Q333&lt;&gt;"",VLOOKUP(Y333,TIME!$R$21:$V$24,MATCH(FC_DATA!Q333,TIME!$R$20:$V$20,0),FALSE),H333)</f>
        <v>0</v>
      </c>
      <c r="AA333" s="345" t="str">
        <f>IFERROR(VLOOKUP(X333&amp;Z333,TIME!$A$12:$D$71,4,FALSE),"")</f>
        <v/>
      </c>
      <c r="AB333" s="592">
        <f t="shared" ca="1" si="136"/>
        <v>0</v>
      </c>
      <c r="AC333" s="593" t="e">
        <f ca="1">IF(ISBLANK(H333)=FALSE,IF(D333="BRAND.com",I333,IF(ISNA(VLOOKUP(_xlfn.CONCAT(X333,Z333),TIME!$M$40:$M$42,1,FALSE)),I333,VLOOKUP(_xlfn.CONCAT(D333,G333,H333),M_BUSAREA_FC!$AF$5:$AJ$10,5,FALSE)*HLOOKUP(_xlfn.CONCAT(F333,H333),ST_OVERVIEW!$G$99:$I$130,MATCH(_xlfn.CONCAT(D333,E333),ST_OVERVIEW!$F$99:$F$130,0),FALSE))),IF(D333="BRAND.com",VLOOKUP(_xlfn.CONCAT(C333,D333,E333,TIME!$F$1,Z333),HIS_SALES!$B$2:$V$4859,19,FALSE)*I333,VLOOKUP(_xlfn.CONCAT(D333,F333,G333),Q_BUSAREA_FC!$AE$5:$AI$12,5,FALSE)*HLOOKUP(_xlfn.CONCAT(FC_DATA!F333,FC_DATA!G333),LT_OVERVIEW!$I$99:$M$130,MATCH(_xlfn.CONCAT(D333,FC_DATA!E333),LT_OVERVIEW!$H$99:$H$130,0),FALSE)*IFERROR(VLOOKUP(_xlfn.CONCAT(C333,D333,E333,TIME!$F$1,Z333),HIS_SALES!$B$2:$V$4859,19,FALSE),0)))</f>
        <v>#N/A</v>
      </c>
      <c r="AD333" s="341">
        <f t="shared" ca="1" si="137"/>
        <v>0</v>
      </c>
      <c r="AE333" s="363" t="str">
        <f t="shared" si="138"/>
        <v/>
      </c>
      <c r="AF333" s="342" t="str">
        <f t="shared" si="139"/>
        <v/>
      </c>
      <c r="AG333" s="411" t="e">
        <f ca="1">VLOOKUP(_xlfn.CONCAT(U333,V333,W333,VLOOKUP(X333&amp;Y333,TIME!$L$27:$O$34,4,FALSE),Y333),HIS_SALES!$A$2:$R$5093,18,FALSE)</f>
        <v>#N/A</v>
      </c>
      <c r="AH333" s="412" t="e">
        <f ca="1">IFERROR(IF(AND(V333=V332,W333=W332),0.5*(AB333+AB332)*AG333,(VLOOKUP(_xlfn.CONCAT(U333,V333,W333,X333,VLOOKUP(Z333,TIME!$S$28:$T$39,2,FALSE)),FC_DATA!$R$2:$AB$5000,MATCH("GS_I_M",FC_DATA!$R$1:$AB$1,0),FALSE)+FC_DATA!AB333)*0.5*FC_DATA!AG333),NA())</f>
        <v>#N/A</v>
      </c>
      <c r="AI333" s="491" t="e">
        <f ca="1">IF(V333="PARTNER.com",AH333,IF(AND(V333=V332,W333=W332),(1-AVERAGE(AD332,AD333))*AH333,(1-AVERAGE(AD333,VLOOKUP(_xlfn.CONCAT(U333,V333,W333,X333,M_BRAND_FC!$F$6),FC_DATA!$R$2:$AD$5000,MATCH("DISCOUNT_%_M",FC_DATA!$R$1:$AD$1,0),FALSE)))*AH333))</f>
        <v>#N/A</v>
      </c>
      <c r="AJ333" s="412" t="str">
        <f t="shared" ca="1" si="140"/>
        <v/>
      </c>
      <c r="AK333" s="413" t="str">
        <f>IFERROR(AE333/(Q_BRAND_FC!$T$24+1),"")</f>
        <v/>
      </c>
      <c r="AL333" s="88" t="str">
        <f t="shared" ca="1" si="141"/>
        <v/>
      </c>
      <c r="AM333" s="414" t="str">
        <f t="shared" ca="1" si="142"/>
        <v/>
      </c>
      <c r="AN333" s="58">
        <f>IFERROR(IF($V333="BRAND.com",HLOOKUP($X333&amp;$Z333,NWC_FC_NOOS!$C$4:$Q$23,MATCH(W333,NWC_FC_NOOS!$B$4:$B$23,0),FALSE),0),0)</f>
        <v>0</v>
      </c>
      <c r="AO333" s="57">
        <f>IFERROR(IF($V333="BRAND.com",HLOOKUP($X333&amp;$Z333,NWC_FC_NOOS!$T$4:$AH$23,MATCH(W333,NWC_FC_NOOS!$S$4:$S$23,0),FALSE),0),0)</f>
        <v>0</v>
      </c>
      <c r="AP333" s="57">
        <f>IFERROR(IF($V333="BRAND.com",HLOOKUP($X333&amp;$Z333,NWC_FC_NOOS!$C$50:$U$69,MATCH(W333,NWC_FC_NOOS!$B$50:$B$69,0),FALSE),0),0)</f>
        <v>0</v>
      </c>
      <c r="AQ333" s="58">
        <f>IFERROR(IF($V333="BRAND.com",HLOOKUP($X333&amp;$Z333,'NWC_FC_NON-NOOS'!$C$4:$Q$23,MATCH(W333,'NWC_FC_NON-NOOS'!$B$4:$B$23,0),FALSE),0),0)</f>
        <v>0</v>
      </c>
      <c r="AR333" s="57">
        <f>IFERROR(IF($V333="BRAND.com",HLOOKUP($X333&amp;$Z333,'NWC_FC_NON-NOOS'!$T$4:$AH$23,MATCH(W333,'NWC_FC_NON-NOOS'!$S$4:$S$23,0),FALSE),0),0)</f>
        <v>0</v>
      </c>
      <c r="AS333" s="57">
        <f>IFERROR(IF($V333="BRAND.com",HLOOKUP($X333&amp;$Z333,'NWC_FC_NON-NOOS'!$C$50:$U$69,MATCH(W333,'NWC_FC_NON-NOOS'!$B$50:$B$69,0),FALSE),0),0)</f>
        <v>0</v>
      </c>
      <c r="AT333" s="57">
        <f t="shared" si="144"/>
        <v>0</v>
      </c>
      <c r="AU333" s="57">
        <f t="shared" si="145"/>
        <v>0</v>
      </c>
      <c r="AV333" s="58">
        <f>IFERROR(IF($V333="BRAND.com",HLOOKUP($X333&amp;$Z333,PLANNING_FC!$BB$27:$BP$46,MATCH($W333,PLANNING_FC!$BA$27:$BA$46,0),FALSE),0),0)</f>
        <v>0</v>
      </c>
      <c r="AW333" s="58">
        <f>IFERROR(IF($V333="BRAND.com",HLOOKUP($X333&amp;$Z333,PLANNING_FC!$BB$4:$BP$23,MATCH($W333,PLANNING_FC!$BA$4:$BA$23,0),FALSE),0),0)</f>
        <v>0</v>
      </c>
      <c r="AX333" s="58">
        <f>IFERROR(IF($V333="BRAND.com",HLOOKUP($X333&amp;$Z333,PLANNING_FC!$T$27:$AH$46,MATCH($W333,PLANNING_FC!$B$27:$B$46,0),FALSE),0),0)</f>
        <v>0</v>
      </c>
      <c r="AY333" s="58">
        <f>IFERROR(IF($V333="BRAND.com",HLOOKUP($X333&amp;$Z333,PLANNING_FC!$T$4:$AH$23,MATCH($W333,PLANNING_FC!$B$4:$B$23,0),FALSE),0),0)</f>
        <v>0</v>
      </c>
      <c r="AZ333" s="58">
        <f>IFERROR(IF($V333="BRAND.com",HLOOKUP($X333&amp;$Z333,PLANNING_FC!$DA$27:$DO$46,MATCH($W333,PLANNING_FC!$CZ$27:$CZ$46,0),FALSE),0),0)</f>
        <v>0</v>
      </c>
      <c r="BA333" s="58">
        <f>IFERROR(IF($V333="BRAND.com",HLOOKUP($X333&amp;$Z333,PLANNING_FC!$DA$4:$DO$23,MATCH($W333,PLANNING_FC!$CZ$4:$CZ$23,0),FALSE),0),0)</f>
        <v>0</v>
      </c>
      <c r="BB333" s="883" t="str">
        <f>IF(V333="BRAND.com",IFERROR(HLOOKUP(X333&amp;Z333,PLANNING_FC!$AK$4:$AY$23,MATCH(W333,PLANNING_FC!$AJ$4:$AJ$23,0),FALSE)*1000,""),"")</f>
        <v/>
      </c>
      <c r="BC333" s="883" t="str">
        <f>IF(V333="BRAND.com",IFERROR(HLOOKUP(X333&amp;Z333,PLANNING_FC!$AK$27:$AY$46,MATCH(W333,PLANNING_FC!$AJ$27:$AJ$46,0),FALSE)*1000,""),"")</f>
        <v/>
      </c>
    </row>
    <row r="334" spans="1:55" x14ac:dyDescent="0.25">
      <c r="A334" s="509"/>
      <c r="B334" s="509"/>
      <c r="C334" s="509"/>
      <c r="D334" s="509"/>
      <c r="E334" s="509"/>
      <c r="F334" s="509"/>
      <c r="G334" s="509"/>
      <c r="H334" s="509"/>
      <c r="I334" s="512"/>
      <c r="J334" s="513"/>
      <c r="K334" s="879"/>
      <c r="L334" s="515"/>
      <c r="M334" s="516"/>
      <c r="N334" s="56">
        <f t="shared" si="126"/>
        <v>0</v>
      </c>
      <c r="O334" s="57">
        <f t="shared" si="127"/>
        <v>0</v>
      </c>
      <c r="P334" s="57">
        <f ca="1">IFERROR(IF(ISBLANK(H334),SUMIFS($AC:$AC,$V:$V,V334,$W:$W,W334,$X:$X,X334,$Y:$Y,Y334)*J334/(1-J334)*VLOOKUP(_xlfn.CONCAT(C334,D334,E334,TIME!$M$12,Z334),HIS_SALES!$B$2:$W$4859,20,FALSE),AC334*J334/(1-J334)),0)</f>
        <v>0</v>
      </c>
      <c r="Q334" s="541" t="str">
        <f t="shared" si="128"/>
        <v/>
      </c>
      <c r="R334" s="346" t="str">
        <f t="shared" si="129"/>
        <v>00000</v>
      </c>
      <c r="S334" s="344">
        <f t="shared" si="130"/>
        <v>0</v>
      </c>
      <c r="T334" s="345" t="str">
        <f t="shared" si="143"/>
        <v>000</v>
      </c>
      <c r="U334" s="345">
        <f t="shared" si="131"/>
        <v>0</v>
      </c>
      <c r="V334" s="345">
        <f t="shared" si="132"/>
        <v>0</v>
      </c>
      <c r="W334" s="345">
        <f t="shared" si="133"/>
        <v>0</v>
      </c>
      <c r="X334" s="345">
        <f t="shared" si="134"/>
        <v>0</v>
      </c>
      <c r="Y334" s="345">
        <f t="shared" si="135"/>
        <v>0</v>
      </c>
      <c r="Z334" s="345">
        <f>IF(Q334&lt;&gt;"",VLOOKUP(Y334,TIME!$R$21:$V$24,MATCH(FC_DATA!Q334,TIME!$R$20:$V$20,0),FALSE),H334)</f>
        <v>0</v>
      </c>
      <c r="AA334" s="345" t="str">
        <f>IFERROR(VLOOKUP(X334&amp;Z334,TIME!$A$12:$D$71,4,FALSE),"")</f>
        <v/>
      </c>
      <c r="AB334" s="592">
        <f t="shared" ca="1" si="136"/>
        <v>0</v>
      </c>
      <c r="AC334" s="593" t="e">
        <f ca="1">IF(ISBLANK(H334)=FALSE,IF(D334="BRAND.com",I334,IF(ISNA(VLOOKUP(_xlfn.CONCAT(X334,Z334),TIME!$M$40:$M$42,1,FALSE)),I334,VLOOKUP(_xlfn.CONCAT(D334,G334,H334),M_BUSAREA_FC!$AF$5:$AJ$10,5,FALSE)*HLOOKUP(_xlfn.CONCAT(F334,H334),ST_OVERVIEW!$G$99:$I$130,MATCH(_xlfn.CONCAT(D334,E334),ST_OVERVIEW!$F$99:$F$130,0),FALSE))),IF(D334="BRAND.com",VLOOKUP(_xlfn.CONCAT(C334,D334,E334,TIME!$F$1,Z334),HIS_SALES!$B$2:$V$4859,19,FALSE)*I334,VLOOKUP(_xlfn.CONCAT(D334,F334,G334),Q_BUSAREA_FC!$AE$5:$AI$12,5,FALSE)*HLOOKUP(_xlfn.CONCAT(FC_DATA!F334,FC_DATA!G334),LT_OVERVIEW!$I$99:$M$130,MATCH(_xlfn.CONCAT(D334,FC_DATA!E334),LT_OVERVIEW!$H$99:$H$130,0),FALSE)*IFERROR(VLOOKUP(_xlfn.CONCAT(C334,D334,E334,TIME!$F$1,Z334),HIS_SALES!$B$2:$V$4859,19,FALSE),0)))</f>
        <v>#N/A</v>
      </c>
      <c r="AD334" s="341">
        <f t="shared" ca="1" si="137"/>
        <v>0</v>
      </c>
      <c r="AE334" s="363" t="str">
        <f t="shared" si="138"/>
        <v/>
      </c>
      <c r="AF334" s="342" t="str">
        <f t="shared" si="139"/>
        <v/>
      </c>
      <c r="AG334" s="411" t="e">
        <f ca="1">VLOOKUP(_xlfn.CONCAT(U334,V334,W334,VLOOKUP(X334&amp;Y334,TIME!$L$27:$O$34,4,FALSE),Y334),HIS_SALES!$A$2:$R$5093,18,FALSE)</f>
        <v>#N/A</v>
      </c>
      <c r="AH334" s="412" t="e">
        <f ca="1">IFERROR(IF(AND(V334=V333,W334=W333),0.5*(AB334+AB333)*AG334,(VLOOKUP(_xlfn.CONCAT(U334,V334,W334,X334,VLOOKUP(Z334,TIME!$S$28:$T$39,2,FALSE)),FC_DATA!$R$2:$AB$5000,MATCH("GS_I_M",FC_DATA!$R$1:$AB$1,0),FALSE)+FC_DATA!AB334)*0.5*FC_DATA!AG334),NA())</f>
        <v>#N/A</v>
      </c>
      <c r="AI334" s="491" t="e">
        <f ca="1">IF(V334="PARTNER.com",AH334,IF(AND(V334=V333,W334=W333),(1-AVERAGE(AD333,AD334))*AH334,(1-AVERAGE(AD334,VLOOKUP(_xlfn.CONCAT(U334,V334,W334,X334,M_BRAND_FC!$F$6),FC_DATA!$R$2:$AD$5000,MATCH("DISCOUNT_%_M",FC_DATA!$R$1:$AD$1,0),FALSE)))*AH334))</f>
        <v>#N/A</v>
      </c>
      <c r="AJ334" s="412" t="str">
        <f t="shared" ca="1" si="140"/>
        <v/>
      </c>
      <c r="AK334" s="413" t="str">
        <f>IFERROR(AE334/(Q_BRAND_FC!$T$24+1),"")</f>
        <v/>
      </c>
      <c r="AL334" s="88" t="str">
        <f t="shared" ca="1" si="141"/>
        <v/>
      </c>
      <c r="AM334" s="414" t="str">
        <f t="shared" ca="1" si="142"/>
        <v/>
      </c>
      <c r="AN334" s="58">
        <f>IFERROR(IF($V334="BRAND.com",HLOOKUP($X334&amp;$Z334,NWC_FC_NOOS!$C$4:$Q$23,MATCH(W334,NWC_FC_NOOS!$B$4:$B$23,0),FALSE),0),0)</f>
        <v>0</v>
      </c>
      <c r="AO334" s="57">
        <f>IFERROR(IF($V334="BRAND.com",HLOOKUP($X334&amp;$Z334,NWC_FC_NOOS!$T$4:$AH$23,MATCH(W334,NWC_FC_NOOS!$S$4:$S$23,0),FALSE),0),0)</f>
        <v>0</v>
      </c>
      <c r="AP334" s="57">
        <f>IFERROR(IF($V334="BRAND.com",HLOOKUP($X334&amp;$Z334,NWC_FC_NOOS!$C$50:$U$69,MATCH(W334,NWC_FC_NOOS!$B$50:$B$69,0),FALSE),0),0)</f>
        <v>0</v>
      </c>
      <c r="AQ334" s="58">
        <f>IFERROR(IF($V334="BRAND.com",HLOOKUP($X334&amp;$Z334,'NWC_FC_NON-NOOS'!$C$4:$Q$23,MATCH(W334,'NWC_FC_NON-NOOS'!$B$4:$B$23,0),FALSE),0),0)</f>
        <v>0</v>
      </c>
      <c r="AR334" s="57">
        <f>IFERROR(IF($V334="BRAND.com",HLOOKUP($X334&amp;$Z334,'NWC_FC_NON-NOOS'!$T$4:$AH$23,MATCH(W334,'NWC_FC_NON-NOOS'!$S$4:$S$23,0),FALSE),0),0)</f>
        <v>0</v>
      </c>
      <c r="AS334" s="57">
        <f>IFERROR(IF($V334="BRAND.com",HLOOKUP($X334&amp;$Z334,'NWC_FC_NON-NOOS'!$C$50:$U$69,MATCH(W334,'NWC_FC_NON-NOOS'!$B$50:$B$69,0),FALSE),0),0)</f>
        <v>0</v>
      </c>
      <c r="AT334" s="57">
        <f t="shared" si="144"/>
        <v>0</v>
      </c>
      <c r="AU334" s="57">
        <f t="shared" si="145"/>
        <v>0</v>
      </c>
      <c r="AV334" s="58">
        <f>IFERROR(IF($V334="BRAND.com",HLOOKUP($X334&amp;$Z334,PLANNING_FC!$BB$27:$BP$46,MATCH($W334,PLANNING_FC!$BA$27:$BA$46,0),FALSE),0),0)</f>
        <v>0</v>
      </c>
      <c r="AW334" s="58">
        <f>IFERROR(IF($V334="BRAND.com",HLOOKUP($X334&amp;$Z334,PLANNING_FC!$BB$4:$BP$23,MATCH($W334,PLANNING_FC!$BA$4:$BA$23,0),FALSE),0),0)</f>
        <v>0</v>
      </c>
      <c r="AX334" s="58">
        <f>IFERROR(IF($V334="BRAND.com",HLOOKUP($X334&amp;$Z334,PLANNING_FC!$T$27:$AH$46,MATCH($W334,PLANNING_FC!$B$27:$B$46,0),FALSE),0),0)</f>
        <v>0</v>
      </c>
      <c r="AY334" s="58">
        <f>IFERROR(IF($V334="BRAND.com",HLOOKUP($X334&amp;$Z334,PLANNING_FC!$T$4:$AH$23,MATCH($W334,PLANNING_FC!$B$4:$B$23,0),FALSE),0),0)</f>
        <v>0</v>
      </c>
      <c r="AZ334" s="58">
        <f>IFERROR(IF($V334="BRAND.com",HLOOKUP($X334&amp;$Z334,PLANNING_FC!$DA$27:$DO$46,MATCH($W334,PLANNING_FC!$CZ$27:$CZ$46,0),FALSE),0),0)</f>
        <v>0</v>
      </c>
      <c r="BA334" s="58">
        <f>IFERROR(IF($V334="BRAND.com",HLOOKUP($X334&amp;$Z334,PLANNING_FC!$DA$4:$DO$23,MATCH($W334,PLANNING_FC!$CZ$4:$CZ$23,0),FALSE),0),0)</f>
        <v>0</v>
      </c>
      <c r="BB334" s="883" t="str">
        <f>IF(V334="BRAND.com",IFERROR(HLOOKUP(X334&amp;Z334,PLANNING_FC!$AK$4:$AY$23,MATCH(W334,PLANNING_FC!$AJ$4:$AJ$23,0),FALSE)*1000,""),"")</f>
        <v/>
      </c>
      <c r="BC334" s="883" t="str">
        <f>IF(V334="BRAND.com",IFERROR(HLOOKUP(X334&amp;Z334,PLANNING_FC!$AK$27:$AY$46,MATCH(W334,PLANNING_FC!$AJ$27:$AJ$46,0),FALSE)*1000,""),"")</f>
        <v/>
      </c>
    </row>
    <row r="335" spans="1:55" x14ac:dyDescent="0.25">
      <c r="A335" s="509"/>
      <c r="B335" s="509"/>
      <c r="C335" s="509"/>
      <c r="D335" s="509"/>
      <c r="E335" s="509"/>
      <c r="F335" s="509"/>
      <c r="G335" s="509"/>
      <c r="H335" s="509"/>
      <c r="I335" s="512"/>
      <c r="J335" s="513"/>
      <c r="K335" s="879"/>
      <c r="L335" s="515"/>
      <c r="M335" s="516"/>
      <c r="N335" s="56">
        <f t="shared" si="126"/>
        <v>0</v>
      </c>
      <c r="O335" s="57">
        <f t="shared" si="127"/>
        <v>0</v>
      </c>
      <c r="P335" s="57">
        <f ca="1">IFERROR(IF(ISBLANK(H335),SUMIFS($AC:$AC,$V:$V,V335,$W:$W,W335,$X:$X,X335,$Y:$Y,Y335)*J335/(1-J335)*VLOOKUP(_xlfn.CONCAT(C335,D335,E335,TIME!$M$12,Z335),HIS_SALES!$B$2:$W$4859,20,FALSE),AC335*J335/(1-J335)),0)</f>
        <v>0</v>
      </c>
      <c r="Q335" s="541" t="str">
        <f t="shared" si="128"/>
        <v/>
      </c>
      <c r="R335" s="346" t="str">
        <f t="shared" si="129"/>
        <v>00000</v>
      </c>
      <c r="S335" s="344">
        <f t="shared" si="130"/>
        <v>0</v>
      </c>
      <c r="T335" s="345" t="str">
        <f t="shared" si="143"/>
        <v>000</v>
      </c>
      <c r="U335" s="345">
        <f t="shared" si="131"/>
        <v>0</v>
      </c>
      <c r="V335" s="345">
        <f t="shared" si="132"/>
        <v>0</v>
      </c>
      <c r="W335" s="345">
        <f t="shared" si="133"/>
        <v>0</v>
      </c>
      <c r="X335" s="345">
        <f t="shared" si="134"/>
        <v>0</v>
      </c>
      <c r="Y335" s="345">
        <f t="shared" si="135"/>
        <v>0</v>
      </c>
      <c r="Z335" s="345">
        <f>IF(Q335&lt;&gt;"",VLOOKUP(Y335,TIME!$R$21:$V$24,MATCH(FC_DATA!Q335,TIME!$R$20:$V$20,0),FALSE),H335)</f>
        <v>0</v>
      </c>
      <c r="AA335" s="345" t="str">
        <f>IFERROR(VLOOKUP(X335&amp;Z335,TIME!$A$12:$D$71,4,FALSE),"")</f>
        <v/>
      </c>
      <c r="AB335" s="592">
        <f t="shared" ca="1" si="136"/>
        <v>0</v>
      </c>
      <c r="AC335" s="593" t="e">
        <f ca="1">IF(ISBLANK(H335)=FALSE,IF(D335="BRAND.com",I335,IF(ISNA(VLOOKUP(_xlfn.CONCAT(X335,Z335),TIME!$M$40:$M$42,1,FALSE)),I335,VLOOKUP(_xlfn.CONCAT(D335,G335,H335),M_BUSAREA_FC!$AF$5:$AJ$10,5,FALSE)*HLOOKUP(_xlfn.CONCAT(F335,H335),ST_OVERVIEW!$G$99:$I$130,MATCH(_xlfn.CONCAT(D335,E335),ST_OVERVIEW!$F$99:$F$130,0),FALSE))),IF(D335="BRAND.com",VLOOKUP(_xlfn.CONCAT(C335,D335,E335,TIME!$F$1,Z335),HIS_SALES!$B$2:$V$4859,19,FALSE)*I335,VLOOKUP(_xlfn.CONCAT(D335,F335,G335),Q_BUSAREA_FC!$AE$5:$AI$12,5,FALSE)*HLOOKUP(_xlfn.CONCAT(FC_DATA!F335,FC_DATA!G335),LT_OVERVIEW!$I$99:$M$130,MATCH(_xlfn.CONCAT(D335,FC_DATA!E335),LT_OVERVIEW!$H$99:$H$130,0),FALSE)*IFERROR(VLOOKUP(_xlfn.CONCAT(C335,D335,E335,TIME!$F$1,Z335),HIS_SALES!$B$2:$V$4859,19,FALSE),0)))</f>
        <v>#N/A</v>
      </c>
      <c r="AD335" s="341">
        <f t="shared" ca="1" si="137"/>
        <v>0</v>
      </c>
      <c r="AE335" s="363" t="str">
        <f t="shared" si="138"/>
        <v/>
      </c>
      <c r="AF335" s="342" t="str">
        <f t="shared" si="139"/>
        <v/>
      </c>
      <c r="AG335" s="411" t="e">
        <f ca="1">VLOOKUP(_xlfn.CONCAT(U335,V335,W335,VLOOKUP(X335&amp;Y335,TIME!$L$27:$O$34,4,FALSE),Y335),HIS_SALES!$A$2:$R$5093,18,FALSE)</f>
        <v>#N/A</v>
      </c>
      <c r="AH335" s="412" t="e">
        <f ca="1">IFERROR(IF(AND(V335=V334,W335=W334),0.5*(AB335+AB334)*AG335,(VLOOKUP(_xlfn.CONCAT(U335,V335,W335,X335,VLOOKUP(Z335,TIME!$S$28:$T$39,2,FALSE)),FC_DATA!$R$2:$AB$5000,MATCH("GS_I_M",FC_DATA!$R$1:$AB$1,0),FALSE)+FC_DATA!AB335)*0.5*FC_DATA!AG335),NA())</f>
        <v>#N/A</v>
      </c>
      <c r="AI335" s="491" t="e">
        <f ca="1">IF(V335="PARTNER.com",AH335,IF(AND(V335=V334,W335=W334),(1-AVERAGE(AD334,AD335))*AH335,(1-AVERAGE(AD335,VLOOKUP(_xlfn.CONCAT(U335,V335,W335,X335,M_BRAND_FC!$F$6),FC_DATA!$R$2:$AD$5000,MATCH("DISCOUNT_%_M",FC_DATA!$R$1:$AD$1,0),FALSE)))*AH335))</f>
        <v>#N/A</v>
      </c>
      <c r="AJ335" s="412" t="str">
        <f t="shared" ca="1" si="140"/>
        <v/>
      </c>
      <c r="AK335" s="413" t="str">
        <f>IFERROR(AE335/(Q_BRAND_FC!$T$24+1),"")</f>
        <v/>
      </c>
      <c r="AL335" s="88" t="str">
        <f t="shared" ca="1" si="141"/>
        <v/>
      </c>
      <c r="AM335" s="414" t="str">
        <f t="shared" ca="1" si="142"/>
        <v/>
      </c>
      <c r="AN335" s="58">
        <f>IFERROR(IF($V335="BRAND.com",HLOOKUP($X335&amp;$Z335,NWC_FC_NOOS!$C$4:$Q$23,MATCH(W335,NWC_FC_NOOS!$B$4:$B$23,0),FALSE),0),0)</f>
        <v>0</v>
      </c>
      <c r="AO335" s="57">
        <f>IFERROR(IF($V335="BRAND.com",HLOOKUP($X335&amp;$Z335,NWC_FC_NOOS!$T$4:$AH$23,MATCH(W335,NWC_FC_NOOS!$S$4:$S$23,0),FALSE),0),0)</f>
        <v>0</v>
      </c>
      <c r="AP335" s="57">
        <f>IFERROR(IF($V335="BRAND.com",HLOOKUP($X335&amp;$Z335,NWC_FC_NOOS!$C$50:$U$69,MATCH(W335,NWC_FC_NOOS!$B$50:$B$69,0),FALSE),0),0)</f>
        <v>0</v>
      </c>
      <c r="AQ335" s="58">
        <f>IFERROR(IF($V335="BRAND.com",HLOOKUP($X335&amp;$Z335,'NWC_FC_NON-NOOS'!$C$4:$Q$23,MATCH(W335,'NWC_FC_NON-NOOS'!$B$4:$B$23,0),FALSE),0),0)</f>
        <v>0</v>
      </c>
      <c r="AR335" s="57">
        <f>IFERROR(IF($V335="BRAND.com",HLOOKUP($X335&amp;$Z335,'NWC_FC_NON-NOOS'!$T$4:$AH$23,MATCH(W335,'NWC_FC_NON-NOOS'!$S$4:$S$23,0),FALSE),0),0)</f>
        <v>0</v>
      </c>
      <c r="AS335" s="57">
        <f>IFERROR(IF($V335="BRAND.com",HLOOKUP($X335&amp;$Z335,'NWC_FC_NON-NOOS'!$C$50:$U$69,MATCH(W335,'NWC_FC_NON-NOOS'!$B$50:$B$69,0),FALSE),0),0)</f>
        <v>0</v>
      </c>
      <c r="AT335" s="57">
        <f t="shared" si="144"/>
        <v>0</v>
      </c>
      <c r="AU335" s="57">
        <f t="shared" si="145"/>
        <v>0</v>
      </c>
      <c r="AV335" s="58">
        <f>IFERROR(IF($V335="BRAND.com",HLOOKUP($X335&amp;$Z335,PLANNING_FC!$BB$27:$BP$46,MATCH($W335,PLANNING_FC!$BA$27:$BA$46,0),FALSE),0),0)</f>
        <v>0</v>
      </c>
      <c r="AW335" s="58">
        <f>IFERROR(IF($V335="BRAND.com",HLOOKUP($X335&amp;$Z335,PLANNING_FC!$BB$4:$BP$23,MATCH($W335,PLANNING_FC!$BA$4:$BA$23,0),FALSE),0),0)</f>
        <v>0</v>
      </c>
      <c r="AX335" s="58">
        <f>IFERROR(IF($V335="BRAND.com",HLOOKUP($X335&amp;$Z335,PLANNING_FC!$T$27:$AH$46,MATCH($W335,PLANNING_FC!$B$27:$B$46,0),FALSE),0),0)</f>
        <v>0</v>
      </c>
      <c r="AY335" s="58">
        <f>IFERROR(IF($V335="BRAND.com",HLOOKUP($X335&amp;$Z335,PLANNING_FC!$T$4:$AH$23,MATCH($W335,PLANNING_FC!$B$4:$B$23,0),FALSE),0),0)</f>
        <v>0</v>
      </c>
      <c r="AZ335" s="58">
        <f>IFERROR(IF($V335="BRAND.com",HLOOKUP($X335&amp;$Z335,PLANNING_FC!$DA$27:$DO$46,MATCH($W335,PLANNING_FC!$CZ$27:$CZ$46,0),FALSE),0),0)</f>
        <v>0</v>
      </c>
      <c r="BA335" s="58">
        <f>IFERROR(IF($V335="BRAND.com",HLOOKUP($X335&amp;$Z335,PLANNING_FC!$DA$4:$DO$23,MATCH($W335,PLANNING_FC!$CZ$4:$CZ$23,0),FALSE),0),0)</f>
        <v>0</v>
      </c>
      <c r="BB335" s="883" t="str">
        <f>IF(V335="BRAND.com",IFERROR(HLOOKUP(X335&amp;Z335,PLANNING_FC!$AK$4:$AY$23,MATCH(W335,PLANNING_FC!$AJ$4:$AJ$23,0),FALSE)*1000,""),"")</f>
        <v/>
      </c>
      <c r="BC335" s="883" t="str">
        <f>IF(V335="BRAND.com",IFERROR(HLOOKUP(X335&amp;Z335,PLANNING_FC!$AK$27:$AY$46,MATCH(W335,PLANNING_FC!$AJ$27:$AJ$46,0),FALSE)*1000,""),"")</f>
        <v/>
      </c>
    </row>
    <row r="336" spans="1:55" x14ac:dyDescent="0.25">
      <c r="A336" s="511"/>
      <c r="B336" s="509"/>
      <c r="C336" s="509"/>
      <c r="D336" s="509"/>
      <c r="E336" s="509"/>
      <c r="F336" s="509"/>
      <c r="G336" s="509"/>
      <c r="H336" s="509"/>
      <c r="I336" s="512"/>
      <c r="J336" s="513"/>
      <c r="K336" s="879"/>
      <c r="L336" s="515"/>
      <c r="M336" s="516"/>
      <c r="N336" s="56">
        <f t="shared" si="126"/>
        <v>0</v>
      </c>
      <c r="O336" s="57">
        <f t="shared" si="127"/>
        <v>0</v>
      </c>
      <c r="P336" s="57">
        <f ca="1">IFERROR(IF(ISBLANK(H336),SUMIFS($AC:$AC,$V:$V,V336,$W:$W,W336,$X:$X,X336,$Y:$Y,Y336)*J336/(1-J336)*VLOOKUP(_xlfn.CONCAT(C336,D336,E336,TIME!$M$12,Z336),HIS_SALES!$B$2:$W$4859,20,FALSE),AC336*J336/(1-J336)),0)</f>
        <v>0</v>
      </c>
      <c r="Q336" s="541" t="str">
        <f t="shared" si="128"/>
        <v/>
      </c>
      <c r="R336" s="346" t="str">
        <f t="shared" si="129"/>
        <v>00000</v>
      </c>
      <c r="S336" s="344">
        <f t="shared" si="130"/>
        <v>0</v>
      </c>
      <c r="T336" s="345" t="str">
        <f t="shared" si="143"/>
        <v>000</v>
      </c>
      <c r="U336" s="345">
        <f t="shared" si="131"/>
        <v>0</v>
      </c>
      <c r="V336" s="345">
        <f t="shared" si="132"/>
        <v>0</v>
      </c>
      <c r="W336" s="345">
        <f t="shared" si="133"/>
        <v>0</v>
      </c>
      <c r="X336" s="345">
        <f t="shared" si="134"/>
        <v>0</v>
      </c>
      <c r="Y336" s="345">
        <f t="shared" si="135"/>
        <v>0</v>
      </c>
      <c r="Z336" s="345">
        <f>IF(Q336&lt;&gt;"",VLOOKUP(Y336,TIME!$R$21:$V$24,MATCH(FC_DATA!Q336,TIME!$R$20:$V$20,0),FALSE),H336)</f>
        <v>0</v>
      </c>
      <c r="AA336" s="345" t="str">
        <f>IFERROR(VLOOKUP(X336&amp;Z336,TIME!$A$12:$D$71,4,FALSE),"")</f>
        <v/>
      </c>
      <c r="AB336" s="592">
        <f t="shared" ca="1" si="136"/>
        <v>0</v>
      </c>
      <c r="AC336" s="593" t="e">
        <f ca="1">IF(ISBLANK(H336)=FALSE,IF(D336="BRAND.com",I336,IF(ISNA(VLOOKUP(_xlfn.CONCAT(X336,Z336),TIME!$M$40:$M$42,1,FALSE)),I336,VLOOKUP(_xlfn.CONCAT(D336,G336,H336),M_BUSAREA_FC!$AF$5:$AJ$10,5,FALSE)*HLOOKUP(_xlfn.CONCAT(F336,H336),ST_OVERVIEW!$G$99:$I$130,MATCH(_xlfn.CONCAT(D336,E336),ST_OVERVIEW!$F$99:$F$130,0),FALSE))),IF(D336="BRAND.com",VLOOKUP(_xlfn.CONCAT(C336,D336,E336,TIME!$F$1,Z336),HIS_SALES!$B$2:$V$4859,19,FALSE)*I336,VLOOKUP(_xlfn.CONCAT(D336,F336,G336),Q_BUSAREA_FC!$AE$5:$AI$12,5,FALSE)*HLOOKUP(_xlfn.CONCAT(FC_DATA!F336,FC_DATA!G336),LT_OVERVIEW!$I$99:$M$130,MATCH(_xlfn.CONCAT(D336,FC_DATA!E336),LT_OVERVIEW!$H$99:$H$130,0),FALSE)*IFERROR(VLOOKUP(_xlfn.CONCAT(C336,D336,E336,TIME!$F$1,Z336),HIS_SALES!$B$2:$V$4859,19,FALSE),0)))</f>
        <v>#N/A</v>
      </c>
      <c r="AD336" s="341">
        <f t="shared" ca="1" si="137"/>
        <v>0</v>
      </c>
      <c r="AE336" s="363" t="str">
        <f t="shared" si="138"/>
        <v/>
      </c>
      <c r="AF336" s="342" t="str">
        <f t="shared" si="139"/>
        <v/>
      </c>
      <c r="AG336" s="411" t="e">
        <f ca="1">VLOOKUP(_xlfn.CONCAT(U336,V336,W336,VLOOKUP(X336&amp;Y336,TIME!$L$27:$O$34,4,FALSE),Y336),HIS_SALES!$A$2:$R$5093,18,FALSE)</f>
        <v>#N/A</v>
      </c>
      <c r="AH336" s="412" t="e">
        <f ca="1">IFERROR(IF(AND(V336=V335,W336=W335),0.5*(AB336+AB335)*AG336,(VLOOKUP(_xlfn.CONCAT(U336,V336,W336,X336,VLOOKUP(Z336,TIME!$S$28:$T$39,2,FALSE)),FC_DATA!$R$2:$AB$5000,MATCH("GS_I_M",FC_DATA!$R$1:$AB$1,0),FALSE)+FC_DATA!AB336)*0.5*FC_DATA!AG336),NA())</f>
        <v>#N/A</v>
      </c>
      <c r="AI336" s="491" t="e">
        <f ca="1">IF(V336="PARTNER.com",AH336,IF(AND(V336=V335,W336=W335),(1-AVERAGE(AD335,AD336))*AH336,(1-AVERAGE(AD336,VLOOKUP(_xlfn.CONCAT(U336,V336,W336,X336,M_BRAND_FC!$F$6),FC_DATA!$R$2:$AD$5000,MATCH("DISCOUNT_%_M",FC_DATA!$R$1:$AD$1,0),FALSE)))*AH336))</f>
        <v>#N/A</v>
      </c>
      <c r="AJ336" s="412" t="str">
        <f t="shared" ca="1" si="140"/>
        <v/>
      </c>
      <c r="AK336" s="413" t="str">
        <f>IFERROR(AE336/(Q_BRAND_FC!$T$24+1),"")</f>
        <v/>
      </c>
      <c r="AL336" s="88" t="str">
        <f t="shared" ca="1" si="141"/>
        <v/>
      </c>
      <c r="AM336" s="414" t="str">
        <f t="shared" ca="1" si="142"/>
        <v/>
      </c>
      <c r="AN336" s="58">
        <f>IFERROR(IF($V336="BRAND.com",HLOOKUP($X336&amp;$Z336,NWC_FC_NOOS!$C$4:$Q$23,MATCH(W336,NWC_FC_NOOS!$B$4:$B$23,0),FALSE),0),0)</f>
        <v>0</v>
      </c>
      <c r="AO336" s="57">
        <f>IFERROR(IF($V336="BRAND.com",HLOOKUP($X336&amp;$Z336,NWC_FC_NOOS!$T$4:$AH$23,MATCH(W336,NWC_FC_NOOS!$S$4:$S$23,0),FALSE),0),0)</f>
        <v>0</v>
      </c>
      <c r="AP336" s="57">
        <f>IFERROR(IF($V336="BRAND.com",HLOOKUP($X336&amp;$Z336,NWC_FC_NOOS!$C$50:$U$69,MATCH(W336,NWC_FC_NOOS!$B$50:$B$69,0),FALSE),0),0)</f>
        <v>0</v>
      </c>
      <c r="AQ336" s="58">
        <f>IFERROR(IF($V336="BRAND.com",HLOOKUP($X336&amp;$Z336,'NWC_FC_NON-NOOS'!$C$4:$Q$23,MATCH(W336,'NWC_FC_NON-NOOS'!$B$4:$B$23,0),FALSE),0),0)</f>
        <v>0</v>
      </c>
      <c r="AR336" s="57">
        <f>IFERROR(IF($V336="BRAND.com",HLOOKUP($X336&amp;$Z336,'NWC_FC_NON-NOOS'!$T$4:$AH$23,MATCH(W336,'NWC_FC_NON-NOOS'!$S$4:$S$23,0),FALSE),0),0)</f>
        <v>0</v>
      </c>
      <c r="AS336" s="57">
        <f>IFERROR(IF($V336="BRAND.com",HLOOKUP($X336&amp;$Z336,'NWC_FC_NON-NOOS'!$C$50:$U$69,MATCH(W336,'NWC_FC_NON-NOOS'!$B$50:$B$69,0),FALSE),0),0)</f>
        <v>0</v>
      </c>
      <c r="AT336" s="57">
        <f t="shared" si="144"/>
        <v>0</v>
      </c>
      <c r="AU336" s="57">
        <f t="shared" si="145"/>
        <v>0</v>
      </c>
      <c r="AV336" s="58">
        <f>IFERROR(IF($V336="BRAND.com",HLOOKUP($X336&amp;$Z336,PLANNING_FC!$BB$27:$BP$46,MATCH($W336,PLANNING_FC!$BA$27:$BA$46,0),FALSE),0),0)</f>
        <v>0</v>
      </c>
      <c r="AW336" s="58">
        <f>IFERROR(IF($V336="BRAND.com",HLOOKUP($X336&amp;$Z336,PLANNING_FC!$BB$4:$BP$23,MATCH($W336,PLANNING_FC!$BA$4:$BA$23,0),FALSE),0),0)</f>
        <v>0</v>
      </c>
      <c r="AX336" s="58">
        <f>IFERROR(IF($V336="BRAND.com",HLOOKUP($X336&amp;$Z336,PLANNING_FC!$T$27:$AH$46,MATCH($W336,PLANNING_FC!$B$27:$B$46,0),FALSE),0),0)</f>
        <v>0</v>
      </c>
      <c r="AY336" s="58">
        <f>IFERROR(IF($V336="BRAND.com",HLOOKUP($X336&amp;$Z336,PLANNING_FC!$T$4:$AH$23,MATCH($W336,PLANNING_FC!$B$4:$B$23,0),FALSE),0),0)</f>
        <v>0</v>
      </c>
      <c r="AZ336" s="58">
        <f>IFERROR(IF($V336="BRAND.com",HLOOKUP($X336&amp;$Z336,PLANNING_FC!$DA$27:$DO$46,MATCH($W336,PLANNING_FC!$CZ$27:$CZ$46,0),FALSE),0),0)</f>
        <v>0</v>
      </c>
      <c r="BA336" s="58">
        <f>IFERROR(IF($V336="BRAND.com",HLOOKUP($X336&amp;$Z336,PLANNING_FC!$DA$4:$DO$23,MATCH($W336,PLANNING_FC!$CZ$4:$CZ$23,0),FALSE),0),0)</f>
        <v>0</v>
      </c>
      <c r="BB336" s="883" t="str">
        <f>IF(V336="BRAND.com",IFERROR(HLOOKUP(X336&amp;Z336,PLANNING_FC!$AK$4:$AY$23,MATCH(W336,PLANNING_FC!$AJ$4:$AJ$23,0),FALSE)*1000,""),"")</f>
        <v/>
      </c>
      <c r="BC336" s="883" t="str">
        <f>IF(V336="BRAND.com",IFERROR(HLOOKUP(X336&amp;Z336,PLANNING_FC!$AK$27:$AY$46,MATCH(W336,PLANNING_FC!$AJ$27:$AJ$46,0),FALSE)*1000,""),"")</f>
        <v/>
      </c>
    </row>
    <row r="337" spans="1:55" x14ac:dyDescent="0.25">
      <c r="A337" s="509"/>
      <c r="B337" s="509"/>
      <c r="C337" s="509"/>
      <c r="D337" s="509"/>
      <c r="E337" s="509"/>
      <c r="F337" s="509"/>
      <c r="G337" s="509"/>
      <c r="H337" s="509"/>
      <c r="I337" s="512"/>
      <c r="J337" s="513"/>
      <c r="K337" s="879"/>
      <c r="L337" s="515"/>
      <c r="M337" s="516"/>
      <c r="N337" s="56">
        <f t="shared" si="126"/>
        <v>0</v>
      </c>
      <c r="O337" s="57">
        <f t="shared" si="127"/>
        <v>0</v>
      </c>
      <c r="P337" s="57">
        <f ca="1">IFERROR(IF(ISBLANK(H337),SUMIFS($AC:$AC,$V:$V,V337,$W:$W,W337,$X:$X,X337,$Y:$Y,Y337)*J337/(1-J337)*VLOOKUP(_xlfn.CONCAT(C337,D337,E337,TIME!$M$12,Z337),HIS_SALES!$B$2:$W$4859,20,FALSE),AC337*J337/(1-J337)),0)</f>
        <v>0</v>
      </c>
      <c r="Q337" s="541" t="str">
        <f t="shared" si="128"/>
        <v/>
      </c>
      <c r="R337" s="346" t="str">
        <f t="shared" si="129"/>
        <v>00000</v>
      </c>
      <c r="S337" s="344">
        <f t="shared" si="130"/>
        <v>0</v>
      </c>
      <c r="T337" s="345" t="str">
        <f t="shared" si="143"/>
        <v>000</v>
      </c>
      <c r="U337" s="345">
        <f t="shared" si="131"/>
        <v>0</v>
      </c>
      <c r="V337" s="345">
        <f t="shared" si="132"/>
        <v>0</v>
      </c>
      <c r="W337" s="345">
        <f t="shared" si="133"/>
        <v>0</v>
      </c>
      <c r="X337" s="345">
        <f t="shared" si="134"/>
        <v>0</v>
      </c>
      <c r="Y337" s="345">
        <f t="shared" si="135"/>
        <v>0</v>
      </c>
      <c r="Z337" s="345">
        <f>IF(Q337&lt;&gt;"",VLOOKUP(Y337,TIME!$R$21:$V$24,MATCH(FC_DATA!Q337,TIME!$R$20:$V$20,0),FALSE),H337)</f>
        <v>0</v>
      </c>
      <c r="AA337" s="345" t="str">
        <f>IFERROR(VLOOKUP(X337&amp;Z337,TIME!$A$12:$D$71,4,FALSE),"")</f>
        <v/>
      </c>
      <c r="AB337" s="592">
        <f t="shared" ca="1" si="136"/>
        <v>0</v>
      </c>
      <c r="AC337" s="593" t="e">
        <f ca="1">IF(ISBLANK(H337)=FALSE,IF(D337="BRAND.com",I337,IF(ISNA(VLOOKUP(_xlfn.CONCAT(X337,Z337),TIME!$M$40:$M$42,1,FALSE)),I337,VLOOKUP(_xlfn.CONCAT(D337,G337,H337),M_BUSAREA_FC!$AF$5:$AJ$10,5,FALSE)*HLOOKUP(_xlfn.CONCAT(F337,H337),ST_OVERVIEW!$G$99:$I$130,MATCH(_xlfn.CONCAT(D337,E337),ST_OVERVIEW!$F$99:$F$130,0),FALSE))),IF(D337="BRAND.com",VLOOKUP(_xlfn.CONCAT(C337,D337,E337,TIME!$F$1,Z337),HIS_SALES!$B$2:$V$4859,19,FALSE)*I337,VLOOKUP(_xlfn.CONCAT(D337,F337,G337),Q_BUSAREA_FC!$AE$5:$AI$12,5,FALSE)*HLOOKUP(_xlfn.CONCAT(FC_DATA!F337,FC_DATA!G337),LT_OVERVIEW!$I$99:$M$130,MATCH(_xlfn.CONCAT(D337,FC_DATA!E337),LT_OVERVIEW!$H$99:$H$130,0),FALSE)*IFERROR(VLOOKUP(_xlfn.CONCAT(C337,D337,E337,TIME!$F$1,Z337),HIS_SALES!$B$2:$V$4859,19,FALSE),0)))</f>
        <v>#N/A</v>
      </c>
      <c r="AD337" s="341">
        <f t="shared" ca="1" si="137"/>
        <v>0</v>
      </c>
      <c r="AE337" s="363" t="str">
        <f t="shared" si="138"/>
        <v/>
      </c>
      <c r="AF337" s="342" t="str">
        <f t="shared" si="139"/>
        <v/>
      </c>
      <c r="AG337" s="411" t="e">
        <f ca="1">VLOOKUP(_xlfn.CONCAT(U337,V337,W337,VLOOKUP(X337&amp;Y337,TIME!$L$27:$O$34,4,FALSE),Y337),HIS_SALES!$A$2:$R$5093,18,FALSE)</f>
        <v>#N/A</v>
      </c>
      <c r="AH337" s="412" t="e">
        <f ca="1">IFERROR(IF(AND(V337=V336,W337=W336),0.5*(AB337+AB336)*AG337,(VLOOKUP(_xlfn.CONCAT(U337,V337,W337,X337,VLOOKUP(Z337,TIME!$S$28:$T$39,2,FALSE)),FC_DATA!$R$2:$AB$5000,MATCH("GS_I_M",FC_DATA!$R$1:$AB$1,0),FALSE)+FC_DATA!AB337)*0.5*FC_DATA!AG337),NA())</f>
        <v>#N/A</v>
      </c>
      <c r="AI337" s="491" t="e">
        <f ca="1">IF(V337="PARTNER.com",AH337,IF(AND(V337=V336,W337=W336),(1-AVERAGE(AD336,AD337))*AH337,(1-AVERAGE(AD337,VLOOKUP(_xlfn.CONCAT(U337,V337,W337,X337,M_BRAND_FC!$F$6),FC_DATA!$R$2:$AD$5000,MATCH("DISCOUNT_%_M",FC_DATA!$R$1:$AD$1,0),FALSE)))*AH337))</f>
        <v>#N/A</v>
      </c>
      <c r="AJ337" s="412" t="str">
        <f t="shared" ca="1" si="140"/>
        <v/>
      </c>
      <c r="AK337" s="413" t="str">
        <f>IFERROR(AE337/(Q_BRAND_FC!$T$24+1),"")</f>
        <v/>
      </c>
      <c r="AL337" s="88" t="str">
        <f t="shared" ca="1" si="141"/>
        <v/>
      </c>
      <c r="AM337" s="414" t="str">
        <f t="shared" ca="1" si="142"/>
        <v/>
      </c>
      <c r="AN337" s="58">
        <f>IFERROR(IF($V337="BRAND.com",HLOOKUP($X337&amp;$Z337,NWC_FC_NOOS!$C$4:$Q$23,MATCH(W337,NWC_FC_NOOS!$B$4:$B$23,0),FALSE),0),0)</f>
        <v>0</v>
      </c>
      <c r="AO337" s="57">
        <f>IFERROR(IF($V337="BRAND.com",HLOOKUP($X337&amp;$Z337,NWC_FC_NOOS!$T$4:$AH$23,MATCH(W337,NWC_FC_NOOS!$S$4:$S$23,0),FALSE),0),0)</f>
        <v>0</v>
      </c>
      <c r="AP337" s="57">
        <f>IFERROR(IF($V337="BRAND.com",HLOOKUP($X337&amp;$Z337,NWC_FC_NOOS!$C$50:$U$69,MATCH(W337,NWC_FC_NOOS!$B$50:$B$69,0),FALSE),0),0)</f>
        <v>0</v>
      </c>
      <c r="AQ337" s="58">
        <f>IFERROR(IF($V337="BRAND.com",HLOOKUP($X337&amp;$Z337,'NWC_FC_NON-NOOS'!$C$4:$Q$23,MATCH(W337,'NWC_FC_NON-NOOS'!$B$4:$B$23,0),FALSE),0),0)</f>
        <v>0</v>
      </c>
      <c r="AR337" s="57">
        <f>IFERROR(IF($V337="BRAND.com",HLOOKUP($X337&amp;$Z337,'NWC_FC_NON-NOOS'!$T$4:$AH$23,MATCH(W337,'NWC_FC_NON-NOOS'!$S$4:$S$23,0),FALSE),0),0)</f>
        <v>0</v>
      </c>
      <c r="AS337" s="57">
        <f>IFERROR(IF($V337="BRAND.com",HLOOKUP($X337&amp;$Z337,'NWC_FC_NON-NOOS'!$C$50:$U$69,MATCH(W337,'NWC_FC_NON-NOOS'!$B$50:$B$69,0),FALSE),0),0)</f>
        <v>0</v>
      </c>
      <c r="AT337" s="57">
        <f t="shared" si="144"/>
        <v>0</v>
      </c>
      <c r="AU337" s="57">
        <f t="shared" si="145"/>
        <v>0</v>
      </c>
      <c r="AV337" s="58">
        <f>IFERROR(IF($V337="BRAND.com",HLOOKUP($X337&amp;$Z337,PLANNING_FC!$BB$27:$BP$46,MATCH($W337,PLANNING_FC!$BA$27:$BA$46,0),FALSE),0),0)</f>
        <v>0</v>
      </c>
      <c r="AW337" s="58">
        <f>IFERROR(IF($V337="BRAND.com",HLOOKUP($X337&amp;$Z337,PLANNING_FC!$BB$4:$BP$23,MATCH($W337,PLANNING_FC!$BA$4:$BA$23,0),FALSE),0),0)</f>
        <v>0</v>
      </c>
      <c r="AX337" s="58">
        <f>IFERROR(IF($V337="BRAND.com",HLOOKUP($X337&amp;$Z337,PLANNING_FC!$T$27:$AH$46,MATCH($W337,PLANNING_FC!$B$27:$B$46,0),FALSE),0),0)</f>
        <v>0</v>
      </c>
      <c r="AY337" s="58">
        <f>IFERROR(IF($V337="BRAND.com",HLOOKUP($X337&amp;$Z337,PLANNING_FC!$T$4:$AH$23,MATCH($W337,PLANNING_FC!$B$4:$B$23,0),FALSE),0),0)</f>
        <v>0</v>
      </c>
      <c r="AZ337" s="58">
        <f>IFERROR(IF($V337="BRAND.com",HLOOKUP($X337&amp;$Z337,PLANNING_FC!$DA$27:$DO$46,MATCH($W337,PLANNING_FC!$CZ$27:$CZ$46,0),FALSE),0),0)</f>
        <v>0</v>
      </c>
      <c r="BA337" s="58">
        <f>IFERROR(IF($V337="BRAND.com",HLOOKUP($X337&amp;$Z337,PLANNING_FC!$DA$4:$DO$23,MATCH($W337,PLANNING_FC!$CZ$4:$CZ$23,0),FALSE),0),0)</f>
        <v>0</v>
      </c>
      <c r="BB337" s="883" t="str">
        <f>IF(V337="BRAND.com",IFERROR(HLOOKUP(X337&amp;Z337,PLANNING_FC!$AK$4:$AY$23,MATCH(W337,PLANNING_FC!$AJ$4:$AJ$23,0),FALSE)*1000,""),"")</f>
        <v/>
      </c>
      <c r="BC337" s="883" t="str">
        <f>IF(V337="BRAND.com",IFERROR(HLOOKUP(X337&amp;Z337,PLANNING_FC!$AK$27:$AY$46,MATCH(W337,PLANNING_FC!$AJ$27:$AJ$46,0),FALSE)*1000,""),"")</f>
        <v/>
      </c>
    </row>
    <row r="338" spans="1:55" x14ac:dyDescent="0.25">
      <c r="A338" s="509"/>
      <c r="B338" s="509"/>
      <c r="C338" s="509"/>
      <c r="D338" s="509"/>
      <c r="E338" s="509"/>
      <c r="F338" s="509"/>
      <c r="G338" s="509"/>
      <c r="H338" s="509"/>
      <c r="I338" s="512"/>
      <c r="J338" s="513"/>
      <c r="K338" s="879"/>
      <c r="L338" s="515"/>
      <c r="M338" s="516"/>
      <c r="N338" s="56">
        <f t="shared" si="126"/>
        <v>0</v>
      </c>
      <c r="O338" s="57">
        <f t="shared" si="127"/>
        <v>0</v>
      </c>
      <c r="P338" s="57">
        <f ca="1">IFERROR(IF(ISBLANK(H338),SUMIFS($AC:$AC,$V:$V,V338,$W:$W,W338,$X:$X,X338,$Y:$Y,Y338)*J338/(1-J338)*VLOOKUP(_xlfn.CONCAT(C338,D338,E338,TIME!$M$12,Z338),HIS_SALES!$B$2:$W$4859,20,FALSE),AC338*J338/(1-J338)),0)</f>
        <v>0</v>
      </c>
      <c r="Q338" s="541" t="str">
        <f t="shared" si="128"/>
        <v/>
      </c>
      <c r="R338" s="346" t="str">
        <f t="shared" si="129"/>
        <v>00000</v>
      </c>
      <c r="S338" s="344">
        <f t="shared" si="130"/>
        <v>0</v>
      </c>
      <c r="T338" s="345" t="str">
        <f t="shared" si="143"/>
        <v>000</v>
      </c>
      <c r="U338" s="345">
        <f t="shared" si="131"/>
        <v>0</v>
      </c>
      <c r="V338" s="345">
        <f t="shared" si="132"/>
        <v>0</v>
      </c>
      <c r="W338" s="345">
        <f t="shared" si="133"/>
        <v>0</v>
      </c>
      <c r="X338" s="345">
        <f t="shared" si="134"/>
        <v>0</v>
      </c>
      <c r="Y338" s="345">
        <f t="shared" si="135"/>
        <v>0</v>
      </c>
      <c r="Z338" s="345">
        <f>IF(Q338&lt;&gt;"",VLOOKUP(Y338,TIME!$R$21:$V$24,MATCH(FC_DATA!Q338,TIME!$R$20:$V$20,0),FALSE),H338)</f>
        <v>0</v>
      </c>
      <c r="AA338" s="345" t="str">
        <f>IFERROR(VLOOKUP(X338&amp;Z338,TIME!$A$12:$D$71,4,FALSE),"")</f>
        <v/>
      </c>
      <c r="AB338" s="592">
        <f t="shared" ca="1" si="136"/>
        <v>0</v>
      </c>
      <c r="AC338" s="593" t="e">
        <f ca="1">IF(ISBLANK(H338)=FALSE,IF(D338="BRAND.com",I338,IF(ISNA(VLOOKUP(_xlfn.CONCAT(X338,Z338),TIME!$M$40:$M$42,1,FALSE)),I338,VLOOKUP(_xlfn.CONCAT(D338,G338,H338),M_BUSAREA_FC!$AF$5:$AJ$10,5,FALSE)*HLOOKUP(_xlfn.CONCAT(F338,H338),ST_OVERVIEW!$G$99:$I$130,MATCH(_xlfn.CONCAT(D338,E338),ST_OVERVIEW!$F$99:$F$130,0),FALSE))),IF(D338="BRAND.com",VLOOKUP(_xlfn.CONCAT(C338,D338,E338,TIME!$F$1,Z338),HIS_SALES!$B$2:$V$4859,19,FALSE)*I338,VLOOKUP(_xlfn.CONCAT(D338,F338,G338),Q_BUSAREA_FC!$AE$5:$AI$12,5,FALSE)*HLOOKUP(_xlfn.CONCAT(FC_DATA!F338,FC_DATA!G338),LT_OVERVIEW!$I$99:$M$130,MATCH(_xlfn.CONCAT(D338,FC_DATA!E338),LT_OVERVIEW!$H$99:$H$130,0),FALSE)*IFERROR(VLOOKUP(_xlfn.CONCAT(C338,D338,E338,TIME!$F$1,Z338),HIS_SALES!$B$2:$V$4859,19,FALSE),0)))</f>
        <v>#N/A</v>
      </c>
      <c r="AD338" s="341">
        <f t="shared" ca="1" si="137"/>
        <v>0</v>
      </c>
      <c r="AE338" s="363" t="str">
        <f t="shared" si="138"/>
        <v/>
      </c>
      <c r="AF338" s="342" t="str">
        <f t="shared" si="139"/>
        <v/>
      </c>
      <c r="AG338" s="411" t="e">
        <f ca="1">VLOOKUP(_xlfn.CONCAT(U338,V338,W338,VLOOKUP(X338&amp;Y338,TIME!$L$27:$O$34,4,FALSE),Y338),HIS_SALES!$A$2:$R$5093,18,FALSE)</f>
        <v>#N/A</v>
      </c>
      <c r="AH338" s="412" t="e">
        <f ca="1">IFERROR(IF(AND(V338=V337,W338=W337),0.5*(AB338+AB337)*AG338,(VLOOKUP(_xlfn.CONCAT(U338,V338,W338,X338,VLOOKUP(Z338,TIME!$S$28:$T$39,2,FALSE)),FC_DATA!$R$2:$AB$5000,MATCH("GS_I_M",FC_DATA!$R$1:$AB$1,0),FALSE)+FC_DATA!AB338)*0.5*FC_DATA!AG338),NA())</f>
        <v>#N/A</v>
      </c>
      <c r="AI338" s="491" t="e">
        <f ca="1">IF(V338="PARTNER.com",AH338,IF(AND(V338=V337,W338=W337),(1-AVERAGE(AD337,AD338))*AH338,(1-AVERAGE(AD338,VLOOKUP(_xlfn.CONCAT(U338,V338,W338,X338,M_BRAND_FC!$F$6),FC_DATA!$R$2:$AD$5000,MATCH("DISCOUNT_%_M",FC_DATA!$R$1:$AD$1,0),FALSE)))*AH338))</f>
        <v>#N/A</v>
      </c>
      <c r="AJ338" s="412" t="str">
        <f t="shared" ca="1" si="140"/>
        <v/>
      </c>
      <c r="AK338" s="413" t="str">
        <f>IFERROR(AE338/(Q_BRAND_FC!$T$24+1),"")</f>
        <v/>
      </c>
      <c r="AL338" s="88" t="str">
        <f t="shared" ca="1" si="141"/>
        <v/>
      </c>
      <c r="AM338" s="414" t="str">
        <f t="shared" ca="1" si="142"/>
        <v/>
      </c>
      <c r="AN338" s="58">
        <f>IFERROR(IF($V338="BRAND.com",HLOOKUP($X338&amp;$Z338,NWC_FC_NOOS!$C$4:$Q$23,MATCH(W338,NWC_FC_NOOS!$B$4:$B$23,0),FALSE),0),0)</f>
        <v>0</v>
      </c>
      <c r="AO338" s="57">
        <f>IFERROR(IF($V338="BRAND.com",HLOOKUP($X338&amp;$Z338,NWC_FC_NOOS!$T$4:$AH$23,MATCH(W338,NWC_FC_NOOS!$S$4:$S$23,0),FALSE),0),0)</f>
        <v>0</v>
      </c>
      <c r="AP338" s="57">
        <f>IFERROR(IF($V338="BRAND.com",HLOOKUP($X338&amp;$Z338,NWC_FC_NOOS!$C$50:$U$69,MATCH(W338,NWC_FC_NOOS!$B$50:$B$69,0),FALSE),0),0)</f>
        <v>0</v>
      </c>
      <c r="AQ338" s="58">
        <f>IFERROR(IF($V338="BRAND.com",HLOOKUP($X338&amp;$Z338,'NWC_FC_NON-NOOS'!$C$4:$Q$23,MATCH(W338,'NWC_FC_NON-NOOS'!$B$4:$B$23,0),FALSE),0),0)</f>
        <v>0</v>
      </c>
      <c r="AR338" s="57">
        <f>IFERROR(IF($V338="BRAND.com",HLOOKUP($X338&amp;$Z338,'NWC_FC_NON-NOOS'!$T$4:$AH$23,MATCH(W338,'NWC_FC_NON-NOOS'!$S$4:$S$23,0),FALSE),0),0)</f>
        <v>0</v>
      </c>
      <c r="AS338" s="57">
        <f>IFERROR(IF($V338="BRAND.com",HLOOKUP($X338&amp;$Z338,'NWC_FC_NON-NOOS'!$C$50:$U$69,MATCH(W338,'NWC_FC_NON-NOOS'!$B$50:$B$69,0),FALSE),0),0)</f>
        <v>0</v>
      </c>
      <c r="AT338" s="57">
        <f t="shared" si="144"/>
        <v>0</v>
      </c>
      <c r="AU338" s="57">
        <f t="shared" si="145"/>
        <v>0</v>
      </c>
      <c r="AV338" s="58">
        <f>IFERROR(IF($V338="BRAND.com",HLOOKUP($X338&amp;$Z338,PLANNING_FC!$BB$27:$BP$46,MATCH($W338,PLANNING_FC!$BA$27:$BA$46,0),FALSE),0),0)</f>
        <v>0</v>
      </c>
      <c r="AW338" s="58">
        <f>IFERROR(IF($V338="BRAND.com",HLOOKUP($X338&amp;$Z338,PLANNING_FC!$BB$4:$BP$23,MATCH($W338,PLANNING_FC!$BA$4:$BA$23,0),FALSE),0),0)</f>
        <v>0</v>
      </c>
      <c r="AX338" s="58">
        <f>IFERROR(IF($V338="BRAND.com",HLOOKUP($X338&amp;$Z338,PLANNING_FC!$T$27:$AH$46,MATCH($W338,PLANNING_FC!$B$27:$B$46,0),FALSE),0),0)</f>
        <v>0</v>
      </c>
      <c r="AY338" s="58">
        <f>IFERROR(IF($V338="BRAND.com",HLOOKUP($X338&amp;$Z338,PLANNING_FC!$T$4:$AH$23,MATCH($W338,PLANNING_FC!$B$4:$B$23,0),FALSE),0),0)</f>
        <v>0</v>
      </c>
      <c r="AZ338" s="58">
        <f>IFERROR(IF($V338="BRAND.com",HLOOKUP($X338&amp;$Z338,PLANNING_FC!$DA$27:$DO$46,MATCH($W338,PLANNING_FC!$CZ$27:$CZ$46,0),FALSE),0),0)</f>
        <v>0</v>
      </c>
      <c r="BA338" s="58">
        <f>IFERROR(IF($V338="BRAND.com",HLOOKUP($X338&amp;$Z338,PLANNING_FC!$DA$4:$DO$23,MATCH($W338,PLANNING_FC!$CZ$4:$CZ$23,0),FALSE),0),0)</f>
        <v>0</v>
      </c>
      <c r="BB338" s="883" t="str">
        <f>IF(V338="BRAND.com",IFERROR(HLOOKUP(X338&amp;Z338,PLANNING_FC!$AK$4:$AY$23,MATCH(W338,PLANNING_FC!$AJ$4:$AJ$23,0),FALSE)*1000,""),"")</f>
        <v/>
      </c>
      <c r="BC338" s="883" t="str">
        <f>IF(V338="BRAND.com",IFERROR(HLOOKUP(X338&amp;Z338,PLANNING_FC!$AK$27:$AY$46,MATCH(W338,PLANNING_FC!$AJ$27:$AJ$46,0),FALSE)*1000,""),"")</f>
        <v/>
      </c>
    </row>
    <row r="339" spans="1:55" x14ac:dyDescent="0.25">
      <c r="A339" s="509"/>
      <c r="B339" s="509"/>
      <c r="C339" s="509"/>
      <c r="D339" s="509"/>
      <c r="E339" s="509"/>
      <c r="F339" s="509"/>
      <c r="G339" s="509"/>
      <c r="H339" s="509"/>
      <c r="I339" s="512"/>
      <c r="J339" s="513"/>
      <c r="K339" s="879"/>
      <c r="L339" s="515"/>
      <c r="M339" s="516"/>
      <c r="N339" s="56">
        <f t="shared" si="126"/>
        <v>0</v>
      </c>
      <c r="O339" s="57">
        <f t="shared" si="127"/>
        <v>0</v>
      </c>
      <c r="P339" s="57">
        <f ca="1">IFERROR(IF(ISBLANK(H339),SUMIFS($AC:$AC,$V:$V,V339,$W:$W,W339,$X:$X,X339,$Y:$Y,Y339)*J339/(1-J339)*VLOOKUP(_xlfn.CONCAT(C339,D339,E339,TIME!$M$12,Z339),HIS_SALES!$B$2:$W$4859,20,FALSE),AC339*J339/(1-J339)),0)</f>
        <v>0</v>
      </c>
      <c r="Q339" s="541" t="str">
        <f t="shared" si="128"/>
        <v/>
      </c>
      <c r="R339" s="346" t="str">
        <f t="shared" si="129"/>
        <v>00000</v>
      </c>
      <c r="S339" s="344">
        <f t="shared" si="130"/>
        <v>0</v>
      </c>
      <c r="T339" s="345" t="str">
        <f t="shared" si="143"/>
        <v>000</v>
      </c>
      <c r="U339" s="345">
        <f t="shared" si="131"/>
        <v>0</v>
      </c>
      <c r="V339" s="345">
        <f t="shared" si="132"/>
        <v>0</v>
      </c>
      <c r="W339" s="345">
        <f t="shared" si="133"/>
        <v>0</v>
      </c>
      <c r="X339" s="345">
        <f t="shared" si="134"/>
        <v>0</v>
      </c>
      <c r="Y339" s="345">
        <f t="shared" si="135"/>
        <v>0</v>
      </c>
      <c r="Z339" s="345">
        <f>IF(Q339&lt;&gt;"",VLOOKUP(Y339,TIME!$R$21:$V$24,MATCH(FC_DATA!Q339,TIME!$R$20:$V$20,0),FALSE),H339)</f>
        <v>0</v>
      </c>
      <c r="AA339" s="345" t="str">
        <f>IFERROR(VLOOKUP(X339&amp;Z339,TIME!$A$12:$D$71,4,FALSE),"")</f>
        <v/>
      </c>
      <c r="AB339" s="592">
        <f t="shared" ca="1" si="136"/>
        <v>0</v>
      </c>
      <c r="AC339" s="593" t="e">
        <f ca="1">IF(ISBLANK(H339)=FALSE,IF(D339="BRAND.com",I339,IF(ISNA(VLOOKUP(_xlfn.CONCAT(X339,Z339),TIME!$M$40:$M$42,1,FALSE)),I339,VLOOKUP(_xlfn.CONCAT(D339,G339,H339),M_BUSAREA_FC!$AF$5:$AJ$10,5,FALSE)*HLOOKUP(_xlfn.CONCAT(F339,H339),ST_OVERVIEW!$G$99:$I$130,MATCH(_xlfn.CONCAT(D339,E339),ST_OVERVIEW!$F$99:$F$130,0),FALSE))),IF(D339="BRAND.com",VLOOKUP(_xlfn.CONCAT(C339,D339,E339,TIME!$F$1,Z339),HIS_SALES!$B$2:$V$4859,19,FALSE)*I339,VLOOKUP(_xlfn.CONCAT(D339,F339,G339),Q_BUSAREA_FC!$AE$5:$AI$12,5,FALSE)*HLOOKUP(_xlfn.CONCAT(FC_DATA!F339,FC_DATA!G339),LT_OVERVIEW!$I$99:$M$130,MATCH(_xlfn.CONCAT(D339,FC_DATA!E339),LT_OVERVIEW!$H$99:$H$130,0),FALSE)*IFERROR(VLOOKUP(_xlfn.CONCAT(C339,D339,E339,TIME!$F$1,Z339),HIS_SALES!$B$2:$V$4859,19,FALSE),0)))</f>
        <v>#N/A</v>
      </c>
      <c r="AD339" s="341">
        <f t="shared" ca="1" si="137"/>
        <v>0</v>
      </c>
      <c r="AE339" s="363" t="str">
        <f t="shared" si="138"/>
        <v/>
      </c>
      <c r="AF339" s="342" t="str">
        <f t="shared" si="139"/>
        <v/>
      </c>
      <c r="AG339" s="411" t="e">
        <f ca="1">VLOOKUP(_xlfn.CONCAT(U339,V339,W339,VLOOKUP(X339&amp;Y339,TIME!$L$27:$O$34,4,FALSE),Y339),HIS_SALES!$A$2:$R$5093,18,FALSE)</f>
        <v>#N/A</v>
      </c>
      <c r="AH339" s="412" t="e">
        <f ca="1">IFERROR(IF(AND(V339=V338,W339=W338),0.5*(AB339+AB338)*AG339,(VLOOKUP(_xlfn.CONCAT(U339,V339,W339,X339,VLOOKUP(Z339,TIME!$S$28:$T$39,2,FALSE)),FC_DATA!$R$2:$AB$5000,MATCH("GS_I_M",FC_DATA!$R$1:$AB$1,0),FALSE)+FC_DATA!AB339)*0.5*FC_DATA!AG339),NA())</f>
        <v>#N/A</v>
      </c>
      <c r="AI339" s="491" t="e">
        <f ca="1">IF(V339="PARTNER.com",AH339,IF(AND(V339=V338,W339=W338),(1-AVERAGE(AD338,AD339))*AH339,(1-AVERAGE(AD339,VLOOKUP(_xlfn.CONCAT(U339,V339,W339,X339,M_BRAND_FC!$F$6),FC_DATA!$R$2:$AD$5000,MATCH("DISCOUNT_%_M",FC_DATA!$R$1:$AD$1,0),FALSE)))*AH339))</f>
        <v>#N/A</v>
      </c>
      <c r="AJ339" s="412" t="str">
        <f t="shared" ca="1" si="140"/>
        <v/>
      </c>
      <c r="AK339" s="413" t="str">
        <f>IFERROR(AE339/(Q_BRAND_FC!$T$24+1),"")</f>
        <v/>
      </c>
      <c r="AL339" s="88" t="str">
        <f t="shared" ca="1" si="141"/>
        <v/>
      </c>
      <c r="AM339" s="414" t="str">
        <f t="shared" ca="1" si="142"/>
        <v/>
      </c>
      <c r="AN339" s="58">
        <f>IFERROR(IF($V339="BRAND.com",HLOOKUP($X339&amp;$Z339,NWC_FC_NOOS!$C$4:$Q$23,MATCH(W339,NWC_FC_NOOS!$B$4:$B$23,0),FALSE),0),0)</f>
        <v>0</v>
      </c>
      <c r="AO339" s="57">
        <f>IFERROR(IF($V339="BRAND.com",HLOOKUP($X339&amp;$Z339,NWC_FC_NOOS!$T$4:$AH$23,MATCH(W339,NWC_FC_NOOS!$S$4:$S$23,0),FALSE),0),0)</f>
        <v>0</v>
      </c>
      <c r="AP339" s="57">
        <f>IFERROR(IF($V339="BRAND.com",HLOOKUP($X339&amp;$Z339,NWC_FC_NOOS!$C$50:$U$69,MATCH(W339,NWC_FC_NOOS!$B$50:$B$69,0),FALSE),0),0)</f>
        <v>0</v>
      </c>
      <c r="AQ339" s="58">
        <f>IFERROR(IF($V339="BRAND.com",HLOOKUP($X339&amp;$Z339,'NWC_FC_NON-NOOS'!$C$4:$Q$23,MATCH(W339,'NWC_FC_NON-NOOS'!$B$4:$B$23,0),FALSE),0),0)</f>
        <v>0</v>
      </c>
      <c r="AR339" s="57">
        <f>IFERROR(IF($V339="BRAND.com",HLOOKUP($X339&amp;$Z339,'NWC_FC_NON-NOOS'!$T$4:$AH$23,MATCH(W339,'NWC_FC_NON-NOOS'!$S$4:$S$23,0),FALSE),0),0)</f>
        <v>0</v>
      </c>
      <c r="AS339" s="57">
        <f>IFERROR(IF($V339="BRAND.com",HLOOKUP($X339&amp;$Z339,'NWC_FC_NON-NOOS'!$C$50:$U$69,MATCH(W339,'NWC_FC_NON-NOOS'!$B$50:$B$69,0),FALSE),0),0)</f>
        <v>0</v>
      </c>
      <c r="AT339" s="57">
        <f t="shared" si="144"/>
        <v>0</v>
      </c>
      <c r="AU339" s="57">
        <f t="shared" si="145"/>
        <v>0</v>
      </c>
      <c r="AV339" s="58">
        <f>IFERROR(IF($V339="BRAND.com",HLOOKUP($X339&amp;$Z339,PLANNING_FC!$BB$27:$BP$46,MATCH($W339,PLANNING_FC!$BA$27:$BA$46,0),FALSE),0),0)</f>
        <v>0</v>
      </c>
      <c r="AW339" s="58">
        <f>IFERROR(IF($V339="BRAND.com",HLOOKUP($X339&amp;$Z339,PLANNING_FC!$BB$4:$BP$23,MATCH($W339,PLANNING_FC!$BA$4:$BA$23,0),FALSE),0),0)</f>
        <v>0</v>
      </c>
      <c r="AX339" s="58">
        <f>IFERROR(IF($V339="BRAND.com",HLOOKUP($X339&amp;$Z339,PLANNING_FC!$T$27:$AH$46,MATCH($W339,PLANNING_FC!$B$27:$B$46,0),FALSE),0),0)</f>
        <v>0</v>
      </c>
      <c r="AY339" s="58">
        <f>IFERROR(IF($V339="BRAND.com",HLOOKUP($X339&amp;$Z339,PLANNING_FC!$T$4:$AH$23,MATCH($W339,PLANNING_FC!$B$4:$B$23,0),FALSE),0),0)</f>
        <v>0</v>
      </c>
      <c r="AZ339" s="58">
        <f>IFERROR(IF($V339="BRAND.com",HLOOKUP($X339&amp;$Z339,PLANNING_FC!$DA$27:$DO$46,MATCH($W339,PLANNING_FC!$CZ$27:$CZ$46,0),FALSE),0),0)</f>
        <v>0</v>
      </c>
      <c r="BA339" s="58">
        <f>IFERROR(IF($V339="BRAND.com",HLOOKUP($X339&amp;$Z339,PLANNING_FC!$DA$4:$DO$23,MATCH($W339,PLANNING_FC!$CZ$4:$CZ$23,0),FALSE),0),0)</f>
        <v>0</v>
      </c>
      <c r="BB339" s="883" t="str">
        <f>IF(V339="BRAND.com",IFERROR(HLOOKUP(X339&amp;Z339,PLANNING_FC!$AK$4:$AY$23,MATCH(W339,PLANNING_FC!$AJ$4:$AJ$23,0),FALSE)*1000,""),"")</f>
        <v/>
      </c>
      <c r="BC339" s="883" t="str">
        <f>IF(V339="BRAND.com",IFERROR(HLOOKUP(X339&amp;Z339,PLANNING_FC!$AK$27:$AY$46,MATCH(W339,PLANNING_FC!$AJ$27:$AJ$46,0),FALSE)*1000,""),"")</f>
        <v/>
      </c>
    </row>
    <row r="340" spans="1:55" x14ac:dyDescent="0.25">
      <c r="A340" s="509"/>
      <c r="B340" s="509"/>
      <c r="C340" s="509"/>
      <c r="D340" s="509"/>
      <c r="E340" s="509"/>
      <c r="F340" s="509"/>
      <c r="G340" s="509"/>
      <c r="H340" s="509"/>
      <c r="I340" s="512"/>
      <c r="J340" s="513"/>
      <c r="K340" s="879"/>
      <c r="L340" s="515"/>
      <c r="M340" s="516"/>
      <c r="N340" s="56">
        <f t="shared" si="126"/>
        <v>0</v>
      </c>
      <c r="O340" s="57">
        <f t="shared" si="127"/>
        <v>0</v>
      </c>
      <c r="P340" s="57">
        <f ca="1">IFERROR(IF(ISBLANK(H340),SUMIFS($AC:$AC,$V:$V,V340,$W:$W,W340,$X:$X,X340,$Y:$Y,Y340)*J340/(1-J340)*VLOOKUP(_xlfn.CONCAT(C340,D340,E340,TIME!$M$12,Z340),HIS_SALES!$B$2:$W$4859,20,FALSE),AC340*J340/(1-J340)),0)</f>
        <v>0</v>
      </c>
      <c r="Q340" s="541" t="str">
        <f t="shared" si="128"/>
        <v/>
      </c>
      <c r="R340" s="346" t="str">
        <f t="shared" si="129"/>
        <v>00000</v>
      </c>
      <c r="S340" s="344">
        <f t="shared" si="130"/>
        <v>0</v>
      </c>
      <c r="T340" s="345" t="str">
        <f t="shared" si="143"/>
        <v>000</v>
      </c>
      <c r="U340" s="345">
        <f t="shared" si="131"/>
        <v>0</v>
      </c>
      <c r="V340" s="345">
        <f t="shared" si="132"/>
        <v>0</v>
      </c>
      <c r="W340" s="345">
        <f t="shared" si="133"/>
        <v>0</v>
      </c>
      <c r="X340" s="345">
        <f t="shared" si="134"/>
        <v>0</v>
      </c>
      <c r="Y340" s="345">
        <f t="shared" si="135"/>
        <v>0</v>
      </c>
      <c r="Z340" s="345">
        <f>IF(Q340&lt;&gt;"",VLOOKUP(Y340,TIME!$R$21:$V$24,MATCH(FC_DATA!Q340,TIME!$R$20:$V$20,0),FALSE),H340)</f>
        <v>0</v>
      </c>
      <c r="AA340" s="345" t="str">
        <f>IFERROR(VLOOKUP(X340&amp;Z340,TIME!$A$12:$D$71,4,FALSE),"")</f>
        <v/>
      </c>
      <c r="AB340" s="592">
        <f t="shared" ca="1" si="136"/>
        <v>0</v>
      </c>
      <c r="AC340" s="593" t="e">
        <f ca="1">IF(ISBLANK(H340)=FALSE,IF(D340="BRAND.com",I340,IF(ISNA(VLOOKUP(_xlfn.CONCAT(X340,Z340),TIME!$M$40:$M$42,1,FALSE)),I340,VLOOKUP(_xlfn.CONCAT(D340,G340,H340),M_BUSAREA_FC!$AF$5:$AJ$10,5,FALSE)*HLOOKUP(_xlfn.CONCAT(F340,H340),ST_OVERVIEW!$G$99:$I$130,MATCH(_xlfn.CONCAT(D340,E340),ST_OVERVIEW!$F$99:$F$130,0),FALSE))),IF(D340="BRAND.com",VLOOKUP(_xlfn.CONCAT(C340,D340,E340,TIME!$F$1,Z340),HIS_SALES!$B$2:$V$4859,19,FALSE)*I340,VLOOKUP(_xlfn.CONCAT(D340,F340,G340),Q_BUSAREA_FC!$AE$5:$AI$12,5,FALSE)*HLOOKUP(_xlfn.CONCAT(FC_DATA!F340,FC_DATA!G340),LT_OVERVIEW!$I$99:$M$130,MATCH(_xlfn.CONCAT(D340,FC_DATA!E340),LT_OVERVIEW!$H$99:$H$130,0),FALSE)*IFERROR(VLOOKUP(_xlfn.CONCAT(C340,D340,E340,TIME!$F$1,Z340),HIS_SALES!$B$2:$V$4859,19,FALSE),0)))</f>
        <v>#N/A</v>
      </c>
      <c r="AD340" s="341">
        <f t="shared" ca="1" si="137"/>
        <v>0</v>
      </c>
      <c r="AE340" s="363" t="str">
        <f t="shared" si="138"/>
        <v/>
      </c>
      <c r="AF340" s="342" t="str">
        <f t="shared" si="139"/>
        <v/>
      </c>
      <c r="AG340" s="411" t="e">
        <f ca="1">VLOOKUP(_xlfn.CONCAT(U340,V340,W340,VLOOKUP(X340&amp;Y340,TIME!$L$27:$O$34,4,FALSE),Y340),HIS_SALES!$A$2:$R$5093,18,FALSE)</f>
        <v>#N/A</v>
      </c>
      <c r="AH340" s="412" t="e">
        <f ca="1">IFERROR(IF(AND(V340=V339,W340=W339),0.5*(AB340+AB339)*AG340,(VLOOKUP(_xlfn.CONCAT(U340,V340,W340,X340,VLOOKUP(Z340,TIME!$S$28:$T$39,2,FALSE)),FC_DATA!$R$2:$AB$5000,MATCH("GS_I_M",FC_DATA!$R$1:$AB$1,0),FALSE)+FC_DATA!AB340)*0.5*FC_DATA!AG340),NA())</f>
        <v>#N/A</v>
      </c>
      <c r="AI340" s="491" t="e">
        <f ca="1">IF(V340="PARTNER.com",AH340,IF(AND(V340=V339,W340=W339),(1-AVERAGE(AD339,AD340))*AH340,(1-AVERAGE(AD340,VLOOKUP(_xlfn.CONCAT(U340,V340,W340,X340,M_BRAND_FC!$F$6),FC_DATA!$R$2:$AD$5000,MATCH("DISCOUNT_%_M",FC_DATA!$R$1:$AD$1,0),FALSE)))*AH340))</f>
        <v>#N/A</v>
      </c>
      <c r="AJ340" s="412" t="str">
        <f t="shared" ca="1" si="140"/>
        <v/>
      </c>
      <c r="AK340" s="413" t="str">
        <f>IFERROR(AE340/(Q_BRAND_FC!$T$24+1),"")</f>
        <v/>
      </c>
      <c r="AL340" s="88" t="str">
        <f t="shared" ca="1" si="141"/>
        <v/>
      </c>
      <c r="AM340" s="414" t="str">
        <f t="shared" ca="1" si="142"/>
        <v/>
      </c>
      <c r="AN340" s="58">
        <f>IFERROR(IF($V340="BRAND.com",HLOOKUP($X340&amp;$Z340,NWC_FC_NOOS!$C$4:$Q$23,MATCH(W340,NWC_FC_NOOS!$B$4:$B$23,0),FALSE),0),0)</f>
        <v>0</v>
      </c>
      <c r="AO340" s="57">
        <f>IFERROR(IF($V340="BRAND.com",HLOOKUP($X340&amp;$Z340,NWC_FC_NOOS!$T$4:$AH$23,MATCH(W340,NWC_FC_NOOS!$S$4:$S$23,0),FALSE),0),0)</f>
        <v>0</v>
      </c>
      <c r="AP340" s="57">
        <f>IFERROR(IF($V340="BRAND.com",HLOOKUP($X340&amp;$Z340,NWC_FC_NOOS!$C$50:$U$69,MATCH(W340,NWC_FC_NOOS!$B$50:$B$69,0),FALSE),0),0)</f>
        <v>0</v>
      </c>
      <c r="AQ340" s="58">
        <f>IFERROR(IF($V340="BRAND.com",HLOOKUP($X340&amp;$Z340,'NWC_FC_NON-NOOS'!$C$4:$Q$23,MATCH(W340,'NWC_FC_NON-NOOS'!$B$4:$B$23,0),FALSE),0),0)</f>
        <v>0</v>
      </c>
      <c r="AR340" s="57">
        <f>IFERROR(IF($V340="BRAND.com",HLOOKUP($X340&amp;$Z340,'NWC_FC_NON-NOOS'!$T$4:$AH$23,MATCH(W340,'NWC_FC_NON-NOOS'!$S$4:$S$23,0),FALSE),0),0)</f>
        <v>0</v>
      </c>
      <c r="AS340" s="57">
        <f>IFERROR(IF($V340="BRAND.com",HLOOKUP($X340&amp;$Z340,'NWC_FC_NON-NOOS'!$C$50:$U$69,MATCH(W340,'NWC_FC_NON-NOOS'!$B$50:$B$69,0),FALSE),0),0)</f>
        <v>0</v>
      </c>
      <c r="AT340" s="57">
        <f t="shared" si="144"/>
        <v>0</v>
      </c>
      <c r="AU340" s="57">
        <f t="shared" si="145"/>
        <v>0</v>
      </c>
      <c r="AV340" s="58">
        <f>IFERROR(IF($V340="BRAND.com",HLOOKUP($X340&amp;$Z340,PLANNING_FC!$BB$27:$BP$46,MATCH($W340,PLANNING_FC!$BA$27:$BA$46,0),FALSE),0),0)</f>
        <v>0</v>
      </c>
      <c r="AW340" s="58">
        <f>IFERROR(IF($V340="BRAND.com",HLOOKUP($X340&amp;$Z340,PLANNING_FC!$BB$4:$BP$23,MATCH($W340,PLANNING_FC!$BA$4:$BA$23,0),FALSE),0),0)</f>
        <v>0</v>
      </c>
      <c r="AX340" s="58">
        <f>IFERROR(IF($V340="BRAND.com",HLOOKUP($X340&amp;$Z340,PLANNING_FC!$T$27:$AH$46,MATCH($W340,PLANNING_FC!$B$27:$B$46,0),FALSE),0),0)</f>
        <v>0</v>
      </c>
      <c r="AY340" s="58">
        <f>IFERROR(IF($V340="BRAND.com",HLOOKUP($X340&amp;$Z340,PLANNING_FC!$T$4:$AH$23,MATCH($W340,PLANNING_FC!$B$4:$B$23,0),FALSE),0),0)</f>
        <v>0</v>
      </c>
      <c r="AZ340" s="58">
        <f>IFERROR(IF($V340="BRAND.com",HLOOKUP($X340&amp;$Z340,PLANNING_FC!$DA$27:$DO$46,MATCH($W340,PLANNING_FC!$CZ$27:$CZ$46,0),FALSE),0),0)</f>
        <v>0</v>
      </c>
      <c r="BA340" s="58">
        <f>IFERROR(IF($V340="BRAND.com",HLOOKUP($X340&amp;$Z340,PLANNING_FC!$DA$4:$DO$23,MATCH($W340,PLANNING_FC!$CZ$4:$CZ$23,0),FALSE),0),0)</f>
        <v>0</v>
      </c>
      <c r="BB340" s="883" t="str">
        <f>IF(V340="BRAND.com",IFERROR(HLOOKUP(X340&amp;Z340,PLANNING_FC!$AK$4:$AY$23,MATCH(W340,PLANNING_FC!$AJ$4:$AJ$23,0),FALSE)*1000,""),"")</f>
        <v/>
      </c>
      <c r="BC340" s="883" t="str">
        <f>IF(V340="BRAND.com",IFERROR(HLOOKUP(X340&amp;Z340,PLANNING_FC!$AK$27:$AY$46,MATCH(W340,PLANNING_FC!$AJ$27:$AJ$46,0),FALSE)*1000,""),"")</f>
        <v/>
      </c>
    </row>
    <row r="341" spans="1:55" x14ac:dyDescent="0.25">
      <c r="A341" s="509"/>
      <c r="B341" s="509"/>
      <c r="C341" s="509"/>
      <c r="D341" s="509"/>
      <c r="E341" s="509"/>
      <c r="F341" s="509"/>
      <c r="G341" s="509"/>
      <c r="H341" s="509"/>
      <c r="I341" s="512"/>
      <c r="J341" s="513"/>
      <c r="K341" s="879"/>
      <c r="L341" s="515"/>
      <c r="M341" s="516"/>
      <c r="N341" s="56">
        <f t="shared" si="126"/>
        <v>0</v>
      </c>
      <c r="O341" s="57">
        <f t="shared" si="127"/>
        <v>0</v>
      </c>
      <c r="P341" s="57">
        <f ca="1">IFERROR(IF(ISBLANK(H341),SUMIFS($AC:$AC,$V:$V,V341,$W:$W,W341,$X:$X,X341,$Y:$Y,Y341)*J341/(1-J341)*VLOOKUP(_xlfn.CONCAT(C341,D341,E341,TIME!$M$12,Z341),HIS_SALES!$B$2:$W$4859,20,FALSE),AC341*J341/(1-J341)),0)</f>
        <v>0</v>
      </c>
      <c r="Q341" s="541" t="str">
        <f t="shared" si="128"/>
        <v/>
      </c>
      <c r="R341" s="346" t="str">
        <f t="shared" si="129"/>
        <v>00000</v>
      </c>
      <c r="S341" s="344">
        <f t="shared" si="130"/>
        <v>0</v>
      </c>
      <c r="T341" s="345" t="str">
        <f t="shared" si="143"/>
        <v>000</v>
      </c>
      <c r="U341" s="345">
        <f t="shared" si="131"/>
        <v>0</v>
      </c>
      <c r="V341" s="345">
        <f t="shared" si="132"/>
        <v>0</v>
      </c>
      <c r="W341" s="345">
        <f t="shared" si="133"/>
        <v>0</v>
      </c>
      <c r="X341" s="345">
        <f t="shared" si="134"/>
        <v>0</v>
      </c>
      <c r="Y341" s="345">
        <f t="shared" si="135"/>
        <v>0</v>
      </c>
      <c r="Z341" s="345">
        <f>IF(Q341&lt;&gt;"",VLOOKUP(Y341,TIME!$R$21:$V$24,MATCH(FC_DATA!Q341,TIME!$R$20:$V$20,0),FALSE),H341)</f>
        <v>0</v>
      </c>
      <c r="AA341" s="345" t="str">
        <f>IFERROR(VLOOKUP(X341&amp;Z341,TIME!$A$12:$D$71,4,FALSE),"")</f>
        <v/>
      </c>
      <c r="AB341" s="592">
        <f t="shared" ca="1" si="136"/>
        <v>0</v>
      </c>
      <c r="AC341" s="593" t="e">
        <f ca="1">IF(ISBLANK(H341)=FALSE,IF(D341="BRAND.com",I341,IF(ISNA(VLOOKUP(_xlfn.CONCAT(X341,Z341),TIME!$M$40:$M$42,1,FALSE)),I341,VLOOKUP(_xlfn.CONCAT(D341,G341,H341),M_BUSAREA_FC!$AF$5:$AJ$10,5,FALSE)*HLOOKUP(_xlfn.CONCAT(F341,H341),ST_OVERVIEW!$G$99:$I$130,MATCH(_xlfn.CONCAT(D341,E341),ST_OVERVIEW!$F$99:$F$130,0),FALSE))),IF(D341="BRAND.com",VLOOKUP(_xlfn.CONCAT(C341,D341,E341,TIME!$F$1,Z341),HIS_SALES!$B$2:$V$4859,19,FALSE)*I341,VLOOKUP(_xlfn.CONCAT(D341,F341,G341),Q_BUSAREA_FC!$AE$5:$AI$12,5,FALSE)*HLOOKUP(_xlfn.CONCAT(FC_DATA!F341,FC_DATA!G341),LT_OVERVIEW!$I$99:$M$130,MATCH(_xlfn.CONCAT(D341,FC_DATA!E341),LT_OVERVIEW!$H$99:$H$130,0),FALSE)*IFERROR(VLOOKUP(_xlfn.CONCAT(C341,D341,E341,TIME!$F$1,Z341),HIS_SALES!$B$2:$V$4859,19,FALSE),0)))</f>
        <v>#N/A</v>
      </c>
      <c r="AD341" s="341">
        <f t="shared" ca="1" si="137"/>
        <v>0</v>
      </c>
      <c r="AE341" s="363" t="str">
        <f t="shared" si="138"/>
        <v/>
      </c>
      <c r="AF341" s="342" t="str">
        <f t="shared" si="139"/>
        <v/>
      </c>
      <c r="AG341" s="411" t="e">
        <f ca="1">VLOOKUP(_xlfn.CONCAT(U341,V341,W341,VLOOKUP(X341&amp;Y341,TIME!$L$27:$O$34,4,FALSE),Y341),HIS_SALES!$A$2:$R$5093,18,FALSE)</f>
        <v>#N/A</v>
      </c>
      <c r="AH341" s="412" t="e">
        <f ca="1">IFERROR(IF(AND(V341=V340,W341=W340),0.5*(AB341+AB340)*AG341,(VLOOKUP(_xlfn.CONCAT(U341,V341,W341,X341,VLOOKUP(Z341,TIME!$S$28:$T$39,2,FALSE)),FC_DATA!$R$2:$AB$5000,MATCH("GS_I_M",FC_DATA!$R$1:$AB$1,0),FALSE)+FC_DATA!AB341)*0.5*FC_DATA!AG341),NA())</f>
        <v>#N/A</v>
      </c>
      <c r="AI341" s="491" t="e">
        <f ca="1">IF(V341="PARTNER.com",AH341,IF(AND(V341=V340,W341=W340),(1-AVERAGE(AD340,AD341))*AH341,(1-AVERAGE(AD341,VLOOKUP(_xlfn.CONCAT(U341,V341,W341,X341,M_BRAND_FC!$F$6),FC_DATA!$R$2:$AD$5000,MATCH("DISCOUNT_%_M",FC_DATA!$R$1:$AD$1,0),FALSE)))*AH341))</f>
        <v>#N/A</v>
      </c>
      <c r="AJ341" s="412" t="str">
        <f t="shared" ca="1" si="140"/>
        <v/>
      </c>
      <c r="AK341" s="413" t="str">
        <f>IFERROR(AE341/(Q_BRAND_FC!$T$24+1),"")</f>
        <v/>
      </c>
      <c r="AL341" s="88" t="str">
        <f t="shared" ca="1" si="141"/>
        <v/>
      </c>
      <c r="AM341" s="414" t="str">
        <f t="shared" ca="1" si="142"/>
        <v/>
      </c>
      <c r="AN341" s="58">
        <f>IFERROR(IF($V341="BRAND.com",HLOOKUP($X341&amp;$Z341,NWC_FC_NOOS!$C$4:$Q$23,MATCH(W341,NWC_FC_NOOS!$B$4:$B$23,0),FALSE),0),0)</f>
        <v>0</v>
      </c>
      <c r="AO341" s="57">
        <f>IFERROR(IF($V341="BRAND.com",HLOOKUP($X341&amp;$Z341,NWC_FC_NOOS!$T$4:$AH$23,MATCH(W341,NWC_FC_NOOS!$S$4:$S$23,0),FALSE),0),0)</f>
        <v>0</v>
      </c>
      <c r="AP341" s="57">
        <f>IFERROR(IF($V341="BRAND.com",HLOOKUP($X341&amp;$Z341,NWC_FC_NOOS!$C$50:$U$69,MATCH(W341,NWC_FC_NOOS!$B$50:$B$69,0),FALSE),0),0)</f>
        <v>0</v>
      </c>
      <c r="AQ341" s="58">
        <f>IFERROR(IF($V341="BRAND.com",HLOOKUP($X341&amp;$Z341,'NWC_FC_NON-NOOS'!$C$4:$Q$23,MATCH(W341,'NWC_FC_NON-NOOS'!$B$4:$B$23,0),FALSE),0),0)</f>
        <v>0</v>
      </c>
      <c r="AR341" s="57">
        <f>IFERROR(IF($V341="BRAND.com",HLOOKUP($X341&amp;$Z341,'NWC_FC_NON-NOOS'!$T$4:$AH$23,MATCH(W341,'NWC_FC_NON-NOOS'!$S$4:$S$23,0),FALSE),0),0)</f>
        <v>0</v>
      </c>
      <c r="AS341" s="57">
        <f>IFERROR(IF($V341="BRAND.com",HLOOKUP($X341&amp;$Z341,'NWC_FC_NON-NOOS'!$C$50:$U$69,MATCH(W341,'NWC_FC_NON-NOOS'!$B$50:$B$69,0),FALSE),0),0)</f>
        <v>0</v>
      </c>
      <c r="AT341" s="57">
        <f t="shared" si="144"/>
        <v>0</v>
      </c>
      <c r="AU341" s="57">
        <f t="shared" si="145"/>
        <v>0</v>
      </c>
      <c r="AV341" s="58">
        <f>IFERROR(IF($V341="BRAND.com",HLOOKUP($X341&amp;$Z341,PLANNING_FC!$BB$27:$BP$46,MATCH($W341,PLANNING_FC!$BA$27:$BA$46,0),FALSE),0),0)</f>
        <v>0</v>
      </c>
      <c r="AW341" s="58">
        <f>IFERROR(IF($V341="BRAND.com",HLOOKUP($X341&amp;$Z341,PLANNING_FC!$BB$4:$BP$23,MATCH($W341,PLANNING_FC!$BA$4:$BA$23,0),FALSE),0),0)</f>
        <v>0</v>
      </c>
      <c r="AX341" s="58">
        <f>IFERROR(IF($V341="BRAND.com",HLOOKUP($X341&amp;$Z341,PLANNING_FC!$T$27:$AH$46,MATCH($W341,PLANNING_FC!$B$27:$B$46,0),FALSE),0),0)</f>
        <v>0</v>
      </c>
      <c r="AY341" s="58">
        <f>IFERROR(IF($V341="BRAND.com",HLOOKUP($X341&amp;$Z341,PLANNING_FC!$T$4:$AH$23,MATCH($W341,PLANNING_FC!$B$4:$B$23,0),FALSE),0),0)</f>
        <v>0</v>
      </c>
      <c r="AZ341" s="58">
        <f>IFERROR(IF($V341="BRAND.com",HLOOKUP($X341&amp;$Z341,PLANNING_FC!$DA$27:$DO$46,MATCH($W341,PLANNING_FC!$CZ$27:$CZ$46,0),FALSE),0),0)</f>
        <v>0</v>
      </c>
      <c r="BA341" s="58">
        <f>IFERROR(IF($V341="BRAND.com",HLOOKUP($X341&amp;$Z341,PLANNING_FC!$DA$4:$DO$23,MATCH($W341,PLANNING_FC!$CZ$4:$CZ$23,0),FALSE),0),0)</f>
        <v>0</v>
      </c>
      <c r="BB341" s="883" t="str">
        <f>IF(V341="BRAND.com",IFERROR(HLOOKUP(X341&amp;Z341,PLANNING_FC!$AK$4:$AY$23,MATCH(W341,PLANNING_FC!$AJ$4:$AJ$23,0),FALSE)*1000,""),"")</f>
        <v/>
      </c>
      <c r="BC341" s="883" t="str">
        <f>IF(V341="BRAND.com",IFERROR(HLOOKUP(X341&amp;Z341,PLANNING_FC!$AK$27:$AY$46,MATCH(W341,PLANNING_FC!$AJ$27:$AJ$46,0),FALSE)*1000,""),"")</f>
        <v/>
      </c>
    </row>
    <row r="342" spans="1:55" x14ac:dyDescent="0.25">
      <c r="A342" s="509"/>
      <c r="B342" s="509"/>
      <c r="C342" s="509"/>
      <c r="D342" s="509"/>
      <c r="E342" s="509"/>
      <c r="F342" s="509"/>
      <c r="G342" s="509"/>
      <c r="H342" s="509"/>
      <c r="I342" s="512"/>
      <c r="J342" s="513"/>
      <c r="K342" s="879"/>
      <c r="L342" s="515"/>
      <c r="M342" s="516"/>
      <c r="N342" s="56">
        <f t="shared" si="126"/>
        <v>0</v>
      </c>
      <c r="O342" s="57">
        <f t="shared" si="127"/>
        <v>0</v>
      </c>
      <c r="P342" s="57">
        <f ca="1">IFERROR(IF(ISBLANK(H342),SUMIFS($AC:$AC,$V:$V,V342,$W:$W,W342,$X:$X,X342,$Y:$Y,Y342)*J342/(1-J342)*VLOOKUP(_xlfn.CONCAT(C342,D342,E342,TIME!$M$12,Z342),HIS_SALES!$B$2:$W$4859,20,FALSE),AC342*J342/(1-J342)),0)</f>
        <v>0</v>
      </c>
      <c r="Q342" s="541" t="str">
        <f t="shared" si="128"/>
        <v/>
      </c>
      <c r="R342" s="346" t="str">
        <f t="shared" si="129"/>
        <v>00000</v>
      </c>
      <c r="S342" s="344">
        <f t="shared" si="130"/>
        <v>0</v>
      </c>
      <c r="T342" s="345" t="str">
        <f t="shared" si="143"/>
        <v>000</v>
      </c>
      <c r="U342" s="345">
        <f t="shared" si="131"/>
        <v>0</v>
      </c>
      <c r="V342" s="345">
        <f t="shared" si="132"/>
        <v>0</v>
      </c>
      <c r="W342" s="345">
        <f t="shared" si="133"/>
        <v>0</v>
      </c>
      <c r="X342" s="345">
        <f t="shared" si="134"/>
        <v>0</v>
      </c>
      <c r="Y342" s="345">
        <f t="shared" si="135"/>
        <v>0</v>
      </c>
      <c r="Z342" s="345">
        <f>IF(Q342&lt;&gt;"",VLOOKUP(Y342,TIME!$R$21:$V$24,MATCH(FC_DATA!Q342,TIME!$R$20:$V$20,0),FALSE),H342)</f>
        <v>0</v>
      </c>
      <c r="AA342" s="345" t="str">
        <f>IFERROR(VLOOKUP(X342&amp;Z342,TIME!$A$12:$D$71,4,FALSE),"")</f>
        <v/>
      </c>
      <c r="AB342" s="592">
        <f t="shared" ca="1" si="136"/>
        <v>0</v>
      </c>
      <c r="AC342" s="593" t="e">
        <f ca="1">IF(ISBLANK(H342)=FALSE,IF(D342="BRAND.com",I342,IF(ISNA(VLOOKUP(_xlfn.CONCAT(X342,Z342),TIME!$M$40:$M$42,1,FALSE)),I342,VLOOKUP(_xlfn.CONCAT(D342,G342,H342),M_BUSAREA_FC!$AF$5:$AJ$10,5,FALSE)*HLOOKUP(_xlfn.CONCAT(F342,H342),ST_OVERVIEW!$G$99:$I$130,MATCH(_xlfn.CONCAT(D342,E342),ST_OVERVIEW!$F$99:$F$130,0),FALSE))),IF(D342="BRAND.com",VLOOKUP(_xlfn.CONCAT(C342,D342,E342,TIME!$F$1,Z342),HIS_SALES!$B$2:$V$4859,19,FALSE)*I342,VLOOKUP(_xlfn.CONCAT(D342,F342,G342),Q_BUSAREA_FC!$AE$5:$AI$12,5,FALSE)*HLOOKUP(_xlfn.CONCAT(FC_DATA!F342,FC_DATA!G342),LT_OVERVIEW!$I$99:$M$130,MATCH(_xlfn.CONCAT(D342,FC_DATA!E342),LT_OVERVIEW!$H$99:$H$130,0),FALSE)*IFERROR(VLOOKUP(_xlfn.CONCAT(C342,D342,E342,TIME!$F$1,Z342),HIS_SALES!$B$2:$V$4859,19,FALSE),0)))</f>
        <v>#N/A</v>
      </c>
      <c r="AD342" s="341">
        <f t="shared" ca="1" si="137"/>
        <v>0</v>
      </c>
      <c r="AE342" s="363" t="str">
        <f t="shared" si="138"/>
        <v/>
      </c>
      <c r="AF342" s="342" t="str">
        <f t="shared" si="139"/>
        <v/>
      </c>
      <c r="AG342" s="411" t="e">
        <f ca="1">VLOOKUP(_xlfn.CONCAT(U342,V342,W342,VLOOKUP(X342&amp;Y342,TIME!$L$27:$O$34,4,FALSE),Y342),HIS_SALES!$A$2:$R$5093,18,FALSE)</f>
        <v>#N/A</v>
      </c>
      <c r="AH342" s="412" t="e">
        <f ca="1">IFERROR(IF(AND(V342=V341,W342=W341),0.5*(AB342+AB341)*AG342,(VLOOKUP(_xlfn.CONCAT(U342,V342,W342,X342,VLOOKUP(Z342,TIME!$S$28:$T$39,2,FALSE)),FC_DATA!$R$2:$AB$5000,MATCH("GS_I_M",FC_DATA!$R$1:$AB$1,0),FALSE)+FC_DATA!AB342)*0.5*FC_DATA!AG342),NA())</f>
        <v>#N/A</v>
      </c>
      <c r="AI342" s="491" t="e">
        <f ca="1">IF(V342="PARTNER.com",AH342,IF(AND(V342=V341,W342=W341),(1-AVERAGE(AD341,AD342))*AH342,(1-AVERAGE(AD342,VLOOKUP(_xlfn.CONCAT(U342,V342,W342,X342,M_BRAND_FC!$F$6),FC_DATA!$R$2:$AD$5000,MATCH("DISCOUNT_%_M",FC_DATA!$R$1:$AD$1,0),FALSE)))*AH342))</f>
        <v>#N/A</v>
      </c>
      <c r="AJ342" s="412" t="str">
        <f t="shared" ca="1" si="140"/>
        <v/>
      </c>
      <c r="AK342" s="413" t="str">
        <f>IFERROR(AE342/(Q_BRAND_FC!$T$24+1),"")</f>
        <v/>
      </c>
      <c r="AL342" s="88" t="str">
        <f t="shared" ca="1" si="141"/>
        <v/>
      </c>
      <c r="AM342" s="414" t="str">
        <f t="shared" ca="1" si="142"/>
        <v/>
      </c>
      <c r="AN342" s="58">
        <f>IFERROR(IF($V342="BRAND.com",HLOOKUP($X342&amp;$Z342,NWC_FC_NOOS!$C$4:$Q$23,MATCH(W342,NWC_FC_NOOS!$B$4:$B$23,0),FALSE),0),0)</f>
        <v>0</v>
      </c>
      <c r="AO342" s="57">
        <f>IFERROR(IF($V342="BRAND.com",HLOOKUP($X342&amp;$Z342,NWC_FC_NOOS!$T$4:$AH$23,MATCH(W342,NWC_FC_NOOS!$S$4:$S$23,0),FALSE),0),0)</f>
        <v>0</v>
      </c>
      <c r="AP342" s="57">
        <f>IFERROR(IF($V342="BRAND.com",HLOOKUP($X342&amp;$Z342,NWC_FC_NOOS!$C$50:$U$69,MATCH(W342,NWC_FC_NOOS!$B$50:$B$69,0),FALSE),0),0)</f>
        <v>0</v>
      </c>
      <c r="AQ342" s="58">
        <f>IFERROR(IF($V342="BRAND.com",HLOOKUP($X342&amp;$Z342,'NWC_FC_NON-NOOS'!$C$4:$Q$23,MATCH(W342,'NWC_FC_NON-NOOS'!$B$4:$B$23,0),FALSE),0),0)</f>
        <v>0</v>
      </c>
      <c r="AR342" s="57">
        <f>IFERROR(IF($V342="BRAND.com",HLOOKUP($X342&amp;$Z342,'NWC_FC_NON-NOOS'!$T$4:$AH$23,MATCH(W342,'NWC_FC_NON-NOOS'!$S$4:$S$23,0),FALSE),0),0)</f>
        <v>0</v>
      </c>
      <c r="AS342" s="57">
        <f>IFERROR(IF($V342="BRAND.com",HLOOKUP($X342&amp;$Z342,'NWC_FC_NON-NOOS'!$C$50:$U$69,MATCH(W342,'NWC_FC_NON-NOOS'!$B$50:$B$69,0),FALSE),0),0)</f>
        <v>0</v>
      </c>
      <c r="AT342" s="57">
        <f t="shared" si="144"/>
        <v>0</v>
      </c>
      <c r="AU342" s="57">
        <f t="shared" si="145"/>
        <v>0</v>
      </c>
      <c r="AV342" s="58">
        <f>IFERROR(IF($V342="BRAND.com",HLOOKUP($X342&amp;$Z342,PLANNING_FC!$BB$27:$BP$46,MATCH($W342,PLANNING_FC!$BA$27:$BA$46,0),FALSE),0),0)</f>
        <v>0</v>
      </c>
      <c r="AW342" s="58">
        <f>IFERROR(IF($V342="BRAND.com",HLOOKUP($X342&amp;$Z342,PLANNING_FC!$BB$4:$BP$23,MATCH($W342,PLANNING_FC!$BA$4:$BA$23,0),FALSE),0),0)</f>
        <v>0</v>
      </c>
      <c r="AX342" s="58">
        <f>IFERROR(IF($V342="BRAND.com",HLOOKUP($X342&amp;$Z342,PLANNING_FC!$T$27:$AH$46,MATCH($W342,PLANNING_FC!$B$27:$B$46,0),FALSE),0),0)</f>
        <v>0</v>
      </c>
      <c r="AY342" s="58">
        <f>IFERROR(IF($V342="BRAND.com",HLOOKUP($X342&amp;$Z342,PLANNING_FC!$T$4:$AH$23,MATCH($W342,PLANNING_FC!$B$4:$B$23,0),FALSE),0),0)</f>
        <v>0</v>
      </c>
      <c r="AZ342" s="58">
        <f>IFERROR(IF($V342="BRAND.com",HLOOKUP($X342&amp;$Z342,PLANNING_FC!$DA$27:$DO$46,MATCH($W342,PLANNING_FC!$CZ$27:$CZ$46,0),FALSE),0),0)</f>
        <v>0</v>
      </c>
      <c r="BA342" s="58">
        <f>IFERROR(IF($V342="BRAND.com",HLOOKUP($X342&amp;$Z342,PLANNING_FC!$DA$4:$DO$23,MATCH($W342,PLANNING_FC!$CZ$4:$CZ$23,0),FALSE),0),0)</f>
        <v>0</v>
      </c>
      <c r="BB342" s="883" t="str">
        <f>IF(V342="BRAND.com",IFERROR(HLOOKUP(X342&amp;Z342,PLANNING_FC!$AK$4:$AY$23,MATCH(W342,PLANNING_FC!$AJ$4:$AJ$23,0),FALSE)*1000,""),"")</f>
        <v/>
      </c>
      <c r="BC342" s="883" t="str">
        <f>IF(V342="BRAND.com",IFERROR(HLOOKUP(X342&amp;Z342,PLANNING_FC!$AK$27:$AY$46,MATCH(W342,PLANNING_FC!$AJ$27:$AJ$46,0),FALSE)*1000,""),"")</f>
        <v/>
      </c>
    </row>
    <row r="343" spans="1:55" x14ac:dyDescent="0.25">
      <c r="A343" s="509"/>
      <c r="B343" s="509"/>
      <c r="C343" s="509"/>
      <c r="D343" s="509"/>
      <c r="E343" s="509"/>
      <c r="F343" s="509"/>
      <c r="G343" s="509"/>
      <c r="H343" s="509"/>
      <c r="I343" s="512"/>
      <c r="J343" s="513"/>
      <c r="K343" s="879"/>
      <c r="L343" s="515"/>
      <c r="M343" s="516"/>
      <c r="N343" s="56">
        <f t="shared" si="126"/>
        <v>0</v>
      </c>
      <c r="O343" s="57">
        <f t="shared" si="127"/>
        <v>0</v>
      </c>
      <c r="P343" s="57">
        <f ca="1">IFERROR(IF(ISBLANK(H343),SUMIFS($AC:$AC,$V:$V,V343,$W:$W,W343,$X:$X,X343,$Y:$Y,Y343)*J343/(1-J343)*VLOOKUP(_xlfn.CONCAT(C343,D343,E343,TIME!$M$12,Z343),HIS_SALES!$B$2:$W$4859,20,FALSE),AC343*J343/(1-J343)),0)</f>
        <v>0</v>
      </c>
      <c r="Q343" s="541" t="str">
        <f t="shared" si="128"/>
        <v/>
      </c>
      <c r="R343" s="346" t="str">
        <f t="shared" si="129"/>
        <v>00000</v>
      </c>
      <c r="S343" s="344">
        <f t="shared" si="130"/>
        <v>0</v>
      </c>
      <c r="T343" s="345" t="str">
        <f t="shared" si="143"/>
        <v>000</v>
      </c>
      <c r="U343" s="345">
        <f t="shared" si="131"/>
        <v>0</v>
      </c>
      <c r="V343" s="345">
        <f t="shared" si="132"/>
        <v>0</v>
      </c>
      <c r="W343" s="345">
        <f t="shared" si="133"/>
        <v>0</v>
      </c>
      <c r="X343" s="345">
        <f t="shared" si="134"/>
        <v>0</v>
      </c>
      <c r="Y343" s="345">
        <f t="shared" si="135"/>
        <v>0</v>
      </c>
      <c r="Z343" s="345">
        <f>IF(Q343&lt;&gt;"",VLOOKUP(Y343,TIME!$R$21:$V$24,MATCH(FC_DATA!Q343,TIME!$R$20:$V$20,0),FALSE),H343)</f>
        <v>0</v>
      </c>
      <c r="AA343" s="345" t="str">
        <f>IFERROR(VLOOKUP(X343&amp;Z343,TIME!$A$12:$D$71,4,FALSE),"")</f>
        <v/>
      </c>
      <c r="AB343" s="592">
        <f t="shared" ca="1" si="136"/>
        <v>0</v>
      </c>
      <c r="AC343" s="593" t="e">
        <f ca="1">IF(ISBLANK(H343)=FALSE,IF(D343="BRAND.com",I343,IF(ISNA(VLOOKUP(_xlfn.CONCAT(X343,Z343),TIME!$M$40:$M$42,1,FALSE)),I343,VLOOKUP(_xlfn.CONCAT(D343,G343,H343),M_BUSAREA_FC!$AF$5:$AJ$10,5,FALSE)*HLOOKUP(_xlfn.CONCAT(F343,H343),ST_OVERVIEW!$G$99:$I$130,MATCH(_xlfn.CONCAT(D343,E343),ST_OVERVIEW!$F$99:$F$130,0),FALSE))),IF(D343="BRAND.com",VLOOKUP(_xlfn.CONCAT(C343,D343,E343,TIME!$F$1,Z343),HIS_SALES!$B$2:$V$4859,19,FALSE)*I343,VLOOKUP(_xlfn.CONCAT(D343,F343,G343),Q_BUSAREA_FC!$AE$5:$AI$12,5,FALSE)*HLOOKUP(_xlfn.CONCAT(FC_DATA!F343,FC_DATA!G343),LT_OVERVIEW!$I$99:$M$130,MATCH(_xlfn.CONCAT(D343,FC_DATA!E343),LT_OVERVIEW!$H$99:$H$130,0),FALSE)*IFERROR(VLOOKUP(_xlfn.CONCAT(C343,D343,E343,TIME!$F$1,Z343),HIS_SALES!$B$2:$V$4859,19,FALSE),0)))</f>
        <v>#N/A</v>
      </c>
      <c r="AD343" s="341">
        <f t="shared" ca="1" si="137"/>
        <v>0</v>
      </c>
      <c r="AE343" s="363" t="str">
        <f t="shared" si="138"/>
        <v/>
      </c>
      <c r="AF343" s="342" t="str">
        <f t="shared" si="139"/>
        <v/>
      </c>
      <c r="AG343" s="411" t="e">
        <f ca="1">VLOOKUP(_xlfn.CONCAT(U343,V343,W343,VLOOKUP(X343&amp;Y343,TIME!$L$27:$O$34,4,FALSE),Y343),HIS_SALES!$A$2:$R$5093,18,FALSE)</f>
        <v>#N/A</v>
      </c>
      <c r="AH343" s="412" t="e">
        <f ca="1">IFERROR(IF(AND(V343=V342,W343=W342),0.5*(AB343+AB342)*AG343,(VLOOKUP(_xlfn.CONCAT(U343,V343,W343,X343,VLOOKUP(Z343,TIME!$S$28:$T$39,2,FALSE)),FC_DATA!$R$2:$AB$5000,MATCH("GS_I_M",FC_DATA!$R$1:$AB$1,0),FALSE)+FC_DATA!AB343)*0.5*FC_DATA!AG343),NA())</f>
        <v>#N/A</v>
      </c>
      <c r="AI343" s="491" t="e">
        <f ca="1">IF(V343="PARTNER.com",AH343,IF(AND(V343=V342,W343=W342),(1-AVERAGE(AD342,AD343))*AH343,(1-AVERAGE(AD343,VLOOKUP(_xlfn.CONCAT(U343,V343,W343,X343,M_BRAND_FC!$F$6),FC_DATA!$R$2:$AD$5000,MATCH("DISCOUNT_%_M",FC_DATA!$R$1:$AD$1,0),FALSE)))*AH343))</f>
        <v>#N/A</v>
      </c>
      <c r="AJ343" s="412" t="str">
        <f t="shared" ca="1" si="140"/>
        <v/>
      </c>
      <c r="AK343" s="413" t="str">
        <f>IFERROR(AE343/(Q_BRAND_FC!$T$24+1),"")</f>
        <v/>
      </c>
      <c r="AL343" s="88" t="str">
        <f t="shared" ca="1" si="141"/>
        <v/>
      </c>
      <c r="AM343" s="414" t="str">
        <f t="shared" ca="1" si="142"/>
        <v/>
      </c>
      <c r="AN343" s="58">
        <f>IFERROR(IF($V343="BRAND.com",HLOOKUP($X343&amp;$Z343,NWC_FC_NOOS!$C$4:$Q$23,MATCH(W343,NWC_FC_NOOS!$B$4:$B$23,0),FALSE),0),0)</f>
        <v>0</v>
      </c>
      <c r="AO343" s="57">
        <f>IFERROR(IF($V343="BRAND.com",HLOOKUP($X343&amp;$Z343,NWC_FC_NOOS!$T$4:$AH$23,MATCH(W343,NWC_FC_NOOS!$S$4:$S$23,0),FALSE),0),0)</f>
        <v>0</v>
      </c>
      <c r="AP343" s="57">
        <f>IFERROR(IF($V343="BRAND.com",HLOOKUP($X343&amp;$Z343,NWC_FC_NOOS!$C$50:$U$69,MATCH(W343,NWC_FC_NOOS!$B$50:$B$69,0),FALSE),0),0)</f>
        <v>0</v>
      </c>
      <c r="AQ343" s="58">
        <f>IFERROR(IF($V343="BRAND.com",HLOOKUP($X343&amp;$Z343,'NWC_FC_NON-NOOS'!$C$4:$Q$23,MATCH(W343,'NWC_FC_NON-NOOS'!$B$4:$B$23,0),FALSE),0),0)</f>
        <v>0</v>
      </c>
      <c r="AR343" s="57">
        <f>IFERROR(IF($V343="BRAND.com",HLOOKUP($X343&amp;$Z343,'NWC_FC_NON-NOOS'!$T$4:$AH$23,MATCH(W343,'NWC_FC_NON-NOOS'!$S$4:$S$23,0),FALSE),0),0)</f>
        <v>0</v>
      </c>
      <c r="AS343" s="57">
        <f>IFERROR(IF($V343="BRAND.com",HLOOKUP($X343&amp;$Z343,'NWC_FC_NON-NOOS'!$C$50:$U$69,MATCH(W343,'NWC_FC_NON-NOOS'!$B$50:$B$69,0),FALSE),0),0)</f>
        <v>0</v>
      </c>
      <c r="AT343" s="57">
        <f t="shared" si="144"/>
        <v>0</v>
      </c>
      <c r="AU343" s="57">
        <f t="shared" si="145"/>
        <v>0</v>
      </c>
      <c r="AV343" s="58">
        <f>IFERROR(IF($V343="BRAND.com",HLOOKUP($X343&amp;$Z343,PLANNING_FC!$BB$27:$BP$46,MATCH($W343,PLANNING_FC!$BA$27:$BA$46,0),FALSE),0),0)</f>
        <v>0</v>
      </c>
      <c r="AW343" s="58">
        <f>IFERROR(IF($V343="BRAND.com",HLOOKUP($X343&amp;$Z343,PLANNING_FC!$BB$4:$BP$23,MATCH($W343,PLANNING_FC!$BA$4:$BA$23,0),FALSE),0),0)</f>
        <v>0</v>
      </c>
      <c r="AX343" s="58">
        <f>IFERROR(IF($V343="BRAND.com",HLOOKUP($X343&amp;$Z343,PLANNING_FC!$T$27:$AH$46,MATCH($W343,PLANNING_FC!$B$27:$B$46,0),FALSE),0),0)</f>
        <v>0</v>
      </c>
      <c r="AY343" s="58">
        <f>IFERROR(IF($V343="BRAND.com",HLOOKUP($X343&amp;$Z343,PLANNING_FC!$T$4:$AH$23,MATCH($W343,PLANNING_FC!$B$4:$B$23,0),FALSE),0),0)</f>
        <v>0</v>
      </c>
      <c r="AZ343" s="58">
        <f>IFERROR(IF($V343="BRAND.com",HLOOKUP($X343&amp;$Z343,PLANNING_FC!$DA$27:$DO$46,MATCH($W343,PLANNING_FC!$CZ$27:$CZ$46,0),FALSE),0),0)</f>
        <v>0</v>
      </c>
      <c r="BA343" s="58">
        <f>IFERROR(IF($V343="BRAND.com",HLOOKUP($X343&amp;$Z343,PLANNING_FC!$DA$4:$DO$23,MATCH($W343,PLANNING_FC!$CZ$4:$CZ$23,0),FALSE),0),0)</f>
        <v>0</v>
      </c>
      <c r="BB343" s="883" t="str">
        <f>IF(V343="BRAND.com",IFERROR(HLOOKUP(X343&amp;Z343,PLANNING_FC!$AK$4:$AY$23,MATCH(W343,PLANNING_FC!$AJ$4:$AJ$23,0),FALSE)*1000,""),"")</f>
        <v/>
      </c>
      <c r="BC343" s="883" t="str">
        <f>IF(V343="BRAND.com",IFERROR(HLOOKUP(X343&amp;Z343,PLANNING_FC!$AK$27:$AY$46,MATCH(W343,PLANNING_FC!$AJ$27:$AJ$46,0),FALSE)*1000,""),"")</f>
        <v/>
      </c>
    </row>
    <row r="344" spans="1:55" x14ac:dyDescent="0.25">
      <c r="A344" s="509"/>
      <c r="B344" s="509"/>
      <c r="C344" s="509"/>
      <c r="D344" s="509"/>
      <c r="E344" s="509"/>
      <c r="F344" s="509"/>
      <c r="G344" s="509"/>
      <c r="H344" s="509"/>
      <c r="I344" s="512"/>
      <c r="J344" s="513"/>
      <c r="K344" s="879"/>
      <c r="L344" s="515"/>
      <c r="M344" s="516"/>
      <c r="N344" s="56">
        <f t="shared" si="126"/>
        <v>0</v>
      </c>
      <c r="O344" s="57">
        <f t="shared" si="127"/>
        <v>0</v>
      </c>
      <c r="P344" s="57">
        <f ca="1">IFERROR(IF(ISBLANK(H344),SUMIFS($AC:$AC,$V:$V,V344,$W:$W,W344,$X:$X,X344,$Y:$Y,Y344)*J344/(1-J344)*VLOOKUP(_xlfn.CONCAT(C344,D344,E344,TIME!$M$12,Z344),HIS_SALES!$B$2:$W$4859,20,FALSE),AC344*J344/(1-J344)),0)</f>
        <v>0</v>
      </c>
      <c r="Q344" s="541" t="str">
        <f t="shared" si="128"/>
        <v/>
      </c>
      <c r="R344" s="346" t="str">
        <f t="shared" si="129"/>
        <v>00000</v>
      </c>
      <c r="S344" s="344">
        <f t="shared" si="130"/>
        <v>0</v>
      </c>
      <c r="T344" s="345" t="str">
        <f t="shared" si="143"/>
        <v>000</v>
      </c>
      <c r="U344" s="345">
        <f t="shared" si="131"/>
        <v>0</v>
      </c>
      <c r="V344" s="345">
        <f t="shared" si="132"/>
        <v>0</v>
      </c>
      <c r="W344" s="345">
        <f t="shared" si="133"/>
        <v>0</v>
      </c>
      <c r="X344" s="345">
        <f t="shared" si="134"/>
        <v>0</v>
      </c>
      <c r="Y344" s="345">
        <f t="shared" si="135"/>
        <v>0</v>
      </c>
      <c r="Z344" s="345">
        <f>IF(Q344&lt;&gt;"",VLOOKUP(Y344,TIME!$R$21:$V$24,MATCH(FC_DATA!Q344,TIME!$R$20:$V$20,0),FALSE),H344)</f>
        <v>0</v>
      </c>
      <c r="AA344" s="345" t="str">
        <f>IFERROR(VLOOKUP(X344&amp;Z344,TIME!$A$12:$D$71,4,FALSE),"")</f>
        <v/>
      </c>
      <c r="AB344" s="592">
        <f t="shared" ca="1" si="136"/>
        <v>0</v>
      </c>
      <c r="AC344" s="593" t="e">
        <f ca="1">IF(ISBLANK(H344)=FALSE,IF(D344="BRAND.com",I344,IF(ISNA(VLOOKUP(_xlfn.CONCAT(X344,Z344),TIME!$M$40:$M$42,1,FALSE)),I344,VLOOKUP(_xlfn.CONCAT(D344,G344,H344),M_BUSAREA_FC!$AF$5:$AJ$10,5,FALSE)*HLOOKUP(_xlfn.CONCAT(F344,H344),ST_OVERVIEW!$G$99:$I$130,MATCH(_xlfn.CONCAT(D344,E344),ST_OVERVIEW!$F$99:$F$130,0),FALSE))),IF(D344="BRAND.com",VLOOKUP(_xlfn.CONCAT(C344,D344,E344,TIME!$F$1,Z344),HIS_SALES!$B$2:$V$4859,19,FALSE)*I344,VLOOKUP(_xlfn.CONCAT(D344,F344,G344),Q_BUSAREA_FC!$AE$5:$AI$12,5,FALSE)*HLOOKUP(_xlfn.CONCAT(FC_DATA!F344,FC_DATA!G344),LT_OVERVIEW!$I$99:$M$130,MATCH(_xlfn.CONCAT(D344,FC_DATA!E344),LT_OVERVIEW!$H$99:$H$130,0),FALSE)*IFERROR(VLOOKUP(_xlfn.CONCAT(C344,D344,E344,TIME!$F$1,Z344),HIS_SALES!$B$2:$V$4859,19,FALSE),0)))</f>
        <v>#N/A</v>
      </c>
      <c r="AD344" s="341">
        <f t="shared" ca="1" si="137"/>
        <v>0</v>
      </c>
      <c r="AE344" s="363" t="str">
        <f t="shared" si="138"/>
        <v/>
      </c>
      <c r="AF344" s="342" t="str">
        <f t="shared" si="139"/>
        <v/>
      </c>
      <c r="AG344" s="411" t="e">
        <f ca="1">VLOOKUP(_xlfn.CONCAT(U344,V344,W344,VLOOKUP(X344&amp;Y344,TIME!$L$27:$O$34,4,FALSE),Y344),HIS_SALES!$A$2:$R$5093,18,FALSE)</f>
        <v>#N/A</v>
      </c>
      <c r="AH344" s="412" t="e">
        <f ca="1">IFERROR(IF(AND(V344=V343,W344=W343),0.5*(AB344+AB343)*AG344,(VLOOKUP(_xlfn.CONCAT(U344,V344,W344,X344,VLOOKUP(Z344,TIME!$S$28:$T$39,2,FALSE)),FC_DATA!$R$2:$AB$5000,MATCH("GS_I_M",FC_DATA!$R$1:$AB$1,0),FALSE)+FC_DATA!AB344)*0.5*FC_DATA!AG344),NA())</f>
        <v>#N/A</v>
      </c>
      <c r="AI344" s="491" t="e">
        <f ca="1">IF(V344="PARTNER.com",AH344,IF(AND(V344=V343,W344=W343),(1-AVERAGE(AD343,AD344))*AH344,(1-AVERAGE(AD344,VLOOKUP(_xlfn.CONCAT(U344,V344,W344,X344,M_BRAND_FC!$F$6),FC_DATA!$R$2:$AD$5000,MATCH("DISCOUNT_%_M",FC_DATA!$R$1:$AD$1,0),FALSE)))*AH344))</f>
        <v>#N/A</v>
      </c>
      <c r="AJ344" s="412" t="str">
        <f t="shared" ca="1" si="140"/>
        <v/>
      </c>
      <c r="AK344" s="413" t="str">
        <f>IFERROR(AE344/(Q_BRAND_FC!$T$24+1),"")</f>
        <v/>
      </c>
      <c r="AL344" s="88" t="str">
        <f t="shared" ca="1" si="141"/>
        <v/>
      </c>
      <c r="AM344" s="414" t="str">
        <f t="shared" ca="1" si="142"/>
        <v/>
      </c>
      <c r="AN344" s="58">
        <f>IFERROR(IF($V344="BRAND.com",HLOOKUP($X344&amp;$Z344,NWC_FC_NOOS!$C$4:$Q$23,MATCH(W344,NWC_FC_NOOS!$B$4:$B$23,0),FALSE),0),0)</f>
        <v>0</v>
      </c>
      <c r="AO344" s="57">
        <f>IFERROR(IF($V344="BRAND.com",HLOOKUP($X344&amp;$Z344,NWC_FC_NOOS!$T$4:$AH$23,MATCH(W344,NWC_FC_NOOS!$S$4:$S$23,0),FALSE),0),0)</f>
        <v>0</v>
      </c>
      <c r="AP344" s="57">
        <f>IFERROR(IF($V344="BRAND.com",HLOOKUP($X344&amp;$Z344,NWC_FC_NOOS!$C$50:$U$69,MATCH(W344,NWC_FC_NOOS!$B$50:$B$69,0),FALSE),0),0)</f>
        <v>0</v>
      </c>
      <c r="AQ344" s="58">
        <f>IFERROR(IF($V344="BRAND.com",HLOOKUP($X344&amp;$Z344,'NWC_FC_NON-NOOS'!$C$4:$Q$23,MATCH(W344,'NWC_FC_NON-NOOS'!$B$4:$B$23,0),FALSE),0),0)</f>
        <v>0</v>
      </c>
      <c r="AR344" s="57">
        <f>IFERROR(IF($V344="BRAND.com",HLOOKUP($X344&amp;$Z344,'NWC_FC_NON-NOOS'!$T$4:$AH$23,MATCH(W344,'NWC_FC_NON-NOOS'!$S$4:$S$23,0),FALSE),0),0)</f>
        <v>0</v>
      </c>
      <c r="AS344" s="57">
        <f>IFERROR(IF($V344="BRAND.com",HLOOKUP($X344&amp;$Z344,'NWC_FC_NON-NOOS'!$C$50:$U$69,MATCH(W344,'NWC_FC_NON-NOOS'!$B$50:$B$69,0),FALSE),0),0)</f>
        <v>0</v>
      </c>
      <c r="AT344" s="57">
        <f t="shared" si="144"/>
        <v>0</v>
      </c>
      <c r="AU344" s="57">
        <f t="shared" si="145"/>
        <v>0</v>
      </c>
      <c r="AV344" s="58">
        <f>IFERROR(IF($V344="BRAND.com",HLOOKUP($X344&amp;$Z344,PLANNING_FC!$BB$27:$BP$46,MATCH($W344,PLANNING_FC!$BA$27:$BA$46,0),FALSE),0),0)</f>
        <v>0</v>
      </c>
      <c r="AW344" s="58">
        <f>IFERROR(IF($V344="BRAND.com",HLOOKUP($X344&amp;$Z344,PLANNING_FC!$BB$4:$BP$23,MATCH($W344,PLANNING_FC!$BA$4:$BA$23,0),FALSE),0),0)</f>
        <v>0</v>
      </c>
      <c r="AX344" s="58">
        <f>IFERROR(IF($V344="BRAND.com",HLOOKUP($X344&amp;$Z344,PLANNING_FC!$T$27:$AH$46,MATCH($W344,PLANNING_FC!$B$27:$B$46,0),FALSE),0),0)</f>
        <v>0</v>
      </c>
      <c r="AY344" s="58">
        <f>IFERROR(IF($V344="BRAND.com",HLOOKUP($X344&amp;$Z344,PLANNING_FC!$T$4:$AH$23,MATCH($W344,PLANNING_FC!$B$4:$B$23,0),FALSE),0),0)</f>
        <v>0</v>
      </c>
      <c r="AZ344" s="58">
        <f>IFERROR(IF($V344="BRAND.com",HLOOKUP($X344&amp;$Z344,PLANNING_FC!$DA$27:$DO$46,MATCH($W344,PLANNING_FC!$CZ$27:$CZ$46,0),FALSE),0),0)</f>
        <v>0</v>
      </c>
      <c r="BA344" s="58">
        <f>IFERROR(IF($V344="BRAND.com",HLOOKUP($X344&amp;$Z344,PLANNING_FC!$DA$4:$DO$23,MATCH($W344,PLANNING_FC!$CZ$4:$CZ$23,0),FALSE),0),0)</f>
        <v>0</v>
      </c>
      <c r="BB344" s="883" t="str">
        <f>IF(V344="BRAND.com",IFERROR(HLOOKUP(X344&amp;Z344,PLANNING_FC!$AK$4:$AY$23,MATCH(W344,PLANNING_FC!$AJ$4:$AJ$23,0),FALSE)*1000,""),"")</f>
        <v/>
      </c>
      <c r="BC344" s="883" t="str">
        <f>IF(V344="BRAND.com",IFERROR(HLOOKUP(X344&amp;Z344,PLANNING_FC!$AK$27:$AY$46,MATCH(W344,PLANNING_FC!$AJ$27:$AJ$46,0),FALSE)*1000,""),"")</f>
        <v/>
      </c>
    </row>
    <row r="345" spans="1:55" x14ac:dyDescent="0.25">
      <c r="A345" s="509"/>
      <c r="B345" s="509"/>
      <c r="C345" s="509"/>
      <c r="D345" s="509"/>
      <c r="E345" s="509"/>
      <c r="F345" s="509"/>
      <c r="G345" s="509"/>
      <c r="H345" s="509"/>
      <c r="I345" s="512"/>
      <c r="J345" s="513"/>
      <c r="K345" s="879"/>
      <c r="L345" s="515"/>
      <c r="M345" s="516"/>
      <c r="N345" s="56">
        <f t="shared" si="126"/>
        <v>0</v>
      </c>
      <c r="O345" s="57">
        <f t="shared" si="127"/>
        <v>0</v>
      </c>
      <c r="P345" s="57">
        <f ca="1">IFERROR(IF(ISBLANK(H345),SUMIFS($AC:$AC,$V:$V,V345,$W:$W,W345,$X:$X,X345,$Y:$Y,Y345)*J345/(1-J345)*VLOOKUP(_xlfn.CONCAT(C345,D345,E345,TIME!$M$12,Z345),HIS_SALES!$B$2:$W$4859,20,FALSE),AC345*J345/(1-J345)),0)</f>
        <v>0</v>
      </c>
      <c r="Q345" s="541" t="str">
        <f t="shared" si="128"/>
        <v/>
      </c>
      <c r="R345" s="346" t="str">
        <f t="shared" si="129"/>
        <v>00000</v>
      </c>
      <c r="S345" s="344">
        <f t="shared" si="130"/>
        <v>0</v>
      </c>
      <c r="T345" s="345" t="str">
        <f t="shared" si="143"/>
        <v>000</v>
      </c>
      <c r="U345" s="345">
        <f t="shared" si="131"/>
        <v>0</v>
      </c>
      <c r="V345" s="345">
        <f t="shared" si="132"/>
        <v>0</v>
      </c>
      <c r="W345" s="345">
        <f t="shared" si="133"/>
        <v>0</v>
      </c>
      <c r="X345" s="345">
        <f t="shared" si="134"/>
        <v>0</v>
      </c>
      <c r="Y345" s="345">
        <f t="shared" si="135"/>
        <v>0</v>
      </c>
      <c r="Z345" s="345">
        <f>IF(Q345&lt;&gt;"",VLOOKUP(Y345,TIME!$R$21:$V$24,MATCH(FC_DATA!Q345,TIME!$R$20:$V$20,0),FALSE),H345)</f>
        <v>0</v>
      </c>
      <c r="AA345" s="345" t="str">
        <f>IFERROR(VLOOKUP(X345&amp;Z345,TIME!$A$12:$D$71,4,FALSE),"")</f>
        <v/>
      </c>
      <c r="AB345" s="592">
        <f t="shared" ca="1" si="136"/>
        <v>0</v>
      </c>
      <c r="AC345" s="593" t="e">
        <f ca="1">IF(ISBLANK(H345)=FALSE,IF(D345="BRAND.com",I345,IF(ISNA(VLOOKUP(_xlfn.CONCAT(X345,Z345),TIME!$M$40:$M$42,1,FALSE)),I345,VLOOKUP(_xlfn.CONCAT(D345,G345,H345),M_BUSAREA_FC!$AF$5:$AJ$10,5,FALSE)*HLOOKUP(_xlfn.CONCAT(F345,H345),ST_OVERVIEW!$G$99:$I$130,MATCH(_xlfn.CONCAT(D345,E345),ST_OVERVIEW!$F$99:$F$130,0),FALSE))),IF(D345="BRAND.com",VLOOKUP(_xlfn.CONCAT(C345,D345,E345,TIME!$F$1,Z345),HIS_SALES!$B$2:$V$4859,19,FALSE)*I345,VLOOKUP(_xlfn.CONCAT(D345,F345,G345),Q_BUSAREA_FC!$AE$5:$AI$12,5,FALSE)*HLOOKUP(_xlfn.CONCAT(FC_DATA!F345,FC_DATA!G345),LT_OVERVIEW!$I$99:$M$130,MATCH(_xlfn.CONCAT(D345,FC_DATA!E345),LT_OVERVIEW!$H$99:$H$130,0),FALSE)*IFERROR(VLOOKUP(_xlfn.CONCAT(C345,D345,E345,TIME!$F$1,Z345),HIS_SALES!$B$2:$V$4859,19,FALSE),0)))</f>
        <v>#N/A</v>
      </c>
      <c r="AD345" s="341">
        <f t="shared" ca="1" si="137"/>
        <v>0</v>
      </c>
      <c r="AE345" s="363" t="str">
        <f t="shared" si="138"/>
        <v/>
      </c>
      <c r="AF345" s="342" t="str">
        <f t="shared" si="139"/>
        <v/>
      </c>
      <c r="AG345" s="411" t="e">
        <f ca="1">VLOOKUP(_xlfn.CONCAT(U345,V345,W345,VLOOKUP(X345&amp;Y345,TIME!$L$27:$O$34,4,FALSE),Y345),HIS_SALES!$A$2:$R$5093,18,FALSE)</f>
        <v>#N/A</v>
      </c>
      <c r="AH345" s="412" t="e">
        <f ca="1">IFERROR(IF(AND(V345=V344,W345=W344),0.5*(AB345+AB344)*AG345,(VLOOKUP(_xlfn.CONCAT(U345,V345,W345,X345,VLOOKUP(Z345,TIME!$S$28:$T$39,2,FALSE)),FC_DATA!$R$2:$AB$5000,MATCH("GS_I_M",FC_DATA!$R$1:$AB$1,0),FALSE)+FC_DATA!AB345)*0.5*FC_DATA!AG345),NA())</f>
        <v>#N/A</v>
      </c>
      <c r="AI345" s="491" t="e">
        <f ca="1">IF(V345="PARTNER.com",AH345,IF(AND(V345=V344,W345=W344),(1-AVERAGE(AD344,AD345))*AH345,(1-AVERAGE(AD345,VLOOKUP(_xlfn.CONCAT(U345,V345,W345,X345,M_BRAND_FC!$F$6),FC_DATA!$R$2:$AD$5000,MATCH("DISCOUNT_%_M",FC_DATA!$R$1:$AD$1,0),FALSE)))*AH345))</f>
        <v>#N/A</v>
      </c>
      <c r="AJ345" s="412" t="str">
        <f t="shared" ca="1" si="140"/>
        <v/>
      </c>
      <c r="AK345" s="413" t="str">
        <f>IFERROR(AE345/(Q_BRAND_FC!$T$24+1),"")</f>
        <v/>
      </c>
      <c r="AL345" s="88" t="str">
        <f t="shared" ca="1" si="141"/>
        <v/>
      </c>
      <c r="AM345" s="414" t="str">
        <f t="shared" ca="1" si="142"/>
        <v/>
      </c>
      <c r="AN345" s="58">
        <f>IFERROR(IF($V345="BRAND.com",HLOOKUP($X345&amp;$Z345,NWC_FC_NOOS!$C$4:$Q$23,MATCH(W345,NWC_FC_NOOS!$B$4:$B$23,0),FALSE),0),0)</f>
        <v>0</v>
      </c>
      <c r="AO345" s="57">
        <f>IFERROR(IF($V345="BRAND.com",HLOOKUP($X345&amp;$Z345,NWC_FC_NOOS!$T$4:$AH$23,MATCH(W345,NWC_FC_NOOS!$S$4:$S$23,0),FALSE),0),0)</f>
        <v>0</v>
      </c>
      <c r="AP345" s="57">
        <f>IFERROR(IF($V345="BRAND.com",HLOOKUP($X345&amp;$Z345,NWC_FC_NOOS!$C$50:$U$69,MATCH(W345,NWC_FC_NOOS!$B$50:$B$69,0),FALSE),0),0)</f>
        <v>0</v>
      </c>
      <c r="AQ345" s="58">
        <f>IFERROR(IF($V345="BRAND.com",HLOOKUP($X345&amp;$Z345,'NWC_FC_NON-NOOS'!$C$4:$Q$23,MATCH(W345,'NWC_FC_NON-NOOS'!$B$4:$B$23,0),FALSE),0),0)</f>
        <v>0</v>
      </c>
      <c r="AR345" s="57">
        <f>IFERROR(IF($V345="BRAND.com",HLOOKUP($X345&amp;$Z345,'NWC_FC_NON-NOOS'!$T$4:$AH$23,MATCH(W345,'NWC_FC_NON-NOOS'!$S$4:$S$23,0),FALSE),0),0)</f>
        <v>0</v>
      </c>
      <c r="AS345" s="57">
        <f>IFERROR(IF($V345="BRAND.com",HLOOKUP($X345&amp;$Z345,'NWC_FC_NON-NOOS'!$C$50:$U$69,MATCH(W345,'NWC_FC_NON-NOOS'!$B$50:$B$69,0),FALSE),0),0)</f>
        <v>0</v>
      </c>
      <c r="AT345" s="57">
        <f t="shared" si="144"/>
        <v>0</v>
      </c>
      <c r="AU345" s="57">
        <f t="shared" si="145"/>
        <v>0</v>
      </c>
      <c r="AV345" s="58">
        <f>IFERROR(IF($V345="BRAND.com",HLOOKUP($X345&amp;$Z345,PLANNING_FC!$BB$27:$BP$46,MATCH($W345,PLANNING_FC!$BA$27:$BA$46,0),FALSE),0),0)</f>
        <v>0</v>
      </c>
      <c r="AW345" s="58">
        <f>IFERROR(IF($V345="BRAND.com",HLOOKUP($X345&amp;$Z345,PLANNING_FC!$BB$4:$BP$23,MATCH($W345,PLANNING_FC!$BA$4:$BA$23,0),FALSE),0),0)</f>
        <v>0</v>
      </c>
      <c r="AX345" s="58">
        <f>IFERROR(IF($V345="BRAND.com",HLOOKUP($X345&amp;$Z345,PLANNING_FC!$T$27:$AH$46,MATCH($W345,PLANNING_FC!$B$27:$B$46,0),FALSE),0),0)</f>
        <v>0</v>
      </c>
      <c r="AY345" s="58">
        <f>IFERROR(IF($V345="BRAND.com",HLOOKUP($X345&amp;$Z345,PLANNING_FC!$T$4:$AH$23,MATCH($W345,PLANNING_FC!$B$4:$B$23,0),FALSE),0),0)</f>
        <v>0</v>
      </c>
      <c r="AZ345" s="58">
        <f>IFERROR(IF($V345="BRAND.com",HLOOKUP($X345&amp;$Z345,PLANNING_FC!$DA$27:$DO$46,MATCH($W345,PLANNING_FC!$CZ$27:$CZ$46,0),FALSE),0),0)</f>
        <v>0</v>
      </c>
      <c r="BA345" s="58">
        <f>IFERROR(IF($V345="BRAND.com",HLOOKUP($X345&amp;$Z345,PLANNING_FC!$DA$4:$DO$23,MATCH($W345,PLANNING_FC!$CZ$4:$CZ$23,0),FALSE),0),0)</f>
        <v>0</v>
      </c>
      <c r="BB345" s="883" t="str">
        <f>IF(V345="BRAND.com",IFERROR(HLOOKUP(X345&amp;Z345,PLANNING_FC!$AK$4:$AY$23,MATCH(W345,PLANNING_FC!$AJ$4:$AJ$23,0),FALSE)*1000,""),"")</f>
        <v/>
      </c>
      <c r="BC345" s="883" t="str">
        <f>IF(V345="BRAND.com",IFERROR(HLOOKUP(X345&amp;Z345,PLANNING_FC!$AK$27:$AY$46,MATCH(W345,PLANNING_FC!$AJ$27:$AJ$46,0),FALSE)*1000,""),"")</f>
        <v/>
      </c>
    </row>
    <row r="346" spans="1:55" x14ac:dyDescent="0.25">
      <c r="A346" s="509"/>
      <c r="B346" s="509"/>
      <c r="C346" s="509"/>
      <c r="D346" s="509"/>
      <c r="E346" s="509"/>
      <c r="F346" s="509"/>
      <c r="G346" s="509"/>
      <c r="H346" s="509"/>
      <c r="I346" s="512"/>
      <c r="J346" s="513"/>
      <c r="K346" s="879"/>
      <c r="L346" s="515"/>
      <c r="M346" s="516"/>
      <c r="N346" s="56">
        <f t="shared" si="126"/>
        <v>0</v>
      </c>
      <c r="O346" s="57">
        <f t="shared" si="127"/>
        <v>0</v>
      </c>
      <c r="P346" s="57">
        <f ca="1">IFERROR(IF(ISBLANK(H346),SUMIFS($AC:$AC,$V:$V,V346,$W:$W,W346,$X:$X,X346,$Y:$Y,Y346)*J346/(1-J346)*VLOOKUP(_xlfn.CONCAT(C346,D346,E346,TIME!$M$12,Z346),HIS_SALES!$B$2:$W$4859,20,FALSE),AC346*J346/(1-J346)),0)</f>
        <v>0</v>
      </c>
      <c r="Q346" s="541" t="str">
        <f t="shared" si="128"/>
        <v/>
      </c>
      <c r="R346" s="346" t="str">
        <f t="shared" si="129"/>
        <v>00000</v>
      </c>
      <c r="S346" s="344">
        <f t="shared" si="130"/>
        <v>0</v>
      </c>
      <c r="T346" s="345" t="str">
        <f t="shared" si="143"/>
        <v>000</v>
      </c>
      <c r="U346" s="345">
        <f t="shared" si="131"/>
        <v>0</v>
      </c>
      <c r="V346" s="345">
        <f t="shared" si="132"/>
        <v>0</v>
      </c>
      <c r="W346" s="345">
        <f t="shared" si="133"/>
        <v>0</v>
      </c>
      <c r="X346" s="345">
        <f t="shared" si="134"/>
        <v>0</v>
      </c>
      <c r="Y346" s="345">
        <f t="shared" si="135"/>
        <v>0</v>
      </c>
      <c r="Z346" s="345">
        <f>IF(Q346&lt;&gt;"",VLOOKUP(Y346,TIME!$R$21:$V$24,MATCH(FC_DATA!Q346,TIME!$R$20:$V$20,0),FALSE),H346)</f>
        <v>0</v>
      </c>
      <c r="AA346" s="345" t="str">
        <f>IFERROR(VLOOKUP(X346&amp;Z346,TIME!$A$12:$D$71,4,FALSE),"")</f>
        <v/>
      </c>
      <c r="AB346" s="592">
        <f t="shared" ca="1" si="136"/>
        <v>0</v>
      </c>
      <c r="AC346" s="593" t="e">
        <f ca="1">IF(ISBLANK(H346)=FALSE,IF(D346="BRAND.com",I346,IF(ISNA(VLOOKUP(_xlfn.CONCAT(X346,Z346),TIME!$M$40:$M$42,1,FALSE)),I346,VLOOKUP(_xlfn.CONCAT(D346,G346,H346),M_BUSAREA_FC!$AF$5:$AJ$10,5,FALSE)*HLOOKUP(_xlfn.CONCAT(F346,H346),ST_OVERVIEW!$G$99:$I$130,MATCH(_xlfn.CONCAT(D346,E346),ST_OVERVIEW!$F$99:$F$130,0),FALSE))),IF(D346="BRAND.com",VLOOKUP(_xlfn.CONCAT(C346,D346,E346,TIME!$F$1,Z346),HIS_SALES!$B$2:$V$4859,19,FALSE)*I346,VLOOKUP(_xlfn.CONCAT(D346,F346,G346),Q_BUSAREA_FC!$AE$5:$AI$12,5,FALSE)*HLOOKUP(_xlfn.CONCAT(FC_DATA!F346,FC_DATA!G346),LT_OVERVIEW!$I$99:$M$130,MATCH(_xlfn.CONCAT(D346,FC_DATA!E346),LT_OVERVIEW!$H$99:$H$130,0),FALSE)*IFERROR(VLOOKUP(_xlfn.CONCAT(C346,D346,E346,TIME!$F$1,Z346),HIS_SALES!$B$2:$V$4859,19,FALSE),0)))</f>
        <v>#N/A</v>
      </c>
      <c r="AD346" s="341">
        <f t="shared" ca="1" si="137"/>
        <v>0</v>
      </c>
      <c r="AE346" s="363" t="str">
        <f t="shared" si="138"/>
        <v/>
      </c>
      <c r="AF346" s="342" t="str">
        <f t="shared" si="139"/>
        <v/>
      </c>
      <c r="AG346" s="411" t="e">
        <f ca="1">VLOOKUP(_xlfn.CONCAT(U346,V346,W346,VLOOKUP(X346&amp;Y346,TIME!$L$27:$O$34,4,FALSE),Y346),HIS_SALES!$A$2:$R$5093,18,FALSE)</f>
        <v>#N/A</v>
      </c>
      <c r="AH346" s="412" t="e">
        <f ca="1">IFERROR(IF(AND(V346=V345,W346=W345),0.5*(AB346+AB345)*AG346,(VLOOKUP(_xlfn.CONCAT(U346,V346,W346,X346,VLOOKUP(Z346,TIME!$S$28:$T$39,2,FALSE)),FC_DATA!$R$2:$AB$5000,MATCH("GS_I_M",FC_DATA!$R$1:$AB$1,0),FALSE)+FC_DATA!AB346)*0.5*FC_DATA!AG346),NA())</f>
        <v>#N/A</v>
      </c>
      <c r="AI346" s="491" t="e">
        <f ca="1">IF(V346="PARTNER.com",AH346,IF(AND(V346=V345,W346=W345),(1-AVERAGE(AD345,AD346))*AH346,(1-AVERAGE(AD346,VLOOKUP(_xlfn.CONCAT(U346,V346,W346,X346,M_BRAND_FC!$F$6),FC_DATA!$R$2:$AD$5000,MATCH("DISCOUNT_%_M",FC_DATA!$R$1:$AD$1,0),FALSE)))*AH346))</f>
        <v>#N/A</v>
      </c>
      <c r="AJ346" s="412" t="str">
        <f t="shared" ca="1" si="140"/>
        <v/>
      </c>
      <c r="AK346" s="413" t="str">
        <f>IFERROR(AE346/(Q_BRAND_FC!$T$24+1),"")</f>
        <v/>
      </c>
      <c r="AL346" s="88" t="str">
        <f t="shared" ca="1" si="141"/>
        <v/>
      </c>
      <c r="AM346" s="414" t="str">
        <f t="shared" ca="1" si="142"/>
        <v/>
      </c>
      <c r="AN346" s="58">
        <f>IFERROR(IF($V346="BRAND.com",HLOOKUP($X346&amp;$Z346,NWC_FC_NOOS!$C$4:$Q$23,MATCH(W346,NWC_FC_NOOS!$B$4:$B$23,0),FALSE),0),0)</f>
        <v>0</v>
      </c>
      <c r="AO346" s="57">
        <f>IFERROR(IF($V346="BRAND.com",HLOOKUP($X346&amp;$Z346,NWC_FC_NOOS!$T$4:$AH$23,MATCH(W346,NWC_FC_NOOS!$S$4:$S$23,0),FALSE),0),0)</f>
        <v>0</v>
      </c>
      <c r="AP346" s="57">
        <f>IFERROR(IF($V346="BRAND.com",HLOOKUP($X346&amp;$Z346,NWC_FC_NOOS!$C$50:$U$69,MATCH(W346,NWC_FC_NOOS!$B$50:$B$69,0),FALSE),0),0)</f>
        <v>0</v>
      </c>
      <c r="AQ346" s="58">
        <f>IFERROR(IF($V346="BRAND.com",HLOOKUP($X346&amp;$Z346,'NWC_FC_NON-NOOS'!$C$4:$Q$23,MATCH(W346,'NWC_FC_NON-NOOS'!$B$4:$B$23,0),FALSE),0),0)</f>
        <v>0</v>
      </c>
      <c r="AR346" s="57">
        <f>IFERROR(IF($V346="BRAND.com",HLOOKUP($X346&amp;$Z346,'NWC_FC_NON-NOOS'!$T$4:$AH$23,MATCH(W346,'NWC_FC_NON-NOOS'!$S$4:$S$23,0),FALSE),0),0)</f>
        <v>0</v>
      </c>
      <c r="AS346" s="57">
        <f>IFERROR(IF($V346="BRAND.com",HLOOKUP($X346&amp;$Z346,'NWC_FC_NON-NOOS'!$C$50:$U$69,MATCH(W346,'NWC_FC_NON-NOOS'!$B$50:$B$69,0),FALSE),0),0)</f>
        <v>0</v>
      </c>
      <c r="AT346" s="57">
        <f t="shared" si="144"/>
        <v>0</v>
      </c>
      <c r="AU346" s="57">
        <f t="shared" si="145"/>
        <v>0</v>
      </c>
      <c r="AV346" s="58">
        <f>IFERROR(IF($V346="BRAND.com",HLOOKUP($X346&amp;$Z346,PLANNING_FC!$BB$27:$BP$46,MATCH($W346,PLANNING_FC!$BA$27:$BA$46,0),FALSE),0),0)</f>
        <v>0</v>
      </c>
      <c r="AW346" s="58">
        <f>IFERROR(IF($V346="BRAND.com",HLOOKUP($X346&amp;$Z346,PLANNING_FC!$BB$4:$BP$23,MATCH($W346,PLANNING_FC!$BA$4:$BA$23,0),FALSE),0),0)</f>
        <v>0</v>
      </c>
      <c r="AX346" s="58">
        <f>IFERROR(IF($V346="BRAND.com",HLOOKUP($X346&amp;$Z346,PLANNING_FC!$T$27:$AH$46,MATCH($W346,PLANNING_FC!$B$27:$B$46,0),FALSE),0),0)</f>
        <v>0</v>
      </c>
      <c r="AY346" s="58">
        <f>IFERROR(IF($V346="BRAND.com",HLOOKUP($X346&amp;$Z346,PLANNING_FC!$T$4:$AH$23,MATCH($W346,PLANNING_FC!$B$4:$B$23,0),FALSE),0),0)</f>
        <v>0</v>
      </c>
      <c r="AZ346" s="58">
        <f>IFERROR(IF($V346="BRAND.com",HLOOKUP($X346&amp;$Z346,PLANNING_FC!$DA$27:$DO$46,MATCH($W346,PLANNING_FC!$CZ$27:$CZ$46,0),FALSE),0),0)</f>
        <v>0</v>
      </c>
      <c r="BA346" s="58">
        <f>IFERROR(IF($V346="BRAND.com",HLOOKUP($X346&amp;$Z346,PLANNING_FC!$DA$4:$DO$23,MATCH($W346,PLANNING_FC!$CZ$4:$CZ$23,0),FALSE),0),0)</f>
        <v>0</v>
      </c>
      <c r="BB346" s="883" t="str">
        <f>IF(V346="BRAND.com",IFERROR(HLOOKUP(X346&amp;Z346,PLANNING_FC!$AK$4:$AY$23,MATCH(W346,PLANNING_FC!$AJ$4:$AJ$23,0),FALSE)*1000,""),"")</f>
        <v/>
      </c>
      <c r="BC346" s="883" t="str">
        <f>IF(V346="BRAND.com",IFERROR(HLOOKUP(X346&amp;Z346,PLANNING_FC!$AK$27:$AY$46,MATCH(W346,PLANNING_FC!$AJ$27:$AJ$46,0),FALSE)*1000,""),"")</f>
        <v/>
      </c>
    </row>
    <row r="347" spans="1:55" x14ac:dyDescent="0.25">
      <c r="A347" s="509"/>
      <c r="B347" s="509"/>
      <c r="C347" s="509"/>
      <c r="D347" s="509"/>
      <c r="E347" s="509"/>
      <c r="F347" s="509"/>
      <c r="G347" s="509"/>
      <c r="H347" s="509"/>
      <c r="I347" s="512"/>
      <c r="J347" s="513"/>
      <c r="K347" s="879"/>
      <c r="L347" s="515"/>
      <c r="M347" s="516"/>
      <c r="N347" s="56">
        <f t="shared" si="126"/>
        <v>0</v>
      </c>
      <c r="O347" s="57">
        <f t="shared" si="127"/>
        <v>0</v>
      </c>
      <c r="P347" s="57">
        <f ca="1">IFERROR(IF(ISBLANK(H347),SUMIFS($AC:$AC,$V:$V,V347,$W:$W,W347,$X:$X,X347,$Y:$Y,Y347)*J347/(1-J347)*VLOOKUP(_xlfn.CONCAT(C347,D347,E347,TIME!$M$12,Z347),HIS_SALES!$B$2:$W$4859,20,FALSE),AC347*J347/(1-J347)),0)</f>
        <v>0</v>
      </c>
      <c r="Q347" s="541" t="str">
        <f t="shared" si="128"/>
        <v/>
      </c>
      <c r="R347" s="346" t="str">
        <f t="shared" si="129"/>
        <v>00000</v>
      </c>
      <c r="S347" s="344">
        <f t="shared" si="130"/>
        <v>0</v>
      </c>
      <c r="T347" s="345" t="str">
        <f t="shared" si="143"/>
        <v>000</v>
      </c>
      <c r="U347" s="345">
        <f t="shared" si="131"/>
        <v>0</v>
      </c>
      <c r="V347" s="345">
        <f t="shared" si="132"/>
        <v>0</v>
      </c>
      <c r="W347" s="345">
        <f t="shared" si="133"/>
        <v>0</v>
      </c>
      <c r="X347" s="345">
        <f t="shared" si="134"/>
        <v>0</v>
      </c>
      <c r="Y347" s="345">
        <f t="shared" si="135"/>
        <v>0</v>
      </c>
      <c r="Z347" s="345">
        <f>IF(Q347&lt;&gt;"",VLOOKUP(Y347,TIME!$R$21:$V$24,MATCH(FC_DATA!Q347,TIME!$R$20:$V$20,0),FALSE),H347)</f>
        <v>0</v>
      </c>
      <c r="AA347" s="345" t="str">
        <f>IFERROR(VLOOKUP(X347&amp;Z347,TIME!$A$12:$D$71,4,FALSE),"")</f>
        <v/>
      </c>
      <c r="AB347" s="592">
        <f t="shared" ca="1" si="136"/>
        <v>0</v>
      </c>
      <c r="AC347" s="593" t="e">
        <f ca="1">IF(ISBLANK(H347)=FALSE,IF(D347="BRAND.com",I347,IF(ISNA(VLOOKUP(_xlfn.CONCAT(X347,Z347),TIME!$M$40:$M$42,1,FALSE)),I347,VLOOKUP(_xlfn.CONCAT(D347,G347,H347),M_BUSAREA_FC!$AF$5:$AJ$10,5,FALSE)*HLOOKUP(_xlfn.CONCAT(F347,H347),ST_OVERVIEW!$G$99:$I$130,MATCH(_xlfn.CONCAT(D347,E347),ST_OVERVIEW!$F$99:$F$130,0),FALSE))),IF(D347="BRAND.com",VLOOKUP(_xlfn.CONCAT(C347,D347,E347,TIME!$F$1,Z347),HIS_SALES!$B$2:$V$4859,19,FALSE)*I347,VLOOKUP(_xlfn.CONCAT(D347,F347,G347),Q_BUSAREA_FC!$AE$5:$AI$12,5,FALSE)*HLOOKUP(_xlfn.CONCAT(FC_DATA!F347,FC_DATA!G347),LT_OVERVIEW!$I$99:$M$130,MATCH(_xlfn.CONCAT(D347,FC_DATA!E347),LT_OVERVIEW!$H$99:$H$130,0),FALSE)*IFERROR(VLOOKUP(_xlfn.CONCAT(C347,D347,E347,TIME!$F$1,Z347),HIS_SALES!$B$2:$V$4859,19,FALSE),0)))</f>
        <v>#N/A</v>
      </c>
      <c r="AD347" s="341">
        <f t="shared" ca="1" si="137"/>
        <v>0</v>
      </c>
      <c r="AE347" s="363" t="str">
        <f t="shared" si="138"/>
        <v/>
      </c>
      <c r="AF347" s="342" t="str">
        <f t="shared" si="139"/>
        <v/>
      </c>
      <c r="AG347" s="411" t="e">
        <f ca="1">VLOOKUP(_xlfn.CONCAT(U347,V347,W347,VLOOKUP(X347&amp;Y347,TIME!$L$27:$O$34,4,FALSE),Y347),HIS_SALES!$A$2:$R$5093,18,FALSE)</f>
        <v>#N/A</v>
      </c>
      <c r="AH347" s="412" t="e">
        <f ca="1">IFERROR(IF(AND(V347=V346,W347=W346),0.5*(AB347+AB346)*AG347,(VLOOKUP(_xlfn.CONCAT(U347,V347,W347,X347,VLOOKUP(Z347,TIME!$S$28:$T$39,2,FALSE)),FC_DATA!$R$2:$AB$5000,MATCH("GS_I_M",FC_DATA!$R$1:$AB$1,0),FALSE)+FC_DATA!AB347)*0.5*FC_DATA!AG347),NA())</f>
        <v>#N/A</v>
      </c>
      <c r="AI347" s="491" t="e">
        <f ca="1">IF(V347="PARTNER.com",AH347,IF(AND(V347=V346,W347=W346),(1-AVERAGE(AD346,AD347))*AH347,(1-AVERAGE(AD347,VLOOKUP(_xlfn.CONCAT(U347,V347,W347,X347,M_BRAND_FC!$F$6),FC_DATA!$R$2:$AD$5000,MATCH("DISCOUNT_%_M",FC_DATA!$R$1:$AD$1,0),FALSE)))*AH347))</f>
        <v>#N/A</v>
      </c>
      <c r="AJ347" s="412" t="str">
        <f t="shared" ca="1" si="140"/>
        <v/>
      </c>
      <c r="AK347" s="413" t="str">
        <f>IFERROR(AE347/(Q_BRAND_FC!$T$24+1),"")</f>
        <v/>
      </c>
      <c r="AL347" s="88" t="str">
        <f t="shared" ca="1" si="141"/>
        <v/>
      </c>
      <c r="AM347" s="414" t="str">
        <f t="shared" ca="1" si="142"/>
        <v/>
      </c>
      <c r="AN347" s="58">
        <f>IFERROR(IF($V347="BRAND.com",HLOOKUP($X347&amp;$Z347,NWC_FC_NOOS!$C$4:$Q$23,MATCH(W347,NWC_FC_NOOS!$B$4:$B$23,0),FALSE),0),0)</f>
        <v>0</v>
      </c>
      <c r="AO347" s="57">
        <f>IFERROR(IF($V347="BRAND.com",HLOOKUP($X347&amp;$Z347,NWC_FC_NOOS!$T$4:$AH$23,MATCH(W347,NWC_FC_NOOS!$S$4:$S$23,0),FALSE),0),0)</f>
        <v>0</v>
      </c>
      <c r="AP347" s="57">
        <f>IFERROR(IF($V347="BRAND.com",HLOOKUP($X347&amp;$Z347,NWC_FC_NOOS!$C$50:$U$69,MATCH(W347,NWC_FC_NOOS!$B$50:$B$69,0),FALSE),0),0)</f>
        <v>0</v>
      </c>
      <c r="AQ347" s="58">
        <f>IFERROR(IF($V347="BRAND.com",HLOOKUP($X347&amp;$Z347,'NWC_FC_NON-NOOS'!$C$4:$Q$23,MATCH(W347,'NWC_FC_NON-NOOS'!$B$4:$B$23,0),FALSE),0),0)</f>
        <v>0</v>
      </c>
      <c r="AR347" s="57">
        <f>IFERROR(IF($V347="BRAND.com",HLOOKUP($X347&amp;$Z347,'NWC_FC_NON-NOOS'!$T$4:$AH$23,MATCH(W347,'NWC_FC_NON-NOOS'!$S$4:$S$23,0),FALSE),0),0)</f>
        <v>0</v>
      </c>
      <c r="AS347" s="57">
        <f>IFERROR(IF($V347="BRAND.com",HLOOKUP($X347&amp;$Z347,'NWC_FC_NON-NOOS'!$C$50:$U$69,MATCH(W347,'NWC_FC_NON-NOOS'!$B$50:$B$69,0),FALSE),0),0)</f>
        <v>0</v>
      </c>
      <c r="AT347" s="57">
        <f t="shared" si="144"/>
        <v>0</v>
      </c>
      <c r="AU347" s="57">
        <f t="shared" si="145"/>
        <v>0</v>
      </c>
      <c r="AV347" s="58">
        <f>IFERROR(IF($V347="BRAND.com",HLOOKUP($X347&amp;$Z347,PLANNING_FC!$BB$27:$BP$46,MATCH($W347,PLANNING_FC!$BA$27:$BA$46,0),FALSE),0),0)</f>
        <v>0</v>
      </c>
      <c r="AW347" s="58">
        <f>IFERROR(IF($V347="BRAND.com",HLOOKUP($X347&amp;$Z347,PLANNING_FC!$BB$4:$BP$23,MATCH($W347,PLANNING_FC!$BA$4:$BA$23,0),FALSE),0),0)</f>
        <v>0</v>
      </c>
      <c r="AX347" s="58">
        <f>IFERROR(IF($V347="BRAND.com",HLOOKUP($X347&amp;$Z347,PLANNING_FC!$T$27:$AH$46,MATCH($W347,PLANNING_FC!$B$27:$B$46,0),FALSE),0),0)</f>
        <v>0</v>
      </c>
      <c r="AY347" s="58">
        <f>IFERROR(IF($V347="BRAND.com",HLOOKUP($X347&amp;$Z347,PLANNING_FC!$T$4:$AH$23,MATCH($W347,PLANNING_FC!$B$4:$B$23,0),FALSE),0),0)</f>
        <v>0</v>
      </c>
      <c r="AZ347" s="58">
        <f>IFERROR(IF($V347="BRAND.com",HLOOKUP($X347&amp;$Z347,PLANNING_FC!$DA$27:$DO$46,MATCH($W347,PLANNING_FC!$CZ$27:$CZ$46,0),FALSE),0),0)</f>
        <v>0</v>
      </c>
      <c r="BA347" s="58">
        <f>IFERROR(IF($V347="BRAND.com",HLOOKUP($X347&amp;$Z347,PLANNING_FC!$DA$4:$DO$23,MATCH($W347,PLANNING_FC!$CZ$4:$CZ$23,0),FALSE),0),0)</f>
        <v>0</v>
      </c>
      <c r="BB347" s="883" t="str">
        <f>IF(V347="BRAND.com",IFERROR(HLOOKUP(X347&amp;Z347,PLANNING_FC!$AK$4:$AY$23,MATCH(W347,PLANNING_FC!$AJ$4:$AJ$23,0),FALSE)*1000,""),"")</f>
        <v/>
      </c>
      <c r="BC347" s="883" t="str">
        <f>IF(V347="BRAND.com",IFERROR(HLOOKUP(X347&amp;Z347,PLANNING_FC!$AK$27:$AY$46,MATCH(W347,PLANNING_FC!$AJ$27:$AJ$46,0),FALSE)*1000,""),"")</f>
        <v/>
      </c>
    </row>
    <row r="348" spans="1:55" x14ac:dyDescent="0.25">
      <c r="A348" s="509"/>
      <c r="B348" s="509"/>
      <c r="C348" s="509"/>
      <c r="D348" s="509"/>
      <c r="E348" s="509"/>
      <c r="F348" s="509"/>
      <c r="G348" s="509"/>
      <c r="H348" s="509"/>
      <c r="I348" s="512"/>
      <c r="J348" s="513"/>
      <c r="K348" s="879"/>
      <c r="L348" s="515"/>
      <c r="M348" s="516"/>
      <c r="N348" s="56">
        <f t="shared" si="126"/>
        <v>0</v>
      </c>
      <c r="O348" s="57">
        <f t="shared" si="127"/>
        <v>0</v>
      </c>
      <c r="P348" s="57">
        <f ca="1">IFERROR(IF(ISBLANK(H348),SUMIFS($AC:$AC,$V:$V,V348,$W:$W,W348,$X:$X,X348,$Y:$Y,Y348)*J348/(1-J348)*VLOOKUP(_xlfn.CONCAT(C348,D348,E348,TIME!$M$12,Z348),HIS_SALES!$B$2:$W$4859,20,FALSE),AC348*J348/(1-J348)),0)</f>
        <v>0</v>
      </c>
      <c r="Q348" s="541" t="str">
        <f t="shared" si="128"/>
        <v/>
      </c>
      <c r="R348" s="346" t="str">
        <f t="shared" si="129"/>
        <v>00000</v>
      </c>
      <c r="S348" s="344">
        <f t="shared" si="130"/>
        <v>0</v>
      </c>
      <c r="T348" s="345" t="str">
        <f t="shared" si="143"/>
        <v>000</v>
      </c>
      <c r="U348" s="345">
        <f t="shared" si="131"/>
        <v>0</v>
      </c>
      <c r="V348" s="345">
        <f t="shared" si="132"/>
        <v>0</v>
      </c>
      <c r="W348" s="345">
        <f t="shared" si="133"/>
        <v>0</v>
      </c>
      <c r="X348" s="345">
        <f t="shared" si="134"/>
        <v>0</v>
      </c>
      <c r="Y348" s="345">
        <f t="shared" si="135"/>
        <v>0</v>
      </c>
      <c r="Z348" s="345">
        <f>IF(Q348&lt;&gt;"",VLOOKUP(Y348,TIME!$R$21:$V$24,MATCH(FC_DATA!Q348,TIME!$R$20:$V$20,0),FALSE),H348)</f>
        <v>0</v>
      </c>
      <c r="AA348" s="345" t="str">
        <f>IFERROR(VLOOKUP(X348&amp;Z348,TIME!$A$12:$D$71,4,FALSE),"")</f>
        <v/>
      </c>
      <c r="AB348" s="592">
        <f t="shared" ca="1" si="136"/>
        <v>0</v>
      </c>
      <c r="AC348" s="593" t="e">
        <f ca="1">IF(ISBLANK(H348)=FALSE,IF(D348="BRAND.com",I348,IF(ISNA(VLOOKUP(_xlfn.CONCAT(X348,Z348),TIME!$M$40:$M$42,1,FALSE)),I348,VLOOKUP(_xlfn.CONCAT(D348,G348,H348),M_BUSAREA_FC!$AF$5:$AJ$10,5,FALSE)*HLOOKUP(_xlfn.CONCAT(F348,H348),ST_OVERVIEW!$G$99:$I$130,MATCH(_xlfn.CONCAT(D348,E348),ST_OVERVIEW!$F$99:$F$130,0),FALSE))),IF(D348="BRAND.com",VLOOKUP(_xlfn.CONCAT(C348,D348,E348,TIME!$F$1,Z348),HIS_SALES!$B$2:$V$4859,19,FALSE)*I348,VLOOKUP(_xlfn.CONCAT(D348,F348,G348),Q_BUSAREA_FC!$AE$5:$AI$12,5,FALSE)*HLOOKUP(_xlfn.CONCAT(FC_DATA!F348,FC_DATA!G348),LT_OVERVIEW!$I$99:$M$130,MATCH(_xlfn.CONCAT(D348,FC_DATA!E348),LT_OVERVIEW!$H$99:$H$130,0),FALSE)*IFERROR(VLOOKUP(_xlfn.CONCAT(C348,D348,E348,TIME!$F$1,Z348),HIS_SALES!$B$2:$V$4859,19,FALSE),0)))</f>
        <v>#N/A</v>
      </c>
      <c r="AD348" s="341">
        <f t="shared" ca="1" si="137"/>
        <v>0</v>
      </c>
      <c r="AE348" s="363" t="str">
        <f t="shared" si="138"/>
        <v/>
      </c>
      <c r="AF348" s="342" t="str">
        <f t="shared" si="139"/>
        <v/>
      </c>
      <c r="AG348" s="411" t="e">
        <f ca="1">VLOOKUP(_xlfn.CONCAT(U348,V348,W348,VLOOKUP(X348&amp;Y348,TIME!$L$27:$O$34,4,FALSE),Y348),HIS_SALES!$A$2:$R$5093,18,FALSE)</f>
        <v>#N/A</v>
      </c>
      <c r="AH348" s="412" t="e">
        <f ca="1">IFERROR(IF(AND(V348=V347,W348=W347),0.5*(AB348+AB347)*AG348,(VLOOKUP(_xlfn.CONCAT(U348,V348,W348,X348,VLOOKUP(Z348,TIME!$S$28:$T$39,2,FALSE)),FC_DATA!$R$2:$AB$5000,MATCH("GS_I_M",FC_DATA!$R$1:$AB$1,0),FALSE)+FC_DATA!AB348)*0.5*FC_DATA!AG348),NA())</f>
        <v>#N/A</v>
      </c>
      <c r="AI348" s="491" t="e">
        <f ca="1">IF(V348="PARTNER.com",AH348,IF(AND(V348=V347,W348=W347),(1-AVERAGE(AD347,AD348))*AH348,(1-AVERAGE(AD348,VLOOKUP(_xlfn.CONCAT(U348,V348,W348,X348,M_BRAND_FC!$F$6),FC_DATA!$R$2:$AD$5000,MATCH("DISCOUNT_%_M",FC_DATA!$R$1:$AD$1,0),FALSE)))*AH348))</f>
        <v>#N/A</v>
      </c>
      <c r="AJ348" s="412" t="str">
        <f t="shared" ca="1" si="140"/>
        <v/>
      </c>
      <c r="AK348" s="413" t="str">
        <f>IFERROR(AE348/(Q_BRAND_FC!$T$24+1),"")</f>
        <v/>
      </c>
      <c r="AL348" s="88" t="str">
        <f t="shared" ca="1" si="141"/>
        <v/>
      </c>
      <c r="AM348" s="414" t="str">
        <f t="shared" ca="1" si="142"/>
        <v/>
      </c>
      <c r="AN348" s="58">
        <f>IFERROR(IF($V348="BRAND.com",HLOOKUP($X348&amp;$Z348,NWC_FC_NOOS!$C$4:$Q$23,MATCH(W348,NWC_FC_NOOS!$B$4:$B$23,0),FALSE),0),0)</f>
        <v>0</v>
      </c>
      <c r="AO348" s="57">
        <f>IFERROR(IF($V348="BRAND.com",HLOOKUP($X348&amp;$Z348,NWC_FC_NOOS!$T$4:$AH$23,MATCH(W348,NWC_FC_NOOS!$S$4:$S$23,0),FALSE),0),0)</f>
        <v>0</v>
      </c>
      <c r="AP348" s="57">
        <f>IFERROR(IF($V348="BRAND.com",HLOOKUP($X348&amp;$Z348,NWC_FC_NOOS!$C$50:$U$69,MATCH(W348,NWC_FC_NOOS!$B$50:$B$69,0),FALSE),0),0)</f>
        <v>0</v>
      </c>
      <c r="AQ348" s="58">
        <f>IFERROR(IF($V348="BRAND.com",HLOOKUP($X348&amp;$Z348,'NWC_FC_NON-NOOS'!$C$4:$Q$23,MATCH(W348,'NWC_FC_NON-NOOS'!$B$4:$B$23,0),FALSE),0),0)</f>
        <v>0</v>
      </c>
      <c r="AR348" s="57">
        <f>IFERROR(IF($V348="BRAND.com",HLOOKUP($X348&amp;$Z348,'NWC_FC_NON-NOOS'!$T$4:$AH$23,MATCH(W348,'NWC_FC_NON-NOOS'!$S$4:$S$23,0),FALSE),0),0)</f>
        <v>0</v>
      </c>
      <c r="AS348" s="57">
        <f>IFERROR(IF($V348="BRAND.com",HLOOKUP($X348&amp;$Z348,'NWC_FC_NON-NOOS'!$C$50:$U$69,MATCH(W348,'NWC_FC_NON-NOOS'!$B$50:$B$69,0),FALSE),0),0)</f>
        <v>0</v>
      </c>
      <c r="AT348" s="57">
        <f t="shared" si="144"/>
        <v>0</v>
      </c>
      <c r="AU348" s="57">
        <f t="shared" si="145"/>
        <v>0</v>
      </c>
      <c r="AV348" s="58">
        <f>IFERROR(IF($V348="BRAND.com",HLOOKUP($X348&amp;$Z348,PLANNING_FC!$BB$27:$BP$46,MATCH($W348,PLANNING_FC!$BA$27:$BA$46,0),FALSE),0),0)</f>
        <v>0</v>
      </c>
      <c r="AW348" s="58">
        <f>IFERROR(IF($V348="BRAND.com",HLOOKUP($X348&amp;$Z348,PLANNING_FC!$BB$4:$BP$23,MATCH($W348,PLANNING_FC!$BA$4:$BA$23,0),FALSE),0),0)</f>
        <v>0</v>
      </c>
      <c r="AX348" s="58">
        <f>IFERROR(IF($V348="BRAND.com",HLOOKUP($X348&amp;$Z348,PLANNING_FC!$T$27:$AH$46,MATCH($W348,PLANNING_FC!$B$27:$B$46,0),FALSE),0),0)</f>
        <v>0</v>
      </c>
      <c r="AY348" s="58">
        <f>IFERROR(IF($V348="BRAND.com",HLOOKUP($X348&amp;$Z348,PLANNING_FC!$T$4:$AH$23,MATCH($W348,PLANNING_FC!$B$4:$B$23,0),FALSE),0),0)</f>
        <v>0</v>
      </c>
      <c r="AZ348" s="58">
        <f>IFERROR(IF($V348="BRAND.com",HLOOKUP($X348&amp;$Z348,PLANNING_FC!$DA$27:$DO$46,MATCH($W348,PLANNING_FC!$CZ$27:$CZ$46,0),FALSE),0),0)</f>
        <v>0</v>
      </c>
      <c r="BA348" s="58">
        <f>IFERROR(IF($V348="BRAND.com",HLOOKUP($X348&amp;$Z348,PLANNING_FC!$DA$4:$DO$23,MATCH($W348,PLANNING_FC!$CZ$4:$CZ$23,0),FALSE),0),0)</f>
        <v>0</v>
      </c>
      <c r="BB348" s="883" t="str">
        <f>IF(V348="BRAND.com",IFERROR(HLOOKUP(X348&amp;Z348,PLANNING_FC!$AK$4:$AY$23,MATCH(W348,PLANNING_FC!$AJ$4:$AJ$23,0),FALSE)*1000,""),"")</f>
        <v/>
      </c>
      <c r="BC348" s="883" t="str">
        <f>IF(V348="BRAND.com",IFERROR(HLOOKUP(X348&amp;Z348,PLANNING_FC!$AK$27:$AY$46,MATCH(W348,PLANNING_FC!$AJ$27:$AJ$46,0),FALSE)*1000,""),"")</f>
        <v/>
      </c>
    </row>
    <row r="349" spans="1:55" x14ac:dyDescent="0.25">
      <c r="A349" s="509"/>
      <c r="B349" s="509"/>
      <c r="C349" s="509"/>
      <c r="D349" s="509"/>
      <c r="E349" s="509"/>
      <c r="F349" s="509"/>
      <c r="G349" s="509"/>
      <c r="H349" s="509"/>
      <c r="I349" s="512"/>
      <c r="J349" s="513"/>
      <c r="K349" s="879"/>
      <c r="L349" s="515"/>
      <c r="M349" s="516"/>
      <c r="N349" s="56">
        <f t="shared" si="126"/>
        <v>0</v>
      </c>
      <c r="O349" s="57">
        <f t="shared" si="127"/>
        <v>0</v>
      </c>
      <c r="P349" s="57">
        <f ca="1">IFERROR(IF(ISBLANK(H349),SUMIFS($AC:$AC,$V:$V,V349,$W:$W,W349,$X:$X,X349,$Y:$Y,Y349)*J349/(1-J349)*VLOOKUP(_xlfn.CONCAT(C349,D349,E349,TIME!$M$12,Z349),HIS_SALES!$B$2:$W$4859,20,FALSE),AC349*J349/(1-J349)),0)</f>
        <v>0</v>
      </c>
      <c r="Q349" s="541" t="str">
        <f t="shared" si="128"/>
        <v/>
      </c>
      <c r="R349" s="346" t="str">
        <f t="shared" si="129"/>
        <v>00000</v>
      </c>
      <c r="S349" s="344">
        <f t="shared" si="130"/>
        <v>0</v>
      </c>
      <c r="T349" s="345" t="str">
        <f t="shared" si="143"/>
        <v>000</v>
      </c>
      <c r="U349" s="345">
        <f t="shared" si="131"/>
        <v>0</v>
      </c>
      <c r="V349" s="345">
        <f t="shared" si="132"/>
        <v>0</v>
      </c>
      <c r="W349" s="345">
        <f t="shared" si="133"/>
        <v>0</v>
      </c>
      <c r="X349" s="345">
        <f t="shared" si="134"/>
        <v>0</v>
      </c>
      <c r="Y349" s="345">
        <f t="shared" si="135"/>
        <v>0</v>
      </c>
      <c r="Z349" s="345">
        <f>IF(Q349&lt;&gt;"",VLOOKUP(Y349,TIME!$R$21:$V$24,MATCH(FC_DATA!Q349,TIME!$R$20:$V$20,0),FALSE),H349)</f>
        <v>0</v>
      </c>
      <c r="AA349" s="345" t="str">
        <f>IFERROR(VLOOKUP(X349&amp;Z349,TIME!$A$12:$D$71,4,FALSE),"")</f>
        <v/>
      </c>
      <c r="AB349" s="592">
        <f t="shared" ca="1" si="136"/>
        <v>0</v>
      </c>
      <c r="AC349" s="593" t="e">
        <f ca="1">IF(ISBLANK(H349)=FALSE,IF(D349="BRAND.com",I349,IF(ISNA(VLOOKUP(_xlfn.CONCAT(X349,Z349),TIME!$M$40:$M$42,1,FALSE)),I349,VLOOKUP(_xlfn.CONCAT(D349,G349,H349),M_BUSAREA_FC!$AF$5:$AJ$10,5,FALSE)*HLOOKUP(_xlfn.CONCAT(F349,H349),ST_OVERVIEW!$G$99:$I$130,MATCH(_xlfn.CONCAT(D349,E349),ST_OVERVIEW!$F$99:$F$130,0),FALSE))),IF(D349="BRAND.com",VLOOKUP(_xlfn.CONCAT(C349,D349,E349,TIME!$F$1,Z349),HIS_SALES!$B$2:$V$4859,19,FALSE)*I349,VLOOKUP(_xlfn.CONCAT(D349,F349,G349),Q_BUSAREA_FC!$AE$5:$AI$12,5,FALSE)*HLOOKUP(_xlfn.CONCAT(FC_DATA!F349,FC_DATA!G349),LT_OVERVIEW!$I$99:$M$130,MATCH(_xlfn.CONCAT(D349,FC_DATA!E349),LT_OVERVIEW!$H$99:$H$130,0),FALSE)*IFERROR(VLOOKUP(_xlfn.CONCAT(C349,D349,E349,TIME!$F$1,Z349),HIS_SALES!$B$2:$V$4859,19,FALSE),0)))</f>
        <v>#N/A</v>
      </c>
      <c r="AD349" s="341">
        <f t="shared" ca="1" si="137"/>
        <v>0</v>
      </c>
      <c r="AE349" s="363" t="str">
        <f t="shared" si="138"/>
        <v/>
      </c>
      <c r="AF349" s="342" t="str">
        <f t="shared" si="139"/>
        <v/>
      </c>
      <c r="AG349" s="411" t="e">
        <f ca="1">VLOOKUP(_xlfn.CONCAT(U349,V349,W349,VLOOKUP(X349&amp;Y349,TIME!$L$27:$O$34,4,FALSE),Y349),HIS_SALES!$A$2:$R$5093,18,FALSE)</f>
        <v>#N/A</v>
      </c>
      <c r="AH349" s="412" t="e">
        <f ca="1">IFERROR(IF(AND(V349=V348,W349=W348),0.5*(AB349+AB348)*AG349,(VLOOKUP(_xlfn.CONCAT(U349,V349,W349,X349,VLOOKUP(Z349,TIME!$S$28:$T$39,2,FALSE)),FC_DATA!$R$2:$AB$5000,MATCH("GS_I_M",FC_DATA!$R$1:$AB$1,0),FALSE)+FC_DATA!AB349)*0.5*FC_DATA!AG349),NA())</f>
        <v>#N/A</v>
      </c>
      <c r="AI349" s="491" t="e">
        <f ca="1">IF(V349="PARTNER.com",AH349,IF(AND(V349=V348,W349=W348),(1-AVERAGE(AD348,AD349))*AH349,(1-AVERAGE(AD349,VLOOKUP(_xlfn.CONCAT(U349,V349,W349,X349,M_BRAND_FC!$F$6),FC_DATA!$R$2:$AD$5000,MATCH("DISCOUNT_%_M",FC_DATA!$R$1:$AD$1,0),FALSE)))*AH349))</f>
        <v>#N/A</v>
      </c>
      <c r="AJ349" s="412" t="str">
        <f t="shared" ca="1" si="140"/>
        <v/>
      </c>
      <c r="AK349" s="413" t="str">
        <f>IFERROR(AE349/(Q_BRAND_FC!$T$24+1),"")</f>
        <v/>
      </c>
      <c r="AL349" s="88" t="str">
        <f t="shared" ca="1" si="141"/>
        <v/>
      </c>
      <c r="AM349" s="414" t="str">
        <f t="shared" ca="1" si="142"/>
        <v/>
      </c>
      <c r="AN349" s="58">
        <f>IFERROR(IF($V349="BRAND.com",HLOOKUP($X349&amp;$Z349,NWC_FC_NOOS!$C$4:$Q$23,MATCH(W349,NWC_FC_NOOS!$B$4:$B$23,0),FALSE),0),0)</f>
        <v>0</v>
      </c>
      <c r="AO349" s="57">
        <f>IFERROR(IF($V349="BRAND.com",HLOOKUP($X349&amp;$Z349,NWC_FC_NOOS!$T$4:$AH$23,MATCH(W349,NWC_FC_NOOS!$S$4:$S$23,0),FALSE),0),0)</f>
        <v>0</v>
      </c>
      <c r="AP349" s="57">
        <f>IFERROR(IF($V349="BRAND.com",HLOOKUP($X349&amp;$Z349,NWC_FC_NOOS!$C$50:$U$69,MATCH(W349,NWC_FC_NOOS!$B$50:$B$69,0),FALSE),0),0)</f>
        <v>0</v>
      </c>
      <c r="AQ349" s="58">
        <f>IFERROR(IF($V349="BRAND.com",HLOOKUP($X349&amp;$Z349,'NWC_FC_NON-NOOS'!$C$4:$Q$23,MATCH(W349,'NWC_FC_NON-NOOS'!$B$4:$B$23,0),FALSE),0),0)</f>
        <v>0</v>
      </c>
      <c r="AR349" s="57">
        <f>IFERROR(IF($V349="BRAND.com",HLOOKUP($X349&amp;$Z349,'NWC_FC_NON-NOOS'!$T$4:$AH$23,MATCH(W349,'NWC_FC_NON-NOOS'!$S$4:$S$23,0),FALSE),0),0)</f>
        <v>0</v>
      </c>
      <c r="AS349" s="57">
        <f>IFERROR(IF($V349="BRAND.com",HLOOKUP($X349&amp;$Z349,'NWC_FC_NON-NOOS'!$C$50:$U$69,MATCH(W349,'NWC_FC_NON-NOOS'!$B$50:$B$69,0),FALSE),0),0)</f>
        <v>0</v>
      </c>
      <c r="AT349" s="57">
        <f t="shared" si="144"/>
        <v>0</v>
      </c>
      <c r="AU349" s="57">
        <f t="shared" si="145"/>
        <v>0</v>
      </c>
      <c r="AV349" s="58">
        <f>IFERROR(IF($V349="BRAND.com",HLOOKUP($X349&amp;$Z349,PLANNING_FC!$BB$27:$BP$46,MATCH($W349,PLANNING_FC!$BA$27:$BA$46,0),FALSE),0),0)</f>
        <v>0</v>
      </c>
      <c r="AW349" s="58">
        <f>IFERROR(IF($V349="BRAND.com",HLOOKUP($X349&amp;$Z349,PLANNING_FC!$BB$4:$BP$23,MATCH($W349,PLANNING_FC!$BA$4:$BA$23,0),FALSE),0),0)</f>
        <v>0</v>
      </c>
      <c r="AX349" s="58">
        <f>IFERROR(IF($V349="BRAND.com",HLOOKUP($X349&amp;$Z349,PLANNING_FC!$T$27:$AH$46,MATCH($W349,PLANNING_FC!$B$27:$B$46,0),FALSE),0),0)</f>
        <v>0</v>
      </c>
      <c r="AY349" s="58">
        <f>IFERROR(IF($V349="BRAND.com",HLOOKUP($X349&amp;$Z349,PLANNING_FC!$T$4:$AH$23,MATCH($W349,PLANNING_FC!$B$4:$B$23,0),FALSE),0),0)</f>
        <v>0</v>
      </c>
      <c r="AZ349" s="58">
        <f>IFERROR(IF($V349="BRAND.com",HLOOKUP($X349&amp;$Z349,PLANNING_FC!$DA$27:$DO$46,MATCH($W349,PLANNING_FC!$CZ$27:$CZ$46,0),FALSE),0),0)</f>
        <v>0</v>
      </c>
      <c r="BA349" s="58">
        <f>IFERROR(IF($V349="BRAND.com",HLOOKUP($X349&amp;$Z349,PLANNING_FC!$DA$4:$DO$23,MATCH($W349,PLANNING_FC!$CZ$4:$CZ$23,0),FALSE),0),0)</f>
        <v>0</v>
      </c>
      <c r="BB349" s="883" t="str">
        <f>IF(V349="BRAND.com",IFERROR(HLOOKUP(X349&amp;Z349,PLANNING_FC!$AK$4:$AY$23,MATCH(W349,PLANNING_FC!$AJ$4:$AJ$23,0),FALSE)*1000,""),"")</f>
        <v/>
      </c>
      <c r="BC349" s="883" t="str">
        <f>IF(V349="BRAND.com",IFERROR(HLOOKUP(X349&amp;Z349,PLANNING_FC!$AK$27:$AY$46,MATCH(W349,PLANNING_FC!$AJ$27:$AJ$46,0),FALSE)*1000,""),"")</f>
        <v/>
      </c>
    </row>
    <row r="350" spans="1:55" x14ac:dyDescent="0.25">
      <c r="A350" s="509"/>
      <c r="B350" s="509"/>
      <c r="C350" s="509"/>
      <c r="D350" s="509"/>
      <c r="E350" s="509"/>
      <c r="F350" s="509"/>
      <c r="G350" s="509"/>
      <c r="H350" s="509"/>
      <c r="I350" s="512"/>
      <c r="J350" s="513"/>
      <c r="K350" s="879"/>
      <c r="L350" s="515"/>
      <c r="M350" s="516"/>
      <c r="N350" s="56">
        <f t="shared" si="126"/>
        <v>0</v>
      </c>
      <c r="O350" s="57">
        <f t="shared" si="127"/>
        <v>0</v>
      </c>
      <c r="P350" s="57">
        <f ca="1">IFERROR(IF(ISBLANK(H350),SUMIFS($AC:$AC,$V:$V,V350,$W:$W,W350,$X:$X,X350,$Y:$Y,Y350)*J350/(1-J350)*VLOOKUP(_xlfn.CONCAT(C350,D350,E350,TIME!$M$12,Z350),HIS_SALES!$B$2:$W$4859,20,FALSE),AC350*J350/(1-J350)),0)</f>
        <v>0</v>
      </c>
      <c r="Q350" s="541" t="str">
        <f t="shared" si="128"/>
        <v/>
      </c>
      <c r="R350" s="346" t="str">
        <f t="shared" si="129"/>
        <v>00000</v>
      </c>
      <c r="S350" s="344">
        <f t="shared" si="130"/>
        <v>0</v>
      </c>
      <c r="T350" s="345" t="str">
        <f t="shared" si="143"/>
        <v>000</v>
      </c>
      <c r="U350" s="345">
        <f t="shared" si="131"/>
        <v>0</v>
      </c>
      <c r="V350" s="345">
        <f t="shared" si="132"/>
        <v>0</v>
      </c>
      <c r="W350" s="345">
        <f t="shared" si="133"/>
        <v>0</v>
      </c>
      <c r="X350" s="345">
        <f t="shared" si="134"/>
        <v>0</v>
      </c>
      <c r="Y350" s="345">
        <f t="shared" si="135"/>
        <v>0</v>
      </c>
      <c r="Z350" s="345">
        <f>IF(Q350&lt;&gt;"",VLOOKUP(Y350,TIME!$R$21:$V$24,MATCH(FC_DATA!Q350,TIME!$R$20:$V$20,0),FALSE),H350)</f>
        <v>0</v>
      </c>
      <c r="AA350" s="345" t="str">
        <f>IFERROR(VLOOKUP(X350&amp;Z350,TIME!$A$12:$D$71,4,FALSE),"")</f>
        <v/>
      </c>
      <c r="AB350" s="592">
        <f t="shared" ca="1" si="136"/>
        <v>0</v>
      </c>
      <c r="AC350" s="593" t="e">
        <f ca="1">IF(ISBLANK(H350)=FALSE,IF(D350="BRAND.com",I350,IF(ISNA(VLOOKUP(_xlfn.CONCAT(X350,Z350),TIME!$M$40:$M$42,1,FALSE)),I350,VLOOKUP(_xlfn.CONCAT(D350,G350,H350),M_BUSAREA_FC!$AF$5:$AJ$10,5,FALSE)*HLOOKUP(_xlfn.CONCAT(F350,H350),ST_OVERVIEW!$G$99:$I$130,MATCH(_xlfn.CONCAT(D350,E350),ST_OVERVIEW!$F$99:$F$130,0),FALSE))),IF(D350="BRAND.com",VLOOKUP(_xlfn.CONCAT(C350,D350,E350,TIME!$F$1,Z350),HIS_SALES!$B$2:$V$4859,19,FALSE)*I350,VLOOKUP(_xlfn.CONCAT(D350,F350,G350),Q_BUSAREA_FC!$AE$5:$AI$12,5,FALSE)*HLOOKUP(_xlfn.CONCAT(FC_DATA!F350,FC_DATA!G350),LT_OVERVIEW!$I$99:$M$130,MATCH(_xlfn.CONCAT(D350,FC_DATA!E350),LT_OVERVIEW!$H$99:$H$130,0),FALSE)*IFERROR(VLOOKUP(_xlfn.CONCAT(C350,D350,E350,TIME!$F$1,Z350),HIS_SALES!$B$2:$V$4859,19,FALSE),0)))</f>
        <v>#N/A</v>
      </c>
      <c r="AD350" s="341">
        <f t="shared" ca="1" si="137"/>
        <v>0</v>
      </c>
      <c r="AE350" s="363" t="str">
        <f t="shared" si="138"/>
        <v/>
      </c>
      <c r="AF350" s="342" t="str">
        <f t="shared" si="139"/>
        <v/>
      </c>
      <c r="AG350" s="411" t="e">
        <f ca="1">VLOOKUP(_xlfn.CONCAT(U350,V350,W350,VLOOKUP(X350&amp;Y350,TIME!$L$27:$O$34,4,FALSE),Y350),HIS_SALES!$A$2:$R$5093,18,FALSE)</f>
        <v>#N/A</v>
      </c>
      <c r="AH350" s="412" t="e">
        <f ca="1">IFERROR(IF(AND(V350=V349,W350=W349),0.5*(AB350+AB349)*AG350,(VLOOKUP(_xlfn.CONCAT(U350,V350,W350,X350,VLOOKUP(Z350,TIME!$S$28:$T$39,2,FALSE)),FC_DATA!$R$2:$AB$5000,MATCH("GS_I_M",FC_DATA!$R$1:$AB$1,0),FALSE)+FC_DATA!AB350)*0.5*FC_DATA!AG350),NA())</f>
        <v>#N/A</v>
      </c>
      <c r="AI350" s="491" t="e">
        <f ca="1">IF(V350="PARTNER.com",AH350,IF(AND(V350=V349,W350=W349),(1-AVERAGE(AD349,AD350))*AH350,(1-AVERAGE(AD350,VLOOKUP(_xlfn.CONCAT(U350,V350,W350,X350,M_BRAND_FC!$F$6),FC_DATA!$R$2:$AD$5000,MATCH("DISCOUNT_%_M",FC_DATA!$R$1:$AD$1,0),FALSE)))*AH350))</f>
        <v>#N/A</v>
      </c>
      <c r="AJ350" s="412" t="str">
        <f t="shared" ca="1" si="140"/>
        <v/>
      </c>
      <c r="AK350" s="413" t="str">
        <f>IFERROR(AE350/(Q_BRAND_FC!$T$24+1),"")</f>
        <v/>
      </c>
      <c r="AL350" s="88" t="str">
        <f t="shared" ca="1" si="141"/>
        <v/>
      </c>
      <c r="AM350" s="414" t="str">
        <f t="shared" ca="1" si="142"/>
        <v/>
      </c>
      <c r="AN350" s="58">
        <f>IFERROR(IF($V350="BRAND.com",HLOOKUP($X350&amp;$Z350,NWC_FC_NOOS!$C$4:$Q$23,MATCH(W350,NWC_FC_NOOS!$B$4:$B$23,0),FALSE),0),0)</f>
        <v>0</v>
      </c>
      <c r="AO350" s="57">
        <f>IFERROR(IF($V350="BRAND.com",HLOOKUP($X350&amp;$Z350,NWC_FC_NOOS!$T$4:$AH$23,MATCH(W350,NWC_FC_NOOS!$S$4:$S$23,0),FALSE),0),0)</f>
        <v>0</v>
      </c>
      <c r="AP350" s="57">
        <f>IFERROR(IF($V350="BRAND.com",HLOOKUP($X350&amp;$Z350,NWC_FC_NOOS!$C$50:$U$69,MATCH(W350,NWC_FC_NOOS!$B$50:$B$69,0),FALSE),0),0)</f>
        <v>0</v>
      </c>
      <c r="AQ350" s="58">
        <f>IFERROR(IF($V350="BRAND.com",HLOOKUP($X350&amp;$Z350,'NWC_FC_NON-NOOS'!$C$4:$Q$23,MATCH(W350,'NWC_FC_NON-NOOS'!$B$4:$B$23,0),FALSE),0),0)</f>
        <v>0</v>
      </c>
      <c r="AR350" s="57">
        <f>IFERROR(IF($V350="BRAND.com",HLOOKUP($X350&amp;$Z350,'NWC_FC_NON-NOOS'!$T$4:$AH$23,MATCH(W350,'NWC_FC_NON-NOOS'!$S$4:$S$23,0),FALSE),0),0)</f>
        <v>0</v>
      </c>
      <c r="AS350" s="57">
        <f>IFERROR(IF($V350="BRAND.com",HLOOKUP($X350&amp;$Z350,'NWC_FC_NON-NOOS'!$C$50:$U$69,MATCH(W350,'NWC_FC_NON-NOOS'!$B$50:$B$69,0),FALSE),0),0)</f>
        <v>0</v>
      </c>
      <c r="AT350" s="57">
        <f t="shared" si="144"/>
        <v>0</v>
      </c>
      <c r="AU350" s="57">
        <f t="shared" si="145"/>
        <v>0</v>
      </c>
      <c r="AV350" s="58">
        <f>IFERROR(IF($V350="BRAND.com",HLOOKUP($X350&amp;$Z350,PLANNING_FC!$BB$27:$BP$46,MATCH($W350,PLANNING_FC!$BA$27:$BA$46,0),FALSE),0),0)</f>
        <v>0</v>
      </c>
      <c r="AW350" s="58">
        <f>IFERROR(IF($V350="BRAND.com",HLOOKUP($X350&amp;$Z350,PLANNING_FC!$BB$4:$BP$23,MATCH($W350,PLANNING_FC!$BA$4:$BA$23,0),FALSE),0),0)</f>
        <v>0</v>
      </c>
      <c r="AX350" s="58">
        <f>IFERROR(IF($V350="BRAND.com",HLOOKUP($X350&amp;$Z350,PLANNING_FC!$T$27:$AH$46,MATCH($W350,PLANNING_FC!$B$27:$B$46,0),FALSE),0),0)</f>
        <v>0</v>
      </c>
      <c r="AY350" s="58">
        <f>IFERROR(IF($V350="BRAND.com",HLOOKUP($X350&amp;$Z350,PLANNING_FC!$T$4:$AH$23,MATCH($W350,PLANNING_FC!$B$4:$B$23,0),FALSE),0),0)</f>
        <v>0</v>
      </c>
      <c r="AZ350" s="58">
        <f>IFERROR(IF($V350="BRAND.com",HLOOKUP($X350&amp;$Z350,PLANNING_FC!$DA$27:$DO$46,MATCH($W350,PLANNING_FC!$CZ$27:$CZ$46,0),FALSE),0),0)</f>
        <v>0</v>
      </c>
      <c r="BA350" s="58">
        <f>IFERROR(IF($V350="BRAND.com",HLOOKUP($X350&amp;$Z350,PLANNING_FC!$DA$4:$DO$23,MATCH($W350,PLANNING_FC!$CZ$4:$CZ$23,0),FALSE),0),0)</f>
        <v>0</v>
      </c>
      <c r="BB350" s="883" t="str">
        <f>IF(V350="BRAND.com",IFERROR(HLOOKUP(X350&amp;Z350,PLANNING_FC!$AK$4:$AY$23,MATCH(W350,PLANNING_FC!$AJ$4:$AJ$23,0),FALSE)*1000,""),"")</f>
        <v/>
      </c>
      <c r="BC350" s="883" t="str">
        <f>IF(V350="BRAND.com",IFERROR(HLOOKUP(X350&amp;Z350,PLANNING_FC!$AK$27:$AY$46,MATCH(W350,PLANNING_FC!$AJ$27:$AJ$46,0),FALSE)*1000,""),"")</f>
        <v/>
      </c>
    </row>
    <row r="351" spans="1:55" x14ac:dyDescent="0.25">
      <c r="A351" s="509"/>
      <c r="B351" s="509"/>
      <c r="C351" s="509"/>
      <c r="D351" s="509"/>
      <c r="E351" s="509"/>
      <c r="F351" s="509"/>
      <c r="G351" s="509"/>
      <c r="H351" s="509"/>
      <c r="I351" s="512"/>
      <c r="J351" s="513"/>
      <c r="K351" s="879"/>
      <c r="L351" s="515"/>
      <c r="M351" s="516"/>
      <c r="N351" s="56">
        <f t="shared" si="126"/>
        <v>0</v>
      </c>
      <c r="O351" s="57">
        <f t="shared" si="127"/>
        <v>0</v>
      </c>
      <c r="P351" s="57">
        <f ca="1">IFERROR(IF(ISBLANK(H351),SUMIFS($AC:$AC,$V:$V,V351,$W:$W,W351,$X:$X,X351,$Y:$Y,Y351)*J351/(1-J351)*VLOOKUP(_xlfn.CONCAT(C351,D351,E351,TIME!$M$12,Z351),HIS_SALES!$B$2:$W$4859,20,FALSE),AC351*J351/(1-J351)),0)</f>
        <v>0</v>
      </c>
      <c r="Q351" s="541" t="str">
        <f t="shared" si="128"/>
        <v/>
      </c>
      <c r="R351" s="346" t="str">
        <f t="shared" si="129"/>
        <v>00000</v>
      </c>
      <c r="S351" s="344">
        <f t="shared" si="130"/>
        <v>0</v>
      </c>
      <c r="T351" s="345" t="str">
        <f t="shared" si="143"/>
        <v>000</v>
      </c>
      <c r="U351" s="345">
        <f t="shared" si="131"/>
        <v>0</v>
      </c>
      <c r="V351" s="345">
        <f t="shared" si="132"/>
        <v>0</v>
      </c>
      <c r="W351" s="345">
        <f t="shared" si="133"/>
        <v>0</v>
      </c>
      <c r="X351" s="345">
        <f t="shared" si="134"/>
        <v>0</v>
      </c>
      <c r="Y351" s="345">
        <f t="shared" si="135"/>
        <v>0</v>
      </c>
      <c r="Z351" s="345">
        <f>IF(Q351&lt;&gt;"",VLOOKUP(Y351,TIME!$R$21:$V$24,MATCH(FC_DATA!Q351,TIME!$R$20:$V$20,0),FALSE),H351)</f>
        <v>0</v>
      </c>
      <c r="AA351" s="345" t="str">
        <f>IFERROR(VLOOKUP(X351&amp;Z351,TIME!$A$12:$D$71,4,FALSE),"")</f>
        <v/>
      </c>
      <c r="AB351" s="592">
        <f t="shared" ca="1" si="136"/>
        <v>0</v>
      </c>
      <c r="AC351" s="593" t="e">
        <f ca="1">IF(ISBLANK(H351)=FALSE,IF(D351="BRAND.com",I351,IF(ISNA(VLOOKUP(_xlfn.CONCAT(X351,Z351),TIME!$M$40:$M$42,1,FALSE)),I351,VLOOKUP(_xlfn.CONCAT(D351,G351,H351),M_BUSAREA_FC!$AF$5:$AJ$10,5,FALSE)*HLOOKUP(_xlfn.CONCAT(F351,H351),ST_OVERVIEW!$G$99:$I$130,MATCH(_xlfn.CONCAT(D351,E351),ST_OVERVIEW!$F$99:$F$130,0),FALSE))),IF(D351="BRAND.com",VLOOKUP(_xlfn.CONCAT(C351,D351,E351,TIME!$F$1,Z351),HIS_SALES!$B$2:$V$4859,19,FALSE)*I351,VLOOKUP(_xlfn.CONCAT(D351,F351,G351),Q_BUSAREA_FC!$AE$5:$AI$12,5,FALSE)*HLOOKUP(_xlfn.CONCAT(FC_DATA!F351,FC_DATA!G351),LT_OVERVIEW!$I$99:$M$130,MATCH(_xlfn.CONCAT(D351,FC_DATA!E351),LT_OVERVIEW!$H$99:$H$130,0),FALSE)*IFERROR(VLOOKUP(_xlfn.CONCAT(C351,D351,E351,TIME!$F$1,Z351),HIS_SALES!$B$2:$V$4859,19,FALSE),0)))</f>
        <v>#N/A</v>
      </c>
      <c r="AD351" s="341">
        <f t="shared" ca="1" si="137"/>
        <v>0</v>
      </c>
      <c r="AE351" s="363" t="str">
        <f t="shared" si="138"/>
        <v/>
      </c>
      <c r="AF351" s="342" t="str">
        <f t="shared" si="139"/>
        <v/>
      </c>
      <c r="AG351" s="411" t="e">
        <f ca="1">VLOOKUP(_xlfn.CONCAT(U351,V351,W351,VLOOKUP(X351&amp;Y351,TIME!$L$27:$O$34,4,FALSE),Y351),HIS_SALES!$A$2:$R$5093,18,FALSE)</f>
        <v>#N/A</v>
      </c>
      <c r="AH351" s="412" t="e">
        <f ca="1">IFERROR(IF(AND(V351=V350,W351=W350),0.5*(AB351+AB350)*AG351,(VLOOKUP(_xlfn.CONCAT(U351,V351,W351,X351,VLOOKUP(Z351,TIME!$S$28:$T$39,2,FALSE)),FC_DATA!$R$2:$AB$5000,MATCH("GS_I_M",FC_DATA!$R$1:$AB$1,0),FALSE)+FC_DATA!AB351)*0.5*FC_DATA!AG351),NA())</f>
        <v>#N/A</v>
      </c>
      <c r="AI351" s="491" t="e">
        <f ca="1">IF(V351="PARTNER.com",AH351,IF(AND(V351=V350,W351=W350),(1-AVERAGE(AD350,AD351))*AH351,(1-AVERAGE(AD351,VLOOKUP(_xlfn.CONCAT(U351,V351,W351,X351,M_BRAND_FC!$F$6),FC_DATA!$R$2:$AD$5000,MATCH("DISCOUNT_%_M",FC_DATA!$R$1:$AD$1,0),FALSE)))*AH351))</f>
        <v>#N/A</v>
      </c>
      <c r="AJ351" s="412" t="str">
        <f t="shared" ca="1" si="140"/>
        <v/>
      </c>
      <c r="AK351" s="413" t="str">
        <f>IFERROR(AE351/(Q_BRAND_FC!$T$24+1),"")</f>
        <v/>
      </c>
      <c r="AL351" s="88" t="str">
        <f t="shared" ca="1" si="141"/>
        <v/>
      </c>
      <c r="AM351" s="414" t="str">
        <f t="shared" ca="1" si="142"/>
        <v/>
      </c>
      <c r="AN351" s="58">
        <f>IFERROR(IF($V351="BRAND.com",HLOOKUP($X351&amp;$Z351,NWC_FC_NOOS!$C$4:$Q$23,MATCH(W351,NWC_FC_NOOS!$B$4:$B$23,0),FALSE),0),0)</f>
        <v>0</v>
      </c>
      <c r="AO351" s="57">
        <f>IFERROR(IF($V351="BRAND.com",HLOOKUP($X351&amp;$Z351,NWC_FC_NOOS!$T$4:$AH$23,MATCH(W351,NWC_FC_NOOS!$S$4:$S$23,0),FALSE),0),0)</f>
        <v>0</v>
      </c>
      <c r="AP351" s="57">
        <f>IFERROR(IF($V351="BRAND.com",HLOOKUP($X351&amp;$Z351,NWC_FC_NOOS!$C$50:$U$69,MATCH(W351,NWC_FC_NOOS!$B$50:$B$69,0),FALSE),0),0)</f>
        <v>0</v>
      </c>
      <c r="AQ351" s="58">
        <f>IFERROR(IF($V351="BRAND.com",HLOOKUP($X351&amp;$Z351,'NWC_FC_NON-NOOS'!$C$4:$Q$23,MATCH(W351,'NWC_FC_NON-NOOS'!$B$4:$B$23,0),FALSE),0),0)</f>
        <v>0</v>
      </c>
      <c r="AR351" s="57">
        <f>IFERROR(IF($V351="BRAND.com",HLOOKUP($X351&amp;$Z351,'NWC_FC_NON-NOOS'!$T$4:$AH$23,MATCH(W351,'NWC_FC_NON-NOOS'!$S$4:$S$23,0),FALSE),0),0)</f>
        <v>0</v>
      </c>
      <c r="AS351" s="57">
        <f>IFERROR(IF($V351="BRAND.com",HLOOKUP($X351&amp;$Z351,'NWC_FC_NON-NOOS'!$C$50:$U$69,MATCH(W351,'NWC_FC_NON-NOOS'!$B$50:$B$69,0),FALSE),0),0)</f>
        <v>0</v>
      </c>
      <c r="AT351" s="57">
        <f t="shared" si="144"/>
        <v>0</v>
      </c>
      <c r="AU351" s="57">
        <f t="shared" si="145"/>
        <v>0</v>
      </c>
      <c r="AV351" s="58">
        <f>IFERROR(IF($V351="BRAND.com",HLOOKUP($X351&amp;$Z351,PLANNING_FC!$BB$27:$BP$46,MATCH($W351,PLANNING_FC!$BA$27:$BA$46,0),FALSE),0),0)</f>
        <v>0</v>
      </c>
      <c r="AW351" s="58">
        <f>IFERROR(IF($V351="BRAND.com",HLOOKUP($X351&amp;$Z351,PLANNING_FC!$BB$4:$BP$23,MATCH($W351,PLANNING_FC!$BA$4:$BA$23,0),FALSE),0),0)</f>
        <v>0</v>
      </c>
      <c r="AX351" s="58">
        <f>IFERROR(IF($V351="BRAND.com",HLOOKUP($X351&amp;$Z351,PLANNING_FC!$T$27:$AH$46,MATCH($W351,PLANNING_FC!$B$27:$B$46,0),FALSE),0),0)</f>
        <v>0</v>
      </c>
      <c r="AY351" s="58">
        <f>IFERROR(IF($V351="BRAND.com",HLOOKUP($X351&amp;$Z351,PLANNING_FC!$T$4:$AH$23,MATCH($W351,PLANNING_FC!$B$4:$B$23,0),FALSE),0),0)</f>
        <v>0</v>
      </c>
      <c r="AZ351" s="58">
        <f>IFERROR(IF($V351="BRAND.com",HLOOKUP($X351&amp;$Z351,PLANNING_FC!$DA$27:$DO$46,MATCH($W351,PLANNING_FC!$CZ$27:$CZ$46,0),FALSE),0),0)</f>
        <v>0</v>
      </c>
      <c r="BA351" s="58">
        <f>IFERROR(IF($V351="BRAND.com",HLOOKUP($X351&amp;$Z351,PLANNING_FC!$DA$4:$DO$23,MATCH($W351,PLANNING_FC!$CZ$4:$CZ$23,0),FALSE),0),0)</f>
        <v>0</v>
      </c>
      <c r="BB351" s="883" t="str">
        <f>IF(V351="BRAND.com",IFERROR(HLOOKUP(X351&amp;Z351,PLANNING_FC!$AK$4:$AY$23,MATCH(W351,PLANNING_FC!$AJ$4:$AJ$23,0),FALSE)*1000,""),"")</f>
        <v/>
      </c>
      <c r="BC351" s="883" t="str">
        <f>IF(V351="BRAND.com",IFERROR(HLOOKUP(X351&amp;Z351,PLANNING_FC!$AK$27:$AY$46,MATCH(W351,PLANNING_FC!$AJ$27:$AJ$46,0),FALSE)*1000,""),"")</f>
        <v/>
      </c>
    </row>
    <row r="352" spans="1:55" x14ac:dyDescent="0.25">
      <c r="A352" s="509"/>
      <c r="B352" s="509"/>
      <c r="C352" s="509"/>
      <c r="D352" s="509"/>
      <c r="E352" s="509"/>
      <c r="F352" s="509"/>
      <c r="G352" s="509"/>
      <c r="H352" s="509"/>
      <c r="I352" s="512"/>
      <c r="J352" s="513"/>
      <c r="K352" s="879"/>
      <c r="L352" s="515"/>
      <c r="M352" s="516"/>
      <c r="N352" s="56">
        <f t="shared" si="126"/>
        <v>0</v>
      </c>
      <c r="O352" s="57">
        <f t="shared" si="127"/>
        <v>0</v>
      </c>
      <c r="P352" s="57">
        <f ca="1">IFERROR(IF(ISBLANK(H352),SUMIFS($AC:$AC,$V:$V,V352,$W:$W,W352,$X:$X,X352,$Y:$Y,Y352)*J352/(1-J352)*VLOOKUP(_xlfn.CONCAT(C352,D352,E352,TIME!$M$12,Z352),HIS_SALES!$B$2:$W$4859,20,FALSE),AC352*J352/(1-J352)),0)</f>
        <v>0</v>
      </c>
      <c r="Q352" s="541" t="str">
        <f t="shared" si="128"/>
        <v/>
      </c>
      <c r="R352" s="346" t="str">
        <f t="shared" si="129"/>
        <v>00000</v>
      </c>
      <c r="S352" s="344">
        <f t="shared" si="130"/>
        <v>0</v>
      </c>
      <c r="T352" s="345" t="str">
        <f t="shared" si="143"/>
        <v>000</v>
      </c>
      <c r="U352" s="345">
        <f t="shared" si="131"/>
        <v>0</v>
      </c>
      <c r="V352" s="345">
        <f t="shared" si="132"/>
        <v>0</v>
      </c>
      <c r="W352" s="345">
        <f t="shared" si="133"/>
        <v>0</v>
      </c>
      <c r="X352" s="345">
        <f t="shared" si="134"/>
        <v>0</v>
      </c>
      <c r="Y352" s="345">
        <f t="shared" si="135"/>
        <v>0</v>
      </c>
      <c r="Z352" s="345">
        <f>IF(Q352&lt;&gt;"",VLOOKUP(Y352,TIME!$R$21:$V$24,MATCH(FC_DATA!Q352,TIME!$R$20:$V$20,0),FALSE),H352)</f>
        <v>0</v>
      </c>
      <c r="AA352" s="345" t="str">
        <f>IFERROR(VLOOKUP(X352&amp;Z352,TIME!$A$12:$D$71,4,FALSE),"")</f>
        <v/>
      </c>
      <c r="AB352" s="592">
        <f t="shared" ca="1" si="136"/>
        <v>0</v>
      </c>
      <c r="AC352" s="593" t="e">
        <f ca="1">IF(ISBLANK(H352)=FALSE,IF(D352="BRAND.com",I352,IF(ISNA(VLOOKUP(_xlfn.CONCAT(X352,Z352),TIME!$M$40:$M$42,1,FALSE)),I352,VLOOKUP(_xlfn.CONCAT(D352,G352,H352),M_BUSAREA_FC!$AF$5:$AJ$10,5,FALSE)*HLOOKUP(_xlfn.CONCAT(F352,H352),ST_OVERVIEW!$G$99:$I$130,MATCH(_xlfn.CONCAT(D352,E352),ST_OVERVIEW!$F$99:$F$130,0),FALSE))),IF(D352="BRAND.com",VLOOKUP(_xlfn.CONCAT(C352,D352,E352,TIME!$F$1,Z352),HIS_SALES!$B$2:$V$4859,19,FALSE)*I352,VLOOKUP(_xlfn.CONCAT(D352,F352,G352),Q_BUSAREA_FC!$AE$5:$AI$12,5,FALSE)*HLOOKUP(_xlfn.CONCAT(FC_DATA!F352,FC_DATA!G352),LT_OVERVIEW!$I$99:$M$130,MATCH(_xlfn.CONCAT(D352,FC_DATA!E352),LT_OVERVIEW!$H$99:$H$130,0),FALSE)*IFERROR(VLOOKUP(_xlfn.CONCAT(C352,D352,E352,TIME!$F$1,Z352),HIS_SALES!$B$2:$V$4859,19,FALSE),0)))</f>
        <v>#N/A</v>
      </c>
      <c r="AD352" s="341">
        <f t="shared" ca="1" si="137"/>
        <v>0</v>
      </c>
      <c r="AE352" s="363" t="str">
        <f t="shared" si="138"/>
        <v/>
      </c>
      <c r="AF352" s="342" t="str">
        <f t="shared" si="139"/>
        <v/>
      </c>
      <c r="AG352" s="411" t="e">
        <f ca="1">VLOOKUP(_xlfn.CONCAT(U352,V352,W352,VLOOKUP(X352&amp;Y352,TIME!$L$27:$O$34,4,FALSE),Y352),HIS_SALES!$A$2:$R$5093,18,FALSE)</f>
        <v>#N/A</v>
      </c>
      <c r="AH352" s="412" t="e">
        <f ca="1">IFERROR(IF(AND(V352=V351,W352=W351),0.5*(AB352+AB351)*AG352,(VLOOKUP(_xlfn.CONCAT(U352,V352,W352,X352,VLOOKUP(Z352,TIME!$S$28:$T$39,2,FALSE)),FC_DATA!$R$2:$AB$5000,MATCH("GS_I_M",FC_DATA!$R$1:$AB$1,0),FALSE)+FC_DATA!AB352)*0.5*FC_DATA!AG352),NA())</f>
        <v>#N/A</v>
      </c>
      <c r="AI352" s="491" t="e">
        <f ca="1">IF(V352="PARTNER.com",AH352,IF(AND(V352=V351,W352=W351),(1-AVERAGE(AD351,AD352))*AH352,(1-AVERAGE(AD352,VLOOKUP(_xlfn.CONCAT(U352,V352,W352,X352,M_BRAND_FC!$F$6),FC_DATA!$R$2:$AD$5000,MATCH("DISCOUNT_%_M",FC_DATA!$R$1:$AD$1,0),FALSE)))*AH352))</f>
        <v>#N/A</v>
      </c>
      <c r="AJ352" s="412" t="str">
        <f t="shared" ca="1" si="140"/>
        <v/>
      </c>
      <c r="AK352" s="413" t="str">
        <f>IFERROR(AE352/(Q_BRAND_FC!$T$24+1),"")</f>
        <v/>
      </c>
      <c r="AL352" s="88" t="str">
        <f t="shared" ca="1" si="141"/>
        <v/>
      </c>
      <c r="AM352" s="414" t="str">
        <f t="shared" ca="1" si="142"/>
        <v/>
      </c>
      <c r="AN352" s="58">
        <f>IFERROR(IF($V352="BRAND.com",HLOOKUP($X352&amp;$Z352,NWC_FC_NOOS!$C$4:$Q$23,MATCH(W352,NWC_FC_NOOS!$B$4:$B$23,0),FALSE),0),0)</f>
        <v>0</v>
      </c>
      <c r="AO352" s="57">
        <f>IFERROR(IF($V352="BRAND.com",HLOOKUP($X352&amp;$Z352,NWC_FC_NOOS!$T$4:$AH$23,MATCH(W352,NWC_FC_NOOS!$S$4:$S$23,0),FALSE),0),0)</f>
        <v>0</v>
      </c>
      <c r="AP352" s="57">
        <f>IFERROR(IF($V352="BRAND.com",HLOOKUP($X352&amp;$Z352,NWC_FC_NOOS!$C$50:$U$69,MATCH(W352,NWC_FC_NOOS!$B$50:$B$69,0),FALSE),0),0)</f>
        <v>0</v>
      </c>
      <c r="AQ352" s="58">
        <f>IFERROR(IF($V352="BRAND.com",HLOOKUP($X352&amp;$Z352,'NWC_FC_NON-NOOS'!$C$4:$Q$23,MATCH(W352,'NWC_FC_NON-NOOS'!$B$4:$B$23,0),FALSE),0),0)</f>
        <v>0</v>
      </c>
      <c r="AR352" s="57">
        <f>IFERROR(IF($V352="BRAND.com",HLOOKUP($X352&amp;$Z352,'NWC_FC_NON-NOOS'!$T$4:$AH$23,MATCH(W352,'NWC_FC_NON-NOOS'!$S$4:$S$23,0),FALSE),0),0)</f>
        <v>0</v>
      </c>
      <c r="AS352" s="57">
        <f>IFERROR(IF($V352="BRAND.com",HLOOKUP($X352&amp;$Z352,'NWC_FC_NON-NOOS'!$C$50:$U$69,MATCH(W352,'NWC_FC_NON-NOOS'!$B$50:$B$69,0),FALSE),0),0)</f>
        <v>0</v>
      </c>
      <c r="AT352" s="57">
        <f t="shared" si="144"/>
        <v>0</v>
      </c>
      <c r="AU352" s="57">
        <f t="shared" si="145"/>
        <v>0</v>
      </c>
      <c r="AV352" s="58">
        <f>IFERROR(IF($V352="BRAND.com",HLOOKUP($X352&amp;$Z352,PLANNING_FC!$BB$27:$BP$46,MATCH($W352,PLANNING_FC!$BA$27:$BA$46,0),FALSE),0),0)</f>
        <v>0</v>
      </c>
      <c r="AW352" s="58">
        <f>IFERROR(IF($V352="BRAND.com",HLOOKUP($X352&amp;$Z352,PLANNING_FC!$BB$4:$BP$23,MATCH($W352,PLANNING_FC!$BA$4:$BA$23,0),FALSE),0),0)</f>
        <v>0</v>
      </c>
      <c r="AX352" s="58">
        <f>IFERROR(IF($V352="BRAND.com",HLOOKUP($X352&amp;$Z352,PLANNING_FC!$T$27:$AH$46,MATCH($W352,PLANNING_FC!$B$27:$B$46,0),FALSE),0),0)</f>
        <v>0</v>
      </c>
      <c r="AY352" s="58">
        <f>IFERROR(IF($V352="BRAND.com",HLOOKUP($X352&amp;$Z352,PLANNING_FC!$T$4:$AH$23,MATCH($W352,PLANNING_FC!$B$4:$B$23,0),FALSE),0),0)</f>
        <v>0</v>
      </c>
      <c r="AZ352" s="58">
        <f>IFERROR(IF($V352="BRAND.com",HLOOKUP($X352&amp;$Z352,PLANNING_FC!$DA$27:$DO$46,MATCH($W352,PLANNING_FC!$CZ$27:$CZ$46,0),FALSE),0),0)</f>
        <v>0</v>
      </c>
      <c r="BA352" s="58">
        <f>IFERROR(IF($V352="BRAND.com",HLOOKUP($X352&amp;$Z352,PLANNING_FC!$DA$4:$DO$23,MATCH($W352,PLANNING_FC!$CZ$4:$CZ$23,0),FALSE),0),0)</f>
        <v>0</v>
      </c>
      <c r="BB352" s="883" t="str">
        <f>IF(V352="BRAND.com",IFERROR(HLOOKUP(X352&amp;Z352,PLANNING_FC!$AK$4:$AY$23,MATCH(W352,PLANNING_FC!$AJ$4:$AJ$23,0),FALSE)*1000,""),"")</f>
        <v/>
      </c>
      <c r="BC352" s="883" t="str">
        <f>IF(V352="BRAND.com",IFERROR(HLOOKUP(X352&amp;Z352,PLANNING_FC!$AK$27:$AY$46,MATCH(W352,PLANNING_FC!$AJ$27:$AJ$46,0),FALSE)*1000,""),"")</f>
        <v/>
      </c>
    </row>
    <row r="353" spans="1:55" x14ac:dyDescent="0.25">
      <c r="A353" s="509"/>
      <c r="B353" s="509"/>
      <c r="C353" s="509"/>
      <c r="D353" s="509"/>
      <c r="E353" s="509"/>
      <c r="F353" s="509"/>
      <c r="G353" s="509"/>
      <c r="H353" s="509"/>
      <c r="I353" s="512"/>
      <c r="J353" s="513"/>
      <c r="K353" s="879"/>
      <c r="L353" s="515"/>
      <c r="M353" s="516"/>
      <c r="N353" s="56">
        <f t="shared" si="126"/>
        <v>0</v>
      </c>
      <c r="O353" s="57">
        <f t="shared" si="127"/>
        <v>0</v>
      </c>
      <c r="P353" s="57">
        <f ca="1">IFERROR(IF(ISBLANK(H353),SUMIFS($AC:$AC,$V:$V,V353,$W:$W,W353,$X:$X,X353,$Y:$Y,Y353)*J353/(1-J353)*VLOOKUP(_xlfn.CONCAT(C353,D353,E353,TIME!$M$12,Z353),HIS_SALES!$B$2:$W$4859,20,FALSE),AC353*J353/(1-J353)),0)</f>
        <v>0</v>
      </c>
      <c r="Q353" s="541" t="str">
        <f t="shared" si="128"/>
        <v/>
      </c>
      <c r="R353" s="346" t="str">
        <f t="shared" si="129"/>
        <v>00000</v>
      </c>
      <c r="S353" s="344">
        <f t="shared" si="130"/>
        <v>0</v>
      </c>
      <c r="T353" s="345" t="str">
        <f t="shared" si="143"/>
        <v>000</v>
      </c>
      <c r="U353" s="345">
        <f t="shared" si="131"/>
        <v>0</v>
      </c>
      <c r="V353" s="345">
        <f t="shared" si="132"/>
        <v>0</v>
      </c>
      <c r="W353" s="345">
        <f t="shared" si="133"/>
        <v>0</v>
      </c>
      <c r="X353" s="345">
        <f t="shared" si="134"/>
        <v>0</v>
      </c>
      <c r="Y353" s="345">
        <f t="shared" si="135"/>
        <v>0</v>
      </c>
      <c r="Z353" s="345">
        <f>IF(Q353&lt;&gt;"",VLOOKUP(Y353,TIME!$R$21:$V$24,MATCH(FC_DATA!Q353,TIME!$R$20:$V$20,0),FALSE),H353)</f>
        <v>0</v>
      </c>
      <c r="AA353" s="345" t="str">
        <f>IFERROR(VLOOKUP(X353&amp;Z353,TIME!$A$12:$D$71,4,FALSE),"")</f>
        <v/>
      </c>
      <c r="AB353" s="592">
        <f t="shared" ca="1" si="136"/>
        <v>0</v>
      </c>
      <c r="AC353" s="593" t="e">
        <f ca="1">IF(ISBLANK(H353)=FALSE,IF(D353="BRAND.com",I353,IF(ISNA(VLOOKUP(_xlfn.CONCAT(X353,Z353),TIME!$M$40:$M$42,1,FALSE)),I353,VLOOKUP(_xlfn.CONCAT(D353,G353,H353),M_BUSAREA_FC!$AF$5:$AJ$10,5,FALSE)*HLOOKUP(_xlfn.CONCAT(F353,H353),ST_OVERVIEW!$G$99:$I$130,MATCH(_xlfn.CONCAT(D353,E353),ST_OVERVIEW!$F$99:$F$130,0),FALSE))),IF(D353="BRAND.com",VLOOKUP(_xlfn.CONCAT(C353,D353,E353,TIME!$F$1,Z353),HIS_SALES!$B$2:$V$4859,19,FALSE)*I353,VLOOKUP(_xlfn.CONCAT(D353,F353,G353),Q_BUSAREA_FC!$AE$5:$AI$12,5,FALSE)*HLOOKUP(_xlfn.CONCAT(FC_DATA!F353,FC_DATA!G353),LT_OVERVIEW!$I$99:$M$130,MATCH(_xlfn.CONCAT(D353,FC_DATA!E353),LT_OVERVIEW!$H$99:$H$130,0),FALSE)*IFERROR(VLOOKUP(_xlfn.CONCAT(C353,D353,E353,TIME!$F$1,Z353),HIS_SALES!$B$2:$V$4859,19,FALSE),0)))</f>
        <v>#N/A</v>
      </c>
      <c r="AD353" s="341">
        <f t="shared" ca="1" si="137"/>
        <v>0</v>
      </c>
      <c r="AE353" s="363" t="str">
        <f t="shared" si="138"/>
        <v/>
      </c>
      <c r="AF353" s="342" t="str">
        <f t="shared" si="139"/>
        <v/>
      </c>
      <c r="AG353" s="411" t="e">
        <f ca="1">VLOOKUP(_xlfn.CONCAT(U353,V353,W353,VLOOKUP(X353&amp;Y353,TIME!$L$27:$O$34,4,FALSE),Y353),HIS_SALES!$A$2:$R$5093,18,FALSE)</f>
        <v>#N/A</v>
      </c>
      <c r="AH353" s="412" t="e">
        <f ca="1">IFERROR(IF(AND(V353=V352,W353=W352),0.5*(AB353+AB352)*AG353,(VLOOKUP(_xlfn.CONCAT(U353,V353,W353,X353,VLOOKUP(Z353,TIME!$S$28:$T$39,2,FALSE)),FC_DATA!$R$2:$AB$5000,MATCH("GS_I_M",FC_DATA!$R$1:$AB$1,0),FALSE)+FC_DATA!AB353)*0.5*FC_DATA!AG353),NA())</f>
        <v>#N/A</v>
      </c>
      <c r="AI353" s="491" t="e">
        <f ca="1">IF(V353="PARTNER.com",AH353,IF(AND(V353=V352,W353=W352),(1-AVERAGE(AD352,AD353))*AH353,(1-AVERAGE(AD353,VLOOKUP(_xlfn.CONCAT(U353,V353,W353,X353,M_BRAND_FC!$F$6),FC_DATA!$R$2:$AD$5000,MATCH("DISCOUNT_%_M",FC_DATA!$R$1:$AD$1,0),FALSE)))*AH353))</f>
        <v>#N/A</v>
      </c>
      <c r="AJ353" s="412" t="str">
        <f t="shared" ca="1" si="140"/>
        <v/>
      </c>
      <c r="AK353" s="413" t="str">
        <f>IFERROR(AE353/(Q_BRAND_FC!$T$24+1),"")</f>
        <v/>
      </c>
      <c r="AL353" s="88" t="str">
        <f t="shared" ca="1" si="141"/>
        <v/>
      </c>
      <c r="AM353" s="414" t="str">
        <f t="shared" ca="1" si="142"/>
        <v/>
      </c>
      <c r="AN353" s="58">
        <f>IFERROR(IF($V353="BRAND.com",HLOOKUP($X353&amp;$Z353,NWC_FC_NOOS!$C$4:$Q$23,MATCH(W353,NWC_FC_NOOS!$B$4:$B$23,0),FALSE),0),0)</f>
        <v>0</v>
      </c>
      <c r="AO353" s="57">
        <f>IFERROR(IF($V353="BRAND.com",HLOOKUP($X353&amp;$Z353,NWC_FC_NOOS!$T$4:$AH$23,MATCH(W353,NWC_FC_NOOS!$S$4:$S$23,0),FALSE),0),0)</f>
        <v>0</v>
      </c>
      <c r="AP353" s="57">
        <f>IFERROR(IF($V353="BRAND.com",HLOOKUP($X353&amp;$Z353,NWC_FC_NOOS!$C$50:$U$69,MATCH(W353,NWC_FC_NOOS!$B$50:$B$69,0),FALSE),0),0)</f>
        <v>0</v>
      </c>
      <c r="AQ353" s="58">
        <f>IFERROR(IF($V353="BRAND.com",HLOOKUP($X353&amp;$Z353,'NWC_FC_NON-NOOS'!$C$4:$Q$23,MATCH(W353,'NWC_FC_NON-NOOS'!$B$4:$B$23,0),FALSE),0),0)</f>
        <v>0</v>
      </c>
      <c r="AR353" s="57">
        <f>IFERROR(IF($V353="BRAND.com",HLOOKUP($X353&amp;$Z353,'NWC_FC_NON-NOOS'!$T$4:$AH$23,MATCH(W353,'NWC_FC_NON-NOOS'!$S$4:$S$23,0),FALSE),0),0)</f>
        <v>0</v>
      </c>
      <c r="AS353" s="57">
        <f>IFERROR(IF($V353="BRAND.com",HLOOKUP($X353&amp;$Z353,'NWC_FC_NON-NOOS'!$C$50:$U$69,MATCH(W353,'NWC_FC_NON-NOOS'!$B$50:$B$69,0),FALSE),0),0)</f>
        <v>0</v>
      </c>
      <c r="AT353" s="57">
        <f t="shared" si="144"/>
        <v>0</v>
      </c>
      <c r="AU353" s="57">
        <f t="shared" si="145"/>
        <v>0</v>
      </c>
      <c r="AV353" s="58">
        <f>IFERROR(IF($V353="BRAND.com",HLOOKUP($X353&amp;$Z353,PLANNING_FC!$BB$27:$BP$46,MATCH($W353,PLANNING_FC!$BA$27:$BA$46,0),FALSE),0),0)</f>
        <v>0</v>
      </c>
      <c r="AW353" s="58">
        <f>IFERROR(IF($V353="BRAND.com",HLOOKUP($X353&amp;$Z353,PLANNING_FC!$BB$4:$BP$23,MATCH($W353,PLANNING_FC!$BA$4:$BA$23,0),FALSE),0),0)</f>
        <v>0</v>
      </c>
      <c r="AX353" s="58">
        <f>IFERROR(IF($V353="BRAND.com",HLOOKUP($X353&amp;$Z353,PLANNING_FC!$T$27:$AH$46,MATCH($W353,PLANNING_FC!$B$27:$B$46,0),FALSE),0),0)</f>
        <v>0</v>
      </c>
      <c r="AY353" s="58">
        <f>IFERROR(IF($V353="BRAND.com",HLOOKUP($X353&amp;$Z353,PLANNING_FC!$T$4:$AH$23,MATCH($W353,PLANNING_FC!$B$4:$B$23,0),FALSE),0),0)</f>
        <v>0</v>
      </c>
      <c r="AZ353" s="58">
        <f>IFERROR(IF($V353="BRAND.com",HLOOKUP($X353&amp;$Z353,PLANNING_FC!$DA$27:$DO$46,MATCH($W353,PLANNING_FC!$CZ$27:$CZ$46,0),FALSE),0),0)</f>
        <v>0</v>
      </c>
      <c r="BA353" s="58">
        <f>IFERROR(IF($V353="BRAND.com",HLOOKUP($X353&amp;$Z353,PLANNING_FC!$DA$4:$DO$23,MATCH($W353,PLANNING_FC!$CZ$4:$CZ$23,0),FALSE),0),0)</f>
        <v>0</v>
      </c>
      <c r="BB353" s="883" t="str">
        <f>IF(V353="BRAND.com",IFERROR(HLOOKUP(X353&amp;Z353,PLANNING_FC!$AK$4:$AY$23,MATCH(W353,PLANNING_FC!$AJ$4:$AJ$23,0),FALSE)*1000,""),"")</f>
        <v/>
      </c>
      <c r="BC353" s="883" t="str">
        <f>IF(V353="BRAND.com",IFERROR(HLOOKUP(X353&amp;Z353,PLANNING_FC!$AK$27:$AY$46,MATCH(W353,PLANNING_FC!$AJ$27:$AJ$46,0),FALSE)*1000,""),"")</f>
        <v/>
      </c>
    </row>
    <row r="354" spans="1:55" x14ac:dyDescent="0.25">
      <c r="A354" s="509"/>
      <c r="B354" s="509"/>
      <c r="C354" s="509"/>
      <c r="D354" s="509"/>
      <c r="E354" s="509"/>
      <c r="F354" s="509"/>
      <c r="G354" s="509"/>
      <c r="H354" s="509"/>
      <c r="I354" s="512"/>
      <c r="J354" s="513"/>
      <c r="K354" s="879"/>
      <c r="L354" s="515"/>
      <c r="M354" s="516"/>
      <c r="N354" s="56">
        <f t="shared" si="126"/>
        <v>0</v>
      </c>
      <c r="O354" s="57">
        <f t="shared" si="127"/>
        <v>0</v>
      </c>
      <c r="P354" s="57">
        <f ca="1">IFERROR(IF(ISBLANK(H354),SUMIFS($AC:$AC,$V:$V,V354,$W:$W,W354,$X:$X,X354,$Y:$Y,Y354)*J354/(1-J354)*VLOOKUP(_xlfn.CONCAT(C354,D354,E354,TIME!$M$12,Z354),HIS_SALES!$B$2:$W$4859,20,FALSE),AC354*J354/(1-J354)),0)</f>
        <v>0</v>
      </c>
      <c r="Q354" s="541" t="str">
        <f t="shared" si="128"/>
        <v/>
      </c>
      <c r="R354" s="346" t="str">
        <f t="shared" si="129"/>
        <v>00000</v>
      </c>
      <c r="S354" s="344">
        <f t="shared" si="130"/>
        <v>0</v>
      </c>
      <c r="T354" s="345" t="str">
        <f t="shared" si="143"/>
        <v>000</v>
      </c>
      <c r="U354" s="345">
        <f t="shared" si="131"/>
        <v>0</v>
      </c>
      <c r="V354" s="345">
        <f t="shared" si="132"/>
        <v>0</v>
      </c>
      <c r="W354" s="345">
        <f t="shared" si="133"/>
        <v>0</v>
      </c>
      <c r="X354" s="345">
        <f t="shared" si="134"/>
        <v>0</v>
      </c>
      <c r="Y354" s="345">
        <f t="shared" si="135"/>
        <v>0</v>
      </c>
      <c r="Z354" s="345">
        <f>IF(Q354&lt;&gt;"",VLOOKUP(Y354,TIME!$R$21:$V$24,MATCH(FC_DATA!Q354,TIME!$R$20:$V$20,0),FALSE),H354)</f>
        <v>0</v>
      </c>
      <c r="AA354" s="345" t="str">
        <f>IFERROR(VLOOKUP(X354&amp;Z354,TIME!$A$12:$D$71,4,FALSE),"")</f>
        <v/>
      </c>
      <c r="AB354" s="592">
        <f t="shared" ca="1" si="136"/>
        <v>0</v>
      </c>
      <c r="AC354" s="593" t="e">
        <f ca="1">IF(ISBLANK(H354)=FALSE,IF(D354="BRAND.com",I354,IF(ISNA(VLOOKUP(_xlfn.CONCAT(X354,Z354),TIME!$M$40:$M$42,1,FALSE)),I354,VLOOKUP(_xlfn.CONCAT(D354,G354,H354),M_BUSAREA_FC!$AF$5:$AJ$10,5,FALSE)*HLOOKUP(_xlfn.CONCAT(F354,H354),ST_OVERVIEW!$G$99:$I$130,MATCH(_xlfn.CONCAT(D354,E354),ST_OVERVIEW!$F$99:$F$130,0),FALSE))),IF(D354="BRAND.com",VLOOKUP(_xlfn.CONCAT(C354,D354,E354,TIME!$F$1,Z354),HIS_SALES!$B$2:$V$4859,19,FALSE)*I354,VLOOKUP(_xlfn.CONCAT(D354,F354,G354),Q_BUSAREA_FC!$AE$5:$AI$12,5,FALSE)*HLOOKUP(_xlfn.CONCAT(FC_DATA!F354,FC_DATA!G354),LT_OVERVIEW!$I$99:$M$130,MATCH(_xlfn.CONCAT(D354,FC_DATA!E354),LT_OVERVIEW!$H$99:$H$130,0),FALSE)*IFERROR(VLOOKUP(_xlfn.CONCAT(C354,D354,E354,TIME!$F$1,Z354),HIS_SALES!$B$2:$V$4859,19,FALSE),0)))</f>
        <v>#N/A</v>
      </c>
      <c r="AD354" s="341">
        <f t="shared" ca="1" si="137"/>
        <v>0</v>
      </c>
      <c r="AE354" s="363" t="str">
        <f t="shared" si="138"/>
        <v/>
      </c>
      <c r="AF354" s="342" t="str">
        <f t="shared" si="139"/>
        <v/>
      </c>
      <c r="AG354" s="411" t="e">
        <f ca="1">VLOOKUP(_xlfn.CONCAT(U354,V354,W354,VLOOKUP(X354&amp;Y354,TIME!$L$27:$O$34,4,FALSE),Y354),HIS_SALES!$A$2:$R$5093,18,FALSE)</f>
        <v>#N/A</v>
      </c>
      <c r="AH354" s="412" t="e">
        <f ca="1">IFERROR(IF(AND(V354=V353,W354=W353),0.5*(AB354+AB353)*AG354,(VLOOKUP(_xlfn.CONCAT(U354,V354,W354,X354,VLOOKUP(Z354,TIME!$S$28:$T$39,2,FALSE)),FC_DATA!$R$2:$AB$5000,MATCH("GS_I_M",FC_DATA!$R$1:$AB$1,0),FALSE)+FC_DATA!AB354)*0.5*FC_DATA!AG354),NA())</f>
        <v>#N/A</v>
      </c>
      <c r="AI354" s="491" t="e">
        <f ca="1">IF(V354="PARTNER.com",AH354,IF(AND(V354=V353,W354=W353),(1-AVERAGE(AD353,AD354))*AH354,(1-AVERAGE(AD354,VLOOKUP(_xlfn.CONCAT(U354,V354,W354,X354,M_BRAND_FC!$F$6),FC_DATA!$R$2:$AD$5000,MATCH("DISCOUNT_%_M",FC_DATA!$R$1:$AD$1,0),FALSE)))*AH354))</f>
        <v>#N/A</v>
      </c>
      <c r="AJ354" s="412" t="str">
        <f t="shared" ca="1" si="140"/>
        <v/>
      </c>
      <c r="AK354" s="413" t="str">
        <f>IFERROR(AE354/(Q_BRAND_FC!$T$24+1),"")</f>
        <v/>
      </c>
      <c r="AL354" s="88" t="str">
        <f t="shared" ca="1" si="141"/>
        <v/>
      </c>
      <c r="AM354" s="414" t="str">
        <f t="shared" ca="1" si="142"/>
        <v/>
      </c>
      <c r="AN354" s="58">
        <f>IFERROR(IF($V354="BRAND.com",HLOOKUP($X354&amp;$Z354,NWC_FC_NOOS!$C$4:$Q$23,MATCH(W354,NWC_FC_NOOS!$B$4:$B$23,0),FALSE),0),0)</f>
        <v>0</v>
      </c>
      <c r="AO354" s="57">
        <f>IFERROR(IF($V354="BRAND.com",HLOOKUP($X354&amp;$Z354,NWC_FC_NOOS!$T$4:$AH$23,MATCH(W354,NWC_FC_NOOS!$S$4:$S$23,0),FALSE),0),0)</f>
        <v>0</v>
      </c>
      <c r="AP354" s="57">
        <f>IFERROR(IF($V354="BRAND.com",HLOOKUP($X354&amp;$Z354,NWC_FC_NOOS!$C$50:$U$69,MATCH(W354,NWC_FC_NOOS!$B$50:$B$69,0),FALSE),0),0)</f>
        <v>0</v>
      </c>
      <c r="AQ354" s="58">
        <f>IFERROR(IF($V354="BRAND.com",HLOOKUP($X354&amp;$Z354,'NWC_FC_NON-NOOS'!$C$4:$Q$23,MATCH(W354,'NWC_FC_NON-NOOS'!$B$4:$B$23,0),FALSE),0),0)</f>
        <v>0</v>
      </c>
      <c r="AR354" s="57">
        <f>IFERROR(IF($V354="BRAND.com",HLOOKUP($X354&amp;$Z354,'NWC_FC_NON-NOOS'!$T$4:$AH$23,MATCH(W354,'NWC_FC_NON-NOOS'!$S$4:$S$23,0),FALSE),0),0)</f>
        <v>0</v>
      </c>
      <c r="AS354" s="57">
        <f>IFERROR(IF($V354="BRAND.com",HLOOKUP($X354&amp;$Z354,'NWC_FC_NON-NOOS'!$C$50:$U$69,MATCH(W354,'NWC_FC_NON-NOOS'!$B$50:$B$69,0),FALSE),0),0)</f>
        <v>0</v>
      </c>
      <c r="AT354" s="57">
        <f t="shared" si="144"/>
        <v>0</v>
      </c>
      <c r="AU354" s="57">
        <f t="shared" si="145"/>
        <v>0</v>
      </c>
      <c r="AV354" s="58">
        <f>IFERROR(IF($V354="BRAND.com",HLOOKUP($X354&amp;$Z354,PLANNING_FC!$BB$27:$BP$46,MATCH($W354,PLANNING_FC!$BA$27:$BA$46,0),FALSE),0),0)</f>
        <v>0</v>
      </c>
      <c r="AW354" s="58">
        <f>IFERROR(IF($V354="BRAND.com",HLOOKUP($X354&amp;$Z354,PLANNING_FC!$BB$4:$BP$23,MATCH($W354,PLANNING_FC!$BA$4:$BA$23,0),FALSE),0),0)</f>
        <v>0</v>
      </c>
      <c r="AX354" s="58">
        <f>IFERROR(IF($V354="BRAND.com",HLOOKUP($X354&amp;$Z354,PLANNING_FC!$T$27:$AH$46,MATCH($W354,PLANNING_FC!$B$27:$B$46,0),FALSE),0),0)</f>
        <v>0</v>
      </c>
      <c r="AY354" s="58">
        <f>IFERROR(IF($V354="BRAND.com",HLOOKUP($X354&amp;$Z354,PLANNING_FC!$T$4:$AH$23,MATCH($W354,PLANNING_FC!$B$4:$B$23,0),FALSE),0),0)</f>
        <v>0</v>
      </c>
      <c r="AZ354" s="58">
        <f>IFERROR(IF($V354="BRAND.com",HLOOKUP($X354&amp;$Z354,PLANNING_FC!$DA$27:$DO$46,MATCH($W354,PLANNING_FC!$CZ$27:$CZ$46,0),FALSE),0),0)</f>
        <v>0</v>
      </c>
      <c r="BA354" s="58">
        <f>IFERROR(IF($V354="BRAND.com",HLOOKUP($X354&amp;$Z354,PLANNING_FC!$DA$4:$DO$23,MATCH($W354,PLANNING_FC!$CZ$4:$CZ$23,0),FALSE),0),0)</f>
        <v>0</v>
      </c>
      <c r="BB354" s="883" t="str">
        <f>IF(V354="BRAND.com",IFERROR(HLOOKUP(X354&amp;Z354,PLANNING_FC!$AK$4:$AY$23,MATCH(W354,PLANNING_FC!$AJ$4:$AJ$23,0),FALSE)*1000,""),"")</f>
        <v/>
      </c>
      <c r="BC354" s="883" t="str">
        <f>IF(V354="BRAND.com",IFERROR(HLOOKUP(X354&amp;Z354,PLANNING_FC!$AK$27:$AY$46,MATCH(W354,PLANNING_FC!$AJ$27:$AJ$46,0),FALSE)*1000,""),"")</f>
        <v/>
      </c>
    </row>
    <row r="355" spans="1:55" x14ac:dyDescent="0.25">
      <c r="A355" s="509"/>
      <c r="B355" s="509"/>
      <c r="C355" s="509"/>
      <c r="D355" s="509"/>
      <c r="E355" s="509"/>
      <c r="F355" s="509"/>
      <c r="G355" s="509"/>
      <c r="H355" s="509"/>
      <c r="I355" s="512"/>
      <c r="J355" s="513"/>
      <c r="K355" s="879"/>
      <c r="L355" s="515"/>
      <c r="M355" s="516"/>
      <c r="N355" s="56">
        <f t="shared" si="126"/>
        <v>0</v>
      </c>
      <c r="O355" s="57">
        <f t="shared" si="127"/>
        <v>0</v>
      </c>
      <c r="P355" s="57">
        <f ca="1">IFERROR(IF(ISBLANK(H355),SUMIFS($AC:$AC,$V:$V,V355,$W:$W,W355,$X:$X,X355,$Y:$Y,Y355)*J355/(1-J355)*VLOOKUP(_xlfn.CONCAT(C355,D355,E355,TIME!$M$12,Z355),HIS_SALES!$B$2:$W$4859,20,FALSE),AC355*J355/(1-J355)),0)</f>
        <v>0</v>
      </c>
      <c r="Q355" s="541" t="str">
        <f t="shared" si="128"/>
        <v/>
      </c>
      <c r="R355" s="346" t="str">
        <f t="shared" si="129"/>
        <v>00000</v>
      </c>
      <c r="S355" s="344">
        <f t="shared" si="130"/>
        <v>0</v>
      </c>
      <c r="T355" s="345" t="str">
        <f t="shared" si="143"/>
        <v>000</v>
      </c>
      <c r="U355" s="345">
        <f t="shared" si="131"/>
        <v>0</v>
      </c>
      <c r="V355" s="345">
        <f t="shared" si="132"/>
        <v>0</v>
      </c>
      <c r="W355" s="345">
        <f t="shared" si="133"/>
        <v>0</v>
      </c>
      <c r="X355" s="345">
        <f t="shared" si="134"/>
        <v>0</v>
      </c>
      <c r="Y355" s="345">
        <f t="shared" si="135"/>
        <v>0</v>
      </c>
      <c r="Z355" s="345">
        <f>IF(Q355&lt;&gt;"",VLOOKUP(Y355,TIME!$R$21:$V$24,MATCH(FC_DATA!Q355,TIME!$R$20:$V$20,0),FALSE),H355)</f>
        <v>0</v>
      </c>
      <c r="AA355" s="345" t="str">
        <f>IFERROR(VLOOKUP(X355&amp;Z355,TIME!$A$12:$D$71,4,FALSE),"")</f>
        <v/>
      </c>
      <c r="AB355" s="592">
        <f t="shared" ca="1" si="136"/>
        <v>0</v>
      </c>
      <c r="AC355" s="593" t="e">
        <f ca="1">IF(ISBLANK(H355)=FALSE,IF(D355="BRAND.com",I355,IF(ISNA(VLOOKUP(_xlfn.CONCAT(X355,Z355),TIME!$M$40:$M$42,1,FALSE)),I355,VLOOKUP(_xlfn.CONCAT(D355,G355,H355),M_BUSAREA_FC!$AF$5:$AJ$10,5,FALSE)*HLOOKUP(_xlfn.CONCAT(F355,H355),ST_OVERVIEW!$G$99:$I$130,MATCH(_xlfn.CONCAT(D355,E355),ST_OVERVIEW!$F$99:$F$130,0),FALSE))),IF(D355="BRAND.com",VLOOKUP(_xlfn.CONCAT(C355,D355,E355,TIME!$F$1,Z355),HIS_SALES!$B$2:$V$4859,19,FALSE)*I355,VLOOKUP(_xlfn.CONCAT(D355,F355,G355),Q_BUSAREA_FC!$AE$5:$AI$12,5,FALSE)*HLOOKUP(_xlfn.CONCAT(FC_DATA!F355,FC_DATA!G355),LT_OVERVIEW!$I$99:$M$130,MATCH(_xlfn.CONCAT(D355,FC_DATA!E355),LT_OVERVIEW!$H$99:$H$130,0),FALSE)*IFERROR(VLOOKUP(_xlfn.CONCAT(C355,D355,E355,TIME!$F$1,Z355),HIS_SALES!$B$2:$V$4859,19,FALSE),0)))</f>
        <v>#N/A</v>
      </c>
      <c r="AD355" s="341">
        <f t="shared" ca="1" si="137"/>
        <v>0</v>
      </c>
      <c r="AE355" s="363" t="str">
        <f t="shared" si="138"/>
        <v/>
      </c>
      <c r="AF355" s="342" t="str">
        <f t="shared" si="139"/>
        <v/>
      </c>
      <c r="AG355" s="411" t="e">
        <f ca="1">VLOOKUP(_xlfn.CONCAT(U355,V355,W355,VLOOKUP(X355&amp;Y355,TIME!$L$27:$O$34,4,FALSE),Y355),HIS_SALES!$A$2:$R$5093,18,FALSE)</f>
        <v>#N/A</v>
      </c>
      <c r="AH355" s="412" t="e">
        <f ca="1">IFERROR(IF(AND(V355=V354,W355=W354),0.5*(AB355+AB354)*AG355,(VLOOKUP(_xlfn.CONCAT(U355,V355,W355,X355,VLOOKUP(Z355,TIME!$S$28:$T$39,2,FALSE)),FC_DATA!$R$2:$AB$5000,MATCH("GS_I_M",FC_DATA!$R$1:$AB$1,0),FALSE)+FC_DATA!AB355)*0.5*FC_DATA!AG355),NA())</f>
        <v>#N/A</v>
      </c>
      <c r="AI355" s="491" t="e">
        <f ca="1">IF(V355="PARTNER.com",AH355,IF(AND(V355=V354,W355=W354),(1-AVERAGE(AD354,AD355))*AH355,(1-AVERAGE(AD355,VLOOKUP(_xlfn.CONCAT(U355,V355,W355,X355,M_BRAND_FC!$F$6),FC_DATA!$R$2:$AD$5000,MATCH("DISCOUNT_%_M",FC_DATA!$R$1:$AD$1,0),FALSE)))*AH355))</f>
        <v>#N/A</v>
      </c>
      <c r="AJ355" s="412" t="str">
        <f t="shared" ca="1" si="140"/>
        <v/>
      </c>
      <c r="AK355" s="413" t="str">
        <f>IFERROR(AE355/(Q_BRAND_FC!$T$24+1),"")</f>
        <v/>
      </c>
      <c r="AL355" s="88" t="str">
        <f t="shared" ca="1" si="141"/>
        <v/>
      </c>
      <c r="AM355" s="414" t="str">
        <f t="shared" ca="1" si="142"/>
        <v/>
      </c>
      <c r="AN355" s="58">
        <f>IFERROR(IF($V355="BRAND.com",HLOOKUP($X355&amp;$Z355,NWC_FC_NOOS!$C$4:$Q$23,MATCH(W355,NWC_FC_NOOS!$B$4:$B$23,0),FALSE),0),0)</f>
        <v>0</v>
      </c>
      <c r="AO355" s="57">
        <f>IFERROR(IF($V355="BRAND.com",HLOOKUP($X355&amp;$Z355,NWC_FC_NOOS!$T$4:$AH$23,MATCH(W355,NWC_FC_NOOS!$S$4:$S$23,0),FALSE),0),0)</f>
        <v>0</v>
      </c>
      <c r="AP355" s="57">
        <f>IFERROR(IF($V355="BRAND.com",HLOOKUP($X355&amp;$Z355,NWC_FC_NOOS!$C$50:$U$69,MATCH(W355,NWC_FC_NOOS!$B$50:$B$69,0),FALSE),0),0)</f>
        <v>0</v>
      </c>
      <c r="AQ355" s="58">
        <f>IFERROR(IF($V355="BRAND.com",HLOOKUP($X355&amp;$Z355,'NWC_FC_NON-NOOS'!$C$4:$Q$23,MATCH(W355,'NWC_FC_NON-NOOS'!$B$4:$B$23,0),FALSE),0),0)</f>
        <v>0</v>
      </c>
      <c r="AR355" s="57">
        <f>IFERROR(IF($V355="BRAND.com",HLOOKUP($X355&amp;$Z355,'NWC_FC_NON-NOOS'!$T$4:$AH$23,MATCH(W355,'NWC_FC_NON-NOOS'!$S$4:$S$23,0),FALSE),0),0)</f>
        <v>0</v>
      </c>
      <c r="AS355" s="57">
        <f>IFERROR(IF($V355="BRAND.com",HLOOKUP($X355&amp;$Z355,'NWC_FC_NON-NOOS'!$C$50:$U$69,MATCH(W355,'NWC_FC_NON-NOOS'!$B$50:$B$69,0),FALSE),0),0)</f>
        <v>0</v>
      </c>
      <c r="AT355" s="57">
        <f t="shared" si="144"/>
        <v>0</v>
      </c>
      <c r="AU355" s="57">
        <f t="shared" si="145"/>
        <v>0</v>
      </c>
      <c r="AV355" s="58">
        <f>IFERROR(IF($V355="BRAND.com",HLOOKUP($X355&amp;$Z355,PLANNING_FC!$BB$27:$BP$46,MATCH($W355,PLANNING_FC!$BA$27:$BA$46,0),FALSE),0),0)</f>
        <v>0</v>
      </c>
      <c r="AW355" s="58">
        <f>IFERROR(IF($V355="BRAND.com",HLOOKUP($X355&amp;$Z355,PLANNING_FC!$BB$4:$BP$23,MATCH($W355,PLANNING_FC!$BA$4:$BA$23,0),FALSE),0),0)</f>
        <v>0</v>
      </c>
      <c r="AX355" s="58">
        <f>IFERROR(IF($V355="BRAND.com",HLOOKUP($X355&amp;$Z355,PLANNING_FC!$T$27:$AH$46,MATCH($W355,PLANNING_FC!$B$27:$B$46,0),FALSE),0),0)</f>
        <v>0</v>
      </c>
      <c r="AY355" s="58">
        <f>IFERROR(IF($V355="BRAND.com",HLOOKUP($X355&amp;$Z355,PLANNING_FC!$T$4:$AH$23,MATCH($W355,PLANNING_FC!$B$4:$B$23,0),FALSE),0),0)</f>
        <v>0</v>
      </c>
      <c r="AZ355" s="58">
        <f>IFERROR(IF($V355="BRAND.com",HLOOKUP($X355&amp;$Z355,PLANNING_FC!$DA$27:$DO$46,MATCH($W355,PLANNING_FC!$CZ$27:$CZ$46,0),FALSE),0),0)</f>
        <v>0</v>
      </c>
      <c r="BA355" s="58">
        <f>IFERROR(IF($V355="BRAND.com",HLOOKUP($X355&amp;$Z355,PLANNING_FC!$DA$4:$DO$23,MATCH($W355,PLANNING_FC!$CZ$4:$CZ$23,0),FALSE),0),0)</f>
        <v>0</v>
      </c>
      <c r="BB355" s="883" t="str">
        <f>IF(V355="BRAND.com",IFERROR(HLOOKUP(X355&amp;Z355,PLANNING_FC!$AK$4:$AY$23,MATCH(W355,PLANNING_FC!$AJ$4:$AJ$23,0),FALSE)*1000,""),"")</f>
        <v/>
      </c>
      <c r="BC355" s="883" t="str">
        <f>IF(V355="BRAND.com",IFERROR(HLOOKUP(X355&amp;Z355,PLANNING_FC!$AK$27:$AY$46,MATCH(W355,PLANNING_FC!$AJ$27:$AJ$46,0),FALSE)*1000,""),"")</f>
        <v/>
      </c>
    </row>
    <row r="356" spans="1:55" x14ac:dyDescent="0.25">
      <c r="A356" s="509"/>
      <c r="B356" s="509"/>
      <c r="C356" s="509"/>
      <c r="D356" s="509"/>
      <c r="E356" s="509"/>
      <c r="F356" s="509"/>
      <c r="G356" s="509"/>
      <c r="H356" s="509"/>
      <c r="I356" s="512"/>
      <c r="J356" s="513"/>
      <c r="K356" s="879"/>
      <c r="L356" s="515"/>
      <c r="M356" s="516"/>
      <c r="N356" s="56">
        <f t="shared" si="126"/>
        <v>0</v>
      </c>
      <c r="O356" s="57">
        <f t="shared" si="127"/>
        <v>0</v>
      </c>
      <c r="P356" s="57">
        <f ca="1">IFERROR(IF(ISBLANK(H356),SUMIFS($AC:$AC,$V:$V,V356,$W:$W,W356,$X:$X,X356,$Y:$Y,Y356)*J356/(1-J356)*VLOOKUP(_xlfn.CONCAT(C356,D356,E356,TIME!$M$12,Z356),HIS_SALES!$B$2:$W$4859,20,FALSE),AC356*J356/(1-J356)),0)</f>
        <v>0</v>
      </c>
      <c r="Q356" s="541" t="str">
        <f t="shared" si="128"/>
        <v/>
      </c>
      <c r="R356" s="346" t="str">
        <f t="shared" si="129"/>
        <v>00000</v>
      </c>
      <c r="S356" s="344">
        <f t="shared" si="130"/>
        <v>0</v>
      </c>
      <c r="T356" s="345" t="str">
        <f t="shared" si="143"/>
        <v>000</v>
      </c>
      <c r="U356" s="345">
        <f t="shared" si="131"/>
        <v>0</v>
      </c>
      <c r="V356" s="345">
        <f t="shared" si="132"/>
        <v>0</v>
      </c>
      <c r="W356" s="345">
        <f t="shared" si="133"/>
        <v>0</v>
      </c>
      <c r="X356" s="345">
        <f t="shared" si="134"/>
        <v>0</v>
      </c>
      <c r="Y356" s="345">
        <f t="shared" si="135"/>
        <v>0</v>
      </c>
      <c r="Z356" s="345">
        <f>IF(Q356&lt;&gt;"",VLOOKUP(Y356,TIME!$R$21:$V$24,MATCH(FC_DATA!Q356,TIME!$R$20:$V$20,0),FALSE),H356)</f>
        <v>0</v>
      </c>
      <c r="AA356" s="345" t="str">
        <f>IFERROR(VLOOKUP(X356&amp;Z356,TIME!$A$12:$D$71,4,FALSE),"")</f>
        <v/>
      </c>
      <c r="AB356" s="592">
        <f t="shared" ca="1" si="136"/>
        <v>0</v>
      </c>
      <c r="AC356" s="593" t="e">
        <f ca="1">IF(ISBLANK(H356)=FALSE,IF(D356="BRAND.com",I356,IF(ISNA(VLOOKUP(_xlfn.CONCAT(X356,Z356),TIME!$M$40:$M$42,1,FALSE)),I356,VLOOKUP(_xlfn.CONCAT(D356,G356,H356),M_BUSAREA_FC!$AF$5:$AJ$10,5,FALSE)*HLOOKUP(_xlfn.CONCAT(F356,H356),ST_OVERVIEW!$G$99:$I$130,MATCH(_xlfn.CONCAT(D356,E356),ST_OVERVIEW!$F$99:$F$130,0),FALSE))),IF(D356="BRAND.com",VLOOKUP(_xlfn.CONCAT(C356,D356,E356,TIME!$F$1,Z356),HIS_SALES!$B$2:$V$4859,19,FALSE)*I356,VLOOKUP(_xlfn.CONCAT(D356,F356,G356),Q_BUSAREA_FC!$AE$5:$AI$12,5,FALSE)*HLOOKUP(_xlfn.CONCAT(FC_DATA!F356,FC_DATA!G356),LT_OVERVIEW!$I$99:$M$130,MATCH(_xlfn.CONCAT(D356,FC_DATA!E356),LT_OVERVIEW!$H$99:$H$130,0),FALSE)*IFERROR(VLOOKUP(_xlfn.CONCAT(C356,D356,E356,TIME!$F$1,Z356),HIS_SALES!$B$2:$V$4859,19,FALSE),0)))</f>
        <v>#N/A</v>
      </c>
      <c r="AD356" s="341">
        <f t="shared" ca="1" si="137"/>
        <v>0</v>
      </c>
      <c r="AE356" s="363" t="str">
        <f t="shared" si="138"/>
        <v/>
      </c>
      <c r="AF356" s="342" t="str">
        <f t="shared" si="139"/>
        <v/>
      </c>
      <c r="AG356" s="411" t="e">
        <f ca="1">VLOOKUP(_xlfn.CONCAT(U356,V356,W356,VLOOKUP(X356&amp;Y356,TIME!$L$27:$O$34,4,FALSE),Y356),HIS_SALES!$A$2:$R$5093,18,FALSE)</f>
        <v>#N/A</v>
      </c>
      <c r="AH356" s="412" t="e">
        <f ca="1">IFERROR(IF(AND(V356=V355,W356=W355),0.5*(AB356+AB355)*AG356,(VLOOKUP(_xlfn.CONCAT(U356,V356,W356,X356,VLOOKUP(Z356,TIME!$S$28:$T$39,2,FALSE)),FC_DATA!$R$2:$AB$5000,MATCH("GS_I_M",FC_DATA!$R$1:$AB$1,0),FALSE)+FC_DATA!AB356)*0.5*FC_DATA!AG356),NA())</f>
        <v>#N/A</v>
      </c>
      <c r="AI356" s="491" t="e">
        <f ca="1">IF(V356="PARTNER.com",AH356,IF(AND(V356=V355,W356=W355),(1-AVERAGE(AD355,AD356))*AH356,(1-AVERAGE(AD356,VLOOKUP(_xlfn.CONCAT(U356,V356,W356,X356,M_BRAND_FC!$F$6),FC_DATA!$R$2:$AD$5000,MATCH("DISCOUNT_%_M",FC_DATA!$R$1:$AD$1,0),FALSE)))*AH356))</f>
        <v>#N/A</v>
      </c>
      <c r="AJ356" s="412" t="str">
        <f t="shared" ca="1" si="140"/>
        <v/>
      </c>
      <c r="AK356" s="413" t="str">
        <f>IFERROR(AE356/(Q_BRAND_FC!$T$24+1),"")</f>
        <v/>
      </c>
      <c r="AL356" s="88" t="str">
        <f t="shared" ca="1" si="141"/>
        <v/>
      </c>
      <c r="AM356" s="414" t="str">
        <f t="shared" ca="1" si="142"/>
        <v/>
      </c>
      <c r="AN356" s="58">
        <f>IFERROR(IF($V356="BRAND.com",HLOOKUP($X356&amp;$Z356,NWC_FC_NOOS!$C$4:$Q$23,MATCH(W356,NWC_FC_NOOS!$B$4:$B$23,0),FALSE),0),0)</f>
        <v>0</v>
      </c>
      <c r="AO356" s="57">
        <f>IFERROR(IF($V356="BRAND.com",HLOOKUP($X356&amp;$Z356,NWC_FC_NOOS!$T$4:$AH$23,MATCH(W356,NWC_FC_NOOS!$S$4:$S$23,0),FALSE),0),0)</f>
        <v>0</v>
      </c>
      <c r="AP356" s="57">
        <f>IFERROR(IF($V356="BRAND.com",HLOOKUP($X356&amp;$Z356,NWC_FC_NOOS!$C$50:$U$69,MATCH(W356,NWC_FC_NOOS!$B$50:$B$69,0),FALSE),0),0)</f>
        <v>0</v>
      </c>
      <c r="AQ356" s="58">
        <f>IFERROR(IF($V356="BRAND.com",HLOOKUP($X356&amp;$Z356,'NWC_FC_NON-NOOS'!$C$4:$Q$23,MATCH(W356,'NWC_FC_NON-NOOS'!$B$4:$B$23,0),FALSE),0),0)</f>
        <v>0</v>
      </c>
      <c r="AR356" s="57">
        <f>IFERROR(IF($V356="BRAND.com",HLOOKUP($X356&amp;$Z356,'NWC_FC_NON-NOOS'!$T$4:$AH$23,MATCH(W356,'NWC_FC_NON-NOOS'!$S$4:$S$23,0),FALSE),0),0)</f>
        <v>0</v>
      </c>
      <c r="AS356" s="57">
        <f>IFERROR(IF($V356="BRAND.com",HLOOKUP($X356&amp;$Z356,'NWC_FC_NON-NOOS'!$C$50:$U$69,MATCH(W356,'NWC_FC_NON-NOOS'!$B$50:$B$69,0),FALSE),0),0)</f>
        <v>0</v>
      </c>
      <c r="AT356" s="57">
        <f t="shared" si="144"/>
        <v>0</v>
      </c>
      <c r="AU356" s="57">
        <f t="shared" si="145"/>
        <v>0</v>
      </c>
      <c r="AV356" s="58">
        <f>IFERROR(IF($V356="BRAND.com",HLOOKUP($X356&amp;$Z356,PLANNING_FC!$BB$27:$BP$46,MATCH($W356,PLANNING_FC!$BA$27:$BA$46,0),FALSE),0),0)</f>
        <v>0</v>
      </c>
      <c r="AW356" s="58">
        <f>IFERROR(IF($V356="BRAND.com",HLOOKUP($X356&amp;$Z356,PLANNING_FC!$BB$4:$BP$23,MATCH($W356,PLANNING_FC!$BA$4:$BA$23,0),FALSE),0),0)</f>
        <v>0</v>
      </c>
      <c r="AX356" s="58">
        <f>IFERROR(IF($V356="BRAND.com",HLOOKUP($X356&amp;$Z356,PLANNING_FC!$T$27:$AH$46,MATCH($W356,PLANNING_FC!$B$27:$B$46,0),FALSE),0),0)</f>
        <v>0</v>
      </c>
      <c r="AY356" s="58">
        <f>IFERROR(IF($V356="BRAND.com",HLOOKUP($X356&amp;$Z356,PLANNING_FC!$T$4:$AH$23,MATCH($W356,PLANNING_FC!$B$4:$B$23,0),FALSE),0),0)</f>
        <v>0</v>
      </c>
      <c r="AZ356" s="58">
        <f>IFERROR(IF($V356="BRAND.com",HLOOKUP($X356&amp;$Z356,PLANNING_FC!$DA$27:$DO$46,MATCH($W356,PLANNING_FC!$CZ$27:$CZ$46,0),FALSE),0),0)</f>
        <v>0</v>
      </c>
      <c r="BA356" s="58">
        <f>IFERROR(IF($V356="BRAND.com",HLOOKUP($X356&amp;$Z356,PLANNING_FC!$DA$4:$DO$23,MATCH($W356,PLANNING_FC!$CZ$4:$CZ$23,0),FALSE),0),0)</f>
        <v>0</v>
      </c>
      <c r="BB356" s="883" t="str">
        <f>IF(V356="BRAND.com",IFERROR(HLOOKUP(X356&amp;Z356,PLANNING_FC!$AK$4:$AY$23,MATCH(W356,PLANNING_FC!$AJ$4:$AJ$23,0),FALSE)*1000,""),"")</f>
        <v/>
      </c>
      <c r="BC356" s="883" t="str">
        <f>IF(V356="BRAND.com",IFERROR(HLOOKUP(X356&amp;Z356,PLANNING_FC!$AK$27:$AY$46,MATCH(W356,PLANNING_FC!$AJ$27:$AJ$46,0),FALSE)*1000,""),"")</f>
        <v/>
      </c>
    </row>
    <row r="357" spans="1:55" x14ac:dyDescent="0.25">
      <c r="A357" s="509"/>
      <c r="B357" s="509"/>
      <c r="C357" s="509"/>
      <c r="D357" s="509"/>
      <c r="E357" s="509"/>
      <c r="F357" s="509"/>
      <c r="G357" s="509"/>
      <c r="H357" s="509"/>
      <c r="I357" s="512"/>
      <c r="J357" s="513"/>
      <c r="K357" s="879"/>
      <c r="L357" s="515"/>
      <c r="M357" s="516"/>
      <c r="N357" s="56">
        <f t="shared" si="126"/>
        <v>0</v>
      </c>
      <c r="O357" s="57">
        <f t="shared" si="127"/>
        <v>0</v>
      </c>
      <c r="P357" s="57">
        <f ca="1">IFERROR(IF(ISBLANK(H357),SUMIFS($AC:$AC,$V:$V,V357,$W:$W,W357,$X:$X,X357,$Y:$Y,Y357)*J357/(1-J357)*VLOOKUP(_xlfn.CONCAT(C357,D357,E357,TIME!$M$12,Z357),HIS_SALES!$B$2:$W$4859,20,FALSE),AC357*J357/(1-J357)),0)</f>
        <v>0</v>
      </c>
      <c r="Q357" s="541" t="str">
        <f t="shared" si="128"/>
        <v/>
      </c>
      <c r="R357" s="346" t="str">
        <f t="shared" si="129"/>
        <v>00000</v>
      </c>
      <c r="S357" s="344">
        <f t="shared" si="130"/>
        <v>0</v>
      </c>
      <c r="T357" s="345" t="str">
        <f t="shared" si="143"/>
        <v>000</v>
      </c>
      <c r="U357" s="345">
        <f t="shared" si="131"/>
        <v>0</v>
      </c>
      <c r="V357" s="345">
        <f t="shared" si="132"/>
        <v>0</v>
      </c>
      <c r="W357" s="345">
        <f t="shared" si="133"/>
        <v>0</v>
      </c>
      <c r="X357" s="345">
        <f t="shared" si="134"/>
        <v>0</v>
      </c>
      <c r="Y357" s="345">
        <f t="shared" si="135"/>
        <v>0</v>
      </c>
      <c r="Z357" s="345">
        <f>IF(Q357&lt;&gt;"",VLOOKUP(Y357,TIME!$R$21:$V$24,MATCH(FC_DATA!Q357,TIME!$R$20:$V$20,0),FALSE),H357)</f>
        <v>0</v>
      </c>
      <c r="AA357" s="345" t="str">
        <f>IFERROR(VLOOKUP(X357&amp;Z357,TIME!$A$12:$D$71,4,FALSE),"")</f>
        <v/>
      </c>
      <c r="AB357" s="592">
        <f t="shared" ca="1" si="136"/>
        <v>0</v>
      </c>
      <c r="AC357" s="593" t="e">
        <f ca="1">IF(ISBLANK(H357)=FALSE,IF(D357="BRAND.com",I357,IF(ISNA(VLOOKUP(_xlfn.CONCAT(X357,Z357),TIME!$M$40:$M$42,1,FALSE)),I357,VLOOKUP(_xlfn.CONCAT(D357,G357,H357),M_BUSAREA_FC!$AF$5:$AJ$10,5,FALSE)*HLOOKUP(_xlfn.CONCAT(F357,H357),ST_OVERVIEW!$G$99:$I$130,MATCH(_xlfn.CONCAT(D357,E357),ST_OVERVIEW!$F$99:$F$130,0),FALSE))),IF(D357="BRAND.com",VLOOKUP(_xlfn.CONCAT(C357,D357,E357,TIME!$F$1,Z357),HIS_SALES!$B$2:$V$4859,19,FALSE)*I357,VLOOKUP(_xlfn.CONCAT(D357,F357,G357),Q_BUSAREA_FC!$AE$5:$AI$12,5,FALSE)*HLOOKUP(_xlfn.CONCAT(FC_DATA!F357,FC_DATA!G357),LT_OVERVIEW!$I$99:$M$130,MATCH(_xlfn.CONCAT(D357,FC_DATA!E357),LT_OVERVIEW!$H$99:$H$130,0),FALSE)*IFERROR(VLOOKUP(_xlfn.CONCAT(C357,D357,E357,TIME!$F$1,Z357),HIS_SALES!$B$2:$V$4859,19,FALSE),0)))</f>
        <v>#N/A</v>
      </c>
      <c r="AD357" s="341">
        <f t="shared" ca="1" si="137"/>
        <v>0</v>
      </c>
      <c r="AE357" s="363" t="str">
        <f t="shared" si="138"/>
        <v/>
      </c>
      <c r="AF357" s="342" t="str">
        <f t="shared" si="139"/>
        <v/>
      </c>
      <c r="AG357" s="411" t="e">
        <f ca="1">VLOOKUP(_xlfn.CONCAT(U357,V357,W357,VLOOKUP(X357&amp;Y357,TIME!$L$27:$O$34,4,FALSE),Y357),HIS_SALES!$A$2:$R$5093,18,FALSE)</f>
        <v>#N/A</v>
      </c>
      <c r="AH357" s="412" t="e">
        <f ca="1">IFERROR(IF(AND(V357=V356,W357=W356),0.5*(AB357+AB356)*AG357,(VLOOKUP(_xlfn.CONCAT(U357,V357,W357,X357,VLOOKUP(Z357,TIME!$S$28:$T$39,2,FALSE)),FC_DATA!$R$2:$AB$5000,MATCH("GS_I_M",FC_DATA!$R$1:$AB$1,0),FALSE)+FC_DATA!AB357)*0.5*FC_DATA!AG357),NA())</f>
        <v>#N/A</v>
      </c>
      <c r="AI357" s="491" t="e">
        <f ca="1">IF(V357="PARTNER.com",AH357,IF(AND(V357=V356,W357=W356),(1-AVERAGE(AD356,AD357))*AH357,(1-AVERAGE(AD357,VLOOKUP(_xlfn.CONCAT(U357,V357,W357,X357,M_BRAND_FC!$F$6),FC_DATA!$R$2:$AD$5000,MATCH("DISCOUNT_%_M",FC_DATA!$R$1:$AD$1,0),FALSE)))*AH357))</f>
        <v>#N/A</v>
      </c>
      <c r="AJ357" s="412" t="str">
        <f t="shared" ca="1" si="140"/>
        <v/>
      </c>
      <c r="AK357" s="413" t="str">
        <f>IFERROR(AE357/(Q_BRAND_FC!$T$24+1),"")</f>
        <v/>
      </c>
      <c r="AL357" s="88" t="str">
        <f t="shared" ca="1" si="141"/>
        <v/>
      </c>
      <c r="AM357" s="414" t="str">
        <f t="shared" ca="1" si="142"/>
        <v/>
      </c>
      <c r="AN357" s="58">
        <f>IFERROR(IF($V357="BRAND.com",HLOOKUP($X357&amp;$Z357,NWC_FC_NOOS!$C$4:$Q$23,MATCH(W357,NWC_FC_NOOS!$B$4:$B$23,0),FALSE),0),0)</f>
        <v>0</v>
      </c>
      <c r="AO357" s="57">
        <f>IFERROR(IF($V357="BRAND.com",HLOOKUP($X357&amp;$Z357,NWC_FC_NOOS!$T$4:$AH$23,MATCH(W357,NWC_FC_NOOS!$S$4:$S$23,0),FALSE),0),0)</f>
        <v>0</v>
      </c>
      <c r="AP357" s="57">
        <f>IFERROR(IF($V357="BRAND.com",HLOOKUP($X357&amp;$Z357,NWC_FC_NOOS!$C$50:$U$69,MATCH(W357,NWC_FC_NOOS!$B$50:$B$69,0),FALSE),0),0)</f>
        <v>0</v>
      </c>
      <c r="AQ357" s="58">
        <f>IFERROR(IF($V357="BRAND.com",HLOOKUP($X357&amp;$Z357,'NWC_FC_NON-NOOS'!$C$4:$Q$23,MATCH(W357,'NWC_FC_NON-NOOS'!$B$4:$B$23,0),FALSE),0),0)</f>
        <v>0</v>
      </c>
      <c r="AR357" s="57">
        <f>IFERROR(IF($V357="BRAND.com",HLOOKUP($X357&amp;$Z357,'NWC_FC_NON-NOOS'!$T$4:$AH$23,MATCH(W357,'NWC_FC_NON-NOOS'!$S$4:$S$23,0),FALSE),0),0)</f>
        <v>0</v>
      </c>
      <c r="AS357" s="57">
        <f>IFERROR(IF($V357="BRAND.com",HLOOKUP($X357&amp;$Z357,'NWC_FC_NON-NOOS'!$C$50:$U$69,MATCH(W357,'NWC_FC_NON-NOOS'!$B$50:$B$69,0),FALSE),0),0)</f>
        <v>0</v>
      </c>
      <c r="AT357" s="57">
        <f t="shared" si="144"/>
        <v>0</v>
      </c>
      <c r="AU357" s="57">
        <f t="shared" si="145"/>
        <v>0</v>
      </c>
      <c r="AV357" s="58">
        <f>IFERROR(IF($V357="BRAND.com",HLOOKUP($X357&amp;$Z357,PLANNING_FC!$BB$27:$BP$46,MATCH($W357,PLANNING_FC!$BA$27:$BA$46,0),FALSE),0),0)</f>
        <v>0</v>
      </c>
      <c r="AW357" s="58">
        <f>IFERROR(IF($V357="BRAND.com",HLOOKUP($X357&amp;$Z357,PLANNING_FC!$BB$4:$BP$23,MATCH($W357,PLANNING_FC!$BA$4:$BA$23,0),FALSE),0),0)</f>
        <v>0</v>
      </c>
      <c r="AX357" s="58">
        <f>IFERROR(IF($V357="BRAND.com",HLOOKUP($X357&amp;$Z357,PLANNING_FC!$T$27:$AH$46,MATCH($W357,PLANNING_FC!$B$27:$B$46,0),FALSE),0),0)</f>
        <v>0</v>
      </c>
      <c r="AY357" s="58">
        <f>IFERROR(IF($V357="BRAND.com",HLOOKUP($X357&amp;$Z357,PLANNING_FC!$T$4:$AH$23,MATCH($W357,PLANNING_FC!$B$4:$B$23,0),FALSE),0),0)</f>
        <v>0</v>
      </c>
      <c r="AZ357" s="58">
        <f>IFERROR(IF($V357="BRAND.com",HLOOKUP($X357&amp;$Z357,PLANNING_FC!$DA$27:$DO$46,MATCH($W357,PLANNING_FC!$CZ$27:$CZ$46,0),FALSE),0),0)</f>
        <v>0</v>
      </c>
      <c r="BA357" s="58">
        <f>IFERROR(IF($V357="BRAND.com",HLOOKUP($X357&amp;$Z357,PLANNING_FC!$DA$4:$DO$23,MATCH($W357,PLANNING_FC!$CZ$4:$CZ$23,0),FALSE),0),0)</f>
        <v>0</v>
      </c>
      <c r="BB357" s="883" t="str">
        <f>IF(V357="BRAND.com",IFERROR(HLOOKUP(X357&amp;Z357,PLANNING_FC!$AK$4:$AY$23,MATCH(W357,PLANNING_FC!$AJ$4:$AJ$23,0),FALSE)*1000,""),"")</f>
        <v/>
      </c>
      <c r="BC357" s="883" t="str">
        <f>IF(V357="BRAND.com",IFERROR(HLOOKUP(X357&amp;Z357,PLANNING_FC!$AK$27:$AY$46,MATCH(W357,PLANNING_FC!$AJ$27:$AJ$46,0),FALSE)*1000,""),"")</f>
        <v/>
      </c>
    </row>
    <row r="358" spans="1:55" x14ac:dyDescent="0.25">
      <c r="A358" s="509"/>
      <c r="B358" s="509"/>
      <c r="C358" s="509"/>
      <c r="D358" s="509"/>
      <c r="E358" s="509"/>
      <c r="F358" s="509"/>
      <c r="G358" s="509"/>
      <c r="H358" s="509"/>
      <c r="I358" s="512"/>
      <c r="J358" s="513"/>
      <c r="K358" s="879"/>
      <c r="L358" s="515"/>
      <c r="M358" s="516"/>
      <c r="N358" s="56">
        <f t="shared" si="126"/>
        <v>0</v>
      </c>
      <c r="O358" s="57">
        <f t="shared" si="127"/>
        <v>0</v>
      </c>
      <c r="P358" s="57">
        <f ca="1">IFERROR(IF(ISBLANK(H358),SUMIFS($AC:$AC,$V:$V,V358,$W:$W,W358,$X:$X,X358,$Y:$Y,Y358)*J358/(1-J358)*VLOOKUP(_xlfn.CONCAT(C358,D358,E358,TIME!$M$12,Z358),HIS_SALES!$B$2:$W$4859,20,FALSE),AC358*J358/(1-J358)),0)</f>
        <v>0</v>
      </c>
      <c r="Q358" s="541" t="str">
        <f t="shared" si="128"/>
        <v/>
      </c>
      <c r="R358" s="346" t="str">
        <f t="shared" si="129"/>
        <v>00000</v>
      </c>
      <c r="S358" s="344">
        <f t="shared" si="130"/>
        <v>0</v>
      </c>
      <c r="T358" s="345" t="str">
        <f t="shared" si="143"/>
        <v>000</v>
      </c>
      <c r="U358" s="345">
        <f t="shared" si="131"/>
        <v>0</v>
      </c>
      <c r="V358" s="345">
        <f t="shared" si="132"/>
        <v>0</v>
      </c>
      <c r="W358" s="345">
        <f t="shared" si="133"/>
        <v>0</v>
      </c>
      <c r="X358" s="345">
        <f t="shared" si="134"/>
        <v>0</v>
      </c>
      <c r="Y358" s="345">
        <f t="shared" si="135"/>
        <v>0</v>
      </c>
      <c r="Z358" s="345">
        <f>IF(Q358&lt;&gt;"",VLOOKUP(Y358,TIME!$R$21:$V$24,MATCH(FC_DATA!Q358,TIME!$R$20:$V$20,0),FALSE),H358)</f>
        <v>0</v>
      </c>
      <c r="AA358" s="345" t="str">
        <f>IFERROR(VLOOKUP(X358&amp;Z358,TIME!$A$12:$D$71,4,FALSE),"")</f>
        <v/>
      </c>
      <c r="AB358" s="592">
        <f t="shared" ca="1" si="136"/>
        <v>0</v>
      </c>
      <c r="AC358" s="593" t="e">
        <f ca="1">IF(ISBLANK(H358)=FALSE,IF(D358="BRAND.com",I358,IF(ISNA(VLOOKUP(_xlfn.CONCAT(X358,Z358),TIME!$M$40:$M$42,1,FALSE)),I358,VLOOKUP(_xlfn.CONCAT(D358,G358,H358),M_BUSAREA_FC!$AF$5:$AJ$10,5,FALSE)*HLOOKUP(_xlfn.CONCAT(F358,H358),ST_OVERVIEW!$G$99:$I$130,MATCH(_xlfn.CONCAT(D358,E358),ST_OVERVIEW!$F$99:$F$130,0),FALSE))),IF(D358="BRAND.com",VLOOKUP(_xlfn.CONCAT(C358,D358,E358,TIME!$F$1,Z358),HIS_SALES!$B$2:$V$4859,19,FALSE)*I358,VLOOKUP(_xlfn.CONCAT(D358,F358,G358),Q_BUSAREA_FC!$AE$5:$AI$12,5,FALSE)*HLOOKUP(_xlfn.CONCAT(FC_DATA!F358,FC_DATA!G358),LT_OVERVIEW!$I$99:$M$130,MATCH(_xlfn.CONCAT(D358,FC_DATA!E358),LT_OVERVIEW!$H$99:$H$130,0),FALSE)*IFERROR(VLOOKUP(_xlfn.CONCAT(C358,D358,E358,TIME!$F$1,Z358),HIS_SALES!$B$2:$V$4859,19,FALSE),0)))</f>
        <v>#N/A</v>
      </c>
      <c r="AD358" s="341">
        <f t="shared" ca="1" si="137"/>
        <v>0</v>
      </c>
      <c r="AE358" s="363" t="str">
        <f t="shared" si="138"/>
        <v/>
      </c>
      <c r="AF358" s="342" t="str">
        <f t="shared" si="139"/>
        <v/>
      </c>
      <c r="AG358" s="411" t="e">
        <f ca="1">VLOOKUP(_xlfn.CONCAT(U358,V358,W358,VLOOKUP(X358&amp;Y358,TIME!$L$27:$O$34,4,FALSE),Y358),HIS_SALES!$A$2:$R$5093,18,FALSE)</f>
        <v>#N/A</v>
      </c>
      <c r="AH358" s="412" t="e">
        <f ca="1">IFERROR(IF(AND(V358=V357,W358=W357),0.5*(AB358+AB357)*AG358,(VLOOKUP(_xlfn.CONCAT(U358,V358,W358,X358,VLOOKUP(Z358,TIME!$S$28:$T$39,2,FALSE)),FC_DATA!$R$2:$AB$5000,MATCH("GS_I_M",FC_DATA!$R$1:$AB$1,0),FALSE)+FC_DATA!AB358)*0.5*FC_DATA!AG358),NA())</f>
        <v>#N/A</v>
      </c>
      <c r="AI358" s="491" t="e">
        <f ca="1">IF(V358="PARTNER.com",AH358,IF(AND(V358=V357,W358=W357),(1-AVERAGE(AD357,AD358))*AH358,(1-AVERAGE(AD358,VLOOKUP(_xlfn.CONCAT(U358,V358,W358,X358,M_BRAND_FC!$F$6),FC_DATA!$R$2:$AD$5000,MATCH("DISCOUNT_%_M",FC_DATA!$R$1:$AD$1,0),FALSE)))*AH358))</f>
        <v>#N/A</v>
      </c>
      <c r="AJ358" s="412" t="str">
        <f t="shared" ca="1" si="140"/>
        <v/>
      </c>
      <c r="AK358" s="413" t="str">
        <f>IFERROR(AE358/(Q_BRAND_FC!$T$24+1),"")</f>
        <v/>
      </c>
      <c r="AL358" s="88" t="str">
        <f t="shared" ca="1" si="141"/>
        <v/>
      </c>
      <c r="AM358" s="414" t="str">
        <f t="shared" ca="1" si="142"/>
        <v/>
      </c>
      <c r="AN358" s="58">
        <f>IFERROR(IF($V358="BRAND.com",HLOOKUP($X358&amp;$Z358,NWC_FC_NOOS!$C$4:$Q$23,MATCH(W358,NWC_FC_NOOS!$B$4:$B$23,0),FALSE),0),0)</f>
        <v>0</v>
      </c>
      <c r="AO358" s="57">
        <f>IFERROR(IF($V358="BRAND.com",HLOOKUP($X358&amp;$Z358,NWC_FC_NOOS!$T$4:$AH$23,MATCH(W358,NWC_FC_NOOS!$S$4:$S$23,0),FALSE),0),0)</f>
        <v>0</v>
      </c>
      <c r="AP358" s="57">
        <f>IFERROR(IF($V358="BRAND.com",HLOOKUP($X358&amp;$Z358,NWC_FC_NOOS!$C$50:$U$69,MATCH(W358,NWC_FC_NOOS!$B$50:$B$69,0),FALSE),0),0)</f>
        <v>0</v>
      </c>
      <c r="AQ358" s="58">
        <f>IFERROR(IF($V358="BRAND.com",HLOOKUP($X358&amp;$Z358,'NWC_FC_NON-NOOS'!$C$4:$Q$23,MATCH(W358,'NWC_FC_NON-NOOS'!$B$4:$B$23,0),FALSE),0),0)</f>
        <v>0</v>
      </c>
      <c r="AR358" s="57">
        <f>IFERROR(IF($V358="BRAND.com",HLOOKUP($X358&amp;$Z358,'NWC_FC_NON-NOOS'!$T$4:$AH$23,MATCH(W358,'NWC_FC_NON-NOOS'!$S$4:$S$23,0),FALSE),0),0)</f>
        <v>0</v>
      </c>
      <c r="AS358" s="57">
        <f>IFERROR(IF($V358="BRAND.com",HLOOKUP($X358&amp;$Z358,'NWC_FC_NON-NOOS'!$C$50:$U$69,MATCH(W358,'NWC_FC_NON-NOOS'!$B$50:$B$69,0),FALSE),0),0)</f>
        <v>0</v>
      </c>
      <c r="AT358" s="57">
        <f t="shared" si="144"/>
        <v>0</v>
      </c>
      <c r="AU358" s="57">
        <f t="shared" si="145"/>
        <v>0</v>
      </c>
      <c r="AV358" s="58">
        <f>IFERROR(IF($V358="BRAND.com",HLOOKUP($X358&amp;$Z358,PLANNING_FC!$BB$27:$BP$46,MATCH($W358,PLANNING_FC!$BA$27:$BA$46,0),FALSE),0),0)</f>
        <v>0</v>
      </c>
      <c r="AW358" s="58">
        <f>IFERROR(IF($V358="BRAND.com",HLOOKUP($X358&amp;$Z358,PLANNING_FC!$BB$4:$BP$23,MATCH($W358,PLANNING_FC!$BA$4:$BA$23,0),FALSE),0),0)</f>
        <v>0</v>
      </c>
      <c r="AX358" s="58">
        <f>IFERROR(IF($V358="BRAND.com",HLOOKUP($X358&amp;$Z358,PLANNING_FC!$T$27:$AH$46,MATCH($W358,PLANNING_FC!$B$27:$B$46,0),FALSE),0),0)</f>
        <v>0</v>
      </c>
      <c r="AY358" s="58">
        <f>IFERROR(IF($V358="BRAND.com",HLOOKUP($X358&amp;$Z358,PLANNING_FC!$T$4:$AH$23,MATCH($W358,PLANNING_FC!$B$4:$B$23,0),FALSE),0),0)</f>
        <v>0</v>
      </c>
      <c r="AZ358" s="58">
        <f>IFERROR(IF($V358="BRAND.com",HLOOKUP($X358&amp;$Z358,PLANNING_FC!$DA$27:$DO$46,MATCH($W358,PLANNING_FC!$CZ$27:$CZ$46,0),FALSE),0),0)</f>
        <v>0</v>
      </c>
      <c r="BA358" s="58">
        <f>IFERROR(IF($V358="BRAND.com",HLOOKUP($X358&amp;$Z358,PLANNING_FC!$DA$4:$DO$23,MATCH($W358,PLANNING_FC!$CZ$4:$CZ$23,0),FALSE),0),0)</f>
        <v>0</v>
      </c>
      <c r="BB358" s="883" t="str">
        <f>IF(V358="BRAND.com",IFERROR(HLOOKUP(X358&amp;Z358,PLANNING_FC!$AK$4:$AY$23,MATCH(W358,PLANNING_FC!$AJ$4:$AJ$23,0),FALSE)*1000,""),"")</f>
        <v/>
      </c>
      <c r="BC358" s="883" t="str">
        <f>IF(V358="BRAND.com",IFERROR(HLOOKUP(X358&amp;Z358,PLANNING_FC!$AK$27:$AY$46,MATCH(W358,PLANNING_FC!$AJ$27:$AJ$46,0),FALSE)*1000,""),"")</f>
        <v/>
      </c>
    </row>
    <row r="359" spans="1:55" x14ac:dyDescent="0.25">
      <c r="A359" s="509"/>
      <c r="B359" s="509"/>
      <c r="C359" s="509"/>
      <c r="D359" s="509"/>
      <c r="E359" s="509"/>
      <c r="F359" s="509"/>
      <c r="G359" s="509"/>
      <c r="H359" s="509"/>
      <c r="I359" s="512"/>
      <c r="J359" s="513"/>
      <c r="K359" s="879"/>
      <c r="L359" s="515"/>
      <c r="M359" s="516"/>
      <c r="N359" s="56">
        <f t="shared" si="126"/>
        <v>0</v>
      </c>
      <c r="O359" s="57">
        <f t="shared" si="127"/>
        <v>0</v>
      </c>
      <c r="P359" s="57">
        <f ca="1">IFERROR(IF(ISBLANK(H359),SUMIFS($AC:$AC,$V:$V,V359,$W:$W,W359,$X:$X,X359,$Y:$Y,Y359)*J359/(1-J359)*VLOOKUP(_xlfn.CONCAT(C359,D359,E359,TIME!$M$12,Z359),HIS_SALES!$B$2:$W$4859,20,FALSE),AC359*J359/(1-J359)),0)</f>
        <v>0</v>
      </c>
      <c r="Q359" s="541" t="str">
        <f t="shared" si="128"/>
        <v/>
      </c>
      <c r="R359" s="346" t="str">
        <f t="shared" si="129"/>
        <v>00000</v>
      </c>
      <c r="S359" s="344">
        <f t="shared" si="130"/>
        <v>0</v>
      </c>
      <c r="T359" s="345" t="str">
        <f t="shared" si="143"/>
        <v>000</v>
      </c>
      <c r="U359" s="345">
        <f t="shared" si="131"/>
        <v>0</v>
      </c>
      <c r="V359" s="345">
        <f t="shared" si="132"/>
        <v>0</v>
      </c>
      <c r="W359" s="345">
        <f t="shared" si="133"/>
        <v>0</v>
      </c>
      <c r="X359" s="345">
        <f t="shared" si="134"/>
        <v>0</v>
      </c>
      <c r="Y359" s="345">
        <f t="shared" si="135"/>
        <v>0</v>
      </c>
      <c r="Z359" s="345">
        <f>IF(Q359&lt;&gt;"",VLOOKUP(Y359,TIME!$R$21:$V$24,MATCH(FC_DATA!Q359,TIME!$R$20:$V$20,0),FALSE),H359)</f>
        <v>0</v>
      </c>
      <c r="AA359" s="345" t="str">
        <f>IFERROR(VLOOKUP(X359&amp;Z359,TIME!$A$12:$D$71,4,FALSE),"")</f>
        <v/>
      </c>
      <c r="AB359" s="592">
        <f t="shared" ca="1" si="136"/>
        <v>0</v>
      </c>
      <c r="AC359" s="593" t="e">
        <f ca="1">IF(ISBLANK(H359)=FALSE,IF(D359="BRAND.com",I359,IF(ISNA(VLOOKUP(_xlfn.CONCAT(X359,Z359),TIME!$M$40:$M$42,1,FALSE)),I359,VLOOKUP(_xlfn.CONCAT(D359,G359,H359),M_BUSAREA_FC!$AF$5:$AJ$10,5,FALSE)*HLOOKUP(_xlfn.CONCAT(F359,H359),ST_OVERVIEW!$G$99:$I$130,MATCH(_xlfn.CONCAT(D359,E359),ST_OVERVIEW!$F$99:$F$130,0),FALSE))),IF(D359="BRAND.com",VLOOKUP(_xlfn.CONCAT(C359,D359,E359,TIME!$F$1,Z359),HIS_SALES!$B$2:$V$4859,19,FALSE)*I359,VLOOKUP(_xlfn.CONCAT(D359,F359,G359),Q_BUSAREA_FC!$AE$5:$AI$12,5,FALSE)*HLOOKUP(_xlfn.CONCAT(FC_DATA!F359,FC_DATA!G359),LT_OVERVIEW!$I$99:$M$130,MATCH(_xlfn.CONCAT(D359,FC_DATA!E359),LT_OVERVIEW!$H$99:$H$130,0),FALSE)*IFERROR(VLOOKUP(_xlfn.CONCAT(C359,D359,E359,TIME!$F$1,Z359),HIS_SALES!$B$2:$V$4859,19,FALSE),0)))</f>
        <v>#N/A</v>
      </c>
      <c r="AD359" s="341">
        <f t="shared" ca="1" si="137"/>
        <v>0</v>
      </c>
      <c r="AE359" s="363" t="str">
        <f t="shared" si="138"/>
        <v/>
      </c>
      <c r="AF359" s="342" t="str">
        <f t="shared" si="139"/>
        <v/>
      </c>
      <c r="AG359" s="411" t="e">
        <f ca="1">VLOOKUP(_xlfn.CONCAT(U359,V359,W359,VLOOKUP(X359&amp;Y359,TIME!$L$27:$O$34,4,FALSE),Y359),HIS_SALES!$A$2:$R$5093,18,FALSE)</f>
        <v>#N/A</v>
      </c>
      <c r="AH359" s="412" t="e">
        <f ca="1">IFERROR(IF(AND(V359=V358,W359=W358),0.5*(AB359+AB358)*AG359,(VLOOKUP(_xlfn.CONCAT(U359,V359,W359,X359,VLOOKUP(Z359,TIME!$S$28:$T$39,2,FALSE)),FC_DATA!$R$2:$AB$5000,MATCH("GS_I_M",FC_DATA!$R$1:$AB$1,0),FALSE)+FC_DATA!AB359)*0.5*FC_DATA!AG359),NA())</f>
        <v>#N/A</v>
      </c>
      <c r="AI359" s="491" t="e">
        <f ca="1">IF(V359="PARTNER.com",AH359,IF(AND(V359=V358,W359=W358),(1-AVERAGE(AD358,AD359))*AH359,(1-AVERAGE(AD359,VLOOKUP(_xlfn.CONCAT(U359,V359,W359,X359,M_BRAND_FC!$F$6),FC_DATA!$R$2:$AD$5000,MATCH("DISCOUNT_%_M",FC_DATA!$R$1:$AD$1,0),FALSE)))*AH359))</f>
        <v>#N/A</v>
      </c>
      <c r="AJ359" s="412" t="str">
        <f t="shared" ca="1" si="140"/>
        <v/>
      </c>
      <c r="AK359" s="413" t="str">
        <f>IFERROR(AE359/(Q_BRAND_FC!$T$24+1),"")</f>
        <v/>
      </c>
      <c r="AL359" s="88" t="str">
        <f t="shared" ca="1" si="141"/>
        <v/>
      </c>
      <c r="AM359" s="414" t="str">
        <f t="shared" ca="1" si="142"/>
        <v/>
      </c>
      <c r="AN359" s="58">
        <f>IFERROR(IF($V359="BRAND.com",HLOOKUP($X359&amp;$Z359,NWC_FC_NOOS!$C$4:$Q$23,MATCH(W359,NWC_FC_NOOS!$B$4:$B$23,0),FALSE),0),0)</f>
        <v>0</v>
      </c>
      <c r="AO359" s="57">
        <f>IFERROR(IF($V359="BRAND.com",HLOOKUP($X359&amp;$Z359,NWC_FC_NOOS!$T$4:$AH$23,MATCH(W359,NWC_FC_NOOS!$S$4:$S$23,0),FALSE),0),0)</f>
        <v>0</v>
      </c>
      <c r="AP359" s="57">
        <f>IFERROR(IF($V359="BRAND.com",HLOOKUP($X359&amp;$Z359,NWC_FC_NOOS!$C$50:$U$69,MATCH(W359,NWC_FC_NOOS!$B$50:$B$69,0),FALSE),0),0)</f>
        <v>0</v>
      </c>
      <c r="AQ359" s="58">
        <f>IFERROR(IF($V359="BRAND.com",HLOOKUP($X359&amp;$Z359,'NWC_FC_NON-NOOS'!$C$4:$Q$23,MATCH(W359,'NWC_FC_NON-NOOS'!$B$4:$B$23,0),FALSE),0),0)</f>
        <v>0</v>
      </c>
      <c r="AR359" s="57">
        <f>IFERROR(IF($V359="BRAND.com",HLOOKUP($X359&amp;$Z359,'NWC_FC_NON-NOOS'!$T$4:$AH$23,MATCH(W359,'NWC_FC_NON-NOOS'!$S$4:$S$23,0),FALSE),0),0)</f>
        <v>0</v>
      </c>
      <c r="AS359" s="57">
        <f>IFERROR(IF($V359="BRAND.com",HLOOKUP($X359&amp;$Z359,'NWC_FC_NON-NOOS'!$C$50:$U$69,MATCH(W359,'NWC_FC_NON-NOOS'!$B$50:$B$69,0),FALSE),0),0)</f>
        <v>0</v>
      </c>
      <c r="AT359" s="57">
        <f t="shared" si="144"/>
        <v>0</v>
      </c>
      <c r="AU359" s="57">
        <f t="shared" si="145"/>
        <v>0</v>
      </c>
      <c r="AV359" s="58">
        <f>IFERROR(IF($V359="BRAND.com",HLOOKUP($X359&amp;$Z359,PLANNING_FC!$BB$27:$BP$46,MATCH($W359,PLANNING_FC!$BA$27:$BA$46,0),FALSE),0),0)</f>
        <v>0</v>
      </c>
      <c r="AW359" s="58">
        <f>IFERROR(IF($V359="BRAND.com",HLOOKUP($X359&amp;$Z359,PLANNING_FC!$BB$4:$BP$23,MATCH($W359,PLANNING_FC!$BA$4:$BA$23,0),FALSE),0),0)</f>
        <v>0</v>
      </c>
      <c r="AX359" s="58">
        <f>IFERROR(IF($V359="BRAND.com",HLOOKUP($X359&amp;$Z359,PLANNING_FC!$T$27:$AH$46,MATCH($W359,PLANNING_FC!$B$27:$B$46,0),FALSE),0),0)</f>
        <v>0</v>
      </c>
      <c r="AY359" s="58">
        <f>IFERROR(IF($V359="BRAND.com",HLOOKUP($X359&amp;$Z359,PLANNING_FC!$T$4:$AH$23,MATCH($W359,PLANNING_FC!$B$4:$B$23,0),FALSE),0),0)</f>
        <v>0</v>
      </c>
      <c r="AZ359" s="58">
        <f>IFERROR(IF($V359="BRAND.com",HLOOKUP($X359&amp;$Z359,PLANNING_FC!$DA$27:$DO$46,MATCH($W359,PLANNING_FC!$CZ$27:$CZ$46,0),FALSE),0),0)</f>
        <v>0</v>
      </c>
      <c r="BA359" s="58">
        <f>IFERROR(IF($V359="BRAND.com",HLOOKUP($X359&amp;$Z359,PLANNING_FC!$DA$4:$DO$23,MATCH($W359,PLANNING_FC!$CZ$4:$CZ$23,0),FALSE),0),0)</f>
        <v>0</v>
      </c>
      <c r="BB359" s="883" t="str">
        <f>IF(V359="BRAND.com",IFERROR(HLOOKUP(X359&amp;Z359,PLANNING_FC!$AK$4:$AY$23,MATCH(W359,PLANNING_FC!$AJ$4:$AJ$23,0),FALSE)*1000,""),"")</f>
        <v/>
      </c>
      <c r="BC359" s="883" t="str">
        <f>IF(V359="BRAND.com",IFERROR(HLOOKUP(X359&amp;Z359,PLANNING_FC!$AK$27:$AY$46,MATCH(W359,PLANNING_FC!$AJ$27:$AJ$46,0),FALSE)*1000,""),"")</f>
        <v/>
      </c>
    </row>
    <row r="360" spans="1:55" x14ac:dyDescent="0.25">
      <c r="A360" s="509"/>
      <c r="B360" s="509"/>
      <c r="C360" s="509"/>
      <c r="D360" s="509"/>
      <c r="E360" s="509"/>
      <c r="F360" s="509"/>
      <c r="G360" s="509"/>
      <c r="H360" s="509"/>
      <c r="I360" s="512"/>
      <c r="J360" s="513"/>
      <c r="K360" s="879"/>
      <c r="L360" s="515"/>
      <c r="M360" s="516"/>
      <c r="N360" s="56">
        <f t="shared" si="126"/>
        <v>0</v>
      </c>
      <c r="O360" s="57">
        <f t="shared" si="127"/>
        <v>0</v>
      </c>
      <c r="P360" s="57">
        <f ca="1">IFERROR(IF(ISBLANK(H360),SUMIFS($AC:$AC,$V:$V,V360,$W:$W,W360,$X:$X,X360,$Y:$Y,Y360)*J360/(1-J360)*VLOOKUP(_xlfn.CONCAT(C360,D360,E360,TIME!$M$12,Z360),HIS_SALES!$B$2:$W$4859,20,FALSE),AC360*J360/(1-J360)),0)</f>
        <v>0</v>
      </c>
      <c r="Q360" s="541" t="str">
        <f t="shared" si="128"/>
        <v/>
      </c>
      <c r="R360" s="346" t="str">
        <f t="shared" si="129"/>
        <v>00000</v>
      </c>
      <c r="S360" s="344">
        <f t="shared" si="130"/>
        <v>0</v>
      </c>
      <c r="T360" s="345" t="str">
        <f t="shared" si="143"/>
        <v>000</v>
      </c>
      <c r="U360" s="345">
        <f t="shared" si="131"/>
        <v>0</v>
      </c>
      <c r="V360" s="345">
        <f t="shared" si="132"/>
        <v>0</v>
      </c>
      <c r="W360" s="345">
        <f t="shared" si="133"/>
        <v>0</v>
      </c>
      <c r="X360" s="345">
        <f t="shared" si="134"/>
        <v>0</v>
      </c>
      <c r="Y360" s="345">
        <f t="shared" si="135"/>
        <v>0</v>
      </c>
      <c r="Z360" s="345">
        <f>IF(Q360&lt;&gt;"",VLOOKUP(Y360,TIME!$R$21:$V$24,MATCH(FC_DATA!Q360,TIME!$R$20:$V$20,0),FALSE),H360)</f>
        <v>0</v>
      </c>
      <c r="AA360" s="345" t="str">
        <f>IFERROR(VLOOKUP(X360&amp;Z360,TIME!$A$12:$D$71,4,FALSE),"")</f>
        <v/>
      </c>
      <c r="AB360" s="592">
        <f t="shared" ca="1" si="136"/>
        <v>0</v>
      </c>
      <c r="AC360" s="593" t="e">
        <f ca="1">IF(ISBLANK(H360)=FALSE,IF(D360="BRAND.com",I360,IF(ISNA(VLOOKUP(_xlfn.CONCAT(X360,Z360),TIME!$M$40:$M$42,1,FALSE)),I360,VLOOKUP(_xlfn.CONCAT(D360,G360,H360),M_BUSAREA_FC!$AF$5:$AJ$10,5,FALSE)*HLOOKUP(_xlfn.CONCAT(F360,H360),ST_OVERVIEW!$G$99:$I$130,MATCH(_xlfn.CONCAT(D360,E360),ST_OVERVIEW!$F$99:$F$130,0),FALSE))),IF(D360="BRAND.com",VLOOKUP(_xlfn.CONCAT(C360,D360,E360,TIME!$F$1,Z360),HIS_SALES!$B$2:$V$4859,19,FALSE)*I360,VLOOKUP(_xlfn.CONCAT(D360,F360,G360),Q_BUSAREA_FC!$AE$5:$AI$12,5,FALSE)*HLOOKUP(_xlfn.CONCAT(FC_DATA!F360,FC_DATA!G360),LT_OVERVIEW!$I$99:$M$130,MATCH(_xlfn.CONCAT(D360,FC_DATA!E360),LT_OVERVIEW!$H$99:$H$130,0),FALSE)*IFERROR(VLOOKUP(_xlfn.CONCAT(C360,D360,E360,TIME!$F$1,Z360),HIS_SALES!$B$2:$V$4859,19,FALSE),0)))</f>
        <v>#N/A</v>
      </c>
      <c r="AD360" s="341">
        <f t="shared" ca="1" si="137"/>
        <v>0</v>
      </c>
      <c r="AE360" s="363" t="str">
        <f t="shared" si="138"/>
        <v/>
      </c>
      <c r="AF360" s="342" t="str">
        <f t="shared" si="139"/>
        <v/>
      </c>
      <c r="AG360" s="411" t="e">
        <f ca="1">VLOOKUP(_xlfn.CONCAT(U360,V360,W360,VLOOKUP(X360&amp;Y360,TIME!$L$27:$O$34,4,FALSE),Y360),HIS_SALES!$A$2:$R$5093,18,FALSE)</f>
        <v>#N/A</v>
      </c>
      <c r="AH360" s="412" t="e">
        <f ca="1">IFERROR(IF(AND(V360=V359,W360=W359),0.5*(AB360+AB359)*AG360,(VLOOKUP(_xlfn.CONCAT(U360,V360,W360,X360,VLOOKUP(Z360,TIME!$S$28:$T$39,2,FALSE)),FC_DATA!$R$2:$AB$5000,MATCH("GS_I_M",FC_DATA!$R$1:$AB$1,0),FALSE)+FC_DATA!AB360)*0.5*FC_DATA!AG360),NA())</f>
        <v>#N/A</v>
      </c>
      <c r="AI360" s="491" t="e">
        <f ca="1">IF(V360="PARTNER.com",AH360,IF(AND(V360=V359,W360=W359),(1-AVERAGE(AD359,AD360))*AH360,(1-AVERAGE(AD360,VLOOKUP(_xlfn.CONCAT(U360,V360,W360,X360,M_BRAND_FC!$F$6),FC_DATA!$R$2:$AD$5000,MATCH("DISCOUNT_%_M",FC_DATA!$R$1:$AD$1,0),FALSE)))*AH360))</f>
        <v>#N/A</v>
      </c>
      <c r="AJ360" s="412" t="str">
        <f t="shared" ca="1" si="140"/>
        <v/>
      </c>
      <c r="AK360" s="413" t="str">
        <f>IFERROR(AE360/(Q_BRAND_FC!$T$24+1),"")</f>
        <v/>
      </c>
      <c r="AL360" s="88" t="str">
        <f t="shared" ca="1" si="141"/>
        <v/>
      </c>
      <c r="AM360" s="414" t="str">
        <f t="shared" ca="1" si="142"/>
        <v/>
      </c>
      <c r="AN360" s="58">
        <f>IFERROR(IF($V360="BRAND.com",HLOOKUP($X360&amp;$Z360,NWC_FC_NOOS!$C$4:$Q$23,MATCH(W360,NWC_FC_NOOS!$B$4:$B$23,0),FALSE),0),0)</f>
        <v>0</v>
      </c>
      <c r="AO360" s="57">
        <f>IFERROR(IF($V360="BRAND.com",HLOOKUP($X360&amp;$Z360,NWC_FC_NOOS!$T$4:$AH$23,MATCH(W360,NWC_FC_NOOS!$S$4:$S$23,0),FALSE),0),0)</f>
        <v>0</v>
      </c>
      <c r="AP360" s="57">
        <f>IFERROR(IF($V360="BRAND.com",HLOOKUP($X360&amp;$Z360,NWC_FC_NOOS!$C$50:$U$69,MATCH(W360,NWC_FC_NOOS!$B$50:$B$69,0),FALSE),0),0)</f>
        <v>0</v>
      </c>
      <c r="AQ360" s="58">
        <f>IFERROR(IF($V360="BRAND.com",HLOOKUP($X360&amp;$Z360,'NWC_FC_NON-NOOS'!$C$4:$Q$23,MATCH(W360,'NWC_FC_NON-NOOS'!$B$4:$B$23,0),FALSE),0),0)</f>
        <v>0</v>
      </c>
      <c r="AR360" s="57">
        <f>IFERROR(IF($V360="BRAND.com",HLOOKUP($X360&amp;$Z360,'NWC_FC_NON-NOOS'!$T$4:$AH$23,MATCH(W360,'NWC_FC_NON-NOOS'!$S$4:$S$23,0),FALSE),0),0)</f>
        <v>0</v>
      </c>
      <c r="AS360" s="57">
        <f>IFERROR(IF($V360="BRAND.com",HLOOKUP($X360&amp;$Z360,'NWC_FC_NON-NOOS'!$C$50:$U$69,MATCH(W360,'NWC_FC_NON-NOOS'!$B$50:$B$69,0),FALSE),0),0)</f>
        <v>0</v>
      </c>
      <c r="AT360" s="57">
        <f t="shared" si="144"/>
        <v>0</v>
      </c>
      <c r="AU360" s="57">
        <f t="shared" si="145"/>
        <v>0</v>
      </c>
      <c r="AV360" s="58">
        <f>IFERROR(IF($V360="BRAND.com",HLOOKUP($X360&amp;$Z360,PLANNING_FC!$BB$27:$BP$46,MATCH($W360,PLANNING_FC!$BA$27:$BA$46,0),FALSE),0),0)</f>
        <v>0</v>
      </c>
      <c r="AW360" s="58">
        <f>IFERROR(IF($V360="BRAND.com",HLOOKUP($X360&amp;$Z360,PLANNING_FC!$BB$4:$BP$23,MATCH($W360,PLANNING_FC!$BA$4:$BA$23,0),FALSE),0),0)</f>
        <v>0</v>
      </c>
      <c r="AX360" s="58">
        <f>IFERROR(IF($V360="BRAND.com",HLOOKUP($X360&amp;$Z360,PLANNING_FC!$T$27:$AH$46,MATCH($W360,PLANNING_FC!$B$27:$B$46,0),FALSE),0),0)</f>
        <v>0</v>
      </c>
      <c r="AY360" s="58">
        <f>IFERROR(IF($V360="BRAND.com",HLOOKUP($X360&amp;$Z360,PLANNING_FC!$T$4:$AH$23,MATCH($W360,PLANNING_FC!$B$4:$B$23,0),FALSE),0),0)</f>
        <v>0</v>
      </c>
      <c r="AZ360" s="58">
        <f>IFERROR(IF($V360="BRAND.com",HLOOKUP($X360&amp;$Z360,PLANNING_FC!$DA$27:$DO$46,MATCH($W360,PLANNING_FC!$CZ$27:$CZ$46,0),FALSE),0),0)</f>
        <v>0</v>
      </c>
      <c r="BA360" s="58">
        <f>IFERROR(IF($V360="BRAND.com",HLOOKUP($X360&amp;$Z360,PLANNING_FC!$DA$4:$DO$23,MATCH($W360,PLANNING_FC!$CZ$4:$CZ$23,0),FALSE),0),0)</f>
        <v>0</v>
      </c>
      <c r="BB360" s="883" t="str">
        <f>IF(V360="BRAND.com",IFERROR(HLOOKUP(X360&amp;Z360,PLANNING_FC!$AK$4:$AY$23,MATCH(W360,PLANNING_FC!$AJ$4:$AJ$23,0),FALSE)*1000,""),"")</f>
        <v/>
      </c>
      <c r="BC360" s="883" t="str">
        <f>IF(V360="BRAND.com",IFERROR(HLOOKUP(X360&amp;Z360,PLANNING_FC!$AK$27:$AY$46,MATCH(W360,PLANNING_FC!$AJ$27:$AJ$46,0),FALSE)*1000,""),"")</f>
        <v/>
      </c>
    </row>
    <row r="361" spans="1:55" x14ac:dyDescent="0.25">
      <c r="A361" s="509"/>
      <c r="B361" s="509"/>
      <c r="C361" s="509"/>
      <c r="D361" s="509"/>
      <c r="E361" s="509"/>
      <c r="F361" s="509"/>
      <c r="G361" s="509"/>
      <c r="H361" s="509"/>
      <c r="I361" s="512"/>
      <c r="J361" s="513"/>
      <c r="K361" s="879"/>
      <c r="L361" s="515"/>
      <c r="M361" s="516"/>
      <c r="N361" s="56">
        <f t="shared" si="126"/>
        <v>0</v>
      </c>
      <c r="O361" s="57">
        <f t="shared" si="127"/>
        <v>0</v>
      </c>
      <c r="P361" s="57">
        <f ca="1">IFERROR(IF(ISBLANK(H361),SUMIFS($AC:$AC,$V:$V,V361,$W:$W,W361,$X:$X,X361,$Y:$Y,Y361)*J361/(1-J361)*VLOOKUP(_xlfn.CONCAT(C361,D361,E361,TIME!$M$12,Z361),HIS_SALES!$B$2:$W$4859,20,FALSE),AC361*J361/(1-J361)),0)</f>
        <v>0</v>
      </c>
      <c r="Q361" s="541" t="str">
        <f t="shared" si="128"/>
        <v/>
      </c>
      <c r="R361" s="346" t="str">
        <f t="shared" si="129"/>
        <v>00000</v>
      </c>
      <c r="S361" s="344">
        <f t="shared" si="130"/>
        <v>0</v>
      </c>
      <c r="T361" s="345" t="str">
        <f t="shared" si="143"/>
        <v>000</v>
      </c>
      <c r="U361" s="345">
        <f t="shared" si="131"/>
        <v>0</v>
      </c>
      <c r="V361" s="345">
        <f t="shared" si="132"/>
        <v>0</v>
      </c>
      <c r="W361" s="345">
        <f t="shared" si="133"/>
        <v>0</v>
      </c>
      <c r="X361" s="345">
        <f t="shared" si="134"/>
        <v>0</v>
      </c>
      <c r="Y361" s="345">
        <f t="shared" si="135"/>
        <v>0</v>
      </c>
      <c r="Z361" s="345">
        <f>IF(Q361&lt;&gt;"",VLOOKUP(Y361,TIME!$R$21:$V$24,MATCH(FC_DATA!Q361,TIME!$R$20:$V$20,0),FALSE),H361)</f>
        <v>0</v>
      </c>
      <c r="AA361" s="345" t="str">
        <f>IFERROR(VLOOKUP(X361&amp;Z361,TIME!$A$12:$D$71,4,FALSE),"")</f>
        <v/>
      </c>
      <c r="AB361" s="592">
        <f t="shared" ca="1" si="136"/>
        <v>0</v>
      </c>
      <c r="AC361" s="593" t="e">
        <f ca="1">IF(ISBLANK(H361)=FALSE,IF(D361="BRAND.com",I361,IF(ISNA(VLOOKUP(_xlfn.CONCAT(X361,Z361),TIME!$M$40:$M$42,1,FALSE)),I361,VLOOKUP(_xlfn.CONCAT(D361,G361,H361),M_BUSAREA_FC!$AF$5:$AJ$10,5,FALSE)*HLOOKUP(_xlfn.CONCAT(F361,H361),ST_OVERVIEW!$G$99:$I$130,MATCH(_xlfn.CONCAT(D361,E361),ST_OVERVIEW!$F$99:$F$130,0),FALSE))),IF(D361="BRAND.com",VLOOKUP(_xlfn.CONCAT(C361,D361,E361,TIME!$F$1,Z361),HIS_SALES!$B$2:$V$4859,19,FALSE)*I361,VLOOKUP(_xlfn.CONCAT(D361,F361,G361),Q_BUSAREA_FC!$AE$5:$AI$12,5,FALSE)*HLOOKUP(_xlfn.CONCAT(FC_DATA!F361,FC_DATA!G361),LT_OVERVIEW!$I$99:$M$130,MATCH(_xlfn.CONCAT(D361,FC_DATA!E361),LT_OVERVIEW!$H$99:$H$130,0),FALSE)*IFERROR(VLOOKUP(_xlfn.CONCAT(C361,D361,E361,TIME!$F$1,Z361),HIS_SALES!$B$2:$V$4859,19,FALSE),0)))</f>
        <v>#N/A</v>
      </c>
      <c r="AD361" s="341">
        <f t="shared" ca="1" si="137"/>
        <v>0</v>
      </c>
      <c r="AE361" s="363" t="str">
        <f t="shared" si="138"/>
        <v/>
      </c>
      <c r="AF361" s="342" t="str">
        <f t="shared" si="139"/>
        <v/>
      </c>
      <c r="AG361" s="411" t="e">
        <f ca="1">VLOOKUP(_xlfn.CONCAT(U361,V361,W361,VLOOKUP(X361&amp;Y361,TIME!$L$27:$O$34,4,FALSE),Y361),HIS_SALES!$A$2:$R$5093,18,FALSE)</f>
        <v>#N/A</v>
      </c>
      <c r="AH361" s="412" t="e">
        <f ca="1">IFERROR(IF(AND(V361=V360,W361=W360),0.5*(AB361+AB360)*AG361,(VLOOKUP(_xlfn.CONCAT(U361,V361,W361,X361,VLOOKUP(Z361,TIME!$S$28:$T$39,2,FALSE)),FC_DATA!$R$2:$AB$5000,MATCH("GS_I_M",FC_DATA!$R$1:$AB$1,0),FALSE)+FC_DATA!AB361)*0.5*FC_DATA!AG361),NA())</f>
        <v>#N/A</v>
      </c>
      <c r="AI361" s="491" t="e">
        <f ca="1">IF(V361="PARTNER.com",AH361,IF(AND(V361=V360,W361=W360),(1-AVERAGE(AD360,AD361))*AH361,(1-AVERAGE(AD361,VLOOKUP(_xlfn.CONCAT(U361,V361,W361,X361,M_BRAND_FC!$F$6),FC_DATA!$R$2:$AD$5000,MATCH("DISCOUNT_%_M",FC_DATA!$R$1:$AD$1,0),FALSE)))*AH361))</f>
        <v>#N/A</v>
      </c>
      <c r="AJ361" s="412" t="str">
        <f t="shared" ca="1" si="140"/>
        <v/>
      </c>
      <c r="AK361" s="413" t="str">
        <f>IFERROR(AE361/(Q_BRAND_FC!$T$24+1),"")</f>
        <v/>
      </c>
      <c r="AL361" s="88" t="str">
        <f t="shared" ca="1" si="141"/>
        <v/>
      </c>
      <c r="AM361" s="414" t="str">
        <f t="shared" ca="1" si="142"/>
        <v/>
      </c>
      <c r="AN361" s="58">
        <f>IFERROR(IF($V361="BRAND.com",HLOOKUP($X361&amp;$Z361,NWC_FC_NOOS!$C$4:$Q$23,MATCH(W361,NWC_FC_NOOS!$B$4:$B$23,0),FALSE),0),0)</f>
        <v>0</v>
      </c>
      <c r="AO361" s="57">
        <f>IFERROR(IF($V361="BRAND.com",HLOOKUP($X361&amp;$Z361,NWC_FC_NOOS!$T$4:$AH$23,MATCH(W361,NWC_FC_NOOS!$S$4:$S$23,0),FALSE),0),0)</f>
        <v>0</v>
      </c>
      <c r="AP361" s="57">
        <f>IFERROR(IF($V361="BRAND.com",HLOOKUP($X361&amp;$Z361,NWC_FC_NOOS!$C$50:$U$69,MATCH(W361,NWC_FC_NOOS!$B$50:$B$69,0),FALSE),0),0)</f>
        <v>0</v>
      </c>
      <c r="AQ361" s="58">
        <f>IFERROR(IF($V361="BRAND.com",HLOOKUP($X361&amp;$Z361,'NWC_FC_NON-NOOS'!$C$4:$Q$23,MATCH(W361,'NWC_FC_NON-NOOS'!$B$4:$B$23,0),FALSE),0),0)</f>
        <v>0</v>
      </c>
      <c r="AR361" s="57">
        <f>IFERROR(IF($V361="BRAND.com",HLOOKUP($X361&amp;$Z361,'NWC_FC_NON-NOOS'!$T$4:$AH$23,MATCH(W361,'NWC_FC_NON-NOOS'!$S$4:$S$23,0),FALSE),0),0)</f>
        <v>0</v>
      </c>
      <c r="AS361" s="57">
        <f>IFERROR(IF($V361="BRAND.com",HLOOKUP($X361&amp;$Z361,'NWC_FC_NON-NOOS'!$C$50:$U$69,MATCH(W361,'NWC_FC_NON-NOOS'!$B$50:$B$69,0),FALSE),0),0)</f>
        <v>0</v>
      </c>
      <c r="AT361" s="57">
        <f t="shared" si="144"/>
        <v>0</v>
      </c>
      <c r="AU361" s="57">
        <f t="shared" si="145"/>
        <v>0</v>
      </c>
      <c r="AV361" s="58">
        <f>IFERROR(IF($V361="BRAND.com",HLOOKUP($X361&amp;$Z361,PLANNING_FC!$BB$27:$BP$46,MATCH($W361,PLANNING_FC!$BA$27:$BA$46,0),FALSE),0),0)</f>
        <v>0</v>
      </c>
      <c r="AW361" s="58">
        <f>IFERROR(IF($V361="BRAND.com",HLOOKUP($X361&amp;$Z361,PLANNING_FC!$BB$4:$BP$23,MATCH($W361,PLANNING_FC!$BA$4:$BA$23,0),FALSE),0),0)</f>
        <v>0</v>
      </c>
      <c r="AX361" s="58">
        <f>IFERROR(IF($V361="BRAND.com",HLOOKUP($X361&amp;$Z361,PLANNING_FC!$T$27:$AH$46,MATCH($W361,PLANNING_FC!$B$27:$B$46,0),FALSE),0),0)</f>
        <v>0</v>
      </c>
      <c r="AY361" s="58">
        <f>IFERROR(IF($V361="BRAND.com",HLOOKUP($X361&amp;$Z361,PLANNING_FC!$T$4:$AH$23,MATCH($W361,PLANNING_FC!$B$4:$B$23,0),FALSE),0),0)</f>
        <v>0</v>
      </c>
      <c r="AZ361" s="58">
        <f>IFERROR(IF($V361="BRAND.com",HLOOKUP($X361&amp;$Z361,PLANNING_FC!$DA$27:$DO$46,MATCH($W361,PLANNING_FC!$CZ$27:$CZ$46,0),FALSE),0),0)</f>
        <v>0</v>
      </c>
      <c r="BA361" s="58">
        <f>IFERROR(IF($V361="BRAND.com",HLOOKUP($X361&amp;$Z361,PLANNING_FC!$DA$4:$DO$23,MATCH($W361,PLANNING_FC!$CZ$4:$CZ$23,0),FALSE),0),0)</f>
        <v>0</v>
      </c>
      <c r="BB361" s="883" t="str">
        <f>IF(V361="BRAND.com",IFERROR(HLOOKUP(X361&amp;Z361,PLANNING_FC!$AK$4:$AY$23,MATCH(W361,PLANNING_FC!$AJ$4:$AJ$23,0),FALSE)*1000,""),"")</f>
        <v/>
      </c>
      <c r="BC361" s="883" t="str">
        <f>IF(V361="BRAND.com",IFERROR(HLOOKUP(X361&amp;Z361,PLANNING_FC!$AK$27:$AY$46,MATCH(W361,PLANNING_FC!$AJ$27:$AJ$46,0),FALSE)*1000,""),"")</f>
        <v/>
      </c>
    </row>
    <row r="362" spans="1:55" x14ac:dyDescent="0.25">
      <c r="A362" s="509"/>
      <c r="B362" s="509"/>
      <c r="C362" s="509"/>
      <c r="D362" s="509"/>
      <c r="E362" s="509"/>
      <c r="F362" s="509"/>
      <c r="G362" s="509"/>
      <c r="H362" s="509"/>
      <c r="I362" s="512"/>
      <c r="J362" s="513"/>
      <c r="K362" s="879"/>
      <c r="L362" s="515"/>
      <c r="M362" s="516"/>
      <c r="N362" s="56">
        <f t="shared" si="126"/>
        <v>0</v>
      </c>
      <c r="O362" s="57">
        <f t="shared" si="127"/>
        <v>0</v>
      </c>
      <c r="P362" s="57">
        <f ca="1">IFERROR(IF(ISBLANK(H362),SUMIFS($AC:$AC,$V:$V,V362,$W:$W,W362,$X:$X,X362,$Y:$Y,Y362)*J362/(1-J362)*VLOOKUP(_xlfn.CONCAT(C362,D362,E362,TIME!$M$12,Z362),HIS_SALES!$B$2:$W$4859,20,FALSE),AC362*J362/(1-J362)),0)</f>
        <v>0</v>
      </c>
      <c r="Q362" s="541" t="str">
        <f t="shared" si="128"/>
        <v/>
      </c>
      <c r="R362" s="346" t="str">
        <f t="shared" si="129"/>
        <v>00000</v>
      </c>
      <c r="S362" s="344">
        <f t="shared" si="130"/>
        <v>0</v>
      </c>
      <c r="T362" s="345" t="str">
        <f t="shared" si="143"/>
        <v>000</v>
      </c>
      <c r="U362" s="345">
        <f t="shared" si="131"/>
        <v>0</v>
      </c>
      <c r="V362" s="345">
        <f t="shared" si="132"/>
        <v>0</v>
      </c>
      <c r="W362" s="345">
        <f t="shared" si="133"/>
        <v>0</v>
      </c>
      <c r="X362" s="345">
        <f t="shared" si="134"/>
        <v>0</v>
      </c>
      <c r="Y362" s="345">
        <f t="shared" si="135"/>
        <v>0</v>
      </c>
      <c r="Z362" s="345">
        <f>IF(Q362&lt;&gt;"",VLOOKUP(Y362,TIME!$R$21:$V$24,MATCH(FC_DATA!Q362,TIME!$R$20:$V$20,0),FALSE),H362)</f>
        <v>0</v>
      </c>
      <c r="AA362" s="345" t="str">
        <f>IFERROR(VLOOKUP(X362&amp;Z362,TIME!$A$12:$D$71,4,FALSE),"")</f>
        <v/>
      </c>
      <c r="AB362" s="592">
        <f t="shared" ca="1" si="136"/>
        <v>0</v>
      </c>
      <c r="AC362" s="593" t="e">
        <f ca="1">IF(ISBLANK(H362)=FALSE,IF(D362="BRAND.com",I362,IF(ISNA(VLOOKUP(_xlfn.CONCAT(X362,Z362),TIME!$M$40:$M$42,1,FALSE)),I362,VLOOKUP(_xlfn.CONCAT(D362,G362,H362),M_BUSAREA_FC!$AF$5:$AJ$10,5,FALSE)*HLOOKUP(_xlfn.CONCAT(F362,H362),ST_OVERVIEW!$G$99:$I$130,MATCH(_xlfn.CONCAT(D362,E362),ST_OVERVIEW!$F$99:$F$130,0),FALSE))),IF(D362="BRAND.com",VLOOKUP(_xlfn.CONCAT(C362,D362,E362,TIME!$F$1,Z362),HIS_SALES!$B$2:$V$4859,19,FALSE)*I362,VLOOKUP(_xlfn.CONCAT(D362,F362,G362),Q_BUSAREA_FC!$AE$5:$AI$12,5,FALSE)*HLOOKUP(_xlfn.CONCAT(FC_DATA!F362,FC_DATA!G362),LT_OVERVIEW!$I$99:$M$130,MATCH(_xlfn.CONCAT(D362,FC_DATA!E362),LT_OVERVIEW!$H$99:$H$130,0),FALSE)*IFERROR(VLOOKUP(_xlfn.CONCAT(C362,D362,E362,TIME!$F$1,Z362),HIS_SALES!$B$2:$V$4859,19,FALSE),0)))</f>
        <v>#N/A</v>
      </c>
      <c r="AD362" s="341">
        <f t="shared" ca="1" si="137"/>
        <v>0</v>
      </c>
      <c r="AE362" s="363" t="str">
        <f t="shared" si="138"/>
        <v/>
      </c>
      <c r="AF362" s="342" t="str">
        <f t="shared" si="139"/>
        <v/>
      </c>
      <c r="AG362" s="411" t="e">
        <f ca="1">VLOOKUP(_xlfn.CONCAT(U362,V362,W362,VLOOKUP(X362&amp;Y362,TIME!$L$27:$O$34,4,FALSE),Y362),HIS_SALES!$A$2:$R$5093,18,FALSE)</f>
        <v>#N/A</v>
      </c>
      <c r="AH362" s="412" t="e">
        <f ca="1">IFERROR(IF(AND(V362=V361,W362=W361),0.5*(AB362+AB361)*AG362,(VLOOKUP(_xlfn.CONCAT(U362,V362,W362,X362,VLOOKUP(Z362,TIME!$S$28:$T$39,2,FALSE)),FC_DATA!$R$2:$AB$5000,MATCH("GS_I_M",FC_DATA!$R$1:$AB$1,0),FALSE)+FC_DATA!AB362)*0.5*FC_DATA!AG362),NA())</f>
        <v>#N/A</v>
      </c>
      <c r="AI362" s="491" t="e">
        <f ca="1">IF(V362="PARTNER.com",AH362,IF(AND(V362=V361,W362=W361),(1-AVERAGE(AD361,AD362))*AH362,(1-AVERAGE(AD362,VLOOKUP(_xlfn.CONCAT(U362,V362,W362,X362,M_BRAND_FC!$F$6),FC_DATA!$R$2:$AD$5000,MATCH("DISCOUNT_%_M",FC_DATA!$R$1:$AD$1,0),FALSE)))*AH362))</f>
        <v>#N/A</v>
      </c>
      <c r="AJ362" s="412" t="str">
        <f t="shared" ca="1" si="140"/>
        <v/>
      </c>
      <c r="AK362" s="413" t="str">
        <f>IFERROR(AE362/(Q_BRAND_FC!$T$24+1),"")</f>
        <v/>
      </c>
      <c r="AL362" s="88" t="str">
        <f t="shared" ca="1" si="141"/>
        <v/>
      </c>
      <c r="AM362" s="414" t="str">
        <f t="shared" ca="1" si="142"/>
        <v/>
      </c>
      <c r="AN362" s="58">
        <f>IFERROR(IF($V362="BRAND.com",HLOOKUP($X362&amp;$Z362,NWC_FC_NOOS!$C$4:$Q$23,MATCH(W362,NWC_FC_NOOS!$B$4:$B$23,0),FALSE),0),0)</f>
        <v>0</v>
      </c>
      <c r="AO362" s="57">
        <f>IFERROR(IF($V362="BRAND.com",HLOOKUP($X362&amp;$Z362,NWC_FC_NOOS!$T$4:$AH$23,MATCH(W362,NWC_FC_NOOS!$S$4:$S$23,0),FALSE),0),0)</f>
        <v>0</v>
      </c>
      <c r="AP362" s="57">
        <f>IFERROR(IF($V362="BRAND.com",HLOOKUP($X362&amp;$Z362,NWC_FC_NOOS!$C$50:$U$69,MATCH(W362,NWC_FC_NOOS!$B$50:$B$69,0),FALSE),0),0)</f>
        <v>0</v>
      </c>
      <c r="AQ362" s="58">
        <f>IFERROR(IF($V362="BRAND.com",HLOOKUP($X362&amp;$Z362,'NWC_FC_NON-NOOS'!$C$4:$Q$23,MATCH(W362,'NWC_FC_NON-NOOS'!$B$4:$B$23,0),FALSE),0),0)</f>
        <v>0</v>
      </c>
      <c r="AR362" s="57">
        <f>IFERROR(IF($V362="BRAND.com",HLOOKUP($X362&amp;$Z362,'NWC_FC_NON-NOOS'!$T$4:$AH$23,MATCH(W362,'NWC_FC_NON-NOOS'!$S$4:$S$23,0),FALSE),0),0)</f>
        <v>0</v>
      </c>
      <c r="AS362" s="57">
        <f>IFERROR(IF($V362="BRAND.com",HLOOKUP($X362&amp;$Z362,'NWC_FC_NON-NOOS'!$C$50:$U$69,MATCH(W362,'NWC_FC_NON-NOOS'!$B$50:$B$69,0),FALSE),0),0)</f>
        <v>0</v>
      </c>
      <c r="AT362" s="57">
        <f t="shared" si="144"/>
        <v>0</v>
      </c>
      <c r="AU362" s="57">
        <f t="shared" si="145"/>
        <v>0</v>
      </c>
      <c r="AV362" s="58">
        <f>IFERROR(IF($V362="BRAND.com",HLOOKUP($X362&amp;$Z362,PLANNING_FC!$BB$27:$BP$46,MATCH($W362,PLANNING_FC!$BA$27:$BA$46,0),FALSE),0),0)</f>
        <v>0</v>
      </c>
      <c r="AW362" s="58">
        <f>IFERROR(IF($V362="BRAND.com",HLOOKUP($X362&amp;$Z362,PLANNING_FC!$BB$4:$BP$23,MATCH($W362,PLANNING_FC!$BA$4:$BA$23,0),FALSE),0),0)</f>
        <v>0</v>
      </c>
      <c r="AX362" s="58">
        <f>IFERROR(IF($V362="BRAND.com",HLOOKUP($X362&amp;$Z362,PLANNING_FC!$T$27:$AH$46,MATCH($W362,PLANNING_FC!$B$27:$B$46,0),FALSE),0),0)</f>
        <v>0</v>
      </c>
      <c r="AY362" s="58">
        <f>IFERROR(IF($V362="BRAND.com",HLOOKUP($X362&amp;$Z362,PLANNING_FC!$T$4:$AH$23,MATCH($W362,PLANNING_FC!$B$4:$B$23,0),FALSE),0),0)</f>
        <v>0</v>
      </c>
      <c r="AZ362" s="58">
        <f>IFERROR(IF($V362="BRAND.com",HLOOKUP($X362&amp;$Z362,PLANNING_FC!$DA$27:$DO$46,MATCH($W362,PLANNING_FC!$CZ$27:$CZ$46,0),FALSE),0),0)</f>
        <v>0</v>
      </c>
      <c r="BA362" s="58">
        <f>IFERROR(IF($V362="BRAND.com",HLOOKUP($X362&amp;$Z362,PLANNING_FC!$DA$4:$DO$23,MATCH($W362,PLANNING_FC!$CZ$4:$CZ$23,0),FALSE),0),0)</f>
        <v>0</v>
      </c>
      <c r="BB362" s="883" t="str">
        <f>IF(V362="BRAND.com",IFERROR(HLOOKUP(X362&amp;Z362,PLANNING_FC!$AK$4:$AY$23,MATCH(W362,PLANNING_FC!$AJ$4:$AJ$23,0),FALSE)*1000,""),"")</f>
        <v/>
      </c>
      <c r="BC362" s="883" t="str">
        <f>IF(V362="BRAND.com",IFERROR(HLOOKUP(X362&amp;Z362,PLANNING_FC!$AK$27:$AY$46,MATCH(W362,PLANNING_FC!$AJ$27:$AJ$46,0),FALSE)*1000,""),"")</f>
        <v/>
      </c>
    </row>
    <row r="363" spans="1:55" x14ac:dyDescent="0.25">
      <c r="A363" s="509"/>
      <c r="B363" s="509"/>
      <c r="C363" s="509"/>
      <c r="D363" s="509"/>
      <c r="E363" s="509"/>
      <c r="F363" s="509"/>
      <c r="G363" s="509"/>
      <c r="H363" s="509"/>
      <c r="I363" s="512"/>
      <c r="J363" s="513"/>
      <c r="K363" s="879"/>
      <c r="L363" s="515"/>
      <c r="M363" s="516"/>
      <c r="N363" s="56">
        <f t="shared" si="126"/>
        <v>0</v>
      </c>
      <c r="O363" s="57">
        <f t="shared" si="127"/>
        <v>0</v>
      </c>
      <c r="P363" s="57">
        <f ca="1">IFERROR(IF(ISBLANK(H363),SUMIFS($AC:$AC,$V:$V,V363,$W:$W,W363,$X:$X,X363,$Y:$Y,Y363)*J363/(1-J363)*VLOOKUP(_xlfn.CONCAT(C363,D363,E363,TIME!$M$12,Z363),HIS_SALES!$B$2:$W$4859,20,FALSE),AC363*J363/(1-J363)),0)</f>
        <v>0</v>
      </c>
      <c r="Q363" s="541" t="str">
        <f t="shared" si="128"/>
        <v/>
      </c>
      <c r="R363" s="346" t="str">
        <f t="shared" si="129"/>
        <v>00000</v>
      </c>
      <c r="S363" s="344">
        <f t="shared" si="130"/>
        <v>0</v>
      </c>
      <c r="T363" s="345" t="str">
        <f t="shared" si="143"/>
        <v>000</v>
      </c>
      <c r="U363" s="345">
        <f t="shared" si="131"/>
        <v>0</v>
      </c>
      <c r="V363" s="345">
        <f t="shared" si="132"/>
        <v>0</v>
      </c>
      <c r="W363" s="345">
        <f t="shared" si="133"/>
        <v>0</v>
      </c>
      <c r="X363" s="345">
        <f t="shared" si="134"/>
        <v>0</v>
      </c>
      <c r="Y363" s="345">
        <f t="shared" si="135"/>
        <v>0</v>
      </c>
      <c r="Z363" s="345">
        <f>IF(Q363&lt;&gt;"",VLOOKUP(Y363,TIME!$R$21:$V$24,MATCH(FC_DATA!Q363,TIME!$R$20:$V$20,0),FALSE),H363)</f>
        <v>0</v>
      </c>
      <c r="AA363" s="345" t="str">
        <f>IFERROR(VLOOKUP(X363&amp;Z363,TIME!$A$12:$D$71,4,FALSE),"")</f>
        <v/>
      </c>
      <c r="AB363" s="592">
        <f t="shared" ca="1" si="136"/>
        <v>0</v>
      </c>
      <c r="AC363" s="593" t="e">
        <f ca="1">IF(ISBLANK(H363)=FALSE,IF(D363="BRAND.com",I363,IF(ISNA(VLOOKUP(_xlfn.CONCAT(X363,Z363),TIME!$M$40:$M$42,1,FALSE)),I363,VLOOKUP(_xlfn.CONCAT(D363,G363,H363),M_BUSAREA_FC!$AF$5:$AJ$10,5,FALSE)*HLOOKUP(_xlfn.CONCAT(F363,H363),ST_OVERVIEW!$G$99:$I$130,MATCH(_xlfn.CONCAT(D363,E363),ST_OVERVIEW!$F$99:$F$130,0),FALSE))),IF(D363="BRAND.com",VLOOKUP(_xlfn.CONCAT(C363,D363,E363,TIME!$F$1,Z363),HIS_SALES!$B$2:$V$4859,19,FALSE)*I363,VLOOKUP(_xlfn.CONCAT(D363,F363,G363),Q_BUSAREA_FC!$AE$5:$AI$12,5,FALSE)*HLOOKUP(_xlfn.CONCAT(FC_DATA!F363,FC_DATA!G363),LT_OVERVIEW!$I$99:$M$130,MATCH(_xlfn.CONCAT(D363,FC_DATA!E363),LT_OVERVIEW!$H$99:$H$130,0),FALSE)*IFERROR(VLOOKUP(_xlfn.CONCAT(C363,D363,E363,TIME!$F$1,Z363),HIS_SALES!$B$2:$V$4859,19,FALSE),0)))</f>
        <v>#N/A</v>
      </c>
      <c r="AD363" s="341">
        <f t="shared" ca="1" si="137"/>
        <v>0</v>
      </c>
      <c r="AE363" s="363" t="str">
        <f t="shared" si="138"/>
        <v/>
      </c>
      <c r="AF363" s="342" t="str">
        <f t="shared" si="139"/>
        <v/>
      </c>
      <c r="AG363" s="411" t="e">
        <f ca="1">VLOOKUP(_xlfn.CONCAT(U363,V363,W363,VLOOKUP(X363&amp;Y363,TIME!$L$27:$O$34,4,FALSE),Y363),HIS_SALES!$A$2:$R$5093,18,FALSE)</f>
        <v>#N/A</v>
      </c>
      <c r="AH363" s="412" t="e">
        <f ca="1">IFERROR(IF(AND(V363=V362,W363=W362),0.5*(AB363+AB362)*AG363,(VLOOKUP(_xlfn.CONCAT(U363,V363,W363,X363,VLOOKUP(Z363,TIME!$S$28:$T$39,2,FALSE)),FC_DATA!$R$2:$AB$5000,MATCH("GS_I_M",FC_DATA!$R$1:$AB$1,0),FALSE)+FC_DATA!AB363)*0.5*FC_DATA!AG363),NA())</f>
        <v>#N/A</v>
      </c>
      <c r="AI363" s="491" t="e">
        <f ca="1">IF(V363="PARTNER.com",AH363,IF(AND(V363=V362,W363=W362),(1-AVERAGE(AD362,AD363))*AH363,(1-AVERAGE(AD363,VLOOKUP(_xlfn.CONCAT(U363,V363,W363,X363,M_BRAND_FC!$F$6),FC_DATA!$R$2:$AD$5000,MATCH("DISCOUNT_%_M",FC_DATA!$R$1:$AD$1,0),FALSE)))*AH363))</f>
        <v>#N/A</v>
      </c>
      <c r="AJ363" s="412" t="str">
        <f t="shared" ca="1" si="140"/>
        <v/>
      </c>
      <c r="AK363" s="413" t="str">
        <f>IFERROR(AE363/(Q_BRAND_FC!$T$24+1),"")</f>
        <v/>
      </c>
      <c r="AL363" s="88" t="str">
        <f t="shared" ca="1" si="141"/>
        <v/>
      </c>
      <c r="AM363" s="414" t="str">
        <f t="shared" ca="1" si="142"/>
        <v/>
      </c>
      <c r="AN363" s="58">
        <f>IFERROR(IF($V363="BRAND.com",HLOOKUP($X363&amp;$Z363,NWC_FC_NOOS!$C$4:$Q$23,MATCH(W363,NWC_FC_NOOS!$B$4:$B$23,0),FALSE),0),0)</f>
        <v>0</v>
      </c>
      <c r="AO363" s="57">
        <f>IFERROR(IF($V363="BRAND.com",HLOOKUP($X363&amp;$Z363,NWC_FC_NOOS!$T$4:$AH$23,MATCH(W363,NWC_FC_NOOS!$S$4:$S$23,0),FALSE),0),0)</f>
        <v>0</v>
      </c>
      <c r="AP363" s="57">
        <f>IFERROR(IF($V363="BRAND.com",HLOOKUP($X363&amp;$Z363,NWC_FC_NOOS!$C$50:$U$69,MATCH(W363,NWC_FC_NOOS!$B$50:$B$69,0),FALSE),0),0)</f>
        <v>0</v>
      </c>
      <c r="AQ363" s="58">
        <f>IFERROR(IF($V363="BRAND.com",HLOOKUP($X363&amp;$Z363,'NWC_FC_NON-NOOS'!$C$4:$Q$23,MATCH(W363,'NWC_FC_NON-NOOS'!$B$4:$B$23,0),FALSE),0),0)</f>
        <v>0</v>
      </c>
      <c r="AR363" s="57">
        <f>IFERROR(IF($V363="BRAND.com",HLOOKUP($X363&amp;$Z363,'NWC_FC_NON-NOOS'!$T$4:$AH$23,MATCH(W363,'NWC_FC_NON-NOOS'!$S$4:$S$23,0),FALSE),0),0)</f>
        <v>0</v>
      </c>
      <c r="AS363" s="57">
        <f>IFERROR(IF($V363="BRAND.com",HLOOKUP($X363&amp;$Z363,'NWC_FC_NON-NOOS'!$C$50:$U$69,MATCH(W363,'NWC_FC_NON-NOOS'!$B$50:$B$69,0),FALSE),0),0)</f>
        <v>0</v>
      </c>
      <c r="AT363" s="57">
        <f t="shared" si="144"/>
        <v>0</v>
      </c>
      <c r="AU363" s="57">
        <f t="shared" si="145"/>
        <v>0</v>
      </c>
      <c r="AV363" s="58">
        <f>IFERROR(IF($V363="BRAND.com",HLOOKUP($X363&amp;$Z363,PLANNING_FC!$BB$27:$BP$46,MATCH($W363,PLANNING_FC!$BA$27:$BA$46,0),FALSE),0),0)</f>
        <v>0</v>
      </c>
      <c r="AW363" s="58">
        <f>IFERROR(IF($V363="BRAND.com",HLOOKUP($X363&amp;$Z363,PLANNING_FC!$BB$4:$BP$23,MATCH($W363,PLANNING_FC!$BA$4:$BA$23,0),FALSE),0),0)</f>
        <v>0</v>
      </c>
      <c r="AX363" s="58">
        <f>IFERROR(IF($V363="BRAND.com",HLOOKUP($X363&amp;$Z363,PLANNING_FC!$T$27:$AH$46,MATCH($W363,PLANNING_FC!$B$27:$B$46,0),FALSE),0),0)</f>
        <v>0</v>
      </c>
      <c r="AY363" s="58">
        <f>IFERROR(IF($V363="BRAND.com",HLOOKUP($X363&amp;$Z363,PLANNING_FC!$T$4:$AH$23,MATCH($W363,PLANNING_FC!$B$4:$B$23,0),FALSE),0),0)</f>
        <v>0</v>
      </c>
      <c r="AZ363" s="58">
        <f>IFERROR(IF($V363="BRAND.com",HLOOKUP($X363&amp;$Z363,PLANNING_FC!$DA$27:$DO$46,MATCH($W363,PLANNING_FC!$CZ$27:$CZ$46,0),FALSE),0),0)</f>
        <v>0</v>
      </c>
      <c r="BA363" s="58">
        <f>IFERROR(IF($V363="BRAND.com",HLOOKUP($X363&amp;$Z363,PLANNING_FC!$DA$4:$DO$23,MATCH($W363,PLANNING_FC!$CZ$4:$CZ$23,0),FALSE),0),0)</f>
        <v>0</v>
      </c>
      <c r="BB363" s="883" t="str">
        <f>IF(V363="BRAND.com",IFERROR(HLOOKUP(X363&amp;Z363,PLANNING_FC!$AK$4:$AY$23,MATCH(W363,PLANNING_FC!$AJ$4:$AJ$23,0),FALSE)*1000,""),"")</f>
        <v/>
      </c>
      <c r="BC363" s="883" t="str">
        <f>IF(V363="BRAND.com",IFERROR(HLOOKUP(X363&amp;Z363,PLANNING_FC!$AK$27:$AY$46,MATCH(W363,PLANNING_FC!$AJ$27:$AJ$46,0),FALSE)*1000,""),"")</f>
        <v/>
      </c>
    </row>
    <row r="364" spans="1:55" x14ac:dyDescent="0.25">
      <c r="A364" s="509"/>
      <c r="B364" s="509"/>
      <c r="C364" s="509"/>
      <c r="D364" s="509"/>
      <c r="E364" s="509"/>
      <c r="F364" s="509"/>
      <c r="G364" s="509"/>
      <c r="H364" s="509"/>
      <c r="I364" s="512"/>
      <c r="J364" s="513"/>
      <c r="K364" s="879"/>
      <c r="L364" s="515"/>
      <c r="M364" s="516"/>
      <c r="N364" s="56">
        <f t="shared" si="126"/>
        <v>0</v>
      </c>
      <c r="O364" s="57">
        <f t="shared" si="127"/>
        <v>0</v>
      </c>
      <c r="P364" s="57">
        <f ca="1">IFERROR(IF(ISBLANK(H364),SUMIFS($AC:$AC,$V:$V,V364,$W:$W,W364,$X:$X,X364,$Y:$Y,Y364)*J364/(1-J364)*VLOOKUP(_xlfn.CONCAT(C364,D364,E364,TIME!$M$12,Z364),HIS_SALES!$B$2:$W$4859,20,FALSE),AC364*J364/(1-J364)),0)</f>
        <v>0</v>
      </c>
      <c r="Q364" s="541" t="str">
        <f t="shared" si="128"/>
        <v/>
      </c>
      <c r="R364" s="346" t="str">
        <f t="shared" si="129"/>
        <v>00000</v>
      </c>
      <c r="S364" s="344">
        <f t="shared" si="130"/>
        <v>0</v>
      </c>
      <c r="T364" s="345" t="str">
        <f t="shared" si="143"/>
        <v>000</v>
      </c>
      <c r="U364" s="345">
        <f t="shared" si="131"/>
        <v>0</v>
      </c>
      <c r="V364" s="345">
        <f t="shared" si="132"/>
        <v>0</v>
      </c>
      <c r="W364" s="345">
        <f t="shared" si="133"/>
        <v>0</v>
      </c>
      <c r="X364" s="345">
        <f t="shared" si="134"/>
        <v>0</v>
      </c>
      <c r="Y364" s="345">
        <f t="shared" si="135"/>
        <v>0</v>
      </c>
      <c r="Z364" s="345">
        <f>IF(Q364&lt;&gt;"",VLOOKUP(Y364,TIME!$R$21:$V$24,MATCH(FC_DATA!Q364,TIME!$R$20:$V$20,0),FALSE),H364)</f>
        <v>0</v>
      </c>
      <c r="AA364" s="345" t="str">
        <f>IFERROR(VLOOKUP(X364&amp;Z364,TIME!$A$12:$D$71,4,FALSE),"")</f>
        <v/>
      </c>
      <c r="AB364" s="592">
        <f t="shared" ca="1" si="136"/>
        <v>0</v>
      </c>
      <c r="AC364" s="593" t="e">
        <f ca="1">IF(ISBLANK(H364)=FALSE,IF(D364="BRAND.com",I364,IF(ISNA(VLOOKUP(_xlfn.CONCAT(X364,Z364),TIME!$M$40:$M$42,1,FALSE)),I364,VLOOKUP(_xlfn.CONCAT(D364,G364,H364),M_BUSAREA_FC!$AF$5:$AJ$10,5,FALSE)*HLOOKUP(_xlfn.CONCAT(F364,H364),ST_OVERVIEW!$G$99:$I$130,MATCH(_xlfn.CONCAT(D364,E364),ST_OVERVIEW!$F$99:$F$130,0),FALSE))),IF(D364="BRAND.com",VLOOKUP(_xlfn.CONCAT(C364,D364,E364,TIME!$F$1,Z364),HIS_SALES!$B$2:$V$4859,19,FALSE)*I364,VLOOKUP(_xlfn.CONCAT(D364,F364,G364),Q_BUSAREA_FC!$AE$5:$AI$12,5,FALSE)*HLOOKUP(_xlfn.CONCAT(FC_DATA!F364,FC_DATA!G364),LT_OVERVIEW!$I$99:$M$130,MATCH(_xlfn.CONCAT(D364,FC_DATA!E364),LT_OVERVIEW!$H$99:$H$130,0),FALSE)*IFERROR(VLOOKUP(_xlfn.CONCAT(C364,D364,E364,TIME!$F$1,Z364),HIS_SALES!$B$2:$V$4859,19,FALSE),0)))</f>
        <v>#N/A</v>
      </c>
      <c r="AD364" s="341">
        <f t="shared" ca="1" si="137"/>
        <v>0</v>
      </c>
      <c r="AE364" s="363" t="str">
        <f t="shared" si="138"/>
        <v/>
      </c>
      <c r="AF364" s="342" t="str">
        <f t="shared" si="139"/>
        <v/>
      </c>
      <c r="AG364" s="411" t="e">
        <f ca="1">VLOOKUP(_xlfn.CONCAT(U364,V364,W364,VLOOKUP(X364&amp;Y364,TIME!$L$27:$O$34,4,FALSE),Y364),HIS_SALES!$A$2:$R$5093,18,FALSE)</f>
        <v>#N/A</v>
      </c>
      <c r="AH364" s="412" t="e">
        <f ca="1">IFERROR(IF(AND(V364=V363,W364=W363),0.5*(AB364+AB363)*AG364,(VLOOKUP(_xlfn.CONCAT(U364,V364,W364,X364,VLOOKUP(Z364,TIME!$S$28:$T$39,2,FALSE)),FC_DATA!$R$2:$AB$5000,MATCH("GS_I_M",FC_DATA!$R$1:$AB$1,0),FALSE)+FC_DATA!AB364)*0.5*FC_DATA!AG364),NA())</f>
        <v>#N/A</v>
      </c>
      <c r="AI364" s="491" t="e">
        <f ca="1">IF(V364="PARTNER.com",AH364,IF(AND(V364=V363,W364=W363),(1-AVERAGE(AD363,AD364))*AH364,(1-AVERAGE(AD364,VLOOKUP(_xlfn.CONCAT(U364,V364,W364,X364,M_BRAND_FC!$F$6),FC_DATA!$R$2:$AD$5000,MATCH("DISCOUNT_%_M",FC_DATA!$R$1:$AD$1,0),FALSE)))*AH364))</f>
        <v>#N/A</v>
      </c>
      <c r="AJ364" s="412" t="str">
        <f t="shared" ca="1" si="140"/>
        <v/>
      </c>
      <c r="AK364" s="413" t="str">
        <f>IFERROR(AE364/(Q_BRAND_FC!$T$24+1),"")</f>
        <v/>
      </c>
      <c r="AL364" s="88" t="str">
        <f t="shared" ca="1" si="141"/>
        <v/>
      </c>
      <c r="AM364" s="414" t="str">
        <f t="shared" ca="1" si="142"/>
        <v/>
      </c>
      <c r="AN364" s="58">
        <f>IFERROR(IF($V364="BRAND.com",HLOOKUP($X364&amp;$Z364,NWC_FC_NOOS!$C$4:$Q$23,MATCH(W364,NWC_FC_NOOS!$B$4:$B$23,0),FALSE),0),0)</f>
        <v>0</v>
      </c>
      <c r="AO364" s="57">
        <f>IFERROR(IF($V364="BRAND.com",HLOOKUP($X364&amp;$Z364,NWC_FC_NOOS!$T$4:$AH$23,MATCH(W364,NWC_FC_NOOS!$S$4:$S$23,0),FALSE),0),0)</f>
        <v>0</v>
      </c>
      <c r="AP364" s="57">
        <f>IFERROR(IF($V364="BRAND.com",HLOOKUP($X364&amp;$Z364,NWC_FC_NOOS!$C$50:$U$69,MATCH(W364,NWC_FC_NOOS!$B$50:$B$69,0),FALSE),0),0)</f>
        <v>0</v>
      </c>
      <c r="AQ364" s="58">
        <f>IFERROR(IF($V364="BRAND.com",HLOOKUP($X364&amp;$Z364,'NWC_FC_NON-NOOS'!$C$4:$Q$23,MATCH(W364,'NWC_FC_NON-NOOS'!$B$4:$B$23,0),FALSE),0),0)</f>
        <v>0</v>
      </c>
      <c r="AR364" s="57">
        <f>IFERROR(IF($V364="BRAND.com",HLOOKUP($X364&amp;$Z364,'NWC_FC_NON-NOOS'!$T$4:$AH$23,MATCH(W364,'NWC_FC_NON-NOOS'!$S$4:$S$23,0),FALSE),0),0)</f>
        <v>0</v>
      </c>
      <c r="AS364" s="57">
        <f>IFERROR(IF($V364="BRAND.com",HLOOKUP($X364&amp;$Z364,'NWC_FC_NON-NOOS'!$C$50:$U$69,MATCH(W364,'NWC_FC_NON-NOOS'!$B$50:$B$69,0),FALSE),0),0)</f>
        <v>0</v>
      </c>
      <c r="AT364" s="57">
        <f t="shared" si="144"/>
        <v>0</v>
      </c>
      <c r="AU364" s="57">
        <f t="shared" si="145"/>
        <v>0</v>
      </c>
      <c r="AV364" s="58">
        <f>IFERROR(IF($V364="BRAND.com",HLOOKUP($X364&amp;$Z364,PLANNING_FC!$BB$27:$BP$46,MATCH($W364,PLANNING_FC!$BA$27:$BA$46,0),FALSE),0),0)</f>
        <v>0</v>
      </c>
      <c r="AW364" s="58">
        <f>IFERROR(IF($V364="BRAND.com",HLOOKUP($X364&amp;$Z364,PLANNING_FC!$BB$4:$BP$23,MATCH($W364,PLANNING_FC!$BA$4:$BA$23,0),FALSE),0),0)</f>
        <v>0</v>
      </c>
      <c r="AX364" s="58">
        <f>IFERROR(IF($V364="BRAND.com",HLOOKUP($X364&amp;$Z364,PLANNING_FC!$T$27:$AH$46,MATCH($W364,PLANNING_FC!$B$27:$B$46,0),FALSE),0),0)</f>
        <v>0</v>
      </c>
      <c r="AY364" s="58">
        <f>IFERROR(IF($V364="BRAND.com",HLOOKUP($X364&amp;$Z364,PLANNING_FC!$T$4:$AH$23,MATCH($W364,PLANNING_FC!$B$4:$B$23,0),FALSE),0),0)</f>
        <v>0</v>
      </c>
      <c r="AZ364" s="58">
        <f>IFERROR(IF($V364="BRAND.com",HLOOKUP($X364&amp;$Z364,PLANNING_FC!$DA$27:$DO$46,MATCH($W364,PLANNING_FC!$CZ$27:$CZ$46,0),FALSE),0),0)</f>
        <v>0</v>
      </c>
      <c r="BA364" s="58">
        <f>IFERROR(IF($V364="BRAND.com",HLOOKUP($X364&amp;$Z364,PLANNING_FC!$DA$4:$DO$23,MATCH($W364,PLANNING_FC!$CZ$4:$CZ$23,0),FALSE),0),0)</f>
        <v>0</v>
      </c>
      <c r="BB364" s="883" t="str">
        <f>IF(V364="BRAND.com",IFERROR(HLOOKUP(X364&amp;Z364,PLANNING_FC!$AK$4:$AY$23,MATCH(W364,PLANNING_FC!$AJ$4:$AJ$23,0),FALSE)*1000,""),"")</f>
        <v/>
      </c>
      <c r="BC364" s="883" t="str">
        <f>IF(V364="BRAND.com",IFERROR(HLOOKUP(X364&amp;Z364,PLANNING_FC!$AK$27:$AY$46,MATCH(W364,PLANNING_FC!$AJ$27:$AJ$46,0),FALSE)*1000,""),"")</f>
        <v/>
      </c>
    </row>
    <row r="365" spans="1:55" x14ac:dyDescent="0.25">
      <c r="A365" s="509"/>
      <c r="B365" s="509"/>
      <c r="C365" s="509"/>
      <c r="D365" s="509"/>
      <c r="E365" s="509"/>
      <c r="F365" s="509"/>
      <c r="G365" s="509"/>
      <c r="H365" s="509"/>
      <c r="I365" s="512"/>
      <c r="J365" s="513"/>
      <c r="K365" s="879"/>
      <c r="L365" s="515"/>
      <c r="M365" s="516"/>
      <c r="N365" s="56">
        <f t="shared" si="126"/>
        <v>0</v>
      </c>
      <c r="O365" s="57">
        <f t="shared" si="127"/>
        <v>0</v>
      </c>
      <c r="P365" s="57">
        <f ca="1">IFERROR(IF(ISBLANK(H365),SUMIFS($AC:$AC,$V:$V,V365,$W:$W,W365,$X:$X,X365,$Y:$Y,Y365)*J365/(1-J365)*VLOOKUP(_xlfn.CONCAT(C365,D365,E365,TIME!$M$12,Z365),HIS_SALES!$B$2:$W$4859,20,FALSE),AC365*J365/(1-J365)),0)</f>
        <v>0</v>
      </c>
      <c r="Q365" s="541" t="str">
        <f t="shared" si="128"/>
        <v/>
      </c>
      <c r="R365" s="346" t="str">
        <f t="shared" si="129"/>
        <v>00000</v>
      </c>
      <c r="S365" s="344">
        <f t="shared" si="130"/>
        <v>0</v>
      </c>
      <c r="T365" s="345" t="str">
        <f t="shared" si="143"/>
        <v>000</v>
      </c>
      <c r="U365" s="345">
        <f t="shared" si="131"/>
        <v>0</v>
      </c>
      <c r="V365" s="345">
        <f t="shared" si="132"/>
        <v>0</v>
      </c>
      <c r="W365" s="345">
        <f t="shared" si="133"/>
        <v>0</v>
      </c>
      <c r="X365" s="345">
        <f t="shared" si="134"/>
        <v>0</v>
      </c>
      <c r="Y365" s="345">
        <f t="shared" si="135"/>
        <v>0</v>
      </c>
      <c r="Z365" s="345">
        <f>IF(Q365&lt;&gt;"",VLOOKUP(Y365,TIME!$R$21:$V$24,MATCH(FC_DATA!Q365,TIME!$R$20:$V$20,0),FALSE),H365)</f>
        <v>0</v>
      </c>
      <c r="AA365" s="345" t="str">
        <f>IFERROR(VLOOKUP(X365&amp;Z365,TIME!$A$12:$D$71,4,FALSE),"")</f>
        <v/>
      </c>
      <c r="AB365" s="592">
        <f t="shared" ca="1" si="136"/>
        <v>0</v>
      </c>
      <c r="AC365" s="593" t="e">
        <f ca="1">IF(ISBLANK(H365)=FALSE,IF(D365="BRAND.com",I365,IF(ISNA(VLOOKUP(_xlfn.CONCAT(X365,Z365),TIME!$M$40:$M$42,1,FALSE)),I365,VLOOKUP(_xlfn.CONCAT(D365,G365,H365),M_BUSAREA_FC!$AF$5:$AJ$10,5,FALSE)*HLOOKUP(_xlfn.CONCAT(F365,H365),ST_OVERVIEW!$G$99:$I$130,MATCH(_xlfn.CONCAT(D365,E365),ST_OVERVIEW!$F$99:$F$130,0),FALSE))),IF(D365="BRAND.com",VLOOKUP(_xlfn.CONCAT(C365,D365,E365,TIME!$F$1,Z365),HIS_SALES!$B$2:$V$4859,19,FALSE)*I365,VLOOKUP(_xlfn.CONCAT(D365,F365,G365),Q_BUSAREA_FC!$AE$5:$AI$12,5,FALSE)*HLOOKUP(_xlfn.CONCAT(FC_DATA!F365,FC_DATA!G365),LT_OVERVIEW!$I$99:$M$130,MATCH(_xlfn.CONCAT(D365,FC_DATA!E365),LT_OVERVIEW!$H$99:$H$130,0),FALSE)*IFERROR(VLOOKUP(_xlfn.CONCAT(C365,D365,E365,TIME!$F$1,Z365),HIS_SALES!$B$2:$V$4859,19,FALSE),0)))</f>
        <v>#N/A</v>
      </c>
      <c r="AD365" s="341">
        <f t="shared" ca="1" si="137"/>
        <v>0</v>
      </c>
      <c r="AE365" s="363" t="str">
        <f t="shared" si="138"/>
        <v/>
      </c>
      <c r="AF365" s="342" t="str">
        <f t="shared" si="139"/>
        <v/>
      </c>
      <c r="AG365" s="411" t="e">
        <f ca="1">VLOOKUP(_xlfn.CONCAT(U365,V365,W365,VLOOKUP(X365&amp;Y365,TIME!$L$27:$O$34,4,FALSE),Y365),HIS_SALES!$A$2:$R$5093,18,FALSE)</f>
        <v>#N/A</v>
      </c>
      <c r="AH365" s="412" t="e">
        <f ca="1">IFERROR(IF(AND(V365=V364,W365=W364),0.5*(AB365+AB364)*AG365,(VLOOKUP(_xlfn.CONCAT(U365,V365,W365,X365,VLOOKUP(Z365,TIME!$S$28:$T$39,2,FALSE)),FC_DATA!$R$2:$AB$5000,MATCH("GS_I_M",FC_DATA!$R$1:$AB$1,0),FALSE)+FC_DATA!AB365)*0.5*FC_DATA!AG365),NA())</f>
        <v>#N/A</v>
      </c>
      <c r="AI365" s="491" t="e">
        <f ca="1">IF(V365="PARTNER.com",AH365,IF(AND(V365=V364,W365=W364),(1-AVERAGE(AD364,AD365))*AH365,(1-AVERAGE(AD365,VLOOKUP(_xlfn.CONCAT(U365,V365,W365,X365,M_BRAND_FC!$F$6),FC_DATA!$R$2:$AD$5000,MATCH("DISCOUNT_%_M",FC_DATA!$R$1:$AD$1,0),FALSE)))*AH365))</f>
        <v>#N/A</v>
      </c>
      <c r="AJ365" s="412" t="str">
        <f t="shared" ca="1" si="140"/>
        <v/>
      </c>
      <c r="AK365" s="413" t="str">
        <f>IFERROR(AE365/(Q_BRAND_FC!$T$24+1),"")</f>
        <v/>
      </c>
      <c r="AL365" s="88" t="str">
        <f t="shared" ca="1" si="141"/>
        <v/>
      </c>
      <c r="AM365" s="414" t="str">
        <f t="shared" ca="1" si="142"/>
        <v/>
      </c>
      <c r="AN365" s="58">
        <f>IFERROR(IF($V365="BRAND.com",HLOOKUP($X365&amp;$Z365,NWC_FC_NOOS!$C$4:$Q$23,MATCH(W365,NWC_FC_NOOS!$B$4:$B$23,0),FALSE),0),0)</f>
        <v>0</v>
      </c>
      <c r="AO365" s="57">
        <f>IFERROR(IF($V365="BRAND.com",HLOOKUP($X365&amp;$Z365,NWC_FC_NOOS!$T$4:$AH$23,MATCH(W365,NWC_FC_NOOS!$S$4:$S$23,0),FALSE),0),0)</f>
        <v>0</v>
      </c>
      <c r="AP365" s="57">
        <f>IFERROR(IF($V365="BRAND.com",HLOOKUP($X365&amp;$Z365,NWC_FC_NOOS!$C$50:$U$69,MATCH(W365,NWC_FC_NOOS!$B$50:$B$69,0),FALSE),0),0)</f>
        <v>0</v>
      </c>
      <c r="AQ365" s="58">
        <f>IFERROR(IF($V365="BRAND.com",HLOOKUP($X365&amp;$Z365,'NWC_FC_NON-NOOS'!$C$4:$Q$23,MATCH(W365,'NWC_FC_NON-NOOS'!$B$4:$B$23,0),FALSE),0),0)</f>
        <v>0</v>
      </c>
      <c r="AR365" s="57">
        <f>IFERROR(IF($V365="BRAND.com",HLOOKUP($X365&amp;$Z365,'NWC_FC_NON-NOOS'!$T$4:$AH$23,MATCH(W365,'NWC_FC_NON-NOOS'!$S$4:$S$23,0),FALSE),0),0)</f>
        <v>0</v>
      </c>
      <c r="AS365" s="57">
        <f>IFERROR(IF($V365="BRAND.com",HLOOKUP($X365&amp;$Z365,'NWC_FC_NON-NOOS'!$C$50:$U$69,MATCH(W365,'NWC_FC_NON-NOOS'!$B$50:$B$69,0),FALSE),0),0)</f>
        <v>0</v>
      </c>
      <c r="AT365" s="57">
        <f t="shared" si="144"/>
        <v>0</v>
      </c>
      <c r="AU365" s="57">
        <f t="shared" si="145"/>
        <v>0</v>
      </c>
      <c r="AV365" s="58">
        <f>IFERROR(IF($V365="BRAND.com",HLOOKUP($X365&amp;$Z365,PLANNING_FC!$BB$27:$BP$46,MATCH($W365,PLANNING_FC!$BA$27:$BA$46,0),FALSE),0),0)</f>
        <v>0</v>
      </c>
      <c r="AW365" s="58">
        <f>IFERROR(IF($V365="BRAND.com",HLOOKUP($X365&amp;$Z365,PLANNING_FC!$BB$4:$BP$23,MATCH($W365,PLANNING_FC!$BA$4:$BA$23,0),FALSE),0),0)</f>
        <v>0</v>
      </c>
      <c r="AX365" s="58">
        <f>IFERROR(IF($V365="BRAND.com",HLOOKUP($X365&amp;$Z365,PLANNING_FC!$T$27:$AH$46,MATCH($W365,PLANNING_FC!$B$27:$B$46,0),FALSE),0),0)</f>
        <v>0</v>
      </c>
      <c r="AY365" s="58">
        <f>IFERROR(IF($V365="BRAND.com",HLOOKUP($X365&amp;$Z365,PLANNING_FC!$T$4:$AH$23,MATCH($W365,PLANNING_FC!$B$4:$B$23,0),FALSE),0),0)</f>
        <v>0</v>
      </c>
      <c r="AZ365" s="58">
        <f>IFERROR(IF($V365="BRAND.com",HLOOKUP($X365&amp;$Z365,PLANNING_FC!$DA$27:$DO$46,MATCH($W365,PLANNING_FC!$CZ$27:$CZ$46,0),FALSE),0),0)</f>
        <v>0</v>
      </c>
      <c r="BA365" s="58">
        <f>IFERROR(IF($V365="BRAND.com",HLOOKUP($X365&amp;$Z365,PLANNING_FC!$DA$4:$DO$23,MATCH($W365,PLANNING_FC!$CZ$4:$CZ$23,0),FALSE),0),0)</f>
        <v>0</v>
      </c>
      <c r="BB365" s="883" t="str">
        <f>IF(V365="BRAND.com",IFERROR(HLOOKUP(X365&amp;Z365,PLANNING_FC!$AK$4:$AY$23,MATCH(W365,PLANNING_FC!$AJ$4:$AJ$23,0),FALSE)*1000,""),"")</f>
        <v/>
      </c>
      <c r="BC365" s="883" t="str">
        <f>IF(V365="BRAND.com",IFERROR(HLOOKUP(X365&amp;Z365,PLANNING_FC!$AK$27:$AY$46,MATCH(W365,PLANNING_FC!$AJ$27:$AJ$46,0),FALSE)*1000,""),"")</f>
        <v/>
      </c>
    </row>
    <row r="366" spans="1:55" x14ac:dyDescent="0.25">
      <c r="A366" s="509"/>
      <c r="B366" s="509"/>
      <c r="C366" s="509"/>
      <c r="D366" s="509"/>
      <c r="E366" s="509"/>
      <c r="F366" s="509"/>
      <c r="G366" s="509"/>
      <c r="H366" s="509"/>
      <c r="I366" s="512"/>
      <c r="J366" s="513"/>
      <c r="K366" s="879"/>
      <c r="L366" s="515"/>
      <c r="M366" s="516"/>
      <c r="N366" s="56">
        <f t="shared" si="126"/>
        <v>0</v>
      </c>
      <c r="O366" s="57">
        <f t="shared" si="127"/>
        <v>0</v>
      </c>
      <c r="P366" s="57">
        <f ca="1">IFERROR(IF(ISBLANK(H366),SUMIFS($AC:$AC,$V:$V,V366,$W:$W,W366,$X:$X,X366,$Y:$Y,Y366)*J366/(1-J366)*VLOOKUP(_xlfn.CONCAT(C366,D366,E366,TIME!$M$12,Z366),HIS_SALES!$B$2:$W$4859,20,FALSE),AC366*J366/(1-J366)),0)</f>
        <v>0</v>
      </c>
      <c r="Q366" s="541" t="str">
        <f t="shared" si="128"/>
        <v/>
      </c>
      <c r="R366" s="346" t="str">
        <f t="shared" si="129"/>
        <v>00000</v>
      </c>
      <c r="S366" s="344">
        <f t="shared" si="130"/>
        <v>0</v>
      </c>
      <c r="T366" s="345" t="str">
        <f t="shared" si="143"/>
        <v>000</v>
      </c>
      <c r="U366" s="345">
        <f t="shared" si="131"/>
        <v>0</v>
      </c>
      <c r="V366" s="345">
        <f t="shared" si="132"/>
        <v>0</v>
      </c>
      <c r="W366" s="345">
        <f t="shared" si="133"/>
        <v>0</v>
      </c>
      <c r="X366" s="345">
        <f t="shared" si="134"/>
        <v>0</v>
      </c>
      <c r="Y366" s="345">
        <f t="shared" si="135"/>
        <v>0</v>
      </c>
      <c r="Z366" s="345">
        <f>IF(Q366&lt;&gt;"",VLOOKUP(Y366,TIME!$R$21:$V$24,MATCH(FC_DATA!Q366,TIME!$R$20:$V$20,0),FALSE),H366)</f>
        <v>0</v>
      </c>
      <c r="AA366" s="345" t="str">
        <f>IFERROR(VLOOKUP(X366&amp;Z366,TIME!$A$12:$D$71,4,FALSE),"")</f>
        <v/>
      </c>
      <c r="AB366" s="592">
        <f t="shared" ca="1" si="136"/>
        <v>0</v>
      </c>
      <c r="AC366" s="593" t="e">
        <f ca="1">IF(ISBLANK(H366)=FALSE,IF(D366="BRAND.com",I366,IF(ISNA(VLOOKUP(_xlfn.CONCAT(X366,Z366),TIME!$M$40:$M$42,1,FALSE)),I366,VLOOKUP(_xlfn.CONCAT(D366,G366,H366),M_BUSAREA_FC!$AF$5:$AJ$10,5,FALSE)*HLOOKUP(_xlfn.CONCAT(F366,H366),ST_OVERVIEW!$G$99:$I$130,MATCH(_xlfn.CONCAT(D366,E366),ST_OVERVIEW!$F$99:$F$130,0),FALSE))),IF(D366="BRAND.com",VLOOKUP(_xlfn.CONCAT(C366,D366,E366,TIME!$F$1,Z366),HIS_SALES!$B$2:$V$4859,19,FALSE)*I366,VLOOKUP(_xlfn.CONCAT(D366,F366,G366),Q_BUSAREA_FC!$AE$5:$AI$12,5,FALSE)*HLOOKUP(_xlfn.CONCAT(FC_DATA!F366,FC_DATA!G366),LT_OVERVIEW!$I$99:$M$130,MATCH(_xlfn.CONCAT(D366,FC_DATA!E366),LT_OVERVIEW!$H$99:$H$130,0),FALSE)*IFERROR(VLOOKUP(_xlfn.CONCAT(C366,D366,E366,TIME!$F$1,Z366),HIS_SALES!$B$2:$V$4859,19,FALSE),0)))</f>
        <v>#N/A</v>
      </c>
      <c r="AD366" s="341">
        <f t="shared" ca="1" si="137"/>
        <v>0</v>
      </c>
      <c r="AE366" s="363" t="str">
        <f t="shared" si="138"/>
        <v/>
      </c>
      <c r="AF366" s="342" t="str">
        <f t="shared" si="139"/>
        <v/>
      </c>
      <c r="AG366" s="411" t="e">
        <f ca="1">VLOOKUP(_xlfn.CONCAT(U366,V366,W366,VLOOKUP(X366&amp;Y366,TIME!$L$27:$O$34,4,FALSE),Y366),HIS_SALES!$A$2:$R$5093,18,FALSE)</f>
        <v>#N/A</v>
      </c>
      <c r="AH366" s="412" t="e">
        <f ca="1">IFERROR(IF(AND(V366=V365,W366=W365),0.5*(AB366+AB365)*AG366,(VLOOKUP(_xlfn.CONCAT(U366,V366,W366,X366,VLOOKUP(Z366,TIME!$S$28:$T$39,2,FALSE)),FC_DATA!$R$2:$AB$5000,MATCH("GS_I_M",FC_DATA!$R$1:$AB$1,0),FALSE)+FC_DATA!AB366)*0.5*FC_DATA!AG366),NA())</f>
        <v>#N/A</v>
      </c>
      <c r="AI366" s="491" t="e">
        <f ca="1">IF(V366="PARTNER.com",AH366,IF(AND(V366=V365,W366=W365),(1-AVERAGE(AD365,AD366))*AH366,(1-AVERAGE(AD366,VLOOKUP(_xlfn.CONCAT(U366,V366,W366,X366,M_BRAND_FC!$F$6),FC_DATA!$R$2:$AD$5000,MATCH("DISCOUNT_%_M",FC_DATA!$R$1:$AD$1,0),FALSE)))*AH366))</f>
        <v>#N/A</v>
      </c>
      <c r="AJ366" s="412" t="str">
        <f t="shared" ca="1" si="140"/>
        <v/>
      </c>
      <c r="AK366" s="413" t="str">
        <f>IFERROR(AE366/(Q_BRAND_FC!$T$24+1),"")</f>
        <v/>
      </c>
      <c r="AL366" s="88" t="str">
        <f t="shared" ca="1" si="141"/>
        <v/>
      </c>
      <c r="AM366" s="414" t="str">
        <f t="shared" ca="1" si="142"/>
        <v/>
      </c>
      <c r="AN366" s="58">
        <f>IFERROR(IF($V366="BRAND.com",HLOOKUP($X366&amp;$Z366,NWC_FC_NOOS!$C$4:$Q$23,MATCH(W366,NWC_FC_NOOS!$B$4:$B$23,0),FALSE),0),0)</f>
        <v>0</v>
      </c>
      <c r="AO366" s="57">
        <f>IFERROR(IF($V366="BRAND.com",HLOOKUP($X366&amp;$Z366,NWC_FC_NOOS!$T$4:$AH$23,MATCH(W366,NWC_FC_NOOS!$S$4:$S$23,0),FALSE),0),0)</f>
        <v>0</v>
      </c>
      <c r="AP366" s="57">
        <f>IFERROR(IF($V366="BRAND.com",HLOOKUP($X366&amp;$Z366,NWC_FC_NOOS!$C$50:$U$69,MATCH(W366,NWC_FC_NOOS!$B$50:$B$69,0),FALSE),0),0)</f>
        <v>0</v>
      </c>
      <c r="AQ366" s="58">
        <f>IFERROR(IF($V366="BRAND.com",HLOOKUP($X366&amp;$Z366,'NWC_FC_NON-NOOS'!$C$4:$Q$23,MATCH(W366,'NWC_FC_NON-NOOS'!$B$4:$B$23,0),FALSE),0),0)</f>
        <v>0</v>
      </c>
      <c r="AR366" s="57">
        <f>IFERROR(IF($V366="BRAND.com",HLOOKUP($X366&amp;$Z366,'NWC_FC_NON-NOOS'!$T$4:$AH$23,MATCH(W366,'NWC_FC_NON-NOOS'!$S$4:$S$23,0),FALSE),0),0)</f>
        <v>0</v>
      </c>
      <c r="AS366" s="57">
        <f>IFERROR(IF($V366="BRAND.com",HLOOKUP($X366&amp;$Z366,'NWC_FC_NON-NOOS'!$C$50:$U$69,MATCH(W366,'NWC_FC_NON-NOOS'!$B$50:$B$69,0),FALSE),0),0)</f>
        <v>0</v>
      </c>
      <c r="AT366" s="57">
        <f t="shared" si="144"/>
        <v>0</v>
      </c>
      <c r="AU366" s="57">
        <f t="shared" si="145"/>
        <v>0</v>
      </c>
      <c r="AV366" s="58">
        <f>IFERROR(IF($V366="BRAND.com",HLOOKUP($X366&amp;$Z366,PLANNING_FC!$BB$27:$BP$46,MATCH($W366,PLANNING_FC!$BA$27:$BA$46,0),FALSE),0),0)</f>
        <v>0</v>
      </c>
      <c r="AW366" s="58">
        <f>IFERROR(IF($V366="BRAND.com",HLOOKUP($X366&amp;$Z366,PLANNING_FC!$BB$4:$BP$23,MATCH($W366,PLANNING_FC!$BA$4:$BA$23,0),FALSE),0),0)</f>
        <v>0</v>
      </c>
      <c r="AX366" s="58">
        <f>IFERROR(IF($V366="BRAND.com",HLOOKUP($X366&amp;$Z366,PLANNING_FC!$T$27:$AH$46,MATCH($W366,PLANNING_FC!$B$27:$B$46,0),FALSE),0),0)</f>
        <v>0</v>
      </c>
      <c r="AY366" s="58">
        <f>IFERROR(IF($V366="BRAND.com",HLOOKUP($X366&amp;$Z366,PLANNING_FC!$T$4:$AH$23,MATCH($W366,PLANNING_FC!$B$4:$B$23,0),FALSE),0),0)</f>
        <v>0</v>
      </c>
      <c r="AZ366" s="58">
        <f>IFERROR(IF($V366="BRAND.com",HLOOKUP($X366&amp;$Z366,PLANNING_FC!$DA$27:$DO$46,MATCH($W366,PLANNING_FC!$CZ$27:$CZ$46,0),FALSE),0),0)</f>
        <v>0</v>
      </c>
      <c r="BA366" s="58">
        <f>IFERROR(IF($V366="BRAND.com",HLOOKUP($X366&amp;$Z366,PLANNING_FC!$DA$4:$DO$23,MATCH($W366,PLANNING_FC!$CZ$4:$CZ$23,0),FALSE),0),0)</f>
        <v>0</v>
      </c>
      <c r="BB366" s="883" t="str">
        <f>IF(V366="BRAND.com",IFERROR(HLOOKUP(X366&amp;Z366,PLANNING_FC!$AK$4:$AY$23,MATCH(W366,PLANNING_FC!$AJ$4:$AJ$23,0),FALSE)*1000,""),"")</f>
        <v/>
      </c>
      <c r="BC366" s="883" t="str">
        <f>IF(V366="BRAND.com",IFERROR(HLOOKUP(X366&amp;Z366,PLANNING_FC!$AK$27:$AY$46,MATCH(W366,PLANNING_FC!$AJ$27:$AJ$46,0),FALSE)*1000,""),"")</f>
        <v/>
      </c>
    </row>
    <row r="367" spans="1:55" x14ac:dyDescent="0.25">
      <c r="A367" s="509"/>
      <c r="B367" s="509"/>
      <c r="C367" s="509"/>
      <c r="D367" s="509"/>
      <c r="E367" s="509"/>
      <c r="F367" s="509"/>
      <c r="G367" s="509"/>
      <c r="H367" s="509"/>
      <c r="I367" s="512"/>
      <c r="J367" s="513"/>
      <c r="K367" s="879"/>
      <c r="L367" s="515"/>
      <c r="M367" s="516"/>
      <c r="N367" s="56">
        <f t="shared" si="126"/>
        <v>0</v>
      </c>
      <c r="O367" s="57">
        <f t="shared" si="127"/>
        <v>0</v>
      </c>
      <c r="P367" s="57">
        <f ca="1">IFERROR(IF(ISBLANK(H367),SUMIFS($AC:$AC,$V:$V,V367,$W:$W,W367,$X:$X,X367,$Y:$Y,Y367)*J367/(1-J367)*VLOOKUP(_xlfn.CONCAT(C367,D367,E367,TIME!$M$12,Z367),HIS_SALES!$B$2:$W$4859,20,FALSE),AC367*J367/(1-J367)),0)</f>
        <v>0</v>
      </c>
      <c r="Q367" s="541" t="str">
        <f t="shared" si="128"/>
        <v/>
      </c>
      <c r="R367" s="346" t="str">
        <f t="shared" si="129"/>
        <v>00000</v>
      </c>
      <c r="S367" s="344">
        <f t="shared" si="130"/>
        <v>0</v>
      </c>
      <c r="T367" s="345" t="str">
        <f t="shared" si="143"/>
        <v>000</v>
      </c>
      <c r="U367" s="345">
        <f t="shared" si="131"/>
        <v>0</v>
      </c>
      <c r="V367" s="345">
        <f t="shared" si="132"/>
        <v>0</v>
      </c>
      <c r="W367" s="345">
        <f t="shared" si="133"/>
        <v>0</v>
      </c>
      <c r="X367" s="345">
        <f t="shared" si="134"/>
        <v>0</v>
      </c>
      <c r="Y367" s="345">
        <f t="shared" si="135"/>
        <v>0</v>
      </c>
      <c r="Z367" s="345">
        <f>IF(Q367&lt;&gt;"",VLOOKUP(Y367,TIME!$R$21:$V$24,MATCH(FC_DATA!Q367,TIME!$R$20:$V$20,0),FALSE),H367)</f>
        <v>0</v>
      </c>
      <c r="AA367" s="345" t="str">
        <f>IFERROR(VLOOKUP(X367&amp;Z367,TIME!$A$12:$D$71,4,FALSE),"")</f>
        <v/>
      </c>
      <c r="AB367" s="592">
        <f t="shared" ca="1" si="136"/>
        <v>0</v>
      </c>
      <c r="AC367" s="593" t="e">
        <f ca="1">IF(ISBLANK(H367)=FALSE,IF(D367="BRAND.com",I367,IF(ISNA(VLOOKUP(_xlfn.CONCAT(X367,Z367),TIME!$M$40:$M$42,1,FALSE)),I367,VLOOKUP(_xlfn.CONCAT(D367,G367,H367),M_BUSAREA_FC!$AF$5:$AJ$10,5,FALSE)*HLOOKUP(_xlfn.CONCAT(F367,H367),ST_OVERVIEW!$G$99:$I$130,MATCH(_xlfn.CONCAT(D367,E367),ST_OVERVIEW!$F$99:$F$130,0),FALSE))),IF(D367="BRAND.com",VLOOKUP(_xlfn.CONCAT(C367,D367,E367,TIME!$F$1,Z367),HIS_SALES!$B$2:$V$4859,19,FALSE)*I367,VLOOKUP(_xlfn.CONCAT(D367,F367,G367),Q_BUSAREA_FC!$AE$5:$AI$12,5,FALSE)*HLOOKUP(_xlfn.CONCAT(FC_DATA!F367,FC_DATA!G367),LT_OVERVIEW!$I$99:$M$130,MATCH(_xlfn.CONCAT(D367,FC_DATA!E367),LT_OVERVIEW!$H$99:$H$130,0),FALSE)*IFERROR(VLOOKUP(_xlfn.CONCAT(C367,D367,E367,TIME!$F$1,Z367),HIS_SALES!$B$2:$V$4859,19,FALSE),0)))</f>
        <v>#N/A</v>
      </c>
      <c r="AD367" s="341">
        <f t="shared" ca="1" si="137"/>
        <v>0</v>
      </c>
      <c r="AE367" s="363" t="str">
        <f t="shared" si="138"/>
        <v/>
      </c>
      <c r="AF367" s="342" t="str">
        <f t="shared" si="139"/>
        <v/>
      </c>
      <c r="AG367" s="411" t="e">
        <f ca="1">VLOOKUP(_xlfn.CONCAT(U367,V367,W367,VLOOKUP(X367&amp;Y367,TIME!$L$27:$O$34,4,FALSE),Y367),HIS_SALES!$A$2:$R$5093,18,FALSE)</f>
        <v>#N/A</v>
      </c>
      <c r="AH367" s="412" t="e">
        <f ca="1">IFERROR(IF(AND(V367=V366,W367=W366),0.5*(AB367+AB366)*AG367,(VLOOKUP(_xlfn.CONCAT(U367,V367,W367,X367,VLOOKUP(Z367,TIME!$S$28:$T$39,2,FALSE)),FC_DATA!$R$2:$AB$5000,MATCH("GS_I_M",FC_DATA!$R$1:$AB$1,0),FALSE)+FC_DATA!AB367)*0.5*FC_DATA!AG367),NA())</f>
        <v>#N/A</v>
      </c>
      <c r="AI367" s="491" t="e">
        <f ca="1">IF(V367="PARTNER.com",AH367,IF(AND(V367=V366,W367=W366),(1-AVERAGE(AD366,AD367))*AH367,(1-AVERAGE(AD367,VLOOKUP(_xlfn.CONCAT(U367,V367,W367,X367,M_BRAND_FC!$F$6),FC_DATA!$R$2:$AD$5000,MATCH("DISCOUNT_%_M",FC_DATA!$R$1:$AD$1,0),FALSE)))*AH367))</f>
        <v>#N/A</v>
      </c>
      <c r="AJ367" s="412" t="str">
        <f t="shared" ca="1" si="140"/>
        <v/>
      </c>
      <c r="AK367" s="413" t="str">
        <f>IFERROR(AE367/(Q_BRAND_FC!$T$24+1),"")</f>
        <v/>
      </c>
      <c r="AL367" s="88" t="str">
        <f t="shared" ca="1" si="141"/>
        <v/>
      </c>
      <c r="AM367" s="414" t="str">
        <f t="shared" ca="1" si="142"/>
        <v/>
      </c>
      <c r="AN367" s="58">
        <f>IFERROR(IF($V367="BRAND.com",HLOOKUP($X367&amp;$Z367,NWC_FC_NOOS!$C$4:$Q$23,MATCH(W367,NWC_FC_NOOS!$B$4:$B$23,0),FALSE),0),0)</f>
        <v>0</v>
      </c>
      <c r="AO367" s="57">
        <f>IFERROR(IF($V367="BRAND.com",HLOOKUP($X367&amp;$Z367,NWC_FC_NOOS!$T$4:$AH$23,MATCH(W367,NWC_FC_NOOS!$S$4:$S$23,0),FALSE),0),0)</f>
        <v>0</v>
      </c>
      <c r="AP367" s="57">
        <f>IFERROR(IF($V367="BRAND.com",HLOOKUP($X367&amp;$Z367,NWC_FC_NOOS!$C$50:$U$69,MATCH(W367,NWC_FC_NOOS!$B$50:$B$69,0),FALSE),0),0)</f>
        <v>0</v>
      </c>
      <c r="AQ367" s="58">
        <f>IFERROR(IF($V367="BRAND.com",HLOOKUP($X367&amp;$Z367,'NWC_FC_NON-NOOS'!$C$4:$Q$23,MATCH(W367,'NWC_FC_NON-NOOS'!$B$4:$B$23,0),FALSE),0),0)</f>
        <v>0</v>
      </c>
      <c r="AR367" s="57">
        <f>IFERROR(IF($V367="BRAND.com",HLOOKUP($X367&amp;$Z367,'NWC_FC_NON-NOOS'!$T$4:$AH$23,MATCH(W367,'NWC_FC_NON-NOOS'!$S$4:$S$23,0),FALSE),0),0)</f>
        <v>0</v>
      </c>
      <c r="AS367" s="57">
        <f>IFERROR(IF($V367="BRAND.com",HLOOKUP($X367&amp;$Z367,'NWC_FC_NON-NOOS'!$C$50:$U$69,MATCH(W367,'NWC_FC_NON-NOOS'!$B$50:$B$69,0),FALSE),0),0)</f>
        <v>0</v>
      </c>
      <c r="AT367" s="57">
        <f t="shared" si="144"/>
        <v>0</v>
      </c>
      <c r="AU367" s="57">
        <f t="shared" si="145"/>
        <v>0</v>
      </c>
      <c r="AV367" s="58">
        <f>IFERROR(IF($V367="BRAND.com",HLOOKUP($X367&amp;$Z367,PLANNING_FC!$BB$27:$BP$46,MATCH($W367,PLANNING_FC!$BA$27:$BA$46,0),FALSE),0),0)</f>
        <v>0</v>
      </c>
      <c r="AW367" s="58">
        <f>IFERROR(IF($V367="BRAND.com",HLOOKUP($X367&amp;$Z367,PLANNING_FC!$BB$4:$BP$23,MATCH($W367,PLANNING_FC!$BA$4:$BA$23,0),FALSE),0),0)</f>
        <v>0</v>
      </c>
      <c r="AX367" s="58">
        <f>IFERROR(IF($V367="BRAND.com",HLOOKUP($X367&amp;$Z367,PLANNING_FC!$T$27:$AH$46,MATCH($W367,PLANNING_FC!$B$27:$B$46,0),FALSE),0),0)</f>
        <v>0</v>
      </c>
      <c r="AY367" s="58">
        <f>IFERROR(IF($V367="BRAND.com",HLOOKUP($X367&amp;$Z367,PLANNING_FC!$T$4:$AH$23,MATCH($W367,PLANNING_FC!$B$4:$B$23,0),FALSE),0),0)</f>
        <v>0</v>
      </c>
      <c r="AZ367" s="58">
        <f>IFERROR(IF($V367="BRAND.com",HLOOKUP($X367&amp;$Z367,PLANNING_FC!$DA$27:$DO$46,MATCH($W367,PLANNING_FC!$CZ$27:$CZ$46,0),FALSE),0),0)</f>
        <v>0</v>
      </c>
      <c r="BA367" s="58">
        <f>IFERROR(IF($V367="BRAND.com",HLOOKUP($X367&amp;$Z367,PLANNING_FC!$DA$4:$DO$23,MATCH($W367,PLANNING_FC!$CZ$4:$CZ$23,0),FALSE),0),0)</f>
        <v>0</v>
      </c>
      <c r="BB367" s="883" t="str">
        <f>IF(V367="BRAND.com",IFERROR(HLOOKUP(X367&amp;Z367,PLANNING_FC!$AK$4:$AY$23,MATCH(W367,PLANNING_FC!$AJ$4:$AJ$23,0),FALSE)*1000,""),"")</f>
        <v/>
      </c>
      <c r="BC367" s="883" t="str">
        <f>IF(V367="BRAND.com",IFERROR(HLOOKUP(X367&amp;Z367,PLANNING_FC!$AK$27:$AY$46,MATCH(W367,PLANNING_FC!$AJ$27:$AJ$46,0),FALSE)*1000,""),"")</f>
        <v/>
      </c>
    </row>
    <row r="368" spans="1:55" x14ac:dyDescent="0.25">
      <c r="A368" s="509"/>
      <c r="B368" s="509"/>
      <c r="C368" s="509"/>
      <c r="D368" s="509"/>
      <c r="E368" s="509"/>
      <c r="F368" s="509"/>
      <c r="G368" s="509"/>
      <c r="H368" s="509"/>
      <c r="I368" s="512"/>
      <c r="J368" s="513"/>
      <c r="K368" s="879"/>
      <c r="L368" s="515"/>
      <c r="M368" s="516"/>
      <c r="N368" s="56">
        <f t="shared" si="126"/>
        <v>0</v>
      </c>
      <c r="O368" s="57">
        <f t="shared" si="127"/>
        <v>0</v>
      </c>
      <c r="P368" s="57">
        <f ca="1">IFERROR(IF(ISBLANK(H368),SUMIFS($AC:$AC,$V:$V,V368,$W:$W,W368,$X:$X,X368,$Y:$Y,Y368)*J368/(1-J368)*VLOOKUP(_xlfn.CONCAT(C368,D368,E368,TIME!$M$12,Z368),HIS_SALES!$B$2:$W$4859,20,FALSE),AC368*J368/(1-J368)),0)</f>
        <v>0</v>
      </c>
      <c r="Q368" s="541" t="str">
        <f t="shared" si="128"/>
        <v/>
      </c>
      <c r="R368" s="346" t="str">
        <f t="shared" si="129"/>
        <v>00000</v>
      </c>
      <c r="S368" s="344">
        <f t="shared" si="130"/>
        <v>0</v>
      </c>
      <c r="T368" s="345" t="str">
        <f t="shared" si="143"/>
        <v>000</v>
      </c>
      <c r="U368" s="345">
        <f t="shared" si="131"/>
        <v>0</v>
      </c>
      <c r="V368" s="345">
        <f t="shared" si="132"/>
        <v>0</v>
      </c>
      <c r="W368" s="345">
        <f t="shared" si="133"/>
        <v>0</v>
      </c>
      <c r="X368" s="345">
        <f t="shared" si="134"/>
        <v>0</v>
      </c>
      <c r="Y368" s="345">
        <f t="shared" si="135"/>
        <v>0</v>
      </c>
      <c r="Z368" s="345">
        <f>IF(Q368&lt;&gt;"",VLOOKUP(Y368,TIME!$R$21:$V$24,MATCH(FC_DATA!Q368,TIME!$R$20:$V$20,0),FALSE),H368)</f>
        <v>0</v>
      </c>
      <c r="AA368" s="345" t="str">
        <f>IFERROR(VLOOKUP(X368&amp;Z368,TIME!$A$12:$D$71,4,FALSE),"")</f>
        <v/>
      </c>
      <c r="AB368" s="592">
        <f t="shared" ca="1" si="136"/>
        <v>0</v>
      </c>
      <c r="AC368" s="593" t="e">
        <f ca="1">IF(ISBLANK(H368)=FALSE,IF(D368="BRAND.com",I368,IF(ISNA(VLOOKUP(_xlfn.CONCAT(X368,Z368),TIME!$M$40:$M$42,1,FALSE)),I368,VLOOKUP(_xlfn.CONCAT(D368,G368,H368),M_BUSAREA_FC!$AF$5:$AJ$10,5,FALSE)*HLOOKUP(_xlfn.CONCAT(F368,H368),ST_OVERVIEW!$G$99:$I$130,MATCH(_xlfn.CONCAT(D368,E368),ST_OVERVIEW!$F$99:$F$130,0),FALSE))),IF(D368="BRAND.com",VLOOKUP(_xlfn.CONCAT(C368,D368,E368,TIME!$F$1,Z368),HIS_SALES!$B$2:$V$4859,19,FALSE)*I368,VLOOKUP(_xlfn.CONCAT(D368,F368,G368),Q_BUSAREA_FC!$AE$5:$AI$12,5,FALSE)*HLOOKUP(_xlfn.CONCAT(FC_DATA!F368,FC_DATA!G368),LT_OVERVIEW!$I$99:$M$130,MATCH(_xlfn.CONCAT(D368,FC_DATA!E368),LT_OVERVIEW!$H$99:$H$130,0),FALSE)*IFERROR(VLOOKUP(_xlfn.CONCAT(C368,D368,E368,TIME!$F$1,Z368),HIS_SALES!$B$2:$V$4859,19,FALSE),0)))</f>
        <v>#N/A</v>
      </c>
      <c r="AD368" s="341">
        <f t="shared" ca="1" si="137"/>
        <v>0</v>
      </c>
      <c r="AE368" s="363" t="str">
        <f t="shared" si="138"/>
        <v/>
      </c>
      <c r="AF368" s="342" t="str">
        <f t="shared" si="139"/>
        <v/>
      </c>
      <c r="AG368" s="411" t="e">
        <f ca="1">VLOOKUP(_xlfn.CONCAT(U368,V368,W368,VLOOKUP(X368&amp;Y368,TIME!$L$27:$O$34,4,FALSE),Y368),HIS_SALES!$A$2:$R$5093,18,FALSE)</f>
        <v>#N/A</v>
      </c>
      <c r="AH368" s="412" t="e">
        <f ca="1">IFERROR(IF(AND(V368=V367,W368=W367),0.5*(AB368+AB367)*AG368,(VLOOKUP(_xlfn.CONCAT(U368,V368,W368,X368,VLOOKUP(Z368,TIME!$S$28:$T$39,2,FALSE)),FC_DATA!$R$2:$AB$5000,MATCH("GS_I_M",FC_DATA!$R$1:$AB$1,0),FALSE)+FC_DATA!AB368)*0.5*FC_DATA!AG368),NA())</f>
        <v>#N/A</v>
      </c>
      <c r="AI368" s="491" t="e">
        <f ca="1">IF(V368="PARTNER.com",AH368,IF(AND(V368=V367,W368=W367),(1-AVERAGE(AD367,AD368))*AH368,(1-AVERAGE(AD368,VLOOKUP(_xlfn.CONCAT(U368,V368,W368,X368,M_BRAND_FC!$F$6),FC_DATA!$R$2:$AD$5000,MATCH("DISCOUNT_%_M",FC_DATA!$R$1:$AD$1,0),FALSE)))*AH368))</f>
        <v>#N/A</v>
      </c>
      <c r="AJ368" s="412" t="str">
        <f t="shared" ca="1" si="140"/>
        <v/>
      </c>
      <c r="AK368" s="413" t="str">
        <f>IFERROR(AE368/(Q_BRAND_FC!$T$24+1),"")</f>
        <v/>
      </c>
      <c r="AL368" s="88" t="str">
        <f t="shared" ca="1" si="141"/>
        <v/>
      </c>
      <c r="AM368" s="414" t="str">
        <f t="shared" ca="1" si="142"/>
        <v/>
      </c>
      <c r="AN368" s="58">
        <f>IFERROR(IF($V368="BRAND.com",HLOOKUP($X368&amp;$Z368,NWC_FC_NOOS!$C$4:$Q$23,MATCH(W368,NWC_FC_NOOS!$B$4:$B$23,0),FALSE),0),0)</f>
        <v>0</v>
      </c>
      <c r="AO368" s="57">
        <f>IFERROR(IF($V368="BRAND.com",HLOOKUP($X368&amp;$Z368,NWC_FC_NOOS!$T$4:$AH$23,MATCH(W368,NWC_FC_NOOS!$S$4:$S$23,0),FALSE),0),0)</f>
        <v>0</v>
      </c>
      <c r="AP368" s="57">
        <f>IFERROR(IF($V368="BRAND.com",HLOOKUP($X368&amp;$Z368,NWC_FC_NOOS!$C$50:$U$69,MATCH(W368,NWC_FC_NOOS!$B$50:$B$69,0),FALSE),0),0)</f>
        <v>0</v>
      </c>
      <c r="AQ368" s="58">
        <f>IFERROR(IF($V368="BRAND.com",HLOOKUP($X368&amp;$Z368,'NWC_FC_NON-NOOS'!$C$4:$Q$23,MATCH(W368,'NWC_FC_NON-NOOS'!$B$4:$B$23,0),FALSE),0),0)</f>
        <v>0</v>
      </c>
      <c r="AR368" s="57">
        <f>IFERROR(IF($V368="BRAND.com",HLOOKUP($X368&amp;$Z368,'NWC_FC_NON-NOOS'!$T$4:$AH$23,MATCH(W368,'NWC_FC_NON-NOOS'!$S$4:$S$23,0),FALSE),0),0)</f>
        <v>0</v>
      </c>
      <c r="AS368" s="57">
        <f>IFERROR(IF($V368="BRAND.com",HLOOKUP($X368&amp;$Z368,'NWC_FC_NON-NOOS'!$C$50:$U$69,MATCH(W368,'NWC_FC_NON-NOOS'!$B$50:$B$69,0),FALSE),0),0)</f>
        <v>0</v>
      </c>
      <c r="AT368" s="57">
        <f t="shared" si="144"/>
        <v>0</v>
      </c>
      <c r="AU368" s="57">
        <f t="shared" si="145"/>
        <v>0</v>
      </c>
      <c r="AV368" s="58">
        <f>IFERROR(IF($V368="BRAND.com",HLOOKUP($X368&amp;$Z368,PLANNING_FC!$BB$27:$BP$46,MATCH($W368,PLANNING_FC!$BA$27:$BA$46,0),FALSE),0),0)</f>
        <v>0</v>
      </c>
      <c r="AW368" s="58">
        <f>IFERROR(IF($V368="BRAND.com",HLOOKUP($X368&amp;$Z368,PLANNING_FC!$BB$4:$BP$23,MATCH($W368,PLANNING_FC!$BA$4:$BA$23,0),FALSE),0),0)</f>
        <v>0</v>
      </c>
      <c r="AX368" s="58">
        <f>IFERROR(IF($V368="BRAND.com",HLOOKUP($X368&amp;$Z368,PLANNING_FC!$T$27:$AH$46,MATCH($W368,PLANNING_FC!$B$27:$B$46,0),FALSE),0),0)</f>
        <v>0</v>
      </c>
      <c r="AY368" s="58">
        <f>IFERROR(IF($V368="BRAND.com",HLOOKUP($X368&amp;$Z368,PLANNING_FC!$T$4:$AH$23,MATCH($W368,PLANNING_FC!$B$4:$B$23,0),FALSE),0),0)</f>
        <v>0</v>
      </c>
      <c r="AZ368" s="58">
        <f>IFERROR(IF($V368="BRAND.com",HLOOKUP($X368&amp;$Z368,PLANNING_FC!$DA$27:$DO$46,MATCH($W368,PLANNING_FC!$CZ$27:$CZ$46,0),FALSE),0),0)</f>
        <v>0</v>
      </c>
      <c r="BA368" s="58">
        <f>IFERROR(IF($V368="BRAND.com",HLOOKUP($X368&amp;$Z368,PLANNING_FC!$DA$4:$DO$23,MATCH($W368,PLANNING_FC!$CZ$4:$CZ$23,0),FALSE),0),0)</f>
        <v>0</v>
      </c>
      <c r="BB368" s="883" t="str">
        <f>IF(V368="BRAND.com",IFERROR(HLOOKUP(X368&amp;Z368,PLANNING_FC!$AK$4:$AY$23,MATCH(W368,PLANNING_FC!$AJ$4:$AJ$23,0),FALSE)*1000,""),"")</f>
        <v/>
      </c>
      <c r="BC368" s="883" t="str">
        <f>IF(V368="BRAND.com",IFERROR(HLOOKUP(X368&amp;Z368,PLANNING_FC!$AK$27:$AY$46,MATCH(W368,PLANNING_FC!$AJ$27:$AJ$46,0),FALSE)*1000,""),"")</f>
        <v/>
      </c>
    </row>
    <row r="369" spans="1:55" x14ac:dyDescent="0.25">
      <c r="A369" s="509"/>
      <c r="B369" s="509"/>
      <c r="C369" s="509"/>
      <c r="D369" s="509"/>
      <c r="E369" s="509"/>
      <c r="F369" s="509"/>
      <c r="G369" s="509"/>
      <c r="H369" s="509"/>
      <c r="I369" s="512"/>
      <c r="J369" s="513"/>
      <c r="K369" s="879"/>
      <c r="L369" s="515"/>
      <c r="M369" s="516"/>
      <c r="N369" s="56">
        <f t="shared" si="126"/>
        <v>0</v>
      </c>
      <c r="O369" s="57">
        <f t="shared" si="127"/>
        <v>0</v>
      </c>
      <c r="P369" s="57">
        <f ca="1">IFERROR(IF(ISBLANK(H369),SUMIFS($AC:$AC,$V:$V,V369,$W:$W,W369,$X:$X,X369,$Y:$Y,Y369)*J369/(1-J369)*VLOOKUP(_xlfn.CONCAT(C369,D369,E369,TIME!$M$12,Z369),HIS_SALES!$B$2:$W$4859,20,FALSE),AC369*J369/(1-J369)),0)</f>
        <v>0</v>
      </c>
      <c r="Q369" s="541" t="str">
        <f t="shared" si="128"/>
        <v/>
      </c>
      <c r="R369" s="346" t="str">
        <f t="shared" si="129"/>
        <v>00000</v>
      </c>
      <c r="S369" s="344">
        <f t="shared" si="130"/>
        <v>0</v>
      </c>
      <c r="T369" s="345" t="str">
        <f t="shared" si="143"/>
        <v>000</v>
      </c>
      <c r="U369" s="345">
        <f t="shared" si="131"/>
        <v>0</v>
      </c>
      <c r="V369" s="345">
        <f t="shared" si="132"/>
        <v>0</v>
      </c>
      <c r="W369" s="345">
        <f t="shared" si="133"/>
        <v>0</v>
      </c>
      <c r="X369" s="345">
        <f t="shared" si="134"/>
        <v>0</v>
      </c>
      <c r="Y369" s="345">
        <f t="shared" si="135"/>
        <v>0</v>
      </c>
      <c r="Z369" s="345">
        <f>IF(Q369&lt;&gt;"",VLOOKUP(Y369,TIME!$R$21:$V$24,MATCH(FC_DATA!Q369,TIME!$R$20:$V$20,0),FALSE),H369)</f>
        <v>0</v>
      </c>
      <c r="AA369" s="345" t="str">
        <f>IFERROR(VLOOKUP(X369&amp;Z369,TIME!$A$12:$D$71,4,FALSE),"")</f>
        <v/>
      </c>
      <c r="AB369" s="592">
        <f t="shared" ca="1" si="136"/>
        <v>0</v>
      </c>
      <c r="AC369" s="593" t="e">
        <f ca="1">IF(ISBLANK(H369)=FALSE,IF(D369="BRAND.com",I369,IF(ISNA(VLOOKUP(_xlfn.CONCAT(X369,Z369),TIME!$M$40:$M$42,1,FALSE)),I369,VLOOKUP(_xlfn.CONCAT(D369,G369,H369),M_BUSAREA_FC!$AF$5:$AJ$10,5,FALSE)*HLOOKUP(_xlfn.CONCAT(F369,H369),ST_OVERVIEW!$G$99:$I$130,MATCH(_xlfn.CONCAT(D369,E369),ST_OVERVIEW!$F$99:$F$130,0),FALSE))),IF(D369="BRAND.com",VLOOKUP(_xlfn.CONCAT(C369,D369,E369,TIME!$F$1,Z369),HIS_SALES!$B$2:$V$4859,19,FALSE)*I369,VLOOKUP(_xlfn.CONCAT(D369,F369,G369),Q_BUSAREA_FC!$AE$5:$AI$12,5,FALSE)*HLOOKUP(_xlfn.CONCAT(FC_DATA!F369,FC_DATA!G369),LT_OVERVIEW!$I$99:$M$130,MATCH(_xlfn.CONCAT(D369,FC_DATA!E369),LT_OVERVIEW!$H$99:$H$130,0),FALSE)*IFERROR(VLOOKUP(_xlfn.CONCAT(C369,D369,E369,TIME!$F$1,Z369),HIS_SALES!$B$2:$V$4859,19,FALSE),0)))</f>
        <v>#N/A</v>
      </c>
      <c r="AD369" s="341">
        <f t="shared" ca="1" si="137"/>
        <v>0</v>
      </c>
      <c r="AE369" s="363" t="str">
        <f t="shared" si="138"/>
        <v/>
      </c>
      <c r="AF369" s="342" t="str">
        <f t="shared" si="139"/>
        <v/>
      </c>
      <c r="AG369" s="411" t="e">
        <f ca="1">VLOOKUP(_xlfn.CONCAT(U369,V369,W369,VLOOKUP(X369&amp;Y369,TIME!$L$27:$O$34,4,FALSE),Y369),HIS_SALES!$A$2:$R$5093,18,FALSE)</f>
        <v>#N/A</v>
      </c>
      <c r="AH369" s="412" t="e">
        <f ca="1">IFERROR(IF(AND(V369=V368,W369=W368),0.5*(AB369+AB368)*AG369,(VLOOKUP(_xlfn.CONCAT(U369,V369,W369,X369,VLOOKUP(Z369,TIME!$S$28:$T$39,2,FALSE)),FC_DATA!$R$2:$AB$5000,MATCH("GS_I_M",FC_DATA!$R$1:$AB$1,0),FALSE)+FC_DATA!AB369)*0.5*FC_DATA!AG369),NA())</f>
        <v>#N/A</v>
      </c>
      <c r="AI369" s="491" t="e">
        <f ca="1">IF(V369="PARTNER.com",AH369,IF(AND(V369=V368,W369=W368),(1-AVERAGE(AD368,AD369))*AH369,(1-AVERAGE(AD369,VLOOKUP(_xlfn.CONCAT(U369,V369,W369,X369,M_BRAND_FC!$F$6),FC_DATA!$R$2:$AD$5000,MATCH("DISCOUNT_%_M",FC_DATA!$R$1:$AD$1,0),FALSE)))*AH369))</f>
        <v>#N/A</v>
      </c>
      <c r="AJ369" s="412" t="str">
        <f t="shared" ca="1" si="140"/>
        <v/>
      </c>
      <c r="AK369" s="413" t="str">
        <f>IFERROR(AE369/(Q_BRAND_FC!$T$24+1),"")</f>
        <v/>
      </c>
      <c r="AL369" s="88" t="str">
        <f t="shared" ca="1" si="141"/>
        <v/>
      </c>
      <c r="AM369" s="414" t="str">
        <f t="shared" ca="1" si="142"/>
        <v/>
      </c>
      <c r="AN369" s="58">
        <f>IFERROR(IF($V369="BRAND.com",HLOOKUP($X369&amp;$Z369,NWC_FC_NOOS!$C$4:$Q$23,MATCH(W369,NWC_FC_NOOS!$B$4:$B$23,0),FALSE),0),0)</f>
        <v>0</v>
      </c>
      <c r="AO369" s="57">
        <f>IFERROR(IF($V369="BRAND.com",HLOOKUP($X369&amp;$Z369,NWC_FC_NOOS!$T$4:$AH$23,MATCH(W369,NWC_FC_NOOS!$S$4:$S$23,0),FALSE),0),0)</f>
        <v>0</v>
      </c>
      <c r="AP369" s="57">
        <f>IFERROR(IF($V369="BRAND.com",HLOOKUP($X369&amp;$Z369,NWC_FC_NOOS!$C$50:$U$69,MATCH(W369,NWC_FC_NOOS!$B$50:$B$69,0),FALSE),0),0)</f>
        <v>0</v>
      </c>
      <c r="AQ369" s="58">
        <f>IFERROR(IF($V369="BRAND.com",HLOOKUP($X369&amp;$Z369,'NWC_FC_NON-NOOS'!$C$4:$Q$23,MATCH(W369,'NWC_FC_NON-NOOS'!$B$4:$B$23,0),FALSE),0),0)</f>
        <v>0</v>
      </c>
      <c r="AR369" s="57">
        <f>IFERROR(IF($V369="BRAND.com",HLOOKUP($X369&amp;$Z369,'NWC_FC_NON-NOOS'!$T$4:$AH$23,MATCH(W369,'NWC_FC_NON-NOOS'!$S$4:$S$23,0),FALSE),0),0)</f>
        <v>0</v>
      </c>
      <c r="AS369" s="57">
        <f>IFERROR(IF($V369="BRAND.com",HLOOKUP($X369&amp;$Z369,'NWC_FC_NON-NOOS'!$C$50:$U$69,MATCH(W369,'NWC_FC_NON-NOOS'!$B$50:$B$69,0),FALSE),0),0)</f>
        <v>0</v>
      </c>
      <c r="AT369" s="57">
        <f t="shared" si="144"/>
        <v>0</v>
      </c>
      <c r="AU369" s="57">
        <f t="shared" si="145"/>
        <v>0</v>
      </c>
      <c r="AV369" s="58">
        <f>IFERROR(IF($V369="BRAND.com",HLOOKUP($X369&amp;$Z369,PLANNING_FC!$BB$27:$BP$46,MATCH($W369,PLANNING_FC!$BA$27:$BA$46,0),FALSE),0),0)</f>
        <v>0</v>
      </c>
      <c r="AW369" s="58">
        <f>IFERROR(IF($V369="BRAND.com",HLOOKUP($X369&amp;$Z369,PLANNING_FC!$BB$4:$BP$23,MATCH($W369,PLANNING_FC!$BA$4:$BA$23,0),FALSE),0),0)</f>
        <v>0</v>
      </c>
      <c r="AX369" s="58">
        <f>IFERROR(IF($V369="BRAND.com",HLOOKUP($X369&amp;$Z369,PLANNING_FC!$T$27:$AH$46,MATCH($W369,PLANNING_FC!$B$27:$B$46,0),FALSE),0),0)</f>
        <v>0</v>
      </c>
      <c r="AY369" s="58">
        <f>IFERROR(IF($V369="BRAND.com",HLOOKUP($X369&amp;$Z369,PLANNING_FC!$T$4:$AH$23,MATCH($W369,PLANNING_FC!$B$4:$B$23,0),FALSE),0),0)</f>
        <v>0</v>
      </c>
      <c r="AZ369" s="58">
        <f>IFERROR(IF($V369="BRAND.com",HLOOKUP($X369&amp;$Z369,PLANNING_FC!$DA$27:$DO$46,MATCH($W369,PLANNING_FC!$CZ$27:$CZ$46,0),FALSE),0),0)</f>
        <v>0</v>
      </c>
      <c r="BA369" s="58">
        <f>IFERROR(IF($V369="BRAND.com",HLOOKUP($X369&amp;$Z369,PLANNING_FC!$DA$4:$DO$23,MATCH($W369,PLANNING_FC!$CZ$4:$CZ$23,0),FALSE),0),0)</f>
        <v>0</v>
      </c>
      <c r="BB369" s="883" t="str">
        <f>IF(V369="BRAND.com",IFERROR(HLOOKUP(X369&amp;Z369,PLANNING_FC!$AK$4:$AY$23,MATCH(W369,PLANNING_FC!$AJ$4:$AJ$23,0),FALSE)*1000,""),"")</f>
        <v/>
      </c>
      <c r="BC369" s="883" t="str">
        <f>IF(V369="BRAND.com",IFERROR(HLOOKUP(X369&amp;Z369,PLANNING_FC!$AK$27:$AY$46,MATCH(W369,PLANNING_FC!$AJ$27:$AJ$46,0),FALSE)*1000,""),"")</f>
        <v/>
      </c>
    </row>
    <row r="370" spans="1:55" x14ac:dyDescent="0.25">
      <c r="A370" s="509"/>
      <c r="B370" s="509"/>
      <c r="C370" s="509"/>
      <c r="D370" s="509"/>
      <c r="E370" s="509"/>
      <c r="F370" s="509"/>
      <c r="G370" s="509"/>
      <c r="H370" s="509"/>
      <c r="I370" s="512"/>
      <c r="J370" s="513"/>
      <c r="K370" s="879"/>
      <c r="L370" s="515"/>
      <c r="M370" s="516"/>
      <c r="N370" s="56">
        <f t="shared" si="126"/>
        <v>0</v>
      </c>
      <c r="O370" s="57">
        <f t="shared" si="127"/>
        <v>0</v>
      </c>
      <c r="P370" s="57">
        <f ca="1">IFERROR(IF(ISBLANK(H370),SUMIFS($AC:$AC,$V:$V,V370,$W:$W,W370,$X:$X,X370,$Y:$Y,Y370)*J370/(1-J370)*VLOOKUP(_xlfn.CONCAT(C370,D370,E370,TIME!$M$12,Z370),HIS_SALES!$B$2:$W$4859,20,FALSE),AC370*J370/(1-J370)),0)</f>
        <v>0</v>
      </c>
      <c r="Q370" s="541" t="str">
        <f t="shared" si="128"/>
        <v/>
      </c>
      <c r="R370" s="346" t="str">
        <f t="shared" si="129"/>
        <v>00000</v>
      </c>
      <c r="S370" s="344">
        <f t="shared" si="130"/>
        <v>0</v>
      </c>
      <c r="T370" s="345" t="str">
        <f t="shared" si="143"/>
        <v>000</v>
      </c>
      <c r="U370" s="345">
        <f t="shared" si="131"/>
        <v>0</v>
      </c>
      <c r="V370" s="345">
        <f t="shared" si="132"/>
        <v>0</v>
      </c>
      <c r="W370" s="345">
        <f t="shared" si="133"/>
        <v>0</v>
      </c>
      <c r="X370" s="345">
        <f t="shared" si="134"/>
        <v>0</v>
      </c>
      <c r="Y370" s="345">
        <f t="shared" si="135"/>
        <v>0</v>
      </c>
      <c r="Z370" s="345">
        <f>IF(Q370&lt;&gt;"",VLOOKUP(Y370,TIME!$R$21:$V$24,MATCH(FC_DATA!Q370,TIME!$R$20:$V$20,0),FALSE),H370)</f>
        <v>0</v>
      </c>
      <c r="AA370" s="345" t="str">
        <f>IFERROR(VLOOKUP(X370&amp;Z370,TIME!$A$12:$D$71,4,FALSE),"")</f>
        <v/>
      </c>
      <c r="AB370" s="592">
        <f t="shared" ca="1" si="136"/>
        <v>0</v>
      </c>
      <c r="AC370" s="593" t="e">
        <f ca="1">IF(ISBLANK(H370)=FALSE,IF(D370="BRAND.com",I370,IF(ISNA(VLOOKUP(_xlfn.CONCAT(X370,Z370),TIME!$M$40:$M$42,1,FALSE)),I370,VLOOKUP(_xlfn.CONCAT(D370,G370,H370),M_BUSAREA_FC!$AF$5:$AJ$10,5,FALSE)*HLOOKUP(_xlfn.CONCAT(F370,H370),ST_OVERVIEW!$G$99:$I$130,MATCH(_xlfn.CONCAT(D370,E370),ST_OVERVIEW!$F$99:$F$130,0),FALSE))),IF(D370="BRAND.com",VLOOKUP(_xlfn.CONCAT(C370,D370,E370,TIME!$F$1,Z370),HIS_SALES!$B$2:$V$4859,19,FALSE)*I370,VLOOKUP(_xlfn.CONCAT(D370,F370,G370),Q_BUSAREA_FC!$AE$5:$AI$12,5,FALSE)*HLOOKUP(_xlfn.CONCAT(FC_DATA!F370,FC_DATA!G370),LT_OVERVIEW!$I$99:$M$130,MATCH(_xlfn.CONCAT(D370,FC_DATA!E370),LT_OVERVIEW!$H$99:$H$130,0),FALSE)*IFERROR(VLOOKUP(_xlfn.CONCAT(C370,D370,E370,TIME!$F$1,Z370),HIS_SALES!$B$2:$V$4859,19,FALSE),0)))</f>
        <v>#N/A</v>
      </c>
      <c r="AD370" s="341">
        <f t="shared" ca="1" si="137"/>
        <v>0</v>
      </c>
      <c r="AE370" s="363" t="str">
        <f t="shared" si="138"/>
        <v/>
      </c>
      <c r="AF370" s="342" t="str">
        <f t="shared" si="139"/>
        <v/>
      </c>
      <c r="AG370" s="411" t="e">
        <f ca="1">VLOOKUP(_xlfn.CONCAT(U370,V370,W370,VLOOKUP(X370&amp;Y370,TIME!$L$27:$O$34,4,FALSE),Y370),HIS_SALES!$A$2:$R$5093,18,FALSE)</f>
        <v>#N/A</v>
      </c>
      <c r="AH370" s="412" t="e">
        <f ca="1">IFERROR(IF(AND(V370=V369,W370=W369),0.5*(AB370+AB369)*AG370,(VLOOKUP(_xlfn.CONCAT(U370,V370,W370,X370,VLOOKUP(Z370,TIME!$S$28:$T$39,2,FALSE)),FC_DATA!$R$2:$AB$5000,MATCH("GS_I_M",FC_DATA!$R$1:$AB$1,0),FALSE)+FC_DATA!AB370)*0.5*FC_DATA!AG370),NA())</f>
        <v>#N/A</v>
      </c>
      <c r="AI370" s="491" t="e">
        <f ca="1">IF(V370="PARTNER.com",AH370,IF(AND(V370=V369,W370=W369),(1-AVERAGE(AD369,AD370))*AH370,(1-AVERAGE(AD370,VLOOKUP(_xlfn.CONCAT(U370,V370,W370,X370,M_BRAND_FC!$F$6),FC_DATA!$R$2:$AD$5000,MATCH("DISCOUNT_%_M",FC_DATA!$R$1:$AD$1,0),FALSE)))*AH370))</f>
        <v>#N/A</v>
      </c>
      <c r="AJ370" s="412" t="str">
        <f t="shared" ca="1" si="140"/>
        <v/>
      </c>
      <c r="AK370" s="413" t="str">
        <f>IFERROR(AE370/(Q_BRAND_FC!$T$24+1),"")</f>
        <v/>
      </c>
      <c r="AL370" s="88" t="str">
        <f t="shared" ca="1" si="141"/>
        <v/>
      </c>
      <c r="AM370" s="414" t="str">
        <f t="shared" ca="1" si="142"/>
        <v/>
      </c>
      <c r="AN370" s="58">
        <f>IFERROR(IF($V370="BRAND.com",HLOOKUP($X370&amp;$Z370,NWC_FC_NOOS!$C$4:$Q$23,MATCH(W370,NWC_FC_NOOS!$B$4:$B$23,0),FALSE),0),0)</f>
        <v>0</v>
      </c>
      <c r="AO370" s="57">
        <f>IFERROR(IF($V370="BRAND.com",HLOOKUP($X370&amp;$Z370,NWC_FC_NOOS!$T$4:$AH$23,MATCH(W370,NWC_FC_NOOS!$S$4:$S$23,0),FALSE),0),0)</f>
        <v>0</v>
      </c>
      <c r="AP370" s="57">
        <f>IFERROR(IF($V370="BRAND.com",HLOOKUP($X370&amp;$Z370,NWC_FC_NOOS!$C$50:$U$69,MATCH(W370,NWC_FC_NOOS!$B$50:$B$69,0),FALSE),0),0)</f>
        <v>0</v>
      </c>
      <c r="AQ370" s="58">
        <f>IFERROR(IF($V370="BRAND.com",HLOOKUP($X370&amp;$Z370,'NWC_FC_NON-NOOS'!$C$4:$Q$23,MATCH(W370,'NWC_FC_NON-NOOS'!$B$4:$B$23,0),FALSE),0),0)</f>
        <v>0</v>
      </c>
      <c r="AR370" s="57">
        <f>IFERROR(IF($V370="BRAND.com",HLOOKUP($X370&amp;$Z370,'NWC_FC_NON-NOOS'!$T$4:$AH$23,MATCH(W370,'NWC_FC_NON-NOOS'!$S$4:$S$23,0),FALSE),0),0)</f>
        <v>0</v>
      </c>
      <c r="AS370" s="57">
        <f>IFERROR(IF($V370="BRAND.com",HLOOKUP($X370&amp;$Z370,'NWC_FC_NON-NOOS'!$C$50:$U$69,MATCH(W370,'NWC_FC_NON-NOOS'!$B$50:$B$69,0),FALSE),0),0)</f>
        <v>0</v>
      </c>
      <c r="AT370" s="57">
        <f t="shared" si="144"/>
        <v>0</v>
      </c>
      <c r="AU370" s="57">
        <f t="shared" si="145"/>
        <v>0</v>
      </c>
      <c r="AV370" s="58">
        <f>IFERROR(IF($V370="BRAND.com",HLOOKUP($X370&amp;$Z370,PLANNING_FC!$BB$27:$BP$46,MATCH($W370,PLANNING_FC!$BA$27:$BA$46,0),FALSE),0),0)</f>
        <v>0</v>
      </c>
      <c r="AW370" s="58">
        <f>IFERROR(IF($V370="BRAND.com",HLOOKUP($X370&amp;$Z370,PLANNING_FC!$BB$4:$BP$23,MATCH($W370,PLANNING_FC!$BA$4:$BA$23,0),FALSE),0),0)</f>
        <v>0</v>
      </c>
      <c r="AX370" s="58">
        <f>IFERROR(IF($V370="BRAND.com",HLOOKUP($X370&amp;$Z370,PLANNING_FC!$T$27:$AH$46,MATCH($W370,PLANNING_FC!$B$27:$B$46,0),FALSE),0),0)</f>
        <v>0</v>
      </c>
      <c r="AY370" s="58">
        <f>IFERROR(IF($V370="BRAND.com",HLOOKUP($X370&amp;$Z370,PLANNING_FC!$T$4:$AH$23,MATCH($W370,PLANNING_FC!$B$4:$B$23,0),FALSE),0),0)</f>
        <v>0</v>
      </c>
      <c r="AZ370" s="58">
        <f>IFERROR(IF($V370="BRAND.com",HLOOKUP($X370&amp;$Z370,PLANNING_FC!$DA$27:$DO$46,MATCH($W370,PLANNING_FC!$CZ$27:$CZ$46,0),FALSE),0),0)</f>
        <v>0</v>
      </c>
      <c r="BA370" s="58">
        <f>IFERROR(IF($V370="BRAND.com",HLOOKUP($X370&amp;$Z370,PLANNING_FC!$DA$4:$DO$23,MATCH($W370,PLANNING_FC!$CZ$4:$CZ$23,0),FALSE),0),0)</f>
        <v>0</v>
      </c>
      <c r="BB370" s="883" t="str">
        <f>IF(V370="BRAND.com",IFERROR(HLOOKUP(X370&amp;Z370,PLANNING_FC!$AK$4:$AY$23,MATCH(W370,PLANNING_FC!$AJ$4:$AJ$23,0),FALSE)*1000,""),"")</f>
        <v/>
      </c>
      <c r="BC370" s="883" t="str">
        <f>IF(V370="BRAND.com",IFERROR(HLOOKUP(X370&amp;Z370,PLANNING_FC!$AK$27:$AY$46,MATCH(W370,PLANNING_FC!$AJ$27:$AJ$46,0),FALSE)*1000,""),"")</f>
        <v/>
      </c>
    </row>
    <row r="371" spans="1:55" x14ac:dyDescent="0.25">
      <c r="A371" s="509"/>
      <c r="B371" s="509"/>
      <c r="C371" s="509"/>
      <c r="D371" s="509"/>
      <c r="E371" s="509"/>
      <c r="F371" s="509"/>
      <c r="G371" s="509"/>
      <c r="H371" s="509"/>
      <c r="I371" s="512"/>
      <c r="J371" s="513"/>
      <c r="K371" s="879"/>
      <c r="L371" s="515"/>
      <c r="M371" s="516"/>
      <c r="N371" s="56">
        <f t="shared" si="126"/>
        <v>0</v>
      </c>
      <c r="O371" s="57">
        <f t="shared" si="127"/>
        <v>0</v>
      </c>
      <c r="P371" s="57">
        <f ca="1">IFERROR(IF(ISBLANK(H371),SUMIFS($AC:$AC,$V:$V,V371,$W:$W,W371,$X:$X,X371,$Y:$Y,Y371)*J371/(1-J371)*VLOOKUP(_xlfn.CONCAT(C371,D371,E371,TIME!$M$12,Z371),HIS_SALES!$B$2:$W$4859,20,FALSE),AC371*J371/(1-J371)),0)</f>
        <v>0</v>
      </c>
      <c r="Q371" s="541" t="str">
        <f t="shared" si="128"/>
        <v/>
      </c>
      <c r="R371" s="346" t="str">
        <f t="shared" si="129"/>
        <v>00000</v>
      </c>
      <c r="S371" s="344">
        <f t="shared" si="130"/>
        <v>0</v>
      </c>
      <c r="T371" s="345" t="str">
        <f t="shared" si="143"/>
        <v>000</v>
      </c>
      <c r="U371" s="345">
        <f t="shared" si="131"/>
        <v>0</v>
      </c>
      <c r="V371" s="345">
        <f t="shared" si="132"/>
        <v>0</v>
      </c>
      <c r="W371" s="345">
        <f t="shared" si="133"/>
        <v>0</v>
      </c>
      <c r="X371" s="345">
        <f t="shared" si="134"/>
        <v>0</v>
      </c>
      <c r="Y371" s="345">
        <f t="shared" si="135"/>
        <v>0</v>
      </c>
      <c r="Z371" s="345">
        <f>IF(Q371&lt;&gt;"",VLOOKUP(Y371,TIME!$R$21:$V$24,MATCH(FC_DATA!Q371,TIME!$R$20:$V$20,0),FALSE),H371)</f>
        <v>0</v>
      </c>
      <c r="AA371" s="345" t="str">
        <f>IFERROR(VLOOKUP(X371&amp;Z371,TIME!$A$12:$D$71,4,FALSE),"")</f>
        <v/>
      </c>
      <c r="AB371" s="592">
        <f t="shared" ca="1" si="136"/>
        <v>0</v>
      </c>
      <c r="AC371" s="593" t="e">
        <f ca="1">IF(ISBLANK(H371)=FALSE,IF(D371="BRAND.com",I371,IF(ISNA(VLOOKUP(_xlfn.CONCAT(X371,Z371),TIME!$M$40:$M$42,1,FALSE)),I371,VLOOKUP(_xlfn.CONCAT(D371,G371,H371),M_BUSAREA_FC!$AF$5:$AJ$10,5,FALSE)*HLOOKUP(_xlfn.CONCAT(F371,H371),ST_OVERVIEW!$G$99:$I$130,MATCH(_xlfn.CONCAT(D371,E371),ST_OVERVIEW!$F$99:$F$130,0),FALSE))),IF(D371="BRAND.com",VLOOKUP(_xlfn.CONCAT(C371,D371,E371,TIME!$F$1,Z371),HIS_SALES!$B$2:$V$4859,19,FALSE)*I371,VLOOKUP(_xlfn.CONCAT(D371,F371,G371),Q_BUSAREA_FC!$AE$5:$AI$12,5,FALSE)*HLOOKUP(_xlfn.CONCAT(FC_DATA!F371,FC_DATA!G371),LT_OVERVIEW!$I$99:$M$130,MATCH(_xlfn.CONCAT(D371,FC_DATA!E371),LT_OVERVIEW!$H$99:$H$130,0),FALSE)*IFERROR(VLOOKUP(_xlfn.CONCAT(C371,D371,E371,TIME!$F$1,Z371),HIS_SALES!$B$2:$V$4859,19,FALSE),0)))</f>
        <v>#N/A</v>
      </c>
      <c r="AD371" s="341">
        <f t="shared" ca="1" si="137"/>
        <v>0</v>
      </c>
      <c r="AE371" s="363" t="str">
        <f t="shared" si="138"/>
        <v/>
      </c>
      <c r="AF371" s="342" t="str">
        <f t="shared" si="139"/>
        <v/>
      </c>
      <c r="AG371" s="411" t="e">
        <f ca="1">VLOOKUP(_xlfn.CONCAT(U371,V371,W371,VLOOKUP(X371&amp;Y371,TIME!$L$27:$O$34,4,FALSE),Y371),HIS_SALES!$A$2:$R$5093,18,FALSE)</f>
        <v>#N/A</v>
      </c>
      <c r="AH371" s="412" t="e">
        <f ca="1">IFERROR(IF(AND(V371=V370,W371=W370),0.5*(AB371+AB370)*AG371,(VLOOKUP(_xlfn.CONCAT(U371,V371,W371,X371,VLOOKUP(Z371,TIME!$S$28:$T$39,2,FALSE)),FC_DATA!$R$2:$AB$5000,MATCH("GS_I_M",FC_DATA!$R$1:$AB$1,0),FALSE)+FC_DATA!AB371)*0.5*FC_DATA!AG371),NA())</f>
        <v>#N/A</v>
      </c>
      <c r="AI371" s="491" t="e">
        <f ca="1">IF(V371="PARTNER.com",AH371,IF(AND(V371=V370,W371=W370),(1-AVERAGE(AD370,AD371))*AH371,(1-AVERAGE(AD371,VLOOKUP(_xlfn.CONCAT(U371,V371,W371,X371,M_BRAND_FC!$F$6),FC_DATA!$R$2:$AD$5000,MATCH("DISCOUNT_%_M",FC_DATA!$R$1:$AD$1,0),FALSE)))*AH371))</f>
        <v>#N/A</v>
      </c>
      <c r="AJ371" s="412" t="str">
        <f t="shared" ca="1" si="140"/>
        <v/>
      </c>
      <c r="AK371" s="413" t="str">
        <f>IFERROR(AE371/(Q_BRAND_FC!$T$24+1),"")</f>
        <v/>
      </c>
      <c r="AL371" s="88" t="str">
        <f t="shared" ca="1" si="141"/>
        <v/>
      </c>
      <c r="AM371" s="414" t="str">
        <f t="shared" ca="1" si="142"/>
        <v/>
      </c>
      <c r="AN371" s="58">
        <f>IFERROR(IF($V371="BRAND.com",HLOOKUP($X371&amp;$Z371,NWC_FC_NOOS!$C$4:$Q$23,MATCH(W371,NWC_FC_NOOS!$B$4:$B$23,0),FALSE),0),0)</f>
        <v>0</v>
      </c>
      <c r="AO371" s="57">
        <f>IFERROR(IF($V371="BRAND.com",HLOOKUP($X371&amp;$Z371,NWC_FC_NOOS!$T$4:$AH$23,MATCH(W371,NWC_FC_NOOS!$S$4:$S$23,0),FALSE),0),0)</f>
        <v>0</v>
      </c>
      <c r="AP371" s="57">
        <f>IFERROR(IF($V371="BRAND.com",HLOOKUP($X371&amp;$Z371,NWC_FC_NOOS!$C$50:$U$69,MATCH(W371,NWC_FC_NOOS!$B$50:$B$69,0),FALSE),0),0)</f>
        <v>0</v>
      </c>
      <c r="AQ371" s="58">
        <f>IFERROR(IF($V371="BRAND.com",HLOOKUP($X371&amp;$Z371,'NWC_FC_NON-NOOS'!$C$4:$Q$23,MATCH(W371,'NWC_FC_NON-NOOS'!$B$4:$B$23,0),FALSE),0),0)</f>
        <v>0</v>
      </c>
      <c r="AR371" s="57">
        <f>IFERROR(IF($V371="BRAND.com",HLOOKUP($X371&amp;$Z371,'NWC_FC_NON-NOOS'!$T$4:$AH$23,MATCH(W371,'NWC_FC_NON-NOOS'!$S$4:$S$23,0),FALSE),0),0)</f>
        <v>0</v>
      </c>
      <c r="AS371" s="57">
        <f>IFERROR(IF($V371="BRAND.com",HLOOKUP($X371&amp;$Z371,'NWC_FC_NON-NOOS'!$C$50:$U$69,MATCH(W371,'NWC_FC_NON-NOOS'!$B$50:$B$69,0),FALSE),0),0)</f>
        <v>0</v>
      </c>
      <c r="AT371" s="57">
        <f t="shared" si="144"/>
        <v>0</v>
      </c>
      <c r="AU371" s="57">
        <f t="shared" si="145"/>
        <v>0</v>
      </c>
      <c r="AV371" s="58">
        <f>IFERROR(IF($V371="BRAND.com",HLOOKUP($X371&amp;$Z371,PLANNING_FC!$BB$27:$BP$46,MATCH($W371,PLANNING_FC!$BA$27:$BA$46,0),FALSE),0),0)</f>
        <v>0</v>
      </c>
      <c r="AW371" s="58">
        <f>IFERROR(IF($V371="BRAND.com",HLOOKUP($X371&amp;$Z371,PLANNING_FC!$BB$4:$BP$23,MATCH($W371,PLANNING_FC!$BA$4:$BA$23,0),FALSE),0),0)</f>
        <v>0</v>
      </c>
      <c r="AX371" s="58">
        <f>IFERROR(IF($V371="BRAND.com",HLOOKUP($X371&amp;$Z371,PLANNING_FC!$T$27:$AH$46,MATCH($W371,PLANNING_FC!$B$27:$B$46,0),FALSE),0),0)</f>
        <v>0</v>
      </c>
      <c r="AY371" s="58">
        <f>IFERROR(IF($V371="BRAND.com",HLOOKUP($X371&amp;$Z371,PLANNING_FC!$T$4:$AH$23,MATCH($W371,PLANNING_FC!$B$4:$B$23,0),FALSE),0),0)</f>
        <v>0</v>
      </c>
      <c r="AZ371" s="58">
        <f>IFERROR(IF($V371="BRAND.com",HLOOKUP($X371&amp;$Z371,PLANNING_FC!$DA$27:$DO$46,MATCH($W371,PLANNING_FC!$CZ$27:$CZ$46,0),FALSE),0),0)</f>
        <v>0</v>
      </c>
      <c r="BA371" s="58">
        <f>IFERROR(IF($V371="BRAND.com",HLOOKUP($X371&amp;$Z371,PLANNING_FC!$DA$4:$DO$23,MATCH($W371,PLANNING_FC!$CZ$4:$CZ$23,0),FALSE),0),0)</f>
        <v>0</v>
      </c>
      <c r="BB371" s="883" t="str">
        <f>IF(V371="BRAND.com",IFERROR(HLOOKUP(X371&amp;Z371,PLANNING_FC!$AK$4:$AY$23,MATCH(W371,PLANNING_FC!$AJ$4:$AJ$23,0),FALSE)*1000,""),"")</f>
        <v/>
      </c>
      <c r="BC371" s="883" t="str">
        <f>IF(V371="BRAND.com",IFERROR(HLOOKUP(X371&amp;Z371,PLANNING_FC!$AK$27:$AY$46,MATCH(W371,PLANNING_FC!$AJ$27:$AJ$46,0),FALSE)*1000,""),"")</f>
        <v/>
      </c>
    </row>
    <row r="372" spans="1:55" x14ac:dyDescent="0.25">
      <c r="A372" s="509"/>
      <c r="B372" s="509"/>
      <c r="C372" s="509"/>
      <c r="D372" s="509"/>
      <c r="E372" s="509"/>
      <c r="F372" s="509"/>
      <c r="G372" s="509"/>
      <c r="H372" s="509"/>
      <c r="I372" s="512"/>
      <c r="J372" s="513"/>
      <c r="K372" s="879"/>
      <c r="L372" s="515"/>
      <c r="M372" s="516"/>
      <c r="N372" s="56">
        <f t="shared" si="126"/>
        <v>0</v>
      </c>
      <c r="O372" s="57">
        <f t="shared" si="127"/>
        <v>0</v>
      </c>
      <c r="P372" s="57">
        <f ca="1">IFERROR(IF(ISBLANK(H372),SUMIFS($AC:$AC,$V:$V,V372,$W:$W,W372,$X:$X,X372,$Y:$Y,Y372)*J372/(1-J372)*VLOOKUP(_xlfn.CONCAT(C372,D372,E372,TIME!$M$12,Z372),HIS_SALES!$B$2:$W$4859,20,FALSE),AC372*J372/(1-J372)),0)</f>
        <v>0</v>
      </c>
      <c r="Q372" s="541" t="str">
        <f t="shared" si="128"/>
        <v/>
      </c>
      <c r="R372" s="346" t="str">
        <f t="shared" si="129"/>
        <v>00000</v>
      </c>
      <c r="S372" s="344">
        <f t="shared" si="130"/>
        <v>0</v>
      </c>
      <c r="T372" s="345" t="str">
        <f t="shared" si="143"/>
        <v>000</v>
      </c>
      <c r="U372" s="345">
        <f t="shared" si="131"/>
        <v>0</v>
      </c>
      <c r="V372" s="345">
        <f t="shared" si="132"/>
        <v>0</v>
      </c>
      <c r="W372" s="345">
        <f t="shared" si="133"/>
        <v>0</v>
      </c>
      <c r="X372" s="345">
        <f t="shared" si="134"/>
        <v>0</v>
      </c>
      <c r="Y372" s="345">
        <f t="shared" si="135"/>
        <v>0</v>
      </c>
      <c r="Z372" s="345">
        <f>IF(Q372&lt;&gt;"",VLOOKUP(Y372,TIME!$R$21:$V$24,MATCH(FC_DATA!Q372,TIME!$R$20:$V$20,0),FALSE),H372)</f>
        <v>0</v>
      </c>
      <c r="AA372" s="345" t="str">
        <f>IFERROR(VLOOKUP(X372&amp;Z372,TIME!$A$12:$D$71,4,FALSE),"")</f>
        <v/>
      </c>
      <c r="AB372" s="592">
        <f t="shared" ca="1" si="136"/>
        <v>0</v>
      </c>
      <c r="AC372" s="593" t="e">
        <f ca="1">IF(ISBLANK(H372)=FALSE,IF(D372="BRAND.com",I372,IF(ISNA(VLOOKUP(_xlfn.CONCAT(X372,Z372),TIME!$M$40:$M$42,1,FALSE)),I372,VLOOKUP(_xlfn.CONCAT(D372,G372,H372),M_BUSAREA_FC!$AF$5:$AJ$10,5,FALSE)*HLOOKUP(_xlfn.CONCAT(F372,H372),ST_OVERVIEW!$G$99:$I$130,MATCH(_xlfn.CONCAT(D372,E372),ST_OVERVIEW!$F$99:$F$130,0),FALSE))),IF(D372="BRAND.com",VLOOKUP(_xlfn.CONCAT(C372,D372,E372,TIME!$F$1,Z372),HIS_SALES!$B$2:$V$4859,19,FALSE)*I372,VLOOKUP(_xlfn.CONCAT(D372,F372,G372),Q_BUSAREA_FC!$AE$5:$AI$12,5,FALSE)*HLOOKUP(_xlfn.CONCAT(FC_DATA!F372,FC_DATA!G372),LT_OVERVIEW!$I$99:$M$130,MATCH(_xlfn.CONCAT(D372,FC_DATA!E372),LT_OVERVIEW!$H$99:$H$130,0),FALSE)*IFERROR(VLOOKUP(_xlfn.CONCAT(C372,D372,E372,TIME!$F$1,Z372),HIS_SALES!$B$2:$V$4859,19,FALSE),0)))</f>
        <v>#N/A</v>
      </c>
      <c r="AD372" s="341">
        <f t="shared" ca="1" si="137"/>
        <v>0</v>
      </c>
      <c r="AE372" s="363" t="str">
        <f t="shared" si="138"/>
        <v/>
      </c>
      <c r="AF372" s="342" t="str">
        <f t="shared" si="139"/>
        <v/>
      </c>
      <c r="AG372" s="411" t="e">
        <f ca="1">VLOOKUP(_xlfn.CONCAT(U372,V372,W372,VLOOKUP(X372&amp;Y372,TIME!$L$27:$O$34,4,FALSE),Y372),HIS_SALES!$A$2:$R$5093,18,FALSE)</f>
        <v>#N/A</v>
      </c>
      <c r="AH372" s="412" t="e">
        <f ca="1">IFERROR(IF(AND(V372=V371,W372=W371),0.5*(AB372+AB371)*AG372,(VLOOKUP(_xlfn.CONCAT(U372,V372,W372,X372,VLOOKUP(Z372,TIME!$S$28:$T$39,2,FALSE)),FC_DATA!$R$2:$AB$5000,MATCH("GS_I_M",FC_DATA!$R$1:$AB$1,0),FALSE)+FC_DATA!AB372)*0.5*FC_DATA!AG372),NA())</f>
        <v>#N/A</v>
      </c>
      <c r="AI372" s="491" t="e">
        <f ca="1">IF(V372="PARTNER.com",AH372,IF(AND(V372=V371,W372=W371),(1-AVERAGE(AD371,AD372))*AH372,(1-AVERAGE(AD372,VLOOKUP(_xlfn.CONCAT(U372,V372,W372,X372,M_BRAND_FC!$F$6),FC_DATA!$R$2:$AD$5000,MATCH("DISCOUNT_%_M",FC_DATA!$R$1:$AD$1,0),FALSE)))*AH372))</f>
        <v>#N/A</v>
      </c>
      <c r="AJ372" s="412" t="str">
        <f t="shared" ca="1" si="140"/>
        <v/>
      </c>
      <c r="AK372" s="413" t="str">
        <f>IFERROR(AE372/(Q_BRAND_FC!$T$24+1),"")</f>
        <v/>
      </c>
      <c r="AL372" s="88" t="str">
        <f t="shared" ca="1" si="141"/>
        <v/>
      </c>
      <c r="AM372" s="414" t="str">
        <f t="shared" ca="1" si="142"/>
        <v/>
      </c>
      <c r="AN372" s="58">
        <f>IFERROR(IF($V372="BRAND.com",HLOOKUP($X372&amp;$Z372,NWC_FC_NOOS!$C$4:$Q$23,MATCH(W372,NWC_FC_NOOS!$B$4:$B$23,0),FALSE),0),0)</f>
        <v>0</v>
      </c>
      <c r="AO372" s="57">
        <f>IFERROR(IF($V372="BRAND.com",HLOOKUP($X372&amp;$Z372,NWC_FC_NOOS!$T$4:$AH$23,MATCH(W372,NWC_FC_NOOS!$S$4:$S$23,0),FALSE),0),0)</f>
        <v>0</v>
      </c>
      <c r="AP372" s="57">
        <f>IFERROR(IF($V372="BRAND.com",HLOOKUP($X372&amp;$Z372,NWC_FC_NOOS!$C$50:$U$69,MATCH(W372,NWC_FC_NOOS!$B$50:$B$69,0),FALSE),0),0)</f>
        <v>0</v>
      </c>
      <c r="AQ372" s="58">
        <f>IFERROR(IF($V372="BRAND.com",HLOOKUP($X372&amp;$Z372,'NWC_FC_NON-NOOS'!$C$4:$Q$23,MATCH(W372,'NWC_FC_NON-NOOS'!$B$4:$B$23,0),FALSE),0),0)</f>
        <v>0</v>
      </c>
      <c r="AR372" s="57">
        <f>IFERROR(IF($V372="BRAND.com",HLOOKUP($X372&amp;$Z372,'NWC_FC_NON-NOOS'!$T$4:$AH$23,MATCH(W372,'NWC_FC_NON-NOOS'!$S$4:$S$23,0),FALSE),0),0)</f>
        <v>0</v>
      </c>
      <c r="AS372" s="57">
        <f>IFERROR(IF($V372="BRAND.com",HLOOKUP($X372&amp;$Z372,'NWC_FC_NON-NOOS'!$C$50:$U$69,MATCH(W372,'NWC_FC_NON-NOOS'!$B$50:$B$69,0),FALSE),0),0)</f>
        <v>0</v>
      </c>
      <c r="AT372" s="57">
        <f t="shared" si="144"/>
        <v>0</v>
      </c>
      <c r="AU372" s="57">
        <f t="shared" si="145"/>
        <v>0</v>
      </c>
      <c r="AV372" s="58">
        <f>IFERROR(IF($V372="BRAND.com",HLOOKUP($X372&amp;$Z372,PLANNING_FC!$BB$27:$BP$46,MATCH($W372,PLANNING_FC!$BA$27:$BA$46,0),FALSE),0),0)</f>
        <v>0</v>
      </c>
      <c r="AW372" s="58">
        <f>IFERROR(IF($V372="BRAND.com",HLOOKUP($X372&amp;$Z372,PLANNING_FC!$BB$4:$BP$23,MATCH($W372,PLANNING_FC!$BA$4:$BA$23,0),FALSE),0),0)</f>
        <v>0</v>
      </c>
      <c r="AX372" s="58">
        <f>IFERROR(IF($V372="BRAND.com",HLOOKUP($X372&amp;$Z372,PLANNING_FC!$T$27:$AH$46,MATCH($W372,PLANNING_FC!$B$27:$B$46,0),FALSE),0),0)</f>
        <v>0</v>
      </c>
      <c r="AY372" s="58">
        <f>IFERROR(IF($V372="BRAND.com",HLOOKUP($X372&amp;$Z372,PLANNING_FC!$T$4:$AH$23,MATCH($W372,PLANNING_FC!$B$4:$B$23,0),FALSE),0),0)</f>
        <v>0</v>
      </c>
      <c r="AZ372" s="58">
        <f>IFERROR(IF($V372="BRAND.com",HLOOKUP($X372&amp;$Z372,PLANNING_FC!$DA$27:$DO$46,MATCH($W372,PLANNING_FC!$CZ$27:$CZ$46,0),FALSE),0),0)</f>
        <v>0</v>
      </c>
      <c r="BA372" s="58">
        <f>IFERROR(IF($V372="BRAND.com",HLOOKUP($X372&amp;$Z372,PLANNING_FC!$DA$4:$DO$23,MATCH($W372,PLANNING_FC!$CZ$4:$CZ$23,0),FALSE),0),0)</f>
        <v>0</v>
      </c>
      <c r="BB372" s="883" t="str">
        <f>IF(V372="BRAND.com",IFERROR(HLOOKUP(X372&amp;Z372,PLANNING_FC!$AK$4:$AY$23,MATCH(W372,PLANNING_FC!$AJ$4:$AJ$23,0),FALSE)*1000,""),"")</f>
        <v/>
      </c>
      <c r="BC372" s="883" t="str">
        <f>IF(V372="BRAND.com",IFERROR(HLOOKUP(X372&amp;Z372,PLANNING_FC!$AK$27:$AY$46,MATCH(W372,PLANNING_FC!$AJ$27:$AJ$46,0),FALSE)*1000,""),"")</f>
        <v/>
      </c>
    </row>
    <row r="373" spans="1:55" x14ac:dyDescent="0.25">
      <c r="A373" s="509"/>
      <c r="B373" s="509"/>
      <c r="C373" s="509"/>
      <c r="D373" s="509"/>
      <c r="E373" s="509"/>
      <c r="F373" s="509"/>
      <c r="G373" s="509"/>
      <c r="H373" s="509"/>
      <c r="I373" s="512"/>
      <c r="J373" s="513"/>
      <c r="K373" s="879"/>
      <c r="L373" s="515"/>
      <c r="M373" s="516"/>
      <c r="N373" s="56">
        <f t="shared" si="126"/>
        <v>0</v>
      </c>
      <c r="O373" s="57">
        <f t="shared" si="127"/>
        <v>0</v>
      </c>
      <c r="P373" s="57">
        <f ca="1">IFERROR(IF(ISBLANK(H373),SUMIFS($AC:$AC,$V:$V,V373,$W:$W,W373,$X:$X,X373,$Y:$Y,Y373)*J373/(1-J373)*VLOOKUP(_xlfn.CONCAT(C373,D373,E373,TIME!$M$12,Z373),HIS_SALES!$B$2:$W$4859,20,FALSE),AC373*J373/(1-J373)),0)</f>
        <v>0</v>
      </c>
      <c r="Q373" s="541" t="str">
        <f t="shared" si="128"/>
        <v/>
      </c>
      <c r="R373" s="346" t="str">
        <f t="shared" si="129"/>
        <v>00000</v>
      </c>
      <c r="S373" s="344">
        <f t="shared" si="130"/>
        <v>0</v>
      </c>
      <c r="T373" s="345" t="str">
        <f t="shared" si="143"/>
        <v>000</v>
      </c>
      <c r="U373" s="345">
        <f t="shared" si="131"/>
        <v>0</v>
      </c>
      <c r="V373" s="345">
        <f t="shared" si="132"/>
        <v>0</v>
      </c>
      <c r="W373" s="345">
        <f t="shared" si="133"/>
        <v>0</v>
      </c>
      <c r="X373" s="345">
        <f t="shared" si="134"/>
        <v>0</v>
      </c>
      <c r="Y373" s="345">
        <f t="shared" si="135"/>
        <v>0</v>
      </c>
      <c r="Z373" s="345">
        <f>IF(Q373&lt;&gt;"",VLOOKUP(Y373,TIME!$R$21:$V$24,MATCH(FC_DATA!Q373,TIME!$R$20:$V$20,0),FALSE),H373)</f>
        <v>0</v>
      </c>
      <c r="AA373" s="345" t="str">
        <f>IFERROR(VLOOKUP(X373&amp;Z373,TIME!$A$12:$D$71,4,FALSE),"")</f>
        <v/>
      </c>
      <c r="AB373" s="592">
        <f t="shared" ca="1" si="136"/>
        <v>0</v>
      </c>
      <c r="AC373" s="593" t="e">
        <f ca="1">IF(ISBLANK(H373)=FALSE,IF(D373="BRAND.com",I373,IF(ISNA(VLOOKUP(_xlfn.CONCAT(X373,Z373),TIME!$M$40:$M$42,1,FALSE)),I373,VLOOKUP(_xlfn.CONCAT(D373,G373,H373),M_BUSAREA_FC!$AF$5:$AJ$10,5,FALSE)*HLOOKUP(_xlfn.CONCAT(F373,H373),ST_OVERVIEW!$G$99:$I$130,MATCH(_xlfn.CONCAT(D373,E373),ST_OVERVIEW!$F$99:$F$130,0),FALSE))),IF(D373="BRAND.com",VLOOKUP(_xlfn.CONCAT(C373,D373,E373,TIME!$F$1,Z373),HIS_SALES!$B$2:$V$4859,19,FALSE)*I373,VLOOKUP(_xlfn.CONCAT(D373,F373,G373),Q_BUSAREA_FC!$AE$5:$AI$12,5,FALSE)*HLOOKUP(_xlfn.CONCAT(FC_DATA!F373,FC_DATA!G373),LT_OVERVIEW!$I$99:$M$130,MATCH(_xlfn.CONCAT(D373,FC_DATA!E373),LT_OVERVIEW!$H$99:$H$130,0),FALSE)*IFERROR(VLOOKUP(_xlfn.CONCAT(C373,D373,E373,TIME!$F$1,Z373),HIS_SALES!$B$2:$V$4859,19,FALSE),0)))</f>
        <v>#N/A</v>
      </c>
      <c r="AD373" s="341">
        <f t="shared" ca="1" si="137"/>
        <v>0</v>
      </c>
      <c r="AE373" s="363" t="str">
        <f t="shared" si="138"/>
        <v/>
      </c>
      <c r="AF373" s="342" t="str">
        <f t="shared" si="139"/>
        <v/>
      </c>
      <c r="AG373" s="411" t="e">
        <f ca="1">VLOOKUP(_xlfn.CONCAT(U373,V373,W373,VLOOKUP(X373&amp;Y373,TIME!$L$27:$O$34,4,FALSE),Y373),HIS_SALES!$A$2:$R$5093,18,FALSE)</f>
        <v>#N/A</v>
      </c>
      <c r="AH373" s="412" t="e">
        <f ca="1">IFERROR(IF(AND(V373=V372,W373=W372),0.5*(AB373+AB372)*AG373,(VLOOKUP(_xlfn.CONCAT(U373,V373,W373,X373,VLOOKUP(Z373,TIME!$S$28:$T$39,2,FALSE)),FC_DATA!$R$2:$AB$5000,MATCH("GS_I_M",FC_DATA!$R$1:$AB$1,0),FALSE)+FC_DATA!AB373)*0.5*FC_DATA!AG373),NA())</f>
        <v>#N/A</v>
      </c>
      <c r="AI373" s="491" t="e">
        <f ca="1">IF(V373="PARTNER.com",AH373,IF(AND(V373=V372,W373=W372),(1-AVERAGE(AD372,AD373))*AH373,(1-AVERAGE(AD373,VLOOKUP(_xlfn.CONCAT(U373,V373,W373,X373,M_BRAND_FC!$F$6),FC_DATA!$R$2:$AD$5000,MATCH("DISCOUNT_%_M",FC_DATA!$R$1:$AD$1,0),FALSE)))*AH373))</f>
        <v>#N/A</v>
      </c>
      <c r="AJ373" s="412" t="str">
        <f t="shared" ca="1" si="140"/>
        <v/>
      </c>
      <c r="AK373" s="413" t="str">
        <f>IFERROR(AE373/(Q_BRAND_FC!$T$24+1),"")</f>
        <v/>
      </c>
      <c r="AL373" s="88" t="str">
        <f t="shared" ca="1" si="141"/>
        <v/>
      </c>
      <c r="AM373" s="414" t="str">
        <f t="shared" ca="1" si="142"/>
        <v/>
      </c>
      <c r="AN373" s="58">
        <f>IFERROR(IF($V373="BRAND.com",HLOOKUP($X373&amp;$Z373,NWC_FC_NOOS!$C$4:$Q$23,MATCH(W373,NWC_FC_NOOS!$B$4:$B$23,0),FALSE),0),0)</f>
        <v>0</v>
      </c>
      <c r="AO373" s="57">
        <f>IFERROR(IF($V373="BRAND.com",HLOOKUP($X373&amp;$Z373,NWC_FC_NOOS!$T$4:$AH$23,MATCH(W373,NWC_FC_NOOS!$S$4:$S$23,0),FALSE),0),0)</f>
        <v>0</v>
      </c>
      <c r="AP373" s="57">
        <f>IFERROR(IF($V373="BRAND.com",HLOOKUP($X373&amp;$Z373,NWC_FC_NOOS!$C$50:$U$69,MATCH(W373,NWC_FC_NOOS!$B$50:$B$69,0),FALSE),0),0)</f>
        <v>0</v>
      </c>
      <c r="AQ373" s="58">
        <f>IFERROR(IF($V373="BRAND.com",HLOOKUP($X373&amp;$Z373,'NWC_FC_NON-NOOS'!$C$4:$Q$23,MATCH(W373,'NWC_FC_NON-NOOS'!$B$4:$B$23,0),FALSE),0),0)</f>
        <v>0</v>
      </c>
      <c r="AR373" s="57">
        <f>IFERROR(IF($V373="BRAND.com",HLOOKUP($X373&amp;$Z373,'NWC_FC_NON-NOOS'!$T$4:$AH$23,MATCH(W373,'NWC_FC_NON-NOOS'!$S$4:$S$23,0),FALSE),0),0)</f>
        <v>0</v>
      </c>
      <c r="AS373" s="57">
        <f>IFERROR(IF($V373="BRAND.com",HLOOKUP($X373&amp;$Z373,'NWC_FC_NON-NOOS'!$C$50:$U$69,MATCH(W373,'NWC_FC_NON-NOOS'!$B$50:$B$69,0),FALSE),0),0)</f>
        <v>0</v>
      </c>
      <c r="AT373" s="57">
        <f t="shared" si="144"/>
        <v>0</v>
      </c>
      <c r="AU373" s="57">
        <f t="shared" si="145"/>
        <v>0</v>
      </c>
      <c r="AV373" s="58">
        <f>IFERROR(IF($V373="BRAND.com",HLOOKUP($X373&amp;$Z373,PLANNING_FC!$BB$27:$BP$46,MATCH($W373,PLANNING_FC!$BA$27:$BA$46,0),FALSE),0),0)</f>
        <v>0</v>
      </c>
      <c r="AW373" s="58">
        <f>IFERROR(IF($V373="BRAND.com",HLOOKUP($X373&amp;$Z373,PLANNING_FC!$BB$4:$BP$23,MATCH($W373,PLANNING_FC!$BA$4:$BA$23,0),FALSE),0),0)</f>
        <v>0</v>
      </c>
      <c r="AX373" s="58">
        <f>IFERROR(IF($V373="BRAND.com",HLOOKUP($X373&amp;$Z373,PLANNING_FC!$T$27:$AH$46,MATCH($W373,PLANNING_FC!$B$27:$B$46,0),FALSE),0),0)</f>
        <v>0</v>
      </c>
      <c r="AY373" s="58">
        <f>IFERROR(IF($V373="BRAND.com",HLOOKUP($X373&amp;$Z373,PLANNING_FC!$T$4:$AH$23,MATCH($W373,PLANNING_FC!$B$4:$B$23,0),FALSE),0),0)</f>
        <v>0</v>
      </c>
      <c r="AZ373" s="58">
        <f>IFERROR(IF($V373="BRAND.com",HLOOKUP($X373&amp;$Z373,PLANNING_FC!$DA$27:$DO$46,MATCH($W373,PLANNING_FC!$CZ$27:$CZ$46,0),FALSE),0),0)</f>
        <v>0</v>
      </c>
      <c r="BA373" s="58">
        <f>IFERROR(IF($V373="BRAND.com",HLOOKUP($X373&amp;$Z373,PLANNING_FC!$DA$4:$DO$23,MATCH($W373,PLANNING_FC!$CZ$4:$CZ$23,0),FALSE),0),0)</f>
        <v>0</v>
      </c>
      <c r="BB373" s="883" t="str">
        <f>IF(V373="BRAND.com",IFERROR(HLOOKUP(X373&amp;Z373,PLANNING_FC!$AK$4:$AY$23,MATCH(W373,PLANNING_FC!$AJ$4:$AJ$23,0),FALSE)*1000,""),"")</f>
        <v/>
      </c>
      <c r="BC373" s="883" t="str">
        <f>IF(V373="BRAND.com",IFERROR(HLOOKUP(X373&amp;Z373,PLANNING_FC!$AK$27:$AY$46,MATCH(W373,PLANNING_FC!$AJ$27:$AJ$46,0),FALSE)*1000,""),"")</f>
        <v/>
      </c>
    </row>
    <row r="374" spans="1:55" x14ac:dyDescent="0.25">
      <c r="A374" s="509"/>
      <c r="B374" s="509"/>
      <c r="C374" s="509"/>
      <c r="D374" s="509"/>
      <c r="E374" s="509"/>
      <c r="F374" s="509"/>
      <c r="G374" s="509"/>
      <c r="H374" s="509"/>
      <c r="I374" s="512"/>
      <c r="J374" s="513"/>
      <c r="K374" s="879"/>
      <c r="L374" s="515"/>
      <c r="M374" s="516"/>
      <c r="N374" s="56">
        <f t="shared" si="126"/>
        <v>0</v>
      </c>
      <c r="O374" s="57">
        <f t="shared" si="127"/>
        <v>0</v>
      </c>
      <c r="P374" s="57">
        <f ca="1">IFERROR(IF(ISBLANK(H374),SUMIFS($AC:$AC,$V:$V,V374,$W:$W,W374,$X:$X,X374,$Y:$Y,Y374)*J374/(1-J374)*VLOOKUP(_xlfn.CONCAT(C374,D374,E374,TIME!$M$12,Z374),HIS_SALES!$B$2:$W$4859,20,FALSE),AC374*J374/(1-J374)),0)</f>
        <v>0</v>
      </c>
      <c r="Q374" s="541" t="str">
        <f t="shared" si="128"/>
        <v/>
      </c>
      <c r="R374" s="346" t="str">
        <f t="shared" si="129"/>
        <v>00000</v>
      </c>
      <c r="S374" s="344">
        <f t="shared" si="130"/>
        <v>0</v>
      </c>
      <c r="T374" s="345" t="str">
        <f t="shared" si="143"/>
        <v>000</v>
      </c>
      <c r="U374" s="345">
        <f t="shared" si="131"/>
        <v>0</v>
      </c>
      <c r="V374" s="345">
        <f t="shared" si="132"/>
        <v>0</v>
      </c>
      <c r="W374" s="345">
        <f t="shared" si="133"/>
        <v>0</v>
      </c>
      <c r="X374" s="345">
        <f t="shared" si="134"/>
        <v>0</v>
      </c>
      <c r="Y374" s="345">
        <f t="shared" si="135"/>
        <v>0</v>
      </c>
      <c r="Z374" s="345">
        <f>IF(Q374&lt;&gt;"",VLOOKUP(Y374,TIME!$R$21:$V$24,MATCH(FC_DATA!Q374,TIME!$R$20:$V$20,0),FALSE),H374)</f>
        <v>0</v>
      </c>
      <c r="AA374" s="345" t="str">
        <f>IFERROR(VLOOKUP(X374&amp;Z374,TIME!$A$12:$D$71,4,FALSE),"")</f>
        <v/>
      </c>
      <c r="AB374" s="592">
        <f t="shared" ca="1" si="136"/>
        <v>0</v>
      </c>
      <c r="AC374" s="593" t="e">
        <f ca="1">IF(ISBLANK(H374)=FALSE,IF(D374="BRAND.com",I374,IF(ISNA(VLOOKUP(_xlfn.CONCAT(X374,Z374),TIME!$M$40:$M$42,1,FALSE)),I374,VLOOKUP(_xlfn.CONCAT(D374,G374,H374),M_BUSAREA_FC!$AF$5:$AJ$10,5,FALSE)*HLOOKUP(_xlfn.CONCAT(F374,H374),ST_OVERVIEW!$G$99:$I$130,MATCH(_xlfn.CONCAT(D374,E374),ST_OVERVIEW!$F$99:$F$130,0),FALSE))),IF(D374="BRAND.com",VLOOKUP(_xlfn.CONCAT(C374,D374,E374,TIME!$F$1,Z374),HIS_SALES!$B$2:$V$4859,19,FALSE)*I374,VLOOKUP(_xlfn.CONCAT(D374,F374,G374),Q_BUSAREA_FC!$AE$5:$AI$12,5,FALSE)*HLOOKUP(_xlfn.CONCAT(FC_DATA!F374,FC_DATA!G374),LT_OVERVIEW!$I$99:$M$130,MATCH(_xlfn.CONCAT(D374,FC_DATA!E374),LT_OVERVIEW!$H$99:$H$130,0),FALSE)*IFERROR(VLOOKUP(_xlfn.CONCAT(C374,D374,E374,TIME!$F$1,Z374),HIS_SALES!$B$2:$V$4859,19,FALSE),0)))</f>
        <v>#N/A</v>
      </c>
      <c r="AD374" s="341">
        <f t="shared" ca="1" si="137"/>
        <v>0</v>
      </c>
      <c r="AE374" s="363" t="str">
        <f t="shared" si="138"/>
        <v/>
      </c>
      <c r="AF374" s="342" t="str">
        <f t="shared" si="139"/>
        <v/>
      </c>
      <c r="AG374" s="411" t="e">
        <f ca="1">VLOOKUP(_xlfn.CONCAT(U374,V374,W374,VLOOKUP(X374&amp;Y374,TIME!$L$27:$O$34,4,FALSE),Y374),HIS_SALES!$A$2:$R$5093,18,FALSE)</f>
        <v>#N/A</v>
      </c>
      <c r="AH374" s="412" t="e">
        <f ca="1">IFERROR(IF(AND(V374=V373,W374=W373),0.5*(AB374+AB373)*AG374,(VLOOKUP(_xlfn.CONCAT(U374,V374,W374,X374,VLOOKUP(Z374,TIME!$S$28:$T$39,2,FALSE)),FC_DATA!$R$2:$AB$5000,MATCH("GS_I_M",FC_DATA!$R$1:$AB$1,0),FALSE)+FC_DATA!AB374)*0.5*FC_DATA!AG374),NA())</f>
        <v>#N/A</v>
      </c>
      <c r="AI374" s="491" t="e">
        <f ca="1">IF(V374="PARTNER.com",AH374,IF(AND(V374=V373,W374=W373),(1-AVERAGE(AD373,AD374))*AH374,(1-AVERAGE(AD374,VLOOKUP(_xlfn.CONCAT(U374,V374,W374,X374,M_BRAND_FC!$F$6),FC_DATA!$R$2:$AD$5000,MATCH("DISCOUNT_%_M",FC_DATA!$R$1:$AD$1,0),FALSE)))*AH374))</f>
        <v>#N/A</v>
      </c>
      <c r="AJ374" s="412" t="str">
        <f t="shared" ca="1" si="140"/>
        <v/>
      </c>
      <c r="AK374" s="413" t="str">
        <f>IFERROR(AE374/(Q_BRAND_FC!$T$24+1),"")</f>
        <v/>
      </c>
      <c r="AL374" s="88" t="str">
        <f t="shared" ca="1" si="141"/>
        <v/>
      </c>
      <c r="AM374" s="414" t="str">
        <f t="shared" ca="1" si="142"/>
        <v/>
      </c>
      <c r="AN374" s="58">
        <f>IFERROR(IF($V374="BRAND.com",HLOOKUP($X374&amp;$Z374,NWC_FC_NOOS!$C$4:$Q$23,MATCH(W374,NWC_FC_NOOS!$B$4:$B$23,0),FALSE),0),0)</f>
        <v>0</v>
      </c>
      <c r="AO374" s="57">
        <f>IFERROR(IF($V374="BRAND.com",HLOOKUP($X374&amp;$Z374,NWC_FC_NOOS!$T$4:$AH$23,MATCH(W374,NWC_FC_NOOS!$S$4:$S$23,0),FALSE),0),0)</f>
        <v>0</v>
      </c>
      <c r="AP374" s="57">
        <f>IFERROR(IF($V374="BRAND.com",HLOOKUP($X374&amp;$Z374,NWC_FC_NOOS!$C$50:$U$69,MATCH(W374,NWC_FC_NOOS!$B$50:$B$69,0),FALSE),0),0)</f>
        <v>0</v>
      </c>
      <c r="AQ374" s="58">
        <f>IFERROR(IF($V374="BRAND.com",HLOOKUP($X374&amp;$Z374,'NWC_FC_NON-NOOS'!$C$4:$Q$23,MATCH(W374,'NWC_FC_NON-NOOS'!$B$4:$B$23,0),FALSE),0),0)</f>
        <v>0</v>
      </c>
      <c r="AR374" s="57">
        <f>IFERROR(IF($V374="BRAND.com",HLOOKUP($X374&amp;$Z374,'NWC_FC_NON-NOOS'!$T$4:$AH$23,MATCH(W374,'NWC_FC_NON-NOOS'!$S$4:$S$23,0),FALSE),0),0)</f>
        <v>0</v>
      </c>
      <c r="AS374" s="57">
        <f>IFERROR(IF($V374="BRAND.com",HLOOKUP($X374&amp;$Z374,'NWC_FC_NON-NOOS'!$C$50:$U$69,MATCH(W374,'NWC_FC_NON-NOOS'!$B$50:$B$69,0),FALSE),0),0)</f>
        <v>0</v>
      </c>
      <c r="AT374" s="57">
        <f t="shared" si="144"/>
        <v>0</v>
      </c>
      <c r="AU374" s="57">
        <f t="shared" si="145"/>
        <v>0</v>
      </c>
      <c r="AV374" s="58">
        <f>IFERROR(IF($V374="BRAND.com",HLOOKUP($X374&amp;$Z374,PLANNING_FC!$BB$27:$BP$46,MATCH($W374,PLANNING_FC!$BA$27:$BA$46,0),FALSE),0),0)</f>
        <v>0</v>
      </c>
      <c r="AW374" s="58">
        <f>IFERROR(IF($V374="BRAND.com",HLOOKUP($X374&amp;$Z374,PLANNING_FC!$BB$4:$BP$23,MATCH($W374,PLANNING_FC!$BA$4:$BA$23,0),FALSE),0),0)</f>
        <v>0</v>
      </c>
      <c r="AX374" s="58">
        <f>IFERROR(IF($V374="BRAND.com",HLOOKUP($X374&amp;$Z374,PLANNING_FC!$T$27:$AH$46,MATCH($W374,PLANNING_FC!$B$27:$B$46,0),FALSE),0),0)</f>
        <v>0</v>
      </c>
      <c r="AY374" s="58">
        <f>IFERROR(IF($V374="BRAND.com",HLOOKUP($X374&amp;$Z374,PLANNING_FC!$T$4:$AH$23,MATCH($W374,PLANNING_FC!$B$4:$B$23,0),FALSE),0),0)</f>
        <v>0</v>
      </c>
      <c r="AZ374" s="58">
        <f>IFERROR(IF($V374="BRAND.com",HLOOKUP($X374&amp;$Z374,PLANNING_FC!$DA$27:$DO$46,MATCH($W374,PLANNING_FC!$CZ$27:$CZ$46,0),FALSE),0),0)</f>
        <v>0</v>
      </c>
      <c r="BA374" s="58">
        <f>IFERROR(IF($V374="BRAND.com",HLOOKUP($X374&amp;$Z374,PLANNING_FC!$DA$4:$DO$23,MATCH($W374,PLANNING_FC!$CZ$4:$CZ$23,0),FALSE),0),0)</f>
        <v>0</v>
      </c>
      <c r="BB374" s="883" t="str">
        <f>IF(V374="BRAND.com",IFERROR(HLOOKUP(X374&amp;Z374,PLANNING_FC!$AK$4:$AY$23,MATCH(W374,PLANNING_FC!$AJ$4:$AJ$23,0),FALSE)*1000,""),"")</f>
        <v/>
      </c>
      <c r="BC374" s="883" t="str">
        <f>IF(V374="BRAND.com",IFERROR(HLOOKUP(X374&amp;Z374,PLANNING_FC!$AK$27:$AY$46,MATCH(W374,PLANNING_FC!$AJ$27:$AJ$46,0),FALSE)*1000,""),"")</f>
        <v/>
      </c>
    </row>
    <row r="375" spans="1:55" x14ac:dyDescent="0.25">
      <c r="A375" s="509"/>
      <c r="B375" s="509"/>
      <c r="C375" s="509"/>
      <c r="D375" s="509"/>
      <c r="E375" s="509"/>
      <c r="F375" s="509"/>
      <c r="G375" s="509"/>
      <c r="H375" s="509"/>
      <c r="I375" s="512"/>
      <c r="J375" s="513"/>
      <c r="K375" s="879"/>
      <c r="L375" s="515"/>
      <c r="M375" s="516"/>
      <c r="N375" s="56">
        <f t="shared" si="126"/>
        <v>0</v>
      </c>
      <c r="O375" s="57">
        <f t="shared" si="127"/>
        <v>0</v>
      </c>
      <c r="P375" s="57">
        <f ca="1">IFERROR(IF(ISBLANK(H375),SUMIFS($AC:$AC,$V:$V,V375,$W:$W,W375,$X:$X,X375,$Y:$Y,Y375)*J375/(1-J375)*VLOOKUP(_xlfn.CONCAT(C375,D375,E375,TIME!$M$12,Z375),HIS_SALES!$B$2:$W$4859,20,FALSE),AC375*J375/(1-J375)),0)</f>
        <v>0</v>
      </c>
      <c r="Q375" s="541" t="str">
        <f t="shared" si="128"/>
        <v/>
      </c>
      <c r="R375" s="346" t="str">
        <f t="shared" si="129"/>
        <v>00000</v>
      </c>
      <c r="S375" s="344">
        <f t="shared" si="130"/>
        <v>0</v>
      </c>
      <c r="T375" s="345" t="str">
        <f t="shared" si="143"/>
        <v>000</v>
      </c>
      <c r="U375" s="345">
        <f t="shared" si="131"/>
        <v>0</v>
      </c>
      <c r="V375" s="345">
        <f t="shared" si="132"/>
        <v>0</v>
      </c>
      <c r="W375" s="345">
        <f t="shared" si="133"/>
        <v>0</v>
      </c>
      <c r="X375" s="345">
        <f t="shared" si="134"/>
        <v>0</v>
      </c>
      <c r="Y375" s="345">
        <f t="shared" si="135"/>
        <v>0</v>
      </c>
      <c r="Z375" s="345">
        <f>IF(Q375&lt;&gt;"",VLOOKUP(Y375,TIME!$R$21:$V$24,MATCH(FC_DATA!Q375,TIME!$R$20:$V$20,0),FALSE),H375)</f>
        <v>0</v>
      </c>
      <c r="AA375" s="345" t="str">
        <f>IFERROR(VLOOKUP(X375&amp;Z375,TIME!$A$12:$D$71,4,FALSE),"")</f>
        <v/>
      </c>
      <c r="AB375" s="592">
        <f t="shared" ca="1" si="136"/>
        <v>0</v>
      </c>
      <c r="AC375" s="593" t="e">
        <f ca="1">IF(ISBLANK(H375)=FALSE,IF(D375="BRAND.com",I375,IF(ISNA(VLOOKUP(_xlfn.CONCAT(X375,Z375),TIME!$M$40:$M$42,1,FALSE)),I375,VLOOKUP(_xlfn.CONCAT(D375,G375,H375),M_BUSAREA_FC!$AF$5:$AJ$10,5,FALSE)*HLOOKUP(_xlfn.CONCAT(F375,H375),ST_OVERVIEW!$G$99:$I$130,MATCH(_xlfn.CONCAT(D375,E375),ST_OVERVIEW!$F$99:$F$130,0),FALSE))),IF(D375="BRAND.com",VLOOKUP(_xlfn.CONCAT(C375,D375,E375,TIME!$F$1,Z375),HIS_SALES!$B$2:$V$4859,19,FALSE)*I375,VLOOKUP(_xlfn.CONCAT(D375,F375,G375),Q_BUSAREA_FC!$AE$5:$AI$12,5,FALSE)*HLOOKUP(_xlfn.CONCAT(FC_DATA!F375,FC_DATA!G375),LT_OVERVIEW!$I$99:$M$130,MATCH(_xlfn.CONCAT(D375,FC_DATA!E375),LT_OVERVIEW!$H$99:$H$130,0),FALSE)*IFERROR(VLOOKUP(_xlfn.CONCAT(C375,D375,E375,TIME!$F$1,Z375),HIS_SALES!$B$2:$V$4859,19,FALSE),0)))</f>
        <v>#N/A</v>
      </c>
      <c r="AD375" s="341">
        <f t="shared" ca="1" si="137"/>
        <v>0</v>
      </c>
      <c r="AE375" s="363" t="str">
        <f t="shared" si="138"/>
        <v/>
      </c>
      <c r="AF375" s="342" t="str">
        <f t="shared" si="139"/>
        <v/>
      </c>
      <c r="AG375" s="411" t="e">
        <f ca="1">VLOOKUP(_xlfn.CONCAT(U375,V375,W375,VLOOKUP(X375&amp;Y375,TIME!$L$27:$O$34,4,FALSE),Y375),HIS_SALES!$A$2:$R$5093,18,FALSE)</f>
        <v>#N/A</v>
      </c>
      <c r="AH375" s="412" t="e">
        <f ca="1">IFERROR(IF(AND(V375=V374,W375=W374),0.5*(AB375+AB374)*AG375,(VLOOKUP(_xlfn.CONCAT(U375,V375,W375,X375,VLOOKUP(Z375,TIME!$S$28:$T$39,2,FALSE)),FC_DATA!$R$2:$AB$5000,MATCH("GS_I_M",FC_DATA!$R$1:$AB$1,0),FALSE)+FC_DATA!AB375)*0.5*FC_DATA!AG375),NA())</f>
        <v>#N/A</v>
      </c>
      <c r="AI375" s="491" t="e">
        <f ca="1">IF(V375="PARTNER.com",AH375,IF(AND(V375=V374,W375=W374),(1-AVERAGE(AD374,AD375))*AH375,(1-AVERAGE(AD375,VLOOKUP(_xlfn.CONCAT(U375,V375,W375,X375,M_BRAND_FC!$F$6),FC_DATA!$R$2:$AD$5000,MATCH("DISCOUNT_%_M",FC_DATA!$R$1:$AD$1,0),FALSE)))*AH375))</f>
        <v>#N/A</v>
      </c>
      <c r="AJ375" s="412" t="str">
        <f t="shared" ca="1" si="140"/>
        <v/>
      </c>
      <c r="AK375" s="413" t="str">
        <f>IFERROR(AE375/(Q_BRAND_FC!$T$24+1),"")</f>
        <v/>
      </c>
      <c r="AL375" s="88" t="str">
        <f t="shared" ca="1" si="141"/>
        <v/>
      </c>
      <c r="AM375" s="414" t="str">
        <f t="shared" ca="1" si="142"/>
        <v/>
      </c>
      <c r="AN375" s="58">
        <f>IFERROR(IF($V375="BRAND.com",HLOOKUP($X375&amp;$Z375,NWC_FC_NOOS!$C$4:$Q$23,MATCH(W375,NWC_FC_NOOS!$B$4:$B$23,0),FALSE),0),0)</f>
        <v>0</v>
      </c>
      <c r="AO375" s="57">
        <f>IFERROR(IF($V375="BRAND.com",HLOOKUP($X375&amp;$Z375,NWC_FC_NOOS!$T$4:$AH$23,MATCH(W375,NWC_FC_NOOS!$S$4:$S$23,0),FALSE),0),0)</f>
        <v>0</v>
      </c>
      <c r="AP375" s="57">
        <f>IFERROR(IF($V375="BRAND.com",HLOOKUP($X375&amp;$Z375,NWC_FC_NOOS!$C$50:$U$69,MATCH(W375,NWC_FC_NOOS!$B$50:$B$69,0),FALSE),0),0)</f>
        <v>0</v>
      </c>
      <c r="AQ375" s="58">
        <f>IFERROR(IF($V375="BRAND.com",HLOOKUP($X375&amp;$Z375,'NWC_FC_NON-NOOS'!$C$4:$Q$23,MATCH(W375,'NWC_FC_NON-NOOS'!$B$4:$B$23,0),FALSE),0),0)</f>
        <v>0</v>
      </c>
      <c r="AR375" s="57">
        <f>IFERROR(IF($V375="BRAND.com",HLOOKUP($X375&amp;$Z375,'NWC_FC_NON-NOOS'!$T$4:$AH$23,MATCH(W375,'NWC_FC_NON-NOOS'!$S$4:$S$23,0),FALSE),0),0)</f>
        <v>0</v>
      </c>
      <c r="AS375" s="57">
        <f>IFERROR(IF($V375="BRAND.com",HLOOKUP($X375&amp;$Z375,'NWC_FC_NON-NOOS'!$C$50:$U$69,MATCH(W375,'NWC_FC_NON-NOOS'!$B$50:$B$69,0),FALSE),0),0)</f>
        <v>0</v>
      </c>
      <c r="AT375" s="57">
        <f t="shared" si="144"/>
        <v>0</v>
      </c>
      <c r="AU375" s="57">
        <f t="shared" si="145"/>
        <v>0</v>
      </c>
      <c r="AV375" s="58">
        <f>IFERROR(IF($V375="BRAND.com",HLOOKUP($X375&amp;$Z375,PLANNING_FC!$BB$27:$BP$46,MATCH($W375,PLANNING_FC!$BA$27:$BA$46,0),FALSE),0),0)</f>
        <v>0</v>
      </c>
      <c r="AW375" s="58">
        <f>IFERROR(IF($V375="BRAND.com",HLOOKUP($X375&amp;$Z375,PLANNING_FC!$BB$4:$BP$23,MATCH($W375,PLANNING_FC!$BA$4:$BA$23,0),FALSE),0),0)</f>
        <v>0</v>
      </c>
      <c r="AX375" s="58">
        <f>IFERROR(IF($V375="BRAND.com",HLOOKUP($X375&amp;$Z375,PLANNING_FC!$T$27:$AH$46,MATCH($W375,PLANNING_FC!$B$27:$B$46,0),FALSE),0),0)</f>
        <v>0</v>
      </c>
      <c r="AY375" s="58">
        <f>IFERROR(IF($V375="BRAND.com",HLOOKUP($X375&amp;$Z375,PLANNING_FC!$T$4:$AH$23,MATCH($W375,PLANNING_FC!$B$4:$B$23,0),FALSE),0),0)</f>
        <v>0</v>
      </c>
      <c r="AZ375" s="58">
        <f>IFERROR(IF($V375="BRAND.com",HLOOKUP($X375&amp;$Z375,PLANNING_FC!$DA$27:$DO$46,MATCH($W375,PLANNING_FC!$CZ$27:$CZ$46,0),FALSE),0),0)</f>
        <v>0</v>
      </c>
      <c r="BA375" s="58">
        <f>IFERROR(IF($V375="BRAND.com",HLOOKUP($X375&amp;$Z375,PLANNING_FC!$DA$4:$DO$23,MATCH($W375,PLANNING_FC!$CZ$4:$CZ$23,0),FALSE),0),0)</f>
        <v>0</v>
      </c>
      <c r="BB375" s="883" t="str">
        <f>IF(V375="BRAND.com",IFERROR(HLOOKUP(X375&amp;Z375,PLANNING_FC!$AK$4:$AY$23,MATCH(W375,PLANNING_FC!$AJ$4:$AJ$23,0),FALSE)*1000,""),"")</f>
        <v/>
      </c>
      <c r="BC375" s="883" t="str">
        <f>IF(V375="BRAND.com",IFERROR(HLOOKUP(X375&amp;Z375,PLANNING_FC!$AK$27:$AY$46,MATCH(W375,PLANNING_FC!$AJ$27:$AJ$46,0),FALSE)*1000,""),"")</f>
        <v/>
      </c>
    </row>
    <row r="376" spans="1:55" x14ac:dyDescent="0.25">
      <c r="A376" s="509"/>
      <c r="B376" s="509"/>
      <c r="C376" s="509"/>
      <c r="D376" s="509"/>
      <c r="E376" s="509"/>
      <c r="F376" s="509"/>
      <c r="G376" s="509"/>
      <c r="H376" s="509"/>
      <c r="I376" s="512"/>
      <c r="J376" s="513"/>
      <c r="K376" s="879"/>
      <c r="L376" s="515"/>
      <c r="M376" s="516"/>
      <c r="N376" s="56">
        <f t="shared" si="126"/>
        <v>0</v>
      </c>
      <c r="O376" s="57">
        <f t="shared" si="127"/>
        <v>0</v>
      </c>
      <c r="P376" s="57">
        <f ca="1">IFERROR(IF(ISBLANK(H376),SUMIFS($AC:$AC,$V:$V,V376,$W:$W,W376,$X:$X,X376,$Y:$Y,Y376)*J376/(1-J376)*VLOOKUP(_xlfn.CONCAT(C376,D376,E376,TIME!$M$12,Z376),HIS_SALES!$B$2:$W$4859,20,FALSE),AC376*J376/(1-J376)),0)</f>
        <v>0</v>
      </c>
      <c r="Q376" s="541" t="str">
        <f t="shared" si="128"/>
        <v/>
      </c>
      <c r="R376" s="346" t="str">
        <f t="shared" si="129"/>
        <v>00000</v>
      </c>
      <c r="S376" s="344">
        <f t="shared" si="130"/>
        <v>0</v>
      </c>
      <c r="T376" s="345" t="str">
        <f t="shared" si="143"/>
        <v>000</v>
      </c>
      <c r="U376" s="345">
        <f t="shared" si="131"/>
        <v>0</v>
      </c>
      <c r="V376" s="345">
        <f t="shared" si="132"/>
        <v>0</v>
      </c>
      <c r="W376" s="345">
        <f t="shared" si="133"/>
        <v>0</v>
      </c>
      <c r="X376" s="345">
        <f t="shared" si="134"/>
        <v>0</v>
      </c>
      <c r="Y376" s="345">
        <f t="shared" si="135"/>
        <v>0</v>
      </c>
      <c r="Z376" s="345">
        <f>IF(Q376&lt;&gt;"",VLOOKUP(Y376,TIME!$R$21:$V$24,MATCH(FC_DATA!Q376,TIME!$R$20:$V$20,0),FALSE),H376)</f>
        <v>0</v>
      </c>
      <c r="AA376" s="345" t="str">
        <f>IFERROR(VLOOKUP(X376&amp;Z376,TIME!$A$12:$D$71,4,FALSE),"")</f>
        <v/>
      </c>
      <c r="AB376" s="592">
        <f t="shared" ca="1" si="136"/>
        <v>0</v>
      </c>
      <c r="AC376" s="593" t="e">
        <f ca="1">IF(ISBLANK(H376)=FALSE,IF(D376="BRAND.com",I376,IF(ISNA(VLOOKUP(_xlfn.CONCAT(X376,Z376),TIME!$M$40:$M$42,1,FALSE)),I376,VLOOKUP(_xlfn.CONCAT(D376,G376,H376),M_BUSAREA_FC!$AF$5:$AJ$10,5,FALSE)*HLOOKUP(_xlfn.CONCAT(F376,H376),ST_OVERVIEW!$G$99:$I$130,MATCH(_xlfn.CONCAT(D376,E376),ST_OVERVIEW!$F$99:$F$130,0),FALSE))),IF(D376="BRAND.com",VLOOKUP(_xlfn.CONCAT(C376,D376,E376,TIME!$F$1,Z376),HIS_SALES!$B$2:$V$4859,19,FALSE)*I376,VLOOKUP(_xlfn.CONCAT(D376,F376,G376),Q_BUSAREA_FC!$AE$5:$AI$12,5,FALSE)*HLOOKUP(_xlfn.CONCAT(FC_DATA!F376,FC_DATA!G376),LT_OVERVIEW!$I$99:$M$130,MATCH(_xlfn.CONCAT(D376,FC_DATA!E376),LT_OVERVIEW!$H$99:$H$130,0),FALSE)*IFERROR(VLOOKUP(_xlfn.CONCAT(C376,D376,E376,TIME!$F$1,Z376),HIS_SALES!$B$2:$V$4859,19,FALSE),0)))</f>
        <v>#N/A</v>
      </c>
      <c r="AD376" s="341">
        <f t="shared" ca="1" si="137"/>
        <v>0</v>
      </c>
      <c r="AE376" s="363" t="str">
        <f t="shared" si="138"/>
        <v/>
      </c>
      <c r="AF376" s="342" t="str">
        <f t="shared" si="139"/>
        <v/>
      </c>
      <c r="AG376" s="411" t="e">
        <f ca="1">VLOOKUP(_xlfn.CONCAT(U376,V376,W376,VLOOKUP(X376&amp;Y376,TIME!$L$27:$O$34,4,FALSE),Y376),HIS_SALES!$A$2:$R$5093,18,FALSE)</f>
        <v>#N/A</v>
      </c>
      <c r="AH376" s="412" t="e">
        <f ca="1">IFERROR(IF(AND(V376=V375,W376=W375),0.5*(AB376+AB375)*AG376,(VLOOKUP(_xlfn.CONCAT(U376,V376,W376,X376,VLOOKUP(Z376,TIME!$S$28:$T$39,2,FALSE)),FC_DATA!$R$2:$AB$5000,MATCH("GS_I_M",FC_DATA!$R$1:$AB$1,0),FALSE)+FC_DATA!AB376)*0.5*FC_DATA!AG376),NA())</f>
        <v>#N/A</v>
      </c>
      <c r="AI376" s="491" t="e">
        <f ca="1">IF(V376="PARTNER.com",AH376,IF(AND(V376=V375,W376=W375),(1-AVERAGE(AD375,AD376))*AH376,(1-AVERAGE(AD376,VLOOKUP(_xlfn.CONCAT(U376,V376,W376,X376,M_BRAND_FC!$F$6),FC_DATA!$R$2:$AD$5000,MATCH("DISCOUNT_%_M",FC_DATA!$R$1:$AD$1,0),FALSE)))*AH376))</f>
        <v>#N/A</v>
      </c>
      <c r="AJ376" s="412" t="str">
        <f t="shared" ca="1" si="140"/>
        <v/>
      </c>
      <c r="AK376" s="413" t="str">
        <f>IFERROR(AE376/(Q_BRAND_FC!$T$24+1),"")</f>
        <v/>
      </c>
      <c r="AL376" s="88" t="str">
        <f t="shared" ca="1" si="141"/>
        <v/>
      </c>
      <c r="AM376" s="414" t="str">
        <f t="shared" ca="1" si="142"/>
        <v/>
      </c>
      <c r="AN376" s="58">
        <f>IFERROR(IF($V376="BRAND.com",HLOOKUP($X376&amp;$Z376,NWC_FC_NOOS!$C$4:$Q$23,MATCH(W376,NWC_FC_NOOS!$B$4:$B$23,0),FALSE),0),0)</f>
        <v>0</v>
      </c>
      <c r="AO376" s="57">
        <f>IFERROR(IF($V376="BRAND.com",HLOOKUP($X376&amp;$Z376,NWC_FC_NOOS!$T$4:$AH$23,MATCH(W376,NWC_FC_NOOS!$S$4:$S$23,0),FALSE),0),0)</f>
        <v>0</v>
      </c>
      <c r="AP376" s="57">
        <f>IFERROR(IF($V376="BRAND.com",HLOOKUP($X376&amp;$Z376,NWC_FC_NOOS!$C$50:$U$69,MATCH(W376,NWC_FC_NOOS!$B$50:$B$69,0),FALSE),0),0)</f>
        <v>0</v>
      </c>
      <c r="AQ376" s="58">
        <f>IFERROR(IF($V376="BRAND.com",HLOOKUP($X376&amp;$Z376,'NWC_FC_NON-NOOS'!$C$4:$Q$23,MATCH(W376,'NWC_FC_NON-NOOS'!$B$4:$B$23,0),FALSE),0),0)</f>
        <v>0</v>
      </c>
      <c r="AR376" s="57">
        <f>IFERROR(IF($V376="BRAND.com",HLOOKUP($X376&amp;$Z376,'NWC_FC_NON-NOOS'!$T$4:$AH$23,MATCH(W376,'NWC_FC_NON-NOOS'!$S$4:$S$23,0),FALSE),0),0)</f>
        <v>0</v>
      </c>
      <c r="AS376" s="57">
        <f>IFERROR(IF($V376="BRAND.com",HLOOKUP($X376&amp;$Z376,'NWC_FC_NON-NOOS'!$C$50:$U$69,MATCH(W376,'NWC_FC_NON-NOOS'!$B$50:$B$69,0),FALSE),0),0)</f>
        <v>0</v>
      </c>
      <c r="AT376" s="57">
        <f t="shared" si="144"/>
        <v>0</v>
      </c>
      <c r="AU376" s="57">
        <f t="shared" si="145"/>
        <v>0</v>
      </c>
      <c r="AV376" s="58">
        <f>IFERROR(IF($V376="BRAND.com",HLOOKUP($X376&amp;$Z376,PLANNING_FC!$BB$27:$BP$46,MATCH($W376,PLANNING_FC!$BA$27:$BA$46,0),FALSE),0),0)</f>
        <v>0</v>
      </c>
      <c r="AW376" s="58">
        <f>IFERROR(IF($V376="BRAND.com",HLOOKUP($X376&amp;$Z376,PLANNING_FC!$BB$4:$BP$23,MATCH($W376,PLANNING_FC!$BA$4:$BA$23,0),FALSE),0),0)</f>
        <v>0</v>
      </c>
      <c r="AX376" s="58">
        <f>IFERROR(IF($V376="BRAND.com",HLOOKUP($X376&amp;$Z376,PLANNING_FC!$T$27:$AH$46,MATCH($W376,PLANNING_FC!$B$27:$B$46,0),FALSE),0),0)</f>
        <v>0</v>
      </c>
      <c r="AY376" s="58">
        <f>IFERROR(IF($V376="BRAND.com",HLOOKUP($X376&amp;$Z376,PLANNING_FC!$T$4:$AH$23,MATCH($W376,PLANNING_FC!$B$4:$B$23,0),FALSE),0),0)</f>
        <v>0</v>
      </c>
      <c r="AZ376" s="58">
        <f>IFERROR(IF($V376="BRAND.com",HLOOKUP($X376&amp;$Z376,PLANNING_FC!$DA$27:$DO$46,MATCH($W376,PLANNING_FC!$CZ$27:$CZ$46,0),FALSE),0),0)</f>
        <v>0</v>
      </c>
      <c r="BA376" s="58">
        <f>IFERROR(IF($V376="BRAND.com",HLOOKUP($X376&amp;$Z376,PLANNING_FC!$DA$4:$DO$23,MATCH($W376,PLANNING_FC!$CZ$4:$CZ$23,0),FALSE),0),0)</f>
        <v>0</v>
      </c>
      <c r="BB376" s="883" t="str">
        <f>IF(V376="BRAND.com",IFERROR(HLOOKUP(X376&amp;Z376,PLANNING_FC!$AK$4:$AY$23,MATCH(W376,PLANNING_FC!$AJ$4:$AJ$23,0),FALSE)*1000,""),"")</f>
        <v/>
      </c>
      <c r="BC376" s="883" t="str">
        <f>IF(V376="BRAND.com",IFERROR(HLOOKUP(X376&amp;Z376,PLANNING_FC!$AK$27:$AY$46,MATCH(W376,PLANNING_FC!$AJ$27:$AJ$46,0),FALSE)*1000,""),"")</f>
        <v/>
      </c>
    </row>
    <row r="377" spans="1:55" x14ac:dyDescent="0.25">
      <c r="A377" s="509"/>
      <c r="B377" s="509"/>
      <c r="C377" s="509"/>
      <c r="D377" s="509"/>
      <c r="E377" s="509"/>
      <c r="F377" s="509"/>
      <c r="G377" s="509"/>
      <c r="H377" s="509"/>
      <c r="I377" s="512"/>
      <c r="J377" s="513"/>
      <c r="K377" s="879"/>
      <c r="L377" s="515"/>
      <c r="M377" s="516"/>
      <c r="N377" s="56">
        <f t="shared" si="126"/>
        <v>0</v>
      </c>
      <c r="O377" s="57">
        <f t="shared" si="127"/>
        <v>0</v>
      </c>
      <c r="P377" s="57">
        <f ca="1">IFERROR(IF(ISBLANK(H377),SUMIFS($AC:$AC,$V:$V,V377,$W:$W,W377,$X:$X,X377,$Y:$Y,Y377)*J377/(1-J377)*VLOOKUP(_xlfn.CONCAT(C377,D377,E377,TIME!$M$12,Z377),HIS_SALES!$B$2:$W$4859,20,FALSE),AC377*J377/(1-J377)),0)</f>
        <v>0</v>
      </c>
      <c r="Q377" s="541" t="str">
        <f t="shared" si="128"/>
        <v/>
      </c>
      <c r="R377" s="346" t="str">
        <f t="shared" si="129"/>
        <v>00000</v>
      </c>
      <c r="S377" s="344">
        <f t="shared" si="130"/>
        <v>0</v>
      </c>
      <c r="T377" s="345" t="str">
        <f t="shared" si="143"/>
        <v>000</v>
      </c>
      <c r="U377" s="345">
        <f t="shared" si="131"/>
        <v>0</v>
      </c>
      <c r="V377" s="345">
        <f t="shared" si="132"/>
        <v>0</v>
      </c>
      <c r="W377" s="345">
        <f t="shared" si="133"/>
        <v>0</v>
      </c>
      <c r="X377" s="345">
        <f t="shared" si="134"/>
        <v>0</v>
      </c>
      <c r="Y377" s="345">
        <f t="shared" si="135"/>
        <v>0</v>
      </c>
      <c r="Z377" s="345">
        <f>IF(Q377&lt;&gt;"",VLOOKUP(Y377,TIME!$R$21:$V$24,MATCH(FC_DATA!Q377,TIME!$R$20:$V$20,0),FALSE),H377)</f>
        <v>0</v>
      </c>
      <c r="AA377" s="345" t="str">
        <f>IFERROR(VLOOKUP(X377&amp;Z377,TIME!$A$12:$D$71,4,FALSE),"")</f>
        <v/>
      </c>
      <c r="AB377" s="592">
        <f t="shared" ca="1" si="136"/>
        <v>0</v>
      </c>
      <c r="AC377" s="593" t="e">
        <f ca="1">IF(ISBLANK(H377)=FALSE,IF(D377="BRAND.com",I377,IF(ISNA(VLOOKUP(_xlfn.CONCAT(X377,Z377),TIME!$M$40:$M$42,1,FALSE)),I377,VLOOKUP(_xlfn.CONCAT(D377,G377,H377),M_BUSAREA_FC!$AF$5:$AJ$10,5,FALSE)*HLOOKUP(_xlfn.CONCAT(F377,H377),ST_OVERVIEW!$G$99:$I$130,MATCH(_xlfn.CONCAT(D377,E377),ST_OVERVIEW!$F$99:$F$130,0),FALSE))),IF(D377="BRAND.com",VLOOKUP(_xlfn.CONCAT(C377,D377,E377,TIME!$F$1,Z377),HIS_SALES!$B$2:$V$4859,19,FALSE)*I377,VLOOKUP(_xlfn.CONCAT(D377,F377,G377),Q_BUSAREA_FC!$AE$5:$AI$12,5,FALSE)*HLOOKUP(_xlfn.CONCAT(FC_DATA!F377,FC_DATA!G377),LT_OVERVIEW!$I$99:$M$130,MATCH(_xlfn.CONCAT(D377,FC_DATA!E377),LT_OVERVIEW!$H$99:$H$130,0),FALSE)*IFERROR(VLOOKUP(_xlfn.CONCAT(C377,D377,E377,TIME!$F$1,Z377),HIS_SALES!$B$2:$V$4859,19,FALSE),0)))</f>
        <v>#N/A</v>
      </c>
      <c r="AD377" s="341">
        <f t="shared" ca="1" si="137"/>
        <v>0</v>
      </c>
      <c r="AE377" s="363" t="str">
        <f t="shared" si="138"/>
        <v/>
      </c>
      <c r="AF377" s="342" t="str">
        <f t="shared" si="139"/>
        <v/>
      </c>
      <c r="AG377" s="411" t="e">
        <f ca="1">VLOOKUP(_xlfn.CONCAT(U377,V377,W377,VLOOKUP(X377&amp;Y377,TIME!$L$27:$O$34,4,FALSE),Y377),HIS_SALES!$A$2:$R$5093,18,FALSE)</f>
        <v>#N/A</v>
      </c>
      <c r="AH377" s="412" t="e">
        <f ca="1">IFERROR(IF(AND(V377=V376,W377=W376),0.5*(AB377+AB376)*AG377,(VLOOKUP(_xlfn.CONCAT(U377,V377,W377,X377,VLOOKUP(Z377,TIME!$S$28:$T$39,2,FALSE)),FC_DATA!$R$2:$AB$5000,MATCH("GS_I_M",FC_DATA!$R$1:$AB$1,0),FALSE)+FC_DATA!AB377)*0.5*FC_DATA!AG377),NA())</f>
        <v>#N/A</v>
      </c>
      <c r="AI377" s="491" t="e">
        <f ca="1">IF(V377="PARTNER.com",AH377,IF(AND(V377=V376,W377=W376),(1-AVERAGE(AD376,AD377))*AH377,(1-AVERAGE(AD377,VLOOKUP(_xlfn.CONCAT(U377,V377,W377,X377,M_BRAND_FC!$F$6),FC_DATA!$R$2:$AD$5000,MATCH("DISCOUNT_%_M",FC_DATA!$R$1:$AD$1,0),FALSE)))*AH377))</f>
        <v>#N/A</v>
      </c>
      <c r="AJ377" s="412" t="str">
        <f t="shared" ca="1" si="140"/>
        <v/>
      </c>
      <c r="AK377" s="413" t="str">
        <f>IFERROR(AE377/(Q_BRAND_FC!$T$24+1),"")</f>
        <v/>
      </c>
      <c r="AL377" s="88" t="str">
        <f t="shared" ca="1" si="141"/>
        <v/>
      </c>
      <c r="AM377" s="414" t="str">
        <f t="shared" ca="1" si="142"/>
        <v/>
      </c>
      <c r="AN377" s="58">
        <f>IFERROR(IF($V377="BRAND.com",HLOOKUP($X377&amp;$Z377,NWC_FC_NOOS!$C$4:$Q$23,MATCH(W377,NWC_FC_NOOS!$B$4:$B$23,0),FALSE),0),0)</f>
        <v>0</v>
      </c>
      <c r="AO377" s="57">
        <f>IFERROR(IF($V377="BRAND.com",HLOOKUP($X377&amp;$Z377,NWC_FC_NOOS!$T$4:$AH$23,MATCH(W377,NWC_FC_NOOS!$S$4:$S$23,0),FALSE),0),0)</f>
        <v>0</v>
      </c>
      <c r="AP377" s="57">
        <f>IFERROR(IF($V377="BRAND.com",HLOOKUP($X377&amp;$Z377,NWC_FC_NOOS!$C$50:$U$69,MATCH(W377,NWC_FC_NOOS!$B$50:$B$69,0),FALSE),0),0)</f>
        <v>0</v>
      </c>
      <c r="AQ377" s="58">
        <f>IFERROR(IF($V377="BRAND.com",HLOOKUP($X377&amp;$Z377,'NWC_FC_NON-NOOS'!$C$4:$Q$23,MATCH(W377,'NWC_FC_NON-NOOS'!$B$4:$B$23,0),FALSE),0),0)</f>
        <v>0</v>
      </c>
      <c r="AR377" s="57">
        <f>IFERROR(IF($V377="BRAND.com",HLOOKUP($X377&amp;$Z377,'NWC_FC_NON-NOOS'!$T$4:$AH$23,MATCH(W377,'NWC_FC_NON-NOOS'!$S$4:$S$23,0),FALSE),0),0)</f>
        <v>0</v>
      </c>
      <c r="AS377" s="57">
        <f>IFERROR(IF($V377="BRAND.com",HLOOKUP($X377&amp;$Z377,'NWC_FC_NON-NOOS'!$C$50:$U$69,MATCH(W377,'NWC_FC_NON-NOOS'!$B$50:$B$69,0),FALSE),0),0)</f>
        <v>0</v>
      </c>
      <c r="AT377" s="57">
        <f t="shared" si="144"/>
        <v>0</v>
      </c>
      <c r="AU377" s="57">
        <f t="shared" si="145"/>
        <v>0</v>
      </c>
      <c r="AV377" s="58">
        <f>IFERROR(IF($V377="BRAND.com",HLOOKUP($X377&amp;$Z377,PLANNING_FC!$BB$27:$BP$46,MATCH($W377,PLANNING_FC!$BA$27:$BA$46,0),FALSE),0),0)</f>
        <v>0</v>
      </c>
      <c r="AW377" s="58">
        <f>IFERROR(IF($V377="BRAND.com",HLOOKUP($X377&amp;$Z377,PLANNING_FC!$BB$4:$BP$23,MATCH($W377,PLANNING_FC!$BA$4:$BA$23,0),FALSE),0),0)</f>
        <v>0</v>
      </c>
      <c r="AX377" s="58">
        <f>IFERROR(IF($V377="BRAND.com",HLOOKUP($X377&amp;$Z377,PLANNING_FC!$T$27:$AH$46,MATCH($W377,PLANNING_FC!$B$27:$B$46,0),FALSE),0),0)</f>
        <v>0</v>
      </c>
      <c r="AY377" s="58">
        <f>IFERROR(IF($V377="BRAND.com",HLOOKUP($X377&amp;$Z377,PLANNING_FC!$T$4:$AH$23,MATCH($W377,PLANNING_FC!$B$4:$B$23,0),FALSE),0),0)</f>
        <v>0</v>
      </c>
      <c r="AZ377" s="58">
        <f>IFERROR(IF($V377="BRAND.com",HLOOKUP($X377&amp;$Z377,PLANNING_FC!$DA$27:$DO$46,MATCH($W377,PLANNING_FC!$CZ$27:$CZ$46,0),FALSE),0),0)</f>
        <v>0</v>
      </c>
      <c r="BA377" s="58">
        <f>IFERROR(IF($V377="BRAND.com",HLOOKUP($X377&amp;$Z377,PLANNING_FC!$DA$4:$DO$23,MATCH($W377,PLANNING_FC!$CZ$4:$CZ$23,0),FALSE),0),0)</f>
        <v>0</v>
      </c>
      <c r="BB377" s="883" t="str">
        <f>IF(V377="BRAND.com",IFERROR(HLOOKUP(X377&amp;Z377,PLANNING_FC!$AK$4:$AY$23,MATCH(W377,PLANNING_FC!$AJ$4:$AJ$23,0),FALSE)*1000,""),"")</f>
        <v/>
      </c>
      <c r="BC377" s="883" t="str">
        <f>IF(V377="BRAND.com",IFERROR(HLOOKUP(X377&amp;Z377,PLANNING_FC!$AK$27:$AY$46,MATCH(W377,PLANNING_FC!$AJ$27:$AJ$46,0),FALSE)*1000,""),"")</f>
        <v/>
      </c>
    </row>
    <row r="378" spans="1:55" x14ac:dyDescent="0.25">
      <c r="A378" s="509"/>
      <c r="B378" s="509"/>
      <c r="C378" s="509"/>
      <c r="D378" s="509"/>
      <c r="E378" s="509"/>
      <c r="F378" s="509"/>
      <c r="G378" s="509"/>
      <c r="H378" s="509"/>
      <c r="I378" s="512"/>
      <c r="J378" s="513"/>
      <c r="K378" s="879"/>
      <c r="L378" s="515"/>
      <c r="M378" s="516"/>
      <c r="N378" s="56">
        <f t="shared" si="126"/>
        <v>0</v>
      </c>
      <c r="O378" s="57">
        <f t="shared" si="127"/>
        <v>0</v>
      </c>
      <c r="P378" s="57">
        <f ca="1">IFERROR(IF(ISBLANK(H378),SUMIFS($AC:$AC,$V:$V,V378,$W:$W,W378,$X:$X,X378,$Y:$Y,Y378)*J378/(1-J378)*VLOOKUP(_xlfn.CONCAT(C378,D378,E378,TIME!$M$12,Z378),HIS_SALES!$B$2:$W$4859,20,FALSE),AC378*J378/(1-J378)),0)</f>
        <v>0</v>
      </c>
      <c r="Q378" s="541" t="str">
        <f t="shared" si="128"/>
        <v/>
      </c>
      <c r="R378" s="346" t="str">
        <f t="shared" si="129"/>
        <v>00000</v>
      </c>
      <c r="S378" s="344">
        <f t="shared" si="130"/>
        <v>0</v>
      </c>
      <c r="T378" s="345" t="str">
        <f t="shared" si="143"/>
        <v>000</v>
      </c>
      <c r="U378" s="345">
        <f t="shared" si="131"/>
        <v>0</v>
      </c>
      <c r="V378" s="345">
        <f t="shared" si="132"/>
        <v>0</v>
      </c>
      <c r="W378" s="345">
        <f t="shared" si="133"/>
        <v>0</v>
      </c>
      <c r="X378" s="345">
        <f t="shared" si="134"/>
        <v>0</v>
      </c>
      <c r="Y378" s="345">
        <f t="shared" si="135"/>
        <v>0</v>
      </c>
      <c r="Z378" s="345">
        <f>IF(Q378&lt;&gt;"",VLOOKUP(Y378,TIME!$R$21:$V$24,MATCH(FC_DATA!Q378,TIME!$R$20:$V$20,0),FALSE),H378)</f>
        <v>0</v>
      </c>
      <c r="AA378" s="345" t="str">
        <f>IFERROR(VLOOKUP(X378&amp;Z378,TIME!$A$12:$D$71,4,FALSE),"")</f>
        <v/>
      </c>
      <c r="AB378" s="592">
        <f t="shared" ca="1" si="136"/>
        <v>0</v>
      </c>
      <c r="AC378" s="593" t="e">
        <f ca="1">IF(ISBLANK(H378)=FALSE,IF(D378="BRAND.com",I378,IF(ISNA(VLOOKUP(_xlfn.CONCAT(X378,Z378),TIME!$M$40:$M$42,1,FALSE)),I378,VLOOKUP(_xlfn.CONCAT(D378,G378,H378),M_BUSAREA_FC!$AF$5:$AJ$10,5,FALSE)*HLOOKUP(_xlfn.CONCAT(F378,H378),ST_OVERVIEW!$G$99:$I$130,MATCH(_xlfn.CONCAT(D378,E378),ST_OVERVIEW!$F$99:$F$130,0),FALSE))),IF(D378="BRAND.com",VLOOKUP(_xlfn.CONCAT(C378,D378,E378,TIME!$F$1,Z378),HIS_SALES!$B$2:$V$4859,19,FALSE)*I378,VLOOKUP(_xlfn.CONCAT(D378,F378,G378),Q_BUSAREA_FC!$AE$5:$AI$12,5,FALSE)*HLOOKUP(_xlfn.CONCAT(FC_DATA!F378,FC_DATA!G378),LT_OVERVIEW!$I$99:$M$130,MATCH(_xlfn.CONCAT(D378,FC_DATA!E378),LT_OVERVIEW!$H$99:$H$130,0),FALSE)*IFERROR(VLOOKUP(_xlfn.CONCAT(C378,D378,E378,TIME!$F$1,Z378),HIS_SALES!$B$2:$V$4859,19,FALSE),0)))</f>
        <v>#N/A</v>
      </c>
      <c r="AD378" s="341">
        <f t="shared" ca="1" si="137"/>
        <v>0</v>
      </c>
      <c r="AE378" s="363" t="str">
        <f t="shared" si="138"/>
        <v/>
      </c>
      <c r="AF378" s="342" t="str">
        <f t="shared" si="139"/>
        <v/>
      </c>
      <c r="AG378" s="411" t="e">
        <f ca="1">VLOOKUP(_xlfn.CONCAT(U378,V378,W378,VLOOKUP(X378&amp;Y378,TIME!$L$27:$O$34,4,FALSE),Y378),HIS_SALES!$A$2:$R$5093,18,FALSE)</f>
        <v>#N/A</v>
      </c>
      <c r="AH378" s="412" t="e">
        <f ca="1">IFERROR(IF(AND(V378=V377,W378=W377),0.5*(AB378+AB377)*AG378,(VLOOKUP(_xlfn.CONCAT(U378,V378,W378,X378,VLOOKUP(Z378,TIME!$S$28:$T$39,2,FALSE)),FC_DATA!$R$2:$AB$5000,MATCH("GS_I_M",FC_DATA!$R$1:$AB$1,0),FALSE)+FC_DATA!AB378)*0.5*FC_DATA!AG378),NA())</f>
        <v>#N/A</v>
      </c>
      <c r="AI378" s="491" t="e">
        <f ca="1">IF(V378="PARTNER.com",AH378,IF(AND(V378=V377,W378=W377),(1-AVERAGE(AD377,AD378))*AH378,(1-AVERAGE(AD378,VLOOKUP(_xlfn.CONCAT(U378,V378,W378,X378,M_BRAND_FC!$F$6),FC_DATA!$R$2:$AD$5000,MATCH("DISCOUNT_%_M",FC_DATA!$R$1:$AD$1,0),FALSE)))*AH378))</f>
        <v>#N/A</v>
      </c>
      <c r="AJ378" s="412" t="str">
        <f t="shared" ca="1" si="140"/>
        <v/>
      </c>
      <c r="AK378" s="413" t="str">
        <f>IFERROR(AE378/(Q_BRAND_FC!$T$24+1),"")</f>
        <v/>
      </c>
      <c r="AL378" s="88" t="str">
        <f t="shared" ca="1" si="141"/>
        <v/>
      </c>
      <c r="AM378" s="414" t="str">
        <f t="shared" ca="1" si="142"/>
        <v/>
      </c>
      <c r="AN378" s="58">
        <f>IFERROR(IF($V378="BRAND.com",HLOOKUP($X378&amp;$Z378,NWC_FC_NOOS!$C$4:$Q$23,MATCH(W378,NWC_FC_NOOS!$B$4:$B$23,0),FALSE),0),0)</f>
        <v>0</v>
      </c>
      <c r="AO378" s="57">
        <f>IFERROR(IF($V378="BRAND.com",HLOOKUP($X378&amp;$Z378,NWC_FC_NOOS!$T$4:$AH$23,MATCH(W378,NWC_FC_NOOS!$S$4:$S$23,0),FALSE),0),0)</f>
        <v>0</v>
      </c>
      <c r="AP378" s="57">
        <f>IFERROR(IF($V378="BRAND.com",HLOOKUP($X378&amp;$Z378,NWC_FC_NOOS!$C$50:$U$69,MATCH(W378,NWC_FC_NOOS!$B$50:$B$69,0),FALSE),0),0)</f>
        <v>0</v>
      </c>
      <c r="AQ378" s="58">
        <f>IFERROR(IF($V378="BRAND.com",HLOOKUP($X378&amp;$Z378,'NWC_FC_NON-NOOS'!$C$4:$Q$23,MATCH(W378,'NWC_FC_NON-NOOS'!$B$4:$B$23,0),FALSE),0),0)</f>
        <v>0</v>
      </c>
      <c r="AR378" s="57">
        <f>IFERROR(IF($V378="BRAND.com",HLOOKUP($X378&amp;$Z378,'NWC_FC_NON-NOOS'!$T$4:$AH$23,MATCH(W378,'NWC_FC_NON-NOOS'!$S$4:$S$23,0),FALSE),0),0)</f>
        <v>0</v>
      </c>
      <c r="AS378" s="57">
        <f>IFERROR(IF($V378="BRAND.com",HLOOKUP($X378&amp;$Z378,'NWC_FC_NON-NOOS'!$C$50:$U$69,MATCH(W378,'NWC_FC_NON-NOOS'!$B$50:$B$69,0),FALSE),0),0)</f>
        <v>0</v>
      </c>
      <c r="AT378" s="57">
        <f t="shared" si="144"/>
        <v>0</v>
      </c>
      <c r="AU378" s="57">
        <f t="shared" si="145"/>
        <v>0</v>
      </c>
      <c r="AV378" s="58">
        <f>IFERROR(IF($V378="BRAND.com",HLOOKUP($X378&amp;$Z378,PLANNING_FC!$BB$27:$BP$46,MATCH($W378,PLANNING_FC!$BA$27:$BA$46,0),FALSE),0),0)</f>
        <v>0</v>
      </c>
      <c r="AW378" s="58">
        <f>IFERROR(IF($V378="BRAND.com",HLOOKUP($X378&amp;$Z378,PLANNING_FC!$BB$4:$BP$23,MATCH($W378,PLANNING_FC!$BA$4:$BA$23,0),FALSE),0),0)</f>
        <v>0</v>
      </c>
      <c r="AX378" s="58">
        <f>IFERROR(IF($V378="BRAND.com",HLOOKUP($X378&amp;$Z378,PLANNING_FC!$T$27:$AH$46,MATCH($W378,PLANNING_FC!$B$27:$B$46,0),FALSE),0),0)</f>
        <v>0</v>
      </c>
      <c r="AY378" s="58">
        <f>IFERROR(IF($V378="BRAND.com",HLOOKUP($X378&amp;$Z378,PLANNING_FC!$T$4:$AH$23,MATCH($W378,PLANNING_FC!$B$4:$B$23,0),FALSE),0),0)</f>
        <v>0</v>
      </c>
      <c r="AZ378" s="58">
        <f>IFERROR(IF($V378="BRAND.com",HLOOKUP($X378&amp;$Z378,PLANNING_FC!$DA$27:$DO$46,MATCH($W378,PLANNING_FC!$CZ$27:$CZ$46,0),FALSE),0),0)</f>
        <v>0</v>
      </c>
      <c r="BA378" s="58">
        <f>IFERROR(IF($V378="BRAND.com",HLOOKUP($X378&amp;$Z378,PLANNING_FC!$DA$4:$DO$23,MATCH($W378,PLANNING_FC!$CZ$4:$CZ$23,0),FALSE),0),0)</f>
        <v>0</v>
      </c>
      <c r="BB378" s="883" t="str">
        <f>IF(V378="BRAND.com",IFERROR(HLOOKUP(X378&amp;Z378,PLANNING_FC!$AK$4:$AY$23,MATCH(W378,PLANNING_FC!$AJ$4:$AJ$23,0),FALSE)*1000,""),"")</f>
        <v/>
      </c>
      <c r="BC378" s="883" t="str">
        <f>IF(V378="BRAND.com",IFERROR(HLOOKUP(X378&amp;Z378,PLANNING_FC!$AK$27:$AY$46,MATCH(W378,PLANNING_FC!$AJ$27:$AJ$46,0),FALSE)*1000,""),"")</f>
        <v/>
      </c>
    </row>
    <row r="379" spans="1:55" x14ac:dyDescent="0.25">
      <c r="A379" s="509"/>
      <c r="B379" s="509"/>
      <c r="C379" s="509"/>
      <c r="D379" s="509"/>
      <c r="E379" s="509"/>
      <c r="F379" s="509"/>
      <c r="G379" s="509"/>
      <c r="H379" s="509"/>
      <c r="I379" s="512"/>
      <c r="J379" s="513"/>
      <c r="K379" s="879"/>
      <c r="L379" s="515"/>
      <c r="M379" s="516"/>
      <c r="N379" s="56">
        <f t="shared" si="126"/>
        <v>0</v>
      </c>
      <c r="O379" s="57">
        <f t="shared" si="127"/>
        <v>0</v>
      </c>
      <c r="P379" s="57">
        <f ca="1">IFERROR(IF(ISBLANK(H379),SUMIFS($AC:$AC,$V:$V,V379,$W:$W,W379,$X:$X,X379,$Y:$Y,Y379)*J379/(1-J379)*VLOOKUP(_xlfn.CONCAT(C379,D379,E379,TIME!$M$12,Z379),HIS_SALES!$B$2:$W$4859,20,FALSE),AC379*J379/(1-J379)),0)</f>
        <v>0</v>
      </c>
      <c r="Q379" s="541" t="str">
        <f t="shared" si="128"/>
        <v/>
      </c>
      <c r="R379" s="346" t="str">
        <f t="shared" si="129"/>
        <v>00000</v>
      </c>
      <c r="S379" s="344">
        <f t="shared" si="130"/>
        <v>0</v>
      </c>
      <c r="T379" s="345" t="str">
        <f t="shared" si="143"/>
        <v>000</v>
      </c>
      <c r="U379" s="345">
        <f t="shared" si="131"/>
        <v>0</v>
      </c>
      <c r="V379" s="345">
        <f t="shared" si="132"/>
        <v>0</v>
      </c>
      <c r="W379" s="345">
        <f t="shared" si="133"/>
        <v>0</v>
      </c>
      <c r="X379" s="345">
        <f t="shared" si="134"/>
        <v>0</v>
      </c>
      <c r="Y379" s="345">
        <f t="shared" si="135"/>
        <v>0</v>
      </c>
      <c r="Z379" s="345">
        <f>IF(Q379&lt;&gt;"",VLOOKUP(Y379,TIME!$R$21:$V$24,MATCH(FC_DATA!Q379,TIME!$R$20:$V$20,0),FALSE),H379)</f>
        <v>0</v>
      </c>
      <c r="AA379" s="345" t="str">
        <f>IFERROR(VLOOKUP(X379&amp;Z379,TIME!$A$12:$D$71,4,FALSE),"")</f>
        <v/>
      </c>
      <c r="AB379" s="592">
        <f t="shared" ca="1" si="136"/>
        <v>0</v>
      </c>
      <c r="AC379" s="593" t="e">
        <f ca="1">IF(ISBLANK(H379)=FALSE,IF(D379="BRAND.com",I379,IF(ISNA(VLOOKUP(_xlfn.CONCAT(X379,Z379),TIME!$M$40:$M$42,1,FALSE)),I379,VLOOKUP(_xlfn.CONCAT(D379,G379,H379),M_BUSAREA_FC!$AF$5:$AJ$10,5,FALSE)*HLOOKUP(_xlfn.CONCAT(F379,H379),ST_OVERVIEW!$G$99:$I$130,MATCH(_xlfn.CONCAT(D379,E379),ST_OVERVIEW!$F$99:$F$130,0),FALSE))),IF(D379="BRAND.com",VLOOKUP(_xlfn.CONCAT(C379,D379,E379,TIME!$F$1,Z379),HIS_SALES!$B$2:$V$4859,19,FALSE)*I379,VLOOKUP(_xlfn.CONCAT(D379,F379,G379),Q_BUSAREA_FC!$AE$5:$AI$12,5,FALSE)*HLOOKUP(_xlfn.CONCAT(FC_DATA!F379,FC_DATA!G379),LT_OVERVIEW!$I$99:$M$130,MATCH(_xlfn.CONCAT(D379,FC_DATA!E379),LT_OVERVIEW!$H$99:$H$130,0),FALSE)*IFERROR(VLOOKUP(_xlfn.CONCAT(C379,D379,E379,TIME!$F$1,Z379),HIS_SALES!$B$2:$V$4859,19,FALSE),0)))</f>
        <v>#N/A</v>
      </c>
      <c r="AD379" s="341">
        <f t="shared" ca="1" si="137"/>
        <v>0</v>
      </c>
      <c r="AE379" s="363" t="str">
        <f t="shared" si="138"/>
        <v/>
      </c>
      <c r="AF379" s="342" t="str">
        <f t="shared" si="139"/>
        <v/>
      </c>
      <c r="AG379" s="411" t="e">
        <f ca="1">VLOOKUP(_xlfn.CONCAT(U379,V379,W379,VLOOKUP(X379&amp;Y379,TIME!$L$27:$O$34,4,FALSE),Y379),HIS_SALES!$A$2:$R$5093,18,FALSE)</f>
        <v>#N/A</v>
      </c>
      <c r="AH379" s="412" t="e">
        <f ca="1">IFERROR(IF(AND(V379=V378,W379=W378),0.5*(AB379+AB378)*AG379,(VLOOKUP(_xlfn.CONCAT(U379,V379,W379,X379,VLOOKUP(Z379,TIME!$S$28:$T$39,2,FALSE)),FC_DATA!$R$2:$AB$5000,MATCH("GS_I_M",FC_DATA!$R$1:$AB$1,0),FALSE)+FC_DATA!AB379)*0.5*FC_DATA!AG379),NA())</f>
        <v>#N/A</v>
      </c>
      <c r="AI379" s="491" t="e">
        <f ca="1">IF(V379="PARTNER.com",AH379,IF(AND(V379=V378,W379=W378),(1-AVERAGE(AD378,AD379))*AH379,(1-AVERAGE(AD379,VLOOKUP(_xlfn.CONCAT(U379,V379,W379,X379,M_BRAND_FC!$F$6),FC_DATA!$R$2:$AD$5000,MATCH("DISCOUNT_%_M",FC_DATA!$R$1:$AD$1,0),FALSE)))*AH379))</f>
        <v>#N/A</v>
      </c>
      <c r="AJ379" s="412" t="str">
        <f t="shared" ca="1" si="140"/>
        <v/>
      </c>
      <c r="AK379" s="413" t="str">
        <f>IFERROR(AE379/(Q_BRAND_FC!$T$24+1),"")</f>
        <v/>
      </c>
      <c r="AL379" s="88" t="str">
        <f t="shared" ca="1" si="141"/>
        <v/>
      </c>
      <c r="AM379" s="414" t="str">
        <f t="shared" ca="1" si="142"/>
        <v/>
      </c>
      <c r="AN379" s="58">
        <f>IFERROR(IF($V379="BRAND.com",HLOOKUP($X379&amp;$Z379,NWC_FC_NOOS!$C$4:$Q$23,MATCH(W379,NWC_FC_NOOS!$B$4:$B$23,0),FALSE),0),0)</f>
        <v>0</v>
      </c>
      <c r="AO379" s="57">
        <f>IFERROR(IF($V379="BRAND.com",HLOOKUP($X379&amp;$Z379,NWC_FC_NOOS!$T$4:$AH$23,MATCH(W379,NWC_FC_NOOS!$S$4:$S$23,0),FALSE),0),0)</f>
        <v>0</v>
      </c>
      <c r="AP379" s="57">
        <f>IFERROR(IF($V379="BRAND.com",HLOOKUP($X379&amp;$Z379,NWC_FC_NOOS!$C$50:$U$69,MATCH(W379,NWC_FC_NOOS!$B$50:$B$69,0),FALSE),0),0)</f>
        <v>0</v>
      </c>
      <c r="AQ379" s="58">
        <f>IFERROR(IF($V379="BRAND.com",HLOOKUP($X379&amp;$Z379,'NWC_FC_NON-NOOS'!$C$4:$Q$23,MATCH(W379,'NWC_FC_NON-NOOS'!$B$4:$B$23,0),FALSE),0),0)</f>
        <v>0</v>
      </c>
      <c r="AR379" s="57">
        <f>IFERROR(IF($V379="BRAND.com",HLOOKUP($X379&amp;$Z379,'NWC_FC_NON-NOOS'!$T$4:$AH$23,MATCH(W379,'NWC_FC_NON-NOOS'!$S$4:$S$23,0),FALSE),0),0)</f>
        <v>0</v>
      </c>
      <c r="AS379" s="57">
        <f>IFERROR(IF($V379="BRAND.com",HLOOKUP($X379&amp;$Z379,'NWC_FC_NON-NOOS'!$C$50:$U$69,MATCH(W379,'NWC_FC_NON-NOOS'!$B$50:$B$69,0),FALSE),0),0)</f>
        <v>0</v>
      </c>
      <c r="AT379" s="57">
        <f t="shared" si="144"/>
        <v>0</v>
      </c>
      <c r="AU379" s="57">
        <f t="shared" si="145"/>
        <v>0</v>
      </c>
      <c r="AV379" s="58">
        <f>IFERROR(IF($V379="BRAND.com",HLOOKUP($X379&amp;$Z379,PLANNING_FC!$BB$27:$BP$46,MATCH($W379,PLANNING_FC!$BA$27:$BA$46,0),FALSE),0),0)</f>
        <v>0</v>
      </c>
      <c r="AW379" s="58">
        <f>IFERROR(IF($V379="BRAND.com",HLOOKUP($X379&amp;$Z379,PLANNING_FC!$BB$4:$BP$23,MATCH($W379,PLANNING_FC!$BA$4:$BA$23,0),FALSE),0),0)</f>
        <v>0</v>
      </c>
      <c r="AX379" s="58">
        <f>IFERROR(IF($V379="BRAND.com",HLOOKUP($X379&amp;$Z379,PLANNING_FC!$T$27:$AH$46,MATCH($W379,PLANNING_FC!$B$27:$B$46,0),FALSE),0),0)</f>
        <v>0</v>
      </c>
      <c r="AY379" s="58">
        <f>IFERROR(IF($V379="BRAND.com",HLOOKUP($X379&amp;$Z379,PLANNING_FC!$T$4:$AH$23,MATCH($W379,PLANNING_FC!$B$4:$B$23,0),FALSE),0),0)</f>
        <v>0</v>
      </c>
      <c r="AZ379" s="58">
        <f>IFERROR(IF($V379="BRAND.com",HLOOKUP($X379&amp;$Z379,PLANNING_FC!$DA$27:$DO$46,MATCH($W379,PLANNING_FC!$CZ$27:$CZ$46,0),FALSE),0),0)</f>
        <v>0</v>
      </c>
      <c r="BA379" s="58">
        <f>IFERROR(IF($V379="BRAND.com",HLOOKUP($X379&amp;$Z379,PLANNING_FC!$DA$4:$DO$23,MATCH($W379,PLANNING_FC!$CZ$4:$CZ$23,0),FALSE),0),0)</f>
        <v>0</v>
      </c>
      <c r="BB379" s="883" t="str">
        <f>IF(V379="BRAND.com",IFERROR(HLOOKUP(X379&amp;Z379,PLANNING_FC!$AK$4:$AY$23,MATCH(W379,PLANNING_FC!$AJ$4:$AJ$23,0),FALSE)*1000,""),"")</f>
        <v/>
      </c>
      <c r="BC379" s="883" t="str">
        <f>IF(V379="BRAND.com",IFERROR(HLOOKUP(X379&amp;Z379,PLANNING_FC!$AK$27:$AY$46,MATCH(W379,PLANNING_FC!$AJ$27:$AJ$46,0),FALSE)*1000,""),"")</f>
        <v/>
      </c>
    </row>
    <row r="380" spans="1:55" x14ac:dyDescent="0.25">
      <c r="A380" s="509"/>
      <c r="B380" s="509"/>
      <c r="C380" s="509"/>
      <c r="D380" s="509"/>
      <c r="E380" s="509"/>
      <c r="F380" s="509"/>
      <c r="G380" s="509"/>
      <c r="H380" s="509"/>
      <c r="I380" s="512"/>
      <c r="J380" s="513"/>
      <c r="K380" s="879"/>
      <c r="L380" s="515"/>
      <c r="M380" s="516"/>
      <c r="N380" s="56">
        <f t="shared" si="126"/>
        <v>0</v>
      </c>
      <c r="O380" s="57">
        <f t="shared" si="127"/>
        <v>0</v>
      </c>
      <c r="P380" s="57">
        <f ca="1">IFERROR(IF(ISBLANK(H380),SUMIFS($AC:$AC,$V:$V,V380,$W:$W,W380,$X:$X,X380,$Y:$Y,Y380)*J380/(1-J380)*VLOOKUP(_xlfn.CONCAT(C380,D380,E380,TIME!$M$12,Z380),HIS_SALES!$B$2:$W$4859,20,FALSE),AC380*J380/(1-J380)),0)</f>
        <v>0</v>
      </c>
      <c r="Q380" s="541" t="str">
        <f t="shared" si="128"/>
        <v/>
      </c>
      <c r="R380" s="346" t="str">
        <f t="shared" si="129"/>
        <v>00000</v>
      </c>
      <c r="S380" s="344">
        <f t="shared" si="130"/>
        <v>0</v>
      </c>
      <c r="T380" s="345" t="str">
        <f t="shared" si="143"/>
        <v>000</v>
      </c>
      <c r="U380" s="345">
        <f t="shared" si="131"/>
        <v>0</v>
      </c>
      <c r="V380" s="345">
        <f t="shared" si="132"/>
        <v>0</v>
      </c>
      <c r="W380" s="345">
        <f t="shared" si="133"/>
        <v>0</v>
      </c>
      <c r="X380" s="345">
        <f t="shared" si="134"/>
        <v>0</v>
      </c>
      <c r="Y380" s="345">
        <f t="shared" si="135"/>
        <v>0</v>
      </c>
      <c r="Z380" s="345">
        <f>IF(Q380&lt;&gt;"",VLOOKUP(Y380,TIME!$R$21:$V$24,MATCH(FC_DATA!Q380,TIME!$R$20:$V$20,0),FALSE),H380)</f>
        <v>0</v>
      </c>
      <c r="AA380" s="345" t="str">
        <f>IFERROR(VLOOKUP(X380&amp;Z380,TIME!$A$12:$D$71,4,FALSE),"")</f>
        <v/>
      </c>
      <c r="AB380" s="592">
        <f t="shared" ca="1" si="136"/>
        <v>0</v>
      </c>
      <c r="AC380" s="593" t="e">
        <f ca="1">IF(ISBLANK(H380)=FALSE,IF(D380="BRAND.com",I380,IF(ISNA(VLOOKUP(_xlfn.CONCAT(X380,Z380),TIME!$M$40:$M$42,1,FALSE)),I380,VLOOKUP(_xlfn.CONCAT(D380,G380,H380),M_BUSAREA_FC!$AF$5:$AJ$10,5,FALSE)*HLOOKUP(_xlfn.CONCAT(F380,H380),ST_OVERVIEW!$G$99:$I$130,MATCH(_xlfn.CONCAT(D380,E380),ST_OVERVIEW!$F$99:$F$130,0),FALSE))),IF(D380="BRAND.com",VLOOKUP(_xlfn.CONCAT(C380,D380,E380,TIME!$F$1,Z380),HIS_SALES!$B$2:$V$4859,19,FALSE)*I380,VLOOKUP(_xlfn.CONCAT(D380,F380,G380),Q_BUSAREA_FC!$AE$5:$AI$12,5,FALSE)*HLOOKUP(_xlfn.CONCAT(FC_DATA!F380,FC_DATA!G380),LT_OVERVIEW!$I$99:$M$130,MATCH(_xlfn.CONCAT(D380,FC_DATA!E380),LT_OVERVIEW!$H$99:$H$130,0),FALSE)*IFERROR(VLOOKUP(_xlfn.CONCAT(C380,D380,E380,TIME!$F$1,Z380),HIS_SALES!$B$2:$V$4859,19,FALSE),0)))</f>
        <v>#N/A</v>
      </c>
      <c r="AD380" s="341">
        <f t="shared" ca="1" si="137"/>
        <v>0</v>
      </c>
      <c r="AE380" s="363" t="str">
        <f t="shared" si="138"/>
        <v/>
      </c>
      <c r="AF380" s="342" t="str">
        <f t="shared" si="139"/>
        <v/>
      </c>
      <c r="AG380" s="411" t="e">
        <f ca="1">VLOOKUP(_xlfn.CONCAT(U380,V380,W380,VLOOKUP(X380&amp;Y380,TIME!$L$27:$O$34,4,FALSE),Y380),HIS_SALES!$A$2:$R$5093,18,FALSE)</f>
        <v>#N/A</v>
      </c>
      <c r="AH380" s="412" t="e">
        <f ca="1">IFERROR(IF(AND(V380=V379,W380=W379),0.5*(AB380+AB379)*AG380,(VLOOKUP(_xlfn.CONCAT(U380,V380,W380,X380,VLOOKUP(Z380,TIME!$S$28:$T$39,2,FALSE)),FC_DATA!$R$2:$AB$5000,MATCH("GS_I_M",FC_DATA!$R$1:$AB$1,0),FALSE)+FC_DATA!AB380)*0.5*FC_DATA!AG380),NA())</f>
        <v>#N/A</v>
      </c>
      <c r="AI380" s="491" t="e">
        <f ca="1">IF(V380="PARTNER.com",AH380,IF(AND(V380=V379,W380=W379),(1-AVERAGE(AD379,AD380))*AH380,(1-AVERAGE(AD380,VLOOKUP(_xlfn.CONCAT(U380,V380,W380,X380,M_BRAND_FC!$F$6),FC_DATA!$R$2:$AD$5000,MATCH("DISCOUNT_%_M",FC_DATA!$R$1:$AD$1,0),FALSE)))*AH380))</f>
        <v>#N/A</v>
      </c>
      <c r="AJ380" s="412" t="str">
        <f t="shared" ca="1" si="140"/>
        <v/>
      </c>
      <c r="AK380" s="413" t="str">
        <f>IFERROR(AE380/(Q_BRAND_FC!$T$24+1),"")</f>
        <v/>
      </c>
      <c r="AL380" s="88" t="str">
        <f t="shared" ca="1" si="141"/>
        <v/>
      </c>
      <c r="AM380" s="414" t="str">
        <f t="shared" ca="1" si="142"/>
        <v/>
      </c>
      <c r="AN380" s="58">
        <f>IFERROR(IF($V380="BRAND.com",HLOOKUP($X380&amp;$Z380,NWC_FC_NOOS!$C$4:$Q$23,MATCH(W380,NWC_FC_NOOS!$B$4:$B$23,0),FALSE),0),0)</f>
        <v>0</v>
      </c>
      <c r="AO380" s="57">
        <f>IFERROR(IF($V380="BRAND.com",HLOOKUP($X380&amp;$Z380,NWC_FC_NOOS!$T$4:$AH$23,MATCH(W380,NWC_FC_NOOS!$S$4:$S$23,0),FALSE),0),0)</f>
        <v>0</v>
      </c>
      <c r="AP380" s="57">
        <f>IFERROR(IF($V380="BRAND.com",HLOOKUP($X380&amp;$Z380,NWC_FC_NOOS!$C$50:$U$69,MATCH(W380,NWC_FC_NOOS!$B$50:$B$69,0),FALSE),0),0)</f>
        <v>0</v>
      </c>
      <c r="AQ380" s="58">
        <f>IFERROR(IF($V380="BRAND.com",HLOOKUP($X380&amp;$Z380,'NWC_FC_NON-NOOS'!$C$4:$Q$23,MATCH(W380,'NWC_FC_NON-NOOS'!$B$4:$B$23,0),FALSE),0),0)</f>
        <v>0</v>
      </c>
      <c r="AR380" s="57">
        <f>IFERROR(IF($V380="BRAND.com",HLOOKUP($X380&amp;$Z380,'NWC_FC_NON-NOOS'!$T$4:$AH$23,MATCH(W380,'NWC_FC_NON-NOOS'!$S$4:$S$23,0),FALSE),0),0)</f>
        <v>0</v>
      </c>
      <c r="AS380" s="57">
        <f>IFERROR(IF($V380="BRAND.com",HLOOKUP($X380&amp;$Z380,'NWC_FC_NON-NOOS'!$C$50:$U$69,MATCH(W380,'NWC_FC_NON-NOOS'!$B$50:$B$69,0),FALSE),0),0)</f>
        <v>0</v>
      </c>
      <c r="AT380" s="57">
        <f t="shared" si="144"/>
        <v>0</v>
      </c>
      <c r="AU380" s="57">
        <f t="shared" si="145"/>
        <v>0</v>
      </c>
      <c r="AV380" s="58">
        <f>IFERROR(IF($V380="BRAND.com",HLOOKUP($X380&amp;$Z380,PLANNING_FC!$BB$27:$BP$46,MATCH($W380,PLANNING_FC!$BA$27:$BA$46,0),FALSE),0),0)</f>
        <v>0</v>
      </c>
      <c r="AW380" s="58">
        <f>IFERROR(IF($V380="BRAND.com",HLOOKUP($X380&amp;$Z380,PLANNING_FC!$BB$4:$BP$23,MATCH($W380,PLANNING_FC!$BA$4:$BA$23,0),FALSE),0),0)</f>
        <v>0</v>
      </c>
      <c r="AX380" s="58">
        <f>IFERROR(IF($V380="BRAND.com",HLOOKUP($X380&amp;$Z380,PLANNING_FC!$T$27:$AH$46,MATCH($W380,PLANNING_FC!$B$27:$B$46,0),FALSE),0),0)</f>
        <v>0</v>
      </c>
      <c r="AY380" s="58">
        <f>IFERROR(IF($V380="BRAND.com",HLOOKUP($X380&amp;$Z380,PLANNING_FC!$T$4:$AH$23,MATCH($W380,PLANNING_FC!$B$4:$B$23,0),FALSE),0),0)</f>
        <v>0</v>
      </c>
      <c r="AZ380" s="58">
        <f>IFERROR(IF($V380="BRAND.com",HLOOKUP($X380&amp;$Z380,PLANNING_FC!$DA$27:$DO$46,MATCH($W380,PLANNING_FC!$CZ$27:$CZ$46,0),FALSE),0),0)</f>
        <v>0</v>
      </c>
      <c r="BA380" s="58">
        <f>IFERROR(IF($V380="BRAND.com",HLOOKUP($X380&amp;$Z380,PLANNING_FC!$DA$4:$DO$23,MATCH($W380,PLANNING_FC!$CZ$4:$CZ$23,0),FALSE),0),0)</f>
        <v>0</v>
      </c>
      <c r="BB380" s="883" t="str">
        <f>IF(V380="BRAND.com",IFERROR(HLOOKUP(X380&amp;Z380,PLANNING_FC!$AK$4:$AY$23,MATCH(W380,PLANNING_FC!$AJ$4:$AJ$23,0),FALSE)*1000,""),"")</f>
        <v/>
      </c>
      <c r="BC380" s="883" t="str">
        <f>IF(V380="BRAND.com",IFERROR(HLOOKUP(X380&amp;Z380,PLANNING_FC!$AK$27:$AY$46,MATCH(W380,PLANNING_FC!$AJ$27:$AJ$46,0),FALSE)*1000,""),"")</f>
        <v/>
      </c>
    </row>
    <row r="381" spans="1:55" x14ac:dyDescent="0.25">
      <c r="A381" s="509"/>
      <c r="B381" s="509"/>
      <c r="C381" s="509"/>
      <c r="D381" s="509"/>
      <c r="E381" s="509"/>
      <c r="F381" s="509"/>
      <c r="G381" s="509"/>
      <c r="H381" s="509"/>
      <c r="I381" s="512"/>
      <c r="J381" s="513"/>
      <c r="K381" s="879"/>
      <c r="L381" s="515"/>
      <c r="M381" s="516"/>
      <c r="N381" s="56">
        <f t="shared" si="126"/>
        <v>0</v>
      </c>
      <c r="O381" s="57">
        <f t="shared" si="127"/>
        <v>0</v>
      </c>
      <c r="P381" s="57">
        <f ca="1">IFERROR(IF(ISBLANK(H381),SUMIFS($AC:$AC,$V:$V,V381,$W:$W,W381,$X:$X,X381,$Y:$Y,Y381)*J381/(1-J381)*VLOOKUP(_xlfn.CONCAT(C381,D381,E381,TIME!$M$12,Z381),HIS_SALES!$B$2:$W$4859,20,FALSE),AC381*J381/(1-J381)),0)</f>
        <v>0</v>
      </c>
      <c r="Q381" s="541" t="str">
        <f t="shared" si="128"/>
        <v/>
      </c>
      <c r="R381" s="346" t="str">
        <f t="shared" si="129"/>
        <v>00000</v>
      </c>
      <c r="S381" s="344">
        <f t="shared" si="130"/>
        <v>0</v>
      </c>
      <c r="T381" s="345" t="str">
        <f t="shared" si="143"/>
        <v>000</v>
      </c>
      <c r="U381" s="345">
        <f t="shared" si="131"/>
        <v>0</v>
      </c>
      <c r="V381" s="345">
        <f t="shared" si="132"/>
        <v>0</v>
      </c>
      <c r="W381" s="345">
        <f t="shared" si="133"/>
        <v>0</v>
      </c>
      <c r="X381" s="345">
        <f t="shared" si="134"/>
        <v>0</v>
      </c>
      <c r="Y381" s="345">
        <f t="shared" si="135"/>
        <v>0</v>
      </c>
      <c r="Z381" s="345">
        <f>IF(Q381&lt;&gt;"",VLOOKUP(Y381,TIME!$R$21:$V$24,MATCH(FC_DATA!Q381,TIME!$R$20:$V$20,0),FALSE),H381)</f>
        <v>0</v>
      </c>
      <c r="AA381" s="345" t="str">
        <f>IFERROR(VLOOKUP(X381&amp;Z381,TIME!$A$12:$D$71,4,FALSE),"")</f>
        <v/>
      </c>
      <c r="AB381" s="592">
        <f t="shared" ca="1" si="136"/>
        <v>0</v>
      </c>
      <c r="AC381" s="593" t="e">
        <f ca="1">IF(ISBLANK(H381)=FALSE,IF(D381="BRAND.com",I381,IF(ISNA(VLOOKUP(_xlfn.CONCAT(X381,Z381),TIME!$M$40:$M$42,1,FALSE)),I381,VLOOKUP(_xlfn.CONCAT(D381,G381,H381),M_BUSAREA_FC!$AF$5:$AJ$10,5,FALSE)*HLOOKUP(_xlfn.CONCAT(F381,H381),ST_OVERVIEW!$G$99:$I$130,MATCH(_xlfn.CONCAT(D381,E381),ST_OVERVIEW!$F$99:$F$130,0),FALSE))),IF(D381="BRAND.com",VLOOKUP(_xlfn.CONCAT(C381,D381,E381,TIME!$F$1,Z381),HIS_SALES!$B$2:$V$4859,19,FALSE)*I381,VLOOKUP(_xlfn.CONCAT(D381,F381,G381),Q_BUSAREA_FC!$AE$5:$AI$12,5,FALSE)*HLOOKUP(_xlfn.CONCAT(FC_DATA!F381,FC_DATA!G381),LT_OVERVIEW!$I$99:$M$130,MATCH(_xlfn.CONCAT(D381,FC_DATA!E381),LT_OVERVIEW!$H$99:$H$130,0),FALSE)*IFERROR(VLOOKUP(_xlfn.CONCAT(C381,D381,E381,TIME!$F$1,Z381),HIS_SALES!$B$2:$V$4859,19,FALSE),0)))</f>
        <v>#N/A</v>
      </c>
      <c r="AD381" s="341">
        <f t="shared" ca="1" si="137"/>
        <v>0</v>
      </c>
      <c r="AE381" s="363" t="str">
        <f t="shared" si="138"/>
        <v/>
      </c>
      <c r="AF381" s="342" t="str">
        <f t="shared" si="139"/>
        <v/>
      </c>
      <c r="AG381" s="411" t="e">
        <f ca="1">VLOOKUP(_xlfn.CONCAT(U381,V381,W381,VLOOKUP(X381&amp;Y381,TIME!$L$27:$O$34,4,FALSE),Y381),HIS_SALES!$A$2:$R$5093,18,FALSE)</f>
        <v>#N/A</v>
      </c>
      <c r="AH381" s="412" t="e">
        <f ca="1">IFERROR(IF(AND(V381=V380,W381=W380),0.5*(AB381+AB380)*AG381,(VLOOKUP(_xlfn.CONCAT(U381,V381,W381,X381,VLOOKUP(Z381,TIME!$S$28:$T$39,2,FALSE)),FC_DATA!$R$2:$AB$5000,MATCH("GS_I_M",FC_DATA!$R$1:$AB$1,0),FALSE)+FC_DATA!AB381)*0.5*FC_DATA!AG381),NA())</f>
        <v>#N/A</v>
      </c>
      <c r="AI381" s="491" t="e">
        <f ca="1">IF(V381="PARTNER.com",AH381,IF(AND(V381=V380,W381=W380),(1-AVERAGE(AD380,AD381))*AH381,(1-AVERAGE(AD381,VLOOKUP(_xlfn.CONCAT(U381,V381,W381,X381,M_BRAND_FC!$F$6),FC_DATA!$R$2:$AD$5000,MATCH("DISCOUNT_%_M",FC_DATA!$R$1:$AD$1,0),FALSE)))*AH381))</f>
        <v>#N/A</v>
      </c>
      <c r="AJ381" s="412" t="str">
        <f t="shared" ca="1" si="140"/>
        <v/>
      </c>
      <c r="AK381" s="413" t="str">
        <f>IFERROR(AE381/(Q_BRAND_FC!$T$24+1),"")</f>
        <v/>
      </c>
      <c r="AL381" s="88" t="str">
        <f t="shared" ca="1" si="141"/>
        <v/>
      </c>
      <c r="AM381" s="414" t="str">
        <f t="shared" ca="1" si="142"/>
        <v/>
      </c>
      <c r="AN381" s="58">
        <f>IFERROR(IF($V381="BRAND.com",HLOOKUP($X381&amp;$Z381,NWC_FC_NOOS!$C$4:$Q$23,MATCH(W381,NWC_FC_NOOS!$B$4:$B$23,0),FALSE),0),0)</f>
        <v>0</v>
      </c>
      <c r="AO381" s="57">
        <f>IFERROR(IF($V381="BRAND.com",HLOOKUP($X381&amp;$Z381,NWC_FC_NOOS!$T$4:$AH$23,MATCH(W381,NWC_FC_NOOS!$S$4:$S$23,0),FALSE),0),0)</f>
        <v>0</v>
      </c>
      <c r="AP381" s="57">
        <f>IFERROR(IF($V381="BRAND.com",HLOOKUP($X381&amp;$Z381,NWC_FC_NOOS!$C$50:$U$69,MATCH(W381,NWC_FC_NOOS!$B$50:$B$69,0),FALSE),0),0)</f>
        <v>0</v>
      </c>
      <c r="AQ381" s="58">
        <f>IFERROR(IF($V381="BRAND.com",HLOOKUP($X381&amp;$Z381,'NWC_FC_NON-NOOS'!$C$4:$Q$23,MATCH(W381,'NWC_FC_NON-NOOS'!$B$4:$B$23,0),FALSE),0),0)</f>
        <v>0</v>
      </c>
      <c r="AR381" s="57">
        <f>IFERROR(IF($V381="BRAND.com",HLOOKUP($X381&amp;$Z381,'NWC_FC_NON-NOOS'!$T$4:$AH$23,MATCH(W381,'NWC_FC_NON-NOOS'!$S$4:$S$23,0),FALSE),0),0)</f>
        <v>0</v>
      </c>
      <c r="AS381" s="57">
        <f>IFERROR(IF($V381="BRAND.com",HLOOKUP($X381&amp;$Z381,'NWC_FC_NON-NOOS'!$C$50:$U$69,MATCH(W381,'NWC_FC_NON-NOOS'!$B$50:$B$69,0),FALSE),0),0)</f>
        <v>0</v>
      </c>
      <c r="AT381" s="57">
        <f t="shared" si="144"/>
        <v>0</v>
      </c>
      <c r="AU381" s="57">
        <f t="shared" si="145"/>
        <v>0</v>
      </c>
      <c r="AV381" s="58">
        <f>IFERROR(IF($V381="BRAND.com",HLOOKUP($X381&amp;$Z381,PLANNING_FC!$BB$27:$BP$46,MATCH($W381,PLANNING_FC!$BA$27:$BA$46,0),FALSE),0),0)</f>
        <v>0</v>
      </c>
      <c r="AW381" s="58">
        <f>IFERROR(IF($V381="BRAND.com",HLOOKUP($X381&amp;$Z381,PLANNING_FC!$BB$4:$BP$23,MATCH($W381,PLANNING_FC!$BA$4:$BA$23,0),FALSE),0),0)</f>
        <v>0</v>
      </c>
      <c r="AX381" s="58">
        <f>IFERROR(IF($V381="BRAND.com",HLOOKUP($X381&amp;$Z381,PLANNING_FC!$T$27:$AH$46,MATCH($W381,PLANNING_FC!$B$27:$B$46,0),FALSE),0),0)</f>
        <v>0</v>
      </c>
      <c r="AY381" s="58">
        <f>IFERROR(IF($V381="BRAND.com",HLOOKUP($X381&amp;$Z381,PLANNING_FC!$T$4:$AH$23,MATCH($W381,PLANNING_FC!$B$4:$B$23,0),FALSE),0),0)</f>
        <v>0</v>
      </c>
      <c r="AZ381" s="58">
        <f>IFERROR(IF($V381="BRAND.com",HLOOKUP($X381&amp;$Z381,PLANNING_FC!$DA$27:$DO$46,MATCH($W381,PLANNING_FC!$CZ$27:$CZ$46,0),FALSE),0),0)</f>
        <v>0</v>
      </c>
      <c r="BA381" s="58">
        <f>IFERROR(IF($V381="BRAND.com",HLOOKUP($X381&amp;$Z381,PLANNING_FC!$DA$4:$DO$23,MATCH($W381,PLANNING_FC!$CZ$4:$CZ$23,0),FALSE),0),0)</f>
        <v>0</v>
      </c>
      <c r="BB381" s="883" t="str">
        <f>IF(V381="BRAND.com",IFERROR(HLOOKUP(X381&amp;Z381,PLANNING_FC!$AK$4:$AY$23,MATCH(W381,PLANNING_FC!$AJ$4:$AJ$23,0),FALSE)*1000,""),"")</f>
        <v/>
      </c>
      <c r="BC381" s="883" t="str">
        <f>IF(V381="BRAND.com",IFERROR(HLOOKUP(X381&amp;Z381,PLANNING_FC!$AK$27:$AY$46,MATCH(W381,PLANNING_FC!$AJ$27:$AJ$46,0),FALSE)*1000,""),"")</f>
        <v/>
      </c>
    </row>
    <row r="382" spans="1:55" x14ac:dyDescent="0.25">
      <c r="A382" s="509"/>
      <c r="B382" s="509"/>
      <c r="C382" s="509"/>
      <c r="D382" s="509"/>
      <c r="E382" s="509"/>
      <c r="F382" s="509"/>
      <c r="G382" s="509"/>
      <c r="H382" s="509"/>
      <c r="I382" s="512"/>
      <c r="J382" s="513"/>
      <c r="K382" s="879"/>
      <c r="L382" s="515"/>
      <c r="M382" s="516"/>
      <c r="N382" s="56">
        <f t="shared" si="126"/>
        <v>0</v>
      </c>
      <c r="O382" s="57">
        <f t="shared" si="127"/>
        <v>0</v>
      </c>
      <c r="P382" s="57">
        <f ca="1">IFERROR(IF(ISBLANK(H382),SUMIFS($AC:$AC,$V:$V,V382,$W:$W,W382,$X:$X,X382,$Y:$Y,Y382)*J382/(1-J382)*VLOOKUP(_xlfn.CONCAT(C382,D382,E382,TIME!$M$12,Z382),HIS_SALES!$B$2:$W$4859,20,FALSE),AC382*J382/(1-J382)),0)</f>
        <v>0</v>
      </c>
      <c r="Q382" s="541" t="str">
        <f t="shared" si="128"/>
        <v/>
      </c>
      <c r="R382" s="346" t="str">
        <f t="shared" si="129"/>
        <v>00000</v>
      </c>
      <c r="S382" s="344">
        <f t="shared" si="130"/>
        <v>0</v>
      </c>
      <c r="T382" s="345" t="str">
        <f t="shared" si="143"/>
        <v>000</v>
      </c>
      <c r="U382" s="345">
        <f t="shared" si="131"/>
        <v>0</v>
      </c>
      <c r="V382" s="345">
        <f t="shared" si="132"/>
        <v>0</v>
      </c>
      <c r="W382" s="345">
        <f t="shared" si="133"/>
        <v>0</v>
      </c>
      <c r="X382" s="345">
        <f t="shared" si="134"/>
        <v>0</v>
      </c>
      <c r="Y382" s="345">
        <f t="shared" si="135"/>
        <v>0</v>
      </c>
      <c r="Z382" s="345">
        <f>IF(Q382&lt;&gt;"",VLOOKUP(Y382,TIME!$R$21:$V$24,MATCH(FC_DATA!Q382,TIME!$R$20:$V$20,0),FALSE),H382)</f>
        <v>0</v>
      </c>
      <c r="AA382" s="345" t="str">
        <f>IFERROR(VLOOKUP(X382&amp;Z382,TIME!$A$12:$D$71,4,FALSE),"")</f>
        <v/>
      </c>
      <c r="AB382" s="592">
        <f t="shared" ca="1" si="136"/>
        <v>0</v>
      </c>
      <c r="AC382" s="593" t="e">
        <f ca="1">IF(ISBLANK(H382)=FALSE,IF(D382="BRAND.com",I382,IF(ISNA(VLOOKUP(_xlfn.CONCAT(X382,Z382),TIME!$M$40:$M$42,1,FALSE)),I382,VLOOKUP(_xlfn.CONCAT(D382,G382,H382),M_BUSAREA_FC!$AF$5:$AJ$10,5,FALSE)*HLOOKUP(_xlfn.CONCAT(F382,H382),ST_OVERVIEW!$G$99:$I$130,MATCH(_xlfn.CONCAT(D382,E382),ST_OVERVIEW!$F$99:$F$130,0),FALSE))),IF(D382="BRAND.com",VLOOKUP(_xlfn.CONCAT(C382,D382,E382,TIME!$F$1,Z382),HIS_SALES!$B$2:$V$4859,19,FALSE)*I382,VLOOKUP(_xlfn.CONCAT(D382,F382,G382),Q_BUSAREA_FC!$AE$5:$AI$12,5,FALSE)*HLOOKUP(_xlfn.CONCAT(FC_DATA!F382,FC_DATA!G382),LT_OVERVIEW!$I$99:$M$130,MATCH(_xlfn.CONCAT(D382,FC_DATA!E382),LT_OVERVIEW!$H$99:$H$130,0),FALSE)*IFERROR(VLOOKUP(_xlfn.CONCAT(C382,D382,E382,TIME!$F$1,Z382),HIS_SALES!$B$2:$V$4859,19,FALSE),0)))</f>
        <v>#N/A</v>
      </c>
      <c r="AD382" s="341">
        <f t="shared" ca="1" si="137"/>
        <v>0</v>
      </c>
      <c r="AE382" s="363" t="str">
        <f t="shared" si="138"/>
        <v/>
      </c>
      <c r="AF382" s="342" t="str">
        <f t="shared" si="139"/>
        <v/>
      </c>
      <c r="AG382" s="411" t="e">
        <f ca="1">VLOOKUP(_xlfn.CONCAT(U382,V382,W382,VLOOKUP(X382&amp;Y382,TIME!$L$27:$O$34,4,FALSE),Y382),HIS_SALES!$A$2:$R$5093,18,FALSE)</f>
        <v>#N/A</v>
      </c>
      <c r="AH382" s="412" t="e">
        <f ca="1">IFERROR(IF(AND(V382=V381,W382=W381),0.5*(AB382+AB381)*AG382,(VLOOKUP(_xlfn.CONCAT(U382,V382,W382,X382,VLOOKUP(Z382,TIME!$S$28:$T$39,2,FALSE)),FC_DATA!$R$2:$AB$5000,MATCH("GS_I_M",FC_DATA!$R$1:$AB$1,0),FALSE)+FC_DATA!AB382)*0.5*FC_DATA!AG382),NA())</f>
        <v>#N/A</v>
      </c>
      <c r="AI382" s="491" t="e">
        <f ca="1">IF(V382="PARTNER.com",AH382,IF(AND(V382=V381,W382=W381),(1-AVERAGE(AD381,AD382))*AH382,(1-AVERAGE(AD382,VLOOKUP(_xlfn.CONCAT(U382,V382,W382,X382,M_BRAND_FC!$F$6),FC_DATA!$R$2:$AD$5000,MATCH("DISCOUNT_%_M",FC_DATA!$R$1:$AD$1,0),FALSE)))*AH382))</f>
        <v>#N/A</v>
      </c>
      <c r="AJ382" s="412" t="str">
        <f t="shared" ca="1" si="140"/>
        <v/>
      </c>
      <c r="AK382" s="413" t="str">
        <f>IFERROR(AE382/(Q_BRAND_FC!$T$24+1),"")</f>
        <v/>
      </c>
      <c r="AL382" s="88" t="str">
        <f t="shared" ca="1" si="141"/>
        <v/>
      </c>
      <c r="AM382" s="414" t="str">
        <f t="shared" ca="1" si="142"/>
        <v/>
      </c>
      <c r="AN382" s="58">
        <f>IFERROR(IF($V382="BRAND.com",HLOOKUP($X382&amp;$Z382,NWC_FC_NOOS!$C$4:$Q$23,MATCH(W382,NWC_FC_NOOS!$B$4:$B$23,0),FALSE),0),0)</f>
        <v>0</v>
      </c>
      <c r="AO382" s="57">
        <f>IFERROR(IF($V382="BRAND.com",HLOOKUP($X382&amp;$Z382,NWC_FC_NOOS!$T$4:$AH$23,MATCH(W382,NWC_FC_NOOS!$S$4:$S$23,0),FALSE),0),0)</f>
        <v>0</v>
      </c>
      <c r="AP382" s="57">
        <f>IFERROR(IF($V382="BRAND.com",HLOOKUP($X382&amp;$Z382,NWC_FC_NOOS!$C$50:$U$69,MATCH(W382,NWC_FC_NOOS!$B$50:$B$69,0),FALSE),0),0)</f>
        <v>0</v>
      </c>
      <c r="AQ382" s="58">
        <f>IFERROR(IF($V382="BRAND.com",HLOOKUP($X382&amp;$Z382,'NWC_FC_NON-NOOS'!$C$4:$Q$23,MATCH(W382,'NWC_FC_NON-NOOS'!$B$4:$B$23,0),FALSE),0),0)</f>
        <v>0</v>
      </c>
      <c r="AR382" s="57">
        <f>IFERROR(IF($V382="BRAND.com",HLOOKUP($X382&amp;$Z382,'NWC_FC_NON-NOOS'!$T$4:$AH$23,MATCH(W382,'NWC_FC_NON-NOOS'!$S$4:$S$23,0),FALSE),0),0)</f>
        <v>0</v>
      </c>
      <c r="AS382" s="57">
        <f>IFERROR(IF($V382="BRAND.com",HLOOKUP($X382&amp;$Z382,'NWC_FC_NON-NOOS'!$C$50:$U$69,MATCH(W382,'NWC_FC_NON-NOOS'!$B$50:$B$69,0),FALSE),0),0)</f>
        <v>0</v>
      </c>
      <c r="AT382" s="57">
        <f t="shared" si="144"/>
        <v>0</v>
      </c>
      <c r="AU382" s="57">
        <f t="shared" si="145"/>
        <v>0</v>
      </c>
      <c r="AV382" s="58">
        <f>IFERROR(IF($V382="BRAND.com",HLOOKUP($X382&amp;$Z382,PLANNING_FC!$BB$27:$BP$46,MATCH($W382,PLANNING_FC!$BA$27:$BA$46,0),FALSE),0),0)</f>
        <v>0</v>
      </c>
      <c r="AW382" s="58">
        <f>IFERROR(IF($V382="BRAND.com",HLOOKUP($X382&amp;$Z382,PLANNING_FC!$BB$4:$BP$23,MATCH($W382,PLANNING_FC!$BA$4:$BA$23,0),FALSE),0),0)</f>
        <v>0</v>
      </c>
      <c r="AX382" s="58">
        <f>IFERROR(IF($V382="BRAND.com",HLOOKUP($X382&amp;$Z382,PLANNING_FC!$T$27:$AH$46,MATCH($W382,PLANNING_FC!$B$27:$B$46,0),FALSE),0),0)</f>
        <v>0</v>
      </c>
      <c r="AY382" s="58">
        <f>IFERROR(IF($V382="BRAND.com",HLOOKUP($X382&amp;$Z382,PLANNING_FC!$T$4:$AH$23,MATCH($W382,PLANNING_FC!$B$4:$B$23,0),FALSE),0),0)</f>
        <v>0</v>
      </c>
      <c r="AZ382" s="58">
        <f>IFERROR(IF($V382="BRAND.com",HLOOKUP($X382&amp;$Z382,PLANNING_FC!$DA$27:$DO$46,MATCH($W382,PLANNING_FC!$CZ$27:$CZ$46,0),FALSE),0),0)</f>
        <v>0</v>
      </c>
      <c r="BA382" s="58">
        <f>IFERROR(IF($V382="BRAND.com",HLOOKUP($X382&amp;$Z382,PLANNING_FC!$DA$4:$DO$23,MATCH($W382,PLANNING_FC!$CZ$4:$CZ$23,0),FALSE),0),0)</f>
        <v>0</v>
      </c>
      <c r="BB382" s="883" t="str">
        <f>IF(V382="BRAND.com",IFERROR(HLOOKUP(X382&amp;Z382,PLANNING_FC!$AK$4:$AY$23,MATCH(W382,PLANNING_FC!$AJ$4:$AJ$23,0),FALSE)*1000,""),"")</f>
        <v/>
      </c>
      <c r="BC382" s="883" t="str">
        <f>IF(V382="BRAND.com",IFERROR(HLOOKUP(X382&amp;Z382,PLANNING_FC!$AK$27:$AY$46,MATCH(W382,PLANNING_FC!$AJ$27:$AJ$46,0),FALSE)*1000,""),"")</f>
        <v/>
      </c>
    </row>
    <row r="383" spans="1:55" x14ac:dyDescent="0.25">
      <c r="A383" s="509"/>
      <c r="B383" s="509"/>
      <c r="C383" s="509"/>
      <c r="D383" s="509"/>
      <c r="E383" s="509"/>
      <c r="F383" s="509"/>
      <c r="G383" s="509"/>
      <c r="H383" s="509"/>
      <c r="I383" s="512"/>
      <c r="J383" s="513"/>
      <c r="K383" s="879"/>
      <c r="L383" s="515"/>
      <c r="M383" s="516"/>
      <c r="N383" s="56">
        <f t="shared" si="126"/>
        <v>0</v>
      </c>
      <c r="O383" s="57">
        <f t="shared" si="127"/>
        <v>0</v>
      </c>
      <c r="P383" s="57">
        <f ca="1">IFERROR(IF(ISBLANK(H383),SUMIFS($AC:$AC,$V:$V,V383,$W:$W,W383,$X:$X,X383,$Y:$Y,Y383)*J383/(1-J383)*VLOOKUP(_xlfn.CONCAT(C383,D383,E383,TIME!$M$12,Z383),HIS_SALES!$B$2:$W$4859,20,FALSE),AC383*J383/(1-J383)),0)</f>
        <v>0</v>
      </c>
      <c r="Q383" s="541" t="str">
        <f t="shared" si="128"/>
        <v/>
      </c>
      <c r="R383" s="346" t="str">
        <f t="shared" si="129"/>
        <v>00000</v>
      </c>
      <c r="S383" s="344">
        <f t="shared" si="130"/>
        <v>0</v>
      </c>
      <c r="T383" s="345" t="str">
        <f t="shared" si="143"/>
        <v>000</v>
      </c>
      <c r="U383" s="345">
        <f t="shared" si="131"/>
        <v>0</v>
      </c>
      <c r="V383" s="345">
        <f t="shared" si="132"/>
        <v>0</v>
      </c>
      <c r="W383" s="345">
        <f t="shared" si="133"/>
        <v>0</v>
      </c>
      <c r="X383" s="345">
        <f t="shared" si="134"/>
        <v>0</v>
      </c>
      <c r="Y383" s="345">
        <f t="shared" si="135"/>
        <v>0</v>
      </c>
      <c r="Z383" s="345">
        <f>IF(Q383&lt;&gt;"",VLOOKUP(Y383,TIME!$R$21:$V$24,MATCH(FC_DATA!Q383,TIME!$R$20:$V$20,0),FALSE),H383)</f>
        <v>0</v>
      </c>
      <c r="AA383" s="345" t="str">
        <f>IFERROR(VLOOKUP(X383&amp;Z383,TIME!$A$12:$D$71,4,FALSE),"")</f>
        <v/>
      </c>
      <c r="AB383" s="592">
        <f t="shared" ca="1" si="136"/>
        <v>0</v>
      </c>
      <c r="AC383" s="593" t="e">
        <f ca="1">IF(ISBLANK(H383)=FALSE,IF(D383="BRAND.com",I383,IF(ISNA(VLOOKUP(_xlfn.CONCAT(X383,Z383),TIME!$M$40:$M$42,1,FALSE)),I383,VLOOKUP(_xlfn.CONCAT(D383,G383,H383),M_BUSAREA_FC!$AF$5:$AJ$10,5,FALSE)*HLOOKUP(_xlfn.CONCAT(F383,H383),ST_OVERVIEW!$G$99:$I$130,MATCH(_xlfn.CONCAT(D383,E383),ST_OVERVIEW!$F$99:$F$130,0),FALSE))),IF(D383="BRAND.com",VLOOKUP(_xlfn.CONCAT(C383,D383,E383,TIME!$F$1,Z383),HIS_SALES!$B$2:$V$4859,19,FALSE)*I383,VLOOKUP(_xlfn.CONCAT(D383,F383,G383),Q_BUSAREA_FC!$AE$5:$AI$12,5,FALSE)*HLOOKUP(_xlfn.CONCAT(FC_DATA!F383,FC_DATA!G383),LT_OVERVIEW!$I$99:$M$130,MATCH(_xlfn.CONCAT(D383,FC_DATA!E383),LT_OVERVIEW!$H$99:$H$130,0),FALSE)*IFERROR(VLOOKUP(_xlfn.CONCAT(C383,D383,E383,TIME!$F$1,Z383),HIS_SALES!$B$2:$V$4859,19,FALSE),0)))</f>
        <v>#N/A</v>
      </c>
      <c r="AD383" s="341">
        <f t="shared" ca="1" si="137"/>
        <v>0</v>
      </c>
      <c r="AE383" s="363" t="str">
        <f t="shared" si="138"/>
        <v/>
      </c>
      <c r="AF383" s="342" t="str">
        <f t="shared" si="139"/>
        <v/>
      </c>
      <c r="AG383" s="411" t="e">
        <f ca="1">VLOOKUP(_xlfn.CONCAT(U383,V383,W383,VLOOKUP(X383&amp;Y383,TIME!$L$27:$O$34,4,FALSE),Y383),HIS_SALES!$A$2:$R$5093,18,FALSE)</f>
        <v>#N/A</v>
      </c>
      <c r="AH383" s="412" t="e">
        <f ca="1">IFERROR(IF(AND(V383=V382,W383=W382),0.5*(AB383+AB382)*AG383,(VLOOKUP(_xlfn.CONCAT(U383,V383,W383,X383,VLOOKUP(Z383,TIME!$S$28:$T$39,2,FALSE)),FC_DATA!$R$2:$AB$5000,MATCH("GS_I_M",FC_DATA!$R$1:$AB$1,0),FALSE)+FC_DATA!AB383)*0.5*FC_DATA!AG383),NA())</f>
        <v>#N/A</v>
      </c>
      <c r="AI383" s="491" t="e">
        <f ca="1">IF(V383="PARTNER.com",AH383,IF(AND(V383=V382,W383=W382),(1-AVERAGE(AD382,AD383))*AH383,(1-AVERAGE(AD383,VLOOKUP(_xlfn.CONCAT(U383,V383,W383,X383,M_BRAND_FC!$F$6),FC_DATA!$R$2:$AD$5000,MATCH("DISCOUNT_%_M",FC_DATA!$R$1:$AD$1,0),FALSE)))*AH383))</f>
        <v>#N/A</v>
      </c>
      <c r="AJ383" s="412" t="str">
        <f t="shared" ca="1" si="140"/>
        <v/>
      </c>
      <c r="AK383" s="413" t="str">
        <f>IFERROR(AE383/(Q_BRAND_FC!$T$24+1),"")</f>
        <v/>
      </c>
      <c r="AL383" s="88" t="str">
        <f t="shared" ca="1" si="141"/>
        <v/>
      </c>
      <c r="AM383" s="414" t="str">
        <f t="shared" ca="1" si="142"/>
        <v/>
      </c>
      <c r="AN383" s="58">
        <f>IFERROR(IF($V383="BRAND.com",HLOOKUP($X383&amp;$Z383,NWC_FC_NOOS!$C$4:$Q$23,MATCH(W383,NWC_FC_NOOS!$B$4:$B$23,0),FALSE),0),0)</f>
        <v>0</v>
      </c>
      <c r="AO383" s="57">
        <f>IFERROR(IF($V383="BRAND.com",HLOOKUP($X383&amp;$Z383,NWC_FC_NOOS!$T$4:$AH$23,MATCH(W383,NWC_FC_NOOS!$S$4:$S$23,0),FALSE),0),0)</f>
        <v>0</v>
      </c>
      <c r="AP383" s="57">
        <f>IFERROR(IF($V383="BRAND.com",HLOOKUP($X383&amp;$Z383,NWC_FC_NOOS!$C$50:$U$69,MATCH(W383,NWC_FC_NOOS!$B$50:$B$69,0),FALSE),0),0)</f>
        <v>0</v>
      </c>
      <c r="AQ383" s="58">
        <f>IFERROR(IF($V383="BRAND.com",HLOOKUP($X383&amp;$Z383,'NWC_FC_NON-NOOS'!$C$4:$Q$23,MATCH(W383,'NWC_FC_NON-NOOS'!$B$4:$B$23,0),FALSE),0),0)</f>
        <v>0</v>
      </c>
      <c r="AR383" s="57">
        <f>IFERROR(IF($V383="BRAND.com",HLOOKUP($X383&amp;$Z383,'NWC_FC_NON-NOOS'!$T$4:$AH$23,MATCH(W383,'NWC_FC_NON-NOOS'!$S$4:$S$23,0),FALSE),0),0)</f>
        <v>0</v>
      </c>
      <c r="AS383" s="57">
        <f>IFERROR(IF($V383="BRAND.com",HLOOKUP($X383&amp;$Z383,'NWC_FC_NON-NOOS'!$C$50:$U$69,MATCH(W383,'NWC_FC_NON-NOOS'!$B$50:$B$69,0),FALSE),0),0)</f>
        <v>0</v>
      </c>
      <c r="AT383" s="57">
        <f t="shared" si="144"/>
        <v>0</v>
      </c>
      <c r="AU383" s="57">
        <f t="shared" si="145"/>
        <v>0</v>
      </c>
      <c r="AV383" s="58">
        <f>IFERROR(IF($V383="BRAND.com",HLOOKUP($X383&amp;$Z383,PLANNING_FC!$BB$27:$BP$46,MATCH($W383,PLANNING_FC!$BA$27:$BA$46,0),FALSE),0),0)</f>
        <v>0</v>
      </c>
      <c r="AW383" s="58">
        <f>IFERROR(IF($V383="BRAND.com",HLOOKUP($X383&amp;$Z383,PLANNING_FC!$BB$4:$BP$23,MATCH($W383,PLANNING_FC!$BA$4:$BA$23,0),FALSE),0),0)</f>
        <v>0</v>
      </c>
      <c r="AX383" s="58">
        <f>IFERROR(IF($V383="BRAND.com",HLOOKUP($X383&amp;$Z383,PLANNING_FC!$T$27:$AH$46,MATCH($W383,PLANNING_FC!$B$27:$B$46,0),FALSE),0),0)</f>
        <v>0</v>
      </c>
      <c r="AY383" s="58">
        <f>IFERROR(IF($V383="BRAND.com",HLOOKUP($X383&amp;$Z383,PLANNING_FC!$T$4:$AH$23,MATCH($W383,PLANNING_FC!$B$4:$B$23,0),FALSE),0),0)</f>
        <v>0</v>
      </c>
      <c r="AZ383" s="58">
        <f>IFERROR(IF($V383="BRAND.com",HLOOKUP($X383&amp;$Z383,PLANNING_FC!$DA$27:$DO$46,MATCH($W383,PLANNING_FC!$CZ$27:$CZ$46,0),FALSE),0),0)</f>
        <v>0</v>
      </c>
      <c r="BA383" s="58">
        <f>IFERROR(IF($V383="BRAND.com",HLOOKUP($X383&amp;$Z383,PLANNING_FC!$DA$4:$DO$23,MATCH($W383,PLANNING_FC!$CZ$4:$CZ$23,0),FALSE),0),0)</f>
        <v>0</v>
      </c>
      <c r="BB383" s="883" t="str">
        <f>IF(V383="BRAND.com",IFERROR(HLOOKUP(X383&amp;Z383,PLANNING_FC!$AK$4:$AY$23,MATCH(W383,PLANNING_FC!$AJ$4:$AJ$23,0),FALSE)*1000,""),"")</f>
        <v/>
      </c>
      <c r="BC383" s="883" t="str">
        <f>IF(V383="BRAND.com",IFERROR(HLOOKUP(X383&amp;Z383,PLANNING_FC!$AK$27:$AY$46,MATCH(W383,PLANNING_FC!$AJ$27:$AJ$46,0),FALSE)*1000,""),"")</f>
        <v/>
      </c>
    </row>
    <row r="384" spans="1:55" x14ac:dyDescent="0.25">
      <c r="A384" s="509"/>
      <c r="B384" s="509"/>
      <c r="C384" s="509"/>
      <c r="D384" s="509"/>
      <c r="E384" s="509"/>
      <c r="F384" s="509"/>
      <c r="G384" s="509"/>
      <c r="H384" s="509"/>
      <c r="I384" s="512"/>
      <c r="J384" s="513"/>
      <c r="K384" s="879"/>
      <c r="L384" s="515"/>
      <c r="M384" s="516"/>
      <c r="N384" s="56">
        <f t="shared" si="126"/>
        <v>0</v>
      </c>
      <c r="O384" s="57">
        <f t="shared" si="127"/>
        <v>0</v>
      </c>
      <c r="P384" s="57">
        <f ca="1">IFERROR(IF(ISBLANK(H384),SUMIFS($AC:$AC,$V:$V,V384,$W:$W,W384,$X:$X,X384,$Y:$Y,Y384)*J384/(1-J384)*VLOOKUP(_xlfn.CONCAT(C384,D384,E384,TIME!$M$12,Z384),HIS_SALES!$B$2:$W$4859,20,FALSE),AC384*J384/(1-J384)),0)</f>
        <v>0</v>
      </c>
      <c r="Q384" s="541" t="str">
        <f t="shared" si="128"/>
        <v/>
      </c>
      <c r="R384" s="346" t="str">
        <f t="shared" si="129"/>
        <v>00000</v>
      </c>
      <c r="S384" s="344">
        <f t="shared" si="130"/>
        <v>0</v>
      </c>
      <c r="T384" s="345" t="str">
        <f t="shared" si="143"/>
        <v>000</v>
      </c>
      <c r="U384" s="345">
        <f t="shared" si="131"/>
        <v>0</v>
      </c>
      <c r="V384" s="345">
        <f t="shared" si="132"/>
        <v>0</v>
      </c>
      <c r="W384" s="345">
        <f t="shared" si="133"/>
        <v>0</v>
      </c>
      <c r="X384" s="345">
        <f t="shared" si="134"/>
        <v>0</v>
      </c>
      <c r="Y384" s="345">
        <f t="shared" si="135"/>
        <v>0</v>
      </c>
      <c r="Z384" s="345">
        <f>IF(Q384&lt;&gt;"",VLOOKUP(Y384,TIME!$R$21:$V$24,MATCH(FC_DATA!Q384,TIME!$R$20:$V$20,0),FALSE),H384)</f>
        <v>0</v>
      </c>
      <c r="AA384" s="345" t="str">
        <f>IFERROR(VLOOKUP(X384&amp;Z384,TIME!$A$12:$D$71,4,FALSE),"")</f>
        <v/>
      </c>
      <c r="AB384" s="592">
        <f t="shared" ca="1" si="136"/>
        <v>0</v>
      </c>
      <c r="AC384" s="593" t="e">
        <f ca="1">IF(ISBLANK(H384)=FALSE,IF(D384="BRAND.com",I384,IF(ISNA(VLOOKUP(_xlfn.CONCAT(X384,Z384),TIME!$M$40:$M$42,1,FALSE)),I384,VLOOKUP(_xlfn.CONCAT(D384,G384,H384),M_BUSAREA_FC!$AF$5:$AJ$10,5,FALSE)*HLOOKUP(_xlfn.CONCAT(F384,H384),ST_OVERVIEW!$G$99:$I$130,MATCH(_xlfn.CONCAT(D384,E384),ST_OVERVIEW!$F$99:$F$130,0),FALSE))),IF(D384="BRAND.com",VLOOKUP(_xlfn.CONCAT(C384,D384,E384,TIME!$F$1,Z384),HIS_SALES!$B$2:$V$4859,19,FALSE)*I384,VLOOKUP(_xlfn.CONCAT(D384,F384,G384),Q_BUSAREA_FC!$AE$5:$AI$12,5,FALSE)*HLOOKUP(_xlfn.CONCAT(FC_DATA!F384,FC_DATA!G384),LT_OVERVIEW!$I$99:$M$130,MATCH(_xlfn.CONCAT(D384,FC_DATA!E384),LT_OVERVIEW!$H$99:$H$130,0),FALSE)*IFERROR(VLOOKUP(_xlfn.CONCAT(C384,D384,E384,TIME!$F$1,Z384),HIS_SALES!$B$2:$V$4859,19,FALSE),0)))</f>
        <v>#N/A</v>
      </c>
      <c r="AD384" s="341">
        <f t="shared" ca="1" si="137"/>
        <v>0</v>
      </c>
      <c r="AE384" s="363" t="str">
        <f t="shared" si="138"/>
        <v/>
      </c>
      <c r="AF384" s="342" t="str">
        <f t="shared" si="139"/>
        <v/>
      </c>
      <c r="AG384" s="411" t="e">
        <f ca="1">VLOOKUP(_xlfn.CONCAT(U384,V384,W384,VLOOKUP(X384&amp;Y384,TIME!$L$27:$O$34,4,FALSE),Y384),HIS_SALES!$A$2:$R$5093,18,FALSE)</f>
        <v>#N/A</v>
      </c>
      <c r="AH384" s="412" t="e">
        <f ca="1">IFERROR(IF(AND(V384=V383,W384=W383),0.5*(AB384+AB383)*AG384,(VLOOKUP(_xlfn.CONCAT(U384,V384,W384,X384,VLOOKUP(Z384,TIME!$S$28:$T$39,2,FALSE)),FC_DATA!$R$2:$AB$5000,MATCH("GS_I_M",FC_DATA!$R$1:$AB$1,0),FALSE)+FC_DATA!AB384)*0.5*FC_DATA!AG384),NA())</f>
        <v>#N/A</v>
      </c>
      <c r="AI384" s="491" t="e">
        <f ca="1">IF(V384="PARTNER.com",AH384,IF(AND(V384=V383,W384=W383),(1-AVERAGE(AD383,AD384))*AH384,(1-AVERAGE(AD384,VLOOKUP(_xlfn.CONCAT(U384,V384,W384,X384,M_BRAND_FC!$F$6),FC_DATA!$R$2:$AD$5000,MATCH("DISCOUNT_%_M",FC_DATA!$R$1:$AD$1,0),FALSE)))*AH384))</f>
        <v>#N/A</v>
      </c>
      <c r="AJ384" s="412" t="str">
        <f t="shared" ca="1" si="140"/>
        <v/>
      </c>
      <c r="AK384" s="413" t="str">
        <f>IFERROR(AE384/(Q_BRAND_FC!$T$24+1),"")</f>
        <v/>
      </c>
      <c r="AL384" s="88" t="str">
        <f t="shared" ca="1" si="141"/>
        <v/>
      </c>
      <c r="AM384" s="414" t="str">
        <f t="shared" ca="1" si="142"/>
        <v/>
      </c>
      <c r="AN384" s="58">
        <f>IFERROR(IF($V384="BRAND.com",HLOOKUP($X384&amp;$Z384,NWC_FC_NOOS!$C$4:$Q$23,MATCH(W384,NWC_FC_NOOS!$B$4:$B$23,0),FALSE),0),0)</f>
        <v>0</v>
      </c>
      <c r="AO384" s="57">
        <f>IFERROR(IF($V384="BRAND.com",HLOOKUP($X384&amp;$Z384,NWC_FC_NOOS!$T$4:$AH$23,MATCH(W384,NWC_FC_NOOS!$S$4:$S$23,0),FALSE),0),0)</f>
        <v>0</v>
      </c>
      <c r="AP384" s="57">
        <f>IFERROR(IF($V384="BRAND.com",HLOOKUP($X384&amp;$Z384,NWC_FC_NOOS!$C$50:$U$69,MATCH(W384,NWC_FC_NOOS!$B$50:$B$69,0),FALSE),0),0)</f>
        <v>0</v>
      </c>
      <c r="AQ384" s="58">
        <f>IFERROR(IF($V384="BRAND.com",HLOOKUP($X384&amp;$Z384,'NWC_FC_NON-NOOS'!$C$4:$Q$23,MATCH(W384,'NWC_FC_NON-NOOS'!$B$4:$B$23,0),FALSE),0),0)</f>
        <v>0</v>
      </c>
      <c r="AR384" s="57">
        <f>IFERROR(IF($V384="BRAND.com",HLOOKUP($X384&amp;$Z384,'NWC_FC_NON-NOOS'!$T$4:$AH$23,MATCH(W384,'NWC_FC_NON-NOOS'!$S$4:$S$23,0),FALSE),0),0)</f>
        <v>0</v>
      </c>
      <c r="AS384" s="57">
        <f>IFERROR(IF($V384="BRAND.com",HLOOKUP($X384&amp;$Z384,'NWC_FC_NON-NOOS'!$C$50:$U$69,MATCH(W384,'NWC_FC_NON-NOOS'!$B$50:$B$69,0),FALSE),0),0)</f>
        <v>0</v>
      </c>
      <c r="AT384" s="57">
        <f t="shared" si="144"/>
        <v>0</v>
      </c>
      <c r="AU384" s="57">
        <f t="shared" si="145"/>
        <v>0</v>
      </c>
      <c r="AV384" s="58">
        <f>IFERROR(IF($V384="BRAND.com",HLOOKUP($X384&amp;$Z384,PLANNING_FC!$BB$27:$BP$46,MATCH($W384,PLANNING_FC!$BA$27:$BA$46,0),FALSE),0),0)</f>
        <v>0</v>
      </c>
      <c r="AW384" s="58">
        <f>IFERROR(IF($V384="BRAND.com",HLOOKUP($X384&amp;$Z384,PLANNING_FC!$BB$4:$BP$23,MATCH($W384,PLANNING_FC!$BA$4:$BA$23,0),FALSE),0),0)</f>
        <v>0</v>
      </c>
      <c r="AX384" s="58">
        <f>IFERROR(IF($V384="BRAND.com",HLOOKUP($X384&amp;$Z384,PLANNING_FC!$T$27:$AH$46,MATCH($W384,PLANNING_FC!$B$27:$B$46,0),FALSE),0),0)</f>
        <v>0</v>
      </c>
      <c r="AY384" s="58">
        <f>IFERROR(IF($V384="BRAND.com",HLOOKUP($X384&amp;$Z384,PLANNING_FC!$T$4:$AH$23,MATCH($W384,PLANNING_FC!$B$4:$B$23,0),FALSE),0),0)</f>
        <v>0</v>
      </c>
      <c r="AZ384" s="58">
        <f>IFERROR(IF($V384="BRAND.com",HLOOKUP($X384&amp;$Z384,PLANNING_FC!$DA$27:$DO$46,MATCH($W384,PLANNING_FC!$CZ$27:$CZ$46,0),FALSE),0),0)</f>
        <v>0</v>
      </c>
      <c r="BA384" s="58">
        <f>IFERROR(IF($V384="BRAND.com",HLOOKUP($X384&amp;$Z384,PLANNING_FC!$DA$4:$DO$23,MATCH($W384,PLANNING_FC!$CZ$4:$CZ$23,0),FALSE),0),0)</f>
        <v>0</v>
      </c>
      <c r="BB384" s="883" t="str">
        <f>IF(V384="BRAND.com",IFERROR(HLOOKUP(X384&amp;Z384,PLANNING_FC!$AK$4:$AY$23,MATCH(W384,PLANNING_FC!$AJ$4:$AJ$23,0),FALSE)*1000,""),"")</f>
        <v/>
      </c>
      <c r="BC384" s="883" t="str">
        <f>IF(V384="BRAND.com",IFERROR(HLOOKUP(X384&amp;Z384,PLANNING_FC!$AK$27:$AY$46,MATCH(W384,PLANNING_FC!$AJ$27:$AJ$46,0),FALSE)*1000,""),"")</f>
        <v/>
      </c>
    </row>
    <row r="385" spans="1:55" x14ac:dyDescent="0.25">
      <c r="A385" s="509"/>
      <c r="B385" s="509"/>
      <c r="C385" s="509"/>
      <c r="D385" s="509"/>
      <c r="E385" s="509"/>
      <c r="F385" s="509"/>
      <c r="G385" s="509"/>
      <c r="H385" s="509"/>
      <c r="I385" s="512"/>
      <c r="J385" s="513"/>
      <c r="K385" s="879"/>
      <c r="L385" s="515"/>
      <c r="M385" s="516"/>
      <c r="N385" s="56">
        <f t="shared" si="126"/>
        <v>0</v>
      </c>
      <c r="O385" s="57">
        <f t="shared" si="127"/>
        <v>0</v>
      </c>
      <c r="P385" s="57">
        <f ca="1">IFERROR(IF(ISBLANK(H385),SUMIFS($AC:$AC,$V:$V,V385,$W:$W,W385,$X:$X,X385,$Y:$Y,Y385)*J385/(1-J385)*VLOOKUP(_xlfn.CONCAT(C385,D385,E385,TIME!$M$12,Z385),HIS_SALES!$B$2:$W$4859,20,FALSE),AC385*J385/(1-J385)),0)</f>
        <v>0</v>
      </c>
      <c r="Q385" s="541" t="str">
        <f t="shared" si="128"/>
        <v/>
      </c>
      <c r="R385" s="346" t="str">
        <f t="shared" si="129"/>
        <v>00000</v>
      </c>
      <c r="S385" s="344">
        <f t="shared" si="130"/>
        <v>0</v>
      </c>
      <c r="T385" s="345" t="str">
        <f t="shared" si="143"/>
        <v>000</v>
      </c>
      <c r="U385" s="345">
        <f t="shared" si="131"/>
        <v>0</v>
      </c>
      <c r="V385" s="345">
        <f t="shared" si="132"/>
        <v>0</v>
      </c>
      <c r="W385" s="345">
        <f t="shared" si="133"/>
        <v>0</v>
      </c>
      <c r="X385" s="345">
        <f t="shared" si="134"/>
        <v>0</v>
      </c>
      <c r="Y385" s="345">
        <f t="shared" si="135"/>
        <v>0</v>
      </c>
      <c r="Z385" s="345">
        <f>IF(Q385&lt;&gt;"",VLOOKUP(Y385,TIME!$R$21:$V$24,MATCH(FC_DATA!Q385,TIME!$R$20:$V$20,0),FALSE),H385)</f>
        <v>0</v>
      </c>
      <c r="AA385" s="345" t="str">
        <f>IFERROR(VLOOKUP(X385&amp;Z385,TIME!$A$12:$D$71,4,FALSE),"")</f>
        <v/>
      </c>
      <c r="AB385" s="592">
        <f t="shared" ca="1" si="136"/>
        <v>0</v>
      </c>
      <c r="AC385" s="593" t="e">
        <f ca="1">IF(ISBLANK(H385)=FALSE,IF(D385="BRAND.com",I385,IF(ISNA(VLOOKUP(_xlfn.CONCAT(X385,Z385),TIME!$M$40:$M$42,1,FALSE)),I385,VLOOKUP(_xlfn.CONCAT(D385,G385,H385),M_BUSAREA_FC!$AF$5:$AJ$10,5,FALSE)*HLOOKUP(_xlfn.CONCAT(F385,H385),ST_OVERVIEW!$G$99:$I$130,MATCH(_xlfn.CONCAT(D385,E385),ST_OVERVIEW!$F$99:$F$130,0),FALSE))),IF(D385="BRAND.com",VLOOKUP(_xlfn.CONCAT(C385,D385,E385,TIME!$F$1,Z385),HIS_SALES!$B$2:$V$4859,19,FALSE)*I385,VLOOKUP(_xlfn.CONCAT(D385,F385,G385),Q_BUSAREA_FC!$AE$5:$AI$12,5,FALSE)*HLOOKUP(_xlfn.CONCAT(FC_DATA!F385,FC_DATA!G385),LT_OVERVIEW!$I$99:$M$130,MATCH(_xlfn.CONCAT(D385,FC_DATA!E385),LT_OVERVIEW!$H$99:$H$130,0),FALSE)*IFERROR(VLOOKUP(_xlfn.CONCAT(C385,D385,E385,TIME!$F$1,Z385),HIS_SALES!$B$2:$V$4859,19,FALSE),0)))</f>
        <v>#N/A</v>
      </c>
      <c r="AD385" s="341">
        <f t="shared" ca="1" si="137"/>
        <v>0</v>
      </c>
      <c r="AE385" s="363" t="str">
        <f t="shared" si="138"/>
        <v/>
      </c>
      <c r="AF385" s="342" t="str">
        <f t="shared" si="139"/>
        <v/>
      </c>
      <c r="AG385" s="411" t="e">
        <f ca="1">VLOOKUP(_xlfn.CONCAT(U385,V385,W385,VLOOKUP(X385&amp;Y385,TIME!$L$27:$O$34,4,FALSE),Y385),HIS_SALES!$A$2:$R$5093,18,FALSE)</f>
        <v>#N/A</v>
      </c>
      <c r="AH385" s="412" t="e">
        <f ca="1">IFERROR(IF(AND(V385=V384,W385=W384),0.5*(AB385+AB384)*AG385,(VLOOKUP(_xlfn.CONCAT(U385,V385,W385,X385,VLOOKUP(Z385,TIME!$S$28:$T$39,2,FALSE)),FC_DATA!$R$2:$AB$5000,MATCH("GS_I_M",FC_DATA!$R$1:$AB$1,0),FALSE)+FC_DATA!AB385)*0.5*FC_DATA!AG385),NA())</f>
        <v>#N/A</v>
      </c>
      <c r="AI385" s="491" t="e">
        <f ca="1">IF(V385="PARTNER.com",AH385,IF(AND(V385=V384,W385=W384),(1-AVERAGE(AD384,AD385))*AH385,(1-AVERAGE(AD385,VLOOKUP(_xlfn.CONCAT(U385,V385,W385,X385,M_BRAND_FC!$F$6),FC_DATA!$R$2:$AD$5000,MATCH("DISCOUNT_%_M",FC_DATA!$R$1:$AD$1,0),FALSE)))*AH385))</f>
        <v>#N/A</v>
      </c>
      <c r="AJ385" s="412" t="str">
        <f t="shared" ca="1" si="140"/>
        <v/>
      </c>
      <c r="AK385" s="413" t="str">
        <f>IFERROR(AE385/(Q_BRAND_FC!$T$24+1),"")</f>
        <v/>
      </c>
      <c r="AL385" s="88" t="str">
        <f t="shared" ca="1" si="141"/>
        <v/>
      </c>
      <c r="AM385" s="414" t="str">
        <f t="shared" ca="1" si="142"/>
        <v/>
      </c>
      <c r="AN385" s="58">
        <f>IFERROR(IF($V385="BRAND.com",HLOOKUP($X385&amp;$Z385,NWC_FC_NOOS!$C$4:$Q$23,MATCH(W385,NWC_FC_NOOS!$B$4:$B$23,0),FALSE),0),0)</f>
        <v>0</v>
      </c>
      <c r="AO385" s="57">
        <f>IFERROR(IF($V385="BRAND.com",HLOOKUP($X385&amp;$Z385,NWC_FC_NOOS!$T$4:$AH$23,MATCH(W385,NWC_FC_NOOS!$S$4:$S$23,0),FALSE),0),0)</f>
        <v>0</v>
      </c>
      <c r="AP385" s="57">
        <f>IFERROR(IF($V385="BRAND.com",HLOOKUP($X385&amp;$Z385,NWC_FC_NOOS!$C$50:$U$69,MATCH(W385,NWC_FC_NOOS!$B$50:$B$69,0),FALSE),0),0)</f>
        <v>0</v>
      </c>
      <c r="AQ385" s="58">
        <f>IFERROR(IF($V385="BRAND.com",HLOOKUP($X385&amp;$Z385,'NWC_FC_NON-NOOS'!$C$4:$Q$23,MATCH(W385,'NWC_FC_NON-NOOS'!$B$4:$B$23,0),FALSE),0),0)</f>
        <v>0</v>
      </c>
      <c r="AR385" s="57">
        <f>IFERROR(IF($V385="BRAND.com",HLOOKUP($X385&amp;$Z385,'NWC_FC_NON-NOOS'!$T$4:$AH$23,MATCH(W385,'NWC_FC_NON-NOOS'!$S$4:$S$23,0),FALSE),0),0)</f>
        <v>0</v>
      </c>
      <c r="AS385" s="57">
        <f>IFERROR(IF($V385="BRAND.com",HLOOKUP($X385&amp;$Z385,'NWC_FC_NON-NOOS'!$C$50:$U$69,MATCH(W385,'NWC_FC_NON-NOOS'!$B$50:$B$69,0),FALSE),0),0)</f>
        <v>0</v>
      </c>
      <c r="AT385" s="57">
        <f t="shared" si="144"/>
        <v>0</v>
      </c>
      <c r="AU385" s="57">
        <f t="shared" si="145"/>
        <v>0</v>
      </c>
      <c r="AV385" s="58">
        <f>IFERROR(IF($V385="BRAND.com",HLOOKUP($X385&amp;$Z385,PLANNING_FC!$BB$27:$BP$46,MATCH($W385,PLANNING_FC!$BA$27:$BA$46,0),FALSE),0),0)</f>
        <v>0</v>
      </c>
      <c r="AW385" s="58">
        <f>IFERROR(IF($V385="BRAND.com",HLOOKUP($X385&amp;$Z385,PLANNING_FC!$BB$4:$BP$23,MATCH($W385,PLANNING_FC!$BA$4:$BA$23,0),FALSE),0),0)</f>
        <v>0</v>
      </c>
      <c r="AX385" s="58">
        <f>IFERROR(IF($V385="BRAND.com",HLOOKUP($X385&amp;$Z385,PLANNING_FC!$T$27:$AH$46,MATCH($W385,PLANNING_FC!$B$27:$B$46,0),FALSE),0),0)</f>
        <v>0</v>
      </c>
      <c r="AY385" s="58">
        <f>IFERROR(IF($V385="BRAND.com",HLOOKUP($X385&amp;$Z385,PLANNING_FC!$T$4:$AH$23,MATCH($W385,PLANNING_FC!$B$4:$B$23,0),FALSE),0),0)</f>
        <v>0</v>
      </c>
      <c r="AZ385" s="58">
        <f>IFERROR(IF($V385="BRAND.com",HLOOKUP($X385&amp;$Z385,PLANNING_FC!$DA$27:$DO$46,MATCH($W385,PLANNING_FC!$CZ$27:$CZ$46,0),FALSE),0),0)</f>
        <v>0</v>
      </c>
      <c r="BA385" s="58">
        <f>IFERROR(IF($V385="BRAND.com",HLOOKUP($X385&amp;$Z385,PLANNING_FC!$DA$4:$DO$23,MATCH($W385,PLANNING_FC!$CZ$4:$CZ$23,0),FALSE),0),0)</f>
        <v>0</v>
      </c>
      <c r="BB385" s="883" t="str">
        <f>IF(V385="BRAND.com",IFERROR(HLOOKUP(X385&amp;Z385,PLANNING_FC!$AK$4:$AY$23,MATCH(W385,PLANNING_FC!$AJ$4:$AJ$23,0),FALSE)*1000,""),"")</f>
        <v/>
      </c>
      <c r="BC385" s="883" t="str">
        <f>IF(V385="BRAND.com",IFERROR(HLOOKUP(X385&amp;Z385,PLANNING_FC!$AK$27:$AY$46,MATCH(W385,PLANNING_FC!$AJ$27:$AJ$46,0),FALSE)*1000,""),"")</f>
        <v/>
      </c>
    </row>
    <row r="386" spans="1:55" x14ac:dyDescent="0.25">
      <c r="A386" s="509"/>
      <c r="B386" s="509"/>
      <c r="C386" s="509"/>
      <c r="D386" s="509"/>
      <c r="E386" s="509"/>
      <c r="F386" s="509"/>
      <c r="G386" s="509"/>
      <c r="H386" s="509"/>
      <c r="I386" s="512"/>
      <c r="J386" s="513"/>
      <c r="K386" s="879"/>
      <c r="L386" s="515"/>
      <c r="M386" s="516"/>
      <c r="N386" s="56">
        <f t="shared" ref="N386:N449" si="146">IFERROR(I386/(1-J386)*J386,0)</f>
        <v>0</v>
      </c>
      <c r="O386" s="57">
        <f t="shared" ref="O386:O449" si="147">IFERROR(I386+N386,0)</f>
        <v>0</v>
      </c>
      <c r="P386" s="57">
        <f ca="1">IFERROR(IF(ISBLANK(H386),SUMIFS($AC:$AC,$V:$V,V386,$W:$W,W386,$X:$X,X386,$Y:$Y,Y386)*J386/(1-J386)*VLOOKUP(_xlfn.CONCAT(C386,D386,E386,TIME!$M$12,Z386),HIS_SALES!$B$2:$W$4859,20,FALSE),AC386*J386/(1-J386)),0)</f>
        <v>0</v>
      </c>
      <c r="Q386" s="541" t="str">
        <f t="shared" ref="Q386:Q449" si="148">IF(AND(A386&lt;&gt;"",H386=""),IF(A386=A385,Q385+1,1),"")</f>
        <v/>
      </c>
      <c r="R386" s="346" t="str">
        <f t="shared" ref="R386:R449" si="149">U386&amp;V386&amp;W386&amp;X386&amp;Z386</f>
        <v>00000</v>
      </c>
      <c r="S386" s="344">
        <f t="shared" ref="S386:S449" si="150">B386</f>
        <v>0</v>
      </c>
      <c r="T386" s="345" t="str">
        <f t="shared" si="143"/>
        <v>000</v>
      </c>
      <c r="U386" s="345">
        <f t="shared" ref="U386:U449" si="151">C386</f>
        <v>0</v>
      </c>
      <c r="V386" s="345">
        <f t="shared" ref="V386:V449" si="152">D386</f>
        <v>0</v>
      </c>
      <c r="W386" s="345">
        <f t="shared" ref="W386:W449" si="153">E386</f>
        <v>0</v>
      </c>
      <c r="X386" s="345">
        <f t="shared" ref="X386:X449" si="154">F386</f>
        <v>0</v>
      </c>
      <c r="Y386" s="345">
        <f t="shared" ref="Y386:Y449" si="155">G386</f>
        <v>0</v>
      </c>
      <c r="Z386" s="345">
        <f>IF(Q386&lt;&gt;"",VLOOKUP(Y386,TIME!$R$21:$V$24,MATCH(FC_DATA!Q386,TIME!$R$20:$V$20,0),FALSE),H386)</f>
        <v>0</v>
      </c>
      <c r="AA386" s="345" t="str">
        <f>IFERROR(VLOOKUP(X386&amp;Z386,TIME!$A$12:$D$71,4,FALSE),"")</f>
        <v/>
      </c>
      <c r="AB386" s="592">
        <f t="shared" ref="AB386:AB449" ca="1" si="156">IFERROR(AC386+P386,0)</f>
        <v>0</v>
      </c>
      <c r="AC386" s="593" t="e">
        <f ca="1">IF(ISBLANK(H386)=FALSE,IF(D386="BRAND.com",I386,IF(ISNA(VLOOKUP(_xlfn.CONCAT(X386,Z386),TIME!$M$40:$M$42,1,FALSE)),I386,VLOOKUP(_xlfn.CONCAT(D386,G386,H386),M_BUSAREA_FC!$AF$5:$AJ$10,5,FALSE)*HLOOKUP(_xlfn.CONCAT(F386,H386),ST_OVERVIEW!$G$99:$I$130,MATCH(_xlfn.CONCAT(D386,E386),ST_OVERVIEW!$F$99:$F$130,0),FALSE))),IF(D386="BRAND.com",VLOOKUP(_xlfn.CONCAT(C386,D386,E386,TIME!$F$1,Z386),HIS_SALES!$B$2:$V$4859,19,FALSE)*I386,VLOOKUP(_xlfn.CONCAT(D386,F386,G386),Q_BUSAREA_FC!$AE$5:$AI$12,5,FALSE)*HLOOKUP(_xlfn.CONCAT(FC_DATA!F386,FC_DATA!G386),LT_OVERVIEW!$I$99:$M$130,MATCH(_xlfn.CONCAT(D386,FC_DATA!E386),LT_OVERVIEW!$H$99:$H$130,0),FALSE)*IFERROR(VLOOKUP(_xlfn.CONCAT(C386,D386,E386,TIME!$F$1,Z386),HIS_SALES!$B$2:$V$4859,19,FALSE),0)))</f>
        <v>#N/A</v>
      </c>
      <c r="AD386" s="341">
        <f t="shared" ref="AD386:AD449" ca="1" si="157">IFERROR(IF(D386="PARTNER.com",0,1-AC386/AB386),0)</f>
        <v>0</v>
      </c>
      <c r="AE386" s="363" t="str">
        <f t="shared" ref="AE386:AE449" si="158">IF(A386&lt;&gt;"",K386,"")</f>
        <v/>
      </c>
      <c r="AF386" s="342" t="str">
        <f t="shared" ref="AF386:AF449" si="159">IF(B386&lt;&gt;"",M386,"")</f>
        <v/>
      </c>
      <c r="AG386" s="411" t="e">
        <f ca="1">VLOOKUP(_xlfn.CONCAT(U386,V386,W386,VLOOKUP(X386&amp;Y386,TIME!$L$27:$O$34,4,FALSE),Y386),HIS_SALES!$A$2:$R$5093,18,FALSE)</f>
        <v>#N/A</v>
      </c>
      <c r="AH386" s="412" t="e">
        <f ca="1">IFERROR(IF(AND(V386=V385,W386=W385),0.5*(AB386+AB385)*AG386,(VLOOKUP(_xlfn.CONCAT(U386,V386,W386,X386,VLOOKUP(Z386,TIME!$S$28:$T$39,2,FALSE)),FC_DATA!$R$2:$AB$5000,MATCH("GS_I_M",FC_DATA!$R$1:$AB$1,0),FALSE)+FC_DATA!AB386)*0.5*FC_DATA!AG386),NA())</f>
        <v>#N/A</v>
      </c>
      <c r="AI386" s="491" t="e">
        <f ca="1">IF(V386="PARTNER.com",AH386,IF(AND(V386=V385,W386=W385),(1-AVERAGE(AD385,AD386))*AH386,(1-AVERAGE(AD386,VLOOKUP(_xlfn.CONCAT(U386,V386,W386,X386,M_BRAND_FC!$F$6),FC_DATA!$R$2:$AD$5000,MATCH("DISCOUNT_%_M",FC_DATA!$R$1:$AD$1,0),FALSE)))*AH386))</f>
        <v>#N/A</v>
      </c>
      <c r="AJ386" s="412" t="str">
        <f t="shared" ref="AJ386:AJ449" ca="1" si="160">IFERROR(AC386-AI386,"")</f>
        <v/>
      </c>
      <c r="AK386" s="413" t="str">
        <f>IFERROR(AE386/(Q_BRAND_FC!$T$24+1),"")</f>
        <v/>
      </c>
      <c r="AL386" s="88" t="str">
        <f t="shared" ref="AL386:AL449" ca="1" si="161">IFERROR((AB386-AH386)/AK386*AF386,"")</f>
        <v/>
      </c>
      <c r="AM386" s="414" t="str">
        <f t="shared" ref="AM386:AM449" ca="1" si="162">IFERROR((AB386-AH386)/AK386*(1-AF386),"")</f>
        <v/>
      </c>
      <c r="AN386" s="58">
        <f>IFERROR(IF($V386="BRAND.com",HLOOKUP($X386&amp;$Z386,NWC_FC_NOOS!$C$4:$Q$23,MATCH(W386,NWC_FC_NOOS!$B$4:$B$23,0),FALSE),0),0)</f>
        <v>0</v>
      </c>
      <c r="AO386" s="57">
        <f>IFERROR(IF($V386="BRAND.com",HLOOKUP($X386&amp;$Z386,NWC_FC_NOOS!$T$4:$AH$23,MATCH(W386,NWC_FC_NOOS!$S$4:$S$23,0),FALSE),0),0)</f>
        <v>0</v>
      </c>
      <c r="AP386" s="57">
        <f>IFERROR(IF($V386="BRAND.com",HLOOKUP($X386&amp;$Z386,NWC_FC_NOOS!$C$50:$U$69,MATCH(W386,NWC_FC_NOOS!$B$50:$B$69,0),FALSE),0),0)</f>
        <v>0</v>
      </c>
      <c r="AQ386" s="58">
        <f>IFERROR(IF($V386="BRAND.com",HLOOKUP($X386&amp;$Z386,'NWC_FC_NON-NOOS'!$C$4:$Q$23,MATCH(W386,'NWC_FC_NON-NOOS'!$B$4:$B$23,0),FALSE),0),0)</f>
        <v>0</v>
      </c>
      <c r="AR386" s="57">
        <f>IFERROR(IF($V386="BRAND.com",HLOOKUP($X386&amp;$Z386,'NWC_FC_NON-NOOS'!$T$4:$AH$23,MATCH(W386,'NWC_FC_NON-NOOS'!$S$4:$S$23,0),FALSE),0),0)</f>
        <v>0</v>
      </c>
      <c r="AS386" s="57">
        <f>IFERROR(IF($V386="BRAND.com",HLOOKUP($X386&amp;$Z386,'NWC_FC_NON-NOOS'!$C$50:$U$69,MATCH(W386,'NWC_FC_NON-NOOS'!$B$50:$B$69,0),FALSE),0),0)</f>
        <v>0</v>
      </c>
      <c r="AT386" s="57">
        <f t="shared" si="144"/>
        <v>0</v>
      </c>
      <c r="AU386" s="57">
        <f t="shared" si="145"/>
        <v>0</v>
      </c>
      <c r="AV386" s="58">
        <f>IFERROR(IF($V386="BRAND.com",HLOOKUP($X386&amp;$Z386,PLANNING_FC!$BB$27:$BP$46,MATCH($W386,PLANNING_FC!$BA$27:$BA$46,0),FALSE),0),0)</f>
        <v>0</v>
      </c>
      <c r="AW386" s="58">
        <f>IFERROR(IF($V386="BRAND.com",HLOOKUP($X386&amp;$Z386,PLANNING_FC!$BB$4:$BP$23,MATCH($W386,PLANNING_FC!$BA$4:$BA$23,0),FALSE),0),0)</f>
        <v>0</v>
      </c>
      <c r="AX386" s="58">
        <f>IFERROR(IF($V386="BRAND.com",HLOOKUP($X386&amp;$Z386,PLANNING_FC!$T$27:$AH$46,MATCH($W386,PLANNING_FC!$B$27:$B$46,0),FALSE),0),0)</f>
        <v>0</v>
      </c>
      <c r="AY386" s="58">
        <f>IFERROR(IF($V386="BRAND.com",HLOOKUP($X386&amp;$Z386,PLANNING_FC!$T$4:$AH$23,MATCH($W386,PLANNING_FC!$B$4:$B$23,0),FALSE),0),0)</f>
        <v>0</v>
      </c>
      <c r="AZ386" s="58">
        <f>IFERROR(IF($V386="BRAND.com",HLOOKUP($X386&amp;$Z386,PLANNING_FC!$DA$27:$DO$46,MATCH($W386,PLANNING_FC!$CZ$27:$CZ$46,0),FALSE),0),0)</f>
        <v>0</v>
      </c>
      <c r="BA386" s="58">
        <f>IFERROR(IF($V386="BRAND.com",HLOOKUP($X386&amp;$Z386,PLANNING_FC!$DA$4:$DO$23,MATCH($W386,PLANNING_FC!$CZ$4:$CZ$23,0),FALSE),0),0)</f>
        <v>0</v>
      </c>
      <c r="BB386" s="883" t="str">
        <f>IF(V386="BRAND.com",IFERROR(HLOOKUP(X386&amp;Z386,PLANNING_FC!$AK$4:$AY$23,MATCH(W386,PLANNING_FC!$AJ$4:$AJ$23,0),FALSE)*1000,""),"")</f>
        <v/>
      </c>
      <c r="BC386" s="883" t="str">
        <f>IF(V386="BRAND.com",IFERROR(HLOOKUP(X386&amp;Z386,PLANNING_FC!$AK$27:$AY$46,MATCH(W386,PLANNING_FC!$AJ$27:$AJ$46,0),FALSE)*1000,""),"")</f>
        <v/>
      </c>
    </row>
    <row r="387" spans="1:55" x14ac:dyDescent="0.25">
      <c r="A387" s="509"/>
      <c r="B387" s="509"/>
      <c r="C387" s="509"/>
      <c r="D387" s="509"/>
      <c r="E387" s="509"/>
      <c r="F387" s="509"/>
      <c r="G387" s="509"/>
      <c r="H387" s="509"/>
      <c r="I387" s="512"/>
      <c r="J387" s="513"/>
      <c r="K387" s="879"/>
      <c r="L387" s="515"/>
      <c r="M387" s="516"/>
      <c r="N387" s="56">
        <f t="shared" si="146"/>
        <v>0</v>
      </c>
      <c r="O387" s="57">
        <f t="shared" si="147"/>
        <v>0</v>
      </c>
      <c r="P387" s="57">
        <f ca="1">IFERROR(IF(ISBLANK(H387),SUMIFS($AC:$AC,$V:$V,V387,$W:$W,W387,$X:$X,X387,$Y:$Y,Y387)*J387/(1-J387)*VLOOKUP(_xlfn.CONCAT(C387,D387,E387,TIME!$M$12,Z387),HIS_SALES!$B$2:$W$4859,20,FALSE),AC387*J387/(1-J387)),0)</f>
        <v>0</v>
      </c>
      <c r="Q387" s="541" t="str">
        <f t="shared" si="148"/>
        <v/>
      </c>
      <c r="R387" s="346" t="str">
        <f t="shared" si="149"/>
        <v>00000</v>
      </c>
      <c r="S387" s="344">
        <f t="shared" si="150"/>
        <v>0</v>
      </c>
      <c r="T387" s="345" t="str">
        <f t="shared" ref="T387:T450" si="163">U387&amp;V387&amp;W387&amp;AA387</f>
        <v>000</v>
      </c>
      <c r="U387" s="345">
        <f t="shared" si="151"/>
        <v>0</v>
      </c>
      <c r="V387" s="345">
        <f t="shared" si="152"/>
        <v>0</v>
      </c>
      <c r="W387" s="345">
        <f t="shared" si="153"/>
        <v>0</v>
      </c>
      <c r="X387" s="345">
        <f t="shared" si="154"/>
        <v>0</v>
      </c>
      <c r="Y387" s="345">
        <f t="shared" si="155"/>
        <v>0</v>
      </c>
      <c r="Z387" s="345">
        <f>IF(Q387&lt;&gt;"",VLOOKUP(Y387,TIME!$R$21:$V$24,MATCH(FC_DATA!Q387,TIME!$R$20:$V$20,0),FALSE),H387)</f>
        <v>0</v>
      </c>
      <c r="AA387" s="345" t="str">
        <f>IFERROR(VLOOKUP(X387&amp;Z387,TIME!$A$12:$D$71,4,FALSE),"")</f>
        <v/>
      </c>
      <c r="AB387" s="592">
        <f t="shared" ca="1" si="156"/>
        <v>0</v>
      </c>
      <c r="AC387" s="593" t="e">
        <f ca="1">IF(ISBLANK(H387)=FALSE,IF(D387="BRAND.com",I387,IF(ISNA(VLOOKUP(_xlfn.CONCAT(X387,Z387),TIME!$M$40:$M$42,1,FALSE)),I387,VLOOKUP(_xlfn.CONCAT(D387,G387,H387),M_BUSAREA_FC!$AF$5:$AJ$10,5,FALSE)*HLOOKUP(_xlfn.CONCAT(F387,H387),ST_OVERVIEW!$G$99:$I$130,MATCH(_xlfn.CONCAT(D387,E387),ST_OVERVIEW!$F$99:$F$130,0),FALSE))),IF(D387="BRAND.com",VLOOKUP(_xlfn.CONCAT(C387,D387,E387,TIME!$F$1,Z387),HIS_SALES!$B$2:$V$4859,19,FALSE)*I387,VLOOKUP(_xlfn.CONCAT(D387,F387,G387),Q_BUSAREA_FC!$AE$5:$AI$12,5,FALSE)*HLOOKUP(_xlfn.CONCAT(FC_DATA!F387,FC_DATA!G387),LT_OVERVIEW!$I$99:$M$130,MATCH(_xlfn.CONCAT(D387,FC_DATA!E387),LT_OVERVIEW!$H$99:$H$130,0),FALSE)*IFERROR(VLOOKUP(_xlfn.CONCAT(C387,D387,E387,TIME!$F$1,Z387),HIS_SALES!$B$2:$V$4859,19,FALSE),0)))</f>
        <v>#N/A</v>
      </c>
      <c r="AD387" s="341">
        <f t="shared" ca="1" si="157"/>
        <v>0</v>
      </c>
      <c r="AE387" s="363" t="str">
        <f t="shared" si="158"/>
        <v/>
      </c>
      <c r="AF387" s="342" t="str">
        <f t="shared" si="159"/>
        <v/>
      </c>
      <c r="AG387" s="411" t="e">
        <f ca="1">VLOOKUP(_xlfn.CONCAT(U387,V387,W387,VLOOKUP(X387&amp;Y387,TIME!$L$27:$O$34,4,FALSE),Y387),HIS_SALES!$A$2:$R$5093,18,FALSE)</f>
        <v>#N/A</v>
      </c>
      <c r="AH387" s="412" t="e">
        <f ca="1">IFERROR(IF(AND(V387=V386,W387=W386),0.5*(AB387+AB386)*AG387,(VLOOKUP(_xlfn.CONCAT(U387,V387,W387,X387,VLOOKUP(Z387,TIME!$S$28:$T$39,2,FALSE)),FC_DATA!$R$2:$AB$5000,MATCH("GS_I_M",FC_DATA!$R$1:$AB$1,0),FALSE)+FC_DATA!AB387)*0.5*FC_DATA!AG387),NA())</f>
        <v>#N/A</v>
      </c>
      <c r="AI387" s="491" t="e">
        <f ca="1">IF(V387="PARTNER.com",AH387,IF(AND(V387=V386,W387=W386),(1-AVERAGE(AD386,AD387))*AH387,(1-AVERAGE(AD387,VLOOKUP(_xlfn.CONCAT(U387,V387,W387,X387,M_BRAND_FC!$F$6),FC_DATA!$R$2:$AD$5000,MATCH("DISCOUNT_%_M",FC_DATA!$R$1:$AD$1,0),FALSE)))*AH387))</f>
        <v>#N/A</v>
      </c>
      <c r="AJ387" s="412" t="str">
        <f t="shared" ca="1" si="160"/>
        <v/>
      </c>
      <c r="AK387" s="413" t="str">
        <f>IFERROR(AE387/(Q_BRAND_FC!$T$24+1),"")</f>
        <v/>
      </c>
      <c r="AL387" s="88" t="str">
        <f t="shared" ca="1" si="161"/>
        <v/>
      </c>
      <c r="AM387" s="414" t="str">
        <f t="shared" ca="1" si="162"/>
        <v/>
      </c>
      <c r="AN387" s="58">
        <f>IFERROR(IF($V387="BRAND.com",HLOOKUP($X387&amp;$Z387,NWC_FC_NOOS!$C$4:$Q$23,MATCH(W387,NWC_FC_NOOS!$B$4:$B$23,0),FALSE),0),0)</f>
        <v>0</v>
      </c>
      <c r="AO387" s="57">
        <f>IFERROR(IF($V387="BRAND.com",HLOOKUP($X387&amp;$Z387,NWC_FC_NOOS!$T$4:$AH$23,MATCH(W387,NWC_FC_NOOS!$S$4:$S$23,0),FALSE),0),0)</f>
        <v>0</v>
      </c>
      <c r="AP387" s="57">
        <f>IFERROR(IF($V387="BRAND.com",HLOOKUP($X387&amp;$Z387,NWC_FC_NOOS!$C$50:$U$69,MATCH(W387,NWC_FC_NOOS!$B$50:$B$69,0),FALSE),0),0)</f>
        <v>0</v>
      </c>
      <c r="AQ387" s="58">
        <f>IFERROR(IF($V387="BRAND.com",HLOOKUP($X387&amp;$Z387,'NWC_FC_NON-NOOS'!$C$4:$Q$23,MATCH(W387,'NWC_FC_NON-NOOS'!$B$4:$B$23,0),FALSE),0),0)</f>
        <v>0</v>
      </c>
      <c r="AR387" s="57">
        <f>IFERROR(IF($V387="BRAND.com",HLOOKUP($X387&amp;$Z387,'NWC_FC_NON-NOOS'!$T$4:$AH$23,MATCH(W387,'NWC_FC_NON-NOOS'!$S$4:$S$23,0),FALSE),0),0)</f>
        <v>0</v>
      </c>
      <c r="AS387" s="57">
        <f>IFERROR(IF($V387="BRAND.com",HLOOKUP($X387&amp;$Z387,'NWC_FC_NON-NOOS'!$C$50:$U$69,MATCH(W387,'NWC_FC_NON-NOOS'!$B$50:$B$69,0),FALSE),0),0)</f>
        <v>0</v>
      </c>
      <c r="AT387" s="57">
        <f t="shared" ref="AT387:AT450" si="164">AO387+AR387</f>
        <v>0</v>
      </c>
      <c r="AU387" s="57">
        <f t="shared" ref="AU387:AU450" si="165">AP387+AS387</f>
        <v>0</v>
      </c>
      <c r="AV387" s="58">
        <f>IFERROR(IF($V387="BRAND.com",HLOOKUP($X387&amp;$Z387,PLANNING_FC!$BB$27:$BP$46,MATCH($W387,PLANNING_FC!$BA$27:$BA$46,0),FALSE),0),0)</f>
        <v>0</v>
      </c>
      <c r="AW387" s="58">
        <f>IFERROR(IF($V387="BRAND.com",HLOOKUP($X387&amp;$Z387,PLANNING_FC!$BB$4:$BP$23,MATCH($W387,PLANNING_FC!$BA$4:$BA$23,0),FALSE),0),0)</f>
        <v>0</v>
      </c>
      <c r="AX387" s="58">
        <f>IFERROR(IF($V387="BRAND.com",HLOOKUP($X387&amp;$Z387,PLANNING_FC!$T$27:$AH$46,MATCH($W387,PLANNING_FC!$B$27:$B$46,0),FALSE),0),0)</f>
        <v>0</v>
      </c>
      <c r="AY387" s="58">
        <f>IFERROR(IF($V387="BRAND.com",HLOOKUP($X387&amp;$Z387,PLANNING_FC!$T$4:$AH$23,MATCH($W387,PLANNING_FC!$B$4:$B$23,0),FALSE),0),0)</f>
        <v>0</v>
      </c>
      <c r="AZ387" s="58">
        <f>IFERROR(IF($V387="BRAND.com",HLOOKUP($X387&amp;$Z387,PLANNING_FC!$DA$27:$DO$46,MATCH($W387,PLANNING_FC!$CZ$27:$CZ$46,0),FALSE),0),0)</f>
        <v>0</v>
      </c>
      <c r="BA387" s="58">
        <f>IFERROR(IF($V387="BRAND.com",HLOOKUP($X387&amp;$Z387,PLANNING_FC!$DA$4:$DO$23,MATCH($W387,PLANNING_FC!$CZ$4:$CZ$23,0),FALSE),0),0)</f>
        <v>0</v>
      </c>
      <c r="BB387" s="883" t="str">
        <f>IF(V387="BRAND.com",IFERROR(HLOOKUP(X387&amp;Z387,PLANNING_FC!$AK$4:$AY$23,MATCH(W387,PLANNING_FC!$AJ$4:$AJ$23,0),FALSE)*1000,""),"")</f>
        <v/>
      </c>
      <c r="BC387" s="883" t="str">
        <f>IF(V387="BRAND.com",IFERROR(HLOOKUP(X387&amp;Z387,PLANNING_FC!$AK$27:$AY$46,MATCH(W387,PLANNING_FC!$AJ$27:$AJ$46,0),FALSE)*1000,""),"")</f>
        <v/>
      </c>
    </row>
    <row r="388" spans="1:55" x14ac:dyDescent="0.25">
      <c r="A388" s="509"/>
      <c r="B388" s="509"/>
      <c r="C388" s="509"/>
      <c r="D388" s="509"/>
      <c r="E388" s="509"/>
      <c r="F388" s="509"/>
      <c r="G388" s="509"/>
      <c r="H388" s="509"/>
      <c r="I388" s="512"/>
      <c r="J388" s="513"/>
      <c r="K388" s="879"/>
      <c r="L388" s="515"/>
      <c r="M388" s="516"/>
      <c r="N388" s="56">
        <f t="shared" si="146"/>
        <v>0</v>
      </c>
      <c r="O388" s="57">
        <f t="shared" si="147"/>
        <v>0</v>
      </c>
      <c r="P388" s="57">
        <f ca="1">IFERROR(IF(ISBLANK(H388),SUMIFS($AC:$AC,$V:$V,V388,$W:$W,W388,$X:$X,X388,$Y:$Y,Y388)*J388/(1-J388)*VLOOKUP(_xlfn.CONCAT(C388,D388,E388,TIME!$M$12,Z388),HIS_SALES!$B$2:$W$4859,20,FALSE),AC388*J388/(1-J388)),0)</f>
        <v>0</v>
      </c>
      <c r="Q388" s="541" t="str">
        <f t="shared" si="148"/>
        <v/>
      </c>
      <c r="R388" s="346" t="str">
        <f t="shared" si="149"/>
        <v>00000</v>
      </c>
      <c r="S388" s="344">
        <f t="shared" si="150"/>
        <v>0</v>
      </c>
      <c r="T388" s="345" t="str">
        <f t="shared" si="163"/>
        <v>000</v>
      </c>
      <c r="U388" s="345">
        <f t="shared" si="151"/>
        <v>0</v>
      </c>
      <c r="V388" s="345">
        <f t="shared" si="152"/>
        <v>0</v>
      </c>
      <c r="W388" s="345">
        <f t="shared" si="153"/>
        <v>0</v>
      </c>
      <c r="X388" s="345">
        <f t="shared" si="154"/>
        <v>0</v>
      </c>
      <c r="Y388" s="345">
        <f t="shared" si="155"/>
        <v>0</v>
      </c>
      <c r="Z388" s="345">
        <f>IF(Q388&lt;&gt;"",VLOOKUP(Y388,TIME!$R$21:$V$24,MATCH(FC_DATA!Q388,TIME!$R$20:$V$20,0),FALSE),H388)</f>
        <v>0</v>
      </c>
      <c r="AA388" s="345" t="str">
        <f>IFERROR(VLOOKUP(X388&amp;Z388,TIME!$A$12:$D$71,4,FALSE),"")</f>
        <v/>
      </c>
      <c r="AB388" s="592">
        <f t="shared" ca="1" si="156"/>
        <v>0</v>
      </c>
      <c r="AC388" s="593" t="e">
        <f ca="1">IF(ISBLANK(H388)=FALSE,IF(D388="BRAND.com",I388,IF(ISNA(VLOOKUP(_xlfn.CONCAT(X388,Z388),TIME!$M$40:$M$42,1,FALSE)),I388,VLOOKUP(_xlfn.CONCAT(D388,G388,H388),M_BUSAREA_FC!$AF$5:$AJ$10,5,FALSE)*HLOOKUP(_xlfn.CONCAT(F388,H388),ST_OVERVIEW!$G$99:$I$130,MATCH(_xlfn.CONCAT(D388,E388),ST_OVERVIEW!$F$99:$F$130,0),FALSE))),IF(D388="BRAND.com",VLOOKUP(_xlfn.CONCAT(C388,D388,E388,TIME!$F$1,Z388),HIS_SALES!$B$2:$V$4859,19,FALSE)*I388,VLOOKUP(_xlfn.CONCAT(D388,F388,G388),Q_BUSAREA_FC!$AE$5:$AI$12,5,FALSE)*HLOOKUP(_xlfn.CONCAT(FC_DATA!F388,FC_DATA!G388),LT_OVERVIEW!$I$99:$M$130,MATCH(_xlfn.CONCAT(D388,FC_DATA!E388),LT_OVERVIEW!$H$99:$H$130,0),FALSE)*IFERROR(VLOOKUP(_xlfn.CONCAT(C388,D388,E388,TIME!$F$1,Z388),HIS_SALES!$B$2:$V$4859,19,FALSE),0)))</f>
        <v>#N/A</v>
      </c>
      <c r="AD388" s="341">
        <f t="shared" ca="1" si="157"/>
        <v>0</v>
      </c>
      <c r="AE388" s="363" t="str">
        <f t="shared" si="158"/>
        <v/>
      </c>
      <c r="AF388" s="342" t="str">
        <f t="shared" si="159"/>
        <v/>
      </c>
      <c r="AG388" s="411" t="e">
        <f ca="1">VLOOKUP(_xlfn.CONCAT(U388,V388,W388,VLOOKUP(X388&amp;Y388,TIME!$L$27:$O$34,4,FALSE),Y388),HIS_SALES!$A$2:$R$5093,18,FALSE)</f>
        <v>#N/A</v>
      </c>
      <c r="AH388" s="412" t="e">
        <f ca="1">IFERROR(IF(AND(V388=V387,W388=W387),0.5*(AB388+AB387)*AG388,(VLOOKUP(_xlfn.CONCAT(U388,V388,W388,X388,VLOOKUP(Z388,TIME!$S$28:$T$39,2,FALSE)),FC_DATA!$R$2:$AB$5000,MATCH("GS_I_M",FC_DATA!$R$1:$AB$1,0),FALSE)+FC_DATA!AB388)*0.5*FC_DATA!AG388),NA())</f>
        <v>#N/A</v>
      </c>
      <c r="AI388" s="491" t="e">
        <f ca="1">IF(V388="PARTNER.com",AH388,IF(AND(V388=V387,W388=W387),(1-AVERAGE(AD387,AD388))*AH388,(1-AVERAGE(AD388,VLOOKUP(_xlfn.CONCAT(U388,V388,W388,X388,M_BRAND_FC!$F$6),FC_DATA!$R$2:$AD$5000,MATCH("DISCOUNT_%_M",FC_DATA!$R$1:$AD$1,0),FALSE)))*AH388))</f>
        <v>#N/A</v>
      </c>
      <c r="AJ388" s="412" t="str">
        <f t="shared" ca="1" si="160"/>
        <v/>
      </c>
      <c r="AK388" s="413" t="str">
        <f>IFERROR(AE388/(Q_BRAND_FC!$T$24+1),"")</f>
        <v/>
      </c>
      <c r="AL388" s="88" t="str">
        <f t="shared" ca="1" si="161"/>
        <v/>
      </c>
      <c r="AM388" s="414" t="str">
        <f t="shared" ca="1" si="162"/>
        <v/>
      </c>
      <c r="AN388" s="58">
        <f>IFERROR(IF($V388="BRAND.com",HLOOKUP($X388&amp;$Z388,NWC_FC_NOOS!$C$4:$Q$23,MATCH(W388,NWC_FC_NOOS!$B$4:$B$23,0),FALSE),0),0)</f>
        <v>0</v>
      </c>
      <c r="AO388" s="57">
        <f>IFERROR(IF($V388="BRAND.com",HLOOKUP($X388&amp;$Z388,NWC_FC_NOOS!$T$4:$AH$23,MATCH(W388,NWC_FC_NOOS!$S$4:$S$23,0),FALSE),0),0)</f>
        <v>0</v>
      </c>
      <c r="AP388" s="57">
        <f>IFERROR(IF($V388="BRAND.com",HLOOKUP($X388&amp;$Z388,NWC_FC_NOOS!$C$50:$U$69,MATCH(W388,NWC_FC_NOOS!$B$50:$B$69,0),FALSE),0),0)</f>
        <v>0</v>
      </c>
      <c r="AQ388" s="58">
        <f>IFERROR(IF($V388="BRAND.com",HLOOKUP($X388&amp;$Z388,'NWC_FC_NON-NOOS'!$C$4:$Q$23,MATCH(W388,'NWC_FC_NON-NOOS'!$B$4:$B$23,0),FALSE),0),0)</f>
        <v>0</v>
      </c>
      <c r="AR388" s="57">
        <f>IFERROR(IF($V388="BRAND.com",HLOOKUP($X388&amp;$Z388,'NWC_FC_NON-NOOS'!$T$4:$AH$23,MATCH(W388,'NWC_FC_NON-NOOS'!$S$4:$S$23,0),FALSE),0),0)</f>
        <v>0</v>
      </c>
      <c r="AS388" s="57">
        <f>IFERROR(IF($V388="BRAND.com",HLOOKUP($X388&amp;$Z388,'NWC_FC_NON-NOOS'!$C$50:$U$69,MATCH(W388,'NWC_FC_NON-NOOS'!$B$50:$B$69,0),FALSE),0),0)</f>
        <v>0</v>
      </c>
      <c r="AT388" s="57">
        <f t="shared" si="164"/>
        <v>0</v>
      </c>
      <c r="AU388" s="57">
        <f t="shared" si="165"/>
        <v>0</v>
      </c>
      <c r="AV388" s="58">
        <f>IFERROR(IF($V388="BRAND.com",HLOOKUP($X388&amp;$Z388,PLANNING_FC!$BB$27:$BP$46,MATCH($W388,PLANNING_FC!$BA$27:$BA$46,0),FALSE),0),0)</f>
        <v>0</v>
      </c>
      <c r="AW388" s="58">
        <f>IFERROR(IF($V388="BRAND.com",HLOOKUP($X388&amp;$Z388,PLANNING_FC!$BB$4:$BP$23,MATCH($W388,PLANNING_FC!$BA$4:$BA$23,0),FALSE),0),0)</f>
        <v>0</v>
      </c>
      <c r="AX388" s="58">
        <f>IFERROR(IF($V388="BRAND.com",HLOOKUP($X388&amp;$Z388,PLANNING_FC!$T$27:$AH$46,MATCH($W388,PLANNING_FC!$B$27:$B$46,0),FALSE),0),0)</f>
        <v>0</v>
      </c>
      <c r="AY388" s="58">
        <f>IFERROR(IF($V388="BRAND.com",HLOOKUP($X388&amp;$Z388,PLANNING_FC!$T$4:$AH$23,MATCH($W388,PLANNING_FC!$B$4:$B$23,0),FALSE),0),0)</f>
        <v>0</v>
      </c>
      <c r="AZ388" s="58">
        <f>IFERROR(IF($V388="BRAND.com",HLOOKUP($X388&amp;$Z388,PLANNING_FC!$DA$27:$DO$46,MATCH($W388,PLANNING_FC!$CZ$27:$CZ$46,0),FALSE),0),0)</f>
        <v>0</v>
      </c>
      <c r="BA388" s="58">
        <f>IFERROR(IF($V388="BRAND.com",HLOOKUP($X388&amp;$Z388,PLANNING_FC!$DA$4:$DO$23,MATCH($W388,PLANNING_FC!$CZ$4:$CZ$23,0),FALSE),0),0)</f>
        <v>0</v>
      </c>
      <c r="BB388" s="883" t="str">
        <f>IF(V388="BRAND.com",IFERROR(HLOOKUP(X388&amp;Z388,PLANNING_FC!$AK$4:$AY$23,MATCH(W388,PLANNING_FC!$AJ$4:$AJ$23,0),FALSE)*1000,""),"")</f>
        <v/>
      </c>
      <c r="BC388" s="883" t="str">
        <f>IF(V388="BRAND.com",IFERROR(HLOOKUP(X388&amp;Z388,PLANNING_FC!$AK$27:$AY$46,MATCH(W388,PLANNING_FC!$AJ$27:$AJ$46,0),FALSE)*1000,""),"")</f>
        <v/>
      </c>
    </row>
    <row r="389" spans="1:55" x14ac:dyDescent="0.25">
      <c r="A389" s="509"/>
      <c r="B389" s="509"/>
      <c r="C389" s="509"/>
      <c r="D389" s="509"/>
      <c r="E389" s="509"/>
      <c r="F389" s="509"/>
      <c r="G389" s="509"/>
      <c r="H389" s="509"/>
      <c r="I389" s="512"/>
      <c r="J389" s="513"/>
      <c r="K389" s="879"/>
      <c r="L389" s="515"/>
      <c r="M389" s="516"/>
      <c r="N389" s="56">
        <f t="shared" si="146"/>
        <v>0</v>
      </c>
      <c r="O389" s="57">
        <f t="shared" si="147"/>
        <v>0</v>
      </c>
      <c r="P389" s="57">
        <f ca="1">IFERROR(IF(ISBLANK(H389),SUMIFS($AC:$AC,$V:$V,V389,$W:$W,W389,$X:$X,X389,$Y:$Y,Y389)*J389/(1-J389)*VLOOKUP(_xlfn.CONCAT(C389,D389,E389,TIME!$M$12,Z389),HIS_SALES!$B$2:$W$4859,20,FALSE),AC389*J389/(1-J389)),0)</f>
        <v>0</v>
      </c>
      <c r="Q389" s="541" t="str">
        <f t="shared" si="148"/>
        <v/>
      </c>
      <c r="R389" s="346" t="str">
        <f t="shared" si="149"/>
        <v>00000</v>
      </c>
      <c r="S389" s="344">
        <f t="shared" si="150"/>
        <v>0</v>
      </c>
      <c r="T389" s="345" t="str">
        <f t="shared" si="163"/>
        <v>000</v>
      </c>
      <c r="U389" s="345">
        <f t="shared" si="151"/>
        <v>0</v>
      </c>
      <c r="V389" s="345">
        <f t="shared" si="152"/>
        <v>0</v>
      </c>
      <c r="W389" s="345">
        <f t="shared" si="153"/>
        <v>0</v>
      </c>
      <c r="X389" s="345">
        <f t="shared" si="154"/>
        <v>0</v>
      </c>
      <c r="Y389" s="345">
        <f t="shared" si="155"/>
        <v>0</v>
      </c>
      <c r="Z389" s="345">
        <f>IF(Q389&lt;&gt;"",VLOOKUP(Y389,TIME!$R$21:$V$24,MATCH(FC_DATA!Q389,TIME!$R$20:$V$20,0),FALSE),H389)</f>
        <v>0</v>
      </c>
      <c r="AA389" s="345" t="str">
        <f>IFERROR(VLOOKUP(X389&amp;Z389,TIME!$A$12:$D$71,4,FALSE),"")</f>
        <v/>
      </c>
      <c r="AB389" s="592">
        <f t="shared" ca="1" si="156"/>
        <v>0</v>
      </c>
      <c r="AC389" s="593" t="e">
        <f ca="1">IF(ISBLANK(H389)=FALSE,IF(D389="BRAND.com",I389,IF(ISNA(VLOOKUP(_xlfn.CONCAT(X389,Z389),TIME!$M$40:$M$42,1,FALSE)),I389,VLOOKUP(_xlfn.CONCAT(D389,G389,H389),M_BUSAREA_FC!$AF$5:$AJ$10,5,FALSE)*HLOOKUP(_xlfn.CONCAT(F389,H389),ST_OVERVIEW!$G$99:$I$130,MATCH(_xlfn.CONCAT(D389,E389),ST_OVERVIEW!$F$99:$F$130,0),FALSE))),IF(D389="BRAND.com",VLOOKUP(_xlfn.CONCAT(C389,D389,E389,TIME!$F$1,Z389),HIS_SALES!$B$2:$V$4859,19,FALSE)*I389,VLOOKUP(_xlfn.CONCAT(D389,F389,G389),Q_BUSAREA_FC!$AE$5:$AI$12,5,FALSE)*HLOOKUP(_xlfn.CONCAT(FC_DATA!F389,FC_DATA!G389),LT_OVERVIEW!$I$99:$M$130,MATCH(_xlfn.CONCAT(D389,FC_DATA!E389),LT_OVERVIEW!$H$99:$H$130,0),FALSE)*IFERROR(VLOOKUP(_xlfn.CONCAT(C389,D389,E389,TIME!$F$1,Z389),HIS_SALES!$B$2:$V$4859,19,FALSE),0)))</f>
        <v>#N/A</v>
      </c>
      <c r="AD389" s="341">
        <f t="shared" ca="1" si="157"/>
        <v>0</v>
      </c>
      <c r="AE389" s="363" t="str">
        <f t="shared" si="158"/>
        <v/>
      </c>
      <c r="AF389" s="342" t="str">
        <f t="shared" si="159"/>
        <v/>
      </c>
      <c r="AG389" s="411" t="e">
        <f ca="1">VLOOKUP(_xlfn.CONCAT(U389,V389,W389,VLOOKUP(X389&amp;Y389,TIME!$L$27:$O$34,4,FALSE),Y389),HIS_SALES!$A$2:$R$5093,18,FALSE)</f>
        <v>#N/A</v>
      </c>
      <c r="AH389" s="412" t="e">
        <f ca="1">IFERROR(IF(AND(V389=V388,W389=W388),0.5*(AB389+AB388)*AG389,(VLOOKUP(_xlfn.CONCAT(U389,V389,W389,X389,VLOOKUP(Z389,TIME!$S$28:$T$39,2,FALSE)),FC_DATA!$R$2:$AB$5000,MATCH("GS_I_M",FC_DATA!$R$1:$AB$1,0),FALSE)+FC_DATA!AB389)*0.5*FC_DATA!AG389),NA())</f>
        <v>#N/A</v>
      </c>
      <c r="AI389" s="491" t="e">
        <f ca="1">IF(V389="PARTNER.com",AH389,IF(AND(V389=V388,W389=W388),(1-AVERAGE(AD388,AD389))*AH389,(1-AVERAGE(AD389,VLOOKUP(_xlfn.CONCAT(U389,V389,W389,X389,M_BRAND_FC!$F$6),FC_DATA!$R$2:$AD$5000,MATCH("DISCOUNT_%_M",FC_DATA!$R$1:$AD$1,0),FALSE)))*AH389))</f>
        <v>#N/A</v>
      </c>
      <c r="AJ389" s="412" t="str">
        <f t="shared" ca="1" si="160"/>
        <v/>
      </c>
      <c r="AK389" s="413" t="str">
        <f>IFERROR(AE389/(Q_BRAND_FC!$T$24+1),"")</f>
        <v/>
      </c>
      <c r="AL389" s="88" t="str">
        <f t="shared" ca="1" si="161"/>
        <v/>
      </c>
      <c r="AM389" s="414" t="str">
        <f t="shared" ca="1" si="162"/>
        <v/>
      </c>
      <c r="AN389" s="58">
        <f>IFERROR(IF($V389="BRAND.com",HLOOKUP($X389&amp;$Z389,NWC_FC_NOOS!$C$4:$Q$23,MATCH(W389,NWC_FC_NOOS!$B$4:$B$23,0),FALSE),0),0)</f>
        <v>0</v>
      </c>
      <c r="AO389" s="57">
        <f>IFERROR(IF($V389="BRAND.com",HLOOKUP($X389&amp;$Z389,NWC_FC_NOOS!$T$4:$AH$23,MATCH(W389,NWC_FC_NOOS!$S$4:$S$23,0),FALSE),0),0)</f>
        <v>0</v>
      </c>
      <c r="AP389" s="57">
        <f>IFERROR(IF($V389="BRAND.com",HLOOKUP($X389&amp;$Z389,NWC_FC_NOOS!$C$50:$U$69,MATCH(W389,NWC_FC_NOOS!$B$50:$B$69,0),FALSE),0),0)</f>
        <v>0</v>
      </c>
      <c r="AQ389" s="58">
        <f>IFERROR(IF($V389="BRAND.com",HLOOKUP($X389&amp;$Z389,'NWC_FC_NON-NOOS'!$C$4:$Q$23,MATCH(W389,'NWC_FC_NON-NOOS'!$B$4:$B$23,0),FALSE),0),0)</f>
        <v>0</v>
      </c>
      <c r="AR389" s="57">
        <f>IFERROR(IF($V389="BRAND.com",HLOOKUP($X389&amp;$Z389,'NWC_FC_NON-NOOS'!$T$4:$AH$23,MATCH(W389,'NWC_FC_NON-NOOS'!$S$4:$S$23,0),FALSE),0),0)</f>
        <v>0</v>
      </c>
      <c r="AS389" s="57">
        <f>IFERROR(IF($V389="BRAND.com",HLOOKUP($X389&amp;$Z389,'NWC_FC_NON-NOOS'!$C$50:$U$69,MATCH(W389,'NWC_FC_NON-NOOS'!$B$50:$B$69,0),FALSE),0),0)</f>
        <v>0</v>
      </c>
      <c r="AT389" s="57">
        <f t="shared" si="164"/>
        <v>0</v>
      </c>
      <c r="AU389" s="57">
        <f t="shared" si="165"/>
        <v>0</v>
      </c>
      <c r="AV389" s="58">
        <f>IFERROR(IF($V389="BRAND.com",HLOOKUP($X389&amp;$Z389,PLANNING_FC!$BB$27:$BP$46,MATCH($W389,PLANNING_FC!$BA$27:$BA$46,0),FALSE),0),0)</f>
        <v>0</v>
      </c>
      <c r="AW389" s="58">
        <f>IFERROR(IF($V389="BRAND.com",HLOOKUP($X389&amp;$Z389,PLANNING_FC!$BB$4:$BP$23,MATCH($W389,PLANNING_FC!$BA$4:$BA$23,0),FALSE),0),0)</f>
        <v>0</v>
      </c>
      <c r="AX389" s="58">
        <f>IFERROR(IF($V389="BRAND.com",HLOOKUP($X389&amp;$Z389,PLANNING_FC!$T$27:$AH$46,MATCH($W389,PLANNING_FC!$B$27:$B$46,0),FALSE),0),0)</f>
        <v>0</v>
      </c>
      <c r="AY389" s="58">
        <f>IFERROR(IF($V389="BRAND.com",HLOOKUP($X389&amp;$Z389,PLANNING_FC!$T$4:$AH$23,MATCH($W389,PLANNING_FC!$B$4:$B$23,0),FALSE),0),0)</f>
        <v>0</v>
      </c>
      <c r="AZ389" s="58">
        <f>IFERROR(IF($V389="BRAND.com",HLOOKUP($X389&amp;$Z389,PLANNING_FC!$DA$27:$DO$46,MATCH($W389,PLANNING_FC!$CZ$27:$CZ$46,0),FALSE),0),0)</f>
        <v>0</v>
      </c>
      <c r="BA389" s="58">
        <f>IFERROR(IF($V389="BRAND.com",HLOOKUP($X389&amp;$Z389,PLANNING_FC!$DA$4:$DO$23,MATCH($W389,PLANNING_FC!$CZ$4:$CZ$23,0),FALSE),0),0)</f>
        <v>0</v>
      </c>
      <c r="BB389" s="883" t="str">
        <f>IF(V389="BRAND.com",IFERROR(HLOOKUP(X389&amp;Z389,PLANNING_FC!$AK$4:$AY$23,MATCH(W389,PLANNING_FC!$AJ$4:$AJ$23,0),FALSE)*1000,""),"")</f>
        <v/>
      </c>
      <c r="BC389" s="883" t="str">
        <f>IF(V389="BRAND.com",IFERROR(HLOOKUP(X389&amp;Z389,PLANNING_FC!$AK$27:$AY$46,MATCH(W389,PLANNING_FC!$AJ$27:$AJ$46,0),FALSE)*1000,""),"")</f>
        <v/>
      </c>
    </row>
    <row r="390" spans="1:55" x14ac:dyDescent="0.25">
      <c r="A390" s="509"/>
      <c r="B390" s="509"/>
      <c r="C390" s="509"/>
      <c r="D390" s="509"/>
      <c r="E390" s="509"/>
      <c r="F390" s="509"/>
      <c r="G390" s="509"/>
      <c r="H390" s="509"/>
      <c r="I390" s="512"/>
      <c r="J390" s="513"/>
      <c r="K390" s="879"/>
      <c r="L390" s="515"/>
      <c r="M390" s="516"/>
      <c r="N390" s="56">
        <f t="shared" si="146"/>
        <v>0</v>
      </c>
      <c r="O390" s="57">
        <f t="shared" si="147"/>
        <v>0</v>
      </c>
      <c r="P390" s="57">
        <f ca="1">IFERROR(IF(ISBLANK(H390),SUMIFS($AC:$AC,$V:$V,V390,$W:$W,W390,$X:$X,X390,$Y:$Y,Y390)*J390/(1-J390)*VLOOKUP(_xlfn.CONCAT(C390,D390,E390,TIME!$M$12,Z390),HIS_SALES!$B$2:$W$4859,20,FALSE),AC390*J390/(1-J390)),0)</f>
        <v>0</v>
      </c>
      <c r="Q390" s="541" t="str">
        <f t="shared" si="148"/>
        <v/>
      </c>
      <c r="R390" s="346" t="str">
        <f t="shared" si="149"/>
        <v>00000</v>
      </c>
      <c r="S390" s="344">
        <f t="shared" si="150"/>
        <v>0</v>
      </c>
      <c r="T390" s="345" t="str">
        <f t="shared" si="163"/>
        <v>000</v>
      </c>
      <c r="U390" s="345">
        <f t="shared" si="151"/>
        <v>0</v>
      </c>
      <c r="V390" s="345">
        <f t="shared" si="152"/>
        <v>0</v>
      </c>
      <c r="W390" s="345">
        <f t="shared" si="153"/>
        <v>0</v>
      </c>
      <c r="X390" s="345">
        <f t="shared" si="154"/>
        <v>0</v>
      </c>
      <c r="Y390" s="345">
        <f t="shared" si="155"/>
        <v>0</v>
      </c>
      <c r="Z390" s="345">
        <f>IF(Q390&lt;&gt;"",VLOOKUP(Y390,TIME!$R$21:$V$24,MATCH(FC_DATA!Q390,TIME!$R$20:$V$20,0),FALSE),H390)</f>
        <v>0</v>
      </c>
      <c r="AA390" s="345" t="str">
        <f>IFERROR(VLOOKUP(X390&amp;Z390,TIME!$A$12:$D$71,4,FALSE),"")</f>
        <v/>
      </c>
      <c r="AB390" s="592">
        <f t="shared" ca="1" si="156"/>
        <v>0</v>
      </c>
      <c r="AC390" s="593" t="e">
        <f ca="1">IF(ISBLANK(H390)=FALSE,IF(D390="BRAND.com",I390,IF(ISNA(VLOOKUP(_xlfn.CONCAT(X390,Z390),TIME!$M$40:$M$42,1,FALSE)),I390,VLOOKUP(_xlfn.CONCAT(D390,G390,H390),M_BUSAREA_FC!$AF$5:$AJ$10,5,FALSE)*HLOOKUP(_xlfn.CONCAT(F390,H390),ST_OVERVIEW!$G$99:$I$130,MATCH(_xlfn.CONCAT(D390,E390),ST_OVERVIEW!$F$99:$F$130,0),FALSE))),IF(D390="BRAND.com",VLOOKUP(_xlfn.CONCAT(C390,D390,E390,TIME!$F$1,Z390),HIS_SALES!$B$2:$V$4859,19,FALSE)*I390,VLOOKUP(_xlfn.CONCAT(D390,F390,G390),Q_BUSAREA_FC!$AE$5:$AI$12,5,FALSE)*HLOOKUP(_xlfn.CONCAT(FC_DATA!F390,FC_DATA!G390),LT_OVERVIEW!$I$99:$M$130,MATCH(_xlfn.CONCAT(D390,FC_DATA!E390),LT_OVERVIEW!$H$99:$H$130,0),FALSE)*IFERROR(VLOOKUP(_xlfn.CONCAT(C390,D390,E390,TIME!$F$1,Z390),HIS_SALES!$B$2:$V$4859,19,FALSE),0)))</f>
        <v>#N/A</v>
      </c>
      <c r="AD390" s="341">
        <f t="shared" ca="1" si="157"/>
        <v>0</v>
      </c>
      <c r="AE390" s="363" t="str">
        <f t="shared" si="158"/>
        <v/>
      </c>
      <c r="AF390" s="342" t="str">
        <f t="shared" si="159"/>
        <v/>
      </c>
      <c r="AG390" s="411" t="e">
        <f ca="1">VLOOKUP(_xlfn.CONCAT(U390,V390,W390,VLOOKUP(X390&amp;Y390,TIME!$L$27:$O$34,4,FALSE),Y390),HIS_SALES!$A$2:$R$5093,18,FALSE)</f>
        <v>#N/A</v>
      </c>
      <c r="AH390" s="412" t="e">
        <f ca="1">IFERROR(IF(AND(V390=V389,W390=W389),0.5*(AB390+AB389)*AG390,(VLOOKUP(_xlfn.CONCAT(U390,V390,W390,X390,VLOOKUP(Z390,TIME!$S$28:$T$39,2,FALSE)),FC_DATA!$R$2:$AB$5000,MATCH("GS_I_M",FC_DATA!$R$1:$AB$1,0),FALSE)+FC_DATA!AB390)*0.5*FC_DATA!AG390),NA())</f>
        <v>#N/A</v>
      </c>
      <c r="AI390" s="491" t="e">
        <f ca="1">IF(V390="PARTNER.com",AH390,IF(AND(V390=V389,W390=W389),(1-AVERAGE(AD389,AD390))*AH390,(1-AVERAGE(AD390,VLOOKUP(_xlfn.CONCAT(U390,V390,W390,X390,M_BRAND_FC!$F$6),FC_DATA!$R$2:$AD$5000,MATCH("DISCOUNT_%_M",FC_DATA!$R$1:$AD$1,0),FALSE)))*AH390))</f>
        <v>#N/A</v>
      </c>
      <c r="AJ390" s="412" t="str">
        <f t="shared" ca="1" si="160"/>
        <v/>
      </c>
      <c r="AK390" s="413" t="str">
        <f>IFERROR(AE390/(Q_BRAND_FC!$T$24+1),"")</f>
        <v/>
      </c>
      <c r="AL390" s="88" t="str">
        <f t="shared" ca="1" si="161"/>
        <v/>
      </c>
      <c r="AM390" s="414" t="str">
        <f t="shared" ca="1" si="162"/>
        <v/>
      </c>
      <c r="AN390" s="58">
        <f>IFERROR(IF($V390="BRAND.com",HLOOKUP($X390&amp;$Z390,NWC_FC_NOOS!$C$4:$Q$23,MATCH(W390,NWC_FC_NOOS!$B$4:$B$23,0),FALSE),0),0)</f>
        <v>0</v>
      </c>
      <c r="AO390" s="57">
        <f>IFERROR(IF($V390="BRAND.com",HLOOKUP($X390&amp;$Z390,NWC_FC_NOOS!$T$4:$AH$23,MATCH(W390,NWC_FC_NOOS!$S$4:$S$23,0),FALSE),0),0)</f>
        <v>0</v>
      </c>
      <c r="AP390" s="57">
        <f>IFERROR(IF($V390="BRAND.com",HLOOKUP($X390&amp;$Z390,NWC_FC_NOOS!$C$50:$U$69,MATCH(W390,NWC_FC_NOOS!$B$50:$B$69,0),FALSE),0),0)</f>
        <v>0</v>
      </c>
      <c r="AQ390" s="58">
        <f>IFERROR(IF($V390="BRAND.com",HLOOKUP($X390&amp;$Z390,'NWC_FC_NON-NOOS'!$C$4:$Q$23,MATCH(W390,'NWC_FC_NON-NOOS'!$B$4:$B$23,0),FALSE),0),0)</f>
        <v>0</v>
      </c>
      <c r="AR390" s="57">
        <f>IFERROR(IF($V390="BRAND.com",HLOOKUP($X390&amp;$Z390,'NWC_FC_NON-NOOS'!$T$4:$AH$23,MATCH(W390,'NWC_FC_NON-NOOS'!$S$4:$S$23,0),FALSE),0),0)</f>
        <v>0</v>
      </c>
      <c r="AS390" s="57">
        <f>IFERROR(IF($V390="BRAND.com",HLOOKUP($X390&amp;$Z390,'NWC_FC_NON-NOOS'!$C$50:$U$69,MATCH(W390,'NWC_FC_NON-NOOS'!$B$50:$B$69,0),FALSE),0),0)</f>
        <v>0</v>
      </c>
      <c r="AT390" s="57">
        <f t="shared" si="164"/>
        <v>0</v>
      </c>
      <c r="AU390" s="57">
        <f t="shared" si="165"/>
        <v>0</v>
      </c>
      <c r="AV390" s="58">
        <f>IFERROR(IF($V390="BRAND.com",HLOOKUP($X390&amp;$Z390,PLANNING_FC!$BB$27:$BP$46,MATCH($W390,PLANNING_FC!$BA$27:$BA$46,0),FALSE),0),0)</f>
        <v>0</v>
      </c>
      <c r="AW390" s="58">
        <f>IFERROR(IF($V390="BRAND.com",HLOOKUP($X390&amp;$Z390,PLANNING_FC!$BB$4:$BP$23,MATCH($W390,PLANNING_FC!$BA$4:$BA$23,0),FALSE),0),0)</f>
        <v>0</v>
      </c>
      <c r="AX390" s="58">
        <f>IFERROR(IF($V390="BRAND.com",HLOOKUP($X390&amp;$Z390,PLANNING_FC!$T$27:$AH$46,MATCH($W390,PLANNING_FC!$B$27:$B$46,0),FALSE),0),0)</f>
        <v>0</v>
      </c>
      <c r="AY390" s="58">
        <f>IFERROR(IF($V390="BRAND.com",HLOOKUP($X390&amp;$Z390,PLANNING_FC!$T$4:$AH$23,MATCH($W390,PLANNING_FC!$B$4:$B$23,0),FALSE),0),0)</f>
        <v>0</v>
      </c>
      <c r="AZ390" s="58">
        <f>IFERROR(IF($V390="BRAND.com",HLOOKUP($X390&amp;$Z390,PLANNING_FC!$DA$27:$DO$46,MATCH($W390,PLANNING_FC!$CZ$27:$CZ$46,0),FALSE),0),0)</f>
        <v>0</v>
      </c>
      <c r="BA390" s="58">
        <f>IFERROR(IF($V390="BRAND.com",HLOOKUP($X390&amp;$Z390,PLANNING_FC!$DA$4:$DO$23,MATCH($W390,PLANNING_FC!$CZ$4:$CZ$23,0),FALSE),0),0)</f>
        <v>0</v>
      </c>
      <c r="BB390" s="883" t="str">
        <f>IF(V390="BRAND.com",IFERROR(HLOOKUP(X390&amp;Z390,PLANNING_FC!$AK$4:$AY$23,MATCH(W390,PLANNING_FC!$AJ$4:$AJ$23,0),FALSE)*1000,""),"")</f>
        <v/>
      </c>
      <c r="BC390" s="883" t="str">
        <f>IF(V390="BRAND.com",IFERROR(HLOOKUP(X390&amp;Z390,PLANNING_FC!$AK$27:$AY$46,MATCH(W390,PLANNING_FC!$AJ$27:$AJ$46,0),FALSE)*1000,""),"")</f>
        <v/>
      </c>
    </row>
    <row r="391" spans="1:55" x14ac:dyDescent="0.25">
      <c r="A391" s="509"/>
      <c r="B391" s="509"/>
      <c r="C391" s="509"/>
      <c r="D391" s="509"/>
      <c r="E391" s="509"/>
      <c r="F391" s="509"/>
      <c r="G391" s="509"/>
      <c r="H391" s="509"/>
      <c r="I391" s="512"/>
      <c r="J391" s="513"/>
      <c r="K391" s="879"/>
      <c r="L391" s="515"/>
      <c r="M391" s="516"/>
      <c r="N391" s="56">
        <f t="shared" si="146"/>
        <v>0</v>
      </c>
      <c r="O391" s="57">
        <f t="shared" si="147"/>
        <v>0</v>
      </c>
      <c r="P391" s="57">
        <f ca="1">IFERROR(IF(ISBLANK(H391),SUMIFS($AC:$AC,$V:$V,V391,$W:$W,W391,$X:$X,X391,$Y:$Y,Y391)*J391/(1-J391)*VLOOKUP(_xlfn.CONCAT(C391,D391,E391,TIME!$M$12,Z391),HIS_SALES!$B$2:$W$4859,20,FALSE),AC391*J391/(1-J391)),0)</f>
        <v>0</v>
      </c>
      <c r="Q391" s="541" t="str">
        <f t="shared" si="148"/>
        <v/>
      </c>
      <c r="R391" s="346" t="str">
        <f t="shared" si="149"/>
        <v>00000</v>
      </c>
      <c r="S391" s="344">
        <f t="shared" si="150"/>
        <v>0</v>
      </c>
      <c r="T391" s="345" t="str">
        <f t="shared" si="163"/>
        <v>000</v>
      </c>
      <c r="U391" s="345">
        <f t="shared" si="151"/>
        <v>0</v>
      </c>
      <c r="V391" s="345">
        <f t="shared" si="152"/>
        <v>0</v>
      </c>
      <c r="W391" s="345">
        <f t="shared" si="153"/>
        <v>0</v>
      </c>
      <c r="X391" s="345">
        <f t="shared" si="154"/>
        <v>0</v>
      </c>
      <c r="Y391" s="345">
        <f t="shared" si="155"/>
        <v>0</v>
      </c>
      <c r="Z391" s="345">
        <f>IF(Q391&lt;&gt;"",VLOOKUP(Y391,TIME!$R$21:$V$24,MATCH(FC_DATA!Q391,TIME!$R$20:$V$20,0),FALSE),H391)</f>
        <v>0</v>
      </c>
      <c r="AA391" s="345" t="str">
        <f>IFERROR(VLOOKUP(X391&amp;Z391,TIME!$A$12:$D$71,4,FALSE),"")</f>
        <v/>
      </c>
      <c r="AB391" s="592">
        <f t="shared" ca="1" si="156"/>
        <v>0</v>
      </c>
      <c r="AC391" s="593" t="e">
        <f ca="1">IF(ISBLANK(H391)=FALSE,IF(D391="BRAND.com",I391,IF(ISNA(VLOOKUP(_xlfn.CONCAT(X391,Z391),TIME!$M$40:$M$42,1,FALSE)),I391,VLOOKUP(_xlfn.CONCAT(D391,G391,H391),M_BUSAREA_FC!$AF$5:$AJ$10,5,FALSE)*HLOOKUP(_xlfn.CONCAT(F391,H391),ST_OVERVIEW!$G$99:$I$130,MATCH(_xlfn.CONCAT(D391,E391),ST_OVERVIEW!$F$99:$F$130,0),FALSE))),IF(D391="BRAND.com",VLOOKUP(_xlfn.CONCAT(C391,D391,E391,TIME!$F$1,Z391),HIS_SALES!$B$2:$V$4859,19,FALSE)*I391,VLOOKUP(_xlfn.CONCAT(D391,F391,G391),Q_BUSAREA_FC!$AE$5:$AI$12,5,FALSE)*HLOOKUP(_xlfn.CONCAT(FC_DATA!F391,FC_DATA!G391),LT_OVERVIEW!$I$99:$M$130,MATCH(_xlfn.CONCAT(D391,FC_DATA!E391),LT_OVERVIEW!$H$99:$H$130,0),FALSE)*IFERROR(VLOOKUP(_xlfn.CONCAT(C391,D391,E391,TIME!$F$1,Z391),HIS_SALES!$B$2:$V$4859,19,FALSE),0)))</f>
        <v>#N/A</v>
      </c>
      <c r="AD391" s="341">
        <f t="shared" ca="1" si="157"/>
        <v>0</v>
      </c>
      <c r="AE391" s="363" t="str">
        <f t="shared" si="158"/>
        <v/>
      </c>
      <c r="AF391" s="342" t="str">
        <f t="shared" si="159"/>
        <v/>
      </c>
      <c r="AG391" s="411" t="e">
        <f ca="1">VLOOKUP(_xlfn.CONCAT(U391,V391,W391,VLOOKUP(X391&amp;Y391,TIME!$L$27:$O$34,4,FALSE),Y391),HIS_SALES!$A$2:$R$5093,18,FALSE)</f>
        <v>#N/A</v>
      </c>
      <c r="AH391" s="412" t="e">
        <f ca="1">IFERROR(IF(AND(V391=V390,W391=W390),0.5*(AB391+AB390)*AG391,(VLOOKUP(_xlfn.CONCAT(U391,V391,W391,X391,VLOOKUP(Z391,TIME!$S$28:$T$39,2,FALSE)),FC_DATA!$R$2:$AB$5000,MATCH("GS_I_M",FC_DATA!$R$1:$AB$1,0),FALSE)+FC_DATA!AB391)*0.5*FC_DATA!AG391),NA())</f>
        <v>#N/A</v>
      </c>
      <c r="AI391" s="491" t="e">
        <f ca="1">IF(V391="PARTNER.com",AH391,IF(AND(V391=V390,W391=W390),(1-AVERAGE(AD390,AD391))*AH391,(1-AVERAGE(AD391,VLOOKUP(_xlfn.CONCAT(U391,V391,W391,X391,M_BRAND_FC!$F$6),FC_DATA!$R$2:$AD$5000,MATCH("DISCOUNT_%_M",FC_DATA!$R$1:$AD$1,0),FALSE)))*AH391))</f>
        <v>#N/A</v>
      </c>
      <c r="AJ391" s="412" t="str">
        <f t="shared" ca="1" si="160"/>
        <v/>
      </c>
      <c r="AK391" s="413" t="str">
        <f>IFERROR(AE391/(Q_BRAND_FC!$T$24+1),"")</f>
        <v/>
      </c>
      <c r="AL391" s="88" t="str">
        <f t="shared" ca="1" si="161"/>
        <v/>
      </c>
      <c r="AM391" s="414" t="str">
        <f t="shared" ca="1" si="162"/>
        <v/>
      </c>
      <c r="AN391" s="58">
        <f>IFERROR(IF($V391="BRAND.com",HLOOKUP($X391&amp;$Z391,NWC_FC_NOOS!$C$4:$Q$23,MATCH(W391,NWC_FC_NOOS!$B$4:$B$23,0),FALSE),0),0)</f>
        <v>0</v>
      </c>
      <c r="AO391" s="57">
        <f>IFERROR(IF($V391="BRAND.com",HLOOKUP($X391&amp;$Z391,NWC_FC_NOOS!$T$4:$AH$23,MATCH(W391,NWC_FC_NOOS!$S$4:$S$23,0),FALSE),0),0)</f>
        <v>0</v>
      </c>
      <c r="AP391" s="57">
        <f>IFERROR(IF($V391="BRAND.com",HLOOKUP($X391&amp;$Z391,NWC_FC_NOOS!$C$50:$U$69,MATCH(W391,NWC_FC_NOOS!$B$50:$B$69,0),FALSE),0),0)</f>
        <v>0</v>
      </c>
      <c r="AQ391" s="58">
        <f>IFERROR(IF($V391="BRAND.com",HLOOKUP($X391&amp;$Z391,'NWC_FC_NON-NOOS'!$C$4:$Q$23,MATCH(W391,'NWC_FC_NON-NOOS'!$B$4:$B$23,0),FALSE),0),0)</f>
        <v>0</v>
      </c>
      <c r="AR391" s="57">
        <f>IFERROR(IF($V391="BRAND.com",HLOOKUP($X391&amp;$Z391,'NWC_FC_NON-NOOS'!$T$4:$AH$23,MATCH(W391,'NWC_FC_NON-NOOS'!$S$4:$S$23,0),FALSE),0),0)</f>
        <v>0</v>
      </c>
      <c r="AS391" s="57">
        <f>IFERROR(IF($V391="BRAND.com",HLOOKUP($X391&amp;$Z391,'NWC_FC_NON-NOOS'!$C$50:$U$69,MATCH(W391,'NWC_FC_NON-NOOS'!$B$50:$B$69,0),FALSE),0),0)</f>
        <v>0</v>
      </c>
      <c r="AT391" s="57">
        <f t="shared" si="164"/>
        <v>0</v>
      </c>
      <c r="AU391" s="57">
        <f t="shared" si="165"/>
        <v>0</v>
      </c>
      <c r="AV391" s="58">
        <f>IFERROR(IF($V391="BRAND.com",HLOOKUP($X391&amp;$Z391,PLANNING_FC!$BB$27:$BP$46,MATCH($W391,PLANNING_FC!$BA$27:$BA$46,0),FALSE),0),0)</f>
        <v>0</v>
      </c>
      <c r="AW391" s="58">
        <f>IFERROR(IF($V391="BRAND.com",HLOOKUP($X391&amp;$Z391,PLANNING_FC!$BB$4:$BP$23,MATCH($W391,PLANNING_FC!$BA$4:$BA$23,0),FALSE),0),0)</f>
        <v>0</v>
      </c>
      <c r="AX391" s="58">
        <f>IFERROR(IF($V391="BRAND.com",HLOOKUP($X391&amp;$Z391,PLANNING_FC!$T$27:$AH$46,MATCH($W391,PLANNING_FC!$B$27:$B$46,0),FALSE),0),0)</f>
        <v>0</v>
      </c>
      <c r="AY391" s="58">
        <f>IFERROR(IF($V391="BRAND.com",HLOOKUP($X391&amp;$Z391,PLANNING_FC!$T$4:$AH$23,MATCH($W391,PLANNING_FC!$B$4:$B$23,0),FALSE),0),0)</f>
        <v>0</v>
      </c>
      <c r="AZ391" s="58">
        <f>IFERROR(IF($V391="BRAND.com",HLOOKUP($X391&amp;$Z391,PLANNING_FC!$DA$27:$DO$46,MATCH($W391,PLANNING_FC!$CZ$27:$CZ$46,0),FALSE),0),0)</f>
        <v>0</v>
      </c>
      <c r="BA391" s="58">
        <f>IFERROR(IF($V391="BRAND.com",HLOOKUP($X391&amp;$Z391,PLANNING_FC!$DA$4:$DO$23,MATCH($W391,PLANNING_FC!$CZ$4:$CZ$23,0),FALSE),0),0)</f>
        <v>0</v>
      </c>
      <c r="BB391" s="883" t="str">
        <f>IF(V391="BRAND.com",IFERROR(HLOOKUP(X391&amp;Z391,PLANNING_FC!$AK$4:$AY$23,MATCH(W391,PLANNING_FC!$AJ$4:$AJ$23,0),FALSE)*1000,""),"")</f>
        <v/>
      </c>
      <c r="BC391" s="883" t="str">
        <f>IF(V391="BRAND.com",IFERROR(HLOOKUP(X391&amp;Z391,PLANNING_FC!$AK$27:$AY$46,MATCH(W391,PLANNING_FC!$AJ$27:$AJ$46,0),FALSE)*1000,""),"")</f>
        <v/>
      </c>
    </row>
    <row r="392" spans="1:55" x14ac:dyDescent="0.25">
      <c r="A392" s="509"/>
      <c r="B392" s="509"/>
      <c r="C392" s="509"/>
      <c r="D392" s="509"/>
      <c r="E392" s="509"/>
      <c r="F392" s="509"/>
      <c r="G392" s="509"/>
      <c r="H392" s="509"/>
      <c r="I392" s="512"/>
      <c r="J392" s="513"/>
      <c r="K392" s="879"/>
      <c r="L392" s="515"/>
      <c r="M392" s="516"/>
      <c r="N392" s="56">
        <f t="shared" si="146"/>
        <v>0</v>
      </c>
      <c r="O392" s="57">
        <f t="shared" si="147"/>
        <v>0</v>
      </c>
      <c r="P392" s="57">
        <f ca="1">IFERROR(IF(ISBLANK(H392),SUMIFS($AC:$AC,$V:$V,V392,$W:$W,W392,$X:$X,X392,$Y:$Y,Y392)*J392/(1-J392)*VLOOKUP(_xlfn.CONCAT(C392,D392,E392,TIME!$M$12,Z392),HIS_SALES!$B$2:$W$4859,20,FALSE),AC392*J392/(1-J392)),0)</f>
        <v>0</v>
      </c>
      <c r="Q392" s="541" t="str">
        <f t="shared" si="148"/>
        <v/>
      </c>
      <c r="R392" s="346" t="str">
        <f t="shared" si="149"/>
        <v>00000</v>
      </c>
      <c r="S392" s="344">
        <f t="shared" si="150"/>
        <v>0</v>
      </c>
      <c r="T392" s="345" t="str">
        <f t="shared" si="163"/>
        <v>000</v>
      </c>
      <c r="U392" s="345">
        <f t="shared" si="151"/>
        <v>0</v>
      </c>
      <c r="V392" s="345">
        <f t="shared" si="152"/>
        <v>0</v>
      </c>
      <c r="W392" s="345">
        <f t="shared" si="153"/>
        <v>0</v>
      </c>
      <c r="X392" s="345">
        <f t="shared" si="154"/>
        <v>0</v>
      </c>
      <c r="Y392" s="345">
        <f t="shared" si="155"/>
        <v>0</v>
      </c>
      <c r="Z392" s="345">
        <f>IF(Q392&lt;&gt;"",VLOOKUP(Y392,TIME!$R$21:$V$24,MATCH(FC_DATA!Q392,TIME!$R$20:$V$20,0),FALSE),H392)</f>
        <v>0</v>
      </c>
      <c r="AA392" s="345" t="str">
        <f>IFERROR(VLOOKUP(X392&amp;Z392,TIME!$A$12:$D$71,4,FALSE),"")</f>
        <v/>
      </c>
      <c r="AB392" s="592">
        <f t="shared" ca="1" si="156"/>
        <v>0</v>
      </c>
      <c r="AC392" s="593" t="e">
        <f ca="1">IF(ISBLANK(H392)=FALSE,IF(D392="BRAND.com",I392,IF(ISNA(VLOOKUP(_xlfn.CONCAT(X392,Z392),TIME!$M$40:$M$42,1,FALSE)),I392,VLOOKUP(_xlfn.CONCAT(D392,G392,H392),M_BUSAREA_FC!$AF$5:$AJ$10,5,FALSE)*HLOOKUP(_xlfn.CONCAT(F392,H392),ST_OVERVIEW!$G$99:$I$130,MATCH(_xlfn.CONCAT(D392,E392),ST_OVERVIEW!$F$99:$F$130,0),FALSE))),IF(D392="BRAND.com",VLOOKUP(_xlfn.CONCAT(C392,D392,E392,TIME!$F$1,Z392),HIS_SALES!$B$2:$V$4859,19,FALSE)*I392,VLOOKUP(_xlfn.CONCAT(D392,F392,G392),Q_BUSAREA_FC!$AE$5:$AI$12,5,FALSE)*HLOOKUP(_xlfn.CONCAT(FC_DATA!F392,FC_DATA!G392),LT_OVERVIEW!$I$99:$M$130,MATCH(_xlfn.CONCAT(D392,FC_DATA!E392),LT_OVERVIEW!$H$99:$H$130,0),FALSE)*IFERROR(VLOOKUP(_xlfn.CONCAT(C392,D392,E392,TIME!$F$1,Z392),HIS_SALES!$B$2:$V$4859,19,FALSE),0)))</f>
        <v>#N/A</v>
      </c>
      <c r="AD392" s="341">
        <f t="shared" ca="1" si="157"/>
        <v>0</v>
      </c>
      <c r="AE392" s="363" t="str">
        <f t="shared" si="158"/>
        <v/>
      </c>
      <c r="AF392" s="342" t="str">
        <f t="shared" si="159"/>
        <v/>
      </c>
      <c r="AG392" s="411" t="e">
        <f ca="1">VLOOKUP(_xlfn.CONCAT(U392,V392,W392,VLOOKUP(X392&amp;Y392,TIME!$L$27:$O$34,4,FALSE),Y392),HIS_SALES!$A$2:$R$5093,18,FALSE)</f>
        <v>#N/A</v>
      </c>
      <c r="AH392" s="412" t="e">
        <f ca="1">IFERROR(IF(AND(V392=V391,W392=W391),0.5*(AB392+AB391)*AG392,(VLOOKUP(_xlfn.CONCAT(U392,V392,W392,X392,VLOOKUP(Z392,TIME!$S$28:$T$39,2,FALSE)),FC_DATA!$R$2:$AB$5000,MATCH("GS_I_M",FC_DATA!$R$1:$AB$1,0),FALSE)+FC_DATA!AB392)*0.5*FC_DATA!AG392),NA())</f>
        <v>#N/A</v>
      </c>
      <c r="AI392" s="491" t="e">
        <f ca="1">IF(V392="PARTNER.com",AH392,IF(AND(V392=V391,W392=W391),(1-AVERAGE(AD391,AD392))*AH392,(1-AVERAGE(AD392,VLOOKUP(_xlfn.CONCAT(U392,V392,W392,X392,M_BRAND_FC!$F$6),FC_DATA!$R$2:$AD$5000,MATCH("DISCOUNT_%_M",FC_DATA!$R$1:$AD$1,0),FALSE)))*AH392))</f>
        <v>#N/A</v>
      </c>
      <c r="AJ392" s="412" t="str">
        <f t="shared" ca="1" si="160"/>
        <v/>
      </c>
      <c r="AK392" s="413" t="str">
        <f>IFERROR(AE392/(Q_BRAND_FC!$T$24+1),"")</f>
        <v/>
      </c>
      <c r="AL392" s="88" t="str">
        <f t="shared" ca="1" si="161"/>
        <v/>
      </c>
      <c r="AM392" s="414" t="str">
        <f t="shared" ca="1" si="162"/>
        <v/>
      </c>
      <c r="AN392" s="58">
        <f>IFERROR(IF($V392="BRAND.com",HLOOKUP($X392&amp;$Z392,NWC_FC_NOOS!$C$4:$Q$23,MATCH(W392,NWC_FC_NOOS!$B$4:$B$23,0),FALSE),0),0)</f>
        <v>0</v>
      </c>
      <c r="AO392" s="57">
        <f>IFERROR(IF($V392="BRAND.com",HLOOKUP($X392&amp;$Z392,NWC_FC_NOOS!$T$4:$AH$23,MATCH(W392,NWC_FC_NOOS!$S$4:$S$23,0),FALSE),0),0)</f>
        <v>0</v>
      </c>
      <c r="AP392" s="57">
        <f>IFERROR(IF($V392="BRAND.com",HLOOKUP($X392&amp;$Z392,NWC_FC_NOOS!$C$50:$U$69,MATCH(W392,NWC_FC_NOOS!$B$50:$B$69,0),FALSE),0),0)</f>
        <v>0</v>
      </c>
      <c r="AQ392" s="58">
        <f>IFERROR(IF($V392="BRAND.com",HLOOKUP($X392&amp;$Z392,'NWC_FC_NON-NOOS'!$C$4:$Q$23,MATCH(W392,'NWC_FC_NON-NOOS'!$B$4:$B$23,0),FALSE),0),0)</f>
        <v>0</v>
      </c>
      <c r="AR392" s="57">
        <f>IFERROR(IF($V392="BRAND.com",HLOOKUP($X392&amp;$Z392,'NWC_FC_NON-NOOS'!$T$4:$AH$23,MATCH(W392,'NWC_FC_NON-NOOS'!$S$4:$S$23,0),FALSE),0),0)</f>
        <v>0</v>
      </c>
      <c r="AS392" s="57">
        <f>IFERROR(IF($V392="BRAND.com",HLOOKUP($X392&amp;$Z392,'NWC_FC_NON-NOOS'!$C$50:$U$69,MATCH(W392,'NWC_FC_NON-NOOS'!$B$50:$B$69,0),FALSE),0),0)</f>
        <v>0</v>
      </c>
      <c r="AT392" s="57">
        <f t="shared" si="164"/>
        <v>0</v>
      </c>
      <c r="AU392" s="57">
        <f t="shared" si="165"/>
        <v>0</v>
      </c>
      <c r="AV392" s="58">
        <f>IFERROR(IF($V392="BRAND.com",HLOOKUP($X392&amp;$Z392,PLANNING_FC!$BB$27:$BP$46,MATCH($W392,PLANNING_FC!$BA$27:$BA$46,0),FALSE),0),0)</f>
        <v>0</v>
      </c>
      <c r="AW392" s="58">
        <f>IFERROR(IF($V392="BRAND.com",HLOOKUP($X392&amp;$Z392,PLANNING_FC!$BB$4:$BP$23,MATCH($W392,PLANNING_FC!$BA$4:$BA$23,0),FALSE),0),0)</f>
        <v>0</v>
      </c>
      <c r="AX392" s="58">
        <f>IFERROR(IF($V392="BRAND.com",HLOOKUP($X392&amp;$Z392,PLANNING_FC!$T$27:$AH$46,MATCH($W392,PLANNING_FC!$B$27:$B$46,0),FALSE),0),0)</f>
        <v>0</v>
      </c>
      <c r="AY392" s="58">
        <f>IFERROR(IF($V392="BRAND.com",HLOOKUP($X392&amp;$Z392,PLANNING_FC!$T$4:$AH$23,MATCH($W392,PLANNING_FC!$B$4:$B$23,0),FALSE),0),0)</f>
        <v>0</v>
      </c>
      <c r="AZ392" s="58">
        <f>IFERROR(IF($V392="BRAND.com",HLOOKUP($X392&amp;$Z392,PLANNING_FC!$DA$27:$DO$46,MATCH($W392,PLANNING_FC!$CZ$27:$CZ$46,0),FALSE),0),0)</f>
        <v>0</v>
      </c>
      <c r="BA392" s="58">
        <f>IFERROR(IF($V392="BRAND.com",HLOOKUP($X392&amp;$Z392,PLANNING_FC!$DA$4:$DO$23,MATCH($W392,PLANNING_FC!$CZ$4:$CZ$23,0),FALSE),0),0)</f>
        <v>0</v>
      </c>
      <c r="BB392" s="883" t="str">
        <f>IF(V392="BRAND.com",IFERROR(HLOOKUP(X392&amp;Z392,PLANNING_FC!$AK$4:$AY$23,MATCH(W392,PLANNING_FC!$AJ$4:$AJ$23,0),FALSE)*1000,""),"")</f>
        <v/>
      </c>
      <c r="BC392" s="883" t="str">
        <f>IF(V392="BRAND.com",IFERROR(HLOOKUP(X392&amp;Z392,PLANNING_FC!$AK$27:$AY$46,MATCH(W392,PLANNING_FC!$AJ$27:$AJ$46,0),FALSE)*1000,""),"")</f>
        <v/>
      </c>
    </row>
    <row r="393" spans="1:55" x14ac:dyDescent="0.25">
      <c r="A393" s="509"/>
      <c r="B393" s="509"/>
      <c r="C393" s="509"/>
      <c r="D393" s="509"/>
      <c r="E393" s="509"/>
      <c r="F393" s="509"/>
      <c r="G393" s="509"/>
      <c r="H393" s="509"/>
      <c r="I393" s="512"/>
      <c r="J393" s="513"/>
      <c r="K393" s="879"/>
      <c r="L393" s="515"/>
      <c r="M393" s="516"/>
      <c r="N393" s="56">
        <f t="shared" si="146"/>
        <v>0</v>
      </c>
      <c r="O393" s="57">
        <f t="shared" si="147"/>
        <v>0</v>
      </c>
      <c r="P393" s="57">
        <f ca="1">IFERROR(IF(ISBLANK(H393),SUMIFS($AC:$AC,$V:$V,V393,$W:$W,W393,$X:$X,X393,$Y:$Y,Y393)*J393/(1-J393)*VLOOKUP(_xlfn.CONCAT(C393,D393,E393,TIME!$M$12,Z393),HIS_SALES!$B$2:$W$4859,20,FALSE),AC393*J393/(1-J393)),0)</f>
        <v>0</v>
      </c>
      <c r="Q393" s="541" t="str">
        <f t="shared" si="148"/>
        <v/>
      </c>
      <c r="R393" s="346" t="str">
        <f t="shared" si="149"/>
        <v>00000</v>
      </c>
      <c r="S393" s="344">
        <f t="shared" si="150"/>
        <v>0</v>
      </c>
      <c r="T393" s="345" t="str">
        <f t="shared" si="163"/>
        <v>000</v>
      </c>
      <c r="U393" s="345">
        <f t="shared" si="151"/>
        <v>0</v>
      </c>
      <c r="V393" s="345">
        <f t="shared" si="152"/>
        <v>0</v>
      </c>
      <c r="W393" s="345">
        <f t="shared" si="153"/>
        <v>0</v>
      </c>
      <c r="X393" s="345">
        <f t="shared" si="154"/>
        <v>0</v>
      </c>
      <c r="Y393" s="345">
        <f t="shared" si="155"/>
        <v>0</v>
      </c>
      <c r="Z393" s="345">
        <f>IF(Q393&lt;&gt;"",VLOOKUP(Y393,TIME!$R$21:$V$24,MATCH(FC_DATA!Q393,TIME!$R$20:$V$20,0),FALSE),H393)</f>
        <v>0</v>
      </c>
      <c r="AA393" s="345" t="str">
        <f>IFERROR(VLOOKUP(X393&amp;Z393,TIME!$A$12:$D$71,4,FALSE),"")</f>
        <v/>
      </c>
      <c r="AB393" s="592">
        <f t="shared" ca="1" si="156"/>
        <v>0</v>
      </c>
      <c r="AC393" s="593" t="e">
        <f ca="1">IF(ISBLANK(H393)=FALSE,IF(D393="BRAND.com",I393,IF(ISNA(VLOOKUP(_xlfn.CONCAT(X393,Z393),TIME!$M$40:$M$42,1,FALSE)),I393,VLOOKUP(_xlfn.CONCAT(D393,G393,H393),M_BUSAREA_FC!$AF$5:$AJ$10,5,FALSE)*HLOOKUP(_xlfn.CONCAT(F393,H393),ST_OVERVIEW!$G$99:$I$130,MATCH(_xlfn.CONCAT(D393,E393),ST_OVERVIEW!$F$99:$F$130,0),FALSE))),IF(D393="BRAND.com",VLOOKUP(_xlfn.CONCAT(C393,D393,E393,TIME!$F$1,Z393),HIS_SALES!$B$2:$V$4859,19,FALSE)*I393,VLOOKUP(_xlfn.CONCAT(D393,F393,G393),Q_BUSAREA_FC!$AE$5:$AI$12,5,FALSE)*HLOOKUP(_xlfn.CONCAT(FC_DATA!F393,FC_DATA!G393),LT_OVERVIEW!$I$99:$M$130,MATCH(_xlfn.CONCAT(D393,FC_DATA!E393),LT_OVERVIEW!$H$99:$H$130,0),FALSE)*IFERROR(VLOOKUP(_xlfn.CONCAT(C393,D393,E393,TIME!$F$1,Z393),HIS_SALES!$B$2:$V$4859,19,FALSE),0)))</f>
        <v>#N/A</v>
      </c>
      <c r="AD393" s="341">
        <f t="shared" ca="1" si="157"/>
        <v>0</v>
      </c>
      <c r="AE393" s="363" t="str">
        <f t="shared" si="158"/>
        <v/>
      </c>
      <c r="AF393" s="342" t="str">
        <f t="shared" si="159"/>
        <v/>
      </c>
      <c r="AG393" s="411" t="e">
        <f ca="1">VLOOKUP(_xlfn.CONCAT(U393,V393,W393,VLOOKUP(X393&amp;Y393,TIME!$L$27:$O$34,4,FALSE),Y393),HIS_SALES!$A$2:$R$5093,18,FALSE)</f>
        <v>#N/A</v>
      </c>
      <c r="AH393" s="412" t="e">
        <f ca="1">IFERROR(IF(AND(V393=V392,W393=W392),0.5*(AB393+AB392)*AG393,(VLOOKUP(_xlfn.CONCAT(U393,V393,W393,X393,VLOOKUP(Z393,TIME!$S$28:$T$39,2,FALSE)),FC_DATA!$R$2:$AB$5000,MATCH("GS_I_M",FC_DATA!$R$1:$AB$1,0),FALSE)+FC_DATA!AB393)*0.5*FC_DATA!AG393),NA())</f>
        <v>#N/A</v>
      </c>
      <c r="AI393" s="491" t="e">
        <f ca="1">IF(V393="PARTNER.com",AH393,IF(AND(V393=V392,W393=W392),(1-AVERAGE(AD392,AD393))*AH393,(1-AVERAGE(AD393,VLOOKUP(_xlfn.CONCAT(U393,V393,W393,X393,M_BRAND_FC!$F$6),FC_DATA!$R$2:$AD$5000,MATCH("DISCOUNT_%_M",FC_DATA!$R$1:$AD$1,0),FALSE)))*AH393))</f>
        <v>#N/A</v>
      </c>
      <c r="AJ393" s="412" t="str">
        <f t="shared" ca="1" si="160"/>
        <v/>
      </c>
      <c r="AK393" s="413" t="str">
        <f>IFERROR(AE393/(Q_BRAND_FC!$T$24+1),"")</f>
        <v/>
      </c>
      <c r="AL393" s="88" t="str">
        <f t="shared" ca="1" si="161"/>
        <v/>
      </c>
      <c r="AM393" s="414" t="str">
        <f t="shared" ca="1" si="162"/>
        <v/>
      </c>
      <c r="AN393" s="58">
        <f>IFERROR(IF($V393="BRAND.com",HLOOKUP($X393&amp;$Z393,NWC_FC_NOOS!$C$4:$Q$23,MATCH(W393,NWC_FC_NOOS!$B$4:$B$23,0),FALSE),0),0)</f>
        <v>0</v>
      </c>
      <c r="AO393" s="57">
        <f>IFERROR(IF($V393="BRAND.com",HLOOKUP($X393&amp;$Z393,NWC_FC_NOOS!$T$4:$AH$23,MATCH(W393,NWC_FC_NOOS!$S$4:$S$23,0),FALSE),0),0)</f>
        <v>0</v>
      </c>
      <c r="AP393" s="57">
        <f>IFERROR(IF($V393="BRAND.com",HLOOKUP($X393&amp;$Z393,NWC_FC_NOOS!$C$50:$U$69,MATCH(W393,NWC_FC_NOOS!$B$50:$B$69,0),FALSE),0),0)</f>
        <v>0</v>
      </c>
      <c r="AQ393" s="58">
        <f>IFERROR(IF($V393="BRAND.com",HLOOKUP($X393&amp;$Z393,'NWC_FC_NON-NOOS'!$C$4:$Q$23,MATCH(W393,'NWC_FC_NON-NOOS'!$B$4:$B$23,0),FALSE),0),0)</f>
        <v>0</v>
      </c>
      <c r="AR393" s="57">
        <f>IFERROR(IF($V393="BRAND.com",HLOOKUP($X393&amp;$Z393,'NWC_FC_NON-NOOS'!$T$4:$AH$23,MATCH(W393,'NWC_FC_NON-NOOS'!$S$4:$S$23,0),FALSE),0),0)</f>
        <v>0</v>
      </c>
      <c r="AS393" s="57">
        <f>IFERROR(IF($V393="BRAND.com",HLOOKUP($X393&amp;$Z393,'NWC_FC_NON-NOOS'!$C$50:$U$69,MATCH(W393,'NWC_FC_NON-NOOS'!$B$50:$B$69,0),FALSE),0),0)</f>
        <v>0</v>
      </c>
      <c r="AT393" s="57">
        <f t="shared" si="164"/>
        <v>0</v>
      </c>
      <c r="AU393" s="57">
        <f t="shared" si="165"/>
        <v>0</v>
      </c>
      <c r="AV393" s="58">
        <f>IFERROR(IF($V393="BRAND.com",HLOOKUP($X393&amp;$Z393,PLANNING_FC!$BB$27:$BP$46,MATCH($W393,PLANNING_FC!$BA$27:$BA$46,0),FALSE),0),0)</f>
        <v>0</v>
      </c>
      <c r="AW393" s="58">
        <f>IFERROR(IF($V393="BRAND.com",HLOOKUP($X393&amp;$Z393,PLANNING_FC!$BB$4:$BP$23,MATCH($W393,PLANNING_FC!$BA$4:$BA$23,0),FALSE),0),0)</f>
        <v>0</v>
      </c>
      <c r="AX393" s="58">
        <f>IFERROR(IF($V393="BRAND.com",HLOOKUP($X393&amp;$Z393,PLANNING_FC!$T$27:$AH$46,MATCH($W393,PLANNING_FC!$B$27:$B$46,0),FALSE),0),0)</f>
        <v>0</v>
      </c>
      <c r="AY393" s="58">
        <f>IFERROR(IF($V393="BRAND.com",HLOOKUP($X393&amp;$Z393,PLANNING_FC!$T$4:$AH$23,MATCH($W393,PLANNING_FC!$B$4:$B$23,0),FALSE),0),0)</f>
        <v>0</v>
      </c>
      <c r="AZ393" s="58">
        <f>IFERROR(IF($V393="BRAND.com",HLOOKUP($X393&amp;$Z393,PLANNING_FC!$DA$27:$DO$46,MATCH($W393,PLANNING_FC!$CZ$27:$CZ$46,0),FALSE),0),0)</f>
        <v>0</v>
      </c>
      <c r="BA393" s="58">
        <f>IFERROR(IF($V393="BRAND.com",HLOOKUP($X393&amp;$Z393,PLANNING_FC!$DA$4:$DO$23,MATCH($W393,PLANNING_FC!$CZ$4:$CZ$23,0),FALSE),0),0)</f>
        <v>0</v>
      </c>
      <c r="BB393" s="883" t="str">
        <f>IF(V393="BRAND.com",IFERROR(HLOOKUP(X393&amp;Z393,PLANNING_FC!$AK$4:$AY$23,MATCH(W393,PLANNING_FC!$AJ$4:$AJ$23,0),FALSE)*1000,""),"")</f>
        <v/>
      </c>
      <c r="BC393" s="883" t="str">
        <f>IF(V393="BRAND.com",IFERROR(HLOOKUP(X393&amp;Z393,PLANNING_FC!$AK$27:$AY$46,MATCH(W393,PLANNING_FC!$AJ$27:$AJ$46,0),FALSE)*1000,""),"")</f>
        <v/>
      </c>
    </row>
    <row r="394" spans="1:55" x14ac:dyDescent="0.25">
      <c r="A394" s="509"/>
      <c r="B394" s="509"/>
      <c r="C394" s="509"/>
      <c r="D394" s="509"/>
      <c r="E394" s="509"/>
      <c r="F394" s="509"/>
      <c r="G394" s="509"/>
      <c r="H394" s="509"/>
      <c r="I394" s="512"/>
      <c r="J394" s="513"/>
      <c r="K394" s="879"/>
      <c r="L394" s="515"/>
      <c r="M394" s="516"/>
      <c r="N394" s="56">
        <f t="shared" si="146"/>
        <v>0</v>
      </c>
      <c r="O394" s="57">
        <f t="shared" si="147"/>
        <v>0</v>
      </c>
      <c r="P394" s="57">
        <f ca="1">IFERROR(IF(ISBLANK(H394),SUMIFS($AC:$AC,$V:$V,V394,$W:$W,W394,$X:$X,X394,$Y:$Y,Y394)*J394/(1-J394)*VLOOKUP(_xlfn.CONCAT(C394,D394,E394,TIME!$M$12,Z394),HIS_SALES!$B$2:$W$4859,20,FALSE),AC394*J394/(1-J394)),0)</f>
        <v>0</v>
      </c>
      <c r="Q394" s="541" t="str">
        <f t="shared" si="148"/>
        <v/>
      </c>
      <c r="R394" s="346" t="str">
        <f t="shared" si="149"/>
        <v>00000</v>
      </c>
      <c r="S394" s="344">
        <f t="shared" si="150"/>
        <v>0</v>
      </c>
      <c r="T394" s="345" t="str">
        <f t="shared" si="163"/>
        <v>000</v>
      </c>
      <c r="U394" s="345">
        <f t="shared" si="151"/>
        <v>0</v>
      </c>
      <c r="V394" s="345">
        <f t="shared" si="152"/>
        <v>0</v>
      </c>
      <c r="W394" s="345">
        <f t="shared" si="153"/>
        <v>0</v>
      </c>
      <c r="X394" s="345">
        <f t="shared" si="154"/>
        <v>0</v>
      </c>
      <c r="Y394" s="345">
        <f t="shared" si="155"/>
        <v>0</v>
      </c>
      <c r="Z394" s="345">
        <f>IF(Q394&lt;&gt;"",VLOOKUP(Y394,TIME!$R$21:$V$24,MATCH(FC_DATA!Q394,TIME!$R$20:$V$20,0),FALSE),H394)</f>
        <v>0</v>
      </c>
      <c r="AA394" s="345" t="str">
        <f>IFERROR(VLOOKUP(X394&amp;Z394,TIME!$A$12:$D$71,4,FALSE),"")</f>
        <v/>
      </c>
      <c r="AB394" s="592">
        <f t="shared" ca="1" si="156"/>
        <v>0</v>
      </c>
      <c r="AC394" s="593" t="e">
        <f ca="1">IF(ISBLANK(H394)=FALSE,IF(D394="BRAND.com",I394,IF(ISNA(VLOOKUP(_xlfn.CONCAT(X394,Z394),TIME!$M$40:$M$42,1,FALSE)),I394,VLOOKUP(_xlfn.CONCAT(D394,G394,H394),M_BUSAREA_FC!$AF$5:$AJ$10,5,FALSE)*HLOOKUP(_xlfn.CONCAT(F394,H394),ST_OVERVIEW!$G$99:$I$130,MATCH(_xlfn.CONCAT(D394,E394),ST_OVERVIEW!$F$99:$F$130,0),FALSE))),IF(D394="BRAND.com",VLOOKUP(_xlfn.CONCAT(C394,D394,E394,TIME!$F$1,Z394),HIS_SALES!$B$2:$V$4859,19,FALSE)*I394,VLOOKUP(_xlfn.CONCAT(D394,F394,G394),Q_BUSAREA_FC!$AE$5:$AI$12,5,FALSE)*HLOOKUP(_xlfn.CONCAT(FC_DATA!F394,FC_DATA!G394),LT_OVERVIEW!$I$99:$M$130,MATCH(_xlfn.CONCAT(D394,FC_DATA!E394),LT_OVERVIEW!$H$99:$H$130,0),FALSE)*IFERROR(VLOOKUP(_xlfn.CONCAT(C394,D394,E394,TIME!$F$1,Z394),HIS_SALES!$B$2:$V$4859,19,FALSE),0)))</f>
        <v>#N/A</v>
      </c>
      <c r="AD394" s="341">
        <f t="shared" ca="1" si="157"/>
        <v>0</v>
      </c>
      <c r="AE394" s="363" t="str">
        <f t="shared" si="158"/>
        <v/>
      </c>
      <c r="AF394" s="342" t="str">
        <f t="shared" si="159"/>
        <v/>
      </c>
      <c r="AG394" s="411" t="e">
        <f ca="1">VLOOKUP(_xlfn.CONCAT(U394,V394,W394,VLOOKUP(X394&amp;Y394,TIME!$L$27:$O$34,4,FALSE),Y394),HIS_SALES!$A$2:$R$5093,18,FALSE)</f>
        <v>#N/A</v>
      </c>
      <c r="AH394" s="412" t="e">
        <f ca="1">IFERROR(IF(AND(V394=V393,W394=W393),0.5*(AB394+AB393)*AG394,(VLOOKUP(_xlfn.CONCAT(U394,V394,W394,X394,VLOOKUP(Z394,TIME!$S$28:$T$39,2,FALSE)),FC_DATA!$R$2:$AB$5000,MATCH("GS_I_M",FC_DATA!$R$1:$AB$1,0),FALSE)+FC_DATA!AB394)*0.5*FC_DATA!AG394),NA())</f>
        <v>#N/A</v>
      </c>
      <c r="AI394" s="491" t="e">
        <f ca="1">IF(V394="PARTNER.com",AH394,IF(AND(V394=V393,W394=W393),(1-AVERAGE(AD393,AD394))*AH394,(1-AVERAGE(AD394,VLOOKUP(_xlfn.CONCAT(U394,V394,W394,X394,M_BRAND_FC!$F$6),FC_DATA!$R$2:$AD$5000,MATCH("DISCOUNT_%_M",FC_DATA!$R$1:$AD$1,0),FALSE)))*AH394))</f>
        <v>#N/A</v>
      </c>
      <c r="AJ394" s="412" t="str">
        <f t="shared" ca="1" si="160"/>
        <v/>
      </c>
      <c r="AK394" s="413" t="str">
        <f>IFERROR(AE394/(Q_BRAND_FC!$T$24+1),"")</f>
        <v/>
      </c>
      <c r="AL394" s="88" t="str">
        <f t="shared" ca="1" si="161"/>
        <v/>
      </c>
      <c r="AM394" s="414" t="str">
        <f t="shared" ca="1" si="162"/>
        <v/>
      </c>
      <c r="AN394" s="58">
        <f>IFERROR(IF($V394="BRAND.com",HLOOKUP($X394&amp;$Z394,NWC_FC_NOOS!$C$4:$Q$23,MATCH(W394,NWC_FC_NOOS!$B$4:$B$23,0),FALSE),0),0)</f>
        <v>0</v>
      </c>
      <c r="AO394" s="57">
        <f>IFERROR(IF($V394="BRAND.com",HLOOKUP($X394&amp;$Z394,NWC_FC_NOOS!$T$4:$AH$23,MATCH(W394,NWC_FC_NOOS!$S$4:$S$23,0),FALSE),0),0)</f>
        <v>0</v>
      </c>
      <c r="AP394" s="57">
        <f>IFERROR(IF($V394="BRAND.com",HLOOKUP($X394&amp;$Z394,NWC_FC_NOOS!$C$50:$U$69,MATCH(W394,NWC_FC_NOOS!$B$50:$B$69,0),FALSE),0),0)</f>
        <v>0</v>
      </c>
      <c r="AQ394" s="58">
        <f>IFERROR(IF($V394="BRAND.com",HLOOKUP($X394&amp;$Z394,'NWC_FC_NON-NOOS'!$C$4:$Q$23,MATCH(W394,'NWC_FC_NON-NOOS'!$B$4:$B$23,0),FALSE),0),0)</f>
        <v>0</v>
      </c>
      <c r="AR394" s="57">
        <f>IFERROR(IF($V394="BRAND.com",HLOOKUP($X394&amp;$Z394,'NWC_FC_NON-NOOS'!$T$4:$AH$23,MATCH(W394,'NWC_FC_NON-NOOS'!$S$4:$S$23,0),FALSE),0),0)</f>
        <v>0</v>
      </c>
      <c r="AS394" s="57">
        <f>IFERROR(IF($V394="BRAND.com",HLOOKUP($X394&amp;$Z394,'NWC_FC_NON-NOOS'!$C$50:$U$69,MATCH(W394,'NWC_FC_NON-NOOS'!$B$50:$B$69,0),FALSE),0),0)</f>
        <v>0</v>
      </c>
      <c r="AT394" s="57">
        <f t="shared" si="164"/>
        <v>0</v>
      </c>
      <c r="AU394" s="57">
        <f t="shared" si="165"/>
        <v>0</v>
      </c>
      <c r="AV394" s="58">
        <f>IFERROR(IF($V394="BRAND.com",HLOOKUP($X394&amp;$Z394,PLANNING_FC!$BB$27:$BP$46,MATCH($W394,PLANNING_FC!$BA$27:$BA$46,0),FALSE),0),0)</f>
        <v>0</v>
      </c>
      <c r="AW394" s="58">
        <f>IFERROR(IF($V394="BRAND.com",HLOOKUP($X394&amp;$Z394,PLANNING_FC!$BB$4:$BP$23,MATCH($W394,PLANNING_FC!$BA$4:$BA$23,0),FALSE),0),0)</f>
        <v>0</v>
      </c>
      <c r="AX394" s="58">
        <f>IFERROR(IF($V394="BRAND.com",HLOOKUP($X394&amp;$Z394,PLANNING_FC!$T$27:$AH$46,MATCH($W394,PLANNING_FC!$B$27:$B$46,0),FALSE),0),0)</f>
        <v>0</v>
      </c>
      <c r="AY394" s="58">
        <f>IFERROR(IF($V394="BRAND.com",HLOOKUP($X394&amp;$Z394,PLANNING_FC!$T$4:$AH$23,MATCH($W394,PLANNING_FC!$B$4:$B$23,0),FALSE),0),0)</f>
        <v>0</v>
      </c>
      <c r="AZ394" s="58">
        <f>IFERROR(IF($V394="BRAND.com",HLOOKUP($X394&amp;$Z394,PLANNING_FC!$DA$27:$DO$46,MATCH($W394,PLANNING_FC!$CZ$27:$CZ$46,0),FALSE),0),0)</f>
        <v>0</v>
      </c>
      <c r="BA394" s="58">
        <f>IFERROR(IF($V394="BRAND.com",HLOOKUP($X394&amp;$Z394,PLANNING_FC!$DA$4:$DO$23,MATCH($W394,PLANNING_FC!$CZ$4:$CZ$23,0),FALSE),0),0)</f>
        <v>0</v>
      </c>
      <c r="BB394" s="883" t="str">
        <f>IF(V394="BRAND.com",IFERROR(HLOOKUP(X394&amp;Z394,PLANNING_FC!$AK$4:$AY$23,MATCH(W394,PLANNING_FC!$AJ$4:$AJ$23,0),FALSE)*1000,""),"")</f>
        <v/>
      </c>
      <c r="BC394" s="883" t="str">
        <f>IF(V394="BRAND.com",IFERROR(HLOOKUP(X394&amp;Z394,PLANNING_FC!$AK$27:$AY$46,MATCH(W394,PLANNING_FC!$AJ$27:$AJ$46,0),FALSE)*1000,""),"")</f>
        <v/>
      </c>
    </row>
    <row r="395" spans="1:55" x14ac:dyDescent="0.25">
      <c r="A395" s="509"/>
      <c r="B395" s="509"/>
      <c r="C395" s="509"/>
      <c r="D395" s="509"/>
      <c r="E395" s="509"/>
      <c r="F395" s="509"/>
      <c r="G395" s="509"/>
      <c r="H395" s="509"/>
      <c r="I395" s="512"/>
      <c r="J395" s="513"/>
      <c r="K395" s="879"/>
      <c r="L395" s="515"/>
      <c r="M395" s="516"/>
      <c r="N395" s="56">
        <f t="shared" si="146"/>
        <v>0</v>
      </c>
      <c r="O395" s="57">
        <f t="shared" si="147"/>
        <v>0</v>
      </c>
      <c r="P395" s="57">
        <f ca="1">IFERROR(IF(ISBLANK(H395),SUMIFS($AC:$AC,$V:$V,V395,$W:$W,W395,$X:$X,X395,$Y:$Y,Y395)*J395/(1-J395)*VLOOKUP(_xlfn.CONCAT(C395,D395,E395,TIME!$M$12,Z395),HIS_SALES!$B$2:$W$4859,20,FALSE),AC395*J395/(1-J395)),0)</f>
        <v>0</v>
      </c>
      <c r="Q395" s="541" t="str">
        <f t="shared" si="148"/>
        <v/>
      </c>
      <c r="R395" s="346" t="str">
        <f t="shared" si="149"/>
        <v>00000</v>
      </c>
      <c r="S395" s="344">
        <f t="shared" si="150"/>
        <v>0</v>
      </c>
      <c r="T395" s="345" t="str">
        <f t="shared" si="163"/>
        <v>000</v>
      </c>
      <c r="U395" s="345">
        <f t="shared" si="151"/>
        <v>0</v>
      </c>
      <c r="V395" s="345">
        <f t="shared" si="152"/>
        <v>0</v>
      </c>
      <c r="W395" s="345">
        <f t="shared" si="153"/>
        <v>0</v>
      </c>
      <c r="X395" s="345">
        <f t="shared" si="154"/>
        <v>0</v>
      </c>
      <c r="Y395" s="345">
        <f t="shared" si="155"/>
        <v>0</v>
      </c>
      <c r="Z395" s="345">
        <f>IF(Q395&lt;&gt;"",VLOOKUP(Y395,TIME!$R$21:$V$24,MATCH(FC_DATA!Q395,TIME!$R$20:$V$20,0),FALSE),H395)</f>
        <v>0</v>
      </c>
      <c r="AA395" s="345" t="str">
        <f>IFERROR(VLOOKUP(X395&amp;Z395,TIME!$A$12:$D$71,4,FALSE),"")</f>
        <v/>
      </c>
      <c r="AB395" s="592">
        <f t="shared" ca="1" si="156"/>
        <v>0</v>
      </c>
      <c r="AC395" s="593" t="e">
        <f ca="1">IF(ISBLANK(H395)=FALSE,IF(D395="BRAND.com",I395,IF(ISNA(VLOOKUP(_xlfn.CONCAT(X395,Z395),TIME!$M$40:$M$42,1,FALSE)),I395,VLOOKUP(_xlfn.CONCAT(D395,G395,H395),M_BUSAREA_FC!$AF$5:$AJ$10,5,FALSE)*HLOOKUP(_xlfn.CONCAT(F395,H395),ST_OVERVIEW!$G$99:$I$130,MATCH(_xlfn.CONCAT(D395,E395),ST_OVERVIEW!$F$99:$F$130,0),FALSE))),IF(D395="BRAND.com",VLOOKUP(_xlfn.CONCAT(C395,D395,E395,TIME!$F$1,Z395),HIS_SALES!$B$2:$V$4859,19,FALSE)*I395,VLOOKUP(_xlfn.CONCAT(D395,F395,G395),Q_BUSAREA_FC!$AE$5:$AI$12,5,FALSE)*HLOOKUP(_xlfn.CONCAT(FC_DATA!F395,FC_DATA!G395),LT_OVERVIEW!$I$99:$M$130,MATCH(_xlfn.CONCAT(D395,FC_DATA!E395),LT_OVERVIEW!$H$99:$H$130,0),FALSE)*IFERROR(VLOOKUP(_xlfn.CONCAT(C395,D395,E395,TIME!$F$1,Z395),HIS_SALES!$B$2:$V$4859,19,FALSE),0)))</f>
        <v>#N/A</v>
      </c>
      <c r="AD395" s="341">
        <f t="shared" ca="1" si="157"/>
        <v>0</v>
      </c>
      <c r="AE395" s="363" t="str">
        <f t="shared" si="158"/>
        <v/>
      </c>
      <c r="AF395" s="342" t="str">
        <f t="shared" si="159"/>
        <v/>
      </c>
      <c r="AG395" s="411" t="e">
        <f ca="1">VLOOKUP(_xlfn.CONCAT(U395,V395,W395,VLOOKUP(X395&amp;Y395,TIME!$L$27:$O$34,4,FALSE),Y395),HIS_SALES!$A$2:$R$5093,18,FALSE)</f>
        <v>#N/A</v>
      </c>
      <c r="AH395" s="412" t="e">
        <f ca="1">IFERROR(IF(AND(V395=V394,W395=W394),0.5*(AB395+AB394)*AG395,(VLOOKUP(_xlfn.CONCAT(U395,V395,W395,X395,VLOOKUP(Z395,TIME!$S$28:$T$39,2,FALSE)),FC_DATA!$R$2:$AB$5000,MATCH("GS_I_M",FC_DATA!$R$1:$AB$1,0),FALSE)+FC_DATA!AB395)*0.5*FC_DATA!AG395),NA())</f>
        <v>#N/A</v>
      </c>
      <c r="AI395" s="491" t="e">
        <f ca="1">IF(V395="PARTNER.com",AH395,IF(AND(V395=V394,W395=W394),(1-AVERAGE(AD394,AD395))*AH395,(1-AVERAGE(AD395,VLOOKUP(_xlfn.CONCAT(U395,V395,W395,X395,M_BRAND_FC!$F$6),FC_DATA!$R$2:$AD$5000,MATCH("DISCOUNT_%_M",FC_DATA!$R$1:$AD$1,0),FALSE)))*AH395))</f>
        <v>#N/A</v>
      </c>
      <c r="AJ395" s="412" t="str">
        <f t="shared" ca="1" si="160"/>
        <v/>
      </c>
      <c r="AK395" s="413" t="str">
        <f>IFERROR(AE395/(Q_BRAND_FC!$T$24+1),"")</f>
        <v/>
      </c>
      <c r="AL395" s="88" t="str">
        <f t="shared" ca="1" si="161"/>
        <v/>
      </c>
      <c r="AM395" s="414" t="str">
        <f t="shared" ca="1" si="162"/>
        <v/>
      </c>
      <c r="AN395" s="58">
        <f>IFERROR(IF($V395="BRAND.com",HLOOKUP($X395&amp;$Z395,NWC_FC_NOOS!$C$4:$Q$23,MATCH(W395,NWC_FC_NOOS!$B$4:$B$23,0),FALSE),0),0)</f>
        <v>0</v>
      </c>
      <c r="AO395" s="57">
        <f>IFERROR(IF($V395="BRAND.com",HLOOKUP($X395&amp;$Z395,NWC_FC_NOOS!$T$4:$AH$23,MATCH(W395,NWC_FC_NOOS!$S$4:$S$23,0),FALSE),0),0)</f>
        <v>0</v>
      </c>
      <c r="AP395" s="57">
        <f>IFERROR(IF($V395="BRAND.com",HLOOKUP($X395&amp;$Z395,NWC_FC_NOOS!$C$50:$U$69,MATCH(W395,NWC_FC_NOOS!$B$50:$B$69,0),FALSE),0),0)</f>
        <v>0</v>
      </c>
      <c r="AQ395" s="58">
        <f>IFERROR(IF($V395="BRAND.com",HLOOKUP($X395&amp;$Z395,'NWC_FC_NON-NOOS'!$C$4:$Q$23,MATCH(W395,'NWC_FC_NON-NOOS'!$B$4:$B$23,0),FALSE),0),0)</f>
        <v>0</v>
      </c>
      <c r="AR395" s="57">
        <f>IFERROR(IF($V395="BRAND.com",HLOOKUP($X395&amp;$Z395,'NWC_FC_NON-NOOS'!$T$4:$AH$23,MATCH(W395,'NWC_FC_NON-NOOS'!$S$4:$S$23,0),FALSE),0),0)</f>
        <v>0</v>
      </c>
      <c r="AS395" s="57">
        <f>IFERROR(IF($V395="BRAND.com",HLOOKUP($X395&amp;$Z395,'NWC_FC_NON-NOOS'!$C$50:$U$69,MATCH(W395,'NWC_FC_NON-NOOS'!$B$50:$B$69,0),FALSE),0),0)</f>
        <v>0</v>
      </c>
      <c r="AT395" s="57">
        <f t="shared" si="164"/>
        <v>0</v>
      </c>
      <c r="AU395" s="57">
        <f t="shared" si="165"/>
        <v>0</v>
      </c>
      <c r="AV395" s="58">
        <f>IFERROR(IF($V395="BRAND.com",HLOOKUP($X395&amp;$Z395,PLANNING_FC!$BB$27:$BP$46,MATCH($W395,PLANNING_FC!$BA$27:$BA$46,0),FALSE),0),0)</f>
        <v>0</v>
      </c>
      <c r="AW395" s="58">
        <f>IFERROR(IF($V395="BRAND.com",HLOOKUP($X395&amp;$Z395,PLANNING_FC!$BB$4:$BP$23,MATCH($W395,PLANNING_FC!$BA$4:$BA$23,0),FALSE),0),0)</f>
        <v>0</v>
      </c>
      <c r="AX395" s="58">
        <f>IFERROR(IF($V395="BRAND.com",HLOOKUP($X395&amp;$Z395,PLANNING_FC!$T$27:$AH$46,MATCH($W395,PLANNING_FC!$B$27:$B$46,0),FALSE),0),0)</f>
        <v>0</v>
      </c>
      <c r="AY395" s="58">
        <f>IFERROR(IF($V395="BRAND.com",HLOOKUP($X395&amp;$Z395,PLANNING_FC!$T$4:$AH$23,MATCH($W395,PLANNING_FC!$B$4:$B$23,0),FALSE),0),0)</f>
        <v>0</v>
      </c>
      <c r="AZ395" s="58">
        <f>IFERROR(IF($V395="BRAND.com",HLOOKUP($X395&amp;$Z395,PLANNING_FC!$DA$27:$DO$46,MATCH($W395,PLANNING_FC!$CZ$27:$CZ$46,0),FALSE),0),0)</f>
        <v>0</v>
      </c>
      <c r="BA395" s="58">
        <f>IFERROR(IF($V395="BRAND.com",HLOOKUP($X395&amp;$Z395,PLANNING_FC!$DA$4:$DO$23,MATCH($W395,PLANNING_FC!$CZ$4:$CZ$23,0),FALSE),0),0)</f>
        <v>0</v>
      </c>
      <c r="BB395" s="883" t="str">
        <f>IF(V395="BRAND.com",IFERROR(HLOOKUP(X395&amp;Z395,PLANNING_FC!$AK$4:$AY$23,MATCH(W395,PLANNING_FC!$AJ$4:$AJ$23,0),FALSE)*1000,""),"")</f>
        <v/>
      </c>
      <c r="BC395" s="883" t="str">
        <f>IF(V395="BRAND.com",IFERROR(HLOOKUP(X395&amp;Z395,PLANNING_FC!$AK$27:$AY$46,MATCH(W395,PLANNING_FC!$AJ$27:$AJ$46,0),FALSE)*1000,""),"")</f>
        <v/>
      </c>
    </row>
    <row r="396" spans="1:55" x14ac:dyDescent="0.25">
      <c r="A396" s="509"/>
      <c r="B396" s="509"/>
      <c r="C396" s="509"/>
      <c r="D396" s="509"/>
      <c r="E396" s="509"/>
      <c r="F396" s="509"/>
      <c r="G396" s="509"/>
      <c r="H396" s="509"/>
      <c r="I396" s="512"/>
      <c r="J396" s="513"/>
      <c r="K396" s="879"/>
      <c r="L396" s="515"/>
      <c r="M396" s="516"/>
      <c r="N396" s="56">
        <f t="shared" si="146"/>
        <v>0</v>
      </c>
      <c r="O396" s="57">
        <f t="shared" si="147"/>
        <v>0</v>
      </c>
      <c r="P396" s="57">
        <f ca="1">IFERROR(IF(ISBLANK(H396),SUMIFS($AC:$AC,$V:$V,V396,$W:$W,W396,$X:$X,X396,$Y:$Y,Y396)*J396/(1-J396)*VLOOKUP(_xlfn.CONCAT(C396,D396,E396,TIME!$M$12,Z396),HIS_SALES!$B$2:$W$4859,20,FALSE),AC396*J396/(1-J396)),0)</f>
        <v>0</v>
      </c>
      <c r="Q396" s="541" t="str">
        <f t="shared" si="148"/>
        <v/>
      </c>
      <c r="R396" s="346" t="str">
        <f t="shared" si="149"/>
        <v>00000</v>
      </c>
      <c r="S396" s="344">
        <f t="shared" si="150"/>
        <v>0</v>
      </c>
      <c r="T396" s="345" t="str">
        <f t="shared" si="163"/>
        <v>000</v>
      </c>
      <c r="U396" s="345">
        <f t="shared" si="151"/>
        <v>0</v>
      </c>
      <c r="V396" s="345">
        <f t="shared" si="152"/>
        <v>0</v>
      </c>
      <c r="W396" s="345">
        <f t="shared" si="153"/>
        <v>0</v>
      </c>
      <c r="X396" s="345">
        <f t="shared" si="154"/>
        <v>0</v>
      </c>
      <c r="Y396" s="345">
        <f t="shared" si="155"/>
        <v>0</v>
      </c>
      <c r="Z396" s="345">
        <f>IF(Q396&lt;&gt;"",VLOOKUP(Y396,TIME!$R$21:$V$24,MATCH(FC_DATA!Q396,TIME!$R$20:$V$20,0),FALSE),H396)</f>
        <v>0</v>
      </c>
      <c r="AA396" s="345" t="str">
        <f>IFERROR(VLOOKUP(X396&amp;Z396,TIME!$A$12:$D$71,4,FALSE),"")</f>
        <v/>
      </c>
      <c r="AB396" s="592">
        <f t="shared" ca="1" si="156"/>
        <v>0</v>
      </c>
      <c r="AC396" s="593" t="e">
        <f ca="1">IF(ISBLANK(H396)=FALSE,IF(D396="BRAND.com",I396,IF(ISNA(VLOOKUP(_xlfn.CONCAT(X396,Z396),TIME!$M$40:$M$42,1,FALSE)),I396,VLOOKUP(_xlfn.CONCAT(D396,G396,H396),M_BUSAREA_FC!$AF$5:$AJ$10,5,FALSE)*HLOOKUP(_xlfn.CONCAT(F396,H396),ST_OVERVIEW!$G$99:$I$130,MATCH(_xlfn.CONCAT(D396,E396),ST_OVERVIEW!$F$99:$F$130,0),FALSE))),IF(D396="BRAND.com",VLOOKUP(_xlfn.CONCAT(C396,D396,E396,TIME!$F$1,Z396),HIS_SALES!$B$2:$V$4859,19,FALSE)*I396,VLOOKUP(_xlfn.CONCAT(D396,F396,G396),Q_BUSAREA_FC!$AE$5:$AI$12,5,FALSE)*HLOOKUP(_xlfn.CONCAT(FC_DATA!F396,FC_DATA!G396),LT_OVERVIEW!$I$99:$M$130,MATCH(_xlfn.CONCAT(D396,FC_DATA!E396),LT_OVERVIEW!$H$99:$H$130,0),FALSE)*IFERROR(VLOOKUP(_xlfn.CONCAT(C396,D396,E396,TIME!$F$1,Z396),HIS_SALES!$B$2:$V$4859,19,FALSE),0)))</f>
        <v>#N/A</v>
      </c>
      <c r="AD396" s="341">
        <f t="shared" ca="1" si="157"/>
        <v>0</v>
      </c>
      <c r="AE396" s="363" t="str">
        <f t="shared" si="158"/>
        <v/>
      </c>
      <c r="AF396" s="342" t="str">
        <f t="shared" si="159"/>
        <v/>
      </c>
      <c r="AG396" s="411" t="e">
        <f ca="1">VLOOKUP(_xlfn.CONCAT(U396,V396,W396,VLOOKUP(X396&amp;Y396,TIME!$L$27:$O$34,4,FALSE),Y396),HIS_SALES!$A$2:$R$5093,18,FALSE)</f>
        <v>#N/A</v>
      </c>
      <c r="AH396" s="412" t="e">
        <f ca="1">IFERROR(IF(AND(V396=V395,W396=W395),0.5*(AB396+AB395)*AG396,(VLOOKUP(_xlfn.CONCAT(U396,V396,W396,X396,VLOOKUP(Z396,TIME!$S$28:$T$39,2,FALSE)),FC_DATA!$R$2:$AB$5000,MATCH("GS_I_M",FC_DATA!$R$1:$AB$1,0),FALSE)+FC_DATA!AB396)*0.5*FC_DATA!AG396),NA())</f>
        <v>#N/A</v>
      </c>
      <c r="AI396" s="491" t="e">
        <f ca="1">IF(V396="PARTNER.com",AH396,IF(AND(V396=V395,W396=W395),(1-AVERAGE(AD395,AD396))*AH396,(1-AVERAGE(AD396,VLOOKUP(_xlfn.CONCAT(U396,V396,W396,X396,M_BRAND_FC!$F$6),FC_DATA!$R$2:$AD$5000,MATCH("DISCOUNT_%_M",FC_DATA!$R$1:$AD$1,0),FALSE)))*AH396))</f>
        <v>#N/A</v>
      </c>
      <c r="AJ396" s="412" t="str">
        <f t="shared" ca="1" si="160"/>
        <v/>
      </c>
      <c r="AK396" s="413" t="str">
        <f>IFERROR(AE396/(Q_BRAND_FC!$T$24+1),"")</f>
        <v/>
      </c>
      <c r="AL396" s="88" t="str">
        <f t="shared" ca="1" si="161"/>
        <v/>
      </c>
      <c r="AM396" s="414" t="str">
        <f t="shared" ca="1" si="162"/>
        <v/>
      </c>
      <c r="AN396" s="58">
        <f>IFERROR(IF($V396="BRAND.com",HLOOKUP($X396&amp;$Z396,NWC_FC_NOOS!$C$4:$Q$23,MATCH(W396,NWC_FC_NOOS!$B$4:$B$23,0),FALSE),0),0)</f>
        <v>0</v>
      </c>
      <c r="AO396" s="57">
        <f>IFERROR(IF($V396="BRAND.com",HLOOKUP($X396&amp;$Z396,NWC_FC_NOOS!$T$4:$AH$23,MATCH(W396,NWC_FC_NOOS!$S$4:$S$23,0),FALSE),0),0)</f>
        <v>0</v>
      </c>
      <c r="AP396" s="57">
        <f>IFERROR(IF($V396="BRAND.com",HLOOKUP($X396&amp;$Z396,NWC_FC_NOOS!$C$50:$U$69,MATCH(W396,NWC_FC_NOOS!$B$50:$B$69,0),FALSE),0),0)</f>
        <v>0</v>
      </c>
      <c r="AQ396" s="58">
        <f>IFERROR(IF($V396="BRAND.com",HLOOKUP($X396&amp;$Z396,'NWC_FC_NON-NOOS'!$C$4:$Q$23,MATCH(W396,'NWC_FC_NON-NOOS'!$B$4:$B$23,0),FALSE),0),0)</f>
        <v>0</v>
      </c>
      <c r="AR396" s="57">
        <f>IFERROR(IF($V396="BRAND.com",HLOOKUP($X396&amp;$Z396,'NWC_FC_NON-NOOS'!$T$4:$AH$23,MATCH(W396,'NWC_FC_NON-NOOS'!$S$4:$S$23,0),FALSE),0),0)</f>
        <v>0</v>
      </c>
      <c r="AS396" s="57">
        <f>IFERROR(IF($V396="BRAND.com",HLOOKUP($X396&amp;$Z396,'NWC_FC_NON-NOOS'!$C$50:$U$69,MATCH(W396,'NWC_FC_NON-NOOS'!$B$50:$B$69,0),FALSE),0),0)</f>
        <v>0</v>
      </c>
      <c r="AT396" s="57">
        <f t="shared" si="164"/>
        <v>0</v>
      </c>
      <c r="AU396" s="57">
        <f t="shared" si="165"/>
        <v>0</v>
      </c>
      <c r="AV396" s="58">
        <f>IFERROR(IF($V396="BRAND.com",HLOOKUP($X396&amp;$Z396,PLANNING_FC!$BB$27:$BP$46,MATCH($W396,PLANNING_FC!$BA$27:$BA$46,0),FALSE),0),0)</f>
        <v>0</v>
      </c>
      <c r="AW396" s="58">
        <f>IFERROR(IF($V396="BRAND.com",HLOOKUP($X396&amp;$Z396,PLANNING_FC!$BB$4:$BP$23,MATCH($W396,PLANNING_FC!$BA$4:$BA$23,0),FALSE),0),0)</f>
        <v>0</v>
      </c>
      <c r="AX396" s="58">
        <f>IFERROR(IF($V396="BRAND.com",HLOOKUP($X396&amp;$Z396,PLANNING_FC!$T$27:$AH$46,MATCH($W396,PLANNING_FC!$B$27:$B$46,0),FALSE),0),0)</f>
        <v>0</v>
      </c>
      <c r="AY396" s="58">
        <f>IFERROR(IF($V396="BRAND.com",HLOOKUP($X396&amp;$Z396,PLANNING_FC!$T$4:$AH$23,MATCH($W396,PLANNING_FC!$B$4:$B$23,0),FALSE),0),0)</f>
        <v>0</v>
      </c>
      <c r="AZ396" s="58">
        <f>IFERROR(IF($V396="BRAND.com",HLOOKUP($X396&amp;$Z396,PLANNING_FC!$DA$27:$DO$46,MATCH($W396,PLANNING_FC!$CZ$27:$CZ$46,0),FALSE),0),0)</f>
        <v>0</v>
      </c>
      <c r="BA396" s="58">
        <f>IFERROR(IF($V396="BRAND.com",HLOOKUP($X396&amp;$Z396,PLANNING_FC!$DA$4:$DO$23,MATCH($W396,PLANNING_FC!$CZ$4:$CZ$23,0),FALSE),0),0)</f>
        <v>0</v>
      </c>
      <c r="BB396" s="883" t="str">
        <f>IF(V396="BRAND.com",IFERROR(HLOOKUP(X396&amp;Z396,PLANNING_FC!$AK$4:$AY$23,MATCH(W396,PLANNING_FC!$AJ$4:$AJ$23,0),FALSE)*1000,""),"")</f>
        <v/>
      </c>
      <c r="BC396" s="883" t="str">
        <f>IF(V396="BRAND.com",IFERROR(HLOOKUP(X396&amp;Z396,PLANNING_FC!$AK$27:$AY$46,MATCH(W396,PLANNING_FC!$AJ$27:$AJ$46,0),FALSE)*1000,""),"")</f>
        <v/>
      </c>
    </row>
    <row r="397" spans="1:55" x14ac:dyDescent="0.25">
      <c r="A397" s="509"/>
      <c r="B397" s="509"/>
      <c r="C397" s="509"/>
      <c r="D397" s="509"/>
      <c r="E397" s="509"/>
      <c r="F397" s="509"/>
      <c r="G397" s="509"/>
      <c r="H397" s="509"/>
      <c r="I397" s="512"/>
      <c r="J397" s="513"/>
      <c r="K397" s="879"/>
      <c r="L397" s="515"/>
      <c r="M397" s="516"/>
      <c r="N397" s="56">
        <f t="shared" si="146"/>
        <v>0</v>
      </c>
      <c r="O397" s="57">
        <f t="shared" si="147"/>
        <v>0</v>
      </c>
      <c r="P397" s="57">
        <f ca="1">IFERROR(IF(ISBLANK(H397),SUMIFS($AC:$AC,$V:$V,V397,$W:$W,W397,$X:$X,X397,$Y:$Y,Y397)*J397/(1-J397)*VLOOKUP(_xlfn.CONCAT(C397,D397,E397,TIME!$M$12,Z397),HIS_SALES!$B$2:$W$4859,20,FALSE),AC397*J397/(1-J397)),0)</f>
        <v>0</v>
      </c>
      <c r="Q397" s="541" t="str">
        <f t="shared" si="148"/>
        <v/>
      </c>
      <c r="R397" s="346" t="str">
        <f t="shared" si="149"/>
        <v>00000</v>
      </c>
      <c r="S397" s="344">
        <f t="shared" si="150"/>
        <v>0</v>
      </c>
      <c r="T397" s="345" t="str">
        <f t="shared" si="163"/>
        <v>000</v>
      </c>
      <c r="U397" s="345">
        <f t="shared" si="151"/>
        <v>0</v>
      </c>
      <c r="V397" s="345">
        <f t="shared" si="152"/>
        <v>0</v>
      </c>
      <c r="W397" s="345">
        <f t="shared" si="153"/>
        <v>0</v>
      </c>
      <c r="X397" s="345">
        <f t="shared" si="154"/>
        <v>0</v>
      </c>
      <c r="Y397" s="345">
        <f t="shared" si="155"/>
        <v>0</v>
      </c>
      <c r="Z397" s="345">
        <f>IF(Q397&lt;&gt;"",VLOOKUP(Y397,TIME!$R$21:$V$24,MATCH(FC_DATA!Q397,TIME!$R$20:$V$20,0),FALSE),H397)</f>
        <v>0</v>
      </c>
      <c r="AA397" s="345" t="str">
        <f>IFERROR(VLOOKUP(X397&amp;Z397,TIME!$A$12:$D$71,4,FALSE),"")</f>
        <v/>
      </c>
      <c r="AB397" s="592">
        <f t="shared" ca="1" si="156"/>
        <v>0</v>
      </c>
      <c r="AC397" s="593" t="e">
        <f ca="1">IF(ISBLANK(H397)=FALSE,IF(D397="BRAND.com",I397,IF(ISNA(VLOOKUP(_xlfn.CONCAT(X397,Z397),TIME!$M$40:$M$42,1,FALSE)),I397,VLOOKUP(_xlfn.CONCAT(D397,G397,H397),M_BUSAREA_FC!$AF$5:$AJ$10,5,FALSE)*HLOOKUP(_xlfn.CONCAT(F397,H397),ST_OVERVIEW!$G$99:$I$130,MATCH(_xlfn.CONCAT(D397,E397),ST_OVERVIEW!$F$99:$F$130,0),FALSE))),IF(D397="BRAND.com",VLOOKUP(_xlfn.CONCAT(C397,D397,E397,TIME!$F$1,Z397),HIS_SALES!$B$2:$V$4859,19,FALSE)*I397,VLOOKUP(_xlfn.CONCAT(D397,F397,G397),Q_BUSAREA_FC!$AE$5:$AI$12,5,FALSE)*HLOOKUP(_xlfn.CONCAT(FC_DATA!F397,FC_DATA!G397),LT_OVERVIEW!$I$99:$M$130,MATCH(_xlfn.CONCAT(D397,FC_DATA!E397),LT_OVERVIEW!$H$99:$H$130,0),FALSE)*IFERROR(VLOOKUP(_xlfn.CONCAT(C397,D397,E397,TIME!$F$1,Z397),HIS_SALES!$B$2:$V$4859,19,FALSE),0)))</f>
        <v>#N/A</v>
      </c>
      <c r="AD397" s="341">
        <f t="shared" ca="1" si="157"/>
        <v>0</v>
      </c>
      <c r="AE397" s="363" t="str">
        <f t="shared" si="158"/>
        <v/>
      </c>
      <c r="AF397" s="342" t="str">
        <f t="shared" si="159"/>
        <v/>
      </c>
      <c r="AG397" s="411" t="e">
        <f ca="1">VLOOKUP(_xlfn.CONCAT(U397,V397,W397,VLOOKUP(X397&amp;Y397,TIME!$L$27:$O$34,4,FALSE),Y397),HIS_SALES!$A$2:$R$5093,18,FALSE)</f>
        <v>#N/A</v>
      </c>
      <c r="AH397" s="412" t="e">
        <f ca="1">IFERROR(IF(AND(V397=V396,W397=W396),0.5*(AB397+AB396)*AG397,(VLOOKUP(_xlfn.CONCAT(U397,V397,W397,X397,VLOOKUP(Z397,TIME!$S$28:$T$39,2,FALSE)),FC_DATA!$R$2:$AB$5000,MATCH("GS_I_M",FC_DATA!$R$1:$AB$1,0),FALSE)+FC_DATA!AB397)*0.5*FC_DATA!AG397),NA())</f>
        <v>#N/A</v>
      </c>
      <c r="AI397" s="491" t="e">
        <f ca="1">IF(V397="PARTNER.com",AH397,IF(AND(V397=V396,W397=W396),(1-AVERAGE(AD396,AD397))*AH397,(1-AVERAGE(AD397,VLOOKUP(_xlfn.CONCAT(U397,V397,W397,X397,M_BRAND_FC!$F$6),FC_DATA!$R$2:$AD$5000,MATCH("DISCOUNT_%_M",FC_DATA!$R$1:$AD$1,0),FALSE)))*AH397))</f>
        <v>#N/A</v>
      </c>
      <c r="AJ397" s="412" t="str">
        <f t="shared" ca="1" si="160"/>
        <v/>
      </c>
      <c r="AK397" s="413" t="str">
        <f>IFERROR(AE397/(Q_BRAND_FC!$T$24+1),"")</f>
        <v/>
      </c>
      <c r="AL397" s="88" t="str">
        <f t="shared" ca="1" si="161"/>
        <v/>
      </c>
      <c r="AM397" s="414" t="str">
        <f t="shared" ca="1" si="162"/>
        <v/>
      </c>
      <c r="AN397" s="58">
        <f>IFERROR(IF($V397="BRAND.com",HLOOKUP($X397&amp;$Z397,NWC_FC_NOOS!$C$4:$Q$23,MATCH(W397,NWC_FC_NOOS!$B$4:$B$23,0),FALSE),0),0)</f>
        <v>0</v>
      </c>
      <c r="AO397" s="57">
        <f>IFERROR(IF($V397="BRAND.com",HLOOKUP($X397&amp;$Z397,NWC_FC_NOOS!$T$4:$AH$23,MATCH(W397,NWC_FC_NOOS!$S$4:$S$23,0),FALSE),0),0)</f>
        <v>0</v>
      </c>
      <c r="AP397" s="57">
        <f>IFERROR(IF($V397="BRAND.com",HLOOKUP($X397&amp;$Z397,NWC_FC_NOOS!$C$50:$U$69,MATCH(W397,NWC_FC_NOOS!$B$50:$B$69,0),FALSE),0),0)</f>
        <v>0</v>
      </c>
      <c r="AQ397" s="58">
        <f>IFERROR(IF($V397="BRAND.com",HLOOKUP($X397&amp;$Z397,'NWC_FC_NON-NOOS'!$C$4:$Q$23,MATCH(W397,'NWC_FC_NON-NOOS'!$B$4:$B$23,0),FALSE),0),0)</f>
        <v>0</v>
      </c>
      <c r="AR397" s="57">
        <f>IFERROR(IF($V397="BRAND.com",HLOOKUP($X397&amp;$Z397,'NWC_FC_NON-NOOS'!$T$4:$AH$23,MATCH(W397,'NWC_FC_NON-NOOS'!$S$4:$S$23,0),FALSE),0),0)</f>
        <v>0</v>
      </c>
      <c r="AS397" s="57">
        <f>IFERROR(IF($V397="BRAND.com",HLOOKUP($X397&amp;$Z397,'NWC_FC_NON-NOOS'!$C$50:$U$69,MATCH(W397,'NWC_FC_NON-NOOS'!$B$50:$B$69,0),FALSE),0),0)</f>
        <v>0</v>
      </c>
      <c r="AT397" s="57">
        <f t="shared" si="164"/>
        <v>0</v>
      </c>
      <c r="AU397" s="57">
        <f t="shared" si="165"/>
        <v>0</v>
      </c>
      <c r="AV397" s="58">
        <f>IFERROR(IF($V397="BRAND.com",HLOOKUP($X397&amp;$Z397,PLANNING_FC!$BB$27:$BP$46,MATCH($W397,PLANNING_FC!$BA$27:$BA$46,0),FALSE),0),0)</f>
        <v>0</v>
      </c>
      <c r="AW397" s="58">
        <f>IFERROR(IF($V397="BRAND.com",HLOOKUP($X397&amp;$Z397,PLANNING_FC!$BB$4:$BP$23,MATCH($W397,PLANNING_FC!$BA$4:$BA$23,0),FALSE),0),0)</f>
        <v>0</v>
      </c>
      <c r="AX397" s="58">
        <f>IFERROR(IF($V397="BRAND.com",HLOOKUP($X397&amp;$Z397,PLANNING_FC!$T$27:$AH$46,MATCH($W397,PLANNING_FC!$B$27:$B$46,0),FALSE),0),0)</f>
        <v>0</v>
      </c>
      <c r="AY397" s="58">
        <f>IFERROR(IF($V397="BRAND.com",HLOOKUP($X397&amp;$Z397,PLANNING_FC!$T$4:$AH$23,MATCH($W397,PLANNING_FC!$B$4:$B$23,0),FALSE),0),0)</f>
        <v>0</v>
      </c>
      <c r="AZ397" s="58">
        <f>IFERROR(IF($V397="BRAND.com",HLOOKUP($X397&amp;$Z397,PLANNING_FC!$DA$27:$DO$46,MATCH($W397,PLANNING_FC!$CZ$27:$CZ$46,0),FALSE),0),0)</f>
        <v>0</v>
      </c>
      <c r="BA397" s="58">
        <f>IFERROR(IF($V397="BRAND.com",HLOOKUP($X397&amp;$Z397,PLANNING_FC!$DA$4:$DO$23,MATCH($W397,PLANNING_FC!$CZ$4:$CZ$23,0),FALSE),0),0)</f>
        <v>0</v>
      </c>
      <c r="BB397" s="883" t="str">
        <f>IF(V397="BRAND.com",IFERROR(HLOOKUP(X397&amp;Z397,PLANNING_FC!$AK$4:$AY$23,MATCH(W397,PLANNING_FC!$AJ$4:$AJ$23,0),FALSE)*1000,""),"")</f>
        <v/>
      </c>
      <c r="BC397" s="883" t="str">
        <f>IF(V397="BRAND.com",IFERROR(HLOOKUP(X397&amp;Z397,PLANNING_FC!$AK$27:$AY$46,MATCH(W397,PLANNING_FC!$AJ$27:$AJ$46,0),FALSE)*1000,""),"")</f>
        <v/>
      </c>
    </row>
    <row r="398" spans="1:55" x14ac:dyDescent="0.25">
      <c r="A398" s="509"/>
      <c r="B398" s="509"/>
      <c r="C398" s="509"/>
      <c r="D398" s="509"/>
      <c r="E398" s="509"/>
      <c r="F398" s="509"/>
      <c r="G398" s="509"/>
      <c r="H398" s="509"/>
      <c r="I398" s="512"/>
      <c r="J398" s="513"/>
      <c r="K398" s="879"/>
      <c r="L398" s="515"/>
      <c r="M398" s="516"/>
      <c r="N398" s="56">
        <f t="shared" si="146"/>
        <v>0</v>
      </c>
      <c r="O398" s="57">
        <f t="shared" si="147"/>
        <v>0</v>
      </c>
      <c r="P398" s="57">
        <f ca="1">IFERROR(IF(ISBLANK(H398),SUMIFS($AC:$AC,$V:$V,V398,$W:$W,W398,$X:$X,X398,$Y:$Y,Y398)*J398/(1-J398)*VLOOKUP(_xlfn.CONCAT(C398,D398,E398,TIME!$M$12,Z398),HIS_SALES!$B$2:$W$4859,20,FALSE),AC398*J398/(1-J398)),0)</f>
        <v>0</v>
      </c>
      <c r="Q398" s="541" t="str">
        <f t="shared" si="148"/>
        <v/>
      </c>
      <c r="R398" s="346" t="str">
        <f t="shared" si="149"/>
        <v>00000</v>
      </c>
      <c r="S398" s="344">
        <f t="shared" si="150"/>
        <v>0</v>
      </c>
      <c r="T398" s="345" t="str">
        <f t="shared" si="163"/>
        <v>000</v>
      </c>
      <c r="U398" s="345">
        <f t="shared" si="151"/>
        <v>0</v>
      </c>
      <c r="V398" s="345">
        <f t="shared" si="152"/>
        <v>0</v>
      </c>
      <c r="W398" s="345">
        <f t="shared" si="153"/>
        <v>0</v>
      </c>
      <c r="X398" s="345">
        <f t="shared" si="154"/>
        <v>0</v>
      </c>
      <c r="Y398" s="345">
        <f t="shared" si="155"/>
        <v>0</v>
      </c>
      <c r="Z398" s="345">
        <f>IF(Q398&lt;&gt;"",VLOOKUP(Y398,TIME!$R$21:$V$24,MATCH(FC_DATA!Q398,TIME!$R$20:$V$20,0),FALSE),H398)</f>
        <v>0</v>
      </c>
      <c r="AA398" s="345" t="str">
        <f>IFERROR(VLOOKUP(X398&amp;Z398,TIME!$A$12:$D$71,4,FALSE),"")</f>
        <v/>
      </c>
      <c r="AB398" s="592">
        <f t="shared" ca="1" si="156"/>
        <v>0</v>
      </c>
      <c r="AC398" s="593" t="e">
        <f ca="1">IF(ISBLANK(H398)=FALSE,IF(D398="BRAND.com",I398,IF(ISNA(VLOOKUP(_xlfn.CONCAT(X398,Z398),TIME!$M$40:$M$42,1,FALSE)),I398,VLOOKUP(_xlfn.CONCAT(D398,G398,H398),M_BUSAREA_FC!$AF$5:$AJ$10,5,FALSE)*HLOOKUP(_xlfn.CONCAT(F398,H398),ST_OVERVIEW!$G$99:$I$130,MATCH(_xlfn.CONCAT(D398,E398),ST_OVERVIEW!$F$99:$F$130,0),FALSE))),IF(D398="BRAND.com",VLOOKUP(_xlfn.CONCAT(C398,D398,E398,TIME!$F$1,Z398),HIS_SALES!$B$2:$V$4859,19,FALSE)*I398,VLOOKUP(_xlfn.CONCAT(D398,F398,G398),Q_BUSAREA_FC!$AE$5:$AI$12,5,FALSE)*HLOOKUP(_xlfn.CONCAT(FC_DATA!F398,FC_DATA!G398),LT_OVERVIEW!$I$99:$M$130,MATCH(_xlfn.CONCAT(D398,FC_DATA!E398),LT_OVERVIEW!$H$99:$H$130,0),FALSE)*IFERROR(VLOOKUP(_xlfn.CONCAT(C398,D398,E398,TIME!$F$1,Z398),HIS_SALES!$B$2:$V$4859,19,FALSE),0)))</f>
        <v>#N/A</v>
      </c>
      <c r="AD398" s="341">
        <f t="shared" ca="1" si="157"/>
        <v>0</v>
      </c>
      <c r="AE398" s="363" t="str">
        <f t="shared" si="158"/>
        <v/>
      </c>
      <c r="AF398" s="342" t="str">
        <f t="shared" si="159"/>
        <v/>
      </c>
      <c r="AG398" s="411" t="e">
        <f ca="1">VLOOKUP(_xlfn.CONCAT(U398,V398,W398,VLOOKUP(X398&amp;Y398,TIME!$L$27:$O$34,4,FALSE),Y398),HIS_SALES!$A$2:$R$5093,18,FALSE)</f>
        <v>#N/A</v>
      </c>
      <c r="AH398" s="412" t="e">
        <f ca="1">IFERROR(IF(AND(V398=V397,W398=W397),0.5*(AB398+AB397)*AG398,(VLOOKUP(_xlfn.CONCAT(U398,V398,W398,X398,VLOOKUP(Z398,TIME!$S$28:$T$39,2,FALSE)),FC_DATA!$R$2:$AB$5000,MATCH("GS_I_M",FC_DATA!$R$1:$AB$1,0),FALSE)+FC_DATA!AB398)*0.5*FC_DATA!AG398),NA())</f>
        <v>#N/A</v>
      </c>
      <c r="AI398" s="491" t="e">
        <f ca="1">IF(V398="PARTNER.com",AH398,IF(AND(V398=V397,W398=W397),(1-AVERAGE(AD397,AD398))*AH398,(1-AVERAGE(AD398,VLOOKUP(_xlfn.CONCAT(U398,V398,W398,X398,M_BRAND_FC!$F$6),FC_DATA!$R$2:$AD$5000,MATCH("DISCOUNT_%_M",FC_DATA!$R$1:$AD$1,0),FALSE)))*AH398))</f>
        <v>#N/A</v>
      </c>
      <c r="AJ398" s="412" t="str">
        <f t="shared" ca="1" si="160"/>
        <v/>
      </c>
      <c r="AK398" s="413" t="str">
        <f>IFERROR(AE398/(Q_BRAND_FC!$T$24+1),"")</f>
        <v/>
      </c>
      <c r="AL398" s="88" t="str">
        <f t="shared" ca="1" si="161"/>
        <v/>
      </c>
      <c r="AM398" s="414" t="str">
        <f t="shared" ca="1" si="162"/>
        <v/>
      </c>
      <c r="AN398" s="58">
        <f>IFERROR(IF($V398="BRAND.com",HLOOKUP($X398&amp;$Z398,NWC_FC_NOOS!$C$4:$Q$23,MATCH(W398,NWC_FC_NOOS!$B$4:$B$23,0),FALSE),0),0)</f>
        <v>0</v>
      </c>
      <c r="AO398" s="57">
        <f>IFERROR(IF($V398="BRAND.com",HLOOKUP($X398&amp;$Z398,NWC_FC_NOOS!$T$4:$AH$23,MATCH(W398,NWC_FC_NOOS!$S$4:$S$23,0),FALSE),0),0)</f>
        <v>0</v>
      </c>
      <c r="AP398" s="57">
        <f>IFERROR(IF($V398="BRAND.com",HLOOKUP($X398&amp;$Z398,NWC_FC_NOOS!$C$50:$U$69,MATCH(W398,NWC_FC_NOOS!$B$50:$B$69,0),FALSE),0),0)</f>
        <v>0</v>
      </c>
      <c r="AQ398" s="58">
        <f>IFERROR(IF($V398="BRAND.com",HLOOKUP($X398&amp;$Z398,'NWC_FC_NON-NOOS'!$C$4:$Q$23,MATCH(W398,'NWC_FC_NON-NOOS'!$B$4:$B$23,0),FALSE),0),0)</f>
        <v>0</v>
      </c>
      <c r="AR398" s="57">
        <f>IFERROR(IF($V398="BRAND.com",HLOOKUP($X398&amp;$Z398,'NWC_FC_NON-NOOS'!$T$4:$AH$23,MATCH(W398,'NWC_FC_NON-NOOS'!$S$4:$S$23,0),FALSE),0),0)</f>
        <v>0</v>
      </c>
      <c r="AS398" s="57">
        <f>IFERROR(IF($V398="BRAND.com",HLOOKUP($X398&amp;$Z398,'NWC_FC_NON-NOOS'!$C$50:$U$69,MATCH(W398,'NWC_FC_NON-NOOS'!$B$50:$B$69,0),FALSE),0),0)</f>
        <v>0</v>
      </c>
      <c r="AT398" s="57">
        <f t="shared" si="164"/>
        <v>0</v>
      </c>
      <c r="AU398" s="57">
        <f t="shared" si="165"/>
        <v>0</v>
      </c>
      <c r="AV398" s="58">
        <f>IFERROR(IF($V398="BRAND.com",HLOOKUP($X398&amp;$Z398,PLANNING_FC!$BB$27:$BP$46,MATCH($W398,PLANNING_FC!$BA$27:$BA$46,0),FALSE),0),0)</f>
        <v>0</v>
      </c>
      <c r="AW398" s="58">
        <f>IFERROR(IF($V398="BRAND.com",HLOOKUP($X398&amp;$Z398,PLANNING_FC!$BB$4:$BP$23,MATCH($W398,PLANNING_FC!$BA$4:$BA$23,0),FALSE),0),0)</f>
        <v>0</v>
      </c>
      <c r="AX398" s="58">
        <f>IFERROR(IF($V398="BRAND.com",HLOOKUP($X398&amp;$Z398,PLANNING_FC!$T$27:$AH$46,MATCH($W398,PLANNING_FC!$B$27:$B$46,0),FALSE),0),0)</f>
        <v>0</v>
      </c>
      <c r="AY398" s="58">
        <f>IFERROR(IF($V398="BRAND.com",HLOOKUP($X398&amp;$Z398,PLANNING_FC!$T$4:$AH$23,MATCH($W398,PLANNING_FC!$B$4:$B$23,0),FALSE),0),0)</f>
        <v>0</v>
      </c>
      <c r="AZ398" s="58">
        <f>IFERROR(IF($V398="BRAND.com",HLOOKUP($X398&amp;$Z398,PLANNING_FC!$DA$27:$DO$46,MATCH($W398,PLANNING_FC!$CZ$27:$CZ$46,0),FALSE),0),0)</f>
        <v>0</v>
      </c>
      <c r="BA398" s="58">
        <f>IFERROR(IF($V398="BRAND.com",HLOOKUP($X398&amp;$Z398,PLANNING_FC!$DA$4:$DO$23,MATCH($W398,PLANNING_FC!$CZ$4:$CZ$23,0),FALSE),0),0)</f>
        <v>0</v>
      </c>
      <c r="BB398" s="883" t="str">
        <f>IF(V398="BRAND.com",IFERROR(HLOOKUP(X398&amp;Z398,PLANNING_FC!$AK$4:$AY$23,MATCH(W398,PLANNING_FC!$AJ$4:$AJ$23,0),FALSE)*1000,""),"")</f>
        <v/>
      </c>
      <c r="BC398" s="883" t="str">
        <f>IF(V398="BRAND.com",IFERROR(HLOOKUP(X398&amp;Z398,PLANNING_FC!$AK$27:$AY$46,MATCH(W398,PLANNING_FC!$AJ$27:$AJ$46,0),FALSE)*1000,""),"")</f>
        <v/>
      </c>
    </row>
    <row r="399" spans="1:55" x14ac:dyDescent="0.25">
      <c r="A399" s="509"/>
      <c r="B399" s="509"/>
      <c r="C399" s="509"/>
      <c r="D399" s="509"/>
      <c r="E399" s="509"/>
      <c r="F399" s="509"/>
      <c r="G399" s="509"/>
      <c r="H399" s="509"/>
      <c r="I399" s="512"/>
      <c r="J399" s="513"/>
      <c r="K399" s="879"/>
      <c r="L399" s="515"/>
      <c r="M399" s="516"/>
      <c r="N399" s="56">
        <f t="shared" si="146"/>
        <v>0</v>
      </c>
      <c r="O399" s="57">
        <f t="shared" si="147"/>
        <v>0</v>
      </c>
      <c r="P399" s="57">
        <f ca="1">IFERROR(IF(ISBLANK(H399),SUMIFS($AC:$AC,$V:$V,V399,$W:$W,W399,$X:$X,X399,$Y:$Y,Y399)*J399/(1-J399)*VLOOKUP(_xlfn.CONCAT(C399,D399,E399,TIME!$M$12,Z399),HIS_SALES!$B$2:$W$4859,20,FALSE),AC399*J399/(1-J399)),0)</f>
        <v>0</v>
      </c>
      <c r="Q399" s="541" t="str">
        <f t="shared" si="148"/>
        <v/>
      </c>
      <c r="R399" s="346" t="str">
        <f t="shared" si="149"/>
        <v>00000</v>
      </c>
      <c r="S399" s="344">
        <f t="shared" si="150"/>
        <v>0</v>
      </c>
      <c r="T399" s="345" t="str">
        <f t="shared" si="163"/>
        <v>000</v>
      </c>
      <c r="U399" s="345">
        <f t="shared" si="151"/>
        <v>0</v>
      </c>
      <c r="V399" s="345">
        <f t="shared" si="152"/>
        <v>0</v>
      </c>
      <c r="W399" s="345">
        <f t="shared" si="153"/>
        <v>0</v>
      </c>
      <c r="X399" s="345">
        <f t="shared" si="154"/>
        <v>0</v>
      </c>
      <c r="Y399" s="345">
        <f t="shared" si="155"/>
        <v>0</v>
      </c>
      <c r="Z399" s="345">
        <f>IF(Q399&lt;&gt;"",VLOOKUP(Y399,TIME!$R$21:$V$24,MATCH(FC_DATA!Q399,TIME!$R$20:$V$20,0),FALSE),H399)</f>
        <v>0</v>
      </c>
      <c r="AA399" s="345" t="str">
        <f>IFERROR(VLOOKUP(X399&amp;Z399,TIME!$A$12:$D$71,4,FALSE),"")</f>
        <v/>
      </c>
      <c r="AB399" s="592">
        <f t="shared" ca="1" si="156"/>
        <v>0</v>
      </c>
      <c r="AC399" s="593" t="e">
        <f ca="1">IF(ISBLANK(H399)=FALSE,IF(D399="BRAND.com",I399,IF(ISNA(VLOOKUP(_xlfn.CONCAT(X399,Z399),TIME!$M$40:$M$42,1,FALSE)),I399,VLOOKUP(_xlfn.CONCAT(D399,G399,H399),M_BUSAREA_FC!$AF$5:$AJ$10,5,FALSE)*HLOOKUP(_xlfn.CONCAT(F399,H399),ST_OVERVIEW!$G$99:$I$130,MATCH(_xlfn.CONCAT(D399,E399),ST_OVERVIEW!$F$99:$F$130,0),FALSE))),IF(D399="BRAND.com",VLOOKUP(_xlfn.CONCAT(C399,D399,E399,TIME!$F$1,Z399),HIS_SALES!$B$2:$V$4859,19,FALSE)*I399,VLOOKUP(_xlfn.CONCAT(D399,F399,G399),Q_BUSAREA_FC!$AE$5:$AI$12,5,FALSE)*HLOOKUP(_xlfn.CONCAT(FC_DATA!F399,FC_DATA!G399),LT_OVERVIEW!$I$99:$M$130,MATCH(_xlfn.CONCAT(D399,FC_DATA!E399),LT_OVERVIEW!$H$99:$H$130,0),FALSE)*IFERROR(VLOOKUP(_xlfn.CONCAT(C399,D399,E399,TIME!$F$1,Z399),HIS_SALES!$B$2:$V$4859,19,FALSE),0)))</f>
        <v>#N/A</v>
      </c>
      <c r="AD399" s="341">
        <f t="shared" ca="1" si="157"/>
        <v>0</v>
      </c>
      <c r="AE399" s="363" t="str">
        <f t="shared" si="158"/>
        <v/>
      </c>
      <c r="AF399" s="342" t="str">
        <f t="shared" si="159"/>
        <v/>
      </c>
      <c r="AG399" s="411" t="e">
        <f ca="1">VLOOKUP(_xlfn.CONCAT(U399,V399,W399,VLOOKUP(X399&amp;Y399,TIME!$L$27:$O$34,4,FALSE),Y399),HIS_SALES!$A$2:$R$5093,18,FALSE)</f>
        <v>#N/A</v>
      </c>
      <c r="AH399" s="412" t="e">
        <f ca="1">IFERROR(IF(AND(V399=V398,W399=W398),0.5*(AB399+AB398)*AG399,(VLOOKUP(_xlfn.CONCAT(U399,V399,W399,X399,VLOOKUP(Z399,TIME!$S$28:$T$39,2,FALSE)),FC_DATA!$R$2:$AB$5000,MATCH("GS_I_M",FC_DATA!$R$1:$AB$1,0),FALSE)+FC_DATA!AB399)*0.5*FC_DATA!AG399),NA())</f>
        <v>#N/A</v>
      </c>
      <c r="AI399" s="491" t="e">
        <f ca="1">IF(V399="PARTNER.com",AH399,IF(AND(V399=V398,W399=W398),(1-AVERAGE(AD398,AD399))*AH399,(1-AVERAGE(AD399,VLOOKUP(_xlfn.CONCAT(U399,V399,W399,X399,M_BRAND_FC!$F$6),FC_DATA!$R$2:$AD$5000,MATCH("DISCOUNT_%_M",FC_DATA!$R$1:$AD$1,0),FALSE)))*AH399))</f>
        <v>#N/A</v>
      </c>
      <c r="AJ399" s="412" t="str">
        <f t="shared" ca="1" si="160"/>
        <v/>
      </c>
      <c r="AK399" s="413" t="str">
        <f>IFERROR(AE399/(Q_BRAND_FC!$T$24+1),"")</f>
        <v/>
      </c>
      <c r="AL399" s="88" t="str">
        <f t="shared" ca="1" si="161"/>
        <v/>
      </c>
      <c r="AM399" s="414" t="str">
        <f t="shared" ca="1" si="162"/>
        <v/>
      </c>
      <c r="AN399" s="58">
        <f>IFERROR(IF($V399="BRAND.com",HLOOKUP($X399&amp;$Z399,NWC_FC_NOOS!$C$4:$Q$23,MATCH(W399,NWC_FC_NOOS!$B$4:$B$23,0),FALSE),0),0)</f>
        <v>0</v>
      </c>
      <c r="AO399" s="57">
        <f>IFERROR(IF($V399="BRAND.com",HLOOKUP($X399&amp;$Z399,NWC_FC_NOOS!$T$4:$AH$23,MATCH(W399,NWC_FC_NOOS!$S$4:$S$23,0),FALSE),0),0)</f>
        <v>0</v>
      </c>
      <c r="AP399" s="57">
        <f>IFERROR(IF($V399="BRAND.com",HLOOKUP($X399&amp;$Z399,NWC_FC_NOOS!$C$50:$U$69,MATCH(W399,NWC_FC_NOOS!$B$50:$B$69,0),FALSE),0),0)</f>
        <v>0</v>
      </c>
      <c r="AQ399" s="58">
        <f>IFERROR(IF($V399="BRAND.com",HLOOKUP($X399&amp;$Z399,'NWC_FC_NON-NOOS'!$C$4:$Q$23,MATCH(W399,'NWC_FC_NON-NOOS'!$B$4:$B$23,0),FALSE),0),0)</f>
        <v>0</v>
      </c>
      <c r="AR399" s="57">
        <f>IFERROR(IF($V399="BRAND.com",HLOOKUP($X399&amp;$Z399,'NWC_FC_NON-NOOS'!$T$4:$AH$23,MATCH(W399,'NWC_FC_NON-NOOS'!$S$4:$S$23,0),FALSE),0),0)</f>
        <v>0</v>
      </c>
      <c r="AS399" s="57">
        <f>IFERROR(IF($V399="BRAND.com",HLOOKUP($X399&amp;$Z399,'NWC_FC_NON-NOOS'!$C$50:$U$69,MATCH(W399,'NWC_FC_NON-NOOS'!$B$50:$B$69,0),FALSE),0),0)</f>
        <v>0</v>
      </c>
      <c r="AT399" s="57">
        <f t="shared" si="164"/>
        <v>0</v>
      </c>
      <c r="AU399" s="57">
        <f t="shared" si="165"/>
        <v>0</v>
      </c>
      <c r="AV399" s="58">
        <f>IFERROR(IF($V399="BRAND.com",HLOOKUP($X399&amp;$Z399,PLANNING_FC!$BB$27:$BP$46,MATCH($W399,PLANNING_FC!$BA$27:$BA$46,0),FALSE),0),0)</f>
        <v>0</v>
      </c>
      <c r="AW399" s="58">
        <f>IFERROR(IF($V399="BRAND.com",HLOOKUP($X399&amp;$Z399,PLANNING_FC!$BB$4:$BP$23,MATCH($W399,PLANNING_FC!$BA$4:$BA$23,0),FALSE),0),0)</f>
        <v>0</v>
      </c>
      <c r="AX399" s="58">
        <f>IFERROR(IF($V399="BRAND.com",HLOOKUP($X399&amp;$Z399,PLANNING_FC!$T$27:$AH$46,MATCH($W399,PLANNING_FC!$B$27:$B$46,0),FALSE),0),0)</f>
        <v>0</v>
      </c>
      <c r="AY399" s="58">
        <f>IFERROR(IF($V399="BRAND.com",HLOOKUP($X399&amp;$Z399,PLANNING_FC!$T$4:$AH$23,MATCH($W399,PLANNING_FC!$B$4:$B$23,0),FALSE),0),0)</f>
        <v>0</v>
      </c>
      <c r="AZ399" s="58">
        <f>IFERROR(IF($V399="BRAND.com",HLOOKUP($X399&amp;$Z399,PLANNING_FC!$DA$27:$DO$46,MATCH($W399,PLANNING_FC!$CZ$27:$CZ$46,0),FALSE),0),0)</f>
        <v>0</v>
      </c>
      <c r="BA399" s="58">
        <f>IFERROR(IF($V399="BRAND.com",HLOOKUP($X399&amp;$Z399,PLANNING_FC!$DA$4:$DO$23,MATCH($W399,PLANNING_FC!$CZ$4:$CZ$23,0),FALSE),0),0)</f>
        <v>0</v>
      </c>
      <c r="BB399" s="883" t="str">
        <f>IF(V399="BRAND.com",IFERROR(HLOOKUP(X399&amp;Z399,PLANNING_FC!$AK$4:$AY$23,MATCH(W399,PLANNING_FC!$AJ$4:$AJ$23,0),FALSE)*1000,""),"")</f>
        <v/>
      </c>
      <c r="BC399" s="883" t="str">
        <f>IF(V399="BRAND.com",IFERROR(HLOOKUP(X399&amp;Z399,PLANNING_FC!$AK$27:$AY$46,MATCH(W399,PLANNING_FC!$AJ$27:$AJ$46,0),FALSE)*1000,""),"")</f>
        <v/>
      </c>
    </row>
    <row r="400" spans="1:55" x14ac:dyDescent="0.25">
      <c r="A400" s="509"/>
      <c r="B400" s="509"/>
      <c r="C400" s="509"/>
      <c r="D400" s="509"/>
      <c r="E400" s="509"/>
      <c r="F400" s="509"/>
      <c r="G400" s="509"/>
      <c r="H400" s="509"/>
      <c r="I400" s="512"/>
      <c r="J400" s="513"/>
      <c r="K400" s="879"/>
      <c r="L400" s="515"/>
      <c r="M400" s="516"/>
      <c r="N400" s="56">
        <f t="shared" si="146"/>
        <v>0</v>
      </c>
      <c r="O400" s="57">
        <f t="shared" si="147"/>
        <v>0</v>
      </c>
      <c r="P400" s="57">
        <f ca="1">IFERROR(IF(ISBLANK(H400),SUMIFS($AC:$AC,$V:$V,V400,$W:$W,W400,$X:$X,X400,$Y:$Y,Y400)*J400/(1-J400)*VLOOKUP(_xlfn.CONCAT(C400,D400,E400,TIME!$M$12,Z400),HIS_SALES!$B$2:$W$4859,20,FALSE),AC400*J400/(1-J400)),0)</f>
        <v>0</v>
      </c>
      <c r="Q400" s="541" t="str">
        <f t="shared" si="148"/>
        <v/>
      </c>
      <c r="R400" s="346" t="str">
        <f t="shared" si="149"/>
        <v>00000</v>
      </c>
      <c r="S400" s="344">
        <f t="shared" si="150"/>
        <v>0</v>
      </c>
      <c r="T400" s="345" t="str">
        <f t="shared" si="163"/>
        <v>000</v>
      </c>
      <c r="U400" s="345">
        <f t="shared" si="151"/>
        <v>0</v>
      </c>
      <c r="V400" s="345">
        <f t="shared" si="152"/>
        <v>0</v>
      </c>
      <c r="W400" s="345">
        <f t="shared" si="153"/>
        <v>0</v>
      </c>
      <c r="X400" s="345">
        <f t="shared" si="154"/>
        <v>0</v>
      </c>
      <c r="Y400" s="345">
        <f t="shared" si="155"/>
        <v>0</v>
      </c>
      <c r="Z400" s="345">
        <f>IF(Q400&lt;&gt;"",VLOOKUP(Y400,TIME!$R$21:$V$24,MATCH(FC_DATA!Q400,TIME!$R$20:$V$20,0),FALSE),H400)</f>
        <v>0</v>
      </c>
      <c r="AA400" s="345" t="str">
        <f>IFERROR(VLOOKUP(X400&amp;Z400,TIME!$A$12:$D$71,4,FALSE),"")</f>
        <v/>
      </c>
      <c r="AB400" s="592">
        <f t="shared" ca="1" si="156"/>
        <v>0</v>
      </c>
      <c r="AC400" s="593" t="e">
        <f ca="1">IF(ISBLANK(H400)=FALSE,IF(D400="BRAND.com",I400,IF(ISNA(VLOOKUP(_xlfn.CONCAT(X400,Z400),TIME!$M$40:$M$42,1,FALSE)),I400,VLOOKUP(_xlfn.CONCAT(D400,G400,H400),M_BUSAREA_FC!$AF$5:$AJ$10,5,FALSE)*HLOOKUP(_xlfn.CONCAT(F400,H400),ST_OVERVIEW!$G$99:$I$130,MATCH(_xlfn.CONCAT(D400,E400),ST_OVERVIEW!$F$99:$F$130,0),FALSE))),IF(D400="BRAND.com",VLOOKUP(_xlfn.CONCAT(C400,D400,E400,TIME!$F$1,Z400),HIS_SALES!$B$2:$V$4859,19,FALSE)*I400,VLOOKUP(_xlfn.CONCAT(D400,F400,G400),Q_BUSAREA_FC!$AE$5:$AI$12,5,FALSE)*HLOOKUP(_xlfn.CONCAT(FC_DATA!F400,FC_DATA!G400),LT_OVERVIEW!$I$99:$M$130,MATCH(_xlfn.CONCAT(D400,FC_DATA!E400),LT_OVERVIEW!$H$99:$H$130,0),FALSE)*IFERROR(VLOOKUP(_xlfn.CONCAT(C400,D400,E400,TIME!$F$1,Z400),HIS_SALES!$B$2:$V$4859,19,FALSE),0)))</f>
        <v>#N/A</v>
      </c>
      <c r="AD400" s="341">
        <f t="shared" ca="1" si="157"/>
        <v>0</v>
      </c>
      <c r="AE400" s="363" t="str">
        <f t="shared" si="158"/>
        <v/>
      </c>
      <c r="AF400" s="342" t="str">
        <f t="shared" si="159"/>
        <v/>
      </c>
      <c r="AG400" s="411" t="e">
        <f ca="1">VLOOKUP(_xlfn.CONCAT(U400,V400,W400,VLOOKUP(X400&amp;Y400,TIME!$L$27:$O$34,4,FALSE),Y400),HIS_SALES!$A$2:$R$5093,18,FALSE)</f>
        <v>#N/A</v>
      </c>
      <c r="AH400" s="412" t="e">
        <f ca="1">IFERROR(IF(AND(V400=V399,W400=W399),0.5*(AB400+AB399)*AG400,(VLOOKUP(_xlfn.CONCAT(U400,V400,W400,X400,VLOOKUP(Z400,TIME!$S$28:$T$39,2,FALSE)),FC_DATA!$R$2:$AB$5000,MATCH("GS_I_M",FC_DATA!$R$1:$AB$1,0),FALSE)+FC_DATA!AB400)*0.5*FC_DATA!AG400),NA())</f>
        <v>#N/A</v>
      </c>
      <c r="AI400" s="491" t="e">
        <f ca="1">IF(V400="PARTNER.com",AH400,IF(AND(V400=V399,W400=W399),(1-AVERAGE(AD399,AD400))*AH400,(1-AVERAGE(AD400,VLOOKUP(_xlfn.CONCAT(U400,V400,W400,X400,M_BRAND_FC!$F$6),FC_DATA!$R$2:$AD$5000,MATCH("DISCOUNT_%_M",FC_DATA!$R$1:$AD$1,0),FALSE)))*AH400))</f>
        <v>#N/A</v>
      </c>
      <c r="AJ400" s="412" t="str">
        <f t="shared" ca="1" si="160"/>
        <v/>
      </c>
      <c r="AK400" s="413" t="str">
        <f>IFERROR(AE400/(Q_BRAND_FC!$T$24+1),"")</f>
        <v/>
      </c>
      <c r="AL400" s="88" t="str">
        <f t="shared" ca="1" si="161"/>
        <v/>
      </c>
      <c r="AM400" s="414" t="str">
        <f t="shared" ca="1" si="162"/>
        <v/>
      </c>
      <c r="AN400" s="58">
        <f>IFERROR(IF($V400="BRAND.com",HLOOKUP($X400&amp;$Z400,NWC_FC_NOOS!$C$4:$Q$23,MATCH(W400,NWC_FC_NOOS!$B$4:$B$23,0),FALSE),0),0)</f>
        <v>0</v>
      </c>
      <c r="AO400" s="57">
        <f>IFERROR(IF($V400="BRAND.com",HLOOKUP($X400&amp;$Z400,NWC_FC_NOOS!$T$4:$AH$23,MATCH(W400,NWC_FC_NOOS!$S$4:$S$23,0),FALSE),0),0)</f>
        <v>0</v>
      </c>
      <c r="AP400" s="57">
        <f>IFERROR(IF($V400="BRAND.com",HLOOKUP($X400&amp;$Z400,NWC_FC_NOOS!$C$50:$U$69,MATCH(W400,NWC_FC_NOOS!$B$50:$B$69,0),FALSE),0),0)</f>
        <v>0</v>
      </c>
      <c r="AQ400" s="58">
        <f>IFERROR(IF($V400="BRAND.com",HLOOKUP($X400&amp;$Z400,'NWC_FC_NON-NOOS'!$C$4:$Q$23,MATCH(W400,'NWC_FC_NON-NOOS'!$B$4:$B$23,0),FALSE),0),0)</f>
        <v>0</v>
      </c>
      <c r="AR400" s="57">
        <f>IFERROR(IF($V400="BRAND.com",HLOOKUP($X400&amp;$Z400,'NWC_FC_NON-NOOS'!$T$4:$AH$23,MATCH(W400,'NWC_FC_NON-NOOS'!$S$4:$S$23,0),FALSE),0),0)</f>
        <v>0</v>
      </c>
      <c r="AS400" s="57">
        <f>IFERROR(IF($V400="BRAND.com",HLOOKUP($X400&amp;$Z400,'NWC_FC_NON-NOOS'!$C$50:$U$69,MATCH(W400,'NWC_FC_NON-NOOS'!$B$50:$B$69,0),FALSE),0),0)</f>
        <v>0</v>
      </c>
      <c r="AT400" s="57">
        <f t="shared" si="164"/>
        <v>0</v>
      </c>
      <c r="AU400" s="57">
        <f t="shared" si="165"/>
        <v>0</v>
      </c>
      <c r="AV400" s="58">
        <f>IFERROR(IF($V400="BRAND.com",HLOOKUP($X400&amp;$Z400,PLANNING_FC!$BB$27:$BP$46,MATCH($W400,PLANNING_FC!$BA$27:$BA$46,0),FALSE),0),0)</f>
        <v>0</v>
      </c>
      <c r="AW400" s="58">
        <f>IFERROR(IF($V400="BRAND.com",HLOOKUP($X400&amp;$Z400,PLANNING_FC!$BB$4:$BP$23,MATCH($W400,PLANNING_FC!$BA$4:$BA$23,0),FALSE),0),0)</f>
        <v>0</v>
      </c>
      <c r="AX400" s="58">
        <f>IFERROR(IF($V400="BRAND.com",HLOOKUP($X400&amp;$Z400,PLANNING_FC!$T$27:$AH$46,MATCH($W400,PLANNING_FC!$B$27:$B$46,0),FALSE),0),0)</f>
        <v>0</v>
      </c>
      <c r="AY400" s="58">
        <f>IFERROR(IF($V400="BRAND.com",HLOOKUP($X400&amp;$Z400,PLANNING_FC!$T$4:$AH$23,MATCH($W400,PLANNING_FC!$B$4:$B$23,0),FALSE),0),0)</f>
        <v>0</v>
      </c>
      <c r="AZ400" s="58">
        <f>IFERROR(IF($V400="BRAND.com",HLOOKUP($X400&amp;$Z400,PLANNING_FC!$DA$27:$DO$46,MATCH($W400,PLANNING_FC!$CZ$27:$CZ$46,0),FALSE),0),0)</f>
        <v>0</v>
      </c>
      <c r="BA400" s="58">
        <f>IFERROR(IF($V400="BRAND.com",HLOOKUP($X400&amp;$Z400,PLANNING_FC!$DA$4:$DO$23,MATCH($W400,PLANNING_FC!$CZ$4:$CZ$23,0),FALSE),0),0)</f>
        <v>0</v>
      </c>
      <c r="BB400" s="883" t="str">
        <f>IF(V400="BRAND.com",IFERROR(HLOOKUP(X400&amp;Z400,PLANNING_FC!$AK$4:$AY$23,MATCH(W400,PLANNING_FC!$AJ$4:$AJ$23,0),FALSE)*1000,""),"")</f>
        <v/>
      </c>
      <c r="BC400" s="883" t="str">
        <f>IF(V400="BRAND.com",IFERROR(HLOOKUP(X400&amp;Z400,PLANNING_FC!$AK$27:$AY$46,MATCH(W400,PLANNING_FC!$AJ$27:$AJ$46,0),FALSE)*1000,""),"")</f>
        <v/>
      </c>
    </row>
    <row r="401" spans="1:55" x14ac:dyDescent="0.25">
      <c r="A401" s="509"/>
      <c r="B401" s="509"/>
      <c r="C401" s="509"/>
      <c r="D401" s="509"/>
      <c r="E401" s="509"/>
      <c r="F401" s="509"/>
      <c r="G401" s="509"/>
      <c r="H401" s="509"/>
      <c r="I401" s="512"/>
      <c r="J401" s="513"/>
      <c r="K401" s="879"/>
      <c r="L401" s="515"/>
      <c r="M401" s="516"/>
      <c r="N401" s="56">
        <f t="shared" si="146"/>
        <v>0</v>
      </c>
      <c r="O401" s="57">
        <f t="shared" si="147"/>
        <v>0</v>
      </c>
      <c r="P401" s="57">
        <f ca="1">IFERROR(IF(ISBLANK(H401),SUMIFS($AC:$AC,$V:$V,V401,$W:$W,W401,$X:$X,X401,$Y:$Y,Y401)*J401/(1-J401)*VLOOKUP(_xlfn.CONCAT(C401,D401,E401,TIME!$M$12,Z401),HIS_SALES!$B$2:$W$4859,20,FALSE),AC401*J401/(1-J401)),0)</f>
        <v>0</v>
      </c>
      <c r="Q401" s="541" t="str">
        <f t="shared" si="148"/>
        <v/>
      </c>
      <c r="R401" s="346" t="str">
        <f t="shared" si="149"/>
        <v>00000</v>
      </c>
      <c r="S401" s="344">
        <f t="shared" si="150"/>
        <v>0</v>
      </c>
      <c r="T401" s="345" t="str">
        <f t="shared" si="163"/>
        <v>000</v>
      </c>
      <c r="U401" s="345">
        <f t="shared" si="151"/>
        <v>0</v>
      </c>
      <c r="V401" s="345">
        <f t="shared" si="152"/>
        <v>0</v>
      </c>
      <c r="W401" s="345">
        <f t="shared" si="153"/>
        <v>0</v>
      </c>
      <c r="X401" s="345">
        <f t="shared" si="154"/>
        <v>0</v>
      </c>
      <c r="Y401" s="345">
        <f t="shared" si="155"/>
        <v>0</v>
      </c>
      <c r="Z401" s="345">
        <f>IF(Q401&lt;&gt;"",VLOOKUP(Y401,TIME!$R$21:$V$24,MATCH(FC_DATA!Q401,TIME!$R$20:$V$20,0),FALSE),H401)</f>
        <v>0</v>
      </c>
      <c r="AA401" s="345" t="str">
        <f>IFERROR(VLOOKUP(X401&amp;Z401,TIME!$A$12:$D$71,4,FALSE),"")</f>
        <v/>
      </c>
      <c r="AB401" s="592">
        <f t="shared" ca="1" si="156"/>
        <v>0</v>
      </c>
      <c r="AC401" s="593" t="e">
        <f ca="1">IF(ISBLANK(H401)=FALSE,IF(D401="BRAND.com",I401,IF(ISNA(VLOOKUP(_xlfn.CONCAT(X401,Z401),TIME!$M$40:$M$42,1,FALSE)),I401,VLOOKUP(_xlfn.CONCAT(D401,G401,H401),M_BUSAREA_FC!$AF$5:$AJ$10,5,FALSE)*HLOOKUP(_xlfn.CONCAT(F401,H401),ST_OVERVIEW!$G$99:$I$130,MATCH(_xlfn.CONCAT(D401,E401),ST_OVERVIEW!$F$99:$F$130,0),FALSE))),IF(D401="BRAND.com",VLOOKUP(_xlfn.CONCAT(C401,D401,E401,TIME!$F$1,Z401),HIS_SALES!$B$2:$V$4859,19,FALSE)*I401,VLOOKUP(_xlfn.CONCAT(D401,F401,G401),Q_BUSAREA_FC!$AE$5:$AI$12,5,FALSE)*HLOOKUP(_xlfn.CONCAT(FC_DATA!F401,FC_DATA!G401),LT_OVERVIEW!$I$99:$M$130,MATCH(_xlfn.CONCAT(D401,FC_DATA!E401),LT_OVERVIEW!$H$99:$H$130,0),FALSE)*IFERROR(VLOOKUP(_xlfn.CONCAT(C401,D401,E401,TIME!$F$1,Z401),HIS_SALES!$B$2:$V$4859,19,FALSE),0)))</f>
        <v>#N/A</v>
      </c>
      <c r="AD401" s="341">
        <f t="shared" ca="1" si="157"/>
        <v>0</v>
      </c>
      <c r="AE401" s="363" t="str">
        <f t="shared" si="158"/>
        <v/>
      </c>
      <c r="AF401" s="342" t="str">
        <f t="shared" si="159"/>
        <v/>
      </c>
      <c r="AG401" s="411" t="e">
        <f ca="1">VLOOKUP(_xlfn.CONCAT(U401,V401,W401,VLOOKUP(X401&amp;Y401,TIME!$L$27:$O$34,4,FALSE),Y401),HIS_SALES!$A$2:$R$5093,18,FALSE)</f>
        <v>#N/A</v>
      </c>
      <c r="AH401" s="412" t="e">
        <f ca="1">IFERROR(IF(AND(V401=V400,W401=W400),0.5*(AB401+AB400)*AG401,(VLOOKUP(_xlfn.CONCAT(U401,V401,W401,X401,VLOOKUP(Z401,TIME!$S$28:$T$39,2,FALSE)),FC_DATA!$R$2:$AB$5000,MATCH("GS_I_M",FC_DATA!$R$1:$AB$1,0),FALSE)+FC_DATA!AB401)*0.5*FC_DATA!AG401),NA())</f>
        <v>#N/A</v>
      </c>
      <c r="AI401" s="491" t="e">
        <f ca="1">IF(V401="PARTNER.com",AH401,IF(AND(V401=V400,W401=W400),(1-AVERAGE(AD400,AD401))*AH401,(1-AVERAGE(AD401,VLOOKUP(_xlfn.CONCAT(U401,V401,W401,X401,M_BRAND_FC!$F$6),FC_DATA!$R$2:$AD$5000,MATCH("DISCOUNT_%_M",FC_DATA!$R$1:$AD$1,0),FALSE)))*AH401))</f>
        <v>#N/A</v>
      </c>
      <c r="AJ401" s="412" t="str">
        <f t="shared" ca="1" si="160"/>
        <v/>
      </c>
      <c r="AK401" s="413" t="str">
        <f>IFERROR(AE401/(Q_BRAND_FC!$T$24+1),"")</f>
        <v/>
      </c>
      <c r="AL401" s="88" t="str">
        <f t="shared" ca="1" si="161"/>
        <v/>
      </c>
      <c r="AM401" s="414" t="str">
        <f t="shared" ca="1" si="162"/>
        <v/>
      </c>
      <c r="AN401" s="58">
        <f>IFERROR(IF($V401="BRAND.com",HLOOKUP($X401&amp;$Z401,NWC_FC_NOOS!$C$4:$Q$23,MATCH(W401,NWC_FC_NOOS!$B$4:$B$23,0),FALSE),0),0)</f>
        <v>0</v>
      </c>
      <c r="AO401" s="57">
        <f>IFERROR(IF($V401="BRAND.com",HLOOKUP($X401&amp;$Z401,NWC_FC_NOOS!$T$4:$AH$23,MATCH(W401,NWC_FC_NOOS!$S$4:$S$23,0),FALSE),0),0)</f>
        <v>0</v>
      </c>
      <c r="AP401" s="57">
        <f>IFERROR(IF($V401="BRAND.com",HLOOKUP($X401&amp;$Z401,NWC_FC_NOOS!$C$50:$U$69,MATCH(W401,NWC_FC_NOOS!$B$50:$B$69,0),FALSE),0),0)</f>
        <v>0</v>
      </c>
      <c r="AQ401" s="58">
        <f>IFERROR(IF($V401="BRAND.com",HLOOKUP($X401&amp;$Z401,'NWC_FC_NON-NOOS'!$C$4:$Q$23,MATCH(W401,'NWC_FC_NON-NOOS'!$B$4:$B$23,0),FALSE),0),0)</f>
        <v>0</v>
      </c>
      <c r="AR401" s="57">
        <f>IFERROR(IF($V401="BRAND.com",HLOOKUP($X401&amp;$Z401,'NWC_FC_NON-NOOS'!$T$4:$AH$23,MATCH(W401,'NWC_FC_NON-NOOS'!$S$4:$S$23,0),FALSE),0),0)</f>
        <v>0</v>
      </c>
      <c r="AS401" s="57">
        <f>IFERROR(IF($V401="BRAND.com",HLOOKUP($X401&amp;$Z401,'NWC_FC_NON-NOOS'!$C$50:$U$69,MATCH(W401,'NWC_FC_NON-NOOS'!$B$50:$B$69,0),FALSE),0),0)</f>
        <v>0</v>
      </c>
      <c r="AT401" s="57">
        <f t="shared" si="164"/>
        <v>0</v>
      </c>
      <c r="AU401" s="57">
        <f t="shared" si="165"/>
        <v>0</v>
      </c>
      <c r="AV401" s="58">
        <f>IFERROR(IF($V401="BRAND.com",HLOOKUP($X401&amp;$Z401,PLANNING_FC!$BB$27:$BP$46,MATCH($W401,PLANNING_FC!$BA$27:$BA$46,0),FALSE),0),0)</f>
        <v>0</v>
      </c>
      <c r="AW401" s="58">
        <f>IFERROR(IF($V401="BRAND.com",HLOOKUP($X401&amp;$Z401,PLANNING_FC!$BB$4:$BP$23,MATCH($W401,PLANNING_FC!$BA$4:$BA$23,0),FALSE),0),0)</f>
        <v>0</v>
      </c>
      <c r="AX401" s="58">
        <f>IFERROR(IF($V401="BRAND.com",HLOOKUP($X401&amp;$Z401,PLANNING_FC!$T$27:$AH$46,MATCH($W401,PLANNING_FC!$B$27:$B$46,0),FALSE),0),0)</f>
        <v>0</v>
      </c>
      <c r="AY401" s="58">
        <f>IFERROR(IF($V401="BRAND.com",HLOOKUP($X401&amp;$Z401,PLANNING_FC!$T$4:$AH$23,MATCH($W401,PLANNING_FC!$B$4:$B$23,0),FALSE),0),0)</f>
        <v>0</v>
      </c>
      <c r="AZ401" s="58">
        <f>IFERROR(IF($V401="BRAND.com",HLOOKUP($X401&amp;$Z401,PLANNING_FC!$DA$27:$DO$46,MATCH($W401,PLANNING_FC!$CZ$27:$CZ$46,0),FALSE),0),0)</f>
        <v>0</v>
      </c>
      <c r="BA401" s="58">
        <f>IFERROR(IF($V401="BRAND.com",HLOOKUP($X401&amp;$Z401,PLANNING_FC!$DA$4:$DO$23,MATCH($W401,PLANNING_FC!$CZ$4:$CZ$23,0),FALSE),0),0)</f>
        <v>0</v>
      </c>
      <c r="BB401" s="883" t="str">
        <f>IF(V401="BRAND.com",IFERROR(HLOOKUP(X401&amp;Z401,PLANNING_FC!$AK$4:$AY$23,MATCH(W401,PLANNING_FC!$AJ$4:$AJ$23,0),FALSE)*1000,""),"")</f>
        <v/>
      </c>
      <c r="BC401" s="883" t="str">
        <f>IF(V401="BRAND.com",IFERROR(HLOOKUP(X401&amp;Z401,PLANNING_FC!$AK$27:$AY$46,MATCH(W401,PLANNING_FC!$AJ$27:$AJ$46,0),FALSE)*1000,""),"")</f>
        <v/>
      </c>
    </row>
    <row r="402" spans="1:55" x14ac:dyDescent="0.25">
      <c r="A402" s="509"/>
      <c r="B402" s="509"/>
      <c r="C402" s="509"/>
      <c r="D402" s="509"/>
      <c r="E402" s="509"/>
      <c r="F402" s="509"/>
      <c r="G402" s="509"/>
      <c r="H402" s="509"/>
      <c r="I402" s="512"/>
      <c r="J402" s="513"/>
      <c r="K402" s="879"/>
      <c r="L402" s="515"/>
      <c r="M402" s="516"/>
      <c r="N402" s="56">
        <f t="shared" si="146"/>
        <v>0</v>
      </c>
      <c r="O402" s="57">
        <f t="shared" si="147"/>
        <v>0</v>
      </c>
      <c r="P402" s="57">
        <f ca="1">IFERROR(IF(ISBLANK(H402),SUMIFS($AC:$AC,$V:$V,V402,$W:$W,W402,$X:$X,X402,$Y:$Y,Y402)*J402/(1-J402)*VLOOKUP(_xlfn.CONCAT(C402,D402,E402,TIME!$M$12,Z402),HIS_SALES!$B$2:$W$4859,20,FALSE),AC402*J402/(1-J402)),0)</f>
        <v>0</v>
      </c>
      <c r="Q402" s="541" t="str">
        <f t="shared" si="148"/>
        <v/>
      </c>
      <c r="R402" s="346" t="str">
        <f t="shared" si="149"/>
        <v>00000</v>
      </c>
      <c r="S402" s="344">
        <f t="shared" si="150"/>
        <v>0</v>
      </c>
      <c r="T402" s="345" t="str">
        <f t="shared" si="163"/>
        <v>000</v>
      </c>
      <c r="U402" s="345">
        <f t="shared" si="151"/>
        <v>0</v>
      </c>
      <c r="V402" s="345">
        <f t="shared" si="152"/>
        <v>0</v>
      </c>
      <c r="W402" s="345">
        <f t="shared" si="153"/>
        <v>0</v>
      </c>
      <c r="X402" s="345">
        <f t="shared" si="154"/>
        <v>0</v>
      </c>
      <c r="Y402" s="345">
        <f t="shared" si="155"/>
        <v>0</v>
      </c>
      <c r="Z402" s="345">
        <f>IF(Q402&lt;&gt;"",VLOOKUP(Y402,TIME!$R$21:$V$24,MATCH(FC_DATA!Q402,TIME!$R$20:$V$20,0),FALSE),H402)</f>
        <v>0</v>
      </c>
      <c r="AA402" s="345" t="str">
        <f>IFERROR(VLOOKUP(X402&amp;Z402,TIME!$A$12:$D$71,4,FALSE),"")</f>
        <v/>
      </c>
      <c r="AB402" s="592">
        <f t="shared" ca="1" si="156"/>
        <v>0</v>
      </c>
      <c r="AC402" s="593" t="e">
        <f ca="1">IF(ISBLANK(H402)=FALSE,IF(D402="BRAND.com",I402,IF(ISNA(VLOOKUP(_xlfn.CONCAT(X402,Z402),TIME!$M$40:$M$42,1,FALSE)),I402,VLOOKUP(_xlfn.CONCAT(D402,G402,H402),M_BUSAREA_FC!$AF$5:$AJ$10,5,FALSE)*HLOOKUP(_xlfn.CONCAT(F402,H402),ST_OVERVIEW!$G$99:$I$130,MATCH(_xlfn.CONCAT(D402,E402),ST_OVERVIEW!$F$99:$F$130,0),FALSE))),IF(D402="BRAND.com",VLOOKUP(_xlfn.CONCAT(C402,D402,E402,TIME!$F$1,Z402),HIS_SALES!$B$2:$V$4859,19,FALSE)*I402,VLOOKUP(_xlfn.CONCAT(D402,F402,G402),Q_BUSAREA_FC!$AE$5:$AI$12,5,FALSE)*HLOOKUP(_xlfn.CONCAT(FC_DATA!F402,FC_DATA!G402),LT_OVERVIEW!$I$99:$M$130,MATCH(_xlfn.CONCAT(D402,FC_DATA!E402),LT_OVERVIEW!$H$99:$H$130,0),FALSE)*IFERROR(VLOOKUP(_xlfn.CONCAT(C402,D402,E402,TIME!$F$1,Z402),HIS_SALES!$B$2:$V$4859,19,FALSE),0)))</f>
        <v>#N/A</v>
      </c>
      <c r="AD402" s="341">
        <f t="shared" ca="1" si="157"/>
        <v>0</v>
      </c>
      <c r="AE402" s="363" t="str">
        <f t="shared" si="158"/>
        <v/>
      </c>
      <c r="AF402" s="342" t="str">
        <f t="shared" si="159"/>
        <v/>
      </c>
      <c r="AG402" s="411" t="e">
        <f ca="1">VLOOKUP(_xlfn.CONCAT(U402,V402,W402,VLOOKUP(X402&amp;Y402,TIME!$L$27:$O$34,4,FALSE),Y402),HIS_SALES!$A$2:$R$5093,18,FALSE)</f>
        <v>#N/A</v>
      </c>
      <c r="AH402" s="412" t="e">
        <f ca="1">IFERROR(IF(AND(V402=V401,W402=W401),0.5*(AB402+AB401)*AG402,(VLOOKUP(_xlfn.CONCAT(U402,V402,W402,X402,VLOOKUP(Z402,TIME!$S$28:$T$39,2,FALSE)),FC_DATA!$R$2:$AB$5000,MATCH("GS_I_M",FC_DATA!$R$1:$AB$1,0),FALSE)+FC_DATA!AB402)*0.5*FC_DATA!AG402),NA())</f>
        <v>#N/A</v>
      </c>
      <c r="AI402" s="491" t="e">
        <f ca="1">IF(V402="PARTNER.com",AH402,IF(AND(V402=V401,W402=W401),(1-AVERAGE(AD401,AD402))*AH402,(1-AVERAGE(AD402,VLOOKUP(_xlfn.CONCAT(U402,V402,W402,X402,M_BRAND_FC!$F$6),FC_DATA!$R$2:$AD$5000,MATCH("DISCOUNT_%_M",FC_DATA!$R$1:$AD$1,0),FALSE)))*AH402))</f>
        <v>#N/A</v>
      </c>
      <c r="AJ402" s="412" t="str">
        <f t="shared" ca="1" si="160"/>
        <v/>
      </c>
      <c r="AK402" s="413" t="str">
        <f>IFERROR(AE402/(Q_BRAND_FC!$T$24+1),"")</f>
        <v/>
      </c>
      <c r="AL402" s="88" t="str">
        <f t="shared" ca="1" si="161"/>
        <v/>
      </c>
      <c r="AM402" s="414" t="str">
        <f t="shared" ca="1" si="162"/>
        <v/>
      </c>
      <c r="AN402" s="58">
        <f>IFERROR(IF($V402="BRAND.com",HLOOKUP($X402&amp;$Z402,NWC_FC_NOOS!$C$4:$Q$23,MATCH(W402,NWC_FC_NOOS!$B$4:$B$23,0),FALSE),0),0)</f>
        <v>0</v>
      </c>
      <c r="AO402" s="57">
        <f>IFERROR(IF($V402="BRAND.com",HLOOKUP($X402&amp;$Z402,NWC_FC_NOOS!$T$4:$AH$23,MATCH(W402,NWC_FC_NOOS!$S$4:$S$23,0),FALSE),0),0)</f>
        <v>0</v>
      </c>
      <c r="AP402" s="57">
        <f>IFERROR(IF($V402="BRAND.com",HLOOKUP($X402&amp;$Z402,NWC_FC_NOOS!$C$50:$U$69,MATCH(W402,NWC_FC_NOOS!$B$50:$B$69,0),FALSE),0),0)</f>
        <v>0</v>
      </c>
      <c r="AQ402" s="58">
        <f>IFERROR(IF($V402="BRAND.com",HLOOKUP($X402&amp;$Z402,'NWC_FC_NON-NOOS'!$C$4:$Q$23,MATCH(W402,'NWC_FC_NON-NOOS'!$B$4:$B$23,0),FALSE),0),0)</f>
        <v>0</v>
      </c>
      <c r="AR402" s="57">
        <f>IFERROR(IF($V402="BRAND.com",HLOOKUP($X402&amp;$Z402,'NWC_FC_NON-NOOS'!$T$4:$AH$23,MATCH(W402,'NWC_FC_NON-NOOS'!$S$4:$S$23,0),FALSE),0),0)</f>
        <v>0</v>
      </c>
      <c r="AS402" s="57">
        <f>IFERROR(IF($V402="BRAND.com",HLOOKUP($X402&amp;$Z402,'NWC_FC_NON-NOOS'!$C$50:$U$69,MATCH(W402,'NWC_FC_NON-NOOS'!$B$50:$B$69,0),FALSE),0),0)</f>
        <v>0</v>
      </c>
      <c r="AT402" s="57">
        <f t="shared" si="164"/>
        <v>0</v>
      </c>
      <c r="AU402" s="57">
        <f t="shared" si="165"/>
        <v>0</v>
      </c>
      <c r="AV402" s="58">
        <f>IFERROR(IF($V402="BRAND.com",HLOOKUP($X402&amp;$Z402,PLANNING_FC!$BB$27:$BP$46,MATCH($W402,PLANNING_FC!$BA$27:$BA$46,0),FALSE),0),0)</f>
        <v>0</v>
      </c>
      <c r="AW402" s="58">
        <f>IFERROR(IF($V402="BRAND.com",HLOOKUP($X402&amp;$Z402,PLANNING_FC!$BB$4:$BP$23,MATCH($W402,PLANNING_FC!$BA$4:$BA$23,0),FALSE),0),0)</f>
        <v>0</v>
      </c>
      <c r="AX402" s="58">
        <f>IFERROR(IF($V402="BRAND.com",HLOOKUP($X402&amp;$Z402,PLANNING_FC!$T$27:$AH$46,MATCH($W402,PLANNING_FC!$B$27:$B$46,0),FALSE),0),0)</f>
        <v>0</v>
      </c>
      <c r="AY402" s="58">
        <f>IFERROR(IF($V402="BRAND.com",HLOOKUP($X402&amp;$Z402,PLANNING_FC!$T$4:$AH$23,MATCH($W402,PLANNING_FC!$B$4:$B$23,0),FALSE),0),0)</f>
        <v>0</v>
      </c>
      <c r="AZ402" s="58">
        <f>IFERROR(IF($V402="BRAND.com",HLOOKUP($X402&amp;$Z402,PLANNING_FC!$DA$27:$DO$46,MATCH($W402,PLANNING_FC!$CZ$27:$CZ$46,0),FALSE),0),0)</f>
        <v>0</v>
      </c>
      <c r="BA402" s="58">
        <f>IFERROR(IF($V402="BRAND.com",HLOOKUP($X402&amp;$Z402,PLANNING_FC!$DA$4:$DO$23,MATCH($W402,PLANNING_FC!$CZ$4:$CZ$23,0),FALSE),0),0)</f>
        <v>0</v>
      </c>
      <c r="BB402" s="883" t="str">
        <f>IF(V402="BRAND.com",IFERROR(HLOOKUP(X402&amp;Z402,PLANNING_FC!$AK$4:$AY$23,MATCH(W402,PLANNING_FC!$AJ$4:$AJ$23,0),FALSE)*1000,""),"")</f>
        <v/>
      </c>
      <c r="BC402" s="883" t="str">
        <f>IF(V402="BRAND.com",IFERROR(HLOOKUP(X402&amp;Z402,PLANNING_FC!$AK$27:$AY$46,MATCH(W402,PLANNING_FC!$AJ$27:$AJ$46,0),FALSE)*1000,""),"")</f>
        <v/>
      </c>
    </row>
    <row r="403" spans="1:55" x14ac:dyDescent="0.25">
      <c r="A403" s="509"/>
      <c r="B403" s="509"/>
      <c r="C403" s="509"/>
      <c r="D403" s="509"/>
      <c r="E403" s="509"/>
      <c r="F403" s="509"/>
      <c r="G403" s="509"/>
      <c r="H403" s="509"/>
      <c r="I403" s="512"/>
      <c r="J403" s="513"/>
      <c r="K403" s="879"/>
      <c r="L403" s="515"/>
      <c r="M403" s="516"/>
      <c r="N403" s="56">
        <f t="shared" si="146"/>
        <v>0</v>
      </c>
      <c r="O403" s="57">
        <f t="shared" si="147"/>
        <v>0</v>
      </c>
      <c r="P403" s="57">
        <f ca="1">IFERROR(IF(ISBLANK(H403),SUMIFS($AC:$AC,$V:$V,V403,$W:$W,W403,$X:$X,X403,$Y:$Y,Y403)*J403/(1-J403)*VLOOKUP(_xlfn.CONCAT(C403,D403,E403,TIME!$M$12,Z403),HIS_SALES!$B$2:$W$4859,20,FALSE),AC403*J403/(1-J403)),0)</f>
        <v>0</v>
      </c>
      <c r="Q403" s="541" t="str">
        <f t="shared" si="148"/>
        <v/>
      </c>
      <c r="R403" s="346" t="str">
        <f t="shared" si="149"/>
        <v>00000</v>
      </c>
      <c r="S403" s="344">
        <f t="shared" si="150"/>
        <v>0</v>
      </c>
      <c r="T403" s="345" t="str">
        <f t="shared" si="163"/>
        <v>000</v>
      </c>
      <c r="U403" s="345">
        <f t="shared" si="151"/>
        <v>0</v>
      </c>
      <c r="V403" s="345">
        <f t="shared" si="152"/>
        <v>0</v>
      </c>
      <c r="W403" s="345">
        <f t="shared" si="153"/>
        <v>0</v>
      </c>
      <c r="X403" s="345">
        <f t="shared" si="154"/>
        <v>0</v>
      </c>
      <c r="Y403" s="345">
        <f t="shared" si="155"/>
        <v>0</v>
      </c>
      <c r="Z403" s="345">
        <f>IF(Q403&lt;&gt;"",VLOOKUP(Y403,TIME!$R$21:$V$24,MATCH(FC_DATA!Q403,TIME!$R$20:$V$20,0),FALSE),H403)</f>
        <v>0</v>
      </c>
      <c r="AA403" s="345" t="str">
        <f>IFERROR(VLOOKUP(X403&amp;Z403,TIME!$A$12:$D$71,4,FALSE),"")</f>
        <v/>
      </c>
      <c r="AB403" s="592">
        <f t="shared" ca="1" si="156"/>
        <v>0</v>
      </c>
      <c r="AC403" s="593" t="e">
        <f ca="1">IF(ISBLANK(H403)=FALSE,IF(D403="BRAND.com",I403,IF(ISNA(VLOOKUP(_xlfn.CONCAT(X403,Z403),TIME!$M$40:$M$42,1,FALSE)),I403,VLOOKUP(_xlfn.CONCAT(D403,G403,H403),M_BUSAREA_FC!$AF$5:$AJ$10,5,FALSE)*HLOOKUP(_xlfn.CONCAT(F403,H403),ST_OVERVIEW!$G$99:$I$130,MATCH(_xlfn.CONCAT(D403,E403),ST_OVERVIEW!$F$99:$F$130,0),FALSE))),IF(D403="BRAND.com",VLOOKUP(_xlfn.CONCAT(C403,D403,E403,TIME!$F$1,Z403),HIS_SALES!$B$2:$V$4859,19,FALSE)*I403,VLOOKUP(_xlfn.CONCAT(D403,F403,G403),Q_BUSAREA_FC!$AE$5:$AI$12,5,FALSE)*HLOOKUP(_xlfn.CONCAT(FC_DATA!F403,FC_DATA!G403),LT_OVERVIEW!$I$99:$M$130,MATCH(_xlfn.CONCAT(D403,FC_DATA!E403),LT_OVERVIEW!$H$99:$H$130,0),FALSE)*IFERROR(VLOOKUP(_xlfn.CONCAT(C403,D403,E403,TIME!$F$1,Z403),HIS_SALES!$B$2:$V$4859,19,FALSE),0)))</f>
        <v>#N/A</v>
      </c>
      <c r="AD403" s="341">
        <f t="shared" ca="1" si="157"/>
        <v>0</v>
      </c>
      <c r="AE403" s="363" t="str">
        <f t="shared" si="158"/>
        <v/>
      </c>
      <c r="AF403" s="342" t="str">
        <f t="shared" si="159"/>
        <v/>
      </c>
      <c r="AG403" s="411" t="e">
        <f ca="1">VLOOKUP(_xlfn.CONCAT(U403,V403,W403,VLOOKUP(X403&amp;Y403,TIME!$L$27:$O$34,4,FALSE),Y403),HIS_SALES!$A$2:$R$5093,18,FALSE)</f>
        <v>#N/A</v>
      </c>
      <c r="AH403" s="412" t="e">
        <f ca="1">IFERROR(IF(AND(V403=V402,W403=W402),0.5*(AB403+AB402)*AG403,(VLOOKUP(_xlfn.CONCAT(U403,V403,W403,X403,VLOOKUP(Z403,TIME!$S$28:$T$39,2,FALSE)),FC_DATA!$R$2:$AB$5000,MATCH("GS_I_M",FC_DATA!$R$1:$AB$1,0),FALSE)+FC_DATA!AB403)*0.5*FC_DATA!AG403),NA())</f>
        <v>#N/A</v>
      </c>
      <c r="AI403" s="491" t="e">
        <f ca="1">IF(V403="PARTNER.com",AH403,IF(AND(V403=V402,W403=W402),(1-AVERAGE(AD402,AD403))*AH403,(1-AVERAGE(AD403,VLOOKUP(_xlfn.CONCAT(U403,V403,W403,X403,M_BRAND_FC!$F$6),FC_DATA!$R$2:$AD$5000,MATCH("DISCOUNT_%_M",FC_DATA!$R$1:$AD$1,0),FALSE)))*AH403))</f>
        <v>#N/A</v>
      </c>
      <c r="AJ403" s="412" t="str">
        <f t="shared" ca="1" si="160"/>
        <v/>
      </c>
      <c r="AK403" s="413" t="str">
        <f>IFERROR(AE403/(Q_BRAND_FC!$T$24+1),"")</f>
        <v/>
      </c>
      <c r="AL403" s="88" t="str">
        <f t="shared" ca="1" si="161"/>
        <v/>
      </c>
      <c r="AM403" s="414" t="str">
        <f t="shared" ca="1" si="162"/>
        <v/>
      </c>
      <c r="AN403" s="58">
        <f>IFERROR(IF($V403="BRAND.com",HLOOKUP($X403&amp;$Z403,NWC_FC_NOOS!$C$4:$Q$23,MATCH(W403,NWC_FC_NOOS!$B$4:$B$23,0),FALSE),0),0)</f>
        <v>0</v>
      </c>
      <c r="AO403" s="57">
        <f>IFERROR(IF($V403="BRAND.com",HLOOKUP($X403&amp;$Z403,NWC_FC_NOOS!$T$4:$AH$23,MATCH(W403,NWC_FC_NOOS!$S$4:$S$23,0),FALSE),0),0)</f>
        <v>0</v>
      </c>
      <c r="AP403" s="57">
        <f>IFERROR(IF($V403="BRAND.com",HLOOKUP($X403&amp;$Z403,NWC_FC_NOOS!$C$50:$U$69,MATCH(W403,NWC_FC_NOOS!$B$50:$B$69,0),FALSE),0),0)</f>
        <v>0</v>
      </c>
      <c r="AQ403" s="58">
        <f>IFERROR(IF($V403="BRAND.com",HLOOKUP($X403&amp;$Z403,'NWC_FC_NON-NOOS'!$C$4:$Q$23,MATCH(W403,'NWC_FC_NON-NOOS'!$B$4:$B$23,0),FALSE),0),0)</f>
        <v>0</v>
      </c>
      <c r="AR403" s="57">
        <f>IFERROR(IF($V403="BRAND.com",HLOOKUP($X403&amp;$Z403,'NWC_FC_NON-NOOS'!$T$4:$AH$23,MATCH(W403,'NWC_FC_NON-NOOS'!$S$4:$S$23,0),FALSE),0),0)</f>
        <v>0</v>
      </c>
      <c r="AS403" s="57">
        <f>IFERROR(IF($V403="BRAND.com",HLOOKUP($X403&amp;$Z403,'NWC_FC_NON-NOOS'!$C$50:$U$69,MATCH(W403,'NWC_FC_NON-NOOS'!$B$50:$B$69,0),FALSE),0),0)</f>
        <v>0</v>
      </c>
      <c r="AT403" s="57">
        <f t="shared" si="164"/>
        <v>0</v>
      </c>
      <c r="AU403" s="57">
        <f t="shared" si="165"/>
        <v>0</v>
      </c>
      <c r="AV403" s="58">
        <f>IFERROR(IF($V403="BRAND.com",HLOOKUP($X403&amp;$Z403,PLANNING_FC!$BB$27:$BP$46,MATCH($W403,PLANNING_FC!$BA$27:$BA$46,0),FALSE),0),0)</f>
        <v>0</v>
      </c>
      <c r="AW403" s="58">
        <f>IFERROR(IF($V403="BRAND.com",HLOOKUP($X403&amp;$Z403,PLANNING_FC!$BB$4:$BP$23,MATCH($W403,PLANNING_FC!$BA$4:$BA$23,0),FALSE),0),0)</f>
        <v>0</v>
      </c>
      <c r="AX403" s="58">
        <f>IFERROR(IF($V403="BRAND.com",HLOOKUP($X403&amp;$Z403,PLANNING_FC!$T$27:$AH$46,MATCH($W403,PLANNING_FC!$B$27:$B$46,0),FALSE),0),0)</f>
        <v>0</v>
      </c>
      <c r="AY403" s="58">
        <f>IFERROR(IF($V403="BRAND.com",HLOOKUP($X403&amp;$Z403,PLANNING_FC!$T$4:$AH$23,MATCH($W403,PLANNING_FC!$B$4:$B$23,0),FALSE),0),0)</f>
        <v>0</v>
      </c>
      <c r="AZ403" s="58">
        <f>IFERROR(IF($V403="BRAND.com",HLOOKUP($X403&amp;$Z403,PLANNING_FC!$DA$27:$DO$46,MATCH($W403,PLANNING_FC!$CZ$27:$CZ$46,0),FALSE),0),0)</f>
        <v>0</v>
      </c>
      <c r="BA403" s="58">
        <f>IFERROR(IF($V403="BRAND.com",HLOOKUP($X403&amp;$Z403,PLANNING_FC!$DA$4:$DO$23,MATCH($W403,PLANNING_FC!$CZ$4:$CZ$23,0),FALSE),0),0)</f>
        <v>0</v>
      </c>
      <c r="BB403" s="883" t="str">
        <f>IF(V403="BRAND.com",IFERROR(HLOOKUP(X403&amp;Z403,PLANNING_FC!$AK$4:$AY$23,MATCH(W403,PLANNING_FC!$AJ$4:$AJ$23,0),FALSE)*1000,""),"")</f>
        <v/>
      </c>
      <c r="BC403" s="883" t="str">
        <f>IF(V403="BRAND.com",IFERROR(HLOOKUP(X403&amp;Z403,PLANNING_FC!$AK$27:$AY$46,MATCH(W403,PLANNING_FC!$AJ$27:$AJ$46,0),FALSE)*1000,""),"")</f>
        <v/>
      </c>
    </row>
    <row r="404" spans="1:55" x14ac:dyDescent="0.25">
      <c r="A404" s="509"/>
      <c r="B404" s="509"/>
      <c r="C404" s="509"/>
      <c r="D404" s="509"/>
      <c r="E404" s="509"/>
      <c r="F404" s="509"/>
      <c r="G404" s="509"/>
      <c r="H404" s="509"/>
      <c r="I404" s="512"/>
      <c r="J404" s="513"/>
      <c r="K404" s="879"/>
      <c r="L404" s="515"/>
      <c r="M404" s="516"/>
      <c r="N404" s="56">
        <f t="shared" si="146"/>
        <v>0</v>
      </c>
      <c r="O404" s="57">
        <f t="shared" si="147"/>
        <v>0</v>
      </c>
      <c r="P404" s="57">
        <f ca="1">IFERROR(IF(ISBLANK(H404),SUMIFS($AC:$AC,$V:$V,V404,$W:$W,W404,$X:$X,X404,$Y:$Y,Y404)*J404/(1-J404)*VLOOKUP(_xlfn.CONCAT(C404,D404,E404,TIME!$M$12,Z404),HIS_SALES!$B$2:$W$4859,20,FALSE),AC404*J404/(1-J404)),0)</f>
        <v>0</v>
      </c>
      <c r="Q404" s="541" t="str">
        <f t="shared" si="148"/>
        <v/>
      </c>
      <c r="R404" s="346" t="str">
        <f t="shared" si="149"/>
        <v>00000</v>
      </c>
      <c r="S404" s="344">
        <f t="shared" si="150"/>
        <v>0</v>
      </c>
      <c r="T404" s="345" t="str">
        <f t="shared" si="163"/>
        <v>000</v>
      </c>
      <c r="U404" s="345">
        <f t="shared" si="151"/>
        <v>0</v>
      </c>
      <c r="V404" s="345">
        <f t="shared" si="152"/>
        <v>0</v>
      </c>
      <c r="W404" s="345">
        <f t="shared" si="153"/>
        <v>0</v>
      </c>
      <c r="X404" s="345">
        <f t="shared" si="154"/>
        <v>0</v>
      </c>
      <c r="Y404" s="345">
        <f t="shared" si="155"/>
        <v>0</v>
      </c>
      <c r="Z404" s="345">
        <f>IF(Q404&lt;&gt;"",VLOOKUP(Y404,TIME!$R$21:$V$24,MATCH(FC_DATA!Q404,TIME!$R$20:$V$20,0),FALSE),H404)</f>
        <v>0</v>
      </c>
      <c r="AA404" s="345" t="str">
        <f>IFERROR(VLOOKUP(X404&amp;Z404,TIME!$A$12:$D$71,4,FALSE),"")</f>
        <v/>
      </c>
      <c r="AB404" s="592">
        <f t="shared" ca="1" si="156"/>
        <v>0</v>
      </c>
      <c r="AC404" s="593" t="e">
        <f ca="1">IF(ISBLANK(H404)=FALSE,IF(D404="BRAND.com",I404,IF(ISNA(VLOOKUP(_xlfn.CONCAT(X404,Z404),TIME!$M$40:$M$42,1,FALSE)),I404,VLOOKUP(_xlfn.CONCAT(D404,G404,H404),M_BUSAREA_FC!$AF$5:$AJ$10,5,FALSE)*HLOOKUP(_xlfn.CONCAT(F404,H404),ST_OVERVIEW!$G$99:$I$130,MATCH(_xlfn.CONCAT(D404,E404),ST_OVERVIEW!$F$99:$F$130,0),FALSE))),IF(D404="BRAND.com",VLOOKUP(_xlfn.CONCAT(C404,D404,E404,TIME!$F$1,Z404),HIS_SALES!$B$2:$V$4859,19,FALSE)*I404,VLOOKUP(_xlfn.CONCAT(D404,F404,G404),Q_BUSAREA_FC!$AE$5:$AI$12,5,FALSE)*HLOOKUP(_xlfn.CONCAT(FC_DATA!F404,FC_DATA!G404),LT_OVERVIEW!$I$99:$M$130,MATCH(_xlfn.CONCAT(D404,FC_DATA!E404),LT_OVERVIEW!$H$99:$H$130,0),FALSE)*IFERROR(VLOOKUP(_xlfn.CONCAT(C404,D404,E404,TIME!$F$1,Z404),HIS_SALES!$B$2:$V$4859,19,FALSE),0)))</f>
        <v>#N/A</v>
      </c>
      <c r="AD404" s="341">
        <f t="shared" ca="1" si="157"/>
        <v>0</v>
      </c>
      <c r="AE404" s="363" t="str">
        <f t="shared" si="158"/>
        <v/>
      </c>
      <c r="AF404" s="342" t="str">
        <f t="shared" si="159"/>
        <v/>
      </c>
      <c r="AG404" s="411" t="e">
        <f ca="1">VLOOKUP(_xlfn.CONCAT(U404,V404,W404,VLOOKUP(X404&amp;Y404,TIME!$L$27:$O$34,4,FALSE),Y404),HIS_SALES!$A$2:$R$5093,18,FALSE)</f>
        <v>#N/A</v>
      </c>
      <c r="AH404" s="412" t="e">
        <f ca="1">IFERROR(IF(AND(V404=V403,W404=W403),0.5*(AB404+AB403)*AG404,(VLOOKUP(_xlfn.CONCAT(U404,V404,W404,X404,VLOOKUP(Z404,TIME!$S$28:$T$39,2,FALSE)),FC_DATA!$R$2:$AB$5000,MATCH("GS_I_M",FC_DATA!$R$1:$AB$1,0),FALSE)+FC_DATA!AB404)*0.5*FC_DATA!AG404),NA())</f>
        <v>#N/A</v>
      </c>
      <c r="AI404" s="491" t="e">
        <f ca="1">IF(V404="PARTNER.com",AH404,IF(AND(V404=V403,W404=W403),(1-AVERAGE(AD403,AD404))*AH404,(1-AVERAGE(AD404,VLOOKUP(_xlfn.CONCAT(U404,V404,W404,X404,M_BRAND_FC!$F$6),FC_DATA!$R$2:$AD$5000,MATCH("DISCOUNT_%_M",FC_DATA!$R$1:$AD$1,0),FALSE)))*AH404))</f>
        <v>#N/A</v>
      </c>
      <c r="AJ404" s="412" t="str">
        <f t="shared" ca="1" si="160"/>
        <v/>
      </c>
      <c r="AK404" s="413" t="str">
        <f>IFERROR(AE404/(Q_BRAND_FC!$T$24+1),"")</f>
        <v/>
      </c>
      <c r="AL404" s="88" t="str">
        <f t="shared" ca="1" si="161"/>
        <v/>
      </c>
      <c r="AM404" s="414" t="str">
        <f t="shared" ca="1" si="162"/>
        <v/>
      </c>
      <c r="AN404" s="58">
        <f>IFERROR(IF($V404="BRAND.com",HLOOKUP($X404&amp;$Z404,NWC_FC_NOOS!$C$4:$Q$23,MATCH(W404,NWC_FC_NOOS!$B$4:$B$23,0),FALSE),0),0)</f>
        <v>0</v>
      </c>
      <c r="AO404" s="57">
        <f>IFERROR(IF($V404="BRAND.com",HLOOKUP($X404&amp;$Z404,NWC_FC_NOOS!$T$4:$AH$23,MATCH(W404,NWC_FC_NOOS!$S$4:$S$23,0),FALSE),0),0)</f>
        <v>0</v>
      </c>
      <c r="AP404" s="57">
        <f>IFERROR(IF($V404="BRAND.com",HLOOKUP($X404&amp;$Z404,NWC_FC_NOOS!$C$50:$U$69,MATCH(W404,NWC_FC_NOOS!$B$50:$B$69,0),FALSE),0),0)</f>
        <v>0</v>
      </c>
      <c r="AQ404" s="58">
        <f>IFERROR(IF($V404="BRAND.com",HLOOKUP($X404&amp;$Z404,'NWC_FC_NON-NOOS'!$C$4:$Q$23,MATCH(W404,'NWC_FC_NON-NOOS'!$B$4:$B$23,0),FALSE),0),0)</f>
        <v>0</v>
      </c>
      <c r="AR404" s="57">
        <f>IFERROR(IF($V404="BRAND.com",HLOOKUP($X404&amp;$Z404,'NWC_FC_NON-NOOS'!$T$4:$AH$23,MATCH(W404,'NWC_FC_NON-NOOS'!$S$4:$S$23,0),FALSE),0),0)</f>
        <v>0</v>
      </c>
      <c r="AS404" s="57">
        <f>IFERROR(IF($V404="BRAND.com",HLOOKUP($X404&amp;$Z404,'NWC_FC_NON-NOOS'!$C$50:$U$69,MATCH(W404,'NWC_FC_NON-NOOS'!$B$50:$B$69,0),FALSE),0),0)</f>
        <v>0</v>
      </c>
      <c r="AT404" s="57">
        <f t="shared" si="164"/>
        <v>0</v>
      </c>
      <c r="AU404" s="57">
        <f t="shared" si="165"/>
        <v>0</v>
      </c>
      <c r="AV404" s="58">
        <f>IFERROR(IF($V404="BRAND.com",HLOOKUP($X404&amp;$Z404,PLANNING_FC!$BB$27:$BP$46,MATCH($W404,PLANNING_FC!$BA$27:$BA$46,0),FALSE),0),0)</f>
        <v>0</v>
      </c>
      <c r="AW404" s="58">
        <f>IFERROR(IF($V404="BRAND.com",HLOOKUP($X404&amp;$Z404,PLANNING_FC!$BB$4:$BP$23,MATCH($W404,PLANNING_FC!$BA$4:$BA$23,0),FALSE),0),0)</f>
        <v>0</v>
      </c>
      <c r="AX404" s="58">
        <f>IFERROR(IF($V404="BRAND.com",HLOOKUP($X404&amp;$Z404,PLANNING_FC!$T$27:$AH$46,MATCH($W404,PLANNING_FC!$B$27:$B$46,0),FALSE),0),0)</f>
        <v>0</v>
      </c>
      <c r="AY404" s="58">
        <f>IFERROR(IF($V404="BRAND.com",HLOOKUP($X404&amp;$Z404,PLANNING_FC!$T$4:$AH$23,MATCH($W404,PLANNING_FC!$B$4:$B$23,0),FALSE),0),0)</f>
        <v>0</v>
      </c>
      <c r="AZ404" s="58">
        <f>IFERROR(IF($V404="BRAND.com",HLOOKUP($X404&amp;$Z404,PLANNING_FC!$DA$27:$DO$46,MATCH($W404,PLANNING_FC!$CZ$27:$CZ$46,0),FALSE),0),0)</f>
        <v>0</v>
      </c>
      <c r="BA404" s="58">
        <f>IFERROR(IF($V404="BRAND.com",HLOOKUP($X404&amp;$Z404,PLANNING_FC!$DA$4:$DO$23,MATCH($W404,PLANNING_FC!$CZ$4:$CZ$23,0),FALSE),0),0)</f>
        <v>0</v>
      </c>
      <c r="BB404" s="883" t="str">
        <f>IF(V404="BRAND.com",IFERROR(HLOOKUP(X404&amp;Z404,PLANNING_FC!$AK$4:$AY$23,MATCH(W404,PLANNING_FC!$AJ$4:$AJ$23,0),FALSE)*1000,""),"")</f>
        <v/>
      </c>
      <c r="BC404" s="883" t="str">
        <f>IF(V404="BRAND.com",IFERROR(HLOOKUP(X404&amp;Z404,PLANNING_FC!$AK$27:$AY$46,MATCH(W404,PLANNING_FC!$AJ$27:$AJ$46,0),FALSE)*1000,""),"")</f>
        <v/>
      </c>
    </row>
    <row r="405" spans="1:55" x14ac:dyDescent="0.25">
      <c r="A405" s="509"/>
      <c r="B405" s="509"/>
      <c r="C405" s="509"/>
      <c r="D405" s="509"/>
      <c r="E405" s="509"/>
      <c r="F405" s="509"/>
      <c r="G405" s="509"/>
      <c r="H405" s="509"/>
      <c r="I405" s="512"/>
      <c r="J405" s="513"/>
      <c r="K405" s="879"/>
      <c r="L405" s="515"/>
      <c r="M405" s="516"/>
      <c r="N405" s="56">
        <f t="shared" si="146"/>
        <v>0</v>
      </c>
      <c r="O405" s="57">
        <f t="shared" si="147"/>
        <v>0</v>
      </c>
      <c r="P405" s="57">
        <f ca="1">IFERROR(IF(ISBLANK(H405),SUMIFS($AC:$AC,$V:$V,V405,$W:$W,W405,$X:$X,X405,$Y:$Y,Y405)*J405/(1-J405)*VLOOKUP(_xlfn.CONCAT(C405,D405,E405,TIME!$M$12,Z405),HIS_SALES!$B$2:$W$4859,20,FALSE),AC405*J405/(1-J405)),0)</f>
        <v>0</v>
      </c>
      <c r="Q405" s="541" t="str">
        <f t="shared" si="148"/>
        <v/>
      </c>
      <c r="R405" s="346" t="str">
        <f t="shared" si="149"/>
        <v>00000</v>
      </c>
      <c r="S405" s="344">
        <f t="shared" si="150"/>
        <v>0</v>
      </c>
      <c r="T405" s="345" t="str">
        <f t="shared" si="163"/>
        <v>000</v>
      </c>
      <c r="U405" s="345">
        <f t="shared" si="151"/>
        <v>0</v>
      </c>
      <c r="V405" s="345">
        <f t="shared" si="152"/>
        <v>0</v>
      </c>
      <c r="W405" s="345">
        <f t="shared" si="153"/>
        <v>0</v>
      </c>
      <c r="X405" s="345">
        <f t="shared" si="154"/>
        <v>0</v>
      </c>
      <c r="Y405" s="345">
        <f t="shared" si="155"/>
        <v>0</v>
      </c>
      <c r="Z405" s="345">
        <f>IF(Q405&lt;&gt;"",VLOOKUP(Y405,TIME!$R$21:$V$24,MATCH(FC_DATA!Q405,TIME!$R$20:$V$20,0),FALSE),H405)</f>
        <v>0</v>
      </c>
      <c r="AA405" s="345" t="str">
        <f>IFERROR(VLOOKUP(X405&amp;Z405,TIME!$A$12:$D$71,4,FALSE),"")</f>
        <v/>
      </c>
      <c r="AB405" s="592">
        <f t="shared" ca="1" si="156"/>
        <v>0</v>
      </c>
      <c r="AC405" s="593" t="e">
        <f ca="1">IF(ISBLANK(H405)=FALSE,IF(D405="BRAND.com",I405,IF(ISNA(VLOOKUP(_xlfn.CONCAT(X405,Z405),TIME!$M$40:$M$42,1,FALSE)),I405,VLOOKUP(_xlfn.CONCAT(D405,G405,H405),M_BUSAREA_FC!$AF$5:$AJ$10,5,FALSE)*HLOOKUP(_xlfn.CONCAT(F405,H405),ST_OVERVIEW!$G$99:$I$130,MATCH(_xlfn.CONCAT(D405,E405),ST_OVERVIEW!$F$99:$F$130,0),FALSE))),IF(D405="BRAND.com",VLOOKUP(_xlfn.CONCAT(C405,D405,E405,TIME!$F$1,Z405),HIS_SALES!$B$2:$V$4859,19,FALSE)*I405,VLOOKUP(_xlfn.CONCAT(D405,F405,G405),Q_BUSAREA_FC!$AE$5:$AI$12,5,FALSE)*HLOOKUP(_xlfn.CONCAT(FC_DATA!F405,FC_DATA!G405),LT_OVERVIEW!$I$99:$M$130,MATCH(_xlfn.CONCAT(D405,FC_DATA!E405),LT_OVERVIEW!$H$99:$H$130,0),FALSE)*IFERROR(VLOOKUP(_xlfn.CONCAT(C405,D405,E405,TIME!$F$1,Z405),HIS_SALES!$B$2:$V$4859,19,FALSE),0)))</f>
        <v>#N/A</v>
      </c>
      <c r="AD405" s="341">
        <f t="shared" ca="1" si="157"/>
        <v>0</v>
      </c>
      <c r="AE405" s="363" t="str">
        <f t="shared" si="158"/>
        <v/>
      </c>
      <c r="AF405" s="342" t="str">
        <f t="shared" si="159"/>
        <v/>
      </c>
      <c r="AG405" s="411" t="e">
        <f ca="1">VLOOKUP(_xlfn.CONCAT(U405,V405,W405,VLOOKUP(X405&amp;Y405,TIME!$L$27:$O$34,4,FALSE),Y405),HIS_SALES!$A$2:$R$5093,18,FALSE)</f>
        <v>#N/A</v>
      </c>
      <c r="AH405" s="412" t="e">
        <f ca="1">IFERROR(IF(AND(V405=V404,W405=W404),0.5*(AB405+AB404)*AG405,(VLOOKUP(_xlfn.CONCAT(U405,V405,W405,X405,VLOOKUP(Z405,TIME!$S$28:$T$39,2,FALSE)),FC_DATA!$R$2:$AB$5000,MATCH("GS_I_M",FC_DATA!$R$1:$AB$1,0),FALSE)+FC_DATA!AB405)*0.5*FC_DATA!AG405),NA())</f>
        <v>#N/A</v>
      </c>
      <c r="AI405" s="491" t="e">
        <f ca="1">IF(V405="PARTNER.com",AH405,IF(AND(V405=V404,W405=W404),(1-AVERAGE(AD404,AD405))*AH405,(1-AVERAGE(AD405,VLOOKUP(_xlfn.CONCAT(U405,V405,W405,X405,M_BRAND_FC!$F$6),FC_DATA!$R$2:$AD$5000,MATCH("DISCOUNT_%_M",FC_DATA!$R$1:$AD$1,0),FALSE)))*AH405))</f>
        <v>#N/A</v>
      </c>
      <c r="AJ405" s="412" t="str">
        <f t="shared" ca="1" si="160"/>
        <v/>
      </c>
      <c r="AK405" s="413" t="str">
        <f>IFERROR(AE405/(Q_BRAND_FC!$T$24+1),"")</f>
        <v/>
      </c>
      <c r="AL405" s="88" t="str">
        <f t="shared" ca="1" si="161"/>
        <v/>
      </c>
      <c r="AM405" s="414" t="str">
        <f t="shared" ca="1" si="162"/>
        <v/>
      </c>
      <c r="AN405" s="58">
        <f>IFERROR(IF($V405="BRAND.com",HLOOKUP($X405&amp;$Z405,NWC_FC_NOOS!$C$4:$Q$23,MATCH(W405,NWC_FC_NOOS!$B$4:$B$23,0),FALSE),0),0)</f>
        <v>0</v>
      </c>
      <c r="AO405" s="57">
        <f>IFERROR(IF($V405="BRAND.com",HLOOKUP($X405&amp;$Z405,NWC_FC_NOOS!$T$4:$AH$23,MATCH(W405,NWC_FC_NOOS!$S$4:$S$23,0),FALSE),0),0)</f>
        <v>0</v>
      </c>
      <c r="AP405" s="57">
        <f>IFERROR(IF($V405="BRAND.com",HLOOKUP($X405&amp;$Z405,NWC_FC_NOOS!$C$50:$U$69,MATCH(W405,NWC_FC_NOOS!$B$50:$B$69,0),FALSE),0),0)</f>
        <v>0</v>
      </c>
      <c r="AQ405" s="58">
        <f>IFERROR(IF($V405="BRAND.com",HLOOKUP($X405&amp;$Z405,'NWC_FC_NON-NOOS'!$C$4:$Q$23,MATCH(W405,'NWC_FC_NON-NOOS'!$B$4:$B$23,0),FALSE),0),0)</f>
        <v>0</v>
      </c>
      <c r="AR405" s="57">
        <f>IFERROR(IF($V405="BRAND.com",HLOOKUP($X405&amp;$Z405,'NWC_FC_NON-NOOS'!$T$4:$AH$23,MATCH(W405,'NWC_FC_NON-NOOS'!$S$4:$S$23,0),FALSE),0),0)</f>
        <v>0</v>
      </c>
      <c r="AS405" s="57">
        <f>IFERROR(IF($V405="BRAND.com",HLOOKUP($X405&amp;$Z405,'NWC_FC_NON-NOOS'!$C$50:$U$69,MATCH(W405,'NWC_FC_NON-NOOS'!$B$50:$B$69,0),FALSE),0),0)</f>
        <v>0</v>
      </c>
      <c r="AT405" s="57">
        <f t="shared" si="164"/>
        <v>0</v>
      </c>
      <c r="AU405" s="57">
        <f t="shared" si="165"/>
        <v>0</v>
      </c>
      <c r="AV405" s="58">
        <f>IFERROR(IF($V405="BRAND.com",HLOOKUP($X405&amp;$Z405,PLANNING_FC!$BB$27:$BP$46,MATCH($W405,PLANNING_FC!$BA$27:$BA$46,0),FALSE),0),0)</f>
        <v>0</v>
      </c>
      <c r="AW405" s="58">
        <f>IFERROR(IF($V405="BRAND.com",HLOOKUP($X405&amp;$Z405,PLANNING_FC!$BB$4:$BP$23,MATCH($W405,PLANNING_FC!$BA$4:$BA$23,0),FALSE),0),0)</f>
        <v>0</v>
      </c>
      <c r="AX405" s="58">
        <f>IFERROR(IF($V405="BRAND.com",HLOOKUP($X405&amp;$Z405,PLANNING_FC!$T$27:$AH$46,MATCH($W405,PLANNING_FC!$B$27:$B$46,0),FALSE),0),0)</f>
        <v>0</v>
      </c>
      <c r="AY405" s="58">
        <f>IFERROR(IF($V405="BRAND.com",HLOOKUP($X405&amp;$Z405,PLANNING_FC!$T$4:$AH$23,MATCH($W405,PLANNING_FC!$B$4:$B$23,0),FALSE),0),0)</f>
        <v>0</v>
      </c>
      <c r="AZ405" s="58">
        <f>IFERROR(IF($V405="BRAND.com",HLOOKUP($X405&amp;$Z405,PLANNING_FC!$DA$27:$DO$46,MATCH($W405,PLANNING_FC!$CZ$27:$CZ$46,0),FALSE),0),0)</f>
        <v>0</v>
      </c>
      <c r="BA405" s="58">
        <f>IFERROR(IF($V405="BRAND.com",HLOOKUP($X405&amp;$Z405,PLANNING_FC!$DA$4:$DO$23,MATCH($W405,PLANNING_FC!$CZ$4:$CZ$23,0),FALSE),0),0)</f>
        <v>0</v>
      </c>
      <c r="BB405" s="883" t="str">
        <f>IF(V405="BRAND.com",IFERROR(HLOOKUP(X405&amp;Z405,PLANNING_FC!$AK$4:$AY$23,MATCH(W405,PLANNING_FC!$AJ$4:$AJ$23,0),FALSE)*1000,""),"")</f>
        <v/>
      </c>
      <c r="BC405" s="883" t="str">
        <f>IF(V405="BRAND.com",IFERROR(HLOOKUP(X405&amp;Z405,PLANNING_FC!$AK$27:$AY$46,MATCH(W405,PLANNING_FC!$AJ$27:$AJ$46,0),FALSE)*1000,""),"")</f>
        <v/>
      </c>
    </row>
    <row r="406" spans="1:55" x14ac:dyDescent="0.25">
      <c r="A406" s="509"/>
      <c r="B406" s="509"/>
      <c r="C406" s="509"/>
      <c r="D406" s="509"/>
      <c r="E406" s="509"/>
      <c r="F406" s="509"/>
      <c r="G406" s="509"/>
      <c r="H406" s="509"/>
      <c r="I406" s="512"/>
      <c r="J406" s="513"/>
      <c r="K406" s="879"/>
      <c r="L406" s="515"/>
      <c r="M406" s="516"/>
      <c r="N406" s="56">
        <f t="shared" si="146"/>
        <v>0</v>
      </c>
      <c r="O406" s="57">
        <f t="shared" si="147"/>
        <v>0</v>
      </c>
      <c r="P406" s="57">
        <f ca="1">IFERROR(IF(ISBLANK(H406),SUMIFS($AC:$AC,$V:$V,V406,$W:$W,W406,$X:$X,X406,$Y:$Y,Y406)*J406/(1-J406)*VLOOKUP(_xlfn.CONCAT(C406,D406,E406,TIME!$M$12,Z406),HIS_SALES!$B$2:$W$4859,20,FALSE),AC406*J406/(1-J406)),0)</f>
        <v>0</v>
      </c>
      <c r="Q406" s="541" t="str">
        <f t="shared" si="148"/>
        <v/>
      </c>
      <c r="R406" s="346" t="str">
        <f t="shared" si="149"/>
        <v>00000</v>
      </c>
      <c r="S406" s="344">
        <f t="shared" si="150"/>
        <v>0</v>
      </c>
      <c r="T406" s="345" t="str">
        <f t="shared" si="163"/>
        <v>000</v>
      </c>
      <c r="U406" s="345">
        <f t="shared" si="151"/>
        <v>0</v>
      </c>
      <c r="V406" s="345">
        <f t="shared" si="152"/>
        <v>0</v>
      </c>
      <c r="W406" s="345">
        <f t="shared" si="153"/>
        <v>0</v>
      </c>
      <c r="X406" s="345">
        <f t="shared" si="154"/>
        <v>0</v>
      </c>
      <c r="Y406" s="345">
        <f t="shared" si="155"/>
        <v>0</v>
      </c>
      <c r="Z406" s="345">
        <f>IF(Q406&lt;&gt;"",VLOOKUP(Y406,TIME!$R$21:$V$24,MATCH(FC_DATA!Q406,TIME!$R$20:$V$20,0),FALSE),H406)</f>
        <v>0</v>
      </c>
      <c r="AA406" s="345" t="str">
        <f>IFERROR(VLOOKUP(X406&amp;Z406,TIME!$A$12:$D$71,4,FALSE),"")</f>
        <v/>
      </c>
      <c r="AB406" s="592">
        <f t="shared" ca="1" si="156"/>
        <v>0</v>
      </c>
      <c r="AC406" s="593" t="e">
        <f ca="1">IF(ISBLANK(H406)=FALSE,IF(D406="BRAND.com",I406,IF(ISNA(VLOOKUP(_xlfn.CONCAT(X406,Z406),TIME!$M$40:$M$42,1,FALSE)),I406,VLOOKUP(_xlfn.CONCAT(D406,G406,H406),M_BUSAREA_FC!$AF$5:$AJ$10,5,FALSE)*HLOOKUP(_xlfn.CONCAT(F406,H406),ST_OVERVIEW!$G$99:$I$130,MATCH(_xlfn.CONCAT(D406,E406),ST_OVERVIEW!$F$99:$F$130,0),FALSE))),IF(D406="BRAND.com",VLOOKUP(_xlfn.CONCAT(C406,D406,E406,TIME!$F$1,Z406),HIS_SALES!$B$2:$V$4859,19,FALSE)*I406,VLOOKUP(_xlfn.CONCAT(D406,F406,G406),Q_BUSAREA_FC!$AE$5:$AI$12,5,FALSE)*HLOOKUP(_xlfn.CONCAT(FC_DATA!F406,FC_DATA!G406),LT_OVERVIEW!$I$99:$M$130,MATCH(_xlfn.CONCAT(D406,FC_DATA!E406),LT_OVERVIEW!$H$99:$H$130,0),FALSE)*IFERROR(VLOOKUP(_xlfn.CONCAT(C406,D406,E406,TIME!$F$1,Z406),HIS_SALES!$B$2:$V$4859,19,FALSE),0)))</f>
        <v>#N/A</v>
      </c>
      <c r="AD406" s="341">
        <f t="shared" ca="1" si="157"/>
        <v>0</v>
      </c>
      <c r="AE406" s="363" t="str">
        <f t="shared" si="158"/>
        <v/>
      </c>
      <c r="AF406" s="342" t="str">
        <f t="shared" si="159"/>
        <v/>
      </c>
      <c r="AG406" s="411" t="e">
        <f ca="1">VLOOKUP(_xlfn.CONCAT(U406,V406,W406,VLOOKUP(X406&amp;Y406,TIME!$L$27:$O$34,4,FALSE),Y406),HIS_SALES!$A$2:$R$5093,18,FALSE)</f>
        <v>#N/A</v>
      </c>
      <c r="AH406" s="412" t="e">
        <f ca="1">IFERROR(IF(AND(V406=V405,W406=W405),0.5*(AB406+AB405)*AG406,(VLOOKUP(_xlfn.CONCAT(U406,V406,W406,X406,VLOOKUP(Z406,TIME!$S$28:$T$39,2,FALSE)),FC_DATA!$R$2:$AB$5000,MATCH("GS_I_M",FC_DATA!$R$1:$AB$1,0),FALSE)+FC_DATA!AB406)*0.5*FC_DATA!AG406),NA())</f>
        <v>#N/A</v>
      </c>
      <c r="AI406" s="491" t="e">
        <f ca="1">IF(V406="PARTNER.com",AH406,IF(AND(V406=V405,W406=W405),(1-AVERAGE(AD405,AD406))*AH406,(1-AVERAGE(AD406,VLOOKUP(_xlfn.CONCAT(U406,V406,W406,X406,M_BRAND_FC!$F$6),FC_DATA!$R$2:$AD$5000,MATCH("DISCOUNT_%_M",FC_DATA!$R$1:$AD$1,0),FALSE)))*AH406))</f>
        <v>#N/A</v>
      </c>
      <c r="AJ406" s="412" t="str">
        <f t="shared" ca="1" si="160"/>
        <v/>
      </c>
      <c r="AK406" s="413" t="str">
        <f>IFERROR(AE406/(Q_BRAND_FC!$T$24+1),"")</f>
        <v/>
      </c>
      <c r="AL406" s="88" t="str">
        <f t="shared" ca="1" si="161"/>
        <v/>
      </c>
      <c r="AM406" s="414" t="str">
        <f t="shared" ca="1" si="162"/>
        <v/>
      </c>
      <c r="AN406" s="58">
        <f>IFERROR(IF($V406="BRAND.com",HLOOKUP($X406&amp;$Z406,NWC_FC_NOOS!$C$4:$Q$23,MATCH(W406,NWC_FC_NOOS!$B$4:$B$23,0),FALSE),0),0)</f>
        <v>0</v>
      </c>
      <c r="AO406" s="57">
        <f>IFERROR(IF($V406="BRAND.com",HLOOKUP($X406&amp;$Z406,NWC_FC_NOOS!$T$4:$AH$23,MATCH(W406,NWC_FC_NOOS!$S$4:$S$23,0),FALSE),0),0)</f>
        <v>0</v>
      </c>
      <c r="AP406" s="57">
        <f>IFERROR(IF($V406="BRAND.com",HLOOKUP($X406&amp;$Z406,NWC_FC_NOOS!$C$50:$U$69,MATCH(W406,NWC_FC_NOOS!$B$50:$B$69,0),FALSE),0),0)</f>
        <v>0</v>
      </c>
      <c r="AQ406" s="58">
        <f>IFERROR(IF($V406="BRAND.com",HLOOKUP($X406&amp;$Z406,'NWC_FC_NON-NOOS'!$C$4:$Q$23,MATCH(W406,'NWC_FC_NON-NOOS'!$B$4:$B$23,0),FALSE),0),0)</f>
        <v>0</v>
      </c>
      <c r="AR406" s="57">
        <f>IFERROR(IF($V406="BRAND.com",HLOOKUP($X406&amp;$Z406,'NWC_FC_NON-NOOS'!$T$4:$AH$23,MATCH(W406,'NWC_FC_NON-NOOS'!$S$4:$S$23,0),FALSE),0),0)</f>
        <v>0</v>
      </c>
      <c r="AS406" s="57">
        <f>IFERROR(IF($V406="BRAND.com",HLOOKUP($X406&amp;$Z406,'NWC_FC_NON-NOOS'!$C$50:$U$69,MATCH(W406,'NWC_FC_NON-NOOS'!$B$50:$B$69,0),FALSE),0),0)</f>
        <v>0</v>
      </c>
      <c r="AT406" s="57">
        <f t="shared" si="164"/>
        <v>0</v>
      </c>
      <c r="AU406" s="57">
        <f t="shared" si="165"/>
        <v>0</v>
      </c>
      <c r="AV406" s="58">
        <f>IFERROR(IF($V406="BRAND.com",HLOOKUP($X406&amp;$Z406,PLANNING_FC!$BB$27:$BP$46,MATCH($W406,PLANNING_FC!$BA$27:$BA$46,0),FALSE),0),0)</f>
        <v>0</v>
      </c>
      <c r="AW406" s="58">
        <f>IFERROR(IF($V406="BRAND.com",HLOOKUP($X406&amp;$Z406,PLANNING_FC!$BB$4:$BP$23,MATCH($W406,PLANNING_FC!$BA$4:$BA$23,0),FALSE),0),0)</f>
        <v>0</v>
      </c>
      <c r="AX406" s="58">
        <f>IFERROR(IF($V406="BRAND.com",HLOOKUP($X406&amp;$Z406,PLANNING_FC!$T$27:$AH$46,MATCH($W406,PLANNING_FC!$B$27:$B$46,0),FALSE),0),0)</f>
        <v>0</v>
      </c>
      <c r="AY406" s="58">
        <f>IFERROR(IF($V406="BRAND.com",HLOOKUP($X406&amp;$Z406,PLANNING_FC!$T$4:$AH$23,MATCH($W406,PLANNING_FC!$B$4:$B$23,0),FALSE),0),0)</f>
        <v>0</v>
      </c>
      <c r="AZ406" s="58">
        <f>IFERROR(IF($V406="BRAND.com",HLOOKUP($X406&amp;$Z406,PLANNING_FC!$DA$27:$DO$46,MATCH($W406,PLANNING_FC!$CZ$27:$CZ$46,0),FALSE),0),0)</f>
        <v>0</v>
      </c>
      <c r="BA406" s="58">
        <f>IFERROR(IF($V406="BRAND.com",HLOOKUP($X406&amp;$Z406,PLANNING_FC!$DA$4:$DO$23,MATCH($W406,PLANNING_FC!$CZ$4:$CZ$23,0),FALSE),0),0)</f>
        <v>0</v>
      </c>
      <c r="BB406" s="883" t="str">
        <f>IF(V406="BRAND.com",IFERROR(HLOOKUP(X406&amp;Z406,PLANNING_FC!$AK$4:$AY$23,MATCH(W406,PLANNING_FC!$AJ$4:$AJ$23,0),FALSE)*1000,""),"")</f>
        <v/>
      </c>
      <c r="BC406" s="883" t="str">
        <f>IF(V406="BRAND.com",IFERROR(HLOOKUP(X406&amp;Z406,PLANNING_FC!$AK$27:$AY$46,MATCH(W406,PLANNING_FC!$AJ$27:$AJ$46,0),FALSE)*1000,""),"")</f>
        <v/>
      </c>
    </row>
    <row r="407" spans="1:55" x14ac:dyDescent="0.25">
      <c r="A407" s="509"/>
      <c r="B407" s="509"/>
      <c r="C407" s="509"/>
      <c r="D407" s="509"/>
      <c r="E407" s="509"/>
      <c r="F407" s="509"/>
      <c r="G407" s="509"/>
      <c r="H407" s="509"/>
      <c r="I407" s="512"/>
      <c r="J407" s="513"/>
      <c r="K407" s="879"/>
      <c r="L407" s="515"/>
      <c r="M407" s="516"/>
      <c r="N407" s="56">
        <f t="shared" si="146"/>
        <v>0</v>
      </c>
      <c r="O407" s="57">
        <f t="shared" si="147"/>
        <v>0</v>
      </c>
      <c r="P407" s="57">
        <f ca="1">IFERROR(IF(ISBLANK(H407),SUMIFS($AC:$AC,$V:$V,V407,$W:$W,W407,$X:$X,X407,$Y:$Y,Y407)*J407/(1-J407)*VLOOKUP(_xlfn.CONCAT(C407,D407,E407,TIME!$M$12,Z407),HIS_SALES!$B$2:$W$4859,20,FALSE),AC407*J407/(1-J407)),0)</f>
        <v>0</v>
      </c>
      <c r="Q407" s="541" t="str">
        <f t="shared" si="148"/>
        <v/>
      </c>
      <c r="R407" s="346" t="str">
        <f t="shared" si="149"/>
        <v>00000</v>
      </c>
      <c r="S407" s="344">
        <f t="shared" si="150"/>
        <v>0</v>
      </c>
      <c r="T407" s="345" t="str">
        <f t="shared" si="163"/>
        <v>000</v>
      </c>
      <c r="U407" s="345">
        <f t="shared" si="151"/>
        <v>0</v>
      </c>
      <c r="V407" s="345">
        <f t="shared" si="152"/>
        <v>0</v>
      </c>
      <c r="W407" s="345">
        <f t="shared" si="153"/>
        <v>0</v>
      </c>
      <c r="X407" s="345">
        <f t="shared" si="154"/>
        <v>0</v>
      </c>
      <c r="Y407" s="345">
        <f t="shared" si="155"/>
        <v>0</v>
      </c>
      <c r="Z407" s="345">
        <f>IF(Q407&lt;&gt;"",VLOOKUP(Y407,TIME!$R$21:$V$24,MATCH(FC_DATA!Q407,TIME!$R$20:$V$20,0),FALSE),H407)</f>
        <v>0</v>
      </c>
      <c r="AA407" s="345" t="str">
        <f>IFERROR(VLOOKUP(X407&amp;Z407,TIME!$A$12:$D$71,4,FALSE),"")</f>
        <v/>
      </c>
      <c r="AB407" s="592">
        <f t="shared" ca="1" si="156"/>
        <v>0</v>
      </c>
      <c r="AC407" s="593" t="e">
        <f ca="1">IF(ISBLANK(H407)=FALSE,IF(D407="BRAND.com",I407,IF(ISNA(VLOOKUP(_xlfn.CONCAT(X407,Z407),TIME!$M$40:$M$42,1,FALSE)),I407,VLOOKUP(_xlfn.CONCAT(D407,G407,H407),M_BUSAREA_FC!$AF$5:$AJ$10,5,FALSE)*HLOOKUP(_xlfn.CONCAT(F407,H407),ST_OVERVIEW!$G$99:$I$130,MATCH(_xlfn.CONCAT(D407,E407),ST_OVERVIEW!$F$99:$F$130,0),FALSE))),IF(D407="BRAND.com",VLOOKUP(_xlfn.CONCAT(C407,D407,E407,TIME!$F$1,Z407),HIS_SALES!$B$2:$V$4859,19,FALSE)*I407,VLOOKUP(_xlfn.CONCAT(D407,F407,G407),Q_BUSAREA_FC!$AE$5:$AI$12,5,FALSE)*HLOOKUP(_xlfn.CONCAT(FC_DATA!F407,FC_DATA!G407),LT_OVERVIEW!$I$99:$M$130,MATCH(_xlfn.CONCAT(D407,FC_DATA!E407),LT_OVERVIEW!$H$99:$H$130,0),FALSE)*IFERROR(VLOOKUP(_xlfn.CONCAT(C407,D407,E407,TIME!$F$1,Z407),HIS_SALES!$B$2:$V$4859,19,FALSE),0)))</f>
        <v>#N/A</v>
      </c>
      <c r="AD407" s="341">
        <f t="shared" ca="1" si="157"/>
        <v>0</v>
      </c>
      <c r="AE407" s="363" t="str">
        <f t="shared" si="158"/>
        <v/>
      </c>
      <c r="AF407" s="342" t="str">
        <f t="shared" si="159"/>
        <v/>
      </c>
      <c r="AG407" s="411" t="e">
        <f ca="1">VLOOKUP(_xlfn.CONCAT(U407,V407,W407,VLOOKUP(X407&amp;Y407,TIME!$L$27:$O$34,4,FALSE),Y407),HIS_SALES!$A$2:$R$5093,18,FALSE)</f>
        <v>#N/A</v>
      </c>
      <c r="AH407" s="412" t="e">
        <f ca="1">IFERROR(IF(AND(V407=V406,W407=W406),0.5*(AB407+AB406)*AG407,(VLOOKUP(_xlfn.CONCAT(U407,V407,W407,X407,VLOOKUP(Z407,TIME!$S$28:$T$39,2,FALSE)),FC_DATA!$R$2:$AB$5000,MATCH("GS_I_M",FC_DATA!$R$1:$AB$1,0),FALSE)+FC_DATA!AB407)*0.5*FC_DATA!AG407),NA())</f>
        <v>#N/A</v>
      </c>
      <c r="AI407" s="491" t="e">
        <f ca="1">IF(V407="PARTNER.com",AH407,IF(AND(V407=V406,W407=W406),(1-AVERAGE(AD406,AD407))*AH407,(1-AVERAGE(AD407,VLOOKUP(_xlfn.CONCAT(U407,V407,W407,X407,M_BRAND_FC!$F$6),FC_DATA!$R$2:$AD$5000,MATCH("DISCOUNT_%_M",FC_DATA!$R$1:$AD$1,0),FALSE)))*AH407))</f>
        <v>#N/A</v>
      </c>
      <c r="AJ407" s="412" t="str">
        <f t="shared" ca="1" si="160"/>
        <v/>
      </c>
      <c r="AK407" s="413" t="str">
        <f>IFERROR(AE407/(Q_BRAND_FC!$T$24+1),"")</f>
        <v/>
      </c>
      <c r="AL407" s="88" t="str">
        <f t="shared" ca="1" si="161"/>
        <v/>
      </c>
      <c r="AM407" s="414" t="str">
        <f t="shared" ca="1" si="162"/>
        <v/>
      </c>
      <c r="AN407" s="58">
        <f>IFERROR(IF($V407="BRAND.com",HLOOKUP($X407&amp;$Z407,NWC_FC_NOOS!$C$4:$Q$23,MATCH(W407,NWC_FC_NOOS!$B$4:$B$23,0),FALSE),0),0)</f>
        <v>0</v>
      </c>
      <c r="AO407" s="57">
        <f>IFERROR(IF($V407="BRAND.com",HLOOKUP($X407&amp;$Z407,NWC_FC_NOOS!$T$4:$AH$23,MATCH(W407,NWC_FC_NOOS!$S$4:$S$23,0),FALSE),0),0)</f>
        <v>0</v>
      </c>
      <c r="AP407" s="57">
        <f>IFERROR(IF($V407="BRAND.com",HLOOKUP($X407&amp;$Z407,NWC_FC_NOOS!$C$50:$U$69,MATCH(W407,NWC_FC_NOOS!$B$50:$B$69,0),FALSE),0),0)</f>
        <v>0</v>
      </c>
      <c r="AQ407" s="58">
        <f>IFERROR(IF($V407="BRAND.com",HLOOKUP($X407&amp;$Z407,'NWC_FC_NON-NOOS'!$C$4:$Q$23,MATCH(W407,'NWC_FC_NON-NOOS'!$B$4:$B$23,0),FALSE),0),0)</f>
        <v>0</v>
      </c>
      <c r="AR407" s="57">
        <f>IFERROR(IF($V407="BRAND.com",HLOOKUP($X407&amp;$Z407,'NWC_FC_NON-NOOS'!$T$4:$AH$23,MATCH(W407,'NWC_FC_NON-NOOS'!$S$4:$S$23,0),FALSE),0),0)</f>
        <v>0</v>
      </c>
      <c r="AS407" s="57">
        <f>IFERROR(IF($V407="BRAND.com",HLOOKUP($X407&amp;$Z407,'NWC_FC_NON-NOOS'!$C$50:$U$69,MATCH(W407,'NWC_FC_NON-NOOS'!$B$50:$B$69,0),FALSE),0),0)</f>
        <v>0</v>
      </c>
      <c r="AT407" s="57">
        <f t="shared" si="164"/>
        <v>0</v>
      </c>
      <c r="AU407" s="57">
        <f t="shared" si="165"/>
        <v>0</v>
      </c>
      <c r="AV407" s="58">
        <f>IFERROR(IF($V407="BRAND.com",HLOOKUP($X407&amp;$Z407,PLANNING_FC!$BB$27:$BP$46,MATCH($W407,PLANNING_FC!$BA$27:$BA$46,0),FALSE),0),0)</f>
        <v>0</v>
      </c>
      <c r="AW407" s="58">
        <f>IFERROR(IF($V407="BRAND.com",HLOOKUP($X407&amp;$Z407,PLANNING_FC!$BB$4:$BP$23,MATCH($W407,PLANNING_FC!$BA$4:$BA$23,0),FALSE),0),0)</f>
        <v>0</v>
      </c>
      <c r="AX407" s="58">
        <f>IFERROR(IF($V407="BRAND.com",HLOOKUP($X407&amp;$Z407,PLANNING_FC!$T$27:$AH$46,MATCH($W407,PLANNING_FC!$B$27:$B$46,0),FALSE),0),0)</f>
        <v>0</v>
      </c>
      <c r="AY407" s="58">
        <f>IFERROR(IF($V407="BRAND.com",HLOOKUP($X407&amp;$Z407,PLANNING_FC!$T$4:$AH$23,MATCH($W407,PLANNING_FC!$B$4:$B$23,0),FALSE),0),0)</f>
        <v>0</v>
      </c>
      <c r="AZ407" s="58">
        <f>IFERROR(IF($V407="BRAND.com",HLOOKUP($X407&amp;$Z407,PLANNING_FC!$DA$27:$DO$46,MATCH($W407,PLANNING_FC!$CZ$27:$CZ$46,0),FALSE),0),0)</f>
        <v>0</v>
      </c>
      <c r="BA407" s="58">
        <f>IFERROR(IF($V407="BRAND.com",HLOOKUP($X407&amp;$Z407,PLANNING_FC!$DA$4:$DO$23,MATCH($W407,PLANNING_FC!$CZ$4:$CZ$23,0),FALSE),0),0)</f>
        <v>0</v>
      </c>
      <c r="BB407" s="883" t="str">
        <f>IF(V407="BRAND.com",IFERROR(HLOOKUP(X407&amp;Z407,PLANNING_FC!$AK$4:$AY$23,MATCH(W407,PLANNING_FC!$AJ$4:$AJ$23,0),FALSE)*1000,""),"")</f>
        <v/>
      </c>
      <c r="BC407" s="883" t="str">
        <f>IF(V407="BRAND.com",IFERROR(HLOOKUP(X407&amp;Z407,PLANNING_FC!$AK$27:$AY$46,MATCH(W407,PLANNING_FC!$AJ$27:$AJ$46,0),FALSE)*1000,""),"")</f>
        <v/>
      </c>
    </row>
    <row r="408" spans="1:55" x14ac:dyDescent="0.25">
      <c r="A408" s="509"/>
      <c r="B408" s="509"/>
      <c r="C408" s="509"/>
      <c r="D408" s="509"/>
      <c r="E408" s="509"/>
      <c r="F408" s="509"/>
      <c r="G408" s="509"/>
      <c r="H408" s="509"/>
      <c r="I408" s="512"/>
      <c r="J408" s="513"/>
      <c r="K408" s="879"/>
      <c r="L408" s="515"/>
      <c r="M408" s="516"/>
      <c r="N408" s="56">
        <f t="shared" si="146"/>
        <v>0</v>
      </c>
      <c r="O408" s="57">
        <f t="shared" si="147"/>
        <v>0</v>
      </c>
      <c r="P408" s="57">
        <f ca="1">IFERROR(IF(ISBLANK(H408),SUMIFS($AC:$AC,$V:$V,V408,$W:$W,W408,$X:$X,X408,$Y:$Y,Y408)*J408/(1-J408)*VLOOKUP(_xlfn.CONCAT(C408,D408,E408,TIME!$M$12,Z408),HIS_SALES!$B$2:$W$4859,20,FALSE),AC408*J408/(1-J408)),0)</f>
        <v>0</v>
      </c>
      <c r="Q408" s="541" t="str">
        <f t="shared" si="148"/>
        <v/>
      </c>
      <c r="R408" s="346" t="str">
        <f t="shared" si="149"/>
        <v>00000</v>
      </c>
      <c r="S408" s="344">
        <f t="shared" si="150"/>
        <v>0</v>
      </c>
      <c r="T408" s="345" t="str">
        <f t="shared" si="163"/>
        <v>000</v>
      </c>
      <c r="U408" s="345">
        <f t="shared" si="151"/>
        <v>0</v>
      </c>
      <c r="V408" s="345">
        <f t="shared" si="152"/>
        <v>0</v>
      </c>
      <c r="W408" s="345">
        <f t="shared" si="153"/>
        <v>0</v>
      </c>
      <c r="X408" s="345">
        <f t="shared" si="154"/>
        <v>0</v>
      </c>
      <c r="Y408" s="345">
        <f t="shared" si="155"/>
        <v>0</v>
      </c>
      <c r="Z408" s="345">
        <f>IF(Q408&lt;&gt;"",VLOOKUP(Y408,TIME!$R$21:$V$24,MATCH(FC_DATA!Q408,TIME!$R$20:$V$20,0),FALSE),H408)</f>
        <v>0</v>
      </c>
      <c r="AA408" s="345" t="str">
        <f>IFERROR(VLOOKUP(X408&amp;Z408,TIME!$A$12:$D$71,4,FALSE),"")</f>
        <v/>
      </c>
      <c r="AB408" s="592">
        <f t="shared" ca="1" si="156"/>
        <v>0</v>
      </c>
      <c r="AC408" s="593" t="e">
        <f ca="1">IF(ISBLANK(H408)=FALSE,IF(D408="BRAND.com",I408,IF(ISNA(VLOOKUP(_xlfn.CONCAT(X408,Z408),TIME!$M$40:$M$42,1,FALSE)),I408,VLOOKUP(_xlfn.CONCAT(D408,G408,H408),M_BUSAREA_FC!$AF$5:$AJ$10,5,FALSE)*HLOOKUP(_xlfn.CONCAT(F408,H408),ST_OVERVIEW!$G$99:$I$130,MATCH(_xlfn.CONCAT(D408,E408),ST_OVERVIEW!$F$99:$F$130,0),FALSE))),IF(D408="BRAND.com",VLOOKUP(_xlfn.CONCAT(C408,D408,E408,TIME!$F$1,Z408),HIS_SALES!$B$2:$V$4859,19,FALSE)*I408,VLOOKUP(_xlfn.CONCAT(D408,F408,G408),Q_BUSAREA_FC!$AE$5:$AI$12,5,FALSE)*HLOOKUP(_xlfn.CONCAT(FC_DATA!F408,FC_DATA!G408),LT_OVERVIEW!$I$99:$M$130,MATCH(_xlfn.CONCAT(D408,FC_DATA!E408),LT_OVERVIEW!$H$99:$H$130,0),FALSE)*IFERROR(VLOOKUP(_xlfn.CONCAT(C408,D408,E408,TIME!$F$1,Z408),HIS_SALES!$B$2:$V$4859,19,FALSE),0)))</f>
        <v>#N/A</v>
      </c>
      <c r="AD408" s="341">
        <f t="shared" ca="1" si="157"/>
        <v>0</v>
      </c>
      <c r="AE408" s="363" t="str">
        <f t="shared" si="158"/>
        <v/>
      </c>
      <c r="AF408" s="342" t="str">
        <f t="shared" si="159"/>
        <v/>
      </c>
      <c r="AG408" s="411" t="e">
        <f ca="1">VLOOKUP(_xlfn.CONCAT(U408,V408,W408,VLOOKUP(X408&amp;Y408,TIME!$L$27:$O$34,4,FALSE),Y408),HIS_SALES!$A$2:$R$5093,18,FALSE)</f>
        <v>#N/A</v>
      </c>
      <c r="AH408" s="412" t="e">
        <f ca="1">IFERROR(IF(AND(V408=V407,W408=W407),0.5*(AB408+AB407)*AG408,(VLOOKUP(_xlfn.CONCAT(U408,V408,W408,X408,VLOOKUP(Z408,TIME!$S$28:$T$39,2,FALSE)),FC_DATA!$R$2:$AB$5000,MATCH("GS_I_M",FC_DATA!$R$1:$AB$1,0),FALSE)+FC_DATA!AB408)*0.5*FC_DATA!AG408),NA())</f>
        <v>#N/A</v>
      </c>
      <c r="AI408" s="491" t="e">
        <f ca="1">IF(V408="PARTNER.com",AH408,IF(AND(V408=V407,W408=W407),(1-AVERAGE(AD407,AD408))*AH408,(1-AVERAGE(AD408,VLOOKUP(_xlfn.CONCAT(U408,V408,W408,X408,M_BRAND_FC!$F$6),FC_DATA!$R$2:$AD$5000,MATCH("DISCOUNT_%_M",FC_DATA!$R$1:$AD$1,0),FALSE)))*AH408))</f>
        <v>#N/A</v>
      </c>
      <c r="AJ408" s="412" t="str">
        <f t="shared" ca="1" si="160"/>
        <v/>
      </c>
      <c r="AK408" s="413" t="str">
        <f>IFERROR(AE408/(Q_BRAND_FC!$T$24+1),"")</f>
        <v/>
      </c>
      <c r="AL408" s="88" t="str">
        <f t="shared" ca="1" si="161"/>
        <v/>
      </c>
      <c r="AM408" s="414" t="str">
        <f t="shared" ca="1" si="162"/>
        <v/>
      </c>
      <c r="AN408" s="58">
        <f>IFERROR(IF($V408="BRAND.com",HLOOKUP($X408&amp;$Z408,NWC_FC_NOOS!$C$4:$Q$23,MATCH(W408,NWC_FC_NOOS!$B$4:$B$23,0),FALSE),0),0)</f>
        <v>0</v>
      </c>
      <c r="AO408" s="57">
        <f>IFERROR(IF($V408="BRAND.com",HLOOKUP($X408&amp;$Z408,NWC_FC_NOOS!$T$4:$AH$23,MATCH(W408,NWC_FC_NOOS!$S$4:$S$23,0),FALSE),0),0)</f>
        <v>0</v>
      </c>
      <c r="AP408" s="57">
        <f>IFERROR(IF($V408="BRAND.com",HLOOKUP($X408&amp;$Z408,NWC_FC_NOOS!$C$50:$U$69,MATCH(W408,NWC_FC_NOOS!$B$50:$B$69,0),FALSE),0),0)</f>
        <v>0</v>
      </c>
      <c r="AQ408" s="58">
        <f>IFERROR(IF($V408="BRAND.com",HLOOKUP($X408&amp;$Z408,'NWC_FC_NON-NOOS'!$C$4:$Q$23,MATCH(W408,'NWC_FC_NON-NOOS'!$B$4:$B$23,0),FALSE),0),0)</f>
        <v>0</v>
      </c>
      <c r="AR408" s="57">
        <f>IFERROR(IF($V408="BRAND.com",HLOOKUP($X408&amp;$Z408,'NWC_FC_NON-NOOS'!$T$4:$AH$23,MATCH(W408,'NWC_FC_NON-NOOS'!$S$4:$S$23,0),FALSE),0),0)</f>
        <v>0</v>
      </c>
      <c r="AS408" s="57">
        <f>IFERROR(IF($V408="BRAND.com",HLOOKUP($X408&amp;$Z408,'NWC_FC_NON-NOOS'!$C$50:$U$69,MATCH(W408,'NWC_FC_NON-NOOS'!$B$50:$B$69,0),FALSE),0),0)</f>
        <v>0</v>
      </c>
      <c r="AT408" s="57">
        <f t="shared" si="164"/>
        <v>0</v>
      </c>
      <c r="AU408" s="57">
        <f t="shared" si="165"/>
        <v>0</v>
      </c>
      <c r="AV408" s="58">
        <f>IFERROR(IF($V408="BRAND.com",HLOOKUP($X408&amp;$Z408,PLANNING_FC!$BB$27:$BP$46,MATCH($W408,PLANNING_FC!$BA$27:$BA$46,0),FALSE),0),0)</f>
        <v>0</v>
      </c>
      <c r="AW408" s="58">
        <f>IFERROR(IF($V408="BRAND.com",HLOOKUP($X408&amp;$Z408,PLANNING_FC!$BB$4:$BP$23,MATCH($W408,PLANNING_FC!$BA$4:$BA$23,0),FALSE),0),0)</f>
        <v>0</v>
      </c>
      <c r="AX408" s="58">
        <f>IFERROR(IF($V408="BRAND.com",HLOOKUP($X408&amp;$Z408,PLANNING_FC!$T$27:$AH$46,MATCH($W408,PLANNING_FC!$B$27:$B$46,0),FALSE),0),0)</f>
        <v>0</v>
      </c>
      <c r="AY408" s="58">
        <f>IFERROR(IF($V408="BRAND.com",HLOOKUP($X408&amp;$Z408,PLANNING_FC!$T$4:$AH$23,MATCH($W408,PLANNING_FC!$B$4:$B$23,0),FALSE),0),0)</f>
        <v>0</v>
      </c>
      <c r="AZ408" s="58">
        <f>IFERROR(IF($V408="BRAND.com",HLOOKUP($X408&amp;$Z408,PLANNING_FC!$DA$27:$DO$46,MATCH($W408,PLANNING_FC!$CZ$27:$CZ$46,0),FALSE),0),0)</f>
        <v>0</v>
      </c>
      <c r="BA408" s="58">
        <f>IFERROR(IF($V408="BRAND.com",HLOOKUP($X408&amp;$Z408,PLANNING_FC!$DA$4:$DO$23,MATCH($W408,PLANNING_FC!$CZ$4:$CZ$23,0),FALSE),0),0)</f>
        <v>0</v>
      </c>
      <c r="BB408" s="883" t="str">
        <f>IF(V408="BRAND.com",IFERROR(HLOOKUP(X408&amp;Z408,PLANNING_FC!$AK$4:$AY$23,MATCH(W408,PLANNING_FC!$AJ$4:$AJ$23,0),FALSE)*1000,""),"")</f>
        <v/>
      </c>
      <c r="BC408" s="883" t="str">
        <f>IF(V408="BRAND.com",IFERROR(HLOOKUP(X408&amp;Z408,PLANNING_FC!$AK$27:$AY$46,MATCH(W408,PLANNING_FC!$AJ$27:$AJ$46,0),FALSE)*1000,""),"")</f>
        <v/>
      </c>
    </row>
    <row r="409" spans="1:55" x14ac:dyDescent="0.25">
      <c r="A409" s="509"/>
      <c r="B409" s="509"/>
      <c r="C409" s="509"/>
      <c r="D409" s="509"/>
      <c r="E409" s="509"/>
      <c r="F409" s="509"/>
      <c r="G409" s="509"/>
      <c r="H409" s="509"/>
      <c r="I409" s="512"/>
      <c r="J409" s="513"/>
      <c r="K409" s="879"/>
      <c r="L409" s="515"/>
      <c r="M409" s="516"/>
      <c r="N409" s="56">
        <f t="shared" si="146"/>
        <v>0</v>
      </c>
      <c r="O409" s="57">
        <f t="shared" si="147"/>
        <v>0</v>
      </c>
      <c r="P409" s="57">
        <f ca="1">IFERROR(IF(ISBLANK(H409),SUMIFS($AC:$AC,$V:$V,V409,$W:$W,W409,$X:$X,X409,$Y:$Y,Y409)*J409/(1-J409)*VLOOKUP(_xlfn.CONCAT(C409,D409,E409,TIME!$M$12,Z409),HIS_SALES!$B$2:$W$4859,20,FALSE),AC409*J409/(1-J409)),0)</f>
        <v>0</v>
      </c>
      <c r="Q409" s="541" t="str">
        <f t="shared" si="148"/>
        <v/>
      </c>
      <c r="R409" s="346" t="str">
        <f t="shared" si="149"/>
        <v>00000</v>
      </c>
      <c r="S409" s="344">
        <f t="shared" si="150"/>
        <v>0</v>
      </c>
      <c r="T409" s="345" t="str">
        <f t="shared" si="163"/>
        <v>000</v>
      </c>
      <c r="U409" s="345">
        <f t="shared" si="151"/>
        <v>0</v>
      </c>
      <c r="V409" s="345">
        <f t="shared" si="152"/>
        <v>0</v>
      </c>
      <c r="W409" s="345">
        <f t="shared" si="153"/>
        <v>0</v>
      </c>
      <c r="X409" s="345">
        <f t="shared" si="154"/>
        <v>0</v>
      </c>
      <c r="Y409" s="345">
        <f t="shared" si="155"/>
        <v>0</v>
      </c>
      <c r="Z409" s="345">
        <f>IF(Q409&lt;&gt;"",VLOOKUP(Y409,TIME!$R$21:$V$24,MATCH(FC_DATA!Q409,TIME!$R$20:$V$20,0),FALSE),H409)</f>
        <v>0</v>
      </c>
      <c r="AA409" s="345" t="str">
        <f>IFERROR(VLOOKUP(X409&amp;Z409,TIME!$A$12:$D$71,4,FALSE),"")</f>
        <v/>
      </c>
      <c r="AB409" s="592">
        <f t="shared" ca="1" si="156"/>
        <v>0</v>
      </c>
      <c r="AC409" s="593" t="e">
        <f ca="1">IF(ISBLANK(H409)=FALSE,IF(D409="BRAND.com",I409,IF(ISNA(VLOOKUP(_xlfn.CONCAT(X409,Z409),TIME!$M$40:$M$42,1,FALSE)),I409,VLOOKUP(_xlfn.CONCAT(D409,G409,H409),M_BUSAREA_FC!$AF$5:$AJ$10,5,FALSE)*HLOOKUP(_xlfn.CONCAT(F409,H409),ST_OVERVIEW!$G$99:$I$130,MATCH(_xlfn.CONCAT(D409,E409),ST_OVERVIEW!$F$99:$F$130,0),FALSE))),IF(D409="BRAND.com",VLOOKUP(_xlfn.CONCAT(C409,D409,E409,TIME!$F$1,Z409),HIS_SALES!$B$2:$V$4859,19,FALSE)*I409,VLOOKUP(_xlfn.CONCAT(D409,F409,G409),Q_BUSAREA_FC!$AE$5:$AI$12,5,FALSE)*HLOOKUP(_xlfn.CONCAT(FC_DATA!F409,FC_DATA!G409),LT_OVERVIEW!$I$99:$M$130,MATCH(_xlfn.CONCAT(D409,FC_DATA!E409),LT_OVERVIEW!$H$99:$H$130,0),FALSE)*IFERROR(VLOOKUP(_xlfn.CONCAT(C409,D409,E409,TIME!$F$1,Z409),HIS_SALES!$B$2:$V$4859,19,FALSE),0)))</f>
        <v>#N/A</v>
      </c>
      <c r="AD409" s="341">
        <f t="shared" ca="1" si="157"/>
        <v>0</v>
      </c>
      <c r="AE409" s="363" t="str">
        <f t="shared" si="158"/>
        <v/>
      </c>
      <c r="AF409" s="342" t="str">
        <f t="shared" si="159"/>
        <v/>
      </c>
      <c r="AG409" s="411" t="e">
        <f ca="1">VLOOKUP(_xlfn.CONCAT(U409,V409,W409,VLOOKUP(X409&amp;Y409,TIME!$L$27:$O$34,4,FALSE),Y409),HIS_SALES!$A$2:$R$5093,18,FALSE)</f>
        <v>#N/A</v>
      </c>
      <c r="AH409" s="412" t="e">
        <f ca="1">IFERROR(IF(AND(V409=V408,W409=W408),0.5*(AB409+AB408)*AG409,(VLOOKUP(_xlfn.CONCAT(U409,V409,W409,X409,VLOOKUP(Z409,TIME!$S$28:$T$39,2,FALSE)),FC_DATA!$R$2:$AB$5000,MATCH("GS_I_M",FC_DATA!$R$1:$AB$1,0),FALSE)+FC_DATA!AB409)*0.5*FC_DATA!AG409),NA())</f>
        <v>#N/A</v>
      </c>
      <c r="AI409" s="491" t="e">
        <f ca="1">IF(V409="PARTNER.com",AH409,IF(AND(V409=V408,W409=W408),(1-AVERAGE(AD408,AD409))*AH409,(1-AVERAGE(AD409,VLOOKUP(_xlfn.CONCAT(U409,V409,W409,X409,M_BRAND_FC!$F$6),FC_DATA!$R$2:$AD$5000,MATCH("DISCOUNT_%_M",FC_DATA!$R$1:$AD$1,0),FALSE)))*AH409))</f>
        <v>#N/A</v>
      </c>
      <c r="AJ409" s="412" t="str">
        <f t="shared" ca="1" si="160"/>
        <v/>
      </c>
      <c r="AK409" s="413" t="str">
        <f>IFERROR(AE409/(Q_BRAND_FC!$T$24+1),"")</f>
        <v/>
      </c>
      <c r="AL409" s="88" t="str">
        <f t="shared" ca="1" si="161"/>
        <v/>
      </c>
      <c r="AM409" s="414" t="str">
        <f t="shared" ca="1" si="162"/>
        <v/>
      </c>
      <c r="AN409" s="58">
        <f>IFERROR(IF($V409="BRAND.com",HLOOKUP($X409&amp;$Z409,NWC_FC_NOOS!$C$4:$Q$23,MATCH(W409,NWC_FC_NOOS!$B$4:$B$23,0),FALSE),0),0)</f>
        <v>0</v>
      </c>
      <c r="AO409" s="57">
        <f>IFERROR(IF($V409="BRAND.com",HLOOKUP($X409&amp;$Z409,NWC_FC_NOOS!$T$4:$AH$23,MATCH(W409,NWC_FC_NOOS!$S$4:$S$23,0),FALSE),0),0)</f>
        <v>0</v>
      </c>
      <c r="AP409" s="57">
        <f>IFERROR(IF($V409="BRAND.com",HLOOKUP($X409&amp;$Z409,NWC_FC_NOOS!$C$50:$U$69,MATCH(W409,NWC_FC_NOOS!$B$50:$B$69,0),FALSE),0),0)</f>
        <v>0</v>
      </c>
      <c r="AQ409" s="58">
        <f>IFERROR(IF($V409="BRAND.com",HLOOKUP($X409&amp;$Z409,'NWC_FC_NON-NOOS'!$C$4:$Q$23,MATCH(W409,'NWC_FC_NON-NOOS'!$B$4:$B$23,0),FALSE),0),0)</f>
        <v>0</v>
      </c>
      <c r="AR409" s="57">
        <f>IFERROR(IF($V409="BRAND.com",HLOOKUP($X409&amp;$Z409,'NWC_FC_NON-NOOS'!$T$4:$AH$23,MATCH(W409,'NWC_FC_NON-NOOS'!$S$4:$S$23,0),FALSE),0),0)</f>
        <v>0</v>
      </c>
      <c r="AS409" s="57">
        <f>IFERROR(IF($V409="BRAND.com",HLOOKUP($X409&amp;$Z409,'NWC_FC_NON-NOOS'!$C$50:$U$69,MATCH(W409,'NWC_FC_NON-NOOS'!$B$50:$B$69,0),FALSE),0),0)</f>
        <v>0</v>
      </c>
      <c r="AT409" s="57">
        <f t="shared" si="164"/>
        <v>0</v>
      </c>
      <c r="AU409" s="57">
        <f t="shared" si="165"/>
        <v>0</v>
      </c>
      <c r="AV409" s="58">
        <f>IFERROR(IF($V409="BRAND.com",HLOOKUP($X409&amp;$Z409,PLANNING_FC!$BB$27:$BP$46,MATCH($W409,PLANNING_FC!$BA$27:$BA$46,0),FALSE),0),0)</f>
        <v>0</v>
      </c>
      <c r="AW409" s="58">
        <f>IFERROR(IF($V409="BRAND.com",HLOOKUP($X409&amp;$Z409,PLANNING_FC!$BB$4:$BP$23,MATCH($W409,PLANNING_FC!$BA$4:$BA$23,0),FALSE),0),0)</f>
        <v>0</v>
      </c>
      <c r="AX409" s="58">
        <f>IFERROR(IF($V409="BRAND.com",HLOOKUP($X409&amp;$Z409,PLANNING_FC!$T$27:$AH$46,MATCH($W409,PLANNING_FC!$B$27:$B$46,0),FALSE),0),0)</f>
        <v>0</v>
      </c>
      <c r="AY409" s="58">
        <f>IFERROR(IF($V409="BRAND.com",HLOOKUP($X409&amp;$Z409,PLANNING_FC!$T$4:$AH$23,MATCH($W409,PLANNING_FC!$B$4:$B$23,0),FALSE),0),0)</f>
        <v>0</v>
      </c>
      <c r="AZ409" s="58">
        <f>IFERROR(IF($V409="BRAND.com",HLOOKUP($X409&amp;$Z409,PLANNING_FC!$DA$27:$DO$46,MATCH($W409,PLANNING_FC!$CZ$27:$CZ$46,0),FALSE),0),0)</f>
        <v>0</v>
      </c>
      <c r="BA409" s="58">
        <f>IFERROR(IF($V409="BRAND.com",HLOOKUP($X409&amp;$Z409,PLANNING_FC!$DA$4:$DO$23,MATCH($W409,PLANNING_FC!$CZ$4:$CZ$23,0),FALSE),0),0)</f>
        <v>0</v>
      </c>
      <c r="BB409" s="883" t="str">
        <f>IF(V409="BRAND.com",IFERROR(HLOOKUP(X409&amp;Z409,PLANNING_FC!$AK$4:$AY$23,MATCH(W409,PLANNING_FC!$AJ$4:$AJ$23,0),FALSE)*1000,""),"")</f>
        <v/>
      </c>
      <c r="BC409" s="883" t="str">
        <f>IF(V409="BRAND.com",IFERROR(HLOOKUP(X409&amp;Z409,PLANNING_FC!$AK$27:$AY$46,MATCH(W409,PLANNING_FC!$AJ$27:$AJ$46,0),FALSE)*1000,""),"")</f>
        <v/>
      </c>
    </row>
    <row r="410" spans="1:55" x14ac:dyDescent="0.25">
      <c r="A410" s="509"/>
      <c r="B410" s="509"/>
      <c r="C410" s="509"/>
      <c r="D410" s="509"/>
      <c r="E410" s="509"/>
      <c r="F410" s="509"/>
      <c r="G410" s="509"/>
      <c r="H410" s="509"/>
      <c r="I410" s="512"/>
      <c r="J410" s="513"/>
      <c r="K410" s="879"/>
      <c r="L410" s="515"/>
      <c r="M410" s="516"/>
      <c r="N410" s="56">
        <f t="shared" si="146"/>
        <v>0</v>
      </c>
      <c r="O410" s="57">
        <f t="shared" si="147"/>
        <v>0</v>
      </c>
      <c r="P410" s="57">
        <f ca="1">IFERROR(IF(ISBLANK(H410),SUMIFS($AC:$AC,$V:$V,V410,$W:$W,W410,$X:$X,X410,$Y:$Y,Y410)*J410/(1-J410)*VLOOKUP(_xlfn.CONCAT(C410,D410,E410,TIME!$M$12,Z410),HIS_SALES!$B$2:$W$4859,20,FALSE),AC410*J410/(1-J410)),0)</f>
        <v>0</v>
      </c>
      <c r="Q410" s="541" t="str">
        <f t="shared" si="148"/>
        <v/>
      </c>
      <c r="R410" s="346" t="str">
        <f t="shared" si="149"/>
        <v>00000</v>
      </c>
      <c r="S410" s="344">
        <f t="shared" si="150"/>
        <v>0</v>
      </c>
      <c r="T410" s="345" t="str">
        <f t="shared" si="163"/>
        <v>000</v>
      </c>
      <c r="U410" s="345">
        <f t="shared" si="151"/>
        <v>0</v>
      </c>
      <c r="V410" s="345">
        <f t="shared" si="152"/>
        <v>0</v>
      </c>
      <c r="W410" s="345">
        <f t="shared" si="153"/>
        <v>0</v>
      </c>
      <c r="X410" s="345">
        <f t="shared" si="154"/>
        <v>0</v>
      </c>
      <c r="Y410" s="345">
        <f t="shared" si="155"/>
        <v>0</v>
      </c>
      <c r="Z410" s="345">
        <f>IF(Q410&lt;&gt;"",VLOOKUP(Y410,TIME!$R$21:$V$24,MATCH(FC_DATA!Q410,TIME!$R$20:$V$20,0),FALSE),H410)</f>
        <v>0</v>
      </c>
      <c r="AA410" s="345" t="str">
        <f>IFERROR(VLOOKUP(X410&amp;Z410,TIME!$A$12:$D$71,4,FALSE),"")</f>
        <v/>
      </c>
      <c r="AB410" s="592">
        <f t="shared" ca="1" si="156"/>
        <v>0</v>
      </c>
      <c r="AC410" s="593" t="e">
        <f ca="1">IF(ISBLANK(H410)=FALSE,IF(D410="BRAND.com",I410,IF(ISNA(VLOOKUP(_xlfn.CONCAT(X410,Z410),TIME!$M$40:$M$42,1,FALSE)),I410,VLOOKUP(_xlfn.CONCAT(D410,G410,H410),M_BUSAREA_FC!$AF$5:$AJ$10,5,FALSE)*HLOOKUP(_xlfn.CONCAT(F410,H410),ST_OVERVIEW!$G$99:$I$130,MATCH(_xlfn.CONCAT(D410,E410),ST_OVERVIEW!$F$99:$F$130,0),FALSE))),IF(D410="BRAND.com",VLOOKUP(_xlfn.CONCAT(C410,D410,E410,TIME!$F$1,Z410),HIS_SALES!$B$2:$V$4859,19,FALSE)*I410,VLOOKUP(_xlfn.CONCAT(D410,F410,G410),Q_BUSAREA_FC!$AE$5:$AI$12,5,FALSE)*HLOOKUP(_xlfn.CONCAT(FC_DATA!F410,FC_DATA!G410),LT_OVERVIEW!$I$99:$M$130,MATCH(_xlfn.CONCAT(D410,FC_DATA!E410),LT_OVERVIEW!$H$99:$H$130,0),FALSE)*IFERROR(VLOOKUP(_xlfn.CONCAT(C410,D410,E410,TIME!$F$1,Z410),HIS_SALES!$B$2:$V$4859,19,FALSE),0)))</f>
        <v>#N/A</v>
      </c>
      <c r="AD410" s="341">
        <f t="shared" ca="1" si="157"/>
        <v>0</v>
      </c>
      <c r="AE410" s="363" t="str">
        <f t="shared" si="158"/>
        <v/>
      </c>
      <c r="AF410" s="342" t="str">
        <f t="shared" si="159"/>
        <v/>
      </c>
      <c r="AG410" s="411" t="e">
        <f ca="1">VLOOKUP(_xlfn.CONCAT(U410,V410,W410,VLOOKUP(X410&amp;Y410,TIME!$L$27:$O$34,4,FALSE),Y410),HIS_SALES!$A$2:$R$5093,18,FALSE)</f>
        <v>#N/A</v>
      </c>
      <c r="AH410" s="412" t="e">
        <f ca="1">IFERROR(IF(AND(V410=V409,W410=W409),0.5*(AB410+AB409)*AG410,(VLOOKUP(_xlfn.CONCAT(U410,V410,W410,X410,VLOOKUP(Z410,TIME!$S$28:$T$39,2,FALSE)),FC_DATA!$R$2:$AB$5000,MATCH("GS_I_M",FC_DATA!$R$1:$AB$1,0),FALSE)+FC_DATA!AB410)*0.5*FC_DATA!AG410),NA())</f>
        <v>#N/A</v>
      </c>
      <c r="AI410" s="491" t="e">
        <f ca="1">IF(V410="PARTNER.com",AH410,IF(AND(V410=V409,W410=W409),(1-AVERAGE(AD409,AD410))*AH410,(1-AVERAGE(AD410,VLOOKUP(_xlfn.CONCAT(U410,V410,W410,X410,M_BRAND_FC!$F$6),FC_DATA!$R$2:$AD$5000,MATCH("DISCOUNT_%_M",FC_DATA!$R$1:$AD$1,0),FALSE)))*AH410))</f>
        <v>#N/A</v>
      </c>
      <c r="AJ410" s="412" t="str">
        <f t="shared" ca="1" si="160"/>
        <v/>
      </c>
      <c r="AK410" s="413" t="str">
        <f>IFERROR(AE410/(Q_BRAND_FC!$T$24+1),"")</f>
        <v/>
      </c>
      <c r="AL410" s="88" t="str">
        <f t="shared" ca="1" si="161"/>
        <v/>
      </c>
      <c r="AM410" s="414" t="str">
        <f t="shared" ca="1" si="162"/>
        <v/>
      </c>
      <c r="AN410" s="58">
        <f>IFERROR(IF($V410="BRAND.com",HLOOKUP($X410&amp;$Z410,NWC_FC_NOOS!$C$4:$Q$23,MATCH(W410,NWC_FC_NOOS!$B$4:$B$23,0),FALSE),0),0)</f>
        <v>0</v>
      </c>
      <c r="AO410" s="57">
        <f>IFERROR(IF($V410="BRAND.com",HLOOKUP($X410&amp;$Z410,NWC_FC_NOOS!$T$4:$AH$23,MATCH(W410,NWC_FC_NOOS!$S$4:$S$23,0),FALSE),0),0)</f>
        <v>0</v>
      </c>
      <c r="AP410" s="57">
        <f>IFERROR(IF($V410="BRAND.com",HLOOKUP($X410&amp;$Z410,NWC_FC_NOOS!$C$50:$U$69,MATCH(W410,NWC_FC_NOOS!$B$50:$B$69,0),FALSE),0),0)</f>
        <v>0</v>
      </c>
      <c r="AQ410" s="58">
        <f>IFERROR(IF($V410="BRAND.com",HLOOKUP($X410&amp;$Z410,'NWC_FC_NON-NOOS'!$C$4:$Q$23,MATCH(W410,'NWC_FC_NON-NOOS'!$B$4:$B$23,0),FALSE),0),0)</f>
        <v>0</v>
      </c>
      <c r="AR410" s="57">
        <f>IFERROR(IF($V410="BRAND.com",HLOOKUP($X410&amp;$Z410,'NWC_FC_NON-NOOS'!$T$4:$AH$23,MATCH(W410,'NWC_FC_NON-NOOS'!$S$4:$S$23,0),FALSE),0),0)</f>
        <v>0</v>
      </c>
      <c r="AS410" s="57">
        <f>IFERROR(IF($V410="BRAND.com",HLOOKUP($X410&amp;$Z410,'NWC_FC_NON-NOOS'!$C$50:$U$69,MATCH(W410,'NWC_FC_NON-NOOS'!$B$50:$B$69,0),FALSE),0),0)</f>
        <v>0</v>
      </c>
      <c r="AT410" s="57">
        <f t="shared" si="164"/>
        <v>0</v>
      </c>
      <c r="AU410" s="57">
        <f t="shared" si="165"/>
        <v>0</v>
      </c>
      <c r="AV410" s="58">
        <f>IFERROR(IF($V410="BRAND.com",HLOOKUP($X410&amp;$Z410,PLANNING_FC!$BB$27:$BP$46,MATCH($W410,PLANNING_FC!$BA$27:$BA$46,0),FALSE),0),0)</f>
        <v>0</v>
      </c>
      <c r="AW410" s="58">
        <f>IFERROR(IF($V410="BRAND.com",HLOOKUP($X410&amp;$Z410,PLANNING_FC!$BB$4:$BP$23,MATCH($W410,PLANNING_FC!$BA$4:$BA$23,0),FALSE),0),0)</f>
        <v>0</v>
      </c>
      <c r="AX410" s="58">
        <f>IFERROR(IF($V410="BRAND.com",HLOOKUP($X410&amp;$Z410,PLANNING_FC!$T$27:$AH$46,MATCH($W410,PLANNING_FC!$B$27:$B$46,0),FALSE),0),0)</f>
        <v>0</v>
      </c>
      <c r="AY410" s="58">
        <f>IFERROR(IF($V410="BRAND.com",HLOOKUP($X410&amp;$Z410,PLANNING_FC!$T$4:$AH$23,MATCH($W410,PLANNING_FC!$B$4:$B$23,0),FALSE),0),0)</f>
        <v>0</v>
      </c>
      <c r="AZ410" s="58">
        <f>IFERROR(IF($V410="BRAND.com",HLOOKUP($X410&amp;$Z410,PLANNING_FC!$DA$27:$DO$46,MATCH($W410,PLANNING_FC!$CZ$27:$CZ$46,0),FALSE),0),0)</f>
        <v>0</v>
      </c>
      <c r="BA410" s="58">
        <f>IFERROR(IF($V410="BRAND.com",HLOOKUP($X410&amp;$Z410,PLANNING_FC!$DA$4:$DO$23,MATCH($W410,PLANNING_FC!$CZ$4:$CZ$23,0),FALSE),0),0)</f>
        <v>0</v>
      </c>
      <c r="BB410" s="883" t="str">
        <f>IF(V410="BRAND.com",IFERROR(HLOOKUP(X410&amp;Z410,PLANNING_FC!$AK$4:$AY$23,MATCH(W410,PLANNING_FC!$AJ$4:$AJ$23,0),FALSE)*1000,""),"")</f>
        <v/>
      </c>
      <c r="BC410" s="883" t="str">
        <f>IF(V410="BRAND.com",IFERROR(HLOOKUP(X410&amp;Z410,PLANNING_FC!$AK$27:$AY$46,MATCH(W410,PLANNING_FC!$AJ$27:$AJ$46,0),FALSE)*1000,""),"")</f>
        <v/>
      </c>
    </row>
    <row r="411" spans="1:55" x14ac:dyDescent="0.25">
      <c r="A411" s="509"/>
      <c r="B411" s="509"/>
      <c r="C411" s="509"/>
      <c r="D411" s="509"/>
      <c r="E411" s="509"/>
      <c r="F411" s="509"/>
      <c r="G411" s="509"/>
      <c r="H411" s="509"/>
      <c r="I411" s="512"/>
      <c r="J411" s="513"/>
      <c r="K411" s="879"/>
      <c r="L411" s="515"/>
      <c r="M411" s="516"/>
      <c r="N411" s="56">
        <f t="shared" si="146"/>
        <v>0</v>
      </c>
      <c r="O411" s="57">
        <f t="shared" si="147"/>
        <v>0</v>
      </c>
      <c r="P411" s="57">
        <f ca="1">IFERROR(IF(ISBLANK(H411),SUMIFS($AC:$AC,$V:$V,V411,$W:$W,W411,$X:$X,X411,$Y:$Y,Y411)*J411/(1-J411)*VLOOKUP(_xlfn.CONCAT(C411,D411,E411,TIME!$M$12,Z411),HIS_SALES!$B$2:$W$4859,20,FALSE),AC411*J411/(1-J411)),0)</f>
        <v>0</v>
      </c>
      <c r="Q411" s="541" t="str">
        <f t="shared" si="148"/>
        <v/>
      </c>
      <c r="R411" s="346" t="str">
        <f t="shared" si="149"/>
        <v>00000</v>
      </c>
      <c r="S411" s="344">
        <f t="shared" si="150"/>
        <v>0</v>
      </c>
      <c r="T411" s="345" t="str">
        <f t="shared" si="163"/>
        <v>000</v>
      </c>
      <c r="U411" s="345">
        <f t="shared" si="151"/>
        <v>0</v>
      </c>
      <c r="V411" s="345">
        <f t="shared" si="152"/>
        <v>0</v>
      </c>
      <c r="W411" s="345">
        <f t="shared" si="153"/>
        <v>0</v>
      </c>
      <c r="X411" s="345">
        <f t="shared" si="154"/>
        <v>0</v>
      </c>
      <c r="Y411" s="345">
        <f t="shared" si="155"/>
        <v>0</v>
      </c>
      <c r="Z411" s="345">
        <f>IF(Q411&lt;&gt;"",VLOOKUP(Y411,TIME!$R$21:$V$24,MATCH(FC_DATA!Q411,TIME!$R$20:$V$20,0),FALSE),H411)</f>
        <v>0</v>
      </c>
      <c r="AA411" s="345" t="str">
        <f>IFERROR(VLOOKUP(X411&amp;Z411,TIME!$A$12:$D$71,4,FALSE),"")</f>
        <v/>
      </c>
      <c r="AB411" s="592">
        <f t="shared" ca="1" si="156"/>
        <v>0</v>
      </c>
      <c r="AC411" s="593" t="e">
        <f ca="1">IF(ISBLANK(H411)=FALSE,IF(D411="BRAND.com",I411,IF(ISNA(VLOOKUP(_xlfn.CONCAT(X411,Z411),TIME!$M$40:$M$42,1,FALSE)),I411,VLOOKUP(_xlfn.CONCAT(D411,G411,H411),M_BUSAREA_FC!$AF$5:$AJ$10,5,FALSE)*HLOOKUP(_xlfn.CONCAT(F411,H411),ST_OVERVIEW!$G$99:$I$130,MATCH(_xlfn.CONCAT(D411,E411),ST_OVERVIEW!$F$99:$F$130,0),FALSE))),IF(D411="BRAND.com",VLOOKUP(_xlfn.CONCAT(C411,D411,E411,TIME!$F$1,Z411),HIS_SALES!$B$2:$V$4859,19,FALSE)*I411,VLOOKUP(_xlfn.CONCAT(D411,F411,G411),Q_BUSAREA_FC!$AE$5:$AI$12,5,FALSE)*HLOOKUP(_xlfn.CONCAT(FC_DATA!F411,FC_DATA!G411),LT_OVERVIEW!$I$99:$M$130,MATCH(_xlfn.CONCAT(D411,FC_DATA!E411),LT_OVERVIEW!$H$99:$H$130,0),FALSE)*IFERROR(VLOOKUP(_xlfn.CONCAT(C411,D411,E411,TIME!$F$1,Z411),HIS_SALES!$B$2:$V$4859,19,FALSE),0)))</f>
        <v>#N/A</v>
      </c>
      <c r="AD411" s="341">
        <f t="shared" ca="1" si="157"/>
        <v>0</v>
      </c>
      <c r="AE411" s="363" t="str">
        <f t="shared" si="158"/>
        <v/>
      </c>
      <c r="AF411" s="342" t="str">
        <f t="shared" si="159"/>
        <v/>
      </c>
      <c r="AG411" s="411" t="e">
        <f ca="1">VLOOKUP(_xlfn.CONCAT(U411,V411,W411,VLOOKUP(X411&amp;Y411,TIME!$L$27:$O$34,4,FALSE),Y411),HIS_SALES!$A$2:$R$5093,18,FALSE)</f>
        <v>#N/A</v>
      </c>
      <c r="AH411" s="412" t="e">
        <f ca="1">IFERROR(IF(AND(V411=V410,W411=W410),0.5*(AB411+AB410)*AG411,(VLOOKUP(_xlfn.CONCAT(U411,V411,W411,X411,VLOOKUP(Z411,TIME!$S$28:$T$39,2,FALSE)),FC_DATA!$R$2:$AB$5000,MATCH("GS_I_M",FC_DATA!$R$1:$AB$1,0),FALSE)+FC_DATA!AB411)*0.5*FC_DATA!AG411),NA())</f>
        <v>#N/A</v>
      </c>
      <c r="AI411" s="491" t="e">
        <f ca="1">IF(V411="PARTNER.com",AH411,IF(AND(V411=V410,W411=W410),(1-AVERAGE(AD410,AD411))*AH411,(1-AVERAGE(AD411,VLOOKUP(_xlfn.CONCAT(U411,V411,W411,X411,M_BRAND_FC!$F$6),FC_DATA!$R$2:$AD$5000,MATCH("DISCOUNT_%_M",FC_DATA!$R$1:$AD$1,0),FALSE)))*AH411))</f>
        <v>#N/A</v>
      </c>
      <c r="AJ411" s="412" t="str">
        <f t="shared" ca="1" si="160"/>
        <v/>
      </c>
      <c r="AK411" s="413" t="str">
        <f>IFERROR(AE411/(Q_BRAND_FC!$T$24+1),"")</f>
        <v/>
      </c>
      <c r="AL411" s="88" t="str">
        <f t="shared" ca="1" si="161"/>
        <v/>
      </c>
      <c r="AM411" s="414" t="str">
        <f t="shared" ca="1" si="162"/>
        <v/>
      </c>
      <c r="AN411" s="58">
        <f>IFERROR(IF($V411="BRAND.com",HLOOKUP($X411&amp;$Z411,NWC_FC_NOOS!$C$4:$Q$23,MATCH(W411,NWC_FC_NOOS!$B$4:$B$23,0),FALSE),0),0)</f>
        <v>0</v>
      </c>
      <c r="AO411" s="57">
        <f>IFERROR(IF($V411="BRAND.com",HLOOKUP($X411&amp;$Z411,NWC_FC_NOOS!$T$4:$AH$23,MATCH(W411,NWC_FC_NOOS!$S$4:$S$23,0),FALSE),0),0)</f>
        <v>0</v>
      </c>
      <c r="AP411" s="57">
        <f>IFERROR(IF($V411="BRAND.com",HLOOKUP($X411&amp;$Z411,NWC_FC_NOOS!$C$50:$U$69,MATCH(W411,NWC_FC_NOOS!$B$50:$B$69,0),FALSE),0),0)</f>
        <v>0</v>
      </c>
      <c r="AQ411" s="58">
        <f>IFERROR(IF($V411="BRAND.com",HLOOKUP($X411&amp;$Z411,'NWC_FC_NON-NOOS'!$C$4:$Q$23,MATCH(W411,'NWC_FC_NON-NOOS'!$B$4:$B$23,0),FALSE),0),0)</f>
        <v>0</v>
      </c>
      <c r="AR411" s="57">
        <f>IFERROR(IF($V411="BRAND.com",HLOOKUP($X411&amp;$Z411,'NWC_FC_NON-NOOS'!$T$4:$AH$23,MATCH(W411,'NWC_FC_NON-NOOS'!$S$4:$S$23,0),FALSE),0),0)</f>
        <v>0</v>
      </c>
      <c r="AS411" s="57">
        <f>IFERROR(IF($V411="BRAND.com",HLOOKUP($X411&amp;$Z411,'NWC_FC_NON-NOOS'!$C$50:$U$69,MATCH(W411,'NWC_FC_NON-NOOS'!$B$50:$B$69,0),FALSE),0),0)</f>
        <v>0</v>
      </c>
      <c r="AT411" s="57">
        <f t="shared" si="164"/>
        <v>0</v>
      </c>
      <c r="AU411" s="57">
        <f t="shared" si="165"/>
        <v>0</v>
      </c>
      <c r="AV411" s="58">
        <f>IFERROR(IF($V411="BRAND.com",HLOOKUP($X411&amp;$Z411,PLANNING_FC!$BB$27:$BP$46,MATCH($W411,PLANNING_FC!$BA$27:$BA$46,0),FALSE),0),0)</f>
        <v>0</v>
      </c>
      <c r="AW411" s="58">
        <f>IFERROR(IF($V411="BRAND.com",HLOOKUP($X411&amp;$Z411,PLANNING_FC!$BB$4:$BP$23,MATCH($W411,PLANNING_FC!$BA$4:$BA$23,0),FALSE),0),0)</f>
        <v>0</v>
      </c>
      <c r="AX411" s="58">
        <f>IFERROR(IF($V411="BRAND.com",HLOOKUP($X411&amp;$Z411,PLANNING_FC!$T$27:$AH$46,MATCH($W411,PLANNING_FC!$B$27:$B$46,0),FALSE),0),0)</f>
        <v>0</v>
      </c>
      <c r="AY411" s="58">
        <f>IFERROR(IF($V411="BRAND.com",HLOOKUP($X411&amp;$Z411,PLANNING_FC!$T$4:$AH$23,MATCH($W411,PLANNING_FC!$B$4:$B$23,0),FALSE),0),0)</f>
        <v>0</v>
      </c>
      <c r="AZ411" s="58">
        <f>IFERROR(IF($V411="BRAND.com",HLOOKUP($X411&amp;$Z411,PLANNING_FC!$DA$27:$DO$46,MATCH($W411,PLANNING_FC!$CZ$27:$CZ$46,0),FALSE),0),0)</f>
        <v>0</v>
      </c>
      <c r="BA411" s="58">
        <f>IFERROR(IF($V411="BRAND.com",HLOOKUP($X411&amp;$Z411,PLANNING_FC!$DA$4:$DO$23,MATCH($W411,PLANNING_FC!$CZ$4:$CZ$23,0),FALSE),0),0)</f>
        <v>0</v>
      </c>
      <c r="BB411" s="883" t="str">
        <f>IF(V411="BRAND.com",IFERROR(HLOOKUP(X411&amp;Z411,PLANNING_FC!$AK$4:$AY$23,MATCH(W411,PLANNING_FC!$AJ$4:$AJ$23,0),FALSE)*1000,""),"")</f>
        <v/>
      </c>
      <c r="BC411" s="883" t="str">
        <f>IF(V411="BRAND.com",IFERROR(HLOOKUP(X411&amp;Z411,PLANNING_FC!$AK$27:$AY$46,MATCH(W411,PLANNING_FC!$AJ$27:$AJ$46,0),FALSE)*1000,""),"")</f>
        <v/>
      </c>
    </row>
    <row r="412" spans="1:55" x14ac:dyDescent="0.25">
      <c r="A412" s="509"/>
      <c r="B412" s="509"/>
      <c r="C412" s="509"/>
      <c r="D412" s="509"/>
      <c r="E412" s="509"/>
      <c r="F412" s="509"/>
      <c r="G412" s="509"/>
      <c r="H412" s="509"/>
      <c r="I412" s="512"/>
      <c r="J412" s="513"/>
      <c r="K412" s="879"/>
      <c r="L412" s="515"/>
      <c r="M412" s="516"/>
      <c r="N412" s="56">
        <f t="shared" si="146"/>
        <v>0</v>
      </c>
      <c r="O412" s="57">
        <f t="shared" si="147"/>
        <v>0</v>
      </c>
      <c r="P412" s="57">
        <f ca="1">IFERROR(IF(ISBLANK(H412),SUMIFS($AC:$AC,$V:$V,V412,$W:$W,W412,$X:$X,X412,$Y:$Y,Y412)*J412/(1-J412)*VLOOKUP(_xlfn.CONCAT(C412,D412,E412,TIME!$M$12,Z412),HIS_SALES!$B$2:$W$4859,20,FALSE),AC412*J412/(1-J412)),0)</f>
        <v>0</v>
      </c>
      <c r="Q412" s="541" t="str">
        <f t="shared" si="148"/>
        <v/>
      </c>
      <c r="R412" s="346" t="str">
        <f t="shared" si="149"/>
        <v>00000</v>
      </c>
      <c r="S412" s="344">
        <f t="shared" si="150"/>
        <v>0</v>
      </c>
      <c r="T412" s="345" t="str">
        <f t="shared" si="163"/>
        <v>000</v>
      </c>
      <c r="U412" s="345">
        <f t="shared" si="151"/>
        <v>0</v>
      </c>
      <c r="V412" s="345">
        <f t="shared" si="152"/>
        <v>0</v>
      </c>
      <c r="W412" s="345">
        <f t="shared" si="153"/>
        <v>0</v>
      </c>
      <c r="X412" s="345">
        <f t="shared" si="154"/>
        <v>0</v>
      </c>
      <c r="Y412" s="345">
        <f t="shared" si="155"/>
        <v>0</v>
      </c>
      <c r="Z412" s="345">
        <f>IF(Q412&lt;&gt;"",VLOOKUP(Y412,TIME!$R$21:$V$24,MATCH(FC_DATA!Q412,TIME!$R$20:$V$20,0),FALSE),H412)</f>
        <v>0</v>
      </c>
      <c r="AA412" s="345" t="str">
        <f>IFERROR(VLOOKUP(X412&amp;Z412,TIME!$A$12:$D$71,4,FALSE),"")</f>
        <v/>
      </c>
      <c r="AB412" s="592">
        <f t="shared" ca="1" si="156"/>
        <v>0</v>
      </c>
      <c r="AC412" s="593" t="e">
        <f ca="1">IF(ISBLANK(H412)=FALSE,IF(D412="BRAND.com",I412,IF(ISNA(VLOOKUP(_xlfn.CONCAT(X412,Z412),TIME!$M$40:$M$42,1,FALSE)),I412,VLOOKUP(_xlfn.CONCAT(D412,G412,H412),M_BUSAREA_FC!$AF$5:$AJ$10,5,FALSE)*HLOOKUP(_xlfn.CONCAT(F412,H412),ST_OVERVIEW!$G$99:$I$130,MATCH(_xlfn.CONCAT(D412,E412),ST_OVERVIEW!$F$99:$F$130,0),FALSE))),IF(D412="BRAND.com",VLOOKUP(_xlfn.CONCAT(C412,D412,E412,TIME!$F$1,Z412),HIS_SALES!$B$2:$V$4859,19,FALSE)*I412,VLOOKUP(_xlfn.CONCAT(D412,F412,G412),Q_BUSAREA_FC!$AE$5:$AI$12,5,FALSE)*HLOOKUP(_xlfn.CONCAT(FC_DATA!F412,FC_DATA!G412),LT_OVERVIEW!$I$99:$M$130,MATCH(_xlfn.CONCAT(D412,FC_DATA!E412),LT_OVERVIEW!$H$99:$H$130,0),FALSE)*IFERROR(VLOOKUP(_xlfn.CONCAT(C412,D412,E412,TIME!$F$1,Z412),HIS_SALES!$B$2:$V$4859,19,FALSE),0)))</f>
        <v>#N/A</v>
      </c>
      <c r="AD412" s="341">
        <f t="shared" ca="1" si="157"/>
        <v>0</v>
      </c>
      <c r="AE412" s="363" t="str">
        <f t="shared" si="158"/>
        <v/>
      </c>
      <c r="AF412" s="342" t="str">
        <f t="shared" si="159"/>
        <v/>
      </c>
      <c r="AG412" s="411" t="e">
        <f ca="1">VLOOKUP(_xlfn.CONCAT(U412,V412,W412,VLOOKUP(X412&amp;Y412,TIME!$L$27:$O$34,4,FALSE),Y412),HIS_SALES!$A$2:$R$5093,18,FALSE)</f>
        <v>#N/A</v>
      </c>
      <c r="AH412" s="412" t="e">
        <f ca="1">IFERROR(IF(AND(V412=V411,W412=W411),0.5*(AB412+AB411)*AG412,(VLOOKUP(_xlfn.CONCAT(U412,V412,W412,X412,VLOOKUP(Z412,TIME!$S$28:$T$39,2,FALSE)),FC_DATA!$R$2:$AB$5000,MATCH("GS_I_M",FC_DATA!$R$1:$AB$1,0),FALSE)+FC_DATA!AB412)*0.5*FC_DATA!AG412),NA())</f>
        <v>#N/A</v>
      </c>
      <c r="AI412" s="491" t="e">
        <f ca="1">IF(V412="PARTNER.com",AH412,IF(AND(V412=V411,W412=W411),(1-AVERAGE(AD411,AD412))*AH412,(1-AVERAGE(AD412,VLOOKUP(_xlfn.CONCAT(U412,V412,W412,X412,M_BRAND_FC!$F$6),FC_DATA!$R$2:$AD$5000,MATCH("DISCOUNT_%_M",FC_DATA!$R$1:$AD$1,0),FALSE)))*AH412))</f>
        <v>#N/A</v>
      </c>
      <c r="AJ412" s="412" t="str">
        <f t="shared" ca="1" si="160"/>
        <v/>
      </c>
      <c r="AK412" s="413" t="str">
        <f>IFERROR(AE412/(Q_BRAND_FC!$T$24+1),"")</f>
        <v/>
      </c>
      <c r="AL412" s="88" t="str">
        <f t="shared" ca="1" si="161"/>
        <v/>
      </c>
      <c r="AM412" s="414" t="str">
        <f t="shared" ca="1" si="162"/>
        <v/>
      </c>
      <c r="AN412" s="58">
        <f>IFERROR(IF($V412="BRAND.com",HLOOKUP($X412&amp;$Z412,NWC_FC_NOOS!$C$4:$Q$23,MATCH(W412,NWC_FC_NOOS!$B$4:$B$23,0),FALSE),0),0)</f>
        <v>0</v>
      </c>
      <c r="AO412" s="57">
        <f>IFERROR(IF($V412="BRAND.com",HLOOKUP($X412&amp;$Z412,NWC_FC_NOOS!$T$4:$AH$23,MATCH(W412,NWC_FC_NOOS!$S$4:$S$23,0),FALSE),0),0)</f>
        <v>0</v>
      </c>
      <c r="AP412" s="57">
        <f>IFERROR(IF($V412="BRAND.com",HLOOKUP($X412&amp;$Z412,NWC_FC_NOOS!$C$50:$U$69,MATCH(W412,NWC_FC_NOOS!$B$50:$B$69,0),FALSE),0),0)</f>
        <v>0</v>
      </c>
      <c r="AQ412" s="58">
        <f>IFERROR(IF($V412="BRAND.com",HLOOKUP($X412&amp;$Z412,'NWC_FC_NON-NOOS'!$C$4:$Q$23,MATCH(W412,'NWC_FC_NON-NOOS'!$B$4:$B$23,0),FALSE),0),0)</f>
        <v>0</v>
      </c>
      <c r="AR412" s="57">
        <f>IFERROR(IF($V412="BRAND.com",HLOOKUP($X412&amp;$Z412,'NWC_FC_NON-NOOS'!$T$4:$AH$23,MATCH(W412,'NWC_FC_NON-NOOS'!$S$4:$S$23,0),FALSE),0),0)</f>
        <v>0</v>
      </c>
      <c r="AS412" s="57">
        <f>IFERROR(IF($V412="BRAND.com",HLOOKUP($X412&amp;$Z412,'NWC_FC_NON-NOOS'!$C$50:$U$69,MATCH(W412,'NWC_FC_NON-NOOS'!$B$50:$B$69,0),FALSE),0),0)</f>
        <v>0</v>
      </c>
      <c r="AT412" s="57">
        <f t="shared" si="164"/>
        <v>0</v>
      </c>
      <c r="AU412" s="57">
        <f t="shared" si="165"/>
        <v>0</v>
      </c>
      <c r="AV412" s="58">
        <f>IFERROR(IF($V412="BRAND.com",HLOOKUP($X412&amp;$Z412,PLANNING_FC!$BB$27:$BP$46,MATCH($W412,PLANNING_FC!$BA$27:$BA$46,0),FALSE),0),0)</f>
        <v>0</v>
      </c>
      <c r="AW412" s="58">
        <f>IFERROR(IF($V412="BRAND.com",HLOOKUP($X412&amp;$Z412,PLANNING_FC!$BB$4:$BP$23,MATCH($W412,PLANNING_FC!$BA$4:$BA$23,0),FALSE),0),0)</f>
        <v>0</v>
      </c>
      <c r="AX412" s="58">
        <f>IFERROR(IF($V412="BRAND.com",HLOOKUP($X412&amp;$Z412,PLANNING_FC!$T$27:$AH$46,MATCH($W412,PLANNING_FC!$B$27:$B$46,0),FALSE),0),0)</f>
        <v>0</v>
      </c>
      <c r="AY412" s="58">
        <f>IFERROR(IF($V412="BRAND.com",HLOOKUP($X412&amp;$Z412,PLANNING_FC!$T$4:$AH$23,MATCH($W412,PLANNING_FC!$B$4:$B$23,0),FALSE),0),0)</f>
        <v>0</v>
      </c>
      <c r="AZ412" s="58">
        <f>IFERROR(IF($V412="BRAND.com",HLOOKUP($X412&amp;$Z412,PLANNING_FC!$DA$27:$DO$46,MATCH($W412,PLANNING_FC!$CZ$27:$CZ$46,0),FALSE),0),0)</f>
        <v>0</v>
      </c>
      <c r="BA412" s="58">
        <f>IFERROR(IF($V412="BRAND.com",HLOOKUP($X412&amp;$Z412,PLANNING_FC!$DA$4:$DO$23,MATCH($W412,PLANNING_FC!$CZ$4:$CZ$23,0),FALSE),0),0)</f>
        <v>0</v>
      </c>
      <c r="BB412" s="883" t="str">
        <f>IF(V412="BRAND.com",IFERROR(HLOOKUP(X412&amp;Z412,PLANNING_FC!$AK$4:$AY$23,MATCH(W412,PLANNING_FC!$AJ$4:$AJ$23,0),FALSE)*1000,""),"")</f>
        <v/>
      </c>
      <c r="BC412" s="883" t="str">
        <f>IF(V412="BRAND.com",IFERROR(HLOOKUP(X412&amp;Z412,PLANNING_FC!$AK$27:$AY$46,MATCH(W412,PLANNING_FC!$AJ$27:$AJ$46,0),FALSE)*1000,""),"")</f>
        <v/>
      </c>
    </row>
    <row r="413" spans="1:55" x14ac:dyDescent="0.25">
      <c r="A413" s="509"/>
      <c r="B413" s="509"/>
      <c r="C413" s="509"/>
      <c r="D413" s="509"/>
      <c r="E413" s="509"/>
      <c r="F413" s="509"/>
      <c r="G413" s="509"/>
      <c r="H413" s="509"/>
      <c r="I413" s="512"/>
      <c r="J413" s="513"/>
      <c r="K413" s="879"/>
      <c r="L413" s="515"/>
      <c r="M413" s="516"/>
      <c r="N413" s="56">
        <f t="shared" si="146"/>
        <v>0</v>
      </c>
      <c r="O413" s="57">
        <f t="shared" si="147"/>
        <v>0</v>
      </c>
      <c r="P413" s="57">
        <f ca="1">IFERROR(IF(ISBLANK(H413),SUMIFS($AC:$AC,$V:$V,V413,$W:$W,W413,$X:$X,X413,$Y:$Y,Y413)*J413/(1-J413)*VLOOKUP(_xlfn.CONCAT(C413,D413,E413,TIME!$M$12,Z413),HIS_SALES!$B$2:$W$4859,20,FALSE),AC413*J413/(1-J413)),0)</f>
        <v>0</v>
      </c>
      <c r="Q413" s="541" t="str">
        <f t="shared" si="148"/>
        <v/>
      </c>
      <c r="R413" s="346" t="str">
        <f t="shared" si="149"/>
        <v>00000</v>
      </c>
      <c r="S413" s="344">
        <f t="shared" si="150"/>
        <v>0</v>
      </c>
      <c r="T413" s="345" t="str">
        <f t="shared" si="163"/>
        <v>000</v>
      </c>
      <c r="U413" s="345">
        <f t="shared" si="151"/>
        <v>0</v>
      </c>
      <c r="V413" s="345">
        <f t="shared" si="152"/>
        <v>0</v>
      </c>
      <c r="W413" s="345">
        <f t="shared" si="153"/>
        <v>0</v>
      </c>
      <c r="X413" s="345">
        <f t="shared" si="154"/>
        <v>0</v>
      </c>
      <c r="Y413" s="345">
        <f t="shared" si="155"/>
        <v>0</v>
      </c>
      <c r="Z413" s="345">
        <f>IF(Q413&lt;&gt;"",VLOOKUP(Y413,TIME!$R$21:$V$24,MATCH(FC_DATA!Q413,TIME!$R$20:$V$20,0),FALSE),H413)</f>
        <v>0</v>
      </c>
      <c r="AA413" s="345" t="str">
        <f>IFERROR(VLOOKUP(X413&amp;Z413,TIME!$A$12:$D$71,4,FALSE),"")</f>
        <v/>
      </c>
      <c r="AB413" s="592">
        <f t="shared" ca="1" si="156"/>
        <v>0</v>
      </c>
      <c r="AC413" s="593" t="e">
        <f ca="1">IF(ISBLANK(H413)=FALSE,IF(D413="BRAND.com",I413,IF(ISNA(VLOOKUP(_xlfn.CONCAT(X413,Z413),TIME!$M$40:$M$42,1,FALSE)),I413,VLOOKUP(_xlfn.CONCAT(D413,G413,H413),M_BUSAREA_FC!$AF$5:$AJ$10,5,FALSE)*HLOOKUP(_xlfn.CONCAT(F413,H413),ST_OVERVIEW!$G$99:$I$130,MATCH(_xlfn.CONCAT(D413,E413),ST_OVERVIEW!$F$99:$F$130,0),FALSE))),IF(D413="BRAND.com",VLOOKUP(_xlfn.CONCAT(C413,D413,E413,TIME!$F$1,Z413),HIS_SALES!$B$2:$V$4859,19,FALSE)*I413,VLOOKUP(_xlfn.CONCAT(D413,F413,G413),Q_BUSAREA_FC!$AE$5:$AI$12,5,FALSE)*HLOOKUP(_xlfn.CONCAT(FC_DATA!F413,FC_DATA!G413),LT_OVERVIEW!$I$99:$M$130,MATCH(_xlfn.CONCAT(D413,FC_DATA!E413),LT_OVERVIEW!$H$99:$H$130,0),FALSE)*IFERROR(VLOOKUP(_xlfn.CONCAT(C413,D413,E413,TIME!$F$1,Z413),HIS_SALES!$B$2:$V$4859,19,FALSE),0)))</f>
        <v>#N/A</v>
      </c>
      <c r="AD413" s="341">
        <f t="shared" ca="1" si="157"/>
        <v>0</v>
      </c>
      <c r="AE413" s="363" t="str">
        <f t="shared" si="158"/>
        <v/>
      </c>
      <c r="AF413" s="342" t="str">
        <f t="shared" si="159"/>
        <v/>
      </c>
      <c r="AG413" s="411" t="e">
        <f ca="1">VLOOKUP(_xlfn.CONCAT(U413,V413,W413,VLOOKUP(X413&amp;Y413,TIME!$L$27:$O$34,4,FALSE),Y413),HIS_SALES!$A$2:$R$5093,18,FALSE)</f>
        <v>#N/A</v>
      </c>
      <c r="AH413" s="412" t="e">
        <f ca="1">IFERROR(IF(AND(V413=V412,W413=W412),0.5*(AB413+AB412)*AG413,(VLOOKUP(_xlfn.CONCAT(U413,V413,W413,X413,VLOOKUP(Z413,TIME!$S$28:$T$39,2,FALSE)),FC_DATA!$R$2:$AB$5000,MATCH("GS_I_M",FC_DATA!$R$1:$AB$1,0),FALSE)+FC_DATA!AB413)*0.5*FC_DATA!AG413),NA())</f>
        <v>#N/A</v>
      </c>
      <c r="AI413" s="491" t="e">
        <f ca="1">IF(V413="PARTNER.com",AH413,IF(AND(V413=V412,W413=W412),(1-AVERAGE(AD412,AD413))*AH413,(1-AVERAGE(AD413,VLOOKUP(_xlfn.CONCAT(U413,V413,W413,X413,M_BRAND_FC!$F$6),FC_DATA!$R$2:$AD$5000,MATCH("DISCOUNT_%_M",FC_DATA!$R$1:$AD$1,0),FALSE)))*AH413))</f>
        <v>#N/A</v>
      </c>
      <c r="AJ413" s="412" t="str">
        <f t="shared" ca="1" si="160"/>
        <v/>
      </c>
      <c r="AK413" s="413" t="str">
        <f>IFERROR(AE413/(Q_BRAND_FC!$T$24+1),"")</f>
        <v/>
      </c>
      <c r="AL413" s="88" t="str">
        <f t="shared" ca="1" si="161"/>
        <v/>
      </c>
      <c r="AM413" s="414" t="str">
        <f t="shared" ca="1" si="162"/>
        <v/>
      </c>
      <c r="AN413" s="58">
        <f>IFERROR(IF($V413="BRAND.com",HLOOKUP($X413&amp;$Z413,NWC_FC_NOOS!$C$4:$Q$23,MATCH(W413,NWC_FC_NOOS!$B$4:$B$23,0),FALSE),0),0)</f>
        <v>0</v>
      </c>
      <c r="AO413" s="57">
        <f>IFERROR(IF($V413="BRAND.com",HLOOKUP($X413&amp;$Z413,NWC_FC_NOOS!$T$4:$AH$23,MATCH(W413,NWC_FC_NOOS!$S$4:$S$23,0),FALSE),0),0)</f>
        <v>0</v>
      </c>
      <c r="AP413" s="57">
        <f>IFERROR(IF($V413="BRAND.com",HLOOKUP($X413&amp;$Z413,NWC_FC_NOOS!$C$50:$U$69,MATCH(W413,NWC_FC_NOOS!$B$50:$B$69,0),FALSE),0),0)</f>
        <v>0</v>
      </c>
      <c r="AQ413" s="58">
        <f>IFERROR(IF($V413="BRAND.com",HLOOKUP($X413&amp;$Z413,'NWC_FC_NON-NOOS'!$C$4:$Q$23,MATCH(W413,'NWC_FC_NON-NOOS'!$B$4:$B$23,0),FALSE),0),0)</f>
        <v>0</v>
      </c>
      <c r="AR413" s="57">
        <f>IFERROR(IF($V413="BRAND.com",HLOOKUP($X413&amp;$Z413,'NWC_FC_NON-NOOS'!$T$4:$AH$23,MATCH(W413,'NWC_FC_NON-NOOS'!$S$4:$S$23,0),FALSE),0),0)</f>
        <v>0</v>
      </c>
      <c r="AS413" s="57">
        <f>IFERROR(IF($V413="BRAND.com",HLOOKUP($X413&amp;$Z413,'NWC_FC_NON-NOOS'!$C$50:$U$69,MATCH(W413,'NWC_FC_NON-NOOS'!$B$50:$B$69,0),FALSE),0),0)</f>
        <v>0</v>
      </c>
      <c r="AT413" s="57">
        <f t="shared" si="164"/>
        <v>0</v>
      </c>
      <c r="AU413" s="57">
        <f t="shared" si="165"/>
        <v>0</v>
      </c>
      <c r="AV413" s="58">
        <f>IFERROR(IF($V413="BRAND.com",HLOOKUP($X413&amp;$Z413,PLANNING_FC!$BB$27:$BP$46,MATCH($W413,PLANNING_FC!$BA$27:$BA$46,0),FALSE),0),0)</f>
        <v>0</v>
      </c>
      <c r="AW413" s="58">
        <f>IFERROR(IF($V413="BRAND.com",HLOOKUP($X413&amp;$Z413,PLANNING_FC!$BB$4:$BP$23,MATCH($W413,PLANNING_FC!$BA$4:$BA$23,0),FALSE),0),0)</f>
        <v>0</v>
      </c>
      <c r="AX413" s="58">
        <f>IFERROR(IF($V413="BRAND.com",HLOOKUP($X413&amp;$Z413,PLANNING_FC!$T$27:$AH$46,MATCH($W413,PLANNING_FC!$B$27:$B$46,0),FALSE),0),0)</f>
        <v>0</v>
      </c>
      <c r="AY413" s="58">
        <f>IFERROR(IF($V413="BRAND.com",HLOOKUP($X413&amp;$Z413,PLANNING_FC!$T$4:$AH$23,MATCH($W413,PLANNING_FC!$B$4:$B$23,0),FALSE),0),0)</f>
        <v>0</v>
      </c>
      <c r="AZ413" s="58">
        <f>IFERROR(IF($V413="BRAND.com",HLOOKUP($X413&amp;$Z413,PLANNING_FC!$DA$27:$DO$46,MATCH($W413,PLANNING_FC!$CZ$27:$CZ$46,0),FALSE),0),0)</f>
        <v>0</v>
      </c>
      <c r="BA413" s="58">
        <f>IFERROR(IF($V413="BRAND.com",HLOOKUP($X413&amp;$Z413,PLANNING_FC!$DA$4:$DO$23,MATCH($W413,PLANNING_FC!$CZ$4:$CZ$23,0),FALSE),0),0)</f>
        <v>0</v>
      </c>
      <c r="BB413" s="883" t="str">
        <f>IF(V413="BRAND.com",IFERROR(HLOOKUP(X413&amp;Z413,PLANNING_FC!$AK$4:$AY$23,MATCH(W413,PLANNING_FC!$AJ$4:$AJ$23,0),FALSE)*1000,""),"")</f>
        <v/>
      </c>
      <c r="BC413" s="883" t="str">
        <f>IF(V413="BRAND.com",IFERROR(HLOOKUP(X413&amp;Z413,PLANNING_FC!$AK$27:$AY$46,MATCH(W413,PLANNING_FC!$AJ$27:$AJ$46,0),FALSE)*1000,""),"")</f>
        <v/>
      </c>
    </row>
    <row r="414" spans="1:55" x14ac:dyDescent="0.25">
      <c r="A414" s="509"/>
      <c r="B414" s="509"/>
      <c r="C414" s="509"/>
      <c r="D414" s="509"/>
      <c r="E414" s="509"/>
      <c r="F414" s="509"/>
      <c r="G414" s="509"/>
      <c r="H414" s="509"/>
      <c r="I414" s="512"/>
      <c r="J414" s="513"/>
      <c r="K414" s="879"/>
      <c r="L414" s="515"/>
      <c r="M414" s="516"/>
      <c r="N414" s="56">
        <f t="shared" si="146"/>
        <v>0</v>
      </c>
      <c r="O414" s="57">
        <f t="shared" si="147"/>
        <v>0</v>
      </c>
      <c r="P414" s="57">
        <f ca="1">IFERROR(IF(ISBLANK(H414),SUMIFS($AC:$AC,$V:$V,V414,$W:$W,W414,$X:$X,X414,$Y:$Y,Y414)*J414/(1-J414)*VLOOKUP(_xlfn.CONCAT(C414,D414,E414,TIME!$M$12,Z414),HIS_SALES!$B$2:$W$4859,20,FALSE),AC414*J414/(1-J414)),0)</f>
        <v>0</v>
      </c>
      <c r="Q414" s="541" t="str">
        <f t="shared" si="148"/>
        <v/>
      </c>
      <c r="R414" s="346" t="str">
        <f t="shared" si="149"/>
        <v>00000</v>
      </c>
      <c r="S414" s="344">
        <f t="shared" si="150"/>
        <v>0</v>
      </c>
      <c r="T414" s="345" t="str">
        <f t="shared" si="163"/>
        <v>000</v>
      </c>
      <c r="U414" s="345">
        <f t="shared" si="151"/>
        <v>0</v>
      </c>
      <c r="V414" s="345">
        <f t="shared" si="152"/>
        <v>0</v>
      </c>
      <c r="W414" s="345">
        <f t="shared" si="153"/>
        <v>0</v>
      </c>
      <c r="X414" s="345">
        <f t="shared" si="154"/>
        <v>0</v>
      </c>
      <c r="Y414" s="345">
        <f t="shared" si="155"/>
        <v>0</v>
      </c>
      <c r="Z414" s="345">
        <f>IF(Q414&lt;&gt;"",VLOOKUP(Y414,TIME!$R$21:$V$24,MATCH(FC_DATA!Q414,TIME!$R$20:$V$20,0),FALSE),H414)</f>
        <v>0</v>
      </c>
      <c r="AA414" s="345" t="str">
        <f>IFERROR(VLOOKUP(X414&amp;Z414,TIME!$A$12:$D$71,4,FALSE),"")</f>
        <v/>
      </c>
      <c r="AB414" s="592">
        <f t="shared" ca="1" si="156"/>
        <v>0</v>
      </c>
      <c r="AC414" s="593" t="e">
        <f ca="1">IF(ISBLANK(H414)=FALSE,IF(D414="BRAND.com",I414,IF(ISNA(VLOOKUP(_xlfn.CONCAT(X414,Z414),TIME!$M$40:$M$42,1,FALSE)),I414,VLOOKUP(_xlfn.CONCAT(D414,G414,H414),M_BUSAREA_FC!$AF$5:$AJ$10,5,FALSE)*HLOOKUP(_xlfn.CONCAT(F414,H414),ST_OVERVIEW!$G$99:$I$130,MATCH(_xlfn.CONCAT(D414,E414),ST_OVERVIEW!$F$99:$F$130,0),FALSE))),IF(D414="BRAND.com",VLOOKUP(_xlfn.CONCAT(C414,D414,E414,TIME!$F$1,Z414),HIS_SALES!$B$2:$V$4859,19,FALSE)*I414,VLOOKUP(_xlfn.CONCAT(D414,F414,G414),Q_BUSAREA_FC!$AE$5:$AI$12,5,FALSE)*HLOOKUP(_xlfn.CONCAT(FC_DATA!F414,FC_DATA!G414),LT_OVERVIEW!$I$99:$M$130,MATCH(_xlfn.CONCAT(D414,FC_DATA!E414),LT_OVERVIEW!$H$99:$H$130,0),FALSE)*IFERROR(VLOOKUP(_xlfn.CONCAT(C414,D414,E414,TIME!$F$1,Z414),HIS_SALES!$B$2:$V$4859,19,FALSE),0)))</f>
        <v>#N/A</v>
      </c>
      <c r="AD414" s="341">
        <f t="shared" ca="1" si="157"/>
        <v>0</v>
      </c>
      <c r="AE414" s="363" t="str">
        <f t="shared" si="158"/>
        <v/>
      </c>
      <c r="AF414" s="342" t="str">
        <f t="shared" si="159"/>
        <v/>
      </c>
      <c r="AG414" s="411" t="e">
        <f ca="1">VLOOKUP(_xlfn.CONCAT(U414,V414,W414,VLOOKUP(X414&amp;Y414,TIME!$L$27:$O$34,4,FALSE),Y414),HIS_SALES!$A$2:$R$5093,18,FALSE)</f>
        <v>#N/A</v>
      </c>
      <c r="AH414" s="412" t="e">
        <f ca="1">IFERROR(IF(AND(V414=V413,W414=W413),0.5*(AB414+AB413)*AG414,(VLOOKUP(_xlfn.CONCAT(U414,V414,W414,X414,VLOOKUP(Z414,TIME!$S$28:$T$39,2,FALSE)),FC_DATA!$R$2:$AB$5000,MATCH("GS_I_M",FC_DATA!$R$1:$AB$1,0),FALSE)+FC_DATA!AB414)*0.5*FC_DATA!AG414),NA())</f>
        <v>#N/A</v>
      </c>
      <c r="AI414" s="491" t="e">
        <f ca="1">IF(V414="PARTNER.com",AH414,IF(AND(V414=V413,W414=W413),(1-AVERAGE(AD413,AD414))*AH414,(1-AVERAGE(AD414,VLOOKUP(_xlfn.CONCAT(U414,V414,W414,X414,M_BRAND_FC!$F$6),FC_DATA!$R$2:$AD$5000,MATCH("DISCOUNT_%_M",FC_DATA!$R$1:$AD$1,0),FALSE)))*AH414))</f>
        <v>#N/A</v>
      </c>
      <c r="AJ414" s="412" t="str">
        <f t="shared" ca="1" si="160"/>
        <v/>
      </c>
      <c r="AK414" s="413" t="str">
        <f>IFERROR(AE414/(Q_BRAND_FC!$T$24+1),"")</f>
        <v/>
      </c>
      <c r="AL414" s="88" t="str">
        <f t="shared" ca="1" si="161"/>
        <v/>
      </c>
      <c r="AM414" s="414" t="str">
        <f t="shared" ca="1" si="162"/>
        <v/>
      </c>
      <c r="AN414" s="58">
        <f>IFERROR(IF($V414="BRAND.com",HLOOKUP($X414&amp;$Z414,NWC_FC_NOOS!$C$4:$Q$23,MATCH(W414,NWC_FC_NOOS!$B$4:$B$23,0),FALSE),0),0)</f>
        <v>0</v>
      </c>
      <c r="AO414" s="57">
        <f>IFERROR(IF($V414="BRAND.com",HLOOKUP($X414&amp;$Z414,NWC_FC_NOOS!$T$4:$AH$23,MATCH(W414,NWC_FC_NOOS!$S$4:$S$23,0),FALSE),0),0)</f>
        <v>0</v>
      </c>
      <c r="AP414" s="57">
        <f>IFERROR(IF($V414="BRAND.com",HLOOKUP($X414&amp;$Z414,NWC_FC_NOOS!$C$50:$U$69,MATCH(W414,NWC_FC_NOOS!$B$50:$B$69,0),FALSE),0),0)</f>
        <v>0</v>
      </c>
      <c r="AQ414" s="58">
        <f>IFERROR(IF($V414="BRAND.com",HLOOKUP($X414&amp;$Z414,'NWC_FC_NON-NOOS'!$C$4:$Q$23,MATCH(W414,'NWC_FC_NON-NOOS'!$B$4:$B$23,0),FALSE),0),0)</f>
        <v>0</v>
      </c>
      <c r="AR414" s="57">
        <f>IFERROR(IF($V414="BRAND.com",HLOOKUP($X414&amp;$Z414,'NWC_FC_NON-NOOS'!$T$4:$AH$23,MATCH(W414,'NWC_FC_NON-NOOS'!$S$4:$S$23,0),FALSE),0),0)</f>
        <v>0</v>
      </c>
      <c r="AS414" s="57">
        <f>IFERROR(IF($V414="BRAND.com",HLOOKUP($X414&amp;$Z414,'NWC_FC_NON-NOOS'!$C$50:$U$69,MATCH(W414,'NWC_FC_NON-NOOS'!$B$50:$B$69,0),FALSE),0),0)</f>
        <v>0</v>
      </c>
      <c r="AT414" s="57">
        <f t="shared" si="164"/>
        <v>0</v>
      </c>
      <c r="AU414" s="57">
        <f t="shared" si="165"/>
        <v>0</v>
      </c>
      <c r="AV414" s="58">
        <f>IFERROR(IF($V414="BRAND.com",HLOOKUP($X414&amp;$Z414,PLANNING_FC!$BB$27:$BP$46,MATCH($W414,PLANNING_FC!$BA$27:$BA$46,0),FALSE),0),0)</f>
        <v>0</v>
      </c>
      <c r="AW414" s="58">
        <f>IFERROR(IF($V414="BRAND.com",HLOOKUP($X414&amp;$Z414,PLANNING_FC!$BB$4:$BP$23,MATCH($W414,PLANNING_FC!$BA$4:$BA$23,0),FALSE),0),0)</f>
        <v>0</v>
      </c>
      <c r="AX414" s="58">
        <f>IFERROR(IF($V414="BRAND.com",HLOOKUP($X414&amp;$Z414,PLANNING_FC!$T$27:$AH$46,MATCH($W414,PLANNING_FC!$B$27:$B$46,0),FALSE),0),0)</f>
        <v>0</v>
      </c>
      <c r="AY414" s="58">
        <f>IFERROR(IF($V414="BRAND.com",HLOOKUP($X414&amp;$Z414,PLANNING_FC!$T$4:$AH$23,MATCH($W414,PLANNING_FC!$B$4:$B$23,0),FALSE),0),0)</f>
        <v>0</v>
      </c>
      <c r="AZ414" s="58">
        <f>IFERROR(IF($V414="BRAND.com",HLOOKUP($X414&amp;$Z414,PLANNING_FC!$DA$27:$DO$46,MATCH($W414,PLANNING_FC!$CZ$27:$CZ$46,0),FALSE),0),0)</f>
        <v>0</v>
      </c>
      <c r="BA414" s="58">
        <f>IFERROR(IF($V414="BRAND.com",HLOOKUP($X414&amp;$Z414,PLANNING_FC!$DA$4:$DO$23,MATCH($W414,PLANNING_FC!$CZ$4:$CZ$23,0),FALSE),0),0)</f>
        <v>0</v>
      </c>
      <c r="BB414" s="883" t="str">
        <f>IF(V414="BRAND.com",IFERROR(HLOOKUP(X414&amp;Z414,PLANNING_FC!$AK$4:$AY$23,MATCH(W414,PLANNING_FC!$AJ$4:$AJ$23,0),FALSE)*1000,""),"")</f>
        <v/>
      </c>
      <c r="BC414" s="883" t="str">
        <f>IF(V414="BRAND.com",IFERROR(HLOOKUP(X414&amp;Z414,PLANNING_FC!$AK$27:$AY$46,MATCH(W414,PLANNING_FC!$AJ$27:$AJ$46,0),FALSE)*1000,""),"")</f>
        <v/>
      </c>
    </row>
    <row r="415" spans="1:55" x14ac:dyDescent="0.25">
      <c r="A415" s="509"/>
      <c r="B415" s="509"/>
      <c r="C415" s="509"/>
      <c r="D415" s="509"/>
      <c r="E415" s="509"/>
      <c r="F415" s="509"/>
      <c r="G415" s="509"/>
      <c r="H415" s="509"/>
      <c r="I415" s="512"/>
      <c r="J415" s="513"/>
      <c r="K415" s="879"/>
      <c r="L415" s="515"/>
      <c r="M415" s="516"/>
      <c r="N415" s="56">
        <f t="shared" si="146"/>
        <v>0</v>
      </c>
      <c r="O415" s="57">
        <f t="shared" si="147"/>
        <v>0</v>
      </c>
      <c r="P415" s="57">
        <f ca="1">IFERROR(IF(ISBLANK(H415),SUMIFS($AC:$AC,$V:$V,V415,$W:$W,W415,$X:$X,X415,$Y:$Y,Y415)*J415/(1-J415)*VLOOKUP(_xlfn.CONCAT(C415,D415,E415,TIME!$M$12,Z415),HIS_SALES!$B$2:$W$4859,20,FALSE),AC415*J415/(1-J415)),0)</f>
        <v>0</v>
      </c>
      <c r="Q415" s="541" t="str">
        <f t="shared" si="148"/>
        <v/>
      </c>
      <c r="R415" s="346" t="str">
        <f t="shared" si="149"/>
        <v>00000</v>
      </c>
      <c r="S415" s="344">
        <f t="shared" si="150"/>
        <v>0</v>
      </c>
      <c r="T415" s="345" t="str">
        <f t="shared" si="163"/>
        <v>000</v>
      </c>
      <c r="U415" s="345">
        <f t="shared" si="151"/>
        <v>0</v>
      </c>
      <c r="V415" s="345">
        <f t="shared" si="152"/>
        <v>0</v>
      </c>
      <c r="W415" s="345">
        <f t="shared" si="153"/>
        <v>0</v>
      </c>
      <c r="X415" s="345">
        <f t="shared" si="154"/>
        <v>0</v>
      </c>
      <c r="Y415" s="345">
        <f t="shared" si="155"/>
        <v>0</v>
      </c>
      <c r="Z415" s="345">
        <f>IF(Q415&lt;&gt;"",VLOOKUP(Y415,TIME!$R$21:$V$24,MATCH(FC_DATA!Q415,TIME!$R$20:$V$20,0),FALSE),H415)</f>
        <v>0</v>
      </c>
      <c r="AA415" s="345" t="str">
        <f>IFERROR(VLOOKUP(X415&amp;Z415,TIME!$A$12:$D$71,4,FALSE),"")</f>
        <v/>
      </c>
      <c r="AB415" s="592">
        <f t="shared" ca="1" si="156"/>
        <v>0</v>
      </c>
      <c r="AC415" s="593" t="e">
        <f ca="1">IF(ISBLANK(H415)=FALSE,IF(D415="BRAND.com",I415,IF(ISNA(VLOOKUP(_xlfn.CONCAT(X415,Z415),TIME!$M$40:$M$42,1,FALSE)),I415,VLOOKUP(_xlfn.CONCAT(D415,G415,H415),M_BUSAREA_FC!$AF$5:$AJ$10,5,FALSE)*HLOOKUP(_xlfn.CONCAT(F415,H415),ST_OVERVIEW!$G$99:$I$130,MATCH(_xlfn.CONCAT(D415,E415),ST_OVERVIEW!$F$99:$F$130,0),FALSE))),IF(D415="BRAND.com",VLOOKUP(_xlfn.CONCAT(C415,D415,E415,TIME!$F$1,Z415),HIS_SALES!$B$2:$V$4859,19,FALSE)*I415,VLOOKUP(_xlfn.CONCAT(D415,F415,G415),Q_BUSAREA_FC!$AE$5:$AI$12,5,FALSE)*HLOOKUP(_xlfn.CONCAT(FC_DATA!F415,FC_DATA!G415),LT_OVERVIEW!$I$99:$M$130,MATCH(_xlfn.CONCAT(D415,FC_DATA!E415),LT_OVERVIEW!$H$99:$H$130,0),FALSE)*IFERROR(VLOOKUP(_xlfn.CONCAT(C415,D415,E415,TIME!$F$1,Z415),HIS_SALES!$B$2:$V$4859,19,FALSE),0)))</f>
        <v>#N/A</v>
      </c>
      <c r="AD415" s="341">
        <f t="shared" ca="1" si="157"/>
        <v>0</v>
      </c>
      <c r="AE415" s="363" t="str">
        <f t="shared" si="158"/>
        <v/>
      </c>
      <c r="AF415" s="342" t="str">
        <f t="shared" si="159"/>
        <v/>
      </c>
      <c r="AG415" s="411" t="e">
        <f ca="1">VLOOKUP(_xlfn.CONCAT(U415,V415,W415,VLOOKUP(X415&amp;Y415,TIME!$L$27:$O$34,4,FALSE),Y415),HIS_SALES!$A$2:$R$5093,18,FALSE)</f>
        <v>#N/A</v>
      </c>
      <c r="AH415" s="412" t="e">
        <f ca="1">IFERROR(IF(AND(V415=V414,W415=W414),0.5*(AB415+AB414)*AG415,(VLOOKUP(_xlfn.CONCAT(U415,V415,W415,X415,VLOOKUP(Z415,TIME!$S$28:$T$39,2,FALSE)),FC_DATA!$R$2:$AB$5000,MATCH("GS_I_M",FC_DATA!$R$1:$AB$1,0),FALSE)+FC_DATA!AB415)*0.5*FC_DATA!AG415),NA())</f>
        <v>#N/A</v>
      </c>
      <c r="AI415" s="491" t="e">
        <f ca="1">IF(V415="PARTNER.com",AH415,IF(AND(V415=V414,W415=W414),(1-AVERAGE(AD414,AD415))*AH415,(1-AVERAGE(AD415,VLOOKUP(_xlfn.CONCAT(U415,V415,W415,X415,M_BRAND_FC!$F$6),FC_DATA!$R$2:$AD$5000,MATCH("DISCOUNT_%_M",FC_DATA!$R$1:$AD$1,0),FALSE)))*AH415))</f>
        <v>#N/A</v>
      </c>
      <c r="AJ415" s="412" t="str">
        <f t="shared" ca="1" si="160"/>
        <v/>
      </c>
      <c r="AK415" s="413" t="str">
        <f>IFERROR(AE415/(Q_BRAND_FC!$T$24+1),"")</f>
        <v/>
      </c>
      <c r="AL415" s="88" t="str">
        <f t="shared" ca="1" si="161"/>
        <v/>
      </c>
      <c r="AM415" s="414" t="str">
        <f t="shared" ca="1" si="162"/>
        <v/>
      </c>
      <c r="AN415" s="58">
        <f>IFERROR(IF($V415="BRAND.com",HLOOKUP($X415&amp;$Z415,NWC_FC_NOOS!$C$4:$Q$23,MATCH(W415,NWC_FC_NOOS!$B$4:$B$23,0),FALSE),0),0)</f>
        <v>0</v>
      </c>
      <c r="AO415" s="57">
        <f>IFERROR(IF($V415="BRAND.com",HLOOKUP($X415&amp;$Z415,NWC_FC_NOOS!$T$4:$AH$23,MATCH(W415,NWC_FC_NOOS!$S$4:$S$23,0),FALSE),0),0)</f>
        <v>0</v>
      </c>
      <c r="AP415" s="57">
        <f>IFERROR(IF($V415="BRAND.com",HLOOKUP($X415&amp;$Z415,NWC_FC_NOOS!$C$50:$U$69,MATCH(W415,NWC_FC_NOOS!$B$50:$B$69,0),FALSE),0),0)</f>
        <v>0</v>
      </c>
      <c r="AQ415" s="58">
        <f>IFERROR(IF($V415="BRAND.com",HLOOKUP($X415&amp;$Z415,'NWC_FC_NON-NOOS'!$C$4:$Q$23,MATCH(W415,'NWC_FC_NON-NOOS'!$B$4:$B$23,0),FALSE),0),0)</f>
        <v>0</v>
      </c>
      <c r="AR415" s="57">
        <f>IFERROR(IF($V415="BRAND.com",HLOOKUP($X415&amp;$Z415,'NWC_FC_NON-NOOS'!$T$4:$AH$23,MATCH(W415,'NWC_FC_NON-NOOS'!$S$4:$S$23,0),FALSE),0),0)</f>
        <v>0</v>
      </c>
      <c r="AS415" s="57">
        <f>IFERROR(IF($V415="BRAND.com",HLOOKUP($X415&amp;$Z415,'NWC_FC_NON-NOOS'!$C$50:$U$69,MATCH(W415,'NWC_FC_NON-NOOS'!$B$50:$B$69,0),FALSE),0),0)</f>
        <v>0</v>
      </c>
      <c r="AT415" s="57">
        <f t="shared" si="164"/>
        <v>0</v>
      </c>
      <c r="AU415" s="57">
        <f t="shared" si="165"/>
        <v>0</v>
      </c>
      <c r="AV415" s="58">
        <f>IFERROR(IF($V415="BRAND.com",HLOOKUP($X415&amp;$Z415,PLANNING_FC!$BB$27:$BP$46,MATCH($W415,PLANNING_FC!$BA$27:$BA$46,0),FALSE),0),0)</f>
        <v>0</v>
      </c>
      <c r="AW415" s="58">
        <f>IFERROR(IF($V415="BRAND.com",HLOOKUP($X415&amp;$Z415,PLANNING_FC!$BB$4:$BP$23,MATCH($W415,PLANNING_FC!$BA$4:$BA$23,0),FALSE),0),0)</f>
        <v>0</v>
      </c>
      <c r="AX415" s="58">
        <f>IFERROR(IF($V415="BRAND.com",HLOOKUP($X415&amp;$Z415,PLANNING_FC!$T$27:$AH$46,MATCH($W415,PLANNING_FC!$B$27:$B$46,0),FALSE),0),0)</f>
        <v>0</v>
      </c>
      <c r="AY415" s="58">
        <f>IFERROR(IF($V415="BRAND.com",HLOOKUP($X415&amp;$Z415,PLANNING_FC!$T$4:$AH$23,MATCH($W415,PLANNING_FC!$B$4:$B$23,0),FALSE),0),0)</f>
        <v>0</v>
      </c>
      <c r="AZ415" s="58">
        <f>IFERROR(IF($V415="BRAND.com",HLOOKUP($X415&amp;$Z415,PLANNING_FC!$DA$27:$DO$46,MATCH($W415,PLANNING_FC!$CZ$27:$CZ$46,0),FALSE),0),0)</f>
        <v>0</v>
      </c>
      <c r="BA415" s="58">
        <f>IFERROR(IF($V415="BRAND.com",HLOOKUP($X415&amp;$Z415,PLANNING_FC!$DA$4:$DO$23,MATCH($W415,PLANNING_FC!$CZ$4:$CZ$23,0),FALSE),0),0)</f>
        <v>0</v>
      </c>
      <c r="BB415" s="883" t="str">
        <f>IF(V415="BRAND.com",IFERROR(HLOOKUP(X415&amp;Z415,PLANNING_FC!$AK$4:$AY$23,MATCH(W415,PLANNING_FC!$AJ$4:$AJ$23,0),FALSE)*1000,""),"")</f>
        <v/>
      </c>
      <c r="BC415" s="883" t="str">
        <f>IF(V415="BRAND.com",IFERROR(HLOOKUP(X415&amp;Z415,PLANNING_FC!$AK$27:$AY$46,MATCH(W415,PLANNING_FC!$AJ$27:$AJ$46,0),FALSE)*1000,""),"")</f>
        <v/>
      </c>
    </row>
    <row r="416" spans="1:55" x14ac:dyDescent="0.25">
      <c r="A416" s="509"/>
      <c r="B416" s="509"/>
      <c r="C416" s="509"/>
      <c r="D416" s="509"/>
      <c r="E416" s="509"/>
      <c r="F416" s="509"/>
      <c r="G416" s="509"/>
      <c r="H416" s="509"/>
      <c r="I416" s="512"/>
      <c r="J416" s="513"/>
      <c r="K416" s="879"/>
      <c r="L416" s="515"/>
      <c r="M416" s="516"/>
      <c r="N416" s="56">
        <f t="shared" si="146"/>
        <v>0</v>
      </c>
      <c r="O416" s="57">
        <f t="shared" si="147"/>
        <v>0</v>
      </c>
      <c r="P416" s="57">
        <f ca="1">IFERROR(IF(ISBLANK(H416),SUMIFS($AC:$AC,$V:$V,V416,$W:$W,W416,$X:$X,X416,$Y:$Y,Y416)*J416/(1-J416)*VLOOKUP(_xlfn.CONCAT(C416,D416,E416,TIME!$M$12,Z416),HIS_SALES!$B$2:$W$4859,20,FALSE),AC416*J416/(1-J416)),0)</f>
        <v>0</v>
      </c>
      <c r="Q416" s="541" t="str">
        <f t="shared" si="148"/>
        <v/>
      </c>
      <c r="R416" s="346" t="str">
        <f t="shared" si="149"/>
        <v>00000</v>
      </c>
      <c r="S416" s="344">
        <f t="shared" si="150"/>
        <v>0</v>
      </c>
      <c r="T416" s="345" t="str">
        <f t="shared" si="163"/>
        <v>000</v>
      </c>
      <c r="U416" s="345">
        <f t="shared" si="151"/>
        <v>0</v>
      </c>
      <c r="V416" s="345">
        <f t="shared" si="152"/>
        <v>0</v>
      </c>
      <c r="W416" s="345">
        <f t="shared" si="153"/>
        <v>0</v>
      </c>
      <c r="X416" s="345">
        <f t="shared" si="154"/>
        <v>0</v>
      </c>
      <c r="Y416" s="345">
        <f t="shared" si="155"/>
        <v>0</v>
      </c>
      <c r="Z416" s="345">
        <f>IF(Q416&lt;&gt;"",VLOOKUP(Y416,TIME!$R$21:$V$24,MATCH(FC_DATA!Q416,TIME!$R$20:$V$20,0),FALSE),H416)</f>
        <v>0</v>
      </c>
      <c r="AA416" s="345" t="str">
        <f>IFERROR(VLOOKUP(X416&amp;Z416,TIME!$A$12:$D$71,4,FALSE),"")</f>
        <v/>
      </c>
      <c r="AB416" s="592">
        <f t="shared" ca="1" si="156"/>
        <v>0</v>
      </c>
      <c r="AC416" s="593" t="e">
        <f ca="1">IF(ISBLANK(H416)=FALSE,IF(D416="BRAND.com",I416,IF(ISNA(VLOOKUP(_xlfn.CONCAT(X416,Z416),TIME!$M$40:$M$42,1,FALSE)),I416,VLOOKUP(_xlfn.CONCAT(D416,G416,H416),M_BUSAREA_FC!$AF$5:$AJ$10,5,FALSE)*HLOOKUP(_xlfn.CONCAT(F416,H416),ST_OVERVIEW!$G$99:$I$130,MATCH(_xlfn.CONCAT(D416,E416),ST_OVERVIEW!$F$99:$F$130,0),FALSE))),IF(D416="BRAND.com",VLOOKUP(_xlfn.CONCAT(C416,D416,E416,TIME!$F$1,Z416),HIS_SALES!$B$2:$V$4859,19,FALSE)*I416,VLOOKUP(_xlfn.CONCAT(D416,F416,G416),Q_BUSAREA_FC!$AE$5:$AI$12,5,FALSE)*HLOOKUP(_xlfn.CONCAT(FC_DATA!F416,FC_DATA!G416),LT_OVERVIEW!$I$99:$M$130,MATCH(_xlfn.CONCAT(D416,FC_DATA!E416),LT_OVERVIEW!$H$99:$H$130,0),FALSE)*IFERROR(VLOOKUP(_xlfn.CONCAT(C416,D416,E416,TIME!$F$1,Z416),HIS_SALES!$B$2:$V$4859,19,FALSE),0)))</f>
        <v>#N/A</v>
      </c>
      <c r="AD416" s="341">
        <f t="shared" ca="1" si="157"/>
        <v>0</v>
      </c>
      <c r="AE416" s="363" t="str">
        <f t="shared" si="158"/>
        <v/>
      </c>
      <c r="AF416" s="342" t="str">
        <f t="shared" si="159"/>
        <v/>
      </c>
      <c r="AG416" s="411" t="e">
        <f ca="1">VLOOKUP(_xlfn.CONCAT(U416,V416,W416,VLOOKUP(X416&amp;Y416,TIME!$L$27:$O$34,4,FALSE),Y416),HIS_SALES!$A$2:$R$5093,18,FALSE)</f>
        <v>#N/A</v>
      </c>
      <c r="AH416" s="412" t="e">
        <f ca="1">IFERROR(IF(AND(V416=V415,W416=W415),0.5*(AB416+AB415)*AG416,(VLOOKUP(_xlfn.CONCAT(U416,V416,W416,X416,VLOOKUP(Z416,TIME!$S$28:$T$39,2,FALSE)),FC_DATA!$R$2:$AB$5000,MATCH("GS_I_M",FC_DATA!$R$1:$AB$1,0),FALSE)+FC_DATA!AB416)*0.5*FC_DATA!AG416),NA())</f>
        <v>#N/A</v>
      </c>
      <c r="AI416" s="491" t="e">
        <f ca="1">IF(V416="PARTNER.com",AH416,IF(AND(V416=V415,W416=W415),(1-AVERAGE(AD415,AD416))*AH416,(1-AVERAGE(AD416,VLOOKUP(_xlfn.CONCAT(U416,V416,W416,X416,M_BRAND_FC!$F$6),FC_DATA!$R$2:$AD$5000,MATCH("DISCOUNT_%_M",FC_DATA!$R$1:$AD$1,0),FALSE)))*AH416))</f>
        <v>#N/A</v>
      </c>
      <c r="AJ416" s="412" t="str">
        <f t="shared" ca="1" si="160"/>
        <v/>
      </c>
      <c r="AK416" s="413" t="str">
        <f>IFERROR(AE416/(Q_BRAND_FC!$T$24+1),"")</f>
        <v/>
      </c>
      <c r="AL416" s="88" t="str">
        <f t="shared" ca="1" si="161"/>
        <v/>
      </c>
      <c r="AM416" s="414" t="str">
        <f t="shared" ca="1" si="162"/>
        <v/>
      </c>
      <c r="AN416" s="58">
        <f>IFERROR(IF($V416="BRAND.com",HLOOKUP($X416&amp;$Z416,NWC_FC_NOOS!$C$4:$Q$23,MATCH(W416,NWC_FC_NOOS!$B$4:$B$23,0),FALSE),0),0)</f>
        <v>0</v>
      </c>
      <c r="AO416" s="57">
        <f>IFERROR(IF($V416="BRAND.com",HLOOKUP($X416&amp;$Z416,NWC_FC_NOOS!$T$4:$AH$23,MATCH(W416,NWC_FC_NOOS!$S$4:$S$23,0),FALSE),0),0)</f>
        <v>0</v>
      </c>
      <c r="AP416" s="57">
        <f>IFERROR(IF($V416="BRAND.com",HLOOKUP($X416&amp;$Z416,NWC_FC_NOOS!$C$50:$U$69,MATCH(W416,NWC_FC_NOOS!$B$50:$B$69,0),FALSE),0),0)</f>
        <v>0</v>
      </c>
      <c r="AQ416" s="58">
        <f>IFERROR(IF($V416="BRAND.com",HLOOKUP($X416&amp;$Z416,'NWC_FC_NON-NOOS'!$C$4:$Q$23,MATCH(W416,'NWC_FC_NON-NOOS'!$B$4:$B$23,0),FALSE),0),0)</f>
        <v>0</v>
      </c>
      <c r="AR416" s="57">
        <f>IFERROR(IF($V416="BRAND.com",HLOOKUP($X416&amp;$Z416,'NWC_FC_NON-NOOS'!$T$4:$AH$23,MATCH(W416,'NWC_FC_NON-NOOS'!$S$4:$S$23,0),FALSE),0),0)</f>
        <v>0</v>
      </c>
      <c r="AS416" s="57">
        <f>IFERROR(IF($V416="BRAND.com",HLOOKUP($X416&amp;$Z416,'NWC_FC_NON-NOOS'!$C$50:$U$69,MATCH(W416,'NWC_FC_NON-NOOS'!$B$50:$B$69,0),FALSE),0),0)</f>
        <v>0</v>
      </c>
      <c r="AT416" s="57">
        <f t="shared" si="164"/>
        <v>0</v>
      </c>
      <c r="AU416" s="57">
        <f t="shared" si="165"/>
        <v>0</v>
      </c>
      <c r="AV416" s="58">
        <f>IFERROR(IF($V416="BRAND.com",HLOOKUP($X416&amp;$Z416,PLANNING_FC!$BB$27:$BP$46,MATCH($W416,PLANNING_FC!$BA$27:$BA$46,0),FALSE),0),0)</f>
        <v>0</v>
      </c>
      <c r="AW416" s="58">
        <f>IFERROR(IF($V416="BRAND.com",HLOOKUP($X416&amp;$Z416,PLANNING_FC!$BB$4:$BP$23,MATCH($W416,PLANNING_FC!$BA$4:$BA$23,0),FALSE),0),0)</f>
        <v>0</v>
      </c>
      <c r="AX416" s="58">
        <f>IFERROR(IF($V416="BRAND.com",HLOOKUP($X416&amp;$Z416,PLANNING_FC!$T$27:$AH$46,MATCH($W416,PLANNING_FC!$B$27:$B$46,0),FALSE),0),0)</f>
        <v>0</v>
      </c>
      <c r="AY416" s="58">
        <f>IFERROR(IF($V416="BRAND.com",HLOOKUP($X416&amp;$Z416,PLANNING_FC!$T$4:$AH$23,MATCH($W416,PLANNING_FC!$B$4:$B$23,0),FALSE),0),0)</f>
        <v>0</v>
      </c>
      <c r="AZ416" s="58">
        <f>IFERROR(IF($V416="BRAND.com",HLOOKUP($X416&amp;$Z416,PLANNING_FC!$DA$27:$DO$46,MATCH($W416,PLANNING_FC!$CZ$27:$CZ$46,0),FALSE),0),0)</f>
        <v>0</v>
      </c>
      <c r="BA416" s="58">
        <f>IFERROR(IF($V416="BRAND.com",HLOOKUP($X416&amp;$Z416,PLANNING_FC!$DA$4:$DO$23,MATCH($W416,PLANNING_FC!$CZ$4:$CZ$23,0),FALSE),0),0)</f>
        <v>0</v>
      </c>
      <c r="BB416" s="883" t="str">
        <f>IF(V416="BRAND.com",IFERROR(HLOOKUP(X416&amp;Z416,PLANNING_FC!$AK$4:$AY$23,MATCH(W416,PLANNING_FC!$AJ$4:$AJ$23,0),FALSE)*1000,""),"")</f>
        <v/>
      </c>
      <c r="BC416" s="883" t="str">
        <f>IF(V416="BRAND.com",IFERROR(HLOOKUP(X416&amp;Z416,PLANNING_FC!$AK$27:$AY$46,MATCH(W416,PLANNING_FC!$AJ$27:$AJ$46,0),FALSE)*1000,""),"")</f>
        <v/>
      </c>
    </row>
    <row r="417" spans="1:55" x14ac:dyDescent="0.25">
      <c r="A417" s="509"/>
      <c r="B417" s="509"/>
      <c r="C417" s="509"/>
      <c r="D417" s="509"/>
      <c r="E417" s="509"/>
      <c r="F417" s="509"/>
      <c r="G417" s="509"/>
      <c r="H417" s="509"/>
      <c r="I417" s="512"/>
      <c r="J417" s="513"/>
      <c r="K417" s="879"/>
      <c r="L417" s="515"/>
      <c r="M417" s="516"/>
      <c r="N417" s="56">
        <f t="shared" si="146"/>
        <v>0</v>
      </c>
      <c r="O417" s="57">
        <f t="shared" si="147"/>
        <v>0</v>
      </c>
      <c r="P417" s="57">
        <f ca="1">IFERROR(IF(ISBLANK(H417),SUMIFS($AC:$AC,$V:$V,V417,$W:$W,W417,$X:$X,X417,$Y:$Y,Y417)*J417/(1-J417)*VLOOKUP(_xlfn.CONCAT(C417,D417,E417,TIME!$M$12,Z417),HIS_SALES!$B$2:$W$4859,20,FALSE),AC417*J417/(1-J417)),0)</f>
        <v>0</v>
      </c>
      <c r="Q417" s="541" t="str">
        <f t="shared" si="148"/>
        <v/>
      </c>
      <c r="R417" s="346" t="str">
        <f t="shared" si="149"/>
        <v>00000</v>
      </c>
      <c r="S417" s="344">
        <f t="shared" si="150"/>
        <v>0</v>
      </c>
      <c r="T417" s="345" t="str">
        <f t="shared" si="163"/>
        <v>000</v>
      </c>
      <c r="U417" s="345">
        <f t="shared" si="151"/>
        <v>0</v>
      </c>
      <c r="V417" s="345">
        <f t="shared" si="152"/>
        <v>0</v>
      </c>
      <c r="W417" s="345">
        <f t="shared" si="153"/>
        <v>0</v>
      </c>
      <c r="X417" s="345">
        <f t="shared" si="154"/>
        <v>0</v>
      </c>
      <c r="Y417" s="345">
        <f t="shared" si="155"/>
        <v>0</v>
      </c>
      <c r="Z417" s="345">
        <f>IF(Q417&lt;&gt;"",VLOOKUP(Y417,TIME!$R$21:$V$24,MATCH(FC_DATA!Q417,TIME!$R$20:$V$20,0),FALSE),H417)</f>
        <v>0</v>
      </c>
      <c r="AA417" s="345" t="str">
        <f>IFERROR(VLOOKUP(X417&amp;Z417,TIME!$A$12:$D$71,4,FALSE),"")</f>
        <v/>
      </c>
      <c r="AB417" s="592">
        <f t="shared" ca="1" si="156"/>
        <v>0</v>
      </c>
      <c r="AC417" s="593" t="e">
        <f ca="1">IF(ISBLANK(H417)=FALSE,IF(D417="BRAND.com",I417,IF(ISNA(VLOOKUP(_xlfn.CONCAT(X417,Z417),TIME!$M$40:$M$42,1,FALSE)),I417,VLOOKUP(_xlfn.CONCAT(D417,G417,H417),M_BUSAREA_FC!$AF$5:$AJ$10,5,FALSE)*HLOOKUP(_xlfn.CONCAT(F417,H417),ST_OVERVIEW!$G$99:$I$130,MATCH(_xlfn.CONCAT(D417,E417),ST_OVERVIEW!$F$99:$F$130,0),FALSE))),IF(D417="BRAND.com",VLOOKUP(_xlfn.CONCAT(C417,D417,E417,TIME!$F$1,Z417),HIS_SALES!$B$2:$V$4859,19,FALSE)*I417,VLOOKUP(_xlfn.CONCAT(D417,F417,G417),Q_BUSAREA_FC!$AE$5:$AI$12,5,FALSE)*HLOOKUP(_xlfn.CONCAT(FC_DATA!F417,FC_DATA!G417),LT_OVERVIEW!$I$99:$M$130,MATCH(_xlfn.CONCAT(D417,FC_DATA!E417),LT_OVERVIEW!$H$99:$H$130,0),FALSE)*IFERROR(VLOOKUP(_xlfn.CONCAT(C417,D417,E417,TIME!$F$1,Z417),HIS_SALES!$B$2:$V$4859,19,FALSE),0)))</f>
        <v>#N/A</v>
      </c>
      <c r="AD417" s="341">
        <f t="shared" ca="1" si="157"/>
        <v>0</v>
      </c>
      <c r="AE417" s="363" t="str">
        <f t="shared" si="158"/>
        <v/>
      </c>
      <c r="AF417" s="342" t="str">
        <f t="shared" si="159"/>
        <v/>
      </c>
      <c r="AG417" s="411" t="e">
        <f ca="1">VLOOKUP(_xlfn.CONCAT(U417,V417,W417,VLOOKUP(X417&amp;Y417,TIME!$L$27:$O$34,4,FALSE),Y417),HIS_SALES!$A$2:$R$5093,18,FALSE)</f>
        <v>#N/A</v>
      </c>
      <c r="AH417" s="412" t="e">
        <f ca="1">IFERROR(IF(AND(V417=V416,W417=W416),0.5*(AB417+AB416)*AG417,(VLOOKUP(_xlfn.CONCAT(U417,V417,W417,X417,VLOOKUP(Z417,TIME!$S$28:$T$39,2,FALSE)),FC_DATA!$R$2:$AB$5000,MATCH("GS_I_M",FC_DATA!$R$1:$AB$1,0),FALSE)+FC_DATA!AB417)*0.5*FC_DATA!AG417),NA())</f>
        <v>#N/A</v>
      </c>
      <c r="AI417" s="491" t="e">
        <f ca="1">IF(V417="PARTNER.com",AH417,IF(AND(V417=V416,W417=W416),(1-AVERAGE(AD416,AD417))*AH417,(1-AVERAGE(AD417,VLOOKUP(_xlfn.CONCAT(U417,V417,W417,X417,M_BRAND_FC!$F$6),FC_DATA!$R$2:$AD$5000,MATCH("DISCOUNT_%_M",FC_DATA!$R$1:$AD$1,0),FALSE)))*AH417))</f>
        <v>#N/A</v>
      </c>
      <c r="AJ417" s="412" t="str">
        <f t="shared" ca="1" si="160"/>
        <v/>
      </c>
      <c r="AK417" s="413" t="str">
        <f>IFERROR(AE417/(Q_BRAND_FC!$T$24+1),"")</f>
        <v/>
      </c>
      <c r="AL417" s="88" t="str">
        <f t="shared" ca="1" si="161"/>
        <v/>
      </c>
      <c r="AM417" s="414" t="str">
        <f t="shared" ca="1" si="162"/>
        <v/>
      </c>
      <c r="AN417" s="58">
        <f>IFERROR(IF($V417="BRAND.com",HLOOKUP($X417&amp;$Z417,NWC_FC_NOOS!$C$4:$Q$23,MATCH(W417,NWC_FC_NOOS!$B$4:$B$23,0),FALSE),0),0)</f>
        <v>0</v>
      </c>
      <c r="AO417" s="57">
        <f>IFERROR(IF($V417="BRAND.com",HLOOKUP($X417&amp;$Z417,NWC_FC_NOOS!$T$4:$AH$23,MATCH(W417,NWC_FC_NOOS!$S$4:$S$23,0),FALSE),0),0)</f>
        <v>0</v>
      </c>
      <c r="AP417" s="57">
        <f>IFERROR(IF($V417="BRAND.com",HLOOKUP($X417&amp;$Z417,NWC_FC_NOOS!$C$50:$U$69,MATCH(W417,NWC_FC_NOOS!$B$50:$B$69,0),FALSE),0),0)</f>
        <v>0</v>
      </c>
      <c r="AQ417" s="58">
        <f>IFERROR(IF($V417="BRAND.com",HLOOKUP($X417&amp;$Z417,'NWC_FC_NON-NOOS'!$C$4:$Q$23,MATCH(W417,'NWC_FC_NON-NOOS'!$B$4:$B$23,0),FALSE),0),0)</f>
        <v>0</v>
      </c>
      <c r="AR417" s="57">
        <f>IFERROR(IF($V417="BRAND.com",HLOOKUP($X417&amp;$Z417,'NWC_FC_NON-NOOS'!$T$4:$AH$23,MATCH(W417,'NWC_FC_NON-NOOS'!$S$4:$S$23,0),FALSE),0),0)</f>
        <v>0</v>
      </c>
      <c r="AS417" s="57">
        <f>IFERROR(IF($V417="BRAND.com",HLOOKUP($X417&amp;$Z417,'NWC_FC_NON-NOOS'!$C$50:$U$69,MATCH(W417,'NWC_FC_NON-NOOS'!$B$50:$B$69,0),FALSE),0),0)</f>
        <v>0</v>
      </c>
      <c r="AT417" s="57">
        <f t="shared" si="164"/>
        <v>0</v>
      </c>
      <c r="AU417" s="57">
        <f t="shared" si="165"/>
        <v>0</v>
      </c>
      <c r="AV417" s="58">
        <f>IFERROR(IF($V417="BRAND.com",HLOOKUP($X417&amp;$Z417,PLANNING_FC!$BB$27:$BP$46,MATCH($W417,PLANNING_FC!$BA$27:$BA$46,0),FALSE),0),0)</f>
        <v>0</v>
      </c>
      <c r="AW417" s="58">
        <f>IFERROR(IF($V417="BRAND.com",HLOOKUP($X417&amp;$Z417,PLANNING_FC!$BB$4:$BP$23,MATCH($W417,PLANNING_FC!$BA$4:$BA$23,0),FALSE),0),0)</f>
        <v>0</v>
      </c>
      <c r="AX417" s="58">
        <f>IFERROR(IF($V417="BRAND.com",HLOOKUP($X417&amp;$Z417,PLANNING_FC!$T$27:$AH$46,MATCH($W417,PLANNING_FC!$B$27:$B$46,0),FALSE),0),0)</f>
        <v>0</v>
      </c>
      <c r="AY417" s="58">
        <f>IFERROR(IF($V417="BRAND.com",HLOOKUP($X417&amp;$Z417,PLANNING_FC!$T$4:$AH$23,MATCH($W417,PLANNING_FC!$B$4:$B$23,0),FALSE),0),0)</f>
        <v>0</v>
      </c>
      <c r="AZ417" s="58">
        <f>IFERROR(IF($V417="BRAND.com",HLOOKUP($X417&amp;$Z417,PLANNING_FC!$DA$27:$DO$46,MATCH($W417,PLANNING_FC!$CZ$27:$CZ$46,0),FALSE),0),0)</f>
        <v>0</v>
      </c>
      <c r="BA417" s="58">
        <f>IFERROR(IF($V417="BRAND.com",HLOOKUP($X417&amp;$Z417,PLANNING_FC!$DA$4:$DO$23,MATCH($W417,PLANNING_FC!$CZ$4:$CZ$23,0),FALSE),0),0)</f>
        <v>0</v>
      </c>
      <c r="BB417" s="883" t="str">
        <f>IF(V417="BRAND.com",IFERROR(HLOOKUP(X417&amp;Z417,PLANNING_FC!$AK$4:$AY$23,MATCH(W417,PLANNING_FC!$AJ$4:$AJ$23,0),FALSE)*1000,""),"")</f>
        <v/>
      </c>
      <c r="BC417" s="883" t="str">
        <f>IF(V417="BRAND.com",IFERROR(HLOOKUP(X417&amp;Z417,PLANNING_FC!$AK$27:$AY$46,MATCH(W417,PLANNING_FC!$AJ$27:$AJ$46,0),FALSE)*1000,""),"")</f>
        <v/>
      </c>
    </row>
    <row r="418" spans="1:55" x14ac:dyDescent="0.25">
      <c r="A418" s="509"/>
      <c r="B418" s="509"/>
      <c r="C418" s="509"/>
      <c r="D418" s="509"/>
      <c r="E418" s="509"/>
      <c r="F418" s="509"/>
      <c r="G418" s="509"/>
      <c r="H418" s="509"/>
      <c r="I418" s="512"/>
      <c r="J418" s="513"/>
      <c r="K418" s="879"/>
      <c r="L418" s="515"/>
      <c r="M418" s="516"/>
      <c r="N418" s="56">
        <f t="shared" si="146"/>
        <v>0</v>
      </c>
      <c r="O418" s="57">
        <f t="shared" si="147"/>
        <v>0</v>
      </c>
      <c r="P418" s="57">
        <f ca="1">IFERROR(IF(ISBLANK(H418),SUMIFS($AC:$AC,$V:$V,V418,$W:$W,W418,$X:$X,X418,$Y:$Y,Y418)*J418/(1-J418)*VLOOKUP(_xlfn.CONCAT(C418,D418,E418,TIME!$M$12,Z418),HIS_SALES!$B$2:$W$4859,20,FALSE),AC418*J418/(1-J418)),0)</f>
        <v>0</v>
      </c>
      <c r="Q418" s="541" t="str">
        <f t="shared" si="148"/>
        <v/>
      </c>
      <c r="R418" s="346" t="str">
        <f t="shared" si="149"/>
        <v>00000</v>
      </c>
      <c r="S418" s="344">
        <f t="shared" si="150"/>
        <v>0</v>
      </c>
      <c r="T418" s="345" t="str">
        <f t="shared" si="163"/>
        <v>000</v>
      </c>
      <c r="U418" s="345">
        <f t="shared" si="151"/>
        <v>0</v>
      </c>
      <c r="V418" s="345">
        <f t="shared" si="152"/>
        <v>0</v>
      </c>
      <c r="W418" s="345">
        <f t="shared" si="153"/>
        <v>0</v>
      </c>
      <c r="X418" s="345">
        <f t="shared" si="154"/>
        <v>0</v>
      </c>
      <c r="Y418" s="345">
        <f t="shared" si="155"/>
        <v>0</v>
      </c>
      <c r="Z418" s="345">
        <f>IF(Q418&lt;&gt;"",VLOOKUP(Y418,TIME!$R$21:$V$24,MATCH(FC_DATA!Q418,TIME!$R$20:$V$20,0),FALSE),H418)</f>
        <v>0</v>
      </c>
      <c r="AA418" s="345" t="str">
        <f>IFERROR(VLOOKUP(X418&amp;Z418,TIME!$A$12:$D$71,4,FALSE),"")</f>
        <v/>
      </c>
      <c r="AB418" s="592">
        <f t="shared" ca="1" si="156"/>
        <v>0</v>
      </c>
      <c r="AC418" s="593" t="e">
        <f ca="1">IF(ISBLANK(H418)=FALSE,IF(D418="BRAND.com",I418,IF(ISNA(VLOOKUP(_xlfn.CONCAT(X418,Z418),TIME!$M$40:$M$42,1,FALSE)),I418,VLOOKUP(_xlfn.CONCAT(D418,G418,H418),M_BUSAREA_FC!$AF$5:$AJ$10,5,FALSE)*HLOOKUP(_xlfn.CONCAT(F418,H418),ST_OVERVIEW!$G$99:$I$130,MATCH(_xlfn.CONCAT(D418,E418),ST_OVERVIEW!$F$99:$F$130,0),FALSE))),IF(D418="BRAND.com",VLOOKUP(_xlfn.CONCAT(C418,D418,E418,TIME!$F$1,Z418),HIS_SALES!$B$2:$V$4859,19,FALSE)*I418,VLOOKUP(_xlfn.CONCAT(D418,F418,G418),Q_BUSAREA_FC!$AE$5:$AI$12,5,FALSE)*HLOOKUP(_xlfn.CONCAT(FC_DATA!F418,FC_DATA!G418),LT_OVERVIEW!$I$99:$M$130,MATCH(_xlfn.CONCAT(D418,FC_DATA!E418),LT_OVERVIEW!$H$99:$H$130,0),FALSE)*IFERROR(VLOOKUP(_xlfn.CONCAT(C418,D418,E418,TIME!$F$1,Z418),HIS_SALES!$B$2:$V$4859,19,FALSE),0)))</f>
        <v>#N/A</v>
      </c>
      <c r="AD418" s="341">
        <f t="shared" ca="1" si="157"/>
        <v>0</v>
      </c>
      <c r="AE418" s="363" t="str">
        <f t="shared" si="158"/>
        <v/>
      </c>
      <c r="AF418" s="342" t="str">
        <f t="shared" si="159"/>
        <v/>
      </c>
      <c r="AG418" s="411" t="e">
        <f ca="1">VLOOKUP(_xlfn.CONCAT(U418,V418,W418,VLOOKUP(X418&amp;Y418,TIME!$L$27:$O$34,4,FALSE),Y418),HIS_SALES!$A$2:$R$5093,18,FALSE)</f>
        <v>#N/A</v>
      </c>
      <c r="AH418" s="412" t="e">
        <f ca="1">IFERROR(IF(AND(V418=V417,W418=W417),0.5*(AB418+AB417)*AG418,(VLOOKUP(_xlfn.CONCAT(U418,V418,W418,X418,VLOOKUP(Z418,TIME!$S$28:$T$39,2,FALSE)),FC_DATA!$R$2:$AB$5000,MATCH("GS_I_M",FC_DATA!$R$1:$AB$1,0),FALSE)+FC_DATA!AB418)*0.5*FC_DATA!AG418),NA())</f>
        <v>#N/A</v>
      </c>
      <c r="AI418" s="491" t="e">
        <f ca="1">IF(V418="PARTNER.com",AH418,IF(AND(V418=V417,W418=W417),(1-AVERAGE(AD417,AD418))*AH418,(1-AVERAGE(AD418,VLOOKUP(_xlfn.CONCAT(U418,V418,W418,X418,M_BRAND_FC!$F$6),FC_DATA!$R$2:$AD$5000,MATCH("DISCOUNT_%_M",FC_DATA!$R$1:$AD$1,0),FALSE)))*AH418))</f>
        <v>#N/A</v>
      </c>
      <c r="AJ418" s="412" t="str">
        <f t="shared" ca="1" si="160"/>
        <v/>
      </c>
      <c r="AK418" s="413" t="str">
        <f>IFERROR(AE418/(Q_BRAND_FC!$T$24+1),"")</f>
        <v/>
      </c>
      <c r="AL418" s="88" t="str">
        <f t="shared" ca="1" si="161"/>
        <v/>
      </c>
      <c r="AM418" s="414" t="str">
        <f t="shared" ca="1" si="162"/>
        <v/>
      </c>
      <c r="AN418" s="58">
        <f>IFERROR(IF($V418="BRAND.com",HLOOKUP($X418&amp;$Z418,NWC_FC_NOOS!$C$4:$Q$23,MATCH(W418,NWC_FC_NOOS!$B$4:$B$23,0),FALSE),0),0)</f>
        <v>0</v>
      </c>
      <c r="AO418" s="57">
        <f>IFERROR(IF($V418="BRAND.com",HLOOKUP($X418&amp;$Z418,NWC_FC_NOOS!$T$4:$AH$23,MATCH(W418,NWC_FC_NOOS!$S$4:$S$23,0),FALSE),0),0)</f>
        <v>0</v>
      </c>
      <c r="AP418" s="57">
        <f>IFERROR(IF($V418="BRAND.com",HLOOKUP($X418&amp;$Z418,NWC_FC_NOOS!$C$50:$U$69,MATCH(W418,NWC_FC_NOOS!$B$50:$B$69,0),FALSE),0),0)</f>
        <v>0</v>
      </c>
      <c r="AQ418" s="58">
        <f>IFERROR(IF($V418="BRAND.com",HLOOKUP($X418&amp;$Z418,'NWC_FC_NON-NOOS'!$C$4:$Q$23,MATCH(W418,'NWC_FC_NON-NOOS'!$B$4:$B$23,0),FALSE),0),0)</f>
        <v>0</v>
      </c>
      <c r="AR418" s="57">
        <f>IFERROR(IF($V418="BRAND.com",HLOOKUP($X418&amp;$Z418,'NWC_FC_NON-NOOS'!$T$4:$AH$23,MATCH(W418,'NWC_FC_NON-NOOS'!$S$4:$S$23,0),FALSE),0),0)</f>
        <v>0</v>
      </c>
      <c r="AS418" s="57">
        <f>IFERROR(IF($V418="BRAND.com",HLOOKUP($X418&amp;$Z418,'NWC_FC_NON-NOOS'!$C$50:$U$69,MATCH(W418,'NWC_FC_NON-NOOS'!$B$50:$B$69,0),FALSE),0),0)</f>
        <v>0</v>
      </c>
      <c r="AT418" s="57">
        <f t="shared" si="164"/>
        <v>0</v>
      </c>
      <c r="AU418" s="57">
        <f t="shared" si="165"/>
        <v>0</v>
      </c>
      <c r="AV418" s="58">
        <f>IFERROR(IF($V418="BRAND.com",HLOOKUP($X418&amp;$Z418,PLANNING_FC!$BB$27:$BP$46,MATCH($W418,PLANNING_FC!$BA$27:$BA$46,0),FALSE),0),0)</f>
        <v>0</v>
      </c>
      <c r="AW418" s="58">
        <f>IFERROR(IF($V418="BRAND.com",HLOOKUP($X418&amp;$Z418,PLANNING_FC!$BB$4:$BP$23,MATCH($W418,PLANNING_FC!$BA$4:$BA$23,0),FALSE),0),0)</f>
        <v>0</v>
      </c>
      <c r="AX418" s="58">
        <f>IFERROR(IF($V418="BRAND.com",HLOOKUP($X418&amp;$Z418,PLANNING_FC!$T$27:$AH$46,MATCH($W418,PLANNING_FC!$B$27:$B$46,0),FALSE),0),0)</f>
        <v>0</v>
      </c>
      <c r="AY418" s="58">
        <f>IFERROR(IF($V418="BRAND.com",HLOOKUP($X418&amp;$Z418,PLANNING_FC!$T$4:$AH$23,MATCH($W418,PLANNING_FC!$B$4:$B$23,0),FALSE),0),0)</f>
        <v>0</v>
      </c>
      <c r="AZ418" s="58">
        <f>IFERROR(IF($V418="BRAND.com",HLOOKUP($X418&amp;$Z418,PLANNING_FC!$DA$27:$DO$46,MATCH($W418,PLANNING_FC!$CZ$27:$CZ$46,0),FALSE),0),0)</f>
        <v>0</v>
      </c>
      <c r="BA418" s="58">
        <f>IFERROR(IF($V418="BRAND.com",HLOOKUP($X418&amp;$Z418,PLANNING_FC!$DA$4:$DO$23,MATCH($W418,PLANNING_FC!$CZ$4:$CZ$23,0),FALSE),0),0)</f>
        <v>0</v>
      </c>
      <c r="BB418" s="883" t="str">
        <f>IF(V418="BRAND.com",IFERROR(HLOOKUP(X418&amp;Z418,PLANNING_FC!$AK$4:$AY$23,MATCH(W418,PLANNING_FC!$AJ$4:$AJ$23,0),FALSE)*1000,""),"")</f>
        <v/>
      </c>
      <c r="BC418" s="883" t="str">
        <f>IF(V418="BRAND.com",IFERROR(HLOOKUP(X418&amp;Z418,PLANNING_FC!$AK$27:$AY$46,MATCH(W418,PLANNING_FC!$AJ$27:$AJ$46,0),FALSE)*1000,""),"")</f>
        <v/>
      </c>
    </row>
    <row r="419" spans="1:55" x14ac:dyDescent="0.25">
      <c r="A419" s="509"/>
      <c r="B419" s="509"/>
      <c r="C419" s="509"/>
      <c r="D419" s="509"/>
      <c r="E419" s="509"/>
      <c r="F419" s="509"/>
      <c r="G419" s="509"/>
      <c r="H419" s="509"/>
      <c r="I419" s="512"/>
      <c r="J419" s="513"/>
      <c r="K419" s="879"/>
      <c r="L419" s="515"/>
      <c r="M419" s="516"/>
      <c r="N419" s="56">
        <f t="shared" si="146"/>
        <v>0</v>
      </c>
      <c r="O419" s="57">
        <f t="shared" si="147"/>
        <v>0</v>
      </c>
      <c r="P419" s="57">
        <f ca="1">IFERROR(IF(ISBLANK(H419),SUMIFS($AC:$AC,$V:$V,V419,$W:$W,W419,$X:$X,X419,$Y:$Y,Y419)*J419/(1-J419)*VLOOKUP(_xlfn.CONCAT(C419,D419,E419,TIME!$M$12,Z419),HIS_SALES!$B$2:$W$4859,20,FALSE),AC419*J419/(1-J419)),0)</f>
        <v>0</v>
      </c>
      <c r="Q419" s="541" t="str">
        <f t="shared" si="148"/>
        <v/>
      </c>
      <c r="R419" s="346" t="str">
        <f t="shared" si="149"/>
        <v>00000</v>
      </c>
      <c r="S419" s="344">
        <f t="shared" si="150"/>
        <v>0</v>
      </c>
      <c r="T419" s="345" t="str">
        <f t="shared" si="163"/>
        <v>000</v>
      </c>
      <c r="U419" s="345">
        <f t="shared" si="151"/>
        <v>0</v>
      </c>
      <c r="V419" s="345">
        <f t="shared" si="152"/>
        <v>0</v>
      </c>
      <c r="W419" s="345">
        <f t="shared" si="153"/>
        <v>0</v>
      </c>
      <c r="X419" s="345">
        <f t="shared" si="154"/>
        <v>0</v>
      </c>
      <c r="Y419" s="345">
        <f t="shared" si="155"/>
        <v>0</v>
      </c>
      <c r="Z419" s="345">
        <f>IF(Q419&lt;&gt;"",VLOOKUP(Y419,TIME!$R$21:$V$24,MATCH(FC_DATA!Q419,TIME!$R$20:$V$20,0),FALSE),H419)</f>
        <v>0</v>
      </c>
      <c r="AA419" s="345" t="str">
        <f>IFERROR(VLOOKUP(X419&amp;Z419,TIME!$A$12:$D$71,4,FALSE),"")</f>
        <v/>
      </c>
      <c r="AB419" s="592">
        <f t="shared" ca="1" si="156"/>
        <v>0</v>
      </c>
      <c r="AC419" s="593" t="e">
        <f ca="1">IF(ISBLANK(H419)=FALSE,IF(D419="BRAND.com",I419,IF(ISNA(VLOOKUP(_xlfn.CONCAT(X419,Z419),TIME!$M$40:$M$42,1,FALSE)),I419,VLOOKUP(_xlfn.CONCAT(D419,G419,H419),M_BUSAREA_FC!$AF$5:$AJ$10,5,FALSE)*HLOOKUP(_xlfn.CONCAT(F419,H419),ST_OVERVIEW!$G$99:$I$130,MATCH(_xlfn.CONCAT(D419,E419),ST_OVERVIEW!$F$99:$F$130,0),FALSE))),IF(D419="BRAND.com",VLOOKUP(_xlfn.CONCAT(C419,D419,E419,TIME!$F$1,Z419),HIS_SALES!$B$2:$V$4859,19,FALSE)*I419,VLOOKUP(_xlfn.CONCAT(D419,F419,G419),Q_BUSAREA_FC!$AE$5:$AI$12,5,FALSE)*HLOOKUP(_xlfn.CONCAT(FC_DATA!F419,FC_DATA!G419),LT_OVERVIEW!$I$99:$M$130,MATCH(_xlfn.CONCAT(D419,FC_DATA!E419),LT_OVERVIEW!$H$99:$H$130,0),FALSE)*IFERROR(VLOOKUP(_xlfn.CONCAT(C419,D419,E419,TIME!$F$1,Z419),HIS_SALES!$B$2:$V$4859,19,FALSE),0)))</f>
        <v>#N/A</v>
      </c>
      <c r="AD419" s="341">
        <f t="shared" ca="1" si="157"/>
        <v>0</v>
      </c>
      <c r="AE419" s="363" t="str">
        <f t="shared" si="158"/>
        <v/>
      </c>
      <c r="AF419" s="342" t="str">
        <f t="shared" si="159"/>
        <v/>
      </c>
      <c r="AG419" s="411" t="e">
        <f ca="1">VLOOKUP(_xlfn.CONCAT(U419,V419,W419,VLOOKUP(X419&amp;Y419,TIME!$L$27:$O$34,4,FALSE),Y419),HIS_SALES!$A$2:$R$5093,18,FALSE)</f>
        <v>#N/A</v>
      </c>
      <c r="AH419" s="412" t="e">
        <f ca="1">IFERROR(IF(AND(V419=V418,W419=W418),0.5*(AB419+AB418)*AG419,(VLOOKUP(_xlfn.CONCAT(U419,V419,W419,X419,VLOOKUP(Z419,TIME!$S$28:$T$39,2,FALSE)),FC_DATA!$R$2:$AB$5000,MATCH("GS_I_M",FC_DATA!$R$1:$AB$1,0),FALSE)+FC_DATA!AB419)*0.5*FC_DATA!AG419),NA())</f>
        <v>#N/A</v>
      </c>
      <c r="AI419" s="491" t="e">
        <f ca="1">IF(V419="PARTNER.com",AH419,IF(AND(V419=V418,W419=W418),(1-AVERAGE(AD418,AD419))*AH419,(1-AVERAGE(AD419,VLOOKUP(_xlfn.CONCAT(U419,V419,W419,X419,M_BRAND_FC!$F$6),FC_DATA!$R$2:$AD$5000,MATCH("DISCOUNT_%_M",FC_DATA!$R$1:$AD$1,0),FALSE)))*AH419))</f>
        <v>#N/A</v>
      </c>
      <c r="AJ419" s="412" t="str">
        <f t="shared" ca="1" si="160"/>
        <v/>
      </c>
      <c r="AK419" s="413" t="str">
        <f>IFERROR(AE419/(Q_BRAND_FC!$T$24+1),"")</f>
        <v/>
      </c>
      <c r="AL419" s="88" t="str">
        <f t="shared" ca="1" si="161"/>
        <v/>
      </c>
      <c r="AM419" s="414" t="str">
        <f t="shared" ca="1" si="162"/>
        <v/>
      </c>
      <c r="AN419" s="58">
        <f>IFERROR(IF($V419="BRAND.com",HLOOKUP($X419&amp;$Z419,NWC_FC_NOOS!$C$4:$Q$23,MATCH(W419,NWC_FC_NOOS!$B$4:$B$23,0),FALSE),0),0)</f>
        <v>0</v>
      </c>
      <c r="AO419" s="57">
        <f>IFERROR(IF($V419="BRAND.com",HLOOKUP($X419&amp;$Z419,NWC_FC_NOOS!$T$4:$AH$23,MATCH(W419,NWC_FC_NOOS!$S$4:$S$23,0),FALSE),0),0)</f>
        <v>0</v>
      </c>
      <c r="AP419" s="57">
        <f>IFERROR(IF($V419="BRAND.com",HLOOKUP($X419&amp;$Z419,NWC_FC_NOOS!$C$50:$U$69,MATCH(W419,NWC_FC_NOOS!$B$50:$B$69,0),FALSE),0),0)</f>
        <v>0</v>
      </c>
      <c r="AQ419" s="58">
        <f>IFERROR(IF($V419="BRAND.com",HLOOKUP($X419&amp;$Z419,'NWC_FC_NON-NOOS'!$C$4:$Q$23,MATCH(W419,'NWC_FC_NON-NOOS'!$B$4:$B$23,0),FALSE),0),0)</f>
        <v>0</v>
      </c>
      <c r="AR419" s="57">
        <f>IFERROR(IF($V419="BRAND.com",HLOOKUP($X419&amp;$Z419,'NWC_FC_NON-NOOS'!$T$4:$AH$23,MATCH(W419,'NWC_FC_NON-NOOS'!$S$4:$S$23,0),FALSE),0),0)</f>
        <v>0</v>
      </c>
      <c r="AS419" s="57">
        <f>IFERROR(IF($V419="BRAND.com",HLOOKUP($X419&amp;$Z419,'NWC_FC_NON-NOOS'!$C$50:$U$69,MATCH(W419,'NWC_FC_NON-NOOS'!$B$50:$B$69,0),FALSE),0),0)</f>
        <v>0</v>
      </c>
      <c r="AT419" s="57">
        <f t="shared" si="164"/>
        <v>0</v>
      </c>
      <c r="AU419" s="57">
        <f t="shared" si="165"/>
        <v>0</v>
      </c>
      <c r="AV419" s="58">
        <f>IFERROR(IF($V419="BRAND.com",HLOOKUP($X419&amp;$Z419,PLANNING_FC!$BB$27:$BP$46,MATCH($W419,PLANNING_FC!$BA$27:$BA$46,0),FALSE),0),0)</f>
        <v>0</v>
      </c>
      <c r="AW419" s="58">
        <f>IFERROR(IF($V419="BRAND.com",HLOOKUP($X419&amp;$Z419,PLANNING_FC!$BB$4:$BP$23,MATCH($W419,PLANNING_FC!$BA$4:$BA$23,0),FALSE),0),0)</f>
        <v>0</v>
      </c>
      <c r="AX419" s="58">
        <f>IFERROR(IF($V419="BRAND.com",HLOOKUP($X419&amp;$Z419,PLANNING_FC!$T$27:$AH$46,MATCH($W419,PLANNING_FC!$B$27:$B$46,0),FALSE),0),0)</f>
        <v>0</v>
      </c>
      <c r="AY419" s="58">
        <f>IFERROR(IF($V419="BRAND.com",HLOOKUP($X419&amp;$Z419,PLANNING_FC!$T$4:$AH$23,MATCH($W419,PLANNING_FC!$B$4:$B$23,0),FALSE),0),0)</f>
        <v>0</v>
      </c>
      <c r="AZ419" s="58">
        <f>IFERROR(IF($V419="BRAND.com",HLOOKUP($X419&amp;$Z419,PLANNING_FC!$DA$27:$DO$46,MATCH($W419,PLANNING_FC!$CZ$27:$CZ$46,0),FALSE),0),0)</f>
        <v>0</v>
      </c>
      <c r="BA419" s="58">
        <f>IFERROR(IF($V419="BRAND.com",HLOOKUP($X419&amp;$Z419,PLANNING_FC!$DA$4:$DO$23,MATCH($W419,PLANNING_FC!$CZ$4:$CZ$23,0),FALSE),0),0)</f>
        <v>0</v>
      </c>
      <c r="BB419" s="883" t="str">
        <f>IF(V419="BRAND.com",IFERROR(HLOOKUP(X419&amp;Z419,PLANNING_FC!$AK$4:$AY$23,MATCH(W419,PLANNING_FC!$AJ$4:$AJ$23,0),FALSE)*1000,""),"")</f>
        <v/>
      </c>
      <c r="BC419" s="883" t="str">
        <f>IF(V419="BRAND.com",IFERROR(HLOOKUP(X419&amp;Z419,PLANNING_FC!$AK$27:$AY$46,MATCH(W419,PLANNING_FC!$AJ$27:$AJ$46,0),FALSE)*1000,""),"")</f>
        <v/>
      </c>
    </row>
    <row r="420" spans="1:55" x14ac:dyDescent="0.25">
      <c r="A420" s="509"/>
      <c r="B420" s="509"/>
      <c r="C420" s="509"/>
      <c r="D420" s="509"/>
      <c r="E420" s="509"/>
      <c r="F420" s="509"/>
      <c r="G420" s="509"/>
      <c r="H420" s="509"/>
      <c r="I420" s="512"/>
      <c r="J420" s="513"/>
      <c r="K420" s="879"/>
      <c r="L420" s="515"/>
      <c r="M420" s="516"/>
      <c r="N420" s="56">
        <f t="shared" si="146"/>
        <v>0</v>
      </c>
      <c r="O420" s="57">
        <f t="shared" si="147"/>
        <v>0</v>
      </c>
      <c r="P420" s="57">
        <f ca="1">IFERROR(IF(ISBLANK(H420),SUMIFS($AC:$AC,$V:$V,V420,$W:$W,W420,$X:$X,X420,$Y:$Y,Y420)*J420/(1-J420)*VLOOKUP(_xlfn.CONCAT(C420,D420,E420,TIME!$M$12,Z420),HIS_SALES!$B$2:$W$4859,20,FALSE),AC420*J420/(1-J420)),0)</f>
        <v>0</v>
      </c>
      <c r="Q420" s="541" t="str">
        <f t="shared" si="148"/>
        <v/>
      </c>
      <c r="R420" s="346" t="str">
        <f t="shared" si="149"/>
        <v>00000</v>
      </c>
      <c r="S420" s="344">
        <f t="shared" si="150"/>
        <v>0</v>
      </c>
      <c r="T420" s="345" t="str">
        <f t="shared" si="163"/>
        <v>000</v>
      </c>
      <c r="U420" s="345">
        <f t="shared" si="151"/>
        <v>0</v>
      </c>
      <c r="V420" s="345">
        <f t="shared" si="152"/>
        <v>0</v>
      </c>
      <c r="W420" s="345">
        <f t="shared" si="153"/>
        <v>0</v>
      </c>
      <c r="X420" s="345">
        <f t="shared" si="154"/>
        <v>0</v>
      </c>
      <c r="Y420" s="345">
        <f t="shared" si="155"/>
        <v>0</v>
      </c>
      <c r="Z420" s="345">
        <f>IF(Q420&lt;&gt;"",VLOOKUP(Y420,TIME!$R$21:$V$24,MATCH(FC_DATA!Q420,TIME!$R$20:$V$20,0),FALSE),H420)</f>
        <v>0</v>
      </c>
      <c r="AA420" s="345" t="str">
        <f>IFERROR(VLOOKUP(X420&amp;Z420,TIME!$A$12:$D$71,4,FALSE),"")</f>
        <v/>
      </c>
      <c r="AB420" s="592">
        <f t="shared" ca="1" si="156"/>
        <v>0</v>
      </c>
      <c r="AC420" s="593" t="e">
        <f ca="1">IF(ISBLANK(H420)=FALSE,IF(D420="BRAND.com",I420,IF(ISNA(VLOOKUP(_xlfn.CONCAT(X420,Z420),TIME!$M$40:$M$42,1,FALSE)),I420,VLOOKUP(_xlfn.CONCAT(D420,G420,H420),M_BUSAREA_FC!$AF$5:$AJ$10,5,FALSE)*HLOOKUP(_xlfn.CONCAT(F420,H420),ST_OVERVIEW!$G$99:$I$130,MATCH(_xlfn.CONCAT(D420,E420),ST_OVERVIEW!$F$99:$F$130,0),FALSE))),IF(D420="BRAND.com",VLOOKUP(_xlfn.CONCAT(C420,D420,E420,TIME!$F$1,Z420),HIS_SALES!$B$2:$V$4859,19,FALSE)*I420,VLOOKUP(_xlfn.CONCAT(D420,F420,G420),Q_BUSAREA_FC!$AE$5:$AI$12,5,FALSE)*HLOOKUP(_xlfn.CONCAT(FC_DATA!F420,FC_DATA!G420),LT_OVERVIEW!$I$99:$M$130,MATCH(_xlfn.CONCAT(D420,FC_DATA!E420),LT_OVERVIEW!$H$99:$H$130,0),FALSE)*IFERROR(VLOOKUP(_xlfn.CONCAT(C420,D420,E420,TIME!$F$1,Z420),HIS_SALES!$B$2:$V$4859,19,FALSE),0)))</f>
        <v>#N/A</v>
      </c>
      <c r="AD420" s="341">
        <f t="shared" ca="1" si="157"/>
        <v>0</v>
      </c>
      <c r="AE420" s="363" t="str">
        <f t="shared" si="158"/>
        <v/>
      </c>
      <c r="AF420" s="342" t="str">
        <f t="shared" si="159"/>
        <v/>
      </c>
      <c r="AG420" s="411" t="e">
        <f ca="1">VLOOKUP(_xlfn.CONCAT(U420,V420,W420,VLOOKUP(X420&amp;Y420,TIME!$L$27:$O$34,4,FALSE),Y420),HIS_SALES!$A$2:$R$5093,18,FALSE)</f>
        <v>#N/A</v>
      </c>
      <c r="AH420" s="412" t="e">
        <f ca="1">IFERROR(IF(AND(V420=V419,W420=W419),0.5*(AB420+AB419)*AG420,(VLOOKUP(_xlfn.CONCAT(U420,V420,W420,X420,VLOOKUP(Z420,TIME!$S$28:$T$39,2,FALSE)),FC_DATA!$R$2:$AB$5000,MATCH("GS_I_M",FC_DATA!$R$1:$AB$1,0),FALSE)+FC_DATA!AB420)*0.5*FC_DATA!AG420),NA())</f>
        <v>#N/A</v>
      </c>
      <c r="AI420" s="491" t="e">
        <f ca="1">IF(V420="PARTNER.com",AH420,IF(AND(V420=V419,W420=W419),(1-AVERAGE(AD419,AD420))*AH420,(1-AVERAGE(AD420,VLOOKUP(_xlfn.CONCAT(U420,V420,W420,X420,M_BRAND_FC!$F$6),FC_DATA!$R$2:$AD$5000,MATCH("DISCOUNT_%_M",FC_DATA!$R$1:$AD$1,0),FALSE)))*AH420))</f>
        <v>#N/A</v>
      </c>
      <c r="AJ420" s="412" t="str">
        <f t="shared" ca="1" si="160"/>
        <v/>
      </c>
      <c r="AK420" s="413" t="str">
        <f>IFERROR(AE420/(Q_BRAND_FC!$T$24+1),"")</f>
        <v/>
      </c>
      <c r="AL420" s="88" t="str">
        <f t="shared" ca="1" si="161"/>
        <v/>
      </c>
      <c r="AM420" s="414" t="str">
        <f t="shared" ca="1" si="162"/>
        <v/>
      </c>
      <c r="AN420" s="58">
        <f>IFERROR(IF($V420="BRAND.com",HLOOKUP($X420&amp;$Z420,NWC_FC_NOOS!$C$4:$Q$23,MATCH(W420,NWC_FC_NOOS!$B$4:$B$23,0),FALSE),0),0)</f>
        <v>0</v>
      </c>
      <c r="AO420" s="57">
        <f>IFERROR(IF($V420="BRAND.com",HLOOKUP($X420&amp;$Z420,NWC_FC_NOOS!$T$4:$AH$23,MATCH(W420,NWC_FC_NOOS!$S$4:$S$23,0),FALSE),0),0)</f>
        <v>0</v>
      </c>
      <c r="AP420" s="57">
        <f>IFERROR(IF($V420="BRAND.com",HLOOKUP($X420&amp;$Z420,NWC_FC_NOOS!$C$50:$U$69,MATCH(W420,NWC_FC_NOOS!$B$50:$B$69,0),FALSE),0),0)</f>
        <v>0</v>
      </c>
      <c r="AQ420" s="58">
        <f>IFERROR(IF($V420="BRAND.com",HLOOKUP($X420&amp;$Z420,'NWC_FC_NON-NOOS'!$C$4:$Q$23,MATCH(W420,'NWC_FC_NON-NOOS'!$B$4:$B$23,0),FALSE),0),0)</f>
        <v>0</v>
      </c>
      <c r="AR420" s="57">
        <f>IFERROR(IF($V420="BRAND.com",HLOOKUP($X420&amp;$Z420,'NWC_FC_NON-NOOS'!$T$4:$AH$23,MATCH(W420,'NWC_FC_NON-NOOS'!$S$4:$S$23,0),FALSE),0),0)</f>
        <v>0</v>
      </c>
      <c r="AS420" s="57">
        <f>IFERROR(IF($V420="BRAND.com",HLOOKUP($X420&amp;$Z420,'NWC_FC_NON-NOOS'!$C$50:$U$69,MATCH(W420,'NWC_FC_NON-NOOS'!$B$50:$B$69,0),FALSE),0),0)</f>
        <v>0</v>
      </c>
      <c r="AT420" s="57">
        <f t="shared" si="164"/>
        <v>0</v>
      </c>
      <c r="AU420" s="57">
        <f t="shared" si="165"/>
        <v>0</v>
      </c>
      <c r="AV420" s="58">
        <f>IFERROR(IF($V420="BRAND.com",HLOOKUP($X420&amp;$Z420,PLANNING_FC!$BB$27:$BP$46,MATCH($W420,PLANNING_FC!$BA$27:$BA$46,0),FALSE),0),0)</f>
        <v>0</v>
      </c>
      <c r="AW420" s="58">
        <f>IFERROR(IF($V420="BRAND.com",HLOOKUP($X420&amp;$Z420,PLANNING_FC!$BB$4:$BP$23,MATCH($W420,PLANNING_FC!$BA$4:$BA$23,0),FALSE),0),0)</f>
        <v>0</v>
      </c>
      <c r="AX420" s="58">
        <f>IFERROR(IF($V420="BRAND.com",HLOOKUP($X420&amp;$Z420,PLANNING_FC!$T$27:$AH$46,MATCH($W420,PLANNING_FC!$B$27:$B$46,0),FALSE),0),0)</f>
        <v>0</v>
      </c>
      <c r="AY420" s="58">
        <f>IFERROR(IF($V420="BRAND.com",HLOOKUP($X420&amp;$Z420,PLANNING_FC!$T$4:$AH$23,MATCH($W420,PLANNING_FC!$B$4:$B$23,0),FALSE),0),0)</f>
        <v>0</v>
      </c>
      <c r="AZ420" s="58">
        <f>IFERROR(IF($V420="BRAND.com",HLOOKUP($X420&amp;$Z420,PLANNING_FC!$DA$27:$DO$46,MATCH($W420,PLANNING_FC!$CZ$27:$CZ$46,0),FALSE),0),0)</f>
        <v>0</v>
      </c>
      <c r="BA420" s="58">
        <f>IFERROR(IF($V420="BRAND.com",HLOOKUP($X420&amp;$Z420,PLANNING_FC!$DA$4:$DO$23,MATCH($W420,PLANNING_FC!$CZ$4:$CZ$23,0),FALSE),0),0)</f>
        <v>0</v>
      </c>
      <c r="BB420" s="883" t="str">
        <f>IF(V420="BRAND.com",IFERROR(HLOOKUP(X420&amp;Z420,PLANNING_FC!$AK$4:$AY$23,MATCH(W420,PLANNING_FC!$AJ$4:$AJ$23,0),FALSE)*1000,""),"")</f>
        <v/>
      </c>
      <c r="BC420" s="883" t="str">
        <f>IF(V420="BRAND.com",IFERROR(HLOOKUP(X420&amp;Z420,PLANNING_FC!$AK$27:$AY$46,MATCH(W420,PLANNING_FC!$AJ$27:$AJ$46,0),FALSE)*1000,""),"")</f>
        <v/>
      </c>
    </row>
    <row r="421" spans="1:55" x14ac:dyDescent="0.25">
      <c r="A421" s="509"/>
      <c r="B421" s="509"/>
      <c r="C421" s="509"/>
      <c r="D421" s="509"/>
      <c r="E421" s="509"/>
      <c r="F421" s="509"/>
      <c r="G421" s="509"/>
      <c r="H421" s="509"/>
      <c r="I421" s="512"/>
      <c r="J421" s="513"/>
      <c r="K421" s="879"/>
      <c r="L421" s="515"/>
      <c r="M421" s="516"/>
      <c r="N421" s="56">
        <f t="shared" si="146"/>
        <v>0</v>
      </c>
      <c r="O421" s="57">
        <f t="shared" si="147"/>
        <v>0</v>
      </c>
      <c r="P421" s="57">
        <f ca="1">IFERROR(IF(ISBLANK(H421),SUMIFS($AC:$AC,$V:$V,V421,$W:$W,W421,$X:$X,X421,$Y:$Y,Y421)*J421/(1-J421)*VLOOKUP(_xlfn.CONCAT(C421,D421,E421,TIME!$M$12,Z421),HIS_SALES!$B$2:$W$4859,20,FALSE),AC421*J421/(1-J421)),0)</f>
        <v>0</v>
      </c>
      <c r="Q421" s="541" t="str">
        <f t="shared" si="148"/>
        <v/>
      </c>
      <c r="R421" s="346" t="str">
        <f t="shared" si="149"/>
        <v>00000</v>
      </c>
      <c r="S421" s="344">
        <f t="shared" si="150"/>
        <v>0</v>
      </c>
      <c r="T421" s="345" t="str">
        <f t="shared" si="163"/>
        <v>000</v>
      </c>
      <c r="U421" s="345">
        <f t="shared" si="151"/>
        <v>0</v>
      </c>
      <c r="V421" s="345">
        <f t="shared" si="152"/>
        <v>0</v>
      </c>
      <c r="W421" s="345">
        <f t="shared" si="153"/>
        <v>0</v>
      </c>
      <c r="X421" s="345">
        <f t="shared" si="154"/>
        <v>0</v>
      </c>
      <c r="Y421" s="345">
        <f t="shared" si="155"/>
        <v>0</v>
      </c>
      <c r="Z421" s="345">
        <f>IF(Q421&lt;&gt;"",VLOOKUP(Y421,TIME!$R$21:$V$24,MATCH(FC_DATA!Q421,TIME!$R$20:$V$20,0),FALSE),H421)</f>
        <v>0</v>
      </c>
      <c r="AA421" s="345" t="str">
        <f>IFERROR(VLOOKUP(X421&amp;Z421,TIME!$A$12:$D$71,4,FALSE),"")</f>
        <v/>
      </c>
      <c r="AB421" s="592">
        <f t="shared" ca="1" si="156"/>
        <v>0</v>
      </c>
      <c r="AC421" s="593" t="e">
        <f ca="1">IF(ISBLANK(H421)=FALSE,IF(D421="BRAND.com",I421,IF(ISNA(VLOOKUP(_xlfn.CONCAT(X421,Z421),TIME!$M$40:$M$42,1,FALSE)),I421,VLOOKUP(_xlfn.CONCAT(D421,G421,H421),M_BUSAREA_FC!$AF$5:$AJ$10,5,FALSE)*HLOOKUP(_xlfn.CONCAT(F421,H421),ST_OVERVIEW!$G$99:$I$130,MATCH(_xlfn.CONCAT(D421,E421),ST_OVERVIEW!$F$99:$F$130,0),FALSE))),IF(D421="BRAND.com",VLOOKUP(_xlfn.CONCAT(C421,D421,E421,TIME!$F$1,Z421),HIS_SALES!$B$2:$V$4859,19,FALSE)*I421,VLOOKUP(_xlfn.CONCAT(D421,F421,G421),Q_BUSAREA_FC!$AE$5:$AI$12,5,FALSE)*HLOOKUP(_xlfn.CONCAT(FC_DATA!F421,FC_DATA!G421),LT_OVERVIEW!$I$99:$M$130,MATCH(_xlfn.CONCAT(D421,FC_DATA!E421),LT_OVERVIEW!$H$99:$H$130,0),FALSE)*IFERROR(VLOOKUP(_xlfn.CONCAT(C421,D421,E421,TIME!$F$1,Z421),HIS_SALES!$B$2:$V$4859,19,FALSE),0)))</f>
        <v>#N/A</v>
      </c>
      <c r="AD421" s="341">
        <f t="shared" ca="1" si="157"/>
        <v>0</v>
      </c>
      <c r="AE421" s="363" t="str">
        <f t="shared" si="158"/>
        <v/>
      </c>
      <c r="AF421" s="342" t="str">
        <f t="shared" si="159"/>
        <v/>
      </c>
      <c r="AG421" s="411" t="e">
        <f ca="1">VLOOKUP(_xlfn.CONCAT(U421,V421,W421,VLOOKUP(X421&amp;Y421,TIME!$L$27:$O$34,4,FALSE),Y421),HIS_SALES!$A$2:$R$5093,18,FALSE)</f>
        <v>#N/A</v>
      </c>
      <c r="AH421" s="412" t="e">
        <f ca="1">IFERROR(IF(AND(V421=V420,W421=W420),0.5*(AB421+AB420)*AG421,(VLOOKUP(_xlfn.CONCAT(U421,V421,W421,X421,VLOOKUP(Z421,TIME!$S$28:$T$39,2,FALSE)),FC_DATA!$R$2:$AB$5000,MATCH("GS_I_M",FC_DATA!$R$1:$AB$1,0),FALSE)+FC_DATA!AB421)*0.5*FC_DATA!AG421),NA())</f>
        <v>#N/A</v>
      </c>
      <c r="AI421" s="491" t="e">
        <f ca="1">IF(V421="PARTNER.com",AH421,IF(AND(V421=V420,W421=W420),(1-AVERAGE(AD420,AD421))*AH421,(1-AVERAGE(AD421,VLOOKUP(_xlfn.CONCAT(U421,V421,W421,X421,M_BRAND_FC!$F$6),FC_DATA!$R$2:$AD$5000,MATCH("DISCOUNT_%_M",FC_DATA!$R$1:$AD$1,0),FALSE)))*AH421))</f>
        <v>#N/A</v>
      </c>
      <c r="AJ421" s="412" t="str">
        <f t="shared" ca="1" si="160"/>
        <v/>
      </c>
      <c r="AK421" s="413" t="str">
        <f>IFERROR(AE421/(Q_BRAND_FC!$T$24+1),"")</f>
        <v/>
      </c>
      <c r="AL421" s="88" t="str">
        <f t="shared" ca="1" si="161"/>
        <v/>
      </c>
      <c r="AM421" s="414" t="str">
        <f t="shared" ca="1" si="162"/>
        <v/>
      </c>
      <c r="AN421" s="58">
        <f>IFERROR(IF($V421="BRAND.com",HLOOKUP($X421&amp;$Z421,NWC_FC_NOOS!$C$4:$Q$23,MATCH(W421,NWC_FC_NOOS!$B$4:$B$23,0),FALSE),0),0)</f>
        <v>0</v>
      </c>
      <c r="AO421" s="57">
        <f>IFERROR(IF($V421="BRAND.com",HLOOKUP($X421&amp;$Z421,NWC_FC_NOOS!$T$4:$AH$23,MATCH(W421,NWC_FC_NOOS!$S$4:$S$23,0),FALSE),0),0)</f>
        <v>0</v>
      </c>
      <c r="AP421" s="57">
        <f>IFERROR(IF($V421="BRAND.com",HLOOKUP($X421&amp;$Z421,NWC_FC_NOOS!$C$50:$U$69,MATCH(W421,NWC_FC_NOOS!$B$50:$B$69,0),FALSE),0),0)</f>
        <v>0</v>
      </c>
      <c r="AQ421" s="58">
        <f>IFERROR(IF($V421="BRAND.com",HLOOKUP($X421&amp;$Z421,'NWC_FC_NON-NOOS'!$C$4:$Q$23,MATCH(W421,'NWC_FC_NON-NOOS'!$B$4:$B$23,0),FALSE),0),0)</f>
        <v>0</v>
      </c>
      <c r="AR421" s="57">
        <f>IFERROR(IF($V421="BRAND.com",HLOOKUP($X421&amp;$Z421,'NWC_FC_NON-NOOS'!$T$4:$AH$23,MATCH(W421,'NWC_FC_NON-NOOS'!$S$4:$S$23,0),FALSE),0),0)</f>
        <v>0</v>
      </c>
      <c r="AS421" s="57">
        <f>IFERROR(IF($V421="BRAND.com",HLOOKUP($X421&amp;$Z421,'NWC_FC_NON-NOOS'!$C$50:$U$69,MATCH(W421,'NWC_FC_NON-NOOS'!$B$50:$B$69,0),FALSE),0),0)</f>
        <v>0</v>
      </c>
      <c r="AT421" s="57">
        <f t="shared" si="164"/>
        <v>0</v>
      </c>
      <c r="AU421" s="57">
        <f t="shared" si="165"/>
        <v>0</v>
      </c>
      <c r="AV421" s="58">
        <f>IFERROR(IF($V421="BRAND.com",HLOOKUP($X421&amp;$Z421,PLANNING_FC!$BB$27:$BP$46,MATCH($W421,PLANNING_FC!$BA$27:$BA$46,0),FALSE),0),0)</f>
        <v>0</v>
      </c>
      <c r="AW421" s="58">
        <f>IFERROR(IF($V421="BRAND.com",HLOOKUP($X421&amp;$Z421,PLANNING_FC!$BB$4:$BP$23,MATCH($W421,PLANNING_FC!$BA$4:$BA$23,0),FALSE),0),0)</f>
        <v>0</v>
      </c>
      <c r="AX421" s="58">
        <f>IFERROR(IF($V421="BRAND.com",HLOOKUP($X421&amp;$Z421,PLANNING_FC!$T$27:$AH$46,MATCH($W421,PLANNING_FC!$B$27:$B$46,0),FALSE),0),0)</f>
        <v>0</v>
      </c>
      <c r="AY421" s="58">
        <f>IFERROR(IF($V421="BRAND.com",HLOOKUP($X421&amp;$Z421,PLANNING_FC!$T$4:$AH$23,MATCH($W421,PLANNING_FC!$B$4:$B$23,0),FALSE),0),0)</f>
        <v>0</v>
      </c>
      <c r="AZ421" s="58">
        <f>IFERROR(IF($V421="BRAND.com",HLOOKUP($X421&amp;$Z421,PLANNING_FC!$DA$27:$DO$46,MATCH($W421,PLANNING_FC!$CZ$27:$CZ$46,0),FALSE),0),0)</f>
        <v>0</v>
      </c>
      <c r="BA421" s="58">
        <f>IFERROR(IF($V421="BRAND.com",HLOOKUP($X421&amp;$Z421,PLANNING_FC!$DA$4:$DO$23,MATCH($W421,PLANNING_FC!$CZ$4:$CZ$23,0),FALSE),0),0)</f>
        <v>0</v>
      </c>
      <c r="BB421" s="883" t="str">
        <f>IF(V421="BRAND.com",IFERROR(HLOOKUP(X421&amp;Z421,PLANNING_FC!$AK$4:$AY$23,MATCH(W421,PLANNING_FC!$AJ$4:$AJ$23,0),FALSE)*1000,""),"")</f>
        <v/>
      </c>
      <c r="BC421" s="883" t="str">
        <f>IF(V421="BRAND.com",IFERROR(HLOOKUP(X421&amp;Z421,PLANNING_FC!$AK$27:$AY$46,MATCH(W421,PLANNING_FC!$AJ$27:$AJ$46,0),FALSE)*1000,""),"")</f>
        <v/>
      </c>
    </row>
    <row r="422" spans="1:55" x14ac:dyDescent="0.25">
      <c r="A422" s="509"/>
      <c r="B422" s="509"/>
      <c r="C422" s="509"/>
      <c r="D422" s="509"/>
      <c r="E422" s="509"/>
      <c r="F422" s="509"/>
      <c r="G422" s="509"/>
      <c r="H422" s="509"/>
      <c r="I422" s="512"/>
      <c r="J422" s="513"/>
      <c r="K422" s="879"/>
      <c r="L422" s="515"/>
      <c r="M422" s="516"/>
      <c r="N422" s="56">
        <f t="shared" si="146"/>
        <v>0</v>
      </c>
      <c r="O422" s="57">
        <f t="shared" si="147"/>
        <v>0</v>
      </c>
      <c r="P422" s="57">
        <f ca="1">IFERROR(IF(ISBLANK(H422),SUMIFS($AC:$AC,$V:$V,V422,$W:$W,W422,$X:$X,X422,$Y:$Y,Y422)*J422/(1-J422)*VLOOKUP(_xlfn.CONCAT(C422,D422,E422,TIME!$M$12,Z422),HIS_SALES!$B$2:$W$4859,20,FALSE),AC422*J422/(1-J422)),0)</f>
        <v>0</v>
      </c>
      <c r="Q422" s="541" t="str">
        <f t="shared" si="148"/>
        <v/>
      </c>
      <c r="R422" s="346" t="str">
        <f t="shared" si="149"/>
        <v>00000</v>
      </c>
      <c r="S422" s="344">
        <f t="shared" si="150"/>
        <v>0</v>
      </c>
      <c r="T422" s="345" t="str">
        <f t="shared" si="163"/>
        <v>000</v>
      </c>
      <c r="U422" s="345">
        <f t="shared" si="151"/>
        <v>0</v>
      </c>
      <c r="V422" s="345">
        <f t="shared" si="152"/>
        <v>0</v>
      </c>
      <c r="W422" s="345">
        <f t="shared" si="153"/>
        <v>0</v>
      </c>
      <c r="X422" s="345">
        <f t="shared" si="154"/>
        <v>0</v>
      </c>
      <c r="Y422" s="345">
        <f t="shared" si="155"/>
        <v>0</v>
      </c>
      <c r="Z422" s="345">
        <f>IF(Q422&lt;&gt;"",VLOOKUP(Y422,TIME!$R$21:$V$24,MATCH(FC_DATA!Q422,TIME!$R$20:$V$20,0),FALSE),H422)</f>
        <v>0</v>
      </c>
      <c r="AA422" s="345" t="str">
        <f>IFERROR(VLOOKUP(X422&amp;Z422,TIME!$A$12:$D$71,4,FALSE),"")</f>
        <v/>
      </c>
      <c r="AB422" s="592">
        <f t="shared" ca="1" si="156"/>
        <v>0</v>
      </c>
      <c r="AC422" s="593" t="e">
        <f ca="1">IF(ISBLANK(H422)=FALSE,IF(D422="BRAND.com",I422,IF(ISNA(VLOOKUP(_xlfn.CONCAT(X422,Z422),TIME!$M$40:$M$42,1,FALSE)),I422,VLOOKUP(_xlfn.CONCAT(D422,G422,H422),M_BUSAREA_FC!$AF$5:$AJ$10,5,FALSE)*HLOOKUP(_xlfn.CONCAT(F422,H422),ST_OVERVIEW!$G$99:$I$130,MATCH(_xlfn.CONCAT(D422,E422),ST_OVERVIEW!$F$99:$F$130,0),FALSE))),IF(D422="BRAND.com",VLOOKUP(_xlfn.CONCAT(C422,D422,E422,TIME!$F$1,Z422),HIS_SALES!$B$2:$V$4859,19,FALSE)*I422,VLOOKUP(_xlfn.CONCAT(D422,F422,G422),Q_BUSAREA_FC!$AE$5:$AI$12,5,FALSE)*HLOOKUP(_xlfn.CONCAT(FC_DATA!F422,FC_DATA!G422),LT_OVERVIEW!$I$99:$M$130,MATCH(_xlfn.CONCAT(D422,FC_DATA!E422),LT_OVERVIEW!$H$99:$H$130,0),FALSE)*IFERROR(VLOOKUP(_xlfn.CONCAT(C422,D422,E422,TIME!$F$1,Z422),HIS_SALES!$B$2:$V$4859,19,FALSE),0)))</f>
        <v>#N/A</v>
      </c>
      <c r="AD422" s="341">
        <f t="shared" ca="1" si="157"/>
        <v>0</v>
      </c>
      <c r="AE422" s="363" t="str">
        <f t="shared" si="158"/>
        <v/>
      </c>
      <c r="AF422" s="342" t="str">
        <f t="shared" si="159"/>
        <v/>
      </c>
      <c r="AG422" s="411" t="e">
        <f ca="1">VLOOKUP(_xlfn.CONCAT(U422,V422,W422,VLOOKUP(X422&amp;Y422,TIME!$L$27:$O$34,4,FALSE),Y422),HIS_SALES!$A$2:$R$5093,18,FALSE)</f>
        <v>#N/A</v>
      </c>
      <c r="AH422" s="412" t="e">
        <f ca="1">IFERROR(IF(AND(V422=V421,W422=W421),0.5*(AB422+AB421)*AG422,(VLOOKUP(_xlfn.CONCAT(U422,V422,W422,X422,VLOOKUP(Z422,TIME!$S$28:$T$39,2,FALSE)),FC_DATA!$R$2:$AB$5000,MATCH("GS_I_M",FC_DATA!$R$1:$AB$1,0),FALSE)+FC_DATA!AB422)*0.5*FC_DATA!AG422),NA())</f>
        <v>#N/A</v>
      </c>
      <c r="AI422" s="491" t="e">
        <f ca="1">IF(V422="PARTNER.com",AH422,IF(AND(V422=V421,W422=W421),(1-AVERAGE(AD421,AD422))*AH422,(1-AVERAGE(AD422,VLOOKUP(_xlfn.CONCAT(U422,V422,W422,X422,M_BRAND_FC!$F$6),FC_DATA!$R$2:$AD$5000,MATCH("DISCOUNT_%_M",FC_DATA!$R$1:$AD$1,0),FALSE)))*AH422))</f>
        <v>#N/A</v>
      </c>
      <c r="AJ422" s="412" t="str">
        <f t="shared" ca="1" si="160"/>
        <v/>
      </c>
      <c r="AK422" s="413" t="str">
        <f>IFERROR(AE422/(Q_BRAND_FC!$T$24+1),"")</f>
        <v/>
      </c>
      <c r="AL422" s="88" t="str">
        <f t="shared" ca="1" si="161"/>
        <v/>
      </c>
      <c r="AM422" s="414" t="str">
        <f t="shared" ca="1" si="162"/>
        <v/>
      </c>
      <c r="AN422" s="58">
        <f>IFERROR(IF($V422="BRAND.com",HLOOKUP($X422&amp;$Z422,NWC_FC_NOOS!$C$4:$Q$23,MATCH(W422,NWC_FC_NOOS!$B$4:$B$23,0),FALSE),0),0)</f>
        <v>0</v>
      </c>
      <c r="AO422" s="57">
        <f>IFERROR(IF($V422="BRAND.com",HLOOKUP($X422&amp;$Z422,NWC_FC_NOOS!$T$4:$AH$23,MATCH(W422,NWC_FC_NOOS!$S$4:$S$23,0),FALSE),0),0)</f>
        <v>0</v>
      </c>
      <c r="AP422" s="57">
        <f>IFERROR(IF($V422="BRAND.com",HLOOKUP($X422&amp;$Z422,NWC_FC_NOOS!$C$50:$U$69,MATCH(W422,NWC_FC_NOOS!$B$50:$B$69,0),FALSE),0),0)</f>
        <v>0</v>
      </c>
      <c r="AQ422" s="58">
        <f>IFERROR(IF($V422="BRAND.com",HLOOKUP($X422&amp;$Z422,'NWC_FC_NON-NOOS'!$C$4:$Q$23,MATCH(W422,'NWC_FC_NON-NOOS'!$B$4:$B$23,0),FALSE),0),0)</f>
        <v>0</v>
      </c>
      <c r="AR422" s="57">
        <f>IFERROR(IF($V422="BRAND.com",HLOOKUP($X422&amp;$Z422,'NWC_FC_NON-NOOS'!$T$4:$AH$23,MATCH(W422,'NWC_FC_NON-NOOS'!$S$4:$S$23,0),FALSE),0),0)</f>
        <v>0</v>
      </c>
      <c r="AS422" s="57">
        <f>IFERROR(IF($V422="BRAND.com",HLOOKUP($X422&amp;$Z422,'NWC_FC_NON-NOOS'!$C$50:$U$69,MATCH(W422,'NWC_FC_NON-NOOS'!$B$50:$B$69,0),FALSE),0),0)</f>
        <v>0</v>
      </c>
      <c r="AT422" s="57">
        <f t="shared" si="164"/>
        <v>0</v>
      </c>
      <c r="AU422" s="57">
        <f t="shared" si="165"/>
        <v>0</v>
      </c>
      <c r="AV422" s="58">
        <f>IFERROR(IF($V422="BRAND.com",HLOOKUP($X422&amp;$Z422,PLANNING_FC!$BB$27:$BP$46,MATCH($W422,PLANNING_FC!$BA$27:$BA$46,0),FALSE),0),0)</f>
        <v>0</v>
      </c>
      <c r="AW422" s="58">
        <f>IFERROR(IF($V422="BRAND.com",HLOOKUP($X422&amp;$Z422,PLANNING_FC!$BB$4:$BP$23,MATCH($W422,PLANNING_FC!$BA$4:$BA$23,0),FALSE),0),0)</f>
        <v>0</v>
      </c>
      <c r="AX422" s="58">
        <f>IFERROR(IF($V422="BRAND.com",HLOOKUP($X422&amp;$Z422,PLANNING_FC!$T$27:$AH$46,MATCH($W422,PLANNING_FC!$B$27:$B$46,0),FALSE),0),0)</f>
        <v>0</v>
      </c>
      <c r="AY422" s="58">
        <f>IFERROR(IF($V422="BRAND.com",HLOOKUP($X422&amp;$Z422,PLANNING_FC!$T$4:$AH$23,MATCH($W422,PLANNING_FC!$B$4:$B$23,0),FALSE),0),0)</f>
        <v>0</v>
      </c>
      <c r="AZ422" s="58">
        <f>IFERROR(IF($V422="BRAND.com",HLOOKUP($X422&amp;$Z422,PLANNING_FC!$DA$27:$DO$46,MATCH($W422,PLANNING_FC!$CZ$27:$CZ$46,0),FALSE),0),0)</f>
        <v>0</v>
      </c>
      <c r="BA422" s="58">
        <f>IFERROR(IF($V422="BRAND.com",HLOOKUP($X422&amp;$Z422,PLANNING_FC!$DA$4:$DO$23,MATCH($W422,PLANNING_FC!$CZ$4:$CZ$23,0),FALSE),0),0)</f>
        <v>0</v>
      </c>
      <c r="BB422" s="883" t="str">
        <f>IF(V422="BRAND.com",IFERROR(HLOOKUP(X422&amp;Z422,PLANNING_FC!$AK$4:$AY$23,MATCH(W422,PLANNING_FC!$AJ$4:$AJ$23,0),FALSE)*1000,""),"")</f>
        <v/>
      </c>
      <c r="BC422" s="883" t="str">
        <f>IF(V422="BRAND.com",IFERROR(HLOOKUP(X422&amp;Z422,PLANNING_FC!$AK$27:$AY$46,MATCH(W422,PLANNING_FC!$AJ$27:$AJ$46,0),FALSE)*1000,""),"")</f>
        <v/>
      </c>
    </row>
    <row r="423" spans="1:55" x14ac:dyDescent="0.25">
      <c r="A423" s="509"/>
      <c r="B423" s="509"/>
      <c r="C423" s="509"/>
      <c r="D423" s="509"/>
      <c r="E423" s="509"/>
      <c r="F423" s="509"/>
      <c r="G423" s="509"/>
      <c r="H423" s="509"/>
      <c r="I423" s="512"/>
      <c r="J423" s="513"/>
      <c r="K423" s="879"/>
      <c r="L423" s="515"/>
      <c r="M423" s="516"/>
      <c r="N423" s="56">
        <f t="shared" si="146"/>
        <v>0</v>
      </c>
      <c r="O423" s="57">
        <f t="shared" si="147"/>
        <v>0</v>
      </c>
      <c r="P423" s="57">
        <f ca="1">IFERROR(IF(ISBLANK(H423),SUMIFS($AC:$AC,$V:$V,V423,$W:$W,W423,$X:$X,X423,$Y:$Y,Y423)*J423/(1-J423)*VLOOKUP(_xlfn.CONCAT(C423,D423,E423,TIME!$M$12,Z423),HIS_SALES!$B$2:$W$4859,20,FALSE),AC423*J423/(1-J423)),0)</f>
        <v>0</v>
      </c>
      <c r="Q423" s="541" t="str">
        <f t="shared" si="148"/>
        <v/>
      </c>
      <c r="R423" s="346" t="str">
        <f t="shared" si="149"/>
        <v>00000</v>
      </c>
      <c r="S423" s="344">
        <f t="shared" si="150"/>
        <v>0</v>
      </c>
      <c r="T423" s="345" t="str">
        <f t="shared" si="163"/>
        <v>000</v>
      </c>
      <c r="U423" s="345">
        <f t="shared" si="151"/>
        <v>0</v>
      </c>
      <c r="V423" s="345">
        <f t="shared" si="152"/>
        <v>0</v>
      </c>
      <c r="W423" s="345">
        <f t="shared" si="153"/>
        <v>0</v>
      </c>
      <c r="X423" s="345">
        <f t="shared" si="154"/>
        <v>0</v>
      </c>
      <c r="Y423" s="345">
        <f t="shared" si="155"/>
        <v>0</v>
      </c>
      <c r="Z423" s="345">
        <f>IF(Q423&lt;&gt;"",VLOOKUP(Y423,TIME!$R$21:$V$24,MATCH(FC_DATA!Q423,TIME!$R$20:$V$20,0),FALSE),H423)</f>
        <v>0</v>
      </c>
      <c r="AA423" s="345" t="str">
        <f>IFERROR(VLOOKUP(X423&amp;Z423,TIME!$A$12:$D$71,4,FALSE),"")</f>
        <v/>
      </c>
      <c r="AB423" s="592">
        <f t="shared" ca="1" si="156"/>
        <v>0</v>
      </c>
      <c r="AC423" s="593" t="e">
        <f ca="1">IF(ISBLANK(H423)=FALSE,IF(D423="BRAND.com",I423,IF(ISNA(VLOOKUP(_xlfn.CONCAT(X423,Z423),TIME!$M$40:$M$42,1,FALSE)),I423,VLOOKUP(_xlfn.CONCAT(D423,G423,H423),M_BUSAREA_FC!$AF$5:$AJ$10,5,FALSE)*HLOOKUP(_xlfn.CONCAT(F423,H423),ST_OVERVIEW!$G$99:$I$130,MATCH(_xlfn.CONCAT(D423,E423),ST_OVERVIEW!$F$99:$F$130,0),FALSE))),IF(D423="BRAND.com",VLOOKUP(_xlfn.CONCAT(C423,D423,E423,TIME!$F$1,Z423),HIS_SALES!$B$2:$V$4859,19,FALSE)*I423,VLOOKUP(_xlfn.CONCAT(D423,F423,G423),Q_BUSAREA_FC!$AE$5:$AI$12,5,FALSE)*HLOOKUP(_xlfn.CONCAT(FC_DATA!F423,FC_DATA!G423),LT_OVERVIEW!$I$99:$M$130,MATCH(_xlfn.CONCAT(D423,FC_DATA!E423),LT_OVERVIEW!$H$99:$H$130,0),FALSE)*IFERROR(VLOOKUP(_xlfn.CONCAT(C423,D423,E423,TIME!$F$1,Z423),HIS_SALES!$B$2:$V$4859,19,FALSE),0)))</f>
        <v>#N/A</v>
      </c>
      <c r="AD423" s="341">
        <f t="shared" ca="1" si="157"/>
        <v>0</v>
      </c>
      <c r="AE423" s="363" t="str">
        <f t="shared" si="158"/>
        <v/>
      </c>
      <c r="AF423" s="342" t="str">
        <f t="shared" si="159"/>
        <v/>
      </c>
      <c r="AG423" s="411" t="e">
        <f ca="1">VLOOKUP(_xlfn.CONCAT(U423,V423,W423,VLOOKUP(X423&amp;Y423,TIME!$L$27:$O$34,4,FALSE),Y423),HIS_SALES!$A$2:$R$5093,18,FALSE)</f>
        <v>#N/A</v>
      </c>
      <c r="AH423" s="412" t="e">
        <f ca="1">IFERROR(IF(AND(V423=V422,W423=W422),0.5*(AB423+AB422)*AG423,(VLOOKUP(_xlfn.CONCAT(U423,V423,W423,X423,VLOOKUP(Z423,TIME!$S$28:$T$39,2,FALSE)),FC_DATA!$R$2:$AB$5000,MATCH("GS_I_M",FC_DATA!$R$1:$AB$1,0),FALSE)+FC_DATA!AB423)*0.5*FC_DATA!AG423),NA())</f>
        <v>#N/A</v>
      </c>
      <c r="AI423" s="491" t="e">
        <f ca="1">IF(V423="PARTNER.com",AH423,IF(AND(V423=V422,W423=W422),(1-AVERAGE(AD422,AD423))*AH423,(1-AVERAGE(AD423,VLOOKUP(_xlfn.CONCAT(U423,V423,W423,X423,M_BRAND_FC!$F$6),FC_DATA!$R$2:$AD$5000,MATCH("DISCOUNT_%_M",FC_DATA!$R$1:$AD$1,0),FALSE)))*AH423))</f>
        <v>#N/A</v>
      </c>
      <c r="AJ423" s="412" t="str">
        <f t="shared" ca="1" si="160"/>
        <v/>
      </c>
      <c r="AK423" s="413" t="str">
        <f>IFERROR(AE423/(Q_BRAND_FC!$T$24+1),"")</f>
        <v/>
      </c>
      <c r="AL423" s="88" t="str">
        <f t="shared" ca="1" si="161"/>
        <v/>
      </c>
      <c r="AM423" s="414" t="str">
        <f t="shared" ca="1" si="162"/>
        <v/>
      </c>
      <c r="AN423" s="58">
        <f>IFERROR(IF($V423="BRAND.com",HLOOKUP($X423&amp;$Z423,NWC_FC_NOOS!$C$4:$Q$23,MATCH(W423,NWC_FC_NOOS!$B$4:$B$23,0),FALSE),0),0)</f>
        <v>0</v>
      </c>
      <c r="AO423" s="57">
        <f>IFERROR(IF($V423="BRAND.com",HLOOKUP($X423&amp;$Z423,NWC_FC_NOOS!$T$4:$AH$23,MATCH(W423,NWC_FC_NOOS!$S$4:$S$23,0),FALSE),0),0)</f>
        <v>0</v>
      </c>
      <c r="AP423" s="57">
        <f>IFERROR(IF($V423="BRAND.com",HLOOKUP($X423&amp;$Z423,NWC_FC_NOOS!$C$50:$U$69,MATCH(W423,NWC_FC_NOOS!$B$50:$B$69,0),FALSE),0),0)</f>
        <v>0</v>
      </c>
      <c r="AQ423" s="58">
        <f>IFERROR(IF($V423="BRAND.com",HLOOKUP($X423&amp;$Z423,'NWC_FC_NON-NOOS'!$C$4:$Q$23,MATCH(W423,'NWC_FC_NON-NOOS'!$B$4:$B$23,0),FALSE),0),0)</f>
        <v>0</v>
      </c>
      <c r="AR423" s="57">
        <f>IFERROR(IF($V423="BRAND.com",HLOOKUP($X423&amp;$Z423,'NWC_FC_NON-NOOS'!$T$4:$AH$23,MATCH(W423,'NWC_FC_NON-NOOS'!$S$4:$S$23,0),FALSE),0),0)</f>
        <v>0</v>
      </c>
      <c r="AS423" s="57">
        <f>IFERROR(IF($V423="BRAND.com",HLOOKUP($X423&amp;$Z423,'NWC_FC_NON-NOOS'!$C$50:$U$69,MATCH(W423,'NWC_FC_NON-NOOS'!$B$50:$B$69,0),FALSE),0),0)</f>
        <v>0</v>
      </c>
      <c r="AT423" s="57">
        <f t="shared" si="164"/>
        <v>0</v>
      </c>
      <c r="AU423" s="57">
        <f t="shared" si="165"/>
        <v>0</v>
      </c>
      <c r="AV423" s="58">
        <f>IFERROR(IF($V423="BRAND.com",HLOOKUP($X423&amp;$Z423,PLANNING_FC!$BB$27:$BP$46,MATCH($W423,PLANNING_FC!$BA$27:$BA$46,0),FALSE),0),0)</f>
        <v>0</v>
      </c>
      <c r="AW423" s="58">
        <f>IFERROR(IF($V423="BRAND.com",HLOOKUP($X423&amp;$Z423,PLANNING_FC!$BB$4:$BP$23,MATCH($W423,PLANNING_FC!$BA$4:$BA$23,0),FALSE),0),0)</f>
        <v>0</v>
      </c>
      <c r="AX423" s="58">
        <f>IFERROR(IF($V423="BRAND.com",HLOOKUP($X423&amp;$Z423,PLANNING_FC!$T$27:$AH$46,MATCH($W423,PLANNING_FC!$B$27:$B$46,0),FALSE),0),0)</f>
        <v>0</v>
      </c>
      <c r="AY423" s="58">
        <f>IFERROR(IF($V423="BRAND.com",HLOOKUP($X423&amp;$Z423,PLANNING_FC!$T$4:$AH$23,MATCH($W423,PLANNING_FC!$B$4:$B$23,0),FALSE),0),0)</f>
        <v>0</v>
      </c>
      <c r="AZ423" s="58">
        <f>IFERROR(IF($V423="BRAND.com",HLOOKUP($X423&amp;$Z423,PLANNING_FC!$DA$27:$DO$46,MATCH($W423,PLANNING_FC!$CZ$27:$CZ$46,0),FALSE),0),0)</f>
        <v>0</v>
      </c>
      <c r="BA423" s="58">
        <f>IFERROR(IF($V423="BRAND.com",HLOOKUP($X423&amp;$Z423,PLANNING_FC!$DA$4:$DO$23,MATCH($W423,PLANNING_FC!$CZ$4:$CZ$23,0),FALSE),0),0)</f>
        <v>0</v>
      </c>
      <c r="BB423" s="883" t="str">
        <f>IF(V423="BRAND.com",IFERROR(HLOOKUP(X423&amp;Z423,PLANNING_FC!$AK$4:$AY$23,MATCH(W423,PLANNING_FC!$AJ$4:$AJ$23,0),FALSE)*1000,""),"")</f>
        <v/>
      </c>
      <c r="BC423" s="883" t="str">
        <f>IF(V423="BRAND.com",IFERROR(HLOOKUP(X423&amp;Z423,PLANNING_FC!$AK$27:$AY$46,MATCH(W423,PLANNING_FC!$AJ$27:$AJ$46,0),FALSE)*1000,""),"")</f>
        <v/>
      </c>
    </row>
    <row r="424" spans="1:55" x14ac:dyDescent="0.25">
      <c r="A424" s="509"/>
      <c r="B424" s="509"/>
      <c r="C424" s="509"/>
      <c r="D424" s="509"/>
      <c r="E424" s="509"/>
      <c r="F424" s="509"/>
      <c r="G424" s="509"/>
      <c r="H424" s="509"/>
      <c r="I424" s="512"/>
      <c r="J424" s="513"/>
      <c r="K424" s="879"/>
      <c r="L424" s="515"/>
      <c r="M424" s="516"/>
      <c r="N424" s="56">
        <f t="shared" si="146"/>
        <v>0</v>
      </c>
      <c r="O424" s="57">
        <f t="shared" si="147"/>
        <v>0</v>
      </c>
      <c r="P424" s="57">
        <f ca="1">IFERROR(IF(ISBLANK(H424),SUMIFS($AC:$AC,$V:$V,V424,$W:$W,W424,$X:$X,X424,$Y:$Y,Y424)*J424/(1-J424)*VLOOKUP(_xlfn.CONCAT(C424,D424,E424,TIME!$M$12,Z424),HIS_SALES!$B$2:$W$4859,20,FALSE),AC424*J424/(1-J424)),0)</f>
        <v>0</v>
      </c>
      <c r="Q424" s="541" t="str">
        <f t="shared" si="148"/>
        <v/>
      </c>
      <c r="R424" s="346" t="str">
        <f t="shared" si="149"/>
        <v>00000</v>
      </c>
      <c r="S424" s="344">
        <f t="shared" si="150"/>
        <v>0</v>
      </c>
      <c r="T424" s="345" t="str">
        <f t="shared" si="163"/>
        <v>000</v>
      </c>
      <c r="U424" s="345">
        <f t="shared" si="151"/>
        <v>0</v>
      </c>
      <c r="V424" s="345">
        <f t="shared" si="152"/>
        <v>0</v>
      </c>
      <c r="W424" s="345">
        <f t="shared" si="153"/>
        <v>0</v>
      </c>
      <c r="X424" s="345">
        <f t="shared" si="154"/>
        <v>0</v>
      </c>
      <c r="Y424" s="345">
        <f t="shared" si="155"/>
        <v>0</v>
      </c>
      <c r="Z424" s="345">
        <f>IF(Q424&lt;&gt;"",VLOOKUP(Y424,TIME!$R$21:$V$24,MATCH(FC_DATA!Q424,TIME!$R$20:$V$20,0),FALSE),H424)</f>
        <v>0</v>
      </c>
      <c r="AA424" s="345" t="str">
        <f>IFERROR(VLOOKUP(X424&amp;Z424,TIME!$A$12:$D$71,4,FALSE),"")</f>
        <v/>
      </c>
      <c r="AB424" s="592">
        <f t="shared" ca="1" si="156"/>
        <v>0</v>
      </c>
      <c r="AC424" s="593" t="e">
        <f ca="1">IF(ISBLANK(H424)=FALSE,IF(D424="BRAND.com",I424,IF(ISNA(VLOOKUP(_xlfn.CONCAT(X424,Z424),TIME!$M$40:$M$42,1,FALSE)),I424,VLOOKUP(_xlfn.CONCAT(D424,G424,H424),M_BUSAREA_FC!$AF$5:$AJ$10,5,FALSE)*HLOOKUP(_xlfn.CONCAT(F424,H424),ST_OVERVIEW!$G$99:$I$130,MATCH(_xlfn.CONCAT(D424,E424),ST_OVERVIEW!$F$99:$F$130,0),FALSE))),IF(D424="BRAND.com",VLOOKUP(_xlfn.CONCAT(C424,D424,E424,TIME!$F$1,Z424),HIS_SALES!$B$2:$V$4859,19,FALSE)*I424,VLOOKUP(_xlfn.CONCAT(D424,F424,G424),Q_BUSAREA_FC!$AE$5:$AI$12,5,FALSE)*HLOOKUP(_xlfn.CONCAT(FC_DATA!F424,FC_DATA!G424),LT_OVERVIEW!$I$99:$M$130,MATCH(_xlfn.CONCAT(D424,FC_DATA!E424),LT_OVERVIEW!$H$99:$H$130,0),FALSE)*IFERROR(VLOOKUP(_xlfn.CONCAT(C424,D424,E424,TIME!$F$1,Z424),HIS_SALES!$B$2:$V$4859,19,FALSE),0)))</f>
        <v>#N/A</v>
      </c>
      <c r="AD424" s="341">
        <f t="shared" ca="1" si="157"/>
        <v>0</v>
      </c>
      <c r="AE424" s="363" t="str">
        <f t="shared" si="158"/>
        <v/>
      </c>
      <c r="AF424" s="342" t="str">
        <f t="shared" si="159"/>
        <v/>
      </c>
      <c r="AG424" s="411" t="e">
        <f ca="1">VLOOKUP(_xlfn.CONCAT(U424,V424,W424,VLOOKUP(X424&amp;Y424,TIME!$L$27:$O$34,4,FALSE),Y424),HIS_SALES!$A$2:$R$5093,18,FALSE)</f>
        <v>#N/A</v>
      </c>
      <c r="AH424" s="412" t="e">
        <f ca="1">IFERROR(IF(AND(V424=V423,W424=W423),0.5*(AB424+AB423)*AG424,(VLOOKUP(_xlfn.CONCAT(U424,V424,W424,X424,VLOOKUP(Z424,TIME!$S$28:$T$39,2,FALSE)),FC_DATA!$R$2:$AB$5000,MATCH("GS_I_M",FC_DATA!$R$1:$AB$1,0),FALSE)+FC_DATA!AB424)*0.5*FC_DATA!AG424),NA())</f>
        <v>#N/A</v>
      </c>
      <c r="AI424" s="491" t="e">
        <f ca="1">IF(V424="PARTNER.com",AH424,IF(AND(V424=V423,W424=W423),(1-AVERAGE(AD423,AD424))*AH424,(1-AVERAGE(AD424,VLOOKUP(_xlfn.CONCAT(U424,V424,W424,X424,M_BRAND_FC!$F$6),FC_DATA!$R$2:$AD$5000,MATCH("DISCOUNT_%_M",FC_DATA!$R$1:$AD$1,0),FALSE)))*AH424))</f>
        <v>#N/A</v>
      </c>
      <c r="AJ424" s="412" t="str">
        <f t="shared" ca="1" si="160"/>
        <v/>
      </c>
      <c r="AK424" s="413" t="str">
        <f>IFERROR(AE424/(Q_BRAND_FC!$T$24+1),"")</f>
        <v/>
      </c>
      <c r="AL424" s="88" t="str">
        <f t="shared" ca="1" si="161"/>
        <v/>
      </c>
      <c r="AM424" s="414" t="str">
        <f t="shared" ca="1" si="162"/>
        <v/>
      </c>
      <c r="AN424" s="58">
        <f>IFERROR(IF($V424="BRAND.com",HLOOKUP($X424&amp;$Z424,NWC_FC_NOOS!$C$4:$Q$23,MATCH(W424,NWC_FC_NOOS!$B$4:$B$23,0),FALSE),0),0)</f>
        <v>0</v>
      </c>
      <c r="AO424" s="57">
        <f>IFERROR(IF($V424="BRAND.com",HLOOKUP($X424&amp;$Z424,NWC_FC_NOOS!$T$4:$AH$23,MATCH(W424,NWC_FC_NOOS!$S$4:$S$23,0),FALSE),0),0)</f>
        <v>0</v>
      </c>
      <c r="AP424" s="57">
        <f>IFERROR(IF($V424="BRAND.com",HLOOKUP($X424&amp;$Z424,NWC_FC_NOOS!$C$50:$U$69,MATCH(W424,NWC_FC_NOOS!$B$50:$B$69,0),FALSE),0),0)</f>
        <v>0</v>
      </c>
      <c r="AQ424" s="58">
        <f>IFERROR(IF($V424="BRAND.com",HLOOKUP($X424&amp;$Z424,'NWC_FC_NON-NOOS'!$C$4:$Q$23,MATCH(W424,'NWC_FC_NON-NOOS'!$B$4:$B$23,0),FALSE),0),0)</f>
        <v>0</v>
      </c>
      <c r="AR424" s="57">
        <f>IFERROR(IF($V424="BRAND.com",HLOOKUP($X424&amp;$Z424,'NWC_FC_NON-NOOS'!$T$4:$AH$23,MATCH(W424,'NWC_FC_NON-NOOS'!$S$4:$S$23,0),FALSE),0),0)</f>
        <v>0</v>
      </c>
      <c r="AS424" s="57">
        <f>IFERROR(IF($V424="BRAND.com",HLOOKUP($X424&amp;$Z424,'NWC_FC_NON-NOOS'!$C$50:$U$69,MATCH(W424,'NWC_FC_NON-NOOS'!$B$50:$B$69,0),FALSE),0),0)</f>
        <v>0</v>
      </c>
      <c r="AT424" s="57">
        <f t="shared" si="164"/>
        <v>0</v>
      </c>
      <c r="AU424" s="57">
        <f t="shared" si="165"/>
        <v>0</v>
      </c>
      <c r="AV424" s="58">
        <f>IFERROR(IF($V424="BRAND.com",HLOOKUP($X424&amp;$Z424,PLANNING_FC!$BB$27:$BP$46,MATCH($W424,PLANNING_FC!$BA$27:$BA$46,0),FALSE),0),0)</f>
        <v>0</v>
      </c>
      <c r="AW424" s="58">
        <f>IFERROR(IF($V424="BRAND.com",HLOOKUP($X424&amp;$Z424,PLANNING_FC!$BB$4:$BP$23,MATCH($W424,PLANNING_FC!$BA$4:$BA$23,0),FALSE),0),0)</f>
        <v>0</v>
      </c>
      <c r="AX424" s="58">
        <f>IFERROR(IF($V424="BRAND.com",HLOOKUP($X424&amp;$Z424,PLANNING_FC!$T$27:$AH$46,MATCH($W424,PLANNING_FC!$B$27:$B$46,0),FALSE),0),0)</f>
        <v>0</v>
      </c>
      <c r="AY424" s="58">
        <f>IFERROR(IF($V424="BRAND.com",HLOOKUP($X424&amp;$Z424,PLANNING_FC!$T$4:$AH$23,MATCH($W424,PLANNING_FC!$B$4:$B$23,0),FALSE),0),0)</f>
        <v>0</v>
      </c>
      <c r="AZ424" s="58">
        <f>IFERROR(IF($V424="BRAND.com",HLOOKUP($X424&amp;$Z424,PLANNING_FC!$DA$27:$DO$46,MATCH($W424,PLANNING_FC!$CZ$27:$CZ$46,0),FALSE),0),0)</f>
        <v>0</v>
      </c>
      <c r="BA424" s="58">
        <f>IFERROR(IF($V424="BRAND.com",HLOOKUP($X424&amp;$Z424,PLANNING_FC!$DA$4:$DO$23,MATCH($W424,PLANNING_FC!$CZ$4:$CZ$23,0),FALSE),0),0)</f>
        <v>0</v>
      </c>
      <c r="BB424" s="883" t="str">
        <f>IF(V424="BRAND.com",IFERROR(HLOOKUP(X424&amp;Z424,PLANNING_FC!$AK$4:$AY$23,MATCH(W424,PLANNING_FC!$AJ$4:$AJ$23,0),FALSE)*1000,""),"")</f>
        <v/>
      </c>
      <c r="BC424" s="883" t="str">
        <f>IF(V424="BRAND.com",IFERROR(HLOOKUP(X424&amp;Z424,PLANNING_FC!$AK$27:$AY$46,MATCH(W424,PLANNING_FC!$AJ$27:$AJ$46,0),FALSE)*1000,""),"")</f>
        <v/>
      </c>
    </row>
    <row r="425" spans="1:55" x14ac:dyDescent="0.25">
      <c r="A425" s="509"/>
      <c r="B425" s="509"/>
      <c r="C425" s="509"/>
      <c r="D425" s="509"/>
      <c r="E425" s="509"/>
      <c r="F425" s="509"/>
      <c r="G425" s="509"/>
      <c r="H425" s="509"/>
      <c r="I425" s="512"/>
      <c r="J425" s="513"/>
      <c r="K425" s="879"/>
      <c r="L425" s="515"/>
      <c r="M425" s="516"/>
      <c r="N425" s="56">
        <f t="shared" si="146"/>
        <v>0</v>
      </c>
      <c r="O425" s="57">
        <f t="shared" si="147"/>
        <v>0</v>
      </c>
      <c r="P425" s="57">
        <f ca="1">IFERROR(IF(ISBLANK(H425),SUMIFS($AC:$AC,$V:$V,V425,$W:$W,W425,$X:$X,X425,$Y:$Y,Y425)*J425/(1-J425)*VLOOKUP(_xlfn.CONCAT(C425,D425,E425,TIME!$M$12,Z425),HIS_SALES!$B$2:$W$4859,20,FALSE),AC425*J425/(1-J425)),0)</f>
        <v>0</v>
      </c>
      <c r="Q425" s="541" t="str">
        <f t="shared" si="148"/>
        <v/>
      </c>
      <c r="R425" s="346" t="str">
        <f t="shared" si="149"/>
        <v>00000</v>
      </c>
      <c r="S425" s="344">
        <f t="shared" si="150"/>
        <v>0</v>
      </c>
      <c r="T425" s="345" t="str">
        <f t="shared" si="163"/>
        <v>000</v>
      </c>
      <c r="U425" s="345">
        <f t="shared" si="151"/>
        <v>0</v>
      </c>
      <c r="V425" s="345">
        <f t="shared" si="152"/>
        <v>0</v>
      </c>
      <c r="W425" s="345">
        <f t="shared" si="153"/>
        <v>0</v>
      </c>
      <c r="X425" s="345">
        <f t="shared" si="154"/>
        <v>0</v>
      </c>
      <c r="Y425" s="345">
        <f t="shared" si="155"/>
        <v>0</v>
      </c>
      <c r="Z425" s="345">
        <f>IF(Q425&lt;&gt;"",VLOOKUP(Y425,TIME!$R$21:$V$24,MATCH(FC_DATA!Q425,TIME!$R$20:$V$20,0),FALSE),H425)</f>
        <v>0</v>
      </c>
      <c r="AA425" s="345" t="str">
        <f>IFERROR(VLOOKUP(X425&amp;Z425,TIME!$A$12:$D$71,4,FALSE),"")</f>
        <v/>
      </c>
      <c r="AB425" s="592">
        <f t="shared" ca="1" si="156"/>
        <v>0</v>
      </c>
      <c r="AC425" s="593" t="e">
        <f ca="1">IF(ISBLANK(H425)=FALSE,IF(D425="BRAND.com",I425,IF(ISNA(VLOOKUP(_xlfn.CONCAT(X425,Z425),TIME!$M$40:$M$42,1,FALSE)),I425,VLOOKUP(_xlfn.CONCAT(D425,G425,H425),M_BUSAREA_FC!$AF$5:$AJ$10,5,FALSE)*HLOOKUP(_xlfn.CONCAT(F425,H425),ST_OVERVIEW!$G$99:$I$130,MATCH(_xlfn.CONCAT(D425,E425),ST_OVERVIEW!$F$99:$F$130,0),FALSE))),IF(D425="BRAND.com",VLOOKUP(_xlfn.CONCAT(C425,D425,E425,TIME!$F$1,Z425),HIS_SALES!$B$2:$V$4859,19,FALSE)*I425,VLOOKUP(_xlfn.CONCAT(D425,F425,G425),Q_BUSAREA_FC!$AE$5:$AI$12,5,FALSE)*HLOOKUP(_xlfn.CONCAT(FC_DATA!F425,FC_DATA!G425),LT_OVERVIEW!$I$99:$M$130,MATCH(_xlfn.CONCAT(D425,FC_DATA!E425),LT_OVERVIEW!$H$99:$H$130,0),FALSE)*IFERROR(VLOOKUP(_xlfn.CONCAT(C425,D425,E425,TIME!$F$1,Z425),HIS_SALES!$B$2:$V$4859,19,FALSE),0)))</f>
        <v>#N/A</v>
      </c>
      <c r="AD425" s="341">
        <f t="shared" ca="1" si="157"/>
        <v>0</v>
      </c>
      <c r="AE425" s="363" t="str">
        <f t="shared" si="158"/>
        <v/>
      </c>
      <c r="AF425" s="342" t="str">
        <f t="shared" si="159"/>
        <v/>
      </c>
      <c r="AG425" s="411" t="e">
        <f ca="1">VLOOKUP(_xlfn.CONCAT(U425,V425,W425,VLOOKUP(X425&amp;Y425,TIME!$L$27:$O$34,4,FALSE),Y425),HIS_SALES!$A$2:$R$5093,18,FALSE)</f>
        <v>#N/A</v>
      </c>
      <c r="AH425" s="412" t="e">
        <f ca="1">IFERROR(IF(AND(V425=V424,W425=W424),0.5*(AB425+AB424)*AG425,(VLOOKUP(_xlfn.CONCAT(U425,V425,W425,X425,VLOOKUP(Z425,TIME!$S$28:$T$39,2,FALSE)),FC_DATA!$R$2:$AB$5000,MATCH("GS_I_M",FC_DATA!$R$1:$AB$1,0),FALSE)+FC_DATA!AB425)*0.5*FC_DATA!AG425),NA())</f>
        <v>#N/A</v>
      </c>
      <c r="AI425" s="491" t="e">
        <f ca="1">IF(V425="PARTNER.com",AH425,IF(AND(V425=V424,W425=W424),(1-AVERAGE(AD424,AD425))*AH425,(1-AVERAGE(AD425,VLOOKUP(_xlfn.CONCAT(U425,V425,W425,X425,M_BRAND_FC!$F$6),FC_DATA!$R$2:$AD$5000,MATCH("DISCOUNT_%_M",FC_DATA!$R$1:$AD$1,0),FALSE)))*AH425))</f>
        <v>#N/A</v>
      </c>
      <c r="AJ425" s="412" t="str">
        <f t="shared" ca="1" si="160"/>
        <v/>
      </c>
      <c r="AK425" s="413" t="str">
        <f>IFERROR(AE425/(Q_BRAND_FC!$T$24+1),"")</f>
        <v/>
      </c>
      <c r="AL425" s="88" t="str">
        <f t="shared" ca="1" si="161"/>
        <v/>
      </c>
      <c r="AM425" s="414" t="str">
        <f t="shared" ca="1" si="162"/>
        <v/>
      </c>
      <c r="AN425" s="58">
        <f>IFERROR(IF($V425="BRAND.com",HLOOKUP($X425&amp;$Z425,NWC_FC_NOOS!$C$4:$Q$23,MATCH(W425,NWC_FC_NOOS!$B$4:$B$23,0),FALSE),0),0)</f>
        <v>0</v>
      </c>
      <c r="AO425" s="57">
        <f>IFERROR(IF($V425="BRAND.com",HLOOKUP($X425&amp;$Z425,NWC_FC_NOOS!$T$4:$AH$23,MATCH(W425,NWC_FC_NOOS!$S$4:$S$23,0),FALSE),0),0)</f>
        <v>0</v>
      </c>
      <c r="AP425" s="57">
        <f>IFERROR(IF($V425="BRAND.com",HLOOKUP($X425&amp;$Z425,NWC_FC_NOOS!$C$50:$U$69,MATCH(W425,NWC_FC_NOOS!$B$50:$B$69,0),FALSE),0),0)</f>
        <v>0</v>
      </c>
      <c r="AQ425" s="58">
        <f>IFERROR(IF($V425="BRAND.com",HLOOKUP($X425&amp;$Z425,'NWC_FC_NON-NOOS'!$C$4:$Q$23,MATCH(W425,'NWC_FC_NON-NOOS'!$B$4:$B$23,0),FALSE),0),0)</f>
        <v>0</v>
      </c>
      <c r="AR425" s="57">
        <f>IFERROR(IF($V425="BRAND.com",HLOOKUP($X425&amp;$Z425,'NWC_FC_NON-NOOS'!$T$4:$AH$23,MATCH(W425,'NWC_FC_NON-NOOS'!$S$4:$S$23,0),FALSE),0),0)</f>
        <v>0</v>
      </c>
      <c r="AS425" s="57">
        <f>IFERROR(IF($V425="BRAND.com",HLOOKUP($X425&amp;$Z425,'NWC_FC_NON-NOOS'!$C$50:$U$69,MATCH(W425,'NWC_FC_NON-NOOS'!$B$50:$B$69,0),FALSE),0),0)</f>
        <v>0</v>
      </c>
      <c r="AT425" s="57">
        <f t="shared" si="164"/>
        <v>0</v>
      </c>
      <c r="AU425" s="57">
        <f t="shared" si="165"/>
        <v>0</v>
      </c>
      <c r="AV425" s="58">
        <f>IFERROR(IF($V425="BRAND.com",HLOOKUP($X425&amp;$Z425,PLANNING_FC!$BB$27:$BP$46,MATCH($W425,PLANNING_FC!$BA$27:$BA$46,0),FALSE),0),0)</f>
        <v>0</v>
      </c>
      <c r="AW425" s="58">
        <f>IFERROR(IF($V425="BRAND.com",HLOOKUP($X425&amp;$Z425,PLANNING_FC!$BB$4:$BP$23,MATCH($W425,PLANNING_FC!$BA$4:$BA$23,0),FALSE),0),0)</f>
        <v>0</v>
      </c>
      <c r="AX425" s="58">
        <f>IFERROR(IF($V425="BRAND.com",HLOOKUP($X425&amp;$Z425,PLANNING_FC!$T$27:$AH$46,MATCH($W425,PLANNING_FC!$B$27:$B$46,0),FALSE),0),0)</f>
        <v>0</v>
      </c>
      <c r="AY425" s="58">
        <f>IFERROR(IF($V425="BRAND.com",HLOOKUP($X425&amp;$Z425,PLANNING_FC!$T$4:$AH$23,MATCH($W425,PLANNING_FC!$B$4:$B$23,0),FALSE),0),0)</f>
        <v>0</v>
      </c>
      <c r="AZ425" s="58">
        <f>IFERROR(IF($V425="BRAND.com",HLOOKUP($X425&amp;$Z425,PLANNING_FC!$DA$27:$DO$46,MATCH($W425,PLANNING_FC!$CZ$27:$CZ$46,0),FALSE),0),0)</f>
        <v>0</v>
      </c>
      <c r="BA425" s="58">
        <f>IFERROR(IF($V425="BRAND.com",HLOOKUP($X425&amp;$Z425,PLANNING_FC!$DA$4:$DO$23,MATCH($W425,PLANNING_FC!$CZ$4:$CZ$23,0),FALSE),0),0)</f>
        <v>0</v>
      </c>
      <c r="BB425" s="883" t="str">
        <f>IF(V425="BRAND.com",IFERROR(HLOOKUP(X425&amp;Z425,PLANNING_FC!$AK$4:$AY$23,MATCH(W425,PLANNING_FC!$AJ$4:$AJ$23,0),FALSE)*1000,""),"")</f>
        <v/>
      </c>
      <c r="BC425" s="883" t="str">
        <f>IF(V425="BRAND.com",IFERROR(HLOOKUP(X425&amp;Z425,PLANNING_FC!$AK$27:$AY$46,MATCH(W425,PLANNING_FC!$AJ$27:$AJ$46,0),FALSE)*1000,""),"")</f>
        <v/>
      </c>
    </row>
    <row r="426" spans="1:55" x14ac:dyDescent="0.25">
      <c r="A426" s="509"/>
      <c r="B426" s="509"/>
      <c r="C426" s="509"/>
      <c r="D426" s="509"/>
      <c r="E426" s="509"/>
      <c r="F426" s="509"/>
      <c r="G426" s="509"/>
      <c r="H426" s="509"/>
      <c r="I426" s="512"/>
      <c r="J426" s="513"/>
      <c r="K426" s="879"/>
      <c r="L426" s="515"/>
      <c r="M426" s="516"/>
      <c r="N426" s="56">
        <f t="shared" si="146"/>
        <v>0</v>
      </c>
      <c r="O426" s="57">
        <f t="shared" si="147"/>
        <v>0</v>
      </c>
      <c r="P426" s="57">
        <f ca="1">IFERROR(IF(ISBLANK(H426),SUMIFS($AC:$AC,$V:$V,V426,$W:$W,W426,$X:$X,X426,$Y:$Y,Y426)*J426/(1-J426)*VLOOKUP(_xlfn.CONCAT(C426,D426,E426,TIME!$M$12,Z426),HIS_SALES!$B$2:$W$4859,20,FALSE),AC426*J426/(1-J426)),0)</f>
        <v>0</v>
      </c>
      <c r="Q426" s="541" t="str">
        <f t="shared" si="148"/>
        <v/>
      </c>
      <c r="R426" s="346" t="str">
        <f t="shared" si="149"/>
        <v>00000</v>
      </c>
      <c r="S426" s="344">
        <f t="shared" si="150"/>
        <v>0</v>
      </c>
      <c r="T426" s="345" t="str">
        <f t="shared" si="163"/>
        <v>000</v>
      </c>
      <c r="U426" s="345">
        <f t="shared" si="151"/>
        <v>0</v>
      </c>
      <c r="V426" s="345">
        <f t="shared" si="152"/>
        <v>0</v>
      </c>
      <c r="W426" s="345">
        <f t="shared" si="153"/>
        <v>0</v>
      </c>
      <c r="X426" s="345">
        <f t="shared" si="154"/>
        <v>0</v>
      </c>
      <c r="Y426" s="345">
        <f t="shared" si="155"/>
        <v>0</v>
      </c>
      <c r="Z426" s="345">
        <f>IF(Q426&lt;&gt;"",VLOOKUP(Y426,TIME!$R$21:$V$24,MATCH(FC_DATA!Q426,TIME!$R$20:$V$20,0),FALSE),H426)</f>
        <v>0</v>
      </c>
      <c r="AA426" s="345" t="str">
        <f>IFERROR(VLOOKUP(X426&amp;Z426,TIME!$A$12:$D$71,4,FALSE),"")</f>
        <v/>
      </c>
      <c r="AB426" s="592">
        <f t="shared" ca="1" si="156"/>
        <v>0</v>
      </c>
      <c r="AC426" s="593" t="e">
        <f ca="1">IF(ISBLANK(H426)=FALSE,IF(D426="BRAND.com",I426,IF(ISNA(VLOOKUP(_xlfn.CONCAT(X426,Z426),TIME!$M$40:$M$42,1,FALSE)),I426,VLOOKUP(_xlfn.CONCAT(D426,G426,H426),M_BUSAREA_FC!$AF$5:$AJ$10,5,FALSE)*HLOOKUP(_xlfn.CONCAT(F426,H426),ST_OVERVIEW!$G$99:$I$130,MATCH(_xlfn.CONCAT(D426,E426),ST_OVERVIEW!$F$99:$F$130,0),FALSE))),IF(D426="BRAND.com",VLOOKUP(_xlfn.CONCAT(C426,D426,E426,TIME!$F$1,Z426),HIS_SALES!$B$2:$V$4859,19,FALSE)*I426,VLOOKUP(_xlfn.CONCAT(D426,F426,G426),Q_BUSAREA_FC!$AE$5:$AI$12,5,FALSE)*HLOOKUP(_xlfn.CONCAT(FC_DATA!F426,FC_DATA!G426),LT_OVERVIEW!$I$99:$M$130,MATCH(_xlfn.CONCAT(D426,FC_DATA!E426),LT_OVERVIEW!$H$99:$H$130,0),FALSE)*IFERROR(VLOOKUP(_xlfn.CONCAT(C426,D426,E426,TIME!$F$1,Z426),HIS_SALES!$B$2:$V$4859,19,FALSE),0)))</f>
        <v>#N/A</v>
      </c>
      <c r="AD426" s="341">
        <f t="shared" ca="1" si="157"/>
        <v>0</v>
      </c>
      <c r="AE426" s="363" t="str">
        <f t="shared" si="158"/>
        <v/>
      </c>
      <c r="AF426" s="342" t="str">
        <f t="shared" si="159"/>
        <v/>
      </c>
      <c r="AG426" s="411" t="e">
        <f ca="1">VLOOKUP(_xlfn.CONCAT(U426,V426,W426,VLOOKUP(X426&amp;Y426,TIME!$L$27:$O$34,4,FALSE),Y426),HIS_SALES!$A$2:$R$5093,18,FALSE)</f>
        <v>#N/A</v>
      </c>
      <c r="AH426" s="412" t="e">
        <f ca="1">IFERROR(IF(AND(V426=V425,W426=W425),0.5*(AB426+AB425)*AG426,(VLOOKUP(_xlfn.CONCAT(U426,V426,W426,X426,VLOOKUP(Z426,TIME!$S$28:$T$39,2,FALSE)),FC_DATA!$R$2:$AB$5000,MATCH("GS_I_M",FC_DATA!$R$1:$AB$1,0),FALSE)+FC_DATA!AB426)*0.5*FC_DATA!AG426),NA())</f>
        <v>#N/A</v>
      </c>
      <c r="AI426" s="491" t="e">
        <f ca="1">IF(V426="PARTNER.com",AH426,IF(AND(V426=V425,W426=W425),(1-AVERAGE(AD425,AD426))*AH426,(1-AVERAGE(AD426,VLOOKUP(_xlfn.CONCAT(U426,V426,W426,X426,M_BRAND_FC!$F$6),FC_DATA!$R$2:$AD$5000,MATCH("DISCOUNT_%_M",FC_DATA!$R$1:$AD$1,0),FALSE)))*AH426))</f>
        <v>#N/A</v>
      </c>
      <c r="AJ426" s="412" t="str">
        <f t="shared" ca="1" si="160"/>
        <v/>
      </c>
      <c r="AK426" s="413" t="str">
        <f>IFERROR(AE426/(Q_BRAND_FC!$T$24+1),"")</f>
        <v/>
      </c>
      <c r="AL426" s="88" t="str">
        <f t="shared" ca="1" si="161"/>
        <v/>
      </c>
      <c r="AM426" s="414" t="str">
        <f t="shared" ca="1" si="162"/>
        <v/>
      </c>
      <c r="AN426" s="58">
        <f>IFERROR(IF($V426="BRAND.com",HLOOKUP($X426&amp;$Z426,NWC_FC_NOOS!$C$4:$Q$23,MATCH(W426,NWC_FC_NOOS!$B$4:$B$23,0),FALSE),0),0)</f>
        <v>0</v>
      </c>
      <c r="AO426" s="57">
        <f>IFERROR(IF($V426="BRAND.com",HLOOKUP($X426&amp;$Z426,NWC_FC_NOOS!$T$4:$AH$23,MATCH(W426,NWC_FC_NOOS!$S$4:$S$23,0),FALSE),0),0)</f>
        <v>0</v>
      </c>
      <c r="AP426" s="57">
        <f>IFERROR(IF($V426="BRAND.com",HLOOKUP($X426&amp;$Z426,NWC_FC_NOOS!$C$50:$U$69,MATCH(W426,NWC_FC_NOOS!$B$50:$B$69,0),FALSE),0),0)</f>
        <v>0</v>
      </c>
      <c r="AQ426" s="58">
        <f>IFERROR(IF($V426="BRAND.com",HLOOKUP($X426&amp;$Z426,'NWC_FC_NON-NOOS'!$C$4:$Q$23,MATCH(W426,'NWC_FC_NON-NOOS'!$B$4:$B$23,0),FALSE),0),0)</f>
        <v>0</v>
      </c>
      <c r="AR426" s="57">
        <f>IFERROR(IF($V426="BRAND.com",HLOOKUP($X426&amp;$Z426,'NWC_FC_NON-NOOS'!$T$4:$AH$23,MATCH(W426,'NWC_FC_NON-NOOS'!$S$4:$S$23,0),FALSE),0),0)</f>
        <v>0</v>
      </c>
      <c r="AS426" s="57">
        <f>IFERROR(IF($V426="BRAND.com",HLOOKUP($X426&amp;$Z426,'NWC_FC_NON-NOOS'!$C$50:$U$69,MATCH(W426,'NWC_FC_NON-NOOS'!$B$50:$B$69,0),FALSE),0),0)</f>
        <v>0</v>
      </c>
      <c r="AT426" s="57">
        <f t="shared" si="164"/>
        <v>0</v>
      </c>
      <c r="AU426" s="57">
        <f t="shared" si="165"/>
        <v>0</v>
      </c>
      <c r="AV426" s="58">
        <f>IFERROR(IF($V426="BRAND.com",HLOOKUP($X426&amp;$Z426,PLANNING_FC!$BB$27:$BP$46,MATCH($W426,PLANNING_FC!$BA$27:$BA$46,0),FALSE),0),0)</f>
        <v>0</v>
      </c>
      <c r="AW426" s="58">
        <f>IFERROR(IF($V426="BRAND.com",HLOOKUP($X426&amp;$Z426,PLANNING_FC!$BB$4:$BP$23,MATCH($W426,PLANNING_FC!$BA$4:$BA$23,0),FALSE),0),0)</f>
        <v>0</v>
      </c>
      <c r="AX426" s="58">
        <f>IFERROR(IF($V426="BRAND.com",HLOOKUP($X426&amp;$Z426,PLANNING_FC!$T$27:$AH$46,MATCH($W426,PLANNING_FC!$B$27:$B$46,0),FALSE),0),0)</f>
        <v>0</v>
      </c>
      <c r="AY426" s="58">
        <f>IFERROR(IF($V426="BRAND.com",HLOOKUP($X426&amp;$Z426,PLANNING_FC!$T$4:$AH$23,MATCH($W426,PLANNING_FC!$B$4:$B$23,0),FALSE),0),0)</f>
        <v>0</v>
      </c>
      <c r="AZ426" s="58">
        <f>IFERROR(IF($V426="BRAND.com",HLOOKUP($X426&amp;$Z426,PLANNING_FC!$DA$27:$DO$46,MATCH($W426,PLANNING_FC!$CZ$27:$CZ$46,0),FALSE),0),0)</f>
        <v>0</v>
      </c>
      <c r="BA426" s="58">
        <f>IFERROR(IF($V426="BRAND.com",HLOOKUP($X426&amp;$Z426,PLANNING_FC!$DA$4:$DO$23,MATCH($W426,PLANNING_FC!$CZ$4:$CZ$23,0),FALSE),0),0)</f>
        <v>0</v>
      </c>
      <c r="BB426" s="883" t="str">
        <f>IF(V426="BRAND.com",IFERROR(HLOOKUP(X426&amp;Z426,PLANNING_FC!$AK$4:$AY$23,MATCH(W426,PLANNING_FC!$AJ$4:$AJ$23,0),FALSE)*1000,""),"")</f>
        <v/>
      </c>
      <c r="BC426" s="883" t="str">
        <f>IF(V426="BRAND.com",IFERROR(HLOOKUP(X426&amp;Z426,PLANNING_FC!$AK$27:$AY$46,MATCH(W426,PLANNING_FC!$AJ$27:$AJ$46,0),FALSE)*1000,""),"")</f>
        <v/>
      </c>
    </row>
    <row r="427" spans="1:55" x14ac:dyDescent="0.25">
      <c r="A427" s="509"/>
      <c r="B427" s="509"/>
      <c r="C427" s="509"/>
      <c r="D427" s="509"/>
      <c r="E427" s="509"/>
      <c r="F427" s="509"/>
      <c r="G427" s="509"/>
      <c r="H427" s="509"/>
      <c r="I427" s="512"/>
      <c r="J427" s="513"/>
      <c r="K427" s="879"/>
      <c r="L427" s="515"/>
      <c r="M427" s="516"/>
      <c r="N427" s="56">
        <f t="shared" si="146"/>
        <v>0</v>
      </c>
      <c r="O427" s="57">
        <f t="shared" si="147"/>
        <v>0</v>
      </c>
      <c r="P427" s="57">
        <f ca="1">IFERROR(IF(ISBLANK(H427),SUMIFS($AC:$AC,$V:$V,V427,$W:$W,W427,$X:$X,X427,$Y:$Y,Y427)*J427/(1-J427)*VLOOKUP(_xlfn.CONCAT(C427,D427,E427,TIME!$M$12,Z427),HIS_SALES!$B$2:$W$4859,20,FALSE),AC427*J427/(1-J427)),0)</f>
        <v>0</v>
      </c>
      <c r="Q427" s="541" t="str">
        <f t="shared" si="148"/>
        <v/>
      </c>
      <c r="R427" s="346" t="str">
        <f t="shared" si="149"/>
        <v>00000</v>
      </c>
      <c r="S427" s="344">
        <f t="shared" si="150"/>
        <v>0</v>
      </c>
      <c r="T427" s="345" t="str">
        <f t="shared" si="163"/>
        <v>000</v>
      </c>
      <c r="U427" s="345">
        <f t="shared" si="151"/>
        <v>0</v>
      </c>
      <c r="V427" s="345">
        <f t="shared" si="152"/>
        <v>0</v>
      </c>
      <c r="W427" s="345">
        <f t="shared" si="153"/>
        <v>0</v>
      </c>
      <c r="X427" s="345">
        <f t="shared" si="154"/>
        <v>0</v>
      </c>
      <c r="Y427" s="345">
        <f t="shared" si="155"/>
        <v>0</v>
      </c>
      <c r="Z427" s="345">
        <f>IF(Q427&lt;&gt;"",VLOOKUP(Y427,TIME!$R$21:$V$24,MATCH(FC_DATA!Q427,TIME!$R$20:$V$20,0),FALSE),H427)</f>
        <v>0</v>
      </c>
      <c r="AA427" s="345" t="str">
        <f>IFERROR(VLOOKUP(X427&amp;Z427,TIME!$A$12:$D$71,4,FALSE),"")</f>
        <v/>
      </c>
      <c r="AB427" s="592">
        <f t="shared" ca="1" si="156"/>
        <v>0</v>
      </c>
      <c r="AC427" s="593" t="e">
        <f ca="1">IF(ISBLANK(H427)=FALSE,IF(D427="BRAND.com",I427,IF(ISNA(VLOOKUP(_xlfn.CONCAT(X427,Z427),TIME!$M$40:$M$42,1,FALSE)),I427,VLOOKUP(_xlfn.CONCAT(D427,G427,H427),M_BUSAREA_FC!$AF$5:$AJ$10,5,FALSE)*HLOOKUP(_xlfn.CONCAT(F427,H427),ST_OVERVIEW!$G$99:$I$130,MATCH(_xlfn.CONCAT(D427,E427),ST_OVERVIEW!$F$99:$F$130,0),FALSE))),IF(D427="BRAND.com",VLOOKUP(_xlfn.CONCAT(C427,D427,E427,TIME!$F$1,Z427),HIS_SALES!$B$2:$V$4859,19,FALSE)*I427,VLOOKUP(_xlfn.CONCAT(D427,F427,G427),Q_BUSAREA_FC!$AE$5:$AI$12,5,FALSE)*HLOOKUP(_xlfn.CONCAT(FC_DATA!F427,FC_DATA!G427),LT_OVERVIEW!$I$99:$M$130,MATCH(_xlfn.CONCAT(D427,FC_DATA!E427),LT_OVERVIEW!$H$99:$H$130,0),FALSE)*IFERROR(VLOOKUP(_xlfn.CONCAT(C427,D427,E427,TIME!$F$1,Z427),HIS_SALES!$B$2:$V$4859,19,FALSE),0)))</f>
        <v>#N/A</v>
      </c>
      <c r="AD427" s="341">
        <f t="shared" ca="1" si="157"/>
        <v>0</v>
      </c>
      <c r="AE427" s="363" t="str">
        <f t="shared" si="158"/>
        <v/>
      </c>
      <c r="AF427" s="342" t="str">
        <f t="shared" si="159"/>
        <v/>
      </c>
      <c r="AG427" s="411" t="e">
        <f ca="1">VLOOKUP(_xlfn.CONCAT(U427,V427,W427,VLOOKUP(X427&amp;Y427,TIME!$L$27:$O$34,4,FALSE),Y427),HIS_SALES!$A$2:$R$5093,18,FALSE)</f>
        <v>#N/A</v>
      </c>
      <c r="AH427" s="412" t="e">
        <f ca="1">IFERROR(IF(AND(V427=V426,W427=W426),0.5*(AB427+AB426)*AG427,(VLOOKUP(_xlfn.CONCAT(U427,V427,W427,X427,VLOOKUP(Z427,TIME!$S$28:$T$39,2,FALSE)),FC_DATA!$R$2:$AB$5000,MATCH("GS_I_M",FC_DATA!$R$1:$AB$1,0),FALSE)+FC_DATA!AB427)*0.5*FC_DATA!AG427),NA())</f>
        <v>#N/A</v>
      </c>
      <c r="AI427" s="491" t="e">
        <f ca="1">IF(V427="PARTNER.com",AH427,IF(AND(V427=V426,W427=W426),(1-AVERAGE(AD426,AD427))*AH427,(1-AVERAGE(AD427,VLOOKUP(_xlfn.CONCAT(U427,V427,W427,X427,M_BRAND_FC!$F$6),FC_DATA!$R$2:$AD$5000,MATCH("DISCOUNT_%_M",FC_DATA!$R$1:$AD$1,0),FALSE)))*AH427))</f>
        <v>#N/A</v>
      </c>
      <c r="AJ427" s="412" t="str">
        <f t="shared" ca="1" si="160"/>
        <v/>
      </c>
      <c r="AK427" s="413" t="str">
        <f>IFERROR(AE427/(Q_BRAND_FC!$T$24+1),"")</f>
        <v/>
      </c>
      <c r="AL427" s="88" t="str">
        <f t="shared" ca="1" si="161"/>
        <v/>
      </c>
      <c r="AM427" s="414" t="str">
        <f t="shared" ca="1" si="162"/>
        <v/>
      </c>
      <c r="AN427" s="58">
        <f>IFERROR(IF($V427="BRAND.com",HLOOKUP($X427&amp;$Z427,NWC_FC_NOOS!$C$4:$Q$23,MATCH(W427,NWC_FC_NOOS!$B$4:$B$23,0),FALSE),0),0)</f>
        <v>0</v>
      </c>
      <c r="AO427" s="57">
        <f>IFERROR(IF($V427="BRAND.com",HLOOKUP($X427&amp;$Z427,NWC_FC_NOOS!$T$4:$AH$23,MATCH(W427,NWC_FC_NOOS!$S$4:$S$23,0),FALSE),0),0)</f>
        <v>0</v>
      </c>
      <c r="AP427" s="57">
        <f>IFERROR(IF($V427="BRAND.com",HLOOKUP($X427&amp;$Z427,NWC_FC_NOOS!$C$50:$U$69,MATCH(W427,NWC_FC_NOOS!$B$50:$B$69,0),FALSE),0),0)</f>
        <v>0</v>
      </c>
      <c r="AQ427" s="58">
        <f>IFERROR(IF($V427="BRAND.com",HLOOKUP($X427&amp;$Z427,'NWC_FC_NON-NOOS'!$C$4:$Q$23,MATCH(W427,'NWC_FC_NON-NOOS'!$B$4:$B$23,0),FALSE),0),0)</f>
        <v>0</v>
      </c>
      <c r="AR427" s="57">
        <f>IFERROR(IF($V427="BRAND.com",HLOOKUP($X427&amp;$Z427,'NWC_FC_NON-NOOS'!$T$4:$AH$23,MATCH(W427,'NWC_FC_NON-NOOS'!$S$4:$S$23,0),FALSE),0),0)</f>
        <v>0</v>
      </c>
      <c r="AS427" s="57">
        <f>IFERROR(IF($V427="BRAND.com",HLOOKUP($X427&amp;$Z427,'NWC_FC_NON-NOOS'!$C$50:$U$69,MATCH(W427,'NWC_FC_NON-NOOS'!$B$50:$B$69,0),FALSE),0),0)</f>
        <v>0</v>
      </c>
      <c r="AT427" s="57">
        <f t="shared" si="164"/>
        <v>0</v>
      </c>
      <c r="AU427" s="57">
        <f t="shared" si="165"/>
        <v>0</v>
      </c>
      <c r="AV427" s="58">
        <f>IFERROR(IF($V427="BRAND.com",HLOOKUP($X427&amp;$Z427,PLANNING_FC!$BB$27:$BP$46,MATCH($W427,PLANNING_FC!$BA$27:$BA$46,0),FALSE),0),0)</f>
        <v>0</v>
      </c>
      <c r="AW427" s="58">
        <f>IFERROR(IF($V427="BRAND.com",HLOOKUP($X427&amp;$Z427,PLANNING_FC!$BB$4:$BP$23,MATCH($W427,PLANNING_FC!$BA$4:$BA$23,0),FALSE),0),0)</f>
        <v>0</v>
      </c>
      <c r="AX427" s="58">
        <f>IFERROR(IF($V427="BRAND.com",HLOOKUP($X427&amp;$Z427,PLANNING_FC!$T$27:$AH$46,MATCH($W427,PLANNING_FC!$B$27:$B$46,0),FALSE),0),0)</f>
        <v>0</v>
      </c>
      <c r="AY427" s="58">
        <f>IFERROR(IF($V427="BRAND.com",HLOOKUP($X427&amp;$Z427,PLANNING_FC!$T$4:$AH$23,MATCH($W427,PLANNING_FC!$B$4:$B$23,0),FALSE),0),0)</f>
        <v>0</v>
      </c>
      <c r="AZ427" s="58">
        <f>IFERROR(IF($V427="BRAND.com",HLOOKUP($X427&amp;$Z427,PLANNING_FC!$DA$27:$DO$46,MATCH($W427,PLANNING_FC!$CZ$27:$CZ$46,0),FALSE),0),0)</f>
        <v>0</v>
      </c>
      <c r="BA427" s="58">
        <f>IFERROR(IF($V427="BRAND.com",HLOOKUP($X427&amp;$Z427,PLANNING_FC!$DA$4:$DO$23,MATCH($W427,PLANNING_FC!$CZ$4:$CZ$23,0),FALSE),0),0)</f>
        <v>0</v>
      </c>
      <c r="BB427" s="883" t="str">
        <f>IF(V427="BRAND.com",IFERROR(HLOOKUP(X427&amp;Z427,PLANNING_FC!$AK$4:$AY$23,MATCH(W427,PLANNING_FC!$AJ$4:$AJ$23,0),FALSE)*1000,""),"")</f>
        <v/>
      </c>
      <c r="BC427" s="883" t="str">
        <f>IF(V427="BRAND.com",IFERROR(HLOOKUP(X427&amp;Z427,PLANNING_FC!$AK$27:$AY$46,MATCH(W427,PLANNING_FC!$AJ$27:$AJ$46,0),FALSE)*1000,""),"")</f>
        <v/>
      </c>
    </row>
    <row r="428" spans="1:55" x14ac:dyDescent="0.25">
      <c r="A428" s="509"/>
      <c r="B428" s="509"/>
      <c r="C428" s="509"/>
      <c r="D428" s="509"/>
      <c r="E428" s="509"/>
      <c r="F428" s="509"/>
      <c r="G428" s="509"/>
      <c r="H428" s="509"/>
      <c r="I428" s="512"/>
      <c r="J428" s="513"/>
      <c r="K428" s="879"/>
      <c r="L428" s="515"/>
      <c r="M428" s="516"/>
      <c r="N428" s="56">
        <f t="shared" si="146"/>
        <v>0</v>
      </c>
      <c r="O428" s="57">
        <f t="shared" si="147"/>
        <v>0</v>
      </c>
      <c r="P428" s="57">
        <f ca="1">IFERROR(IF(ISBLANK(H428),SUMIFS($AC:$AC,$V:$V,V428,$W:$W,W428,$X:$X,X428,$Y:$Y,Y428)*J428/(1-J428)*VLOOKUP(_xlfn.CONCAT(C428,D428,E428,TIME!$M$12,Z428),HIS_SALES!$B$2:$W$4859,20,FALSE),AC428*J428/(1-J428)),0)</f>
        <v>0</v>
      </c>
      <c r="Q428" s="541" t="str">
        <f t="shared" si="148"/>
        <v/>
      </c>
      <c r="R428" s="346" t="str">
        <f t="shared" si="149"/>
        <v>00000</v>
      </c>
      <c r="S428" s="344">
        <f t="shared" si="150"/>
        <v>0</v>
      </c>
      <c r="T428" s="345" t="str">
        <f t="shared" si="163"/>
        <v>000</v>
      </c>
      <c r="U428" s="345">
        <f t="shared" si="151"/>
        <v>0</v>
      </c>
      <c r="V428" s="345">
        <f t="shared" si="152"/>
        <v>0</v>
      </c>
      <c r="W428" s="345">
        <f t="shared" si="153"/>
        <v>0</v>
      </c>
      <c r="X428" s="345">
        <f t="shared" si="154"/>
        <v>0</v>
      </c>
      <c r="Y428" s="345">
        <f t="shared" si="155"/>
        <v>0</v>
      </c>
      <c r="Z428" s="345">
        <f>IF(Q428&lt;&gt;"",VLOOKUP(Y428,TIME!$R$21:$V$24,MATCH(FC_DATA!Q428,TIME!$R$20:$V$20,0),FALSE),H428)</f>
        <v>0</v>
      </c>
      <c r="AA428" s="345" t="str">
        <f>IFERROR(VLOOKUP(X428&amp;Z428,TIME!$A$12:$D$71,4,FALSE),"")</f>
        <v/>
      </c>
      <c r="AB428" s="592">
        <f t="shared" ca="1" si="156"/>
        <v>0</v>
      </c>
      <c r="AC428" s="593" t="e">
        <f ca="1">IF(ISBLANK(H428)=FALSE,IF(D428="BRAND.com",I428,IF(ISNA(VLOOKUP(_xlfn.CONCAT(X428,Z428),TIME!$M$40:$M$42,1,FALSE)),I428,VLOOKUP(_xlfn.CONCAT(D428,G428,H428),M_BUSAREA_FC!$AF$5:$AJ$10,5,FALSE)*HLOOKUP(_xlfn.CONCAT(F428,H428),ST_OVERVIEW!$G$99:$I$130,MATCH(_xlfn.CONCAT(D428,E428),ST_OVERVIEW!$F$99:$F$130,0),FALSE))),IF(D428="BRAND.com",VLOOKUP(_xlfn.CONCAT(C428,D428,E428,TIME!$F$1,Z428),HIS_SALES!$B$2:$V$4859,19,FALSE)*I428,VLOOKUP(_xlfn.CONCAT(D428,F428,G428),Q_BUSAREA_FC!$AE$5:$AI$12,5,FALSE)*HLOOKUP(_xlfn.CONCAT(FC_DATA!F428,FC_DATA!G428),LT_OVERVIEW!$I$99:$M$130,MATCH(_xlfn.CONCAT(D428,FC_DATA!E428),LT_OVERVIEW!$H$99:$H$130,0),FALSE)*IFERROR(VLOOKUP(_xlfn.CONCAT(C428,D428,E428,TIME!$F$1,Z428),HIS_SALES!$B$2:$V$4859,19,FALSE),0)))</f>
        <v>#N/A</v>
      </c>
      <c r="AD428" s="341">
        <f t="shared" ca="1" si="157"/>
        <v>0</v>
      </c>
      <c r="AE428" s="363" t="str">
        <f t="shared" si="158"/>
        <v/>
      </c>
      <c r="AF428" s="342" t="str">
        <f t="shared" si="159"/>
        <v/>
      </c>
      <c r="AG428" s="411" t="e">
        <f ca="1">VLOOKUP(_xlfn.CONCAT(U428,V428,W428,VLOOKUP(X428&amp;Y428,TIME!$L$27:$O$34,4,FALSE),Y428),HIS_SALES!$A$2:$R$5093,18,FALSE)</f>
        <v>#N/A</v>
      </c>
      <c r="AH428" s="412" t="e">
        <f ca="1">IFERROR(IF(AND(V428=V427,W428=W427),0.5*(AB428+AB427)*AG428,(VLOOKUP(_xlfn.CONCAT(U428,V428,W428,X428,VLOOKUP(Z428,TIME!$S$28:$T$39,2,FALSE)),FC_DATA!$R$2:$AB$5000,MATCH("GS_I_M",FC_DATA!$R$1:$AB$1,0),FALSE)+FC_DATA!AB428)*0.5*FC_DATA!AG428),NA())</f>
        <v>#N/A</v>
      </c>
      <c r="AI428" s="491" t="e">
        <f ca="1">IF(V428="PARTNER.com",AH428,IF(AND(V428=V427,W428=W427),(1-AVERAGE(AD427,AD428))*AH428,(1-AVERAGE(AD428,VLOOKUP(_xlfn.CONCAT(U428,V428,W428,X428,M_BRAND_FC!$F$6),FC_DATA!$R$2:$AD$5000,MATCH("DISCOUNT_%_M",FC_DATA!$R$1:$AD$1,0),FALSE)))*AH428))</f>
        <v>#N/A</v>
      </c>
      <c r="AJ428" s="412" t="str">
        <f t="shared" ca="1" si="160"/>
        <v/>
      </c>
      <c r="AK428" s="413" t="str">
        <f>IFERROR(AE428/(Q_BRAND_FC!$T$24+1),"")</f>
        <v/>
      </c>
      <c r="AL428" s="88" t="str">
        <f t="shared" ca="1" si="161"/>
        <v/>
      </c>
      <c r="AM428" s="414" t="str">
        <f t="shared" ca="1" si="162"/>
        <v/>
      </c>
      <c r="AN428" s="58">
        <f>IFERROR(IF($V428="BRAND.com",HLOOKUP($X428&amp;$Z428,NWC_FC_NOOS!$C$4:$Q$23,MATCH(W428,NWC_FC_NOOS!$B$4:$B$23,0),FALSE),0),0)</f>
        <v>0</v>
      </c>
      <c r="AO428" s="57">
        <f>IFERROR(IF($V428="BRAND.com",HLOOKUP($X428&amp;$Z428,NWC_FC_NOOS!$T$4:$AH$23,MATCH(W428,NWC_FC_NOOS!$S$4:$S$23,0),FALSE),0),0)</f>
        <v>0</v>
      </c>
      <c r="AP428" s="57">
        <f>IFERROR(IF($V428="BRAND.com",HLOOKUP($X428&amp;$Z428,NWC_FC_NOOS!$C$50:$U$69,MATCH(W428,NWC_FC_NOOS!$B$50:$B$69,0),FALSE),0),0)</f>
        <v>0</v>
      </c>
      <c r="AQ428" s="58">
        <f>IFERROR(IF($V428="BRAND.com",HLOOKUP($X428&amp;$Z428,'NWC_FC_NON-NOOS'!$C$4:$Q$23,MATCH(W428,'NWC_FC_NON-NOOS'!$B$4:$B$23,0),FALSE),0),0)</f>
        <v>0</v>
      </c>
      <c r="AR428" s="57">
        <f>IFERROR(IF($V428="BRAND.com",HLOOKUP($X428&amp;$Z428,'NWC_FC_NON-NOOS'!$T$4:$AH$23,MATCH(W428,'NWC_FC_NON-NOOS'!$S$4:$S$23,0),FALSE),0),0)</f>
        <v>0</v>
      </c>
      <c r="AS428" s="57">
        <f>IFERROR(IF($V428="BRAND.com",HLOOKUP($X428&amp;$Z428,'NWC_FC_NON-NOOS'!$C$50:$U$69,MATCH(W428,'NWC_FC_NON-NOOS'!$B$50:$B$69,0),FALSE),0),0)</f>
        <v>0</v>
      </c>
      <c r="AT428" s="57">
        <f t="shared" si="164"/>
        <v>0</v>
      </c>
      <c r="AU428" s="57">
        <f t="shared" si="165"/>
        <v>0</v>
      </c>
      <c r="AV428" s="58">
        <f>IFERROR(IF($V428="BRAND.com",HLOOKUP($X428&amp;$Z428,PLANNING_FC!$BB$27:$BP$46,MATCH($W428,PLANNING_FC!$BA$27:$BA$46,0),FALSE),0),0)</f>
        <v>0</v>
      </c>
      <c r="AW428" s="58">
        <f>IFERROR(IF($V428="BRAND.com",HLOOKUP($X428&amp;$Z428,PLANNING_FC!$BB$4:$BP$23,MATCH($W428,PLANNING_FC!$BA$4:$BA$23,0),FALSE),0),0)</f>
        <v>0</v>
      </c>
      <c r="AX428" s="58">
        <f>IFERROR(IF($V428="BRAND.com",HLOOKUP($X428&amp;$Z428,PLANNING_FC!$T$27:$AH$46,MATCH($W428,PLANNING_FC!$B$27:$B$46,0),FALSE),0),0)</f>
        <v>0</v>
      </c>
      <c r="AY428" s="58">
        <f>IFERROR(IF($V428="BRAND.com",HLOOKUP($X428&amp;$Z428,PLANNING_FC!$T$4:$AH$23,MATCH($W428,PLANNING_FC!$B$4:$B$23,0),FALSE),0),0)</f>
        <v>0</v>
      </c>
      <c r="AZ428" s="58">
        <f>IFERROR(IF($V428="BRAND.com",HLOOKUP($X428&amp;$Z428,PLANNING_FC!$DA$27:$DO$46,MATCH($W428,PLANNING_FC!$CZ$27:$CZ$46,0),FALSE),0),0)</f>
        <v>0</v>
      </c>
      <c r="BA428" s="58">
        <f>IFERROR(IF($V428="BRAND.com",HLOOKUP($X428&amp;$Z428,PLANNING_FC!$DA$4:$DO$23,MATCH($W428,PLANNING_FC!$CZ$4:$CZ$23,0),FALSE),0),0)</f>
        <v>0</v>
      </c>
      <c r="BB428" s="883" t="str">
        <f>IF(V428="BRAND.com",IFERROR(HLOOKUP(X428&amp;Z428,PLANNING_FC!$AK$4:$AY$23,MATCH(W428,PLANNING_FC!$AJ$4:$AJ$23,0),FALSE)*1000,""),"")</f>
        <v/>
      </c>
      <c r="BC428" s="883" t="str">
        <f>IF(V428="BRAND.com",IFERROR(HLOOKUP(X428&amp;Z428,PLANNING_FC!$AK$27:$AY$46,MATCH(W428,PLANNING_FC!$AJ$27:$AJ$46,0),FALSE)*1000,""),"")</f>
        <v/>
      </c>
    </row>
    <row r="429" spans="1:55" x14ac:dyDescent="0.25">
      <c r="A429" s="509"/>
      <c r="B429" s="509"/>
      <c r="C429" s="509"/>
      <c r="D429" s="509"/>
      <c r="E429" s="509"/>
      <c r="F429" s="509"/>
      <c r="G429" s="509"/>
      <c r="H429" s="509"/>
      <c r="I429" s="512"/>
      <c r="J429" s="513"/>
      <c r="K429" s="879"/>
      <c r="L429" s="515"/>
      <c r="M429" s="516"/>
      <c r="N429" s="56">
        <f t="shared" si="146"/>
        <v>0</v>
      </c>
      <c r="O429" s="57">
        <f t="shared" si="147"/>
        <v>0</v>
      </c>
      <c r="P429" s="57">
        <f ca="1">IFERROR(IF(ISBLANK(H429),SUMIFS($AC:$AC,$V:$V,V429,$W:$W,W429,$X:$X,X429,$Y:$Y,Y429)*J429/(1-J429)*VLOOKUP(_xlfn.CONCAT(C429,D429,E429,TIME!$M$12,Z429),HIS_SALES!$B$2:$W$4859,20,FALSE),AC429*J429/(1-J429)),0)</f>
        <v>0</v>
      </c>
      <c r="Q429" s="541" t="str">
        <f t="shared" si="148"/>
        <v/>
      </c>
      <c r="R429" s="346" t="str">
        <f t="shared" si="149"/>
        <v>00000</v>
      </c>
      <c r="S429" s="344">
        <f t="shared" si="150"/>
        <v>0</v>
      </c>
      <c r="T429" s="345" t="str">
        <f t="shared" si="163"/>
        <v>000</v>
      </c>
      <c r="U429" s="345">
        <f t="shared" si="151"/>
        <v>0</v>
      </c>
      <c r="V429" s="345">
        <f t="shared" si="152"/>
        <v>0</v>
      </c>
      <c r="W429" s="345">
        <f t="shared" si="153"/>
        <v>0</v>
      </c>
      <c r="X429" s="345">
        <f t="shared" si="154"/>
        <v>0</v>
      </c>
      <c r="Y429" s="345">
        <f t="shared" si="155"/>
        <v>0</v>
      </c>
      <c r="Z429" s="345">
        <f>IF(Q429&lt;&gt;"",VLOOKUP(Y429,TIME!$R$21:$V$24,MATCH(FC_DATA!Q429,TIME!$R$20:$V$20,0),FALSE),H429)</f>
        <v>0</v>
      </c>
      <c r="AA429" s="345" t="str">
        <f>IFERROR(VLOOKUP(X429&amp;Z429,TIME!$A$12:$D$71,4,FALSE),"")</f>
        <v/>
      </c>
      <c r="AB429" s="592">
        <f t="shared" ca="1" si="156"/>
        <v>0</v>
      </c>
      <c r="AC429" s="593" t="e">
        <f ca="1">IF(ISBLANK(H429)=FALSE,IF(D429="BRAND.com",I429,IF(ISNA(VLOOKUP(_xlfn.CONCAT(X429,Z429),TIME!$M$40:$M$42,1,FALSE)),I429,VLOOKUP(_xlfn.CONCAT(D429,G429,H429),M_BUSAREA_FC!$AF$5:$AJ$10,5,FALSE)*HLOOKUP(_xlfn.CONCAT(F429,H429),ST_OVERVIEW!$G$99:$I$130,MATCH(_xlfn.CONCAT(D429,E429),ST_OVERVIEW!$F$99:$F$130,0),FALSE))),IF(D429="BRAND.com",VLOOKUP(_xlfn.CONCAT(C429,D429,E429,TIME!$F$1,Z429),HIS_SALES!$B$2:$V$4859,19,FALSE)*I429,VLOOKUP(_xlfn.CONCAT(D429,F429,G429),Q_BUSAREA_FC!$AE$5:$AI$12,5,FALSE)*HLOOKUP(_xlfn.CONCAT(FC_DATA!F429,FC_DATA!G429),LT_OVERVIEW!$I$99:$M$130,MATCH(_xlfn.CONCAT(D429,FC_DATA!E429),LT_OVERVIEW!$H$99:$H$130,0),FALSE)*IFERROR(VLOOKUP(_xlfn.CONCAT(C429,D429,E429,TIME!$F$1,Z429),HIS_SALES!$B$2:$V$4859,19,FALSE),0)))</f>
        <v>#N/A</v>
      </c>
      <c r="AD429" s="341">
        <f t="shared" ca="1" si="157"/>
        <v>0</v>
      </c>
      <c r="AE429" s="363" t="str">
        <f t="shared" si="158"/>
        <v/>
      </c>
      <c r="AF429" s="342" t="str">
        <f t="shared" si="159"/>
        <v/>
      </c>
      <c r="AG429" s="411" t="e">
        <f ca="1">VLOOKUP(_xlfn.CONCAT(U429,V429,W429,VLOOKUP(X429&amp;Y429,TIME!$L$27:$O$34,4,FALSE),Y429),HIS_SALES!$A$2:$R$5093,18,FALSE)</f>
        <v>#N/A</v>
      </c>
      <c r="AH429" s="412" t="e">
        <f ca="1">IFERROR(IF(AND(V429=V428,W429=W428),0.5*(AB429+AB428)*AG429,(VLOOKUP(_xlfn.CONCAT(U429,V429,W429,X429,VLOOKUP(Z429,TIME!$S$28:$T$39,2,FALSE)),FC_DATA!$R$2:$AB$5000,MATCH("GS_I_M",FC_DATA!$R$1:$AB$1,0),FALSE)+FC_DATA!AB429)*0.5*FC_DATA!AG429),NA())</f>
        <v>#N/A</v>
      </c>
      <c r="AI429" s="491" t="e">
        <f ca="1">IF(V429="PARTNER.com",AH429,IF(AND(V429=V428,W429=W428),(1-AVERAGE(AD428,AD429))*AH429,(1-AVERAGE(AD429,VLOOKUP(_xlfn.CONCAT(U429,V429,W429,X429,M_BRAND_FC!$F$6),FC_DATA!$R$2:$AD$5000,MATCH("DISCOUNT_%_M",FC_DATA!$R$1:$AD$1,0),FALSE)))*AH429))</f>
        <v>#N/A</v>
      </c>
      <c r="AJ429" s="412" t="str">
        <f t="shared" ca="1" si="160"/>
        <v/>
      </c>
      <c r="AK429" s="413" t="str">
        <f>IFERROR(AE429/(Q_BRAND_FC!$T$24+1),"")</f>
        <v/>
      </c>
      <c r="AL429" s="88" t="str">
        <f t="shared" ca="1" si="161"/>
        <v/>
      </c>
      <c r="AM429" s="414" t="str">
        <f t="shared" ca="1" si="162"/>
        <v/>
      </c>
      <c r="AN429" s="58">
        <f>IFERROR(IF($V429="BRAND.com",HLOOKUP($X429&amp;$Z429,NWC_FC_NOOS!$C$4:$Q$23,MATCH(W429,NWC_FC_NOOS!$B$4:$B$23,0),FALSE),0),0)</f>
        <v>0</v>
      </c>
      <c r="AO429" s="57">
        <f>IFERROR(IF($V429="BRAND.com",HLOOKUP($X429&amp;$Z429,NWC_FC_NOOS!$T$4:$AH$23,MATCH(W429,NWC_FC_NOOS!$S$4:$S$23,0),FALSE),0),0)</f>
        <v>0</v>
      </c>
      <c r="AP429" s="57">
        <f>IFERROR(IF($V429="BRAND.com",HLOOKUP($X429&amp;$Z429,NWC_FC_NOOS!$C$50:$U$69,MATCH(W429,NWC_FC_NOOS!$B$50:$B$69,0),FALSE),0),0)</f>
        <v>0</v>
      </c>
      <c r="AQ429" s="58">
        <f>IFERROR(IF($V429="BRAND.com",HLOOKUP($X429&amp;$Z429,'NWC_FC_NON-NOOS'!$C$4:$Q$23,MATCH(W429,'NWC_FC_NON-NOOS'!$B$4:$B$23,0),FALSE),0),0)</f>
        <v>0</v>
      </c>
      <c r="AR429" s="57">
        <f>IFERROR(IF($V429="BRAND.com",HLOOKUP($X429&amp;$Z429,'NWC_FC_NON-NOOS'!$T$4:$AH$23,MATCH(W429,'NWC_FC_NON-NOOS'!$S$4:$S$23,0),FALSE),0),0)</f>
        <v>0</v>
      </c>
      <c r="AS429" s="57">
        <f>IFERROR(IF($V429="BRAND.com",HLOOKUP($X429&amp;$Z429,'NWC_FC_NON-NOOS'!$C$50:$U$69,MATCH(W429,'NWC_FC_NON-NOOS'!$B$50:$B$69,0),FALSE),0),0)</f>
        <v>0</v>
      </c>
      <c r="AT429" s="57">
        <f t="shared" si="164"/>
        <v>0</v>
      </c>
      <c r="AU429" s="57">
        <f t="shared" si="165"/>
        <v>0</v>
      </c>
      <c r="AV429" s="58">
        <f>IFERROR(IF($V429="BRAND.com",HLOOKUP($X429&amp;$Z429,PLANNING_FC!$BB$27:$BP$46,MATCH($W429,PLANNING_FC!$BA$27:$BA$46,0),FALSE),0),0)</f>
        <v>0</v>
      </c>
      <c r="AW429" s="58">
        <f>IFERROR(IF($V429="BRAND.com",HLOOKUP($X429&amp;$Z429,PLANNING_FC!$BB$4:$BP$23,MATCH($W429,PLANNING_FC!$BA$4:$BA$23,0),FALSE),0),0)</f>
        <v>0</v>
      </c>
      <c r="AX429" s="58">
        <f>IFERROR(IF($V429="BRAND.com",HLOOKUP($X429&amp;$Z429,PLANNING_FC!$T$27:$AH$46,MATCH($W429,PLANNING_FC!$B$27:$B$46,0),FALSE),0),0)</f>
        <v>0</v>
      </c>
      <c r="AY429" s="58">
        <f>IFERROR(IF($V429="BRAND.com",HLOOKUP($X429&amp;$Z429,PLANNING_FC!$T$4:$AH$23,MATCH($W429,PLANNING_FC!$B$4:$B$23,0),FALSE),0),0)</f>
        <v>0</v>
      </c>
      <c r="AZ429" s="58">
        <f>IFERROR(IF($V429="BRAND.com",HLOOKUP($X429&amp;$Z429,PLANNING_FC!$DA$27:$DO$46,MATCH($W429,PLANNING_FC!$CZ$27:$CZ$46,0),FALSE),0),0)</f>
        <v>0</v>
      </c>
      <c r="BA429" s="58">
        <f>IFERROR(IF($V429="BRAND.com",HLOOKUP($X429&amp;$Z429,PLANNING_FC!$DA$4:$DO$23,MATCH($W429,PLANNING_FC!$CZ$4:$CZ$23,0),FALSE),0),0)</f>
        <v>0</v>
      </c>
      <c r="BB429" s="883" t="str">
        <f>IF(V429="BRAND.com",IFERROR(HLOOKUP(X429&amp;Z429,PLANNING_FC!$AK$4:$AY$23,MATCH(W429,PLANNING_FC!$AJ$4:$AJ$23,0),FALSE)*1000,""),"")</f>
        <v/>
      </c>
      <c r="BC429" s="883" t="str">
        <f>IF(V429="BRAND.com",IFERROR(HLOOKUP(X429&amp;Z429,PLANNING_FC!$AK$27:$AY$46,MATCH(W429,PLANNING_FC!$AJ$27:$AJ$46,0),FALSE)*1000,""),"")</f>
        <v/>
      </c>
    </row>
    <row r="430" spans="1:55" x14ac:dyDescent="0.25">
      <c r="A430" s="509"/>
      <c r="B430" s="509"/>
      <c r="C430" s="509"/>
      <c r="D430" s="509"/>
      <c r="E430" s="509"/>
      <c r="F430" s="509"/>
      <c r="G430" s="509"/>
      <c r="H430" s="509"/>
      <c r="I430" s="512"/>
      <c r="J430" s="513"/>
      <c r="K430" s="879"/>
      <c r="L430" s="515"/>
      <c r="M430" s="516"/>
      <c r="N430" s="56">
        <f t="shared" si="146"/>
        <v>0</v>
      </c>
      <c r="O430" s="57">
        <f t="shared" si="147"/>
        <v>0</v>
      </c>
      <c r="P430" s="57">
        <f ca="1">IFERROR(IF(ISBLANK(H430),SUMIFS($AC:$AC,$V:$V,V430,$W:$W,W430,$X:$X,X430,$Y:$Y,Y430)*J430/(1-J430)*VLOOKUP(_xlfn.CONCAT(C430,D430,E430,TIME!$M$12,Z430),HIS_SALES!$B$2:$W$4859,20,FALSE),AC430*J430/(1-J430)),0)</f>
        <v>0</v>
      </c>
      <c r="Q430" s="541" t="str">
        <f t="shared" si="148"/>
        <v/>
      </c>
      <c r="R430" s="346" t="str">
        <f t="shared" si="149"/>
        <v>00000</v>
      </c>
      <c r="S430" s="344">
        <f t="shared" si="150"/>
        <v>0</v>
      </c>
      <c r="T430" s="345" t="str">
        <f t="shared" si="163"/>
        <v>000</v>
      </c>
      <c r="U430" s="345">
        <f t="shared" si="151"/>
        <v>0</v>
      </c>
      <c r="V430" s="345">
        <f t="shared" si="152"/>
        <v>0</v>
      </c>
      <c r="W430" s="345">
        <f t="shared" si="153"/>
        <v>0</v>
      </c>
      <c r="X430" s="345">
        <f t="shared" si="154"/>
        <v>0</v>
      </c>
      <c r="Y430" s="345">
        <f t="shared" si="155"/>
        <v>0</v>
      </c>
      <c r="Z430" s="345">
        <f>IF(Q430&lt;&gt;"",VLOOKUP(Y430,TIME!$R$21:$V$24,MATCH(FC_DATA!Q430,TIME!$R$20:$V$20,0),FALSE),H430)</f>
        <v>0</v>
      </c>
      <c r="AA430" s="345" t="str">
        <f>IFERROR(VLOOKUP(X430&amp;Z430,TIME!$A$12:$D$71,4,FALSE),"")</f>
        <v/>
      </c>
      <c r="AB430" s="592">
        <f t="shared" ca="1" si="156"/>
        <v>0</v>
      </c>
      <c r="AC430" s="593" t="e">
        <f ca="1">IF(ISBLANK(H430)=FALSE,IF(D430="BRAND.com",I430,IF(ISNA(VLOOKUP(_xlfn.CONCAT(X430,Z430),TIME!$M$40:$M$42,1,FALSE)),I430,VLOOKUP(_xlfn.CONCAT(D430,G430,H430),M_BUSAREA_FC!$AF$5:$AJ$10,5,FALSE)*HLOOKUP(_xlfn.CONCAT(F430,H430),ST_OVERVIEW!$G$99:$I$130,MATCH(_xlfn.CONCAT(D430,E430),ST_OVERVIEW!$F$99:$F$130,0),FALSE))),IF(D430="BRAND.com",VLOOKUP(_xlfn.CONCAT(C430,D430,E430,TIME!$F$1,Z430),HIS_SALES!$B$2:$V$4859,19,FALSE)*I430,VLOOKUP(_xlfn.CONCAT(D430,F430,G430),Q_BUSAREA_FC!$AE$5:$AI$12,5,FALSE)*HLOOKUP(_xlfn.CONCAT(FC_DATA!F430,FC_DATA!G430),LT_OVERVIEW!$I$99:$M$130,MATCH(_xlfn.CONCAT(D430,FC_DATA!E430),LT_OVERVIEW!$H$99:$H$130,0),FALSE)*IFERROR(VLOOKUP(_xlfn.CONCAT(C430,D430,E430,TIME!$F$1,Z430),HIS_SALES!$B$2:$V$4859,19,FALSE),0)))</f>
        <v>#N/A</v>
      </c>
      <c r="AD430" s="341">
        <f t="shared" ca="1" si="157"/>
        <v>0</v>
      </c>
      <c r="AE430" s="363" t="str">
        <f t="shared" si="158"/>
        <v/>
      </c>
      <c r="AF430" s="342" t="str">
        <f t="shared" si="159"/>
        <v/>
      </c>
      <c r="AG430" s="411" t="e">
        <f ca="1">VLOOKUP(_xlfn.CONCAT(U430,V430,W430,VLOOKUP(X430&amp;Y430,TIME!$L$27:$O$34,4,FALSE),Y430),HIS_SALES!$A$2:$R$5093,18,FALSE)</f>
        <v>#N/A</v>
      </c>
      <c r="AH430" s="412" t="e">
        <f ca="1">IFERROR(IF(AND(V430=V429,W430=W429),0.5*(AB430+AB429)*AG430,(VLOOKUP(_xlfn.CONCAT(U430,V430,W430,X430,VLOOKUP(Z430,TIME!$S$28:$T$39,2,FALSE)),FC_DATA!$R$2:$AB$5000,MATCH("GS_I_M",FC_DATA!$R$1:$AB$1,0),FALSE)+FC_DATA!AB430)*0.5*FC_DATA!AG430),NA())</f>
        <v>#N/A</v>
      </c>
      <c r="AI430" s="491" t="e">
        <f ca="1">IF(V430="PARTNER.com",AH430,IF(AND(V430=V429,W430=W429),(1-AVERAGE(AD429,AD430))*AH430,(1-AVERAGE(AD430,VLOOKUP(_xlfn.CONCAT(U430,V430,W430,X430,M_BRAND_FC!$F$6),FC_DATA!$R$2:$AD$5000,MATCH("DISCOUNT_%_M",FC_DATA!$R$1:$AD$1,0),FALSE)))*AH430))</f>
        <v>#N/A</v>
      </c>
      <c r="AJ430" s="412" t="str">
        <f t="shared" ca="1" si="160"/>
        <v/>
      </c>
      <c r="AK430" s="413" t="str">
        <f>IFERROR(AE430/(Q_BRAND_FC!$T$24+1),"")</f>
        <v/>
      </c>
      <c r="AL430" s="88" t="str">
        <f t="shared" ca="1" si="161"/>
        <v/>
      </c>
      <c r="AM430" s="414" t="str">
        <f t="shared" ca="1" si="162"/>
        <v/>
      </c>
      <c r="AN430" s="58">
        <f>IFERROR(IF($V430="BRAND.com",HLOOKUP($X430&amp;$Z430,NWC_FC_NOOS!$C$4:$Q$23,MATCH(W430,NWC_FC_NOOS!$B$4:$B$23,0),FALSE),0),0)</f>
        <v>0</v>
      </c>
      <c r="AO430" s="57">
        <f>IFERROR(IF($V430="BRAND.com",HLOOKUP($X430&amp;$Z430,NWC_FC_NOOS!$T$4:$AH$23,MATCH(W430,NWC_FC_NOOS!$S$4:$S$23,0),FALSE),0),0)</f>
        <v>0</v>
      </c>
      <c r="AP430" s="57">
        <f>IFERROR(IF($V430="BRAND.com",HLOOKUP($X430&amp;$Z430,NWC_FC_NOOS!$C$50:$U$69,MATCH(W430,NWC_FC_NOOS!$B$50:$B$69,0),FALSE),0),0)</f>
        <v>0</v>
      </c>
      <c r="AQ430" s="58">
        <f>IFERROR(IF($V430="BRAND.com",HLOOKUP($X430&amp;$Z430,'NWC_FC_NON-NOOS'!$C$4:$Q$23,MATCH(W430,'NWC_FC_NON-NOOS'!$B$4:$B$23,0),FALSE),0),0)</f>
        <v>0</v>
      </c>
      <c r="AR430" s="57">
        <f>IFERROR(IF($V430="BRAND.com",HLOOKUP($X430&amp;$Z430,'NWC_FC_NON-NOOS'!$T$4:$AH$23,MATCH(W430,'NWC_FC_NON-NOOS'!$S$4:$S$23,0),FALSE),0),0)</f>
        <v>0</v>
      </c>
      <c r="AS430" s="57">
        <f>IFERROR(IF($V430="BRAND.com",HLOOKUP($X430&amp;$Z430,'NWC_FC_NON-NOOS'!$C$50:$U$69,MATCH(W430,'NWC_FC_NON-NOOS'!$B$50:$B$69,0),FALSE),0),0)</f>
        <v>0</v>
      </c>
      <c r="AT430" s="57">
        <f t="shared" si="164"/>
        <v>0</v>
      </c>
      <c r="AU430" s="57">
        <f t="shared" si="165"/>
        <v>0</v>
      </c>
      <c r="AV430" s="58">
        <f>IFERROR(IF($V430="BRAND.com",HLOOKUP($X430&amp;$Z430,PLANNING_FC!$BB$27:$BP$46,MATCH($W430,PLANNING_FC!$BA$27:$BA$46,0),FALSE),0),0)</f>
        <v>0</v>
      </c>
      <c r="AW430" s="58">
        <f>IFERROR(IF($V430="BRAND.com",HLOOKUP($X430&amp;$Z430,PLANNING_FC!$BB$4:$BP$23,MATCH($W430,PLANNING_FC!$BA$4:$BA$23,0),FALSE),0),0)</f>
        <v>0</v>
      </c>
      <c r="AX430" s="58">
        <f>IFERROR(IF($V430="BRAND.com",HLOOKUP($X430&amp;$Z430,PLANNING_FC!$T$27:$AH$46,MATCH($W430,PLANNING_FC!$B$27:$B$46,0),FALSE),0),0)</f>
        <v>0</v>
      </c>
      <c r="AY430" s="58">
        <f>IFERROR(IF($V430="BRAND.com",HLOOKUP($X430&amp;$Z430,PLANNING_FC!$T$4:$AH$23,MATCH($W430,PLANNING_FC!$B$4:$B$23,0),FALSE),0),0)</f>
        <v>0</v>
      </c>
      <c r="AZ430" s="58">
        <f>IFERROR(IF($V430="BRAND.com",HLOOKUP($X430&amp;$Z430,PLANNING_FC!$DA$27:$DO$46,MATCH($W430,PLANNING_FC!$CZ$27:$CZ$46,0),FALSE),0),0)</f>
        <v>0</v>
      </c>
      <c r="BA430" s="58">
        <f>IFERROR(IF($V430="BRAND.com",HLOOKUP($X430&amp;$Z430,PLANNING_FC!$DA$4:$DO$23,MATCH($W430,PLANNING_FC!$CZ$4:$CZ$23,0),FALSE),0),0)</f>
        <v>0</v>
      </c>
      <c r="BB430" s="883" t="str">
        <f>IF(V430="BRAND.com",IFERROR(HLOOKUP(X430&amp;Z430,PLANNING_FC!$AK$4:$AY$23,MATCH(W430,PLANNING_FC!$AJ$4:$AJ$23,0),FALSE)*1000,""),"")</f>
        <v/>
      </c>
      <c r="BC430" s="883" t="str">
        <f>IF(V430="BRAND.com",IFERROR(HLOOKUP(X430&amp;Z430,PLANNING_FC!$AK$27:$AY$46,MATCH(W430,PLANNING_FC!$AJ$27:$AJ$46,0),FALSE)*1000,""),"")</f>
        <v/>
      </c>
    </row>
    <row r="431" spans="1:55" x14ac:dyDescent="0.25">
      <c r="A431" s="509"/>
      <c r="B431" s="509"/>
      <c r="C431" s="509"/>
      <c r="D431" s="509"/>
      <c r="E431" s="509"/>
      <c r="F431" s="509"/>
      <c r="G431" s="509"/>
      <c r="H431" s="509"/>
      <c r="I431" s="512"/>
      <c r="J431" s="513"/>
      <c r="K431" s="879"/>
      <c r="L431" s="515"/>
      <c r="M431" s="516"/>
      <c r="N431" s="56">
        <f t="shared" si="146"/>
        <v>0</v>
      </c>
      <c r="O431" s="57">
        <f t="shared" si="147"/>
        <v>0</v>
      </c>
      <c r="P431" s="57">
        <f ca="1">IFERROR(IF(ISBLANK(H431),SUMIFS($AC:$AC,$V:$V,V431,$W:$W,W431,$X:$X,X431,$Y:$Y,Y431)*J431/(1-J431)*VLOOKUP(_xlfn.CONCAT(C431,D431,E431,TIME!$M$12,Z431),HIS_SALES!$B$2:$W$4859,20,FALSE),AC431*J431/(1-J431)),0)</f>
        <v>0</v>
      </c>
      <c r="Q431" s="541" t="str">
        <f t="shared" si="148"/>
        <v/>
      </c>
      <c r="R431" s="346" t="str">
        <f t="shared" si="149"/>
        <v>00000</v>
      </c>
      <c r="S431" s="344">
        <f t="shared" si="150"/>
        <v>0</v>
      </c>
      <c r="T431" s="345" t="str">
        <f t="shared" si="163"/>
        <v>000</v>
      </c>
      <c r="U431" s="345">
        <f t="shared" si="151"/>
        <v>0</v>
      </c>
      <c r="V431" s="345">
        <f t="shared" si="152"/>
        <v>0</v>
      </c>
      <c r="W431" s="345">
        <f t="shared" si="153"/>
        <v>0</v>
      </c>
      <c r="X431" s="345">
        <f t="shared" si="154"/>
        <v>0</v>
      </c>
      <c r="Y431" s="345">
        <f t="shared" si="155"/>
        <v>0</v>
      </c>
      <c r="Z431" s="345">
        <f>IF(Q431&lt;&gt;"",VLOOKUP(Y431,TIME!$R$21:$V$24,MATCH(FC_DATA!Q431,TIME!$R$20:$V$20,0),FALSE),H431)</f>
        <v>0</v>
      </c>
      <c r="AA431" s="345" t="str">
        <f>IFERROR(VLOOKUP(X431&amp;Z431,TIME!$A$12:$D$71,4,FALSE),"")</f>
        <v/>
      </c>
      <c r="AB431" s="592">
        <f t="shared" ca="1" si="156"/>
        <v>0</v>
      </c>
      <c r="AC431" s="593" t="e">
        <f ca="1">IF(ISBLANK(H431)=FALSE,IF(D431="BRAND.com",I431,IF(ISNA(VLOOKUP(_xlfn.CONCAT(X431,Z431),TIME!$M$40:$M$42,1,FALSE)),I431,VLOOKUP(_xlfn.CONCAT(D431,G431,H431),M_BUSAREA_FC!$AF$5:$AJ$10,5,FALSE)*HLOOKUP(_xlfn.CONCAT(F431,H431),ST_OVERVIEW!$G$99:$I$130,MATCH(_xlfn.CONCAT(D431,E431),ST_OVERVIEW!$F$99:$F$130,0),FALSE))),IF(D431="BRAND.com",VLOOKUP(_xlfn.CONCAT(C431,D431,E431,TIME!$F$1,Z431),HIS_SALES!$B$2:$V$4859,19,FALSE)*I431,VLOOKUP(_xlfn.CONCAT(D431,F431,G431),Q_BUSAREA_FC!$AE$5:$AI$12,5,FALSE)*HLOOKUP(_xlfn.CONCAT(FC_DATA!F431,FC_DATA!G431),LT_OVERVIEW!$I$99:$M$130,MATCH(_xlfn.CONCAT(D431,FC_DATA!E431),LT_OVERVIEW!$H$99:$H$130,0),FALSE)*IFERROR(VLOOKUP(_xlfn.CONCAT(C431,D431,E431,TIME!$F$1,Z431),HIS_SALES!$B$2:$V$4859,19,FALSE),0)))</f>
        <v>#N/A</v>
      </c>
      <c r="AD431" s="341">
        <f t="shared" ca="1" si="157"/>
        <v>0</v>
      </c>
      <c r="AE431" s="363" t="str">
        <f t="shared" si="158"/>
        <v/>
      </c>
      <c r="AF431" s="342" t="str">
        <f t="shared" si="159"/>
        <v/>
      </c>
      <c r="AG431" s="411" t="e">
        <f ca="1">VLOOKUP(_xlfn.CONCAT(U431,V431,W431,VLOOKUP(X431&amp;Y431,TIME!$L$27:$O$34,4,FALSE),Y431),HIS_SALES!$A$2:$R$5093,18,FALSE)</f>
        <v>#N/A</v>
      </c>
      <c r="AH431" s="412" t="e">
        <f ca="1">IFERROR(IF(AND(V431=V430,W431=W430),0.5*(AB431+AB430)*AG431,(VLOOKUP(_xlfn.CONCAT(U431,V431,W431,X431,VLOOKUP(Z431,TIME!$S$28:$T$39,2,FALSE)),FC_DATA!$R$2:$AB$5000,MATCH("GS_I_M",FC_DATA!$R$1:$AB$1,0),FALSE)+FC_DATA!AB431)*0.5*FC_DATA!AG431),NA())</f>
        <v>#N/A</v>
      </c>
      <c r="AI431" s="491" t="e">
        <f ca="1">IF(V431="PARTNER.com",AH431,IF(AND(V431=V430,W431=W430),(1-AVERAGE(AD430,AD431))*AH431,(1-AVERAGE(AD431,VLOOKUP(_xlfn.CONCAT(U431,V431,W431,X431,M_BRAND_FC!$F$6),FC_DATA!$R$2:$AD$5000,MATCH("DISCOUNT_%_M",FC_DATA!$R$1:$AD$1,0),FALSE)))*AH431))</f>
        <v>#N/A</v>
      </c>
      <c r="AJ431" s="412" t="str">
        <f t="shared" ca="1" si="160"/>
        <v/>
      </c>
      <c r="AK431" s="413" t="str">
        <f>IFERROR(AE431/(Q_BRAND_FC!$T$24+1),"")</f>
        <v/>
      </c>
      <c r="AL431" s="88" t="str">
        <f t="shared" ca="1" si="161"/>
        <v/>
      </c>
      <c r="AM431" s="414" t="str">
        <f t="shared" ca="1" si="162"/>
        <v/>
      </c>
      <c r="AN431" s="58">
        <f>IFERROR(IF($V431="BRAND.com",HLOOKUP($X431&amp;$Z431,NWC_FC_NOOS!$C$4:$Q$23,MATCH(W431,NWC_FC_NOOS!$B$4:$B$23,0),FALSE),0),0)</f>
        <v>0</v>
      </c>
      <c r="AO431" s="57">
        <f>IFERROR(IF($V431="BRAND.com",HLOOKUP($X431&amp;$Z431,NWC_FC_NOOS!$T$4:$AH$23,MATCH(W431,NWC_FC_NOOS!$S$4:$S$23,0),FALSE),0),0)</f>
        <v>0</v>
      </c>
      <c r="AP431" s="57">
        <f>IFERROR(IF($V431="BRAND.com",HLOOKUP($X431&amp;$Z431,NWC_FC_NOOS!$C$50:$U$69,MATCH(W431,NWC_FC_NOOS!$B$50:$B$69,0),FALSE),0),0)</f>
        <v>0</v>
      </c>
      <c r="AQ431" s="58">
        <f>IFERROR(IF($V431="BRAND.com",HLOOKUP($X431&amp;$Z431,'NWC_FC_NON-NOOS'!$C$4:$Q$23,MATCH(W431,'NWC_FC_NON-NOOS'!$B$4:$B$23,0),FALSE),0),0)</f>
        <v>0</v>
      </c>
      <c r="AR431" s="57">
        <f>IFERROR(IF($V431="BRAND.com",HLOOKUP($X431&amp;$Z431,'NWC_FC_NON-NOOS'!$T$4:$AH$23,MATCH(W431,'NWC_FC_NON-NOOS'!$S$4:$S$23,0),FALSE),0),0)</f>
        <v>0</v>
      </c>
      <c r="AS431" s="57">
        <f>IFERROR(IF($V431="BRAND.com",HLOOKUP($X431&amp;$Z431,'NWC_FC_NON-NOOS'!$C$50:$U$69,MATCH(W431,'NWC_FC_NON-NOOS'!$B$50:$B$69,0),FALSE),0),0)</f>
        <v>0</v>
      </c>
      <c r="AT431" s="57">
        <f t="shared" si="164"/>
        <v>0</v>
      </c>
      <c r="AU431" s="57">
        <f t="shared" si="165"/>
        <v>0</v>
      </c>
      <c r="AV431" s="58">
        <f>IFERROR(IF($V431="BRAND.com",HLOOKUP($X431&amp;$Z431,PLANNING_FC!$BB$27:$BP$46,MATCH($W431,PLANNING_FC!$BA$27:$BA$46,0),FALSE),0),0)</f>
        <v>0</v>
      </c>
      <c r="AW431" s="58">
        <f>IFERROR(IF($V431="BRAND.com",HLOOKUP($X431&amp;$Z431,PLANNING_FC!$BB$4:$BP$23,MATCH($W431,PLANNING_FC!$BA$4:$BA$23,0),FALSE),0),0)</f>
        <v>0</v>
      </c>
      <c r="AX431" s="58">
        <f>IFERROR(IF($V431="BRAND.com",HLOOKUP($X431&amp;$Z431,PLANNING_FC!$T$27:$AH$46,MATCH($W431,PLANNING_FC!$B$27:$B$46,0),FALSE),0),0)</f>
        <v>0</v>
      </c>
      <c r="AY431" s="58">
        <f>IFERROR(IF($V431="BRAND.com",HLOOKUP($X431&amp;$Z431,PLANNING_FC!$T$4:$AH$23,MATCH($W431,PLANNING_FC!$B$4:$B$23,0),FALSE),0),0)</f>
        <v>0</v>
      </c>
      <c r="AZ431" s="58">
        <f>IFERROR(IF($V431="BRAND.com",HLOOKUP($X431&amp;$Z431,PLANNING_FC!$DA$27:$DO$46,MATCH($W431,PLANNING_FC!$CZ$27:$CZ$46,0),FALSE),0),0)</f>
        <v>0</v>
      </c>
      <c r="BA431" s="58">
        <f>IFERROR(IF($V431="BRAND.com",HLOOKUP($X431&amp;$Z431,PLANNING_FC!$DA$4:$DO$23,MATCH($W431,PLANNING_FC!$CZ$4:$CZ$23,0),FALSE),0),0)</f>
        <v>0</v>
      </c>
      <c r="BB431" s="883" t="str">
        <f>IF(V431="BRAND.com",IFERROR(HLOOKUP(X431&amp;Z431,PLANNING_FC!$AK$4:$AY$23,MATCH(W431,PLANNING_FC!$AJ$4:$AJ$23,0),FALSE)*1000,""),"")</f>
        <v/>
      </c>
      <c r="BC431" s="883" t="str">
        <f>IF(V431="BRAND.com",IFERROR(HLOOKUP(X431&amp;Z431,PLANNING_FC!$AK$27:$AY$46,MATCH(W431,PLANNING_FC!$AJ$27:$AJ$46,0),FALSE)*1000,""),"")</f>
        <v/>
      </c>
    </row>
    <row r="432" spans="1:55" x14ac:dyDescent="0.25">
      <c r="A432" s="509"/>
      <c r="B432" s="509"/>
      <c r="C432" s="509"/>
      <c r="D432" s="509"/>
      <c r="E432" s="509"/>
      <c r="F432" s="509"/>
      <c r="G432" s="509"/>
      <c r="H432" s="509"/>
      <c r="I432" s="512"/>
      <c r="J432" s="513"/>
      <c r="K432" s="879"/>
      <c r="L432" s="515"/>
      <c r="M432" s="516"/>
      <c r="N432" s="56">
        <f t="shared" si="146"/>
        <v>0</v>
      </c>
      <c r="O432" s="57">
        <f t="shared" si="147"/>
        <v>0</v>
      </c>
      <c r="P432" s="57">
        <f ca="1">IFERROR(IF(ISBLANK(H432),SUMIFS($AC:$AC,$V:$V,V432,$W:$W,W432,$X:$X,X432,$Y:$Y,Y432)*J432/(1-J432)*VLOOKUP(_xlfn.CONCAT(C432,D432,E432,TIME!$M$12,Z432),HIS_SALES!$B$2:$W$4859,20,FALSE),AC432*J432/(1-J432)),0)</f>
        <v>0</v>
      </c>
      <c r="Q432" s="541" t="str">
        <f t="shared" si="148"/>
        <v/>
      </c>
      <c r="R432" s="346" t="str">
        <f t="shared" si="149"/>
        <v>00000</v>
      </c>
      <c r="S432" s="344">
        <f t="shared" si="150"/>
        <v>0</v>
      </c>
      <c r="T432" s="345" t="str">
        <f t="shared" si="163"/>
        <v>000</v>
      </c>
      <c r="U432" s="345">
        <f t="shared" si="151"/>
        <v>0</v>
      </c>
      <c r="V432" s="345">
        <f t="shared" si="152"/>
        <v>0</v>
      </c>
      <c r="W432" s="345">
        <f t="shared" si="153"/>
        <v>0</v>
      </c>
      <c r="X432" s="345">
        <f t="shared" si="154"/>
        <v>0</v>
      </c>
      <c r="Y432" s="345">
        <f t="shared" si="155"/>
        <v>0</v>
      </c>
      <c r="Z432" s="345">
        <f>IF(Q432&lt;&gt;"",VLOOKUP(Y432,TIME!$R$21:$V$24,MATCH(FC_DATA!Q432,TIME!$R$20:$V$20,0),FALSE),H432)</f>
        <v>0</v>
      </c>
      <c r="AA432" s="345" t="str">
        <f>IFERROR(VLOOKUP(X432&amp;Z432,TIME!$A$12:$D$71,4,FALSE),"")</f>
        <v/>
      </c>
      <c r="AB432" s="592">
        <f t="shared" ca="1" si="156"/>
        <v>0</v>
      </c>
      <c r="AC432" s="593" t="e">
        <f ca="1">IF(ISBLANK(H432)=FALSE,IF(D432="BRAND.com",I432,IF(ISNA(VLOOKUP(_xlfn.CONCAT(X432,Z432),TIME!$M$40:$M$42,1,FALSE)),I432,VLOOKUP(_xlfn.CONCAT(D432,G432,H432),M_BUSAREA_FC!$AF$5:$AJ$10,5,FALSE)*HLOOKUP(_xlfn.CONCAT(F432,H432),ST_OVERVIEW!$G$99:$I$130,MATCH(_xlfn.CONCAT(D432,E432),ST_OVERVIEW!$F$99:$F$130,0),FALSE))),IF(D432="BRAND.com",VLOOKUP(_xlfn.CONCAT(C432,D432,E432,TIME!$F$1,Z432),HIS_SALES!$B$2:$V$4859,19,FALSE)*I432,VLOOKUP(_xlfn.CONCAT(D432,F432,G432),Q_BUSAREA_FC!$AE$5:$AI$12,5,FALSE)*HLOOKUP(_xlfn.CONCAT(FC_DATA!F432,FC_DATA!G432),LT_OVERVIEW!$I$99:$M$130,MATCH(_xlfn.CONCAT(D432,FC_DATA!E432),LT_OVERVIEW!$H$99:$H$130,0),FALSE)*IFERROR(VLOOKUP(_xlfn.CONCAT(C432,D432,E432,TIME!$F$1,Z432),HIS_SALES!$B$2:$V$4859,19,FALSE),0)))</f>
        <v>#N/A</v>
      </c>
      <c r="AD432" s="341">
        <f t="shared" ca="1" si="157"/>
        <v>0</v>
      </c>
      <c r="AE432" s="363" t="str">
        <f t="shared" si="158"/>
        <v/>
      </c>
      <c r="AF432" s="342" t="str">
        <f t="shared" si="159"/>
        <v/>
      </c>
      <c r="AG432" s="411" t="e">
        <f ca="1">VLOOKUP(_xlfn.CONCAT(U432,V432,W432,VLOOKUP(X432&amp;Y432,TIME!$L$27:$O$34,4,FALSE),Y432),HIS_SALES!$A$2:$R$5093,18,FALSE)</f>
        <v>#N/A</v>
      </c>
      <c r="AH432" s="412" t="e">
        <f ca="1">IFERROR(IF(AND(V432=V431,W432=W431),0.5*(AB432+AB431)*AG432,(VLOOKUP(_xlfn.CONCAT(U432,V432,W432,X432,VLOOKUP(Z432,TIME!$S$28:$T$39,2,FALSE)),FC_DATA!$R$2:$AB$5000,MATCH("GS_I_M",FC_DATA!$R$1:$AB$1,0),FALSE)+FC_DATA!AB432)*0.5*FC_DATA!AG432),NA())</f>
        <v>#N/A</v>
      </c>
      <c r="AI432" s="491" t="e">
        <f ca="1">IF(V432="PARTNER.com",AH432,IF(AND(V432=V431,W432=W431),(1-AVERAGE(AD431,AD432))*AH432,(1-AVERAGE(AD432,VLOOKUP(_xlfn.CONCAT(U432,V432,W432,X432,M_BRAND_FC!$F$6),FC_DATA!$R$2:$AD$5000,MATCH("DISCOUNT_%_M",FC_DATA!$R$1:$AD$1,0),FALSE)))*AH432))</f>
        <v>#N/A</v>
      </c>
      <c r="AJ432" s="412" t="str">
        <f t="shared" ca="1" si="160"/>
        <v/>
      </c>
      <c r="AK432" s="413" t="str">
        <f>IFERROR(AE432/(Q_BRAND_FC!$T$24+1),"")</f>
        <v/>
      </c>
      <c r="AL432" s="88" t="str">
        <f t="shared" ca="1" si="161"/>
        <v/>
      </c>
      <c r="AM432" s="414" t="str">
        <f t="shared" ca="1" si="162"/>
        <v/>
      </c>
      <c r="AN432" s="58">
        <f>IFERROR(IF($V432="BRAND.com",HLOOKUP($X432&amp;$Z432,NWC_FC_NOOS!$C$4:$Q$23,MATCH(W432,NWC_FC_NOOS!$B$4:$B$23,0),FALSE),0),0)</f>
        <v>0</v>
      </c>
      <c r="AO432" s="57">
        <f>IFERROR(IF($V432="BRAND.com",HLOOKUP($X432&amp;$Z432,NWC_FC_NOOS!$T$4:$AH$23,MATCH(W432,NWC_FC_NOOS!$S$4:$S$23,0),FALSE),0),0)</f>
        <v>0</v>
      </c>
      <c r="AP432" s="57">
        <f>IFERROR(IF($V432="BRAND.com",HLOOKUP($X432&amp;$Z432,NWC_FC_NOOS!$C$50:$U$69,MATCH(W432,NWC_FC_NOOS!$B$50:$B$69,0),FALSE),0),0)</f>
        <v>0</v>
      </c>
      <c r="AQ432" s="58">
        <f>IFERROR(IF($V432="BRAND.com",HLOOKUP($X432&amp;$Z432,'NWC_FC_NON-NOOS'!$C$4:$Q$23,MATCH(W432,'NWC_FC_NON-NOOS'!$B$4:$B$23,0),FALSE),0),0)</f>
        <v>0</v>
      </c>
      <c r="AR432" s="57">
        <f>IFERROR(IF($V432="BRAND.com",HLOOKUP($X432&amp;$Z432,'NWC_FC_NON-NOOS'!$T$4:$AH$23,MATCH(W432,'NWC_FC_NON-NOOS'!$S$4:$S$23,0),FALSE),0),0)</f>
        <v>0</v>
      </c>
      <c r="AS432" s="57">
        <f>IFERROR(IF($V432="BRAND.com",HLOOKUP($X432&amp;$Z432,'NWC_FC_NON-NOOS'!$C$50:$U$69,MATCH(W432,'NWC_FC_NON-NOOS'!$B$50:$B$69,0),FALSE),0),0)</f>
        <v>0</v>
      </c>
      <c r="AT432" s="57">
        <f t="shared" si="164"/>
        <v>0</v>
      </c>
      <c r="AU432" s="57">
        <f t="shared" si="165"/>
        <v>0</v>
      </c>
      <c r="AV432" s="58">
        <f>IFERROR(IF($V432="BRAND.com",HLOOKUP($X432&amp;$Z432,PLANNING_FC!$BB$27:$BP$46,MATCH($W432,PLANNING_FC!$BA$27:$BA$46,0),FALSE),0),0)</f>
        <v>0</v>
      </c>
      <c r="AW432" s="58">
        <f>IFERROR(IF($V432="BRAND.com",HLOOKUP($X432&amp;$Z432,PLANNING_FC!$BB$4:$BP$23,MATCH($W432,PLANNING_FC!$BA$4:$BA$23,0),FALSE),0),0)</f>
        <v>0</v>
      </c>
      <c r="AX432" s="58">
        <f>IFERROR(IF($V432="BRAND.com",HLOOKUP($X432&amp;$Z432,PLANNING_FC!$T$27:$AH$46,MATCH($W432,PLANNING_FC!$B$27:$B$46,0),FALSE),0),0)</f>
        <v>0</v>
      </c>
      <c r="AY432" s="58">
        <f>IFERROR(IF($V432="BRAND.com",HLOOKUP($X432&amp;$Z432,PLANNING_FC!$T$4:$AH$23,MATCH($W432,PLANNING_FC!$B$4:$B$23,0),FALSE),0),0)</f>
        <v>0</v>
      </c>
      <c r="AZ432" s="58">
        <f>IFERROR(IF($V432="BRAND.com",HLOOKUP($X432&amp;$Z432,PLANNING_FC!$DA$27:$DO$46,MATCH($W432,PLANNING_FC!$CZ$27:$CZ$46,0),FALSE),0),0)</f>
        <v>0</v>
      </c>
      <c r="BA432" s="58">
        <f>IFERROR(IF($V432="BRAND.com",HLOOKUP($X432&amp;$Z432,PLANNING_FC!$DA$4:$DO$23,MATCH($W432,PLANNING_FC!$CZ$4:$CZ$23,0),FALSE),0),0)</f>
        <v>0</v>
      </c>
      <c r="BB432" s="883" t="str">
        <f>IF(V432="BRAND.com",IFERROR(HLOOKUP(X432&amp;Z432,PLANNING_FC!$AK$4:$AY$23,MATCH(W432,PLANNING_FC!$AJ$4:$AJ$23,0),FALSE)*1000,""),"")</f>
        <v/>
      </c>
      <c r="BC432" s="883" t="str">
        <f>IF(V432="BRAND.com",IFERROR(HLOOKUP(X432&amp;Z432,PLANNING_FC!$AK$27:$AY$46,MATCH(W432,PLANNING_FC!$AJ$27:$AJ$46,0),FALSE)*1000,""),"")</f>
        <v/>
      </c>
    </row>
    <row r="433" spans="1:55" x14ac:dyDescent="0.25">
      <c r="A433" s="509"/>
      <c r="B433" s="509"/>
      <c r="C433" s="509"/>
      <c r="D433" s="509"/>
      <c r="E433" s="509"/>
      <c r="F433" s="509"/>
      <c r="G433" s="509"/>
      <c r="H433" s="509"/>
      <c r="I433" s="512"/>
      <c r="J433" s="513"/>
      <c r="K433" s="879"/>
      <c r="L433" s="515"/>
      <c r="M433" s="516"/>
      <c r="N433" s="56">
        <f t="shared" si="146"/>
        <v>0</v>
      </c>
      <c r="O433" s="57">
        <f t="shared" si="147"/>
        <v>0</v>
      </c>
      <c r="P433" s="57">
        <f ca="1">IFERROR(IF(ISBLANK(H433),SUMIFS($AC:$AC,$V:$V,V433,$W:$W,W433,$X:$X,X433,$Y:$Y,Y433)*J433/(1-J433)*VLOOKUP(_xlfn.CONCAT(C433,D433,E433,TIME!$M$12,Z433),HIS_SALES!$B$2:$W$4859,20,FALSE),AC433*J433/(1-J433)),0)</f>
        <v>0</v>
      </c>
      <c r="Q433" s="541" t="str">
        <f t="shared" si="148"/>
        <v/>
      </c>
      <c r="R433" s="346" t="str">
        <f t="shared" si="149"/>
        <v>00000</v>
      </c>
      <c r="S433" s="344">
        <f t="shared" si="150"/>
        <v>0</v>
      </c>
      <c r="T433" s="345" t="str">
        <f t="shared" si="163"/>
        <v>000</v>
      </c>
      <c r="U433" s="345">
        <f t="shared" si="151"/>
        <v>0</v>
      </c>
      <c r="V433" s="345">
        <f t="shared" si="152"/>
        <v>0</v>
      </c>
      <c r="W433" s="345">
        <f t="shared" si="153"/>
        <v>0</v>
      </c>
      <c r="X433" s="345">
        <f t="shared" si="154"/>
        <v>0</v>
      </c>
      <c r="Y433" s="345">
        <f t="shared" si="155"/>
        <v>0</v>
      </c>
      <c r="Z433" s="345">
        <f>IF(Q433&lt;&gt;"",VLOOKUP(Y433,TIME!$R$21:$V$24,MATCH(FC_DATA!Q433,TIME!$R$20:$V$20,0),FALSE),H433)</f>
        <v>0</v>
      </c>
      <c r="AA433" s="345" t="str">
        <f>IFERROR(VLOOKUP(X433&amp;Z433,TIME!$A$12:$D$71,4,FALSE),"")</f>
        <v/>
      </c>
      <c r="AB433" s="592">
        <f t="shared" ca="1" si="156"/>
        <v>0</v>
      </c>
      <c r="AC433" s="593" t="e">
        <f ca="1">IF(ISBLANK(H433)=FALSE,IF(D433="BRAND.com",I433,IF(ISNA(VLOOKUP(_xlfn.CONCAT(X433,Z433),TIME!$M$40:$M$42,1,FALSE)),I433,VLOOKUP(_xlfn.CONCAT(D433,G433,H433),M_BUSAREA_FC!$AF$5:$AJ$10,5,FALSE)*HLOOKUP(_xlfn.CONCAT(F433,H433),ST_OVERVIEW!$G$99:$I$130,MATCH(_xlfn.CONCAT(D433,E433),ST_OVERVIEW!$F$99:$F$130,0),FALSE))),IF(D433="BRAND.com",VLOOKUP(_xlfn.CONCAT(C433,D433,E433,TIME!$F$1,Z433),HIS_SALES!$B$2:$V$4859,19,FALSE)*I433,VLOOKUP(_xlfn.CONCAT(D433,F433,G433),Q_BUSAREA_FC!$AE$5:$AI$12,5,FALSE)*HLOOKUP(_xlfn.CONCAT(FC_DATA!F433,FC_DATA!G433),LT_OVERVIEW!$I$99:$M$130,MATCH(_xlfn.CONCAT(D433,FC_DATA!E433),LT_OVERVIEW!$H$99:$H$130,0),FALSE)*IFERROR(VLOOKUP(_xlfn.CONCAT(C433,D433,E433,TIME!$F$1,Z433),HIS_SALES!$B$2:$V$4859,19,FALSE),0)))</f>
        <v>#N/A</v>
      </c>
      <c r="AD433" s="341">
        <f t="shared" ca="1" si="157"/>
        <v>0</v>
      </c>
      <c r="AE433" s="363" t="str">
        <f t="shared" si="158"/>
        <v/>
      </c>
      <c r="AF433" s="342" t="str">
        <f t="shared" si="159"/>
        <v/>
      </c>
      <c r="AG433" s="411" t="e">
        <f ca="1">VLOOKUP(_xlfn.CONCAT(U433,V433,W433,VLOOKUP(X433&amp;Y433,TIME!$L$27:$O$34,4,FALSE),Y433),HIS_SALES!$A$2:$R$5093,18,FALSE)</f>
        <v>#N/A</v>
      </c>
      <c r="AH433" s="412" t="e">
        <f ca="1">IFERROR(IF(AND(V433=V432,W433=W432),0.5*(AB433+AB432)*AG433,(VLOOKUP(_xlfn.CONCAT(U433,V433,W433,X433,VLOOKUP(Z433,TIME!$S$28:$T$39,2,FALSE)),FC_DATA!$R$2:$AB$5000,MATCH("GS_I_M",FC_DATA!$R$1:$AB$1,0),FALSE)+FC_DATA!AB433)*0.5*FC_DATA!AG433),NA())</f>
        <v>#N/A</v>
      </c>
      <c r="AI433" s="491" t="e">
        <f ca="1">IF(V433="PARTNER.com",AH433,IF(AND(V433=V432,W433=W432),(1-AVERAGE(AD432,AD433))*AH433,(1-AVERAGE(AD433,VLOOKUP(_xlfn.CONCAT(U433,V433,W433,X433,M_BRAND_FC!$F$6),FC_DATA!$R$2:$AD$5000,MATCH("DISCOUNT_%_M",FC_DATA!$R$1:$AD$1,0),FALSE)))*AH433))</f>
        <v>#N/A</v>
      </c>
      <c r="AJ433" s="412" t="str">
        <f t="shared" ca="1" si="160"/>
        <v/>
      </c>
      <c r="AK433" s="413" t="str">
        <f>IFERROR(AE433/(Q_BRAND_FC!$T$24+1),"")</f>
        <v/>
      </c>
      <c r="AL433" s="88" t="str">
        <f t="shared" ca="1" si="161"/>
        <v/>
      </c>
      <c r="AM433" s="414" t="str">
        <f t="shared" ca="1" si="162"/>
        <v/>
      </c>
      <c r="AN433" s="58">
        <f>IFERROR(IF($V433="BRAND.com",HLOOKUP($X433&amp;$Z433,NWC_FC_NOOS!$C$4:$Q$23,MATCH(W433,NWC_FC_NOOS!$B$4:$B$23,0),FALSE),0),0)</f>
        <v>0</v>
      </c>
      <c r="AO433" s="57">
        <f>IFERROR(IF($V433="BRAND.com",HLOOKUP($X433&amp;$Z433,NWC_FC_NOOS!$T$4:$AH$23,MATCH(W433,NWC_FC_NOOS!$S$4:$S$23,0),FALSE),0),0)</f>
        <v>0</v>
      </c>
      <c r="AP433" s="57">
        <f>IFERROR(IF($V433="BRAND.com",HLOOKUP($X433&amp;$Z433,NWC_FC_NOOS!$C$50:$U$69,MATCH(W433,NWC_FC_NOOS!$B$50:$B$69,0),FALSE),0),0)</f>
        <v>0</v>
      </c>
      <c r="AQ433" s="58">
        <f>IFERROR(IF($V433="BRAND.com",HLOOKUP($X433&amp;$Z433,'NWC_FC_NON-NOOS'!$C$4:$Q$23,MATCH(W433,'NWC_FC_NON-NOOS'!$B$4:$B$23,0),FALSE),0),0)</f>
        <v>0</v>
      </c>
      <c r="AR433" s="57">
        <f>IFERROR(IF($V433="BRAND.com",HLOOKUP($X433&amp;$Z433,'NWC_FC_NON-NOOS'!$T$4:$AH$23,MATCH(W433,'NWC_FC_NON-NOOS'!$S$4:$S$23,0),FALSE),0),0)</f>
        <v>0</v>
      </c>
      <c r="AS433" s="57">
        <f>IFERROR(IF($V433="BRAND.com",HLOOKUP($X433&amp;$Z433,'NWC_FC_NON-NOOS'!$C$50:$U$69,MATCH(W433,'NWC_FC_NON-NOOS'!$B$50:$B$69,0),FALSE),0),0)</f>
        <v>0</v>
      </c>
      <c r="AT433" s="57">
        <f t="shared" si="164"/>
        <v>0</v>
      </c>
      <c r="AU433" s="57">
        <f t="shared" si="165"/>
        <v>0</v>
      </c>
      <c r="AV433" s="58">
        <f>IFERROR(IF($V433="BRAND.com",HLOOKUP($X433&amp;$Z433,PLANNING_FC!$BB$27:$BP$46,MATCH($W433,PLANNING_FC!$BA$27:$BA$46,0),FALSE),0),0)</f>
        <v>0</v>
      </c>
      <c r="AW433" s="58">
        <f>IFERROR(IF($V433="BRAND.com",HLOOKUP($X433&amp;$Z433,PLANNING_FC!$BB$4:$BP$23,MATCH($W433,PLANNING_FC!$BA$4:$BA$23,0),FALSE),0),0)</f>
        <v>0</v>
      </c>
      <c r="AX433" s="58">
        <f>IFERROR(IF($V433="BRAND.com",HLOOKUP($X433&amp;$Z433,PLANNING_FC!$T$27:$AH$46,MATCH($W433,PLANNING_FC!$B$27:$B$46,0),FALSE),0),0)</f>
        <v>0</v>
      </c>
      <c r="AY433" s="58">
        <f>IFERROR(IF($V433="BRAND.com",HLOOKUP($X433&amp;$Z433,PLANNING_FC!$T$4:$AH$23,MATCH($W433,PLANNING_FC!$B$4:$B$23,0),FALSE),0),0)</f>
        <v>0</v>
      </c>
      <c r="AZ433" s="58">
        <f>IFERROR(IF($V433="BRAND.com",HLOOKUP($X433&amp;$Z433,PLANNING_FC!$DA$27:$DO$46,MATCH($W433,PLANNING_FC!$CZ$27:$CZ$46,0),FALSE),0),0)</f>
        <v>0</v>
      </c>
      <c r="BA433" s="58">
        <f>IFERROR(IF($V433="BRAND.com",HLOOKUP($X433&amp;$Z433,PLANNING_FC!$DA$4:$DO$23,MATCH($W433,PLANNING_FC!$CZ$4:$CZ$23,0),FALSE),0),0)</f>
        <v>0</v>
      </c>
      <c r="BB433" s="883" t="str">
        <f>IF(V433="BRAND.com",IFERROR(HLOOKUP(X433&amp;Z433,PLANNING_FC!$AK$4:$AY$23,MATCH(W433,PLANNING_FC!$AJ$4:$AJ$23,0),FALSE)*1000,""),"")</f>
        <v/>
      </c>
      <c r="BC433" s="883" t="str">
        <f>IF(V433="BRAND.com",IFERROR(HLOOKUP(X433&amp;Z433,PLANNING_FC!$AK$27:$AY$46,MATCH(W433,PLANNING_FC!$AJ$27:$AJ$46,0),FALSE)*1000,""),"")</f>
        <v/>
      </c>
    </row>
    <row r="434" spans="1:55" x14ac:dyDescent="0.25">
      <c r="A434" s="509"/>
      <c r="B434" s="509"/>
      <c r="C434" s="509"/>
      <c r="D434" s="509"/>
      <c r="E434" s="509"/>
      <c r="F434" s="509"/>
      <c r="G434" s="511"/>
      <c r="H434" s="509"/>
      <c r="I434" s="512"/>
      <c r="J434" s="513"/>
      <c r="K434" s="879"/>
      <c r="L434" s="515"/>
      <c r="M434" s="516"/>
      <c r="N434" s="56">
        <f t="shared" si="146"/>
        <v>0</v>
      </c>
      <c r="O434" s="57">
        <f t="shared" si="147"/>
        <v>0</v>
      </c>
      <c r="P434" s="57">
        <f ca="1">IFERROR(IF(ISBLANK(H434),SUMIFS($AC:$AC,$V:$V,V434,$W:$W,W434,$X:$X,X434,$Y:$Y,Y434)*J434/(1-J434)*VLOOKUP(_xlfn.CONCAT(C434,D434,E434,TIME!$M$12,Z434),HIS_SALES!$B$2:$W$4859,20,FALSE),AC434*J434/(1-J434)),0)</f>
        <v>0</v>
      </c>
      <c r="Q434" s="541" t="str">
        <f t="shared" si="148"/>
        <v/>
      </c>
      <c r="R434" s="346" t="str">
        <f t="shared" si="149"/>
        <v>00000</v>
      </c>
      <c r="S434" s="344">
        <f t="shared" si="150"/>
        <v>0</v>
      </c>
      <c r="T434" s="345" t="str">
        <f t="shared" si="163"/>
        <v>000</v>
      </c>
      <c r="U434" s="345">
        <f t="shared" si="151"/>
        <v>0</v>
      </c>
      <c r="V434" s="345">
        <f t="shared" si="152"/>
        <v>0</v>
      </c>
      <c r="W434" s="345">
        <f t="shared" si="153"/>
        <v>0</v>
      </c>
      <c r="X434" s="345">
        <f t="shared" si="154"/>
        <v>0</v>
      </c>
      <c r="Y434" s="345">
        <f t="shared" si="155"/>
        <v>0</v>
      </c>
      <c r="Z434" s="345">
        <f>IF(Q434&lt;&gt;"",VLOOKUP(Y434,TIME!$R$21:$V$24,MATCH(FC_DATA!Q434,TIME!$R$20:$V$20,0),FALSE),H434)</f>
        <v>0</v>
      </c>
      <c r="AA434" s="345" t="str">
        <f>IFERROR(VLOOKUP(X434&amp;Z434,TIME!$A$12:$D$71,4,FALSE),"")</f>
        <v/>
      </c>
      <c r="AB434" s="592">
        <f t="shared" ca="1" si="156"/>
        <v>0</v>
      </c>
      <c r="AC434" s="593" t="e">
        <f ca="1">IF(ISBLANK(H434)=FALSE,IF(D434="BRAND.com",I434,IF(ISNA(VLOOKUP(_xlfn.CONCAT(X434,Z434),TIME!$M$40:$M$42,1,FALSE)),I434,VLOOKUP(_xlfn.CONCAT(D434,G434,H434),M_BUSAREA_FC!$AF$5:$AJ$10,5,FALSE)*HLOOKUP(_xlfn.CONCAT(F434,H434),ST_OVERVIEW!$G$99:$I$130,MATCH(_xlfn.CONCAT(D434,E434),ST_OVERVIEW!$F$99:$F$130,0),FALSE))),IF(D434="BRAND.com",VLOOKUP(_xlfn.CONCAT(C434,D434,E434,TIME!$F$1,Z434),HIS_SALES!$B$2:$V$4859,19,FALSE)*I434,VLOOKUP(_xlfn.CONCAT(D434,F434,G434),Q_BUSAREA_FC!$AE$5:$AI$12,5,FALSE)*HLOOKUP(_xlfn.CONCAT(FC_DATA!F434,FC_DATA!G434),LT_OVERVIEW!$I$99:$M$130,MATCH(_xlfn.CONCAT(D434,FC_DATA!E434),LT_OVERVIEW!$H$99:$H$130,0),FALSE)*IFERROR(VLOOKUP(_xlfn.CONCAT(C434,D434,E434,TIME!$F$1,Z434),HIS_SALES!$B$2:$V$4859,19,FALSE),0)))</f>
        <v>#N/A</v>
      </c>
      <c r="AD434" s="341">
        <f t="shared" ca="1" si="157"/>
        <v>0</v>
      </c>
      <c r="AE434" s="363" t="str">
        <f t="shared" si="158"/>
        <v/>
      </c>
      <c r="AF434" s="342" t="str">
        <f t="shared" si="159"/>
        <v/>
      </c>
      <c r="AG434" s="411" t="e">
        <f ca="1">VLOOKUP(_xlfn.CONCAT(U434,V434,W434,VLOOKUP(X434&amp;Y434,TIME!$L$27:$O$34,4,FALSE),Y434),HIS_SALES!$A$2:$R$5093,18,FALSE)</f>
        <v>#N/A</v>
      </c>
      <c r="AH434" s="412" t="e">
        <f ca="1">IFERROR(IF(AND(V434=V433,W434=W433),0.5*(AB434+AB433)*AG434,(VLOOKUP(_xlfn.CONCAT(U434,V434,W434,X434,VLOOKUP(Z434,TIME!$S$28:$T$39,2,FALSE)),FC_DATA!$R$2:$AB$5000,MATCH("GS_I_M",FC_DATA!$R$1:$AB$1,0),FALSE)+FC_DATA!AB434)*0.5*FC_DATA!AG434),NA())</f>
        <v>#N/A</v>
      </c>
      <c r="AI434" s="491" t="e">
        <f ca="1">IF(V434="PARTNER.com",AH434,IF(AND(V434=V433,W434=W433),(1-AVERAGE(AD433,AD434))*AH434,(1-AVERAGE(AD434,VLOOKUP(_xlfn.CONCAT(U434,V434,W434,X434,M_BRAND_FC!$F$6),FC_DATA!$R$2:$AD$5000,MATCH("DISCOUNT_%_M",FC_DATA!$R$1:$AD$1,0),FALSE)))*AH434))</f>
        <v>#N/A</v>
      </c>
      <c r="AJ434" s="412" t="str">
        <f t="shared" ca="1" si="160"/>
        <v/>
      </c>
      <c r="AK434" s="413" t="str">
        <f>IFERROR(AE434/(Q_BRAND_FC!$T$24+1),"")</f>
        <v/>
      </c>
      <c r="AL434" s="88" t="str">
        <f t="shared" ca="1" si="161"/>
        <v/>
      </c>
      <c r="AM434" s="414" t="str">
        <f t="shared" ca="1" si="162"/>
        <v/>
      </c>
      <c r="AN434" s="58">
        <f>IFERROR(IF($V434="BRAND.com",HLOOKUP($X434&amp;$Z434,NWC_FC_NOOS!$C$4:$Q$23,MATCH(W434,NWC_FC_NOOS!$B$4:$B$23,0),FALSE),0),0)</f>
        <v>0</v>
      </c>
      <c r="AO434" s="57">
        <f>IFERROR(IF($V434="BRAND.com",HLOOKUP($X434&amp;$Z434,NWC_FC_NOOS!$T$4:$AH$23,MATCH(W434,NWC_FC_NOOS!$S$4:$S$23,0),FALSE),0),0)</f>
        <v>0</v>
      </c>
      <c r="AP434" s="57">
        <f>IFERROR(IF($V434="BRAND.com",HLOOKUP($X434&amp;$Z434,NWC_FC_NOOS!$C$50:$U$69,MATCH(W434,NWC_FC_NOOS!$B$50:$B$69,0),FALSE),0),0)</f>
        <v>0</v>
      </c>
      <c r="AQ434" s="58">
        <f>IFERROR(IF($V434="BRAND.com",HLOOKUP($X434&amp;$Z434,'NWC_FC_NON-NOOS'!$C$4:$Q$23,MATCH(W434,'NWC_FC_NON-NOOS'!$B$4:$B$23,0),FALSE),0),0)</f>
        <v>0</v>
      </c>
      <c r="AR434" s="57">
        <f>IFERROR(IF($V434="BRAND.com",HLOOKUP($X434&amp;$Z434,'NWC_FC_NON-NOOS'!$T$4:$AH$23,MATCH(W434,'NWC_FC_NON-NOOS'!$S$4:$S$23,0),FALSE),0),0)</f>
        <v>0</v>
      </c>
      <c r="AS434" s="57">
        <f>IFERROR(IF($V434="BRAND.com",HLOOKUP($X434&amp;$Z434,'NWC_FC_NON-NOOS'!$C$50:$U$69,MATCH(W434,'NWC_FC_NON-NOOS'!$B$50:$B$69,0),FALSE),0),0)</f>
        <v>0</v>
      </c>
      <c r="AT434" s="57">
        <f t="shared" si="164"/>
        <v>0</v>
      </c>
      <c r="AU434" s="57">
        <f t="shared" si="165"/>
        <v>0</v>
      </c>
      <c r="AV434" s="58">
        <f>IFERROR(IF($V434="BRAND.com",HLOOKUP($X434&amp;$Z434,PLANNING_FC!$BB$27:$BP$46,MATCH($W434,PLANNING_FC!$BA$27:$BA$46,0),FALSE),0),0)</f>
        <v>0</v>
      </c>
      <c r="AW434" s="58">
        <f>IFERROR(IF($V434="BRAND.com",HLOOKUP($X434&amp;$Z434,PLANNING_FC!$BB$4:$BP$23,MATCH($W434,PLANNING_FC!$BA$4:$BA$23,0),FALSE),0),0)</f>
        <v>0</v>
      </c>
      <c r="AX434" s="58">
        <f>IFERROR(IF($V434="BRAND.com",HLOOKUP($X434&amp;$Z434,PLANNING_FC!$T$27:$AH$46,MATCH($W434,PLANNING_FC!$B$27:$B$46,0),FALSE),0),0)</f>
        <v>0</v>
      </c>
      <c r="AY434" s="58">
        <f>IFERROR(IF($V434="BRAND.com",HLOOKUP($X434&amp;$Z434,PLANNING_FC!$T$4:$AH$23,MATCH($W434,PLANNING_FC!$B$4:$B$23,0),FALSE),0),0)</f>
        <v>0</v>
      </c>
      <c r="AZ434" s="58">
        <f>IFERROR(IF($V434="BRAND.com",HLOOKUP($X434&amp;$Z434,PLANNING_FC!$DA$27:$DO$46,MATCH($W434,PLANNING_FC!$CZ$27:$CZ$46,0),FALSE),0),0)</f>
        <v>0</v>
      </c>
      <c r="BA434" s="58">
        <f>IFERROR(IF($V434="BRAND.com",HLOOKUP($X434&amp;$Z434,PLANNING_FC!$DA$4:$DO$23,MATCH($W434,PLANNING_FC!$CZ$4:$CZ$23,0),FALSE),0),0)</f>
        <v>0</v>
      </c>
      <c r="BB434" s="883" t="str">
        <f>IF(V434="BRAND.com",IFERROR(HLOOKUP(X434&amp;Z434,PLANNING_FC!$AK$4:$AY$23,MATCH(W434,PLANNING_FC!$AJ$4:$AJ$23,0),FALSE)*1000,""),"")</f>
        <v/>
      </c>
      <c r="BC434" s="883" t="str">
        <f>IF(V434="BRAND.com",IFERROR(HLOOKUP(X434&amp;Z434,PLANNING_FC!$AK$27:$AY$46,MATCH(W434,PLANNING_FC!$AJ$27:$AJ$46,0),FALSE)*1000,""),"")</f>
        <v/>
      </c>
    </row>
    <row r="435" spans="1:55" x14ac:dyDescent="0.25">
      <c r="A435" s="509"/>
      <c r="B435" s="509"/>
      <c r="C435" s="509"/>
      <c r="D435" s="509"/>
      <c r="E435" s="509"/>
      <c r="F435" s="509"/>
      <c r="G435" s="509"/>
      <c r="H435" s="509"/>
      <c r="I435" s="512"/>
      <c r="J435" s="513"/>
      <c r="K435" s="879"/>
      <c r="L435" s="515"/>
      <c r="M435" s="516"/>
      <c r="N435" s="56">
        <f t="shared" si="146"/>
        <v>0</v>
      </c>
      <c r="O435" s="57">
        <f t="shared" si="147"/>
        <v>0</v>
      </c>
      <c r="P435" s="57">
        <f ca="1">IFERROR(IF(ISBLANK(H435),SUMIFS($AC:$AC,$V:$V,V435,$W:$W,W435,$X:$X,X435,$Y:$Y,Y435)*J435/(1-J435)*VLOOKUP(_xlfn.CONCAT(C435,D435,E435,TIME!$M$12,Z435),HIS_SALES!$B$2:$W$4859,20,FALSE),AC435*J435/(1-J435)),0)</f>
        <v>0</v>
      </c>
      <c r="Q435" s="541" t="str">
        <f t="shared" si="148"/>
        <v/>
      </c>
      <c r="R435" s="346" t="str">
        <f t="shared" si="149"/>
        <v>00000</v>
      </c>
      <c r="S435" s="344">
        <f t="shared" si="150"/>
        <v>0</v>
      </c>
      <c r="T435" s="345" t="str">
        <f t="shared" si="163"/>
        <v>000</v>
      </c>
      <c r="U435" s="345">
        <f t="shared" si="151"/>
        <v>0</v>
      </c>
      <c r="V435" s="345">
        <f t="shared" si="152"/>
        <v>0</v>
      </c>
      <c r="W435" s="345">
        <f t="shared" si="153"/>
        <v>0</v>
      </c>
      <c r="X435" s="345">
        <f t="shared" si="154"/>
        <v>0</v>
      </c>
      <c r="Y435" s="345">
        <f t="shared" si="155"/>
        <v>0</v>
      </c>
      <c r="Z435" s="345">
        <f>IF(Q435&lt;&gt;"",VLOOKUP(Y435,TIME!$R$21:$V$24,MATCH(FC_DATA!Q435,TIME!$R$20:$V$20,0),FALSE),H435)</f>
        <v>0</v>
      </c>
      <c r="AA435" s="345" t="str">
        <f>IFERROR(VLOOKUP(X435&amp;Z435,TIME!$A$12:$D$71,4,FALSE),"")</f>
        <v/>
      </c>
      <c r="AB435" s="592">
        <f t="shared" ca="1" si="156"/>
        <v>0</v>
      </c>
      <c r="AC435" s="593" t="e">
        <f ca="1">IF(ISBLANK(H435)=FALSE,IF(D435="BRAND.com",I435,IF(ISNA(VLOOKUP(_xlfn.CONCAT(X435,Z435),TIME!$M$40:$M$42,1,FALSE)),I435,VLOOKUP(_xlfn.CONCAT(D435,G435,H435),M_BUSAREA_FC!$AF$5:$AJ$10,5,FALSE)*HLOOKUP(_xlfn.CONCAT(F435,H435),ST_OVERVIEW!$G$99:$I$130,MATCH(_xlfn.CONCAT(D435,E435),ST_OVERVIEW!$F$99:$F$130,0),FALSE))),IF(D435="BRAND.com",VLOOKUP(_xlfn.CONCAT(C435,D435,E435,TIME!$F$1,Z435),HIS_SALES!$B$2:$V$4859,19,FALSE)*I435,VLOOKUP(_xlfn.CONCAT(D435,F435,G435),Q_BUSAREA_FC!$AE$5:$AI$12,5,FALSE)*HLOOKUP(_xlfn.CONCAT(FC_DATA!F435,FC_DATA!G435),LT_OVERVIEW!$I$99:$M$130,MATCH(_xlfn.CONCAT(D435,FC_DATA!E435),LT_OVERVIEW!$H$99:$H$130,0),FALSE)*IFERROR(VLOOKUP(_xlfn.CONCAT(C435,D435,E435,TIME!$F$1,Z435),HIS_SALES!$B$2:$V$4859,19,FALSE),0)))</f>
        <v>#N/A</v>
      </c>
      <c r="AD435" s="341">
        <f t="shared" ca="1" si="157"/>
        <v>0</v>
      </c>
      <c r="AE435" s="363" t="str">
        <f t="shared" si="158"/>
        <v/>
      </c>
      <c r="AF435" s="342" t="str">
        <f t="shared" si="159"/>
        <v/>
      </c>
      <c r="AG435" s="411" t="e">
        <f ca="1">VLOOKUP(_xlfn.CONCAT(U435,V435,W435,VLOOKUP(X435&amp;Y435,TIME!$L$27:$O$34,4,FALSE),Y435),HIS_SALES!$A$2:$R$5093,18,FALSE)</f>
        <v>#N/A</v>
      </c>
      <c r="AH435" s="412" t="e">
        <f ca="1">IFERROR(IF(AND(V435=V434,W435=W434),0.5*(AB435+AB434)*AG435,(VLOOKUP(_xlfn.CONCAT(U435,V435,W435,X435,VLOOKUP(Z435,TIME!$S$28:$T$39,2,FALSE)),FC_DATA!$R$2:$AB$5000,MATCH("GS_I_M",FC_DATA!$R$1:$AB$1,0),FALSE)+FC_DATA!AB435)*0.5*FC_DATA!AG435),NA())</f>
        <v>#N/A</v>
      </c>
      <c r="AI435" s="491" t="e">
        <f ca="1">IF(V435="PARTNER.com",AH435,IF(AND(V435=V434,W435=W434),(1-AVERAGE(AD434,AD435))*AH435,(1-AVERAGE(AD435,VLOOKUP(_xlfn.CONCAT(U435,V435,W435,X435,M_BRAND_FC!$F$6),FC_DATA!$R$2:$AD$5000,MATCH("DISCOUNT_%_M",FC_DATA!$R$1:$AD$1,0),FALSE)))*AH435))</f>
        <v>#N/A</v>
      </c>
      <c r="AJ435" s="412" t="str">
        <f t="shared" ca="1" si="160"/>
        <v/>
      </c>
      <c r="AK435" s="413" t="str">
        <f>IFERROR(AE435/(Q_BRAND_FC!$T$24+1),"")</f>
        <v/>
      </c>
      <c r="AL435" s="88" t="str">
        <f t="shared" ca="1" si="161"/>
        <v/>
      </c>
      <c r="AM435" s="414" t="str">
        <f t="shared" ca="1" si="162"/>
        <v/>
      </c>
      <c r="AN435" s="58">
        <f>IFERROR(IF($V435="BRAND.com",HLOOKUP($X435&amp;$Z435,NWC_FC_NOOS!$C$4:$Q$23,MATCH(W435,NWC_FC_NOOS!$B$4:$B$23,0),FALSE),0),0)</f>
        <v>0</v>
      </c>
      <c r="AO435" s="57">
        <f>IFERROR(IF($V435="BRAND.com",HLOOKUP($X435&amp;$Z435,NWC_FC_NOOS!$T$4:$AH$23,MATCH(W435,NWC_FC_NOOS!$S$4:$S$23,0),FALSE),0),0)</f>
        <v>0</v>
      </c>
      <c r="AP435" s="57">
        <f>IFERROR(IF($V435="BRAND.com",HLOOKUP($X435&amp;$Z435,NWC_FC_NOOS!$C$50:$U$69,MATCH(W435,NWC_FC_NOOS!$B$50:$B$69,0),FALSE),0),0)</f>
        <v>0</v>
      </c>
      <c r="AQ435" s="58">
        <f>IFERROR(IF($V435="BRAND.com",HLOOKUP($X435&amp;$Z435,'NWC_FC_NON-NOOS'!$C$4:$Q$23,MATCH(W435,'NWC_FC_NON-NOOS'!$B$4:$B$23,0),FALSE),0),0)</f>
        <v>0</v>
      </c>
      <c r="AR435" s="57">
        <f>IFERROR(IF($V435="BRAND.com",HLOOKUP($X435&amp;$Z435,'NWC_FC_NON-NOOS'!$T$4:$AH$23,MATCH(W435,'NWC_FC_NON-NOOS'!$S$4:$S$23,0),FALSE),0),0)</f>
        <v>0</v>
      </c>
      <c r="AS435" s="57">
        <f>IFERROR(IF($V435="BRAND.com",HLOOKUP($X435&amp;$Z435,'NWC_FC_NON-NOOS'!$C$50:$U$69,MATCH(W435,'NWC_FC_NON-NOOS'!$B$50:$B$69,0),FALSE),0),0)</f>
        <v>0</v>
      </c>
      <c r="AT435" s="57">
        <f t="shared" si="164"/>
        <v>0</v>
      </c>
      <c r="AU435" s="57">
        <f t="shared" si="165"/>
        <v>0</v>
      </c>
      <c r="AV435" s="58">
        <f>IFERROR(IF($V435="BRAND.com",HLOOKUP($X435&amp;$Z435,PLANNING_FC!$BB$27:$BP$46,MATCH($W435,PLANNING_FC!$BA$27:$BA$46,0),FALSE),0),0)</f>
        <v>0</v>
      </c>
      <c r="AW435" s="58">
        <f>IFERROR(IF($V435="BRAND.com",HLOOKUP($X435&amp;$Z435,PLANNING_FC!$BB$4:$BP$23,MATCH($W435,PLANNING_FC!$BA$4:$BA$23,0),FALSE),0),0)</f>
        <v>0</v>
      </c>
      <c r="AX435" s="58">
        <f>IFERROR(IF($V435="BRAND.com",HLOOKUP($X435&amp;$Z435,PLANNING_FC!$T$27:$AH$46,MATCH($W435,PLANNING_FC!$B$27:$B$46,0),FALSE),0),0)</f>
        <v>0</v>
      </c>
      <c r="AY435" s="58">
        <f>IFERROR(IF($V435="BRAND.com",HLOOKUP($X435&amp;$Z435,PLANNING_FC!$T$4:$AH$23,MATCH($W435,PLANNING_FC!$B$4:$B$23,0),FALSE),0),0)</f>
        <v>0</v>
      </c>
      <c r="AZ435" s="58">
        <f>IFERROR(IF($V435="BRAND.com",HLOOKUP($X435&amp;$Z435,PLANNING_FC!$DA$27:$DO$46,MATCH($W435,PLANNING_FC!$CZ$27:$CZ$46,0),FALSE),0),0)</f>
        <v>0</v>
      </c>
      <c r="BA435" s="58">
        <f>IFERROR(IF($V435="BRAND.com",HLOOKUP($X435&amp;$Z435,PLANNING_FC!$DA$4:$DO$23,MATCH($W435,PLANNING_FC!$CZ$4:$CZ$23,0),FALSE),0),0)</f>
        <v>0</v>
      </c>
      <c r="BB435" s="883" t="str">
        <f>IF(V435="BRAND.com",IFERROR(HLOOKUP(X435&amp;Z435,PLANNING_FC!$AK$4:$AY$23,MATCH(W435,PLANNING_FC!$AJ$4:$AJ$23,0),FALSE)*1000,""),"")</f>
        <v/>
      </c>
      <c r="BC435" s="883" t="str">
        <f>IF(V435="BRAND.com",IFERROR(HLOOKUP(X435&amp;Z435,PLANNING_FC!$AK$27:$AY$46,MATCH(W435,PLANNING_FC!$AJ$27:$AJ$46,0),FALSE)*1000,""),"")</f>
        <v/>
      </c>
    </row>
    <row r="436" spans="1:55" x14ac:dyDescent="0.25">
      <c r="A436" s="509"/>
      <c r="B436" s="509"/>
      <c r="C436" s="509"/>
      <c r="D436" s="509"/>
      <c r="E436" s="509"/>
      <c r="F436" s="509"/>
      <c r="G436" s="509"/>
      <c r="H436" s="509"/>
      <c r="I436" s="512"/>
      <c r="J436" s="513"/>
      <c r="K436" s="879"/>
      <c r="L436" s="515"/>
      <c r="M436" s="516"/>
      <c r="N436" s="56">
        <f t="shared" si="146"/>
        <v>0</v>
      </c>
      <c r="O436" s="57">
        <f t="shared" si="147"/>
        <v>0</v>
      </c>
      <c r="P436" s="57">
        <f ca="1">IFERROR(IF(ISBLANK(H436),SUMIFS($AC:$AC,$V:$V,V436,$W:$W,W436,$X:$X,X436,$Y:$Y,Y436)*J436/(1-J436)*VLOOKUP(_xlfn.CONCAT(C436,D436,E436,TIME!$M$12,Z436),HIS_SALES!$B$2:$W$4859,20,FALSE),AC436*J436/(1-J436)),0)</f>
        <v>0</v>
      </c>
      <c r="Q436" s="541" t="str">
        <f t="shared" si="148"/>
        <v/>
      </c>
      <c r="R436" s="346" t="str">
        <f t="shared" si="149"/>
        <v>00000</v>
      </c>
      <c r="S436" s="344">
        <f t="shared" si="150"/>
        <v>0</v>
      </c>
      <c r="T436" s="345" t="str">
        <f t="shared" si="163"/>
        <v>000</v>
      </c>
      <c r="U436" s="345">
        <f t="shared" si="151"/>
        <v>0</v>
      </c>
      <c r="V436" s="345">
        <f t="shared" si="152"/>
        <v>0</v>
      </c>
      <c r="W436" s="345">
        <f t="shared" si="153"/>
        <v>0</v>
      </c>
      <c r="X436" s="345">
        <f t="shared" si="154"/>
        <v>0</v>
      </c>
      <c r="Y436" s="345">
        <f t="shared" si="155"/>
        <v>0</v>
      </c>
      <c r="Z436" s="345">
        <f>IF(Q436&lt;&gt;"",VLOOKUP(Y436,TIME!$R$21:$V$24,MATCH(FC_DATA!Q436,TIME!$R$20:$V$20,0),FALSE),H436)</f>
        <v>0</v>
      </c>
      <c r="AA436" s="345" t="str">
        <f>IFERROR(VLOOKUP(X436&amp;Z436,TIME!$A$12:$D$71,4,FALSE),"")</f>
        <v/>
      </c>
      <c r="AB436" s="592">
        <f t="shared" ca="1" si="156"/>
        <v>0</v>
      </c>
      <c r="AC436" s="593" t="e">
        <f ca="1">IF(ISBLANK(H436)=FALSE,IF(D436="BRAND.com",I436,IF(ISNA(VLOOKUP(_xlfn.CONCAT(X436,Z436),TIME!$M$40:$M$42,1,FALSE)),I436,VLOOKUP(_xlfn.CONCAT(D436,G436,H436),M_BUSAREA_FC!$AF$5:$AJ$10,5,FALSE)*HLOOKUP(_xlfn.CONCAT(F436,H436),ST_OVERVIEW!$G$99:$I$130,MATCH(_xlfn.CONCAT(D436,E436),ST_OVERVIEW!$F$99:$F$130,0),FALSE))),IF(D436="BRAND.com",VLOOKUP(_xlfn.CONCAT(C436,D436,E436,TIME!$F$1,Z436),HIS_SALES!$B$2:$V$4859,19,FALSE)*I436,VLOOKUP(_xlfn.CONCAT(D436,F436,G436),Q_BUSAREA_FC!$AE$5:$AI$12,5,FALSE)*HLOOKUP(_xlfn.CONCAT(FC_DATA!F436,FC_DATA!G436),LT_OVERVIEW!$I$99:$M$130,MATCH(_xlfn.CONCAT(D436,FC_DATA!E436),LT_OVERVIEW!$H$99:$H$130,0),FALSE)*IFERROR(VLOOKUP(_xlfn.CONCAT(C436,D436,E436,TIME!$F$1,Z436),HIS_SALES!$B$2:$V$4859,19,FALSE),0)))</f>
        <v>#N/A</v>
      </c>
      <c r="AD436" s="341">
        <f t="shared" ca="1" si="157"/>
        <v>0</v>
      </c>
      <c r="AE436" s="363" t="str">
        <f t="shared" si="158"/>
        <v/>
      </c>
      <c r="AF436" s="342" t="str">
        <f t="shared" si="159"/>
        <v/>
      </c>
      <c r="AG436" s="411" t="e">
        <f ca="1">VLOOKUP(_xlfn.CONCAT(U436,V436,W436,VLOOKUP(X436&amp;Y436,TIME!$L$27:$O$34,4,FALSE),Y436),HIS_SALES!$A$2:$R$5093,18,FALSE)</f>
        <v>#N/A</v>
      </c>
      <c r="AH436" s="412" t="e">
        <f ca="1">IFERROR(IF(AND(V436=V435,W436=W435),0.5*(AB436+AB435)*AG436,(VLOOKUP(_xlfn.CONCAT(U436,V436,W436,X436,VLOOKUP(Z436,TIME!$S$28:$T$39,2,FALSE)),FC_DATA!$R$2:$AB$5000,MATCH("GS_I_M",FC_DATA!$R$1:$AB$1,0),FALSE)+FC_DATA!AB436)*0.5*FC_DATA!AG436),NA())</f>
        <v>#N/A</v>
      </c>
      <c r="AI436" s="491" t="e">
        <f ca="1">IF(V436="PARTNER.com",AH436,IF(AND(V436=V435,W436=W435),(1-AVERAGE(AD435,AD436))*AH436,(1-AVERAGE(AD436,VLOOKUP(_xlfn.CONCAT(U436,V436,W436,X436,M_BRAND_FC!$F$6),FC_DATA!$R$2:$AD$5000,MATCH("DISCOUNT_%_M",FC_DATA!$R$1:$AD$1,0),FALSE)))*AH436))</f>
        <v>#N/A</v>
      </c>
      <c r="AJ436" s="412" t="str">
        <f t="shared" ca="1" si="160"/>
        <v/>
      </c>
      <c r="AK436" s="413" t="str">
        <f>IFERROR(AE436/(Q_BRAND_FC!$T$24+1),"")</f>
        <v/>
      </c>
      <c r="AL436" s="88" t="str">
        <f t="shared" ca="1" si="161"/>
        <v/>
      </c>
      <c r="AM436" s="414" t="str">
        <f t="shared" ca="1" si="162"/>
        <v/>
      </c>
      <c r="AN436" s="58">
        <f>IFERROR(IF($V436="BRAND.com",HLOOKUP($X436&amp;$Z436,NWC_FC_NOOS!$C$4:$Q$23,MATCH(W436,NWC_FC_NOOS!$B$4:$B$23,0),FALSE),0),0)</f>
        <v>0</v>
      </c>
      <c r="AO436" s="57">
        <f>IFERROR(IF($V436="BRAND.com",HLOOKUP($X436&amp;$Z436,NWC_FC_NOOS!$T$4:$AH$23,MATCH(W436,NWC_FC_NOOS!$S$4:$S$23,0),FALSE),0),0)</f>
        <v>0</v>
      </c>
      <c r="AP436" s="57">
        <f>IFERROR(IF($V436="BRAND.com",HLOOKUP($X436&amp;$Z436,NWC_FC_NOOS!$C$50:$U$69,MATCH(W436,NWC_FC_NOOS!$B$50:$B$69,0),FALSE),0),0)</f>
        <v>0</v>
      </c>
      <c r="AQ436" s="58">
        <f>IFERROR(IF($V436="BRAND.com",HLOOKUP($X436&amp;$Z436,'NWC_FC_NON-NOOS'!$C$4:$Q$23,MATCH(W436,'NWC_FC_NON-NOOS'!$B$4:$B$23,0),FALSE),0),0)</f>
        <v>0</v>
      </c>
      <c r="AR436" s="57">
        <f>IFERROR(IF($V436="BRAND.com",HLOOKUP($X436&amp;$Z436,'NWC_FC_NON-NOOS'!$T$4:$AH$23,MATCH(W436,'NWC_FC_NON-NOOS'!$S$4:$S$23,0),FALSE),0),0)</f>
        <v>0</v>
      </c>
      <c r="AS436" s="57">
        <f>IFERROR(IF($V436="BRAND.com",HLOOKUP($X436&amp;$Z436,'NWC_FC_NON-NOOS'!$C$50:$U$69,MATCH(W436,'NWC_FC_NON-NOOS'!$B$50:$B$69,0),FALSE),0),0)</f>
        <v>0</v>
      </c>
      <c r="AT436" s="57">
        <f t="shared" si="164"/>
        <v>0</v>
      </c>
      <c r="AU436" s="57">
        <f t="shared" si="165"/>
        <v>0</v>
      </c>
      <c r="AV436" s="58">
        <f>IFERROR(IF($V436="BRAND.com",HLOOKUP($X436&amp;$Z436,PLANNING_FC!$BB$27:$BP$46,MATCH($W436,PLANNING_FC!$BA$27:$BA$46,0),FALSE),0),0)</f>
        <v>0</v>
      </c>
      <c r="AW436" s="58">
        <f>IFERROR(IF($V436="BRAND.com",HLOOKUP($X436&amp;$Z436,PLANNING_FC!$BB$4:$BP$23,MATCH($W436,PLANNING_FC!$BA$4:$BA$23,0),FALSE),0),0)</f>
        <v>0</v>
      </c>
      <c r="AX436" s="58">
        <f>IFERROR(IF($V436="BRAND.com",HLOOKUP($X436&amp;$Z436,PLANNING_FC!$T$27:$AH$46,MATCH($W436,PLANNING_FC!$B$27:$B$46,0),FALSE),0),0)</f>
        <v>0</v>
      </c>
      <c r="AY436" s="58">
        <f>IFERROR(IF($V436="BRAND.com",HLOOKUP($X436&amp;$Z436,PLANNING_FC!$T$4:$AH$23,MATCH($W436,PLANNING_FC!$B$4:$B$23,0),FALSE),0),0)</f>
        <v>0</v>
      </c>
      <c r="AZ436" s="58">
        <f>IFERROR(IF($V436="BRAND.com",HLOOKUP($X436&amp;$Z436,PLANNING_FC!$DA$27:$DO$46,MATCH($W436,PLANNING_FC!$CZ$27:$CZ$46,0),FALSE),0),0)</f>
        <v>0</v>
      </c>
      <c r="BA436" s="58">
        <f>IFERROR(IF($V436="BRAND.com",HLOOKUP($X436&amp;$Z436,PLANNING_FC!$DA$4:$DO$23,MATCH($W436,PLANNING_FC!$CZ$4:$CZ$23,0),FALSE),0),0)</f>
        <v>0</v>
      </c>
      <c r="BB436" s="883" t="str">
        <f>IF(V436="BRAND.com",IFERROR(HLOOKUP(X436&amp;Z436,PLANNING_FC!$AK$4:$AY$23,MATCH(W436,PLANNING_FC!$AJ$4:$AJ$23,0),FALSE)*1000,""),"")</f>
        <v/>
      </c>
      <c r="BC436" s="883" t="str">
        <f>IF(V436="BRAND.com",IFERROR(HLOOKUP(X436&amp;Z436,PLANNING_FC!$AK$27:$AY$46,MATCH(W436,PLANNING_FC!$AJ$27:$AJ$46,0),FALSE)*1000,""),"")</f>
        <v/>
      </c>
    </row>
    <row r="437" spans="1:55" x14ac:dyDescent="0.25">
      <c r="A437" s="509"/>
      <c r="B437" s="509"/>
      <c r="C437" s="509"/>
      <c r="D437" s="509"/>
      <c r="E437" s="509"/>
      <c r="F437" s="509"/>
      <c r="G437" s="509"/>
      <c r="H437" s="509"/>
      <c r="I437" s="512"/>
      <c r="J437" s="513"/>
      <c r="K437" s="879"/>
      <c r="L437" s="515"/>
      <c r="M437" s="516"/>
      <c r="N437" s="56">
        <f t="shared" si="146"/>
        <v>0</v>
      </c>
      <c r="O437" s="57">
        <f t="shared" si="147"/>
        <v>0</v>
      </c>
      <c r="P437" s="57">
        <f ca="1">IFERROR(IF(ISBLANK(H437),SUMIFS($AC:$AC,$V:$V,V437,$W:$W,W437,$X:$X,X437,$Y:$Y,Y437)*J437/(1-J437)*VLOOKUP(_xlfn.CONCAT(C437,D437,E437,TIME!$M$12,Z437),HIS_SALES!$B$2:$W$4859,20,FALSE),AC437*J437/(1-J437)),0)</f>
        <v>0</v>
      </c>
      <c r="Q437" s="541" t="str">
        <f t="shared" si="148"/>
        <v/>
      </c>
      <c r="R437" s="346" t="str">
        <f t="shared" si="149"/>
        <v>00000</v>
      </c>
      <c r="S437" s="344">
        <f t="shared" si="150"/>
        <v>0</v>
      </c>
      <c r="T437" s="345" t="str">
        <f t="shared" si="163"/>
        <v>000</v>
      </c>
      <c r="U437" s="345">
        <f t="shared" si="151"/>
        <v>0</v>
      </c>
      <c r="V437" s="345">
        <f t="shared" si="152"/>
        <v>0</v>
      </c>
      <c r="W437" s="345">
        <f t="shared" si="153"/>
        <v>0</v>
      </c>
      <c r="X437" s="345">
        <f t="shared" si="154"/>
        <v>0</v>
      </c>
      <c r="Y437" s="345">
        <f t="shared" si="155"/>
        <v>0</v>
      </c>
      <c r="Z437" s="345">
        <f>IF(Q437&lt;&gt;"",VLOOKUP(Y437,TIME!$R$21:$V$24,MATCH(FC_DATA!Q437,TIME!$R$20:$V$20,0),FALSE),H437)</f>
        <v>0</v>
      </c>
      <c r="AA437" s="345" t="str">
        <f>IFERROR(VLOOKUP(X437&amp;Z437,TIME!$A$12:$D$71,4,FALSE),"")</f>
        <v/>
      </c>
      <c r="AB437" s="592">
        <f t="shared" ca="1" si="156"/>
        <v>0</v>
      </c>
      <c r="AC437" s="593" t="e">
        <f ca="1">IF(ISBLANK(H437)=FALSE,IF(D437="BRAND.com",I437,IF(ISNA(VLOOKUP(_xlfn.CONCAT(X437,Z437),TIME!$M$40:$M$42,1,FALSE)),I437,VLOOKUP(_xlfn.CONCAT(D437,G437,H437),M_BUSAREA_FC!$AF$5:$AJ$10,5,FALSE)*HLOOKUP(_xlfn.CONCAT(F437,H437),ST_OVERVIEW!$G$99:$I$130,MATCH(_xlfn.CONCAT(D437,E437),ST_OVERVIEW!$F$99:$F$130,0),FALSE))),IF(D437="BRAND.com",VLOOKUP(_xlfn.CONCAT(C437,D437,E437,TIME!$F$1,Z437),HIS_SALES!$B$2:$V$4859,19,FALSE)*I437,VLOOKUP(_xlfn.CONCAT(D437,F437,G437),Q_BUSAREA_FC!$AE$5:$AI$12,5,FALSE)*HLOOKUP(_xlfn.CONCAT(FC_DATA!F437,FC_DATA!G437),LT_OVERVIEW!$I$99:$M$130,MATCH(_xlfn.CONCAT(D437,FC_DATA!E437),LT_OVERVIEW!$H$99:$H$130,0),FALSE)*IFERROR(VLOOKUP(_xlfn.CONCAT(C437,D437,E437,TIME!$F$1,Z437),HIS_SALES!$B$2:$V$4859,19,FALSE),0)))</f>
        <v>#N/A</v>
      </c>
      <c r="AD437" s="341">
        <f t="shared" ca="1" si="157"/>
        <v>0</v>
      </c>
      <c r="AE437" s="363" t="str">
        <f t="shared" si="158"/>
        <v/>
      </c>
      <c r="AF437" s="342" t="str">
        <f t="shared" si="159"/>
        <v/>
      </c>
      <c r="AG437" s="411" t="e">
        <f ca="1">VLOOKUP(_xlfn.CONCAT(U437,V437,W437,VLOOKUP(X437&amp;Y437,TIME!$L$27:$O$34,4,FALSE),Y437),HIS_SALES!$A$2:$R$5093,18,FALSE)</f>
        <v>#N/A</v>
      </c>
      <c r="AH437" s="412" t="e">
        <f ca="1">IFERROR(IF(AND(V437=V436,W437=W436),0.5*(AB437+AB436)*AG437,(VLOOKUP(_xlfn.CONCAT(U437,V437,W437,X437,VLOOKUP(Z437,TIME!$S$28:$T$39,2,FALSE)),FC_DATA!$R$2:$AB$5000,MATCH("GS_I_M",FC_DATA!$R$1:$AB$1,0),FALSE)+FC_DATA!AB437)*0.5*FC_DATA!AG437),NA())</f>
        <v>#N/A</v>
      </c>
      <c r="AI437" s="491" t="e">
        <f ca="1">IF(V437="PARTNER.com",AH437,IF(AND(V437=V436,W437=W436),(1-AVERAGE(AD436,AD437))*AH437,(1-AVERAGE(AD437,VLOOKUP(_xlfn.CONCAT(U437,V437,W437,X437,M_BRAND_FC!$F$6),FC_DATA!$R$2:$AD$5000,MATCH("DISCOUNT_%_M",FC_DATA!$R$1:$AD$1,0),FALSE)))*AH437))</f>
        <v>#N/A</v>
      </c>
      <c r="AJ437" s="412" t="str">
        <f t="shared" ca="1" si="160"/>
        <v/>
      </c>
      <c r="AK437" s="413" t="str">
        <f>IFERROR(AE437/(Q_BRAND_FC!$T$24+1),"")</f>
        <v/>
      </c>
      <c r="AL437" s="88" t="str">
        <f t="shared" ca="1" si="161"/>
        <v/>
      </c>
      <c r="AM437" s="414" t="str">
        <f t="shared" ca="1" si="162"/>
        <v/>
      </c>
      <c r="AN437" s="58">
        <f>IFERROR(IF($V437="BRAND.com",HLOOKUP($X437&amp;$Z437,NWC_FC_NOOS!$C$4:$Q$23,MATCH(W437,NWC_FC_NOOS!$B$4:$B$23,0),FALSE),0),0)</f>
        <v>0</v>
      </c>
      <c r="AO437" s="57">
        <f>IFERROR(IF($V437="BRAND.com",HLOOKUP($X437&amp;$Z437,NWC_FC_NOOS!$T$4:$AH$23,MATCH(W437,NWC_FC_NOOS!$S$4:$S$23,0),FALSE),0),0)</f>
        <v>0</v>
      </c>
      <c r="AP437" s="57">
        <f>IFERROR(IF($V437="BRAND.com",HLOOKUP($X437&amp;$Z437,NWC_FC_NOOS!$C$50:$U$69,MATCH(W437,NWC_FC_NOOS!$B$50:$B$69,0),FALSE),0),0)</f>
        <v>0</v>
      </c>
      <c r="AQ437" s="58">
        <f>IFERROR(IF($V437="BRAND.com",HLOOKUP($X437&amp;$Z437,'NWC_FC_NON-NOOS'!$C$4:$Q$23,MATCH(W437,'NWC_FC_NON-NOOS'!$B$4:$B$23,0),FALSE),0),0)</f>
        <v>0</v>
      </c>
      <c r="AR437" s="57">
        <f>IFERROR(IF($V437="BRAND.com",HLOOKUP($X437&amp;$Z437,'NWC_FC_NON-NOOS'!$T$4:$AH$23,MATCH(W437,'NWC_FC_NON-NOOS'!$S$4:$S$23,0),FALSE),0),0)</f>
        <v>0</v>
      </c>
      <c r="AS437" s="57">
        <f>IFERROR(IF($V437="BRAND.com",HLOOKUP($X437&amp;$Z437,'NWC_FC_NON-NOOS'!$C$50:$U$69,MATCH(W437,'NWC_FC_NON-NOOS'!$B$50:$B$69,0),FALSE),0),0)</f>
        <v>0</v>
      </c>
      <c r="AT437" s="57">
        <f t="shared" si="164"/>
        <v>0</v>
      </c>
      <c r="AU437" s="57">
        <f t="shared" si="165"/>
        <v>0</v>
      </c>
      <c r="AV437" s="58">
        <f>IFERROR(IF($V437="BRAND.com",HLOOKUP($X437&amp;$Z437,PLANNING_FC!$BB$27:$BP$46,MATCH($W437,PLANNING_FC!$BA$27:$BA$46,0),FALSE),0),0)</f>
        <v>0</v>
      </c>
      <c r="AW437" s="58">
        <f>IFERROR(IF($V437="BRAND.com",HLOOKUP($X437&amp;$Z437,PLANNING_FC!$BB$4:$BP$23,MATCH($W437,PLANNING_FC!$BA$4:$BA$23,0),FALSE),0),0)</f>
        <v>0</v>
      </c>
      <c r="AX437" s="58">
        <f>IFERROR(IF($V437="BRAND.com",HLOOKUP($X437&amp;$Z437,PLANNING_FC!$T$27:$AH$46,MATCH($W437,PLANNING_FC!$B$27:$B$46,0),FALSE),0),0)</f>
        <v>0</v>
      </c>
      <c r="AY437" s="58">
        <f>IFERROR(IF($V437="BRAND.com",HLOOKUP($X437&amp;$Z437,PLANNING_FC!$T$4:$AH$23,MATCH($W437,PLANNING_FC!$B$4:$B$23,0),FALSE),0),0)</f>
        <v>0</v>
      </c>
      <c r="AZ437" s="58">
        <f>IFERROR(IF($V437="BRAND.com",HLOOKUP($X437&amp;$Z437,PLANNING_FC!$DA$27:$DO$46,MATCH($W437,PLANNING_FC!$CZ$27:$CZ$46,0),FALSE),0),0)</f>
        <v>0</v>
      </c>
      <c r="BA437" s="58">
        <f>IFERROR(IF($V437="BRAND.com",HLOOKUP($X437&amp;$Z437,PLANNING_FC!$DA$4:$DO$23,MATCH($W437,PLANNING_FC!$CZ$4:$CZ$23,0),FALSE),0),0)</f>
        <v>0</v>
      </c>
      <c r="BB437" s="883" t="str">
        <f>IF(V437="BRAND.com",IFERROR(HLOOKUP(X437&amp;Z437,PLANNING_FC!$AK$4:$AY$23,MATCH(W437,PLANNING_FC!$AJ$4:$AJ$23,0),FALSE)*1000,""),"")</f>
        <v/>
      </c>
      <c r="BC437" s="883" t="str">
        <f>IF(V437="BRAND.com",IFERROR(HLOOKUP(X437&amp;Z437,PLANNING_FC!$AK$27:$AY$46,MATCH(W437,PLANNING_FC!$AJ$27:$AJ$46,0),FALSE)*1000,""),"")</f>
        <v/>
      </c>
    </row>
    <row r="438" spans="1:55" x14ac:dyDescent="0.25">
      <c r="A438" s="509"/>
      <c r="B438" s="509"/>
      <c r="C438" s="509"/>
      <c r="D438" s="509"/>
      <c r="E438" s="509"/>
      <c r="F438" s="509"/>
      <c r="G438" s="511"/>
      <c r="H438" s="509"/>
      <c r="I438" s="512"/>
      <c r="J438" s="513"/>
      <c r="K438" s="879"/>
      <c r="L438" s="515"/>
      <c r="M438" s="516"/>
      <c r="N438" s="56">
        <f t="shared" si="146"/>
        <v>0</v>
      </c>
      <c r="O438" s="57">
        <f t="shared" si="147"/>
        <v>0</v>
      </c>
      <c r="P438" s="57">
        <f ca="1">IFERROR(IF(ISBLANK(H438),SUMIFS($AC:$AC,$V:$V,V438,$W:$W,W438,$X:$X,X438,$Y:$Y,Y438)*J438/(1-J438)*VLOOKUP(_xlfn.CONCAT(C438,D438,E438,TIME!$M$12,Z438),HIS_SALES!$B$2:$W$4859,20,FALSE),AC438*J438/(1-J438)),0)</f>
        <v>0</v>
      </c>
      <c r="Q438" s="541" t="str">
        <f t="shared" si="148"/>
        <v/>
      </c>
      <c r="R438" s="346" t="str">
        <f t="shared" si="149"/>
        <v>00000</v>
      </c>
      <c r="S438" s="344">
        <f t="shared" si="150"/>
        <v>0</v>
      </c>
      <c r="T438" s="345" t="str">
        <f t="shared" si="163"/>
        <v>000</v>
      </c>
      <c r="U438" s="345">
        <f t="shared" si="151"/>
        <v>0</v>
      </c>
      <c r="V438" s="345">
        <f t="shared" si="152"/>
        <v>0</v>
      </c>
      <c r="W438" s="345">
        <f t="shared" si="153"/>
        <v>0</v>
      </c>
      <c r="X438" s="345">
        <f t="shared" si="154"/>
        <v>0</v>
      </c>
      <c r="Y438" s="345">
        <f t="shared" si="155"/>
        <v>0</v>
      </c>
      <c r="Z438" s="345">
        <f>IF(Q438&lt;&gt;"",VLOOKUP(Y438,TIME!$R$21:$V$24,MATCH(FC_DATA!Q438,TIME!$R$20:$V$20,0),FALSE),H438)</f>
        <v>0</v>
      </c>
      <c r="AA438" s="345" t="str">
        <f>IFERROR(VLOOKUP(X438&amp;Z438,TIME!$A$12:$D$71,4,FALSE),"")</f>
        <v/>
      </c>
      <c r="AB438" s="592">
        <f t="shared" ca="1" si="156"/>
        <v>0</v>
      </c>
      <c r="AC438" s="593" t="e">
        <f ca="1">IF(ISBLANK(H438)=FALSE,IF(D438="BRAND.com",I438,IF(ISNA(VLOOKUP(_xlfn.CONCAT(X438,Z438),TIME!$M$40:$M$42,1,FALSE)),I438,VLOOKUP(_xlfn.CONCAT(D438,G438,H438),M_BUSAREA_FC!$AF$5:$AJ$10,5,FALSE)*HLOOKUP(_xlfn.CONCAT(F438,H438),ST_OVERVIEW!$G$99:$I$130,MATCH(_xlfn.CONCAT(D438,E438),ST_OVERVIEW!$F$99:$F$130,0),FALSE))),IF(D438="BRAND.com",VLOOKUP(_xlfn.CONCAT(C438,D438,E438,TIME!$F$1,Z438),HIS_SALES!$B$2:$V$4859,19,FALSE)*I438,VLOOKUP(_xlfn.CONCAT(D438,F438,G438),Q_BUSAREA_FC!$AE$5:$AI$12,5,FALSE)*HLOOKUP(_xlfn.CONCAT(FC_DATA!F438,FC_DATA!G438),LT_OVERVIEW!$I$99:$M$130,MATCH(_xlfn.CONCAT(D438,FC_DATA!E438),LT_OVERVIEW!$H$99:$H$130,0),FALSE)*IFERROR(VLOOKUP(_xlfn.CONCAT(C438,D438,E438,TIME!$F$1,Z438),HIS_SALES!$B$2:$V$4859,19,FALSE),0)))</f>
        <v>#N/A</v>
      </c>
      <c r="AD438" s="341">
        <f t="shared" ca="1" si="157"/>
        <v>0</v>
      </c>
      <c r="AE438" s="363" t="str">
        <f t="shared" si="158"/>
        <v/>
      </c>
      <c r="AF438" s="342" t="str">
        <f t="shared" si="159"/>
        <v/>
      </c>
      <c r="AG438" s="411" t="e">
        <f ca="1">VLOOKUP(_xlfn.CONCAT(U438,V438,W438,VLOOKUP(X438&amp;Y438,TIME!$L$27:$O$34,4,FALSE),Y438),HIS_SALES!$A$2:$R$5093,18,FALSE)</f>
        <v>#N/A</v>
      </c>
      <c r="AH438" s="412" t="e">
        <f ca="1">IFERROR(IF(AND(V438=V437,W438=W437),0.5*(AB438+AB437)*AG438,(VLOOKUP(_xlfn.CONCAT(U438,V438,W438,X438,VLOOKUP(Z438,TIME!$S$28:$T$39,2,FALSE)),FC_DATA!$R$2:$AB$5000,MATCH("GS_I_M",FC_DATA!$R$1:$AB$1,0),FALSE)+FC_DATA!AB438)*0.5*FC_DATA!AG438),NA())</f>
        <v>#N/A</v>
      </c>
      <c r="AI438" s="491" t="e">
        <f ca="1">IF(V438="PARTNER.com",AH438,IF(AND(V438=V437,W438=W437),(1-AVERAGE(AD437,AD438))*AH438,(1-AVERAGE(AD438,VLOOKUP(_xlfn.CONCAT(U438,V438,W438,X438,M_BRAND_FC!$F$6),FC_DATA!$R$2:$AD$5000,MATCH("DISCOUNT_%_M",FC_DATA!$R$1:$AD$1,0),FALSE)))*AH438))</f>
        <v>#N/A</v>
      </c>
      <c r="AJ438" s="412" t="str">
        <f t="shared" ca="1" si="160"/>
        <v/>
      </c>
      <c r="AK438" s="413" t="str">
        <f>IFERROR(AE438/(Q_BRAND_FC!$T$24+1),"")</f>
        <v/>
      </c>
      <c r="AL438" s="88" t="str">
        <f t="shared" ca="1" si="161"/>
        <v/>
      </c>
      <c r="AM438" s="414" t="str">
        <f t="shared" ca="1" si="162"/>
        <v/>
      </c>
      <c r="AN438" s="58">
        <f>IFERROR(IF($V438="BRAND.com",HLOOKUP($X438&amp;$Z438,NWC_FC_NOOS!$C$4:$Q$23,MATCH(W438,NWC_FC_NOOS!$B$4:$B$23,0),FALSE),0),0)</f>
        <v>0</v>
      </c>
      <c r="AO438" s="57">
        <f>IFERROR(IF($V438="BRAND.com",HLOOKUP($X438&amp;$Z438,NWC_FC_NOOS!$T$4:$AH$23,MATCH(W438,NWC_FC_NOOS!$S$4:$S$23,0),FALSE),0),0)</f>
        <v>0</v>
      </c>
      <c r="AP438" s="57">
        <f>IFERROR(IF($V438="BRAND.com",HLOOKUP($X438&amp;$Z438,NWC_FC_NOOS!$C$50:$U$69,MATCH(W438,NWC_FC_NOOS!$B$50:$B$69,0),FALSE),0),0)</f>
        <v>0</v>
      </c>
      <c r="AQ438" s="58">
        <f>IFERROR(IF($V438="BRAND.com",HLOOKUP($X438&amp;$Z438,'NWC_FC_NON-NOOS'!$C$4:$Q$23,MATCH(W438,'NWC_FC_NON-NOOS'!$B$4:$B$23,0),FALSE),0),0)</f>
        <v>0</v>
      </c>
      <c r="AR438" s="57">
        <f>IFERROR(IF($V438="BRAND.com",HLOOKUP($X438&amp;$Z438,'NWC_FC_NON-NOOS'!$T$4:$AH$23,MATCH(W438,'NWC_FC_NON-NOOS'!$S$4:$S$23,0),FALSE),0),0)</f>
        <v>0</v>
      </c>
      <c r="AS438" s="57">
        <f>IFERROR(IF($V438="BRAND.com",HLOOKUP($X438&amp;$Z438,'NWC_FC_NON-NOOS'!$C$50:$U$69,MATCH(W438,'NWC_FC_NON-NOOS'!$B$50:$B$69,0),FALSE),0),0)</f>
        <v>0</v>
      </c>
      <c r="AT438" s="57">
        <f t="shared" si="164"/>
        <v>0</v>
      </c>
      <c r="AU438" s="57">
        <f t="shared" si="165"/>
        <v>0</v>
      </c>
      <c r="AV438" s="58">
        <f>IFERROR(IF($V438="BRAND.com",HLOOKUP($X438&amp;$Z438,PLANNING_FC!$BB$27:$BP$46,MATCH($W438,PLANNING_FC!$BA$27:$BA$46,0),FALSE),0),0)</f>
        <v>0</v>
      </c>
      <c r="AW438" s="58">
        <f>IFERROR(IF($V438="BRAND.com",HLOOKUP($X438&amp;$Z438,PLANNING_FC!$BB$4:$BP$23,MATCH($W438,PLANNING_FC!$BA$4:$BA$23,0),FALSE),0),0)</f>
        <v>0</v>
      </c>
      <c r="AX438" s="58">
        <f>IFERROR(IF($V438="BRAND.com",HLOOKUP($X438&amp;$Z438,PLANNING_FC!$T$27:$AH$46,MATCH($W438,PLANNING_FC!$B$27:$B$46,0),FALSE),0),0)</f>
        <v>0</v>
      </c>
      <c r="AY438" s="58">
        <f>IFERROR(IF($V438="BRAND.com",HLOOKUP($X438&amp;$Z438,PLANNING_FC!$T$4:$AH$23,MATCH($W438,PLANNING_FC!$B$4:$B$23,0),FALSE),0),0)</f>
        <v>0</v>
      </c>
      <c r="AZ438" s="58">
        <f>IFERROR(IF($V438="BRAND.com",HLOOKUP($X438&amp;$Z438,PLANNING_FC!$DA$27:$DO$46,MATCH($W438,PLANNING_FC!$CZ$27:$CZ$46,0),FALSE),0),0)</f>
        <v>0</v>
      </c>
      <c r="BA438" s="58">
        <f>IFERROR(IF($V438="BRAND.com",HLOOKUP($X438&amp;$Z438,PLANNING_FC!$DA$4:$DO$23,MATCH($W438,PLANNING_FC!$CZ$4:$CZ$23,0),FALSE),0),0)</f>
        <v>0</v>
      </c>
      <c r="BB438" s="883" t="str">
        <f>IF(V438="BRAND.com",IFERROR(HLOOKUP(X438&amp;Z438,PLANNING_FC!$AK$4:$AY$23,MATCH(W438,PLANNING_FC!$AJ$4:$AJ$23,0),FALSE)*1000,""),"")</f>
        <v/>
      </c>
      <c r="BC438" s="883" t="str">
        <f>IF(V438="BRAND.com",IFERROR(HLOOKUP(X438&amp;Z438,PLANNING_FC!$AK$27:$AY$46,MATCH(W438,PLANNING_FC!$AJ$27:$AJ$46,0),FALSE)*1000,""),"")</f>
        <v/>
      </c>
    </row>
    <row r="439" spans="1:55" x14ac:dyDescent="0.25">
      <c r="A439" s="509"/>
      <c r="B439" s="509"/>
      <c r="C439" s="509"/>
      <c r="D439" s="509"/>
      <c r="E439" s="509"/>
      <c r="F439" s="509"/>
      <c r="G439" s="509"/>
      <c r="H439" s="509"/>
      <c r="I439" s="512"/>
      <c r="J439" s="513"/>
      <c r="K439" s="879"/>
      <c r="L439" s="515"/>
      <c r="M439" s="516"/>
      <c r="N439" s="56">
        <f t="shared" si="146"/>
        <v>0</v>
      </c>
      <c r="O439" s="57">
        <f t="shared" si="147"/>
        <v>0</v>
      </c>
      <c r="P439" s="57">
        <f ca="1">IFERROR(IF(ISBLANK(H439),SUMIFS($AC:$AC,$V:$V,V439,$W:$W,W439,$X:$X,X439,$Y:$Y,Y439)*J439/(1-J439)*VLOOKUP(_xlfn.CONCAT(C439,D439,E439,TIME!$M$12,Z439),HIS_SALES!$B$2:$W$4859,20,FALSE),AC439*J439/(1-J439)),0)</f>
        <v>0</v>
      </c>
      <c r="Q439" s="541" t="str">
        <f t="shared" si="148"/>
        <v/>
      </c>
      <c r="R439" s="346" t="str">
        <f t="shared" si="149"/>
        <v>00000</v>
      </c>
      <c r="S439" s="344">
        <f t="shared" si="150"/>
        <v>0</v>
      </c>
      <c r="T439" s="345" t="str">
        <f t="shared" si="163"/>
        <v>000</v>
      </c>
      <c r="U439" s="345">
        <f t="shared" si="151"/>
        <v>0</v>
      </c>
      <c r="V439" s="345">
        <f t="shared" si="152"/>
        <v>0</v>
      </c>
      <c r="W439" s="345">
        <f t="shared" si="153"/>
        <v>0</v>
      </c>
      <c r="X439" s="345">
        <f t="shared" si="154"/>
        <v>0</v>
      </c>
      <c r="Y439" s="345">
        <f t="shared" si="155"/>
        <v>0</v>
      </c>
      <c r="Z439" s="345">
        <f>IF(Q439&lt;&gt;"",VLOOKUP(Y439,TIME!$R$21:$V$24,MATCH(FC_DATA!Q439,TIME!$R$20:$V$20,0),FALSE),H439)</f>
        <v>0</v>
      </c>
      <c r="AA439" s="345" t="str">
        <f>IFERROR(VLOOKUP(X439&amp;Z439,TIME!$A$12:$D$71,4,FALSE),"")</f>
        <v/>
      </c>
      <c r="AB439" s="592">
        <f t="shared" ca="1" si="156"/>
        <v>0</v>
      </c>
      <c r="AC439" s="593" t="e">
        <f ca="1">IF(ISBLANK(H439)=FALSE,IF(D439="BRAND.com",I439,IF(ISNA(VLOOKUP(_xlfn.CONCAT(X439,Z439),TIME!$M$40:$M$42,1,FALSE)),I439,VLOOKUP(_xlfn.CONCAT(D439,G439,H439),M_BUSAREA_FC!$AF$5:$AJ$10,5,FALSE)*HLOOKUP(_xlfn.CONCAT(F439,H439),ST_OVERVIEW!$G$99:$I$130,MATCH(_xlfn.CONCAT(D439,E439),ST_OVERVIEW!$F$99:$F$130,0),FALSE))),IF(D439="BRAND.com",VLOOKUP(_xlfn.CONCAT(C439,D439,E439,TIME!$F$1,Z439),HIS_SALES!$B$2:$V$4859,19,FALSE)*I439,VLOOKUP(_xlfn.CONCAT(D439,F439,G439),Q_BUSAREA_FC!$AE$5:$AI$12,5,FALSE)*HLOOKUP(_xlfn.CONCAT(FC_DATA!F439,FC_DATA!G439),LT_OVERVIEW!$I$99:$M$130,MATCH(_xlfn.CONCAT(D439,FC_DATA!E439),LT_OVERVIEW!$H$99:$H$130,0),FALSE)*IFERROR(VLOOKUP(_xlfn.CONCAT(C439,D439,E439,TIME!$F$1,Z439),HIS_SALES!$B$2:$V$4859,19,FALSE),0)))</f>
        <v>#N/A</v>
      </c>
      <c r="AD439" s="341">
        <f t="shared" ca="1" si="157"/>
        <v>0</v>
      </c>
      <c r="AE439" s="363" t="str">
        <f t="shared" si="158"/>
        <v/>
      </c>
      <c r="AF439" s="342" t="str">
        <f t="shared" si="159"/>
        <v/>
      </c>
      <c r="AG439" s="411" t="e">
        <f ca="1">VLOOKUP(_xlfn.CONCAT(U439,V439,W439,VLOOKUP(X439&amp;Y439,TIME!$L$27:$O$34,4,FALSE),Y439),HIS_SALES!$A$2:$R$5093,18,FALSE)</f>
        <v>#N/A</v>
      </c>
      <c r="AH439" s="412" t="e">
        <f ca="1">IFERROR(IF(AND(V439=V438,W439=W438),0.5*(AB439+AB438)*AG439,(VLOOKUP(_xlfn.CONCAT(U439,V439,W439,X439,VLOOKUP(Z439,TIME!$S$28:$T$39,2,FALSE)),FC_DATA!$R$2:$AB$5000,MATCH("GS_I_M",FC_DATA!$R$1:$AB$1,0),FALSE)+FC_DATA!AB439)*0.5*FC_DATA!AG439),NA())</f>
        <v>#N/A</v>
      </c>
      <c r="AI439" s="491" t="e">
        <f ca="1">IF(V439="PARTNER.com",AH439,IF(AND(V439=V438,W439=W438),(1-AVERAGE(AD438,AD439))*AH439,(1-AVERAGE(AD439,VLOOKUP(_xlfn.CONCAT(U439,V439,W439,X439,M_BRAND_FC!$F$6),FC_DATA!$R$2:$AD$5000,MATCH("DISCOUNT_%_M",FC_DATA!$R$1:$AD$1,0),FALSE)))*AH439))</f>
        <v>#N/A</v>
      </c>
      <c r="AJ439" s="412" t="str">
        <f t="shared" ca="1" si="160"/>
        <v/>
      </c>
      <c r="AK439" s="413" t="str">
        <f>IFERROR(AE439/(Q_BRAND_FC!$T$24+1),"")</f>
        <v/>
      </c>
      <c r="AL439" s="88" t="str">
        <f t="shared" ca="1" si="161"/>
        <v/>
      </c>
      <c r="AM439" s="414" t="str">
        <f t="shared" ca="1" si="162"/>
        <v/>
      </c>
      <c r="AN439" s="58">
        <f>IFERROR(IF($V439="BRAND.com",HLOOKUP($X439&amp;$Z439,NWC_FC_NOOS!$C$4:$Q$23,MATCH(W439,NWC_FC_NOOS!$B$4:$B$23,0),FALSE),0),0)</f>
        <v>0</v>
      </c>
      <c r="AO439" s="57">
        <f>IFERROR(IF($V439="BRAND.com",HLOOKUP($X439&amp;$Z439,NWC_FC_NOOS!$T$4:$AH$23,MATCH(W439,NWC_FC_NOOS!$S$4:$S$23,0),FALSE),0),0)</f>
        <v>0</v>
      </c>
      <c r="AP439" s="57">
        <f>IFERROR(IF($V439="BRAND.com",HLOOKUP($X439&amp;$Z439,NWC_FC_NOOS!$C$50:$U$69,MATCH(W439,NWC_FC_NOOS!$B$50:$B$69,0),FALSE),0),0)</f>
        <v>0</v>
      </c>
      <c r="AQ439" s="58">
        <f>IFERROR(IF($V439="BRAND.com",HLOOKUP($X439&amp;$Z439,'NWC_FC_NON-NOOS'!$C$4:$Q$23,MATCH(W439,'NWC_FC_NON-NOOS'!$B$4:$B$23,0),FALSE),0),0)</f>
        <v>0</v>
      </c>
      <c r="AR439" s="57">
        <f>IFERROR(IF($V439="BRAND.com",HLOOKUP($X439&amp;$Z439,'NWC_FC_NON-NOOS'!$T$4:$AH$23,MATCH(W439,'NWC_FC_NON-NOOS'!$S$4:$S$23,0),FALSE),0),0)</f>
        <v>0</v>
      </c>
      <c r="AS439" s="57">
        <f>IFERROR(IF($V439="BRAND.com",HLOOKUP($X439&amp;$Z439,'NWC_FC_NON-NOOS'!$C$50:$U$69,MATCH(W439,'NWC_FC_NON-NOOS'!$B$50:$B$69,0),FALSE),0),0)</f>
        <v>0</v>
      </c>
      <c r="AT439" s="57">
        <f t="shared" si="164"/>
        <v>0</v>
      </c>
      <c r="AU439" s="57">
        <f t="shared" si="165"/>
        <v>0</v>
      </c>
      <c r="AV439" s="58">
        <f>IFERROR(IF($V439="BRAND.com",HLOOKUP($X439&amp;$Z439,PLANNING_FC!$BB$27:$BP$46,MATCH($W439,PLANNING_FC!$BA$27:$BA$46,0),FALSE),0),0)</f>
        <v>0</v>
      </c>
      <c r="AW439" s="58">
        <f>IFERROR(IF($V439="BRAND.com",HLOOKUP($X439&amp;$Z439,PLANNING_FC!$BB$4:$BP$23,MATCH($W439,PLANNING_FC!$BA$4:$BA$23,0),FALSE),0),0)</f>
        <v>0</v>
      </c>
      <c r="AX439" s="58">
        <f>IFERROR(IF($V439="BRAND.com",HLOOKUP($X439&amp;$Z439,PLANNING_FC!$T$27:$AH$46,MATCH($W439,PLANNING_FC!$B$27:$B$46,0),FALSE),0),0)</f>
        <v>0</v>
      </c>
      <c r="AY439" s="58">
        <f>IFERROR(IF($V439="BRAND.com",HLOOKUP($X439&amp;$Z439,PLANNING_FC!$T$4:$AH$23,MATCH($W439,PLANNING_FC!$B$4:$B$23,0),FALSE),0),0)</f>
        <v>0</v>
      </c>
      <c r="AZ439" s="58">
        <f>IFERROR(IF($V439="BRAND.com",HLOOKUP($X439&amp;$Z439,PLANNING_FC!$DA$27:$DO$46,MATCH($W439,PLANNING_FC!$CZ$27:$CZ$46,0),FALSE),0),0)</f>
        <v>0</v>
      </c>
      <c r="BA439" s="58">
        <f>IFERROR(IF($V439="BRAND.com",HLOOKUP($X439&amp;$Z439,PLANNING_FC!$DA$4:$DO$23,MATCH($W439,PLANNING_FC!$CZ$4:$CZ$23,0),FALSE),0),0)</f>
        <v>0</v>
      </c>
      <c r="BB439" s="883" t="str">
        <f>IF(V439="BRAND.com",IFERROR(HLOOKUP(X439&amp;Z439,PLANNING_FC!$AK$4:$AY$23,MATCH(W439,PLANNING_FC!$AJ$4:$AJ$23,0),FALSE)*1000,""),"")</f>
        <v/>
      </c>
      <c r="BC439" s="883" t="str">
        <f>IF(V439="BRAND.com",IFERROR(HLOOKUP(X439&amp;Z439,PLANNING_FC!$AK$27:$AY$46,MATCH(W439,PLANNING_FC!$AJ$27:$AJ$46,0),FALSE)*1000,""),"")</f>
        <v/>
      </c>
    </row>
    <row r="440" spans="1:55" x14ac:dyDescent="0.25">
      <c r="A440" s="509"/>
      <c r="B440" s="509"/>
      <c r="C440" s="509"/>
      <c r="D440" s="509"/>
      <c r="E440" s="509"/>
      <c r="F440" s="509"/>
      <c r="G440" s="509"/>
      <c r="H440" s="509"/>
      <c r="I440" s="512"/>
      <c r="J440" s="513"/>
      <c r="K440" s="879"/>
      <c r="L440" s="515"/>
      <c r="M440" s="516"/>
      <c r="N440" s="56">
        <f t="shared" si="146"/>
        <v>0</v>
      </c>
      <c r="O440" s="57">
        <f t="shared" si="147"/>
        <v>0</v>
      </c>
      <c r="P440" s="57">
        <f ca="1">IFERROR(IF(ISBLANK(H440),SUMIFS($AC:$AC,$V:$V,V440,$W:$W,W440,$X:$X,X440,$Y:$Y,Y440)*J440/(1-J440)*VLOOKUP(_xlfn.CONCAT(C440,D440,E440,TIME!$M$12,Z440),HIS_SALES!$B$2:$W$4859,20,FALSE),AC440*J440/(1-J440)),0)</f>
        <v>0</v>
      </c>
      <c r="Q440" s="541" t="str">
        <f t="shared" si="148"/>
        <v/>
      </c>
      <c r="R440" s="346" t="str">
        <f t="shared" si="149"/>
        <v>00000</v>
      </c>
      <c r="S440" s="344">
        <f t="shared" si="150"/>
        <v>0</v>
      </c>
      <c r="T440" s="345" t="str">
        <f t="shared" si="163"/>
        <v>000</v>
      </c>
      <c r="U440" s="345">
        <f t="shared" si="151"/>
        <v>0</v>
      </c>
      <c r="V440" s="345">
        <f t="shared" si="152"/>
        <v>0</v>
      </c>
      <c r="W440" s="345">
        <f t="shared" si="153"/>
        <v>0</v>
      </c>
      <c r="X440" s="345">
        <f t="shared" si="154"/>
        <v>0</v>
      </c>
      <c r="Y440" s="345">
        <f t="shared" si="155"/>
        <v>0</v>
      </c>
      <c r="Z440" s="345">
        <f>IF(Q440&lt;&gt;"",VLOOKUP(Y440,TIME!$R$21:$V$24,MATCH(FC_DATA!Q440,TIME!$R$20:$V$20,0),FALSE),H440)</f>
        <v>0</v>
      </c>
      <c r="AA440" s="345" t="str">
        <f>IFERROR(VLOOKUP(X440&amp;Z440,TIME!$A$12:$D$71,4,FALSE),"")</f>
        <v/>
      </c>
      <c r="AB440" s="592">
        <f t="shared" ca="1" si="156"/>
        <v>0</v>
      </c>
      <c r="AC440" s="593" t="e">
        <f ca="1">IF(ISBLANK(H440)=FALSE,IF(D440="BRAND.com",I440,IF(ISNA(VLOOKUP(_xlfn.CONCAT(X440,Z440),TIME!$M$40:$M$42,1,FALSE)),I440,VLOOKUP(_xlfn.CONCAT(D440,G440,H440),M_BUSAREA_FC!$AF$5:$AJ$10,5,FALSE)*HLOOKUP(_xlfn.CONCAT(F440,H440),ST_OVERVIEW!$G$99:$I$130,MATCH(_xlfn.CONCAT(D440,E440),ST_OVERVIEW!$F$99:$F$130,0),FALSE))),IF(D440="BRAND.com",VLOOKUP(_xlfn.CONCAT(C440,D440,E440,TIME!$F$1,Z440),HIS_SALES!$B$2:$V$4859,19,FALSE)*I440,VLOOKUP(_xlfn.CONCAT(D440,F440,G440),Q_BUSAREA_FC!$AE$5:$AI$12,5,FALSE)*HLOOKUP(_xlfn.CONCAT(FC_DATA!F440,FC_DATA!G440),LT_OVERVIEW!$I$99:$M$130,MATCH(_xlfn.CONCAT(D440,FC_DATA!E440),LT_OVERVIEW!$H$99:$H$130,0),FALSE)*IFERROR(VLOOKUP(_xlfn.CONCAT(C440,D440,E440,TIME!$F$1,Z440),HIS_SALES!$B$2:$V$4859,19,FALSE),0)))</f>
        <v>#N/A</v>
      </c>
      <c r="AD440" s="341">
        <f t="shared" ca="1" si="157"/>
        <v>0</v>
      </c>
      <c r="AE440" s="363" t="str">
        <f t="shared" si="158"/>
        <v/>
      </c>
      <c r="AF440" s="342" t="str">
        <f t="shared" si="159"/>
        <v/>
      </c>
      <c r="AG440" s="411" t="e">
        <f ca="1">VLOOKUP(_xlfn.CONCAT(U440,V440,W440,VLOOKUP(X440&amp;Y440,TIME!$L$27:$O$34,4,FALSE),Y440),HIS_SALES!$A$2:$R$5093,18,FALSE)</f>
        <v>#N/A</v>
      </c>
      <c r="AH440" s="412" t="e">
        <f ca="1">IFERROR(IF(AND(V440=V439,W440=W439),0.5*(AB440+AB439)*AG440,(VLOOKUP(_xlfn.CONCAT(U440,V440,W440,X440,VLOOKUP(Z440,TIME!$S$28:$T$39,2,FALSE)),FC_DATA!$R$2:$AB$5000,MATCH("GS_I_M",FC_DATA!$R$1:$AB$1,0),FALSE)+FC_DATA!AB440)*0.5*FC_DATA!AG440),NA())</f>
        <v>#N/A</v>
      </c>
      <c r="AI440" s="491" t="e">
        <f ca="1">IF(V440="PARTNER.com",AH440,IF(AND(V440=V439,W440=W439),(1-AVERAGE(AD439,AD440))*AH440,(1-AVERAGE(AD440,VLOOKUP(_xlfn.CONCAT(U440,V440,W440,X440,M_BRAND_FC!$F$6),FC_DATA!$R$2:$AD$5000,MATCH("DISCOUNT_%_M",FC_DATA!$R$1:$AD$1,0),FALSE)))*AH440))</f>
        <v>#N/A</v>
      </c>
      <c r="AJ440" s="412" t="str">
        <f t="shared" ca="1" si="160"/>
        <v/>
      </c>
      <c r="AK440" s="413" t="str">
        <f>IFERROR(AE440/(Q_BRAND_FC!$T$24+1),"")</f>
        <v/>
      </c>
      <c r="AL440" s="88" t="str">
        <f t="shared" ca="1" si="161"/>
        <v/>
      </c>
      <c r="AM440" s="414" t="str">
        <f t="shared" ca="1" si="162"/>
        <v/>
      </c>
      <c r="AN440" s="58">
        <f>IFERROR(IF($V440="BRAND.com",HLOOKUP($X440&amp;$Z440,NWC_FC_NOOS!$C$4:$Q$23,MATCH(W440,NWC_FC_NOOS!$B$4:$B$23,0),FALSE),0),0)</f>
        <v>0</v>
      </c>
      <c r="AO440" s="57">
        <f>IFERROR(IF($V440="BRAND.com",HLOOKUP($X440&amp;$Z440,NWC_FC_NOOS!$T$4:$AH$23,MATCH(W440,NWC_FC_NOOS!$S$4:$S$23,0),FALSE),0),0)</f>
        <v>0</v>
      </c>
      <c r="AP440" s="57">
        <f>IFERROR(IF($V440="BRAND.com",HLOOKUP($X440&amp;$Z440,NWC_FC_NOOS!$C$50:$U$69,MATCH(W440,NWC_FC_NOOS!$B$50:$B$69,0),FALSE),0),0)</f>
        <v>0</v>
      </c>
      <c r="AQ440" s="58">
        <f>IFERROR(IF($V440="BRAND.com",HLOOKUP($X440&amp;$Z440,'NWC_FC_NON-NOOS'!$C$4:$Q$23,MATCH(W440,'NWC_FC_NON-NOOS'!$B$4:$B$23,0),FALSE),0),0)</f>
        <v>0</v>
      </c>
      <c r="AR440" s="57">
        <f>IFERROR(IF($V440="BRAND.com",HLOOKUP($X440&amp;$Z440,'NWC_FC_NON-NOOS'!$T$4:$AH$23,MATCH(W440,'NWC_FC_NON-NOOS'!$S$4:$S$23,0),FALSE),0),0)</f>
        <v>0</v>
      </c>
      <c r="AS440" s="57">
        <f>IFERROR(IF($V440="BRAND.com",HLOOKUP($X440&amp;$Z440,'NWC_FC_NON-NOOS'!$C$50:$U$69,MATCH(W440,'NWC_FC_NON-NOOS'!$B$50:$B$69,0),FALSE),0),0)</f>
        <v>0</v>
      </c>
      <c r="AT440" s="57">
        <f t="shared" si="164"/>
        <v>0</v>
      </c>
      <c r="AU440" s="57">
        <f t="shared" si="165"/>
        <v>0</v>
      </c>
      <c r="AV440" s="58">
        <f>IFERROR(IF($V440="BRAND.com",HLOOKUP($X440&amp;$Z440,PLANNING_FC!$BB$27:$BP$46,MATCH($W440,PLANNING_FC!$BA$27:$BA$46,0),FALSE),0),0)</f>
        <v>0</v>
      </c>
      <c r="AW440" s="58">
        <f>IFERROR(IF($V440="BRAND.com",HLOOKUP($X440&amp;$Z440,PLANNING_FC!$BB$4:$BP$23,MATCH($W440,PLANNING_FC!$BA$4:$BA$23,0),FALSE),0),0)</f>
        <v>0</v>
      </c>
      <c r="AX440" s="58">
        <f>IFERROR(IF($V440="BRAND.com",HLOOKUP($X440&amp;$Z440,PLANNING_FC!$T$27:$AH$46,MATCH($W440,PLANNING_FC!$B$27:$B$46,0),FALSE),0),0)</f>
        <v>0</v>
      </c>
      <c r="AY440" s="58">
        <f>IFERROR(IF($V440="BRAND.com",HLOOKUP($X440&amp;$Z440,PLANNING_FC!$T$4:$AH$23,MATCH($W440,PLANNING_FC!$B$4:$B$23,0),FALSE),0),0)</f>
        <v>0</v>
      </c>
      <c r="AZ440" s="58">
        <f>IFERROR(IF($V440="BRAND.com",HLOOKUP($X440&amp;$Z440,PLANNING_FC!$DA$27:$DO$46,MATCH($W440,PLANNING_FC!$CZ$27:$CZ$46,0),FALSE),0),0)</f>
        <v>0</v>
      </c>
      <c r="BA440" s="58">
        <f>IFERROR(IF($V440="BRAND.com",HLOOKUP($X440&amp;$Z440,PLANNING_FC!$DA$4:$DO$23,MATCH($W440,PLANNING_FC!$CZ$4:$CZ$23,0),FALSE),0),0)</f>
        <v>0</v>
      </c>
      <c r="BB440" s="883" t="str">
        <f>IF(V440="BRAND.com",IFERROR(HLOOKUP(X440&amp;Z440,PLANNING_FC!$AK$4:$AY$23,MATCH(W440,PLANNING_FC!$AJ$4:$AJ$23,0),FALSE)*1000,""),"")</f>
        <v/>
      </c>
      <c r="BC440" s="883" t="str">
        <f>IF(V440="BRAND.com",IFERROR(HLOOKUP(X440&amp;Z440,PLANNING_FC!$AK$27:$AY$46,MATCH(W440,PLANNING_FC!$AJ$27:$AJ$46,0),FALSE)*1000,""),"")</f>
        <v/>
      </c>
    </row>
    <row r="441" spans="1:55" x14ac:dyDescent="0.25">
      <c r="A441" s="509"/>
      <c r="B441" s="509"/>
      <c r="C441" s="509"/>
      <c r="D441" s="509"/>
      <c r="E441" s="509"/>
      <c r="F441" s="509"/>
      <c r="G441" s="509"/>
      <c r="H441" s="509"/>
      <c r="I441" s="512"/>
      <c r="J441" s="513"/>
      <c r="K441" s="879"/>
      <c r="L441" s="515"/>
      <c r="M441" s="516"/>
      <c r="N441" s="56">
        <f t="shared" si="146"/>
        <v>0</v>
      </c>
      <c r="O441" s="57">
        <f t="shared" si="147"/>
        <v>0</v>
      </c>
      <c r="P441" s="57">
        <f ca="1">IFERROR(IF(ISBLANK(H441),SUMIFS($AC:$AC,$V:$V,V441,$W:$W,W441,$X:$X,X441,$Y:$Y,Y441)*J441/(1-J441)*VLOOKUP(_xlfn.CONCAT(C441,D441,E441,TIME!$M$12,Z441),HIS_SALES!$B$2:$W$4859,20,FALSE),AC441*J441/(1-J441)),0)</f>
        <v>0</v>
      </c>
      <c r="Q441" s="541" t="str">
        <f t="shared" si="148"/>
        <v/>
      </c>
      <c r="R441" s="346" t="str">
        <f t="shared" si="149"/>
        <v>00000</v>
      </c>
      <c r="S441" s="344">
        <f t="shared" si="150"/>
        <v>0</v>
      </c>
      <c r="T441" s="345" t="str">
        <f t="shared" si="163"/>
        <v>000</v>
      </c>
      <c r="U441" s="345">
        <f t="shared" si="151"/>
        <v>0</v>
      </c>
      <c r="V441" s="345">
        <f t="shared" si="152"/>
        <v>0</v>
      </c>
      <c r="W441" s="345">
        <f t="shared" si="153"/>
        <v>0</v>
      </c>
      <c r="X441" s="345">
        <f t="shared" si="154"/>
        <v>0</v>
      </c>
      <c r="Y441" s="345">
        <f t="shared" si="155"/>
        <v>0</v>
      </c>
      <c r="Z441" s="345">
        <f>IF(Q441&lt;&gt;"",VLOOKUP(Y441,TIME!$R$21:$V$24,MATCH(FC_DATA!Q441,TIME!$R$20:$V$20,0),FALSE),H441)</f>
        <v>0</v>
      </c>
      <c r="AA441" s="345" t="str">
        <f>IFERROR(VLOOKUP(X441&amp;Z441,TIME!$A$12:$D$71,4,FALSE),"")</f>
        <v/>
      </c>
      <c r="AB441" s="592">
        <f t="shared" ca="1" si="156"/>
        <v>0</v>
      </c>
      <c r="AC441" s="593" t="e">
        <f ca="1">IF(ISBLANK(H441)=FALSE,IF(D441="BRAND.com",I441,IF(ISNA(VLOOKUP(_xlfn.CONCAT(X441,Z441),TIME!$M$40:$M$42,1,FALSE)),I441,VLOOKUP(_xlfn.CONCAT(D441,G441,H441),M_BUSAREA_FC!$AF$5:$AJ$10,5,FALSE)*HLOOKUP(_xlfn.CONCAT(F441,H441),ST_OVERVIEW!$G$99:$I$130,MATCH(_xlfn.CONCAT(D441,E441),ST_OVERVIEW!$F$99:$F$130,0),FALSE))),IF(D441="BRAND.com",VLOOKUP(_xlfn.CONCAT(C441,D441,E441,TIME!$F$1,Z441),HIS_SALES!$B$2:$V$4859,19,FALSE)*I441,VLOOKUP(_xlfn.CONCAT(D441,F441,G441),Q_BUSAREA_FC!$AE$5:$AI$12,5,FALSE)*HLOOKUP(_xlfn.CONCAT(FC_DATA!F441,FC_DATA!G441),LT_OVERVIEW!$I$99:$M$130,MATCH(_xlfn.CONCAT(D441,FC_DATA!E441),LT_OVERVIEW!$H$99:$H$130,0),FALSE)*IFERROR(VLOOKUP(_xlfn.CONCAT(C441,D441,E441,TIME!$F$1,Z441),HIS_SALES!$B$2:$V$4859,19,FALSE),0)))</f>
        <v>#N/A</v>
      </c>
      <c r="AD441" s="341">
        <f t="shared" ca="1" si="157"/>
        <v>0</v>
      </c>
      <c r="AE441" s="363" t="str">
        <f t="shared" si="158"/>
        <v/>
      </c>
      <c r="AF441" s="342" t="str">
        <f t="shared" si="159"/>
        <v/>
      </c>
      <c r="AG441" s="411" t="e">
        <f ca="1">VLOOKUP(_xlfn.CONCAT(U441,V441,W441,VLOOKUP(X441&amp;Y441,TIME!$L$27:$O$34,4,FALSE),Y441),HIS_SALES!$A$2:$R$5093,18,FALSE)</f>
        <v>#N/A</v>
      </c>
      <c r="AH441" s="412" t="e">
        <f ca="1">IFERROR(IF(AND(V441=V440,W441=W440),0.5*(AB441+AB440)*AG441,(VLOOKUP(_xlfn.CONCAT(U441,V441,W441,X441,VLOOKUP(Z441,TIME!$S$28:$T$39,2,FALSE)),FC_DATA!$R$2:$AB$5000,MATCH("GS_I_M",FC_DATA!$R$1:$AB$1,0),FALSE)+FC_DATA!AB441)*0.5*FC_DATA!AG441),NA())</f>
        <v>#N/A</v>
      </c>
      <c r="AI441" s="491" t="e">
        <f ca="1">IF(V441="PARTNER.com",AH441,IF(AND(V441=V440,W441=W440),(1-AVERAGE(AD440,AD441))*AH441,(1-AVERAGE(AD441,VLOOKUP(_xlfn.CONCAT(U441,V441,W441,X441,M_BRAND_FC!$F$6),FC_DATA!$R$2:$AD$5000,MATCH("DISCOUNT_%_M",FC_DATA!$R$1:$AD$1,0),FALSE)))*AH441))</f>
        <v>#N/A</v>
      </c>
      <c r="AJ441" s="412" t="str">
        <f t="shared" ca="1" si="160"/>
        <v/>
      </c>
      <c r="AK441" s="413" t="str">
        <f>IFERROR(AE441/(Q_BRAND_FC!$T$24+1),"")</f>
        <v/>
      </c>
      <c r="AL441" s="88" t="str">
        <f t="shared" ca="1" si="161"/>
        <v/>
      </c>
      <c r="AM441" s="414" t="str">
        <f t="shared" ca="1" si="162"/>
        <v/>
      </c>
      <c r="AN441" s="58">
        <f>IFERROR(IF($V441="BRAND.com",HLOOKUP($X441&amp;$Z441,NWC_FC_NOOS!$C$4:$Q$23,MATCH(W441,NWC_FC_NOOS!$B$4:$B$23,0),FALSE),0),0)</f>
        <v>0</v>
      </c>
      <c r="AO441" s="57">
        <f>IFERROR(IF($V441="BRAND.com",HLOOKUP($X441&amp;$Z441,NWC_FC_NOOS!$T$4:$AH$23,MATCH(W441,NWC_FC_NOOS!$S$4:$S$23,0),FALSE),0),0)</f>
        <v>0</v>
      </c>
      <c r="AP441" s="57">
        <f>IFERROR(IF($V441="BRAND.com",HLOOKUP($X441&amp;$Z441,NWC_FC_NOOS!$C$50:$U$69,MATCH(W441,NWC_FC_NOOS!$B$50:$B$69,0),FALSE),0),0)</f>
        <v>0</v>
      </c>
      <c r="AQ441" s="58">
        <f>IFERROR(IF($V441="BRAND.com",HLOOKUP($X441&amp;$Z441,'NWC_FC_NON-NOOS'!$C$4:$Q$23,MATCH(W441,'NWC_FC_NON-NOOS'!$B$4:$B$23,0),FALSE),0),0)</f>
        <v>0</v>
      </c>
      <c r="AR441" s="57">
        <f>IFERROR(IF($V441="BRAND.com",HLOOKUP($X441&amp;$Z441,'NWC_FC_NON-NOOS'!$T$4:$AH$23,MATCH(W441,'NWC_FC_NON-NOOS'!$S$4:$S$23,0),FALSE),0),0)</f>
        <v>0</v>
      </c>
      <c r="AS441" s="57">
        <f>IFERROR(IF($V441="BRAND.com",HLOOKUP($X441&amp;$Z441,'NWC_FC_NON-NOOS'!$C$50:$U$69,MATCH(W441,'NWC_FC_NON-NOOS'!$B$50:$B$69,0),FALSE),0),0)</f>
        <v>0</v>
      </c>
      <c r="AT441" s="57">
        <f t="shared" si="164"/>
        <v>0</v>
      </c>
      <c r="AU441" s="57">
        <f t="shared" si="165"/>
        <v>0</v>
      </c>
      <c r="AV441" s="58">
        <f>IFERROR(IF($V441="BRAND.com",HLOOKUP($X441&amp;$Z441,PLANNING_FC!$BB$27:$BP$46,MATCH($W441,PLANNING_FC!$BA$27:$BA$46,0),FALSE),0),0)</f>
        <v>0</v>
      </c>
      <c r="AW441" s="58">
        <f>IFERROR(IF($V441="BRAND.com",HLOOKUP($X441&amp;$Z441,PLANNING_FC!$BB$4:$BP$23,MATCH($W441,PLANNING_FC!$BA$4:$BA$23,0),FALSE),0),0)</f>
        <v>0</v>
      </c>
      <c r="AX441" s="58">
        <f>IFERROR(IF($V441="BRAND.com",HLOOKUP($X441&amp;$Z441,PLANNING_FC!$T$27:$AH$46,MATCH($W441,PLANNING_FC!$B$27:$B$46,0),FALSE),0),0)</f>
        <v>0</v>
      </c>
      <c r="AY441" s="58">
        <f>IFERROR(IF($V441="BRAND.com",HLOOKUP($X441&amp;$Z441,PLANNING_FC!$T$4:$AH$23,MATCH($W441,PLANNING_FC!$B$4:$B$23,0),FALSE),0),0)</f>
        <v>0</v>
      </c>
      <c r="AZ441" s="58">
        <f>IFERROR(IF($V441="BRAND.com",HLOOKUP($X441&amp;$Z441,PLANNING_FC!$DA$27:$DO$46,MATCH($W441,PLANNING_FC!$CZ$27:$CZ$46,0),FALSE),0),0)</f>
        <v>0</v>
      </c>
      <c r="BA441" s="58">
        <f>IFERROR(IF($V441="BRAND.com",HLOOKUP($X441&amp;$Z441,PLANNING_FC!$DA$4:$DO$23,MATCH($W441,PLANNING_FC!$CZ$4:$CZ$23,0),FALSE),0),0)</f>
        <v>0</v>
      </c>
      <c r="BB441" s="883" t="str">
        <f>IF(V441="BRAND.com",IFERROR(HLOOKUP(X441&amp;Z441,PLANNING_FC!$AK$4:$AY$23,MATCH(W441,PLANNING_FC!$AJ$4:$AJ$23,0),FALSE)*1000,""),"")</f>
        <v/>
      </c>
      <c r="BC441" s="883" t="str">
        <f>IF(V441="BRAND.com",IFERROR(HLOOKUP(X441&amp;Z441,PLANNING_FC!$AK$27:$AY$46,MATCH(W441,PLANNING_FC!$AJ$27:$AJ$46,0),FALSE)*1000,""),"")</f>
        <v/>
      </c>
    </row>
    <row r="442" spans="1:55" x14ac:dyDescent="0.25">
      <c r="A442" s="509"/>
      <c r="B442" s="509"/>
      <c r="C442" s="509"/>
      <c r="D442" s="509"/>
      <c r="E442" s="509"/>
      <c r="F442" s="509"/>
      <c r="G442" s="511"/>
      <c r="H442" s="509"/>
      <c r="I442" s="512"/>
      <c r="J442" s="513"/>
      <c r="K442" s="879"/>
      <c r="L442" s="515"/>
      <c r="M442" s="516"/>
      <c r="N442" s="56">
        <f t="shared" si="146"/>
        <v>0</v>
      </c>
      <c r="O442" s="57">
        <f t="shared" si="147"/>
        <v>0</v>
      </c>
      <c r="P442" s="57">
        <f ca="1">IFERROR(IF(ISBLANK(H442),SUMIFS($AC:$AC,$V:$V,V442,$W:$W,W442,$X:$X,X442,$Y:$Y,Y442)*J442/(1-J442)*VLOOKUP(_xlfn.CONCAT(C442,D442,E442,TIME!$M$12,Z442),HIS_SALES!$B$2:$W$4859,20,FALSE),AC442*J442/(1-J442)),0)</f>
        <v>0</v>
      </c>
      <c r="Q442" s="541" t="str">
        <f t="shared" si="148"/>
        <v/>
      </c>
      <c r="R442" s="346" t="str">
        <f t="shared" si="149"/>
        <v>00000</v>
      </c>
      <c r="S442" s="344">
        <f t="shared" si="150"/>
        <v>0</v>
      </c>
      <c r="T442" s="345" t="str">
        <f t="shared" si="163"/>
        <v>000</v>
      </c>
      <c r="U442" s="345">
        <f t="shared" si="151"/>
        <v>0</v>
      </c>
      <c r="V442" s="345">
        <f t="shared" si="152"/>
        <v>0</v>
      </c>
      <c r="W442" s="345">
        <f t="shared" si="153"/>
        <v>0</v>
      </c>
      <c r="X442" s="345">
        <f t="shared" si="154"/>
        <v>0</v>
      </c>
      <c r="Y442" s="345">
        <f t="shared" si="155"/>
        <v>0</v>
      </c>
      <c r="Z442" s="345">
        <f>IF(Q442&lt;&gt;"",VLOOKUP(Y442,TIME!$R$21:$V$24,MATCH(FC_DATA!Q442,TIME!$R$20:$V$20,0),FALSE),H442)</f>
        <v>0</v>
      </c>
      <c r="AA442" s="345" t="str">
        <f>IFERROR(VLOOKUP(X442&amp;Z442,TIME!$A$12:$D$71,4,FALSE),"")</f>
        <v/>
      </c>
      <c r="AB442" s="592">
        <f t="shared" ca="1" si="156"/>
        <v>0</v>
      </c>
      <c r="AC442" s="593" t="e">
        <f ca="1">IF(ISBLANK(H442)=FALSE,IF(D442="BRAND.com",I442,IF(ISNA(VLOOKUP(_xlfn.CONCAT(X442,Z442),TIME!$M$40:$M$42,1,FALSE)),I442,VLOOKUP(_xlfn.CONCAT(D442,G442,H442),M_BUSAREA_FC!$AF$5:$AJ$10,5,FALSE)*HLOOKUP(_xlfn.CONCAT(F442,H442),ST_OVERVIEW!$G$99:$I$130,MATCH(_xlfn.CONCAT(D442,E442),ST_OVERVIEW!$F$99:$F$130,0),FALSE))),IF(D442="BRAND.com",VLOOKUP(_xlfn.CONCAT(C442,D442,E442,TIME!$F$1,Z442),HIS_SALES!$B$2:$V$4859,19,FALSE)*I442,VLOOKUP(_xlfn.CONCAT(D442,F442,G442),Q_BUSAREA_FC!$AE$5:$AI$12,5,FALSE)*HLOOKUP(_xlfn.CONCAT(FC_DATA!F442,FC_DATA!G442),LT_OVERVIEW!$I$99:$M$130,MATCH(_xlfn.CONCAT(D442,FC_DATA!E442),LT_OVERVIEW!$H$99:$H$130,0),FALSE)*IFERROR(VLOOKUP(_xlfn.CONCAT(C442,D442,E442,TIME!$F$1,Z442),HIS_SALES!$B$2:$V$4859,19,FALSE),0)))</f>
        <v>#N/A</v>
      </c>
      <c r="AD442" s="341">
        <f t="shared" ca="1" si="157"/>
        <v>0</v>
      </c>
      <c r="AE442" s="363" t="str">
        <f t="shared" si="158"/>
        <v/>
      </c>
      <c r="AF442" s="342" t="str">
        <f t="shared" si="159"/>
        <v/>
      </c>
      <c r="AG442" s="411" t="e">
        <f ca="1">VLOOKUP(_xlfn.CONCAT(U442,V442,W442,VLOOKUP(X442&amp;Y442,TIME!$L$27:$O$34,4,FALSE),Y442),HIS_SALES!$A$2:$R$5093,18,FALSE)</f>
        <v>#N/A</v>
      </c>
      <c r="AH442" s="412" t="e">
        <f ca="1">IFERROR(IF(AND(V442=V441,W442=W441),0.5*(AB442+AB441)*AG442,(VLOOKUP(_xlfn.CONCAT(U442,V442,W442,X442,VLOOKUP(Z442,TIME!$S$28:$T$39,2,FALSE)),FC_DATA!$R$2:$AB$5000,MATCH("GS_I_M",FC_DATA!$R$1:$AB$1,0),FALSE)+FC_DATA!AB442)*0.5*FC_DATA!AG442),NA())</f>
        <v>#N/A</v>
      </c>
      <c r="AI442" s="491" t="e">
        <f ca="1">IF(V442="PARTNER.com",AH442,IF(AND(V442=V441,W442=W441),(1-AVERAGE(AD441,AD442))*AH442,(1-AVERAGE(AD442,VLOOKUP(_xlfn.CONCAT(U442,V442,W442,X442,M_BRAND_FC!$F$6),FC_DATA!$R$2:$AD$5000,MATCH("DISCOUNT_%_M",FC_DATA!$R$1:$AD$1,0),FALSE)))*AH442))</f>
        <v>#N/A</v>
      </c>
      <c r="AJ442" s="412" t="str">
        <f t="shared" ca="1" si="160"/>
        <v/>
      </c>
      <c r="AK442" s="413" t="str">
        <f>IFERROR(AE442/(Q_BRAND_FC!$T$24+1),"")</f>
        <v/>
      </c>
      <c r="AL442" s="88" t="str">
        <f t="shared" ca="1" si="161"/>
        <v/>
      </c>
      <c r="AM442" s="414" t="str">
        <f t="shared" ca="1" si="162"/>
        <v/>
      </c>
      <c r="AN442" s="58">
        <f>IFERROR(IF($V442="BRAND.com",HLOOKUP($X442&amp;$Z442,NWC_FC_NOOS!$C$4:$Q$23,MATCH(W442,NWC_FC_NOOS!$B$4:$B$23,0),FALSE),0),0)</f>
        <v>0</v>
      </c>
      <c r="AO442" s="57">
        <f>IFERROR(IF($V442="BRAND.com",HLOOKUP($X442&amp;$Z442,NWC_FC_NOOS!$T$4:$AH$23,MATCH(W442,NWC_FC_NOOS!$S$4:$S$23,0),FALSE),0),0)</f>
        <v>0</v>
      </c>
      <c r="AP442" s="57">
        <f>IFERROR(IF($V442="BRAND.com",HLOOKUP($X442&amp;$Z442,NWC_FC_NOOS!$C$50:$U$69,MATCH(W442,NWC_FC_NOOS!$B$50:$B$69,0),FALSE),0),0)</f>
        <v>0</v>
      </c>
      <c r="AQ442" s="58">
        <f>IFERROR(IF($V442="BRAND.com",HLOOKUP($X442&amp;$Z442,'NWC_FC_NON-NOOS'!$C$4:$Q$23,MATCH(W442,'NWC_FC_NON-NOOS'!$B$4:$B$23,0),FALSE),0),0)</f>
        <v>0</v>
      </c>
      <c r="AR442" s="57">
        <f>IFERROR(IF($V442="BRAND.com",HLOOKUP($X442&amp;$Z442,'NWC_FC_NON-NOOS'!$T$4:$AH$23,MATCH(W442,'NWC_FC_NON-NOOS'!$S$4:$S$23,0),FALSE),0),0)</f>
        <v>0</v>
      </c>
      <c r="AS442" s="57">
        <f>IFERROR(IF($V442="BRAND.com",HLOOKUP($X442&amp;$Z442,'NWC_FC_NON-NOOS'!$C$50:$U$69,MATCH(W442,'NWC_FC_NON-NOOS'!$B$50:$B$69,0),FALSE),0),0)</f>
        <v>0</v>
      </c>
      <c r="AT442" s="57">
        <f t="shared" si="164"/>
        <v>0</v>
      </c>
      <c r="AU442" s="57">
        <f t="shared" si="165"/>
        <v>0</v>
      </c>
      <c r="AV442" s="58">
        <f>IFERROR(IF($V442="BRAND.com",HLOOKUP($X442&amp;$Z442,PLANNING_FC!$BB$27:$BP$46,MATCH($W442,PLANNING_FC!$BA$27:$BA$46,0),FALSE),0),0)</f>
        <v>0</v>
      </c>
      <c r="AW442" s="58">
        <f>IFERROR(IF($V442="BRAND.com",HLOOKUP($X442&amp;$Z442,PLANNING_FC!$BB$4:$BP$23,MATCH($W442,PLANNING_FC!$BA$4:$BA$23,0),FALSE),0),0)</f>
        <v>0</v>
      </c>
      <c r="AX442" s="58">
        <f>IFERROR(IF($V442="BRAND.com",HLOOKUP($X442&amp;$Z442,PLANNING_FC!$T$27:$AH$46,MATCH($W442,PLANNING_FC!$B$27:$B$46,0),FALSE),0),0)</f>
        <v>0</v>
      </c>
      <c r="AY442" s="58">
        <f>IFERROR(IF($V442="BRAND.com",HLOOKUP($X442&amp;$Z442,PLANNING_FC!$T$4:$AH$23,MATCH($W442,PLANNING_FC!$B$4:$B$23,0),FALSE),0),0)</f>
        <v>0</v>
      </c>
      <c r="AZ442" s="58">
        <f>IFERROR(IF($V442="BRAND.com",HLOOKUP($X442&amp;$Z442,PLANNING_FC!$DA$27:$DO$46,MATCH($W442,PLANNING_FC!$CZ$27:$CZ$46,0),FALSE),0),0)</f>
        <v>0</v>
      </c>
      <c r="BA442" s="58">
        <f>IFERROR(IF($V442="BRAND.com",HLOOKUP($X442&amp;$Z442,PLANNING_FC!$DA$4:$DO$23,MATCH($W442,PLANNING_FC!$CZ$4:$CZ$23,0),FALSE),0),0)</f>
        <v>0</v>
      </c>
      <c r="BB442" s="883" t="str">
        <f>IF(V442="BRAND.com",IFERROR(HLOOKUP(X442&amp;Z442,PLANNING_FC!$AK$4:$AY$23,MATCH(W442,PLANNING_FC!$AJ$4:$AJ$23,0),FALSE)*1000,""),"")</f>
        <v/>
      </c>
      <c r="BC442" s="883" t="str">
        <f>IF(V442="BRAND.com",IFERROR(HLOOKUP(X442&amp;Z442,PLANNING_FC!$AK$27:$AY$46,MATCH(W442,PLANNING_FC!$AJ$27:$AJ$46,0),FALSE)*1000,""),"")</f>
        <v/>
      </c>
    </row>
    <row r="443" spans="1:55" x14ac:dyDescent="0.25">
      <c r="A443" s="509"/>
      <c r="B443" s="509"/>
      <c r="C443" s="509"/>
      <c r="D443" s="509"/>
      <c r="E443" s="509"/>
      <c r="F443" s="509"/>
      <c r="G443" s="509"/>
      <c r="H443" s="509"/>
      <c r="I443" s="512"/>
      <c r="J443" s="513"/>
      <c r="K443" s="879"/>
      <c r="L443" s="515"/>
      <c r="M443" s="516"/>
      <c r="N443" s="56">
        <f t="shared" si="146"/>
        <v>0</v>
      </c>
      <c r="O443" s="57">
        <f t="shared" si="147"/>
        <v>0</v>
      </c>
      <c r="P443" s="57">
        <f ca="1">IFERROR(IF(ISBLANK(H443),SUMIFS($AC:$AC,$V:$V,V443,$W:$W,W443,$X:$X,X443,$Y:$Y,Y443)*J443/(1-J443)*VLOOKUP(_xlfn.CONCAT(C443,D443,E443,TIME!$M$12,Z443),HIS_SALES!$B$2:$W$4859,20,FALSE),AC443*J443/(1-J443)),0)</f>
        <v>0</v>
      </c>
      <c r="Q443" s="541" t="str">
        <f t="shared" si="148"/>
        <v/>
      </c>
      <c r="R443" s="346" t="str">
        <f t="shared" si="149"/>
        <v>00000</v>
      </c>
      <c r="S443" s="344">
        <f t="shared" si="150"/>
        <v>0</v>
      </c>
      <c r="T443" s="345" t="str">
        <f t="shared" si="163"/>
        <v>000</v>
      </c>
      <c r="U443" s="345">
        <f t="shared" si="151"/>
        <v>0</v>
      </c>
      <c r="V443" s="345">
        <f t="shared" si="152"/>
        <v>0</v>
      </c>
      <c r="W443" s="345">
        <f t="shared" si="153"/>
        <v>0</v>
      </c>
      <c r="X443" s="345">
        <f t="shared" si="154"/>
        <v>0</v>
      </c>
      <c r="Y443" s="345">
        <f t="shared" si="155"/>
        <v>0</v>
      </c>
      <c r="Z443" s="345">
        <f>IF(Q443&lt;&gt;"",VLOOKUP(Y443,TIME!$R$21:$V$24,MATCH(FC_DATA!Q443,TIME!$R$20:$V$20,0),FALSE),H443)</f>
        <v>0</v>
      </c>
      <c r="AA443" s="345" t="str">
        <f>IFERROR(VLOOKUP(X443&amp;Z443,TIME!$A$12:$D$71,4,FALSE),"")</f>
        <v/>
      </c>
      <c r="AB443" s="592">
        <f t="shared" ca="1" si="156"/>
        <v>0</v>
      </c>
      <c r="AC443" s="593" t="e">
        <f ca="1">IF(ISBLANK(H443)=FALSE,IF(D443="BRAND.com",I443,IF(ISNA(VLOOKUP(_xlfn.CONCAT(X443,Z443),TIME!$M$40:$M$42,1,FALSE)),I443,VLOOKUP(_xlfn.CONCAT(D443,G443,H443),M_BUSAREA_FC!$AF$5:$AJ$10,5,FALSE)*HLOOKUP(_xlfn.CONCAT(F443,H443),ST_OVERVIEW!$G$99:$I$130,MATCH(_xlfn.CONCAT(D443,E443),ST_OVERVIEW!$F$99:$F$130,0),FALSE))),IF(D443="BRAND.com",VLOOKUP(_xlfn.CONCAT(C443,D443,E443,TIME!$F$1,Z443),HIS_SALES!$B$2:$V$4859,19,FALSE)*I443,VLOOKUP(_xlfn.CONCAT(D443,F443,G443),Q_BUSAREA_FC!$AE$5:$AI$12,5,FALSE)*HLOOKUP(_xlfn.CONCAT(FC_DATA!F443,FC_DATA!G443),LT_OVERVIEW!$I$99:$M$130,MATCH(_xlfn.CONCAT(D443,FC_DATA!E443),LT_OVERVIEW!$H$99:$H$130,0),FALSE)*IFERROR(VLOOKUP(_xlfn.CONCAT(C443,D443,E443,TIME!$F$1,Z443),HIS_SALES!$B$2:$V$4859,19,FALSE),0)))</f>
        <v>#N/A</v>
      </c>
      <c r="AD443" s="341">
        <f t="shared" ca="1" si="157"/>
        <v>0</v>
      </c>
      <c r="AE443" s="363" t="str">
        <f t="shared" si="158"/>
        <v/>
      </c>
      <c r="AF443" s="342" t="str">
        <f t="shared" si="159"/>
        <v/>
      </c>
      <c r="AG443" s="411" t="e">
        <f ca="1">VLOOKUP(_xlfn.CONCAT(U443,V443,W443,VLOOKUP(X443&amp;Y443,TIME!$L$27:$O$34,4,FALSE),Y443),HIS_SALES!$A$2:$R$5093,18,FALSE)</f>
        <v>#N/A</v>
      </c>
      <c r="AH443" s="412" t="e">
        <f ca="1">IFERROR(IF(AND(V443=V442,W443=W442),0.5*(AB443+AB442)*AG443,(VLOOKUP(_xlfn.CONCAT(U443,V443,W443,X443,VLOOKUP(Z443,TIME!$S$28:$T$39,2,FALSE)),FC_DATA!$R$2:$AB$5000,MATCH("GS_I_M",FC_DATA!$R$1:$AB$1,0),FALSE)+FC_DATA!AB443)*0.5*FC_DATA!AG443),NA())</f>
        <v>#N/A</v>
      </c>
      <c r="AI443" s="491" t="e">
        <f ca="1">IF(V443="PARTNER.com",AH443,IF(AND(V443=V442,W443=W442),(1-AVERAGE(AD442,AD443))*AH443,(1-AVERAGE(AD443,VLOOKUP(_xlfn.CONCAT(U443,V443,W443,X443,M_BRAND_FC!$F$6),FC_DATA!$R$2:$AD$5000,MATCH("DISCOUNT_%_M",FC_DATA!$R$1:$AD$1,0),FALSE)))*AH443))</f>
        <v>#N/A</v>
      </c>
      <c r="AJ443" s="412" t="str">
        <f t="shared" ca="1" si="160"/>
        <v/>
      </c>
      <c r="AK443" s="413" t="str">
        <f>IFERROR(AE443/(Q_BRAND_FC!$T$24+1),"")</f>
        <v/>
      </c>
      <c r="AL443" s="88" t="str">
        <f t="shared" ca="1" si="161"/>
        <v/>
      </c>
      <c r="AM443" s="414" t="str">
        <f t="shared" ca="1" si="162"/>
        <v/>
      </c>
      <c r="AN443" s="58">
        <f>IFERROR(IF($V443="BRAND.com",HLOOKUP($X443&amp;$Z443,NWC_FC_NOOS!$C$4:$Q$23,MATCH(W443,NWC_FC_NOOS!$B$4:$B$23,0),FALSE),0),0)</f>
        <v>0</v>
      </c>
      <c r="AO443" s="57">
        <f>IFERROR(IF($V443="BRAND.com",HLOOKUP($X443&amp;$Z443,NWC_FC_NOOS!$T$4:$AH$23,MATCH(W443,NWC_FC_NOOS!$S$4:$S$23,0),FALSE),0),0)</f>
        <v>0</v>
      </c>
      <c r="AP443" s="57">
        <f>IFERROR(IF($V443="BRAND.com",HLOOKUP($X443&amp;$Z443,NWC_FC_NOOS!$C$50:$U$69,MATCH(W443,NWC_FC_NOOS!$B$50:$B$69,0),FALSE),0),0)</f>
        <v>0</v>
      </c>
      <c r="AQ443" s="58">
        <f>IFERROR(IF($V443="BRAND.com",HLOOKUP($X443&amp;$Z443,'NWC_FC_NON-NOOS'!$C$4:$Q$23,MATCH(W443,'NWC_FC_NON-NOOS'!$B$4:$B$23,0),FALSE),0),0)</f>
        <v>0</v>
      </c>
      <c r="AR443" s="57">
        <f>IFERROR(IF($V443="BRAND.com",HLOOKUP($X443&amp;$Z443,'NWC_FC_NON-NOOS'!$T$4:$AH$23,MATCH(W443,'NWC_FC_NON-NOOS'!$S$4:$S$23,0),FALSE),0),0)</f>
        <v>0</v>
      </c>
      <c r="AS443" s="57">
        <f>IFERROR(IF($V443="BRAND.com",HLOOKUP($X443&amp;$Z443,'NWC_FC_NON-NOOS'!$C$50:$U$69,MATCH(W443,'NWC_FC_NON-NOOS'!$B$50:$B$69,0),FALSE),0),0)</f>
        <v>0</v>
      </c>
      <c r="AT443" s="57">
        <f t="shared" si="164"/>
        <v>0</v>
      </c>
      <c r="AU443" s="57">
        <f t="shared" si="165"/>
        <v>0</v>
      </c>
      <c r="AV443" s="58">
        <f>IFERROR(IF($V443="BRAND.com",HLOOKUP($X443&amp;$Z443,PLANNING_FC!$BB$27:$BP$46,MATCH($W443,PLANNING_FC!$BA$27:$BA$46,0),FALSE),0),0)</f>
        <v>0</v>
      </c>
      <c r="AW443" s="58">
        <f>IFERROR(IF($V443="BRAND.com",HLOOKUP($X443&amp;$Z443,PLANNING_FC!$BB$4:$BP$23,MATCH($W443,PLANNING_FC!$BA$4:$BA$23,0),FALSE),0),0)</f>
        <v>0</v>
      </c>
      <c r="AX443" s="58">
        <f>IFERROR(IF($V443="BRAND.com",HLOOKUP($X443&amp;$Z443,PLANNING_FC!$T$27:$AH$46,MATCH($W443,PLANNING_FC!$B$27:$B$46,0),FALSE),0),0)</f>
        <v>0</v>
      </c>
      <c r="AY443" s="58">
        <f>IFERROR(IF($V443="BRAND.com",HLOOKUP($X443&amp;$Z443,PLANNING_FC!$T$4:$AH$23,MATCH($W443,PLANNING_FC!$B$4:$B$23,0),FALSE),0),0)</f>
        <v>0</v>
      </c>
      <c r="AZ443" s="58">
        <f>IFERROR(IF($V443="BRAND.com",HLOOKUP($X443&amp;$Z443,PLANNING_FC!$DA$27:$DO$46,MATCH($W443,PLANNING_FC!$CZ$27:$CZ$46,0),FALSE),0),0)</f>
        <v>0</v>
      </c>
      <c r="BA443" s="58">
        <f>IFERROR(IF($V443="BRAND.com",HLOOKUP($X443&amp;$Z443,PLANNING_FC!$DA$4:$DO$23,MATCH($W443,PLANNING_FC!$CZ$4:$CZ$23,0),FALSE),0),0)</f>
        <v>0</v>
      </c>
      <c r="BB443" s="883" t="str">
        <f>IF(V443="BRAND.com",IFERROR(HLOOKUP(X443&amp;Z443,PLANNING_FC!$AK$4:$AY$23,MATCH(W443,PLANNING_FC!$AJ$4:$AJ$23,0),FALSE)*1000,""),"")</f>
        <v/>
      </c>
      <c r="BC443" s="883" t="str">
        <f>IF(V443="BRAND.com",IFERROR(HLOOKUP(X443&amp;Z443,PLANNING_FC!$AK$27:$AY$46,MATCH(W443,PLANNING_FC!$AJ$27:$AJ$46,0),FALSE)*1000,""),"")</f>
        <v/>
      </c>
    </row>
    <row r="444" spans="1:55" x14ac:dyDescent="0.25">
      <c r="A444" s="509"/>
      <c r="B444" s="509"/>
      <c r="C444" s="509"/>
      <c r="D444" s="509"/>
      <c r="E444" s="509"/>
      <c r="F444" s="509"/>
      <c r="G444" s="509"/>
      <c r="H444" s="509"/>
      <c r="I444" s="512"/>
      <c r="J444" s="513"/>
      <c r="K444" s="879"/>
      <c r="L444" s="515"/>
      <c r="M444" s="516"/>
      <c r="N444" s="56">
        <f t="shared" si="146"/>
        <v>0</v>
      </c>
      <c r="O444" s="57">
        <f t="shared" si="147"/>
        <v>0</v>
      </c>
      <c r="P444" s="57">
        <f ca="1">IFERROR(IF(ISBLANK(H444),SUMIFS($AC:$AC,$V:$V,V444,$W:$W,W444,$X:$X,X444,$Y:$Y,Y444)*J444/(1-J444)*VLOOKUP(_xlfn.CONCAT(C444,D444,E444,TIME!$M$12,Z444),HIS_SALES!$B$2:$W$4859,20,FALSE),AC444*J444/(1-J444)),0)</f>
        <v>0</v>
      </c>
      <c r="Q444" s="541" t="str">
        <f t="shared" si="148"/>
        <v/>
      </c>
      <c r="R444" s="346" t="str">
        <f t="shared" si="149"/>
        <v>00000</v>
      </c>
      <c r="S444" s="344">
        <f t="shared" si="150"/>
        <v>0</v>
      </c>
      <c r="T444" s="345" t="str">
        <f t="shared" si="163"/>
        <v>000</v>
      </c>
      <c r="U444" s="345">
        <f t="shared" si="151"/>
        <v>0</v>
      </c>
      <c r="V444" s="345">
        <f t="shared" si="152"/>
        <v>0</v>
      </c>
      <c r="W444" s="345">
        <f t="shared" si="153"/>
        <v>0</v>
      </c>
      <c r="X444" s="345">
        <f t="shared" si="154"/>
        <v>0</v>
      </c>
      <c r="Y444" s="345">
        <f t="shared" si="155"/>
        <v>0</v>
      </c>
      <c r="Z444" s="345">
        <f>IF(Q444&lt;&gt;"",VLOOKUP(Y444,TIME!$R$21:$V$24,MATCH(FC_DATA!Q444,TIME!$R$20:$V$20,0),FALSE),H444)</f>
        <v>0</v>
      </c>
      <c r="AA444" s="345" t="str">
        <f>IFERROR(VLOOKUP(X444&amp;Z444,TIME!$A$12:$D$71,4,FALSE),"")</f>
        <v/>
      </c>
      <c r="AB444" s="592">
        <f t="shared" ca="1" si="156"/>
        <v>0</v>
      </c>
      <c r="AC444" s="593" t="e">
        <f ca="1">IF(ISBLANK(H444)=FALSE,IF(D444="BRAND.com",I444,IF(ISNA(VLOOKUP(_xlfn.CONCAT(X444,Z444),TIME!$M$40:$M$42,1,FALSE)),I444,VLOOKUP(_xlfn.CONCAT(D444,G444,H444),M_BUSAREA_FC!$AF$5:$AJ$10,5,FALSE)*HLOOKUP(_xlfn.CONCAT(F444,H444),ST_OVERVIEW!$G$99:$I$130,MATCH(_xlfn.CONCAT(D444,E444),ST_OVERVIEW!$F$99:$F$130,0),FALSE))),IF(D444="BRAND.com",VLOOKUP(_xlfn.CONCAT(C444,D444,E444,TIME!$F$1,Z444),HIS_SALES!$B$2:$V$4859,19,FALSE)*I444,VLOOKUP(_xlfn.CONCAT(D444,F444,G444),Q_BUSAREA_FC!$AE$5:$AI$12,5,FALSE)*HLOOKUP(_xlfn.CONCAT(FC_DATA!F444,FC_DATA!G444),LT_OVERVIEW!$I$99:$M$130,MATCH(_xlfn.CONCAT(D444,FC_DATA!E444),LT_OVERVIEW!$H$99:$H$130,0),FALSE)*IFERROR(VLOOKUP(_xlfn.CONCAT(C444,D444,E444,TIME!$F$1,Z444),HIS_SALES!$B$2:$V$4859,19,FALSE),0)))</f>
        <v>#N/A</v>
      </c>
      <c r="AD444" s="341">
        <f t="shared" ca="1" si="157"/>
        <v>0</v>
      </c>
      <c r="AE444" s="363" t="str">
        <f t="shared" si="158"/>
        <v/>
      </c>
      <c r="AF444" s="342" t="str">
        <f t="shared" si="159"/>
        <v/>
      </c>
      <c r="AG444" s="411" t="e">
        <f ca="1">VLOOKUP(_xlfn.CONCAT(U444,V444,W444,VLOOKUP(X444&amp;Y444,TIME!$L$27:$O$34,4,FALSE),Y444),HIS_SALES!$A$2:$R$5093,18,FALSE)</f>
        <v>#N/A</v>
      </c>
      <c r="AH444" s="412" t="e">
        <f ca="1">IFERROR(IF(AND(V444=V443,W444=W443),0.5*(AB444+AB443)*AG444,(VLOOKUP(_xlfn.CONCAT(U444,V444,W444,X444,VLOOKUP(Z444,TIME!$S$28:$T$39,2,FALSE)),FC_DATA!$R$2:$AB$5000,MATCH("GS_I_M",FC_DATA!$R$1:$AB$1,0),FALSE)+FC_DATA!AB444)*0.5*FC_DATA!AG444),NA())</f>
        <v>#N/A</v>
      </c>
      <c r="AI444" s="491" t="e">
        <f ca="1">IF(V444="PARTNER.com",AH444,IF(AND(V444=V443,W444=W443),(1-AVERAGE(AD443,AD444))*AH444,(1-AVERAGE(AD444,VLOOKUP(_xlfn.CONCAT(U444,V444,W444,X444,M_BRAND_FC!$F$6),FC_DATA!$R$2:$AD$5000,MATCH("DISCOUNT_%_M",FC_DATA!$R$1:$AD$1,0),FALSE)))*AH444))</f>
        <v>#N/A</v>
      </c>
      <c r="AJ444" s="412" t="str">
        <f t="shared" ca="1" si="160"/>
        <v/>
      </c>
      <c r="AK444" s="413" t="str">
        <f>IFERROR(AE444/(Q_BRAND_FC!$T$24+1),"")</f>
        <v/>
      </c>
      <c r="AL444" s="88" t="str">
        <f t="shared" ca="1" si="161"/>
        <v/>
      </c>
      <c r="AM444" s="414" t="str">
        <f t="shared" ca="1" si="162"/>
        <v/>
      </c>
      <c r="AN444" s="58">
        <f>IFERROR(IF($V444="BRAND.com",HLOOKUP($X444&amp;$Z444,NWC_FC_NOOS!$C$4:$Q$23,MATCH(W444,NWC_FC_NOOS!$B$4:$B$23,0),FALSE),0),0)</f>
        <v>0</v>
      </c>
      <c r="AO444" s="57">
        <f>IFERROR(IF($V444="BRAND.com",HLOOKUP($X444&amp;$Z444,NWC_FC_NOOS!$T$4:$AH$23,MATCH(W444,NWC_FC_NOOS!$S$4:$S$23,0),FALSE),0),0)</f>
        <v>0</v>
      </c>
      <c r="AP444" s="57">
        <f>IFERROR(IF($V444="BRAND.com",HLOOKUP($X444&amp;$Z444,NWC_FC_NOOS!$C$50:$U$69,MATCH(W444,NWC_FC_NOOS!$B$50:$B$69,0),FALSE),0),0)</f>
        <v>0</v>
      </c>
      <c r="AQ444" s="58">
        <f>IFERROR(IF($V444="BRAND.com",HLOOKUP($X444&amp;$Z444,'NWC_FC_NON-NOOS'!$C$4:$Q$23,MATCH(W444,'NWC_FC_NON-NOOS'!$B$4:$B$23,0),FALSE),0),0)</f>
        <v>0</v>
      </c>
      <c r="AR444" s="57">
        <f>IFERROR(IF($V444="BRAND.com",HLOOKUP($X444&amp;$Z444,'NWC_FC_NON-NOOS'!$T$4:$AH$23,MATCH(W444,'NWC_FC_NON-NOOS'!$S$4:$S$23,0),FALSE),0),0)</f>
        <v>0</v>
      </c>
      <c r="AS444" s="57">
        <f>IFERROR(IF($V444="BRAND.com",HLOOKUP($X444&amp;$Z444,'NWC_FC_NON-NOOS'!$C$50:$U$69,MATCH(W444,'NWC_FC_NON-NOOS'!$B$50:$B$69,0),FALSE),0),0)</f>
        <v>0</v>
      </c>
      <c r="AT444" s="57">
        <f t="shared" si="164"/>
        <v>0</v>
      </c>
      <c r="AU444" s="57">
        <f t="shared" si="165"/>
        <v>0</v>
      </c>
      <c r="AV444" s="58">
        <f>IFERROR(IF($V444="BRAND.com",HLOOKUP($X444&amp;$Z444,PLANNING_FC!$BB$27:$BP$46,MATCH($W444,PLANNING_FC!$BA$27:$BA$46,0),FALSE),0),0)</f>
        <v>0</v>
      </c>
      <c r="AW444" s="58">
        <f>IFERROR(IF($V444="BRAND.com",HLOOKUP($X444&amp;$Z444,PLANNING_FC!$BB$4:$BP$23,MATCH($W444,PLANNING_FC!$BA$4:$BA$23,0),FALSE),0),0)</f>
        <v>0</v>
      </c>
      <c r="AX444" s="58">
        <f>IFERROR(IF($V444="BRAND.com",HLOOKUP($X444&amp;$Z444,PLANNING_FC!$T$27:$AH$46,MATCH($W444,PLANNING_FC!$B$27:$B$46,0),FALSE),0),0)</f>
        <v>0</v>
      </c>
      <c r="AY444" s="58">
        <f>IFERROR(IF($V444="BRAND.com",HLOOKUP($X444&amp;$Z444,PLANNING_FC!$T$4:$AH$23,MATCH($W444,PLANNING_FC!$B$4:$B$23,0),FALSE),0),0)</f>
        <v>0</v>
      </c>
      <c r="AZ444" s="58">
        <f>IFERROR(IF($V444="BRAND.com",HLOOKUP($X444&amp;$Z444,PLANNING_FC!$DA$27:$DO$46,MATCH($W444,PLANNING_FC!$CZ$27:$CZ$46,0),FALSE),0),0)</f>
        <v>0</v>
      </c>
      <c r="BA444" s="58">
        <f>IFERROR(IF($V444="BRAND.com",HLOOKUP($X444&amp;$Z444,PLANNING_FC!$DA$4:$DO$23,MATCH($W444,PLANNING_FC!$CZ$4:$CZ$23,0),FALSE),0),0)</f>
        <v>0</v>
      </c>
      <c r="BB444" s="883" t="str">
        <f>IF(V444="BRAND.com",IFERROR(HLOOKUP(X444&amp;Z444,PLANNING_FC!$AK$4:$AY$23,MATCH(W444,PLANNING_FC!$AJ$4:$AJ$23,0),FALSE)*1000,""),"")</f>
        <v/>
      </c>
      <c r="BC444" s="883" t="str">
        <f>IF(V444="BRAND.com",IFERROR(HLOOKUP(X444&amp;Z444,PLANNING_FC!$AK$27:$AY$46,MATCH(W444,PLANNING_FC!$AJ$27:$AJ$46,0),FALSE)*1000,""),"")</f>
        <v/>
      </c>
    </row>
    <row r="445" spans="1:55" x14ac:dyDescent="0.25">
      <c r="A445" s="509"/>
      <c r="B445" s="509"/>
      <c r="C445" s="509"/>
      <c r="D445" s="509"/>
      <c r="E445" s="509"/>
      <c r="F445" s="509"/>
      <c r="G445" s="509"/>
      <c r="H445" s="509"/>
      <c r="I445" s="512"/>
      <c r="J445" s="513"/>
      <c r="K445" s="879"/>
      <c r="L445" s="515"/>
      <c r="M445" s="516"/>
      <c r="N445" s="56">
        <f t="shared" si="146"/>
        <v>0</v>
      </c>
      <c r="O445" s="57">
        <f t="shared" si="147"/>
        <v>0</v>
      </c>
      <c r="P445" s="57">
        <f ca="1">IFERROR(IF(ISBLANK(H445),SUMIFS($AC:$AC,$V:$V,V445,$W:$W,W445,$X:$X,X445,$Y:$Y,Y445)*J445/(1-J445)*VLOOKUP(_xlfn.CONCAT(C445,D445,E445,TIME!$M$12,Z445),HIS_SALES!$B$2:$W$4859,20,FALSE),AC445*J445/(1-J445)),0)</f>
        <v>0</v>
      </c>
      <c r="Q445" s="541" t="str">
        <f t="shared" si="148"/>
        <v/>
      </c>
      <c r="R445" s="346" t="str">
        <f t="shared" si="149"/>
        <v>00000</v>
      </c>
      <c r="S445" s="344">
        <f t="shared" si="150"/>
        <v>0</v>
      </c>
      <c r="T445" s="345" t="str">
        <f t="shared" si="163"/>
        <v>000</v>
      </c>
      <c r="U445" s="345">
        <f t="shared" si="151"/>
        <v>0</v>
      </c>
      <c r="V445" s="345">
        <f t="shared" si="152"/>
        <v>0</v>
      </c>
      <c r="W445" s="345">
        <f t="shared" si="153"/>
        <v>0</v>
      </c>
      <c r="X445" s="345">
        <f t="shared" si="154"/>
        <v>0</v>
      </c>
      <c r="Y445" s="345">
        <f t="shared" si="155"/>
        <v>0</v>
      </c>
      <c r="Z445" s="345">
        <f>IF(Q445&lt;&gt;"",VLOOKUP(Y445,TIME!$R$21:$V$24,MATCH(FC_DATA!Q445,TIME!$R$20:$V$20,0),FALSE),H445)</f>
        <v>0</v>
      </c>
      <c r="AA445" s="345" t="str">
        <f>IFERROR(VLOOKUP(X445&amp;Z445,TIME!$A$12:$D$71,4,FALSE),"")</f>
        <v/>
      </c>
      <c r="AB445" s="592">
        <f t="shared" ca="1" si="156"/>
        <v>0</v>
      </c>
      <c r="AC445" s="593" t="e">
        <f ca="1">IF(ISBLANK(H445)=FALSE,IF(D445="BRAND.com",I445,IF(ISNA(VLOOKUP(_xlfn.CONCAT(X445,Z445),TIME!$M$40:$M$42,1,FALSE)),I445,VLOOKUP(_xlfn.CONCAT(D445,G445,H445),M_BUSAREA_FC!$AF$5:$AJ$10,5,FALSE)*HLOOKUP(_xlfn.CONCAT(F445,H445),ST_OVERVIEW!$G$99:$I$130,MATCH(_xlfn.CONCAT(D445,E445),ST_OVERVIEW!$F$99:$F$130,0),FALSE))),IF(D445="BRAND.com",VLOOKUP(_xlfn.CONCAT(C445,D445,E445,TIME!$F$1,Z445),HIS_SALES!$B$2:$V$4859,19,FALSE)*I445,VLOOKUP(_xlfn.CONCAT(D445,F445,G445),Q_BUSAREA_FC!$AE$5:$AI$12,5,FALSE)*HLOOKUP(_xlfn.CONCAT(FC_DATA!F445,FC_DATA!G445),LT_OVERVIEW!$I$99:$M$130,MATCH(_xlfn.CONCAT(D445,FC_DATA!E445),LT_OVERVIEW!$H$99:$H$130,0),FALSE)*IFERROR(VLOOKUP(_xlfn.CONCAT(C445,D445,E445,TIME!$F$1,Z445),HIS_SALES!$B$2:$V$4859,19,FALSE),0)))</f>
        <v>#N/A</v>
      </c>
      <c r="AD445" s="341">
        <f t="shared" ca="1" si="157"/>
        <v>0</v>
      </c>
      <c r="AE445" s="363" t="str">
        <f t="shared" si="158"/>
        <v/>
      </c>
      <c r="AF445" s="342" t="str">
        <f t="shared" si="159"/>
        <v/>
      </c>
      <c r="AG445" s="411" t="e">
        <f ca="1">VLOOKUP(_xlfn.CONCAT(U445,V445,W445,VLOOKUP(X445&amp;Y445,TIME!$L$27:$O$34,4,FALSE),Y445),HIS_SALES!$A$2:$R$5093,18,FALSE)</f>
        <v>#N/A</v>
      </c>
      <c r="AH445" s="412" t="e">
        <f ca="1">IFERROR(IF(AND(V445=V444,W445=W444),0.5*(AB445+AB444)*AG445,(VLOOKUP(_xlfn.CONCAT(U445,V445,W445,X445,VLOOKUP(Z445,TIME!$S$28:$T$39,2,FALSE)),FC_DATA!$R$2:$AB$5000,MATCH("GS_I_M",FC_DATA!$R$1:$AB$1,0),FALSE)+FC_DATA!AB445)*0.5*FC_DATA!AG445),NA())</f>
        <v>#N/A</v>
      </c>
      <c r="AI445" s="491" t="e">
        <f ca="1">IF(V445="PARTNER.com",AH445,IF(AND(V445=V444,W445=W444),(1-AVERAGE(AD444,AD445))*AH445,(1-AVERAGE(AD445,VLOOKUP(_xlfn.CONCAT(U445,V445,W445,X445,M_BRAND_FC!$F$6),FC_DATA!$R$2:$AD$5000,MATCH("DISCOUNT_%_M",FC_DATA!$R$1:$AD$1,0),FALSE)))*AH445))</f>
        <v>#N/A</v>
      </c>
      <c r="AJ445" s="412" t="str">
        <f t="shared" ca="1" si="160"/>
        <v/>
      </c>
      <c r="AK445" s="413" t="str">
        <f>IFERROR(AE445/(Q_BRAND_FC!$T$24+1),"")</f>
        <v/>
      </c>
      <c r="AL445" s="88" t="str">
        <f t="shared" ca="1" si="161"/>
        <v/>
      </c>
      <c r="AM445" s="414" t="str">
        <f t="shared" ca="1" si="162"/>
        <v/>
      </c>
      <c r="AN445" s="58">
        <f>IFERROR(IF($V445="BRAND.com",HLOOKUP($X445&amp;$Z445,NWC_FC_NOOS!$C$4:$Q$23,MATCH(W445,NWC_FC_NOOS!$B$4:$B$23,0),FALSE),0),0)</f>
        <v>0</v>
      </c>
      <c r="AO445" s="57">
        <f>IFERROR(IF($V445="BRAND.com",HLOOKUP($X445&amp;$Z445,NWC_FC_NOOS!$T$4:$AH$23,MATCH(W445,NWC_FC_NOOS!$S$4:$S$23,0),FALSE),0),0)</f>
        <v>0</v>
      </c>
      <c r="AP445" s="57">
        <f>IFERROR(IF($V445="BRAND.com",HLOOKUP($X445&amp;$Z445,NWC_FC_NOOS!$C$50:$U$69,MATCH(W445,NWC_FC_NOOS!$B$50:$B$69,0),FALSE),0),0)</f>
        <v>0</v>
      </c>
      <c r="AQ445" s="58">
        <f>IFERROR(IF($V445="BRAND.com",HLOOKUP($X445&amp;$Z445,'NWC_FC_NON-NOOS'!$C$4:$Q$23,MATCH(W445,'NWC_FC_NON-NOOS'!$B$4:$B$23,0),FALSE),0),0)</f>
        <v>0</v>
      </c>
      <c r="AR445" s="57">
        <f>IFERROR(IF($V445="BRAND.com",HLOOKUP($X445&amp;$Z445,'NWC_FC_NON-NOOS'!$T$4:$AH$23,MATCH(W445,'NWC_FC_NON-NOOS'!$S$4:$S$23,0),FALSE),0),0)</f>
        <v>0</v>
      </c>
      <c r="AS445" s="57">
        <f>IFERROR(IF($V445="BRAND.com",HLOOKUP($X445&amp;$Z445,'NWC_FC_NON-NOOS'!$C$50:$U$69,MATCH(W445,'NWC_FC_NON-NOOS'!$B$50:$B$69,0),FALSE),0),0)</f>
        <v>0</v>
      </c>
      <c r="AT445" s="57">
        <f t="shared" si="164"/>
        <v>0</v>
      </c>
      <c r="AU445" s="57">
        <f t="shared" si="165"/>
        <v>0</v>
      </c>
      <c r="AV445" s="58">
        <f>IFERROR(IF($V445="BRAND.com",HLOOKUP($X445&amp;$Z445,PLANNING_FC!$BB$27:$BP$46,MATCH($W445,PLANNING_FC!$BA$27:$BA$46,0),FALSE),0),0)</f>
        <v>0</v>
      </c>
      <c r="AW445" s="58">
        <f>IFERROR(IF($V445="BRAND.com",HLOOKUP($X445&amp;$Z445,PLANNING_FC!$BB$4:$BP$23,MATCH($W445,PLANNING_FC!$BA$4:$BA$23,0),FALSE),0),0)</f>
        <v>0</v>
      </c>
      <c r="AX445" s="58">
        <f>IFERROR(IF($V445="BRAND.com",HLOOKUP($X445&amp;$Z445,PLANNING_FC!$T$27:$AH$46,MATCH($W445,PLANNING_FC!$B$27:$B$46,0),FALSE),0),0)</f>
        <v>0</v>
      </c>
      <c r="AY445" s="58">
        <f>IFERROR(IF($V445="BRAND.com",HLOOKUP($X445&amp;$Z445,PLANNING_FC!$T$4:$AH$23,MATCH($W445,PLANNING_FC!$B$4:$B$23,0),FALSE),0),0)</f>
        <v>0</v>
      </c>
      <c r="AZ445" s="58">
        <f>IFERROR(IF($V445="BRAND.com",HLOOKUP($X445&amp;$Z445,PLANNING_FC!$DA$27:$DO$46,MATCH($W445,PLANNING_FC!$CZ$27:$CZ$46,0),FALSE),0),0)</f>
        <v>0</v>
      </c>
      <c r="BA445" s="58">
        <f>IFERROR(IF($V445="BRAND.com",HLOOKUP($X445&amp;$Z445,PLANNING_FC!$DA$4:$DO$23,MATCH($W445,PLANNING_FC!$CZ$4:$CZ$23,0),FALSE),0),0)</f>
        <v>0</v>
      </c>
      <c r="BB445" s="883" t="str">
        <f>IF(V445="BRAND.com",IFERROR(HLOOKUP(X445&amp;Z445,PLANNING_FC!$AK$4:$AY$23,MATCH(W445,PLANNING_FC!$AJ$4:$AJ$23,0),FALSE)*1000,""),"")</f>
        <v/>
      </c>
      <c r="BC445" s="883" t="str">
        <f>IF(V445="BRAND.com",IFERROR(HLOOKUP(X445&amp;Z445,PLANNING_FC!$AK$27:$AY$46,MATCH(W445,PLANNING_FC!$AJ$27:$AJ$46,0),FALSE)*1000,""),"")</f>
        <v/>
      </c>
    </row>
    <row r="446" spans="1:55" x14ac:dyDescent="0.25">
      <c r="A446" s="509"/>
      <c r="B446" s="509"/>
      <c r="C446" s="509"/>
      <c r="D446" s="509"/>
      <c r="E446" s="509"/>
      <c r="F446" s="509"/>
      <c r="G446" s="511"/>
      <c r="H446" s="509"/>
      <c r="I446" s="512"/>
      <c r="J446" s="513"/>
      <c r="K446" s="879"/>
      <c r="L446" s="515"/>
      <c r="M446" s="516"/>
      <c r="N446" s="56">
        <f t="shared" si="146"/>
        <v>0</v>
      </c>
      <c r="O446" s="57">
        <f t="shared" si="147"/>
        <v>0</v>
      </c>
      <c r="P446" s="57">
        <f ca="1">IFERROR(IF(ISBLANK(H446),SUMIFS($AC:$AC,$V:$V,V446,$W:$W,W446,$X:$X,X446,$Y:$Y,Y446)*J446/(1-J446)*VLOOKUP(_xlfn.CONCAT(C446,D446,E446,TIME!$M$12,Z446),HIS_SALES!$B$2:$W$4859,20,FALSE),AC446*J446/(1-J446)),0)</f>
        <v>0</v>
      </c>
      <c r="Q446" s="541" t="str">
        <f t="shared" si="148"/>
        <v/>
      </c>
      <c r="R446" s="346" t="str">
        <f t="shared" si="149"/>
        <v>00000</v>
      </c>
      <c r="S446" s="344">
        <f t="shared" si="150"/>
        <v>0</v>
      </c>
      <c r="T446" s="345" t="str">
        <f t="shared" si="163"/>
        <v>000</v>
      </c>
      <c r="U446" s="345">
        <f t="shared" si="151"/>
        <v>0</v>
      </c>
      <c r="V446" s="345">
        <f t="shared" si="152"/>
        <v>0</v>
      </c>
      <c r="W446" s="345">
        <f t="shared" si="153"/>
        <v>0</v>
      </c>
      <c r="X446" s="345">
        <f t="shared" si="154"/>
        <v>0</v>
      </c>
      <c r="Y446" s="345">
        <f t="shared" si="155"/>
        <v>0</v>
      </c>
      <c r="Z446" s="345">
        <f>IF(Q446&lt;&gt;"",VLOOKUP(Y446,TIME!$R$21:$V$24,MATCH(FC_DATA!Q446,TIME!$R$20:$V$20,0),FALSE),H446)</f>
        <v>0</v>
      </c>
      <c r="AA446" s="345" t="str">
        <f>IFERROR(VLOOKUP(X446&amp;Z446,TIME!$A$12:$D$71,4,FALSE),"")</f>
        <v/>
      </c>
      <c r="AB446" s="592">
        <f t="shared" ca="1" si="156"/>
        <v>0</v>
      </c>
      <c r="AC446" s="593" t="e">
        <f ca="1">IF(ISBLANK(H446)=FALSE,IF(D446="BRAND.com",I446,IF(ISNA(VLOOKUP(_xlfn.CONCAT(X446,Z446),TIME!$M$40:$M$42,1,FALSE)),I446,VLOOKUP(_xlfn.CONCAT(D446,G446,H446),M_BUSAREA_FC!$AF$5:$AJ$10,5,FALSE)*HLOOKUP(_xlfn.CONCAT(F446,H446),ST_OVERVIEW!$G$99:$I$130,MATCH(_xlfn.CONCAT(D446,E446),ST_OVERVIEW!$F$99:$F$130,0),FALSE))),IF(D446="BRAND.com",VLOOKUP(_xlfn.CONCAT(C446,D446,E446,TIME!$F$1,Z446),HIS_SALES!$B$2:$V$4859,19,FALSE)*I446,VLOOKUP(_xlfn.CONCAT(D446,F446,G446),Q_BUSAREA_FC!$AE$5:$AI$12,5,FALSE)*HLOOKUP(_xlfn.CONCAT(FC_DATA!F446,FC_DATA!G446),LT_OVERVIEW!$I$99:$M$130,MATCH(_xlfn.CONCAT(D446,FC_DATA!E446),LT_OVERVIEW!$H$99:$H$130,0),FALSE)*IFERROR(VLOOKUP(_xlfn.CONCAT(C446,D446,E446,TIME!$F$1,Z446),HIS_SALES!$B$2:$V$4859,19,FALSE),0)))</f>
        <v>#N/A</v>
      </c>
      <c r="AD446" s="341">
        <f t="shared" ca="1" si="157"/>
        <v>0</v>
      </c>
      <c r="AE446" s="363" t="str">
        <f t="shared" si="158"/>
        <v/>
      </c>
      <c r="AF446" s="342" t="str">
        <f t="shared" si="159"/>
        <v/>
      </c>
      <c r="AG446" s="411" t="e">
        <f ca="1">VLOOKUP(_xlfn.CONCAT(U446,V446,W446,VLOOKUP(X446&amp;Y446,TIME!$L$27:$O$34,4,FALSE),Y446),HIS_SALES!$A$2:$R$5093,18,FALSE)</f>
        <v>#N/A</v>
      </c>
      <c r="AH446" s="412" t="e">
        <f ca="1">IFERROR(IF(AND(V446=V445,W446=W445),0.5*(AB446+AB445)*AG446,(VLOOKUP(_xlfn.CONCAT(U446,V446,W446,X446,VLOOKUP(Z446,TIME!$S$28:$T$39,2,FALSE)),FC_DATA!$R$2:$AB$5000,MATCH("GS_I_M",FC_DATA!$R$1:$AB$1,0),FALSE)+FC_DATA!AB446)*0.5*FC_DATA!AG446),NA())</f>
        <v>#N/A</v>
      </c>
      <c r="AI446" s="491" t="e">
        <f ca="1">IF(V446="PARTNER.com",AH446,IF(AND(V446=V445,W446=W445),(1-AVERAGE(AD445,AD446))*AH446,(1-AVERAGE(AD446,VLOOKUP(_xlfn.CONCAT(U446,V446,W446,X446,M_BRAND_FC!$F$6),FC_DATA!$R$2:$AD$5000,MATCH("DISCOUNT_%_M",FC_DATA!$R$1:$AD$1,0),FALSE)))*AH446))</f>
        <v>#N/A</v>
      </c>
      <c r="AJ446" s="412" t="str">
        <f t="shared" ca="1" si="160"/>
        <v/>
      </c>
      <c r="AK446" s="413" t="str">
        <f>IFERROR(AE446/(Q_BRAND_FC!$T$24+1),"")</f>
        <v/>
      </c>
      <c r="AL446" s="88" t="str">
        <f t="shared" ca="1" si="161"/>
        <v/>
      </c>
      <c r="AM446" s="414" t="str">
        <f t="shared" ca="1" si="162"/>
        <v/>
      </c>
      <c r="AN446" s="58">
        <f>IFERROR(IF($V446="BRAND.com",HLOOKUP($X446&amp;$Z446,NWC_FC_NOOS!$C$4:$Q$23,MATCH(W446,NWC_FC_NOOS!$B$4:$B$23,0),FALSE),0),0)</f>
        <v>0</v>
      </c>
      <c r="AO446" s="57">
        <f>IFERROR(IF($V446="BRAND.com",HLOOKUP($X446&amp;$Z446,NWC_FC_NOOS!$T$4:$AH$23,MATCH(W446,NWC_FC_NOOS!$S$4:$S$23,0),FALSE),0),0)</f>
        <v>0</v>
      </c>
      <c r="AP446" s="57">
        <f>IFERROR(IF($V446="BRAND.com",HLOOKUP($X446&amp;$Z446,NWC_FC_NOOS!$C$50:$U$69,MATCH(W446,NWC_FC_NOOS!$B$50:$B$69,0),FALSE),0),0)</f>
        <v>0</v>
      </c>
      <c r="AQ446" s="58">
        <f>IFERROR(IF($V446="BRAND.com",HLOOKUP($X446&amp;$Z446,'NWC_FC_NON-NOOS'!$C$4:$Q$23,MATCH(W446,'NWC_FC_NON-NOOS'!$B$4:$B$23,0),FALSE),0),0)</f>
        <v>0</v>
      </c>
      <c r="AR446" s="57">
        <f>IFERROR(IF($V446="BRAND.com",HLOOKUP($X446&amp;$Z446,'NWC_FC_NON-NOOS'!$T$4:$AH$23,MATCH(W446,'NWC_FC_NON-NOOS'!$S$4:$S$23,0),FALSE),0),0)</f>
        <v>0</v>
      </c>
      <c r="AS446" s="57">
        <f>IFERROR(IF($V446="BRAND.com",HLOOKUP($X446&amp;$Z446,'NWC_FC_NON-NOOS'!$C$50:$U$69,MATCH(W446,'NWC_FC_NON-NOOS'!$B$50:$B$69,0),FALSE),0),0)</f>
        <v>0</v>
      </c>
      <c r="AT446" s="57">
        <f t="shared" si="164"/>
        <v>0</v>
      </c>
      <c r="AU446" s="57">
        <f t="shared" si="165"/>
        <v>0</v>
      </c>
      <c r="AV446" s="58">
        <f>IFERROR(IF($V446="BRAND.com",HLOOKUP($X446&amp;$Z446,PLANNING_FC!$BB$27:$BP$46,MATCH($W446,PLANNING_FC!$BA$27:$BA$46,0),FALSE),0),0)</f>
        <v>0</v>
      </c>
      <c r="AW446" s="58">
        <f>IFERROR(IF($V446="BRAND.com",HLOOKUP($X446&amp;$Z446,PLANNING_FC!$BB$4:$BP$23,MATCH($W446,PLANNING_FC!$BA$4:$BA$23,0),FALSE),0),0)</f>
        <v>0</v>
      </c>
      <c r="AX446" s="58">
        <f>IFERROR(IF($V446="BRAND.com",HLOOKUP($X446&amp;$Z446,PLANNING_FC!$T$27:$AH$46,MATCH($W446,PLANNING_FC!$B$27:$B$46,0),FALSE),0),0)</f>
        <v>0</v>
      </c>
      <c r="AY446" s="58">
        <f>IFERROR(IF($V446="BRAND.com",HLOOKUP($X446&amp;$Z446,PLANNING_FC!$T$4:$AH$23,MATCH($W446,PLANNING_FC!$B$4:$B$23,0),FALSE),0),0)</f>
        <v>0</v>
      </c>
      <c r="AZ446" s="58">
        <f>IFERROR(IF($V446="BRAND.com",HLOOKUP($X446&amp;$Z446,PLANNING_FC!$DA$27:$DO$46,MATCH($W446,PLANNING_FC!$CZ$27:$CZ$46,0),FALSE),0),0)</f>
        <v>0</v>
      </c>
      <c r="BA446" s="58">
        <f>IFERROR(IF($V446="BRAND.com",HLOOKUP($X446&amp;$Z446,PLANNING_FC!$DA$4:$DO$23,MATCH($W446,PLANNING_FC!$CZ$4:$CZ$23,0),FALSE),0),0)</f>
        <v>0</v>
      </c>
      <c r="BB446" s="883" t="str">
        <f>IF(V446="BRAND.com",IFERROR(HLOOKUP(X446&amp;Z446,PLANNING_FC!$AK$4:$AY$23,MATCH(W446,PLANNING_FC!$AJ$4:$AJ$23,0),FALSE)*1000,""),"")</f>
        <v/>
      </c>
      <c r="BC446" s="883" t="str">
        <f>IF(V446="BRAND.com",IFERROR(HLOOKUP(X446&amp;Z446,PLANNING_FC!$AK$27:$AY$46,MATCH(W446,PLANNING_FC!$AJ$27:$AJ$46,0),FALSE)*1000,""),"")</f>
        <v/>
      </c>
    </row>
    <row r="447" spans="1:55" x14ac:dyDescent="0.25">
      <c r="A447" s="509"/>
      <c r="B447" s="509"/>
      <c r="C447" s="509"/>
      <c r="D447" s="509"/>
      <c r="E447" s="509"/>
      <c r="F447" s="509"/>
      <c r="G447" s="509"/>
      <c r="H447" s="509"/>
      <c r="I447" s="512"/>
      <c r="J447" s="513"/>
      <c r="K447" s="879"/>
      <c r="L447" s="515"/>
      <c r="M447" s="516"/>
      <c r="N447" s="56">
        <f t="shared" si="146"/>
        <v>0</v>
      </c>
      <c r="O447" s="57">
        <f t="shared" si="147"/>
        <v>0</v>
      </c>
      <c r="P447" s="57">
        <f ca="1">IFERROR(IF(ISBLANK(H447),SUMIFS($AC:$AC,$V:$V,V447,$W:$W,W447,$X:$X,X447,$Y:$Y,Y447)*J447/(1-J447)*VLOOKUP(_xlfn.CONCAT(C447,D447,E447,TIME!$M$12,Z447),HIS_SALES!$B$2:$W$4859,20,FALSE),AC447*J447/(1-J447)),0)</f>
        <v>0</v>
      </c>
      <c r="Q447" s="541" t="str">
        <f t="shared" si="148"/>
        <v/>
      </c>
      <c r="R447" s="346" t="str">
        <f t="shared" si="149"/>
        <v>00000</v>
      </c>
      <c r="S447" s="344">
        <f t="shared" si="150"/>
        <v>0</v>
      </c>
      <c r="T447" s="345" t="str">
        <f t="shared" si="163"/>
        <v>000</v>
      </c>
      <c r="U447" s="345">
        <f t="shared" si="151"/>
        <v>0</v>
      </c>
      <c r="V447" s="345">
        <f t="shared" si="152"/>
        <v>0</v>
      </c>
      <c r="W447" s="345">
        <f t="shared" si="153"/>
        <v>0</v>
      </c>
      <c r="X447" s="345">
        <f t="shared" si="154"/>
        <v>0</v>
      </c>
      <c r="Y447" s="345">
        <f t="shared" si="155"/>
        <v>0</v>
      </c>
      <c r="Z447" s="345">
        <f>IF(Q447&lt;&gt;"",VLOOKUP(Y447,TIME!$R$21:$V$24,MATCH(FC_DATA!Q447,TIME!$R$20:$V$20,0),FALSE),H447)</f>
        <v>0</v>
      </c>
      <c r="AA447" s="345" t="str">
        <f>IFERROR(VLOOKUP(X447&amp;Z447,TIME!$A$12:$D$71,4,FALSE),"")</f>
        <v/>
      </c>
      <c r="AB447" s="592">
        <f t="shared" ca="1" si="156"/>
        <v>0</v>
      </c>
      <c r="AC447" s="593" t="e">
        <f ca="1">IF(ISBLANK(H447)=FALSE,IF(D447="BRAND.com",I447,IF(ISNA(VLOOKUP(_xlfn.CONCAT(X447,Z447),TIME!$M$40:$M$42,1,FALSE)),I447,VLOOKUP(_xlfn.CONCAT(D447,G447,H447),M_BUSAREA_FC!$AF$5:$AJ$10,5,FALSE)*HLOOKUP(_xlfn.CONCAT(F447,H447),ST_OVERVIEW!$G$99:$I$130,MATCH(_xlfn.CONCAT(D447,E447),ST_OVERVIEW!$F$99:$F$130,0),FALSE))),IF(D447="BRAND.com",VLOOKUP(_xlfn.CONCAT(C447,D447,E447,TIME!$F$1,Z447),HIS_SALES!$B$2:$V$4859,19,FALSE)*I447,VLOOKUP(_xlfn.CONCAT(D447,F447,G447),Q_BUSAREA_FC!$AE$5:$AI$12,5,FALSE)*HLOOKUP(_xlfn.CONCAT(FC_DATA!F447,FC_DATA!G447),LT_OVERVIEW!$I$99:$M$130,MATCH(_xlfn.CONCAT(D447,FC_DATA!E447),LT_OVERVIEW!$H$99:$H$130,0),FALSE)*IFERROR(VLOOKUP(_xlfn.CONCAT(C447,D447,E447,TIME!$F$1,Z447),HIS_SALES!$B$2:$V$4859,19,FALSE),0)))</f>
        <v>#N/A</v>
      </c>
      <c r="AD447" s="341">
        <f t="shared" ca="1" si="157"/>
        <v>0</v>
      </c>
      <c r="AE447" s="363" t="str">
        <f t="shared" si="158"/>
        <v/>
      </c>
      <c r="AF447" s="342" t="str">
        <f t="shared" si="159"/>
        <v/>
      </c>
      <c r="AG447" s="411" t="e">
        <f ca="1">VLOOKUP(_xlfn.CONCAT(U447,V447,W447,VLOOKUP(X447&amp;Y447,TIME!$L$27:$O$34,4,FALSE),Y447),HIS_SALES!$A$2:$R$5093,18,FALSE)</f>
        <v>#N/A</v>
      </c>
      <c r="AH447" s="412" t="e">
        <f ca="1">IFERROR(IF(AND(V447=V446,W447=W446),0.5*(AB447+AB446)*AG447,(VLOOKUP(_xlfn.CONCAT(U447,V447,W447,X447,VLOOKUP(Z447,TIME!$S$28:$T$39,2,FALSE)),FC_DATA!$R$2:$AB$5000,MATCH("GS_I_M",FC_DATA!$R$1:$AB$1,0),FALSE)+FC_DATA!AB447)*0.5*FC_DATA!AG447),NA())</f>
        <v>#N/A</v>
      </c>
      <c r="AI447" s="491" t="e">
        <f ca="1">IF(V447="PARTNER.com",AH447,IF(AND(V447=V446,W447=W446),(1-AVERAGE(AD446,AD447))*AH447,(1-AVERAGE(AD447,VLOOKUP(_xlfn.CONCAT(U447,V447,W447,X447,M_BRAND_FC!$F$6),FC_DATA!$R$2:$AD$5000,MATCH("DISCOUNT_%_M",FC_DATA!$R$1:$AD$1,0),FALSE)))*AH447))</f>
        <v>#N/A</v>
      </c>
      <c r="AJ447" s="412" t="str">
        <f t="shared" ca="1" si="160"/>
        <v/>
      </c>
      <c r="AK447" s="413" t="str">
        <f>IFERROR(AE447/(Q_BRAND_FC!$T$24+1),"")</f>
        <v/>
      </c>
      <c r="AL447" s="88" t="str">
        <f t="shared" ca="1" si="161"/>
        <v/>
      </c>
      <c r="AM447" s="414" t="str">
        <f t="shared" ca="1" si="162"/>
        <v/>
      </c>
      <c r="AN447" s="58">
        <f>IFERROR(IF($V447="BRAND.com",HLOOKUP($X447&amp;$Z447,NWC_FC_NOOS!$C$4:$Q$23,MATCH(W447,NWC_FC_NOOS!$B$4:$B$23,0),FALSE),0),0)</f>
        <v>0</v>
      </c>
      <c r="AO447" s="57">
        <f>IFERROR(IF($V447="BRAND.com",HLOOKUP($X447&amp;$Z447,NWC_FC_NOOS!$T$4:$AH$23,MATCH(W447,NWC_FC_NOOS!$S$4:$S$23,0),FALSE),0),0)</f>
        <v>0</v>
      </c>
      <c r="AP447" s="57">
        <f>IFERROR(IF($V447="BRAND.com",HLOOKUP($X447&amp;$Z447,NWC_FC_NOOS!$C$50:$U$69,MATCH(W447,NWC_FC_NOOS!$B$50:$B$69,0),FALSE),0),0)</f>
        <v>0</v>
      </c>
      <c r="AQ447" s="58">
        <f>IFERROR(IF($V447="BRAND.com",HLOOKUP($X447&amp;$Z447,'NWC_FC_NON-NOOS'!$C$4:$Q$23,MATCH(W447,'NWC_FC_NON-NOOS'!$B$4:$B$23,0),FALSE),0),0)</f>
        <v>0</v>
      </c>
      <c r="AR447" s="57">
        <f>IFERROR(IF($V447="BRAND.com",HLOOKUP($X447&amp;$Z447,'NWC_FC_NON-NOOS'!$T$4:$AH$23,MATCH(W447,'NWC_FC_NON-NOOS'!$S$4:$S$23,0),FALSE),0),0)</f>
        <v>0</v>
      </c>
      <c r="AS447" s="57">
        <f>IFERROR(IF($V447="BRAND.com",HLOOKUP($X447&amp;$Z447,'NWC_FC_NON-NOOS'!$C$50:$U$69,MATCH(W447,'NWC_FC_NON-NOOS'!$B$50:$B$69,0),FALSE),0),0)</f>
        <v>0</v>
      </c>
      <c r="AT447" s="57">
        <f t="shared" si="164"/>
        <v>0</v>
      </c>
      <c r="AU447" s="57">
        <f t="shared" si="165"/>
        <v>0</v>
      </c>
      <c r="AV447" s="58">
        <f>IFERROR(IF($V447="BRAND.com",HLOOKUP($X447&amp;$Z447,PLANNING_FC!$BB$27:$BP$46,MATCH($W447,PLANNING_FC!$BA$27:$BA$46,0),FALSE),0),0)</f>
        <v>0</v>
      </c>
      <c r="AW447" s="58">
        <f>IFERROR(IF($V447="BRAND.com",HLOOKUP($X447&amp;$Z447,PLANNING_FC!$BB$4:$BP$23,MATCH($W447,PLANNING_FC!$BA$4:$BA$23,0),FALSE),0),0)</f>
        <v>0</v>
      </c>
      <c r="AX447" s="58">
        <f>IFERROR(IF($V447="BRAND.com",HLOOKUP($X447&amp;$Z447,PLANNING_FC!$T$27:$AH$46,MATCH($W447,PLANNING_FC!$B$27:$B$46,0),FALSE),0),0)</f>
        <v>0</v>
      </c>
      <c r="AY447" s="58">
        <f>IFERROR(IF($V447="BRAND.com",HLOOKUP($X447&amp;$Z447,PLANNING_FC!$T$4:$AH$23,MATCH($W447,PLANNING_FC!$B$4:$B$23,0),FALSE),0),0)</f>
        <v>0</v>
      </c>
      <c r="AZ447" s="58">
        <f>IFERROR(IF($V447="BRAND.com",HLOOKUP($X447&amp;$Z447,PLANNING_FC!$DA$27:$DO$46,MATCH($W447,PLANNING_FC!$CZ$27:$CZ$46,0),FALSE),0),0)</f>
        <v>0</v>
      </c>
      <c r="BA447" s="58">
        <f>IFERROR(IF($V447="BRAND.com",HLOOKUP($X447&amp;$Z447,PLANNING_FC!$DA$4:$DO$23,MATCH($W447,PLANNING_FC!$CZ$4:$CZ$23,0),FALSE),0),0)</f>
        <v>0</v>
      </c>
      <c r="BB447" s="883" t="str">
        <f>IF(V447="BRAND.com",IFERROR(HLOOKUP(X447&amp;Z447,PLANNING_FC!$AK$4:$AY$23,MATCH(W447,PLANNING_FC!$AJ$4:$AJ$23,0),FALSE)*1000,""),"")</f>
        <v/>
      </c>
      <c r="BC447" s="883" t="str">
        <f>IF(V447="BRAND.com",IFERROR(HLOOKUP(X447&amp;Z447,PLANNING_FC!$AK$27:$AY$46,MATCH(W447,PLANNING_FC!$AJ$27:$AJ$46,0),FALSE)*1000,""),"")</f>
        <v/>
      </c>
    </row>
    <row r="448" spans="1:55" x14ac:dyDescent="0.25">
      <c r="A448" s="509"/>
      <c r="B448" s="509"/>
      <c r="C448" s="509"/>
      <c r="D448" s="509"/>
      <c r="E448" s="509"/>
      <c r="F448" s="509"/>
      <c r="G448" s="509"/>
      <c r="H448" s="509"/>
      <c r="I448" s="512"/>
      <c r="J448" s="513"/>
      <c r="K448" s="879"/>
      <c r="L448" s="515"/>
      <c r="M448" s="516"/>
      <c r="N448" s="56">
        <f t="shared" si="146"/>
        <v>0</v>
      </c>
      <c r="O448" s="57">
        <f t="shared" si="147"/>
        <v>0</v>
      </c>
      <c r="P448" s="57">
        <f ca="1">IFERROR(IF(ISBLANK(H448),SUMIFS($AC:$AC,$V:$V,V448,$W:$W,W448,$X:$X,X448,$Y:$Y,Y448)*J448/(1-J448)*VLOOKUP(_xlfn.CONCAT(C448,D448,E448,TIME!$M$12,Z448),HIS_SALES!$B$2:$W$4859,20,FALSE),AC448*J448/(1-J448)),0)</f>
        <v>0</v>
      </c>
      <c r="Q448" s="541" t="str">
        <f t="shared" si="148"/>
        <v/>
      </c>
      <c r="R448" s="346" t="str">
        <f t="shared" si="149"/>
        <v>00000</v>
      </c>
      <c r="S448" s="344">
        <f t="shared" si="150"/>
        <v>0</v>
      </c>
      <c r="T448" s="345" t="str">
        <f t="shared" si="163"/>
        <v>000</v>
      </c>
      <c r="U448" s="345">
        <f t="shared" si="151"/>
        <v>0</v>
      </c>
      <c r="V448" s="345">
        <f t="shared" si="152"/>
        <v>0</v>
      </c>
      <c r="W448" s="345">
        <f t="shared" si="153"/>
        <v>0</v>
      </c>
      <c r="X448" s="345">
        <f t="shared" si="154"/>
        <v>0</v>
      </c>
      <c r="Y448" s="345">
        <f t="shared" si="155"/>
        <v>0</v>
      </c>
      <c r="Z448" s="345">
        <f>IF(Q448&lt;&gt;"",VLOOKUP(Y448,TIME!$R$21:$V$24,MATCH(FC_DATA!Q448,TIME!$R$20:$V$20,0),FALSE),H448)</f>
        <v>0</v>
      </c>
      <c r="AA448" s="345" t="str">
        <f>IFERROR(VLOOKUP(X448&amp;Z448,TIME!$A$12:$D$71,4,FALSE),"")</f>
        <v/>
      </c>
      <c r="AB448" s="592">
        <f t="shared" ca="1" si="156"/>
        <v>0</v>
      </c>
      <c r="AC448" s="593" t="e">
        <f ca="1">IF(ISBLANK(H448)=FALSE,IF(D448="BRAND.com",I448,IF(ISNA(VLOOKUP(_xlfn.CONCAT(X448,Z448),TIME!$M$40:$M$42,1,FALSE)),I448,VLOOKUP(_xlfn.CONCAT(D448,G448,H448),M_BUSAREA_FC!$AF$5:$AJ$10,5,FALSE)*HLOOKUP(_xlfn.CONCAT(F448,H448),ST_OVERVIEW!$G$99:$I$130,MATCH(_xlfn.CONCAT(D448,E448),ST_OVERVIEW!$F$99:$F$130,0),FALSE))),IF(D448="BRAND.com",VLOOKUP(_xlfn.CONCAT(C448,D448,E448,TIME!$F$1,Z448),HIS_SALES!$B$2:$V$4859,19,FALSE)*I448,VLOOKUP(_xlfn.CONCAT(D448,F448,G448),Q_BUSAREA_FC!$AE$5:$AI$12,5,FALSE)*HLOOKUP(_xlfn.CONCAT(FC_DATA!F448,FC_DATA!G448),LT_OVERVIEW!$I$99:$M$130,MATCH(_xlfn.CONCAT(D448,FC_DATA!E448),LT_OVERVIEW!$H$99:$H$130,0),FALSE)*IFERROR(VLOOKUP(_xlfn.CONCAT(C448,D448,E448,TIME!$F$1,Z448),HIS_SALES!$B$2:$V$4859,19,FALSE),0)))</f>
        <v>#N/A</v>
      </c>
      <c r="AD448" s="341">
        <f t="shared" ca="1" si="157"/>
        <v>0</v>
      </c>
      <c r="AE448" s="363" t="str">
        <f t="shared" si="158"/>
        <v/>
      </c>
      <c r="AF448" s="342" t="str">
        <f t="shared" si="159"/>
        <v/>
      </c>
      <c r="AG448" s="411" t="e">
        <f ca="1">VLOOKUP(_xlfn.CONCAT(U448,V448,W448,VLOOKUP(X448&amp;Y448,TIME!$L$27:$O$34,4,FALSE),Y448),HIS_SALES!$A$2:$R$5093,18,FALSE)</f>
        <v>#N/A</v>
      </c>
      <c r="AH448" s="412" t="e">
        <f ca="1">IFERROR(IF(AND(V448=V447,W448=W447),0.5*(AB448+AB447)*AG448,(VLOOKUP(_xlfn.CONCAT(U448,V448,W448,X448,VLOOKUP(Z448,TIME!$S$28:$T$39,2,FALSE)),FC_DATA!$R$2:$AB$5000,MATCH("GS_I_M",FC_DATA!$R$1:$AB$1,0),FALSE)+FC_DATA!AB448)*0.5*FC_DATA!AG448),NA())</f>
        <v>#N/A</v>
      </c>
      <c r="AI448" s="491" t="e">
        <f ca="1">IF(V448="PARTNER.com",AH448,IF(AND(V448=V447,W448=W447),(1-AVERAGE(AD447,AD448))*AH448,(1-AVERAGE(AD448,VLOOKUP(_xlfn.CONCAT(U448,V448,W448,X448,M_BRAND_FC!$F$6),FC_DATA!$R$2:$AD$5000,MATCH("DISCOUNT_%_M",FC_DATA!$R$1:$AD$1,0),FALSE)))*AH448))</f>
        <v>#N/A</v>
      </c>
      <c r="AJ448" s="412" t="str">
        <f t="shared" ca="1" si="160"/>
        <v/>
      </c>
      <c r="AK448" s="413" t="str">
        <f>IFERROR(AE448/(Q_BRAND_FC!$T$24+1),"")</f>
        <v/>
      </c>
      <c r="AL448" s="88" t="str">
        <f t="shared" ca="1" si="161"/>
        <v/>
      </c>
      <c r="AM448" s="414" t="str">
        <f t="shared" ca="1" si="162"/>
        <v/>
      </c>
      <c r="AN448" s="58">
        <f>IFERROR(IF($V448="BRAND.com",HLOOKUP($X448&amp;$Z448,NWC_FC_NOOS!$C$4:$Q$23,MATCH(W448,NWC_FC_NOOS!$B$4:$B$23,0),FALSE),0),0)</f>
        <v>0</v>
      </c>
      <c r="AO448" s="57">
        <f>IFERROR(IF($V448="BRAND.com",HLOOKUP($X448&amp;$Z448,NWC_FC_NOOS!$T$4:$AH$23,MATCH(W448,NWC_FC_NOOS!$S$4:$S$23,0),FALSE),0),0)</f>
        <v>0</v>
      </c>
      <c r="AP448" s="57">
        <f>IFERROR(IF($V448="BRAND.com",HLOOKUP($X448&amp;$Z448,NWC_FC_NOOS!$C$50:$U$69,MATCH(W448,NWC_FC_NOOS!$B$50:$B$69,0),FALSE),0),0)</f>
        <v>0</v>
      </c>
      <c r="AQ448" s="58">
        <f>IFERROR(IF($V448="BRAND.com",HLOOKUP($X448&amp;$Z448,'NWC_FC_NON-NOOS'!$C$4:$Q$23,MATCH(W448,'NWC_FC_NON-NOOS'!$B$4:$B$23,0),FALSE),0),0)</f>
        <v>0</v>
      </c>
      <c r="AR448" s="57">
        <f>IFERROR(IF($V448="BRAND.com",HLOOKUP($X448&amp;$Z448,'NWC_FC_NON-NOOS'!$T$4:$AH$23,MATCH(W448,'NWC_FC_NON-NOOS'!$S$4:$S$23,0),FALSE),0),0)</f>
        <v>0</v>
      </c>
      <c r="AS448" s="57">
        <f>IFERROR(IF($V448="BRAND.com",HLOOKUP($X448&amp;$Z448,'NWC_FC_NON-NOOS'!$C$50:$U$69,MATCH(W448,'NWC_FC_NON-NOOS'!$B$50:$B$69,0),FALSE),0),0)</f>
        <v>0</v>
      </c>
      <c r="AT448" s="57">
        <f t="shared" si="164"/>
        <v>0</v>
      </c>
      <c r="AU448" s="57">
        <f t="shared" si="165"/>
        <v>0</v>
      </c>
      <c r="AV448" s="58">
        <f>IFERROR(IF($V448="BRAND.com",HLOOKUP($X448&amp;$Z448,PLANNING_FC!$BB$27:$BP$46,MATCH($W448,PLANNING_FC!$BA$27:$BA$46,0),FALSE),0),0)</f>
        <v>0</v>
      </c>
      <c r="AW448" s="58">
        <f>IFERROR(IF($V448="BRAND.com",HLOOKUP($X448&amp;$Z448,PLANNING_FC!$BB$4:$BP$23,MATCH($W448,PLANNING_FC!$BA$4:$BA$23,0),FALSE),0),0)</f>
        <v>0</v>
      </c>
      <c r="AX448" s="58">
        <f>IFERROR(IF($V448="BRAND.com",HLOOKUP($X448&amp;$Z448,PLANNING_FC!$T$27:$AH$46,MATCH($W448,PLANNING_FC!$B$27:$B$46,0),FALSE),0),0)</f>
        <v>0</v>
      </c>
      <c r="AY448" s="58">
        <f>IFERROR(IF($V448="BRAND.com",HLOOKUP($X448&amp;$Z448,PLANNING_FC!$T$4:$AH$23,MATCH($W448,PLANNING_FC!$B$4:$B$23,0),FALSE),0),0)</f>
        <v>0</v>
      </c>
      <c r="AZ448" s="58">
        <f>IFERROR(IF($V448="BRAND.com",HLOOKUP($X448&amp;$Z448,PLANNING_FC!$DA$27:$DO$46,MATCH($W448,PLANNING_FC!$CZ$27:$CZ$46,0),FALSE),0),0)</f>
        <v>0</v>
      </c>
      <c r="BA448" s="58">
        <f>IFERROR(IF($V448="BRAND.com",HLOOKUP($X448&amp;$Z448,PLANNING_FC!$DA$4:$DO$23,MATCH($W448,PLANNING_FC!$CZ$4:$CZ$23,0),FALSE),0),0)</f>
        <v>0</v>
      </c>
      <c r="BB448" s="883" t="str">
        <f>IF(V448="BRAND.com",IFERROR(HLOOKUP(X448&amp;Z448,PLANNING_FC!$AK$4:$AY$23,MATCH(W448,PLANNING_FC!$AJ$4:$AJ$23,0),FALSE)*1000,""),"")</f>
        <v/>
      </c>
      <c r="BC448" s="883" t="str">
        <f>IF(V448="BRAND.com",IFERROR(HLOOKUP(X448&amp;Z448,PLANNING_FC!$AK$27:$AY$46,MATCH(W448,PLANNING_FC!$AJ$27:$AJ$46,0),FALSE)*1000,""),"")</f>
        <v/>
      </c>
    </row>
    <row r="449" spans="1:55" x14ac:dyDescent="0.25">
      <c r="A449" s="509"/>
      <c r="B449" s="509"/>
      <c r="C449" s="509"/>
      <c r="D449" s="509"/>
      <c r="E449" s="509"/>
      <c r="F449" s="509"/>
      <c r="G449" s="509"/>
      <c r="H449" s="509"/>
      <c r="I449" s="512"/>
      <c r="J449" s="513"/>
      <c r="K449" s="879"/>
      <c r="L449" s="515"/>
      <c r="M449" s="516"/>
      <c r="N449" s="56">
        <f t="shared" si="146"/>
        <v>0</v>
      </c>
      <c r="O449" s="57">
        <f t="shared" si="147"/>
        <v>0</v>
      </c>
      <c r="P449" s="57">
        <f ca="1">IFERROR(IF(ISBLANK(H449),SUMIFS($AC:$AC,$V:$V,V449,$W:$W,W449,$X:$X,X449,$Y:$Y,Y449)*J449/(1-J449)*VLOOKUP(_xlfn.CONCAT(C449,D449,E449,TIME!$M$12,Z449),HIS_SALES!$B$2:$W$4859,20,FALSE),AC449*J449/(1-J449)),0)</f>
        <v>0</v>
      </c>
      <c r="Q449" s="541" t="str">
        <f t="shared" si="148"/>
        <v/>
      </c>
      <c r="R449" s="346" t="str">
        <f t="shared" si="149"/>
        <v>00000</v>
      </c>
      <c r="S449" s="344">
        <f t="shared" si="150"/>
        <v>0</v>
      </c>
      <c r="T449" s="345" t="str">
        <f t="shared" si="163"/>
        <v>000</v>
      </c>
      <c r="U449" s="345">
        <f t="shared" si="151"/>
        <v>0</v>
      </c>
      <c r="V449" s="345">
        <f t="shared" si="152"/>
        <v>0</v>
      </c>
      <c r="W449" s="345">
        <f t="shared" si="153"/>
        <v>0</v>
      </c>
      <c r="X449" s="345">
        <f t="shared" si="154"/>
        <v>0</v>
      </c>
      <c r="Y449" s="345">
        <f t="shared" si="155"/>
        <v>0</v>
      </c>
      <c r="Z449" s="345">
        <f>IF(Q449&lt;&gt;"",VLOOKUP(Y449,TIME!$R$21:$V$24,MATCH(FC_DATA!Q449,TIME!$R$20:$V$20,0),FALSE),H449)</f>
        <v>0</v>
      </c>
      <c r="AA449" s="345" t="str">
        <f>IFERROR(VLOOKUP(X449&amp;Z449,TIME!$A$12:$D$71,4,FALSE),"")</f>
        <v/>
      </c>
      <c r="AB449" s="592">
        <f t="shared" ca="1" si="156"/>
        <v>0</v>
      </c>
      <c r="AC449" s="593" t="e">
        <f ca="1">IF(ISBLANK(H449)=FALSE,IF(D449="BRAND.com",I449,IF(ISNA(VLOOKUP(_xlfn.CONCAT(X449,Z449),TIME!$M$40:$M$42,1,FALSE)),I449,VLOOKUP(_xlfn.CONCAT(D449,G449,H449),M_BUSAREA_FC!$AF$5:$AJ$10,5,FALSE)*HLOOKUP(_xlfn.CONCAT(F449,H449),ST_OVERVIEW!$G$99:$I$130,MATCH(_xlfn.CONCAT(D449,E449),ST_OVERVIEW!$F$99:$F$130,0),FALSE))),IF(D449="BRAND.com",VLOOKUP(_xlfn.CONCAT(C449,D449,E449,TIME!$F$1,Z449),HIS_SALES!$B$2:$V$4859,19,FALSE)*I449,VLOOKUP(_xlfn.CONCAT(D449,F449,G449),Q_BUSAREA_FC!$AE$5:$AI$12,5,FALSE)*HLOOKUP(_xlfn.CONCAT(FC_DATA!F449,FC_DATA!G449),LT_OVERVIEW!$I$99:$M$130,MATCH(_xlfn.CONCAT(D449,FC_DATA!E449),LT_OVERVIEW!$H$99:$H$130,0),FALSE)*IFERROR(VLOOKUP(_xlfn.CONCAT(C449,D449,E449,TIME!$F$1,Z449),HIS_SALES!$B$2:$V$4859,19,FALSE),0)))</f>
        <v>#N/A</v>
      </c>
      <c r="AD449" s="341">
        <f t="shared" ca="1" si="157"/>
        <v>0</v>
      </c>
      <c r="AE449" s="363" t="str">
        <f t="shared" si="158"/>
        <v/>
      </c>
      <c r="AF449" s="342" t="str">
        <f t="shared" si="159"/>
        <v/>
      </c>
      <c r="AG449" s="411" t="e">
        <f ca="1">VLOOKUP(_xlfn.CONCAT(U449,V449,W449,VLOOKUP(X449&amp;Y449,TIME!$L$27:$O$34,4,FALSE),Y449),HIS_SALES!$A$2:$R$5093,18,FALSE)</f>
        <v>#N/A</v>
      </c>
      <c r="AH449" s="412" t="e">
        <f ca="1">IFERROR(IF(AND(V449=V448,W449=W448),0.5*(AB449+AB448)*AG449,(VLOOKUP(_xlfn.CONCAT(U449,V449,W449,X449,VLOOKUP(Z449,TIME!$S$28:$T$39,2,FALSE)),FC_DATA!$R$2:$AB$5000,MATCH("GS_I_M",FC_DATA!$R$1:$AB$1,0),FALSE)+FC_DATA!AB449)*0.5*FC_DATA!AG449),NA())</f>
        <v>#N/A</v>
      </c>
      <c r="AI449" s="491" t="e">
        <f ca="1">IF(V449="PARTNER.com",AH449,IF(AND(V449=V448,W449=W448),(1-AVERAGE(AD448,AD449))*AH449,(1-AVERAGE(AD449,VLOOKUP(_xlfn.CONCAT(U449,V449,W449,X449,M_BRAND_FC!$F$6),FC_DATA!$R$2:$AD$5000,MATCH("DISCOUNT_%_M",FC_DATA!$R$1:$AD$1,0),FALSE)))*AH449))</f>
        <v>#N/A</v>
      </c>
      <c r="AJ449" s="412" t="str">
        <f t="shared" ca="1" si="160"/>
        <v/>
      </c>
      <c r="AK449" s="413" t="str">
        <f>IFERROR(AE449/(Q_BRAND_FC!$T$24+1),"")</f>
        <v/>
      </c>
      <c r="AL449" s="88" t="str">
        <f t="shared" ca="1" si="161"/>
        <v/>
      </c>
      <c r="AM449" s="414" t="str">
        <f t="shared" ca="1" si="162"/>
        <v/>
      </c>
      <c r="AN449" s="58">
        <f>IFERROR(IF($V449="BRAND.com",HLOOKUP($X449&amp;$Z449,NWC_FC_NOOS!$C$4:$Q$23,MATCH(W449,NWC_FC_NOOS!$B$4:$B$23,0),FALSE),0),0)</f>
        <v>0</v>
      </c>
      <c r="AO449" s="57">
        <f>IFERROR(IF($V449="BRAND.com",HLOOKUP($X449&amp;$Z449,NWC_FC_NOOS!$T$4:$AH$23,MATCH(W449,NWC_FC_NOOS!$S$4:$S$23,0),FALSE),0),0)</f>
        <v>0</v>
      </c>
      <c r="AP449" s="57">
        <f>IFERROR(IF($V449="BRAND.com",HLOOKUP($X449&amp;$Z449,NWC_FC_NOOS!$C$50:$U$69,MATCH(W449,NWC_FC_NOOS!$B$50:$B$69,0),FALSE),0),0)</f>
        <v>0</v>
      </c>
      <c r="AQ449" s="58">
        <f>IFERROR(IF($V449="BRAND.com",HLOOKUP($X449&amp;$Z449,'NWC_FC_NON-NOOS'!$C$4:$Q$23,MATCH(W449,'NWC_FC_NON-NOOS'!$B$4:$B$23,0),FALSE),0),0)</f>
        <v>0</v>
      </c>
      <c r="AR449" s="57">
        <f>IFERROR(IF($V449="BRAND.com",HLOOKUP($X449&amp;$Z449,'NWC_FC_NON-NOOS'!$T$4:$AH$23,MATCH(W449,'NWC_FC_NON-NOOS'!$S$4:$S$23,0),FALSE),0),0)</f>
        <v>0</v>
      </c>
      <c r="AS449" s="57">
        <f>IFERROR(IF($V449="BRAND.com",HLOOKUP($X449&amp;$Z449,'NWC_FC_NON-NOOS'!$C$50:$U$69,MATCH(W449,'NWC_FC_NON-NOOS'!$B$50:$B$69,0),FALSE),0),0)</f>
        <v>0</v>
      </c>
      <c r="AT449" s="57">
        <f t="shared" si="164"/>
        <v>0</v>
      </c>
      <c r="AU449" s="57">
        <f t="shared" si="165"/>
        <v>0</v>
      </c>
      <c r="AV449" s="58">
        <f>IFERROR(IF($V449="BRAND.com",HLOOKUP($X449&amp;$Z449,PLANNING_FC!$BB$27:$BP$46,MATCH($W449,PLANNING_FC!$BA$27:$BA$46,0),FALSE),0),0)</f>
        <v>0</v>
      </c>
      <c r="AW449" s="58">
        <f>IFERROR(IF($V449="BRAND.com",HLOOKUP($X449&amp;$Z449,PLANNING_FC!$BB$4:$BP$23,MATCH($W449,PLANNING_FC!$BA$4:$BA$23,0),FALSE),0),0)</f>
        <v>0</v>
      </c>
      <c r="AX449" s="58">
        <f>IFERROR(IF($V449="BRAND.com",HLOOKUP($X449&amp;$Z449,PLANNING_FC!$T$27:$AH$46,MATCH($W449,PLANNING_FC!$B$27:$B$46,0),FALSE),0),0)</f>
        <v>0</v>
      </c>
      <c r="AY449" s="58">
        <f>IFERROR(IF($V449="BRAND.com",HLOOKUP($X449&amp;$Z449,PLANNING_FC!$T$4:$AH$23,MATCH($W449,PLANNING_FC!$B$4:$B$23,0),FALSE),0),0)</f>
        <v>0</v>
      </c>
      <c r="AZ449" s="58">
        <f>IFERROR(IF($V449="BRAND.com",HLOOKUP($X449&amp;$Z449,PLANNING_FC!$DA$27:$DO$46,MATCH($W449,PLANNING_FC!$CZ$27:$CZ$46,0),FALSE),0),0)</f>
        <v>0</v>
      </c>
      <c r="BA449" s="58">
        <f>IFERROR(IF($V449="BRAND.com",HLOOKUP($X449&amp;$Z449,PLANNING_FC!$DA$4:$DO$23,MATCH($W449,PLANNING_FC!$CZ$4:$CZ$23,0),FALSE),0),0)</f>
        <v>0</v>
      </c>
      <c r="BB449" s="883" t="str">
        <f>IF(V449="BRAND.com",IFERROR(HLOOKUP(X449&amp;Z449,PLANNING_FC!$AK$4:$AY$23,MATCH(W449,PLANNING_FC!$AJ$4:$AJ$23,0),FALSE)*1000,""),"")</f>
        <v/>
      </c>
      <c r="BC449" s="883" t="str">
        <f>IF(V449="BRAND.com",IFERROR(HLOOKUP(X449&amp;Z449,PLANNING_FC!$AK$27:$AY$46,MATCH(W449,PLANNING_FC!$AJ$27:$AJ$46,0),FALSE)*1000,""),"")</f>
        <v/>
      </c>
    </row>
    <row r="450" spans="1:55" x14ac:dyDescent="0.25">
      <c r="A450" s="509"/>
      <c r="B450" s="509"/>
      <c r="C450" s="509"/>
      <c r="D450" s="509"/>
      <c r="E450" s="509"/>
      <c r="F450" s="509"/>
      <c r="G450" s="511"/>
      <c r="H450" s="509"/>
      <c r="I450" s="512"/>
      <c r="J450" s="513"/>
      <c r="K450" s="879"/>
      <c r="L450" s="515"/>
      <c r="M450" s="516"/>
      <c r="N450" s="56">
        <f t="shared" ref="N450:N513" si="166">IFERROR(I450/(1-J450)*J450,0)</f>
        <v>0</v>
      </c>
      <c r="O450" s="57">
        <f t="shared" ref="O450:O513" si="167">IFERROR(I450+N450,0)</f>
        <v>0</v>
      </c>
      <c r="P450" s="57">
        <f ca="1">IFERROR(IF(ISBLANK(H450),SUMIFS($AC:$AC,$V:$V,V450,$W:$W,W450,$X:$X,X450,$Y:$Y,Y450)*J450/(1-J450)*VLOOKUP(_xlfn.CONCAT(C450,D450,E450,TIME!$M$12,Z450),HIS_SALES!$B$2:$W$4859,20,FALSE),AC450*J450/(1-J450)),0)</f>
        <v>0</v>
      </c>
      <c r="Q450" s="541" t="str">
        <f t="shared" ref="Q450:Q513" si="168">IF(AND(A450&lt;&gt;"",H450=""),IF(A450=A449,Q449+1,1),"")</f>
        <v/>
      </c>
      <c r="R450" s="346" t="str">
        <f t="shared" ref="R450:R513" si="169">U450&amp;V450&amp;W450&amp;X450&amp;Z450</f>
        <v>00000</v>
      </c>
      <c r="S450" s="344">
        <f t="shared" ref="S450:S513" si="170">B450</f>
        <v>0</v>
      </c>
      <c r="T450" s="345" t="str">
        <f t="shared" si="163"/>
        <v>000</v>
      </c>
      <c r="U450" s="345">
        <f t="shared" ref="U450:U513" si="171">C450</f>
        <v>0</v>
      </c>
      <c r="V450" s="345">
        <f t="shared" ref="V450:V513" si="172">D450</f>
        <v>0</v>
      </c>
      <c r="W450" s="345">
        <f t="shared" ref="W450:W513" si="173">E450</f>
        <v>0</v>
      </c>
      <c r="X450" s="345">
        <f t="shared" ref="X450:X513" si="174">F450</f>
        <v>0</v>
      </c>
      <c r="Y450" s="345">
        <f t="shared" ref="Y450:Y513" si="175">G450</f>
        <v>0</v>
      </c>
      <c r="Z450" s="345">
        <f>IF(Q450&lt;&gt;"",VLOOKUP(Y450,TIME!$R$21:$V$24,MATCH(FC_DATA!Q450,TIME!$R$20:$V$20,0),FALSE),H450)</f>
        <v>0</v>
      </c>
      <c r="AA450" s="345" t="str">
        <f>IFERROR(VLOOKUP(X450&amp;Z450,TIME!$A$12:$D$71,4,FALSE),"")</f>
        <v/>
      </c>
      <c r="AB450" s="592">
        <f t="shared" ref="AB450:AB513" ca="1" si="176">IFERROR(AC450+P450,0)</f>
        <v>0</v>
      </c>
      <c r="AC450" s="593" t="e">
        <f ca="1">IF(ISBLANK(H450)=FALSE,IF(D450="BRAND.com",I450,IF(ISNA(VLOOKUP(_xlfn.CONCAT(X450,Z450),TIME!$M$40:$M$42,1,FALSE)),I450,VLOOKUP(_xlfn.CONCAT(D450,G450,H450),M_BUSAREA_FC!$AF$5:$AJ$10,5,FALSE)*HLOOKUP(_xlfn.CONCAT(F450,H450),ST_OVERVIEW!$G$99:$I$130,MATCH(_xlfn.CONCAT(D450,E450),ST_OVERVIEW!$F$99:$F$130,0),FALSE))),IF(D450="BRAND.com",VLOOKUP(_xlfn.CONCAT(C450,D450,E450,TIME!$F$1,Z450),HIS_SALES!$B$2:$V$4859,19,FALSE)*I450,VLOOKUP(_xlfn.CONCAT(D450,F450,G450),Q_BUSAREA_FC!$AE$5:$AI$12,5,FALSE)*HLOOKUP(_xlfn.CONCAT(FC_DATA!F450,FC_DATA!G450),LT_OVERVIEW!$I$99:$M$130,MATCH(_xlfn.CONCAT(D450,FC_DATA!E450),LT_OVERVIEW!$H$99:$H$130,0),FALSE)*IFERROR(VLOOKUP(_xlfn.CONCAT(C450,D450,E450,TIME!$F$1,Z450),HIS_SALES!$B$2:$V$4859,19,FALSE),0)))</f>
        <v>#N/A</v>
      </c>
      <c r="AD450" s="341">
        <f t="shared" ref="AD450:AD513" ca="1" si="177">IFERROR(IF(D450="PARTNER.com",0,1-AC450/AB450),0)</f>
        <v>0</v>
      </c>
      <c r="AE450" s="363" t="str">
        <f t="shared" ref="AE450:AE513" si="178">IF(A450&lt;&gt;"",K450,"")</f>
        <v/>
      </c>
      <c r="AF450" s="342" t="str">
        <f t="shared" ref="AF450:AF513" si="179">IF(B450&lt;&gt;"",M450,"")</f>
        <v/>
      </c>
      <c r="AG450" s="411" t="e">
        <f ca="1">VLOOKUP(_xlfn.CONCAT(U450,V450,W450,VLOOKUP(X450&amp;Y450,TIME!$L$27:$O$34,4,FALSE),Y450),HIS_SALES!$A$2:$R$5093,18,FALSE)</f>
        <v>#N/A</v>
      </c>
      <c r="AH450" s="412" t="e">
        <f ca="1">IFERROR(IF(AND(V450=V449,W450=W449),0.5*(AB450+AB449)*AG450,(VLOOKUP(_xlfn.CONCAT(U450,V450,W450,X450,VLOOKUP(Z450,TIME!$S$28:$T$39,2,FALSE)),FC_DATA!$R$2:$AB$5000,MATCH("GS_I_M",FC_DATA!$R$1:$AB$1,0),FALSE)+FC_DATA!AB450)*0.5*FC_DATA!AG450),NA())</f>
        <v>#N/A</v>
      </c>
      <c r="AI450" s="491" t="e">
        <f ca="1">IF(V450="PARTNER.com",AH450,IF(AND(V450=V449,W450=W449),(1-AVERAGE(AD449,AD450))*AH450,(1-AVERAGE(AD450,VLOOKUP(_xlfn.CONCAT(U450,V450,W450,X450,M_BRAND_FC!$F$6),FC_DATA!$R$2:$AD$5000,MATCH("DISCOUNT_%_M",FC_DATA!$R$1:$AD$1,0),FALSE)))*AH450))</f>
        <v>#N/A</v>
      </c>
      <c r="AJ450" s="412" t="str">
        <f t="shared" ref="AJ450:AJ513" ca="1" si="180">IFERROR(AC450-AI450,"")</f>
        <v/>
      </c>
      <c r="AK450" s="413" t="str">
        <f>IFERROR(AE450/(Q_BRAND_FC!$T$24+1),"")</f>
        <v/>
      </c>
      <c r="AL450" s="88" t="str">
        <f t="shared" ref="AL450:AL513" ca="1" si="181">IFERROR((AB450-AH450)/AK450*AF450,"")</f>
        <v/>
      </c>
      <c r="AM450" s="414" t="str">
        <f t="shared" ref="AM450:AM513" ca="1" si="182">IFERROR((AB450-AH450)/AK450*(1-AF450),"")</f>
        <v/>
      </c>
      <c r="AN450" s="58">
        <f>IFERROR(IF($V450="BRAND.com",HLOOKUP($X450&amp;$Z450,NWC_FC_NOOS!$C$4:$Q$23,MATCH(W450,NWC_FC_NOOS!$B$4:$B$23,0),FALSE),0),0)</f>
        <v>0</v>
      </c>
      <c r="AO450" s="57">
        <f>IFERROR(IF($V450="BRAND.com",HLOOKUP($X450&amp;$Z450,NWC_FC_NOOS!$T$4:$AH$23,MATCH(W450,NWC_FC_NOOS!$S$4:$S$23,0),FALSE),0),0)</f>
        <v>0</v>
      </c>
      <c r="AP450" s="57">
        <f>IFERROR(IF($V450="BRAND.com",HLOOKUP($X450&amp;$Z450,NWC_FC_NOOS!$C$50:$U$69,MATCH(W450,NWC_FC_NOOS!$B$50:$B$69,0),FALSE),0),0)</f>
        <v>0</v>
      </c>
      <c r="AQ450" s="58">
        <f>IFERROR(IF($V450="BRAND.com",HLOOKUP($X450&amp;$Z450,'NWC_FC_NON-NOOS'!$C$4:$Q$23,MATCH(W450,'NWC_FC_NON-NOOS'!$B$4:$B$23,0),FALSE),0),0)</f>
        <v>0</v>
      </c>
      <c r="AR450" s="57">
        <f>IFERROR(IF($V450="BRAND.com",HLOOKUP($X450&amp;$Z450,'NWC_FC_NON-NOOS'!$T$4:$AH$23,MATCH(W450,'NWC_FC_NON-NOOS'!$S$4:$S$23,0),FALSE),0),0)</f>
        <v>0</v>
      </c>
      <c r="AS450" s="57">
        <f>IFERROR(IF($V450="BRAND.com",HLOOKUP($X450&amp;$Z450,'NWC_FC_NON-NOOS'!$C$50:$U$69,MATCH(W450,'NWC_FC_NON-NOOS'!$B$50:$B$69,0),FALSE),0),0)</f>
        <v>0</v>
      </c>
      <c r="AT450" s="57">
        <f t="shared" si="164"/>
        <v>0</v>
      </c>
      <c r="AU450" s="57">
        <f t="shared" si="165"/>
        <v>0</v>
      </c>
      <c r="AV450" s="58">
        <f>IFERROR(IF($V450="BRAND.com",HLOOKUP($X450&amp;$Z450,PLANNING_FC!$BB$27:$BP$46,MATCH($W450,PLANNING_FC!$BA$27:$BA$46,0),FALSE),0),0)</f>
        <v>0</v>
      </c>
      <c r="AW450" s="58">
        <f>IFERROR(IF($V450="BRAND.com",HLOOKUP($X450&amp;$Z450,PLANNING_FC!$BB$4:$BP$23,MATCH($W450,PLANNING_FC!$BA$4:$BA$23,0),FALSE),0),0)</f>
        <v>0</v>
      </c>
      <c r="AX450" s="58">
        <f>IFERROR(IF($V450="BRAND.com",HLOOKUP($X450&amp;$Z450,PLANNING_FC!$T$27:$AH$46,MATCH($W450,PLANNING_FC!$B$27:$B$46,0),FALSE),0),0)</f>
        <v>0</v>
      </c>
      <c r="AY450" s="58">
        <f>IFERROR(IF($V450="BRAND.com",HLOOKUP($X450&amp;$Z450,PLANNING_FC!$T$4:$AH$23,MATCH($W450,PLANNING_FC!$B$4:$B$23,0),FALSE),0),0)</f>
        <v>0</v>
      </c>
      <c r="AZ450" s="58">
        <f>IFERROR(IF($V450="BRAND.com",HLOOKUP($X450&amp;$Z450,PLANNING_FC!$DA$27:$DO$46,MATCH($W450,PLANNING_FC!$CZ$27:$CZ$46,0),FALSE),0),0)</f>
        <v>0</v>
      </c>
      <c r="BA450" s="58">
        <f>IFERROR(IF($V450="BRAND.com",HLOOKUP($X450&amp;$Z450,PLANNING_FC!$DA$4:$DO$23,MATCH($W450,PLANNING_FC!$CZ$4:$CZ$23,0),FALSE),0),0)</f>
        <v>0</v>
      </c>
      <c r="BB450" s="883" t="str">
        <f>IF(V450="BRAND.com",IFERROR(HLOOKUP(X450&amp;Z450,PLANNING_FC!$AK$4:$AY$23,MATCH(W450,PLANNING_FC!$AJ$4:$AJ$23,0),FALSE)*1000,""),"")</f>
        <v/>
      </c>
      <c r="BC450" s="883" t="str">
        <f>IF(V450="BRAND.com",IFERROR(HLOOKUP(X450&amp;Z450,PLANNING_FC!$AK$27:$AY$46,MATCH(W450,PLANNING_FC!$AJ$27:$AJ$46,0),FALSE)*1000,""),"")</f>
        <v/>
      </c>
    </row>
    <row r="451" spans="1:55" x14ac:dyDescent="0.25">
      <c r="A451" s="509"/>
      <c r="B451" s="509"/>
      <c r="C451" s="509"/>
      <c r="D451" s="509"/>
      <c r="E451" s="509"/>
      <c r="F451" s="509"/>
      <c r="G451" s="509"/>
      <c r="H451" s="509"/>
      <c r="I451" s="512"/>
      <c r="J451" s="513"/>
      <c r="K451" s="879"/>
      <c r="L451" s="515"/>
      <c r="M451" s="516"/>
      <c r="N451" s="56">
        <f t="shared" si="166"/>
        <v>0</v>
      </c>
      <c r="O451" s="57">
        <f t="shared" si="167"/>
        <v>0</v>
      </c>
      <c r="P451" s="57">
        <f ca="1">IFERROR(IF(ISBLANK(H451),SUMIFS($AC:$AC,$V:$V,V451,$W:$W,W451,$X:$X,X451,$Y:$Y,Y451)*J451/(1-J451)*VLOOKUP(_xlfn.CONCAT(C451,D451,E451,TIME!$M$12,Z451),HIS_SALES!$B$2:$W$4859,20,FALSE),AC451*J451/(1-J451)),0)</f>
        <v>0</v>
      </c>
      <c r="Q451" s="541" t="str">
        <f t="shared" si="168"/>
        <v/>
      </c>
      <c r="R451" s="346" t="str">
        <f t="shared" si="169"/>
        <v>00000</v>
      </c>
      <c r="S451" s="344">
        <f t="shared" si="170"/>
        <v>0</v>
      </c>
      <c r="T451" s="345" t="str">
        <f t="shared" ref="T451:T514" si="183">U451&amp;V451&amp;W451&amp;AA451</f>
        <v>000</v>
      </c>
      <c r="U451" s="345">
        <f t="shared" si="171"/>
        <v>0</v>
      </c>
      <c r="V451" s="345">
        <f t="shared" si="172"/>
        <v>0</v>
      </c>
      <c r="W451" s="345">
        <f t="shared" si="173"/>
        <v>0</v>
      </c>
      <c r="X451" s="345">
        <f t="shared" si="174"/>
        <v>0</v>
      </c>
      <c r="Y451" s="345">
        <f t="shared" si="175"/>
        <v>0</v>
      </c>
      <c r="Z451" s="345">
        <f>IF(Q451&lt;&gt;"",VLOOKUP(Y451,TIME!$R$21:$V$24,MATCH(FC_DATA!Q451,TIME!$R$20:$V$20,0),FALSE),H451)</f>
        <v>0</v>
      </c>
      <c r="AA451" s="345" t="str">
        <f>IFERROR(VLOOKUP(X451&amp;Z451,TIME!$A$12:$D$71,4,FALSE),"")</f>
        <v/>
      </c>
      <c r="AB451" s="592">
        <f t="shared" ca="1" si="176"/>
        <v>0</v>
      </c>
      <c r="AC451" s="593" t="e">
        <f ca="1">IF(ISBLANK(H451)=FALSE,IF(D451="BRAND.com",I451,IF(ISNA(VLOOKUP(_xlfn.CONCAT(X451,Z451),TIME!$M$40:$M$42,1,FALSE)),I451,VLOOKUP(_xlfn.CONCAT(D451,G451,H451),M_BUSAREA_FC!$AF$5:$AJ$10,5,FALSE)*HLOOKUP(_xlfn.CONCAT(F451,H451),ST_OVERVIEW!$G$99:$I$130,MATCH(_xlfn.CONCAT(D451,E451),ST_OVERVIEW!$F$99:$F$130,0),FALSE))),IF(D451="BRAND.com",VLOOKUP(_xlfn.CONCAT(C451,D451,E451,TIME!$F$1,Z451),HIS_SALES!$B$2:$V$4859,19,FALSE)*I451,VLOOKUP(_xlfn.CONCAT(D451,F451,G451),Q_BUSAREA_FC!$AE$5:$AI$12,5,FALSE)*HLOOKUP(_xlfn.CONCAT(FC_DATA!F451,FC_DATA!G451),LT_OVERVIEW!$I$99:$M$130,MATCH(_xlfn.CONCAT(D451,FC_DATA!E451),LT_OVERVIEW!$H$99:$H$130,0),FALSE)*IFERROR(VLOOKUP(_xlfn.CONCAT(C451,D451,E451,TIME!$F$1,Z451),HIS_SALES!$B$2:$V$4859,19,FALSE),0)))</f>
        <v>#N/A</v>
      </c>
      <c r="AD451" s="341">
        <f t="shared" ca="1" si="177"/>
        <v>0</v>
      </c>
      <c r="AE451" s="363" t="str">
        <f t="shared" si="178"/>
        <v/>
      </c>
      <c r="AF451" s="342" t="str">
        <f t="shared" si="179"/>
        <v/>
      </c>
      <c r="AG451" s="411" t="e">
        <f ca="1">VLOOKUP(_xlfn.CONCAT(U451,V451,W451,VLOOKUP(X451&amp;Y451,TIME!$L$27:$O$34,4,FALSE),Y451),HIS_SALES!$A$2:$R$5093,18,FALSE)</f>
        <v>#N/A</v>
      </c>
      <c r="AH451" s="412" t="e">
        <f ca="1">IFERROR(IF(AND(V451=V450,W451=W450),0.5*(AB451+AB450)*AG451,(VLOOKUP(_xlfn.CONCAT(U451,V451,W451,X451,VLOOKUP(Z451,TIME!$S$28:$T$39,2,FALSE)),FC_DATA!$R$2:$AB$5000,MATCH("GS_I_M",FC_DATA!$R$1:$AB$1,0),FALSE)+FC_DATA!AB451)*0.5*FC_DATA!AG451),NA())</f>
        <v>#N/A</v>
      </c>
      <c r="AI451" s="491" t="e">
        <f ca="1">IF(V451="PARTNER.com",AH451,IF(AND(V451=V450,W451=W450),(1-AVERAGE(AD450,AD451))*AH451,(1-AVERAGE(AD451,VLOOKUP(_xlfn.CONCAT(U451,V451,W451,X451,M_BRAND_FC!$F$6),FC_DATA!$R$2:$AD$5000,MATCH("DISCOUNT_%_M",FC_DATA!$R$1:$AD$1,0),FALSE)))*AH451))</f>
        <v>#N/A</v>
      </c>
      <c r="AJ451" s="412" t="str">
        <f t="shared" ca="1" si="180"/>
        <v/>
      </c>
      <c r="AK451" s="413" t="str">
        <f>IFERROR(AE451/(Q_BRAND_FC!$T$24+1),"")</f>
        <v/>
      </c>
      <c r="AL451" s="88" t="str">
        <f t="shared" ca="1" si="181"/>
        <v/>
      </c>
      <c r="AM451" s="414" t="str">
        <f t="shared" ca="1" si="182"/>
        <v/>
      </c>
      <c r="AN451" s="58">
        <f>IFERROR(IF($V451="BRAND.com",HLOOKUP($X451&amp;$Z451,NWC_FC_NOOS!$C$4:$Q$23,MATCH(W451,NWC_FC_NOOS!$B$4:$B$23,0),FALSE),0),0)</f>
        <v>0</v>
      </c>
      <c r="AO451" s="57">
        <f>IFERROR(IF($V451="BRAND.com",HLOOKUP($X451&amp;$Z451,NWC_FC_NOOS!$T$4:$AH$23,MATCH(W451,NWC_FC_NOOS!$S$4:$S$23,0),FALSE),0),0)</f>
        <v>0</v>
      </c>
      <c r="AP451" s="57">
        <f>IFERROR(IF($V451="BRAND.com",HLOOKUP($X451&amp;$Z451,NWC_FC_NOOS!$C$50:$U$69,MATCH(W451,NWC_FC_NOOS!$B$50:$B$69,0),FALSE),0),0)</f>
        <v>0</v>
      </c>
      <c r="AQ451" s="58">
        <f>IFERROR(IF($V451="BRAND.com",HLOOKUP($X451&amp;$Z451,'NWC_FC_NON-NOOS'!$C$4:$Q$23,MATCH(W451,'NWC_FC_NON-NOOS'!$B$4:$B$23,0),FALSE),0),0)</f>
        <v>0</v>
      </c>
      <c r="AR451" s="57">
        <f>IFERROR(IF($V451="BRAND.com",HLOOKUP($X451&amp;$Z451,'NWC_FC_NON-NOOS'!$T$4:$AH$23,MATCH(W451,'NWC_FC_NON-NOOS'!$S$4:$S$23,0),FALSE),0),0)</f>
        <v>0</v>
      </c>
      <c r="AS451" s="57">
        <f>IFERROR(IF($V451="BRAND.com",HLOOKUP($X451&amp;$Z451,'NWC_FC_NON-NOOS'!$C$50:$U$69,MATCH(W451,'NWC_FC_NON-NOOS'!$B$50:$B$69,0),FALSE),0),0)</f>
        <v>0</v>
      </c>
      <c r="AT451" s="57">
        <f t="shared" ref="AT451:AT514" si="184">AO451+AR451</f>
        <v>0</v>
      </c>
      <c r="AU451" s="57">
        <f t="shared" ref="AU451:AU514" si="185">AP451+AS451</f>
        <v>0</v>
      </c>
      <c r="AV451" s="58">
        <f>IFERROR(IF($V451="BRAND.com",HLOOKUP($X451&amp;$Z451,PLANNING_FC!$BB$27:$BP$46,MATCH($W451,PLANNING_FC!$BA$27:$BA$46,0),FALSE),0),0)</f>
        <v>0</v>
      </c>
      <c r="AW451" s="58">
        <f>IFERROR(IF($V451="BRAND.com",HLOOKUP($X451&amp;$Z451,PLANNING_FC!$BB$4:$BP$23,MATCH($W451,PLANNING_FC!$BA$4:$BA$23,0),FALSE),0),0)</f>
        <v>0</v>
      </c>
      <c r="AX451" s="58">
        <f>IFERROR(IF($V451="BRAND.com",HLOOKUP($X451&amp;$Z451,PLANNING_FC!$T$27:$AH$46,MATCH($W451,PLANNING_FC!$B$27:$B$46,0),FALSE),0),0)</f>
        <v>0</v>
      </c>
      <c r="AY451" s="58">
        <f>IFERROR(IF($V451="BRAND.com",HLOOKUP($X451&amp;$Z451,PLANNING_FC!$T$4:$AH$23,MATCH($W451,PLANNING_FC!$B$4:$B$23,0),FALSE),0),0)</f>
        <v>0</v>
      </c>
      <c r="AZ451" s="58">
        <f>IFERROR(IF($V451="BRAND.com",HLOOKUP($X451&amp;$Z451,PLANNING_FC!$DA$27:$DO$46,MATCH($W451,PLANNING_FC!$CZ$27:$CZ$46,0),FALSE),0),0)</f>
        <v>0</v>
      </c>
      <c r="BA451" s="58">
        <f>IFERROR(IF($V451="BRAND.com",HLOOKUP($X451&amp;$Z451,PLANNING_FC!$DA$4:$DO$23,MATCH($W451,PLANNING_FC!$CZ$4:$CZ$23,0),FALSE),0),0)</f>
        <v>0</v>
      </c>
      <c r="BB451" s="883" t="str">
        <f>IF(V451="BRAND.com",IFERROR(HLOOKUP(X451&amp;Z451,PLANNING_FC!$AK$4:$AY$23,MATCH(W451,PLANNING_FC!$AJ$4:$AJ$23,0),FALSE)*1000,""),"")</f>
        <v/>
      </c>
      <c r="BC451" s="883" t="str">
        <f>IF(V451="BRAND.com",IFERROR(HLOOKUP(X451&amp;Z451,PLANNING_FC!$AK$27:$AY$46,MATCH(W451,PLANNING_FC!$AJ$27:$AJ$46,0),FALSE)*1000,""),"")</f>
        <v/>
      </c>
    </row>
    <row r="452" spans="1:55" x14ac:dyDescent="0.25">
      <c r="A452" s="509"/>
      <c r="B452" s="509"/>
      <c r="C452" s="509"/>
      <c r="D452" s="509"/>
      <c r="E452" s="509"/>
      <c r="F452" s="509"/>
      <c r="G452" s="509"/>
      <c r="H452" s="509"/>
      <c r="I452" s="512"/>
      <c r="J452" s="513"/>
      <c r="K452" s="879"/>
      <c r="L452" s="515"/>
      <c r="M452" s="516"/>
      <c r="N452" s="56">
        <f t="shared" si="166"/>
        <v>0</v>
      </c>
      <c r="O452" s="57">
        <f t="shared" si="167"/>
        <v>0</v>
      </c>
      <c r="P452" s="57">
        <f ca="1">IFERROR(IF(ISBLANK(H452),SUMIFS($AC:$AC,$V:$V,V452,$W:$W,W452,$X:$X,X452,$Y:$Y,Y452)*J452/(1-J452)*VLOOKUP(_xlfn.CONCAT(C452,D452,E452,TIME!$M$12,Z452),HIS_SALES!$B$2:$W$4859,20,FALSE),AC452*J452/(1-J452)),0)</f>
        <v>0</v>
      </c>
      <c r="Q452" s="541" t="str">
        <f t="shared" si="168"/>
        <v/>
      </c>
      <c r="R452" s="346" t="str">
        <f t="shared" si="169"/>
        <v>00000</v>
      </c>
      <c r="S452" s="344">
        <f t="shared" si="170"/>
        <v>0</v>
      </c>
      <c r="T452" s="345" t="str">
        <f t="shared" si="183"/>
        <v>000</v>
      </c>
      <c r="U452" s="345">
        <f t="shared" si="171"/>
        <v>0</v>
      </c>
      <c r="V452" s="345">
        <f t="shared" si="172"/>
        <v>0</v>
      </c>
      <c r="W452" s="345">
        <f t="shared" si="173"/>
        <v>0</v>
      </c>
      <c r="X452" s="345">
        <f t="shared" si="174"/>
        <v>0</v>
      </c>
      <c r="Y452" s="345">
        <f t="shared" si="175"/>
        <v>0</v>
      </c>
      <c r="Z452" s="345">
        <f>IF(Q452&lt;&gt;"",VLOOKUP(Y452,TIME!$R$21:$V$24,MATCH(FC_DATA!Q452,TIME!$R$20:$V$20,0),FALSE),H452)</f>
        <v>0</v>
      </c>
      <c r="AA452" s="345" t="str">
        <f>IFERROR(VLOOKUP(X452&amp;Z452,TIME!$A$12:$D$71,4,FALSE),"")</f>
        <v/>
      </c>
      <c r="AB452" s="592">
        <f t="shared" ca="1" si="176"/>
        <v>0</v>
      </c>
      <c r="AC452" s="593" t="e">
        <f ca="1">IF(ISBLANK(H452)=FALSE,IF(D452="BRAND.com",I452,IF(ISNA(VLOOKUP(_xlfn.CONCAT(X452,Z452),TIME!$M$40:$M$42,1,FALSE)),I452,VLOOKUP(_xlfn.CONCAT(D452,G452,H452),M_BUSAREA_FC!$AF$5:$AJ$10,5,FALSE)*HLOOKUP(_xlfn.CONCAT(F452,H452),ST_OVERVIEW!$G$99:$I$130,MATCH(_xlfn.CONCAT(D452,E452),ST_OVERVIEW!$F$99:$F$130,0),FALSE))),IF(D452="BRAND.com",VLOOKUP(_xlfn.CONCAT(C452,D452,E452,TIME!$F$1,Z452),HIS_SALES!$B$2:$V$4859,19,FALSE)*I452,VLOOKUP(_xlfn.CONCAT(D452,F452,G452),Q_BUSAREA_FC!$AE$5:$AI$12,5,FALSE)*HLOOKUP(_xlfn.CONCAT(FC_DATA!F452,FC_DATA!G452),LT_OVERVIEW!$I$99:$M$130,MATCH(_xlfn.CONCAT(D452,FC_DATA!E452),LT_OVERVIEW!$H$99:$H$130,0),FALSE)*IFERROR(VLOOKUP(_xlfn.CONCAT(C452,D452,E452,TIME!$F$1,Z452),HIS_SALES!$B$2:$V$4859,19,FALSE),0)))</f>
        <v>#N/A</v>
      </c>
      <c r="AD452" s="341">
        <f t="shared" ca="1" si="177"/>
        <v>0</v>
      </c>
      <c r="AE452" s="363" t="str">
        <f t="shared" si="178"/>
        <v/>
      </c>
      <c r="AF452" s="342" t="str">
        <f t="shared" si="179"/>
        <v/>
      </c>
      <c r="AG452" s="411" t="e">
        <f ca="1">VLOOKUP(_xlfn.CONCAT(U452,V452,W452,VLOOKUP(X452&amp;Y452,TIME!$L$27:$O$34,4,FALSE),Y452),HIS_SALES!$A$2:$R$5093,18,FALSE)</f>
        <v>#N/A</v>
      </c>
      <c r="AH452" s="412" t="e">
        <f ca="1">IFERROR(IF(AND(V452=V451,W452=W451),0.5*(AB452+AB451)*AG452,(VLOOKUP(_xlfn.CONCAT(U452,V452,W452,X452,VLOOKUP(Z452,TIME!$S$28:$T$39,2,FALSE)),FC_DATA!$R$2:$AB$5000,MATCH("GS_I_M",FC_DATA!$R$1:$AB$1,0),FALSE)+FC_DATA!AB452)*0.5*FC_DATA!AG452),NA())</f>
        <v>#N/A</v>
      </c>
      <c r="AI452" s="491" t="e">
        <f ca="1">IF(V452="PARTNER.com",AH452,IF(AND(V452=V451,W452=W451),(1-AVERAGE(AD451,AD452))*AH452,(1-AVERAGE(AD452,VLOOKUP(_xlfn.CONCAT(U452,V452,W452,X452,M_BRAND_FC!$F$6),FC_DATA!$R$2:$AD$5000,MATCH("DISCOUNT_%_M",FC_DATA!$R$1:$AD$1,0),FALSE)))*AH452))</f>
        <v>#N/A</v>
      </c>
      <c r="AJ452" s="412" t="str">
        <f t="shared" ca="1" si="180"/>
        <v/>
      </c>
      <c r="AK452" s="413" t="str">
        <f>IFERROR(AE452/(Q_BRAND_FC!$T$24+1),"")</f>
        <v/>
      </c>
      <c r="AL452" s="88" t="str">
        <f t="shared" ca="1" si="181"/>
        <v/>
      </c>
      <c r="AM452" s="414" t="str">
        <f t="shared" ca="1" si="182"/>
        <v/>
      </c>
      <c r="AN452" s="58">
        <f>IFERROR(IF($V452="BRAND.com",HLOOKUP($X452&amp;$Z452,NWC_FC_NOOS!$C$4:$Q$23,MATCH(W452,NWC_FC_NOOS!$B$4:$B$23,0),FALSE),0),0)</f>
        <v>0</v>
      </c>
      <c r="AO452" s="57">
        <f>IFERROR(IF($V452="BRAND.com",HLOOKUP($X452&amp;$Z452,NWC_FC_NOOS!$T$4:$AH$23,MATCH(W452,NWC_FC_NOOS!$S$4:$S$23,0),FALSE),0),0)</f>
        <v>0</v>
      </c>
      <c r="AP452" s="57">
        <f>IFERROR(IF($V452="BRAND.com",HLOOKUP($X452&amp;$Z452,NWC_FC_NOOS!$C$50:$U$69,MATCH(W452,NWC_FC_NOOS!$B$50:$B$69,0),FALSE),0),0)</f>
        <v>0</v>
      </c>
      <c r="AQ452" s="58">
        <f>IFERROR(IF($V452="BRAND.com",HLOOKUP($X452&amp;$Z452,'NWC_FC_NON-NOOS'!$C$4:$Q$23,MATCH(W452,'NWC_FC_NON-NOOS'!$B$4:$B$23,0),FALSE),0),0)</f>
        <v>0</v>
      </c>
      <c r="AR452" s="57">
        <f>IFERROR(IF($V452="BRAND.com",HLOOKUP($X452&amp;$Z452,'NWC_FC_NON-NOOS'!$T$4:$AH$23,MATCH(W452,'NWC_FC_NON-NOOS'!$S$4:$S$23,0),FALSE),0),0)</f>
        <v>0</v>
      </c>
      <c r="AS452" s="57">
        <f>IFERROR(IF($V452="BRAND.com",HLOOKUP($X452&amp;$Z452,'NWC_FC_NON-NOOS'!$C$50:$U$69,MATCH(W452,'NWC_FC_NON-NOOS'!$B$50:$B$69,0),FALSE),0),0)</f>
        <v>0</v>
      </c>
      <c r="AT452" s="57">
        <f t="shared" si="184"/>
        <v>0</v>
      </c>
      <c r="AU452" s="57">
        <f t="shared" si="185"/>
        <v>0</v>
      </c>
      <c r="AV452" s="58">
        <f>IFERROR(IF($V452="BRAND.com",HLOOKUP($X452&amp;$Z452,PLANNING_FC!$BB$27:$BP$46,MATCH($W452,PLANNING_FC!$BA$27:$BA$46,0),FALSE),0),0)</f>
        <v>0</v>
      </c>
      <c r="AW452" s="58">
        <f>IFERROR(IF($V452="BRAND.com",HLOOKUP($X452&amp;$Z452,PLANNING_FC!$BB$4:$BP$23,MATCH($W452,PLANNING_FC!$BA$4:$BA$23,0),FALSE),0),0)</f>
        <v>0</v>
      </c>
      <c r="AX452" s="58">
        <f>IFERROR(IF($V452="BRAND.com",HLOOKUP($X452&amp;$Z452,PLANNING_FC!$T$27:$AH$46,MATCH($W452,PLANNING_FC!$B$27:$B$46,0),FALSE),0),0)</f>
        <v>0</v>
      </c>
      <c r="AY452" s="58">
        <f>IFERROR(IF($V452="BRAND.com",HLOOKUP($X452&amp;$Z452,PLANNING_FC!$T$4:$AH$23,MATCH($W452,PLANNING_FC!$B$4:$B$23,0),FALSE),0),0)</f>
        <v>0</v>
      </c>
      <c r="AZ452" s="58">
        <f>IFERROR(IF($V452="BRAND.com",HLOOKUP($X452&amp;$Z452,PLANNING_FC!$DA$27:$DO$46,MATCH($W452,PLANNING_FC!$CZ$27:$CZ$46,0),FALSE),0),0)</f>
        <v>0</v>
      </c>
      <c r="BA452" s="58">
        <f>IFERROR(IF($V452="BRAND.com",HLOOKUP($X452&amp;$Z452,PLANNING_FC!$DA$4:$DO$23,MATCH($W452,PLANNING_FC!$CZ$4:$CZ$23,0),FALSE),0),0)</f>
        <v>0</v>
      </c>
      <c r="BB452" s="883" t="str">
        <f>IF(V452="BRAND.com",IFERROR(HLOOKUP(X452&amp;Z452,PLANNING_FC!$AK$4:$AY$23,MATCH(W452,PLANNING_FC!$AJ$4:$AJ$23,0),FALSE)*1000,""),"")</f>
        <v/>
      </c>
      <c r="BC452" s="883" t="str">
        <f>IF(V452="BRAND.com",IFERROR(HLOOKUP(X452&amp;Z452,PLANNING_FC!$AK$27:$AY$46,MATCH(W452,PLANNING_FC!$AJ$27:$AJ$46,0),FALSE)*1000,""),"")</f>
        <v/>
      </c>
    </row>
    <row r="453" spans="1:55" x14ac:dyDescent="0.25">
      <c r="A453" s="509"/>
      <c r="B453" s="509"/>
      <c r="C453" s="509"/>
      <c r="D453" s="509"/>
      <c r="E453" s="509"/>
      <c r="F453" s="509"/>
      <c r="G453" s="509"/>
      <c r="H453" s="509"/>
      <c r="I453" s="512"/>
      <c r="J453" s="513"/>
      <c r="K453" s="879"/>
      <c r="L453" s="515"/>
      <c r="M453" s="516"/>
      <c r="N453" s="56">
        <f t="shared" si="166"/>
        <v>0</v>
      </c>
      <c r="O453" s="57">
        <f t="shared" si="167"/>
        <v>0</v>
      </c>
      <c r="P453" s="57">
        <f ca="1">IFERROR(IF(ISBLANK(H453),SUMIFS($AC:$AC,$V:$V,V453,$W:$W,W453,$X:$X,X453,$Y:$Y,Y453)*J453/(1-J453)*VLOOKUP(_xlfn.CONCAT(C453,D453,E453,TIME!$M$12,Z453),HIS_SALES!$B$2:$W$4859,20,FALSE),AC453*J453/(1-J453)),0)</f>
        <v>0</v>
      </c>
      <c r="Q453" s="541" t="str">
        <f t="shared" si="168"/>
        <v/>
      </c>
      <c r="R453" s="346" t="str">
        <f t="shared" si="169"/>
        <v>00000</v>
      </c>
      <c r="S453" s="344">
        <f t="shared" si="170"/>
        <v>0</v>
      </c>
      <c r="T453" s="345" t="str">
        <f t="shared" si="183"/>
        <v>000</v>
      </c>
      <c r="U453" s="345">
        <f t="shared" si="171"/>
        <v>0</v>
      </c>
      <c r="V453" s="345">
        <f t="shared" si="172"/>
        <v>0</v>
      </c>
      <c r="W453" s="345">
        <f t="shared" si="173"/>
        <v>0</v>
      </c>
      <c r="X453" s="345">
        <f t="shared" si="174"/>
        <v>0</v>
      </c>
      <c r="Y453" s="345">
        <f t="shared" si="175"/>
        <v>0</v>
      </c>
      <c r="Z453" s="345">
        <f>IF(Q453&lt;&gt;"",VLOOKUP(Y453,TIME!$R$21:$V$24,MATCH(FC_DATA!Q453,TIME!$R$20:$V$20,0),FALSE),H453)</f>
        <v>0</v>
      </c>
      <c r="AA453" s="345" t="str">
        <f>IFERROR(VLOOKUP(X453&amp;Z453,TIME!$A$12:$D$71,4,FALSE),"")</f>
        <v/>
      </c>
      <c r="AB453" s="592">
        <f t="shared" ca="1" si="176"/>
        <v>0</v>
      </c>
      <c r="AC453" s="593" t="e">
        <f ca="1">IF(ISBLANK(H453)=FALSE,IF(D453="BRAND.com",I453,IF(ISNA(VLOOKUP(_xlfn.CONCAT(X453,Z453),TIME!$M$40:$M$42,1,FALSE)),I453,VLOOKUP(_xlfn.CONCAT(D453,G453,H453),M_BUSAREA_FC!$AF$5:$AJ$10,5,FALSE)*HLOOKUP(_xlfn.CONCAT(F453,H453),ST_OVERVIEW!$G$99:$I$130,MATCH(_xlfn.CONCAT(D453,E453),ST_OVERVIEW!$F$99:$F$130,0),FALSE))),IF(D453="BRAND.com",VLOOKUP(_xlfn.CONCAT(C453,D453,E453,TIME!$F$1,Z453),HIS_SALES!$B$2:$V$4859,19,FALSE)*I453,VLOOKUP(_xlfn.CONCAT(D453,F453,G453),Q_BUSAREA_FC!$AE$5:$AI$12,5,FALSE)*HLOOKUP(_xlfn.CONCAT(FC_DATA!F453,FC_DATA!G453),LT_OVERVIEW!$I$99:$M$130,MATCH(_xlfn.CONCAT(D453,FC_DATA!E453),LT_OVERVIEW!$H$99:$H$130,0),FALSE)*IFERROR(VLOOKUP(_xlfn.CONCAT(C453,D453,E453,TIME!$F$1,Z453),HIS_SALES!$B$2:$V$4859,19,FALSE),0)))</f>
        <v>#N/A</v>
      </c>
      <c r="AD453" s="341">
        <f t="shared" ca="1" si="177"/>
        <v>0</v>
      </c>
      <c r="AE453" s="363" t="str">
        <f t="shared" si="178"/>
        <v/>
      </c>
      <c r="AF453" s="342" t="str">
        <f t="shared" si="179"/>
        <v/>
      </c>
      <c r="AG453" s="411" t="e">
        <f ca="1">VLOOKUP(_xlfn.CONCAT(U453,V453,W453,VLOOKUP(X453&amp;Y453,TIME!$L$27:$O$34,4,FALSE),Y453),HIS_SALES!$A$2:$R$5093,18,FALSE)</f>
        <v>#N/A</v>
      </c>
      <c r="AH453" s="412" t="e">
        <f ca="1">IFERROR(IF(AND(V453=V452,W453=W452),0.5*(AB453+AB452)*AG453,(VLOOKUP(_xlfn.CONCAT(U453,V453,W453,X453,VLOOKUP(Z453,TIME!$S$28:$T$39,2,FALSE)),FC_DATA!$R$2:$AB$5000,MATCH("GS_I_M",FC_DATA!$R$1:$AB$1,0),FALSE)+FC_DATA!AB453)*0.5*FC_DATA!AG453),NA())</f>
        <v>#N/A</v>
      </c>
      <c r="AI453" s="491" t="e">
        <f ca="1">IF(V453="PARTNER.com",AH453,IF(AND(V453=V452,W453=W452),(1-AVERAGE(AD452,AD453))*AH453,(1-AVERAGE(AD453,VLOOKUP(_xlfn.CONCAT(U453,V453,W453,X453,M_BRAND_FC!$F$6),FC_DATA!$R$2:$AD$5000,MATCH("DISCOUNT_%_M",FC_DATA!$R$1:$AD$1,0),FALSE)))*AH453))</f>
        <v>#N/A</v>
      </c>
      <c r="AJ453" s="412" t="str">
        <f t="shared" ca="1" si="180"/>
        <v/>
      </c>
      <c r="AK453" s="413" t="str">
        <f>IFERROR(AE453/(Q_BRAND_FC!$T$24+1),"")</f>
        <v/>
      </c>
      <c r="AL453" s="88" t="str">
        <f t="shared" ca="1" si="181"/>
        <v/>
      </c>
      <c r="AM453" s="414" t="str">
        <f t="shared" ca="1" si="182"/>
        <v/>
      </c>
      <c r="AN453" s="58">
        <f>IFERROR(IF($V453="BRAND.com",HLOOKUP($X453&amp;$Z453,NWC_FC_NOOS!$C$4:$Q$23,MATCH(W453,NWC_FC_NOOS!$B$4:$B$23,0),FALSE),0),0)</f>
        <v>0</v>
      </c>
      <c r="AO453" s="57">
        <f>IFERROR(IF($V453="BRAND.com",HLOOKUP($X453&amp;$Z453,NWC_FC_NOOS!$T$4:$AH$23,MATCH(W453,NWC_FC_NOOS!$S$4:$S$23,0),FALSE),0),0)</f>
        <v>0</v>
      </c>
      <c r="AP453" s="57">
        <f>IFERROR(IF($V453="BRAND.com",HLOOKUP($X453&amp;$Z453,NWC_FC_NOOS!$C$50:$U$69,MATCH(W453,NWC_FC_NOOS!$B$50:$B$69,0),FALSE),0),0)</f>
        <v>0</v>
      </c>
      <c r="AQ453" s="58">
        <f>IFERROR(IF($V453="BRAND.com",HLOOKUP($X453&amp;$Z453,'NWC_FC_NON-NOOS'!$C$4:$Q$23,MATCH(W453,'NWC_FC_NON-NOOS'!$B$4:$B$23,0),FALSE),0),0)</f>
        <v>0</v>
      </c>
      <c r="AR453" s="57">
        <f>IFERROR(IF($V453="BRAND.com",HLOOKUP($X453&amp;$Z453,'NWC_FC_NON-NOOS'!$T$4:$AH$23,MATCH(W453,'NWC_FC_NON-NOOS'!$S$4:$S$23,0),FALSE),0),0)</f>
        <v>0</v>
      </c>
      <c r="AS453" s="57">
        <f>IFERROR(IF($V453="BRAND.com",HLOOKUP($X453&amp;$Z453,'NWC_FC_NON-NOOS'!$C$50:$U$69,MATCH(W453,'NWC_FC_NON-NOOS'!$B$50:$B$69,0),FALSE),0),0)</f>
        <v>0</v>
      </c>
      <c r="AT453" s="57">
        <f t="shared" si="184"/>
        <v>0</v>
      </c>
      <c r="AU453" s="57">
        <f t="shared" si="185"/>
        <v>0</v>
      </c>
      <c r="AV453" s="58">
        <f>IFERROR(IF($V453="BRAND.com",HLOOKUP($X453&amp;$Z453,PLANNING_FC!$BB$27:$BP$46,MATCH($W453,PLANNING_FC!$BA$27:$BA$46,0),FALSE),0),0)</f>
        <v>0</v>
      </c>
      <c r="AW453" s="58">
        <f>IFERROR(IF($V453="BRAND.com",HLOOKUP($X453&amp;$Z453,PLANNING_FC!$BB$4:$BP$23,MATCH($W453,PLANNING_FC!$BA$4:$BA$23,0),FALSE),0),0)</f>
        <v>0</v>
      </c>
      <c r="AX453" s="58">
        <f>IFERROR(IF($V453="BRAND.com",HLOOKUP($X453&amp;$Z453,PLANNING_FC!$T$27:$AH$46,MATCH($W453,PLANNING_FC!$B$27:$B$46,0),FALSE),0),0)</f>
        <v>0</v>
      </c>
      <c r="AY453" s="58">
        <f>IFERROR(IF($V453="BRAND.com",HLOOKUP($X453&amp;$Z453,PLANNING_FC!$T$4:$AH$23,MATCH($W453,PLANNING_FC!$B$4:$B$23,0),FALSE),0),0)</f>
        <v>0</v>
      </c>
      <c r="AZ453" s="58">
        <f>IFERROR(IF($V453="BRAND.com",HLOOKUP($X453&amp;$Z453,PLANNING_FC!$DA$27:$DO$46,MATCH($W453,PLANNING_FC!$CZ$27:$CZ$46,0),FALSE),0),0)</f>
        <v>0</v>
      </c>
      <c r="BA453" s="58">
        <f>IFERROR(IF($V453="BRAND.com",HLOOKUP($X453&amp;$Z453,PLANNING_FC!$DA$4:$DO$23,MATCH($W453,PLANNING_FC!$CZ$4:$CZ$23,0),FALSE),0),0)</f>
        <v>0</v>
      </c>
      <c r="BB453" s="883" t="str">
        <f>IF(V453="BRAND.com",IFERROR(HLOOKUP(X453&amp;Z453,PLANNING_FC!$AK$4:$AY$23,MATCH(W453,PLANNING_FC!$AJ$4:$AJ$23,0),FALSE)*1000,""),"")</f>
        <v/>
      </c>
      <c r="BC453" s="883" t="str">
        <f>IF(V453="BRAND.com",IFERROR(HLOOKUP(X453&amp;Z453,PLANNING_FC!$AK$27:$AY$46,MATCH(W453,PLANNING_FC!$AJ$27:$AJ$46,0),FALSE)*1000,""),"")</f>
        <v/>
      </c>
    </row>
    <row r="454" spans="1:55" x14ac:dyDescent="0.25">
      <c r="A454" s="509"/>
      <c r="B454" s="509"/>
      <c r="C454" s="509"/>
      <c r="D454" s="509"/>
      <c r="E454" s="509"/>
      <c r="F454" s="509"/>
      <c r="G454" s="511"/>
      <c r="H454" s="509"/>
      <c r="I454" s="512"/>
      <c r="J454" s="513"/>
      <c r="K454" s="879"/>
      <c r="L454" s="515"/>
      <c r="M454" s="516"/>
      <c r="N454" s="56">
        <f t="shared" si="166"/>
        <v>0</v>
      </c>
      <c r="O454" s="57">
        <f t="shared" si="167"/>
        <v>0</v>
      </c>
      <c r="P454" s="57">
        <f ca="1">IFERROR(IF(ISBLANK(H454),SUMIFS($AC:$AC,$V:$V,V454,$W:$W,W454,$X:$X,X454,$Y:$Y,Y454)*J454/(1-J454)*VLOOKUP(_xlfn.CONCAT(C454,D454,E454,TIME!$M$12,Z454),HIS_SALES!$B$2:$W$4859,20,FALSE),AC454*J454/(1-J454)),0)</f>
        <v>0</v>
      </c>
      <c r="Q454" s="541" t="str">
        <f t="shared" si="168"/>
        <v/>
      </c>
      <c r="R454" s="346" t="str">
        <f t="shared" si="169"/>
        <v>00000</v>
      </c>
      <c r="S454" s="344">
        <f t="shared" si="170"/>
        <v>0</v>
      </c>
      <c r="T454" s="345" t="str">
        <f t="shared" si="183"/>
        <v>000</v>
      </c>
      <c r="U454" s="345">
        <f t="shared" si="171"/>
        <v>0</v>
      </c>
      <c r="V454" s="345">
        <f t="shared" si="172"/>
        <v>0</v>
      </c>
      <c r="W454" s="345">
        <f t="shared" si="173"/>
        <v>0</v>
      </c>
      <c r="X454" s="345">
        <f t="shared" si="174"/>
        <v>0</v>
      </c>
      <c r="Y454" s="345">
        <f t="shared" si="175"/>
        <v>0</v>
      </c>
      <c r="Z454" s="345">
        <f>IF(Q454&lt;&gt;"",VLOOKUP(Y454,TIME!$R$21:$V$24,MATCH(FC_DATA!Q454,TIME!$R$20:$V$20,0),FALSE),H454)</f>
        <v>0</v>
      </c>
      <c r="AA454" s="345" t="str">
        <f>IFERROR(VLOOKUP(X454&amp;Z454,TIME!$A$12:$D$71,4,FALSE),"")</f>
        <v/>
      </c>
      <c r="AB454" s="592">
        <f t="shared" ca="1" si="176"/>
        <v>0</v>
      </c>
      <c r="AC454" s="593" t="e">
        <f ca="1">IF(ISBLANK(H454)=FALSE,IF(D454="BRAND.com",I454,IF(ISNA(VLOOKUP(_xlfn.CONCAT(X454,Z454),TIME!$M$40:$M$42,1,FALSE)),I454,VLOOKUP(_xlfn.CONCAT(D454,G454,H454),M_BUSAREA_FC!$AF$5:$AJ$10,5,FALSE)*HLOOKUP(_xlfn.CONCAT(F454,H454),ST_OVERVIEW!$G$99:$I$130,MATCH(_xlfn.CONCAT(D454,E454),ST_OVERVIEW!$F$99:$F$130,0),FALSE))),IF(D454="BRAND.com",VLOOKUP(_xlfn.CONCAT(C454,D454,E454,TIME!$F$1,Z454),HIS_SALES!$B$2:$V$4859,19,FALSE)*I454,VLOOKUP(_xlfn.CONCAT(D454,F454,G454),Q_BUSAREA_FC!$AE$5:$AI$12,5,FALSE)*HLOOKUP(_xlfn.CONCAT(FC_DATA!F454,FC_DATA!G454),LT_OVERVIEW!$I$99:$M$130,MATCH(_xlfn.CONCAT(D454,FC_DATA!E454),LT_OVERVIEW!$H$99:$H$130,0),FALSE)*IFERROR(VLOOKUP(_xlfn.CONCAT(C454,D454,E454,TIME!$F$1,Z454),HIS_SALES!$B$2:$V$4859,19,FALSE),0)))</f>
        <v>#N/A</v>
      </c>
      <c r="AD454" s="341">
        <f t="shared" ca="1" si="177"/>
        <v>0</v>
      </c>
      <c r="AE454" s="363" t="str">
        <f t="shared" si="178"/>
        <v/>
      </c>
      <c r="AF454" s="342" t="str">
        <f t="shared" si="179"/>
        <v/>
      </c>
      <c r="AG454" s="411" t="e">
        <f ca="1">VLOOKUP(_xlfn.CONCAT(U454,V454,W454,VLOOKUP(X454&amp;Y454,TIME!$L$27:$O$34,4,FALSE),Y454),HIS_SALES!$A$2:$R$5093,18,FALSE)</f>
        <v>#N/A</v>
      </c>
      <c r="AH454" s="412" t="e">
        <f ca="1">IFERROR(IF(AND(V454=V453,W454=W453),0.5*(AB454+AB453)*AG454,(VLOOKUP(_xlfn.CONCAT(U454,V454,W454,X454,VLOOKUP(Z454,TIME!$S$28:$T$39,2,FALSE)),FC_DATA!$R$2:$AB$5000,MATCH("GS_I_M",FC_DATA!$R$1:$AB$1,0),FALSE)+FC_DATA!AB454)*0.5*FC_DATA!AG454),NA())</f>
        <v>#N/A</v>
      </c>
      <c r="AI454" s="491" t="e">
        <f ca="1">IF(V454="PARTNER.com",AH454,IF(AND(V454=V453,W454=W453),(1-AVERAGE(AD453,AD454))*AH454,(1-AVERAGE(AD454,VLOOKUP(_xlfn.CONCAT(U454,V454,W454,X454,M_BRAND_FC!$F$6),FC_DATA!$R$2:$AD$5000,MATCH("DISCOUNT_%_M",FC_DATA!$R$1:$AD$1,0),FALSE)))*AH454))</f>
        <v>#N/A</v>
      </c>
      <c r="AJ454" s="412" t="str">
        <f t="shared" ca="1" si="180"/>
        <v/>
      </c>
      <c r="AK454" s="413" t="str">
        <f>IFERROR(AE454/(Q_BRAND_FC!$T$24+1),"")</f>
        <v/>
      </c>
      <c r="AL454" s="88" t="str">
        <f t="shared" ca="1" si="181"/>
        <v/>
      </c>
      <c r="AM454" s="414" t="str">
        <f t="shared" ca="1" si="182"/>
        <v/>
      </c>
      <c r="AN454" s="58">
        <f>IFERROR(IF($V454="BRAND.com",HLOOKUP($X454&amp;$Z454,NWC_FC_NOOS!$C$4:$Q$23,MATCH(W454,NWC_FC_NOOS!$B$4:$B$23,0),FALSE),0),0)</f>
        <v>0</v>
      </c>
      <c r="AO454" s="57">
        <f>IFERROR(IF($V454="BRAND.com",HLOOKUP($X454&amp;$Z454,NWC_FC_NOOS!$T$4:$AH$23,MATCH(W454,NWC_FC_NOOS!$S$4:$S$23,0),FALSE),0),0)</f>
        <v>0</v>
      </c>
      <c r="AP454" s="57">
        <f>IFERROR(IF($V454="BRAND.com",HLOOKUP($X454&amp;$Z454,NWC_FC_NOOS!$C$50:$U$69,MATCH(W454,NWC_FC_NOOS!$B$50:$B$69,0),FALSE),0),0)</f>
        <v>0</v>
      </c>
      <c r="AQ454" s="58">
        <f>IFERROR(IF($V454="BRAND.com",HLOOKUP($X454&amp;$Z454,'NWC_FC_NON-NOOS'!$C$4:$Q$23,MATCH(W454,'NWC_FC_NON-NOOS'!$B$4:$B$23,0),FALSE),0),0)</f>
        <v>0</v>
      </c>
      <c r="AR454" s="57">
        <f>IFERROR(IF($V454="BRAND.com",HLOOKUP($X454&amp;$Z454,'NWC_FC_NON-NOOS'!$T$4:$AH$23,MATCH(W454,'NWC_FC_NON-NOOS'!$S$4:$S$23,0),FALSE),0),0)</f>
        <v>0</v>
      </c>
      <c r="AS454" s="57">
        <f>IFERROR(IF($V454="BRAND.com",HLOOKUP($X454&amp;$Z454,'NWC_FC_NON-NOOS'!$C$50:$U$69,MATCH(W454,'NWC_FC_NON-NOOS'!$B$50:$B$69,0),FALSE),0),0)</f>
        <v>0</v>
      </c>
      <c r="AT454" s="57">
        <f t="shared" si="184"/>
        <v>0</v>
      </c>
      <c r="AU454" s="57">
        <f t="shared" si="185"/>
        <v>0</v>
      </c>
      <c r="AV454" s="58">
        <f>IFERROR(IF($V454="BRAND.com",HLOOKUP($X454&amp;$Z454,PLANNING_FC!$BB$27:$BP$46,MATCH($W454,PLANNING_FC!$BA$27:$BA$46,0),FALSE),0),0)</f>
        <v>0</v>
      </c>
      <c r="AW454" s="58">
        <f>IFERROR(IF($V454="BRAND.com",HLOOKUP($X454&amp;$Z454,PLANNING_FC!$BB$4:$BP$23,MATCH($W454,PLANNING_FC!$BA$4:$BA$23,0),FALSE),0),0)</f>
        <v>0</v>
      </c>
      <c r="AX454" s="58">
        <f>IFERROR(IF($V454="BRAND.com",HLOOKUP($X454&amp;$Z454,PLANNING_FC!$T$27:$AH$46,MATCH($W454,PLANNING_FC!$B$27:$B$46,0),FALSE),0),0)</f>
        <v>0</v>
      </c>
      <c r="AY454" s="58">
        <f>IFERROR(IF($V454="BRAND.com",HLOOKUP($X454&amp;$Z454,PLANNING_FC!$T$4:$AH$23,MATCH($W454,PLANNING_FC!$B$4:$B$23,0),FALSE),0),0)</f>
        <v>0</v>
      </c>
      <c r="AZ454" s="58">
        <f>IFERROR(IF($V454="BRAND.com",HLOOKUP($X454&amp;$Z454,PLANNING_FC!$DA$27:$DO$46,MATCH($W454,PLANNING_FC!$CZ$27:$CZ$46,0),FALSE),0),0)</f>
        <v>0</v>
      </c>
      <c r="BA454" s="58">
        <f>IFERROR(IF($V454="BRAND.com",HLOOKUP($X454&amp;$Z454,PLANNING_FC!$DA$4:$DO$23,MATCH($W454,PLANNING_FC!$CZ$4:$CZ$23,0),FALSE),0),0)</f>
        <v>0</v>
      </c>
      <c r="BB454" s="883" t="str">
        <f>IF(V454="BRAND.com",IFERROR(HLOOKUP(X454&amp;Z454,PLANNING_FC!$AK$4:$AY$23,MATCH(W454,PLANNING_FC!$AJ$4:$AJ$23,0),FALSE)*1000,""),"")</f>
        <v/>
      </c>
      <c r="BC454" s="883" t="str">
        <f>IF(V454="BRAND.com",IFERROR(HLOOKUP(X454&amp;Z454,PLANNING_FC!$AK$27:$AY$46,MATCH(W454,PLANNING_FC!$AJ$27:$AJ$46,0),FALSE)*1000,""),"")</f>
        <v/>
      </c>
    </row>
    <row r="455" spans="1:55" x14ac:dyDescent="0.25">
      <c r="A455" s="509"/>
      <c r="B455" s="509"/>
      <c r="C455" s="509"/>
      <c r="D455" s="509"/>
      <c r="E455" s="509"/>
      <c r="F455" s="509"/>
      <c r="G455" s="509"/>
      <c r="H455" s="509"/>
      <c r="I455" s="512"/>
      <c r="J455" s="513"/>
      <c r="K455" s="879"/>
      <c r="L455" s="515"/>
      <c r="M455" s="516"/>
      <c r="N455" s="56">
        <f t="shared" si="166"/>
        <v>0</v>
      </c>
      <c r="O455" s="57">
        <f t="shared" si="167"/>
        <v>0</v>
      </c>
      <c r="P455" s="57">
        <f ca="1">IFERROR(IF(ISBLANK(H455),SUMIFS($AC:$AC,$V:$V,V455,$W:$W,W455,$X:$X,X455,$Y:$Y,Y455)*J455/(1-J455)*VLOOKUP(_xlfn.CONCAT(C455,D455,E455,TIME!$M$12,Z455),HIS_SALES!$B$2:$W$4859,20,FALSE),AC455*J455/(1-J455)),0)</f>
        <v>0</v>
      </c>
      <c r="Q455" s="541" t="str">
        <f t="shared" si="168"/>
        <v/>
      </c>
      <c r="R455" s="346" t="str">
        <f t="shared" si="169"/>
        <v>00000</v>
      </c>
      <c r="S455" s="344">
        <f t="shared" si="170"/>
        <v>0</v>
      </c>
      <c r="T455" s="345" t="str">
        <f t="shared" si="183"/>
        <v>000</v>
      </c>
      <c r="U455" s="345">
        <f t="shared" si="171"/>
        <v>0</v>
      </c>
      <c r="V455" s="345">
        <f t="shared" si="172"/>
        <v>0</v>
      </c>
      <c r="W455" s="345">
        <f t="shared" si="173"/>
        <v>0</v>
      </c>
      <c r="X455" s="345">
        <f t="shared" si="174"/>
        <v>0</v>
      </c>
      <c r="Y455" s="345">
        <f t="shared" si="175"/>
        <v>0</v>
      </c>
      <c r="Z455" s="345">
        <f>IF(Q455&lt;&gt;"",VLOOKUP(Y455,TIME!$R$21:$V$24,MATCH(FC_DATA!Q455,TIME!$R$20:$V$20,0),FALSE),H455)</f>
        <v>0</v>
      </c>
      <c r="AA455" s="345" t="str">
        <f>IFERROR(VLOOKUP(X455&amp;Z455,TIME!$A$12:$D$71,4,FALSE),"")</f>
        <v/>
      </c>
      <c r="AB455" s="592">
        <f t="shared" ca="1" si="176"/>
        <v>0</v>
      </c>
      <c r="AC455" s="593" t="e">
        <f ca="1">IF(ISBLANK(H455)=FALSE,IF(D455="BRAND.com",I455,IF(ISNA(VLOOKUP(_xlfn.CONCAT(X455,Z455),TIME!$M$40:$M$42,1,FALSE)),I455,VLOOKUP(_xlfn.CONCAT(D455,G455,H455),M_BUSAREA_FC!$AF$5:$AJ$10,5,FALSE)*HLOOKUP(_xlfn.CONCAT(F455,H455),ST_OVERVIEW!$G$99:$I$130,MATCH(_xlfn.CONCAT(D455,E455),ST_OVERVIEW!$F$99:$F$130,0),FALSE))),IF(D455="BRAND.com",VLOOKUP(_xlfn.CONCAT(C455,D455,E455,TIME!$F$1,Z455),HIS_SALES!$B$2:$V$4859,19,FALSE)*I455,VLOOKUP(_xlfn.CONCAT(D455,F455,G455),Q_BUSAREA_FC!$AE$5:$AI$12,5,FALSE)*HLOOKUP(_xlfn.CONCAT(FC_DATA!F455,FC_DATA!G455),LT_OVERVIEW!$I$99:$M$130,MATCH(_xlfn.CONCAT(D455,FC_DATA!E455),LT_OVERVIEW!$H$99:$H$130,0),FALSE)*IFERROR(VLOOKUP(_xlfn.CONCAT(C455,D455,E455,TIME!$F$1,Z455),HIS_SALES!$B$2:$V$4859,19,FALSE),0)))</f>
        <v>#N/A</v>
      </c>
      <c r="AD455" s="341">
        <f t="shared" ca="1" si="177"/>
        <v>0</v>
      </c>
      <c r="AE455" s="363" t="str">
        <f t="shared" si="178"/>
        <v/>
      </c>
      <c r="AF455" s="342" t="str">
        <f t="shared" si="179"/>
        <v/>
      </c>
      <c r="AG455" s="411" t="e">
        <f ca="1">VLOOKUP(_xlfn.CONCAT(U455,V455,W455,VLOOKUP(X455&amp;Y455,TIME!$L$27:$O$34,4,FALSE),Y455),HIS_SALES!$A$2:$R$5093,18,FALSE)</f>
        <v>#N/A</v>
      </c>
      <c r="AH455" s="412" t="e">
        <f ca="1">IFERROR(IF(AND(V455=V454,W455=W454),0.5*(AB455+AB454)*AG455,(VLOOKUP(_xlfn.CONCAT(U455,V455,W455,X455,VLOOKUP(Z455,TIME!$S$28:$T$39,2,FALSE)),FC_DATA!$R$2:$AB$5000,MATCH("GS_I_M",FC_DATA!$R$1:$AB$1,0),FALSE)+FC_DATA!AB455)*0.5*FC_DATA!AG455),NA())</f>
        <v>#N/A</v>
      </c>
      <c r="AI455" s="491" t="e">
        <f ca="1">IF(V455="PARTNER.com",AH455,IF(AND(V455=V454,W455=W454),(1-AVERAGE(AD454,AD455))*AH455,(1-AVERAGE(AD455,VLOOKUP(_xlfn.CONCAT(U455,V455,W455,X455,M_BRAND_FC!$F$6),FC_DATA!$R$2:$AD$5000,MATCH("DISCOUNT_%_M",FC_DATA!$R$1:$AD$1,0),FALSE)))*AH455))</f>
        <v>#N/A</v>
      </c>
      <c r="AJ455" s="412" t="str">
        <f t="shared" ca="1" si="180"/>
        <v/>
      </c>
      <c r="AK455" s="413" t="str">
        <f>IFERROR(AE455/(Q_BRAND_FC!$T$24+1),"")</f>
        <v/>
      </c>
      <c r="AL455" s="88" t="str">
        <f t="shared" ca="1" si="181"/>
        <v/>
      </c>
      <c r="AM455" s="414" t="str">
        <f t="shared" ca="1" si="182"/>
        <v/>
      </c>
      <c r="AN455" s="58">
        <f>IFERROR(IF($V455="BRAND.com",HLOOKUP($X455&amp;$Z455,NWC_FC_NOOS!$C$4:$Q$23,MATCH(W455,NWC_FC_NOOS!$B$4:$B$23,0),FALSE),0),0)</f>
        <v>0</v>
      </c>
      <c r="AO455" s="57">
        <f>IFERROR(IF($V455="BRAND.com",HLOOKUP($X455&amp;$Z455,NWC_FC_NOOS!$T$4:$AH$23,MATCH(W455,NWC_FC_NOOS!$S$4:$S$23,0),FALSE),0),0)</f>
        <v>0</v>
      </c>
      <c r="AP455" s="57">
        <f>IFERROR(IF($V455="BRAND.com",HLOOKUP($X455&amp;$Z455,NWC_FC_NOOS!$C$50:$U$69,MATCH(W455,NWC_FC_NOOS!$B$50:$B$69,0),FALSE),0),0)</f>
        <v>0</v>
      </c>
      <c r="AQ455" s="58">
        <f>IFERROR(IF($V455="BRAND.com",HLOOKUP($X455&amp;$Z455,'NWC_FC_NON-NOOS'!$C$4:$Q$23,MATCH(W455,'NWC_FC_NON-NOOS'!$B$4:$B$23,0),FALSE),0),0)</f>
        <v>0</v>
      </c>
      <c r="AR455" s="57">
        <f>IFERROR(IF($V455="BRAND.com",HLOOKUP($X455&amp;$Z455,'NWC_FC_NON-NOOS'!$T$4:$AH$23,MATCH(W455,'NWC_FC_NON-NOOS'!$S$4:$S$23,0),FALSE),0),0)</f>
        <v>0</v>
      </c>
      <c r="AS455" s="57">
        <f>IFERROR(IF($V455="BRAND.com",HLOOKUP($X455&amp;$Z455,'NWC_FC_NON-NOOS'!$C$50:$U$69,MATCH(W455,'NWC_FC_NON-NOOS'!$B$50:$B$69,0),FALSE),0),0)</f>
        <v>0</v>
      </c>
      <c r="AT455" s="57">
        <f t="shared" si="184"/>
        <v>0</v>
      </c>
      <c r="AU455" s="57">
        <f t="shared" si="185"/>
        <v>0</v>
      </c>
      <c r="AV455" s="58">
        <f>IFERROR(IF($V455="BRAND.com",HLOOKUP($X455&amp;$Z455,PLANNING_FC!$BB$27:$BP$46,MATCH($W455,PLANNING_FC!$BA$27:$BA$46,0),FALSE),0),0)</f>
        <v>0</v>
      </c>
      <c r="AW455" s="58">
        <f>IFERROR(IF($V455="BRAND.com",HLOOKUP($X455&amp;$Z455,PLANNING_FC!$BB$4:$BP$23,MATCH($W455,PLANNING_FC!$BA$4:$BA$23,0),FALSE),0),0)</f>
        <v>0</v>
      </c>
      <c r="AX455" s="58">
        <f>IFERROR(IF($V455="BRAND.com",HLOOKUP($X455&amp;$Z455,PLANNING_FC!$T$27:$AH$46,MATCH($W455,PLANNING_FC!$B$27:$B$46,0),FALSE),0),0)</f>
        <v>0</v>
      </c>
      <c r="AY455" s="58">
        <f>IFERROR(IF($V455="BRAND.com",HLOOKUP($X455&amp;$Z455,PLANNING_FC!$T$4:$AH$23,MATCH($W455,PLANNING_FC!$B$4:$B$23,0),FALSE),0),0)</f>
        <v>0</v>
      </c>
      <c r="AZ455" s="58">
        <f>IFERROR(IF($V455="BRAND.com",HLOOKUP($X455&amp;$Z455,PLANNING_FC!$DA$27:$DO$46,MATCH($W455,PLANNING_FC!$CZ$27:$CZ$46,0),FALSE),0),0)</f>
        <v>0</v>
      </c>
      <c r="BA455" s="58">
        <f>IFERROR(IF($V455="BRAND.com",HLOOKUP($X455&amp;$Z455,PLANNING_FC!$DA$4:$DO$23,MATCH($W455,PLANNING_FC!$CZ$4:$CZ$23,0),FALSE),0),0)</f>
        <v>0</v>
      </c>
      <c r="BB455" s="883" t="str">
        <f>IF(V455="BRAND.com",IFERROR(HLOOKUP(X455&amp;Z455,PLANNING_FC!$AK$4:$AY$23,MATCH(W455,PLANNING_FC!$AJ$4:$AJ$23,0),FALSE)*1000,""),"")</f>
        <v/>
      </c>
      <c r="BC455" s="883" t="str">
        <f>IF(V455="BRAND.com",IFERROR(HLOOKUP(X455&amp;Z455,PLANNING_FC!$AK$27:$AY$46,MATCH(W455,PLANNING_FC!$AJ$27:$AJ$46,0),FALSE)*1000,""),"")</f>
        <v/>
      </c>
    </row>
    <row r="456" spans="1:55" x14ac:dyDescent="0.25">
      <c r="A456" s="509"/>
      <c r="B456" s="509"/>
      <c r="C456" s="509"/>
      <c r="D456" s="509"/>
      <c r="E456" s="509"/>
      <c r="F456" s="509"/>
      <c r="G456" s="509"/>
      <c r="H456" s="509"/>
      <c r="I456" s="512"/>
      <c r="J456" s="513"/>
      <c r="K456" s="879"/>
      <c r="L456" s="515"/>
      <c r="M456" s="516"/>
      <c r="N456" s="56">
        <f t="shared" si="166"/>
        <v>0</v>
      </c>
      <c r="O456" s="57">
        <f t="shared" si="167"/>
        <v>0</v>
      </c>
      <c r="P456" s="57">
        <f ca="1">IFERROR(IF(ISBLANK(H456),SUMIFS($AC:$AC,$V:$V,V456,$W:$W,W456,$X:$X,X456,$Y:$Y,Y456)*J456/(1-J456)*VLOOKUP(_xlfn.CONCAT(C456,D456,E456,TIME!$M$12,Z456),HIS_SALES!$B$2:$W$4859,20,FALSE),AC456*J456/(1-J456)),0)</f>
        <v>0</v>
      </c>
      <c r="Q456" s="541" t="str">
        <f t="shared" si="168"/>
        <v/>
      </c>
      <c r="R456" s="346" t="str">
        <f t="shared" si="169"/>
        <v>00000</v>
      </c>
      <c r="S456" s="344">
        <f t="shared" si="170"/>
        <v>0</v>
      </c>
      <c r="T456" s="345" t="str">
        <f t="shared" si="183"/>
        <v>000</v>
      </c>
      <c r="U456" s="345">
        <f t="shared" si="171"/>
        <v>0</v>
      </c>
      <c r="V456" s="345">
        <f t="shared" si="172"/>
        <v>0</v>
      </c>
      <c r="W456" s="345">
        <f t="shared" si="173"/>
        <v>0</v>
      </c>
      <c r="X456" s="345">
        <f t="shared" si="174"/>
        <v>0</v>
      </c>
      <c r="Y456" s="345">
        <f t="shared" si="175"/>
        <v>0</v>
      </c>
      <c r="Z456" s="345">
        <f>IF(Q456&lt;&gt;"",VLOOKUP(Y456,TIME!$R$21:$V$24,MATCH(FC_DATA!Q456,TIME!$R$20:$V$20,0),FALSE),H456)</f>
        <v>0</v>
      </c>
      <c r="AA456" s="345" t="str">
        <f>IFERROR(VLOOKUP(X456&amp;Z456,TIME!$A$12:$D$71,4,FALSE),"")</f>
        <v/>
      </c>
      <c r="AB456" s="592">
        <f t="shared" ca="1" si="176"/>
        <v>0</v>
      </c>
      <c r="AC456" s="593" t="e">
        <f ca="1">IF(ISBLANK(H456)=FALSE,IF(D456="BRAND.com",I456,IF(ISNA(VLOOKUP(_xlfn.CONCAT(X456,Z456),TIME!$M$40:$M$42,1,FALSE)),I456,VLOOKUP(_xlfn.CONCAT(D456,G456,H456),M_BUSAREA_FC!$AF$5:$AJ$10,5,FALSE)*HLOOKUP(_xlfn.CONCAT(F456,H456),ST_OVERVIEW!$G$99:$I$130,MATCH(_xlfn.CONCAT(D456,E456),ST_OVERVIEW!$F$99:$F$130,0),FALSE))),IF(D456="BRAND.com",VLOOKUP(_xlfn.CONCAT(C456,D456,E456,TIME!$F$1,Z456),HIS_SALES!$B$2:$V$4859,19,FALSE)*I456,VLOOKUP(_xlfn.CONCAT(D456,F456,G456),Q_BUSAREA_FC!$AE$5:$AI$12,5,FALSE)*HLOOKUP(_xlfn.CONCAT(FC_DATA!F456,FC_DATA!G456),LT_OVERVIEW!$I$99:$M$130,MATCH(_xlfn.CONCAT(D456,FC_DATA!E456),LT_OVERVIEW!$H$99:$H$130,0),FALSE)*IFERROR(VLOOKUP(_xlfn.CONCAT(C456,D456,E456,TIME!$F$1,Z456),HIS_SALES!$B$2:$V$4859,19,FALSE),0)))</f>
        <v>#N/A</v>
      </c>
      <c r="AD456" s="341">
        <f t="shared" ca="1" si="177"/>
        <v>0</v>
      </c>
      <c r="AE456" s="363" t="str">
        <f t="shared" si="178"/>
        <v/>
      </c>
      <c r="AF456" s="342" t="str">
        <f t="shared" si="179"/>
        <v/>
      </c>
      <c r="AG456" s="411" t="e">
        <f ca="1">VLOOKUP(_xlfn.CONCAT(U456,V456,W456,VLOOKUP(X456&amp;Y456,TIME!$L$27:$O$34,4,FALSE),Y456),HIS_SALES!$A$2:$R$5093,18,FALSE)</f>
        <v>#N/A</v>
      </c>
      <c r="AH456" s="412" t="e">
        <f ca="1">IFERROR(IF(AND(V456=V455,W456=W455),0.5*(AB456+AB455)*AG456,(VLOOKUP(_xlfn.CONCAT(U456,V456,W456,X456,VLOOKUP(Z456,TIME!$S$28:$T$39,2,FALSE)),FC_DATA!$R$2:$AB$5000,MATCH("GS_I_M",FC_DATA!$R$1:$AB$1,0),FALSE)+FC_DATA!AB456)*0.5*FC_DATA!AG456),NA())</f>
        <v>#N/A</v>
      </c>
      <c r="AI456" s="491" t="e">
        <f ca="1">IF(V456="PARTNER.com",AH456,IF(AND(V456=V455,W456=W455),(1-AVERAGE(AD455,AD456))*AH456,(1-AVERAGE(AD456,VLOOKUP(_xlfn.CONCAT(U456,V456,W456,X456,M_BRAND_FC!$F$6),FC_DATA!$R$2:$AD$5000,MATCH("DISCOUNT_%_M",FC_DATA!$R$1:$AD$1,0),FALSE)))*AH456))</f>
        <v>#N/A</v>
      </c>
      <c r="AJ456" s="412" t="str">
        <f t="shared" ca="1" si="180"/>
        <v/>
      </c>
      <c r="AK456" s="413" t="str">
        <f>IFERROR(AE456/(Q_BRAND_FC!$T$24+1),"")</f>
        <v/>
      </c>
      <c r="AL456" s="88" t="str">
        <f t="shared" ca="1" si="181"/>
        <v/>
      </c>
      <c r="AM456" s="414" t="str">
        <f t="shared" ca="1" si="182"/>
        <v/>
      </c>
      <c r="AN456" s="58">
        <f>IFERROR(IF($V456="BRAND.com",HLOOKUP($X456&amp;$Z456,NWC_FC_NOOS!$C$4:$Q$23,MATCH(W456,NWC_FC_NOOS!$B$4:$B$23,0),FALSE),0),0)</f>
        <v>0</v>
      </c>
      <c r="AO456" s="57">
        <f>IFERROR(IF($V456="BRAND.com",HLOOKUP($X456&amp;$Z456,NWC_FC_NOOS!$T$4:$AH$23,MATCH(W456,NWC_FC_NOOS!$S$4:$S$23,0),FALSE),0),0)</f>
        <v>0</v>
      </c>
      <c r="AP456" s="57">
        <f>IFERROR(IF($V456="BRAND.com",HLOOKUP($X456&amp;$Z456,NWC_FC_NOOS!$C$50:$U$69,MATCH(W456,NWC_FC_NOOS!$B$50:$B$69,0),FALSE),0),0)</f>
        <v>0</v>
      </c>
      <c r="AQ456" s="58">
        <f>IFERROR(IF($V456="BRAND.com",HLOOKUP($X456&amp;$Z456,'NWC_FC_NON-NOOS'!$C$4:$Q$23,MATCH(W456,'NWC_FC_NON-NOOS'!$B$4:$B$23,0),FALSE),0),0)</f>
        <v>0</v>
      </c>
      <c r="AR456" s="57">
        <f>IFERROR(IF($V456="BRAND.com",HLOOKUP($X456&amp;$Z456,'NWC_FC_NON-NOOS'!$T$4:$AH$23,MATCH(W456,'NWC_FC_NON-NOOS'!$S$4:$S$23,0),FALSE),0),0)</f>
        <v>0</v>
      </c>
      <c r="AS456" s="57">
        <f>IFERROR(IF($V456="BRAND.com",HLOOKUP($X456&amp;$Z456,'NWC_FC_NON-NOOS'!$C$50:$U$69,MATCH(W456,'NWC_FC_NON-NOOS'!$B$50:$B$69,0),FALSE),0),0)</f>
        <v>0</v>
      </c>
      <c r="AT456" s="57">
        <f t="shared" si="184"/>
        <v>0</v>
      </c>
      <c r="AU456" s="57">
        <f t="shared" si="185"/>
        <v>0</v>
      </c>
      <c r="AV456" s="58">
        <f>IFERROR(IF($V456="BRAND.com",HLOOKUP($X456&amp;$Z456,PLANNING_FC!$BB$27:$BP$46,MATCH($W456,PLANNING_FC!$BA$27:$BA$46,0),FALSE),0),0)</f>
        <v>0</v>
      </c>
      <c r="AW456" s="58">
        <f>IFERROR(IF($V456="BRAND.com",HLOOKUP($X456&amp;$Z456,PLANNING_FC!$BB$4:$BP$23,MATCH($W456,PLANNING_FC!$BA$4:$BA$23,0),FALSE),0),0)</f>
        <v>0</v>
      </c>
      <c r="AX456" s="58">
        <f>IFERROR(IF($V456="BRAND.com",HLOOKUP($X456&amp;$Z456,PLANNING_FC!$T$27:$AH$46,MATCH($W456,PLANNING_FC!$B$27:$B$46,0),FALSE),0),0)</f>
        <v>0</v>
      </c>
      <c r="AY456" s="58">
        <f>IFERROR(IF($V456="BRAND.com",HLOOKUP($X456&amp;$Z456,PLANNING_FC!$T$4:$AH$23,MATCH($W456,PLANNING_FC!$B$4:$B$23,0),FALSE),0),0)</f>
        <v>0</v>
      </c>
      <c r="AZ456" s="58">
        <f>IFERROR(IF($V456="BRAND.com",HLOOKUP($X456&amp;$Z456,PLANNING_FC!$DA$27:$DO$46,MATCH($W456,PLANNING_FC!$CZ$27:$CZ$46,0),FALSE),0),0)</f>
        <v>0</v>
      </c>
      <c r="BA456" s="58">
        <f>IFERROR(IF($V456="BRAND.com",HLOOKUP($X456&amp;$Z456,PLANNING_FC!$DA$4:$DO$23,MATCH($W456,PLANNING_FC!$CZ$4:$CZ$23,0),FALSE),0),0)</f>
        <v>0</v>
      </c>
      <c r="BB456" s="883" t="str">
        <f>IF(V456="BRAND.com",IFERROR(HLOOKUP(X456&amp;Z456,PLANNING_FC!$AK$4:$AY$23,MATCH(W456,PLANNING_FC!$AJ$4:$AJ$23,0),FALSE)*1000,""),"")</f>
        <v/>
      </c>
      <c r="BC456" s="883" t="str">
        <f>IF(V456="BRAND.com",IFERROR(HLOOKUP(X456&amp;Z456,PLANNING_FC!$AK$27:$AY$46,MATCH(W456,PLANNING_FC!$AJ$27:$AJ$46,0),FALSE)*1000,""),"")</f>
        <v/>
      </c>
    </row>
    <row r="457" spans="1:55" x14ac:dyDescent="0.25">
      <c r="A457" s="509"/>
      <c r="B457" s="509"/>
      <c r="C457" s="509"/>
      <c r="D457" s="509"/>
      <c r="E457" s="509"/>
      <c r="F457" s="509"/>
      <c r="G457" s="509"/>
      <c r="H457" s="509"/>
      <c r="I457" s="512"/>
      <c r="J457" s="513"/>
      <c r="K457" s="879"/>
      <c r="L457" s="515"/>
      <c r="M457" s="516"/>
      <c r="N457" s="56">
        <f t="shared" si="166"/>
        <v>0</v>
      </c>
      <c r="O457" s="57">
        <f t="shared" si="167"/>
        <v>0</v>
      </c>
      <c r="P457" s="57">
        <f ca="1">IFERROR(IF(ISBLANK(H457),SUMIFS($AC:$AC,$V:$V,V457,$W:$W,W457,$X:$X,X457,$Y:$Y,Y457)*J457/(1-J457)*VLOOKUP(_xlfn.CONCAT(C457,D457,E457,TIME!$M$12,Z457),HIS_SALES!$B$2:$W$4859,20,FALSE),AC457*J457/(1-J457)),0)</f>
        <v>0</v>
      </c>
      <c r="Q457" s="541" t="str">
        <f t="shared" si="168"/>
        <v/>
      </c>
      <c r="R457" s="346" t="str">
        <f t="shared" si="169"/>
        <v>00000</v>
      </c>
      <c r="S457" s="344">
        <f t="shared" si="170"/>
        <v>0</v>
      </c>
      <c r="T457" s="345" t="str">
        <f t="shared" si="183"/>
        <v>000</v>
      </c>
      <c r="U457" s="345">
        <f t="shared" si="171"/>
        <v>0</v>
      </c>
      <c r="V457" s="345">
        <f t="shared" si="172"/>
        <v>0</v>
      </c>
      <c r="W457" s="345">
        <f t="shared" si="173"/>
        <v>0</v>
      </c>
      <c r="X457" s="345">
        <f t="shared" si="174"/>
        <v>0</v>
      </c>
      <c r="Y457" s="345">
        <f t="shared" si="175"/>
        <v>0</v>
      </c>
      <c r="Z457" s="345">
        <f>IF(Q457&lt;&gt;"",VLOOKUP(Y457,TIME!$R$21:$V$24,MATCH(FC_DATA!Q457,TIME!$R$20:$V$20,0),FALSE),H457)</f>
        <v>0</v>
      </c>
      <c r="AA457" s="345" t="str">
        <f>IFERROR(VLOOKUP(X457&amp;Z457,TIME!$A$12:$D$71,4,FALSE),"")</f>
        <v/>
      </c>
      <c r="AB457" s="592">
        <f t="shared" ca="1" si="176"/>
        <v>0</v>
      </c>
      <c r="AC457" s="593" t="e">
        <f ca="1">IF(ISBLANK(H457)=FALSE,IF(D457="BRAND.com",I457,IF(ISNA(VLOOKUP(_xlfn.CONCAT(X457,Z457),TIME!$M$40:$M$42,1,FALSE)),I457,VLOOKUP(_xlfn.CONCAT(D457,G457,H457),M_BUSAREA_FC!$AF$5:$AJ$10,5,FALSE)*HLOOKUP(_xlfn.CONCAT(F457,H457),ST_OVERVIEW!$G$99:$I$130,MATCH(_xlfn.CONCAT(D457,E457),ST_OVERVIEW!$F$99:$F$130,0),FALSE))),IF(D457="BRAND.com",VLOOKUP(_xlfn.CONCAT(C457,D457,E457,TIME!$F$1,Z457),HIS_SALES!$B$2:$V$4859,19,FALSE)*I457,VLOOKUP(_xlfn.CONCAT(D457,F457,G457),Q_BUSAREA_FC!$AE$5:$AI$12,5,FALSE)*HLOOKUP(_xlfn.CONCAT(FC_DATA!F457,FC_DATA!G457),LT_OVERVIEW!$I$99:$M$130,MATCH(_xlfn.CONCAT(D457,FC_DATA!E457),LT_OVERVIEW!$H$99:$H$130,0),FALSE)*IFERROR(VLOOKUP(_xlfn.CONCAT(C457,D457,E457,TIME!$F$1,Z457),HIS_SALES!$B$2:$V$4859,19,FALSE),0)))</f>
        <v>#N/A</v>
      </c>
      <c r="AD457" s="341">
        <f t="shared" ca="1" si="177"/>
        <v>0</v>
      </c>
      <c r="AE457" s="363" t="str">
        <f t="shared" si="178"/>
        <v/>
      </c>
      <c r="AF457" s="342" t="str">
        <f t="shared" si="179"/>
        <v/>
      </c>
      <c r="AG457" s="411" t="e">
        <f ca="1">VLOOKUP(_xlfn.CONCAT(U457,V457,W457,VLOOKUP(X457&amp;Y457,TIME!$L$27:$O$34,4,FALSE),Y457),HIS_SALES!$A$2:$R$5093,18,FALSE)</f>
        <v>#N/A</v>
      </c>
      <c r="AH457" s="412" t="e">
        <f ca="1">IFERROR(IF(AND(V457=V456,W457=W456),0.5*(AB457+AB456)*AG457,(VLOOKUP(_xlfn.CONCAT(U457,V457,W457,X457,VLOOKUP(Z457,TIME!$S$28:$T$39,2,FALSE)),FC_DATA!$R$2:$AB$5000,MATCH("GS_I_M",FC_DATA!$R$1:$AB$1,0),FALSE)+FC_DATA!AB457)*0.5*FC_DATA!AG457),NA())</f>
        <v>#N/A</v>
      </c>
      <c r="AI457" s="491" t="e">
        <f ca="1">IF(V457="PARTNER.com",AH457,IF(AND(V457=V456,W457=W456),(1-AVERAGE(AD456,AD457))*AH457,(1-AVERAGE(AD457,VLOOKUP(_xlfn.CONCAT(U457,V457,W457,X457,M_BRAND_FC!$F$6),FC_DATA!$R$2:$AD$5000,MATCH("DISCOUNT_%_M",FC_DATA!$R$1:$AD$1,0),FALSE)))*AH457))</f>
        <v>#N/A</v>
      </c>
      <c r="AJ457" s="412" t="str">
        <f t="shared" ca="1" si="180"/>
        <v/>
      </c>
      <c r="AK457" s="413" t="str">
        <f>IFERROR(AE457/(Q_BRAND_FC!$T$24+1),"")</f>
        <v/>
      </c>
      <c r="AL457" s="88" t="str">
        <f t="shared" ca="1" si="181"/>
        <v/>
      </c>
      <c r="AM457" s="414" t="str">
        <f t="shared" ca="1" si="182"/>
        <v/>
      </c>
      <c r="AN457" s="58">
        <f>IFERROR(IF($V457="BRAND.com",HLOOKUP($X457&amp;$Z457,NWC_FC_NOOS!$C$4:$Q$23,MATCH(W457,NWC_FC_NOOS!$B$4:$B$23,0),FALSE),0),0)</f>
        <v>0</v>
      </c>
      <c r="AO457" s="57">
        <f>IFERROR(IF($V457="BRAND.com",HLOOKUP($X457&amp;$Z457,NWC_FC_NOOS!$T$4:$AH$23,MATCH(W457,NWC_FC_NOOS!$S$4:$S$23,0),FALSE),0),0)</f>
        <v>0</v>
      </c>
      <c r="AP457" s="57">
        <f>IFERROR(IF($V457="BRAND.com",HLOOKUP($X457&amp;$Z457,NWC_FC_NOOS!$C$50:$U$69,MATCH(W457,NWC_FC_NOOS!$B$50:$B$69,0),FALSE),0),0)</f>
        <v>0</v>
      </c>
      <c r="AQ457" s="58">
        <f>IFERROR(IF($V457="BRAND.com",HLOOKUP($X457&amp;$Z457,'NWC_FC_NON-NOOS'!$C$4:$Q$23,MATCH(W457,'NWC_FC_NON-NOOS'!$B$4:$B$23,0),FALSE),0),0)</f>
        <v>0</v>
      </c>
      <c r="AR457" s="57">
        <f>IFERROR(IF($V457="BRAND.com",HLOOKUP($X457&amp;$Z457,'NWC_FC_NON-NOOS'!$T$4:$AH$23,MATCH(W457,'NWC_FC_NON-NOOS'!$S$4:$S$23,0),FALSE),0),0)</f>
        <v>0</v>
      </c>
      <c r="AS457" s="57">
        <f>IFERROR(IF($V457="BRAND.com",HLOOKUP($X457&amp;$Z457,'NWC_FC_NON-NOOS'!$C$50:$U$69,MATCH(W457,'NWC_FC_NON-NOOS'!$B$50:$B$69,0),FALSE),0),0)</f>
        <v>0</v>
      </c>
      <c r="AT457" s="57">
        <f t="shared" si="184"/>
        <v>0</v>
      </c>
      <c r="AU457" s="57">
        <f t="shared" si="185"/>
        <v>0</v>
      </c>
      <c r="AV457" s="58">
        <f>IFERROR(IF($V457="BRAND.com",HLOOKUP($X457&amp;$Z457,PLANNING_FC!$BB$27:$BP$46,MATCH($W457,PLANNING_FC!$BA$27:$BA$46,0),FALSE),0),0)</f>
        <v>0</v>
      </c>
      <c r="AW457" s="58">
        <f>IFERROR(IF($V457="BRAND.com",HLOOKUP($X457&amp;$Z457,PLANNING_FC!$BB$4:$BP$23,MATCH($W457,PLANNING_FC!$BA$4:$BA$23,0),FALSE),0),0)</f>
        <v>0</v>
      </c>
      <c r="AX457" s="58">
        <f>IFERROR(IF($V457="BRAND.com",HLOOKUP($X457&amp;$Z457,PLANNING_FC!$T$27:$AH$46,MATCH($W457,PLANNING_FC!$B$27:$B$46,0),FALSE),0),0)</f>
        <v>0</v>
      </c>
      <c r="AY457" s="58">
        <f>IFERROR(IF($V457="BRAND.com",HLOOKUP($X457&amp;$Z457,PLANNING_FC!$T$4:$AH$23,MATCH($W457,PLANNING_FC!$B$4:$B$23,0),FALSE),0),0)</f>
        <v>0</v>
      </c>
      <c r="AZ457" s="58">
        <f>IFERROR(IF($V457="BRAND.com",HLOOKUP($X457&amp;$Z457,PLANNING_FC!$DA$27:$DO$46,MATCH($W457,PLANNING_FC!$CZ$27:$CZ$46,0),FALSE),0),0)</f>
        <v>0</v>
      </c>
      <c r="BA457" s="58">
        <f>IFERROR(IF($V457="BRAND.com",HLOOKUP($X457&amp;$Z457,PLANNING_FC!$DA$4:$DO$23,MATCH($W457,PLANNING_FC!$CZ$4:$CZ$23,0),FALSE),0),0)</f>
        <v>0</v>
      </c>
      <c r="BB457" s="883" t="str">
        <f>IF(V457="BRAND.com",IFERROR(HLOOKUP(X457&amp;Z457,PLANNING_FC!$AK$4:$AY$23,MATCH(W457,PLANNING_FC!$AJ$4:$AJ$23,0),FALSE)*1000,""),"")</f>
        <v/>
      </c>
      <c r="BC457" s="883" t="str">
        <f>IF(V457="BRAND.com",IFERROR(HLOOKUP(X457&amp;Z457,PLANNING_FC!$AK$27:$AY$46,MATCH(W457,PLANNING_FC!$AJ$27:$AJ$46,0),FALSE)*1000,""),"")</f>
        <v/>
      </c>
    </row>
    <row r="458" spans="1:55" x14ac:dyDescent="0.25">
      <c r="A458" s="509"/>
      <c r="B458" s="509"/>
      <c r="C458" s="509"/>
      <c r="D458" s="509"/>
      <c r="E458" s="509"/>
      <c r="F458" s="509"/>
      <c r="G458" s="511"/>
      <c r="H458" s="509"/>
      <c r="I458" s="512"/>
      <c r="J458" s="513"/>
      <c r="K458" s="879"/>
      <c r="L458" s="515"/>
      <c r="M458" s="516"/>
      <c r="N458" s="56">
        <f t="shared" si="166"/>
        <v>0</v>
      </c>
      <c r="O458" s="57">
        <f t="shared" si="167"/>
        <v>0</v>
      </c>
      <c r="P458" s="57">
        <f ca="1">IFERROR(IF(ISBLANK(H458),SUMIFS($AC:$AC,$V:$V,V458,$W:$W,W458,$X:$X,X458,$Y:$Y,Y458)*J458/(1-J458)*VLOOKUP(_xlfn.CONCAT(C458,D458,E458,TIME!$M$12,Z458),HIS_SALES!$B$2:$W$4859,20,FALSE),AC458*J458/(1-J458)),0)</f>
        <v>0</v>
      </c>
      <c r="Q458" s="541" t="str">
        <f t="shared" si="168"/>
        <v/>
      </c>
      <c r="R458" s="346" t="str">
        <f t="shared" si="169"/>
        <v>00000</v>
      </c>
      <c r="S458" s="344">
        <f t="shared" si="170"/>
        <v>0</v>
      </c>
      <c r="T458" s="345" t="str">
        <f t="shared" si="183"/>
        <v>000</v>
      </c>
      <c r="U458" s="345">
        <f t="shared" si="171"/>
        <v>0</v>
      </c>
      <c r="V458" s="345">
        <f t="shared" si="172"/>
        <v>0</v>
      </c>
      <c r="W458" s="345">
        <f t="shared" si="173"/>
        <v>0</v>
      </c>
      <c r="X458" s="345">
        <f t="shared" si="174"/>
        <v>0</v>
      </c>
      <c r="Y458" s="345">
        <f t="shared" si="175"/>
        <v>0</v>
      </c>
      <c r="Z458" s="345">
        <f>IF(Q458&lt;&gt;"",VLOOKUP(Y458,TIME!$R$21:$V$24,MATCH(FC_DATA!Q458,TIME!$R$20:$V$20,0),FALSE),H458)</f>
        <v>0</v>
      </c>
      <c r="AA458" s="345" t="str">
        <f>IFERROR(VLOOKUP(X458&amp;Z458,TIME!$A$12:$D$71,4,FALSE),"")</f>
        <v/>
      </c>
      <c r="AB458" s="592">
        <f t="shared" ca="1" si="176"/>
        <v>0</v>
      </c>
      <c r="AC458" s="593" t="e">
        <f ca="1">IF(ISBLANK(H458)=FALSE,IF(D458="BRAND.com",I458,IF(ISNA(VLOOKUP(_xlfn.CONCAT(X458,Z458),TIME!$M$40:$M$42,1,FALSE)),I458,VLOOKUP(_xlfn.CONCAT(D458,G458,H458),M_BUSAREA_FC!$AF$5:$AJ$10,5,FALSE)*HLOOKUP(_xlfn.CONCAT(F458,H458),ST_OVERVIEW!$G$99:$I$130,MATCH(_xlfn.CONCAT(D458,E458),ST_OVERVIEW!$F$99:$F$130,0),FALSE))),IF(D458="BRAND.com",VLOOKUP(_xlfn.CONCAT(C458,D458,E458,TIME!$F$1,Z458),HIS_SALES!$B$2:$V$4859,19,FALSE)*I458,VLOOKUP(_xlfn.CONCAT(D458,F458,G458),Q_BUSAREA_FC!$AE$5:$AI$12,5,FALSE)*HLOOKUP(_xlfn.CONCAT(FC_DATA!F458,FC_DATA!G458),LT_OVERVIEW!$I$99:$M$130,MATCH(_xlfn.CONCAT(D458,FC_DATA!E458),LT_OVERVIEW!$H$99:$H$130,0),FALSE)*IFERROR(VLOOKUP(_xlfn.CONCAT(C458,D458,E458,TIME!$F$1,Z458),HIS_SALES!$B$2:$V$4859,19,FALSE),0)))</f>
        <v>#N/A</v>
      </c>
      <c r="AD458" s="341">
        <f t="shared" ca="1" si="177"/>
        <v>0</v>
      </c>
      <c r="AE458" s="363" t="str">
        <f t="shared" si="178"/>
        <v/>
      </c>
      <c r="AF458" s="342" t="str">
        <f t="shared" si="179"/>
        <v/>
      </c>
      <c r="AG458" s="411" t="e">
        <f ca="1">VLOOKUP(_xlfn.CONCAT(U458,V458,W458,VLOOKUP(X458&amp;Y458,TIME!$L$27:$O$34,4,FALSE),Y458),HIS_SALES!$A$2:$R$5093,18,FALSE)</f>
        <v>#N/A</v>
      </c>
      <c r="AH458" s="412" t="e">
        <f ca="1">IFERROR(IF(AND(V458=V457,W458=W457),0.5*(AB458+AB457)*AG458,(VLOOKUP(_xlfn.CONCAT(U458,V458,W458,X458,VLOOKUP(Z458,TIME!$S$28:$T$39,2,FALSE)),FC_DATA!$R$2:$AB$5000,MATCH("GS_I_M",FC_DATA!$R$1:$AB$1,0),FALSE)+FC_DATA!AB458)*0.5*FC_DATA!AG458),NA())</f>
        <v>#N/A</v>
      </c>
      <c r="AI458" s="491" t="e">
        <f ca="1">IF(V458="PARTNER.com",AH458,IF(AND(V458=V457,W458=W457),(1-AVERAGE(AD457,AD458))*AH458,(1-AVERAGE(AD458,VLOOKUP(_xlfn.CONCAT(U458,V458,W458,X458,M_BRAND_FC!$F$6),FC_DATA!$R$2:$AD$5000,MATCH("DISCOUNT_%_M",FC_DATA!$R$1:$AD$1,0),FALSE)))*AH458))</f>
        <v>#N/A</v>
      </c>
      <c r="AJ458" s="412" t="str">
        <f t="shared" ca="1" si="180"/>
        <v/>
      </c>
      <c r="AK458" s="413" t="str">
        <f>IFERROR(AE458/(Q_BRAND_FC!$T$24+1),"")</f>
        <v/>
      </c>
      <c r="AL458" s="88" t="str">
        <f t="shared" ca="1" si="181"/>
        <v/>
      </c>
      <c r="AM458" s="414" t="str">
        <f t="shared" ca="1" si="182"/>
        <v/>
      </c>
      <c r="AN458" s="58">
        <f>IFERROR(IF($V458="BRAND.com",HLOOKUP($X458&amp;$Z458,NWC_FC_NOOS!$C$4:$Q$23,MATCH(W458,NWC_FC_NOOS!$B$4:$B$23,0),FALSE),0),0)</f>
        <v>0</v>
      </c>
      <c r="AO458" s="57">
        <f>IFERROR(IF($V458="BRAND.com",HLOOKUP($X458&amp;$Z458,NWC_FC_NOOS!$T$4:$AH$23,MATCH(W458,NWC_FC_NOOS!$S$4:$S$23,0),FALSE),0),0)</f>
        <v>0</v>
      </c>
      <c r="AP458" s="57">
        <f>IFERROR(IF($V458="BRAND.com",HLOOKUP($X458&amp;$Z458,NWC_FC_NOOS!$C$50:$U$69,MATCH(W458,NWC_FC_NOOS!$B$50:$B$69,0),FALSE),0),0)</f>
        <v>0</v>
      </c>
      <c r="AQ458" s="58">
        <f>IFERROR(IF($V458="BRAND.com",HLOOKUP($X458&amp;$Z458,'NWC_FC_NON-NOOS'!$C$4:$Q$23,MATCH(W458,'NWC_FC_NON-NOOS'!$B$4:$B$23,0),FALSE),0),0)</f>
        <v>0</v>
      </c>
      <c r="AR458" s="57">
        <f>IFERROR(IF($V458="BRAND.com",HLOOKUP($X458&amp;$Z458,'NWC_FC_NON-NOOS'!$T$4:$AH$23,MATCH(W458,'NWC_FC_NON-NOOS'!$S$4:$S$23,0),FALSE),0),0)</f>
        <v>0</v>
      </c>
      <c r="AS458" s="57">
        <f>IFERROR(IF($V458="BRAND.com",HLOOKUP($X458&amp;$Z458,'NWC_FC_NON-NOOS'!$C$50:$U$69,MATCH(W458,'NWC_FC_NON-NOOS'!$B$50:$B$69,0),FALSE),0),0)</f>
        <v>0</v>
      </c>
      <c r="AT458" s="57">
        <f t="shared" si="184"/>
        <v>0</v>
      </c>
      <c r="AU458" s="57">
        <f t="shared" si="185"/>
        <v>0</v>
      </c>
      <c r="AV458" s="58">
        <f>IFERROR(IF($V458="BRAND.com",HLOOKUP($X458&amp;$Z458,PLANNING_FC!$BB$27:$BP$46,MATCH($W458,PLANNING_FC!$BA$27:$BA$46,0),FALSE),0),0)</f>
        <v>0</v>
      </c>
      <c r="AW458" s="58">
        <f>IFERROR(IF($V458="BRAND.com",HLOOKUP($X458&amp;$Z458,PLANNING_FC!$BB$4:$BP$23,MATCH($W458,PLANNING_FC!$BA$4:$BA$23,0),FALSE),0),0)</f>
        <v>0</v>
      </c>
      <c r="AX458" s="58">
        <f>IFERROR(IF($V458="BRAND.com",HLOOKUP($X458&amp;$Z458,PLANNING_FC!$T$27:$AH$46,MATCH($W458,PLANNING_FC!$B$27:$B$46,0),FALSE),0),0)</f>
        <v>0</v>
      </c>
      <c r="AY458" s="58">
        <f>IFERROR(IF($V458="BRAND.com",HLOOKUP($X458&amp;$Z458,PLANNING_FC!$T$4:$AH$23,MATCH($W458,PLANNING_FC!$B$4:$B$23,0),FALSE),0),0)</f>
        <v>0</v>
      </c>
      <c r="AZ458" s="58">
        <f>IFERROR(IF($V458="BRAND.com",HLOOKUP($X458&amp;$Z458,PLANNING_FC!$DA$27:$DO$46,MATCH($W458,PLANNING_FC!$CZ$27:$CZ$46,0),FALSE),0),0)</f>
        <v>0</v>
      </c>
      <c r="BA458" s="58">
        <f>IFERROR(IF($V458="BRAND.com",HLOOKUP($X458&amp;$Z458,PLANNING_FC!$DA$4:$DO$23,MATCH($W458,PLANNING_FC!$CZ$4:$CZ$23,0),FALSE),0),0)</f>
        <v>0</v>
      </c>
      <c r="BB458" s="883" t="str">
        <f>IF(V458="BRAND.com",IFERROR(HLOOKUP(X458&amp;Z458,PLANNING_FC!$AK$4:$AY$23,MATCH(W458,PLANNING_FC!$AJ$4:$AJ$23,0),FALSE)*1000,""),"")</f>
        <v/>
      </c>
      <c r="BC458" s="883" t="str">
        <f>IF(V458="BRAND.com",IFERROR(HLOOKUP(X458&amp;Z458,PLANNING_FC!$AK$27:$AY$46,MATCH(W458,PLANNING_FC!$AJ$27:$AJ$46,0),FALSE)*1000,""),"")</f>
        <v/>
      </c>
    </row>
    <row r="459" spans="1:55" x14ac:dyDescent="0.25">
      <c r="A459" s="509"/>
      <c r="B459" s="509"/>
      <c r="C459" s="509"/>
      <c r="D459" s="509"/>
      <c r="E459" s="509"/>
      <c r="F459" s="509"/>
      <c r="G459" s="509"/>
      <c r="H459" s="509"/>
      <c r="I459" s="512"/>
      <c r="J459" s="513"/>
      <c r="K459" s="879"/>
      <c r="L459" s="515"/>
      <c r="M459" s="516"/>
      <c r="N459" s="56">
        <f t="shared" si="166"/>
        <v>0</v>
      </c>
      <c r="O459" s="57">
        <f t="shared" si="167"/>
        <v>0</v>
      </c>
      <c r="P459" s="57">
        <f ca="1">IFERROR(IF(ISBLANK(H459),SUMIFS($AC:$AC,$V:$V,V459,$W:$W,W459,$X:$X,X459,$Y:$Y,Y459)*J459/(1-J459)*VLOOKUP(_xlfn.CONCAT(C459,D459,E459,TIME!$M$12,Z459),HIS_SALES!$B$2:$W$4859,20,FALSE),AC459*J459/(1-J459)),0)</f>
        <v>0</v>
      </c>
      <c r="Q459" s="541" t="str">
        <f t="shared" si="168"/>
        <v/>
      </c>
      <c r="R459" s="346" t="str">
        <f t="shared" si="169"/>
        <v>00000</v>
      </c>
      <c r="S459" s="344">
        <f t="shared" si="170"/>
        <v>0</v>
      </c>
      <c r="T459" s="345" t="str">
        <f t="shared" si="183"/>
        <v>000</v>
      </c>
      <c r="U459" s="345">
        <f t="shared" si="171"/>
        <v>0</v>
      </c>
      <c r="V459" s="345">
        <f t="shared" si="172"/>
        <v>0</v>
      </c>
      <c r="W459" s="345">
        <f t="shared" si="173"/>
        <v>0</v>
      </c>
      <c r="X459" s="345">
        <f t="shared" si="174"/>
        <v>0</v>
      </c>
      <c r="Y459" s="345">
        <f t="shared" si="175"/>
        <v>0</v>
      </c>
      <c r="Z459" s="345">
        <f>IF(Q459&lt;&gt;"",VLOOKUP(Y459,TIME!$R$21:$V$24,MATCH(FC_DATA!Q459,TIME!$R$20:$V$20,0),FALSE),H459)</f>
        <v>0</v>
      </c>
      <c r="AA459" s="345" t="str">
        <f>IFERROR(VLOOKUP(X459&amp;Z459,TIME!$A$12:$D$71,4,FALSE),"")</f>
        <v/>
      </c>
      <c r="AB459" s="592">
        <f t="shared" ca="1" si="176"/>
        <v>0</v>
      </c>
      <c r="AC459" s="593" t="e">
        <f ca="1">IF(ISBLANK(H459)=FALSE,IF(D459="BRAND.com",I459,IF(ISNA(VLOOKUP(_xlfn.CONCAT(X459,Z459),TIME!$M$40:$M$42,1,FALSE)),I459,VLOOKUP(_xlfn.CONCAT(D459,G459,H459),M_BUSAREA_FC!$AF$5:$AJ$10,5,FALSE)*HLOOKUP(_xlfn.CONCAT(F459,H459),ST_OVERVIEW!$G$99:$I$130,MATCH(_xlfn.CONCAT(D459,E459),ST_OVERVIEW!$F$99:$F$130,0),FALSE))),IF(D459="BRAND.com",VLOOKUP(_xlfn.CONCAT(C459,D459,E459,TIME!$F$1,Z459),HIS_SALES!$B$2:$V$4859,19,FALSE)*I459,VLOOKUP(_xlfn.CONCAT(D459,F459,G459),Q_BUSAREA_FC!$AE$5:$AI$12,5,FALSE)*HLOOKUP(_xlfn.CONCAT(FC_DATA!F459,FC_DATA!G459),LT_OVERVIEW!$I$99:$M$130,MATCH(_xlfn.CONCAT(D459,FC_DATA!E459),LT_OVERVIEW!$H$99:$H$130,0),FALSE)*IFERROR(VLOOKUP(_xlfn.CONCAT(C459,D459,E459,TIME!$F$1,Z459),HIS_SALES!$B$2:$V$4859,19,FALSE),0)))</f>
        <v>#N/A</v>
      </c>
      <c r="AD459" s="341">
        <f t="shared" ca="1" si="177"/>
        <v>0</v>
      </c>
      <c r="AE459" s="363" t="str">
        <f t="shared" si="178"/>
        <v/>
      </c>
      <c r="AF459" s="342" t="str">
        <f t="shared" si="179"/>
        <v/>
      </c>
      <c r="AG459" s="411" t="e">
        <f ca="1">VLOOKUP(_xlfn.CONCAT(U459,V459,W459,VLOOKUP(X459&amp;Y459,TIME!$L$27:$O$34,4,FALSE),Y459),HIS_SALES!$A$2:$R$5093,18,FALSE)</f>
        <v>#N/A</v>
      </c>
      <c r="AH459" s="412" t="e">
        <f ca="1">IFERROR(IF(AND(V459=V458,W459=W458),0.5*(AB459+AB458)*AG459,(VLOOKUP(_xlfn.CONCAT(U459,V459,W459,X459,VLOOKUP(Z459,TIME!$S$28:$T$39,2,FALSE)),FC_DATA!$R$2:$AB$5000,MATCH("GS_I_M",FC_DATA!$R$1:$AB$1,0),FALSE)+FC_DATA!AB459)*0.5*FC_DATA!AG459),NA())</f>
        <v>#N/A</v>
      </c>
      <c r="AI459" s="491" t="e">
        <f ca="1">IF(V459="PARTNER.com",AH459,IF(AND(V459=V458,W459=W458),(1-AVERAGE(AD458,AD459))*AH459,(1-AVERAGE(AD459,VLOOKUP(_xlfn.CONCAT(U459,V459,W459,X459,M_BRAND_FC!$F$6),FC_DATA!$R$2:$AD$5000,MATCH("DISCOUNT_%_M",FC_DATA!$R$1:$AD$1,0),FALSE)))*AH459))</f>
        <v>#N/A</v>
      </c>
      <c r="AJ459" s="412" t="str">
        <f t="shared" ca="1" si="180"/>
        <v/>
      </c>
      <c r="AK459" s="413" t="str">
        <f>IFERROR(AE459/(Q_BRAND_FC!$T$24+1),"")</f>
        <v/>
      </c>
      <c r="AL459" s="88" t="str">
        <f t="shared" ca="1" si="181"/>
        <v/>
      </c>
      <c r="AM459" s="414" t="str">
        <f t="shared" ca="1" si="182"/>
        <v/>
      </c>
      <c r="AN459" s="58">
        <f>IFERROR(IF($V459="BRAND.com",HLOOKUP($X459&amp;$Z459,NWC_FC_NOOS!$C$4:$Q$23,MATCH(W459,NWC_FC_NOOS!$B$4:$B$23,0),FALSE),0),0)</f>
        <v>0</v>
      </c>
      <c r="AO459" s="57">
        <f>IFERROR(IF($V459="BRAND.com",HLOOKUP($X459&amp;$Z459,NWC_FC_NOOS!$T$4:$AH$23,MATCH(W459,NWC_FC_NOOS!$S$4:$S$23,0),FALSE),0),0)</f>
        <v>0</v>
      </c>
      <c r="AP459" s="57">
        <f>IFERROR(IF($V459="BRAND.com",HLOOKUP($X459&amp;$Z459,NWC_FC_NOOS!$C$50:$U$69,MATCH(W459,NWC_FC_NOOS!$B$50:$B$69,0),FALSE),0),0)</f>
        <v>0</v>
      </c>
      <c r="AQ459" s="58">
        <f>IFERROR(IF($V459="BRAND.com",HLOOKUP($X459&amp;$Z459,'NWC_FC_NON-NOOS'!$C$4:$Q$23,MATCH(W459,'NWC_FC_NON-NOOS'!$B$4:$B$23,0),FALSE),0),0)</f>
        <v>0</v>
      </c>
      <c r="AR459" s="57">
        <f>IFERROR(IF($V459="BRAND.com",HLOOKUP($X459&amp;$Z459,'NWC_FC_NON-NOOS'!$T$4:$AH$23,MATCH(W459,'NWC_FC_NON-NOOS'!$S$4:$S$23,0),FALSE),0),0)</f>
        <v>0</v>
      </c>
      <c r="AS459" s="57">
        <f>IFERROR(IF($V459="BRAND.com",HLOOKUP($X459&amp;$Z459,'NWC_FC_NON-NOOS'!$C$50:$U$69,MATCH(W459,'NWC_FC_NON-NOOS'!$B$50:$B$69,0),FALSE),0),0)</f>
        <v>0</v>
      </c>
      <c r="AT459" s="57">
        <f t="shared" si="184"/>
        <v>0</v>
      </c>
      <c r="AU459" s="57">
        <f t="shared" si="185"/>
        <v>0</v>
      </c>
      <c r="AV459" s="58">
        <f>IFERROR(IF($V459="BRAND.com",HLOOKUP($X459&amp;$Z459,PLANNING_FC!$BB$27:$BP$46,MATCH($W459,PLANNING_FC!$BA$27:$BA$46,0),FALSE),0),0)</f>
        <v>0</v>
      </c>
      <c r="AW459" s="58">
        <f>IFERROR(IF($V459="BRAND.com",HLOOKUP($X459&amp;$Z459,PLANNING_FC!$BB$4:$BP$23,MATCH($W459,PLANNING_FC!$BA$4:$BA$23,0),FALSE),0),0)</f>
        <v>0</v>
      </c>
      <c r="AX459" s="58">
        <f>IFERROR(IF($V459="BRAND.com",HLOOKUP($X459&amp;$Z459,PLANNING_FC!$T$27:$AH$46,MATCH($W459,PLANNING_FC!$B$27:$B$46,0),FALSE),0),0)</f>
        <v>0</v>
      </c>
      <c r="AY459" s="58">
        <f>IFERROR(IF($V459="BRAND.com",HLOOKUP($X459&amp;$Z459,PLANNING_FC!$T$4:$AH$23,MATCH($W459,PLANNING_FC!$B$4:$B$23,0),FALSE),0),0)</f>
        <v>0</v>
      </c>
      <c r="AZ459" s="58">
        <f>IFERROR(IF($V459="BRAND.com",HLOOKUP($X459&amp;$Z459,PLANNING_FC!$DA$27:$DO$46,MATCH($W459,PLANNING_FC!$CZ$27:$CZ$46,0),FALSE),0),0)</f>
        <v>0</v>
      </c>
      <c r="BA459" s="58">
        <f>IFERROR(IF($V459="BRAND.com",HLOOKUP($X459&amp;$Z459,PLANNING_FC!$DA$4:$DO$23,MATCH($W459,PLANNING_FC!$CZ$4:$CZ$23,0),FALSE),0),0)</f>
        <v>0</v>
      </c>
      <c r="BB459" s="883" t="str">
        <f>IF(V459="BRAND.com",IFERROR(HLOOKUP(X459&amp;Z459,PLANNING_FC!$AK$4:$AY$23,MATCH(W459,PLANNING_FC!$AJ$4:$AJ$23,0),FALSE)*1000,""),"")</f>
        <v/>
      </c>
      <c r="BC459" s="883" t="str">
        <f>IF(V459="BRAND.com",IFERROR(HLOOKUP(X459&amp;Z459,PLANNING_FC!$AK$27:$AY$46,MATCH(W459,PLANNING_FC!$AJ$27:$AJ$46,0),FALSE)*1000,""),"")</f>
        <v/>
      </c>
    </row>
    <row r="460" spans="1:55" x14ac:dyDescent="0.25">
      <c r="A460" s="509"/>
      <c r="B460" s="509"/>
      <c r="C460" s="509"/>
      <c r="D460" s="509"/>
      <c r="E460" s="509"/>
      <c r="F460" s="509"/>
      <c r="G460" s="509"/>
      <c r="H460" s="509"/>
      <c r="I460" s="512"/>
      <c r="J460" s="513"/>
      <c r="K460" s="879"/>
      <c r="L460" s="515"/>
      <c r="M460" s="516"/>
      <c r="N460" s="56">
        <f t="shared" si="166"/>
        <v>0</v>
      </c>
      <c r="O460" s="57">
        <f t="shared" si="167"/>
        <v>0</v>
      </c>
      <c r="P460" s="57">
        <f ca="1">IFERROR(IF(ISBLANK(H460),SUMIFS($AC:$AC,$V:$V,V460,$W:$W,W460,$X:$X,X460,$Y:$Y,Y460)*J460/(1-J460)*VLOOKUP(_xlfn.CONCAT(C460,D460,E460,TIME!$M$12,Z460),HIS_SALES!$B$2:$W$4859,20,FALSE),AC460*J460/(1-J460)),0)</f>
        <v>0</v>
      </c>
      <c r="Q460" s="541" t="str">
        <f t="shared" si="168"/>
        <v/>
      </c>
      <c r="R460" s="346" t="str">
        <f t="shared" si="169"/>
        <v>00000</v>
      </c>
      <c r="S460" s="344">
        <f t="shared" si="170"/>
        <v>0</v>
      </c>
      <c r="T460" s="345" t="str">
        <f t="shared" si="183"/>
        <v>000</v>
      </c>
      <c r="U460" s="345">
        <f t="shared" si="171"/>
        <v>0</v>
      </c>
      <c r="V460" s="345">
        <f t="shared" si="172"/>
        <v>0</v>
      </c>
      <c r="W460" s="345">
        <f t="shared" si="173"/>
        <v>0</v>
      </c>
      <c r="X460" s="345">
        <f t="shared" si="174"/>
        <v>0</v>
      </c>
      <c r="Y460" s="345">
        <f t="shared" si="175"/>
        <v>0</v>
      </c>
      <c r="Z460" s="345">
        <f>IF(Q460&lt;&gt;"",VLOOKUP(Y460,TIME!$R$21:$V$24,MATCH(FC_DATA!Q460,TIME!$R$20:$V$20,0),FALSE),H460)</f>
        <v>0</v>
      </c>
      <c r="AA460" s="345" t="str">
        <f>IFERROR(VLOOKUP(X460&amp;Z460,TIME!$A$12:$D$71,4,FALSE),"")</f>
        <v/>
      </c>
      <c r="AB460" s="592">
        <f t="shared" ca="1" si="176"/>
        <v>0</v>
      </c>
      <c r="AC460" s="593" t="e">
        <f ca="1">IF(ISBLANK(H460)=FALSE,IF(D460="BRAND.com",I460,IF(ISNA(VLOOKUP(_xlfn.CONCAT(X460,Z460),TIME!$M$40:$M$42,1,FALSE)),I460,VLOOKUP(_xlfn.CONCAT(D460,G460,H460),M_BUSAREA_FC!$AF$5:$AJ$10,5,FALSE)*HLOOKUP(_xlfn.CONCAT(F460,H460),ST_OVERVIEW!$G$99:$I$130,MATCH(_xlfn.CONCAT(D460,E460),ST_OVERVIEW!$F$99:$F$130,0),FALSE))),IF(D460="BRAND.com",VLOOKUP(_xlfn.CONCAT(C460,D460,E460,TIME!$F$1,Z460),HIS_SALES!$B$2:$V$4859,19,FALSE)*I460,VLOOKUP(_xlfn.CONCAT(D460,F460,G460),Q_BUSAREA_FC!$AE$5:$AI$12,5,FALSE)*HLOOKUP(_xlfn.CONCAT(FC_DATA!F460,FC_DATA!G460),LT_OVERVIEW!$I$99:$M$130,MATCH(_xlfn.CONCAT(D460,FC_DATA!E460),LT_OVERVIEW!$H$99:$H$130,0),FALSE)*IFERROR(VLOOKUP(_xlfn.CONCAT(C460,D460,E460,TIME!$F$1,Z460),HIS_SALES!$B$2:$V$4859,19,FALSE),0)))</f>
        <v>#N/A</v>
      </c>
      <c r="AD460" s="341">
        <f t="shared" ca="1" si="177"/>
        <v>0</v>
      </c>
      <c r="AE460" s="363" t="str">
        <f t="shared" si="178"/>
        <v/>
      </c>
      <c r="AF460" s="342" t="str">
        <f t="shared" si="179"/>
        <v/>
      </c>
      <c r="AG460" s="411" t="e">
        <f ca="1">VLOOKUP(_xlfn.CONCAT(U460,V460,W460,VLOOKUP(X460&amp;Y460,TIME!$L$27:$O$34,4,FALSE),Y460),HIS_SALES!$A$2:$R$5093,18,FALSE)</f>
        <v>#N/A</v>
      </c>
      <c r="AH460" s="412" t="e">
        <f ca="1">IFERROR(IF(AND(V460=V459,W460=W459),0.5*(AB460+AB459)*AG460,(VLOOKUP(_xlfn.CONCAT(U460,V460,W460,X460,VLOOKUP(Z460,TIME!$S$28:$T$39,2,FALSE)),FC_DATA!$R$2:$AB$5000,MATCH("GS_I_M",FC_DATA!$R$1:$AB$1,0),FALSE)+FC_DATA!AB460)*0.5*FC_DATA!AG460),NA())</f>
        <v>#N/A</v>
      </c>
      <c r="AI460" s="491" t="e">
        <f ca="1">IF(V460="PARTNER.com",AH460,IF(AND(V460=V459,W460=W459),(1-AVERAGE(AD459,AD460))*AH460,(1-AVERAGE(AD460,VLOOKUP(_xlfn.CONCAT(U460,V460,W460,X460,M_BRAND_FC!$F$6),FC_DATA!$R$2:$AD$5000,MATCH("DISCOUNT_%_M",FC_DATA!$R$1:$AD$1,0),FALSE)))*AH460))</f>
        <v>#N/A</v>
      </c>
      <c r="AJ460" s="412" t="str">
        <f t="shared" ca="1" si="180"/>
        <v/>
      </c>
      <c r="AK460" s="413" t="str">
        <f>IFERROR(AE460/(Q_BRAND_FC!$T$24+1),"")</f>
        <v/>
      </c>
      <c r="AL460" s="88" t="str">
        <f t="shared" ca="1" si="181"/>
        <v/>
      </c>
      <c r="AM460" s="414" t="str">
        <f t="shared" ca="1" si="182"/>
        <v/>
      </c>
      <c r="AN460" s="58">
        <f>IFERROR(IF($V460="BRAND.com",HLOOKUP($X460&amp;$Z460,NWC_FC_NOOS!$C$4:$Q$23,MATCH(W460,NWC_FC_NOOS!$B$4:$B$23,0),FALSE),0),0)</f>
        <v>0</v>
      </c>
      <c r="AO460" s="57">
        <f>IFERROR(IF($V460="BRAND.com",HLOOKUP($X460&amp;$Z460,NWC_FC_NOOS!$T$4:$AH$23,MATCH(W460,NWC_FC_NOOS!$S$4:$S$23,0),FALSE),0),0)</f>
        <v>0</v>
      </c>
      <c r="AP460" s="57">
        <f>IFERROR(IF($V460="BRAND.com",HLOOKUP($X460&amp;$Z460,NWC_FC_NOOS!$C$50:$U$69,MATCH(W460,NWC_FC_NOOS!$B$50:$B$69,0),FALSE),0),0)</f>
        <v>0</v>
      </c>
      <c r="AQ460" s="58">
        <f>IFERROR(IF($V460="BRAND.com",HLOOKUP($X460&amp;$Z460,'NWC_FC_NON-NOOS'!$C$4:$Q$23,MATCH(W460,'NWC_FC_NON-NOOS'!$B$4:$B$23,0),FALSE),0),0)</f>
        <v>0</v>
      </c>
      <c r="AR460" s="57">
        <f>IFERROR(IF($V460="BRAND.com",HLOOKUP($X460&amp;$Z460,'NWC_FC_NON-NOOS'!$T$4:$AH$23,MATCH(W460,'NWC_FC_NON-NOOS'!$S$4:$S$23,0),FALSE),0),0)</f>
        <v>0</v>
      </c>
      <c r="AS460" s="57">
        <f>IFERROR(IF($V460="BRAND.com",HLOOKUP($X460&amp;$Z460,'NWC_FC_NON-NOOS'!$C$50:$U$69,MATCH(W460,'NWC_FC_NON-NOOS'!$B$50:$B$69,0),FALSE),0),0)</f>
        <v>0</v>
      </c>
      <c r="AT460" s="57">
        <f t="shared" si="184"/>
        <v>0</v>
      </c>
      <c r="AU460" s="57">
        <f t="shared" si="185"/>
        <v>0</v>
      </c>
      <c r="AV460" s="58">
        <f>IFERROR(IF($V460="BRAND.com",HLOOKUP($X460&amp;$Z460,PLANNING_FC!$BB$27:$BP$46,MATCH($W460,PLANNING_FC!$BA$27:$BA$46,0),FALSE),0),0)</f>
        <v>0</v>
      </c>
      <c r="AW460" s="58">
        <f>IFERROR(IF($V460="BRAND.com",HLOOKUP($X460&amp;$Z460,PLANNING_FC!$BB$4:$BP$23,MATCH($W460,PLANNING_FC!$BA$4:$BA$23,0),FALSE),0),0)</f>
        <v>0</v>
      </c>
      <c r="AX460" s="58">
        <f>IFERROR(IF($V460="BRAND.com",HLOOKUP($X460&amp;$Z460,PLANNING_FC!$T$27:$AH$46,MATCH($W460,PLANNING_FC!$B$27:$B$46,0),FALSE),0),0)</f>
        <v>0</v>
      </c>
      <c r="AY460" s="58">
        <f>IFERROR(IF($V460="BRAND.com",HLOOKUP($X460&amp;$Z460,PLANNING_FC!$T$4:$AH$23,MATCH($W460,PLANNING_FC!$B$4:$B$23,0),FALSE),0),0)</f>
        <v>0</v>
      </c>
      <c r="AZ460" s="58">
        <f>IFERROR(IF($V460="BRAND.com",HLOOKUP($X460&amp;$Z460,PLANNING_FC!$DA$27:$DO$46,MATCH($W460,PLANNING_FC!$CZ$27:$CZ$46,0),FALSE),0),0)</f>
        <v>0</v>
      </c>
      <c r="BA460" s="58">
        <f>IFERROR(IF($V460="BRAND.com",HLOOKUP($X460&amp;$Z460,PLANNING_FC!$DA$4:$DO$23,MATCH($W460,PLANNING_FC!$CZ$4:$CZ$23,0),FALSE),0),0)</f>
        <v>0</v>
      </c>
      <c r="BB460" s="883" t="str">
        <f>IF(V460="BRAND.com",IFERROR(HLOOKUP(X460&amp;Z460,PLANNING_FC!$AK$4:$AY$23,MATCH(W460,PLANNING_FC!$AJ$4:$AJ$23,0),FALSE)*1000,""),"")</f>
        <v/>
      </c>
      <c r="BC460" s="883" t="str">
        <f>IF(V460="BRAND.com",IFERROR(HLOOKUP(X460&amp;Z460,PLANNING_FC!$AK$27:$AY$46,MATCH(W460,PLANNING_FC!$AJ$27:$AJ$46,0),FALSE)*1000,""),"")</f>
        <v/>
      </c>
    </row>
    <row r="461" spans="1:55" x14ac:dyDescent="0.25">
      <c r="A461" s="509"/>
      <c r="B461" s="509"/>
      <c r="C461" s="509"/>
      <c r="D461" s="509"/>
      <c r="E461" s="509"/>
      <c r="F461" s="509"/>
      <c r="G461" s="509"/>
      <c r="H461" s="509"/>
      <c r="I461" s="512"/>
      <c r="J461" s="513"/>
      <c r="K461" s="879"/>
      <c r="L461" s="515"/>
      <c r="M461" s="516"/>
      <c r="N461" s="56">
        <f t="shared" si="166"/>
        <v>0</v>
      </c>
      <c r="O461" s="57">
        <f t="shared" si="167"/>
        <v>0</v>
      </c>
      <c r="P461" s="57">
        <f ca="1">IFERROR(IF(ISBLANK(H461),SUMIFS($AC:$AC,$V:$V,V461,$W:$W,W461,$X:$X,X461,$Y:$Y,Y461)*J461/(1-J461)*VLOOKUP(_xlfn.CONCAT(C461,D461,E461,TIME!$M$12,Z461),HIS_SALES!$B$2:$W$4859,20,FALSE),AC461*J461/(1-J461)),0)</f>
        <v>0</v>
      </c>
      <c r="Q461" s="541" t="str">
        <f t="shared" si="168"/>
        <v/>
      </c>
      <c r="R461" s="346" t="str">
        <f t="shared" si="169"/>
        <v>00000</v>
      </c>
      <c r="S461" s="344">
        <f t="shared" si="170"/>
        <v>0</v>
      </c>
      <c r="T461" s="345" t="str">
        <f t="shared" si="183"/>
        <v>000</v>
      </c>
      <c r="U461" s="345">
        <f t="shared" si="171"/>
        <v>0</v>
      </c>
      <c r="V461" s="345">
        <f t="shared" si="172"/>
        <v>0</v>
      </c>
      <c r="W461" s="345">
        <f t="shared" si="173"/>
        <v>0</v>
      </c>
      <c r="X461" s="345">
        <f t="shared" si="174"/>
        <v>0</v>
      </c>
      <c r="Y461" s="345">
        <f t="shared" si="175"/>
        <v>0</v>
      </c>
      <c r="Z461" s="345">
        <f>IF(Q461&lt;&gt;"",VLOOKUP(Y461,TIME!$R$21:$V$24,MATCH(FC_DATA!Q461,TIME!$R$20:$V$20,0),FALSE),H461)</f>
        <v>0</v>
      </c>
      <c r="AA461" s="345" t="str">
        <f>IFERROR(VLOOKUP(X461&amp;Z461,TIME!$A$12:$D$71,4,FALSE),"")</f>
        <v/>
      </c>
      <c r="AB461" s="592">
        <f t="shared" ca="1" si="176"/>
        <v>0</v>
      </c>
      <c r="AC461" s="593" t="e">
        <f ca="1">IF(ISBLANK(H461)=FALSE,IF(D461="BRAND.com",I461,IF(ISNA(VLOOKUP(_xlfn.CONCAT(X461,Z461),TIME!$M$40:$M$42,1,FALSE)),I461,VLOOKUP(_xlfn.CONCAT(D461,G461,H461),M_BUSAREA_FC!$AF$5:$AJ$10,5,FALSE)*HLOOKUP(_xlfn.CONCAT(F461,H461),ST_OVERVIEW!$G$99:$I$130,MATCH(_xlfn.CONCAT(D461,E461),ST_OVERVIEW!$F$99:$F$130,0),FALSE))),IF(D461="BRAND.com",VLOOKUP(_xlfn.CONCAT(C461,D461,E461,TIME!$F$1,Z461),HIS_SALES!$B$2:$V$4859,19,FALSE)*I461,VLOOKUP(_xlfn.CONCAT(D461,F461,G461),Q_BUSAREA_FC!$AE$5:$AI$12,5,FALSE)*HLOOKUP(_xlfn.CONCAT(FC_DATA!F461,FC_DATA!G461),LT_OVERVIEW!$I$99:$M$130,MATCH(_xlfn.CONCAT(D461,FC_DATA!E461),LT_OVERVIEW!$H$99:$H$130,0),FALSE)*IFERROR(VLOOKUP(_xlfn.CONCAT(C461,D461,E461,TIME!$F$1,Z461),HIS_SALES!$B$2:$V$4859,19,FALSE),0)))</f>
        <v>#N/A</v>
      </c>
      <c r="AD461" s="341">
        <f t="shared" ca="1" si="177"/>
        <v>0</v>
      </c>
      <c r="AE461" s="363" t="str">
        <f t="shared" si="178"/>
        <v/>
      </c>
      <c r="AF461" s="342" t="str">
        <f t="shared" si="179"/>
        <v/>
      </c>
      <c r="AG461" s="411" t="e">
        <f ca="1">VLOOKUP(_xlfn.CONCAT(U461,V461,W461,VLOOKUP(X461&amp;Y461,TIME!$L$27:$O$34,4,FALSE),Y461),HIS_SALES!$A$2:$R$5093,18,FALSE)</f>
        <v>#N/A</v>
      </c>
      <c r="AH461" s="412" t="e">
        <f ca="1">IFERROR(IF(AND(V461=V460,W461=W460),0.5*(AB461+AB460)*AG461,(VLOOKUP(_xlfn.CONCAT(U461,V461,W461,X461,VLOOKUP(Z461,TIME!$S$28:$T$39,2,FALSE)),FC_DATA!$R$2:$AB$5000,MATCH("GS_I_M",FC_DATA!$R$1:$AB$1,0),FALSE)+FC_DATA!AB461)*0.5*FC_DATA!AG461),NA())</f>
        <v>#N/A</v>
      </c>
      <c r="AI461" s="491" t="e">
        <f ca="1">IF(V461="PARTNER.com",AH461,IF(AND(V461=V460,W461=W460),(1-AVERAGE(AD460,AD461))*AH461,(1-AVERAGE(AD461,VLOOKUP(_xlfn.CONCAT(U461,V461,W461,X461,M_BRAND_FC!$F$6),FC_DATA!$R$2:$AD$5000,MATCH("DISCOUNT_%_M",FC_DATA!$R$1:$AD$1,0),FALSE)))*AH461))</f>
        <v>#N/A</v>
      </c>
      <c r="AJ461" s="412" t="str">
        <f t="shared" ca="1" si="180"/>
        <v/>
      </c>
      <c r="AK461" s="413" t="str">
        <f>IFERROR(AE461/(Q_BRAND_FC!$T$24+1),"")</f>
        <v/>
      </c>
      <c r="AL461" s="88" t="str">
        <f t="shared" ca="1" si="181"/>
        <v/>
      </c>
      <c r="AM461" s="414" t="str">
        <f t="shared" ca="1" si="182"/>
        <v/>
      </c>
      <c r="AN461" s="58">
        <f>IFERROR(IF($V461="BRAND.com",HLOOKUP($X461&amp;$Z461,NWC_FC_NOOS!$C$4:$Q$23,MATCH(W461,NWC_FC_NOOS!$B$4:$B$23,0),FALSE),0),0)</f>
        <v>0</v>
      </c>
      <c r="AO461" s="57">
        <f>IFERROR(IF($V461="BRAND.com",HLOOKUP($X461&amp;$Z461,NWC_FC_NOOS!$T$4:$AH$23,MATCH(W461,NWC_FC_NOOS!$S$4:$S$23,0),FALSE),0),0)</f>
        <v>0</v>
      </c>
      <c r="AP461" s="57">
        <f>IFERROR(IF($V461="BRAND.com",HLOOKUP($X461&amp;$Z461,NWC_FC_NOOS!$C$50:$U$69,MATCH(W461,NWC_FC_NOOS!$B$50:$B$69,0),FALSE),0),0)</f>
        <v>0</v>
      </c>
      <c r="AQ461" s="58">
        <f>IFERROR(IF($V461="BRAND.com",HLOOKUP($X461&amp;$Z461,'NWC_FC_NON-NOOS'!$C$4:$Q$23,MATCH(W461,'NWC_FC_NON-NOOS'!$B$4:$B$23,0),FALSE),0),0)</f>
        <v>0</v>
      </c>
      <c r="AR461" s="57">
        <f>IFERROR(IF($V461="BRAND.com",HLOOKUP($X461&amp;$Z461,'NWC_FC_NON-NOOS'!$T$4:$AH$23,MATCH(W461,'NWC_FC_NON-NOOS'!$S$4:$S$23,0),FALSE),0),0)</f>
        <v>0</v>
      </c>
      <c r="AS461" s="57">
        <f>IFERROR(IF($V461="BRAND.com",HLOOKUP($X461&amp;$Z461,'NWC_FC_NON-NOOS'!$C$50:$U$69,MATCH(W461,'NWC_FC_NON-NOOS'!$B$50:$B$69,0),FALSE),0),0)</f>
        <v>0</v>
      </c>
      <c r="AT461" s="57">
        <f t="shared" si="184"/>
        <v>0</v>
      </c>
      <c r="AU461" s="57">
        <f t="shared" si="185"/>
        <v>0</v>
      </c>
      <c r="AV461" s="58">
        <f>IFERROR(IF($V461="BRAND.com",HLOOKUP($X461&amp;$Z461,PLANNING_FC!$BB$27:$BP$46,MATCH($W461,PLANNING_FC!$BA$27:$BA$46,0),FALSE),0),0)</f>
        <v>0</v>
      </c>
      <c r="AW461" s="58">
        <f>IFERROR(IF($V461="BRAND.com",HLOOKUP($X461&amp;$Z461,PLANNING_FC!$BB$4:$BP$23,MATCH($W461,PLANNING_FC!$BA$4:$BA$23,0),FALSE),0),0)</f>
        <v>0</v>
      </c>
      <c r="AX461" s="58">
        <f>IFERROR(IF($V461="BRAND.com",HLOOKUP($X461&amp;$Z461,PLANNING_FC!$T$27:$AH$46,MATCH($W461,PLANNING_FC!$B$27:$B$46,0),FALSE),0),0)</f>
        <v>0</v>
      </c>
      <c r="AY461" s="58">
        <f>IFERROR(IF($V461="BRAND.com",HLOOKUP($X461&amp;$Z461,PLANNING_FC!$T$4:$AH$23,MATCH($W461,PLANNING_FC!$B$4:$B$23,0),FALSE),0),0)</f>
        <v>0</v>
      </c>
      <c r="AZ461" s="58">
        <f>IFERROR(IF($V461="BRAND.com",HLOOKUP($X461&amp;$Z461,PLANNING_FC!$DA$27:$DO$46,MATCH($W461,PLANNING_FC!$CZ$27:$CZ$46,0),FALSE),0),0)</f>
        <v>0</v>
      </c>
      <c r="BA461" s="58">
        <f>IFERROR(IF($V461="BRAND.com",HLOOKUP($X461&amp;$Z461,PLANNING_FC!$DA$4:$DO$23,MATCH($W461,PLANNING_FC!$CZ$4:$CZ$23,0),FALSE),0),0)</f>
        <v>0</v>
      </c>
      <c r="BB461" s="883" t="str">
        <f>IF(V461="BRAND.com",IFERROR(HLOOKUP(X461&amp;Z461,PLANNING_FC!$AK$4:$AY$23,MATCH(W461,PLANNING_FC!$AJ$4:$AJ$23,0),FALSE)*1000,""),"")</f>
        <v/>
      </c>
      <c r="BC461" s="883" t="str">
        <f>IF(V461="BRAND.com",IFERROR(HLOOKUP(X461&amp;Z461,PLANNING_FC!$AK$27:$AY$46,MATCH(W461,PLANNING_FC!$AJ$27:$AJ$46,0),FALSE)*1000,""),"")</f>
        <v/>
      </c>
    </row>
    <row r="462" spans="1:55" x14ac:dyDescent="0.25">
      <c r="A462" s="509"/>
      <c r="B462" s="509"/>
      <c r="C462" s="509"/>
      <c r="D462" s="509"/>
      <c r="E462" s="509"/>
      <c r="F462" s="509"/>
      <c r="G462" s="511"/>
      <c r="H462" s="509"/>
      <c r="I462" s="512"/>
      <c r="J462" s="513"/>
      <c r="K462" s="879"/>
      <c r="L462" s="515"/>
      <c r="M462" s="516"/>
      <c r="N462" s="56">
        <f t="shared" si="166"/>
        <v>0</v>
      </c>
      <c r="O462" s="57">
        <f t="shared" si="167"/>
        <v>0</v>
      </c>
      <c r="P462" s="57">
        <f ca="1">IFERROR(IF(ISBLANK(H462),SUMIFS($AC:$AC,$V:$V,V462,$W:$W,W462,$X:$X,X462,$Y:$Y,Y462)*J462/(1-J462)*VLOOKUP(_xlfn.CONCAT(C462,D462,E462,TIME!$M$12,Z462),HIS_SALES!$B$2:$W$4859,20,FALSE),AC462*J462/(1-J462)),0)</f>
        <v>0</v>
      </c>
      <c r="Q462" s="541" t="str">
        <f t="shared" si="168"/>
        <v/>
      </c>
      <c r="R462" s="346" t="str">
        <f t="shared" si="169"/>
        <v>00000</v>
      </c>
      <c r="S462" s="344">
        <f t="shared" si="170"/>
        <v>0</v>
      </c>
      <c r="T462" s="345" t="str">
        <f t="shared" si="183"/>
        <v>000</v>
      </c>
      <c r="U462" s="345">
        <f t="shared" si="171"/>
        <v>0</v>
      </c>
      <c r="V462" s="345">
        <f t="shared" si="172"/>
        <v>0</v>
      </c>
      <c r="W462" s="345">
        <f t="shared" si="173"/>
        <v>0</v>
      </c>
      <c r="X462" s="345">
        <f t="shared" si="174"/>
        <v>0</v>
      </c>
      <c r="Y462" s="345">
        <f t="shared" si="175"/>
        <v>0</v>
      </c>
      <c r="Z462" s="345">
        <f>IF(Q462&lt;&gt;"",VLOOKUP(Y462,TIME!$R$21:$V$24,MATCH(FC_DATA!Q462,TIME!$R$20:$V$20,0),FALSE),H462)</f>
        <v>0</v>
      </c>
      <c r="AA462" s="345" t="str">
        <f>IFERROR(VLOOKUP(X462&amp;Z462,TIME!$A$12:$D$71,4,FALSE),"")</f>
        <v/>
      </c>
      <c r="AB462" s="592">
        <f t="shared" ca="1" si="176"/>
        <v>0</v>
      </c>
      <c r="AC462" s="593" t="e">
        <f ca="1">IF(ISBLANK(H462)=FALSE,IF(D462="BRAND.com",I462,IF(ISNA(VLOOKUP(_xlfn.CONCAT(X462,Z462),TIME!$M$40:$M$42,1,FALSE)),I462,VLOOKUP(_xlfn.CONCAT(D462,G462,H462),M_BUSAREA_FC!$AF$5:$AJ$10,5,FALSE)*HLOOKUP(_xlfn.CONCAT(F462,H462),ST_OVERVIEW!$G$99:$I$130,MATCH(_xlfn.CONCAT(D462,E462),ST_OVERVIEW!$F$99:$F$130,0),FALSE))),IF(D462="BRAND.com",VLOOKUP(_xlfn.CONCAT(C462,D462,E462,TIME!$F$1,Z462),HIS_SALES!$B$2:$V$4859,19,FALSE)*I462,VLOOKUP(_xlfn.CONCAT(D462,F462,G462),Q_BUSAREA_FC!$AE$5:$AI$12,5,FALSE)*HLOOKUP(_xlfn.CONCAT(FC_DATA!F462,FC_DATA!G462),LT_OVERVIEW!$I$99:$M$130,MATCH(_xlfn.CONCAT(D462,FC_DATA!E462),LT_OVERVIEW!$H$99:$H$130,0),FALSE)*IFERROR(VLOOKUP(_xlfn.CONCAT(C462,D462,E462,TIME!$F$1,Z462),HIS_SALES!$B$2:$V$4859,19,FALSE),0)))</f>
        <v>#N/A</v>
      </c>
      <c r="AD462" s="341">
        <f t="shared" ca="1" si="177"/>
        <v>0</v>
      </c>
      <c r="AE462" s="363" t="str">
        <f t="shared" si="178"/>
        <v/>
      </c>
      <c r="AF462" s="342" t="str">
        <f t="shared" si="179"/>
        <v/>
      </c>
      <c r="AG462" s="411" t="e">
        <f ca="1">VLOOKUP(_xlfn.CONCAT(U462,V462,W462,VLOOKUP(X462&amp;Y462,TIME!$L$27:$O$34,4,FALSE),Y462),HIS_SALES!$A$2:$R$5093,18,FALSE)</f>
        <v>#N/A</v>
      </c>
      <c r="AH462" s="412" t="e">
        <f ca="1">IFERROR(IF(AND(V462=V461,W462=W461),0.5*(AB462+AB461)*AG462,(VLOOKUP(_xlfn.CONCAT(U462,V462,W462,X462,VLOOKUP(Z462,TIME!$S$28:$T$39,2,FALSE)),FC_DATA!$R$2:$AB$5000,MATCH("GS_I_M",FC_DATA!$R$1:$AB$1,0),FALSE)+FC_DATA!AB462)*0.5*FC_DATA!AG462),NA())</f>
        <v>#N/A</v>
      </c>
      <c r="AI462" s="491" t="e">
        <f ca="1">IF(V462="PARTNER.com",AH462,IF(AND(V462=V461,W462=W461),(1-AVERAGE(AD461,AD462))*AH462,(1-AVERAGE(AD462,VLOOKUP(_xlfn.CONCAT(U462,V462,W462,X462,M_BRAND_FC!$F$6),FC_DATA!$R$2:$AD$5000,MATCH("DISCOUNT_%_M",FC_DATA!$R$1:$AD$1,0),FALSE)))*AH462))</f>
        <v>#N/A</v>
      </c>
      <c r="AJ462" s="412" t="str">
        <f t="shared" ca="1" si="180"/>
        <v/>
      </c>
      <c r="AK462" s="413" t="str">
        <f>IFERROR(AE462/(Q_BRAND_FC!$T$24+1),"")</f>
        <v/>
      </c>
      <c r="AL462" s="88" t="str">
        <f t="shared" ca="1" si="181"/>
        <v/>
      </c>
      <c r="AM462" s="414" t="str">
        <f t="shared" ca="1" si="182"/>
        <v/>
      </c>
      <c r="AN462" s="58">
        <f>IFERROR(IF($V462="BRAND.com",HLOOKUP($X462&amp;$Z462,NWC_FC_NOOS!$C$4:$Q$23,MATCH(W462,NWC_FC_NOOS!$B$4:$B$23,0),FALSE),0),0)</f>
        <v>0</v>
      </c>
      <c r="AO462" s="57">
        <f>IFERROR(IF($V462="BRAND.com",HLOOKUP($X462&amp;$Z462,NWC_FC_NOOS!$T$4:$AH$23,MATCH(W462,NWC_FC_NOOS!$S$4:$S$23,0),FALSE),0),0)</f>
        <v>0</v>
      </c>
      <c r="AP462" s="57">
        <f>IFERROR(IF($V462="BRAND.com",HLOOKUP($X462&amp;$Z462,NWC_FC_NOOS!$C$50:$U$69,MATCH(W462,NWC_FC_NOOS!$B$50:$B$69,0),FALSE),0),0)</f>
        <v>0</v>
      </c>
      <c r="AQ462" s="58">
        <f>IFERROR(IF($V462="BRAND.com",HLOOKUP($X462&amp;$Z462,'NWC_FC_NON-NOOS'!$C$4:$Q$23,MATCH(W462,'NWC_FC_NON-NOOS'!$B$4:$B$23,0),FALSE),0),0)</f>
        <v>0</v>
      </c>
      <c r="AR462" s="57">
        <f>IFERROR(IF($V462="BRAND.com",HLOOKUP($X462&amp;$Z462,'NWC_FC_NON-NOOS'!$T$4:$AH$23,MATCH(W462,'NWC_FC_NON-NOOS'!$S$4:$S$23,0),FALSE),0),0)</f>
        <v>0</v>
      </c>
      <c r="AS462" s="57">
        <f>IFERROR(IF($V462="BRAND.com",HLOOKUP($X462&amp;$Z462,'NWC_FC_NON-NOOS'!$C$50:$U$69,MATCH(W462,'NWC_FC_NON-NOOS'!$B$50:$B$69,0),FALSE),0),0)</f>
        <v>0</v>
      </c>
      <c r="AT462" s="57">
        <f t="shared" si="184"/>
        <v>0</v>
      </c>
      <c r="AU462" s="57">
        <f t="shared" si="185"/>
        <v>0</v>
      </c>
      <c r="AV462" s="58">
        <f>IFERROR(IF($V462="BRAND.com",HLOOKUP($X462&amp;$Z462,PLANNING_FC!$BB$27:$BP$46,MATCH($W462,PLANNING_FC!$BA$27:$BA$46,0),FALSE),0),0)</f>
        <v>0</v>
      </c>
      <c r="AW462" s="58">
        <f>IFERROR(IF($V462="BRAND.com",HLOOKUP($X462&amp;$Z462,PLANNING_FC!$BB$4:$BP$23,MATCH($W462,PLANNING_FC!$BA$4:$BA$23,0),FALSE),0),0)</f>
        <v>0</v>
      </c>
      <c r="AX462" s="58">
        <f>IFERROR(IF($V462="BRAND.com",HLOOKUP($X462&amp;$Z462,PLANNING_FC!$T$27:$AH$46,MATCH($W462,PLANNING_FC!$B$27:$B$46,0),FALSE),0),0)</f>
        <v>0</v>
      </c>
      <c r="AY462" s="58">
        <f>IFERROR(IF($V462="BRAND.com",HLOOKUP($X462&amp;$Z462,PLANNING_FC!$T$4:$AH$23,MATCH($W462,PLANNING_FC!$B$4:$B$23,0),FALSE),0),0)</f>
        <v>0</v>
      </c>
      <c r="AZ462" s="58">
        <f>IFERROR(IF($V462="BRAND.com",HLOOKUP($X462&amp;$Z462,PLANNING_FC!$DA$27:$DO$46,MATCH($W462,PLANNING_FC!$CZ$27:$CZ$46,0),FALSE),0),0)</f>
        <v>0</v>
      </c>
      <c r="BA462" s="58">
        <f>IFERROR(IF($V462="BRAND.com",HLOOKUP($X462&amp;$Z462,PLANNING_FC!$DA$4:$DO$23,MATCH($W462,PLANNING_FC!$CZ$4:$CZ$23,0),FALSE),0),0)</f>
        <v>0</v>
      </c>
      <c r="BB462" s="883" t="str">
        <f>IF(V462="BRAND.com",IFERROR(HLOOKUP(X462&amp;Z462,PLANNING_FC!$AK$4:$AY$23,MATCH(W462,PLANNING_FC!$AJ$4:$AJ$23,0),FALSE)*1000,""),"")</f>
        <v/>
      </c>
      <c r="BC462" s="883" t="str">
        <f>IF(V462="BRAND.com",IFERROR(HLOOKUP(X462&amp;Z462,PLANNING_FC!$AK$27:$AY$46,MATCH(W462,PLANNING_FC!$AJ$27:$AJ$46,0),FALSE)*1000,""),"")</f>
        <v/>
      </c>
    </row>
    <row r="463" spans="1:55" x14ac:dyDescent="0.25">
      <c r="A463" s="509"/>
      <c r="B463" s="509"/>
      <c r="C463" s="509"/>
      <c r="D463" s="509"/>
      <c r="E463" s="509"/>
      <c r="F463" s="509"/>
      <c r="G463" s="509"/>
      <c r="H463" s="509"/>
      <c r="I463" s="512"/>
      <c r="J463" s="513"/>
      <c r="K463" s="879"/>
      <c r="L463" s="515"/>
      <c r="M463" s="516"/>
      <c r="N463" s="56">
        <f t="shared" si="166"/>
        <v>0</v>
      </c>
      <c r="O463" s="57">
        <f t="shared" si="167"/>
        <v>0</v>
      </c>
      <c r="P463" s="57">
        <f ca="1">IFERROR(IF(ISBLANK(H463),SUMIFS($AC:$AC,$V:$V,V463,$W:$W,W463,$X:$X,X463,$Y:$Y,Y463)*J463/(1-J463)*VLOOKUP(_xlfn.CONCAT(C463,D463,E463,TIME!$M$12,Z463),HIS_SALES!$B$2:$W$4859,20,FALSE),AC463*J463/(1-J463)),0)</f>
        <v>0</v>
      </c>
      <c r="Q463" s="541" t="str">
        <f t="shared" si="168"/>
        <v/>
      </c>
      <c r="R463" s="346" t="str">
        <f t="shared" si="169"/>
        <v>00000</v>
      </c>
      <c r="S463" s="344">
        <f t="shared" si="170"/>
        <v>0</v>
      </c>
      <c r="T463" s="345" t="str">
        <f t="shared" si="183"/>
        <v>000</v>
      </c>
      <c r="U463" s="345">
        <f t="shared" si="171"/>
        <v>0</v>
      </c>
      <c r="V463" s="345">
        <f t="shared" si="172"/>
        <v>0</v>
      </c>
      <c r="W463" s="345">
        <f t="shared" si="173"/>
        <v>0</v>
      </c>
      <c r="X463" s="345">
        <f t="shared" si="174"/>
        <v>0</v>
      </c>
      <c r="Y463" s="345">
        <f t="shared" si="175"/>
        <v>0</v>
      </c>
      <c r="Z463" s="345">
        <f>IF(Q463&lt;&gt;"",VLOOKUP(Y463,TIME!$R$21:$V$24,MATCH(FC_DATA!Q463,TIME!$R$20:$V$20,0),FALSE),H463)</f>
        <v>0</v>
      </c>
      <c r="AA463" s="345" t="str">
        <f>IFERROR(VLOOKUP(X463&amp;Z463,TIME!$A$12:$D$71,4,FALSE),"")</f>
        <v/>
      </c>
      <c r="AB463" s="592">
        <f t="shared" ca="1" si="176"/>
        <v>0</v>
      </c>
      <c r="AC463" s="593" t="e">
        <f ca="1">IF(ISBLANK(H463)=FALSE,IF(D463="BRAND.com",I463,IF(ISNA(VLOOKUP(_xlfn.CONCAT(X463,Z463),TIME!$M$40:$M$42,1,FALSE)),I463,VLOOKUP(_xlfn.CONCAT(D463,G463,H463),M_BUSAREA_FC!$AF$5:$AJ$10,5,FALSE)*HLOOKUP(_xlfn.CONCAT(F463,H463),ST_OVERVIEW!$G$99:$I$130,MATCH(_xlfn.CONCAT(D463,E463),ST_OVERVIEW!$F$99:$F$130,0),FALSE))),IF(D463="BRAND.com",VLOOKUP(_xlfn.CONCAT(C463,D463,E463,TIME!$F$1,Z463),HIS_SALES!$B$2:$V$4859,19,FALSE)*I463,VLOOKUP(_xlfn.CONCAT(D463,F463,G463),Q_BUSAREA_FC!$AE$5:$AI$12,5,FALSE)*HLOOKUP(_xlfn.CONCAT(FC_DATA!F463,FC_DATA!G463),LT_OVERVIEW!$I$99:$M$130,MATCH(_xlfn.CONCAT(D463,FC_DATA!E463),LT_OVERVIEW!$H$99:$H$130,0),FALSE)*IFERROR(VLOOKUP(_xlfn.CONCAT(C463,D463,E463,TIME!$F$1,Z463),HIS_SALES!$B$2:$V$4859,19,FALSE),0)))</f>
        <v>#N/A</v>
      </c>
      <c r="AD463" s="341">
        <f t="shared" ca="1" si="177"/>
        <v>0</v>
      </c>
      <c r="AE463" s="363" t="str">
        <f t="shared" si="178"/>
        <v/>
      </c>
      <c r="AF463" s="342" t="str">
        <f t="shared" si="179"/>
        <v/>
      </c>
      <c r="AG463" s="411" t="e">
        <f ca="1">VLOOKUP(_xlfn.CONCAT(U463,V463,W463,VLOOKUP(X463&amp;Y463,TIME!$L$27:$O$34,4,FALSE),Y463),HIS_SALES!$A$2:$R$5093,18,FALSE)</f>
        <v>#N/A</v>
      </c>
      <c r="AH463" s="412" t="e">
        <f ca="1">IFERROR(IF(AND(V463=V462,W463=W462),0.5*(AB463+AB462)*AG463,(VLOOKUP(_xlfn.CONCAT(U463,V463,W463,X463,VLOOKUP(Z463,TIME!$S$28:$T$39,2,FALSE)),FC_DATA!$R$2:$AB$5000,MATCH("GS_I_M",FC_DATA!$R$1:$AB$1,0),FALSE)+FC_DATA!AB463)*0.5*FC_DATA!AG463),NA())</f>
        <v>#N/A</v>
      </c>
      <c r="AI463" s="491" t="e">
        <f ca="1">IF(V463="PARTNER.com",AH463,IF(AND(V463=V462,W463=W462),(1-AVERAGE(AD462,AD463))*AH463,(1-AVERAGE(AD463,VLOOKUP(_xlfn.CONCAT(U463,V463,W463,X463,M_BRAND_FC!$F$6),FC_DATA!$R$2:$AD$5000,MATCH("DISCOUNT_%_M",FC_DATA!$R$1:$AD$1,0),FALSE)))*AH463))</f>
        <v>#N/A</v>
      </c>
      <c r="AJ463" s="412" t="str">
        <f t="shared" ca="1" si="180"/>
        <v/>
      </c>
      <c r="AK463" s="413" t="str">
        <f>IFERROR(AE463/(Q_BRAND_FC!$T$24+1),"")</f>
        <v/>
      </c>
      <c r="AL463" s="88" t="str">
        <f t="shared" ca="1" si="181"/>
        <v/>
      </c>
      <c r="AM463" s="414" t="str">
        <f t="shared" ca="1" si="182"/>
        <v/>
      </c>
      <c r="AN463" s="58">
        <f>IFERROR(IF($V463="BRAND.com",HLOOKUP($X463&amp;$Z463,NWC_FC_NOOS!$C$4:$Q$23,MATCH(W463,NWC_FC_NOOS!$B$4:$B$23,0),FALSE),0),0)</f>
        <v>0</v>
      </c>
      <c r="AO463" s="57">
        <f>IFERROR(IF($V463="BRAND.com",HLOOKUP($X463&amp;$Z463,NWC_FC_NOOS!$T$4:$AH$23,MATCH(W463,NWC_FC_NOOS!$S$4:$S$23,0),FALSE),0),0)</f>
        <v>0</v>
      </c>
      <c r="AP463" s="57">
        <f>IFERROR(IF($V463="BRAND.com",HLOOKUP($X463&amp;$Z463,NWC_FC_NOOS!$C$50:$U$69,MATCH(W463,NWC_FC_NOOS!$B$50:$B$69,0),FALSE),0),0)</f>
        <v>0</v>
      </c>
      <c r="AQ463" s="58">
        <f>IFERROR(IF($V463="BRAND.com",HLOOKUP($X463&amp;$Z463,'NWC_FC_NON-NOOS'!$C$4:$Q$23,MATCH(W463,'NWC_FC_NON-NOOS'!$B$4:$B$23,0),FALSE),0),0)</f>
        <v>0</v>
      </c>
      <c r="AR463" s="57">
        <f>IFERROR(IF($V463="BRAND.com",HLOOKUP($X463&amp;$Z463,'NWC_FC_NON-NOOS'!$T$4:$AH$23,MATCH(W463,'NWC_FC_NON-NOOS'!$S$4:$S$23,0),FALSE),0),0)</f>
        <v>0</v>
      </c>
      <c r="AS463" s="57">
        <f>IFERROR(IF($V463="BRAND.com",HLOOKUP($X463&amp;$Z463,'NWC_FC_NON-NOOS'!$C$50:$U$69,MATCH(W463,'NWC_FC_NON-NOOS'!$B$50:$B$69,0),FALSE),0),0)</f>
        <v>0</v>
      </c>
      <c r="AT463" s="57">
        <f t="shared" si="184"/>
        <v>0</v>
      </c>
      <c r="AU463" s="57">
        <f t="shared" si="185"/>
        <v>0</v>
      </c>
      <c r="AV463" s="58">
        <f>IFERROR(IF($V463="BRAND.com",HLOOKUP($X463&amp;$Z463,PLANNING_FC!$BB$27:$BP$46,MATCH($W463,PLANNING_FC!$BA$27:$BA$46,0),FALSE),0),0)</f>
        <v>0</v>
      </c>
      <c r="AW463" s="58">
        <f>IFERROR(IF($V463="BRAND.com",HLOOKUP($X463&amp;$Z463,PLANNING_FC!$BB$4:$BP$23,MATCH($W463,PLANNING_FC!$BA$4:$BA$23,0),FALSE),0),0)</f>
        <v>0</v>
      </c>
      <c r="AX463" s="58">
        <f>IFERROR(IF($V463="BRAND.com",HLOOKUP($X463&amp;$Z463,PLANNING_FC!$T$27:$AH$46,MATCH($W463,PLANNING_FC!$B$27:$B$46,0),FALSE),0),0)</f>
        <v>0</v>
      </c>
      <c r="AY463" s="58">
        <f>IFERROR(IF($V463="BRAND.com",HLOOKUP($X463&amp;$Z463,PLANNING_FC!$T$4:$AH$23,MATCH($W463,PLANNING_FC!$B$4:$B$23,0),FALSE),0),0)</f>
        <v>0</v>
      </c>
      <c r="AZ463" s="58">
        <f>IFERROR(IF($V463="BRAND.com",HLOOKUP($X463&amp;$Z463,PLANNING_FC!$DA$27:$DO$46,MATCH($W463,PLANNING_FC!$CZ$27:$CZ$46,0),FALSE),0),0)</f>
        <v>0</v>
      </c>
      <c r="BA463" s="58">
        <f>IFERROR(IF($V463="BRAND.com",HLOOKUP($X463&amp;$Z463,PLANNING_FC!$DA$4:$DO$23,MATCH($W463,PLANNING_FC!$CZ$4:$CZ$23,0),FALSE),0),0)</f>
        <v>0</v>
      </c>
      <c r="BB463" s="883" t="str">
        <f>IF(V463="BRAND.com",IFERROR(HLOOKUP(X463&amp;Z463,PLANNING_FC!$AK$4:$AY$23,MATCH(W463,PLANNING_FC!$AJ$4:$AJ$23,0),FALSE)*1000,""),"")</f>
        <v/>
      </c>
      <c r="BC463" s="883" t="str">
        <f>IF(V463="BRAND.com",IFERROR(HLOOKUP(X463&amp;Z463,PLANNING_FC!$AK$27:$AY$46,MATCH(W463,PLANNING_FC!$AJ$27:$AJ$46,0),FALSE)*1000,""),"")</f>
        <v/>
      </c>
    </row>
    <row r="464" spans="1:55" x14ac:dyDescent="0.25">
      <c r="A464" s="509"/>
      <c r="B464" s="509"/>
      <c r="C464" s="509"/>
      <c r="D464" s="509"/>
      <c r="E464" s="509"/>
      <c r="F464" s="509"/>
      <c r="G464" s="509"/>
      <c r="H464" s="509"/>
      <c r="I464" s="512"/>
      <c r="J464" s="513"/>
      <c r="K464" s="879"/>
      <c r="L464" s="515"/>
      <c r="M464" s="516"/>
      <c r="N464" s="56">
        <f t="shared" si="166"/>
        <v>0</v>
      </c>
      <c r="O464" s="57">
        <f t="shared" si="167"/>
        <v>0</v>
      </c>
      <c r="P464" s="57">
        <f ca="1">IFERROR(IF(ISBLANK(H464),SUMIFS($AC:$AC,$V:$V,V464,$W:$W,W464,$X:$X,X464,$Y:$Y,Y464)*J464/(1-J464)*VLOOKUP(_xlfn.CONCAT(C464,D464,E464,TIME!$M$12,Z464),HIS_SALES!$B$2:$W$4859,20,FALSE),AC464*J464/(1-J464)),0)</f>
        <v>0</v>
      </c>
      <c r="Q464" s="541" t="str">
        <f t="shared" si="168"/>
        <v/>
      </c>
      <c r="R464" s="346" t="str">
        <f t="shared" si="169"/>
        <v>00000</v>
      </c>
      <c r="S464" s="344">
        <f t="shared" si="170"/>
        <v>0</v>
      </c>
      <c r="T464" s="345" t="str">
        <f t="shared" si="183"/>
        <v>000</v>
      </c>
      <c r="U464" s="345">
        <f t="shared" si="171"/>
        <v>0</v>
      </c>
      <c r="V464" s="345">
        <f t="shared" si="172"/>
        <v>0</v>
      </c>
      <c r="W464" s="345">
        <f t="shared" si="173"/>
        <v>0</v>
      </c>
      <c r="X464" s="345">
        <f t="shared" si="174"/>
        <v>0</v>
      </c>
      <c r="Y464" s="345">
        <f t="shared" si="175"/>
        <v>0</v>
      </c>
      <c r="Z464" s="345">
        <f>IF(Q464&lt;&gt;"",VLOOKUP(Y464,TIME!$R$21:$V$24,MATCH(FC_DATA!Q464,TIME!$R$20:$V$20,0),FALSE),H464)</f>
        <v>0</v>
      </c>
      <c r="AA464" s="345" t="str">
        <f>IFERROR(VLOOKUP(X464&amp;Z464,TIME!$A$12:$D$71,4,FALSE),"")</f>
        <v/>
      </c>
      <c r="AB464" s="592">
        <f t="shared" ca="1" si="176"/>
        <v>0</v>
      </c>
      <c r="AC464" s="593" t="e">
        <f ca="1">IF(ISBLANK(H464)=FALSE,IF(D464="BRAND.com",I464,IF(ISNA(VLOOKUP(_xlfn.CONCAT(X464,Z464),TIME!$M$40:$M$42,1,FALSE)),I464,VLOOKUP(_xlfn.CONCAT(D464,G464,H464),M_BUSAREA_FC!$AF$5:$AJ$10,5,FALSE)*HLOOKUP(_xlfn.CONCAT(F464,H464),ST_OVERVIEW!$G$99:$I$130,MATCH(_xlfn.CONCAT(D464,E464),ST_OVERVIEW!$F$99:$F$130,0),FALSE))),IF(D464="BRAND.com",VLOOKUP(_xlfn.CONCAT(C464,D464,E464,TIME!$F$1,Z464),HIS_SALES!$B$2:$V$4859,19,FALSE)*I464,VLOOKUP(_xlfn.CONCAT(D464,F464,G464),Q_BUSAREA_FC!$AE$5:$AI$12,5,FALSE)*HLOOKUP(_xlfn.CONCAT(FC_DATA!F464,FC_DATA!G464),LT_OVERVIEW!$I$99:$M$130,MATCH(_xlfn.CONCAT(D464,FC_DATA!E464),LT_OVERVIEW!$H$99:$H$130,0),FALSE)*IFERROR(VLOOKUP(_xlfn.CONCAT(C464,D464,E464,TIME!$F$1,Z464),HIS_SALES!$B$2:$V$4859,19,FALSE),0)))</f>
        <v>#N/A</v>
      </c>
      <c r="AD464" s="341">
        <f t="shared" ca="1" si="177"/>
        <v>0</v>
      </c>
      <c r="AE464" s="363" t="str">
        <f t="shared" si="178"/>
        <v/>
      </c>
      <c r="AF464" s="342" t="str">
        <f t="shared" si="179"/>
        <v/>
      </c>
      <c r="AG464" s="411" t="e">
        <f ca="1">VLOOKUP(_xlfn.CONCAT(U464,V464,W464,VLOOKUP(X464&amp;Y464,TIME!$L$27:$O$34,4,FALSE),Y464),HIS_SALES!$A$2:$R$5093,18,FALSE)</f>
        <v>#N/A</v>
      </c>
      <c r="AH464" s="412" t="e">
        <f ca="1">IFERROR(IF(AND(V464=V463,W464=W463),0.5*(AB464+AB463)*AG464,(VLOOKUP(_xlfn.CONCAT(U464,V464,W464,X464,VLOOKUP(Z464,TIME!$S$28:$T$39,2,FALSE)),FC_DATA!$R$2:$AB$5000,MATCH("GS_I_M",FC_DATA!$R$1:$AB$1,0),FALSE)+FC_DATA!AB464)*0.5*FC_DATA!AG464),NA())</f>
        <v>#N/A</v>
      </c>
      <c r="AI464" s="491" t="e">
        <f ca="1">IF(V464="PARTNER.com",AH464,IF(AND(V464=V463,W464=W463),(1-AVERAGE(AD463,AD464))*AH464,(1-AVERAGE(AD464,VLOOKUP(_xlfn.CONCAT(U464,V464,W464,X464,M_BRAND_FC!$F$6),FC_DATA!$R$2:$AD$5000,MATCH("DISCOUNT_%_M",FC_DATA!$R$1:$AD$1,0),FALSE)))*AH464))</f>
        <v>#N/A</v>
      </c>
      <c r="AJ464" s="412" t="str">
        <f t="shared" ca="1" si="180"/>
        <v/>
      </c>
      <c r="AK464" s="413" t="str">
        <f>IFERROR(AE464/(Q_BRAND_FC!$T$24+1),"")</f>
        <v/>
      </c>
      <c r="AL464" s="88" t="str">
        <f t="shared" ca="1" si="181"/>
        <v/>
      </c>
      <c r="AM464" s="414" t="str">
        <f t="shared" ca="1" si="182"/>
        <v/>
      </c>
      <c r="AN464" s="58">
        <f>IFERROR(IF($V464="BRAND.com",HLOOKUP($X464&amp;$Z464,NWC_FC_NOOS!$C$4:$Q$23,MATCH(W464,NWC_FC_NOOS!$B$4:$B$23,0),FALSE),0),0)</f>
        <v>0</v>
      </c>
      <c r="AO464" s="57">
        <f>IFERROR(IF($V464="BRAND.com",HLOOKUP($X464&amp;$Z464,NWC_FC_NOOS!$T$4:$AH$23,MATCH(W464,NWC_FC_NOOS!$S$4:$S$23,0),FALSE),0),0)</f>
        <v>0</v>
      </c>
      <c r="AP464" s="57">
        <f>IFERROR(IF($V464="BRAND.com",HLOOKUP($X464&amp;$Z464,NWC_FC_NOOS!$C$50:$U$69,MATCH(W464,NWC_FC_NOOS!$B$50:$B$69,0),FALSE),0),0)</f>
        <v>0</v>
      </c>
      <c r="AQ464" s="58">
        <f>IFERROR(IF($V464="BRAND.com",HLOOKUP($X464&amp;$Z464,'NWC_FC_NON-NOOS'!$C$4:$Q$23,MATCH(W464,'NWC_FC_NON-NOOS'!$B$4:$B$23,0),FALSE),0),0)</f>
        <v>0</v>
      </c>
      <c r="AR464" s="57">
        <f>IFERROR(IF($V464="BRAND.com",HLOOKUP($X464&amp;$Z464,'NWC_FC_NON-NOOS'!$T$4:$AH$23,MATCH(W464,'NWC_FC_NON-NOOS'!$S$4:$S$23,0),FALSE),0),0)</f>
        <v>0</v>
      </c>
      <c r="AS464" s="57">
        <f>IFERROR(IF($V464="BRAND.com",HLOOKUP($X464&amp;$Z464,'NWC_FC_NON-NOOS'!$C$50:$U$69,MATCH(W464,'NWC_FC_NON-NOOS'!$B$50:$B$69,0),FALSE),0),0)</f>
        <v>0</v>
      </c>
      <c r="AT464" s="57">
        <f t="shared" si="184"/>
        <v>0</v>
      </c>
      <c r="AU464" s="57">
        <f t="shared" si="185"/>
        <v>0</v>
      </c>
      <c r="AV464" s="58">
        <f>IFERROR(IF($V464="BRAND.com",HLOOKUP($X464&amp;$Z464,PLANNING_FC!$BB$27:$BP$46,MATCH($W464,PLANNING_FC!$BA$27:$BA$46,0),FALSE),0),0)</f>
        <v>0</v>
      </c>
      <c r="AW464" s="58">
        <f>IFERROR(IF($V464="BRAND.com",HLOOKUP($X464&amp;$Z464,PLANNING_FC!$BB$4:$BP$23,MATCH($W464,PLANNING_FC!$BA$4:$BA$23,0),FALSE),0),0)</f>
        <v>0</v>
      </c>
      <c r="AX464" s="58">
        <f>IFERROR(IF($V464="BRAND.com",HLOOKUP($X464&amp;$Z464,PLANNING_FC!$T$27:$AH$46,MATCH($W464,PLANNING_FC!$B$27:$B$46,0),FALSE),0),0)</f>
        <v>0</v>
      </c>
      <c r="AY464" s="58">
        <f>IFERROR(IF($V464="BRAND.com",HLOOKUP($X464&amp;$Z464,PLANNING_FC!$T$4:$AH$23,MATCH($W464,PLANNING_FC!$B$4:$B$23,0),FALSE),0),0)</f>
        <v>0</v>
      </c>
      <c r="AZ464" s="58">
        <f>IFERROR(IF($V464="BRAND.com",HLOOKUP($X464&amp;$Z464,PLANNING_FC!$DA$27:$DO$46,MATCH($W464,PLANNING_FC!$CZ$27:$CZ$46,0),FALSE),0),0)</f>
        <v>0</v>
      </c>
      <c r="BA464" s="58">
        <f>IFERROR(IF($V464="BRAND.com",HLOOKUP($X464&amp;$Z464,PLANNING_FC!$DA$4:$DO$23,MATCH($W464,PLANNING_FC!$CZ$4:$CZ$23,0),FALSE),0),0)</f>
        <v>0</v>
      </c>
      <c r="BB464" s="883" t="str">
        <f>IF(V464="BRAND.com",IFERROR(HLOOKUP(X464&amp;Z464,PLANNING_FC!$AK$4:$AY$23,MATCH(W464,PLANNING_FC!$AJ$4:$AJ$23,0),FALSE)*1000,""),"")</f>
        <v/>
      </c>
      <c r="BC464" s="883" t="str">
        <f>IF(V464="BRAND.com",IFERROR(HLOOKUP(X464&amp;Z464,PLANNING_FC!$AK$27:$AY$46,MATCH(W464,PLANNING_FC!$AJ$27:$AJ$46,0),FALSE)*1000,""),"")</f>
        <v/>
      </c>
    </row>
    <row r="465" spans="1:55" x14ac:dyDescent="0.25">
      <c r="A465" s="509"/>
      <c r="B465" s="509"/>
      <c r="C465" s="509"/>
      <c r="D465" s="509"/>
      <c r="E465" s="509"/>
      <c r="F465" s="509"/>
      <c r="G465" s="509"/>
      <c r="H465" s="509"/>
      <c r="I465" s="512"/>
      <c r="J465" s="513"/>
      <c r="K465" s="879"/>
      <c r="L465" s="515"/>
      <c r="M465" s="516"/>
      <c r="N465" s="56">
        <f t="shared" si="166"/>
        <v>0</v>
      </c>
      <c r="O465" s="57">
        <f t="shared" si="167"/>
        <v>0</v>
      </c>
      <c r="P465" s="57">
        <f ca="1">IFERROR(IF(ISBLANK(H465),SUMIFS($AC:$AC,$V:$V,V465,$W:$W,W465,$X:$X,X465,$Y:$Y,Y465)*J465/(1-J465)*VLOOKUP(_xlfn.CONCAT(C465,D465,E465,TIME!$M$12,Z465),HIS_SALES!$B$2:$W$4859,20,FALSE),AC465*J465/(1-J465)),0)</f>
        <v>0</v>
      </c>
      <c r="Q465" s="541" t="str">
        <f t="shared" si="168"/>
        <v/>
      </c>
      <c r="R465" s="346" t="str">
        <f t="shared" si="169"/>
        <v>00000</v>
      </c>
      <c r="S465" s="344">
        <f t="shared" si="170"/>
        <v>0</v>
      </c>
      <c r="T465" s="345" t="str">
        <f t="shared" si="183"/>
        <v>000</v>
      </c>
      <c r="U465" s="345">
        <f t="shared" si="171"/>
        <v>0</v>
      </c>
      <c r="V465" s="345">
        <f t="shared" si="172"/>
        <v>0</v>
      </c>
      <c r="W465" s="345">
        <f t="shared" si="173"/>
        <v>0</v>
      </c>
      <c r="X465" s="345">
        <f t="shared" si="174"/>
        <v>0</v>
      </c>
      <c r="Y465" s="345">
        <f t="shared" si="175"/>
        <v>0</v>
      </c>
      <c r="Z465" s="345">
        <f>IF(Q465&lt;&gt;"",VLOOKUP(Y465,TIME!$R$21:$V$24,MATCH(FC_DATA!Q465,TIME!$R$20:$V$20,0),FALSE),H465)</f>
        <v>0</v>
      </c>
      <c r="AA465" s="345" t="str">
        <f>IFERROR(VLOOKUP(X465&amp;Z465,TIME!$A$12:$D$71,4,FALSE),"")</f>
        <v/>
      </c>
      <c r="AB465" s="592">
        <f t="shared" ca="1" si="176"/>
        <v>0</v>
      </c>
      <c r="AC465" s="593" t="e">
        <f ca="1">IF(ISBLANK(H465)=FALSE,IF(D465="BRAND.com",I465,IF(ISNA(VLOOKUP(_xlfn.CONCAT(X465,Z465),TIME!$M$40:$M$42,1,FALSE)),I465,VLOOKUP(_xlfn.CONCAT(D465,G465,H465),M_BUSAREA_FC!$AF$5:$AJ$10,5,FALSE)*HLOOKUP(_xlfn.CONCAT(F465,H465),ST_OVERVIEW!$G$99:$I$130,MATCH(_xlfn.CONCAT(D465,E465),ST_OVERVIEW!$F$99:$F$130,0),FALSE))),IF(D465="BRAND.com",VLOOKUP(_xlfn.CONCAT(C465,D465,E465,TIME!$F$1,Z465),HIS_SALES!$B$2:$V$4859,19,FALSE)*I465,VLOOKUP(_xlfn.CONCAT(D465,F465,G465),Q_BUSAREA_FC!$AE$5:$AI$12,5,FALSE)*HLOOKUP(_xlfn.CONCAT(FC_DATA!F465,FC_DATA!G465),LT_OVERVIEW!$I$99:$M$130,MATCH(_xlfn.CONCAT(D465,FC_DATA!E465),LT_OVERVIEW!$H$99:$H$130,0),FALSE)*IFERROR(VLOOKUP(_xlfn.CONCAT(C465,D465,E465,TIME!$F$1,Z465),HIS_SALES!$B$2:$V$4859,19,FALSE),0)))</f>
        <v>#N/A</v>
      </c>
      <c r="AD465" s="341">
        <f t="shared" ca="1" si="177"/>
        <v>0</v>
      </c>
      <c r="AE465" s="363" t="str">
        <f t="shared" si="178"/>
        <v/>
      </c>
      <c r="AF465" s="342" t="str">
        <f t="shared" si="179"/>
        <v/>
      </c>
      <c r="AG465" s="411" t="e">
        <f ca="1">VLOOKUP(_xlfn.CONCAT(U465,V465,W465,VLOOKUP(X465&amp;Y465,TIME!$L$27:$O$34,4,FALSE),Y465),HIS_SALES!$A$2:$R$5093,18,FALSE)</f>
        <v>#N/A</v>
      </c>
      <c r="AH465" s="412" t="e">
        <f ca="1">IFERROR(IF(AND(V465=V464,W465=W464),0.5*(AB465+AB464)*AG465,(VLOOKUP(_xlfn.CONCAT(U465,V465,W465,X465,VLOOKUP(Z465,TIME!$S$28:$T$39,2,FALSE)),FC_DATA!$R$2:$AB$5000,MATCH("GS_I_M",FC_DATA!$R$1:$AB$1,0),FALSE)+FC_DATA!AB465)*0.5*FC_DATA!AG465),NA())</f>
        <v>#N/A</v>
      </c>
      <c r="AI465" s="491" t="e">
        <f ca="1">IF(V465="PARTNER.com",AH465,IF(AND(V465=V464,W465=W464),(1-AVERAGE(AD464,AD465))*AH465,(1-AVERAGE(AD465,VLOOKUP(_xlfn.CONCAT(U465,V465,W465,X465,M_BRAND_FC!$F$6),FC_DATA!$R$2:$AD$5000,MATCH("DISCOUNT_%_M",FC_DATA!$R$1:$AD$1,0),FALSE)))*AH465))</f>
        <v>#N/A</v>
      </c>
      <c r="AJ465" s="412" t="str">
        <f t="shared" ca="1" si="180"/>
        <v/>
      </c>
      <c r="AK465" s="413" t="str">
        <f>IFERROR(AE465/(Q_BRAND_FC!$T$24+1),"")</f>
        <v/>
      </c>
      <c r="AL465" s="88" t="str">
        <f t="shared" ca="1" si="181"/>
        <v/>
      </c>
      <c r="AM465" s="414" t="str">
        <f t="shared" ca="1" si="182"/>
        <v/>
      </c>
      <c r="AN465" s="58">
        <f>IFERROR(IF($V465="BRAND.com",HLOOKUP($X465&amp;$Z465,NWC_FC_NOOS!$C$4:$Q$23,MATCH(W465,NWC_FC_NOOS!$B$4:$B$23,0),FALSE),0),0)</f>
        <v>0</v>
      </c>
      <c r="AO465" s="57">
        <f>IFERROR(IF($V465="BRAND.com",HLOOKUP($X465&amp;$Z465,NWC_FC_NOOS!$T$4:$AH$23,MATCH(W465,NWC_FC_NOOS!$S$4:$S$23,0),FALSE),0),0)</f>
        <v>0</v>
      </c>
      <c r="AP465" s="57">
        <f>IFERROR(IF($V465="BRAND.com",HLOOKUP($X465&amp;$Z465,NWC_FC_NOOS!$C$50:$U$69,MATCH(W465,NWC_FC_NOOS!$B$50:$B$69,0),FALSE),0),0)</f>
        <v>0</v>
      </c>
      <c r="AQ465" s="58">
        <f>IFERROR(IF($V465="BRAND.com",HLOOKUP($X465&amp;$Z465,'NWC_FC_NON-NOOS'!$C$4:$Q$23,MATCH(W465,'NWC_FC_NON-NOOS'!$B$4:$B$23,0),FALSE),0),0)</f>
        <v>0</v>
      </c>
      <c r="AR465" s="57">
        <f>IFERROR(IF($V465="BRAND.com",HLOOKUP($X465&amp;$Z465,'NWC_FC_NON-NOOS'!$T$4:$AH$23,MATCH(W465,'NWC_FC_NON-NOOS'!$S$4:$S$23,0),FALSE),0),0)</f>
        <v>0</v>
      </c>
      <c r="AS465" s="57">
        <f>IFERROR(IF($V465="BRAND.com",HLOOKUP($X465&amp;$Z465,'NWC_FC_NON-NOOS'!$C$50:$U$69,MATCH(W465,'NWC_FC_NON-NOOS'!$B$50:$B$69,0),FALSE),0),0)</f>
        <v>0</v>
      </c>
      <c r="AT465" s="57">
        <f t="shared" si="184"/>
        <v>0</v>
      </c>
      <c r="AU465" s="57">
        <f t="shared" si="185"/>
        <v>0</v>
      </c>
      <c r="AV465" s="58">
        <f>IFERROR(IF($V465="BRAND.com",HLOOKUP($X465&amp;$Z465,PLANNING_FC!$BB$27:$BP$46,MATCH($W465,PLANNING_FC!$BA$27:$BA$46,0),FALSE),0),0)</f>
        <v>0</v>
      </c>
      <c r="AW465" s="58">
        <f>IFERROR(IF($V465="BRAND.com",HLOOKUP($X465&amp;$Z465,PLANNING_FC!$BB$4:$BP$23,MATCH($W465,PLANNING_FC!$BA$4:$BA$23,0),FALSE),0),0)</f>
        <v>0</v>
      </c>
      <c r="AX465" s="58">
        <f>IFERROR(IF($V465="BRAND.com",HLOOKUP($X465&amp;$Z465,PLANNING_FC!$T$27:$AH$46,MATCH($W465,PLANNING_FC!$B$27:$B$46,0),FALSE),0),0)</f>
        <v>0</v>
      </c>
      <c r="AY465" s="58">
        <f>IFERROR(IF($V465="BRAND.com",HLOOKUP($X465&amp;$Z465,PLANNING_FC!$T$4:$AH$23,MATCH($W465,PLANNING_FC!$B$4:$B$23,0),FALSE),0),0)</f>
        <v>0</v>
      </c>
      <c r="AZ465" s="58">
        <f>IFERROR(IF($V465="BRAND.com",HLOOKUP($X465&amp;$Z465,PLANNING_FC!$DA$27:$DO$46,MATCH($W465,PLANNING_FC!$CZ$27:$CZ$46,0),FALSE),0),0)</f>
        <v>0</v>
      </c>
      <c r="BA465" s="58">
        <f>IFERROR(IF($V465="BRAND.com",HLOOKUP($X465&amp;$Z465,PLANNING_FC!$DA$4:$DO$23,MATCH($W465,PLANNING_FC!$CZ$4:$CZ$23,0),FALSE),0),0)</f>
        <v>0</v>
      </c>
      <c r="BB465" s="883" t="str">
        <f>IF(V465="BRAND.com",IFERROR(HLOOKUP(X465&amp;Z465,PLANNING_FC!$AK$4:$AY$23,MATCH(W465,PLANNING_FC!$AJ$4:$AJ$23,0),FALSE)*1000,""),"")</f>
        <v/>
      </c>
      <c r="BC465" s="883" t="str">
        <f>IF(V465="BRAND.com",IFERROR(HLOOKUP(X465&amp;Z465,PLANNING_FC!$AK$27:$AY$46,MATCH(W465,PLANNING_FC!$AJ$27:$AJ$46,0),FALSE)*1000,""),"")</f>
        <v/>
      </c>
    </row>
    <row r="466" spans="1:55" x14ac:dyDescent="0.25">
      <c r="A466" s="509"/>
      <c r="B466" s="509"/>
      <c r="C466" s="509"/>
      <c r="D466" s="509"/>
      <c r="E466" s="509"/>
      <c r="F466" s="509"/>
      <c r="G466" s="511"/>
      <c r="H466" s="509"/>
      <c r="I466" s="512"/>
      <c r="J466" s="513"/>
      <c r="K466" s="879"/>
      <c r="L466" s="515"/>
      <c r="M466" s="516"/>
      <c r="N466" s="56">
        <f t="shared" si="166"/>
        <v>0</v>
      </c>
      <c r="O466" s="57">
        <f t="shared" si="167"/>
        <v>0</v>
      </c>
      <c r="P466" s="57">
        <f ca="1">IFERROR(IF(ISBLANK(H466),SUMIFS($AC:$AC,$V:$V,V466,$W:$W,W466,$X:$X,X466,$Y:$Y,Y466)*J466/(1-J466)*VLOOKUP(_xlfn.CONCAT(C466,D466,E466,TIME!$M$12,Z466),HIS_SALES!$B$2:$W$4859,20,FALSE),AC466*J466/(1-J466)),0)</f>
        <v>0</v>
      </c>
      <c r="Q466" s="541" t="str">
        <f t="shared" si="168"/>
        <v/>
      </c>
      <c r="R466" s="346" t="str">
        <f t="shared" si="169"/>
        <v>00000</v>
      </c>
      <c r="S466" s="344">
        <f t="shared" si="170"/>
        <v>0</v>
      </c>
      <c r="T466" s="345" t="str">
        <f t="shared" si="183"/>
        <v>000</v>
      </c>
      <c r="U466" s="345">
        <f t="shared" si="171"/>
        <v>0</v>
      </c>
      <c r="V466" s="345">
        <f t="shared" si="172"/>
        <v>0</v>
      </c>
      <c r="W466" s="345">
        <f t="shared" si="173"/>
        <v>0</v>
      </c>
      <c r="X466" s="345">
        <f t="shared" si="174"/>
        <v>0</v>
      </c>
      <c r="Y466" s="345">
        <f t="shared" si="175"/>
        <v>0</v>
      </c>
      <c r="Z466" s="345">
        <f>IF(Q466&lt;&gt;"",VLOOKUP(Y466,TIME!$R$21:$V$24,MATCH(FC_DATA!Q466,TIME!$R$20:$V$20,0),FALSE),H466)</f>
        <v>0</v>
      </c>
      <c r="AA466" s="345" t="str">
        <f>IFERROR(VLOOKUP(X466&amp;Z466,TIME!$A$12:$D$71,4,FALSE),"")</f>
        <v/>
      </c>
      <c r="AB466" s="592">
        <f t="shared" ca="1" si="176"/>
        <v>0</v>
      </c>
      <c r="AC466" s="593" t="e">
        <f ca="1">IF(ISBLANK(H466)=FALSE,IF(D466="BRAND.com",I466,IF(ISNA(VLOOKUP(_xlfn.CONCAT(X466,Z466),TIME!$M$40:$M$42,1,FALSE)),I466,VLOOKUP(_xlfn.CONCAT(D466,G466,H466),M_BUSAREA_FC!$AF$5:$AJ$10,5,FALSE)*HLOOKUP(_xlfn.CONCAT(F466,H466),ST_OVERVIEW!$G$99:$I$130,MATCH(_xlfn.CONCAT(D466,E466),ST_OVERVIEW!$F$99:$F$130,0),FALSE))),IF(D466="BRAND.com",VLOOKUP(_xlfn.CONCAT(C466,D466,E466,TIME!$F$1,Z466),HIS_SALES!$B$2:$V$4859,19,FALSE)*I466,VLOOKUP(_xlfn.CONCAT(D466,F466,G466),Q_BUSAREA_FC!$AE$5:$AI$12,5,FALSE)*HLOOKUP(_xlfn.CONCAT(FC_DATA!F466,FC_DATA!G466),LT_OVERVIEW!$I$99:$M$130,MATCH(_xlfn.CONCAT(D466,FC_DATA!E466),LT_OVERVIEW!$H$99:$H$130,0),FALSE)*IFERROR(VLOOKUP(_xlfn.CONCAT(C466,D466,E466,TIME!$F$1,Z466),HIS_SALES!$B$2:$V$4859,19,FALSE),0)))</f>
        <v>#N/A</v>
      </c>
      <c r="AD466" s="341">
        <f t="shared" ca="1" si="177"/>
        <v>0</v>
      </c>
      <c r="AE466" s="363" t="str">
        <f t="shared" si="178"/>
        <v/>
      </c>
      <c r="AF466" s="342" t="str">
        <f t="shared" si="179"/>
        <v/>
      </c>
      <c r="AG466" s="411" t="e">
        <f ca="1">VLOOKUP(_xlfn.CONCAT(U466,V466,W466,VLOOKUP(X466&amp;Y466,TIME!$L$27:$O$34,4,FALSE),Y466),HIS_SALES!$A$2:$R$5093,18,FALSE)</f>
        <v>#N/A</v>
      </c>
      <c r="AH466" s="412" t="e">
        <f ca="1">IFERROR(IF(AND(V466=V465,W466=W465),0.5*(AB466+AB465)*AG466,(VLOOKUP(_xlfn.CONCAT(U466,V466,W466,X466,VLOOKUP(Z466,TIME!$S$28:$T$39,2,FALSE)),FC_DATA!$R$2:$AB$5000,MATCH("GS_I_M",FC_DATA!$R$1:$AB$1,0),FALSE)+FC_DATA!AB466)*0.5*FC_DATA!AG466),NA())</f>
        <v>#N/A</v>
      </c>
      <c r="AI466" s="491" t="e">
        <f ca="1">IF(V466="PARTNER.com",AH466,IF(AND(V466=V465,W466=W465),(1-AVERAGE(AD465,AD466))*AH466,(1-AVERAGE(AD466,VLOOKUP(_xlfn.CONCAT(U466,V466,W466,X466,M_BRAND_FC!$F$6),FC_DATA!$R$2:$AD$5000,MATCH("DISCOUNT_%_M",FC_DATA!$R$1:$AD$1,0),FALSE)))*AH466))</f>
        <v>#N/A</v>
      </c>
      <c r="AJ466" s="412" t="str">
        <f t="shared" ca="1" si="180"/>
        <v/>
      </c>
      <c r="AK466" s="413" t="str">
        <f>IFERROR(AE466/(Q_BRAND_FC!$T$24+1),"")</f>
        <v/>
      </c>
      <c r="AL466" s="88" t="str">
        <f t="shared" ca="1" si="181"/>
        <v/>
      </c>
      <c r="AM466" s="414" t="str">
        <f t="shared" ca="1" si="182"/>
        <v/>
      </c>
      <c r="AN466" s="58">
        <f>IFERROR(IF($V466="BRAND.com",HLOOKUP($X466&amp;$Z466,NWC_FC_NOOS!$C$4:$Q$23,MATCH(W466,NWC_FC_NOOS!$B$4:$B$23,0),FALSE),0),0)</f>
        <v>0</v>
      </c>
      <c r="AO466" s="57">
        <f>IFERROR(IF($V466="BRAND.com",HLOOKUP($X466&amp;$Z466,NWC_FC_NOOS!$T$4:$AH$23,MATCH(W466,NWC_FC_NOOS!$S$4:$S$23,0),FALSE),0),0)</f>
        <v>0</v>
      </c>
      <c r="AP466" s="57">
        <f>IFERROR(IF($V466="BRAND.com",HLOOKUP($X466&amp;$Z466,NWC_FC_NOOS!$C$50:$U$69,MATCH(W466,NWC_FC_NOOS!$B$50:$B$69,0),FALSE),0),0)</f>
        <v>0</v>
      </c>
      <c r="AQ466" s="58">
        <f>IFERROR(IF($V466="BRAND.com",HLOOKUP($X466&amp;$Z466,'NWC_FC_NON-NOOS'!$C$4:$Q$23,MATCH(W466,'NWC_FC_NON-NOOS'!$B$4:$B$23,0),FALSE),0),0)</f>
        <v>0</v>
      </c>
      <c r="AR466" s="57">
        <f>IFERROR(IF($V466="BRAND.com",HLOOKUP($X466&amp;$Z466,'NWC_FC_NON-NOOS'!$T$4:$AH$23,MATCH(W466,'NWC_FC_NON-NOOS'!$S$4:$S$23,0),FALSE),0),0)</f>
        <v>0</v>
      </c>
      <c r="AS466" s="57">
        <f>IFERROR(IF($V466="BRAND.com",HLOOKUP($X466&amp;$Z466,'NWC_FC_NON-NOOS'!$C$50:$U$69,MATCH(W466,'NWC_FC_NON-NOOS'!$B$50:$B$69,0),FALSE),0),0)</f>
        <v>0</v>
      </c>
      <c r="AT466" s="57">
        <f t="shared" si="184"/>
        <v>0</v>
      </c>
      <c r="AU466" s="57">
        <f t="shared" si="185"/>
        <v>0</v>
      </c>
      <c r="AV466" s="58">
        <f>IFERROR(IF($V466="BRAND.com",HLOOKUP($X466&amp;$Z466,PLANNING_FC!$BB$27:$BP$46,MATCH($W466,PLANNING_FC!$BA$27:$BA$46,0),FALSE),0),0)</f>
        <v>0</v>
      </c>
      <c r="AW466" s="58">
        <f>IFERROR(IF($V466="BRAND.com",HLOOKUP($X466&amp;$Z466,PLANNING_FC!$BB$4:$BP$23,MATCH($W466,PLANNING_FC!$BA$4:$BA$23,0),FALSE),0),0)</f>
        <v>0</v>
      </c>
      <c r="AX466" s="58">
        <f>IFERROR(IF($V466="BRAND.com",HLOOKUP($X466&amp;$Z466,PLANNING_FC!$T$27:$AH$46,MATCH($W466,PLANNING_FC!$B$27:$B$46,0),FALSE),0),0)</f>
        <v>0</v>
      </c>
      <c r="AY466" s="58">
        <f>IFERROR(IF($V466="BRAND.com",HLOOKUP($X466&amp;$Z466,PLANNING_FC!$T$4:$AH$23,MATCH($W466,PLANNING_FC!$B$4:$B$23,0),FALSE),0),0)</f>
        <v>0</v>
      </c>
      <c r="AZ466" s="58">
        <f>IFERROR(IF($V466="BRAND.com",HLOOKUP($X466&amp;$Z466,PLANNING_FC!$DA$27:$DO$46,MATCH($W466,PLANNING_FC!$CZ$27:$CZ$46,0),FALSE),0),0)</f>
        <v>0</v>
      </c>
      <c r="BA466" s="58">
        <f>IFERROR(IF($V466="BRAND.com",HLOOKUP($X466&amp;$Z466,PLANNING_FC!$DA$4:$DO$23,MATCH($W466,PLANNING_FC!$CZ$4:$CZ$23,0),FALSE),0),0)</f>
        <v>0</v>
      </c>
      <c r="BB466" s="883" t="str">
        <f>IF(V466="BRAND.com",IFERROR(HLOOKUP(X466&amp;Z466,PLANNING_FC!$AK$4:$AY$23,MATCH(W466,PLANNING_FC!$AJ$4:$AJ$23,0),FALSE)*1000,""),"")</f>
        <v/>
      </c>
      <c r="BC466" s="883" t="str">
        <f>IF(V466="BRAND.com",IFERROR(HLOOKUP(X466&amp;Z466,PLANNING_FC!$AK$27:$AY$46,MATCH(W466,PLANNING_FC!$AJ$27:$AJ$46,0),FALSE)*1000,""),"")</f>
        <v/>
      </c>
    </row>
    <row r="467" spans="1:55" x14ac:dyDescent="0.25">
      <c r="A467" s="509"/>
      <c r="B467" s="509"/>
      <c r="C467" s="509"/>
      <c r="D467" s="509"/>
      <c r="E467" s="509"/>
      <c r="F467" s="509"/>
      <c r="G467" s="509"/>
      <c r="H467" s="509"/>
      <c r="I467" s="512"/>
      <c r="J467" s="513"/>
      <c r="K467" s="879"/>
      <c r="L467" s="515"/>
      <c r="M467" s="516"/>
      <c r="N467" s="56">
        <f t="shared" si="166"/>
        <v>0</v>
      </c>
      <c r="O467" s="57">
        <f t="shared" si="167"/>
        <v>0</v>
      </c>
      <c r="P467" s="57">
        <f ca="1">IFERROR(IF(ISBLANK(H467),SUMIFS($AC:$AC,$V:$V,V467,$W:$W,W467,$X:$X,X467,$Y:$Y,Y467)*J467/(1-J467)*VLOOKUP(_xlfn.CONCAT(C467,D467,E467,TIME!$M$12,Z467),HIS_SALES!$B$2:$W$4859,20,FALSE),AC467*J467/(1-J467)),0)</f>
        <v>0</v>
      </c>
      <c r="Q467" s="541" t="str">
        <f t="shared" si="168"/>
        <v/>
      </c>
      <c r="R467" s="346" t="str">
        <f t="shared" si="169"/>
        <v>00000</v>
      </c>
      <c r="S467" s="344">
        <f t="shared" si="170"/>
        <v>0</v>
      </c>
      <c r="T467" s="345" t="str">
        <f t="shared" si="183"/>
        <v>000</v>
      </c>
      <c r="U467" s="345">
        <f t="shared" si="171"/>
        <v>0</v>
      </c>
      <c r="V467" s="345">
        <f t="shared" si="172"/>
        <v>0</v>
      </c>
      <c r="W467" s="345">
        <f t="shared" si="173"/>
        <v>0</v>
      </c>
      <c r="X467" s="345">
        <f t="shared" si="174"/>
        <v>0</v>
      </c>
      <c r="Y467" s="345">
        <f t="shared" si="175"/>
        <v>0</v>
      </c>
      <c r="Z467" s="345">
        <f>IF(Q467&lt;&gt;"",VLOOKUP(Y467,TIME!$R$21:$V$24,MATCH(FC_DATA!Q467,TIME!$R$20:$V$20,0),FALSE),H467)</f>
        <v>0</v>
      </c>
      <c r="AA467" s="345" t="str">
        <f>IFERROR(VLOOKUP(X467&amp;Z467,TIME!$A$12:$D$71,4,FALSE),"")</f>
        <v/>
      </c>
      <c r="AB467" s="592">
        <f t="shared" ca="1" si="176"/>
        <v>0</v>
      </c>
      <c r="AC467" s="593" t="e">
        <f ca="1">IF(ISBLANK(H467)=FALSE,IF(D467="BRAND.com",I467,IF(ISNA(VLOOKUP(_xlfn.CONCAT(X467,Z467),TIME!$M$40:$M$42,1,FALSE)),I467,VLOOKUP(_xlfn.CONCAT(D467,G467,H467),M_BUSAREA_FC!$AF$5:$AJ$10,5,FALSE)*HLOOKUP(_xlfn.CONCAT(F467,H467),ST_OVERVIEW!$G$99:$I$130,MATCH(_xlfn.CONCAT(D467,E467),ST_OVERVIEW!$F$99:$F$130,0),FALSE))),IF(D467="BRAND.com",VLOOKUP(_xlfn.CONCAT(C467,D467,E467,TIME!$F$1,Z467),HIS_SALES!$B$2:$V$4859,19,FALSE)*I467,VLOOKUP(_xlfn.CONCAT(D467,F467,G467),Q_BUSAREA_FC!$AE$5:$AI$12,5,FALSE)*HLOOKUP(_xlfn.CONCAT(FC_DATA!F467,FC_DATA!G467),LT_OVERVIEW!$I$99:$M$130,MATCH(_xlfn.CONCAT(D467,FC_DATA!E467),LT_OVERVIEW!$H$99:$H$130,0),FALSE)*IFERROR(VLOOKUP(_xlfn.CONCAT(C467,D467,E467,TIME!$F$1,Z467),HIS_SALES!$B$2:$V$4859,19,FALSE),0)))</f>
        <v>#N/A</v>
      </c>
      <c r="AD467" s="341">
        <f t="shared" ca="1" si="177"/>
        <v>0</v>
      </c>
      <c r="AE467" s="363" t="str">
        <f t="shared" si="178"/>
        <v/>
      </c>
      <c r="AF467" s="342" t="str">
        <f t="shared" si="179"/>
        <v/>
      </c>
      <c r="AG467" s="411" t="e">
        <f ca="1">VLOOKUP(_xlfn.CONCAT(U467,V467,W467,VLOOKUP(X467&amp;Y467,TIME!$L$27:$O$34,4,FALSE),Y467),HIS_SALES!$A$2:$R$5093,18,FALSE)</f>
        <v>#N/A</v>
      </c>
      <c r="AH467" s="412" t="e">
        <f ca="1">IFERROR(IF(AND(V467=V466,W467=W466),0.5*(AB467+AB466)*AG467,(VLOOKUP(_xlfn.CONCAT(U467,V467,W467,X467,VLOOKUP(Z467,TIME!$S$28:$T$39,2,FALSE)),FC_DATA!$R$2:$AB$5000,MATCH("GS_I_M",FC_DATA!$R$1:$AB$1,0),FALSE)+FC_DATA!AB467)*0.5*FC_DATA!AG467),NA())</f>
        <v>#N/A</v>
      </c>
      <c r="AI467" s="491" t="e">
        <f ca="1">IF(V467="PARTNER.com",AH467,IF(AND(V467=V466,W467=W466),(1-AVERAGE(AD466,AD467))*AH467,(1-AVERAGE(AD467,VLOOKUP(_xlfn.CONCAT(U467,V467,W467,X467,M_BRAND_FC!$F$6),FC_DATA!$R$2:$AD$5000,MATCH("DISCOUNT_%_M",FC_DATA!$R$1:$AD$1,0),FALSE)))*AH467))</f>
        <v>#N/A</v>
      </c>
      <c r="AJ467" s="412" t="str">
        <f t="shared" ca="1" si="180"/>
        <v/>
      </c>
      <c r="AK467" s="413" t="str">
        <f>IFERROR(AE467/(Q_BRAND_FC!$T$24+1),"")</f>
        <v/>
      </c>
      <c r="AL467" s="88" t="str">
        <f t="shared" ca="1" si="181"/>
        <v/>
      </c>
      <c r="AM467" s="414" t="str">
        <f t="shared" ca="1" si="182"/>
        <v/>
      </c>
      <c r="AN467" s="58">
        <f>IFERROR(IF($V467="BRAND.com",HLOOKUP($X467&amp;$Z467,NWC_FC_NOOS!$C$4:$Q$23,MATCH(W467,NWC_FC_NOOS!$B$4:$B$23,0),FALSE),0),0)</f>
        <v>0</v>
      </c>
      <c r="AO467" s="57">
        <f>IFERROR(IF($V467="BRAND.com",HLOOKUP($X467&amp;$Z467,NWC_FC_NOOS!$T$4:$AH$23,MATCH(W467,NWC_FC_NOOS!$S$4:$S$23,0),FALSE),0),0)</f>
        <v>0</v>
      </c>
      <c r="AP467" s="57">
        <f>IFERROR(IF($V467="BRAND.com",HLOOKUP($X467&amp;$Z467,NWC_FC_NOOS!$C$50:$U$69,MATCH(W467,NWC_FC_NOOS!$B$50:$B$69,0),FALSE),0),0)</f>
        <v>0</v>
      </c>
      <c r="AQ467" s="58">
        <f>IFERROR(IF($V467="BRAND.com",HLOOKUP($X467&amp;$Z467,'NWC_FC_NON-NOOS'!$C$4:$Q$23,MATCH(W467,'NWC_FC_NON-NOOS'!$B$4:$B$23,0),FALSE),0),0)</f>
        <v>0</v>
      </c>
      <c r="AR467" s="57">
        <f>IFERROR(IF($V467="BRAND.com",HLOOKUP($X467&amp;$Z467,'NWC_FC_NON-NOOS'!$T$4:$AH$23,MATCH(W467,'NWC_FC_NON-NOOS'!$S$4:$S$23,0),FALSE),0),0)</f>
        <v>0</v>
      </c>
      <c r="AS467" s="57">
        <f>IFERROR(IF($V467="BRAND.com",HLOOKUP($X467&amp;$Z467,'NWC_FC_NON-NOOS'!$C$50:$U$69,MATCH(W467,'NWC_FC_NON-NOOS'!$B$50:$B$69,0),FALSE),0),0)</f>
        <v>0</v>
      </c>
      <c r="AT467" s="57">
        <f t="shared" si="184"/>
        <v>0</v>
      </c>
      <c r="AU467" s="57">
        <f t="shared" si="185"/>
        <v>0</v>
      </c>
      <c r="AV467" s="58">
        <f>IFERROR(IF($V467="BRAND.com",HLOOKUP($X467&amp;$Z467,PLANNING_FC!$BB$27:$BP$46,MATCH($W467,PLANNING_FC!$BA$27:$BA$46,0),FALSE),0),0)</f>
        <v>0</v>
      </c>
      <c r="AW467" s="58">
        <f>IFERROR(IF($V467="BRAND.com",HLOOKUP($X467&amp;$Z467,PLANNING_FC!$BB$4:$BP$23,MATCH($W467,PLANNING_FC!$BA$4:$BA$23,0),FALSE),0),0)</f>
        <v>0</v>
      </c>
      <c r="AX467" s="58">
        <f>IFERROR(IF($V467="BRAND.com",HLOOKUP($X467&amp;$Z467,PLANNING_FC!$T$27:$AH$46,MATCH($W467,PLANNING_FC!$B$27:$B$46,0),FALSE),0),0)</f>
        <v>0</v>
      </c>
      <c r="AY467" s="58">
        <f>IFERROR(IF($V467="BRAND.com",HLOOKUP($X467&amp;$Z467,PLANNING_FC!$T$4:$AH$23,MATCH($W467,PLANNING_FC!$B$4:$B$23,0),FALSE),0),0)</f>
        <v>0</v>
      </c>
      <c r="AZ467" s="58">
        <f>IFERROR(IF($V467="BRAND.com",HLOOKUP($X467&amp;$Z467,PLANNING_FC!$DA$27:$DO$46,MATCH($W467,PLANNING_FC!$CZ$27:$CZ$46,0),FALSE),0),0)</f>
        <v>0</v>
      </c>
      <c r="BA467" s="58">
        <f>IFERROR(IF($V467="BRAND.com",HLOOKUP($X467&amp;$Z467,PLANNING_FC!$DA$4:$DO$23,MATCH($W467,PLANNING_FC!$CZ$4:$CZ$23,0),FALSE),0),0)</f>
        <v>0</v>
      </c>
      <c r="BB467" s="883" t="str">
        <f>IF(V467="BRAND.com",IFERROR(HLOOKUP(X467&amp;Z467,PLANNING_FC!$AK$4:$AY$23,MATCH(W467,PLANNING_FC!$AJ$4:$AJ$23,0),FALSE)*1000,""),"")</f>
        <v/>
      </c>
      <c r="BC467" s="883" t="str">
        <f>IF(V467="BRAND.com",IFERROR(HLOOKUP(X467&amp;Z467,PLANNING_FC!$AK$27:$AY$46,MATCH(W467,PLANNING_FC!$AJ$27:$AJ$46,0),FALSE)*1000,""),"")</f>
        <v/>
      </c>
    </row>
    <row r="468" spans="1:55" x14ac:dyDescent="0.25">
      <c r="A468" s="509"/>
      <c r="B468" s="509"/>
      <c r="C468" s="509"/>
      <c r="D468" s="509"/>
      <c r="E468" s="509"/>
      <c r="F468" s="509"/>
      <c r="G468" s="509"/>
      <c r="H468" s="509"/>
      <c r="I468" s="512"/>
      <c r="J468" s="513"/>
      <c r="K468" s="879"/>
      <c r="L468" s="515"/>
      <c r="M468" s="516"/>
      <c r="N468" s="56">
        <f t="shared" si="166"/>
        <v>0</v>
      </c>
      <c r="O468" s="57">
        <f t="shared" si="167"/>
        <v>0</v>
      </c>
      <c r="P468" s="57">
        <f ca="1">IFERROR(IF(ISBLANK(H468),SUMIFS($AC:$AC,$V:$V,V468,$W:$W,W468,$X:$X,X468,$Y:$Y,Y468)*J468/(1-J468)*VLOOKUP(_xlfn.CONCAT(C468,D468,E468,TIME!$M$12,Z468),HIS_SALES!$B$2:$W$4859,20,FALSE),AC468*J468/(1-J468)),0)</f>
        <v>0</v>
      </c>
      <c r="Q468" s="541" t="str">
        <f t="shared" si="168"/>
        <v/>
      </c>
      <c r="R468" s="346" t="str">
        <f t="shared" si="169"/>
        <v>00000</v>
      </c>
      <c r="S468" s="344">
        <f t="shared" si="170"/>
        <v>0</v>
      </c>
      <c r="T468" s="345" t="str">
        <f t="shared" si="183"/>
        <v>000</v>
      </c>
      <c r="U468" s="345">
        <f t="shared" si="171"/>
        <v>0</v>
      </c>
      <c r="V468" s="345">
        <f t="shared" si="172"/>
        <v>0</v>
      </c>
      <c r="W468" s="345">
        <f t="shared" si="173"/>
        <v>0</v>
      </c>
      <c r="X468" s="345">
        <f t="shared" si="174"/>
        <v>0</v>
      </c>
      <c r="Y468" s="345">
        <f t="shared" si="175"/>
        <v>0</v>
      </c>
      <c r="Z468" s="345">
        <f>IF(Q468&lt;&gt;"",VLOOKUP(Y468,TIME!$R$21:$V$24,MATCH(FC_DATA!Q468,TIME!$R$20:$V$20,0),FALSE),H468)</f>
        <v>0</v>
      </c>
      <c r="AA468" s="345" t="str">
        <f>IFERROR(VLOOKUP(X468&amp;Z468,TIME!$A$12:$D$71,4,FALSE),"")</f>
        <v/>
      </c>
      <c r="AB468" s="592">
        <f t="shared" ca="1" si="176"/>
        <v>0</v>
      </c>
      <c r="AC468" s="593" t="e">
        <f ca="1">IF(ISBLANK(H468)=FALSE,IF(D468="BRAND.com",I468,IF(ISNA(VLOOKUP(_xlfn.CONCAT(X468,Z468),TIME!$M$40:$M$42,1,FALSE)),I468,VLOOKUP(_xlfn.CONCAT(D468,G468,H468),M_BUSAREA_FC!$AF$5:$AJ$10,5,FALSE)*HLOOKUP(_xlfn.CONCAT(F468,H468),ST_OVERVIEW!$G$99:$I$130,MATCH(_xlfn.CONCAT(D468,E468),ST_OVERVIEW!$F$99:$F$130,0),FALSE))),IF(D468="BRAND.com",VLOOKUP(_xlfn.CONCAT(C468,D468,E468,TIME!$F$1,Z468),HIS_SALES!$B$2:$V$4859,19,FALSE)*I468,VLOOKUP(_xlfn.CONCAT(D468,F468,G468),Q_BUSAREA_FC!$AE$5:$AI$12,5,FALSE)*HLOOKUP(_xlfn.CONCAT(FC_DATA!F468,FC_DATA!G468),LT_OVERVIEW!$I$99:$M$130,MATCH(_xlfn.CONCAT(D468,FC_DATA!E468),LT_OVERVIEW!$H$99:$H$130,0),FALSE)*IFERROR(VLOOKUP(_xlfn.CONCAT(C468,D468,E468,TIME!$F$1,Z468),HIS_SALES!$B$2:$V$4859,19,FALSE),0)))</f>
        <v>#N/A</v>
      </c>
      <c r="AD468" s="341">
        <f t="shared" ca="1" si="177"/>
        <v>0</v>
      </c>
      <c r="AE468" s="363" t="str">
        <f t="shared" si="178"/>
        <v/>
      </c>
      <c r="AF468" s="342" t="str">
        <f t="shared" si="179"/>
        <v/>
      </c>
      <c r="AG468" s="411" t="e">
        <f ca="1">VLOOKUP(_xlfn.CONCAT(U468,V468,W468,VLOOKUP(X468&amp;Y468,TIME!$L$27:$O$34,4,FALSE),Y468),HIS_SALES!$A$2:$R$5093,18,FALSE)</f>
        <v>#N/A</v>
      </c>
      <c r="AH468" s="412" t="e">
        <f ca="1">IFERROR(IF(AND(V468=V467,W468=W467),0.5*(AB468+AB467)*AG468,(VLOOKUP(_xlfn.CONCAT(U468,V468,W468,X468,VLOOKUP(Z468,TIME!$S$28:$T$39,2,FALSE)),FC_DATA!$R$2:$AB$5000,MATCH("GS_I_M",FC_DATA!$R$1:$AB$1,0),FALSE)+FC_DATA!AB468)*0.5*FC_DATA!AG468),NA())</f>
        <v>#N/A</v>
      </c>
      <c r="AI468" s="491" t="e">
        <f ca="1">IF(V468="PARTNER.com",AH468,IF(AND(V468=V467,W468=W467),(1-AVERAGE(AD467,AD468))*AH468,(1-AVERAGE(AD468,VLOOKUP(_xlfn.CONCAT(U468,V468,W468,X468,M_BRAND_FC!$F$6),FC_DATA!$R$2:$AD$5000,MATCH("DISCOUNT_%_M",FC_DATA!$R$1:$AD$1,0),FALSE)))*AH468))</f>
        <v>#N/A</v>
      </c>
      <c r="AJ468" s="412" t="str">
        <f t="shared" ca="1" si="180"/>
        <v/>
      </c>
      <c r="AK468" s="413" t="str">
        <f>IFERROR(AE468/(Q_BRAND_FC!$T$24+1),"")</f>
        <v/>
      </c>
      <c r="AL468" s="88" t="str">
        <f t="shared" ca="1" si="181"/>
        <v/>
      </c>
      <c r="AM468" s="414" t="str">
        <f t="shared" ca="1" si="182"/>
        <v/>
      </c>
      <c r="AN468" s="58">
        <f>IFERROR(IF($V468="BRAND.com",HLOOKUP($X468&amp;$Z468,NWC_FC_NOOS!$C$4:$Q$23,MATCH(W468,NWC_FC_NOOS!$B$4:$B$23,0),FALSE),0),0)</f>
        <v>0</v>
      </c>
      <c r="AO468" s="57">
        <f>IFERROR(IF($V468="BRAND.com",HLOOKUP($X468&amp;$Z468,NWC_FC_NOOS!$T$4:$AH$23,MATCH(W468,NWC_FC_NOOS!$S$4:$S$23,0),FALSE),0),0)</f>
        <v>0</v>
      </c>
      <c r="AP468" s="57">
        <f>IFERROR(IF($V468="BRAND.com",HLOOKUP($X468&amp;$Z468,NWC_FC_NOOS!$C$50:$U$69,MATCH(W468,NWC_FC_NOOS!$B$50:$B$69,0),FALSE),0),0)</f>
        <v>0</v>
      </c>
      <c r="AQ468" s="58">
        <f>IFERROR(IF($V468="BRAND.com",HLOOKUP($X468&amp;$Z468,'NWC_FC_NON-NOOS'!$C$4:$Q$23,MATCH(W468,'NWC_FC_NON-NOOS'!$B$4:$B$23,0),FALSE),0),0)</f>
        <v>0</v>
      </c>
      <c r="AR468" s="57">
        <f>IFERROR(IF($V468="BRAND.com",HLOOKUP($X468&amp;$Z468,'NWC_FC_NON-NOOS'!$T$4:$AH$23,MATCH(W468,'NWC_FC_NON-NOOS'!$S$4:$S$23,0),FALSE),0),0)</f>
        <v>0</v>
      </c>
      <c r="AS468" s="57">
        <f>IFERROR(IF($V468="BRAND.com",HLOOKUP($X468&amp;$Z468,'NWC_FC_NON-NOOS'!$C$50:$U$69,MATCH(W468,'NWC_FC_NON-NOOS'!$B$50:$B$69,0),FALSE),0),0)</f>
        <v>0</v>
      </c>
      <c r="AT468" s="57">
        <f t="shared" si="184"/>
        <v>0</v>
      </c>
      <c r="AU468" s="57">
        <f t="shared" si="185"/>
        <v>0</v>
      </c>
      <c r="AV468" s="58">
        <f>IFERROR(IF($V468="BRAND.com",HLOOKUP($X468&amp;$Z468,PLANNING_FC!$BB$27:$BP$46,MATCH($W468,PLANNING_FC!$BA$27:$BA$46,0),FALSE),0),0)</f>
        <v>0</v>
      </c>
      <c r="AW468" s="58">
        <f>IFERROR(IF($V468="BRAND.com",HLOOKUP($X468&amp;$Z468,PLANNING_FC!$BB$4:$BP$23,MATCH($W468,PLANNING_FC!$BA$4:$BA$23,0),FALSE),0),0)</f>
        <v>0</v>
      </c>
      <c r="AX468" s="58">
        <f>IFERROR(IF($V468="BRAND.com",HLOOKUP($X468&amp;$Z468,PLANNING_FC!$T$27:$AH$46,MATCH($W468,PLANNING_FC!$B$27:$B$46,0),FALSE),0),0)</f>
        <v>0</v>
      </c>
      <c r="AY468" s="58">
        <f>IFERROR(IF($V468="BRAND.com",HLOOKUP($X468&amp;$Z468,PLANNING_FC!$T$4:$AH$23,MATCH($W468,PLANNING_FC!$B$4:$B$23,0),FALSE),0),0)</f>
        <v>0</v>
      </c>
      <c r="AZ468" s="58">
        <f>IFERROR(IF($V468="BRAND.com",HLOOKUP($X468&amp;$Z468,PLANNING_FC!$DA$27:$DO$46,MATCH($W468,PLANNING_FC!$CZ$27:$CZ$46,0),FALSE),0),0)</f>
        <v>0</v>
      </c>
      <c r="BA468" s="58">
        <f>IFERROR(IF($V468="BRAND.com",HLOOKUP($X468&amp;$Z468,PLANNING_FC!$DA$4:$DO$23,MATCH($W468,PLANNING_FC!$CZ$4:$CZ$23,0),FALSE),0),0)</f>
        <v>0</v>
      </c>
      <c r="BB468" s="883" t="str">
        <f>IF(V468="BRAND.com",IFERROR(HLOOKUP(X468&amp;Z468,PLANNING_FC!$AK$4:$AY$23,MATCH(W468,PLANNING_FC!$AJ$4:$AJ$23,0),FALSE)*1000,""),"")</f>
        <v/>
      </c>
      <c r="BC468" s="883" t="str">
        <f>IF(V468="BRAND.com",IFERROR(HLOOKUP(X468&amp;Z468,PLANNING_FC!$AK$27:$AY$46,MATCH(W468,PLANNING_FC!$AJ$27:$AJ$46,0),FALSE)*1000,""),"")</f>
        <v/>
      </c>
    </row>
    <row r="469" spans="1:55" x14ac:dyDescent="0.25">
      <c r="A469" s="509"/>
      <c r="B469" s="509"/>
      <c r="C469" s="509"/>
      <c r="D469" s="509"/>
      <c r="E469" s="509"/>
      <c r="F469" s="509"/>
      <c r="G469" s="509"/>
      <c r="H469" s="509"/>
      <c r="I469" s="512"/>
      <c r="J469" s="513"/>
      <c r="K469" s="879"/>
      <c r="L469" s="515"/>
      <c r="M469" s="516"/>
      <c r="N469" s="56">
        <f t="shared" si="166"/>
        <v>0</v>
      </c>
      <c r="O469" s="57">
        <f t="shared" si="167"/>
        <v>0</v>
      </c>
      <c r="P469" s="57">
        <f ca="1">IFERROR(IF(ISBLANK(H469),SUMIFS($AC:$AC,$V:$V,V469,$W:$W,W469,$X:$X,X469,$Y:$Y,Y469)*J469/(1-J469)*VLOOKUP(_xlfn.CONCAT(C469,D469,E469,TIME!$M$12,Z469),HIS_SALES!$B$2:$W$4859,20,FALSE),AC469*J469/(1-J469)),0)</f>
        <v>0</v>
      </c>
      <c r="Q469" s="541" t="str">
        <f t="shared" si="168"/>
        <v/>
      </c>
      <c r="R469" s="346" t="str">
        <f t="shared" si="169"/>
        <v>00000</v>
      </c>
      <c r="S469" s="344">
        <f t="shared" si="170"/>
        <v>0</v>
      </c>
      <c r="T469" s="345" t="str">
        <f t="shared" si="183"/>
        <v>000</v>
      </c>
      <c r="U469" s="345">
        <f t="shared" si="171"/>
        <v>0</v>
      </c>
      <c r="V469" s="345">
        <f t="shared" si="172"/>
        <v>0</v>
      </c>
      <c r="W469" s="345">
        <f t="shared" si="173"/>
        <v>0</v>
      </c>
      <c r="X469" s="345">
        <f t="shared" si="174"/>
        <v>0</v>
      </c>
      <c r="Y469" s="345">
        <f t="shared" si="175"/>
        <v>0</v>
      </c>
      <c r="Z469" s="345">
        <f>IF(Q469&lt;&gt;"",VLOOKUP(Y469,TIME!$R$21:$V$24,MATCH(FC_DATA!Q469,TIME!$R$20:$V$20,0),FALSE),H469)</f>
        <v>0</v>
      </c>
      <c r="AA469" s="345" t="str">
        <f>IFERROR(VLOOKUP(X469&amp;Z469,TIME!$A$12:$D$71,4,FALSE),"")</f>
        <v/>
      </c>
      <c r="AB469" s="592">
        <f t="shared" ca="1" si="176"/>
        <v>0</v>
      </c>
      <c r="AC469" s="593" t="e">
        <f ca="1">IF(ISBLANK(H469)=FALSE,IF(D469="BRAND.com",I469,IF(ISNA(VLOOKUP(_xlfn.CONCAT(X469,Z469),TIME!$M$40:$M$42,1,FALSE)),I469,VLOOKUP(_xlfn.CONCAT(D469,G469,H469),M_BUSAREA_FC!$AF$5:$AJ$10,5,FALSE)*HLOOKUP(_xlfn.CONCAT(F469,H469),ST_OVERVIEW!$G$99:$I$130,MATCH(_xlfn.CONCAT(D469,E469),ST_OVERVIEW!$F$99:$F$130,0),FALSE))),IF(D469="BRAND.com",VLOOKUP(_xlfn.CONCAT(C469,D469,E469,TIME!$F$1,Z469),HIS_SALES!$B$2:$V$4859,19,FALSE)*I469,VLOOKUP(_xlfn.CONCAT(D469,F469,G469),Q_BUSAREA_FC!$AE$5:$AI$12,5,FALSE)*HLOOKUP(_xlfn.CONCAT(FC_DATA!F469,FC_DATA!G469),LT_OVERVIEW!$I$99:$M$130,MATCH(_xlfn.CONCAT(D469,FC_DATA!E469),LT_OVERVIEW!$H$99:$H$130,0),FALSE)*IFERROR(VLOOKUP(_xlfn.CONCAT(C469,D469,E469,TIME!$F$1,Z469),HIS_SALES!$B$2:$V$4859,19,FALSE),0)))</f>
        <v>#N/A</v>
      </c>
      <c r="AD469" s="341">
        <f t="shared" ca="1" si="177"/>
        <v>0</v>
      </c>
      <c r="AE469" s="363" t="str">
        <f t="shared" si="178"/>
        <v/>
      </c>
      <c r="AF469" s="342" t="str">
        <f t="shared" si="179"/>
        <v/>
      </c>
      <c r="AG469" s="411" t="e">
        <f ca="1">VLOOKUP(_xlfn.CONCAT(U469,V469,W469,VLOOKUP(X469&amp;Y469,TIME!$L$27:$O$34,4,FALSE),Y469),HIS_SALES!$A$2:$R$5093,18,FALSE)</f>
        <v>#N/A</v>
      </c>
      <c r="AH469" s="412" t="e">
        <f ca="1">IFERROR(IF(AND(V469=V468,W469=W468),0.5*(AB469+AB468)*AG469,(VLOOKUP(_xlfn.CONCAT(U469,V469,W469,X469,VLOOKUP(Z469,TIME!$S$28:$T$39,2,FALSE)),FC_DATA!$R$2:$AB$5000,MATCH("GS_I_M",FC_DATA!$R$1:$AB$1,0),FALSE)+FC_DATA!AB469)*0.5*FC_DATA!AG469),NA())</f>
        <v>#N/A</v>
      </c>
      <c r="AI469" s="491" t="e">
        <f ca="1">IF(V469="PARTNER.com",AH469,IF(AND(V469=V468,W469=W468),(1-AVERAGE(AD468,AD469))*AH469,(1-AVERAGE(AD469,VLOOKUP(_xlfn.CONCAT(U469,V469,W469,X469,M_BRAND_FC!$F$6),FC_DATA!$R$2:$AD$5000,MATCH("DISCOUNT_%_M",FC_DATA!$R$1:$AD$1,0),FALSE)))*AH469))</f>
        <v>#N/A</v>
      </c>
      <c r="AJ469" s="412" t="str">
        <f t="shared" ca="1" si="180"/>
        <v/>
      </c>
      <c r="AK469" s="413" t="str">
        <f>IFERROR(AE469/(Q_BRAND_FC!$T$24+1),"")</f>
        <v/>
      </c>
      <c r="AL469" s="88" t="str">
        <f t="shared" ca="1" si="181"/>
        <v/>
      </c>
      <c r="AM469" s="414" t="str">
        <f t="shared" ca="1" si="182"/>
        <v/>
      </c>
      <c r="AN469" s="58">
        <f>IFERROR(IF($V469="BRAND.com",HLOOKUP($X469&amp;$Z469,NWC_FC_NOOS!$C$4:$Q$23,MATCH(W469,NWC_FC_NOOS!$B$4:$B$23,0),FALSE),0),0)</f>
        <v>0</v>
      </c>
      <c r="AO469" s="57">
        <f>IFERROR(IF($V469="BRAND.com",HLOOKUP($X469&amp;$Z469,NWC_FC_NOOS!$T$4:$AH$23,MATCH(W469,NWC_FC_NOOS!$S$4:$S$23,0),FALSE),0),0)</f>
        <v>0</v>
      </c>
      <c r="AP469" s="57">
        <f>IFERROR(IF($V469="BRAND.com",HLOOKUP($X469&amp;$Z469,NWC_FC_NOOS!$C$50:$U$69,MATCH(W469,NWC_FC_NOOS!$B$50:$B$69,0),FALSE),0),0)</f>
        <v>0</v>
      </c>
      <c r="AQ469" s="58">
        <f>IFERROR(IF($V469="BRAND.com",HLOOKUP($X469&amp;$Z469,'NWC_FC_NON-NOOS'!$C$4:$Q$23,MATCH(W469,'NWC_FC_NON-NOOS'!$B$4:$B$23,0),FALSE),0),0)</f>
        <v>0</v>
      </c>
      <c r="AR469" s="57">
        <f>IFERROR(IF($V469="BRAND.com",HLOOKUP($X469&amp;$Z469,'NWC_FC_NON-NOOS'!$T$4:$AH$23,MATCH(W469,'NWC_FC_NON-NOOS'!$S$4:$S$23,0),FALSE),0),0)</f>
        <v>0</v>
      </c>
      <c r="AS469" s="57">
        <f>IFERROR(IF($V469="BRAND.com",HLOOKUP($X469&amp;$Z469,'NWC_FC_NON-NOOS'!$C$50:$U$69,MATCH(W469,'NWC_FC_NON-NOOS'!$B$50:$B$69,0),FALSE),0),0)</f>
        <v>0</v>
      </c>
      <c r="AT469" s="57">
        <f t="shared" si="184"/>
        <v>0</v>
      </c>
      <c r="AU469" s="57">
        <f t="shared" si="185"/>
        <v>0</v>
      </c>
      <c r="AV469" s="58">
        <f>IFERROR(IF($V469="BRAND.com",HLOOKUP($X469&amp;$Z469,PLANNING_FC!$BB$27:$BP$46,MATCH($W469,PLANNING_FC!$BA$27:$BA$46,0),FALSE),0),0)</f>
        <v>0</v>
      </c>
      <c r="AW469" s="58">
        <f>IFERROR(IF($V469="BRAND.com",HLOOKUP($X469&amp;$Z469,PLANNING_FC!$BB$4:$BP$23,MATCH($W469,PLANNING_FC!$BA$4:$BA$23,0),FALSE),0),0)</f>
        <v>0</v>
      </c>
      <c r="AX469" s="58">
        <f>IFERROR(IF($V469="BRAND.com",HLOOKUP($X469&amp;$Z469,PLANNING_FC!$T$27:$AH$46,MATCH($W469,PLANNING_FC!$B$27:$B$46,0),FALSE),0),0)</f>
        <v>0</v>
      </c>
      <c r="AY469" s="58">
        <f>IFERROR(IF($V469="BRAND.com",HLOOKUP($X469&amp;$Z469,PLANNING_FC!$T$4:$AH$23,MATCH($W469,PLANNING_FC!$B$4:$B$23,0),FALSE),0),0)</f>
        <v>0</v>
      </c>
      <c r="AZ469" s="58">
        <f>IFERROR(IF($V469="BRAND.com",HLOOKUP($X469&amp;$Z469,PLANNING_FC!$DA$27:$DO$46,MATCH($W469,PLANNING_FC!$CZ$27:$CZ$46,0),FALSE),0),0)</f>
        <v>0</v>
      </c>
      <c r="BA469" s="58">
        <f>IFERROR(IF($V469="BRAND.com",HLOOKUP($X469&amp;$Z469,PLANNING_FC!$DA$4:$DO$23,MATCH($W469,PLANNING_FC!$CZ$4:$CZ$23,0),FALSE),0),0)</f>
        <v>0</v>
      </c>
      <c r="BB469" s="883" t="str">
        <f>IF(V469="BRAND.com",IFERROR(HLOOKUP(X469&amp;Z469,PLANNING_FC!$AK$4:$AY$23,MATCH(W469,PLANNING_FC!$AJ$4:$AJ$23,0),FALSE)*1000,""),"")</f>
        <v/>
      </c>
      <c r="BC469" s="883" t="str">
        <f>IF(V469="BRAND.com",IFERROR(HLOOKUP(X469&amp;Z469,PLANNING_FC!$AK$27:$AY$46,MATCH(W469,PLANNING_FC!$AJ$27:$AJ$46,0),FALSE)*1000,""),"")</f>
        <v/>
      </c>
    </row>
    <row r="470" spans="1:55" x14ac:dyDescent="0.25">
      <c r="A470" s="509"/>
      <c r="B470" s="509"/>
      <c r="C470" s="509"/>
      <c r="D470" s="509"/>
      <c r="E470" s="509"/>
      <c r="F470" s="509"/>
      <c r="G470" s="511"/>
      <c r="H470" s="509"/>
      <c r="I470" s="512"/>
      <c r="J470" s="513"/>
      <c r="K470" s="879"/>
      <c r="L470" s="515"/>
      <c r="M470" s="516"/>
      <c r="N470" s="56">
        <f t="shared" si="166"/>
        <v>0</v>
      </c>
      <c r="O470" s="57">
        <f t="shared" si="167"/>
        <v>0</v>
      </c>
      <c r="P470" s="57">
        <f ca="1">IFERROR(IF(ISBLANK(H470),SUMIFS($AC:$AC,$V:$V,V470,$W:$W,W470,$X:$X,X470,$Y:$Y,Y470)*J470/(1-J470)*VLOOKUP(_xlfn.CONCAT(C470,D470,E470,TIME!$M$12,Z470),HIS_SALES!$B$2:$W$4859,20,FALSE),AC470*J470/(1-J470)),0)</f>
        <v>0</v>
      </c>
      <c r="Q470" s="541" t="str">
        <f t="shared" si="168"/>
        <v/>
      </c>
      <c r="R470" s="346" t="str">
        <f t="shared" si="169"/>
        <v>00000</v>
      </c>
      <c r="S470" s="344">
        <f t="shared" si="170"/>
        <v>0</v>
      </c>
      <c r="T470" s="345" t="str">
        <f t="shared" si="183"/>
        <v>000</v>
      </c>
      <c r="U470" s="345">
        <f t="shared" si="171"/>
        <v>0</v>
      </c>
      <c r="V470" s="345">
        <f t="shared" si="172"/>
        <v>0</v>
      </c>
      <c r="W470" s="345">
        <f t="shared" si="173"/>
        <v>0</v>
      </c>
      <c r="X470" s="345">
        <f t="shared" si="174"/>
        <v>0</v>
      </c>
      <c r="Y470" s="345">
        <f t="shared" si="175"/>
        <v>0</v>
      </c>
      <c r="Z470" s="345">
        <f>IF(Q470&lt;&gt;"",VLOOKUP(Y470,TIME!$R$21:$V$24,MATCH(FC_DATA!Q470,TIME!$R$20:$V$20,0),FALSE),H470)</f>
        <v>0</v>
      </c>
      <c r="AA470" s="345" t="str">
        <f>IFERROR(VLOOKUP(X470&amp;Z470,TIME!$A$12:$D$71,4,FALSE),"")</f>
        <v/>
      </c>
      <c r="AB470" s="592">
        <f t="shared" ca="1" si="176"/>
        <v>0</v>
      </c>
      <c r="AC470" s="593" t="e">
        <f ca="1">IF(ISBLANK(H470)=FALSE,IF(D470="BRAND.com",I470,IF(ISNA(VLOOKUP(_xlfn.CONCAT(X470,Z470),TIME!$M$40:$M$42,1,FALSE)),I470,VLOOKUP(_xlfn.CONCAT(D470,G470,H470),M_BUSAREA_FC!$AF$5:$AJ$10,5,FALSE)*HLOOKUP(_xlfn.CONCAT(F470,H470),ST_OVERVIEW!$G$99:$I$130,MATCH(_xlfn.CONCAT(D470,E470),ST_OVERVIEW!$F$99:$F$130,0),FALSE))),IF(D470="BRAND.com",VLOOKUP(_xlfn.CONCAT(C470,D470,E470,TIME!$F$1,Z470),HIS_SALES!$B$2:$V$4859,19,FALSE)*I470,VLOOKUP(_xlfn.CONCAT(D470,F470,G470),Q_BUSAREA_FC!$AE$5:$AI$12,5,FALSE)*HLOOKUP(_xlfn.CONCAT(FC_DATA!F470,FC_DATA!G470),LT_OVERVIEW!$I$99:$M$130,MATCH(_xlfn.CONCAT(D470,FC_DATA!E470),LT_OVERVIEW!$H$99:$H$130,0),FALSE)*IFERROR(VLOOKUP(_xlfn.CONCAT(C470,D470,E470,TIME!$F$1,Z470),HIS_SALES!$B$2:$V$4859,19,FALSE),0)))</f>
        <v>#N/A</v>
      </c>
      <c r="AD470" s="341">
        <f t="shared" ca="1" si="177"/>
        <v>0</v>
      </c>
      <c r="AE470" s="363" t="str">
        <f t="shared" si="178"/>
        <v/>
      </c>
      <c r="AF470" s="342" t="str">
        <f t="shared" si="179"/>
        <v/>
      </c>
      <c r="AG470" s="411" t="e">
        <f ca="1">VLOOKUP(_xlfn.CONCAT(U470,V470,W470,VLOOKUP(X470&amp;Y470,TIME!$L$27:$O$34,4,FALSE),Y470),HIS_SALES!$A$2:$R$5093,18,FALSE)</f>
        <v>#N/A</v>
      </c>
      <c r="AH470" s="412" t="e">
        <f ca="1">IFERROR(IF(AND(V470=V469,W470=W469),0.5*(AB470+AB469)*AG470,(VLOOKUP(_xlfn.CONCAT(U470,V470,W470,X470,VLOOKUP(Z470,TIME!$S$28:$T$39,2,FALSE)),FC_DATA!$R$2:$AB$5000,MATCH("GS_I_M",FC_DATA!$R$1:$AB$1,0),FALSE)+FC_DATA!AB470)*0.5*FC_DATA!AG470),NA())</f>
        <v>#N/A</v>
      </c>
      <c r="AI470" s="491" t="e">
        <f ca="1">IF(V470="PARTNER.com",AH470,IF(AND(V470=V469,W470=W469),(1-AVERAGE(AD469,AD470))*AH470,(1-AVERAGE(AD470,VLOOKUP(_xlfn.CONCAT(U470,V470,W470,X470,M_BRAND_FC!$F$6),FC_DATA!$R$2:$AD$5000,MATCH("DISCOUNT_%_M",FC_DATA!$R$1:$AD$1,0),FALSE)))*AH470))</f>
        <v>#N/A</v>
      </c>
      <c r="AJ470" s="412" t="str">
        <f t="shared" ca="1" si="180"/>
        <v/>
      </c>
      <c r="AK470" s="413" t="str">
        <f>IFERROR(AE470/(Q_BRAND_FC!$T$24+1),"")</f>
        <v/>
      </c>
      <c r="AL470" s="88" t="str">
        <f t="shared" ca="1" si="181"/>
        <v/>
      </c>
      <c r="AM470" s="414" t="str">
        <f t="shared" ca="1" si="182"/>
        <v/>
      </c>
      <c r="AN470" s="58">
        <f>IFERROR(IF($V470="BRAND.com",HLOOKUP($X470&amp;$Z470,NWC_FC_NOOS!$C$4:$Q$23,MATCH(W470,NWC_FC_NOOS!$B$4:$B$23,0),FALSE),0),0)</f>
        <v>0</v>
      </c>
      <c r="AO470" s="57">
        <f>IFERROR(IF($V470="BRAND.com",HLOOKUP($X470&amp;$Z470,NWC_FC_NOOS!$T$4:$AH$23,MATCH(W470,NWC_FC_NOOS!$S$4:$S$23,0),FALSE),0),0)</f>
        <v>0</v>
      </c>
      <c r="AP470" s="57">
        <f>IFERROR(IF($V470="BRAND.com",HLOOKUP($X470&amp;$Z470,NWC_FC_NOOS!$C$50:$U$69,MATCH(W470,NWC_FC_NOOS!$B$50:$B$69,0),FALSE),0),0)</f>
        <v>0</v>
      </c>
      <c r="AQ470" s="58">
        <f>IFERROR(IF($V470="BRAND.com",HLOOKUP($X470&amp;$Z470,'NWC_FC_NON-NOOS'!$C$4:$Q$23,MATCH(W470,'NWC_FC_NON-NOOS'!$B$4:$B$23,0),FALSE),0),0)</f>
        <v>0</v>
      </c>
      <c r="AR470" s="57">
        <f>IFERROR(IF($V470="BRAND.com",HLOOKUP($X470&amp;$Z470,'NWC_FC_NON-NOOS'!$T$4:$AH$23,MATCH(W470,'NWC_FC_NON-NOOS'!$S$4:$S$23,0),FALSE),0),0)</f>
        <v>0</v>
      </c>
      <c r="AS470" s="57">
        <f>IFERROR(IF($V470="BRAND.com",HLOOKUP($X470&amp;$Z470,'NWC_FC_NON-NOOS'!$C$50:$U$69,MATCH(W470,'NWC_FC_NON-NOOS'!$B$50:$B$69,0),FALSE),0),0)</f>
        <v>0</v>
      </c>
      <c r="AT470" s="57">
        <f t="shared" si="184"/>
        <v>0</v>
      </c>
      <c r="AU470" s="57">
        <f t="shared" si="185"/>
        <v>0</v>
      </c>
      <c r="AV470" s="58">
        <f>IFERROR(IF($V470="BRAND.com",HLOOKUP($X470&amp;$Z470,PLANNING_FC!$BB$27:$BP$46,MATCH($W470,PLANNING_FC!$BA$27:$BA$46,0),FALSE),0),0)</f>
        <v>0</v>
      </c>
      <c r="AW470" s="58">
        <f>IFERROR(IF($V470="BRAND.com",HLOOKUP($X470&amp;$Z470,PLANNING_FC!$BB$4:$BP$23,MATCH($W470,PLANNING_FC!$BA$4:$BA$23,0),FALSE),0),0)</f>
        <v>0</v>
      </c>
      <c r="AX470" s="58">
        <f>IFERROR(IF($V470="BRAND.com",HLOOKUP($X470&amp;$Z470,PLANNING_FC!$T$27:$AH$46,MATCH($W470,PLANNING_FC!$B$27:$B$46,0),FALSE),0),0)</f>
        <v>0</v>
      </c>
      <c r="AY470" s="58">
        <f>IFERROR(IF($V470="BRAND.com",HLOOKUP($X470&amp;$Z470,PLANNING_FC!$T$4:$AH$23,MATCH($W470,PLANNING_FC!$B$4:$B$23,0),FALSE),0),0)</f>
        <v>0</v>
      </c>
      <c r="AZ470" s="58">
        <f>IFERROR(IF($V470="BRAND.com",HLOOKUP($X470&amp;$Z470,PLANNING_FC!$DA$27:$DO$46,MATCH($W470,PLANNING_FC!$CZ$27:$CZ$46,0),FALSE),0),0)</f>
        <v>0</v>
      </c>
      <c r="BA470" s="58">
        <f>IFERROR(IF($V470="BRAND.com",HLOOKUP($X470&amp;$Z470,PLANNING_FC!$DA$4:$DO$23,MATCH($W470,PLANNING_FC!$CZ$4:$CZ$23,0),FALSE),0),0)</f>
        <v>0</v>
      </c>
      <c r="BB470" s="883" t="str">
        <f>IF(V470="BRAND.com",IFERROR(HLOOKUP(X470&amp;Z470,PLANNING_FC!$AK$4:$AY$23,MATCH(W470,PLANNING_FC!$AJ$4:$AJ$23,0),FALSE)*1000,""),"")</f>
        <v/>
      </c>
      <c r="BC470" s="883" t="str">
        <f>IF(V470="BRAND.com",IFERROR(HLOOKUP(X470&amp;Z470,PLANNING_FC!$AK$27:$AY$46,MATCH(W470,PLANNING_FC!$AJ$27:$AJ$46,0),FALSE)*1000,""),"")</f>
        <v/>
      </c>
    </row>
    <row r="471" spans="1:55" x14ac:dyDescent="0.25">
      <c r="A471" s="509"/>
      <c r="B471" s="509"/>
      <c r="C471" s="509"/>
      <c r="D471" s="509"/>
      <c r="E471" s="509"/>
      <c r="F471" s="509"/>
      <c r="G471" s="509"/>
      <c r="H471" s="509"/>
      <c r="I471" s="512"/>
      <c r="J471" s="513"/>
      <c r="K471" s="879"/>
      <c r="L471" s="515"/>
      <c r="M471" s="516"/>
      <c r="N471" s="56">
        <f t="shared" si="166"/>
        <v>0</v>
      </c>
      <c r="O471" s="57">
        <f t="shared" si="167"/>
        <v>0</v>
      </c>
      <c r="P471" s="57">
        <f ca="1">IFERROR(IF(ISBLANK(H471),SUMIFS($AC:$AC,$V:$V,V471,$W:$W,W471,$X:$X,X471,$Y:$Y,Y471)*J471/(1-J471)*VLOOKUP(_xlfn.CONCAT(C471,D471,E471,TIME!$M$12,Z471),HIS_SALES!$B$2:$W$4859,20,FALSE),AC471*J471/(1-J471)),0)</f>
        <v>0</v>
      </c>
      <c r="Q471" s="541" t="str">
        <f t="shared" si="168"/>
        <v/>
      </c>
      <c r="R471" s="346" t="str">
        <f t="shared" si="169"/>
        <v>00000</v>
      </c>
      <c r="S471" s="344">
        <f t="shared" si="170"/>
        <v>0</v>
      </c>
      <c r="T471" s="345" t="str">
        <f t="shared" si="183"/>
        <v>000</v>
      </c>
      <c r="U471" s="345">
        <f t="shared" si="171"/>
        <v>0</v>
      </c>
      <c r="V471" s="345">
        <f t="shared" si="172"/>
        <v>0</v>
      </c>
      <c r="W471" s="345">
        <f t="shared" si="173"/>
        <v>0</v>
      </c>
      <c r="X471" s="345">
        <f t="shared" si="174"/>
        <v>0</v>
      </c>
      <c r="Y471" s="345">
        <f t="shared" si="175"/>
        <v>0</v>
      </c>
      <c r="Z471" s="345">
        <f>IF(Q471&lt;&gt;"",VLOOKUP(Y471,TIME!$R$21:$V$24,MATCH(FC_DATA!Q471,TIME!$R$20:$V$20,0),FALSE),H471)</f>
        <v>0</v>
      </c>
      <c r="AA471" s="345" t="str">
        <f>IFERROR(VLOOKUP(X471&amp;Z471,TIME!$A$12:$D$71,4,FALSE),"")</f>
        <v/>
      </c>
      <c r="AB471" s="592">
        <f t="shared" ca="1" si="176"/>
        <v>0</v>
      </c>
      <c r="AC471" s="593" t="e">
        <f ca="1">IF(ISBLANK(H471)=FALSE,IF(D471="BRAND.com",I471,IF(ISNA(VLOOKUP(_xlfn.CONCAT(X471,Z471),TIME!$M$40:$M$42,1,FALSE)),I471,VLOOKUP(_xlfn.CONCAT(D471,G471,H471),M_BUSAREA_FC!$AF$5:$AJ$10,5,FALSE)*HLOOKUP(_xlfn.CONCAT(F471,H471),ST_OVERVIEW!$G$99:$I$130,MATCH(_xlfn.CONCAT(D471,E471),ST_OVERVIEW!$F$99:$F$130,0),FALSE))),IF(D471="BRAND.com",VLOOKUP(_xlfn.CONCAT(C471,D471,E471,TIME!$F$1,Z471),HIS_SALES!$B$2:$V$4859,19,FALSE)*I471,VLOOKUP(_xlfn.CONCAT(D471,F471,G471),Q_BUSAREA_FC!$AE$5:$AI$12,5,FALSE)*HLOOKUP(_xlfn.CONCAT(FC_DATA!F471,FC_DATA!G471),LT_OVERVIEW!$I$99:$M$130,MATCH(_xlfn.CONCAT(D471,FC_DATA!E471),LT_OVERVIEW!$H$99:$H$130,0),FALSE)*IFERROR(VLOOKUP(_xlfn.CONCAT(C471,D471,E471,TIME!$F$1,Z471),HIS_SALES!$B$2:$V$4859,19,FALSE),0)))</f>
        <v>#N/A</v>
      </c>
      <c r="AD471" s="341">
        <f t="shared" ca="1" si="177"/>
        <v>0</v>
      </c>
      <c r="AE471" s="363" t="str">
        <f t="shared" si="178"/>
        <v/>
      </c>
      <c r="AF471" s="342" t="str">
        <f t="shared" si="179"/>
        <v/>
      </c>
      <c r="AG471" s="411" t="e">
        <f ca="1">VLOOKUP(_xlfn.CONCAT(U471,V471,W471,VLOOKUP(X471&amp;Y471,TIME!$L$27:$O$34,4,FALSE),Y471),HIS_SALES!$A$2:$R$5093,18,FALSE)</f>
        <v>#N/A</v>
      </c>
      <c r="AH471" s="412" t="e">
        <f ca="1">IFERROR(IF(AND(V471=V470,W471=W470),0.5*(AB471+AB470)*AG471,(VLOOKUP(_xlfn.CONCAT(U471,V471,W471,X471,VLOOKUP(Z471,TIME!$S$28:$T$39,2,FALSE)),FC_DATA!$R$2:$AB$5000,MATCH("GS_I_M",FC_DATA!$R$1:$AB$1,0),FALSE)+FC_DATA!AB471)*0.5*FC_DATA!AG471),NA())</f>
        <v>#N/A</v>
      </c>
      <c r="AI471" s="491" t="e">
        <f ca="1">IF(V471="PARTNER.com",AH471,IF(AND(V471=V470,W471=W470),(1-AVERAGE(AD470,AD471))*AH471,(1-AVERAGE(AD471,VLOOKUP(_xlfn.CONCAT(U471,V471,W471,X471,M_BRAND_FC!$F$6),FC_DATA!$R$2:$AD$5000,MATCH("DISCOUNT_%_M",FC_DATA!$R$1:$AD$1,0),FALSE)))*AH471))</f>
        <v>#N/A</v>
      </c>
      <c r="AJ471" s="412" t="str">
        <f t="shared" ca="1" si="180"/>
        <v/>
      </c>
      <c r="AK471" s="413" t="str">
        <f>IFERROR(AE471/(Q_BRAND_FC!$T$24+1),"")</f>
        <v/>
      </c>
      <c r="AL471" s="88" t="str">
        <f t="shared" ca="1" si="181"/>
        <v/>
      </c>
      <c r="AM471" s="414" t="str">
        <f t="shared" ca="1" si="182"/>
        <v/>
      </c>
      <c r="AN471" s="58">
        <f>IFERROR(IF($V471="BRAND.com",HLOOKUP($X471&amp;$Z471,NWC_FC_NOOS!$C$4:$Q$23,MATCH(W471,NWC_FC_NOOS!$B$4:$B$23,0),FALSE),0),0)</f>
        <v>0</v>
      </c>
      <c r="AO471" s="57">
        <f>IFERROR(IF($V471="BRAND.com",HLOOKUP($X471&amp;$Z471,NWC_FC_NOOS!$T$4:$AH$23,MATCH(W471,NWC_FC_NOOS!$S$4:$S$23,0),FALSE),0),0)</f>
        <v>0</v>
      </c>
      <c r="AP471" s="57">
        <f>IFERROR(IF($V471="BRAND.com",HLOOKUP($X471&amp;$Z471,NWC_FC_NOOS!$C$50:$U$69,MATCH(W471,NWC_FC_NOOS!$B$50:$B$69,0),FALSE),0),0)</f>
        <v>0</v>
      </c>
      <c r="AQ471" s="58">
        <f>IFERROR(IF($V471="BRAND.com",HLOOKUP($X471&amp;$Z471,'NWC_FC_NON-NOOS'!$C$4:$Q$23,MATCH(W471,'NWC_FC_NON-NOOS'!$B$4:$B$23,0),FALSE),0),0)</f>
        <v>0</v>
      </c>
      <c r="AR471" s="57">
        <f>IFERROR(IF($V471="BRAND.com",HLOOKUP($X471&amp;$Z471,'NWC_FC_NON-NOOS'!$T$4:$AH$23,MATCH(W471,'NWC_FC_NON-NOOS'!$S$4:$S$23,0),FALSE),0),0)</f>
        <v>0</v>
      </c>
      <c r="AS471" s="57">
        <f>IFERROR(IF($V471="BRAND.com",HLOOKUP($X471&amp;$Z471,'NWC_FC_NON-NOOS'!$C$50:$U$69,MATCH(W471,'NWC_FC_NON-NOOS'!$B$50:$B$69,0),FALSE),0),0)</f>
        <v>0</v>
      </c>
      <c r="AT471" s="57">
        <f t="shared" si="184"/>
        <v>0</v>
      </c>
      <c r="AU471" s="57">
        <f t="shared" si="185"/>
        <v>0</v>
      </c>
      <c r="AV471" s="58">
        <f>IFERROR(IF($V471="BRAND.com",HLOOKUP($X471&amp;$Z471,PLANNING_FC!$BB$27:$BP$46,MATCH($W471,PLANNING_FC!$BA$27:$BA$46,0),FALSE),0),0)</f>
        <v>0</v>
      </c>
      <c r="AW471" s="58">
        <f>IFERROR(IF($V471="BRAND.com",HLOOKUP($X471&amp;$Z471,PLANNING_FC!$BB$4:$BP$23,MATCH($W471,PLANNING_FC!$BA$4:$BA$23,0),FALSE),0),0)</f>
        <v>0</v>
      </c>
      <c r="AX471" s="58">
        <f>IFERROR(IF($V471="BRAND.com",HLOOKUP($X471&amp;$Z471,PLANNING_FC!$T$27:$AH$46,MATCH($W471,PLANNING_FC!$B$27:$B$46,0),FALSE),0),0)</f>
        <v>0</v>
      </c>
      <c r="AY471" s="58">
        <f>IFERROR(IF($V471="BRAND.com",HLOOKUP($X471&amp;$Z471,PLANNING_FC!$T$4:$AH$23,MATCH($W471,PLANNING_FC!$B$4:$B$23,0),FALSE),0),0)</f>
        <v>0</v>
      </c>
      <c r="AZ471" s="58">
        <f>IFERROR(IF($V471="BRAND.com",HLOOKUP($X471&amp;$Z471,PLANNING_FC!$DA$27:$DO$46,MATCH($W471,PLANNING_FC!$CZ$27:$CZ$46,0),FALSE),0),0)</f>
        <v>0</v>
      </c>
      <c r="BA471" s="58">
        <f>IFERROR(IF($V471="BRAND.com",HLOOKUP($X471&amp;$Z471,PLANNING_FC!$DA$4:$DO$23,MATCH($W471,PLANNING_FC!$CZ$4:$CZ$23,0),FALSE),0),0)</f>
        <v>0</v>
      </c>
      <c r="BB471" s="883" t="str">
        <f>IF(V471="BRAND.com",IFERROR(HLOOKUP(X471&amp;Z471,PLANNING_FC!$AK$4:$AY$23,MATCH(W471,PLANNING_FC!$AJ$4:$AJ$23,0),FALSE)*1000,""),"")</f>
        <v/>
      </c>
      <c r="BC471" s="883" t="str">
        <f>IF(V471="BRAND.com",IFERROR(HLOOKUP(X471&amp;Z471,PLANNING_FC!$AK$27:$AY$46,MATCH(W471,PLANNING_FC!$AJ$27:$AJ$46,0),FALSE)*1000,""),"")</f>
        <v/>
      </c>
    </row>
    <row r="472" spans="1:55" x14ac:dyDescent="0.25">
      <c r="A472" s="509"/>
      <c r="B472" s="509"/>
      <c r="C472" s="509"/>
      <c r="D472" s="509"/>
      <c r="E472" s="509"/>
      <c r="F472" s="509"/>
      <c r="G472" s="509"/>
      <c r="H472" s="509"/>
      <c r="I472" s="512"/>
      <c r="J472" s="513"/>
      <c r="K472" s="879"/>
      <c r="L472" s="515"/>
      <c r="M472" s="516"/>
      <c r="N472" s="56">
        <f t="shared" si="166"/>
        <v>0</v>
      </c>
      <c r="O472" s="57">
        <f t="shared" si="167"/>
        <v>0</v>
      </c>
      <c r="P472" s="57">
        <f ca="1">IFERROR(IF(ISBLANK(H472),SUMIFS($AC:$AC,$V:$V,V472,$W:$W,W472,$X:$X,X472,$Y:$Y,Y472)*J472/(1-J472)*VLOOKUP(_xlfn.CONCAT(C472,D472,E472,TIME!$M$12,Z472),HIS_SALES!$B$2:$W$4859,20,FALSE),AC472*J472/(1-J472)),0)</f>
        <v>0</v>
      </c>
      <c r="Q472" s="541" t="str">
        <f t="shared" si="168"/>
        <v/>
      </c>
      <c r="R472" s="346" t="str">
        <f t="shared" si="169"/>
        <v>00000</v>
      </c>
      <c r="S472" s="344">
        <f t="shared" si="170"/>
        <v>0</v>
      </c>
      <c r="T472" s="345" t="str">
        <f t="shared" si="183"/>
        <v>000</v>
      </c>
      <c r="U472" s="345">
        <f t="shared" si="171"/>
        <v>0</v>
      </c>
      <c r="V472" s="345">
        <f t="shared" si="172"/>
        <v>0</v>
      </c>
      <c r="W472" s="345">
        <f t="shared" si="173"/>
        <v>0</v>
      </c>
      <c r="X472" s="345">
        <f t="shared" si="174"/>
        <v>0</v>
      </c>
      <c r="Y472" s="345">
        <f t="shared" si="175"/>
        <v>0</v>
      </c>
      <c r="Z472" s="345">
        <f>IF(Q472&lt;&gt;"",VLOOKUP(Y472,TIME!$R$21:$V$24,MATCH(FC_DATA!Q472,TIME!$R$20:$V$20,0),FALSE),H472)</f>
        <v>0</v>
      </c>
      <c r="AA472" s="345" t="str">
        <f>IFERROR(VLOOKUP(X472&amp;Z472,TIME!$A$12:$D$71,4,FALSE),"")</f>
        <v/>
      </c>
      <c r="AB472" s="592">
        <f t="shared" ca="1" si="176"/>
        <v>0</v>
      </c>
      <c r="AC472" s="593" t="e">
        <f ca="1">IF(ISBLANK(H472)=FALSE,IF(D472="BRAND.com",I472,IF(ISNA(VLOOKUP(_xlfn.CONCAT(X472,Z472),TIME!$M$40:$M$42,1,FALSE)),I472,VLOOKUP(_xlfn.CONCAT(D472,G472,H472),M_BUSAREA_FC!$AF$5:$AJ$10,5,FALSE)*HLOOKUP(_xlfn.CONCAT(F472,H472),ST_OVERVIEW!$G$99:$I$130,MATCH(_xlfn.CONCAT(D472,E472),ST_OVERVIEW!$F$99:$F$130,0),FALSE))),IF(D472="BRAND.com",VLOOKUP(_xlfn.CONCAT(C472,D472,E472,TIME!$F$1,Z472),HIS_SALES!$B$2:$V$4859,19,FALSE)*I472,VLOOKUP(_xlfn.CONCAT(D472,F472,G472),Q_BUSAREA_FC!$AE$5:$AI$12,5,FALSE)*HLOOKUP(_xlfn.CONCAT(FC_DATA!F472,FC_DATA!G472),LT_OVERVIEW!$I$99:$M$130,MATCH(_xlfn.CONCAT(D472,FC_DATA!E472),LT_OVERVIEW!$H$99:$H$130,0),FALSE)*IFERROR(VLOOKUP(_xlfn.CONCAT(C472,D472,E472,TIME!$F$1,Z472),HIS_SALES!$B$2:$V$4859,19,FALSE),0)))</f>
        <v>#N/A</v>
      </c>
      <c r="AD472" s="341">
        <f t="shared" ca="1" si="177"/>
        <v>0</v>
      </c>
      <c r="AE472" s="363" t="str">
        <f t="shared" si="178"/>
        <v/>
      </c>
      <c r="AF472" s="342" t="str">
        <f t="shared" si="179"/>
        <v/>
      </c>
      <c r="AG472" s="411" t="e">
        <f ca="1">VLOOKUP(_xlfn.CONCAT(U472,V472,W472,VLOOKUP(X472&amp;Y472,TIME!$L$27:$O$34,4,FALSE),Y472),HIS_SALES!$A$2:$R$5093,18,FALSE)</f>
        <v>#N/A</v>
      </c>
      <c r="AH472" s="412" t="e">
        <f ca="1">IFERROR(IF(AND(V472=V471,W472=W471),0.5*(AB472+AB471)*AG472,(VLOOKUP(_xlfn.CONCAT(U472,V472,W472,X472,VLOOKUP(Z472,TIME!$S$28:$T$39,2,FALSE)),FC_DATA!$R$2:$AB$5000,MATCH("GS_I_M",FC_DATA!$R$1:$AB$1,0),FALSE)+FC_DATA!AB472)*0.5*FC_DATA!AG472),NA())</f>
        <v>#N/A</v>
      </c>
      <c r="AI472" s="491" t="e">
        <f ca="1">IF(V472="PARTNER.com",AH472,IF(AND(V472=V471,W472=W471),(1-AVERAGE(AD471,AD472))*AH472,(1-AVERAGE(AD472,VLOOKUP(_xlfn.CONCAT(U472,V472,W472,X472,M_BRAND_FC!$F$6),FC_DATA!$R$2:$AD$5000,MATCH("DISCOUNT_%_M",FC_DATA!$R$1:$AD$1,0),FALSE)))*AH472))</f>
        <v>#N/A</v>
      </c>
      <c r="AJ472" s="412" t="str">
        <f t="shared" ca="1" si="180"/>
        <v/>
      </c>
      <c r="AK472" s="413" t="str">
        <f>IFERROR(AE472/(Q_BRAND_FC!$T$24+1),"")</f>
        <v/>
      </c>
      <c r="AL472" s="88" t="str">
        <f t="shared" ca="1" si="181"/>
        <v/>
      </c>
      <c r="AM472" s="414" t="str">
        <f t="shared" ca="1" si="182"/>
        <v/>
      </c>
      <c r="AN472" s="58">
        <f>IFERROR(IF($V472="BRAND.com",HLOOKUP($X472&amp;$Z472,NWC_FC_NOOS!$C$4:$Q$23,MATCH(W472,NWC_FC_NOOS!$B$4:$B$23,0),FALSE),0),0)</f>
        <v>0</v>
      </c>
      <c r="AO472" s="57">
        <f>IFERROR(IF($V472="BRAND.com",HLOOKUP($X472&amp;$Z472,NWC_FC_NOOS!$T$4:$AH$23,MATCH(W472,NWC_FC_NOOS!$S$4:$S$23,0),FALSE),0),0)</f>
        <v>0</v>
      </c>
      <c r="AP472" s="57">
        <f>IFERROR(IF($V472="BRAND.com",HLOOKUP($X472&amp;$Z472,NWC_FC_NOOS!$C$50:$U$69,MATCH(W472,NWC_FC_NOOS!$B$50:$B$69,0),FALSE),0),0)</f>
        <v>0</v>
      </c>
      <c r="AQ472" s="58">
        <f>IFERROR(IF($V472="BRAND.com",HLOOKUP($X472&amp;$Z472,'NWC_FC_NON-NOOS'!$C$4:$Q$23,MATCH(W472,'NWC_FC_NON-NOOS'!$B$4:$B$23,0),FALSE),0),0)</f>
        <v>0</v>
      </c>
      <c r="AR472" s="57">
        <f>IFERROR(IF($V472="BRAND.com",HLOOKUP($X472&amp;$Z472,'NWC_FC_NON-NOOS'!$T$4:$AH$23,MATCH(W472,'NWC_FC_NON-NOOS'!$S$4:$S$23,0),FALSE),0),0)</f>
        <v>0</v>
      </c>
      <c r="AS472" s="57">
        <f>IFERROR(IF($V472="BRAND.com",HLOOKUP($X472&amp;$Z472,'NWC_FC_NON-NOOS'!$C$50:$U$69,MATCH(W472,'NWC_FC_NON-NOOS'!$B$50:$B$69,0),FALSE),0),0)</f>
        <v>0</v>
      </c>
      <c r="AT472" s="57">
        <f t="shared" si="184"/>
        <v>0</v>
      </c>
      <c r="AU472" s="57">
        <f t="shared" si="185"/>
        <v>0</v>
      </c>
      <c r="AV472" s="58">
        <f>IFERROR(IF($V472="BRAND.com",HLOOKUP($X472&amp;$Z472,PLANNING_FC!$BB$27:$BP$46,MATCH($W472,PLANNING_FC!$BA$27:$BA$46,0),FALSE),0),0)</f>
        <v>0</v>
      </c>
      <c r="AW472" s="58">
        <f>IFERROR(IF($V472="BRAND.com",HLOOKUP($X472&amp;$Z472,PLANNING_FC!$BB$4:$BP$23,MATCH($W472,PLANNING_FC!$BA$4:$BA$23,0),FALSE),0),0)</f>
        <v>0</v>
      </c>
      <c r="AX472" s="58">
        <f>IFERROR(IF($V472="BRAND.com",HLOOKUP($X472&amp;$Z472,PLANNING_FC!$T$27:$AH$46,MATCH($W472,PLANNING_FC!$B$27:$B$46,0),FALSE),0),0)</f>
        <v>0</v>
      </c>
      <c r="AY472" s="58">
        <f>IFERROR(IF($V472="BRAND.com",HLOOKUP($X472&amp;$Z472,PLANNING_FC!$T$4:$AH$23,MATCH($W472,PLANNING_FC!$B$4:$B$23,0),FALSE),0),0)</f>
        <v>0</v>
      </c>
      <c r="AZ472" s="58">
        <f>IFERROR(IF($V472="BRAND.com",HLOOKUP($X472&amp;$Z472,PLANNING_FC!$DA$27:$DO$46,MATCH($W472,PLANNING_FC!$CZ$27:$CZ$46,0),FALSE),0),0)</f>
        <v>0</v>
      </c>
      <c r="BA472" s="58">
        <f>IFERROR(IF($V472="BRAND.com",HLOOKUP($X472&amp;$Z472,PLANNING_FC!$DA$4:$DO$23,MATCH($W472,PLANNING_FC!$CZ$4:$CZ$23,0),FALSE),0),0)</f>
        <v>0</v>
      </c>
      <c r="BB472" s="883" t="str">
        <f>IF(V472="BRAND.com",IFERROR(HLOOKUP(X472&amp;Z472,PLANNING_FC!$AK$4:$AY$23,MATCH(W472,PLANNING_FC!$AJ$4:$AJ$23,0),FALSE)*1000,""),"")</f>
        <v/>
      </c>
      <c r="BC472" s="883" t="str">
        <f>IF(V472="BRAND.com",IFERROR(HLOOKUP(X472&amp;Z472,PLANNING_FC!$AK$27:$AY$46,MATCH(W472,PLANNING_FC!$AJ$27:$AJ$46,0),FALSE)*1000,""),"")</f>
        <v/>
      </c>
    </row>
    <row r="473" spans="1:55" x14ac:dyDescent="0.25">
      <c r="A473" s="509"/>
      <c r="B473" s="509"/>
      <c r="C473" s="509"/>
      <c r="D473" s="509"/>
      <c r="E473" s="509"/>
      <c r="F473" s="509"/>
      <c r="G473" s="509"/>
      <c r="H473" s="509"/>
      <c r="I473" s="512"/>
      <c r="J473" s="513"/>
      <c r="K473" s="879"/>
      <c r="L473" s="515"/>
      <c r="M473" s="516"/>
      <c r="N473" s="56">
        <f t="shared" si="166"/>
        <v>0</v>
      </c>
      <c r="O473" s="57">
        <f t="shared" si="167"/>
        <v>0</v>
      </c>
      <c r="P473" s="57">
        <f ca="1">IFERROR(IF(ISBLANK(H473),SUMIFS($AC:$AC,$V:$V,V473,$W:$W,W473,$X:$X,X473,$Y:$Y,Y473)*J473/(1-J473)*VLOOKUP(_xlfn.CONCAT(C473,D473,E473,TIME!$M$12,Z473),HIS_SALES!$B$2:$W$4859,20,FALSE),AC473*J473/(1-J473)),0)</f>
        <v>0</v>
      </c>
      <c r="Q473" s="541" t="str">
        <f t="shared" si="168"/>
        <v/>
      </c>
      <c r="R473" s="346" t="str">
        <f t="shared" si="169"/>
        <v>00000</v>
      </c>
      <c r="S473" s="344">
        <f t="shared" si="170"/>
        <v>0</v>
      </c>
      <c r="T473" s="345" t="str">
        <f t="shared" si="183"/>
        <v>000</v>
      </c>
      <c r="U473" s="345">
        <f t="shared" si="171"/>
        <v>0</v>
      </c>
      <c r="V473" s="345">
        <f t="shared" si="172"/>
        <v>0</v>
      </c>
      <c r="W473" s="345">
        <f t="shared" si="173"/>
        <v>0</v>
      </c>
      <c r="X473" s="345">
        <f t="shared" si="174"/>
        <v>0</v>
      </c>
      <c r="Y473" s="345">
        <f t="shared" si="175"/>
        <v>0</v>
      </c>
      <c r="Z473" s="345">
        <f>IF(Q473&lt;&gt;"",VLOOKUP(Y473,TIME!$R$21:$V$24,MATCH(FC_DATA!Q473,TIME!$R$20:$V$20,0),FALSE),H473)</f>
        <v>0</v>
      </c>
      <c r="AA473" s="345" t="str">
        <f>IFERROR(VLOOKUP(X473&amp;Z473,TIME!$A$12:$D$71,4,FALSE),"")</f>
        <v/>
      </c>
      <c r="AB473" s="592">
        <f t="shared" ca="1" si="176"/>
        <v>0</v>
      </c>
      <c r="AC473" s="593" t="e">
        <f ca="1">IF(ISBLANK(H473)=FALSE,IF(D473="BRAND.com",I473,IF(ISNA(VLOOKUP(_xlfn.CONCAT(X473,Z473),TIME!$M$40:$M$42,1,FALSE)),I473,VLOOKUP(_xlfn.CONCAT(D473,G473,H473),M_BUSAREA_FC!$AF$5:$AJ$10,5,FALSE)*HLOOKUP(_xlfn.CONCAT(F473,H473),ST_OVERVIEW!$G$99:$I$130,MATCH(_xlfn.CONCAT(D473,E473),ST_OVERVIEW!$F$99:$F$130,0),FALSE))),IF(D473="BRAND.com",VLOOKUP(_xlfn.CONCAT(C473,D473,E473,TIME!$F$1,Z473),HIS_SALES!$B$2:$V$4859,19,FALSE)*I473,VLOOKUP(_xlfn.CONCAT(D473,F473,G473),Q_BUSAREA_FC!$AE$5:$AI$12,5,FALSE)*HLOOKUP(_xlfn.CONCAT(FC_DATA!F473,FC_DATA!G473),LT_OVERVIEW!$I$99:$M$130,MATCH(_xlfn.CONCAT(D473,FC_DATA!E473),LT_OVERVIEW!$H$99:$H$130,0),FALSE)*IFERROR(VLOOKUP(_xlfn.CONCAT(C473,D473,E473,TIME!$F$1,Z473),HIS_SALES!$B$2:$V$4859,19,FALSE),0)))</f>
        <v>#N/A</v>
      </c>
      <c r="AD473" s="341">
        <f t="shared" ca="1" si="177"/>
        <v>0</v>
      </c>
      <c r="AE473" s="363" t="str">
        <f t="shared" si="178"/>
        <v/>
      </c>
      <c r="AF473" s="342" t="str">
        <f t="shared" si="179"/>
        <v/>
      </c>
      <c r="AG473" s="411" t="e">
        <f ca="1">VLOOKUP(_xlfn.CONCAT(U473,V473,W473,VLOOKUP(X473&amp;Y473,TIME!$L$27:$O$34,4,FALSE),Y473),HIS_SALES!$A$2:$R$5093,18,FALSE)</f>
        <v>#N/A</v>
      </c>
      <c r="AH473" s="412" t="e">
        <f ca="1">IFERROR(IF(AND(V473=V472,W473=W472),0.5*(AB473+AB472)*AG473,(VLOOKUP(_xlfn.CONCAT(U473,V473,W473,X473,VLOOKUP(Z473,TIME!$S$28:$T$39,2,FALSE)),FC_DATA!$R$2:$AB$5000,MATCH("GS_I_M",FC_DATA!$R$1:$AB$1,0),FALSE)+FC_DATA!AB473)*0.5*FC_DATA!AG473),NA())</f>
        <v>#N/A</v>
      </c>
      <c r="AI473" s="491" t="e">
        <f ca="1">IF(V473="PARTNER.com",AH473,IF(AND(V473=V472,W473=W472),(1-AVERAGE(AD472,AD473))*AH473,(1-AVERAGE(AD473,VLOOKUP(_xlfn.CONCAT(U473,V473,W473,X473,M_BRAND_FC!$F$6),FC_DATA!$R$2:$AD$5000,MATCH("DISCOUNT_%_M",FC_DATA!$R$1:$AD$1,0),FALSE)))*AH473))</f>
        <v>#N/A</v>
      </c>
      <c r="AJ473" s="412" t="str">
        <f t="shared" ca="1" si="180"/>
        <v/>
      </c>
      <c r="AK473" s="413" t="str">
        <f>IFERROR(AE473/(Q_BRAND_FC!$T$24+1),"")</f>
        <v/>
      </c>
      <c r="AL473" s="88" t="str">
        <f t="shared" ca="1" si="181"/>
        <v/>
      </c>
      <c r="AM473" s="414" t="str">
        <f t="shared" ca="1" si="182"/>
        <v/>
      </c>
      <c r="AN473" s="58">
        <f>IFERROR(IF($V473="BRAND.com",HLOOKUP($X473&amp;$Z473,NWC_FC_NOOS!$C$4:$Q$23,MATCH(W473,NWC_FC_NOOS!$B$4:$B$23,0),FALSE),0),0)</f>
        <v>0</v>
      </c>
      <c r="AO473" s="57">
        <f>IFERROR(IF($V473="BRAND.com",HLOOKUP($X473&amp;$Z473,NWC_FC_NOOS!$T$4:$AH$23,MATCH(W473,NWC_FC_NOOS!$S$4:$S$23,0),FALSE),0),0)</f>
        <v>0</v>
      </c>
      <c r="AP473" s="57">
        <f>IFERROR(IF($V473="BRAND.com",HLOOKUP($X473&amp;$Z473,NWC_FC_NOOS!$C$50:$U$69,MATCH(W473,NWC_FC_NOOS!$B$50:$B$69,0),FALSE),0),0)</f>
        <v>0</v>
      </c>
      <c r="AQ473" s="58">
        <f>IFERROR(IF($V473="BRAND.com",HLOOKUP($X473&amp;$Z473,'NWC_FC_NON-NOOS'!$C$4:$Q$23,MATCH(W473,'NWC_FC_NON-NOOS'!$B$4:$B$23,0),FALSE),0),0)</f>
        <v>0</v>
      </c>
      <c r="AR473" s="57">
        <f>IFERROR(IF($V473="BRAND.com",HLOOKUP($X473&amp;$Z473,'NWC_FC_NON-NOOS'!$T$4:$AH$23,MATCH(W473,'NWC_FC_NON-NOOS'!$S$4:$S$23,0),FALSE),0),0)</f>
        <v>0</v>
      </c>
      <c r="AS473" s="57">
        <f>IFERROR(IF($V473="BRAND.com",HLOOKUP($X473&amp;$Z473,'NWC_FC_NON-NOOS'!$C$50:$U$69,MATCH(W473,'NWC_FC_NON-NOOS'!$B$50:$B$69,0),FALSE),0),0)</f>
        <v>0</v>
      </c>
      <c r="AT473" s="57">
        <f t="shared" si="184"/>
        <v>0</v>
      </c>
      <c r="AU473" s="57">
        <f t="shared" si="185"/>
        <v>0</v>
      </c>
      <c r="AV473" s="58">
        <f>IFERROR(IF($V473="BRAND.com",HLOOKUP($X473&amp;$Z473,PLANNING_FC!$BB$27:$BP$46,MATCH($W473,PLANNING_FC!$BA$27:$BA$46,0),FALSE),0),0)</f>
        <v>0</v>
      </c>
      <c r="AW473" s="58">
        <f>IFERROR(IF($V473="BRAND.com",HLOOKUP($X473&amp;$Z473,PLANNING_FC!$BB$4:$BP$23,MATCH($W473,PLANNING_FC!$BA$4:$BA$23,0),FALSE),0),0)</f>
        <v>0</v>
      </c>
      <c r="AX473" s="58">
        <f>IFERROR(IF($V473="BRAND.com",HLOOKUP($X473&amp;$Z473,PLANNING_FC!$T$27:$AH$46,MATCH($W473,PLANNING_FC!$B$27:$B$46,0),FALSE),0),0)</f>
        <v>0</v>
      </c>
      <c r="AY473" s="58">
        <f>IFERROR(IF($V473="BRAND.com",HLOOKUP($X473&amp;$Z473,PLANNING_FC!$T$4:$AH$23,MATCH($W473,PLANNING_FC!$B$4:$B$23,0),FALSE),0),0)</f>
        <v>0</v>
      </c>
      <c r="AZ473" s="58">
        <f>IFERROR(IF($V473="BRAND.com",HLOOKUP($X473&amp;$Z473,PLANNING_FC!$DA$27:$DO$46,MATCH($W473,PLANNING_FC!$CZ$27:$CZ$46,0),FALSE),0),0)</f>
        <v>0</v>
      </c>
      <c r="BA473" s="58">
        <f>IFERROR(IF($V473="BRAND.com",HLOOKUP($X473&amp;$Z473,PLANNING_FC!$DA$4:$DO$23,MATCH($W473,PLANNING_FC!$CZ$4:$CZ$23,0),FALSE),0),0)</f>
        <v>0</v>
      </c>
      <c r="BB473" s="883" t="str">
        <f>IF(V473="BRAND.com",IFERROR(HLOOKUP(X473&amp;Z473,PLANNING_FC!$AK$4:$AY$23,MATCH(W473,PLANNING_FC!$AJ$4:$AJ$23,0),FALSE)*1000,""),"")</f>
        <v/>
      </c>
      <c r="BC473" s="883" t="str">
        <f>IF(V473="BRAND.com",IFERROR(HLOOKUP(X473&amp;Z473,PLANNING_FC!$AK$27:$AY$46,MATCH(W473,PLANNING_FC!$AJ$27:$AJ$46,0),FALSE)*1000,""),"")</f>
        <v/>
      </c>
    </row>
    <row r="474" spans="1:55" x14ac:dyDescent="0.25">
      <c r="A474" s="509"/>
      <c r="B474" s="509"/>
      <c r="C474" s="509"/>
      <c r="D474" s="509"/>
      <c r="E474" s="509"/>
      <c r="F474" s="509"/>
      <c r="G474" s="511"/>
      <c r="H474" s="509"/>
      <c r="I474" s="512"/>
      <c r="J474" s="513"/>
      <c r="K474" s="879"/>
      <c r="L474" s="515"/>
      <c r="M474" s="516"/>
      <c r="N474" s="56">
        <f t="shared" si="166"/>
        <v>0</v>
      </c>
      <c r="O474" s="57">
        <f t="shared" si="167"/>
        <v>0</v>
      </c>
      <c r="P474" s="57">
        <f ca="1">IFERROR(IF(ISBLANK(H474),SUMIFS($AC:$AC,$V:$V,V474,$W:$W,W474,$X:$X,X474,$Y:$Y,Y474)*J474/(1-J474)*VLOOKUP(_xlfn.CONCAT(C474,D474,E474,TIME!$M$12,Z474),HIS_SALES!$B$2:$W$4859,20,FALSE),AC474*J474/(1-J474)),0)</f>
        <v>0</v>
      </c>
      <c r="Q474" s="541" t="str">
        <f t="shared" si="168"/>
        <v/>
      </c>
      <c r="R474" s="346" t="str">
        <f t="shared" si="169"/>
        <v>00000</v>
      </c>
      <c r="S474" s="344">
        <f t="shared" si="170"/>
        <v>0</v>
      </c>
      <c r="T474" s="345" t="str">
        <f t="shared" si="183"/>
        <v>000</v>
      </c>
      <c r="U474" s="345">
        <f t="shared" si="171"/>
        <v>0</v>
      </c>
      <c r="V474" s="345">
        <f t="shared" si="172"/>
        <v>0</v>
      </c>
      <c r="W474" s="345">
        <f t="shared" si="173"/>
        <v>0</v>
      </c>
      <c r="X474" s="345">
        <f t="shared" si="174"/>
        <v>0</v>
      </c>
      <c r="Y474" s="345">
        <f t="shared" si="175"/>
        <v>0</v>
      </c>
      <c r="Z474" s="345">
        <f>IF(Q474&lt;&gt;"",VLOOKUP(Y474,TIME!$R$21:$V$24,MATCH(FC_DATA!Q474,TIME!$R$20:$V$20,0),FALSE),H474)</f>
        <v>0</v>
      </c>
      <c r="AA474" s="345" t="str">
        <f>IFERROR(VLOOKUP(X474&amp;Z474,TIME!$A$12:$D$71,4,FALSE),"")</f>
        <v/>
      </c>
      <c r="AB474" s="592">
        <f t="shared" ca="1" si="176"/>
        <v>0</v>
      </c>
      <c r="AC474" s="593" t="e">
        <f ca="1">IF(ISBLANK(H474)=FALSE,IF(D474="BRAND.com",I474,IF(ISNA(VLOOKUP(_xlfn.CONCAT(X474,Z474),TIME!$M$40:$M$42,1,FALSE)),I474,VLOOKUP(_xlfn.CONCAT(D474,G474,H474),M_BUSAREA_FC!$AF$5:$AJ$10,5,FALSE)*HLOOKUP(_xlfn.CONCAT(F474,H474),ST_OVERVIEW!$G$99:$I$130,MATCH(_xlfn.CONCAT(D474,E474),ST_OVERVIEW!$F$99:$F$130,0),FALSE))),IF(D474="BRAND.com",VLOOKUP(_xlfn.CONCAT(C474,D474,E474,TIME!$F$1,Z474),HIS_SALES!$B$2:$V$4859,19,FALSE)*I474,VLOOKUP(_xlfn.CONCAT(D474,F474,G474),Q_BUSAREA_FC!$AE$5:$AI$12,5,FALSE)*HLOOKUP(_xlfn.CONCAT(FC_DATA!F474,FC_DATA!G474),LT_OVERVIEW!$I$99:$M$130,MATCH(_xlfn.CONCAT(D474,FC_DATA!E474),LT_OVERVIEW!$H$99:$H$130,0),FALSE)*IFERROR(VLOOKUP(_xlfn.CONCAT(C474,D474,E474,TIME!$F$1,Z474),HIS_SALES!$B$2:$V$4859,19,FALSE),0)))</f>
        <v>#N/A</v>
      </c>
      <c r="AD474" s="341">
        <f t="shared" ca="1" si="177"/>
        <v>0</v>
      </c>
      <c r="AE474" s="363" t="str">
        <f t="shared" si="178"/>
        <v/>
      </c>
      <c r="AF474" s="342" t="str">
        <f t="shared" si="179"/>
        <v/>
      </c>
      <c r="AG474" s="411" t="e">
        <f ca="1">VLOOKUP(_xlfn.CONCAT(U474,V474,W474,VLOOKUP(X474&amp;Y474,TIME!$L$27:$O$34,4,FALSE),Y474),HIS_SALES!$A$2:$R$5093,18,FALSE)</f>
        <v>#N/A</v>
      </c>
      <c r="AH474" s="412" t="e">
        <f ca="1">IFERROR(IF(AND(V474=V473,W474=W473),0.5*(AB474+AB473)*AG474,(VLOOKUP(_xlfn.CONCAT(U474,V474,W474,X474,VLOOKUP(Z474,TIME!$S$28:$T$39,2,FALSE)),FC_DATA!$R$2:$AB$5000,MATCH("GS_I_M",FC_DATA!$R$1:$AB$1,0),FALSE)+FC_DATA!AB474)*0.5*FC_DATA!AG474),NA())</f>
        <v>#N/A</v>
      </c>
      <c r="AI474" s="491" t="e">
        <f ca="1">IF(V474="PARTNER.com",AH474,IF(AND(V474=V473,W474=W473),(1-AVERAGE(AD473,AD474))*AH474,(1-AVERAGE(AD474,VLOOKUP(_xlfn.CONCAT(U474,V474,W474,X474,M_BRAND_FC!$F$6),FC_DATA!$R$2:$AD$5000,MATCH("DISCOUNT_%_M",FC_DATA!$R$1:$AD$1,0),FALSE)))*AH474))</f>
        <v>#N/A</v>
      </c>
      <c r="AJ474" s="412" t="str">
        <f t="shared" ca="1" si="180"/>
        <v/>
      </c>
      <c r="AK474" s="413" t="str">
        <f>IFERROR(AE474/(Q_BRAND_FC!$T$24+1),"")</f>
        <v/>
      </c>
      <c r="AL474" s="88" t="str">
        <f t="shared" ca="1" si="181"/>
        <v/>
      </c>
      <c r="AM474" s="414" t="str">
        <f t="shared" ca="1" si="182"/>
        <v/>
      </c>
      <c r="AN474" s="58">
        <f>IFERROR(IF($V474="BRAND.com",HLOOKUP($X474&amp;$Z474,NWC_FC_NOOS!$C$4:$Q$23,MATCH(W474,NWC_FC_NOOS!$B$4:$B$23,0),FALSE),0),0)</f>
        <v>0</v>
      </c>
      <c r="AO474" s="57">
        <f>IFERROR(IF($V474="BRAND.com",HLOOKUP($X474&amp;$Z474,NWC_FC_NOOS!$T$4:$AH$23,MATCH(W474,NWC_FC_NOOS!$S$4:$S$23,0),FALSE),0),0)</f>
        <v>0</v>
      </c>
      <c r="AP474" s="57">
        <f>IFERROR(IF($V474="BRAND.com",HLOOKUP($X474&amp;$Z474,NWC_FC_NOOS!$C$50:$U$69,MATCH(W474,NWC_FC_NOOS!$B$50:$B$69,0),FALSE),0),0)</f>
        <v>0</v>
      </c>
      <c r="AQ474" s="58">
        <f>IFERROR(IF($V474="BRAND.com",HLOOKUP($X474&amp;$Z474,'NWC_FC_NON-NOOS'!$C$4:$Q$23,MATCH(W474,'NWC_FC_NON-NOOS'!$B$4:$B$23,0),FALSE),0),0)</f>
        <v>0</v>
      </c>
      <c r="AR474" s="57">
        <f>IFERROR(IF($V474="BRAND.com",HLOOKUP($X474&amp;$Z474,'NWC_FC_NON-NOOS'!$T$4:$AH$23,MATCH(W474,'NWC_FC_NON-NOOS'!$S$4:$S$23,0),FALSE),0),0)</f>
        <v>0</v>
      </c>
      <c r="AS474" s="57">
        <f>IFERROR(IF($V474="BRAND.com",HLOOKUP($X474&amp;$Z474,'NWC_FC_NON-NOOS'!$C$50:$U$69,MATCH(W474,'NWC_FC_NON-NOOS'!$B$50:$B$69,0),FALSE),0),0)</f>
        <v>0</v>
      </c>
      <c r="AT474" s="57">
        <f t="shared" si="184"/>
        <v>0</v>
      </c>
      <c r="AU474" s="57">
        <f t="shared" si="185"/>
        <v>0</v>
      </c>
      <c r="AV474" s="58">
        <f>IFERROR(IF($V474="BRAND.com",HLOOKUP($X474&amp;$Z474,PLANNING_FC!$BB$27:$BP$46,MATCH($W474,PLANNING_FC!$BA$27:$BA$46,0),FALSE),0),0)</f>
        <v>0</v>
      </c>
      <c r="AW474" s="58">
        <f>IFERROR(IF($V474="BRAND.com",HLOOKUP($X474&amp;$Z474,PLANNING_FC!$BB$4:$BP$23,MATCH($W474,PLANNING_FC!$BA$4:$BA$23,0),FALSE),0),0)</f>
        <v>0</v>
      </c>
      <c r="AX474" s="58">
        <f>IFERROR(IF($V474="BRAND.com",HLOOKUP($X474&amp;$Z474,PLANNING_FC!$T$27:$AH$46,MATCH($W474,PLANNING_FC!$B$27:$B$46,0),FALSE),0),0)</f>
        <v>0</v>
      </c>
      <c r="AY474" s="58">
        <f>IFERROR(IF($V474="BRAND.com",HLOOKUP($X474&amp;$Z474,PLANNING_FC!$T$4:$AH$23,MATCH($W474,PLANNING_FC!$B$4:$B$23,0),FALSE),0),0)</f>
        <v>0</v>
      </c>
      <c r="AZ474" s="58">
        <f>IFERROR(IF($V474="BRAND.com",HLOOKUP($X474&amp;$Z474,PLANNING_FC!$DA$27:$DO$46,MATCH($W474,PLANNING_FC!$CZ$27:$CZ$46,0),FALSE),0),0)</f>
        <v>0</v>
      </c>
      <c r="BA474" s="58">
        <f>IFERROR(IF($V474="BRAND.com",HLOOKUP($X474&amp;$Z474,PLANNING_FC!$DA$4:$DO$23,MATCH($W474,PLANNING_FC!$CZ$4:$CZ$23,0),FALSE),0),0)</f>
        <v>0</v>
      </c>
      <c r="BB474" s="883" t="str">
        <f>IF(V474="BRAND.com",IFERROR(HLOOKUP(X474&amp;Z474,PLANNING_FC!$AK$4:$AY$23,MATCH(W474,PLANNING_FC!$AJ$4:$AJ$23,0),FALSE)*1000,""),"")</f>
        <v/>
      </c>
      <c r="BC474" s="883" t="str">
        <f>IF(V474="BRAND.com",IFERROR(HLOOKUP(X474&amp;Z474,PLANNING_FC!$AK$27:$AY$46,MATCH(W474,PLANNING_FC!$AJ$27:$AJ$46,0),FALSE)*1000,""),"")</f>
        <v/>
      </c>
    </row>
    <row r="475" spans="1:55" x14ac:dyDescent="0.25">
      <c r="A475" s="509"/>
      <c r="B475" s="509"/>
      <c r="C475" s="509"/>
      <c r="D475" s="509"/>
      <c r="E475" s="509"/>
      <c r="F475" s="509"/>
      <c r="G475" s="509"/>
      <c r="H475" s="509"/>
      <c r="I475" s="512"/>
      <c r="J475" s="513"/>
      <c r="K475" s="879"/>
      <c r="L475" s="515"/>
      <c r="M475" s="516"/>
      <c r="N475" s="56">
        <f t="shared" si="166"/>
        <v>0</v>
      </c>
      <c r="O475" s="57">
        <f t="shared" si="167"/>
        <v>0</v>
      </c>
      <c r="P475" s="57">
        <f ca="1">IFERROR(IF(ISBLANK(H475),SUMIFS($AC:$AC,$V:$V,V475,$W:$W,W475,$X:$X,X475,$Y:$Y,Y475)*J475/(1-J475)*VLOOKUP(_xlfn.CONCAT(C475,D475,E475,TIME!$M$12,Z475),HIS_SALES!$B$2:$W$4859,20,FALSE),AC475*J475/(1-J475)),0)</f>
        <v>0</v>
      </c>
      <c r="Q475" s="541" t="str">
        <f t="shared" si="168"/>
        <v/>
      </c>
      <c r="R475" s="346" t="str">
        <f t="shared" si="169"/>
        <v>00000</v>
      </c>
      <c r="S475" s="344">
        <f t="shared" si="170"/>
        <v>0</v>
      </c>
      <c r="T475" s="345" t="str">
        <f t="shared" si="183"/>
        <v>000</v>
      </c>
      <c r="U475" s="345">
        <f t="shared" si="171"/>
        <v>0</v>
      </c>
      <c r="V475" s="345">
        <f t="shared" si="172"/>
        <v>0</v>
      </c>
      <c r="W475" s="345">
        <f t="shared" si="173"/>
        <v>0</v>
      </c>
      <c r="X475" s="345">
        <f t="shared" si="174"/>
        <v>0</v>
      </c>
      <c r="Y475" s="345">
        <f t="shared" si="175"/>
        <v>0</v>
      </c>
      <c r="Z475" s="345">
        <f>IF(Q475&lt;&gt;"",VLOOKUP(Y475,TIME!$R$21:$V$24,MATCH(FC_DATA!Q475,TIME!$R$20:$V$20,0),FALSE),H475)</f>
        <v>0</v>
      </c>
      <c r="AA475" s="345" t="str">
        <f>IFERROR(VLOOKUP(X475&amp;Z475,TIME!$A$12:$D$71,4,FALSE),"")</f>
        <v/>
      </c>
      <c r="AB475" s="592">
        <f t="shared" ca="1" si="176"/>
        <v>0</v>
      </c>
      <c r="AC475" s="593" t="e">
        <f ca="1">IF(ISBLANK(H475)=FALSE,IF(D475="BRAND.com",I475,IF(ISNA(VLOOKUP(_xlfn.CONCAT(X475,Z475),TIME!$M$40:$M$42,1,FALSE)),I475,VLOOKUP(_xlfn.CONCAT(D475,G475,H475),M_BUSAREA_FC!$AF$5:$AJ$10,5,FALSE)*HLOOKUP(_xlfn.CONCAT(F475,H475),ST_OVERVIEW!$G$99:$I$130,MATCH(_xlfn.CONCAT(D475,E475),ST_OVERVIEW!$F$99:$F$130,0),FALSE))),IF(D475="BRAND.com",VLOOKUP(_xlfn.CONCAT(C475,D475,E475,TIME!$F$1,Z475),HIS_SALES!$B$2:$V$4859,19,FALSE)*I475,VLOOKUP(_xlfn.CONCAT(D475,F475,G475),Q_BUSAREA_FC!$AE$5:$AI$12,5,FALSE)*HLOOKUP(_xlfn.CONCAT(FC_DATA!F475,FC_DATA!G475),LT_OVERVIEW!$I$99:$M$130,MATCH(_xlfn.CONCAT(D475,FC_DATA!E475),LT_OVERVIEW!$H$99:$H$130,0),FALSE)*IFERROR(VLOOKUP(_xlfn.CONCAT(C475,D475,E475,TIME!$F$1,Z475),HIS_SALES!$B$2:$V$4859,19,FALSE),0)))</f>
        <v>#N/A</v>
      </c>
      <c r="AD475" s="341">
        <f t="shared" ca="1" si="177"/>
        <v>0</v>
      </c>
      <c r="AE475" s="363" t="str">
        <f t="shared" si="178"/>
        <v/>
      </c>
      <c r="AF475" s="342" t="str">
        <f t="shared" si="179"/>
        <v/>
      </c>
      <c r="AG475" s="411" t="e">
        <f ca="1">VLOOKUP(_xlfn.CONCAT(U475,V475,W475,VLOOKUP(X475&amp;Y475,TIME!$L$27:$O$34,4,FALSE),Y475),HIS_SALES!$A$2:$R$5093,18,FALSE)</f>
        <v>#N/A</v>
      </c>
      <c r="AH475" s="412" t="e">
        <f ca="1">IFERROR(IF(AND(V475=V474,W475=W474),0.5*(AB475+AB474)*AG475,(VLOOKUP(_xlfn.CONCAT(U475,V475,W475,X475,VLOOKUP(Z475,TIME!$S$28:$T$39,2,FALSE)),FC_DATA!$R$2:$AB$5000,MATCH("GS_I_M",FC_DATA!$R$1:$AB$1,0),FALSE)+FC_DATA!AB475)*0.5*FC_DATA!AG475),NA())</f>
        <v>#N/A</v>
      </c>
      <c r="AI475" s="491" t="e">
        <f ca="1">IF(V475="PARTNER.com",AH475,IF(AND(V475=V474,W475=W474),(1-AVERAGE(AD474,AD475))*AH475,(1-AVERAGE(AD475,VLOOKUP(_xlfn.CONCAT(U475,V475,W475,X475,M_BRAND_FC!$F$6),FC_DATA!$R$2:$AD$5000,MATCH("DISCOUNT_%_M",FC_DATA!$R$1:$AD$1,0),FALSE)))*AH475))</f>
        <v>#N/A</v>
      </c>
      <c r="AJ475" s="412" t="str">
        <f t="shared" ca="1" si="180"/>
        <v/>
      </c>
      <c r="AK475" s="413" t="str">
        <f>IFERROR(AE475/(Q_BRAND_FC!$T$24+1),"")</f>
        <v/>
      </c>
      <c r="AL475" s="88" t="str">
        <f t="shared" ca="1" si="181"/>
        <v/>
      </c>
      <c r="AM475" s="414" t="str">
        <f t="shared" ca="1" si="182"/>
        <v/>
      </c>
      <c r="AN475" s="58">
        <f>IFERROR(IF($V475="BRAND.com",HLOOKUP($X475&amp;$Z475,NWC_FC_NOOS!$C$4:$Q$23,MATCH(W475,NWC_FC_NOOS!$B$4:$B$23,0),FALSE),0),0)</f>
        <v>0</v>
      </c>
      <c r="AO475" s="57">
        <f>IFERROR(IF($V475="BRAND.com",HLOOKUP($X475&amp;$Z475,NWC_FC_NOOS!$T$4:$AH$23,MATCH(W475,NWC_FC_NOOS!$S$4:$S$23,0),FALSE),0),0)</f>
        <v>0</v>
      </c>
      <c r="AP475" s="57">
        <f>IFERROR(IF($V475="BRAND.com",HLOOKUP($X475&amp;$Z475,NWC_FC_NOOS!$C$50:$U$69,MATCH(W475,NWC_FC_NOOS!$B$50:$B$69,0),FALSE),0),0)</f>
        <v>0</v>
      </c>
      <c r="AQ475" s="58">
        <f>IFERROR(IF($V475="BRAND.com",HLOOKUP($X475&amp;$Z475,'NWC_FC_NON-NOOS'!$C$4:$Q$23,MATCH(W475,'NWC_FC_NON-NOOS'!$B$4:$B$23,0),FALSE),0),0)</f>
        <v>0</v>
      </c>
      <c r="AR475" s="57">
        <f>IFERROR(IF($V475="BRAND.com",HLOOKUP($X475&amp;$Z475,'NWC_FC_NON-NOOS'!$T$4:$AH$23,MATCH(W475,'NWC_FC_NON-NOOS'!$S$4:$S$23,0),FALSE),0),0)</f>
        <v>0</v>
      </c>
      <c r="AS475" s="57">
        <f>IFERROR(IF($V475="BRAND.com",HLOOKUP($X475&amp;$Z475,'NWC_FC_NON-NOOS'!$C$50:$U$69,MATCH(W475,'NWC_FC_NON-NOOS'!$B$50:$B$69,0),FALSE),0),0)</f>
        <v>0</v>
      </c>
      <c r="AT475" s="57">
        <f t="shared" si="184"/>
        <v>0</v>
      </c>
      <c r="AU475" s="57">
        <f t="shared" si="185"/>
        <v>0</v>
      </c>
      <c r="AV475" s="58">
        <f>IFERROR(IF($V475="BRAND.com",HLOOKUP($X475&amp;$Z475,PLANNING_FC!$BB$27:$BP$46,MATCH($W475,PLANNING_FC!$BA$27:$BA$46,0),FALSE),0),0)</f>
        <v>0</v>
      </c>
      <c r="AW475" s="58">
        <f>IFERROR(IF($V475="BRAND.com",HLOOKUP($X475&amp;$Z475,PLANNING_FC!$BB$4:$BP$23,MATCH($W475,PLANNING_FC!$BA$4:$BA$23,0),FALSE),0),0)</f>
        <v>0</v>
      </c>
      <c r="AX475" s="58">
        <f>IFERROR(IF($V475="BRAND.com",HLOOKUP($X475&amp;$Z475,PLANNING_FC!$T$27:$AH$46,MATCH($W475,PLANNING_FC!$B$27:$B$46,0),FALSE),0),0)</f>
        <v>0</v>
      </c>
      <c r="AY475" s="58">
        <f>IFERROR(IF($V475="BRAND.com",HLOOKUP($X475&amp;$Z475,PLANNING_FC!$T$4:$AH$23,MATCH($W475,PLANNING_FC!$B$4:$B$23,0),FALSE),0),0)</f>
        <v>0</v>
      </c>
      <c r="AZ475" s="58">
        <f>IFERROR(IF($V475="BRAND.com",HLOOKUP($X475&amp;$Z475,PLANNING_FC!$DA$27:$DO$46,MATCH($W475,PLANNING_FC!$CZ$27:$CZ$46,0),FALSE),0),0)</f>
        <v>0</v>
      </c>
      <c r="BA475" s="58">
        <f>IFERROR(IF($V475="BRAND.com",HLOOKUP($X475&amp;$Z475,PLANNING_FC!$DA$4:$DO$23,MATCH($W475,PLANNING_FC!$CZ$4:$CZ$23,0),FALSE),0),0)</f>
        <v>0</v>
      </c>
      <c r="BB475" s="883" t="str">
        <f>IF(V475="BRAND.com",IFERROR(HLOOKUP(X475&amp;Z475,PLANNING_FC!$AK$4:$AY$23,MATCH(W475,PLANNING_FC!$AJ$4:$AJ$23,0),FALSE)*1000,""),"")</f>
        <v/>
      </c>
      <c r="BC475" s="883" t="str">
        <f>IF(V475="BRAND.com",IFERROR(HLOOKUP(X475&amp;Z475,PLANNING_FC!$AK$27:$AY$46,MATCH(W475,PLANNING_FC!$AJ$27:$AJ$46,0),FALSE)*1000,""),"")</f>
        <v/>
      </c>
    </row>
    <row r="476" spans="1:55" x14ac:dyDescent="0.25">
      <c r="A476" s="509"/>
      <c r="B476" s="509"/>
      <c r="C476" s="509"/>
      <c r="D476" s="509"/>
      <c r="E476" s="509"/>
      <c r="F476" s="509"/>
      <c r="G476" s="509"/>
      <c r="H476" s="509"/>
      <c r="I476" s="512"/>
      <c r="J476" s="513"/>
      <c r="K476" s="879"/>
      <c r="L476" s="515"/>
      <c r="M476" s="516"/>
      <c r="N476" s="56">
        <f t="shared" si="166"/>
        <v>0</v>
      </c>
      <c r="O476" s="57">
        <f t="shared" si="167"/>
        <v>0</v>
      </c>
      <c r="P476" s="57">
        <f ca="1">IFERROR(IF(ISBLANK(H476),SUMIFS($AC:$AC,$V:$V,V476,$W:$W,W476,$X:$X,X476,$Y:$Y,Y476)*J476/(1-J476)*VLOOKUP(_xlfn.CONCAT(C476,D476,E476,TIME!$M$12,Z476),HIS_SALES!$B$2:$W$4859,20,FALSE),AC476*J476/(1-J476)),0)</f>
        <v>0</v>
      </c>
      <c r="Q476" s="541" t="str">
        <f t="shared" si="168"/>
        <v/>
      </c>
      <c r="R476" s="346" t="str">
        <f t="shared" si="169"/>
        <v>00000</v>
      </c>
      <c r="S476" s="344">
        <f t="shared" si="170"/>
        <v>0</v>
      </c>
      <c r="T476" s="345" t="str">
        <f t="shared" si="183"/>
        <v>000</v>
      </c>
      <c r="U476" s="345">
        <f t="shared" si="171"/>
        <v>0</v>
      </c>
      <c r="V476" s="345">
        <f t="shared" si="172"/>
        <v>0</v>
      </c>
      <c r="W476" s="345">
        <f t="shared" si="173"/>
        <v>0</v>
      </c>
      <c r="X476" s="345">
        <f t="shared" si="174"/>
        <v>0</v>
      </c>
      <c r="Y476" s="345">
        <f t="shared" si="175"/>
        <v>0</v>
      </c>
      <c r="Z476" s="345">
        <f>IF(Q476&lt;&gt;"",VLOOKUP(Y476,TIME!$R$21:$V$24,MATCH(FC_DATA!Q476,TIME!$R$20:$V$20,0),FALSE),H476)</f>
        <v>0</v>
      </c>
      <c r="AA476" s="345" t="str">
        <f>IFERROR(VLOOKUP(X476&amp;Z476,TIME!$A$12:$D$71,4,FALSE),"")</f>
        <v/>
      </c>
      <c r="AB476" s="592">
        <f t="shared" ca="1" si="176"/>
        <v>0</v>
      </c>
      <c r="AC476" s="593" t="e">
        <f ca="1">IF(ISBLANK(H476)=FALSE,IF(D476="BRAND.com",I476,IF(ISNA(VLOOKUP(_xlfn.CONCAT(X476,Z476),TIME!$M$40:$M$42,1,FALSE)),I476,VLOOKUP(_xlfn.CONCAT(D476,G476,H476),M_BUSAREA_FC!$AF$5:$AJ$10,5,FALSE)*HLOOKUP(_xlfn.CONCAT(F476,H476),ST_OVERVIEW!$G$99:$I$130,MATCH(_xlfn.CONCAT(D476,E476),ST_OVERVIEW!$F$99:$F$130,0),FALSE))),IF(D476="BRAND.com",VLOOKUP(_xlfn.CONCAT(C476,D476,E476,TIME!$F$1,Z476),HIS_SALES!$B$2:$V$4859,19,FALSE)*I476,VLOOKUP(_xlfn.CONCAT(D476,F476,G476),Q_BUSAREA_FC!$AE$5:$AI$12,5,FALSE)*HLOOKUP(_xlfn.CONCAT(FC_DATA!F476,FC_DATA!G476),LT_OVERVIEW!$I$99:$M$130,MATCH(_xlfn.CONCAT(D476,FC_DATA!E476),LT_OVERVIEW!$H$99:$H$130,0),FALSE)*IFERROR(VLOOKUP(_xlfn.CONCAT(C476,D476,E476,TIME!$F$1,Z476),HIS_SALES!$B$2:$V$4859,19,FALSE),0)))</f>
        <v>#N/A</v>
      </c>
      <c r="AD476" s="341">
        <f t="shared" ca="1" si="177"/>
        <v>0</v>
      </c>
      <c r="AE476" s="363" t="str">
        <f t="shared" si="178"/>
        <v/>
      </c>
      <c r="AF476" s="342" t="str">
        <f t="shared" si="179"/>
        <v/>
      </c>
      <c r="AG476" s="411" t="e">
        <f ca="1">VLOOKUP(_xlfn.CONCAT(U476,V476,W476,VLOOKUP(X476&amp;Y476,TIME!$L$27:$O$34,4,FALSE),Y476),HIS_SALES!$A$2:$R$5093,18,FALSE)</f>
        <v>#N/A</v>
      </c>
      <c r="AH476" s="412" t="e">
        <f ca="1">IFERROR(IF(AND(V476=V475,W476=W475),0.5*(AB476+AB475)*AG476,(VLOOKUP(_xlfn.CONCAT(U476,V476,W476,X476,VLOOKUP(Z476,TIME!$S$28:$T$39,2,FALSE)),FC_DATA!$R$2:$AB$5000,MATCH("GS_I_M",FC_DATA!$R$1:$AB$1,0),FALSE)+FC_DATA!AB476)*0.5*FC_DATA!AG476),NA())</f>
        <v>#N/A</v>
      </c>
      <c r="AI476" s="491" t="e">
        <f ca="1">IF(V476="PARTNER.com",AH476,IF(AND(V476=V475,W476=W475),(1-AVERAGE(AD475,AD476))*AH476,(1-AVERAGE(AD476,VLOOKUP(_xlfn.CONCAT(U476,V476,W476,X476,M_BRAND_FC!$F$6),FC_DATA!$R$2:$AD$5000,MATCH("DISCOUNT_%_M",FC_DATA!$R$1:$AD$1,0),FALSE)))*AH476))</f>
        <v>#N/A</v>
      </c>
      <c r="AJ476" s="412" t="str">
        <f t="shared" ca="1" si="180"/>
        <v/>
      </c>
      <c r="AK476" s="413" t="str">
        <f>IFERROR(AE476/(Q_BRAND_FC!$T$24+1),"")</f>
        <v/>
      </c>
      <c r="AL476" s="88" t="str">
        <f t="shared" ca="1" si="181"/>
        <v/>
      </c>
      <c r="AM476" s="414" t="str">
        <f t="shared" ca="1" si="182"/>
        <v/>
      </c>
      <c r="AN476" s="58">
        <f>IFERROR(IF($V476="BRAND.com",HLOOKUP($X476&amp;$Z476,NWC_FC_NOOS!$C$4:$Q$23,MATCH(W476,NWC_FC_NOOS!$B$4:$B$23,0),FALSE),0),0)</f>
        <v>0</v>
      </c>
      <c r="AO476" s="57">
        <f>IFERROR(IF($V476="BRAND.com",HLOOKUP($X476&amp;$Z476,NWC_FC_NOOS!$T$4:$AH$23,MATCH(W476,NWC_FC_NOOS!$S$4:$S$23,0),FALSE),0),0)</f>
        <v>0</v>
      </c>
      <c r="AP476" s="57">
        <f>IFERROR(IF($V476="BRAND.com",HLOOKUP($X476&amp;$Z476,NWC_FC_NOOS!$C$50:$U$69,MATCH(W476,NWC_FC_NOOS!$B$50:$B$69,0),FALSE),0),0)</f>
        <v>0</v>
      </c>
      <c r="AQ476" s="58">
        <f>IFERROR(IF($V476="BRAND.com",HLOOKUP($X476&amp;$Z476,'NWC_FC_NON-NOOS'!$C$4:$Q$23,MATCH(W476,'NWC_FC_NON-NOOS'!$B$4:$B$23,0),FALSE),0),0)</f>
        <v>0</v>
      </c>
      <c r="AR476" s="57">
        <f>IFERROR(IF($V476="BRAND.com",HLOOKUP($X476&amp;$Z476,'NWC_FC_NON-NOOS'!$T$4:$AH$23,MATCH(W476,'NWC_FC_NON-NOOS'!$S$4:$S$23,0),FALSE),0),0)</f>
        <v>0</v>
      </c>
      <c r="AS476" s="57">
        <f>IFERROR(IF($V476="BRAND.com",HLOOKUP($X476&amp;$Z476,'NWC_FC_NON-NOOS'!$C$50:$U$69,MATCH(W476,'NWC_FC_NON-NOOS'!$B$50:$B$69,0),FALSE),0),0)</f>
        <v>0</v>
      </c>
      <c r="AT476" s="57">
        <f t="shared" si="184"/>
        <v>0</v>
      </c>
      <c r="AU476" s="57">
        <f t="shared" si="185"/>
        <v>0</v>
      </c>
      <c r="AV476" s="58">
        <f>IFERROR(IF($V476="BRAND.com",HLOOKUP($X476&amp;$Z476,PLANNING_FC!$BB$27:$BP$46,MATCH($W476,PLANNING_FC!$BA$27:$BA$46,0),FALSE),0),0)</f>
        <v>0</v>
      </c>
      <c r="AW476" s="58">
        <f>IFERROR(IF($V476="BRAND.com",HLOOKUP($X476&amp;$Z476,PLANNING_FC!$BB$4:$BP$23,MATCH($W476,PLANNING_FC!$BA$4:$BA$23,0),FALSE),0),0)</f>
        <v>0</v>
      </c>
      <c r="AX476" s="58">
        <f>IFERROR(IF($V476="BRAND.com",HLOOKUP($X476&amp;$Z476,PLANNING_FC!$T$27:$AH$46,MATCH($W476,PLANNING_FC!$B$27:$B$46,0),FALSE),0),0)</f>
        <v>0</v>
      </c>
      <c r="AY476" s="58">
        <f>IFERROR(IF($V476="BRAND.com",HLOOKUP($X476&amp;$Z476,PLANNING_FC!$T$4:$AH$23,MATCH($W476,PLANNING_FC!$B$4:$B$23,0),FALSE),0),0)</f>
        <v>0</v>
      </c>
      <c r="AZ476" s="58">
        <f>IFERROR(IF($V476="BRAND.com",HLOOKUP($X476&amp;$Z476,PLANNING_FC!$DA$27:$DO$46,MATCH($W476,PLANNING_FC!$CZ$27:$CZ$46,0),FALSE),0),0)</f>
        <v>0</v>
      </c>
      <c r="BA476" s="58">
        <f>IFERROR(IF($V476="BRAND.com",HLOOKUP($X476&amp;$Z476,PLANNING_FC!$DA$4:$DO$23,MATCH($W476,PLANNING_FC!$CZ$4:$CZ$23,0),FALSE),0),0)</f>
        <v>0</v>
      </c>
      <c r="BB476" s="883" t="str">
        <f>IF(V476="BRAND.com",IFERROR(HLOOKUP(X476&amp;Z476,PLANNING_FC!$AK$4:$AY$23,MATCH(W476,PLANNING_FC!$AJ$4:$AJ$23,0),FALSE)*1000,""),"")</f>
        <v/>
      </c>
      <c r="BC476" s="883" t="str">
        <f>IF(V476="BRAND.com",IFERROR(HLOOKUP(X476&amp;Z476,PLANNING_FC!$AK$27:$AY$46,MATCH(W476,PLANNING_FC!$AJ$27:$AJ$46,0),FALSE)*1000,""),"")</f>
        <v/>
      </c>
    </row>
    <row r="477" spans="1:55" x14ac:dyDescent="0.25">
      <c r="A477" s="509"/>
      <c r="B477" s="509"/>
      <c r="C477" s="509"/>
      <c r="D477" s="509"/>
      <c r="E477" s="509"/>
      <c r="F477" s="509"/>
      <c r="G477" s="509"/>
      <c r="H477" s="509"/>
      <c r="I477" s="512"/>
      <c r="J477" s="513"/>
      <c r="K477" s="879"/>
      <c r="L477" s="515"/>
      <c r="M477" s="516"/>
      <c r="N477" s="56">
        <f t="shared" si="166"/>
        <v>0</v>
      </c>
      <c r="O477" s="57">
        <f t="shared" si="167"/>
        <v>0</v>
      </c>
      <c r="P477" s="57">
        <f ca="1">IFERROR(IF(ISBLANK(H477),SUMIFS($AC:$AC,$V:$V,V477,$W:$W,W477,$X:$X,X477,$Y:$Y,Y477)*J477/(1-J477)*VLOOKUP(_xlfn.CONCAT(C477,D477,E477,TIME!$M$12,Z477),HIS_SALES!$B$2:$W$4859,20,FALSE),AC477*J477/(1-J477)),0)</f>
        <v>0</v>
      </c>
      <c r="Q477" s="541" t="str">
        <f t="shared" si="168"/>
        <v/>
      </c>
      <c r="R477" s="346" t="str">
        <f t="shared" si="169"/>
        <v>00000</v>
      </c>
      <c r="S477" s="344">
        <f t="shared" si="170"/>
        <v>0</v>
      </c>
      <c r="T477" s="345" t="str">
        <f t="shared" si="183"/>
        <v>000</v>
      </c>
      <c r="U477" s="345">
        <f t="shared" si="171"/>
        <v>0</v>
      </c>
      <c r="V477" s="345">
        <f t="shared" si="172"/>
        <v>0</v>
      </c>
      <c r="W477" s="345">
        <f t="shared" si="173"/>
        <v>0</v>
      </c>
      <c r="X477" s="345">
        <f t="shared" si="174"/>
        <v>0</v>
      </c>
      <c r="Y477" s="345">
        <f t="shared" si="175"/>
        <v>0</v>
      </c>
      <c r="Z477" s="345">
        <f>IF(Q477&lt;&gt;"",VLOOKUP(Y477,TIME!$R$21:$V$24,MATCH(FC_DATA!Q477,TIME!$R$20:$V$20,0),FALSE),H477)</f>
        <v>0</v>
      </c>
      <c r="AA477" s="345" t="str">
        <f>IFERROR(VLOOKUP(X477&amp;Z477,TIME!$A$12:$D$71,4,FALSE),"")</f>
        <v/>
      </c>
      <c r="AB477" s="592">
        <f t="shared" ca="1" si="176"/>
        <v>0</v>
      </c>
      <c r="AC477" s="593" t="e">
        <f ca="1">IF(ISBLANK(H477)=FALSE,IF(D477="BRAND.com",I477,IF(ISNA(VLOOKUP(_xlfn.CONCAT(X477,Z477),TIME!$M$40:$M$42,1,FALSE)),I477,VLOOKUP(_xlfn.CONCAT(D477,G477,H477),M_BUSAREA_FC!$AF$5:$AJ$10,5,FALSE)*HLOOKUP(_xlfn.CONCAT(F477,H477),ST_OVERVIEW!$G$99:$I$130,MATCH(_xlfn.CONCAT(D477,E477),ST_OVERVIEW!$F$99:$F$130,0),FALSE))),IF(D477="BRAND.com",VLOOKUP(_xlfn.CONCAT(C477,D477,E477,TIME!$F$1,Z477),HIS_SALES!$B$2:$V$4859,19,FALSE)*I477,VLOOKUP(_xlfn.CONCAT(D477,F477,G477),Q_BUSAREA_FC!$AE$5:$AI$12,5,FALSE)*HLOOKUP(_xlfn.CONCAT(FC_DATA!F477,FC_DATA!G477),LT_OVERVIEW!$I$99:$M$130,MATCH(_xlfn.CONCAT(D477,FC_DATA!E477),LT_OVERVIEW!$H$99:$H$130,0),FALSE)*IFERROR(VLOOKUP(_xlfn.CONCAT(C477,D477,E477,TIME!$F$1,Z477),HIS_SALES!$B$2:$V$4859,19,FALSE),0)))</f>
        <v>#N/A</v>
      </c>
      <c r="AD477" s="341">
        <f t="shared" ca="1" si="177"/>
        <v>0</v>
      </c>
      <c r="AE477" s="363" t="str">
        <f t="shared" si="178"/>
        <v/>
      </c>
      <c r="AF477" s="342" t="str">
        <f t="shared" si="179"/>
        <v/>
      </c>
      <c r="AG477" s="411" t="e">
        <f ca="1">VLOOKUP(_xlfn.CONCAT(U477,V477,W477,VLOOKUP(X477&amp;Y477,TIME!$L$27:$O$34,4,FALSE),Y477),HIS_SALES!$A$2:$R$5093,18,FALSE)</f>
        <v>#N/A</v>
      </c>
      <c r="AH477" s="412" t="e">
        <f ca="1">IFERROR(IF(AND(V477=V476,W477=W476),0.5*(AB477+AB476)*AG477,(VLOOKUP(_xlfn.CONCAT(U477,V477,W477,X477,VLOOKUP(Z477,TIME!$S$28:$T$39,2,FALSE)),FC_DATA!$R$2:$AB$5000,MATCH("GS_I_M",FC_DATA!$R$1:$AB$1,0),FALSE)+FC_DATA!AB477)*0.5*FC_DATA!AG477),NA())</f>
        <v>#N/A</v>
      </c>
      <c r="AI477" s="491" t="e">
        <f ca="1">IF(V477="PARTNER.com",AH477,IF(AND(V477=V476,W477=W476),(1-AVERAGE(AD476,AD477))*AH477,(1-AVERAGE(AD477,VLOOKUP(_xlfn.CONCAT(U477,V477,W477,X477,M_BRAND_FC!$F$6),FC_DATA!$R$2:$AD$5000,MATCH("DISCOUNT_%_M",FC_DATA!$R$1:$AD$1,0),FALSE)))*AH477))</f>
        <v>#N/A</v>
      </c>
      <c r="AJ477" s="412" t="str">
        <f t="shared" ca="1" si="180"/>
        <v/>
      </c>
      <c r="AK477" s="413" t="str">
        <f>IFERROR(AE477/(Q_BRAND_FC!$T$24+1),"")</f>
        <v/>
      </c>
      <c r="AL477" s="88" t="str">
        <f t="shared" ca="1" si="181"/>
        <v/>
      </c>
      <c r="AM477" s="414" t="str">
        <f t="shared" ca="1" si="182"/>
        <v/>
      </c>
      <c r="AN477" s="58">
        <f>IFERROR(IF($V477="BRAND.com",HLOOKUP($X477&amp;$Z477,NWC_FC_NOOS!$C$4:$Q$23,MATCH(W477,NWC_FC_NOOS!$B$4:$B$23,0),FALSE),0),0)</f>
        <v>0</v>
      </c>
      <c r="AO477" s="57">
        <f>IFERROR(IF($V477="BRAND.com",HLOOKUP($X477&amp;$Z477,NWC_FC_NOOS!$T$4:$AH$23,MATCH(W477,NWC_FC_NOOS!$S$4:$S$23,0),FALSE),0),0)</f>
        <v>0</v>
      </c>
      <c r="AP477" s="57">
        <f>IFERROR(IF($V477="BRAND.com",HLOOKUP($X477&amp;$Z477,NWC_FC_NOOS!$C$50:$U$69,MATCH(W477,NWC_FC_NOOS!$B$50:$B$69,0),FALSE),0),0)</f>
        <v>0</v>
      </c>
      <c r="AQ477" s="58">
        <f>IFERROR(IF($V477="BRAND.com",HLOOKUP($X477&amp;$Z477,'NWC_FC_NON-NOOS'!$C$4:$Q$23,MATCH(W477,'NWC_FC_NON-NOOS'!$B$4:$B$23,0),FALSE),0),0)</f>
        <v>0</v>
      </c>
      <c r="AR477" s="57">
        <f>IFERROR(IF($V477="BRAND.com",HLOOKUP($X477&amp;$Z477,'NWC_FC_NON-NOOS'!$T$4:$AH$23,MATCH(W477,'NWC_FC_NON-NOOS'!$S$4:$S$23,0),FALSE),0),0)</f>
        <v>0</v>
      </c>
      <c r="AS477" s="57">
        <f>IFERROR(IF($V477="BRAND.com",HLOOKUP($X477&amp;$Z477,'NWC_FC_NON-NOOS'!$C$50:$U$69,MATCH(W477,'NWC_FC_NON-NOOS'!$B$50:$B$69,0),FALSE),0),0)</f>
        <v>0</v>
      </c>
      <c r="AT477" s="57">
        <f t="shared" si="184"/>
        <v>0</v>
      </c>
      <c r="AU477" s="57">
        <f t="shared" si="185"/>
        <v>0</v>
      </c>
      <c r="AV477" s="58">
        <f>IFERROR(IF($V477="BRAND.com",HLOOKUP($X477&amp;$Z477,PLANNING_FC!$BB$27:$BP$46,MATCH($W477,PLANNING_FC!$BA$27:$BA$46,0),FALSE),0),0)</f>
        <v>0</v>
      </c>
      <c r="AW477" s="58">
        <f>IFERROR(IF($V477="BRAND.com",HLOOKUP($X477&amp;$Z477,PLANNING_FC!$BB$4:$BP$23,MATCH($W477,PLANNING_FC!$BA$4:$BA$23,0),FALSE),0),0)</f>
        <v>0</v>
      </c>
      <c r="AX477" s="58">
        <f>IFERROR(IF($V477="BRAND.com",HLOOKUP($X477&amp;$Z477,PLANNING_FC!$T$27:$AH$46,MATCH($W477,PLANNING_FC!$B$27:$B$46,0),FALSE),0),0)</f>
        <v>0</v>
      </c>
      <c r="AY477" s="58">
        <f>IFERROR(IF($V477="BRAND.com",HLOOKUP($X477&amp;$Z477,PLANNING_FC!$T$4:$AH$23,MATCH($W477,PLANNING_FC!$B$4:$B$23,0),FALSE),0),0)</f>
        <v>0</v>
      </c>
      <c r="AZ477" s="58">
        <f>IFERROR(IF($V477="BRAND.com",HLOOKUP($X477&amp;$Z477,PLANNING_FC!$DA$27:$DO$46,MATCH($W477,PLANNING_FC!$CZ$27:$CZ$46,0),FALSE),0),0)</f>
        <v>0</v>
      </c>
      <c r="BA477" s="58">
        <f>IFERROR(IF($V477="BRAND.com",HLOOKUP($X477&amp;$Z477,PLANNING_FC!$DA$4:$DO$23,MATCH($W477,PLANNING_FC!$CZ$4:$CZ$23,0),FALSE),0),0)</f>
        <v>0</v>
      </c>
      <c r="BB477" s="883" t="str">
        <f>IF(V477="BRAND.com",IFERROR(HLOOKUP(X477&amp;Z477,PLANNING_FC!$AK$4:$AY$23,MATCH(W477,PLANNING_FC!$AJ$4:$AJ$23,0),FALSE)*1000,""),"")</f>
        <v/>
      </c>
      <c r="BC477" s="883" t="str">
        <f>IF(V477="BRAND.com",IFERROR(HLOOKUP(X477&amp;Z477,PLANNING_FC!$AK$27:$AY$46,MATCH(W477,PLANNING_FC!$AJ$27:$AJ$46,0),FALSE)*1000,""),"")</f>
        <v/>
      </c>
    </row>
    <row r="478" spans="1:55" x14ac:dyDescent="0.25">
      <c r="A478" s="509"/>
      <c r="B478" s="509"/>
      <c r="C478" s="509"/>
      <c r="D478" s="509"/>
      <c r="E478" s="509"/>
      <c r="F478" s="509"/>
      <c r="G478" s="511"/>
      <c r="H478" s="509"/>
      <c r="I478" s="512"/>
      <c r="J478" s="513"/>
      <c r="K478" s="879"/>
      <c r="L478" s="515"/>
      <c r="M478" s="516"/>
      <c r="N478" s="56">
        <f t="shared" si="166"/>
        <v>0</v>
      </c>
      <c r="O478" s="57">
        <f t="shared" si="167"/>
        <v>0</v>
      </c>
      <c r="P478" s="57">
        <f ca="1">IFERROR(IF(ISBLANK(H478),SUMIFS($AC:$AC,$V:$V,V478,$W:$W,W478,$X:$X,X478,$Y:$Y,Y478)*J478/(1-J478)*VLOOKUP(_xlfn.CONCAT(C478,D478,E478,TIME!$M$12,Z478),HIS_SALES!$B$2:$W$4859,20,FALSE),AC478*J478/(1-J478)),0)</f>
        <v>0</v>
      </c>
      <c r="Q478" s="541" t="str">
        <f t="shared" si="168"/>
        <v/>
      </c>
      <c r="R478" s="346" t="str">
        <f t="shared" si="169"/>
        <v>00000</v>
      </c>
      <c r="S478" s="344">
        <f t="shared" si="170"/>
        <v>0</v>
      </c>
      <c r="T478" s="345" t="str">
        <f t="shared" si="183"/>
        <v>000</v>
      </c>
      <c r="U478" s="345">
        <f t="shared" si="171"/>
        <v>0</v>
      </c>
      <c r="V478" s="345">
        <f t="shared" si="172"/>
        <v>0</v>
      </c>
      <c r="W478" s="345">
        <f t="shared" si="173"/>
        <v>0</v>
      </c>
      <c r="X478" s="345">
        <f t="shared" si="174"/>
        <v>0</v>
      </c>
      <c r="Y478" s="345">
        <f t="shared" si="175"/>
        <v>0</v>
      </c>
      <c r="Z478" s="345">
        <f>IF(Q478&lt;&gt;"",VLOOKUP(Y478,TIME!$R$21:$V$24,MATCH(FC_DATA!Q478,TIME!$R$20:$V$20,0),FALSE),H478)</f>
        <v>0</v>
      </c>
      <c r="AA478" s="345" t="str">
        <f>IFERROR(VLOOKUP(X478&amp;Z478,TIME!$A$12:$D$71,4,FALSE),"")</f>
        <v/>
      </c>
      <c r="AB478" s="592">
        <f t="shared" ca="1" si="176"/>
        <v>0</v>
      </c>
      <c r="AC478" s="593" t="e">
        <f ca="1">IF(ISBLANK(H478)=FALSE,IF(D478="BRAND.com",I478,IF(ISNA(VLOOKUP(_xlfn.CONCAT(X478,Z478),TIME!$M$40:$M$42,1,FALSE)),I478,VLOOKUP(_xlfn.CONCAT(D478,G478,H478),M_BUSAREA_FC!$AF$5:$AJ$10,5,FALSE)*HLOOKUP(_xlfn.CONCAT(F478,H478),ST_OVERVIEW!$G$99:$I$130,MATCH(_xlfn.CONCAT(D478,E478),ST_OVERVIEW!$F$99:$F$130,0),FALSE))),IF(D478="BRAND.com",VLOOKUP(_xlfn.CONCAT(C478,D478,E478,TIME!$F$1,Z478),HIS_SALES!$B$2:$V$4859,19,FALSE)*I478,VLOOKUP(_xlfn.CONCAT(D478,F478,G478),Q_BUSAREA_FC!$AE$5:$AI$12,5,FALSE)*HLOOKUP(_xlfn.CONCAT(FC_DATA!F478,FC_DATA!G478),LT_OVERVIEW!$I$99:$M$130,MATCH(_xlfn.CONCAT(D478,FC_DATA!E478),LT_OVERVIEW!$H$99:$H$130,0),FALSE)*IFERROR(VLOOKUP(_xlfn.CONCAT(C478,D478,E478,TIME!$F$1,Z478),HIS_SALES!$B$2:$V$4859,19,FALSE),0)))</f>
        <v>#N/A</v>
      </c>
      <c r="AD478" s="341">
        <f t="shared" ca="1" si="177"/>
        <v>0</v>
      </c>
      <c r="AE478" s="363" t="str">
        <f t="shared" si="178"/>
        <v/>
      </c>
      <c r="AF478" s="342" t="str">
        <f t="shared" si="179"/>
        <v/>
      </c>
      <c r="AG478" s="411" t="e">
        <f ca="1">VLOOKUP(_xlfn.CONCAT(U478,V478,W478,VLOOKUP(X478&amp;Y478,TIME!$L$27:$O$34,4,FALSE),Y478),HIS_SALES!$A$2:$R$5093,18,FALSE)</f>
        <v>#N/A</v>
      </c>
      <c r="AH478" s="412" t="e">
        <f ca="1">IFERROR(IF(AND(V478=V477,W478=W477),0.5*(AB478+AB477)*AG478,(VLOOKUP(_xlfn.CONCAT(U478,V478,W478,X478,VLOOKUP(Z478,TIME!$S$28:$T$39,2,FALSE)),FC_DATA!$R$2:$AB$5000,MATCH("GS_I_M",FC_DATA!$R$1:$AB$1,0),FALSE)+FC_DATA!AB478)*0.5*FC_DATA!AG478),NA())</f>
        <v>#N/A</v>
      </c>
      <c r="AI478" s="491" t="e">
        <f ca="1">IF(V478="PARTNER.com",AH478,IF(AND(V478=V477,W478=W477),(1-AVERAGE(AD477,AD478))*AH478,(1-AVERAGE(AD478,VLOOKUP(_xlfn.CONCAT(U478,V478,W478,X478,M_BRAND_FC!$F$6),FC_DATA!$R$2:$AD$5000,MATCH("DISCOUNT_%_M",FC_DATA!$R$1:$AD$1,0),FALSE)))*AH478))</f>
        <v>#N/A</v>
      </c>
      <c r="AJ478" s="412" t="str">
        <f t="shared" ca="1" si="180"/>
        <v/>
      </c>
      <c r="AK478" s="413" t="str">
        <f>IFERROR(AE478/(Q_BRAND_FC!$T$24+1),"")</f>
        <v/>
      </c>
      <c r="AL478" s="88" t="str">
        <f t="shared" ca="1" si="181"/>
        <v/>
      </c>
      <c r="AM478" s="414" t="str">
        <f t="shared" ca="1" si="182"/>
        <v/>
      </c>
      <c r="AN478" s="58">
        <f>IFERROR(IF($V478="BRAND.com",HLOOKUP($X478&amp;$Z478,NWC_FC_NOOS!$C$4:$Q$23,MATCH(W478,NWC_FC_NOOS!$B$4:$B$23,0),FALSE),0),0)</f>
        <v>0</v>
      </c>
      <c r="AO478" s="57">
        <f>IFERROR(IF($V478="BRAND.com",HLOOKUP($X478&amp;$Z478,NWC_FC_NOOS!$T$4:$AH$23,MATCH(W478,NWC_FC_NOOS!$S$4:$S$23,0),FALSE),0),0)</f>
        <v>0</v>
      </c>
      <c r="AP478" s="57">
        <f>IFERROR(IF($V478="BRAND.com",HLOOKUP($X478&amp;$Z478,NWC_FC_NOOS!$C$50:$U$69,MATCH(W478,NWC_FC_NOOS!$B$50:$B$69,0),FALSE),0),0)</f>
        <v>0</v>
      </c>
      <c r="AQ478" s="58">
        <f>IFERROR(IF($V478="BRAND.com",HLOOKUP($X478&amp;$Z478,'NWC_FC_NON-NOOS'!$C$4:$Q$23,MATCH(W478,'NWC_FC_NON-NOOS'!$B$4:$B$23,0),FALSE),0),0)</f>
        <v>0</v>
      </c>
      <c r="AR478" s="57">
        <f>IFERROR(IF($V478="BRAND.com",HLOOKUP($X478&amp;$Z478,'NWC_FC_NON-NOOS'!$T$4:$AH$23,MATCH(W478,'NWC_FC_NON-NOOS'!$S$4:$S$23,0),FALSE),0),0)</f>
        <v>0</v>
      </c>
      <c r="AS478" s="57">
        <f>IFERROR(IF($V478="BRAND.com",HLOOKUP($X478&amp;$Z478,'NWC_FC_NON-NOOS'!$C$50:$U$69,MATCH(W478,'NWC_FC_NON-NOOS'!$B$50:$B$69,0),FALSE),0),0)</f>
        <v>0</v>
      </c>
      <c r="AT478" s="57">
        <f t="shared" si="184"/>
        <v>0</v>
      </c>
      <c r="AU478" s="57">
        <f t="shared" si="185"/>
        <v>0</v>
      </c>
      <c r="AV478" s="58">
        <f>IFERROR(IF($V478="BRAND.com",HLOOKUP($X478&amp;$Z478,PLANNING_FC!$BB$27:$BP$46,MATCH($W478,PLANNING_FC!$BA$27:$BA$46,0),FALSE),0),0)</f>
        <v>0</v>
      </c>
      <c r="AW478" s="58">
        <f>IFERROR(IF($V478="BRAND.com",HLOOKUP($X478&amp;$Z478,PLANNING_FC!$BB$4:$BP$23,MATCH($W478,PLANNING_FC!$BA$4:$BA$23,0),FALSE),0),0)</f>
        <v>0</v>
      </c>
      <c r="AX478" s="58">
        <f>IFERROR(IF($V478="BRAND.com",HLOOKUP($X478&amp;$Z478,PLANNING_FC!$T$27:$AH$46,MATCH($W478,PLANNING_FC!$B$27:$B$46,0),FALSE),0),0)</f>
        <v>0</v>
      </c>
      <c r="AY478" s="58">
        <f>IFERROR(IF($V478="BRAND.com",HLOOKUP($X478&amp;$Z478,PLANNING_FC!$T$4:$AH$23,MATCH($W478,PLANNING_FC!$B$4:$B$23,0),FALSE),0),0)</f>
        <v>0</v>
      </c>
      <c r="AZ478" s="58">
        <f>IFERROR(IF($V478="BRAND.com",HLOOKUP($X478&amp;$Z478,PLANNING_FC!$DA$27:$DO$46,MATCH($W478,PLANNING_FC!$CZ$27:$CZ$46,0),FALSE),0),0)</f>
        <v>0</v>
      </c>
      <c r="BA478" s="58">
        <f>IFERROR(IF($V478="BRAND.com",HLOOKUP($X478&amp;$Z478,PLANNING_FC!$DA$4:$DO$23,MATCH($W478,PLANNING_FC!$CZ$4:$CZ$23,0),FALSE),0),0)</f>
        <v>0</v>
      </c>
      <c r="BB478" s="883" t="str">
        <f>IF(V478="BRAND.com",IFERROR(HLOOKUP(X478&amp;Z478,PLANNING_FC!$AK$4:$AY$23,MATCH(W478,PLANNING_FC!$AJ$4:$AJ$23,0),FALSE)*1000,""),"")</f>
        <v/>
      </c>
      <c r="BC478" s="883" t="str">
        <f>IF(V478="BRAND.com",IFERROR(HLOOKUP(X478&amp;Z478,PLANNING_FC!$AK$27:$AY$46,MATCH(W478,PLANNING_FC!$AJ$27:$AJ$46,0),FALSE)*1000,""),"")</f>
        <v/>
      </c>
    </row>
    <row r="479" spans="1:55" x14ac:dyDescent="0.25">
      <c r="A479" s="509"/>
      <c r="B479" s="509"/>
      <c r="C479" s="509"/>
      <c r="D479" s="509"/>
      <c r="E479" s="509"/>
      <c r="F479" s="509"/>
      <c r="G479" s="509"/>
      <c r="H479" s="509"/>
      <c r="I479" s="512"/>
      <c r="J479" s="513"/>
      <c r="K479" s="879"/>
      <c r="L479" s="515"/>
      <c r="M479" s="516"/>
      <c r="N479" s="56">
        <f t="shared" si="166"/>
        <v>0</v>
      </c>
      <c r="O479" s="57">
        <f t="shared" si="167"/>
        <v>0</v>
      </c>
      <c r="P479" s="57">
        <f ca="1">IFERROR(IF(ISBLANK(H479),SUMIFS($AC:$AC,$V:$V,V479,$W:$W,W479,$X:$X,X479,$Y:$Y,Y479)*J479/(1-J479)*VLOOKUP(_xlfn.CONCAT(C479,D479,E479,TIME!$M$12,Z479),HIS_SALES!$B$2:$W$4859,20,FALSE),AC479*J479/(1-J479)),0)</f>
        <v>0</v>
      </c>
      <c r="Q479" s="541" t="str">
        <f t="shared" si="168"/>
        <v/>
      </c>
      <c r="R479" s="346" t="str">
        <f t="shared" si="169"/>
        <v>00000</v>
      </c>
      <c r="S479" s="344">
        <f t="shared" si="170"/>
        <v>0</v>
      </c>
      <c r="T479" s="345" t="str">
        <f t="shared" si="183"/>
        <v>000</v>
      </c>
      <c r="U479" s="345">
        <f t="shared" si="171"/>
        <v>0</v>
      </c>
      <c r="V479" s="345">
        <f t="shared" si="172"/>
        <v>0</v>
      </c>
      <c r="W479" s="345">
        <f t="shared" si="173"/>
        <v>0</v>
      </c>
      <c r="X479" s="345">
        <f t="shared" si="174"/>
        <v>0</v>
      </c>
      <c r="Y479" s="345">
        <f t="shared" si="175"/>
        <v>0</v>
      </c>
      <c r="Z479" s="345">
        <f>IF(Q479&lt;&gt;"",VLOOKUP(Y479,TIME!$R$21:$V$24,MATCH(FC_DATA!Q479,TIME!$R$20:$V$20,0),FALSE),H479)</f>
        <v>0</v>
      </c>
      <c r="AA479" s="345" t="str">
        <f>IFERROR(VLOOKUP(X479&amp;Z479,TIME!$A$12:$D$71,4,FALSE),"")</f>
        <v/>
      </c>
      <c r="AB479" s="592">
        <f t="shared" ca="1" si="176"/>
        <v>0</v>
      </c>
      <c r="AC479" s="593" t="e">
        <f ca="1">IF(ISBLANK(H479)=FALSE,IF(D479="BRAND.com",I479,IF(ISNA(VLOOKUP(_xlfn.CONCAT(X479,Z479),TIME!$M$40:$M$42,1,FALSE)),I479,VLOOKUP(_xlfn.CONCAT(D479,G479,H479),M_BUSAREA_FC!$AF$5:$AJ$10,5,FALSE)*HLOOKUP(_xlfn.CONCAT(F479,H479),ST_OVERVIEW!$G$99:$I$130,MATCH(_xlfn.CONCAT(D479,E479),ST_OVERVIEW!$F$99:$F$130,0),FALSE))),IF(D479="BRAND.com",VLOOKUP(_xlfn.CONCAT(C479,D479,E479,TIME!$F$1,Z479),HIS_SALES!$B$2:$V$4859,19,FALSE)*I479,VLOOKUP(_xlfn.CONCAT(D479,F479,G479),Q_BUSAREA_FC!$AE$5:$AI$12,5,FALSE)*HLOOKUP(_xlfn.CONCAT(FC_DATA!F479,FC_DATA!G479),LT_OVERVIEW!$I$99:$M$130,MATCH(_xlfn.CONCAT(D479,FC_DATA!E479),LT_OVERVIEW!$H$99:$H$130,0),FALSE)*IFERROR(VLOOKUP(_xlfn.CONCAT(C479,D479,E479,TIME!$F$1,Z479),HIS_SALES!$B$2:$V$4859,19,FALSE),0)))</f>
        <v>#N/A</v>
      </c>
      <c r="AD479" s="341">
        <f t="shared" ca="1" si="177"/>
        <v>0</v>
      </c>
      <c r="AE479" s="363" t="str">
        <f t="shared" si="178"/>
        <v/>
      </c>
      <c r="AF479" s="342" t="str">
        <f t="shared" si="179"/>
        <v/>
      </c>
      <c r="AG479" s="411" t="e">
        <f ca="1">VLOOKUP(_xlfn.CONCAT(U479,V479,W479,VLOOKUP(X479&amp;Y479,TIME!$L$27:$O$34,4,FALSE),Y479),HIS_SALES!$A$2:$R$5093,18,FALSE)</f>
        <v>#N/A</v>
      </c>
      <c r="AH479" s="412" t="e">
        <f ca="1">IFERROR(IF(AND(V479=V478,W479=W478),0.5*(AB479+AB478)*AG479,(VLOOKUP(_xlfn.CONCAT(U479,V479,W479,X479,VLOOKUP(Z479,TIME!$S$28:$T$39,2,FALSE)),FC_DATA!$R$2:$AB$5000,MATCH("GS_I_M",FC_DATA!$R$1:$AB$1,0),FALSE)+FC_DATA!AB479)*0.5*FC_DATA!AG479),NA())</f>
        <v>#N/A</v>
      </c>
      <c r="AI479" s="491" t="e">
        <f ca="1">IF(V479="PARTNER.com",AH479,IF(AND(V479=V478,W479=W478),(1-AVERAGE(AD478,AD479))*AH479,(1-AVERAGE(AD479,VLOOKUP(_xlfn.CONCAT(U479,V479,W479,X479,M_BRAND_FC!$F$6),FC_DATA!$R$2:$AD$5000,MATCH("DISCOUNT_%_M",FC_DATA!$R$1:$AD$1,0),FALSE)))*AH479))</f>
        <v>#N/A</v>
      </c>
      <c r="AJ479" s="412" t="str">
        <f t="shared" ca="1" si="180"/>
        <v/>
      </c>
      <c r="AK479" s="413" t="str">
        <f>IFERROR(AE479/(Q_BRAND_FC!$T$24+1),"")</f>
        <v/>
      </c>
      <c r="AL479" s="88" t="str">
        <f t="shared" ca="1" si="181"/>
        <v/>
      </c>
      <c r="AM479" s="414" t="str">
        <f t="shared" ca="1" si="182"/>
        <v/>
      </c>
      <c r="AN479" s="58">
        <f>IFERROR(IF($V479="BRAND.com",HLOOKUP($X479&amp;$Z479,NWC_FC_NOOS!$C$4:$Q$23,MATCH(W479,NWC_FC_NOOS!$B$4:$B$23,0),FALSE),0),0)</f>
        <v>0</v>
      </c>
      <c r="AO479" s="57">
        <f>IFERROR(IF($V479="BRAND.com",HLOOKUP($X479&amp;$Z479,NWC_FC_NOOS!$T$4:$AH$23,MATCH(W479,NWC_FC_NOOS!$S$4:$S$23,0),FALSE),0),0)</f>
        <v>0</v>
      </c>
      <c r="AP479" s="57">
        <f>IFERROR(IF($V479="BRAND.com",HLOOKUP($X479&amp;$Z479,NWC_FC_NOOS!$C$50:$U$69,MATCH(W479,NWC_FC_NOOS!$B$50:$B$69,0),FALSE),0),0)</f>
        <v>0</v>
      </c>
      <c r="AQ479" s="58">
        <f>IFERROR(IF($V479="BRAND.com",HLOOKUP($X479&amp;$Z479,'NWC_FC_NON-NOOS'!$C$4:$Q$23,MATCH(W479,'NWC_FC_NON-NOOS'!$B$4:$B$23,0),FALSE),0),0)</f>
        <v>0</v>
      </c>
      <c r="AR479" s="57">
        <f>IFERROR(IF($V479="BRAND.com",HLOOKUP($X479&amp;$Z479,'NWC_FC_NON-NOOS'!$T$4:$AH$23,MATCH(W479,'NWC_FC_NON-NOOS'!$S$4:$S$23,0),FALSE),0),0)</f>
        <v>0</v>
      </c>
      <c r="AS479" s="57">
        <f>IFERROR(IF($V479="BRAND.com",HLOOKUP($X479&amp;$Z479,'NWC_FC_NON-NOOS'!$C$50:$U$69,MATCH(W479,'NWC_FC_NON-NOOS'!$B$50:$B$69,0),FALSE),0),0)</f>
        <v>0</v>
      </c>
      <c r="AT479" s="57">
        <f t="shared" si="184"/>
        <v>0</v>
      </c>
      <c r="AU479" s="57">
        <f t="shared" si="185"/>
        <v>0</v>
      </c>
      <c r="AV479" s="58">
        <f>IFERROR(IF($V479="BRAND.com",HLOOKUP($X479&amp;$Z479,PLANNING_FC!$BB$27:$BP$46,MATCH($W479,PLANNING_FC!$BA$27:$BA$46,0),FALSE),0),0)</f>
        <v>0</v>
      </c>
      <c r="AW479" s="58">
        <f>IFERROR(IF($V479="BRAND.com",HLOOKUP($X479&amp;$Z479,PLANNING_FC!$BB$4:$BP$23,MATCH($W479,PLANNING_FC!$BA$4:$BA$23,0),FALSE),0),0)</f>
        <v>0</v>
      </c>
      <c r="AX479" s="58">
        <f>IFERROR(IF($V479="BRAND.com",HLOOKUP($X479&amp;$Z479,PLANNING_FC!$T$27:$AH$46,MATCH($W479,PLANNING_FC!$B$27:$B$46,0),FALSE),0),0)</f>
        <v>0</v>
      </c>
      <c r="AY479" s="58">
        <f>IFERROR(IF($V479="BRAND.com",HLOOKUP($X479&amp;$Z479,PLANNING_FC!$T$4:$AH$23,MATCH($W479,PLANNING_FC!$B$4:$B$23,0),FALSE),0),0)</f>
        <v>0</v>
      </c>
      <c r="AZ479" s="58">
        <f>IFERROR(IF($V479="BRAND.com",HLOOKUP($X479&amp;$Z479,PLANNING_FC!$DA$27:$DO$46,MATCH($W479,PLANNING_FC!$CZ$27:$CZ$46,0),FALSE),0),0)</f>
        <v>0</v>
      </c>
      <c r="BA479" s="58">
        <f>IFERROR(IF($V479="BRAND.com",HLOOKUP($X479&amp;$Z479,PLANNING_FC!$DA$4:$DO$23,MATCH($W479,PLANNING_FC!$CZ$4:$CZ$23,0),FALSE),0),0)</f>
        <v>0</v>
      </c>
      <c r="BB479" s="883" t="str">
        <f>IF(V479="BRAND.com",IFERROR(HLOOKUP(X479&amp;Z479,PLANNING_FC!$AK$4:$AY$23,MATCH(W479,PLANNING_FC!$AJ$4:$AJ$23,0),FALSE)*1000,""),"")</f>
        <v/>
      </c>
      <c r="BC479" s="883" t="str">
        <f>IF(V479="BRAND.com",IFERROR(HLOOKUP(X479&amp;Z479,PLANNING_FC!$AK$27:$AY$46,MATCH(W479,PLANNING_FC!$AJ$27:$AJ$46,0),FALSE)*1000,""),"")</f>
        <v/>
      </c>
    </row>
    <row r="480" spans="1:55" x14ac:dyDescent="0.25">
      <c r="A480" s="509"/>
      <c r="B480" s="509"/>
      <c r="C480" s="509"/>
      <c r="D480" s="509"/>
      <c r="E480" s="509"/>
      <c r="F480" s="509"/>
      <c r="G480" s="509"/>
      <c r="H480" s="509"/>
      <c r="I480" s="512"/>
      <c r="J480" s="513"/>
      <c r="K480" s="879"/>
      <c r="L480" s="515"/>
      <c r="M480" s="516"/>
      <c r="N480" s="56">
        <f t="shared" si="166"/>
        <v>0</v>
      </c>
      <c r="O480" s="57">
        <f t="shared" si="167"/>
        <v>0</v>
      </c>
      <c r="P480" s="57">
        <f ca="1">IFERROR(IF(ISBLANK(H480),SUMIFS($AC:$AC,$V:$V,V480,$W:$W,W480,$X:$X,X480,$Y:$Y,Y480)*J480/(1-J480)*VLOOKUP(_xlfn.CONCAT(C480,D480,E480,TIME!$M$12,Z480),HIS_SALES!$B$2:$W$4859,20,FALSE),AC480*J480/(1-J480)),0)</f>
        <v>0</v>
      </c>
      <c r="Q480" s="541" t="str">
        <f t="shared" si="168"/>
        <v/>
      </c>
      <c r="R480" s="346" t="str">
        <f t="shared" si="169"/>
        <v>00000</v>
      </c>
      <c r="S480" s="344">
        <f t="shared" si="170"/>
        <v>0</v>
      </c>
      <c r="T480" s="345" t="str">
        <f t="shared" si="183"/>
        <v>000</v>
      </c>
      <c r="U480" s="345">
        <f t="shared" si="171"/>
        <v>0</v>
      </c>
      <c r="V480" s="345">
        <f t="shared" si="172"/>
        <v>0</v>
      </c>
      <c r="W480" s="345">
        <f t="shared" si="173"/>
        <v>0</v>
      </c>
      <c r="X480" s="345">
        <f t="shared" si="174"/>
        <v>0</v>
      </c>
      <c r="Y480" s="345">
        <f t="shared" si="175"/>
        <v>0</v>
      </c>
      <c r="Z480" s="345">
        <f>IF(Q480&lt;&gt;"",VLOOKUP(Y480,TIME!$R$21:$V$24,MATCH(FC_DATA!Q480,TIME!$R$20:$V$20,0),FALSE),H480)</f>
        <v>0</v>
      </c>
      <c r="AA480" s="345" t="str">
        <f>IFERROR(VLOOKUP(X480&amp;Z480,TIME!$A$12:$D$71,4,FALSE),"")</f>
        <v/>
      </c>
      <c r="AB480" s="592">
        <f t="shared" ca="1" si="176"/>
        <v>0</v>
      </c>
      <c r="AC480" s="593" t="e">
        <f ca="1">IF(ISBLANK(H480)=FALSE,IF(D480="BRAND.com",I480,IF(ISNA(VLOOKUP(_xlfn.CONCAT(X480,Z480),TIME!$M$40:$M$42,1,FALSE)),I480,VLOOKUP(_xlfn.CONCAT(D480,G480,H480),M_BUSAREA_FC!$AF$5:$AJ$10,5,FALSE)*HLOOKUP(_xlfn.CONCAT(F480,H480),ST_OVERVIEW!$G$99:$I$130,MATCH(_xlfn.CONCAT(D480,E480),ST_OVERVIEW!$F$99:$F$130,0),FALSE))),IF(D480="BRAND.com",VLOOKUP(_xlfn.CONCAT(C480,D480,E480,TIME!$F$1,Z480),HIS_SALES!$B$2:$V$4859,19,FALSE)*I480,VLOOKUP(_xlfn.CONCAT(D480,F480,G480),Q_BUSAREA_FC!$AE$5:$AI$12,5,FALSE)*HLOOKUP(_xlfn.CONCAT(FC_DATA!F480,FC_DATA!G480),LT_OVERVIEW!$I$99:$M$130,MATCH(_xlfn.CONCAT(D480,FC_DATA!E480),LT_OVERVIEW!$H$99:$H$130,0),FALSE)*IFERROR(VLOOKUP(_xlfn.CONCAT(C480,D480,E480,TIME!$F$1,Z480),HIS_SALES!$B$2:$V$4859,19,FALSE),0)))</f>
        <v>#N/A</v>
      </c>
      <c r="AD480" s="341">
        <f t="shared" ca="1" si="177"/>
        <v>0</v>
      </c>
      <c r="AE480" s="363" t="str">
        <f t="shared" si="178"/>
        <v/>
      </c>
      <c r="AF480" s="342" t="str">
        <f t="shared" si="179"/>
        <v/>
      </c>
      <c r="AG480" s="411" t="e">
        <f ca="1">VLOOKUP(_xlfn.CONCAT(U480,V480,W480,VLOOKUP(X480&amp;Y480,TIME!$L$27:$O$34,4,FALSE),Y480),HIS_SALES!$A$2:$R$5093,18,FALSE)</f>
        <v>#N/A</v>
      </c>
      <c r="AH480" s="412" t="e">
        <f ca="1">IFERROR(IF(AND(V480=V479,W480=W479),0.5*(AB480+AB479)*AG480,(VLOOKUP(_xlfn.CONCAT(U480,V480,W480,X480,VLOOKUP(Z480,TIME!$S$28:$T$39,2,FALSE)),FC_DATA!$R$2:$AB$5000,MATCH("GS_I_M",FC_DATA!$R$1:$AB$1,0),FALSE)+FC_DATA!AB480)*0.5*FC_DATA!AG480),NA())</f>
        <v>#N/A</v>
      </c>
      <c r="AI480" s="491" t="e">
        <f ca="1">IF(V480="PARTNER.com",AH480,IF(AND(V480=V479,W480=W479),(1-AVERAGE(AD479,AD480))*AH480,(1-AVERAGE(AD480,VLOOKUP(_xlfn.CONCAT(U480,V480,W480,X480,M_BRAND_FC!$F$6),FC_DATA!$R$2:$AD$5000,MATCH("DISCOUNT_%_M",FC_DATA!$R$1:$AD$1,0),FALSE)))*AH480))</f>
        <v>#N/A</v>
      </c>
      <c r="AJ480" s="412" t="str">
        <f t="shared" ca="1" si="180"/>
        <v/>
      </c>
      <c r="AK480" s="413" t="str">
        <f>IFERROR(AE480/(Q_BRAND_FC!$T$24+1),"")</f>
        <v/>
      </c>
      <c r="AL480" s="88" t="str">
        <f t="shared" ca="1" si="181"/>
        <v/>
      </c>
      <c r="AM480" s="414" t="str">
        <f t="shared" ca="1" si="182"/>
        <v/>
      </c>
      <c r="AN480" s="58">
        <f>IFERROR(IF($V480="BRAND.com",HLOOKUP($X480&amp;$Z480,NWC_FC_NOOS!$C$4:$Q$23,MATCH(W480,NWC_FC_NOOS!$B$4:$B$23,0),FALSE),0),0)</f>
        <v>0</v>
      </c>
      <c r="AO480" s="57">
        <f>IFERROR(IF($V480="BRAND.com",HLOOKUP($X480&amp;$Z480,NWC_FC_NOOS!$T$4:$AH$23,MATCH(W480,NWC_FC_NOOS!$S$4:$S$23,0),FALSE),0),0)</f>
        <v>0</v>
      </c>
      <c r="AP480" s="57">
        <f>IFERROR(IF($V480="BRAND.com",HLOOKUP($X480&amp;$Z480,NWC_FC_NOOS!$C$50:$U$69,MATCH(W480,NWC_FC_NOOS!$B$50:$B$69,0),FALSE),0),0)</f>
        <v>0</v>
      </c>
      <c r="AQ480" s="58">
        <f>IFERROR(IF($V480="BRAND.com",HLOOKUP($X480&amp;$Z480,'NWC_FC_NON-NOOS'!$C$4:$Q$23,MATCH(W480,'NWC_FC_NON-NOOS'!$B$4:$B$23,0),FALSE),0),0)</f>
        <v>0</v>
      </c>
      <c r="AR480" s="57">
        <f>IFERROR(IF($V480="BRAND.com",HLOOKUP($X480&amp;$Z480,'NWC_FC_NON-NOOS'!$T$4:$AH$23,MATCH(W480,'NWC_FC_NON-NOOS'!$S$4:$S$23,0),FALSE),0),0)</f>
        <v>0</v>
      </c>
      <c r="AS480" s="57">
        <f>IFERROR(IF($V480="BRAND.com",HLOOKUP($X480&amp;$Z480,'NWC_FC_NON-NOOS'!$C$50:$U$69,MATCH(W480,'NWC_FC_NON-NOOS'!$B$50:$B$69,0),FALSE),0),0)</f>
        <v>0</v>
      </c>
      <c r="AT480" s="57">
        <f t="shared" si="184"/>
        <v>0</v>
      </c>
      <c r="AU480" s="57">
        <f t="shared" si="185"/>
        <v>0</v>
      </c>
      <c r="AV480" s="58">
        <f>IFERROR(IF($V480="BRAND.com",HLOOKUP($X480&amp;$Z480,PLANNING_FC!$BB$27:$BP$46,MATCH($W480,PLANNING_FC!$BA$27:$BA$46,0),FALSE),0),0)</f>
        <v>0</v>
      </c>
      <c r="AW480" s="58">
        <f>IFERROR(IF($V480="BRAND.com",HLOOKUP($X480&amp;$Z480,PLANNING_FC!$BB$4:$BP$23,MATCH($W480,PLANNING_FC!$BA$4:$BA$23,0),FALSE),0),0)</f>
        <v>0</v>
      </c>
      <c r="AX480" s="58">
        <f>IFERROR(IF($V480="BRAND.com",HLOOKUP($X480&amp;$Z480,PLANNING_FC!$T$27:$AH$46,MATCH($W480,PLANNING_FC!$B$27:$B$46,0),FALSE),0),0)</f>
        <v>0</v>
      </c>
      <c r="AY480" s="58">
        <f>IFERROR(IF($V480="BRAND.com",HLOOKUP($X480&amp;$Z480,PLANNING_FC!$T$4:$AH$23,MATCH($W480,PLANNING_FC!$B$4:$B$23,0),FALSE),0),0)</f>
        <v>0</v>
      </c>
      <c r="AZ480" s="58">
        <f>IFERROR(IF($V480="BRAND.com",HLOOKUP($X480&amp;$Z480,PLANNING_FC!$DA$27:$DO$46,MATCH($W480,PLANNING_FC!$CZ$27:$CZ$46,0),FALSE),0),0)</f>
        <v>0</v>
      </c>
      <c r="BA480" s="58">
        <f>IFERROR(IF($V480="BRAND.com",HLOOKUP($X480&amp;$Z480,PLANNING_FC!$DA$4:$DO$23,MATCH($W480,PLANNING_FC!$CZ$4:$CZ$23,0),FALSE),0),0)</f>
        <v>0</v>
      </c>
      <c r="BB480" s="883" t="str">
        <f>IF(V480="BRAND.com",IFERROR(HLOOKUP(X480&amp;Z480,PLANNING_FC!$AK$4:$AY$23,MATCH(W480,PLANNING_FC!$AJ$4:$AJ$23,0),FALSE)*1000,""),"")</f>
        <v/>
      </c>
      <c r="BC480" s="883" t="str">
        <f>IF(V480="BRAND.com",IFERROR(HLOOKUP(X480&amp;Z480,PLANNING_FC!$AK$27:$AY$46,MATCH(W480,PLANNING_FC!$AJ$27:$AJ$46,0),FALSE)*1000,""),"")</f>
        <v/>
      </c>
    </row>
    <row r="481" spans="1:55" x14ac:dyDescent="0.25">
      <c r="A481" s="509"/>
      <c r="B481" s="509"/>
      <c r="C481" s="509"/>
      <c r="D481" s="509"/>
      <c r="E481" s="509"/>
      <c r="F481" s="509"/>
      <c r="G481" s="509"/>
      <c r="H481" s="509"/>
      <c r="I481" s="512"/>
      <c r="J481" s="513"/>
      <c r="K481" s="879"/>
      <c r="L481" s="515"/>
      <c r="M481" s="516"/>
      <c r="N481" s="56">
        <f t="shared" si="166"/>
        <v>0</v>
      </c>
      <c r="O481" s="57">
        <f t="shared" si="167"/>
        <v>0</v>
      </c>
      <c r="P481" s="57">
        <f ca="1">IFERROR(IF(ISBLANK(H481),SUMIFS($AC:$AC,$V:$V,V481,$W:$W,W481,$X:$X,X481,$Y:$Y,Y481)*J481/(1-J481)*VLOOKUP(_xlfn.CONCAT(C481,D481,E481,TIME!$M$12,Z481),HIS_SALES!$B$2:$W$4859,20,FALSE),AC481*J481/(1-J481)),0)</f>
        <v>0</v>
      </c>
      <c r="Q481" s="541" t="str">
        <f t="shared" si="168"/>
        <v/>
      </c>
      <c r="R481" s="346" t="str">
        <f t="shared" si="169"/>
        <v>00000</v>
      </c>
      <c r="S481" s="344">
        <f t="shared" si="170"/>
        <v>0</v>
      </c>
      <c r="T481" s="345" t="str">
        <f t="shared" si="183"/>
        <v>000</v>
      </c>
      <c r="U481" s="345">
        <f t="shared" si="171"/>
        <v>0</v>
      </c>
      <c r="V481" s="345">
        <f t="shared" si="172"/>
        <v>0</v>
      </c>
      <c r="W481" s="345">
        <f t="shared" si="173"/>
        <v>0</v>
      </c>
      <c r="X481" s="345">
        <f t="shared" si="174"/>
        <v>0</v>
      </c>
      <c r="Y481" s="345">
        <f t="shared" si="175"/>
        <v>0</v>
      </c>
      <c r="Z481" s="345">
        <f>IF(Q481&lt;&gt;"",VLOOKUP(Y481,TIME!$R$21:$V$24,MATCH(FC_DATA!Q481,TIME!$R$20:$V$20,0),FALSE),H481)</f>
        <v>0</v>
      </c>
      <c r="AA481" s="345" t="str">
        <f>IFERROR(VLOOKUP(X481&amp;Z481,TIME!$A$12:$D$71,4,FALSE),"")</f>
        <v/>
      </c>
      <c r="AB481" s="592">
        <f t="shared" ca="1" si="176"/>
        <v>0</v>
      </c>
      <c r="AC481" s="593" t="e">
        <f ca="1">IF(ISBLANK(H481)=FALSE,IF(D481="BRAND.com",I481,IF(ISNA(VLOOKUP(_xlfn.CONCAT(X481,Z481),TIME!$M$40:$M$42,1,FALSE)),I481,VLOOKUP(_xlfn.CONCAT(D481,G481,H481),M_BUSAREA_FC!$AF$5:$AJ$10,5,FALSE)*HLOOKUP(_xlfn.CONCAT(F481,H481),ST_OVERVIEW!$G$99:$I$130,MATCH(_xlfn.CONCAT(D481,E481),ST_OVERVIEW!$F$99:$F$130,0),FALSE))),IF(D481="BRAND.com",VLOOKUP(_xlfn.CONCAT(C481,D481,E481,TIME!$F$1,Z481),HIS_SALES!$B$2:$V$4859,19,FALSE)*I481,VLOOKUP(_xlfn.CONCAT(D481,F481,G481),Q_BUSAREA_FC!$AE$5:$AI$12,5,FALSE)*HLOOKUP(_xlfn.CONCAT(FC_DATA!F481,FC_DATA!G481),LT_OVERVIEW!$I$99:$M$130,MATCH(_xlfn.CONCAT(D481,FC_DATA!E481),LT_OVERVIEW!$H$99:$H$130,0),FALSE)*IFERROR(VLOOKUP(_xlfn.CONCAT(C481,D481,E481,TIME!$F$1,Z481),HIS_SALES!$B$2:$V$4859,19,FALSE),0)))</f>
        <v>#N/A</v>
      </c>
      <c r="AD481" s="341">
        <f t="shared" ca="1" si="177"/>
        <v>0</v>
      </c>
      <c r="AE481" s="363" t="str">
        <f t="shared" si="178"/>
        <v/>
      </c>
      <c r="AF481" s="342" t="str">
        <f t="shared" si="179"/>
        <v/>
      </c>
      <c r="AG481" s="411" t="e">
        <f ca="1">VLOOKUP(_xlfn.CONCAT(U481,V481,W481,VLOOKUP(X481&amp;Y481,TIME!$L$27:$O$34,4,FALSE),Y481),HIS_SALES!$A$2:$R$5093,18,FALSE)</f>
        <v>#N/A</v>
      </c>
      <c r="AH481" s="412" t="e">
        <f ca="1">IFERROR(IF(AND(V481=V480,W481=W480),0.5*(AB481+AB480)*AG481,(VLOOKUP(_xlfn.CONCAT(U481,V481,W481,X481,VLOOKUP(Z481,TIME!$S$28:$T$39,2,FALSE)),FC_DATA!$R$2:$AB$5000,MATCH("GS_I_M",FC_DATA!$R$1:$AB$1,0),FALSE)+FC_DATA!AB481)*0.5*FC_DATA!AG481),NA())</f>
        <v>#N/A</v>
      </c>
      <c r="AI481" s="491" t="e">
        <f ca="1">IF(V481="PARTNER.com",AH481,IF(AND(V481=V480,W481=W480),(1-AVERAGE(AD480,AD481))*AH481,(1-AVERAGE(AD481,VLOOKUP(_xlfn.CONCAT(U481,V481,W481,X481,M_BRAND_FC!$F$6),FC_DATA!$R$2:$AD$5000,MATCH("DISCOUNT_%_M",FC_DATA!$R$1:$AD$1,0),FALSE)))*AH481))</f>
        <v>#N/A</v>
      </c>
      <c r="AJ481" s="412" t="str">
        <f t="shared" ca="1" si="180"/>
        <v/>
      </c>
      <c r="AK481" s="413" t="str">
        <f>IFERROR(AE481/(Q_BRAND_FC!$T$24+1),"")</f>
        <v/>
      </c>
      <c r="AL481" s="88" t="str">
        <f t="shared" ca="1" si="181"/>
        <v/>
      </c>
      <c r="AM481" s="414" t="str">
        <f t="shared" ca="1" si="182"/>
        <v/>
      </c>
      <c r="AN481" s="58">
        <f>IFERROR(IF($V481="BRAND.com",HLOOKUP($X481&amp;$Z481,NWC_FC_NOOS!$C$4:$Q$23,MATCH(W481,NWC_FC_NOOS!$B$4:$B$23,0),FALSE),0),0)</f>
        <v>0</v>
      </c>
      <c r="AO481" s="57">
        <f>IFERROR(IF($V481="BRAND.com",HLOOKUP($X481&amp;$Z481,NWC_FC_NOOS!$T$4:$AH$23,MATCH(W481,NWC_FC_NOOS!$S$4:$S$23,0),FALSE),0),0)</f>
        <v>0</v>
      </c>
      <c r="AP481" s="57">
        <f>IFERROR(IF($V481="BRAND.com",HLOOKUP($X481&amp;$Z481,NWC_FC_NOOS!$C$50:$U$69,MATCH(W481,NWC_FC_NOOS!$B$50:$B$69,0),FALSE),0),0)</f>
        <v>0</v>
      </c>
      <c r="AQ481" s="58">
        <f>IFERROR(IF($V481="BRAND.com",HLOOKUP($X481&amp;$Z481,'NWC_FC_NON-NOOS'!$C$4:$Q$23,MATCH(W481,'NWC_FC_NON-NOOS'!$B$4:$B$23,0),FALSE),0),0)</f>
        <v>0</v>
      </c>
      <c r="AR481" s="57">
        <f>IFERROR(IF($V481="BRAND.com",HLOOKUP($X481&amp;$Z481,'NWC_FC_NON-NOOS'!$T$4:$AH$23,MATCH(W481,'NWC_FC_NON-NOOS'!$S$4:$S$23,0),FALSE),0),0)</f>
        <v>0</v>
      </c>
      <c r="AS481" s="57">
        <f>IFERROR(IF($V481="BRAND.com",HLOOKUP($X481&amp;$Z481,'NWC_FC_NON-NOOS'!$C$50:$U$69,MATCH(W481,'NWC_FC_NON-NOOS'!$B$50:$B$69,0),FALSE),0),0)</f>
        <v>0</v>
      </c>
      <c r="AT481" s="57">
        <f t="shared" si="184"/>
        <v>0</v>
      </c>
      <c r="AU481" s="57">
        <f t="shared" si="185"/>
        <v>0</v>
      </c>
      <c r="AV481" s="58">
        <f>IFERROR(IF($V481="BRAND.com",HLOOKUP($X481&amp;$Z481,PLANNING_FC!$BB$27:$BP$46,MATCH($W481,PLANNING_FC!$BA$27:$BA$46,0),FALSE),0),0)</f>
        <v>0</v>
      </c>
      <c r="AW481" s="58">
        <f>IFERROR(IF($V481="BRAND.com",HLOOKUP($X481&amp;$Z481,PLANNING_FC!$BB$4:$BP$23,MATCH($W481,PLANNING_FC!$BA$4:$BA$23,0),FALSE),0),0)</f>
        <v>0</v>
      </c>
      <c r="AX481" s="58">
        <f>IFERROR(IF($V481="BRAND.com",HLOOKUP($X481&amp;$Z481,PLANNING_FC!$T$27:$AH$46,MATCH($W481,PLANNING_FC!$B$27:$B$46,0),FALSE),0),0)</f>
        <v>0</v>
      </c>
      <c r="AY481" s="58">
        <f>IFERROR(IF($V481="BRAND.com",HLOOKUP($X481&amp;$Z481,PLANNING_FC!$T$4:$AH$23,MATCH($W481,PLANNING_FC!$B$4:$B$23,0),FALSE),0),0)</f>
        <v>0</v>
      </c>
      <c r="AZ481" s="58">
        <f>IFERROR(IF($V481="BRAND.com",HLOOKUP($X481&amp;$Z481,PLANNING_FC!$DA$27:$DO$46,MATCH($W481,PLANNING_FC!$CZ$27:$CZ$46,0),FALSE),0),0)</f>
        <v>0</v>
      </c>
      <c r="BA481" s="58">
        <f>IFERROR(IF($V481="BRAND.com",HLOOKUP($X481&amp;$Z481,PLANNING_FC!$DA$4:$DO$23,MATCH($W481,PLANNING_FC!$CZ$4:$CZ$23,0),FALSE),0),0)</f>
        <v>0</v>
      </c>
      <c r="BB481" s="883" t="str">
        <f>IF(V481="BRAND.com",IFERROR(HLOOKUP(X481&amp;Z481,PLANNING_FC!$AK$4:$AY$23,MATCH(W481,PLANNING_FC!$AJ$4:$AJ$23,0),FALSE)*1000,""),"")</f>
        <v/>
      </c>
      <c r="BC481" s="883" t="str">
        <f>IF(V481="BRAND.com",IFERROR(HLOOKUP(X481&amp;Z481,PLANNING_FC!$AK$27:$AY$46,MATCH(W481,PLANNING_FC!$AJ$27:$AJ$46,0),FALSE)*1000,""),"")</f>
        <v/>
      </c>
    </row>
    <row r="482" spans="1:55" x14ac:dyDescent="0.25">
      <c r="A482" s="509"/>
      <c r="B482" s="509"/>
      <c r="C482" s="509"/>
      <c r="D482" s="509"/>
      <c r="E482" s="509"/>
      <c r="F482" s="509"/>
      <c r="G482" s="511"/>
      <c r="H482" s="509"/>
      <c r="I482" s="512"/>
      <c r="J482" s="513"/>
      <c r="K482" s="514"/>
      <c r="L482" s="515"/>
      <c r="M482" s="516"/>
      <c r="N482" s="56">
        <f t="shared" si="166"/>
        <v>0</v>
      </c>
      <c r="O482" s="57">
        <f t="shared" si="167"/>
        <v>0</v>
      </c>
      <c r="P482" s="57">
        <f ca="1">IFERROR(IF(ISBLANK(H482),SUMIFS($AC:$AC,$V:$V,V482,$W:$W,W482,$X:$X,X482,$Y:$Y,Y482)*J482/(1-J482)*VLOOKUP(_xlfn.CONCAT(C482,D482,E482,TIME!$M$12,Z482),HIS_SALES!$B$2:$W$4859,20,FALSE),AC482*J482/(1-J482)),0)</f>
        <v>0</v>
      </c>
      <c r="Q482" s="541" t="str">
        <f t="shared" si="168"/>
        <v/>
      </c>
      <c r="R482" s="346" t="str">
        <f t="shared" si="169"/>
        <v>00000</v>
      </c>
      <c r="S482" s="344">
        <f t="shared" si="170"/>
        <v>0</v>
      </c>
      <c r="T482" s="345" t="str">
        <f t="shared" si="183"/>
        <v>000</v>
      </c>
      <c r="U482" s="345">
        <f t="shared" si="171"/>
        <v>0</v>
      </c>
      <c r="V482" s="345">
        <f t="shared" si="172"/>
        <v>0</v>
      </c>
      <c r="W482" s="345">
        <f t="shared" si="173"/>
        <v>0</v>
      </c>
      <c r="X482" s="345">
        <f t="shared" si="174"/>
        <v>0</v>
      </c>
      <c r="Y482" s="345">
        <f t="shared" si="175"/>
        <v>0</v>
      </c>
      <c r="Z482" s="345">
        <f>IF(Q482&lt;&gt;"",VLOOKUP(Y482,TIME!$R$21:$V$24,MATCH(FC_DATA!Q482,TIME!$R$20:$V$20,0),FALSE),H482)</f>
        <v>0</v>
      </c>
      <c r="AA482" s="345" t="str">
        <f>IFERROR(VLOOKUP(X482&amp;Z482,TIME!$A$12:$D$71,4,FALSE),"")</f>
        <v/>
      </c>
      <c r="AB482" s="592">
        <f t="shared" ca="1" si="176"/>
        <v>0</v>
      </c>
      <c r="AC482" s="593" t="e">
        <f ca="1">IF(ISBLANK(H482)=FALSE,IF(D482="BRAND.com",I482,IF(ISNA(VLOOKUP(_xlfn.CONCAT(X482,Z482),TIME!$M$40:$M$42,1,FALSE)),I482,VLOOKUP(_xlfn.CONCAT(D482,G482,H482),M_BUSAREA_FC!$AF$5:$AJ$10,5,FALSE)*HLOOKUP(_xlfn.CONCAT(F482,H482),ST_OVERVIEW!$G$99:$I$130,MATCH(_xlfn.CONCAT(D482,E482),ST_OVERVIEW!$F$99:$F$130,0),FALSE))),IF(D482="BRAND.com",VLOOKUP(_xlfn.CONCAT(C482,D482,E482,TIME!$F$1,Z482),HIS_SALES!$B$2:$V$4859,19,FALSE)*I482,VLOOKUP(_xlfn.CONCAT(D482,F482,G482),Q_BUSAREA_FC!$AE$5:$AI$12,5,FALSE)*HLOOKUP(_xlfn.CONCAT(FC_DATA!F482,FC_DATA!G482),LT_OVERVIEW!$I$99:$M$130,MATCH(_xlfn.CONCAT(D482,FC_DATA!E482),LT_OVERVIEW!$H$99:$H$130,0),FALSE)*IFERROR(VLOOKUP(_xlfn.CONCAT(C482,D482,E482,TIME!$F$1,Z482),HIS_SALES!$B$2:$V$4859,19,FALSE),0)))</f>
        <v>#N/A</v>
      </c>
      <c r="AD482" s="341">
        <f t="shared" ca="1" si="177"/>
        <v>0</v>
      </c>
      <c r="AE482" s="363" t="str">
        <f t="shared" si="178"/>
        <v/>
      </c>
      <c r="AF482" s="342" t="str">
        <f t="shared" si="179"/>
        <v/>
      </c>
      <c r="AG482" s="411" t="e">
        <f ca="1">VLOOKUP(_xlfn.CONCAT(U482,V482,W482,VLOOKUP(X482&amp;Y482,TIME!$L$27:$O$34,4,FALSE),Y482),HIS_SALES!$A$2:$R$5093,18,FALSE)</f>
        <v>#N/A</v>
      </c>
      <c r="AH482" s="412" t="e">
        <f ca="1">IFERROR(IF(AND(V482=V481,W482=W481),0.5*(AB482+AB481)*AG482,(VLOOKUP(_xlfn.CONCAT(U482,V482,W482,X482,VLOOKUP(Z482,TIME!$S$28:$T$39,2,FALSE)),FC_DATA!$R$2:$AB$5000,MATCH("GS_I_M",FC_DATA!$R$1:$AB$1,0),FALSE)+FC_DATA!AB482)*0.5*FC_DATA!AG482),NA())</f>
        <v>#N/A</v>
      </c>
      <c r="AI482" s="491" t="e">
        <f ca="1">IF(V482="PARTNER.com",AH482,IF(AND(V482=V481,W482=W481),(1-AVERAGE(AD481,AD482))*AH482,(1-AVERAGE(AD482,VLOOKUP(_xlfn.CONCAT(U482,V482,W482,X482,M_BRAND_FC!$F$6),FC_DATA!$R$2:$AD$5000,MATCH("DISCOUNT_%_M",FC_DATA!$R$1:$AD$1,0),FALSE)))*AH482))</f>
        <v>#N/A</v>
      </c>
      <c r="AJ482" s="412" t="str">
        <f t="shared" ca="1" si="180"/>
        <v/>
      </c>
      <c r="AK482" s="413" t="str">
        <f>IFERROR(AE482/(Q_BRAND_FC!$T$24+1),"")</f>
        <v/>
      </c>
      <c r="AL482" s="88" t="str">
        <f t="shared" ca="1" si="181"/>
        <v/>
      </c>
      <c r="AM482" s="414" t="str">
        <f t="shared" ca="1" si="182"/>
        <v/>
      </c>
      <c r="AN482" s="58">
        <f>IFERROR(IF($V482="BRAND.com",HLOOKUP($X482&amp;$Z482,NWC_FC_NOOS!$C$4:$Q$23,MATCH(W482,NWC_FC_NOOS!$B$4:$B$23,0),FALSE),0),0)</f>
        <v>0</v>
      </c>
      <c r="AO482" s="57">
        <f>IFERROR(IF($V482="BRAND.com",HLOOKUP($X482&amp;$Z482,NWC_FC_NOOS!$T$4:$AH$23,MATCH(W482,NWC_FC_NOOS!$S$4:$S$23,0),FALSE),0),0)</f>
        <v>0</v>
      </c>
      <c r="AP482" s="57">
        <f>IFERROR(IF($V482="BRAND.com",HLOOKUP($X482&amp;$Z482,NWC_FC_NOOS!$C$50:$U$69,MATCH(W482,NWC_FC_NOOS!$B$50:$B$69,0),FALSE),0),0)</f>
        <v>0</v>
      </c>
      <c r="AQ482" s="58">
        <f>IFERROR(IF($V482="BRAND.com",HLOOKUP($X482&amp;$Z482,'NWC_FC_NON-NOOS'!$C$4:$Q$23,MATCH(W482,'NWC_FC_NON-NOOS'!$B$4:$B$23,0),FALSE),0),0)</f>
        <v>0</v>
      </c>
      <c r="AR482" s="57">
        <f>IFERROR(IF($V482="BRAND.com",HLOOKUP($X482&amp;$Z482,'NWC_FC_NON-NOOS'!$T$4:$AH$23,MATCH(W482,'NWC_FC_NON-NOOS'!$S$4:$S$23,0),FALSE),0),0)</f>
        <v>0</v>
      </c>
      <c r="AS482" s="57">
        <f>IFERROR(IF($V482="BRAND.com",HLOOKUP($X482&amp;$Z482,'NWC_FC_NON-NOOS'!$C$50:$U$69,MATCH(W482,'NWC_FC_NON-NOOS'!$B$50:$B$69,0),FALSE),0),0)</f>
        <v>0</v>
      </c>
      <c r="AT482" s="57">
        <f t="shared" si="184"/>
        <v>0</v>
      </c>
      <c r="AU482" s="57">
        <f t="shared" si="185"/>
        <v>0</v>
      </c>
      <c r="AV482" s="58">
        <f>IFERROR(IF($V482="BRAND.com",HLOOKUP($X482&amp;$Z482,PLANNING_FC!$BB$27:$BP$46,MATCH($W482,PLANNING_FC!$BA$27:$BA$46,0),FALSE),0),0)</f>
        <v>0</v>
      </c>
      <c r="AW482" s="58">
        <f>IFERROR(IF($V482="BRAND.com",HLOOKUP($X482&amp;$Z482,PLANNING_FC!$BB$4:$BP$23,MATCH($W482,PLANNING_FC!$BA$4:$BA$23,0),FALSE),0),0)</f>
        <v>0</v>
      </c>
      <c r="AX482" s="58">
        <f>IFERROR(IF($V482="BRAND.com",HLOOKUP($X482&amp;$Z482,PLANNING_FC!$T$27:$AH$46,MATCH($W482,PLANNING_FC!$B$27:$B$46,0),FALSE),0),0)</f>
        <v>0</v>
      </c>
      <c r="AY482" s="58">
        <f>IFERROR(IF($V482="BRAND.com",HLOOKUP($X482&amp;$Z482,PLANNING_FC!$T$4:$AH$23,MATCH($W482,PLANNING_FC!$B$4:$B$23,0),FALSE),0),0)</f>
        <v>0</v>
      </c>
      <c r="AZ482" s="58">
        <f>IFERROR(IF($V482="BRAND.com",HLOOKUP($X482&amp;$Z482,PLANNING_FC!$DA$27:$DO$46,MATCH($W482,PLANNING_FC!$CZ$27:$CZ$46,0),FALSE),0),0)</f>
        <v>0</v>
      </c>
      <c r="BA482" s="58">
        <f>IFERROR(IF($V482="BRAND.com",HLOOKUP($X482&amp;$Z482,PLANNING_FC!$DA$4:$DO$23,MATCH($W482,PLANNING_FC!$CZ$4:$CZ$23,0),FALSE),0),0)</f>
        <v>0</v>
      </c>
      <c r="BB482" s="883" t="str">
        <f>IF(V482="BRAND.com",IFERROR(HLOOKUP(X482&amp;Z482,PLANNING_FC!$AK$4:$AY$23,MATCH(W482,PLANNING_FC!$AJ$4:$AJ$23,0),FALSE)*1000,""),"")</f>
        <v/>
      </c>
      <c r="BC482" s="883" t="str">
        <f>IF(V482="BRAND.com",IFERROR(HLOOKUP(X482&amp;Z482,PLANNING_FC!$AK$27:$AY$46,MATCH(W482,PLANNING_FC!$AJ$27:$AJ$46,0),FALSE)*1000,""),"")</f>
        <v/>
      </c>
    </row>
    <row r="483" spans="1:55" x14ac:dyDescent="0.25">
      <c r="A483" s="509"/>
      <c r="B483" s="509"/>
      <c r="C483" s="509"/>
      <c r="D483" s="509"/>
      <c r="E483" s="509"/>
      <c r="F483" s="509"/>
      <c r="G483" s="509"/>
      <c r="H483" s="509"/>
      <c r="I483" s="512"/>
      <c r="J483" s="513"/>
      <c r="K483" s="514"/>
      <c r="L483" s="515"/>
      <c r="M483" s="516"/>
      <c r="N483" s="56">
        <f t="shared" si="166"/>
        <v>0</v>
      </c>
      <c r="O483" s="57">
        <f t="shared" si="167"/>
        <v>0</v>
      </c>
      <c r="P483" s="57">
        <f ca="1">IFERROR(IF(ISBLANK(H483),SUMIFS($AC:$AC,$V:$V,V483,$W:$W,W483,$X:$X,X483,$Y:$Y,Y483)*J483/(1-J483)*VLOOKUP(_xlfn.CONCAT(C483,D483,E483,TIME!$M$12,Z483),HIS_SALES!$B$2:$W$4859,20,FALSE),AC483*J483/(1-J483)),0)</f>
        <v>0</v>
      </c>
      <c r="Q483" s="541" t="str">
        <f t="shared" si="168"/>
        <v/>
      </c>
      <c r="R483" s="346" t="str">
        <f t="shared" si="169"/>
        <v>00000</v>
      </c>
      <c r="S483" s="344">
        <f t="shared" si="170"/>
        <v>0</v>
      </c>
      <c r="T483" s="345" t="str">
        <f t="shared" si="183"/>
        <v>000</v>
      </c>
      <c r="U483" s="345">
        <f t="shared" si="171"/>
        <v>0</v>
      </c>
      <c r="V483" s="345">
        <f t="shared" si="172"/>
        <v>0</v>
      </c>
      <c r="W483" s="345">
        <f t="shared" si="173"/>
        <v>0</v>
      </c>
      <c r="X483" s="345">
        <f t="shared" si="174"/>
        <v>0</v>
      </c>
      <c r="Y483" s="345">
        <f t="shared" si="175"/>
        <v>0</v>
      </c>
      <c r="Z483" s="345">
        <f>IF(Q483&lt;&gt;"",VLOOKUP(Y483,TIME!$R$21:$V$24,MATCH(FC_DATA!Q483,TIME!$R$20:$V$20,0),FALSE),H483)</f>
        <v>0</v>
      </c>
      <c r="AA483" s="345" t="str">
        <f>IFERROR(VLOOKUP(X483&amp;Z483,TIME!$A$12:$D$71,4,FALSE),"")</f>
        <v/>
      </c>
      <c r="AB483" s="592">
        <f t="shared" ca="1" si="176"/>
        <v>0</v>
      </c>
      <c r="AC483" s="593" t="e">
        <f ca="1">IF(ISBLANK(H483)=FALSE,IF(D483="BRAND.com",I483,IF(ISNA(VLOOKUP(_xlfn.CONCAT(X483,Z483),TIME!$M$40:$M$42,1,FALSE)),I483,VLOOKUP(_xlfn.CONCAT(D483,G483,H483),M_BUSAREA_FC!$AF$5:$AJ$10,5,FALSE)*HLOOKUP(_xlfn.CONCAT(F483,H483),ST_OVERVIEW!$G$99:$I$130,MATCH(_xlfn.CONCAT(D483,E483),ST_OVERVIEW!$F$99:$F$130,0),FALSE))),IF(D483="BRAND.com",VLOOKUP(_xlfn.CONCAT(C483,D483,E483,TIME!$F$1,Z483),HIS_SALES!$B$2:$V$4859,19,FALSE)*I483,VLOOKUP(_xlfn.CONCAT(D483,F483,G483),Q_BUSAREA_FC!$AE$5:$AI$12,5,FALSE)*HLOOKUP(_xlfn.CONCAT(FC_DATA!F483,FC_DATA!G483),LT_OVERVIEW!$I$99:$M$130,MATCH(_xlfn.CONCAT(D483,FC_DATA!E483),LT_OVERVIEW!$H$99:$H$130,0),FALSE)*IFERROR(VLOOKUP(_xlfn.CONCAT(C483,D483,E483,TIME!$F$1,Z483),HIS_SALES!$B$2:$V$4859,19,FALSE),0)))</f>
        <v>#N/A</v>
      </c>
      <c r="AD483" s="341">
        <f t="shared" ca="1" si="177"/>
        <v>0</v>
      </c>
      <c r="AE483" s="363" t="str">
        <f t="shared" si="178"/>
        <v/>
      </c>
      <c r="AF483" s="342" t="str">
        <f t="shared" si="179"/>
        <v/>
      </c>
      <c r="AG483" s="411" t="e">
        <f ca="1">VLOOKUP(_xlfn.CONCAT(U483,V483,W483,VLOOKUP(X483&amp;Y483,TIME!$L$27:$O$34,4,FALSE),Y483),HIS_SALES!$A$2:$R$5093,18,FALSE)</f>
        <v>#N/A</v>
      </c>
      <c r="AH483" s="412" t="e">
        <f ca="1">IFERROR(IF(AND(V483=V482,W483=W482),0.5*(AB483+AB482)*AG483,(VLOOKUP(_xlfn.CONCAT(U483,V483,W483,X483,VLOOKUP(Z483,TIME!$S$28:$T$39,2,FALSE)),FC_DATA!$R$2:$AB$5000,MATCH("GS_I_M",FC_DATA!$R$1:$AB$1,0),FALSE)+FC_DATA!AB483)*0.5*FC_DATA!AG483),NA())</f>
        <v>#N/A</v>
      </c>
      <c r="AI483" s="491" t="e">
        <f ca="1">IF(V483="PARTNER.com",AH483,IF(AND(V483=V482,W483=W482),(1-AVERAGE(AD482,AD483))*AH483,(1-AVERAGE(AD483,VLOOKUP(_xlfn.CONCAT(U483,V483,W483,X483,M_BRAND_FC!$F$6),FC_DATA!$R$2:$AD$5000,MATCH("DISCOUNT_%_M",FC_DATA!$R$1:$AD$1,0),FALSE)))*AH483))</f>
        <v>#N/A</v>
      </c>
      <c r="AJ483" s="412" t="str">
        <f t="shared" ca="1" si="180"/>
        <v/>
      </c>
      <c r="AK483" s="413" t="str">
        <f>IFERROR(AE483/(Q_BRAND_FC!$T$24+1),"")</f>
        <v/>
      </c>
      <c r="AL483" s="88" t="str">
        <f t="shared" ca="1" si="181"/>
        <v/>
      </c>
      <c r="AM483" s="414" t="str">
        <f t="shared" ca="1" si="182"/>
        <v/>
      </c>
      <c r="AN483" s="58">
        <f>IFERROR(IF($V483="BRAND.com",HLOOKUP($X483&amp;$Z483,NWC_FC_NOOS!$C$4:$Q$23,MATCH(W483,NWC_FC_NOOS!$B$4:$B$23,0),FALSE),0),0)</f>
        <v>0</v>
      </c>
      <c r="AO483" s="57">
        <f>IFERROR(IF($V483="BRAND.com",HLOOKUP($X483&amp;$Z483,NWC_FC_NOOS!$T$4:$AH$23,MATCH(W483,NWC_FC_NOOS!$S$4:$S$23,0),FALSE),0),0)</f>
        <v>0</v>
      </c>
      <c r="AP483" s="57">
        <f>IFERROR(IF($V483="BRAND.com",HLOOKUP($X483&amp;$Z483,NWC_FC_NOOS!$C$50:$U$69,MATCH(W483,NWC_FC_NOOS!$B$50:$B$69,0),FALSE),0),0)</f>
        <v>0</v>
      </c>
      <c r="AQ483" s="58">
        <f>IFERROR(IF($V483="BRAND.com",HLOOKUP($X483&amp;$Z483,'NWC_FC_NON-NOOS'!$C$4:$Q$23,MATCH(W483,'NWC_FC_NON-NOOS'!$B$4:$B$23,0),FALSE),0),0)</f>
        <v>0</v>
      </c>
      <c r="AR483" s="57">
        <f>IFERROR(IF($V483="BRAND.com",HLOOKUP($X483&amp;$Z483,'NWC_FC_NON-NOOS'!$T$4:$AH$23,MATCH(W483,'NWC_FC_NON-NOOS'!$S$4:$S$23,0),FALSE),0),0)</f>
        <v>0</v>
      </c>
      <c r="AS483" s="57">
        <f>IFERROR(IF($V483="BRAND.com",HLOOKUP($X483&amp;$Z483,'NWC_FC_NON-NOOS'!$C$50:$U$69,MATCH(W483,'NWC_FC_NON-NOOS'!$B$50:$B$69,0),FALSE),0),0)</f>
        <v>0</v>
      </c>
      <c r="AT483" s="57">
        <f t="shared" si="184"/>
        <v>0</v>
      </c>
      <c r="AU483" s="57">
        <f t="shared" si="185"/>
        <v>0</v>
      </c>
      <c r="AV483" s="58">
        <f>IFERROR(IF($V483="BRAND.com",HLOOKUP($X483&amp;$Z483,PLANNING_FC!$BB$27:$BP$46,MATCH($W483,PLANNING_FC!$BA$27:$BA$46,0),FALSE),0),0)</f>
        <v>0</v>
      </c>
      <c r="AW483" s="58">
        <f>IFERROR(IF($V483="BRAND.com",HLOOKUP($X483&amp;$Z483,PLANNING_FC!$BB$4:$BP$23,MATCH($W483,PLANNING_FC!$BA$4:$BA$23,0),FALSE),0),0)</f>
        <v>0</v>
      </c>
      <c r="AX483" s="58">
        <f>IFERROR(IF($V483="BRAND.com",HLOOKUP($X483&amp;$Z483,PLANNING_FC!$T$27:$AH$46,MATCH($W483,PLANNING_FC!$B$27:$B$46,0),FALSE),0),0)</f>
        <v>0</v>
      </c>
      <c r="AY483" s="58">
        <f>IFERROR(IF($V483="BRAND.com",HLOOKUP($X483&amp;$Z483,PLANNING_FC!$T$4:$AH$23,MATCH($W483,PLANNING_FC!$B$4:$B$23,0),FALSE),0),0)</f>
        <v>0</v>
      </c>
      <c r="AZ483" s="58">
        <f>IFERROR(IF($V483="BRAND.com",HLOOKUP($X483&amp;$Z483,PLANNING_FC!$DA$27:$DO$46,MATCH($W483,PLANNING_FC!$CZ$27:$CZ$46,0),FALSE),0),0)</f>
        <v>0</v>
      </c>
      <c r="BA483" s="58">
        <f>IFERROR(IF($V483="BRAND.com",HLOOKUP($X483&amp;$Z483,PLANNING_FC!$DA$4:$DO$23,MATCH($W483,PLANNING_FC!$CZ$4:$CZ$23,0),FALSE),0),0)</f>
        <v>0</v>
      </c>
      <c r="BB483" s="883" t="str">
        <f>IF(V483="BRAND.com",IFERROR(HLOOKUP(X483&amp;Z483,PLANNING_FC!$AK$4:$AY$23,MATCH(W483,PLANNING_FC!$AJ$4:$AJ$23,0),FALSE)*1000,""),"")</f>
        <v/>
      </c>
      <c r="BC483" s="883" t="str">
        <f>IF(V483="BRAND.com",IFERROR(HLOOKUP(X483&amp;Z483,PLANNING_FC!$AK$27:$AY$46,MATCH(W483,PLANNING_FC!$AJ$27:$AJ$46,0),FALSE)*1000,""),"")</f>
        <v/>
      </c>
    </row>
    <row r="484" spans="1:55" x14ac:dyDescent="0.25">
      <c r="A484" s="509"/>
      <c r="B484" s="509"/>
      <c r="C484" s="509"/>
      <c r="D484" s="509"/>
      <c r="E484" s="509"/>
      <c r="F484" s="509"/>
      <c r="G484" s="509"/>
      <c r="H484" s="509"/>
      <c r="I484" s="512"/>
      <c r="J484" s="513"/>
      <c r="K484" s="514"/>
      <c r="L484" s="515"/>
      <c r="M484" s="516"/>
      <c r="N484" s="56">
        <f t="shared" si="166"/>
        <v>0</v>
      </c>
      <c r="O484" s="57">
        <f t="shared" si="167"/>
        <v>0</v>
      </c>
      <c r="P484" s="57">
        <f ca="1">IFERROR(IF(ISBLANK(H484),SUMIFS($AC:$AC,$V:$V,V484,$W:$W,W484,$X:$X,X484,$Y:$Y,Y484)*J484/(1-J484)*VLOOKUP(_xlfn.CONCAT(C484,D484,E484,TIME!$M$12,Z484),HIS_SALES!$B$2:$W$4859,20,FALSE),AC484*J484/(1-J484)),0)</f>
        <v>0</v>
      </c>
      <c r="Q484" s="541" t="str">
        <f t="shared" si="168"/>
        <v/>
      </c>
      <c r="R484" s="346" t="str">
        <f t="shared" si="169"/>
        <v>00000</v>
      </c>
      <c r="S484" s="344">
        <f t="shared" si="170"/>
        <v>0</v>
      </c>
      <c r="T484" s="345" t="str">
        <f t="shared" si="183"/>
        <v>000</v>
      </c>
      <c r="U484" s="345">
        <f t="shared" si="171"/>
        <v>0</v>
      </c>
      <c r="V484" s="345">
        <f t="shared" si="172"/>
        <v>0</v>
      </c>
      <c r="W484" s="345">
        <f t="shared" si="173"/>
        <v>0</v>
      </c>
      <c r="X484" s="345">
        <f t="shared" si="174"/>
        <v>0</v>
      </c>
      <c r="Y484" s="345">
        <f t="shared" si="175"/>
        <v>0</v>
      </c>
      <c r="Z484" s="345">
        <f>IF(Q484&lt;&gt;"",VLOOKUP(Y484,TIME!$R$21:$V$24,MATCH(FC_DATA!Q484,TIME!$R$20:$V$20,0),FALSE),H484)</f>
        <v>0</v>
      </c>
      <c r="AA484" s="345" t="str">
        <f>IFERROR(VLOOKUP(X484&amp;Z484,TIME!$A$12:$D$71,4,FALSE),"")</f>
        <v/>
      </c>
      <c r="AB484" s="592">
        <f t="shared" ca="1" si="176"/>
        <v>0</v>
      </c>
      <c r="AC484" s="593" t="e">
        <f ca="1">IF(ISBLANK(H484)=FALSE,IF(D484="BRAND.com",I484,IF(ISNA(VLOOKUP(_xlfn.CONCAT(X484,Z484),TIME!$M$40:$M$42,1,FALSE)),I484,VLOOKUP(_xlfn.CONCAT(D484,G484,H484),M_BUSAREA_FC!$AF$5:$AJ$10,5,FALSE)*HLOOKUP(_xlfn.CONCAT(F484,H484),ST_OVERVIEW!$G$99:$I$130,MATCH(_xlfn.CONCAT(D484,E484),ST_OVERVIEW!$F$99:$F$130,0),FALSE))),IF(D484="BRAND.com",VLOOKUP(_xlfn.CONCAT(C484,D484,E484,TIME!$F$1,Z484),HIS_SALES!$B$2:$V$4859,19,FALSE)*I484,VLOOKUP(_xlfn.CONCAT(D484,F484,G484),Q_BUSAREA_FC!$AE$5:$AI$12,5,FALSE)*HLOOKUP(_xlfn.CONCAT(FC_DATA!F484,FC_DATA!G484),LT_OVERVIEW!$I$99:$M$130,MATCH(_xlfn.CONCAT(D484,FC_DATA!E484),LT_OVERVIEW!$H$99:$H$130,0),FALSE)*IFERROR(VLOOKUP(_xlfn.CONCAT(C484,D484,E484,TIME!$F$1,Z484),HIS_SALES!$B$2:$V$4859,19,FALSE),0)))</f>
        <v>#N/A</v>
      </c>
      <c r="AD484" s="341">
        <f t="shared" ca="1" si="177"/>
        <v>0</v>
      </c>
      <c r="AE484" s="363" t="str">
        <f t="shared" si="178"/>
        <v/>
      </c>
      <c r="AF484" s="342" t="str">
        <f t="shared" si="179"/>
        <v/>
      </c>
      <c r="AG484" s="411" t="e">
        <f ca="1">VLOOKUP(_xlfn.CONCAT(U484,V484,W484,VLOOKUP(X484&amp;Y484,TIME!$L$27:$O$34,4,FALSE),Y484),HIS_SALES!$A$2:$R$5093,18,FALSE)</f>
        <v>#N/A</v>
      </c>
      <c r="AH484" s="412" t="e">
        <f ca="1">IFERROR(IF(AND(V484=V483,W484=W483),0.5*(AB484+AB483)*AG484,(VLOOKUP(_xlfn.CONCAT(U484,V484,W484,X484,VLOOKUP(Z484,TIME!$S$28:$T$39,2,FALSE)),FC_DATA!$R$2:$AB$5000,MATCH("GS_I_M",FC_DATA!$R$1:$AB$1,0),FALSE)+FC_DATA!AB484)*0.5*FC_DATA!AG484),NA())</f>
        <v>#N/A</v>
      </c>
      <c r="AI484" s="491" t="e">
        <f ca="1">IF(V484="PARTNER.com",AH484,IF(AND(V484=V483,W484=W483),(1-AVERAGE(AD483,AD484))*AH484,(1-AVERAGE(AD484,VLOOKUP(_xlfn.CONCAT(U484,V484,W484,X484,M_BRAND_FC!$F$6),FC_DATA!$R$2:$AD$5000,MATCH("DISCOUNT_%_M",FC_DATA!$R$1:$AD$1,0),FALSE)))*AH484))</f>
        <v>#N/A</v>
      </c>
      <c r="AJ484" s="412" t="str">
        <f t="shared" ca="1" si="180"/>
        <v/>
      </c>
      <c r="AK484" s="413" t="str">
        <f>IFERROR(AE484/(Q_BRAND_FC!$T$24+1),"")</f>
        <v/>
      </c>
      <c r="AL484" s="88" t="str">
        <f t="shared" ca="1" si="181"/>
        <v/>
      </c>
      <c r="AM484" s="414" t="str">
        <f t="shared" ca="1" si="182"/>
        <v/>
      </c>
      <c r="AN484" s="58">
        <f>IFERROR(IF($V484="BRAND.com",HLOOKUP($X484&amp;$Z484,NWC_FC_NOOS!$C$4:$Q$23,MATCH(W484,NWC_FC_NOOS!$B$4:$B$23,0),FALSE),0),0)</f>
        <v>0</v>
      </c>
      <c r="AO484" s="57">
        <f>IFERROR(IF($V484="BRAND.com",HLOOKUP($X484&amp;$Z484,NWC_FC_NOOS!$T$4:$AH$23,MATCH(W484,NWC_FC_NOOS!$S$4:$S$23,0),FALSE),0),0)</f>
        <v>0</v>
      </c>
      <c r="AP484" s="57">
        <f>IFERROR(IF($V484="BRAND.com",HLOOKUP($X484&amp;$Z484,NWC_FC_NOOS!$C$50:$U$69,MATCH(W484,NWC_FC_NOOS!$B$50:$B$69,0),FALSE),0),0)</f>
        <v>0</v>
      </c>
      <c r="AQ484" s="58">
        <f>IFERROR(IF($V484="BRAND.com",HLOOKUP($X484&amp;$Z484,'NWC_FC_NON-NOOS'!$C$4:$Q$23,MATCH(W484,'NWC_FC_NON-NOOS'!$B$4:$B$23,0),FALSE),0),0)</f>
        <v>0</v>
      </c>
      <c r="AR484" s="57">
        <f>IFERROR(IF($V484="BRAND.com",HLOOKUP($X484&amp;$Z484,'NWC_FC_NON-NOOS'!$T$4:$AH$23,MATCH(W484,'NWC_FC_NON-NOOS'!$S$4:$S$23,0),FALSE),0),0)</f>
        <v>0</v>
      </c>
      <c r="AS484" s="57">
        <f>IFERROR(IF($V484="BRAND.com",HLOOKUP($X484&amp;$Z484,'NWC_FC_NON-NOOS'!$C$50:$U$69,MATCH(W484,'NWC_FC_NON-NOOS'!$B$50:$B$69,0),FALSE),0),0)</f>
        <v>0</v>
      </c>
      <c r="AT484" s="57">
        <f t="shared" si="184"/>
        <v>0</v>
      </c>
      <c r="AU484" s="57">
        <f t="shared" si="185"/>
        <v>0</v>
      </c>
      <c r="AV484" s="58">
        <f>IFERROR(IF($V484="BRAND.com",HLOOKUP($X484&amp;$Z484,PLANNING_FC!$BB$27:$BP$46,MATCH($W484,PLANNING_FC!$BA$27:$BA$46,0),FALSE),0),0)</f>
        <v>0</v>
      </c>
      <c r="AW484" s="58">
        <f>IFERROR(IF($V484="BRAND.com",HLOOKUP($X484&amp;$Z484,PLANNING_FC!$BB$4:$BP$23,MATCH($W484,PLANNING_FC!$BA$4:$BA$23,0),FALSE),0),0)</f>
        <v>0</v>
      </c>
      <c r="AX484" s="58">
        <f>IFERROR(IF($V484="BRAND.com",HLOOKUP($X484&amp;$Z484,PLANNING_FC!$T$27:$AH$46,MATCH($W484,PLANNING_FC!$B$27:$B$46,0),FALSE),0),0)</f>
        <v>0</v>
      </c>
      <c r="AY484" s="58">
        <f>IFERROR(IF($V484="BRAND.com",HLOOKUP($X484&amp;$Z484,PLANNING_FC!$T$4:$AH$23,MATCH($W484,PLANNING_FC!$B$4:$B$23,0),FALSE),0),0)</f>
        <v>0</v>
      </c>
      <c r="AZ484" s="58">
        <f>IFERROR(IF($V484="BRAND.com",HLOOKUP($X484&amp;$Z484,PLANNING_FC!$DA$27:$DO$46,MATCH($W484,PLANNING_FC!$CZ$27:$CZ$46,0),FALSE),0),0)</f>
        <v>0</v>
      </c>
      <c r="BA484" s="58">
        <f>IFERROR(IF($V484="BRAND.com",HLOOKUP($X484&amp;$Z484,PLANNING_FC!$DA$4:$DO$23,MATCH($W484,PLANNING_FC!$CZ$4:$CZ$23,0),FALSE),0),0)</f>
        <v>0</v>
      </c>
      <c r="BB484" s="883" t="str">
        <f>IF(V484="BRAND.com",IFERROR(HLOOKUP(X484&amp;Z484,PLANNING_FC!$AK$4:$AY$23,MATCH(W484,PLANNING_FC!$AJ$4:$AJ$23,0),FALSE)*1000,""),"")</f>
        <v/>
      </c>
      <c r="BC484" s="883" t="str">
        <f>IF(V484="BRAND.com",IFERROR(HLOOKUP(X484&amp;Z484,PLANNING_FC!$AK$27:$AY$46,MATCH(W484,PLANNING_FC!$AJ$27:$AJ$46,0),FALSE)*1000,""),"")</f>
        <v/>
      </c>
    </row>
    <row r="485" spans="1:55" x14ac:dyDescent="0.25">
      <c r="A485" s="509"/>
      <c r="B485" s="509"/>
      <c r="C485" s="509"/>
      <c r="D485" s="509"/>
      <c r="E485" s="509"/>
      <c r="F485" s="509"/>
      <c r="G485" s="509"/>
      <c r="H485" s="509"/>
      <c r="I485" s="512"/>
      <c r="J485" s="513"/>
      <c r="K485" s="514"/>
      <c r="L485" s="515"/>
      <c r="M485" s="516"/>
      <c r="N485" s="56">
        <f t="shared" si="166"/>
        <v>0</v>
      </c>
      <c r="O485" s="57">
        <f t="shared" si="167"/>
        <v>0</v>
      </c>
      <c r="P485" s="57">
        <f ca="1">IFERROR(IF(ISBLANK(H485),SUMIFS($AC:$AC,$V:$V,V485,$W:$W,W485,$X:$X,X485,$Y:$Y,Y485)*J485/(1-J485)*VLOOKUP(_xlfn.CONCAT(C485,D485,E485,TIME!$M$12,Z485),HIS_SALES!$B$2:$W$4859,20,FALSE),AC485*J485/(1-J485)),0)</f>
        <v>0</v>
      </c>
      <c r="Q485" s="541" t="str">
        <f t="shared" si="168"/>
        <v/>
      </c>
      <c r="R485" s="346" t="str">
        <f t="shared" si="169"/>
        <v>00000</v>
      </c>
      <c r="S485" s="344">
        <f t="shared" si="170"/>
        <v>0</v>
      </c>
      <c r="T485" s="345" t="str">
        <f t="shared" si="183"/>
        <v>000</v>
      </c>
      <c r="U485" s="345">
        <f t="shared" si="171"/>
        <v>0</v>
      </c>
      <c r="V485" s="345">
        <f t="shared" si="172"/>
        <v>0</v>
      </c>
      <c r="W485" s="345">
        <f t="shared" si="173"/>
        <v>0</v>
      </c>
      <c r="X485" s="345">
        <f t="shared" si="174"/>
        <v>0</v>
      </c>
      <c r="Y485" s="345">
        <f t="shared" si="175"/>
        <v>0</v>
      </c>
      <c r="Z485" s="345">
        <f>IF(Q485&lt;&gt;"",VLOOKUP(Y485,TIME!$R$21:$V$24,MATCH(FC_DATA!Q485,TIME!$R$20:$V$20,0),FALSE),H485)</f>
        <v>0</v>
      </c>
      <c r="AA485" s="345" t="str">
        <f>IFERROR(VLOOKUP(X485&amp;Z485,TIME!$A$12:$D$71,4,FALSE),"")</f>
        <v/>
      </c>
      <c r="AB485" s="592">
        <f t="shared" ca="1" si="176"/>
        <v>0</v>
      </c>
      <c r="AC485" s="593" t="e">
        <f ca="1">IF(ISBLANK(H485)=FALSE,IF(D485="BRAND.com",I485,IF(ISNA(VLOOKUP(_xlfn.CONCAT(X485,Z485),TIME!$M$40:$M$42,1,FALSE)),I485,VLOOKUP(_xlfn.CONCAT(D485,G485,H485),M_BUSAREA_FC!$AF$5:$AJ$10,5,FALSE)*HLOOKUP(_xlfn.CONCAT(F485,H485),ST_OVERVIEW!$G$99:$I$130,MATCH(_xlfn.CONCAT(D485,E485),ST_OVERVIEW!$F$99:$F$130,0),FALSE))),IF(D485="BRAND.com",VLOOKUP(_xlfn.CONCAT(C485,D485,E485,TIME!$F$1,Z485),HIS_SALES!$B$2:$V$4859,19,FALSE)*I485,VLOOKUP(_xlfn.CONCAT(D485,F485,G485),Q_BUSAREA_FC!$AE$5:$AI$12,5,FALSE)*HLOOKUP(_xlfn.CONCAT(FC_DATA!F485,FC_DATA!G485),LT_OVERVIEW!$I$99:$M$130,MATCH(_xlfn.CONCAT(D485,FC_DATA!E485),LT_OVERVIEW!$H$99:$H$130,0),FALSE)*IFERROR(VLOOKUP(_xlfn.CONCAT(C485,D485,E485,TIME!$F$1,Z485),HIS_SALES!$B$2:$V$4859,19,FALSE),0)))</f>
        <v>#N/A</v>
      </c>
      <c r="AD485" s="341">
        <f t="shared" ca="1" si="177"/>
        <v>0</v>
      </c>
      <c r="AE485" s="363" t="str">
        <f t="shared" si="178"/>
        <v/>
      </c>
      <c r="AF485" s="342" t="str">
        <f t="shared" si="179"/>
        <v/>
      </c>
      <c r="AG485" s="411" t="e">
        <f ca="1">VLOOKUP(_xlfn.CONCAT(U485,V485,W485,VLOOKUP(X485&amp;Y485,TIME!$L$27:$O$34,4,FALSE),Y485),HIS_SALES!$A$2:$R$5093,18,FALSE)</f>
        <v>#N/A</v>
      </c>
      <c r="AH485" s="412" t="e">
        <f ca="1">IFERROR(IF(AND(V485=V484,W485=W484),0.5*(AB485+AB484)*AG485,(VLOOKUP(_xlfn.CONCAT(U485,V485,W485,X485,VLOOKUP(Z485,TIME!$S$28:$T$39,2,FALSE)),FC_DATA!$R$2:$AB$5000,MATCH("GS_I_M",FC_DATA!$R$1:$AB$1,0),FALSE)+FC_DATA!AB485)*0.5*FC_DATA!AG485),NA())</f>
        <v>#N/A</v>
      </c>
      <c r="AI485" s="491" t="e">
        <f ca="1">IF(V485="PARTNER.com",AH485,IF(AND(V485=V484,W485=W484),(1-AVERAGE(AD484,AD485))*AH485,(1-AVERAGE(AD485,VLOOKUP(_xlfn.CONCAT(U485,V485,W485,X485,M_BRAND_FC!$F$6),FC_DATA!$R$2:$AD$5000,MATCH("DISCOUNT_%_M",FC_DATA!$R$1:$AD$1,0),FALSE)))*AH485))</f>
        <v>#N/A</v>
      </c>
      <c r="AJ485" s="412" t="str">
        <f t="shared" ca="1" si="180"/>
        <v/>
      </c>
      <c r="AK485" s="413" t="str">
        <f>IFERROR(AE485/(Q_BRAND_FC!$T$24+1),"")</f>
        <v/>
      </c>
      <c r="AL485" s="88" t="str">
        <f t="shared" ca="1" si="181"/>
        <v/>
      </c>
      <c r="AM485" s="414" t="str">
        <f t="shared" ca="1" si="182"/>
        <v/>
      </c>
      <c r="AN485" s="58">
        <f>IFERROR(IF($V485="BRAND.com",HLOOKUP($X485&amp;$Z485,NWC_FC_NOOS!$C$4:$Q$23,MATCH(W485,NWC_FC_NOOS!$B$4:$B$23,0),FALSE),0),0)</f>
        <v>0</v>
      </c>
      <c r="AO485" s="57">
        <f>IFERROR(IF($V485="BRAND.com",HLOOKUP($X485&amp;$Z485,NWC_FC_NOOS!$T$4:$AH$23,MATCH(W485,NWC_FC_NOOS!$S$4:$S$23,0),FALSE),0),0)</f>
        <v>0</v>
      </c>
      <c r="AP485" s="57">
        <f>IFERROR(IF($V485="BRAND.com",HLOOKUP($X485&amp;$Z485,NWC_FC_NOOS!$C$50:$U$69,MATCH(W485,NWC_FC_NOOS!$B$50:$B$69,0),FALSE),0),0)</f>
        <v>0</v>
      </c>
      <c r="AQ485" s="58">
        <f>IFERROR(IF($V485="BRAND.com",HLOOKUP($X485&amp;$Z485,'NWC_FC_NON-NOOS'!$C$4:$Q$23,MATCH(W485,'NWC_FC_NON-NOOS'!$B$4:$B$23,0),FALSE),0),0)</f>
        <v>0</v>
      </c>
      <c r="AR485" s="57">
        <f>IFERROR(IF($V485="BRAND.com",HLOOKUP($X485&amp;$Z485,'NWC_FC_NON-NOOS'!$T$4:$AH$23,MATCH(W485,'NWC_FC_NON-NOOS'!$S$4:$S$23,0),FALSE),0),0)</f>
        <v>0</v>
      </c>
      <c r="AS485" s="57">
        <f>IFERROR(IF($V485="BRAND.com",HLOOKUP($X485&amp;$Z485,'NWC_FC_NON-NOOS'!$C$50:$U$69,MATCH(W485,'NWC_FC_NON-NOOS'!$B$50:$B$69,0),FALSE),0),0)</f>
        <v>0</v>
      </c>
      <c r="AT485" s="57">
        <f t="shared" si="184"/>
        <v>0</v>
      </c>
      <c r="AU485" s="57">
        <f t="shared" si="185"/>
        <v>0</v>
      </c>
      <c r="AV485" s="58">
        <f>IFERROR(IF($V485="BRAND.com",HLOOKUP($X485&amp;$Z485,PLANNING_FC!$BB$27:$BP$46,MATCH($W485,PLANNING_FC!$BA$27:$BA$46,0),FALSE),0),0)</f>
        <v>0</v>
      </c>
      <c r="AW485" s="58">
        <f>IFERROR(IF($V485="BRAND.com",HLOOKUP($X485&amp;$Z485,PLANNING_FC!$BB$4:$BP$23,MATCH($W485,PLANNING_FC!$BA$4:$BA$23,0),FALSE),0),0)</f>
        <v>0</v>
      </c>
      <c r="AX485" s="58">
        <f>IFERROR(IF($V485="BRAND.com",HLOOKUP($X485&amp;$Z485,PLANNING_FC!$T$27:$AH$46,MATCH($W485,PLANNING_FC!$B$27:$B$46,0),FALSE),0),0)</f>
        <v>0</v>
      </c>
      <c r="AY485" s="58">
        <f>IFERROR(IF($V485="BRAND.com",HLOOKUP($X485&amp;$Z485,PLANNING_FC!$T$4:$AH$23,MATCH($W485,PLANNING_FC!$B$4:$B$23,0),FALSE),0),0)</f>
        <v>0</v>
      </c>
      <c r="AZ485" s="58">
        <f>IFERROR(IF($V485="BRAND.com",HLOOKUP($X485&amp;$Z485,PLANNING_FC!$DA$27:$DO$46,MATCH($W485,PLANNING_FC!$CZ$27:$CZ$46,0),FALSE),0),0)</f>
        <v>0</v>
      </c>
      <c r="BA485" s="58">
        <f>IFERROR(IF($V485="BRAND.com",HLOOKUP($X485&amp;$Z485,PLANNING_FC!$DA$4:$DO$23,MATCH($W485,PLANNING_FC!$CZ$4:$CZ$23,0),FALSE),0),0)</f>
        <v>0</v>
      </c>
      <c r="BB485" s="883" t="str">
        <f>IF(V485="BRAND.com",IFERROR(HLOOKUP(X485&amp;Z485,PLANNING_FC!$AK$4:$AY$23,MATCH(W485,PLANNING_FC!$AJ$4:$AJ$23,0),FALSE)*1000,""),"")</f>
        <v/>
      </c>
      <c r="BC485" s="883" t="str">
        <f>IF(V485="BRAND.com",IFERROR(HLOOKUP(X485&amp;Z485,PLANNING_FC!$AK$27:$AY$46,MATCH(W485,PLANNING_FC!$AJ$27:$AJ$46,0),FALSE)*1000,""),"")</f>
        <v/>
      </c>
    </row>
    <row r="486" spans="1:55" x14ac:dyDescent="0.25">
      <c r="A486" s="509"/>
      <c r="B486" s="509"/>
      <c r="C486" s="509"/>
      <c r="D486" s="509"/>
      <c r="E486" s="509"/>
      <c r="F486" s="509"/>
      <c r="G486" s="511"/>
      <c r="H486" s="509"/>
      <c r="I486" s="512"/>
      <c r="J486" s="513"/>
      <c r="K486" s="514"/>
      <c r="L486" s="515"/>
      <c r="M486" s="516"/>
      <c r="N486" s="56">
        <f t="shared" si="166"/>
        <v>0</v>
      </c>
      <c r="O486" s="57">
        <f t="shared" si="167"/>
        <v>0</v>
      </c>
      <c r="P486" s="57">
        <f ca="1">IFERROR(IF(ISBLANK(H486),SUMIFS($AC:$AC,$V:$V,V486,$W:$W,W486,$X:$X,X486,$Y:$Y,Y486)*J486/(1-J486)*VLOOKUP(_xlfn.CONCAT(C486,D486,E486,TIME!$M$12,Z486),HIS_SALES!$B$2:$W$4859,20,FALSE),AC486*J486/(1-J486)),0)</f>
        <v>0</v>
      </c>
      <c r="Q486" s="541" t="str">
        <f t="shared" si="168"/>
        <v/>
      </c>
      <c r="R486" s="346" t="str">
        <f t="shared" si="169"/>
        <v>00000</v>
      </c>
      <c r="S486" s="344">
        <f t="shared" si="170"/>
        <v>0</v>
      </c>
      <c r="T486" s="345" t="str">
        <f t="shared" si="183"/>
        <v>000</v>
      </c>
      <c r="U486" s="345">
        <f t="shared" si="171"/>
        <v>0</v>
      </c>
      <c r="V486" s="345">
        <f t="shared" si="172"/>
        <v>0</v>
      </c>
      <c r="W486" s="345">
        <f t="shared" si="173"/>
        <v>0</v>
      </c>
      <c r="X486" s="345">
        <f t="shared" si="174"/>
        <v>0</v>
      </c>
      <c r="Y486" s="345">
        <f t="shared" si="175"/>
        <v>0</v>
      </c>
      <c r="Z486" s="345">
        <f>IF(Q486&lt;&gt;"",VLOOKUP(Y486,TIME!$R$21:$V$24,MATCH(FC_DATA!Q486,TIME!$R$20:$V$20,0),FALSE),H486)</f>
        <v>0</v>
      </c>
      <c r="AA486" s="345" t="str">
        <f>IFERROR(VLOOKUP(X486&amp;Z486,TIME!$A$12:$D$71,4,FALSE),"")</f>
        <v/>
      </c>
      <c r="AB486" s="592">
        <f t="shared" ca="1" si="176"/>
        <v>0</v>
      </c>
      <c r="AC486" s="593" t="e">
        <f ca="1">IF(ISBLANK(H486)=FALSE,IF(D486="BRAND.com",I486,IF(ISNA(VLOOKUP(_xlfn.CONCAT(X486,Z486),TIME!$M$40:$M$42,1,FALSE)),I486,VLOOKUP(_xlfn.CONCAT(D486,G486,H486),M_BUSAREA_FC!$AF$5:$AJ$10,5,FALSE)*HLOOKUP(_xlfn.CONCAT(F486,H486),ST_OVERVIEW!$G$99:$I$130,MATCH(_xlfn.CONCAT(D486,E486),ST_OVERVIEW!$F$99:$F$130,0),FALSE))),IF(D486="BRAND.com",VLOOKUP(_xlfn.CONCAT(C486,D486,E486,TIME!$F$1,Z486),HIS_SALES!$B$2:$V$4859,19,FALSE)*I486,VLOOKUP(_xlfn.CONCAT(D486,F486,G486),Q_BUSAREA_FC!$AE$5:$AI$12,5,FALSE)*HLOOKUP(_xlfn.CONCAT(FC_DATA!F486,FC_DATA!G486),LT_OVERVIEW!$I$99:$M$130,MATCH(_xlfn.CONCAT(D486,FC_DATA!E486),LT_OVERVIEW!$H$99:$H$130,0),FALSE)*IFERROR(VLOOKUP(_xlfn.CONCAT(C486,D486,E486,TIME!$F$1,Z486),HIS_SALES!$B$2:$V$4859,19,FALSE),0)))</f>
        <v>#N/A</v>
      </c>
      <c r="AD486" s="341">
        <f t="shared" ca="1" si="177"/>
        <v>0</v>
      </c>
      <c r="AE486" s="363" t="str">
        <f t="shared" si="178"/>
        <v/>
      </c>
      <c r="AF486" s="342" t="str">
        <f t="shared" si="179"/>
        <v/>
      </c>
      <c r="AG486" s="411" t="e">
        <f ca="1">VLOOKUP(_xlfn.CONCAT(U486,V486,W486,VLOOKUP(X486&amp;Y486,TIME!$L$27:$O$34,4,FALSE),Y486),HIS_SALES!$A$2:$R$5093,18,FALSE)</f>
        <v>#N/A</v>
      </c>
      <c r="AH486" s="412" t="e">
        <f ca="1">IFERROR(IF(AND(V486=V485,W486=W485),0.5*(AB486+AB485)*AG486,(VLOOKUP(_xlfn.CONCAT(U486,V486,W486,X486,VLOOKUP(Z486,TIME!$S$28:$T$39,2,FALSE)),FC_DATA!$R$2:$AB$5000,MATCH("GS_I_M",FC_DATA!$R$1:$AB$1,0),FALSE)+FC_DATA!AB486)*0.5*FC_DATA!AG486),NA())</f>
        <v>#N/A</v>
      </c>
      <c r="AI486" s="491" t="e">
        <f ca="1">IF(V486="PARTNER.com",AH486,IF(AND(V486=V485,W486=W485),(1-AVERAGE(AD485,AD486))*AH486,(1-AVERAGE(AD486,VLOOKUP(_xlfn.CONCAT(U486,V486,W486,X486,M_BRAND_FC!$F$6),FC_DATA!$R$2:$AD$5000,MATCH("DISCOUNT_%_M",FC_DATA!$R$1:$AD$1,0),FALSE)))*AH486))</f>
        <v>#N/A</v>
      </c>
      <c r="AJ486" s="412" t="str">
        <f t="shared" ca="1" si="180"/>
        <v/>
      </c>
      <c r="AK486" s="413" t="str">
        <f>IFERROR(AE486/(Q_BRAND_FC!$T$24+1),"")</f>
        <v/>
      </c>
      <c r="AL486" s="88" t="str">
        <f t="shared" ca="1" si="181"/>
        <v/>
      </c>
      <c r="AM486" s="414" t="str">
        <f t="shared" ca="1" si="182"/>
        <v/>
      </c>
      <c r="AN486" s="58">
        <f>IFERROR(IF($V486="BRAND.com",HLOOKUP($X486&amp;$Z486,NWC_FC_NOOS!$C$4:$Q$23,MATCH(W486,NWC_FC_NOOS!$B$4:$B$23,0),FALSE),0),0)</f>
        <v>0</v>
      </c>
      <c r="AO486" s="57">
        <f>IFERROR(IF($V486="BRAND.com",HLOOKUP($X486&amp;$Z486,NWC_FC_NOOS!$T$4:$AH$23,MATCH(W486,NWC_FC_NOOS!$S$4:$S$23,0),FALSE),0),0)</f>
        <v>0</v>
      </c>
      <c r="AP486" s="57">
        <f>IFERROR(IF($V486="BRAND.com",HLOOKUP($X486&amp;$Z486,NWC_FC_NOOS!$C$50:$U$69,MATCH(W486,NWC_FC_NOOS!$B$50:$B$69,0),FALSE),0),0)</f>
        <v>0</v>
      </c>
      <c r="AQ486" s="58">
        <f>IFERROR(IF($V486="BRAND.com",HLOOKUP($X486&amp;$Z486,'NWC_FC_NON-NOOS'!$C$4:$Q$23,MATCH(W486,'NWC_FC_NON-NOOS'!$B$4:$B$23,0),FALSE),0),0)</f>
        <v>0</v>
      </c>
      <c r="AR486" s="57">
        <f>IFERROR(IF($V486="BRAND.com",HLOOKUP($X486&amp;$Z486,'NWC_FC_NON-NOOS'!$T$4:$AH$23,MATCH(W486,'NWC_FC_NON-NOOS'!$S$4:$S$23,0),FALSE),0),0)</f>
        <v>0</v>
      </c>
      <c r="AS486" s="57">
        <f>IFERROR(IF($V486="BRAND.com",HLOOKUP($X486&amp;$Z486,'NWC_FC_NON-NOOS'!$C$50:$U$69,MATCH(W486,'NWC_FC_NON-NOOS'!$B$50:$B$69,0),FALSE),0),0)</f>
        <v>0</v>
      </c>
      <c r="AT486" s="57">
        <f t="shared" si="184"/>
        <v>0</v>
      </c>
      <c r="AU486" s="57">
        <f t="shared" si="185"/>
        <v>0</v>
      </c>
      <c r="AV486" s="58">
        <f>IFERROR(IF($V486="BRAND.com",HLOOKUP($X486&amp;$Z486,PLANNING_FC!$BB$27:$BP$46,MATCH($W486,PLANNING_FC!$BA$27:$BA$46,0),FALSE),0),0)</f>
        <v>0</v>
      </c>
      <c r="AW486" s="58">
        <f>IFERROR(IF($V486="BRAND.com",HLOOKUP($X486&amp;$Z486,PLANNING_FC!$BB$4:$BP$23,MATCH($W486,PLANNING_FC!$BA$4:$BA$23,0),FALSE),0),0)</f>
        <v>0</v>
      </c>
      <c r="AX486" s="58">
        <f>IFERROR(IF($V486="BRAND.com",HLOOKUP($X486&amp;$Z486,PLANNING_FC!$T$27:$AH$46,MATCH($W486,PLANNING_FC!$B$27:$B$46,0),FALSE),0),0)</f>
        <v>0</v>
      </c>
      <c r="AY486" s="58">
        <f>IFERROR(IF($V486="BRAND.com",HLOOKUP($X486&amp;$Z486,PLANNING_FC!$T$4:$AH$23,MATCH($W486,PLANNING_FC!$B$4:$B$23,0),FALSE),0),0)</f>
        <v>0</v>
      </c>
      <c r="AZ486" s="58">
        <f>IFERROR(IF($V486="BRAND.com",HLOOKUP($X486&amp;$Z486,PLANNING_FC!$DA$27:$DO$46,MATCH($W486,PLANNING_FC!$CZ$27:$CZ$46,0),FALSE),0),0)</f>
        <v>0</v>
      </c>
      <c r="BA486" s="58">
        <f>IFERROR(IF($V486="BRAND.com",HLOOKUP($X486&amp;$Z486,PLANNING_FC!$DA$4:$DO$23,MATCH($W486,PLANNING_FC!$CZ$4:$CZ$23,0),FALSE),0),0)</f>
        <v>0</v>
      </c>
      <c r="BB486" s="883" t="str">
        <f>IF(V486="BRAND.com",IFERROR(HLOOKUP(X486&amp;Z486,PLANNING_FC!$AK$4:$AY$23,MATCH(W486,PLANNING_FC!$AJ$4:$AJ$23,0),FALSE)*1000,""),"")</f>
        <v/>
      </c>
      <c r="BC486" s="883" t="str">
        <f>IF(V486="BRAND.com",IFERROR(HLOOKUP(X486&amp;Z486,PLANNING_FC!$AK$27:$AY$46,MATCH(W486,PLANNING_FC!$AJ$27:$AJ$46,0),FALSE)*1000,""),"")</f>
        <v/>
      </c>
    </row>
    <row r="487" spans="1:55" x14ac:dyDescent="0.25">
      <c r="A487" s="509"/>
      <c r="B487" s="509"/>
      <c r="C487" s="509"/>
      <c r="D487" s="509"/>
      <c r="E487" s="509"/>
      <c r="F487" s="509"/>
      <c r="G487" s="509"/>
      <c r="H487" s="509"/>
      <c r="I487" s="512"/>
      <c r="J487" s="513"/>
      <c r="K487" s="514"/>
      <c r="L487" s="515"/>
      <c r="M487" s="516"/>
      <c r="N487" s="56">
        <f t="shared" si="166"/>
        <v>0</v>
      </c>
      <c r="O487" s="57">
        <f t="shared" si="167"/>
        <v>0</v>
      </c>
      <c r="P487" s="57">
        <f ca="1">IFERROR(IF(ISBLANK(H487),SUMIFS($AC:$AC,$V:$V,V487,$W:$W,W487,$X:$X,X487,$Y:$Y,Y487)*J487/(1-J487)*VLOOKUP(_xlfn.CONCAT(C487,D487,E487,TIME!$M$12,Z487),HIS_SALES!$B$2:$W$4859,20,FALSE),AC487*J487/(1-J487)),0)</f>
        <v>0</v>
      </c>
      <c r="Q487" s="541" t="str">
        <f t="shared" si="168"/>
        <v/>
      </c>
      <c r="R487" s="346" t="str">
        <f t="shared" si="169"/>
        <v>00000</v>
      </c>
      <c r="S487" s="344">
        <f t="shared" si="170"/>
        <v>0</v>
      </c>
      <c r="T487" s="345" t="str">
        <f t="shared" si="183"/>
        <v>000</v>
      </c>
      <c r="U487" s="345">
        <f t="shared" si="171"/>
        <v>0</v>
      </c>
      <c r="V487" s="345">
        <f t="shared" si="172"/>
        <v>0</v>
      </c>
      <c r="W487" s="345">
        <f t="shared" si="173"/>
        <v>0</v>
      </c>
      <c r="X487" s="345">
        <f t="shared" si="174"/>
        <v>0</v>
      </c>
      <c r="Y487" s="345">
        <f t="shared" si="175"/>
        <v>0</v>
      </c>
      <c r="Z487" s="345">
        <f>IF(Q487&lt;&gt;"",VLOOKUP(Y487,TIME!$R$21:$V$24,MATCH(FC_DATA!Q487,TIME!$R$20:$V$20,0),FALSE),H487)</f>
        <v>0</v>
      </c>
      <c r="AA487" s="345" t="str">
        <f>IFERROR(VLOOKUP(X487&amp;Z487,TIME!$A$12:$D$71,4,FALSE),"")</f>
        <v/>
      </c>
      <c r="AB487" s="592">
        <f t="shared" ca="1" si="176"/>
        <v>0</v>
      </c>
      <c r="AC487" s="593" t="e">
        <f ca="1">IF(ISBLANK(H487)=FALSE,IF(D487="BRAND.com",I487,IF(ISNA(VLOOKUP(_xlfn.CONCAT(X487,Z487),TIME!$M$40:$M$42,1,FALSE)),I487,VLOOKUP(_xlfn.CONCAT(D487,G487,H487),M_BUSAREA_FC!$AF$5:$AJ$10,5,FALSE)*HLOOKUP(_xlfn.CONCAT(F487,H487),ST_OVERVIEW!$G$99:$I$130,MATCH(_xlfn.CONCAT(D487,E487),ST_OVERVIEW!$F$99:$F$130,0),FALSE))),IF(D487="BRAND.com",VLOOKUP(_xlfn.CONCAT(C487,D487,E487,TIME!$F$1,Z487),HIS_SALES!$B$2:$V$4859,19,FALSE)*I487,VLOOKUP(_xlfn.CONCAT(D487,F487,G487),Q_BUSAREA_FC!$AE$5:$AI$12,5,FALSE)*HLOOKUP(_xlfn.CONCAT(FC_DATA!F487,FC_DATA!G487),LT_OVERVIEW!$I$99:$M$130,MATCH(_xlfn.CONCAT(D487,FC_DATA!E487),LT_OVERVIEW!$H$99:$H$130,0),FALSE)*IFERROR(VLOOKUP(_xlfn.CONCAT(C487,D487,E487,TIME!$F$1,Z487),HIS_SALES!$B$2:$V$4859,19,FALSE),0)))</f>
        <v>#N/A</v>
      </c>
      <c r="AD487" s="341">
        <f t="shared" ca="1" si="177"/>
        <v>0</v>
      </c>
      <c r="AE487" s="363" t="str">
        <f t="shared" si="178"/>
        <v/>
      </c>
      <c r="AF487" s="342" t="str">
        <f t="shared" si="179"/>
        <v/>
      </c>
      <c r="AG487" s="411" t="e">
        <f ca="1">VLOOKUP(_xlfn.CONCAT(U487,V487,W487,VLOOKUP(X487&amp;Y487,TIME!$L$27:$O$34,4,FALSE),Y487),HIS_SALES!$A$2:$R$5093,18,FALSE)</f>
        <v>#N/A</v>
      </c>
      <c r="AH487" s="412" t="e">
        <f ca="1">IFERROR(IF(AND(V487=V486,W487=W486),0.5*(AB487+AB486)*AG487,(VLOOKUP(_xlfn.CONCAT(U487,V487,W487,X487,VLOOKUP(Z487,TIME!$S$28:$T$39,2,FALSE)),FC_DATA!$R$2:$AB$5000,MATCH("GS_I_M",FC_DATA!$R$1:$AB$1,0),FALSE)+FC_DATA!AB487)*0.5*FC_DATA!AG487),NA())</f>
        <v>#N/A</v>
      </c>
      <c r="AI487" s="491" t="e">
        <f ca="1">IF(V487="PARTNER.com",AH487,IF(AND(V487=V486,W487=W486),(1-AVERAGE(AD486,AD487))*AH487,(1-AVERAGE(AD487,VLOOKUP(_xlfn.CONCAT(U487,V487,W487,X487,M_BRAND_FC!$F$6),FC_DATA!$R$2:$AD$5000,MATCH("DISCOUNT_%_M",FC_DATA!$R$1:$AD$1,0),FALSE)))*AH487))</f>
        <v>#N/A</v>
      </c>
      <c r="AJ487" s="412" t="str">
        <f t="shared" ca="1" si="180"/>
        <v/>
      </c>
      <c r="AK487" s="413" t="str">
        <f>IFERROR(AE487/(Q_BRAND_FC!$T$24+1),"")</f>
        <v/>
      </c>
      <c r="AL487" s="88" t="str">
        <f t="shared" ca="1" si="181"/>
        <v/>
      </c>
      <c r="AM487" s="414" t="str">
        <f t="shared" ca="1" si="182"/>
        <v/>
      </c>
      <c r="AN487" s="58">
        <f>IFERROR(IF($V487="BRAND.com",HLOOKUP($X487&amp;$Z487,NWC_FC_NOOS!$C$4:$Q$23,MATCH(W487,NWC_FC_NOOS!$B$4:$B$23,0),FALSE),0),0)</f>
        <v>0</v>
      </c>
      <c r="AO487" s="57">
        <f>IFERROR(IF($V487="BRAND.com",HLOOKUP($X487&amp;$Z487,NWC_FC_NOOS!$T$4:$AH$23,MATCH(W487,NWC_FC_NOOS!$S$4:$S$23,0),FALSE),0),0)</f>
        <v>0</v>
      </c>
      <c r="AP487" s="57">
        <f>IFERROR(IF($V487="BRAND.com",HLOOKUP($X487&amp;$Z487,NWC_FC_NOOS!$C$50:$U$69,MATCH(W487,NWC_FC_NOOS!$B$50:$B$69,0),FALSE),0),0)</f>
        <v>0</v>
      </c>
      <c r="AQ487" s="58">
        <f>IFERROR(IF($V487="BRAND.com",HLOOKUP($X487&amp;$Z487,'NWC_FC_NON-NOOS'!$C$4:$Q$23,MATCH(W487,'NWC_FC_NON-NOOS'!$B$4:$B$23,0),FALSE),0),0)</f>
        <v>0</v>
      </c>
      <c r="AR487" s="57">
        <f>IFERROR(IF($V487="BRAND.com",HLOOKUP($X487&amp;$Z487,'NWC_FC_NON-NOOS'!$T$4:$AH$23,MATCH(W487,'NWC_FC_NON-NOOS'!$S$4:$S$23,0),FALSE),0),0)</f>
        <v>0</v>
      </c>
      <c r="AS487" s="57">
        <f>IFERROR(IF($V487="BRAND.com",HLOOKUP($X487&amp;$Z487,'NWC_FC_NON-NOOS'!$C$50:$U$69,MATCH(W487,'NWC_FC_NON-NOOS'!$B$50:$B$69,0),FALSE),0),0)</f>
        <v>0</v>
      </c>
      <c r="AT487" s="57">
        <f t="shared" si="184"/>
        <v>0</v>
      </c>
      <c r="AU487" s="57">
        <f t="shared" si="185"/>
        <v>0</v>
      </c>
      <c r="AV487" s="58">
        <f>IFERROR(IF($V487="BRAND.com",HLOOKUP($X487&amp;$Z487,PLANNING_FC!$BB$27:$BP$46,MATCH($W487,PLANNING_FC!$BA$27:$BA$46,0),FALSE),0),0)</f>
        <v>0</v>
      </c>
      <c r="AW487" s="58">
        <f>IFERROR(IF($V487="BRAND.com",HLOOKUP($X487&amp;$Z487,PLANNING_FC!$BB$4:$BP$23,MATCH($W487,PLANNING_FC!$BA$4:$BA$23,0),FALSE),0),0)</f>
        <v>0</v>
      </c>
      <c r="AX487" s="58">
        <f>IFERROR(IF($V487="BRAND.com",HLOOKUP($X487&amp;$Z487,PLANNING_FC!$T$27:$AH$46,MATCH($W487,PLANNING_FC!$B$27:$B$46,0),FALSE),0),0)</f>
        <v>0</v>
      </c>
      <c r="AY487" s="58">
        <f>IFERROR(IF($V487="BRAND.com",HLOOKUP($X487&amp;$Z487,PLANNING_FC!$T$4:$AH$23,MATCH($W487,PLANNING_FC!$B$4:$B$23,0),FALSE),0),0)</f>
        <v>0</v>
      </c>
      <c r="AZ487" s="58">
        <f>IFERROR(IF($V487="BRAND.com",HLOOKUP($X487&amp;$Z487,PLANNING_FC!$DA$27:$DO$46,MATCH($W487,PLANNING_FC!$CZ$27:$CZ$46,0),FALSE),0),0)</f>
        <v>0</v>
      </c>
      <c r="BA487" s="58">
        <f>IFERROR(IF($V487="BRAND.com",HLOOKUP($X487&amp;$Z487,PLANNING_FC!$DA$4:$DO$23,MATCH($W487,PLANNING_FC!$CZ$4:$CZ$23,0),FALSE),0),0)</f>
        <v>0</v>
      </c>
      <c r="BB487" s="883" t="str">
        <f>IF(V487="BRAND.com",IFERROR(HLOOKUP(X487&amp;Z487,PLANNING_FC!$AK$4:$AY$23,MATCH(W487,PLANNING_FC!$AJ$4:$AJ$23,0),FALSE)*1000,""),"")</f>
        <v/>
      </c>
      <c r="BC487" s="883" t="str">
        <f>IF(V487="BRAND.com",IFERROR(HLOOKUP(X487&amp;Z487,PLANNING_FC!$AK$27:$AY$46,MATCH(W487,PLANNING_FC!$AJ$27:$AJ$46,0),FALSE)*1000,""),"")</f>
        <v/>
      </c>
    </row>
    <row r="488" spans="1:55" x14ac:dyDescent="0.25">
      <c r="A488" s="509"/>
      <c r="B488" s="509"/>
      <c r="C488" s="509"/>
      <c r="D488" s="509"/>
      <c r="E488" s="509"/>
      <c r="F488" s="509"/>
      <c r="G488" s="509"/>
      <c r="H488" s="509"/>
      <c r="I488" s="512"/>
      <c r="J488" s="513"/>
      <c r="K488" s="514"/>
      <c r="L488" s="515"/>
      <c r="M488" s="516"/>
      <c r="N488" s="56">
        <f t="shared" si="166"/>
        <v>0</v>
      </c>
      <c r="O488" s="57">
        <f t="shared" si="167"/>
        <v>0</v>
      </c>
      <c r="P488" s="57">
        <f ca="1">IFERROR(IF(ISBLANK(H488),SUMIFS($AC:$AC,$V:$V,V488,$W:$W,W488,$X:$X,X488,$Y:$Y,Y488)*J488/(1-J488)*VLOOKUP(_xlfn.CONCAT(C488,D488,E488,TIME!$M$12,Z488),HIS_SALES!$B$2:$W$4859,20,FALSE),AC488*J488/(1-J488)),0)</f>
        <v>0</v>
      </c>
      <c r="Q488" s="541" t="str">
        <f t="shared" si="168"/>
        <v/>
      </c>
      <c r="R488" s="346" t="str">
        <f t="shared" si="169"/>
        <v>00000</v>
      </c>
      <c r="S488" s="344">
        <f t="shared" si="170"/>
        <v>0</v>
      </c>
      <c r="T488" s="345" t="str">
        <f t="shared" si="183"/>
        <v>000</v>
      </c>
      <c r="U488" s="345">
        <f t="shared" si="171"/>
        <v>0</v>
      </c>
      <c r="V488" s="345">
        <f t="shared" si="172"/>
        <v>0</v>
      </c>
      <c r="W488" s="345">
        <f t="shared" si="173"/>
        <v>0</v>
      </c>
      <c r="X488" s="345">
        <f t="shared" si="174"/>
        <v>0</v>
      </c>
      <c r="Y488" s="345">
        <f t="shared" si="175"/>
        <v>0</v>
      </c>
      <c r="Z488" s="345">
        <f>IF(Q488&lt;&gt;"",VLOOKUP(Y488,TIME!$R$21:$V$24,MATCH(FC_DATA!Q488,TIME!$R$20:$V$20,0),FALSE),H488)</f>
        <v>0</v>
      </c>
      <c r="AA488" s="345" t="str">
        <f>IFERROR(VLOOKUP(X488&amp;Z488,TIME!$A$12:$D$71,4,FALSE),"")</f>
        <v/>
      </c>
      <c r="AB488" s="592">
        <f t="shared" ca="1" si="176"/>
        <v>0</v>
      </c>
      <c r="AC488" s="593" t="e">
        <f ca="1">IF(ISBLANK(H488)=FALSE,IF(D488="BRAND.com",I488,IF(ISNA(VLOOKUP(_xlfn.CONCAT(X488,Z488),TIME!$M$40:$M$42,1,FALSE)),I488,VLOOKUP(_xlfn.CONCAT(D488,G488,H488),M_BUSAREA_FC!$AF$5:$AJ$10,5,FALSE)*HLOOKUP(_xlfn.CONCAT(F488,H488),ST_OVERVIEW!$G$99:$I$130,MATCH(_xlfn.CONCAT(D488,E488),ST_OVERVIEW!$F$99:$F$130,0),FALSE))),IF(D488="BRAND.com",VLOOKUP(_xlfn.CONCAT(C488,D488,E488,TIME!$F$1,Z488),HIS_SALES!$B$2:$V$4859,19,FALSE)*I488,VLOOKUP(_xlfn.CONCAT(D488,F488,G488),Q_BUSAREA_FC!$AE$5:$AI$12,5,FALSE)*HLOOKUP(_xlfn.CONCAT(FC_DATA!F488,FC_DATA!G488),LT_OVERVIEW!$I$99:$M$130,MATCH(_xlfn.CONCAT(D488,FC_DATA!E488),LT_OVERVIEW!$H$99:$H$130,0),FALSE)*IFERROR(VLOOKUP(_xlfn.CONCAT(C488,D488,E488,TIME!$F$1,Z488),HIS_SALES!$B$2:$V$4859,19,FALSE),0)))</f>
        <v>#N/A</v>
      </c>
      <c r="AD488" s="341">
        <f t="shared" ca="1" si="177"/>
        <v>0</v>
      </c>
      <c r="AE488" s="363" t="str">
        <f t="shared" si="178"/>
        <v/>
      </c>
      <c r="AF488" s="342" t="str">
        <f t="shared" si="179"/>
        <v/>
      </c>
      <c r="AG488" s="411" t="e">
        <f ca="1">VLOOKUP(_xlfn.CONCAT(U488,V488,W488,VLOOKUP(X488&amp;Y488,TIME!$L$27:$O$34,4,FALSE),Y488),HIS_SALES!$A$2:$R$5093,18,FALSE)</f>
        <v>#N/A</v>
      </c>
      <c r="AH488" s="412" t="e">
        <f ca="1">IFERROR(IF(AND(V488=V487,W488=W487),0.5*(AB488+AB487)*AG488,(VLOOKUP(_xlfn.CONCAT(U488,V488,W488,X488,VLOOKUP(Z488,TIME!$S$28:$T$39,2,FALSE)),FC_DATA!$R$2:$AB$5000,MATCH("GS_I_M",FC_DATA!$R$1:$AB$1,0),FALSE)+FC_DATA!AB488)*0.5*FC_DATA!AG488),NA())</f>
        <v>#N/A</v>
      </c>
      <c r="AI488" s="491" t="e">
        <f ca="1">IF(V488="PARTNER.com",AH488,IF(AND(V488=V487,W488=W487),(1-AVERAGE(AD487,AD488))*AH488,(1-AVERAGE(AD488,VLOOKUP(_xlfn.CONCAT(U488,V488,W488,X488,M_BRAND_FC!$F$6),FC_DATA!$R$2:$AD$5000,MATCH("DISCOUNT_%_M",FC_DATA!$R$1:$AD$1,0),FALSE)))*AH488))</f>
        <v>#N/A</v>
      </c>
      <c r="AJ488" s="412" t="str">
        <f t="shared" ca="1" si="180"/>
        <v/>
      </c>
      <c r="AK488" s="413" t="str">
        <f>IFERROR(AE488/(Q_BRAND_FC!$T$24+1),"")</f>
        <v/>
      </c>
      <c r="AL488" s="88" t="str">
        <f t="shared" ca="1" si="181"/>
        <v/>
      </c>
      <c r="AM488" s="414" t="str">
        <f t="shared" ca="1" si="182"/>
        <v/>
      </c>
      <c r="AN488" s="58">
        <f>IFERROR(IF($V488="BRAND.com",HLOOKUP($X488&amp;$Z488,NWC_FC_NOOS!$C$4:$Q$23,MATCH(W488,NWC_FC_NOOS!$B$4:$B$23,0),FALSE),0),0)</f>
        <v>0</v>
      </c>
      <c r="AO488" s="57">
        <f>IFERROR(IF($V488="BRAND.com",HLOOKUP($X488&amp;$Z488,NWC_FC_NOOS!$T$4:$AH$23,MATCH(W488,NWC_FC_NOOS!$S$4:$S$23,0),FALSE),0),0)</f>
        <v>0</v>
      </c>
      <c r="AP488" s="57">
        <f>IFERROR(IF($V488="BRAND.com",HLOOKUP($X488&amp;$Z488,NWC_FC_NOOS!$C$50:$U$69,MATCH(W488,NWC_FC_NOOS!$B$50:$B$69,0),FALSE),0),0)</f>
        <v>0</v>
      </c>
      <c r="AQ488" s="58">
        <f>IFERROR(IF($V488="BRAND.com",HLOOKUP($X488&amp;$Z488,'NWC_FC_NON-NOOS'!$C$4:$Q$23,MATCH(W488,'NWC_FC_NON-NOOS'!$B$4:$B$23,0),FALSE),0),0)</f>
        <v>0</v>
      </c>
      <c r="AR488" s="57">
        <f>IFERROR(IF($V488="BRAND.com",HLOOKUP($X488&amp;$Z488,'NWC_FC_NON-NOOS'!$T$4:$AH$23,MATCH(W488,'NWC_FC_NON-NOOS'!$S$4:$S$23,0),FALSE),0),0)</f>
        <v>0</v>
      </c>
      <c r="AS488" s="57">
        <f>IFERROR(IF($V488="BRAND.com",HLOOKUP($X488&amp;$Z488,'NWC_FC_NON-NOOS'!$C$50:$U$69,MATCH(W488,'NWC_FC_NON-NOOS'!$B$50:$B$69,0),FALSE),0),0)</f>
        <v>0</v>
      </c>
      <c r="AT488" s="57">
        <f t="shared" si="184"/>
        <v>0</v>
      </c>
      <c r="AU488" s="57">
        <f t="shared" si="185"/>
        <v>0</v>
      </c>
      <c r="AV488" s="58">
        <f>IFERROR(IF($V488="BRAND.com",HLOOKUP($X488&amp;$Z488,PLANNING_FC!$BB$27:$BP$46,MATCH($W488,PLANNING_FC!$BA$27:$BA$46,0),FALSE),0),0)</f>
        <v>0</v>
      </c>
      <c r="AW488" s="58">
        <f>IFERROR(IF($V488="BRAND.com",HLOOKUP($X488&amp;$Z488,PLANNING_FC!$BB$4:$BP$23,MATCH($W488,PLANNING_FC!$BA$4:$BA$23,0),FALSE),0),0)</f>
        <v>0</v>
      </c>
      <c r="AX488" s="58">
        <f>IFERROR(IF($V488="BRAND.com",HLOOKUP($X488&amp;$Z488,PLANNING_FC!$T$27:$AH$46,MATCH($W488,PLANNING_FC!$B$27:$B$46,0),FALSE),0),0)</f>
        <v>0</v>
      </c>
      <c r="AY488" s="58">
        <f>IFERROR(IF($V488="BRAND.com",HLOOKUP($X488&amp;$Z488,PLANNING_FC!$T$4:$AH$23,MATCH($W488,PLANNING_FC!$B$4:$B$23,0),FALSE),0),0)</f>
        <v>0</v>
      </c>
      <c r="AZ488" s="58">
        <f>IFERROR(IF($V488="BRAND.com",HLOOKUP($X488&amp;$Z488,PLANNING_FC!$DA$27:$DO$46,MATCH($W488,PLANNING_FC!$CZ$27:$CZ$46,0),FALSE),0),0)</f>
        <v>0</v>
      </c>
      <c r="BA488" s="58">
        <f>IFERROR(IF($V488="BRAND.com",HLOOKUP($X488&amp;$Z488,PLANNING_FC!$DA$4:$DO$23,MATCH($W488,PLANNING_FC!$CZ$4:$CZ$23,0),FALSE),0),0)</f>
        <v>0</v>
      </c>
      <c r="BB488" s="883" t="str">
        <f>IF(V488="BRAND.com",IFERROR(HLOOKUP(X488&amp;Z488,PLANNING_FC!$AK$4:$AY$23,MATCH(W488,PLANNING_FC!$AJ$4:$AJ$23,0),FALSE)*1000,""),"")</f>
        <v/>
      </c>
      <c r="BC488" s="883" t="str">
        <f>IF(V488="BRAND.com",IFERROR(HLOOKUP(X488&amp;Z488,PLANNING_FC!$AK$27:$AY$46,MATCH(W488,PLANNING_FC!$AJ$27:$AJ$46,0),FALSE)*1000,""),"")</f>
        <v/>
      </c>
    </row>
    <row r="489" spans="1:55" x14ac:dyDescent="0.25">
      <c r="A489" s="509"/>
      <c r="B489" s="509"/>
      <c r="C489" s="509"/>
      <c r="D489" s="509"/>
      <c r="E489" s="509"/>
      <c r="F489" s="509"/>
      <c r="G489" s="509"/>
      <c r="H489" s="509"/>
      <c r="I489" s="512"/>
      <c r="J489" s="513"/>
      <c r="K489" s="514"/>
      <c r="L489" s="515"/>
      <c r="M489" s="516"/>
      <c r="N489" s="56">
        <f t="shared" si="166"/>
        <v>0</v>
      </c>
      <c r="O489" s="57">
        <f t="shared" si="167"/>
        <v>0</v>
      </c>
      <c r="P489" s="57">
        <f ca="1">IFERROR(IF(ISBLANK(H489),SUMIFS($AC:$AC,$V:$V,V489,$W:$W,W489,$X:$X,X489,$Y:$Y,Y489)*J489/(1-J489)*VLOOKUP(_xlfn.CONCAT(C489,D489,E489,TIME!$M$12,Z489),HIS_SALES!$B$2:$W$4859,20,FALSE),AC489*J489/(1-J489)),0)</f>
        <v>0</v>
      </c>
      <c r="Q489" s="541" t="str">
        <f t="shared" si="168"/>
        <v/>
      </c>
      <c r="R489" s="346" t="str">
        <f t="shared" si="169"/>
        <v>00000</v>
      </c>
      <c r="S489" s="344">
        <f t="shared" si="170"/>
        <v>0</v>
      </c>
      <c r="T489" s="345" t="str">
        <f t="shared" si="183"/>
        <v>000</v>
      </c>
      <c r="U489" s="345">
        <f t="shared" si="171"/>
        <v>0</v>
      </c>
      <c r="V489" s="345">
        <f t="shared" si="172"/>
        <v>0</v>
      </c>
      <c r="W489" s="345">
        <f t="shared" si="173"/>
        <v>0</v>
      </c>
      <c r="X489" s="345">
        <f t="shared" si="174"/>
        <v>0</v>
      </c>
      <c r="Y489" s="345">
        <f t="shared" si="175"/>
        <v>0</v>
      </c>
      <c r="Z489" s="345">
        <f>IF(Q489&lt;&gt;"",VLOOKUP(Y489,TIME!$R$21:$V$24,MATCH(FC_DATA!Q489,TIME!$R$20:$V$20,0),FALSE),H489)</f>
        <v>0</v>
      </c>
      <c r="AA489" s="345" t="str">
        <f>IFERROR(VLOOKUP(X489&amp;Z489,TIME!$A$12:$D$71,4,FALSE),"")</f>
        <v/>
      </c>
      <c r="AB489" s="592">
        <f t="shared" ca="1" si="176"/>
        <v>0</v>
      </c>
      <c r="AC489" s="593" t="e">
        <f ca="1">IF(ISBLANK(H489)=FALSE,IF(D489="BRAND.com",I489,IF(ISNA(VLOOKUP(_xlfn.CONCAT(X489,Z489),TIME!$M$40:$M$42,1,FALSE)),I489,VLOOKUP(_xlfn.CONCAT(D489,G489,H489),M_BUSAREA_FC!$AF$5:$AJ$10,5,FALSE)*HLOOKUP(_xlfn.CONCAT(F489,H489),ST_OVERVIEW!$G$99:$I$130,MATCH(_xlfn.CONCAT(D489,E489),ST_OVERVIEW!$F$99:$F$130,0),FALSE))),IF(D489="BRAND.com",VLOOKUP(_xlfn.CONCAT(C489,D489,E489,TIME!$F$1,Z489),HIS_SALES!$B$2:$V$4859,19,FALSE)*I489,VLOOKUP(_xlfn.CONCAT(D489,F489,G489),Q_BUSAREA_FC!$AE$5:$AI$12,5,FALSE)*HLOOKUP(_xlfn.CONCAT(FC_DATA!F489,FC_DATA!G489),LT_OVERVIEW!$I$99:$M$130,MATCH(_xlfn.CONCAT(D489,FC_DATA!E489),LT_OVERVIEW!$H$99:$H$130,0),FALSE)*IFERROR(VLOOKUP(_xlfn.CONCAT(C489,D489,E489,TIME!$F$1,Z489),HIS_SALES!$B$2:$V$4859,19,FALSE),0)))</f>
        <v>#N/A</v>
      </c>
      <c r="AD489" s="341">
        <f t="shared" ca="1" si="177"/>
        <v>0</v>
      </c>
      <c r="AE489" s="363" t="str">
        <f t="shared" si="178"/>
        <v/>
      </c>
      <c r="AF489" s="342" t="str">
        <f t="shared" si="179"/>
        <v/>
      </c>
      <c r="AG489" s="411" t="e">
        <f ca="1">VLOOKUP(_xlfn.CONCAT(U489,V489,W489,VLOOKUP(X489&amp;Y489,TIME!$L$27:$O$34,4,FALSE),Y489),HIS_SALES!$A$2:$R$5093,18,FALSE)</f>
        <v>#N/A</v>
      </c>
      <c r="AH489" s="412" t="e">
        <f ca="1">IFERROR(IF(AND(V489=V488,W489=W488),0.5*(AB489+AB488)*AG489,(VLOOKUP(_xlfn.CONCAT(U489,V489,W489,X489,VLOOKUP(Z489,TIME!$S$28:$T$39,2,FALSE)),FC_DATA!$R$2:$AB$5000,MATCH("GS_I_M",FC_DATA!$R$1:$AB$1,0),FALSE)+FC_DATA!AB489)*0.5*FC_DATA!AG489),NA())</f>
        <v>#N/A</v>
      </c>
      <c r="AI489" s="491" t="e">
        <f ca="1">IF(V489="PARTNER.com",AH489,IF(AND(V489=V488,W489=W488),(1-AVERAGE(AD488,AD489))*AH489,(1-AVERAGE(AD489,VLOOKUP(_xlfn.CONCAT(U489,V489,W489,X489,M_BRAND_FC!$F$6),FC_DATA!$R$2:$AD$5000,MATCH("DISCOUNT_%_M",FC_DATA!$R$1:$AD$1,0),FALSE)))*AH489))</f>
        <v>#N/A</v>
      </c>
      <c r="AJ489" s="412" t="str">
        <f t="shared" ca="1" si="180"/>
        <v/>
      </c>
      <c r="AK489" s="413" t="str">
        <f>IFERROR(AE489/(Q_BRAND_FC!$T$24+1),"")</f>
        <v/>
      </c>
      <c r="AL489" s="88" t="str">
        <f t="shared" ca="1" si="181"/>
        <v/>
      </c>
      <c r="AM489" s="414" t="str">
        <f t="shared" ca="1" si="182"/>
        <v/>
      </c>
      <c r="AN489" s="58">
        <f>IFERROR(IF($V489="BRAND.com",HLOOKUP($X489&amp;$Z489,NWC_FC_NOOS!$C$4:$Q$23,MATCH(W489,NWC_FC_NOOS!$B$4:$B$23,0),FALSE),0),0)</f>
        <v>0</v>
      </c>
      <c r="AO489" s="57">
        <f>IFERROR(IF($V489="BRAND.com",HLOOKUP($X489&amp;$Z489,NWC_FC_NOOS!$T$4:$AH$23,MATCH(W489,NWC_FC_NOOS!$S$4:$S$23,0),FALSE),0),0)</f>
        <v>0</v>
      </c>
      <c r="AP489" s="57">
        <f>IFERROR(IF($V489="BRAND.com",HLOOKUP($X489&amp;$Z489,NWC_FC_NOOS!$C$50:$U$69,MATCH(W489,NWC_FC_NOOS!$B$50:$B$69,0),FALSE),0),0)</f>
        <v>0</v>
      </c>
      <c r="AQ489" s="58">
        <f>IFERROR(IF($V489="BRAND.com",HLOOKUP($X489&amp;$Z489,'NWC_FC_NON-NOOS'!$C$4:$Q$23,MATCH(W489,'NWC_FC_NON-NOOS'!$B$4:$B$23,0),FALSE),0),0)</f>
        <v>0</v>
      </c>
      <c r="AR489" s="57">
        <f>IFERROR(IF($V489="BRAND.com",HLOOKUP($X489&amp;$Z489,'NWC_FC_NON-NOOS'!$T$4:$AH$23,MATCH(W489,'NWC_FC_NON-NOOS'!$S$4:$S$23,0),FALSE),0),0)</f>
        <v>0</v>
      </c>
      <c r="AS489" s="57">
        <f>IFERROR(IF($V489="BRAND.com",HLOOKUP($X489&amp;$Z489,'NWC_FC_NON-NOOS'!$C$50:$U$69,MATCH(W489,'NWC_FC_NON-NOOS'!$B$50:$B$69,0),FALSE),0),0)</f>
        <v>0</v>
      </c>
      <c r="AT489" s="57">
        <f t="shared" si="184"/>
        <v>0</v>
      </c>
      <c r="AU489" s="57">
        <f t="shared" si="185"/>
        <v>0</v>
      </c>
      <c r="AV489" s="58">
        <f>IFERROR(IF($V489="BRAND.com",HLOOKUP($X489&amp;$Z489,PLANNING_FC!$BB$27:$BP$46,MATCH($W489,PLANNING_FC!$BA$27:$BA$46,0),FALSE),0),0)</f>
        <v>0</v>
      </c>
      <c r="AW489" s="58">
        <f>IFERROR(IF($V489="BRAND.com",HLOOKUP($X489&amp;$Z489,PLANNING_FC!$BB$4:$BP$23,MATCH($W489,PLANNING_FC!$BA$4:$BA$23,0),FALSE),0),0)</f>
        <v>0</v>
      </c>
      <c r="AX489" s="58">
        <f>IFERROR(IF($V489="BRAND.com",HLOOKUP($X489&amp;$Z489,PLANNING_FC!$T$27:$AH$46,MATCH($W489,PLANNING_FC!$B$27:$B$46,0),FALSE),0),0)</f>
        <v>0</v>
      </c>
      <c r="AY489" s="58">
        <f>IFERROR(IF($V489="BRAND.com",HLOOKUP($X489&amp;$Z489,PLANNING_FC!$T$4:$AH$23,MATCH($W489,PLANNING_FC!$B$4:$B$23,0),FALSE),0),0)</f>
        <v>0</v>
      </c>
      <c r="AZ489" s="58">
        <f>IFERROR(IF($V489="BRAND.com",HLOOKUP($X489&amp;$Z489,PLANNING_FC!$DA$27:$DO$46,MATCH($W489,PLANNING_FC!$CZ$27:$CZ$46,0),FALSE),0),0)</f>
        <v>0</v>
      </c>
      <c r="BA489" s="58">
        <f>IFERROR(IF($V489="BRAND.com",HLOOKUP($X489&amp;$Z489,PLANNING_FC!$DA$4:$DO$23,MATCH($W489,PLANNING_FC!$CZ$4:$CZ$23,0),FALSE),0),0)</f>
        <v>0</v>
      </c>
      <c r="BB489" s="883" t="str">
        <f>IF(V489="BRAND.com",IFERROR(HLOOKUP(X489&amp;Z489,PLANNING_FC!$AK$4:$AY$23,MATCH(W489,PLANNING_FC!$AJ$4:$AJ$23,0),FALSE)*1000,""),"")</f>
        <v/>
      </c>
      <c r="BC489" s="883" t="str">
        <f>IF(V489="BRAND.com",IFERROR(HLOOKUP(X489&amp;Z489,PLANNING_FC!$AK$27:$AY$46,MATCH(W489,PLANNING_FC!$AJ$27:$AJ$46,0),FALSE)*1000,""),"")</f>
        <v/>
      </c>
    </row>
    <row r="490" spans="1:55" x14ac:dyDescent="0.25">
      <c r="A490" s="509"/>
      <c r="B490" s="509"/>
      <c r="C490" s="509"/>
      <c r="D490" s="509"/>
      <c r="E490" s="509"/>
      <c r="F490" s="509"/>
      <c r="G490" s="511"/>
      <c r="H490" s="509"/>
      <c r="I490" s="512"/>
      <c r="J490" s="513"/>
      <c r="K490" s="514"/>
      <c r="L490" s="515"/>
      <c r="M490" s="516"/>
      <c r="N490" s="56">
        <f t="shared" si="166"/>
        <v>0</v>
      </c>
      <c r="O490" s="57">
        <f t="shared" si="167"/>
        <v>0</v>
      </c>
      <c r="P490" s="57">
        <f ca="1">IFERROR(IF(ISBLANK(H490),SUMIFS($AC:$AC,$V:$V,V490,$W:$W,W490,$X:$X,X490,$Y:$Y,Y490)*J490/(1-J490)*VLOOKUP(_xlfn.CONCAT(C490,D490,E490,TIME!$M$12,Z490),HIS_SALES!$B$2:$W$4859,20,FALSE),AC490*J490/(1-J490)),0)</f>
        <v>0</v>
      </c>
      <c r="Q490" s="541" t="str">
        <f t="shared" si="168"/>
        <v/>
      </c>
      <c r="R490" s="346" t="str">
        <f t="shared" si="169"/>
        <v>00000</v>
      </c>
      <c r="S490" s="344">
        <f t="shared" si="170"/>
        <v>0</v>
      </c>
      <c r="T490" s="345" t="str">
        <f t="shared" si="183"/>
        <v>000</v>
      </c>
      <c r="U490" s="345">
        <f t="shared" si="171"/>
        <v>0</v>
      </c>
      <c r="V490" s="345">
        <f t="shared" si="172"/>
        <v>0</v>
      </c>
      <c r="W490" s="345">
        <f t="shared" si="173"/>
        <v>0</v>
      </c>
      <c r="X490" s="345">
        <f t="shared" si="174"/>
        <v>0</v>
      </c>
      <c r="Y490" s="345">
        <f t="shared" si="175"/>
        <v>0</v>
      </c>
      <c r="Z490" s="345">
        <f>IF(Q490&lt;&gt;"",VLOOKUP(Y490,TIME!$R$21:$V$24,MATCH(FC_DATA!Q490,TIME!$R$20:$V$20,0),FALSE),H490)</f>
        <v>0</v>
      </c>
      <c r="AA490" s="345" t="str">
        <f>IFERROR(VLOOKUP(X490&amp;Z490,TIME!$A$12:$D$71,4,FALSE),"")</f>
        <v/>
      </c>
      <c r="AB490" s="592">
        <f t="shared" ca="1" si="176"/>
        <v>0</v>
      </c>
      <c r="AC490" s="593" t="e">
        <f ca="1">IF(ISBLANK(H490)=FALSE,IF(D490="BRAND.com",I490,IF(ISNA(VLOOKUP(_xlfn.CONCAT(X490,Z490),TIME!$M$40:$M$42,1,FALSE)),I490,VLOOKUP(_xlfn.CONCAT(D490,G490,H490),M_BUSAREA_FC!$AF$5:$AJ$10,5,FALSE)*HLOOKUP(_xlfn.CONCAT(F490,H490),ST_OVERVIEW!$G$99:$I$130,MATCH(_xlfn.CONCAT(D490,E490),ST_OVERVIEW!$F$99:$F$130,0),FALSE))),IF(D490="BRAND.com",VLOOKUP(_xlfn.CONCAT(C490,D490,E490,TIME!$F$1,Z490),HIS_SALES!$B$2:$V$4859,19,FALSE)*I490,VLOOKUP(_xlfn.CONCAT(D490,F490,G490),Q_BUSAREA_FC!$AE$5:$AI$12,5,FALSE)*HLOOKUP(_xlfn.CONCAT(FC_DATA!F490,FC_DATA!G490),LT_OVERVIEW!$I$99:$M$130,MATCH(_xlfn.CONCAT(D490,FC_DATA!E490),LT_OVERVIEW!$H$99:$H$130,0),FALSE)*IFERROR(VLOOKUP(_xlfn.CONCAT(C490,D490,E490,TIME!$F$1,Z490),HIS_SALES!$B$2:$V$4859,19,FALSE),0)))</f>
        <v>#N/A</v>
      </c>
      <c r="AD490" s="341">
        <f t="shared" ca="1" si="177"/>
        <v>0</v>
      </c>
      <c r="AE490" s="363" t="str">
        <f t="shared" si="178"/>
        <v/>
      </c>
      <c r="AF490" s="342" t="str">
        <f t="shared" si="179"/>
        <v/>
      </c>
      <c r="AG490" s="411" t="e">
        <f ca="1">VLOOKUP(_xlfn.CONCAT(U490,V490,W490,VLOOKUP(X490&amp;Y490,TIME!$L$27:$O$34,4,FALSE),Y490),HIS_SALES!$A$2:$R$5093,18,FALSE)</f>
        <v>#N/A</v>
      </c>
      <c r="AH490" s="412" t="e">
        <f ca="1">IFERROR(IF(AND(V490=V489,W490=W489),0.5*(AB490+AB489)*AG490,(VLOOKUP(_xlfn.CONCAT(U490,V490,W490,X490,VLOOKUP(Z490,TIME!$S$28:$T$39,2,FALSE)),FC_DATA!$R$2:$AB$5000,MATCH("GS_I_M",FC_DATA!$R$1:$AB$1,0),FALSE)+FC_DATA!AB490)*0.5*FC_DATA!AG490),NA())</f>
        <v>#N/A</v>
      </c>
      <c r="AI490" s="491" t="e">
        <f ca="1">IF(V490="PARTNER.com",AH490,IF(AND(V490=V489,W490=W489),(1-AVERAGE(AD489,AD490))*AH490,(1-AVERAGE(AD490,VLOOKUP(_xlfn.CONCAT(U490,V490,W490,X490,M_BRAND_FC!$F$6),FC_DATA!$R$2:$AD$5000,MATCH("DISCOUNT_%_M",FC_DATA!$R$1:$AD$1,0),FALSE)))*AH490))</f>
        <v>#N/A</v>
      </c>
      <c r="AJ490" s="412" t="str">
        <f t="shared" ca="1" si="180"/>
        <v/>
      </c>
      <c r="AK490" s="413" t="str">
        <f>IFERROR(AE490/(Q_BRAND_FC!$T$24+1),"")</f>
        <v/>
      </c>
      <c r="AL490" s="88" t="str">
        <f t="shared" ca="1" si="181"/>
        <v/>
      </c>
      <c r="AM490" s="414" t="str">
        <f t="shared" ca="1" si="182"/>
        <v/>
      </c>
      <c r="AN490" s="58">
        <f>IFERROR(IF($V490="BRAND.com",HLOOKUP($X490&amp;$Z490,NWC_FC_NOOS!$C$4:$Q$23,MATCH(W490,NWC_FC_NOOS!$B$4:$B$23,0),FALSE),0),0)</f>
        <v>0</v>
      </c>
      <c r="AO490" s="57">
        <f>IFERROR(IF($V490="BRAND.com",HLOOKUP($X490&amp;$Z490,NWC_FC_NOOS!$T$4:$AH$23,MATCH(W490,NWC_FC_NOOS!$S$4:$S$23,0),FALSE),0),0)</f>
        <v>0</v>
      </c>
      <c r="AP490" s="57">
        <f>IFERROR(IF($V490="BRAND.com",HLOOKUP($X490&amp;$Z490,NWC_FC_NOOS!$C$50:$U$69,MATCH(W490,NWC_FC_NOOS!$B$50:$B$69,0),FALSE),0),0)</f>
        <v>0</v>
      </c>
      <c r="AQ490" s="58">
        <f>IFERROR(IF($V490="BRAND.com",HLOOKUP($X490&amp;$Z490,'NWC_FC_NON-NOOS'!$C$4:$Q$23,MATCH(W490,'NWC_FC_NON-NOOS'!$B$4:$B$23,0),FALSE),0),0)</f>
        <v>0</v>
      </c>
      <c r="AR490" s="57">
        <f>IFERROR(IF($V490="BRAND.com",HLOOKUP($X490&amp;$Z490,'NWC_FC_NON-NOOS'!$T$4:$AH$23,MATCH(W490,'NWC_FC_NON-NOOS'!$S$4:$S$23,0),FALSE),0),0)</f>
        <v>0</v>
      </c>
      <c r="AS490" s="57">
        <f>IFERROR(IF($V490="BRAND.com",HLOOKUP($X490&amp;$Z490,'NWC_FC_NON-NOOS'!$C$50:$U$69,MATCH(W490,'NWC_FC_NON-NOOS'!$B$50:$B$69,0),FALSE),0),0)</f>
        <v>0</v>
      </c>
      <c r="AT490" s="57">
        <f t="shared" si="184"/>
        <v>0</v>
      </c>
      <c r="AU490" s="57">
        <f t="shared" si="185"/>
        <v>0</v>
      </c>
      <c r="AV490" s="58">
        <f>IFERROR(IF($V490="BRAND.com",HLOOKUP($X490&amp;$Z490,PLANNING_FC!$BB$27:$BP$46,MATCH($W490,PLANNING_FC!$BA$27:$BA$46,0),FALSE),0),0)</f>
        <v>0</v>
      </c>
      <c r="AW490" s="58">
        <f>IFERROR(IF($V490="BRAND.com",HLOOKUP($X490&amp;$Z490,PLANNING_FC!$BB$4:$BP$23,MATCH($W490,PLANNING_FC!$BA$4:$BA$23,0),FALSE),0),0)</f>
        <v>0</v>
      </c>
      <c r="AX490" s="58">
        <f>IFERROR(IF($V490="BRAND.com",HLOOKUP($X490&amp;$Z490,PLANNING_FC!$T$27:$AH$46,MATCH($W490,PLANNING_FC!$B$27:$B$46,0),FALSE),0),0)</f>
        <v>0</v>
      </c>
      <c r="AY490" s="58">
        <f>IFERROR(IF($V490="BRAND.com",HLOOKUP($X490&amp;$Z490,PLANNING_FC!$T$4:$AH$23,MATCH($W490,PLANNING_FC!$B$4:$B$23,0),FALSE),0),0)</f>
        <v>0</v>
      </c>
      <c r="AZ490" s="58">
        <f>IFERROR(IF($V490="BRAND.com",HLOOKUP($X490&amp;$Z490,PLANNING_FC!$DA$27:$DO$46,MATCH($W490,PLANNING_FC!$CZ$27:$CZ$46,0),FALSE),0),0)</f>
        <v>0</v>
      </c>
      <c r="BA490" s="58">
        <f>IFERROR(IF($V490="BRAND.com",HLOOKUP($X490&amp;$Z490,PLANNING_FC!$DA$4:$DO$23,MATCH($W490,PLANNING_FC!$CZ$4:$CZ$23,0),FALSE),0),0)</f>
        <v>0</v>
      </c>
      <c r="BB490" s="883" t="str">
        <f>IF(V490="BRAND.com",IFERROR(HLOOKUP(X490&amp;Z490,PLANNING_FC!$AK$4:$AY$23,MATCH(W490,PLANNING_FC!$AJ$4:$AJ$23,0),FALSE)*1000,""),"")</f>
        <v/>
      </c>
      <c r="BC490" s="883" t="str">
        <f>IF(V490="BRAND.com",IFERROR(HLOOKUP(X490&amp;Z490,PLANNING_FC!$AK$27:$AY$46,MATCH(W490,PLANNING_FC!$AJ$27:$AJ$46,0),FALSE)*1000,""),"")</f>
        <v/>
      </c>
    </row>
    <row r="491" spans="1:55" x14ac:dyDescent="0.25">
      <c r="A491" s="509"/>
      <c r="B491" s="509"/>
      <c r="C491" s="509"/>
      <c r="D491" s="509"/>
      <c r="E491" s="509"/>
      <c r="F491" s="509"/>
      <c r="G491" s="509"/>
      <c r="H491" s="509"/>
      <c r="I491" s="512"/>
      <c r="J491" s="513"/>
      <c r="K491" s="514"/>
      <c r="L491" s="515"/>
      <c r="M491" s="516"/>
      <c r="N491" s="56">
        <f t="shared" si="166"/>
        <v>0</v>
      </c>
      <c r="O491" s="57">
        <f t="shared" si="167"/>
        <v>0</v>
      </c>
      <c r="P491" s="57">
        <f ca="1">IFERROR(IF(ISBLANK(H491),SUMIFS($AC:$AC,$V:$V,V491,$W:$W,W491,$X:$X,X491,$Y:$Y,Y491)*J491/(1-J491)*VLOOKUP(_xlfn.CONCAT(C491,D491,E491,TIME!$M$12,Z491),HIS_SALES!$B$2:$W$4859,20,FALSE),AC491*J491/(1-J491)),0)</f>
        <v>0</v>
      </c>
      <c r="Q491" s="541" t="str">
        <f t="shared" si="168"/>
        <v/>
      </c>
      <c r="R491" s="346" t="str">
        <f t="shared" si="169"/>
        <v>00000</v>
      </c>
      <c r="S491" s="344">
        <f t="shared" si="170"/>
        <v>0</v>
      </c>
      <c r="T491" s="345" t="str">
        <f t="shared" si="183"/>
        <v>000</v>
      </c>
      <c r="U491" s="345">
        <f t="shared" si="171"/>
        <v>0</v>
      </c>
      <c r="V491" s="345">
        <f t="shared" si="172"/>
        <v>0</v>
      </c>
      <c r="W491" s="345">
        <f t="shared" si="173"/>
        <v>0</v>
      </c>
      <c r="X491" s="345">
        <f t="shared" si="174"/>
        <v>0</v>
      </c>
      <c r="Y491" s="345">
        <f t="shared" si="175"/>
        <v>0</v>
      </c>
      <c r="Z491" s="345">
        <f>IF(Q491&lt;&gt;"",VLOOKUP(Y491,TIME!$R$21:$V$24,MATCH(FC_DATA!Q491,TIME!$R$20:$V$20,0),FALSE),H491)</f>
        <v>0</v>
      </c>
      <c r="AA491" s="345" t="str">
        <f>IFERROR(VLOOKUP(X491&amp;Z491,TIME!$A$12:$D$71,4,FALSE),"")</f>
        <v/>
      </c>
      <c r="AB491" s="592">
        <f t="shared" ca="1" si="176"/>
        <v>0</v>
      </c>
      <c r="AC491" s="593" t="e">
        <f ca="1">IF(ISBLANK(H491)=FALSE,IF(D491="BRAND.com",I491,IF(ISNA(VLOOKUP(_xlfn.CONCAT(X491,Z491),TIME!$M$40:$M$42,1,FALSE)),I491,VLOOKUP(_xlfn.CONCAT(D491,G491,H491),M_BUSAREA_FC!$AF$5:$AJ$10,5,FALSE)*HLOOKUP(_xlfn.CONCAT(F491,H491),ST_OVERVIEW!$G$99:$I$130,MATCH(_xlfn.CONCAT(D491,E491),ST_OVERVIEW!$F$99:$F$130,0),FALSE))),IF(D491="BRAND.com",VLOOKUP(_xlfn.CONCAT(C491,D491,E491,TIME!$F$1,Z491),HIS_SALES!$B$2:$V$4859,19,FALSE)*I491,VLOOKUP(_xlfn.CONCAT(D491,F491,G491),Q_BUSAREA_FC!$AE$5:$AI$12,5,FALSE)*HLOOKUP(_xlfn.CONCAT(FC_DATA!F491,FC_DATA!G491),LT_OVERVIEW!$I$99:$M$130,MATCH(_xlfn.CONCAT(D491,FC_DATA!E491),LT_OVERVIEW!$H$99:$H$130,0),FALSE)*IFERROR(VLOOKUP(_xlfn.CONCAT(C491,D491,E491,TIME!$F$1,Z491),HIS_SALES!$B$2:$V$4859,19,FALSE),0)))</f>
        <v>#N/A</v>
      </c>
      <c r="AD491" s="341">
        <f t="shared" ca="1" si="177"/>
        <v>0</v>
      </c>
      <c r="AE491" s="363" t="str">
        <f t="shared" si="178"/>
        <v/>
      </c>
      <c r="AF491" s="342" t="str">
        <f t="shared" si="179"/>
        <v/>
      </c>
      <c r="AG491" s="411" t="e">
        <f ca="1">VLOOKUP(_xlfn.CONCAT(U491,V491,W491,VLOOKUP(X491&amp;Y491,TIME!$L$27:$O$34,4,FALSE),Y491),HIS_SALES!$A$2:$R$5093,18,FALSE)</f>
        <v>#N/A</v>
      </c>
      <c r="AH491" s="412" t="e">
        <f ca="1">IFERROR(IF(AND(V491=V490,W491=W490),0.5*(AB491+AB490)*AG491,(VLOOKUP(_xlfn.CONCAT(U491,V491,W491,X491,VLOOKUP(Z491,TIME!$S$28:$T$39,2,FALSE)),FC_DATA!$R$2:$AB$5000,MATCH("GS_I_M",FC_DATA!$R$1:$AB$1,0),FALSE)+FC_DATA!AB491)*0.5*FC_DATA!AG491),NA())</f>
        <v>#N/A</v>
      </c>
      <c r="AI491" s="491" t="e">
        <f ca="1">IF(V491="PARTNER.com",AH491,IF(AND(V491=V490,W491=W490),(1-AVERAGE(AD490,AD491))*AH491,(1-AVERAGE(AD491,VLOOKUP(_xlfn.CONCAT(U491,V491,W491,X491,M_BRAND_FC!$F$6),FC_DATA!$R$2:$AD$5000,MATCH("DISCOUNT_%_M",FC_DATA!$R$1:$AD$1,0),FALSE)))*AH491))</f>
        <v>#N/A</v>
      </c>
      <c r="AJ491" s="412" t="str">
        <f t="shared" ca="1" si="180"/>
        <v/>
      </c>
      <c r="AK491" s="413" t="str">
        <f>IFERROR(AE491/(Q_BRAND_FC!$T$24+1),"")</f>
        <v/>
      </c>
      <c r="AL491" s="88" t="str">
        <f t="shared" ca="1" si="181"/>
        <v/>
      </c>
      <c r="AM491" s="414" t="str">
        <f t="shared" ca="1" si="182"/>
        <v/>
      </c>
      <c r="AN491" s="58">
        <f>IFERROR(IF($V491="BRAND.com",HLOOKUP($X491&amp;$Z491,NWC_FC_NOOS!$C$4:$Q$23,MATCH(W491,NWC_FC_NOOS!$B$4:$B$23,0),FALSE),0),0)</f>
        <v>0</v>
      </c>
      <c r="AO491" s="57">
        <f>IFERROR(IF($V491="BRAND.com",HLOOKUP($X491&amp;$Z491,NWC_FC_NOOS!$T$4:$AH$23,MATCH(W491,NWC_FC_NOOS!$S$4:$S$23,0),FALSE),0),0)</f>
        <v>0</v>
      </c>
      <c r="AP491" s="57">
        <f>IFERROR(IF($V491="BRAND.com",HLOOKUP($X491&amp;$Z491,NWC_FC_NOOS!$C$50:$U$69,MATCH(W491,NWC_FC_NOOS!$B$50:$B$69,0),FALSE),0),0)</f>
        <v>0</v>
      </c>
      <c r="AQ491" s="58">
        <f>IFERROR(IF($V491="BRAND.com",HLOOKUP($X491&amp;$Z491,'NWC_FC_NON-NOOS'!$C$4:$Q$23,MATCH(W491,'NWC_FC_NON-NOOS'!$B$4:$B$23,0),FALSE),0),0)</f>
        <v>0</v>
      </c>
      <c r="AR491" s="57">
        <f>IFERROR(IF($V491="BRAND.com",HLOOKUP($X491&amp;$Z491,'NWC_FC_NON-NOOS'!$T$4:$AH$23,MATCH(W491,'NWC_FC_NON-NOOS'!$S$4:$S$23,0),FALSE),0),0)</f>
        <v>0</v>
      </c>
      <c r="AS491" s="57">
        <f>IFERROR(IF($V491="BRAND.com",HLOOKUP($X491&amp;$Z491,'NWC_FC_NON-NOOS'!$C$50:$U$69,MATCH(W491,'NWC_FC_NON-NOOS'!$B$50:$B$69,0),FALSE),0),0)</f>
        <v>0</v>
      </c>
      <c r="AT491" s="57">
        <f t="shared" si="184"/>
        <v>0</v>
      </c>
      <c r="AU491" s="57">
        <f t="shared" si="185"/>
        <v>0</v>
      </c>
      <c r="AV491" s="58">
        <f>IFERROR(IF($V491="BRAND.com",HLOOKUP($X491&amp;$Z491,PLANNING_FC!$BB$27:$BP$46,MATCH($W491,PLANNING_FC!$BA$27:$BA$46,0),FALSE),0),0)</f>
        <v>0</v>
      </c>
      <c r="AW491" s="58">
        <f>IFERROR(IF($V491="BRAND.com",HLOOKUP($X491&amp;$Z491,PLANNING_FC!$BB$4:$BP$23,MATCH($W491,PLANNING_FC!$BA$4:$BA$23,0),FALSE),0),0)</f>
        <v>0</v>
      </c>
      <c r="AX491" s="58">
        <f>IFERROR(IF($V491="BRAND.com",HLOOKUP($X491&amp;$Z491,PLANNING_FC!$T$27:$AH$46,MATCH($W491,PLANNING_FC!$B$27:$B$46,0),FALSE),0),0)</f>
        <v>0</v>
      </c>
      <c r="AY491" s="58">
        <f>IFERROR(IF($V491="BRAND.com",HLOOKUP($X491&amp;$Z491,PLANNING_FC!$T$4:$AH$23,MATCH($W491,PLANNING_FC!$B$4:$B$23,0),FALSE),0),0)</f>
        <v>0</v>
      </c>
      <c r="AZ491" s="58">
        <f>IFERROR(IF($V491="BRAND.com",HLOOKUP($X491&amp;$Z491,PLANNING_FC!$DA$27:$DO$46,MATCH($W491,PLANNING_FC!$CZ$27:$CZ$46,0),FALSE),0),0)</f>
        <v>0</v>
      </c>
      <c r="BA491" s="58">
        <f>IFERROR(IF($V491="BRAND.com",HLOOKUP($X491&amp;$Z491,PLANNING_FC!$DA$4:$DO$23,MATCH($W491,PLANNING_FC!$CZ$4:$CZ$23,0),FALSE),0),0)</f>
        <v>0</v>
      </c>
      <c r="BB491" s="883" t="str">
        <f>IF(V491="BRAND.com",IFERROR(HLOOKUP(X491&amp;Z491,PLANNING_FC!$AK$4:$AY$23,MATCH(W491,PLANNING_FC!$AJ$4:$AJ$23,0),FALSE)*1000,""),"")</f>
        <v/>
      </c>
      <c r="BC491" s="883" t="str">
        <f>IF(V491="BRAND.com",IFERROR(HLOOKUP(X491&amp;Z491,PLANNING_FC!$AK$27:$AY$46,MATCH(W491,PLANNING_FC!$AJ$27:$AJ$46,0),FALSE)*1000,""),"")</f>
        <v/>
      </c>
    </row>
    <row r="492" spans="1:55" x14ac:dyDescent="0.25">
      <c r="A492" s="509"/>
      <c r="B492" s="509"/>
      <c r="C492" s="509"/>
      <c r="D492" s="509"/>
      <c r="E492" s="509"/>
      <c r="F492" s="509"/>
      <c r="G492" s="509"/>
      <c r="H492" s="509"/>
      <c r="I492" s="512"/>
      <c r="J492" s="513"/>
      <c r="K492" s="514"/>
      <c r="L492" s="515"/>
      <c r="M492" s="516"/>
      <c r="N492" s="56">
        <f t="shared" si="166"/>
        <v>0</v>
      </c>
      <c r="O492" s="57">
        <f t="shared" si="167"/>
        <v>0</v>
      </c>
      <c r="P492" s="57">
        <f ca="1">IFERROR(IF(ISBLANK(H492),SUMIFS($AC:$AC,$V:$V,V492,$W:$W,W492,$X:$X,X492,$Y:$Y,Y492)*J492/(1-J492)*VLOOKUP(_xlfn.CONCAT(C492,D492,E492,TIME!$M$12,Z492),HIS_SALES!$B$2:$W$4859,20,FALSE),AC492*J492/(1-J492)),0)</f>
        <v>0</v>
      </c>
      <c r="Q492" s="541" t="str">
        <f t="shared" si="168"/>
        <v/>
      </c>
      <c r="R492" s="346" t="str">
        <f t="shared" si="169"/>
        <v>00000</v>
      </c>
      <c r="S492" s="344">
        <f t="shared" si="170"/>
        <v>0</v>
      </c>
      <c r="T492" s="345" t="str">
        <f t="shared" si="183"/>
        <v>000</v>
      </c>
      <c r="U492" s="345">
        <f t="shared" si="171"/>
        <v>0</v>
      </c>
      <c r="V492" s="345">
        <f t="shared" si="172"/>
        <v>0</v>
      </c>
      <c r="W492" s="345">
        <f t="shared" si="173"/>
        <v>0</v>
      </c>
      <c r="X492" s="345">
        <f t="shared" si="174"/>
        <v>0</v>
      </c>
      <c r="Y492" s="345">
        <f t="shared" si="175"/>
        <v>0</v>
      </c>
      <c r="Z492" s="345">
        <f>IF(Q492&lt;&gt;"",VLOOKUP(Y492,TIME!$R$21:$V$24,MATCH(FC_DATA!Q492,TIME!$R$20:$V$20,0),FALSE),H492)</f>
        <v>0</v>
      </c>
      <c r="AA492" s="345" t="str">
        <f>IFERROR(VLOOKUP(X492&amp;Z492,TIME!$A$12:$D$71,4,FALSE),"")</f>
        <v/>
      </c>
      <c r="AB492" s="592">
        <f t="shared" ca="1" si="176"/>
        <v>0</v>
      </c>
      <c r="AC492" s="593" t="e">
        <f ca="1">IF(ISBLANK(H492)=FALSE,IF(D492="BRAND.com",I492,IF(ISNA(VLOOKUP(_xlfn.CONCAT(X492,Z492),TIME!$M$40:$M$42,1,FALSE)),I492,VLOOKUP(_xlfn.CONCAT(D492,G492,H492),M_BUSAREA_FC!$AF$5:$AJ$10,5,FALSE)*HLOOKUP(_xlfn.CONCAT(F492,H492),ST_OVERVIEW!$G$99:$I$130,MATCH(_xlfn.CONCAT(D492,E492),ST_OVERVIEW!$F$99:$F$130,0),FALSE))),IF(D492="BRAND.com",VLOOKUP(_xlfn.CONCAT(C492,D492,E492,TIME!$F$1,Z492),HIS_SALES!$B$2:$V$4859,19,FALSE)*I492,VLOOKUP(_xlfn.CONCAT(D492,F492,G492),Q_BUSAREA_FC!$AE$5:$AI$12,5,FALSE)*HLOOKUP(_xlfn.CONCAT(FC_DATA!F492,FC_DATA!G492),LT_OVERVIEW!$I$99:$M$130,MATCH(_xlfn.CONCAT(D492,FC_DATA!E492),LT_OVERVIEW!$H$99:$H$130,0),FALSE)*IFERROR(VLOOKUP(_xlfn.CONCAT(C492,D492,E492,TIME!$F$1,Z492),HIS_SALES!$B$2:$V$4859,19,FALSE),0)))</f>
        <v>#N/A</v>
      </c>
      <c r="AD492" s="341">
        <f t="shared" ca="1" si="177"/>
        <v>0</v>
      </c>
      <c r="AE492" s="363" t="str">
        <f t="shared" si="178"/>
        <v/>
      </c>
      <c r="AF492" s="342" t="str">
        <f t="shared" si="179"/>
        <v/>
      </c>
      <c r="AG492" s="411" t="e">
        <f ca="1">VLOOKUP(_xlfn.CONCAT(U492,V492,W492,VLOOKUP(X492&amp;Y492,TIME!$L$27:$O$34,4,FALSE),Y492),HIS_SALES!$A$2:$R$5093,18,FALSE)</f>
        <v>#N/A</v>
      </c>
      <c r="AH492" s="412" t="e">
        <f ca="1">IFERROR(IF(AND(V492=V491,W492=W491),0.5*(AB492+AB491)*AG492,(VLOOKUP(_xlfn.CONCAT(U492,V492,W492,X492,VLOOKUP(Z492,TIME!$S$28:$T$39,2,FALSE)),FC_DATA!$R$2:$AB$5000,MATCH("GS_I_M",FC_DATA!$R$1:$AB$1,0),FALSE)+FC_DATA!AB492)*0.5*FC_DATA!AG492),NA())</f>
        <v>#N/A</v>
      </c>
      <c r="AI492" s="491" t="e">
        <f ca="1">IF(V492="PARTNER.com",AH492,IF(AND(V492=V491,W492=W491),(1-AVERAGE(AD491,AD492))*AH492,(1-AVERAGE(AD492,VLOOKUP(_xlfn.CONCAT(U492,V492,W492,X492,M_BRAND_FC!$F$6),FC_DATA!$R$2:$AD$5000,MATCH("DISCOUNT_%_M",FC_DATA!$R$1:$AD$1,0),FALSE)))*AH492))</f>
        <v>#N/A</v>
      </c>
      <c r="AJ492" s="412" t="str">
        <f t="shared" ca="1" si="180"/>
        <v/>
      </c>
      <c r="AK492" s="413" t="str">
        <f>IFERROR(AE492/(Q_BRAND_FC!$T$24+1),"")</f>
        <v/>
      </c>
      <c r="AL492" s="88" t="str">
        <f t="shared" ca="1" si="181"/>
        <v/>
      </c>
      <c r="AM492" s="414" t="str">
        <f t="shared" ca="1" si="182"/>
        <v/>
      </c>
      <c r="AN492" s="58">
        <f>IFERROR(IF($V492="BRAND.com",HLOOKUP($X492&amp;$Z492,NWC_FC_NOOS!$C$4:$Q$23,MATCH(W492,NWC_FC_NOOS!$B$4:$B$23,0),FALSE),0),0)</f>
        <v>0</v>
      </c>
      <c r="AO492" s="57">
        <f>IFERROR(IF($V492="BRAND.com",HLOOKUP($X492&amp;$Z492,NWC_FC_NOOS!$T$4:$AH$23,MATCH(W492,NWC_FC_NOOS!$S$4:$S$23,0),FALSE),0),0)</f>
        <v>0</v>
      </c>
      <c r="AP492" s="57">
        <f>IFERROR(IF($V492="BRAND.com",HLOOKUP($X492&amp;$Z492,NWC_FC_NOOS!$C$50:$U$69,MATCH(W492,NWC_FC_NOOS!$B$50:$B$69,0),FALSE),0),0)</f>
        <v>0</v>
      </c>
      <c r="AQ492" s="58">
        <f>IFERROR(IF($V492="BRAND.com",HLOOKUP($X492&amp;$Z492,'NWC_FC_NON-NOOS'!$C$4:$Q$23,MATCH(W492,'NWC_FC_NON-NOOS'!$B$4:$B$23,0),FALSE),0),0)</f>
        <v>0</v>
      </c>
      <c r="AR492" s="57">
        <f>IFERROR(IF($V492="BRAND.com",HLOOKUP($X492&amp;$Z492,'NWC_FC_NON-NOOS'!$T$4:$AH$23,MATCH(W492,'NWC_FC_NON-NOOS'!$S$4:$S$23,0),FALSE),0),0)</f>
        <v>0</v>
      </c>
      <c r="AS492" s="57">
        <f>IFERROR(IF($V492="BRAND.com",HLOOKUP($X492&amp;$Z492,'NWC_FC_NON-NOOS'!$C$50:$U$69,MATCH(W492,'NWC_FC_NON-NOOS'!$B$50:$B$69,0),FALSE),0),0)</f>
        <v>0</v>
      </c>
      <c r="AT492" s="57">
        <f t="shared" si="184"/>
        <v>0</v>
      </c>
      <c r="AU492" s="57">
        <f t="shared" si="185"/>
        <v>0</v>
      </c>
      <c r="AV492" s="58">
        <f>IFERROR(IF($V492="BRAND.com",HLOOKUP($X492&amp;$Z492,PLANNING_FC!$BB$27:$BP$46,MATCH($W492,PLANNING_FC!$BA$27:$BA$46,0),FALSE),0),0)</f>
        <v>0</v>
      </c>
      <c r="AW492" s="58">
        <f>IFERROR(IF($V492="BRAND.com",HLOOKUP($X492&amp;$Z492,PLANNING_FC!$BB$4:$BP$23,MATCH($W492,PLANNING_FC!$BA$4:$BA$23,0),FALSE),0),0)</f>
        <v>0</v>
      </c>
      <c r="AX492" s="58">
        <f>IFERROR(IF($V492="BRAND.com",HLOOKUP($X492&amp;$Z492,PLANNING_FC!$T$27:$AH$46,MATCH($W492,PLANNING_FC!$B$27:$B$46,0),FALSE),0),0)</f>
        <v>0</v>
      </c>
      <c r="AY492" s="58">
        <f>IFERROR(IF($V492="BRAND.com",HLOOKUP($X492&amp;$Z492,PLANNING_FC!$T$4:$AH$23,MATCH($W492,PLANNING_FC!$B$4:$B$23,0),FALSE),0),0)</f>
        <v>0</v>
      </c>
      <c r="AZ492" s="58">
        <f>IFERROR(IF($V492="BRAND.com",HLOOKUP($X492&amp;$Z492,PLANNING_FC!$DA$27:$DO$46,MATCH($W492,PLANNING_FC!$CZ$27:$CZ$46,0),FALSE),0),0)</f>
        <v>0</v>
      </c>
      <c r="BA492" s="58">
        <f>IFERROR(IF($V492="BRAND.com",HLOOKUP($X492&amp;$Z492,PLANNING_FC!$DA$4:$DO$23,MATCH($W492,PLANNING_FC!$CZ$4:$CZ$23,0),FALSE),0),0)</f>
        <v>0</v>
      </c>
      <c r="BB492" s="883" t="str">
        <f>IF(V492="BRAND.com",IFERROR(HLOOKUP(X492&amp;Z492,PLANNING_FC!$AK$4:$AY$23,MATCH(W492,PLANNING_FC!$AJ$4:$AJ$23,0),FALSE)*1000,""),"")</f>
        <v/>
      </c>
      <c r="BC492" s="883" t="str">
        <f>IF(V492="BRAND.com",IFERROR(HLOOKUP(X492&amp;Z492,PLANNING_FC!$AK$27:$AY$46,MATCH(W492,PLANNING_FC!$AJ$27:$AJ$46,0),FALSE)*1000,""),"")</f>
        <v/>
      </c>
    </row>
    <row r="493" spans="1:55" x14ac:dyDescent="0.25">
      <c r="A493" s="509"/>
      <c r="B493" s="509"/>
      <c r="C493" s="509"/>
      <c r="D493" s="509"/>
      <c r="E493" s="509"/>
      <c r="F493" s="509"/>
      <c r="G493" s="509"/>
      <c r="H493" s="509"/>
      <c r="I493" s="512"/>
      <c r="J493" s="513"/>
      <c r="K493" s="514"/>
      <c r="L493" s="515"/>
      <c r="M493" s="516"/>
      <c r="N493" s="56">
        <f t="shared" si="166"/>
        <v>0</v>
      </c>
      <c r="O493" s="57">
        <f t="shared" si="167"/>
        <v>0</v>
      </c>
      <c r="P493" s="57">
        <f ca="1">IFERROR(IF(ISBLANK(H493),SUMIFS($AC:$AC,$V:$V,V493,$W:$W,W493,$X:$X,X493,$Y:$Y,Y493)*J493/(1-J493)*VLOOKUP(_xlfn.CONCAT(C493,D493,E493,TIME!$M$12,Z493),HIS_SALES!$B$2:$W$4859,20,FALSE),AC493*J493/(1-J493)),0)</f>
        <v>0</v>
      </c>
      <c r="Q493" s="541" t="str">
        <f t="shared" si="168"/>
        <v/>
      </c>
      <c r="R493" s="346" t="str">
        <f t="shared" si="169"/>
        <v>00000</v>
      </c>
      <c r="S493" s="344">
        <f t="shared" si="170"/>
        <v>0</v>
      </c>
      <c r="T493" s="345" t="str">
        <f t="shared" si="183"/>
        <v>000</v>
      </c>
      <c r="U493" s="345">
        <f t="shared" si="171"/>
        <v>0</v>
      </c>
      <c r="V493" s="345">
        <f t="shared" si="172"/>
        <v>0</v>
      </c>
      <c r="W493" s="345">
        <f t="shared" si="173"/>
        <v>0</v>
      </c>
      <c r="X493" s="345">
        <f t="shared" si="174"/>
        <v>0</v>
      </c>
      <c r="Y493" s="345">
        <f t="shared" si="175"/>
        <v>0</v>
      </c>
      <c r="Z493" s="345">
        <f>IF(Q493&lt;&gt;"",VLOOKUP(Y493,TIME!$R$21:$V$24,MATCH(FC_DATA!Q493,TIME!$R$20:$V$20,0),FALSE),H493)</f>
        <v>0</v>
      </c>
      <c r="AA493" s="345" t="str">
        <f>IFERROR(VLOOKUP(X493&amp;Z493,TIME!$A$12:$D$71,4,FALSE),"")</f>
        <v/>
      </c>
      <c r="AB493" s="592">
        <f t="shared" ca="1" si="176"/>
        <v>0</v>
      </c>
      <c r="AC493" s="593" t="e">
        <f ca="1">IF(ISBLANK(H493)=FALSE,IF(D493="BRAND.com",I493,IF(ISNA(VLOOKUP(_xlfn.CONCAT(X493,Z493),TIME!$M$40:$M$42,1,FALSE)),I493,VLOOKUP(_xlfn.CONCAT(D493,G493,H493),M_BUSAREA_FC!$AF$5:$AJ$10,5,FALSE)*HLOOKUP(_xlfn.CONCAT(F493,H493),ST_OVERVIEW!$G$99:$I$130,MATCH(_xlfn.CONCAT(D493,E493),ST_OVERVIEW!$F$99:$F$130,0),FALSE))),IF(D493="BRAND.com",VLOOKUP(_xlfn.CONCAT(C493,D493,E493,TIME!$F$1,Z493),HIS_SALES!$B$2:$V$4859,19,FALSE)*I493,VLOOKUP(_xlfn.CONCAT(D493,F493,G493),Q_BUSAREA_FC!$AE$5:$AI$12,5,FALSE)*HLOOKUP(_xlfn.CONCAT(FC_DATA!F493,FC_DATA!G493),LT_OVERVIEW!$I$99:$M$130,MATCH(_xlfn.CONCAT(D493,FC_DATA!E493),LT_OVERVIEW!$H$99:$H$130,0),FALSE)*IFERROR(VLOOKUP(_xlfn.CONCAT(C493,D493,E493,TIME!$F$1,Z493),HIS_SALES!$B$2:$V$4859,19,FALSE),0)))</f>
        <v>#N/A</v>
      </c>
      <c r="AD493" s="341">
        <f t="shared" ca="1" si="177"/>
        <v>0</v>
      </c>
      <c r="AE493" s="363" t="str">
        <f t="shared" si="178"/>
        <v/>
      </c>
      <c r="AF493" s="342" t="str">
        <f t="shared" si="179"/>
        <v/>
      </c>
      <c r="AG493" s="411" t="e">
        <f ca="1">VLOOKUP(_xlfn.CONCAT(U493,V493,W493,VLOOKUP(X493&amp;Y493,TIME!$L$27:$O$34,4,FALSE),Y493),HIS_SALES!$A$2:$R$5093,18,FALSE)</f>
        <v>#N/A</v>
      </c>
      <c r="AH493" s="412" t="e">
        <f ca="1">IFERROR(IF(AND(V493=V492,W493=W492),0.5*(AB493+AB492)*AG493,(VLOOKUP(_xlfn.CONCAT(U493,V493,W493,X493,VLOOKUP(Z493,TIME!$S$28:$T$39,2,FALSE)),FC_DATA!$R$2:$AB$5000,MATCH("GS_I_M",FC_DATA!$R$1:$AB$1,0),FALSE)+FC_DATA!AB493)*0.5*FC_DATA!AG493),NA())</f>
        <v>#N/A</v>
      </c>
      <c r="AI493" s="491" t="e">
        <f ca="1">IF(V493="PARTNER.com",AH493,IF(AND(V493=V492,W493=W492),(1-AVERAGE(AD492,AD493))*AH493,(1-AVERAGE(AD493,VLOOKUP(_xlfn.CONCAT(U493,V493,W493,X493,M_BRAND_FC!$F$6),FC_DATA!$R$2:$AD$5000,MATCH("DISCOUNT_%_M",FC_DATA!$R$1:$AD$1,0),FALSE)))*AH493))</f>
        <v>#N/A</v>
      </c>
      <c r="AJ493" s="412" t="str">
        <f t="shared" ca="1" si="180"/>
        <v/>
      </c>
      <c r="AK493" s="413" t="str">
        <f>IFERROR(AE493/(Q_BRAND_FC!$T$24+1),"")</f>
        <v/>
      </c>
      <c r="AL493" s="88" t="str">
        <f t="shared" ca="1" si="181"/>
        <v/>
      </c>
      <c r="AM493" s="414" t="str">
        <f t="shared" ca="1" si="182"/>
        <v/>
      </c>
      <c r="AN493" s="58">
        <f>IFERROR(IF($V493="BRAND.com",HLOOKUP($X493&amp;$Z493,NWC_FC_NOOS!$C$4:$Q$23,MATCH(W493,NWC_FC_NOOS!$B$4:$B$23,0),FALSE),0),0)</f>
        <v>0</v>
      </c>
      <c r="AO493" s="57">
        <f>IFERROR(IF($V493="BRAND.com",HLOOKUP($X493&amp;$Z493,NWC_FC_NOOS!$T$4:$AH$23,MATCH(W493,NWC_FC_NOOS!$S$4:$S$23,0),FALSE),0),0)</f>
        <v>0</v>
      </c>
      <c r="AP493" s="57">
        <f>IFERROR(IF($V493="BRAND.com",HLOOKUP($X493&amp;$Z493,NWC_FC_NOOS!$C$50:$U$69,MATCH(W493,NWC_FC_NOOS!$B$50:$B$69,0),FALSE),0),0)</f>
        <v>0</v>
      </c>
      <c r="AQ493" s="58">
        <f>IFERROR(IF($V493="BRAND.com",HLOOKUP($X493&amp;$Z493,'NWC_FC_NON-NOOS'!$C$4:$Q$23,MATCH(W493,'NWC_FC_NON-NOOS'!$B$4:$B$23,0),FALSE),0),0)</f>
        <v>0</v>
      </c>
      <c r="AR493" s="57">
        <f>IFERROR(IF($V493="BRAND.com",HLOOKUP($X493&amp;$Z493,'NWC_FC_NON-NOOS'!$T$4:$AH$23,MATCH(W493,'NWC_FC_NON-NOOS'!$S$4:$S$23,0),FALSE),0),0)</f>
        <v>0</v>
      </c>
      <c r="AS493" s="57">
        <f>IFERROR(IF($V493="BRAND.com",HLOOKUP($X493&amp;$Z493,'NWC_FC_NON-NOOS'!$C$50:$U$69,MATCH(W493,'NWC_FC_NON-NOOS'!$B$50:$B$69,0),FALSE),0),0)</f>
        <v>0</v>
      </c>
      <c r="AT493" s="57">
        <f t="shared" si="184"/>
        <v>0</v>
      </c>
      <c r="AU493" s="57">
        <f t="shared" si="185"/>
        <v>0</v>
      </c>
      <c r="AV493" s="58">
        <f>IFERROR(IF($V493="BRAND.com",HLOOKUP($X493&amp;$Z493,PLANNING_FC!$BB$27:$BP$46,MATCH($W493,PLANNING_FC!$BA$27:$BA$46,0),FALSE),0),0)</f>
        <v>0</v>
      </c>
      <c r="AW493" s="58">
        <f>IFERROR(IF($V493="BRAND.com",HLOOKUP($X493&amp;$Z493,PLANNING_FC!$BB$4:$BP$23,MATCH($W493,PLANNING_FC!$BA$4:$BA$23,0),FALSE),0),0)</f>
        <v>0</v>
      </c>
      <c r="AX493" s="58">
        <f>IFERROR(IF($V493="BRAND.com",HLOOKUP($X493&amp;$Z493,PLANNING_FC!$T$27:$AH$46,MATCH($W493,PLANNING_FC!$B$27:$B$46,0),FALSE),0),0)</f>
        <v>0</v>
      </c>
      <c r="AY493" s="58">
        <f>IFERROR(IF($V493="BRAND.com",HLOOKUP($X493&amp;$Z493,PLANNING_FC!$T$4:$AH$23,MATCH($W493,PLANNING_FC!$B$4:$B$23,0),FALSE),0),0)</f>
        <v>0</v>
      </c>
      <c r="AZ493" s="58">
        <f>IFERROR(IF($V493="BRAND.com",HLOOKUP($X493&amp;$Z493,PLANNING_FC!$DA$27:$DO$46,MATCH($W493,PLANNING_FC!$CZ$27:$CZ$46,0),FALSE),0),0)</f>
        <v>0</v>
      </c>
      <c r="BA493" s="58">
        <f>IFERROR(IF($V493="BRAND.com",HLOOKUP($X493&amp;$Z493,PLANNING_FC!$DA$4:$DO$23,MATCH($W493,PLANNING_FC!$CZ$4:$CZ$23,0),FALSE),0),0)</f>
        <v>0</v>
      </c>
      <c r="BB493" s="883" t="str">
        <f>IF(V493="BRAND.com",IFERROR(HLOOKUP(X493&amp;Z493,PLANNING_FC!$AK$4:$AY$23,MATCH(W493,PLANNING_FC!$AJ$4:$AJ$23,0),FALSE)*1000,""),"")</f>
        <v/>
      </c>
      <c r="BC493" s="883" t="str">
        <f>IF(V493="BRAND.com",IFERROR(HLOOKUP(X493&amp;Z493,PLANNING_FC!$AK$27:$AY$46,MATCH(W493,PLANNING_FC!$AJ$27:$AJ$46,0),FALSE)*1000,""),"")</f>
        <v/>
      </c>
    </row>
    <row r="494" spans="1:55" x14ac:dyDescent="0.25">
      <c r="A494" s="509"/>
      <c r="B494" s="509"/>
      <c r="C494" s="509"/>
      <c r="D494" s="509"/>
      <c r="E494" s="509"/>
      <c r="F494" s="509"/>
      <c r="G494" s="511"/>
      <c r="H494" s="509"/>
      <c r="I494" s="512"/>
      <c r="J494" s="513"/>
      <c r="K494" s="514"/>
      <c r="L494" s="515"/>
      <c r="M494" s="516"/>
      <c r="N494" s="56">
        <f t="shared" si="166"/>
        <v>0</v>
      </c>
      <c r="O494" s="57">
        <f t="shared" si="167"/>
        <v>0</v>
      </c>
      <c r="P494" s="57">
        <f ca="1">IFERROR(IF(ISBLANK(H494),SUMIFS($AC:$AC,$V:$V,V494,$W:$W,W494,$X:$X,X494,$Y:$Y,Y494)*J494/(1-J494)*VLOOKUP(_xlfn.CONCAT(C494,D494,E494,TIME!$M$12,Z494),HIS_SALES!$B$2:$W$4859,20,FALSE),AC494*J494/(1-J494)),0)</f>
        <v>0</v>
      </c>
      <c r="Q494" s="541" t="str">
        <f t="shared" si="168"/>
        <v/>
      </c>
      <c r="R494" s="346" t="str">
        <f t="shared" si="169"/>
        <v>00000</v>
      </c>
      <c r="S494" s="344">
        <f t="shared" si="170"/>
        <v>0</v>
      </c>
      <c r="T494" s="345" t="str">
        <f t="shared" si="183"/>
        <v>000</v>
      </c>
      <c r="U494" s="345">
        <f t="shared" si="171"/>
        <v>0</v>
      </c>
      <c r="V494" s="345">
        <f t="shared" si="172"/>
        <v>0</v>
      </c>
      <c r="W494" s="345">
        <f t="shared" si="173"/>
        <v>0</v>
      </c>
      <c r="X494" s="345">
        <f t="shared" si="174"/>
        <v>0</v>
      </c>
      <c r="Y494" s="345">
        <f t="shared" si="175"/>
        <v>0</v>
      </c>
      <c r="Z494" s="345">
        <f>IF(Q494&lt;&gt;"",VLOOKUP(Y494,TIME!$R$21:$V$24,MATCH(FC_DATA!Q494,TIME!$R$20:$V$20,0),FALSE),H494)</f>
        <v>0</v>
      </c>
      <c r="AA494" s="345" t="str">
        <f>IFERROR(VLOOKUP(X494&amp;Z494,TIME!$A$12:$D$71,4,FALSE),"")</f>
        <v/>
      </c>
      <c r="AB494" s="592">
        <f t="shared" ca="1" si="176"/>
        <v>0</v>
      </c>
      <c r="AC494" s="593" t="e">
        <f ca="1">IF(ISBLANK(H494)=FALSE,IF(D494="BRAND.com",I494,IF(ISNA(VLOOKUP(_xlfn.CONCAT(X494,Z494),TIME!$M$40:$M$42,1,FALSE)),I494,VLOOKUP(_xlfn.CONCAT(D494,G494,H494),M_BUSAREA_FC!$AF$5:$AJ$10,5,FALSE)*HLOOKUP(_xlfn.CONCAT(F494,H494),ST_OVERVIEW!$G$99:$I$130,MATCH(_xlfn.CONCAT(D494,E494),ST_OVERVIEW!$F$99:$F$130,0),FALSE))),IF(D494="BRAND.com",VLOOKUP(_xlfn.CONCAT(C494,D494,E494,TIME!$F$1,Z494),HIS_SALES!$B$2:$V$4859,19,FALSE)*I494,VLOOKUP(_xlfn.CONCAT(D494,F494,G494),Q_BUSAREA_FC!$AE$5:$AI$12,5,FALSE)*HLOOKUP(_xlfn.CONCAT(FC_DATA!F494,FC_DATA!G494),LT_OVERVIEW!$I$99:$M$130,MATCH(_xlfn.CONCAT(D494,FC_DATA!E494),LT_OVERVIEW!$H$99:$H$130,0),FALSE)*IFERROR(VLOOKUP(_xlfn.CONCAT(C494,D494,E494,TIME!$F$1,Z494),HIS_SALES!$B$2:$V$4859,19,FALSE),0)))</f>
        <v>#N/A</v>
      </c>
      <c r="AD494" s="341">
        <f t="shared" ca="1" si="177"/>
        <v>0</v>
      </c>
      <c r="AE494" s="363" t="str">
        <f t="shared" si="178"/>
        <v/>
      </c>
      <c r="AF494" s="342" t="str">
        <f t="shared" si="179"/>
        <v/>
      </c>
      <c r="AG494" s="411" t="e">
        <f ca="1">VLOOKUP(_xlfn.CONCAT(U494,V494,W494,VLOOKUP(X494&amp;Y494,TIME!$L$27:$O$34,4,FALSE),Y494),HIS_SALES!$A$2:$R$5093,18,FALSE)</f>
        <v>#N/A</v>
      </c>
      <c r="AH494" s="412" t="e">
        <f ca="1">IFERROR(IF(AND(V494=V493,W494=W493),0.5*(AB494+AB493)*AG494,(VLOOKUP(_xlfn.CONCAT(U494,V494,W494,X494,VLOOKUP(Z494,TIME!$S$28:$T$39,2,FALSE)),FC_DATA!$R$2:$AB$5000,MATCH("GS_I_M",FC_DATA!$R$1:$AB$1,0),FALSE)+FC_DATA!AB494)*0.5*FC_DATA!AG494),NA())</f>
        <v>#N/A</v>
      </c>
      <c r="AI494" s="491" t="e">
        <f ca="1">IF(V494="PARTNER.com",AH494,IF(AND(V494=V493,W494=W493),(1-AVERAGE(AD493,AD494))*AH494,(1-AVERAGE(AD494,VLOOKUP(_xlfn.CONCAT(U494,V494,W494,X494,M_BRAND_FC!$F$6),FC_DATA!$R$2:$AD$5000,MATCH("DISCOUNT_%_M",FC_DATA!$R$1:$AD$1,0),FALSE)))*AH494))</f>
        <v>#N/A</v>
      </c>
      <c r="AJ494" s="412" t="str">
        <f t="shared" ca="1" si="180"/>
        <v/>
      </c>
      <c r="AK494" s="413" t="str">
        <f>IFERROR(AE494/(Q_BRAND_FC!$T$24+1),"")</f>
        <v/>
      </c>
      <c r="AL494" s="88" t="str">
        <f t="shared" ca="1" si="181"/>
        <v/>
      </c>
      <c r="AM494" s="414" t="str">
        <f t="shared" ca="1" si="182"/>
        <v/>
      </c>
      <c r="AN494" s="58">
        <f>IFERROR(IF($V494="BRAND.com",HLOOKUP($X494&amp;$Z494,NWC_FC_NOOS!$C$4:$Q$23,MATCH(W494,NWC_FC_NOOS!$B$4:$B$23,0),FALSE),0),0)</f>
        <v>0</v>
      </c>
      <c r="AO494" s="57">
        <f>IFERROR(IF($V494="BRAND.com",HLOOKUP($X494&amp;$Z494,NWC_FC_NOOS!$T$4:$AH$23,MATCH(W494,NWC_FC_NOOS!$S$4:$S$23,0),FALSE),0),0)</f>
        <v>0</v>
      </c>
      <c r="AP494" s="57">
        <f>IFERROR(IF($V494="BRAND.com",HLOOKUP($X494&amp;$Z494,NWC_FC_NOOS!$C$50:$U$69,MATCH(W494,NWC_FC_NOOS!$B$50:$B$69,0),FALSE),0),0)</f>
        <v>0</v>
      </c>
      <c r="AQ494" s="58">
        <f>IFERROR(IF($V494="BRAND.com",HLOOKUP($X494&amp;$Z494,'NWC_FC_NON-NOOS'!$C$4:$Q$23,MATCH(W494,'NWC_FC_NON-NOOS'!$B$4:$B$23,0),FALSE),0),0)</f>
        <v>0</v>
      </c>
      <c r="AR494" s="57">
        <f>IFERROR(IF($V494="BRAND.com",HLOOKUP($X494&amp;$Z494,'NWC_FC_NON-NOOS'!$T$4:$AH$23,MATCH(W494,'NWC_FC_NON-NOOS'!$S$4:$S$23,0),FALSE),0),0)</f>
        <v>0</v>
      </c>
      <c r="AS494" s="57">
        <f>IFERROR(IF($V494="BRAND.com",HLOOKUP($X494&amp;$Z494,'NWC_FC_NON-NOOS'!$C$50:$U$69,MATCH(W494,'NWC_FC_NON-NOOS'!$B$50:$B$69,0),FALSE),0),0)</f>
        <v>0</v>
      </c>
      <c r="AT494" s="57">
        <f t="shared" si="184"/>
        <v>0</v>
      </c>
      <c r="AU494" s="57">
        <f t="shared" si="185"/>
        <v>0</v>
      </c>
      <c r="AV494" s="58">
        <f>IFERROR(IF($V494="BRAND.com",HLOOKUP($X494&amp;$Z494,PLANNING_FC!$BB$27:$BP$46,MATCH($W494,PLANNING_FC!$BA$27:$BA$46,0),FALSE),0),0)</f>
        <v>0</v>
      </c>
      <c r="AW494" s="58">
        <f>IFERROR(IF($V494="BRAND.com",HLOOKUP($X494&amp;$Z494,PLANNING_FC!$BB$4:$BP$23,MATCH($W494,PLANNING_FC!$BA$4:$BA$23,0),FALSE),0),0)</f>
        <v>0</v>
      </c>
      <c r="AX494" s="58">
        <f>IFERROR(IF($V494="BRAND.com",HLOOKUP($X494&amp;$Z494,PLANNING_FC!$T$27:$AH$46,MATCH($W494,PLANNING_FC!$B$27:$B$46,0),FALSE),0),0)</f>
        <v>0</v>
      </c>
      <c r="AY494" s="58">
        <f>IFERROR(IF($V494="BRAND.com",HLOOKUP($X494&amp;$Z494,PLANNING_FC!$T$4:$AH$23,MATCH($W494,PLANNING_FC!$B$4:$B$23,0),FALSE),0),0)</f>
        <v>0</v>
      </c>
      <c r="AZ494" s="58">
        <f>IFERROR(IF($V494="BRAND.com",HLOOKUP($X494&amp;$Z494,PLANNING_FC!$DA$27:$DO$46,MATCH($W494,PLANNING_FC!$CZ$27:$CZ$46,0),FALSE),0),0)</f>
        <v>0</v>
      </c>
      <c r="BA494" s="58">
        <f>IFERROR(IF($V494="BRAND.com",HLOOKUP($X494&amp;$Z494,PLANNING_FC!$DA$4:$DO$23,MATCH($W494,PLANNING_FC!$CZ$4:$CZ$23,0),FALSE),0),0)</f>
        <v>0</v>
      </c>
      <c r="BB494" s="883" t="str">
        <f>IF(V494="BRAND.com",IFERROR(HLOOKUP(X494&amp;Z494,PLANNING_FC!$AK$4:$AY$23,MATCH(W494,PLANNING_FC!$AJ$4:$AJ$23,0),FALSE)*1000,""),"")</f>
        <v/>
      </c>
      <c r="BC494" s="883" t="str">
        <f>IF(V494="BRAND.com",IFERROR(HLOOKUP(X494&amp;Z494,PLANNING_FC!$AK$27:$AY$46,MATCH(W494,PLANNING_FC!$AJ$27:$AJ$46,0),FALSE)*1000,""),"")</f>
        <v/>
      </c>
    </row>
    <row r="495" spans="1:55" x14ac:dyDescent="0.25">
      <c r="A495" s="509"/>
      <c r="B495" s="509"/>
      <c r="C495" s="509"/>
      <c r="D495" s="509"/>
      <c r="E495" s="509"/>
      <c r="F495" s="509"/>
      <c r="G495" s="509"/>
      <c r="H495" s="509"/>
      <c r="I495" s="512"/>
      <c r="J495" s="513"/>
      <c r="K495" s="514"/>
      <c r="L495" s="515"/>
      <c r="M495" s="516"/>
      <c r="N495" s="56">
        <f t="shared" si="166"/>
        <v>0</v>
      </c>
      <c r="O495" s="57">
        <f t="shared" si="167"/>
        <v>0</v>
      </c>
      <c r="P495" s="57">
        <f ca="1">IFERROR(IF(ISBLANK(H495),SUMIFS($AC:$AC,$V:$V,V495,$W:$W,W495,$X:$X,X495,$Y:$Y,Y495)*J495/(1-J495)*VLOOKUP(_xlfn.CONCAT(C495,D495,E495,TIME!$M$12,Z495),HIS_SALES!$B$2:$W$4859,20,FALSE),AC495*J495/(1-J495)),0)</f>
        <v>0</v>
      </c>
      <c r="Q495" s="541" t="str">
        <f t="shared" si="168"/>
        <v/>
      </c>
      <c r="R495" s="346" t="str">
        <f t="shared" si="169"/>
        <v>00000</v>
      </c>
      <c r="S495" s="344">
        <f t="shared" si="170"/>
        <v>0</v>
      </c>
      <c r="T495" s="345" t="str">
        <f t="shared" si="183"/>
        <v>000</v>
      </c>
      <c r="U495" s="345">
        <f t="shared" si="171"/>
        <v>0</v>
      </c>
      <c r="V495" s="345">
        <f t="shared" si="172"/>
        <v>0</v>
      </c>
      <c r="W495" s="345">
        <f t="shared" si="173"/>
        <v>0</v>
      </c>
      <c r="X495" s="345">
        <f t="shared" si="174"/>
        <v>0</v>
      </c>
      <c r="Y495" s="345">
        <f t="shared" si="175"/>
        <v>0</v>
      </c>
      <c r="Z495" s="345">
        <f>IF(Q495&lt;&gt;"",VLOOKUP(Y495,TIME!$R$21:$V$24,MATCH(FC_DATA!Q495,TIME!$R$20:$V$20,0),FALSE),H495)</f>
        <v>0</v>
      </c>
      <c r="AA495" s="345" t="str">
        <f>IFERROR(VLOOKUP(X495&amp;Z495,TIME!$A$12:$D$71,4,FALSE),"")</f>
        <v/>
      </c>
      <c r="AB495" s="592">
        <f t="shared" ca="1" si="176"/>
        <v>0</v>
      </c>
      <c r="AC495" s="593" t="e">
        <f ca="1">IF(ISBLANK(H495)=FALSE,IF(D495="BRAND.com",I495,IF(ISNA(VLOOKUP(_xlfn.CONCAT(X495,Z495),TIME!$M$40:$M$42,1,FALSE)),I495,VLOOKUP(_xlfn.CONCAT(D495,G495,H495),M_BUSAREA_FC!$AF$5:$AJ$10,5,FALSE)*HLOOKUP(_xlfn.CONCAT(F495,H495),ST_OVERVIEW!$G$99:$I$130,MATCH(_xlfn.CONCAT(D495,E495),ST_OVERVIEW!$F$99:$F$130,0),FALSE))),IF(D495="BRAND.com",VLOOKUP(_xlfn.CONCAT(C495,D495,E495,TIME!$F$1,Z495),HIS_SALES!$B$2:$V$4859,19,FALSE)*I495,VLOOKUP(_xlfn.CONCAT(D495,F495,G495),Q_BUSAREA_FC!$AE$5:$AI$12,5,FALSE)*HLOOKUP(_xlfn.CONCAT(FC_DATA!F495,FC_DATA!G495),LT_OVERVIEW!$I$99:$M$130,MATCH(_xlfn.CONCAT(D495,FC_DATA!E495),LT_OVERVIEW!$H$99:$H$130,0),FALSE)*IFERROR(VLOOKUP(_xlfn.CONCAT(C495,D495,E495,TIME!$F$1,Z495),HIS_SALES!$B$2:$V$4859,19,FALSE),0)))</f>
        <v>#N/A</v>
      </c>
      <c r="AD495" s="341">
        <f t="shared" ca="1" si="177"/>
        <v>0</v>
      </c>
      <c r="AE495" s="363" t="str">
        <f t="shared" si="178"/>
        <v/>
      </c>
      <c r="AF495" s="342" t="str">
        <f t="shared" si="179"/>
        <v/>
      </c>
      <c r="AG495" s="411" t="e">
        <f ca="1">VLOOKUP(_xlfn.CONCAT(U495,V495,W495,VLOOKUP(X495&amp;Y495,TIME!$L$27:$O$34,4,FALSE),Y495),HIS_SALES!$A$2:$R$5093,18,FALSE)</f>
        <v>#N/A</v>
      </c>
      <c r="AH495" s="412" t="e">
        <f ca="1">IFERROR(IF(AND(V495=V494,W495=W494),0.5*(AB495+AB494)*AG495,(VLOOKUP(_xlfn.CONCAT(U495,V495,W495,X495,VLOOKUP(Z495,TIME!$S$28:$T$39,2,FALSE)),FC_DATA!$R$2:$AB$5000,MATCH("GS_I_M",FC_DATA!$R$1:$AB$1,0),FALSE)+FC_DATA!AB495)*0.5*FC_DATA!AG495),NA())</f>
        <v>#N/A</v>
      </c>
      <c r="AI495" s="491" t="e">
        <f ca="1">IF(V495="PARTNER.com",AH495,IF(AND(V495=V494,W495=W494),(1-AVERAGE(AD494,AD495))*AH495,(1-AVERAGE(AD495,VLOOKUP(_xlfn.CONCAT(U495,V495,W495,X495,M_BRAND_FC!$F$6),FC_DATA!$R$2:$AD$5000,MATCH("DISCOUNT_%_M",FC_DATA!$R$1:$AD$1,0),FALSE)))*AH495))</f>
        <v>#N/A</v>
      </c>
      <c r="AJ495" s="412" t="str">
        <f t="shared" ca="1" si="180"/>
        <v/>
      </c>
      <c r="AK495" s="413" t="str">
        <f>IFERROR(AE495/(Q_BRAND_FC!$T$24+1),"")</f>
        <v/>
      </c>
      <c r="AL495" s="88" t="str">
        <f t="shared" ca="1" si="181"/>
        <v/>
      </c>
      <c r="AM495" s="414" t="str">
        <f t="shared" ca="1" si="182"/>
        <v/>
      </c>
      <c r="AN495" s="58">
        <f>IFERROR(IF($V495="BRAND.com",HLOOKUP($X495&amp;$Z495,NWC_FC_NOOS!$C$4:$Q$23,MATCH(W495,NWC_FC_NOOS!$B$4:$B$23,0),FALSE),0),0)</f>
        <v>0</v>
      </c>
      <c r="AO495" s="57">
        <f>IFERROR(IF($V495="BRAND.com",HLOOKUP($X495&amp;$Z495,NWC_FC_NOOS!$T$4:$AH$23,MATCH(W495,NWC_FC_NOOS!$S$4:$S$23,0),FALSE),0),0)</f>
        <v>0</v>
      </c>
      <c r="AP495" s="57">
        <f>IFERROR(IF($V495="BRAND.com",HLOOKUP($X495&amp;$Z495,NWC_FC_NOOS!$C$50:$U$69,MATCH(W495,NWC_FC_NOOS!$B$50:$B$69,0),FALSE),0),0)</f>
        <v>0</v>
      </c>
      <c r="AQ495" s="58">
        <f>IFERROR(IF($V495="BRAND.com",HLOOKUP($X495&amp;$Z495,'NWC_FC_NON-NOOS'!$C$4:$Q$23,MATCH(W495,'NWC_FC_NON-NOOS'!$B$4:$B$23,0),FALSE),0),0)</f>
        <v>0</v>
      </c>
      <c r="AR495" s="57">
        <f>IFERROR(IF($V495="BRAND.com",HLOOKUP($X495&amp;$Z495,'NWC_FC_NON-NOOS'!$T$4:$AH$23,MATCH(W495,'NWC_FC_NON-NOOS'!$S$4:$S$23,0),FALSE),0),0)</f>
        <v>0</v>
      </c>
      <c r="AS495" s="57">
        <f>IFERROR(IF($V495="BRAND.com",HLOOKUP($X495&amp;$Z495,'NWC_FC_NON-NOOS'!$C$50:$U$69,MATCH(W495,'NWC_FC_NON-NOOS'!$B$50:$B$69,0),FALSE),0),0)</f>
        <v>0</v>
      </c>
      <c r="AT495" s="57">
        <f t="shared" si="184"/>
        <v>0</v>
      </c>
      <c r="AU495" s="57">
        <f t="shared" si="185"/>
        <v>0</v>
      </c>
      <c r="AV495" s="58">
        <f>IFERROR(IF($V495="BRAND.com",HLOOKUP($X495&amp;$Z495,PLANNING_FC!$BB$27:$BP$46,MATCH($W495,PLANNING_FC!$BA$27:$BA$46,0),FALSE),0),0)</f>
        <v>0</v>
      </c>
      <c r="AW495" s="58">
        <f>IFERROR(IF($V495="BRAND.com",HLOOKUP($X495&amp;$Z495,PLANNING_FC!$BB$4:$BP$23,MATCH($W495,PLANNING_FC!$BA$4:$BA$23,0),FALSE),0),0)</f>
        <v>0</v>
      </c>
      <c r="AX495" s="58">
        <f>IFERROR(IF($V495="BRAND.com",HLOOKUP($X495&amp;$Z495,PLANNING_FC!$T$27:$AH$46,MATCH($W495,PLANNING_FC!$B$27:$B$46,0),FALSE),0),0)</f>
        <v>0</v>
      </c>
      <c r="AY495" s="58">
        <f>IFERROR(IF($V495="BRAND.com",HLOOKUP($X495&amp;$Z495,PLANNING_FC!$T$4:$AH$23,MATCH($W495,PLANNING_FC!$B$4:$B$23,0),FALSE),0),0)</f>
        <v>0</v>
      </c>
      <c r="AZ495" s="58">
        <f>IFERROR(IF($V495="BRAND.com",HLOOKUP($X495&amp;$Z495,PLANNING_FC!$DA$27:$DO$46,MATCH($W495,PLANNING_FC!$CZ$27:$CZ$46,0),FALSE),0),0)</f>
        <v>0</v>
      </c>
      <c r="BA495" s="58">
        <f>IFERROR(IF($V495="BRAND.com",HLOOKUP($X495&amp;$Z495,PLANNING_FC!$DA$4:$DO$23,MATCH($W495,PLANNING_FC!$CZ$4:$CZ$23,0),FALSE),0),0)</f>
        <v>0</v>
      </c>
      <c r="BB495" s="883" t="str">
        <f>IF(V495="BRAND.com",IFERROR(HLOOKUP(X495&amp;Z495,PLANNING_FC!$AK$4:$AY$23,MATCH(W495,PLANNING_FC!$AJ$4:$AJ$23,0),FALSE)*1000,""),"")</f>
        <v/>
      </c>
      <c r="BC495" s="883" t="str">
        <f>IF(V495="BRAND.com",IFERROR(HLOOKUP(X495&amp;Z495,PLANNING_FC!$AK$27:$AY$46,MATCH(W495,PLANNING_FC!$AJ$27:$AJ$46,0),FALSE)*1000,""),"")</f>
        <v/>
      </c>
    </row>
    <row r="496" spans="1:55" x14ac:dyDescent="0.25">
      <c r="A496" s="509"/>
      <c r="B496" s="509"/>
      <c r="C496" s="509"/>
      <c r="D496" s="509"/>
      <c r="E496" s="509"/>
      <c r="F496" s="509"/>
      <c r="G496" s="509"/>
      <c r="H496" s="509"/>
      <c r="I496" s="512"/>
      <c r="J496" s="513"/>
      <c r="K496" s="514"/>
      <c r="L496" s="515"/>
      <c r="M496" s="516"/>
      <c r="N496" s="56">
        <f t="shared" si="166"/>
        <v>0</v>
      </c>
      <c r="O496" s="57">
        <f t="shared" si="167"/>
        <v>0</v>
      </c>
      <c r="P496" s="57">
        <f ca="1">IFERROR(IF(ISBLANK(H496),SUMIFS($AC:$AC,$V:$V,V496,$W:$W,W496,$X:$X,X496,$Y:$Y,Y496)*J496/(1-J496)*VLOOKUP(_xlfn.CONCAT(C496,D496,E496,TIME!$M$12,Z496),HIS_SALES!$B$2:$W$4859,20,FALSE),AC496*J496/(1-J496)),0)</f>
        <v>0</v>
      </c>
      <c r="Q496" s="541" t="str">
        <f t="shared" si="168"/>
        <v/>
      </c>
      <c r="R496" s="346" t="str">
        <f t="shared" si="169"/>
        <v>00000</v>
      </c>
      <c r="S496" s="344">
        <f t="shared" si="170"/>
        <v>0</v>
      </c>
      <c r="T496" s="345" t="str">
        <f t="shared" si="183"/>
        <v>000</v>
      </c>
      <c r="U496" s="345">
        <f t="shared" si="171"/>
        <v>0</v>
      </c>
      <c r="V496" s="345">
        <f t="shared" si="172"/>
        <v>0</v>
      </c>
      <c r="W496" s="345">
        <f t="shared" si="173"/>
        <v>0</v>
      </c>
      <c r="X496" s="345">
        <f t="shared" si="174"/>
        <v>0</v>
      </c>
      <c r="Y496" s="345">
        <f t="shared" si="175"/>
        <v>0</v>
      </c>
      <c r="Z496" s="345">
        <f>IF(Q496&lt;&gt;"",VLOOKUP(Y496,TIME!$R$21:$V$24,MATCH(FC_DATA!Q496,TIME!$R$20:$V$20,0),FALSE),H496)</f>
        <v>0</v>
      </c>
      <c r="AA496" s="345" t="str">
        <f>IFERROR(VLOOKUP(X496&amp;Z496,TIME!$A$12:$D$71,4,FALSE),"")</f>
        <v/>
      </c>
      <c r="AB496" s="592">
        <f t="shared" ca="1" si="176"/>
        <v>0</v>
      </c>
      <c r="AC496" s="593" t="e">
        <f ca="1">IF(ISBLANK(H496)=FALSE,IF(D496="BRAND.com",I496,IF(ISNA(VLOOKUP(_xlfn.CONCAT(X496,Z496),TIME!$M$40:$M$42,1,FALSE)),I496,VLOOKUP(_xlfn.CONCAT(D496,G496,H496),M_BUSAREA_FC!$AF$5:$AJ$10,5,FALSE)*HLOOKUP(_xlfn.CONCAT(F496,H496),ST_OVERVIEW!$G$99:$I$130,MATCH(_xlfn.CONCAT(D496,E496),ST_OVERVIEW!$F$99:$F$130,0),FALSE))),IF(D496="BRAND.com",VLOOKUP(_xlfn.CONCAT(C496,D496,E496,TIME!$F$1,Z496),HIS_SALES!$B$2:$V$4859,19,FALSE)*I496,VLOOKUP(_xlfn.CONCAT(D496,F496,G496),Q_BUSAREA_FC!$AE$5:$AI$12,5,FALSE)*HLOOKUP(_xlfn.CONCAT(FC_DATA!F496,FC_DATA!G496),LT_OVERVIEW!$I$99:$M$130,MATCH(_xlfn.CONCAT(D496,FC_DATA!E496),LT_OVERVIEW!$H$99:$H$130,0),FALSE)*IFERROR(VLOOKUP(_xlfn.CONCAT(C496,D496,E496,TIME!$F$1,Z496),HIS_SALES!$B$2:$V$4859,19,FALSE),0)))</f>
        <v>#N/A</v>
      </c>
      <c r="AD496" s="341">
        <f t="shared" ca="1" si="177"/>
        <v>0</v>
      </c>
      <c r="AE496" s="363" t="str">
        <f t="shared" si="178"/>
        <v/>
      </c>
      <c r="AF496" s="342" t="str">
        <f t="shared" si="179"/>
        <v/>
      </c>
      <c r="AG496" s="411" t="e">
        <f ca="1">VLOOKUP(_xlfn.CONCAT(U496,V496,W496,VLOOKUP(X496&amp;Y496,TIME!$L$27:$O$34,4,FALSE),Y496),HIS_SALES!$A$2:$R$5093,18,FALSE)</f>
        <v>#N/A</v>
      </c>
      <c r="AH496" s="412" t="e">
        <f ca="1">IFERROR(IF(AND(V496=V495,W496=W495),0.5*(AB496+AB495)*AG496,(VLOOKUP(_xlfn.CONCAT(U496,V496,W496,X496,VLOOKUP(Z496,TIME!$S$28:$T$39,2,FALSE)),FC_DATA!$R$2:$AB$5000,MATCH("GS_I_M",FC_DATA!$R$1:$AB$1,0),FALSE)+FC_DATA!AB496)*0.5*FC_DATA!AG496),NA())</f>
        <v>#N/A</v>
      </c>
      <c r="AI496" s="491" t="e">
        <f ca="1">IF(V496="PARTNER.com",AH496,IF(AND(V496=V495,W496=W495),(1-AVERAGE(AD495,AD496))*AH496,(1-AVERAGE(AD496,VLOOKUP(_xlfn.CONCAT(U496,V496,W496,X496,M_BRAND_FC!$F$6),FC_DATA!$R$2:$AD$5000,MATCH("DISCOUNT_%_M",FC_DATA!$R$1:$AD$1,0),FALSE)))*AH496))</f>
        <v>#N/A</v>
      </c>
      <c r="AJ496" s="412" t="str">
        <f t="shared" ca="1" si="180"/>
        <v/>
      </c>
      <c r="AK496" s="413" t="str">
        <f>IFERROR(AE496/(Q_BRAND_FC!$T$24+1),"")</f>
        <v/>
      </c>
      <c r="AL496" s="88" t="str">
        <f t="shared" ca="1" si="181"/>
        <v/>
      </c>
      <c r="AM496" s="414" t="str">
        <f t="shared" ca="1" si="182"/>
        <v/>
      </c>
      <c r="AN496" s="58">
        <f>IFERROR(IF($V496="BRAND.com",HLOOKUP($X496&amp;$Z496,NWC_FC_NOOS!$C$4:$Q$23,MATCH(W496,NWC_FC_NOOS!$B$4:$B$23,0),FALSE),0),0)</f>
        <v>0</v>
      </c>
      <c r="AO496" s="57">
        <f>IFERROR(IF($V496="BRAND.com",HLOOKUP($X496&amp;$Z496,NWC_FC_NOOS!$T$4:$AH$23,MATCH(W496,NWC_FC_NOOS!$S$4:$S$23,0),FALSE),0),0)</f>
        <v>0</v>
      </c>
      <c r="AP496" s="57">
        <f>IFERROR(IF($V496="BRAND.com",HLOOKUP($X496&amp;$Z496,NWC_FC_NOOS!$C$50:$U$69,MATCH(W496,NWC_FC_NOOS!$B$50:$B$69,0),FALSE),0),0)</f>
        <v>0</v>
      </c>
      <c r="AQ496" s="58">
        <f>IFERROR(IF($V496="BRAND.com",HLOOKUP($X496&amp;$Z496,'NWC_FC_NON-NOOS'!$C$4:$Q$23,MATCH(W496,'NWC_FC_NON-NOOS'!$B$4:$B$23,0),FALSE),0),0)</f>
        <v>0</v>
      </c>
      <c r="AR496" s="57">
        <f>IFERROR(IF($V496="BRAND.com",HLOOKUP($X496&amp;$Z496,'NWC_FC_NON-NOOS'!$T$4:$AH$23,MATCH(W496,'NWC_FC_NON-NOOS'!$S$4:$S$23,0),FALSE),0),0)</f>
        <v>0</v>
      </c>
      <c r="AS496" s="57">
        <f>IFERROR(IF($V496="BRAND.com",HLOOKUP($X496&amp;$Z496,'NWC_FC_NON-NOOS'!$C$50:$U$69,MATCH(W496,'NWC_FC_NON-NOOS'!$B$50:$B$69,0),FALSE),0),0)</f>
        <v>0</v>
      </c>
      <c r="AT496" s="57">
        <f t="shared" si="184"/>
        <v>0</v>
      </c>
      <c r="AU496" s="57">
        <f t="shared" si="185"/>
        <v>0</v>
      </c>
      <c r="AV496" s="58">
        <f>IFERROR(IF($V496="BRAND.com",HLOOKUP($X496&amp;$Z496,PLANNING_FC!$BB$27:$BP$46,MATCH($W496,PLANNING_FC!$BA$27:$BA$46,0),FALSE),0),0)</f>
        <v>0</v>
      </c>
      <c r="AW496" s="58">
        <f>IFERROR(IF($V496="BRAND.com",HLOOKUP($X496&amp;$Z496,PLANNING_FC!$BB$4:$BP$23,MATCH($W496,PLANNING_FC!$BA$4:$BA$23,0),FALSE),0),0)</f>
        <v>0</v>
      </c>
      <c r="AX496" s="58">
        <f>IFERROR(IF($V496="BRAND.com",HLOOKUP($X496&amp;$Z496,PLANNING_FC!$T$27:$AH$46,MATCH($W496,PLANNING_FC!$B$27:$B$46,0),FALSE),0),0)</f>
        <v>0</v>
      </c>
      <c r="AY496" s="58">
        <f>IFERROR(IF($V496="BRAND.com",HLOOKUP($X496&amp;$Z496,PLANNING_FC!$T$4:$AH$23,MATCH($W496,PLANNING_FC!$B$4:$B$23,0),FALSE),0),0)</f>
        <v>0</v>
      </c>
      <c r="AZ496" s="58">
        <f>IFERROR(IF($V496="BRAND.com",HLOOKUP($X496&amp;$Z496,PLANNING_FC!$DA$27:$DO$46,MATCH($W496,PLANNING_FC!$CZ$27:$CZ$46,0),FALSE),0),0)</f>
        <v>0</v>
      </c>
      <c r="BA496" s="58">
        <f>IFERROR(IF($V496="BRAND.com",HLOOKUP($X496&amp;$Z496,PLANNING_FC!$DA$4:$DO$23,MATCH($W496,PLANNING_FC!$CZ$4:$CZ$23,0),FALSE),0),0)</f>
        <v>0</v>
      </c>
      <c r="BB496" s="883" t="str">
        <f>IF(V496="BRAND.com",IFERROR(HLOOKUP(X496&amp;Z496,PLANNING_FC!$AK$4:$AY$23,MATCH(W496,PLANNING_FC!$AJ$4:$AJ$23,0),FALSE)*1000,""),"")</f>
        <v/>
      </c>
      <c r="BC496" s="883" t="str">
        <f>IF(V496="BRAND.com",IFERROR(HLOOKUP(X496&amp;Z496,PLANNING_FC!$AK$27:$AY$46,MATCH(W496,PLANNING_FC!$AJ$27:$AJ$46,0),FALSE)*1000,""),"")</f>
        <v/>
      </c>
    </row>
    <row r="497" spans="1:55" x14ac:dyDescent="0.25">
      <c r="A497" s="509"/>
      <c r="B497" s="509"/>
      <c r="C497" s="509"/>
      <c r="D497" s="509"/>
      <c r="E497" s="509"/>
      <c r="F497" s="509"/>
      <c r="G497" s="509"/>
      <c r="H497" s="509"/>
      <c r="I497" s="512"/>
      <c r="J497" s="513"/>
      <c r="K497" s="514"/>
      <c r="L497" s="515"/>
      <c r="M497" s="516"/>
      <c r="N497" s="56">
        <f t="shared" si="166"/>
        <v>0</v>
      </c>
      <c r="O497" s="57">
        <f t="shared" si="167"/>
        <v>0</v>
      </c>
      <c r="P497" s="57">
        <f ca="1">IFERROR(IF(ISBLANK(H497),SUMIFS($AC:$AC,$V:$V,V497,$W:$W,W497,$X:$X,X497,$Y:$Y,Y497)*J497/(1-J497)*VLOOKUP(_xlfn.CONCAT(C497,D497,E497,TIME!$M$12,Z497),HIS_SALES!$B$2:$W$4859,20,FALSE),AC497*J497/(1-J497)),0)</f>
        <v>0</v>
      </c>
      <c r="Q497" s="541" t="str">
        <f t="shared" si="168"/>
        <v/>
      </c>
      <c r="R497" s="346" t="str">
        <f t="shared" si="169"/>
        <v>00000</v>
      </c>
      <c r="S497" s="344">
        <f t="shared" si="170"/>
        <v>0</v>
      </c>
      <c r="T497" s="345" t="str">
        <f t="shared" si="183"/>
        <v>000</v>
      </c>
      <c r="U497" s="345">
        <f t="shared" si="171"/>
        <v>0</v>
      </c>
      <c r="V497" s="345">
        <f t="shared" si="172"/>
        <v>0</v>
      </c>
      <c r="W497" s="345">
        <f t="shared" si="173"/>
        <v>0</v>
      </c>
      <c r="X497" s="345">
        <f t="shared" si="174"/>
        <v>0</v>
      </c>
      <c r="Y497" s="345">
        <f t="shared" si="175"/>
        <v>0</v>
      </c>
      <c r="Z497" s="345">
        <f>IF(Q497&lt;&gt;"",VLOOKUP(Y497,TIME!$R$21:$V$24,MATCH(FC_DATA!Q497,TIME!$R$20:$V$20,0),FALSE),H497)</f>
        <v>0</v>
      </c>
      <c r="AA497" s="345" t="str">
        <f>IFERROR(VLOOKUP(X497&amp;Z497,TIME!$A$12:$D$71,4,FALSE),"")</f>
        <v/>
      </c>
      <c r="AB497" s="592">
        <f t="shared" ca="1" si="176"/>
        <v>0</v>
      </c>
      <c r="AC497" s="593" t="e">
        <f ca="1">IF(ISBLANK(H497)=FALSE,IF(D497="BRAND.com",I497,IF(ISNA(VLOOKUP(_xlfn.CONCAT(X497,Z497),TIME!$M$40:$M$42,1,FALSE)),I497,VLOOKUP(_xlfn.CONCAT(D497,G497,H497),M_BUSAREA_FC!$AF$5:$AJ$10,5,FALSE)*HLOOKUP(_xlfn.CONCAT(F497,H497),ST_OVERVIEW!$G$99:$I$130,MATCH(_xlfn.CONCAT(D497,E497),ST_OVERVIEW!$F$99:$F$130,0),FALSE))),IF(D497="BRAND.com",VLOOKUP(_xlfn.CONCAT(C497,D497,E497,TIME!$F$1,Z497),HIS_SALES!$B$2:$V$4859,19,FALSE)*I497,VLOOKUP(_xlfn.CONCAT(D497,F497,G497),Q_BUSAREA_FC!$AE$5:$AI$12,5,FALSE)*HLOOKUP(_xlfn.CONCAT(FC_DATA!F497,FC_DATA!G497),LT_OVERVIEW!$I$99:$M$130,MATCH(_xlfn.CONCAT(D497,FC_DATA!E497),LT_OVERVIEW!$H$99:$H$130,0),FALSE)*IFERROR(VLOOKUP(_xlfn.CONCAT(C497,D497,E497,TIME!$F$1,Z497),HIS_SALES!$B$2:$V$4859,19,FALSE),0)))</f>
        <v>#N/A</v>
      </c>
      <c r="AD497" s="341">
        <f t="shared" ca="1" si="177"/>
        <v>0</v>
      </c>
      <c r="AE497" s="363" t="str">
        <f t="shared" si="178"/>
        <v/>
      </c>
      <c r="AF497" s="342" t="str">
        <f t="shared" si="179"/>
        <v/>
      </c>
      <c r="AG497" s="411" t="e">
        <f ca="1">VLOOKUP(_xlfn.CONCAT(U497,V497,W497,VLOOKUP(X497&amp;Y497,TIME!$L$27:$O$34,4,FALSE),Y497),HIS_SALES!$A$2:$R$5093,18,FALSE)</f>
        <v>#N/A</v>
      </c>
      <c r="AH497" s="412" t="e">
        <f ca="1">IFERROR(IF(AND(V497=V496,W497=W496),0.5*(AB497+AB496)*AG497,(VLOOKUP(_xlfn.CONCAT(U497,V497,W497,X497,VLOOKUP(Z497,TIME!$S$28:$T$39,2,FALSE)),FC_DATA!$R$2:$AB$5000,MATCH("GS_I_M",FC_DATA!$R$1:$AB$1,0),FALSE)+FC_DATA!AB497)*0.5*FC_DATA!AG497),NA())</f>
        <v>#N/A</v>
      </c>
      <c r="AI497" s="491" t="e">
        <f ca="1">IF(V497="PARTNER.com",AH497,IF(AND(V497=V496,W497=W496),(1-AVERAGE(AD496,AD497))*AH497,(1-AVERAGE(AD497,VLOOKUP(_xlfn.CONCAT(U497,V497,W497,X497,M_BRAND_FC!$F$6),FC_DATA!$R$2:$AD$5000,MATCH("DISCOUNT_%_M",FC_DATA!$R$1:$AD$1,0),FALSE)))*AH497))</f>
        <v>#N/A</v>
      </c>
      <c r="AJ497" s="412" t="str">
        <f t="shared" ca="1" si="180"/>
        <v/>
      </c>
      <c r="AK497" s="413" t="str">
        <f>IFERROR(AE497/(Q_BRAND_FC!$T$24+1),"")</f>
        <v/>
      </c>
      <c r="AL497" s="88" t="str">
        <f t="shared" ca="1" si="181"/>
        <v/>
      </c>
      <c r="AM497" s="414" t="str">
        <f t="shared" ca="1" si="182"/>
        <v/>
      </c>
      <c r="AN497" s="58">
        <f>IFERROR(IF($V497="BRAND.com",HLOOKUP($X497&amp;$Z497,NWC_FC_NOOS!$C$4:$Q$23,MATCH(W497,NWC_FC_NOOS!$B$4:$B$23,0),FALSE),0),0)</f>
        <v>0</v>
      </c>
      <c r="AO497" s="57">
        <f>IFERROR(IF($V497="BRAND.com",HLOOKUP($X497&amp;$Z497,NWC_FC_NOOS!$T$4:$AH$23,MATCH(W497,NWC_FC_NOOS!$S$4:$S$23,0),FALSE),0),0)</f>
        <v>0</v>
      </c>
      <c r="AP497" s="57">
        <f>IFERROR(IF($V497="BRAND.com",HLOOKUP($X497&amp;$Z497,NWC_FC_NOOS!$C$50:$U$69,MATCH(W497,NWC_FC_NOOS!$B$50:$B$69,0),FALSE),0),0)</f>
        <v>0</v>
      </c>
      <c r="AQ497" s="58">
        <f>IFERROR(IF($V497="BRAND.com",HLOOKUP($X497&amp;$Z497,'NWC_FC_NON-NOOS'!$C$4:$Q$23,MATCH(W497,'NWC_FC_NON-NOOS'!$B$4:$B$23,0),FALSE),0),0)</f>
        <v>0</v>
      </c>
      <c r="AR497" s="57">
        <f>IFERROR(IF($V497="BRAND.com",HLOOKUP($X497&amp;$Z497,'NWC_FC_NON-NOOS'!$T$4:$AH$23,MATCH(W497,'NWC_FC_NON-NOOS'!$S$4:$S$23,0),FALSE),0),0)</f>
        <v>0</v>
      </c>
      <c r="AS497" s="57">
        <f>IFERROR(IF($V497="BRAND.com",HLOOKUP($X497&amp;$Z497,'NWC_FC_NON-NOOS'!$C$50:$U$69,MATCH(W497,'NWC_FC_NON-NOOS'!$B$50:$B$69,0),FALSE),0),0)</f>
        <v>0</v>
      </c>
      <c r="AT497" s="57">
        <f t="shared" si="184"/>
        <v>0</v>
      </c>
      <c r="AU497" s="57">
        <f t="shared" si="185"/>
        <v>0</v>
      </c>
      <c r="AV497" s="58">
        <f>IFERROR(IF($V497="BRAND.com",HLOOKUP($X497&amp;$Z497,PLANNING_FC!$BB$27:$BP$46,MATCH($W497,PLANNING_FC!$BA$27:$BA$46,0),FALSE),0),0)</f>
        <v>0</v>
      </c>
      <c r="AW497" s="58">
        <f>IFERROR(IF($V497="BRAND.com",HLOOKUP($X497&amp;$Z497,PLANNING_FC!$BB$4:$BP$23,MATCH($W497,PLANNING_FC!$BA$4:$BA$23,0),FALSE),0),0)</f>
        <v>0</v>
      </c>
      <c r="AX497" s="58">
        <f>IFERROR(IF($V497="BRAND.com",HLOOKUP($X497&amp;$Z497,PLANNING_FC!$T$27:$AH$46,MATCH($W497,PLANNING_FC!$B$27:$B$46,0),FALSE),0),0)</f>
        <v>0</v>
      </c>
      <c r="AY497" s="58">
        <f>IFERROR(IF($V497="BRAND.com",HLOOKUP($X497&amp;$Z497,PLANNING_FC!$T$4:$AH$23,MATCH($W497,PLANNING_FC!$B$4:$B$23,0),FALSE),0),0)</f>
        <v>0</v>
      </c>
      <c r="AZ497" s="58">
        <f>IFERROR(IF($V497="BRAND.com",HLOOKUP($X497&amp;$Z497,PLANNING_FC!$DA$27:$DO$46,MATCH($W497,PLANNING_FC!$CZ$27:$CZ$46,0),FALSE),0),0)</f>
        <v>0</v>
      </c>
      <c r="BA497" s="58">
        <f>IFERROR(IF($V497="BRAND.com",HLOOKUP($X497&amp;$Z497,PLANNING_FC!$DA$4:$DO$23,MATCH($W497,PLANNING_FC!$CZ$4:$CZ$23,0),FALSE),0),0)</f>
        <v>0</v>
      </c>
      <c r="BB497" s="883" t="str">
        <f>IF(V497="BRAND.com",IFERROR(HLOOKUP(X497&amp;Z497,PLANNING_FC!$AK$4:$AY$23,MATCH(W497,PLANNING_FC!$AJ$4:$AJ$23,0),FALSE)*1000,""),"")</f>
        <v/>
      </c>
      <c r="BC497" s="883" t="str">
        <f>IF(V497="BRAND.com",IFERROR(HLOOKUP(X497&amp;Z497,PLANNING_FC!$AK$27:$AY$46,MATCH(W497,PLANNING_FC!$AJ$27:$AJ$46,0),FALSE)*1000,""),"")</f>
        <v/>
      </c>
    </row>
    <row r="498" spans="1:55" x14ac:dyDescent="0.25">
      <c r="A498" s="509"/>
      <c r="B498" s="509"/>
      <c r="C498" s="509"/>
      <c r="D498" s="509"/>
      <c r="E498" s="509"/>
      <c r="F498" s="509"/>
      <c r="G498" s="511"/>
      <c r="H498" s="509"/>
      <c r="I498" s="512"/>
      <c r="J498" s="513"/>
      <c r="K498" s="514"/>
      <c r="L498" s="515"/>
      <c r="M498" s="516"/>
      <c r="N498" s="56">
        <f t="shared" si="166"/>
        <v>0</v>
      </c>
      <c r="O498" s="57">
        <f t="shared" si="167"/>
        <v>0</v>
      </c>
      <c r="P498" s="57">
        <f ca="1">IFERROR(IF(ISBLANK(H498),SUMIFS($AC:$AC,$V:$V,V498,$W:$W,W498,$X:$X,X498,$Y:$Y,Y498)*J498/(1-J498)*VLOOKUP(_xlfn.CONCAT(C498,D498,E498,TIME!$M$12,Z498),HIS_SALES!$B$2:$W$4859,20,FALSE),AC498*J498/(1-J498)),0)</f>
        <v>0</v>
      </c>
      <c r="Q498" s="541" t="str">
        <f t="shared" si="168"/>
        <v/>
      </c>
      <c r="R498" s="346" t="str">
        <f t="shared" si="169"/>
        <v>00000</v>
      </c>
      <c r="S498" s="344">
        <f t="shared" si="170"/>
        <v>0</v>
      </c>
      <c r="T498" s="345" t="str">
        <f t="shared" si="183"/>
        <v>000</v>
      </c>
      <c r="U498" s="345">
        <f t="shared" si="171"/>
        <v>0</v>
      </c>
      <c r="V498" s="345">
        <f t="shared" si="172"/>
        <v>0</v>
      </c>
      <c r="W498" s="345">
        <f t="shared" si="173"/>
        <v>0</v>
      </c>
      <c r="X498" s="345">
        <f t="shared" si="174"/>
        <v>0</v>
      </c>
      <c r="Y498" s="345">
        <f t="shared" si="175"/>
        <v>0</v>
      </c>
      <c r="Z498" s="345">
        <f>IF(Q498&lt;&gt;"",VLOOKUP(Y498,TIME!$R$21:$V$24,MATCH(FC_DATA!Q498,TIME!$R$20:$V$20,0),FALSE),H498)</f>
        <v>0</v>
      </c>
      <c r="AA498" s="345" t="str">
        <f>IFERROR(VLOOKUP(X498&amp;Z498,TIME!$A$12:$D$71,4,FALSE),"")</f>
        <v/>
      </c>
      <c r="AB498" s="592">
        <f t="shared" ca="1" si="176"/>
        <v>0</v>
      </c>
      <c r="AC498" s="593" t="e">
        <f ca="1">IF(ISBLANK(H498)=FALSE,IF(D498="BRAND.com",I498,IF(ISNA(VLOOKUP(_xlfn.CONCAT(X498,Z498),TIME!$M$40:$M$42,1,FALSE)),I498,VLOOKUP(_xlfn.CONCAT(D498,G498,H498),M_BUSAREA_FC!$AF$5:$AJ$10,5,FALSE)*HLOOKUP(_xlfn.CONCAT(F498,H498),ST_OVERVIEW!$G$99:$I$130,MATCH(_xlfn.CONCAT(D498,E498),ST_OVERVIEW!$F$99:$F$130,0),FALSE))),IF(D498="BRAND.com",VLOOKUP(_xlfn.CONCAT(C498,D498,E498,TIME!$F$1,Z498),HIS_SALES!$B$2:$V$4859,19,FALSE)*I498,VLOOKUP(_xlfn.CONCAT(D498,F498,G498),Q_BUSAREA_FC!$AE$5:$AI$12,5,FALSE)*HLOOKUP(_xlfn.CONCAT(FC_DATA!F498,FC_DATA!G498),LT_OVERVIEW!$I$99:$M$130,MATCH(_xlfn.CONCAT(D498,FC_DATA!E498),LT_OVERVIEW!$H$99:$H$130,0),FALSE)*IFERROR(VLOOKUP(_xlfn.CONCAT(C498,D498,E498,TIME!$F$1,Z498),HIS_SALES!$B$2:$V$4859,19,FALSE),0)))</f>
        <v>#N/A</v>
      </c>
      <c r="AD498" s="341">
        <f t="shared" ca="1" si="177"/>
        <v>0</v>
      </c>
      <c r="AE498" s="363" t="str">
        <f t="shared" si="178"/>
        <v/>
      </c>
      <c r="AF498" s="342" t="str">
        <f t="shared" si="179"/>
        <v/>
      </c>
      <c r="AG498" s="411" t="e">
        <f ca="1">VLOOKUP(_xlfn.CONCAT(U498,V498,W498,VLOOKUP(X498&amp;Y498,TIME!$L$27:$O$34,4,FALSE),Y498),HIS_SALES!$A$2:$R$5093,18,FALSE)</f>
        <v>#N/A</v>
      </c>
      <c r="AH498" s="412" t="e">
        <f ca="1">IFERROR(IF(AND(V498=V497,W498=W497),0.5*(AB498+AB497)*AG498,(VLOOKUP(_xlfn.CONCAT(U498,V498,W498,X498,VLOOKUP(Z498,TIME!$S$28:$T$39,2,FALSE)),FC_DATA!$R$2:$AB$5000,MATCH("GS_I_M",FC_DATA!$R$1:$AB$1,0),FALSE)+FC_DATA!AB498)*0.5*FC_DATA!AG498),NA())</f>
        <v>#N/A</v>
      </c>
      <c r="AI498" s="491" t="e">
        <f ca="1">IF(V498="PARTNER.com",AH498,IF(AND(V498=V497,W498=W497),(1-AVERAGE(AD497,AD498))*AH498,(1-AVERAGE(AD498,VLOOKUP(_xlfn.CONCAT(U498,V498,W498,X498,M_BRAND_FC!$F$6),FC_DATA!$R$2:$AD$5000,MATCH("DISCOUNT_%_M",FC_DATA!$R$1:$AD$1,0),FALSE)))*AH498))</f>
        <v>#N/A</v>
      </c>
      <c r="AJ498" s="412" t="str">
        <f t="shared" ca="1" si="180"/>
        <v/>
      </c>
      <c r="AK498" s="413" t="str">
        <f>IFERROR(AE498/(Q_BRAND_FC!$T$24+1),"")</f>
        <v/>
      </c>
      <c r="AL498" s="88" t="str">
        <f t="shared" ca="1" si="181"/>
        <v/>
      </c>
      <c r="AM498" s="414" t="str">
        <f t="shared" ca="1" si="182"/>
        <v/>
      </c>
      <c r="AN498" s="58">
        <f>IFERROR(IF($V498="BRAND.com",HLOOKUP($X498&amp;$Z498,NWC_FC_NOOS!$C$4:$Q$23,MATCH(W498,NWC_FC_NOOS!$B$4:$B$23,0),FALSE),0),0)</f>
        <v>0</v>
      </c>
      <c r="AO498" s="57">
        <f>IFERROR(IF($V498="BRAND.com",HLOOKUP($X498&amp;$Z498,NWC_FC_NOOS!$T$4:$AH$23,MATCH(W498,NWC_FC_NOOS!$S$4:$S$23,0),FALSE),0),0)</f>
        <v>0</v>
      </c>
      <c r="AP498" s="57">
        <f>IFERROR(IF($V498="BRAND.com",HLOOKUP($X498&amp;$Z498,NWC_FC_NOOS!$C$50:$U$69,MATCH(W498,NWC_FC_NOOS!$B$50:$B$69,0),FALSE),0),0)</f>
        <v>0</v>
      </c>
      <c r="AQ498" s="58">
        <f>IFERROR(IF($V498="BRAND.com",HLOOKUP($X498&amp;$Z498,'NWC_FC_NON-NOOS'!$C$4:$Q$23,MATCH(W498,'NWC_FC_NON-NOOS'!$B$4:$B$23,0),FALSE),0),0)</f>
        <v>0</v>
      </c>
      <c r="AR498" s="57">
        <f>IFERROR(IF($V498="BRAND.com",HLOOKUP($X498&amp;$Z498,'NWC_FC_NON-NOOS'!$T$4:$AH$23,MATCH(W498,'NWC_FC_NON-NOOS'!$S$4:$S$23,0),FALSE),0),0)</f>
        <v>0</v>
      </c>
      <c r="AS498" s="57">
        <f>IFERROR(IF($V498="BRAND.com",HLOOKUP($X498&amp;$Z498,'NWC_FC_NON-NOOS'!$C$50:$U$69,MATCH(W498,'NWC_FC_NON-NOOS'!$B$50:$B$69,0),FALSE),0),0)</f>
        <v>0</v>
      </c>
      <c r="AT498" s="57">
        <f t="shared" si="184"/>
        <v>0</v>
      </c>
      <c r="AU498" s="57">
        <f t="shared" si="185"/>
        <v>0</v>
      </c>
      <c r="AV498" s="58">
        <f>IFERROR(IF($V498="BRAND.com",HLOOKUP($X498&amp;$Z498,PLANNING_FC!$BB$27:$BP$46,MATCH($W498,PLANNING_FC!$BA$27:$BA$46,0),FALSE),0),0)</f>
        <v>0</v>
      </c>
      <c r="AW498" s="58">
        <f>IFERROR(IF($V498="BRAND.com",HLOOKUP($X498&amp;$Z498,PLANNING_FC!$BB$4:$BP$23,MATCH($W498,PLANNING_FC!$BA$4:$BA$23,0),FALSE),0),0)</f>
        <v>0</v>
      </c>
      <c r="AX498" s="58">
        <f>IFERROR(IF($V498="BRAND.com",HLOOKUP($X498&amp;$Z498,PLANNING_FC!$T$27:$AH$46,MATCH($W498,PLANNING_FC!$B$27:$B$46,0),FALSE),0),0)</f>
        <v>0</v>
      </c>
      <c r="AY498" s="58">
        <f>IFERROR(IF($V498="BRAND.com",HLOOKUP($X498&amp;$Z498,PLANNING_FC!$T$4:$AH$23,MATCH($W498,PLANNING_FC!$B$4:$B$23,0),FALSE),0),0)</f>
        <v>0</v>
      </c>
      <c r="AZ498" s="58">
        <f>IFERROR(IF($V498="BRAND.com",HLOOKUP($X498&amp;$Z498,PLANNING_FC!$DA$27:$DO$46,MATCH($W498,PLANNING_FC!$CZ$27:$CZ$46,0),FALSE),0),0)</f>
        <v>0</v>
      </c>
      <c r="BA498" s="58">
        <f>IFERROR(IF($V498="BRAND.com",HLOOKUP($X498&amp;$Z498,PLANNING_FC!$DA$4:$DO$23,MATCH($W498,PLANNING_FC!$CZ$4:$CZ$23,0),FALSE),0),0)</f>
        <v>0</v>
      </c>
      <c r="BB498" s="883" t="str">
        <f>IF(V498="BRAND.com",IFERROR(HLOOKUP(X498&amp;Z498,PLANNING_FC!$AK$4:$AY$23,MATCH(W498,PLANNING_FC!$AJ$4:$AJ$23,0),FALSE)*1000,""),"")</f>
        <v/>
      </c>
      <c r="BC498" s="883" t="str">
        <f>IF(V498="BRAND.com",IFERROR(HLOOKUP(X498&amp;Z498,PLANNING_FC!$AK$27:$AY$46,MATCH(W498,PLANNING_FC!$AJ$27:$AJ$46,0),FALSE)*1000,""),"")</f>
        <v/>
      </c>
    </row>
    <row r="499" spans="1:55" x14ac:dyDescent="0.25">
      <c r="A499" s="509"/>
      <c r="B499" s="509"/>
      <c r="C499" s="509"/>
      <c r="D499" s="509"/>
      <c r="E499" s="509"/>
      <c r="F499" s="509"/>
      <c r="G499" s="509"/>
      <c r="H499" s="509"/>
      <c r="I499" s="512"/>
      <c r="J499" s="513"/>
      <c r="K499" s="514"/>
      <c r="L499" s="515"/>
      <c r="M499" s="516"/>
      <c r="N499" s="56">
        <f t="shared" si="166"/>
        <v>0</v>
      </c>
      <c r="O499" s="57">
        <f t="shared" si="167"/>
        <v>0</v>
      </c>
      <c r="P499" s="57">
        <f ca="1">IFERROR(IF(ISBLANK(H499),SUMIFS($AC:$AC,$V:$V,V499,$W:$W,W499,$X:$X,X499,$Y:$Y,Y499)*J499/(1-J499)*VLOOKUP(_xlfn.CONCAT(C499,D499,E499,TIME!$M$12,Z499),HIS_SALES!$B$2:$W$4859,20,FALSE),AC499*J499/(1-J499)),0)</f>
        <v>0</v>
      </c>
      <c r="Q499" s="541" t="str">
        <f t="shared" si="168"/>
        <v/>
      </c>
      <c r="R499" s="346" t="str">
        <f t="shared" si="169"/>
        <v>00000</v>
      </c>
      <c r="S499" s="344">
        <f t="shared" si="170"/>
        <v>0</v>
      </c>
      <c r="T499" s="345" t="str">
        <f t="shared" si="183"/>
        <v>000</v>
      </c>
      <c r="U499" s="345">
        <f t="shared" si="171"/>
        <v>0</v>
      </c>
      <c r="V499" s="345">
        <f t="shared" si="172"/>
        <v>0</v>
      </c>
      <c r="W499" s="345">
        <f t="shared" si="173"/>
        <v>0</v>
      </c>
      <c r="X499" s="345">
        <f t="shared" si="174"/>
        <v>0</v>
      </c>
      <c r="Y499" s="345">
        <f t="shared" si="175"/>
        <v>0</v>
      </c>
      <c r="Z499" s="345">
        <f>IF(Q499&lt;&gt;"",VLOOKUP(Y499,TIME!$R$21:$V$24,MATCH(FC_DATA!Q499,TIME!$R$20:$V$20,0),FALSE),H499)</f>
        <v>0</v>
      </c>
      <c r="AA499" s="345" t="str">
        <f>IFERROR(VLOOKUP(X499&amp;Z499,TIME!$A$12:$D$71,4,FALSE),"")</f>
        <v/>
      </c>
      <c r="AB499" s="592">
        <f t="shared" ca="1" si="176"/>
        <v>0</v>
      </c>
      <c r="AC499" s="593" t="e">
        <f ca="1">IF(ISBLANK(H499)=FALSE,IF(D499="BRAND.com",I499,IF(ISNA(VLOOKUP(_xlfn.CONCAT(X499,Z499),TIME!$M$40:$M$42,1,FALSE)),I499,VLOOKUP(_xlfn.CONCAT(D499,G499,H499),M_BUSAREA_FC!$AF$5:$AJ$10,5,FALSE)*HLOOKUP(_xlfn.CONCAT(F499,H499),ST_OVERVIEW!$G$99:$I$130,MATCH(_xlfn.CONCAT(D499,E499),ST_OVERVIEW!$F$99:$F$130,0),FALSE))),IF(D499="BRAND.com",VLOOKUP(_xlfn.CONCAT(C499,D499,E499,TIME!$F$1,Z499),HIS_SALES!$B$2:$V$4859,19,FALSE)*I499,VLOOKUP(_xlfn.CONCAT(D499,F499,G499),Q_BUSAREA_FC!$AE$5:$AI$12,5,FALSE)*HLOOKUP(_xlfn.CONCAT(FC_DATA!F499,FC_DATA!G499),LT_OVERVIEW!$I$99:$M$130,MATCH(_xlfn.CONCAT(D499,FC_DATA!E499),LT_OVERVIEW!$H$99:$H$130,0),FALSE)*IFERROR(VLOOKUP(_xlfn.CONCAT(C499,D499,E499,TIME!$F$1,Z499),HIS_SALES!$B$2:$V$4859,19,FALSE),0)))</f>
        <v>#N/A</v>
      </c>
      <c r="AD499" s="341">
        <f t="shared" ca="1" si="177"/>
        <v>0</v>
      </c>
      <c r="AE499" s="363" t="str">
        <f t="shared" si="178"/>
        <v/>
      </c>
      <c r="AF499" s="342" t="str">
        <f t="shared" si="179"/>
        <v/>
      </c>
      <c r="AG499" s="411" t="e">
        <f ca="1">VLOOKUP(_xlfn.CONCAT(U499,V499,W499,VLOOKUP(X499&amp;Y499,TIME!$L$27:$O$34,4,FALSE),Y499),HIS_SALES!$A$2:$R$5093,18,FALSE)</f>
        <v>#N/A</v>
      </c>
      <c r="AH499" s="412" t="e">
        <f ca="1">IFERROR(IF(AND(V499=V498,W499=W498),0.5*(AB499+AB498)*AG499,(VLOOKUP(_xlfn.CONCAT(U499,V499,W499,X499,VLOOKUP(Z499,TIME!$S$28:$T$39,2,FALSE)),FC_DATA!$R$2:$AB$5000,MATCH("GS_I_M",FC_DATA!$R$1:$AB$1,0),FALSE)+FC_DATA!AB499)*0.5*FC_DATA!AG499),NA())</f>
        <v>#N/A</v>
      </c>
      <c r="AI499" s="491" t="e">
        <f ca="1">IF(V499="PARTNER.com",AH499,IF(AND(V499=V498,W499=W498),(1-AVERAGE(AD498,AD499))*AH499,(1-AVERAGE(AD499,VLOOKUP(_xlfn.CONCAT(U499,V499,W499,X499,M_BRAND_FC!$F$6),FC_DATA!$R$2:$AD$5000,MATCH("DISCOUNT_%_M",FC_DATA!$R$1:$AD$1,0),FALSE)))*AH499))</f>
        <v>#N/A</v>
      </c>
      <c r="AJ499" s="412" t="str">
        <f t="shared" ca="1" si="180"/>
        <v/>
      </c>
      <c r="AK499" s="413" t="str">
        <f>IFERROR(AE499/(Q_BRAND_FC!$T$24+1),"")</f>
        <v/>
      </c>
      <c r="AL499" s="88" t="str">
        <f t="shared" ca="1" si="181"/>
        <v/>
      </c>
      <c r="AM499" s="414" t="str">
        <f t="shared" ca="1" si="182"/>
        <v/>
      </c>
      <c r="AN499" s="58">
        <f>IFERROR(IF($V499="BRAND.com",HLOOKUP($X499&amp;$Z499,NWC_FC_NOOS!$C$4:$Q$23,MATCH(W499,NWC_FC_NOOS!$B$4:$B$23,0),FALSE),0),0)</f>
        <v>0</v>
      </c>
      <c r="AO499" s="57">
        <f>IFERROR(IF($V499="BRAND.com",HLOOKUP($X499&amp;$Z499,NWC_FC_NOOS!$T$4:$AH$23,MATCH(W499,NWC_FC_NOOS!$S$4:$S$23,0),FALSE),0),0)</f>
        <v>0</v>
      </c>
      <c r="AP499" s="57">
        <f>IFERROR(IF($V499="BRAND.com",HLOOKUP($X499&amp;$Z499,NWC_FC_NOOS!$C$50:$U$69,MATCH(W499,NWC_FC_NOOS!$B$50:$B$69,0),FALSE),0),0)</f>
        <v>0</v>
      </c>
      <c r="AQ499" s="58">
        <f>IFERROR(IF($V499="BRAND.com",HLOOKUP($X499&amp;$Z499,'NWC_FC_NON-NOOS'!$C$4:$Q$23,MATCH(W499,'NWC_FC_NON-NOOS'!$B$4:$B$23,0),FALSE),0),0)</f>
        <v>0</v>
      </c>
      <c r="AR499" s="57">
        <f>IFERROR(IF($V499="BRAND.com",HLOOKUP($X499&amp;$Z499,'NWC_FC_NON-NOOS'!$T$4:$AH$23,MATCH(W499,'NWC_FC_NON-NOOS'!$S$4:$S$23,0),FALSE),0),0)</f>
        <v>0</v>
      </c>
      <c r="AS499" s="57">
        <f>IFERROR(IF($V499="BRAND.com",HLOOKUP($X499&amp;$Z499,'NWC_FC_NON-NOOS'!$C$50:$U$69,MATCH(W499,'NWC_FC_NON-NOOS'!$B$50:$B$69,0),FALSE),0),0)</f>
        <v>0</v>
      </c>
      <c r="AT499" s="57">
        <f t="shared" si="184"/>
        <v>0</v>
      </c>
      <c r="AU499" s="57">
        <f t="shared" si="185"/>
        <v>0</v>
      </c>
      <c r="AV499" s="58">
        <f>IFERROR(IF($V499="BRAND.com",HLOOKUP($X499&amp;$Z499,PLANNING_FC!$BB$27:$BP$46,MATCH($W499,PLANNING_FC!$BA$27:$BA$46,0),FALSE),0),0)</f>
        <v>0</v>
      </c>
      <c r="AW499" s="58">
        <f>IFERROR(IF($V499="BRAND.com",HLOOKUP($X499&amp;$Z499,PLANNING_FC!$BB$4:$BP$23,MATCH($W499,PLANNING_FC!$BA$4:$BA$23,0),FALSE),0),0)</f>
        <v>0</v>
      </c>
      <c r="AX499" s="58">
        <f>IFERROR(IF($V499="BRAND.com",HLOOKUP($X499&amp;$Z499,PLANNING_FC!$T$27:$AH$46,MATCH($W499,PLANNING_FC!$B$27:$B$46,0),FALSE),0),0)</f>
        <v>0</v>
      </c>
      <c r="AY499" s="58">
        <f>IFERROR(IF($V499="BRAND.com",HLOOKUP($X499&amp;$Z499,PLANNING_FC!$T$4:$AH$23,MATCH($W499,PLANNING_FC!$B$4:$B$23,0),FALSE),0),0)</f>
        <v>0</v>
      </c>
      <c r="AZ499" s="58">
        <f>IFERROR(IF($V499="BRAND.com",HLOOKUP($X499&amp;$Z499,PLANNING_FC!$DA$27:$DO$46,MATCH($W499,PLANNING_FC!$CZ$27:$CZ$46,0),FALSE),0),0)</f>
        <v>0</v>
      </c>
      <c r="BA499" s="58">
        <f>IFERROR(IF($V499="BRAND.com",HLOOKUP($X499&amp;$Z499,PLANNING_FC!$DA$4:$DO$23,MATCH($W499,PLANNING_FC!$CZ$4:$CZ$23,0),FALSE),0),0)</f>
        <v>0</v>
      </c>
      <c r="BB499" s="883" t="str">
        <f>IF(V499="BRAND.com",IFERROR(HLOOKUP(X499&amp;Z499,PLANNING_FC!$AK$4:$AY$23,MATCH(W499,PLANNING_FC!$AJ$4:$AJ$23,0),FALSE)*1000,""),"")</f>
        <v/>
      </c>
      <c r="BC499" s="883" t="str">
        <f>IF(V499="BRAND.com",IFERROR(HLOOKUP(X499&amp;Z499,PLANNING_FC!$AK$27:$AY$46,MATCH(W499,PLANNING_FC!$AJ$27:$AJ$46,0),FALSE)*1000,""),"")</f>
        <v/>
      </c>
    </row>
    <row r="500" spans="1:55" x14ac:dyDescent="0.25">
      <c r="A500" s="509"/>
      <c r="B500" s="509"/>
      <c r="C500" s="509"/>
      <c r="D500" s="509"/>
      <c r="E500" s="509"/>
      <c r="F500" s="509"/>
      <c r="G500" s="509"/>
      <c r="H500" s="509"/>
      <c r="I500" s="512"/>
      <c r="J500" s="513"/>
      <c r="K500" s="514"/>
      <c r="L500" s="515"/>
      <c r="M500" s="516"/>
      <c r="N500" s="56">
        <f t="shared" si="166"/>
        <v>0</v>
      </c>
      <c r="O500" s="57">
        <f t="shared" si="167"/>
        <v>0</v>
      </c>
      <c r="P500" s="57">
        <f ca="1">IFERROR(IF(ISBLANK(H500),SUMIFS($AC:$AC,$V:$V,V500,$W:$W,W500,$X:$X,X500,$Y:$Y,Y500)*J500/(1-J500)*VLOOKUP(_xlfn.CONCAT(C500,D500,E500,TIME!$M$12,Z500),HIS_SALES!$B$2:$W$4859,20,FALSE),AC500*J500/(1-J500)),0)</f>
        <v>0</v>
      </c>
      <c r="Q500" s="541" t="str">
        <f t="shared" si="168"/>
        <v/>
      </c>
      <c r="R500" s="346" t="str">
        <f t="shared" si="169"/>
        <v>00000</v>
      </c>
      <c r="S500" s="344">
        <f t="shared" si="170"/>
        <v>0</v>
      </c>
      <c r="T500" s="345" t="str">
        <f t="shared" si="183"/>
        <v>000</v>
      </c>
      <c r="U500" s="345">
        <f t="shared" si="171"/>
        <v>0</v>
      </c>
      <c r="V500" s="345">
        <f t="shared" si="172"/>
        <v>0</v>
      </c>
      <c r="W500" s="345">
        <f t="shared" si="173"/>
        <v>0</v>
      </c>
      <c r="X500" s="345">
        <f t="shared" si="174"/>
        <v>0</v>
      </c>
      <c r="Y500" s="345">
        <f t="shared" si="175"/>
        <v>0</v>
      </c>
      <c r="Z500" s="345">
        <f>IF(Q500&lt;&gt;"",VLOOKUP(Y500,TIME!$R$21:$V$24,MATCH(FC_DATA!Q500,TIME!$R$20:$V$20,0),FALSE),H500)</f>
        <v>0</v>
      </c>
      <c r="AA500" s="345" t="str">
        <f>IFERROR(VLOOKUP(X500&amp;Z500,TIME!$A$12:$D$71,4,FALSE),"")</f>
        <v/>
      </c>
      <c r="AB500" s="592">
        <f t="shared" ca="1" si="176"/>
        <v>0</v>
      </c>
      <c r="AC500" s="593" t="e">
        <f ca="1">IF(ISBLANK(H500)=FALSE,IF(D500="BRAND.com",I500,IF(ISNA(VLOOKUP(_xlfn.CONCAT(X500,Z500),TIME!$M$40:$M$42,1,FALSE)),I500,VLOOKUP(_xlfn.CONCAT(D500,G500,H500),M_BUSAREA_FC!$AF$5:$AJ$10,5,FALSE)*HLOOKUP(_xlfn.CONCAT(F500,H500),ST_OVERVIEW!$G$99:$I$130,MATCH(_xlfn.CONCAT(D500,E500),ST_OVERVIEW!$F$99:$F$130,0),FALSE))),IF(D500="BRAND.com",VLOOKUP(_xlfn.CONCAT(C500,D500,E500,TIME!$F$1,Z500),HIS_SALES!$B$2:$V$4859,19,FALSE)*I500,VLOOKUP(_xlfn.CONCAT(D500,F500,G500),Q_BUSAREA_FC!$AE$5:$AI$12,5,FALSE)*HLOOKUP(_xlfn.CONCAT(FC_DATA!F500,FC_DATA!G500),LT_OVERVIEW!$I$99:$M$130,MATCH(_xlfn.CONCAT(D500,FC_DATA!E500),LT_OVERVIEW!$H$99:$H$130,0),FALSE)*IFERROR(VLOOKUP(_xlfn.CONCAT(C500,D500,E500,TIME!$F$1,Z500),HIS_SALES!$B$2:$V$4859,19,FALSE),0)))</f>
        <v>#N/A</v>
      </c>
      <c r="AD500" s="341">
        <f t="shared" ca="1" si="177"/>
        <v>0</v>
      </c>
      <c r="AE500" s="363" t="str">
        <f t="shared" si="178"/>
        <v/>
      </c>
      <c r="AF500" s="342" t="str">
        <f t="shared" si="179"/>
        <v/>
      </c>
      <c r="AG500" s="411" t="e">
        <f ca="1">VLOOKUP(_xlfn.CONCAT(U500,V500,W500,VLOOKUP(X500&amp;Y500,TIME!$L$27:$O$34,4,FALSE),Y500),HIS_SALES!$A$2:$R$5093,18,FALSE)</f>
        <v>#N/A</v>
      </c>
      <c r="AH500" s="412" t="e">
        <f ca="1">IFERROR(IF(AND(V500=V499,W500=W499),0.5*(AB500+AB499)*AG500,(VLOOKUP(_xlfn.CONCAT(U500,V500,W500,X500,VLOOKUP(Z500,TIME!$S$28:$T$39,2,FALSE)),FC_DATA!$R$2:$AB$5000,MATCH("GS_I_M",FC_DATA!$R$1:$AB$1,0),FALSE)+FC_DATA!AB500)*0.5*FC_DATA!AG500),NA())</f>
        <v>#N/A</v>
      </c>
      <c r="AI500" s="491" t="e">
        <f ca="1">IF(V500="PARTNER.com",AH500,IF(AND(V500=V499,W500=W499),(1-AVERAGE(AD499,AD500))*AH500,(1-AVERAGE(AD500,VLOOKUP(_xlfn.CONCAT(U500,V500,W500,X500,M_BRAND_FC!$F$6),FC_DATA!$R$2:$AD$5000,MATCH("DISCOUNT_%_M",FC_DATA!$R$1:$AD$1,0),FALSE)))*AH500))</f>
        <v>#N/A</v>
      </c>
      <c r="AJ500" s="412" t="str">
        <f t="shared" ca="1" si="180"/>
        <v/>
      </c>
      <c r="AK500" s="413" t="str">
        <f>IFERROR(AE500/(Q_BRAND_FC!$T$24+1),"")</f>
        <v/>
      </c>
      <c r="AL500" s="88" t="str">
        <f t="shared" ca="1" si="181"/>
        <v/>
      </c>
      <c r="AM500" s="414" t="str">
        <f t="shared" ca="1" si="182"/>
        <v/>
      </c>
      <c r="AN500" s="58">
        <f>IFERROR(IF($V500="BRAND.com",HLOOKUP($X500&amp;$Z500,NWC_FC_NOOS!$C$4:$Q$23,MATCH(W500,NWC_FC_NOOS!$B$4:$B$23,0),FALSE),0),0)</f>
        <v>0</v>
      </c>
      <c r="AO500" s="57">
        <f>IFERROR(IF($V500="BRAND.com",HLOOKUP($X500&amp;$Z500,NWC_FC_NOOS!$T$4:$AH$23,MATCH(W500,NWC_FC_NOOS!$S$4:$S$23,0),FALSE),0),0)</f>
        <v>0</v>
      </c>
      <c r="AP500" s="57">
        <f>IFERROR(IF($V500="BRAND.com",HLOOKUP($X500&amp;$Z500,NWC_FC_NOOS!$C$50:$U$69,MATCH(W500,NWC_FC_NOOS!$B$50:$B$69,0),FALSE),0),0)</f>
        <v>0</v>
      </c>
      <c r="AQ500" s="58">
        <f>IFERROR(IF($V500="BRAND.com",HLOOKUP($X500&amp;$Z500,'NWC_FC_NON-NOOS'!$C$4:$Q$23,MATCH(W500,'NWC_FC_NON-NOOS'!$B$4:$B$23,0),FALSE),0),0)</f>
        <v>0</v>
      </c>
      <c r="AR500" s="57">
        <f>IFERROR(IF($V500="BRAND.com",HLOOKUP($X500&amp;$Z500,'NWC_FC_NON-NOOS'!$T$4:$AH$23,MATCH(W500,'NWC_FC_NON-NOOS'!$S$4:$S$23,0),FALSE),0),0)</f>
        <v>0</v>
      </c>
      <c r="AS500" s="57">
        <f>IFERROR(IF($V500="BRAND.com",HLOOKUP($X500&amp;$Z500,'NWC_FC_NON-NOOS'!$C$50:$U$69,MATCH(W500,'NWC_FC_NON-NOOS'!$B$50:$B$69,0),FALSE),0),0)</f>
        <v>0</v>
      </c>
      <c r="AT500" s="57">
        <f t="shared" si="184"/>
        <v>0</v>
      </c>
      <c r="AU500" s="57">
        <f t="shared" si="185"/>
        <v>0</v>
      </c>
      <c r="AV500" s="58">
        <f>IFERROR(IF($V500="BRAND.com",HLOOKUP($X500&amp;$Z500,PLANNING_FC!$BB$27:$BP$46,MATCH($W500,PLANNING_FC!$BA$27:$BA$46,0),FALSE),0),0)</f>
        <v>0</v>
      </c>
      <c r="AW500" s="58">
        <f>IFERROR(IF($V500="BRAND.com",HLOOKUP($X500&amp;$Z500,PLANNING_FC!$BB$4:$BP$23,MATCH($W500,PLANNING_FC!$BA$4:$BA$23,0),FALSE),0),0)</f>
        <v>0</v>
      </c>
      <c r="AX500" s="58">
        <f>IFERROR(IF($V500="BRAND.com",HLOOKUP($X500&amp;$Z500,PLANNING_FC!$T$27:$AH$46,MATCH($W500,PLANNING_FC!$B$27:$B$46,0),FALSE),0),0)</f>
        <v>0</v>
      </c>
      <c r="AY500" s="58">
        <f>IFERROR(IF($V500="BRAND.com",HLOOKUP($X500&amp;$Z500,PLANNING_FC!$T$4:$AH$23,MATCH($W500,PLANNING_FC!$B$4:$B$23,0),FALSE),0),0)</f>
        <v>0</v>
      </c>
      <c r="AZ500" s="58">
        <f>IFERROR(IF($V500="BRAND.com",HLOOKUP($X500&amp;$Z500,PLANNING_FC!$DA$27:$DO$46,MATCH($W500,PLANNING_FC!$CZ$27:$CZ$46,0),FALSE),0),0)</f>
        <v>0</v>
      </c>
      <c r="BA500" s="58">
        <f>IFERROR(IF($V500="BRAND.com",HLOOKUP($X500&amp;$Z500,PLANNING_FC!$DA$4:$DO$23,MATCH($W500,PLANNING_FC!$CZ$4:$CZ$23,0),FALSE),0),0)</f>
        <v>0</v>
      </c>
      <c r="BB500" s="883" t="str">
        <f>IF(V500="BRAND.com",IFERROR(HLOOKUP(X500&amp;Z500,PLANNING_FC!$AK$4:$AY$23,MATCH(W500,PLANNING_FC!$AJ$4:$AJ$23,0),FALSE)*1000,""),"")</f>
        <v/>
      </c>
      <c r="BC500" s="883" t="str">
        <f>IF(V500="BRAND.com",IFERROR(HLOOKUP(X500&amp;Z500,PLANNING_FC!$AK$27:$AY$46,MATCH(W500,PLANNING_FC!$AJ$27:$AJ$46,0),FALSE)*1000,""),"")</f>
        <v/>
      </c>
    </row>
    <row r="501" spans="1:55" x14ac:dyDescent="0.25">
      <c r="A501" s="509"/>
      <c r="B501" s="509"/>
      <c r="C501" s="509"/>
      <c r="D501" s="509"/>
      <c r="E501" s="509"/>
      <c r="F501" s="509"/>
      <c r="G501" s="509"/>
      <c r="H501" s="509"/>
      <c r="I501" s="512"/>
      <c r="J501" s="513"/>
      <c r="K501" s="514"/>
      <c r="L501" s="515"/>
      <c r="M501" s="516"/>
      <c r="N501" s="56">
        <f t="shared" si="166"/>
        <v>0</v>
      </c>
      <c r="O501" s="57">
        <f t="shared" si="167"/>
        <v>0</v>
      </c>
      <c r="P501" s="57">
        <f ca="1">IFERROR(IF(ISBLANK(H501),SUMIFS($AC:$AC,$V:$V,V501,$W:$W,W501,$X:$X,X501,$Y:$Y,Y501)*J501/(1-J501)*VLOOKUP(_xlfn.CONCAT(C501,D501,E501,TIME!$M$12,Z501),HIS_SALES!$B$2:$W$4859,20,FALSE),AC501*J501/(1-J501)),0)</f>
        <v>0</v>
      </c>
      <c r="Q501" s="541" t="str">
        <f t="shared" si="168"/>
        <v/>
      </c>
      <c r="R501" s="346" t="str">
        <f t="shared" si="169"/>
        <v>00000</v>
      </c>
      <c r="S501" s="344">
        <f t="shared" si="170"/>
        <v>0</v>
      </c>
      <c r="T501" s="345" t="str">
        <f t="shared" si="183"/>
        <v>000</v>
      </c>
      <c r="U501" s="345">
        <f t="shared" si="171"/>
        <v>0</v>
      </c>
      <c r="V501" s="345">
        <f t="shared" si="172"/>
        <v>0</v>
      </c>
      <c r="W501" s="345">
        <f t="shared" si="173"/>
        <v>0</v>
      </c>
      <c r="X501" s="345">
        <f t="shared" si="174"/>
        <v>0</v>
      </c>
      <c r="Y501" s="345">
        <f t="shared" si="175"/>
        <v>0</v>
      </c>
      <c r="Z501" s="345">
        <f>IF(Q501&lt;&gt;"",VLOOKUP(Y501,TIME!$R$21:$V$24,MATCH(FC_DATA!Q501,TIME!$R$20:$V$20,0),FALSE),H501)</f>
        <v>0</v>
      </c>
      <c r="AA501" s="345" t="str">
        <f>IFERROR(VLOOKUP(X501&amp;Z501,TIME!$A$12:$D$71,4,FALSE),"")</f>
        <v/>
      </c>
      <c r="AB501" s="592">
        <f t="shared" ca="1" si="176"/>
        <v>0</v>
      </c>
      <c r="AC501" s="593" t="e">
        <f ca="1">IF(ISBLANK(H501)=FALSE,IF(D501="BRAND.com",I501,IF(ISNA(VLOOKUP(_xlfn.CONCAT(X501,Z501),TIME!$M$40:$M$42,1,FALSE)),I501,VLOOKUP(_xlfn.CONCAT(D501,G501,H501),M_BUSAREA_FC!$AF$5:$AJ$10,5,FALSE)*HLOOKUP(_xlfn.CONCAT(F501,H501),ST_OVERVIEW!$G$99:$I$130,MATCH(_xlfn.CONCAT(D501,E501),ST_OVERVIEW!$F$99:$F$130,0),FALSE))),IF(D501="BRAND.com",VLOOKUP(_xlfn.CONCAT(C501,D501,E501,TIME!$F$1,Z501),HIS_SALES!$B$2:$V$4859,19,FALSE)*I501,VLOOKUP(_xlfn.CONCAT(D501,F501,G501),Q_BUSAREA_FC!$AE$5:$AI$12,5,FALSE)*HLOOKUP(_xlfn.CONCAT(FC_DATA!F501,FC_DATA!G501),LT_OVERVIEW!$I$99:$M$130,MATCH(_xlfn.CONCAT(D501,FC_DATA!E501),LT_OVERVIEW!$H$99:$H$130,0),FALSE)*IFERROR(VLOOKUP(_xlfn.CONCAT(C501,D501,E501,TIME!$F$1,Z501),HIS_SALES!$B$2:$V$4859,19,FALSE),0)))</f>
        <v>#N/A</v>
      </c>
      <c r="AD501" s="341">
        <f t="shared" ca="1" si="177"/>
        <v>0</v>
      </c>
      <c r="AE501" s="363" t="str">
        <f t="shared" si="178"/>
        <v/>
      </c>
      <c r="AF501" s="342" t="str">
        <f t="shared" si="179"/>
        <v/>
      </c>
      <c r="AG501" s="411" t="e">
        <f ca="1">VLOOKUP(_xlfn.CONCAT(U501,V501,W501,VLOOKUP(X501&amp;Y501,TIME!$L$27:$O$34,4,FALSE),Y501),HIS_SALES!$A$2:$R$5093,18,FALSE)</f>
        <v>#N/A</v>
      </c>
      <c r="AH501" s="412" t="e">
        <f ca="1">IFERROR(IF(AND(V501=V500,W501=W500),0.5*(AB501+AB500)*AG501,(VLOOKUP(_xlfn.CONCAT(U501,V501,W501,X501,VLOOKUP(Z501,TIME!$S$28:$T$39,2,FALSE)),FC_DATA!$R$2:$AB$5000,MATCH("GS_I_M",FC_DATA!$R$1:$AB$1,0),FALSE)+FC_DATA!AB501)*0.5*FC_DATA!AG501),NA())</f>
        <v>#N/A</v>
      </c>
      <c r="AI501" s="491" t="e">
        <f ca="1">IF(V501="PARTNER.com",AH501,IF(AND(V501=V500,W501=W500),(1-AVERAGE(AD500,AD501))*AH501,(1-AVERAGE(AD501,VLOOKUP(_xlfn.CONCAT(U501,V501,W501,X501,M_BRAND_FC!$F$6),FC_DATA!$R$2:$AD$5000,MATCH("DISCOUNT_%_M",FC_DATA!$R$1:$AD$1,0),FALSE)))*AH501))</f>
        <v>#N/A</v>
      </c>
      <c r="AJ501" s="412" t="str">
        <f t="shared" ca="1" si="180"/>
        <v/>
      </c>
      <c r="AK501" s="413" t="str">
        <f>IFERROR(AE501/(Q_BRAND_FC!$T$24+1),"")</f>
        <v/>
      </c>
      <c r="AL501" s="88" t="str">
        <f t="shared" ca="1" si="181"/>
        <v/>
      </c>
      <c r="AM501" s="414" t="str">
        <f t="shared" ca="1" si="182"/>
        <v/>
      </c>
      <c r="AN501" s="58">
        <f>IFERROR(IF($V501="BRAND.com",HLOOKUP($X501&amp;$Z501,NWC_FC_NOOS!$C$4:$Q$23,MATCH(W501,NWC_FC_NOOS!$B$4:$B$23,0),FALSE),0),0)</f>
        <v>0</v>
      </c>
      <c r="AO501" s="57">
        <f>IFERROR(IF($V501="BRAND.com",HLOOKUP($X501&amp;$Z501,NWC_FC_NOOS!$T$4:$AH$23,MATCH(W501,NWC_FC_NOOS!$S$4:$S$23,0),FALSE),0),0)</f>
        <v>0</v>
      </c>
      <c r="AP501" s="57">
        <f>IFERROR(IF($V501="BRAND.com",HLOOKUP($X501&amp;$Z501,NWC_FC_NOOS!$C$50:$U$69,MATCH(W501,NWC_FC_NOOS!$B$50:$B$69,0),FALSE),0),0)</f>
        <v>0</v>
      </c>
      <c r="AQ501" s="58">
        <f>IFERROR(IF($V501="BRAND.com",HLOOKUP($X501&amp;$Z501,'NWC_FC_NON-NOOS'!$C$4:$Q$23,MATCH(W501,'NWC_FC_NON-NOOS'!$B$4:$B$23,0),FALSE),0),0)</f>
        <v>0</v>
      </c>
      <c r="AR501" s="57">
        <f>IFERROR(IF($V501="BRAND.com",HLOOKUP($X501&amp;$Z501,'NWC_FC_NON-NOOS'!$T$4:$AH$23,MATCH(W501,'NWC_FC_NON-NOOS'!$S$4:$S$23,0),FALSE),0),0)</f>
        <v>0</v>
      </c>
      <c r="AS501" s="57">
        <f>IFERROR(IF($V501="BRAND.com",HLOOKUP($X501&amp;$Z501,'NWC_FC_NON-NOOS'!$C$50:$U$69,MATCH(W501,'NWC_FC_NON-NOOS'!$B$50:$B$69,0),FALSE),0),0)</f>
        <v>0</v>
      </c>
      <c r="AT501" s="57">
        <f t="shared" si="184"/>
        <v>0</v>
      </c>
      <c r="AU501" s="57">
        <f t="shared" si="185"/>
        <v>0</v>
      </c>
      <c r="AV501" s="58">
        <f>IFERROR(IF($V501="BRAND.com",HLOOKUP($X501&amp;$Z501,PLANNING_FC!$BB$27:$BP$46,MATCH($W501,PLANNING_FC!$BA$27:$BA$46,0),FALSE),0),0)</f>
        <v>0</v>
      </c>
      <c r="AW501" s="58">
        <f>IFERROR(IF($V501="BRAND.com",HLOOKUP($X501&amp;$Z501,PLANNING_FC!$BB$4:$BP$23,MATCH($W501,PLANNING_FC!$BA$4:$BA$23,0),FALSE),0),0)</f>
        <v>0</v>
      </c>
      <c r="AX501" s="58">
        <f>IFERROR(IF($V501="BRAND.com",HLOOKUP($X501&amp;$Z501,PLANNING_FC!$T$27:$AH$46,MATCH($W501,PLANNING_FC!$B$27:$B$46,0),FALSE),0),0)</f>
        <v>0</v>
      </c>
      <c r="AY501" s="58">
        <f>IFERROR(IF($V501="BRAND.com",HLOOKUP($X501&amp;$Z501,PLANNING_FC!$T$4:$AH$23,MATCH($W501,PLANNING_FC!$B$4:$B$23,0),FALSE),0),0)</f>
        <v>0</v>
      </c>
      <c r="AZ501" s="58">
        <f>IFERROR(IF($V501="BRAND.com",HLOOKUP($X501&amp;$Z501,PLANNING_FC!$DA$27:$DO$46,MATCH($W501,PLANNING_FC!$CZ$27:$CZ$46,0),FALSE),0),0)</f>
        <v>0</v>
      </c>
      <c r="BA501" s="58">
        <f>IFERROR(IF($V501="BRAND.com",HLOOKUP($X501&amp;$Z501,PLANNING_FC!$DA$4:$DO$23,MATCH($W501,PLANNING_FC!$CZ$4:$CZ$23,0),FALSE),0),0)</f>
        <v>0</v>
      </c>
      <c r="BB501" s="883" t="str">
        <f>IF(V501="BRAND.com",IFERROR(HLOOKUP(X501&amp;Z501,PLANNING_FC!$AK$4:$AY$23,MATCH(W501,PLANNING_FC!$AJ$4:$AJ$23,0),FALSE)*1000,""),"")</f>
        <v/>
      </c>
      <c r="BC501" s="883" t="str">
        <f>IF(V501="BRAND.com",IFERROR(HLOOKUP(X501&amp;Z501,PLANNING_FC!$AK$27:$AY$46,MATCH(W501,PLANNING_FC!$AJ$27:$AJ$46,0),FALSE)*1000,""),"")</f>
        <v/>
      </c>
    </row>
    <row r="502" spans="1:55" x14ac:dyDescent="0.25">
      <c r="A502" s="509"/>
      <c r="B502" s="509"/>
      <c r="C502" s="509"/>
      <c r="D502" s="509"/>
      <c r="E502" s="509"/>
      <c r="F502" s="509"/>
      <c r="G502" s="511"/>
      <c r="H502" s="509"/>
      <c r="I502" s="512"/>
      <c r="J502" s="513"/>
      <c r="K502" s="514"/>
      <c r="L502" s="515"/>
      <c r="M502" s="516"/>
      <c r="N502" s="56">
        <f t="shared" si="166"/>
        <v>0</v>
      </c>
      <c r="O502" s="57">
        <f t="shared" si="167"/>
        <v>0</v>
      </c>
      <c r="P502" s="57">
        <f ca="1">IFERROR(IF(ISBLANK(H502),SUMIFS($AC:$AC,$V:$V,V502,$W:$W,W502,$X:$X,X502,$Y:$Y,Y502)*J502/(1-J502)*VLOOKUP(_xlfn.CONCAT(C502,D502,E502,TIME!$M$12,Z502),HIS_SALES!$B$2:$W$4859,20,FALSE),AC502*J502/(1-J502)),0)</f>
        <v>0</v>
      </c>
      <c r="Q502" s="541" t="str">
        <f t="shared" si="168"/>
        <v/>
      </c>
      <c r="R502" s="346" t="str">
        <f t="shared" si="169"/>
        <v>00000</v>
      </c>
      <c r="S502" s="344">
        <f t="shared" si="170"/>
        <v>0</v>
      </c>
      <c r="T502" s="345" t="str">
        <f t="shared" si="183"/>
        <v>000</v>
      </c>
      <c r="U502" s="345">
        <f t="shared" si="171"/>
        <v>0</v>
      </c>
      <c r="V502" s="345">
        <f t="shared" si="172"/>
        <v>0</v>
      </c>
      <c r="W502" s="345">
        <f t="shared" si="173"/>
        <v>0</v>
      </c>
      <c r="X502" s="345">
        <f t="shared" si="174"/>
        <v>0</v>
      </c>
      <c r="Y502" s="345">
        <f t="shared" si="175"/>
        <v>0</v>
      </c>
      <c r="Z502" s="345">
        <f>IF(Q502&lt;&gt;"",VLOOKUP(Y502,TIME!$R$21:$V$24,MATCH(FC_DATA!Q502,TIME!$R$20:$V$20,0),FALSE),H502)</f>
        <v>0</v>
      </c>
      <c r="AA502" s="345" t="str">
        <f>IFERROR(VLOOKUP(X502&amp;Z502,TIME!$A$12:$D$71,4,FALSE),"")</f>
        <v/>
      </c>
      <c r="AB502" s="592">
        <f t="shared" ca="1" si="176"/>
        <v>0</v>
      </c>
      <c r="AC502" s="593" t="e">
        <f ca="1">IF(ISBLANK(H502)=FALSE,IF(D502="BRAND.com",I502,IF(ISNA(VLOOKUP(_xlfn.CONCAT(X502,Z502),TIME!$M$40:$M$42,1,FALSE)),I502,VLOOKUP(_xlfn.CONCAT(D502,G502,H502),M_BUSAREA_FC!$AF$5:$AJ$10,5,FALSE)*HLOOKUP(_xlfn.CONCAT(F502,H502),ST_OVERVIEW!$G$99:$I$130,MATCH(_xlfn.CONCAT(D502,E502),ST_OVERVIEW!$F$99:$F$130,0),FALSE))),IF(D502="BRAND.com",VLOOKUP(_xlfn.CONCAT(C502,D502,E502,TIME!$F$1,Z502),HIS_SALES!$B$2:$V$4859,19,FALSE)*I502,VLOOKUP(_xlfn.CONCAT(D502,F502,G502),Q_BUSAREA_FC!$AE$5:$AI$12,5,FALSE)*HLOOKUP(_xlfn.CONCAT(FC_DATA!F502,FC_DATA!G502),LT_OVERVIEW!$I$99:$M$130,MATCH(_xlfn.CONCAT(D502,FC_DATA!E502),LT_OVERVIEW!$H$99:$H$130,0),FALSE)*IFERROR(VLOOKUP(_xlfn.CONCAT(C502,D502,E502,TIME!$F$1,Z502),HIS_SALES!$B$2:$V$4859,19,FALSE),0)))</f>
        <v>#N/A</v>
      </c>
      <c r="AD502" s="341">
        <f t="shared" ca="1" si="177"/>
        <v>0</v>
      </c>
      <c r="AE502" s="363" t="str">
        <f t="shared" si="178"/>
        <v/>
      </c>
      <c r="AF502" s="342" t="str">
        <f t="shared" si="179"/>
        <v/>
      </c>
      <c r="AG502" s="411" t="e">
        <f ca="1">VLOOKUP(_xlfn.CONCAT(U502,V502,W502,VLOOKUP(X502&amp;Y502,TIME!$L$27:$O$34,4,FALSE),Y502),HIS_SALES!$A$2:$R$5093,18,FALSE)</f>
        <v>#N/A</v>
      </c>
      <c r="AH502" s="412" t="e">
        <f ca="1">IFERROR(IF(AND(V502=V501,W502=W501),0.5*(AB502+AB501)*AG502,(VLOOKUP(_xlfn.CONCAT(U502,V502,W502,X502,VLOOKUP(Z502,TIME!$S$28:$T$39,2,FALSE)),FC_DATA!$R$2:$AB$5000,MATCH("GS_I_M",FC_DATA!$R$1:$AB$1,0),FALSE)+FC_DATA!AB502)*0.5*FC_DATA!AG502),NA())</f>
        <v>#N/A</v>
      </c>
      <c r="AI502" s="491" t="e">
        <f ca="1">IF(V502="PARTNER.com",AH502,IF(AND(V502=V501,W502=W501),(1-AVERAGE(AD501,AD502))*AH502,(1-AVERAGE(AD502,VLOOKUP(_xlfn.CONCAT(U502,V502,W502,X502,M_BRAND_FC!$F$6),FC_DATA!$R$2:$AD$5000,MATCH("DISCOUNT_%_M",FC_DATA!$R$1:$AD$1,0),FALSE)))*AH502))</f>
        <v>#N/A</v>
      </c>
      <c r="AJ502" s="412" t="str">
        <f t="shared" ca="1" si="180"/>
        <v/>
      </c>
      <c r="AK502" s="413" t="str">
        <f>IFERROR(AE502/(Q_BRAND_FC!$T$24+1),"")</f>
        <v/>
      </c>
      <c r="AL502" s="88" t="str">
        <f t="shared" ca="1" si="181"/>
        <v/>
      </c>
      <c r="AM502" s="414" t="str">
        <f t="shared" ca="1" si="182"/>
        <v/>
      </c>
      <c r="AN502" s="58">
        <f>IFERROR(IF($V502="BRAND.com",HLOOKUP($X502&amp;$Z502,NWC_FC_NOOS!$C$4:$Q$23,MATCH(W502,NWC_FC_NOOS!$B$4:$B$23,0),FALSE),0),0)</f>
        <v>0</v>
      </c>
      <c r="AO502" s="57">
        <f>IFERROR(IF($V502="BRAND.com",HLOOKUP($X502&amp;$Z502,NWC_FC_NOOS!$T$4:$AH$23,MATCH(W502,NWC_FC_NOOS!$S$4:$S$23,0),FALSE),0),0)</f>
        <v>0</v>
      </c>
      <c r="AP502" s="57">
        <f>IFERROR(IF($V502="BRAND.com",HLOOKUP($X502&amp;$Z502,NWC_FC_NOOS!$C$50:$U$69,MATCH(W502,NWC_FC_NOOS!$B$50:$B$69,0),FALSE),0),0)</f>
        <v>0</v>
      </c>
      <c r="AQ502" s="58">
        <f>IFERROR(IF($V502="BRAND.com",HLOOKUP($X502&amp;$Z502,'NWC_FC_NON-NOOS'!$C$4:$Q$23,MATCH(W502,'NWC_FC_NON-NOOS'!$B$4:$B$23,0),FALSE),0),0)</f>
        <v>0</v>
      </c>
      <c r="AR502" s="57">
        <f>IFERROR(IF($V502="BRAND.com",HLOOKUP($X502&amp;$Z502,'NWC_FC_NON-NOOS'!$T$4:$AH$23,MATCH(W502,'NWC_FC_NON-NOOS'!$S$4:$S$23,0),FALSE),0),0)</f>
        <v>0</v>
      </c>
      <c r="AS502" s="57">
        <f>IFERROR(IF($V502="BRAND.com",HLOOKUP($X502&amp;$Z502,'NWC_FC_NON-NOOS'!$C$50:$U$69,MATCH(W502,'NWC_FC_NON-NOOS'!$B$50:$B$69,0),FALSE),0),0)</f>
        <v>0</v>
      </c>
      <c r="AT502" s="57">
        <f t="shared" si="184"/>
        <v>0</v>
      </c>
      <c r="AU502" s="57">
        <f t="shared" si="185"/>
        <v>0</v>
      </c>
      <c r="AV502" s="58">
        <f>IFERROR(IF($V502="BRAND.com",HLOOKUP($X502&amp;$Z502,PLANNING_FC!$BB$27:$BP$46,MATCH($W502,PLANNING_FC!$BA$27:$BA$46,0),FALSE),0),0)</f>
        <v>0</v>
      </c>
      <c r="AW502" s="58">
        <f>IFERROR(IF($V502="BRAND.com",HLOOKUP($X502&amp;$Z502,PLANNING_FC!$BB$4:$BP$23,MATCH($W502,PLANNING_FC!$BA$4:$BA$23,0),FALSE),0),0)</f>
        <v>0</v>
      </c>
      <c r="AX502" s="58">
        <f>IFERROR(IF($V502="BRAND.com",HLOOKUP($X502&amp;$Z502,PLANNING_FC!$T$27:$AH$46,MATCH($W502,PLANNING_FC!$B$27:$B$46,0),FALSE),0),0)</f>
        <v>0</v>
      </c>
      <c r="AY502" s="58">
        <f>IFERROR(IF($V502="BRAND.com",HLOOKUP($X502&amp;$Z502,PLANNING_FC!$T$4:$AH$23,MATCH($W502,PLANNING_FC!$B$4:$B$23,0),FALSE),0),0)</f>
        <v>0</v>
      </c>
      <c r="AZ502" s="58">
        <f>IFERROR(IF($V502="BRAND.com",HLOOKUP($X502&amp;$Z502,PLANNING_FC!$DA$27:$DO$46,MATCH($W502,PLANNING_FC!$CZ$27:$CZ$46,0),FALSE),0),0)</f>
        <v>0</v>
      </c>
      <c r="BA502" s="58">
        <f>IFERROR(IF($V502="BRAND.com",HLOOKUP($X502&amp;$Z502,PLANNING_FC!$DA$4:$DO$23,MATCH($W502,PLANNING_FC!$CZ$4:$CZ$23,0),FALSE),0),0)</f>
        <v>0</v>
      </c>
      <c r="BB502" s="883" t="str">
        <f>IF(V502="BRAND.com",IFERROR(HLOOKUP(X502&amp;Z502,PLANNING_FC!$AK$4:$AY$23,MATCH(W502,PLANNING_FC!$AJ$4:$AJ$23,0),FALSE)*1000,""),"")</f>
        <v/>
      </c>
      <c r="BC502" s="883" t="str">
        <f>IF(V502="BRAND.com",IFERROR(HLOOKUP(X502&amp;Z502,PLANNING_FC!$AK$27:$AY$46,MATCH(W502,PLANNING_FC!$AJ$27:$AJ$46,0),FALSE)*1000,""),"")</f>
        <v/>
      </c>
    </row>
    <row r="503" spans="1:55" x14ac:dyDescent="0.25">
      <c r="A503" s="509"/>
      <c r="B503" s="509"/>
      <c r="C503" s="509"/>
      <c r="D503" s="509"/>
      <c r="E503" s="509"/>
      <c r="F503" s="509"/>
      <c r="G503" s="509"/>
      <c r="H503" s="509"/>
      <c r="I503" s="512"/>
      <c r="J503" s="513"/>
      <c r="K503" s="514"/>
      <c r="L503" s="515"/>
      <c r="M503" s="516"/>
      <c r="N503" s="56">
        <f t="shared" si="166"/>
        <v>0</v>
      </c>
      <c r="O503" s="57">
        <f t="shared" si="167"/>
        <v>0</v>
      </c>
      <c r="P503" s="57">
        <f ca="1">IFERROR(IF(ISBLANK(H503),SUMIFS($AC:$AC,$V:$V,V503,$W:$W,W503,$X:$X,X503,$Y:$Y,Y503)*J503/(1-J503)*VLOOKUP(_xlfn.CONCAT(C503,D503,E503,TIME!$M$12,Z503),HIS_SALES!$B$2:$W$4859,20,FALSE),AC503*J503/(1-J503)),0)</f>
        <v>0</v>
      </c>
      <c r="Q503" s="541" t="str">
        <f t="shared" si="168"/>
        <v/>
      </c>
      <c r="R503" s="346" t="str">
        <f t="shared" si="169"/>
        <v>00000</v>
      </c>
      <c r="S503" s="344">
        <f t="shared" si="170"/>
        <v>0</v>
      </c>
      <c r="T503" s="345" t="str">
        <f t="shared" si="183"/>
        <v>000</v>
      </c>
      <c r="U503" s="345">
        <f t="shared" si="171"/>
        <v>0</v>
      </c>
      <c r="V503" s="345">
        <f t="shared" si="172"/>
        <v>0</v>
      </c>
      <c r="W503" s="345">
        <f t="shared" si="173"/>
        <v>0</v>
      </c>
      <c r="X503" s="345">
        <f t="shared" si="174"/>
        <v>0</v>
      </c>
      <c r="Y503" s="345">
        <f t="shared" si="175"/>
        <v>0</v>
      </c>
      <c r="Z503" s="345">
        <f>IF(Q503&lt;&gt;"",VLOOKUP(Y503,TIME!$R$21:$V$24,MATCH(FC_DATA!Q503,TIME!$R$20:$V$20,0),FALSE),H503)</f>
        <v>0</v>
      </c>
      <c r="AA503" s="345" t="str">
        <f>IFERROR(VLOOKUP(X503&amp;Z503,TIME!$A$12:$D$71,4,FALSE),"")</f>
        <v/>
      </c>
      <c r="AB503" s="592">
        <f t="shared" ca="1" si="176"/>
        <v>0</v>
      </c>
      <c r="AC503" s="593" t="e">
        <f ca="1">IF(ISBLANK(H503)=FALSE,IF(D503="BRAND.com",I503,IF(ISNA(VLOOKUP(_xlfn.CONCAT(X503,Z503),TIME!$M$40:$M$42,1,FALSE)),I503,VLOOKUP(_xlfn.CONCAT(D503,G503,H503),M_BUSAREA_FC!$AF$5:$AJ$10,5,FALSE)*HLOOKUP(_xlfn.CONCAT(F503,H503),ST_OVERVIEW!$G$99:$I$130,MATCH(_xlfn.CONCAT(D503,E503),ST_OVERVIEW!$F$99:$F$130,0),FALSE))),IF(D503="BRAND.com",VLOOKUP(_xlfn.CONCAT(C503,D503,E503,TIME!$F$1,Z503),HIS_SALES!$B$2:$V$4859,19,FALSE)*I503,VLOOKUP(_xlfn.CONCAT(D503,F503,G503),Q_BUSAREA_FC!$AE$5:$AI$12,5,FALSE)*HLOOKUP(_xlfn.CONCAT(FC_DATA!F503,FC_DATA!G503),LT_OVERVIEW!$I$99:$M$130,MATCH(_xlfn.CONCAT(D503,FC_DATA!E503),LT_OVERVIEW!$H$99:$H$130,0),FALSE)*IFERROR(VLOOKUP(_xlfn.CONCAT(C503,D503,E503,TIME!$F$1,Z503),HIS_SALES!$B$2:$V$4859,19,FALSE),0)))</f>
        <v>#N/A</v>
      </c>
      <c r="AD503" s="341">
        <f t="shared" ca="1" si="177"/>
        <v>0</v>
      </c>
      <c r="AE503" s="363" t="str">
        <f t="shared" si="178"/>
        <v/>
      </c>
      <c r="AF503" s="342" t="str">
        <f t="shared" si="179"/>
        <v/>
      </c>
      <c r="AG503" s="411" t="e">
        <f ca="1">VLOOKUP(_xlfn.CONCAT(U503,V503,W503,VLOOKUP(X503&amp;Y503,TIME!$L$27:$O$34,4,FALSE),Y503),HIS_SALES!$A$2:$R$5093,18,FALSE)</f>
        <v>#N/A</v>
      </c>
      <c r="AH503" s="412" t="e">
        <f ca="1">IFERROR(IF(AND(V503=V502,W503=W502),0.5*(AB503+AB502)*AG503,(VLOOKUP(_xlfn.CONCAT(U503,V503,W503,X503,VLOOKUP(Z503,TIME!$S$28:$T$39,2,FALSE)),FC_DATA!$R$2:$AB$5000,MATCH("GS_I_M",FC_DATA!$R$1:$AB$1,0),FALSE)+FC_DATA!AB503)*0.5*FC_DATA!AG503),NA())</f>
        <v>#N/A</v>
      </c>
      <c r="AI503" s="491" t="e">
        <f ca="1">IF(V503="PARTNER.com",AH503,IF(AND(V503=V502,W503=W502),(1-AVERAGE(AD502,AD503))*AH503,(1-AVERAGE(AD503,VLOOKUP(_xlfn.CONCAT(U503,V503,W503,X503,M_BRAND_FC!$F$6),FC_DATA!$R$2:$AD$5000,MATCH("DISCOUNT_%_M",FC_DATA!$R$1:$AD$1,0),FALSE)))*AH503))</f>
        <v>#N/A</v>
      </c>
      <c r="AJ503" s="412" t="str">
        <f t="shared" ca="1" si="180"/>
        <v/>
      </c>
      <c r="AK503" s="413" t="str">
        <f>IFERROR(AE503/(Q_BRAND_FC!$T$24+1),"")</f>
        <v/>
      </c>
      <c r="AL503" s="88" t="str">
        <f t="shared" ca="1" si="181"/>
        <v/>
      </c>
      <c r="AM503" s="414" t="str">
        <f t="shared" ca="1" si="182"/>
        <v/>
      </c>
      <c r="AN503" s="58">
        <f>IFERROR(IF($V503="BRAND.com",HLOOKUP($X503&amp;$Z503,NWC_FC_NOOS!$C$4:$Q$23,MATCH(W503,NWC_FC_NOOS!$B$4:$B$23,0),FALSE),0),0)</f>
        <v>0</v>
      </c>
      <c r="AO503" s="57">
        <f>IFERROR(IF($V503="BRAND.com",HLOOKUP($X503&amp;$Z503,NWC_FC_NOOS!$T$4:$AH$23,MATCH(W503,NWC_FC_NOOS!$S$4:$S$23,0),FALSE),0),0)</f>
        <v>0</v>
      </c>
      <c r="AP503" s="57">
        <f>IFERROR(IF($V503="BRAND.com",HLOOKUP($X503&amp;$Z503,NWC_FC_NOOS!$C$50:$U$69,MATCH(W503,NWC_FC_NOOS!$B$50:$B$69,0),FALSE),0),0)</f>
        <v>0</v>
      </c>
      <c r="AQ503" s="58">
        <f>IFERROR(IF($V503="BRAND.com",HLOOKUP($X503&amp;$Z503,'NWC_FC_NON-NOOS'!$C$4:$Q$23,MATCH(W503,'NWC_FC_NON-NOOS'!$B$4:$B$23,0),FALSE),0),0)</f>
        <v>0</v>
      </c>
      <c r="AR503" s="57">
        <f>IFERROR(IF($V503="BRAND.com",HLOOKUP($X503&amp;$Z503,'NWC_FC_NON-NOOS'!$T$4:$AH$23,MATCH(W503,'NWC_FC_NON-NOOS'!$S$4:$S$23,0),FALSE),0),0)</f>
        <v>0</v>
      </c>
      <c r="AS503" s="57">
        <f>IFERROR(IF($V503="BRAND.com",HLOOKUP($X503&amp;$Z503,'NWC_FC_NON-NOOS'!$C$50:$U$69,MATCH(W503,'NWC_FC_NON-NOOS'!$B$50:$B$69,0),FALSE),0),0)</f>
        <v>0</v>
      </c>
      <c r="AT503" s="57">
        <f t="shared" si="184"/>
        <v>0</v>
      </c>
      <c r="AU503" s="57">
        <f t="shared" si="185"/>
        <v>0</v>
      </c>
      <c r="AV503" s="58">
        <f>IFERROR(IF($V503="BRAND.com",HLOOKUP($X503&amp;$Z503,PLANNING_FC!$BB$27:$BP$46,MATCH($W503,PLANNING_FC!$BA$27:$BA$46,0),FALSE),0),0)</f>
        <v>0</v>
      </c>
      <c r="AW503" s="58">
        <f>IFERROR(IF($V503="BRAND.com",HLOOKUP($X503&amp;$Z503,PLANNING_FC!$BB$4:$BP$23,MATCH($W503,PLANNING_FC!$BA$4:$BA$23,0),FALSE),0),0)</f>
        <v>0</v>
      </c>
      <c r="AX503" s="58">
        <f>IFERROR(IF($V503="BRAND.com",HLOOKUP($X503&amp;$Z503,PLANNING_FC!$T$27:$AH$46,MATCH($W503,PLANNING_FC!$B$27:$B$46,0),FALSE),0),0)</f>
        <v>0</v>
      </c>
      <c r="AY503" s="58">
        <f>IFERROR(IF($V503="BRAND.com",HLOOKUP($X503&amp;$Z503,PLANNING_FC!$T$4:$AH$23,MATCH($W503,PLANNING_FC!$B$4:$B$23,0),FALSE),0),0)</f>
        <v>0</v>
      </c>
      <c r="AZ503" s="58">
        <f>IFERROR(IF($V503="BRAND.com",HLOOKUP($X503&amp;$Z503,PLANNING_FC!$DA$27:$DO$46,MATCH($W503,PLANNING_FC!$CZ$27:$CZ$46,0),FALSE),0),0)</f>
        <v>0</v>
      </c>
      <c r="BA503" s="58">
        <f>IFERROR(IF($V503="BRAND.com",HLOOKUP($X503&amp;$Z503,PLANNING_FC!$DA$4:$DO$23,MATCH($W503,PLANNING_FC!$CZ$4:$CZ$23,0),FALSE),0),0)</f>
        <v>0</v>
      </c>
      <c r="BB503" s="883" t="str">
        <f>IF(V503="BRAND.com",IFERROR(HLOOKUP(X503&amp;Z503,PLANNING_FC!$AK$4:$AY$23,MATCH(W503,PLANNING_FC!$AJ$4:$AJ$23,0),FALSE)*1000,""),"")</f>
        <v/>
      </c>
      <c r="BC503" s="883" t="str">
        <f>IF(V503="BRAND.com",IFERROR(HLOOKUP(X503&amp;Z503,PLANNING_FC!$AK$27:$AY$46,MATCH(W503,PLANNING_FC!$AJ$27:$AJ$46,0),FALSE)*1000,""),"")</f>
        <v/>
      </c>
    </row>
    <row r="504" spans="1:55" x14ac:dyDescent="0.25">
      <c r="A504" s="509"/>
      <c r="B504" s="509"/>
      <c r="C504" s="509"/>
      <c r="D504" s="509"/>
      <c r="E504" s="509"/>
      <c r="F504" s="509"/>
      <c r="G504" s="509"/>
      <c r="H504" s="509"/>
      <c r="I504" s="512"/>
      <c r="J504" s="513"/>
      <c r="K504" s="514"/>
      <c r="L504" s="515"/>
      <c r="M504" s="516"/>
      <c r="N504" s="56">
        <f t="shared" si="166"/>
        <v>0</v>
      </c>
      <c r="O504" s="57">
        <f t="shared" si="167"/>
        <v>0</v>
      </c>
      <c r="P504" s="57">
        <f ca="1">IFERROR(IF(ISBLANK(H504),SUMIFS($AC:$AC,$V:$V,V504,$W:$W,W504,$X:$X,X504,$Y:$Y,Y504)*J504/(1-J504)*VLOOKUP(_xlfn.CONCAT(C504,D504,E504,TIME!$M$12,Z504),HIS_SALES!$B$2:$W$4859,20,FALSE),AC504*J504/(1-J504)),0)</f>
        <v>0</v>
      </c>
      <c r="Q504" s="541" t="str">
        <f t="shared" si="168"/>
        <v/>
      </c>
      <c r="R504" s="346" t="str">
        <f t="shared" si="169"/>
        <v>00000</v>
      </c>
      <c r="S504" s="344">
        <f t="shared" si="170"/>
        <v>0</v>
      </c>
      <c r="T504" s="345" t="str">
        <f t="shared" si="183"/>
        <v>000</v>
      </c>
      <c r="U504" s="345">
        <f t="shared" si="171"/>
        <v>0</v>
      </c>
      <c r="V504" s="345">
        <f t="shared" si="172"/>
        <v>0</v>
      </c>
      <c r="W504" s="345">
        <f t="shared" si="173"/>
        <v>0</v>
      </c>
      <c r="X504" s="345">
        <f t="shared" si="174"/>
        <v>0</v>
      </c>
      <c r="Y504" s="345">
        <f t="shared" si="175"/>
        <v>0</v>
      </c>
      <c r="Z504" s="345">
        <f>IF(Q504&lt;&gt;"",VLOOKUP(Y504,TIME!$R$21:$V$24,MATCH(FC_DATA!Q504,TIME!$R$20:$V$20,0),FALSE),H504)</f>
        <v>0</v>
      </c>
      <c r="AA504" s="345" t="str">
        <f>IFERROR(VLOOKUP(X504&amp;Z504,TIME!$A$12:$D$71,4,FALSE),"")</f>
        <v/>
      </c>
      <c r="AB504" s="592">
        <f t="shared" ca="1" si="176"/>
        <v>0</v>
      </c>
      <c r="AC504" s="593" t="e">
        <f ca="1">IF(ISBLANK(H504)=FALSE,IF(D504="BRAND.com",I504,IF(ISNA(VLOOKUP(_xlfn.CONCAT(X504,Z504),TIME!$M$40:$M$42,1,FALSE)),I504,VLOOKUP(_xlfn.CONCAT(D504,G504,H504),M_BUSAREA_FC!$AF$5:$AJ$10,5,FALSE)*HLOOKUP(_xlfn.CONCAT(F504,H504),ST_OVERVIEW!$G$99:$I$130,MATCH(_xlfn.CONCAT(D504,E504),ST_OVERVIEW!$F$99:$F$130,0),FALSE))),IF(D504="BRAND.com",VLOOKUP(_xlfn.CONCAT(C504,D504,E504,TIME!$F$1,Z504),HIS_SALES!$B$2:$V$4859,19,FALSE)*I504,VLOOKUP(_xlfn.CONCAT(D504,F504,G504),Q_BUSAREA_FC!$AE$5:$AI$12,5,FALSE)*HLOOKUP(_xlfn.CONCAT(FC_DATA!F504,FC_DATA!G504),LT_OVERVIEW!$I$99:$M$130,MATCH(_xlfn.CONCAT(D504,FC_DATA!E504),LT_OVERVIEW!$H$99:$H$130,0),FALSE)*IFERROR(VLOOKUP(_xlfn.CONCAT(C504,D504,E504,TIME!$F$1,Z504),HIS_SALES!$B$2:$V$4859,19,FALSE),0)))</f>
        <v>#N/A</v>
      </c>
      <c r="AD504" s="341">
        <f t="shared" ca="1" si="177"/>
        <v>0</v>
      </c>
      <c r="AE504" s="363" t="str">
        <f t="shared" si="178"/>
        <v/>
      </c>
      <c r="AF504" s="342" t="str">
        <f t="shared" si="179"/>
        <v/>
      </c>
      <c r="AG504" s="411" t="e">
        <f ca="1">VLOOKUP(_xlfn.CONCAT(U504,V504,W504,VLOOKUP(X504&amp;Y504,TIME!$L$27:$O$34,4,FALSE),Y504),HIS_SALES!$A$2:$R$5093,18,FALSE)</f>
        <v>#N/A</v>
      </c>
      <c r="AH504" s="412" t="e">
        <f ca="1">IFERROR(IF(AND(V504=V503,W504=W503),0.5*(AB504+AB503)*AG504,(VLOOKUP(_xlfn.CONCAT(U504,V504,W504,X504,VLOOKUP(Z504,TIME!$S$28:$T$39,2,FALSE)),FC_DATA!$R$2:$AB$5000,MATCH("GS_I_M",FC_DATA!$R$1:$AB$1,0),FALSE)+FC_DATA!AB504)*0.5*FC_DATA!AG504),NA())</f>
        <v>#N/A</v>
      </c>
      <c r="AI504" s="491" t="e">
        <f ca="1">IF(V504="PARTNER.com",AH504,IF(AND(V504=V503,W504=W503),(1-AVERAGE(AD503,AD504))*AH504,(1-AVERAGE(AD504,VLOOKUP(_xlfn.CONCAT(U504,V504,W504,X504,M_BRAND_FC!$F$6),FC_DATA!$R$2:$AD$5000,MATCH("DISCOUNT_%_M",FC_DATA!$R$1:$AD$1,0),FALSE)))*AH504))</f>
        <v>#N/A</v>
      </c>
      <c r="AJ504" s="412" t="str">
        <f t="shared" ca="1" si="180"/>
        <v/>
      </c>
      <c r="AK504" s="413" t="str">
        <f>IFERROR(AE504/(Q_BRAND_FC!$T$24+1),"")</f>
        <v/>
      </c>
      <c r="AL504" s="88" t="str">
        <f t="shared" ca="1" si="181"/>
        <v/>
      </c>
      <c r="AM504" s="414" t="str">
        <f t="shared" ca="1" si="182"/>
        <v/>
      </c>
      <c r="AN504" s="58">
        <f>IFERROR(IF($V504="BRAND.com",HLOOKUP($X504&amp;$Z504,NWC_FC_NOOS!$C$4:$Q$23,MATCH(W504,NWC_FC_NOOS!$B$4:$B$23,0),FALSE),0),0)</f>
        <v>0</v>
      </c>
      <c r="AO504" s="57">
        <f>IFERROR(IF($V504="BRAND.com",HLOOKUP($X504&amp;$Z504,NWC_FC_NOOS!$T$4:$AH$23,MATCH(W504,NWC_FC_NOOS!$S$4:$S$23,0),FALSE),0),0)</f>
        <v>0</v>
      </c>
      <c r="AP504" s="57">
        <f>IFERROR(IF($V504="BRAND.com",HLOOKUP($X504&amp;$Z504,NWC_FC_NOOS!$C$50:$U$69,MATCH(W504,NWC_FC_NOOS!$B$50:$B$69,0),FALSE),0),0)</f>
        <v>0</v>
      </c>
      <c r="AQ504" s="58">
        <f>IFERROR(IF($V504="BRAND.com",HLOOKUP($X504&amp;$Z504,'NWC_FC_NON-NOOS'!$C$4:$Q$23,MATCH(W504,'NWC_FC_NON-NOOS'!$B$4:$B$23,0),FALSE),0),0)</f>
        <v>0</v>
      </c>
      <c r="AR504" s="57">
        <f>IFERROR(IF($V504="BRAND.com",HLOOKUP($X504&amp;$Z504,'NWC_FC_NON-NOOS'!$T$4:$AH$23,MATCH(W504,'NWC_FC_NON-NOOS'!$S$4:$S$23,0),FALSE),0),0)</f>
        <v>0</v>
      </c>
      <c r="AS504" s="57">
        <f>IFERROR(IF($V504="BRAND.com",HLOOKUP($X504&amp;$Z504,'NWC_FC_NON-NOOS'!$C$50:$U$69,MATCH(W504,'NWC_FC_NON-NOOS'!$B$50:$B$69,0),FALSE),0),0)</f>
        <v>0</v>
      </c>
      <c r="AT504" s="57">
        <f t="shared" si="184"/>
        <v>0</v>
      </c>
      <c r="AU504" s="57">
        <f t="shared" si="185"/>
        <v>0</v>
      </c>
      <c r="AV504" s="58">
        <f>IFERROR(IF($V504="BRAND.com",HLOOKUP($X504&amp;$Z504,PLANNING_FC!$BB$27:$BP$46,MATCH($W504,PLANNING_FC!$BA$27:$BA$46,0),FALSE),0),0)</f>
        <v>0</v>
      </c>
      <c r="AW504" s="58">
        <f>IFERROR(IF($V504="BRAND.com",HLOOKUP($X504&amp;$Z504,PLANNING_FC!$BB$4:$BP$23,MATCH($W504,PLANNING_FC!$BA$4:$BA$23,0),FALSE),0),0)</f>
        <v>0</v>
      </c>
      <c r="AX504" s="58">
        <f>IFERROR(IF($V504="BRAND.com",HLOOKUP($X504&amp;$Z504,PLANNING_FC!$T$27:$AH$46,MATCH($W504,PLANNING_FC!$B$27:$B$46,0),FALSE),0),0)</f>
        <v>0</v>
      </c>
      <c r="AY504" s="58">
        <f>IFERROR(IF($V504="BRAND.com",HLOOKUP($X504&amp;$Z504,PLANNING_FC!$T$4:$AH$23,MATCH($W504,PLANNING_FC!$B$4:$B$23,0),FALSE),0),0)</f>
        <v>0</v>
      </c>
      <c r="AZ504" s="58">
        <f>IFERROR(IF($V504="BRAND.com",HLOOKUP($X504&amp;$Z504,PLANNING_FC!$DA$27:$DO$46,MATCH($W504,PLANNING_FC!$CZ$27:$CZ$46,0),FALSE),0),0)</f>
        <v>0</v>
      </c>
      <c r="BA504" s="58">
        <f>IFERROR(IF($V504="BRAND.com",HLOOKUP($X504&amp;$Z504,PLANNING_FC!$DA$4:$DO$23,MATCH($W504,PLANNING_FC!$CZ$4:$CZ$23,0),FALSE),0),0)</f>
        <v>0</v>
      </c>
      <c r="BB504" s="883" t="str">
        <f>IF(V504="BRAND.com",IFERROR(HLOOKUP(X504&amp;Z504,PLANNING_FC!$AK$4:$AY$23,MATCH(W504,PLANNING_FC!$AJ$4:$AJ$23,0),FALSE)*1000,""),"")</f>
        <v/>
      </c>
      <c r="BC504" s="883" t="str">
        <f>IF(V504="BRAND.com",IFERROR(HLOOKUP(X504&amp;Z504,PLANNING_FC!$AK$27:$AY$46,MATCH(W504,PLANNING_FC!$AJ$27:$AJ$46,0),FALSE)*1000,""),"")</f>
        <v/>
      </c>
    </row>
    <row r="505" spans="1:55" x14ac:dyDescent="0.25">
      <c r="A505" s="509"/>
      <c r="B505" s="509"/>
      <c r="C505" s="509"/>
      <c r="D505" s="509"/>
      <c r="E505" s="509"/>
      <c r="F505" s="509"/>
      <c r="G505" s="509"/>
      <c r="H505" s="509"/>
      <c r="I505" s="512"/>
      <c r="J505" s="513"/>
      <c r="K505" s="514"/>
      <c r="L505" s="515"/>
      <c r="M505" s="516"/>
      <c r="N505" s="56">
        <f t="shared" si="166"/>
        <v>0</v>
      </c>
      <c r="O505" s="57">
        <f t="shared" si="167"/>
        <v>0</v>
      </c>
      <c r="P505" s="57">
        <f ca="1">IFERROR(IF(ISBLANK(H505),SUMIFS($AC:$AC,$V:$V,V505,$W:$W,W505,$X:$X,X505,$Y:$Y,Y505)*J505/(1-J505)*VLOOKUP(_xlfn.CONCAT(C505,D505,E505,TIME!$M$12,Z505),HIS_SALES!$B$2:$W$4859,20,FALSE),AC505*J505/(1-J505)),0)</f>
        <v>0</v>
      </c>
      <c r="Q505" s="541" t="str">
        <f t="shared" si="168"/>
        <v/>
      </c>
      <c r="R505" s="346" t="str">
        <f t="shared" si="169"/>
        <v>00000</v>
      </c>
      <c r="S505" s="344">
        <f t="shared" si="170"/>
        <v>0</v>
      </c>
      <c r="T505" s="345" t="str">
        <f t="shared" si="183"/>
        <v>000</v>
      </c>
      <c r="U505" s="345">
        <f t="shared" si="171"/>
        <v>0</v>
      </c>
      <c r="V505" s="345">
        <f t="shared" si="172"/>
        <v>0</v>
      </c>
      <c r="W505" s="345">
        <f t="shared" si="173"/>
        <v>0</v>
      </c>
      <c r="X505" s="345">
        <f t="shared" si="174"/>
        <v>0</v>
      </c>
      <c r="Y505" s="345">
        <f t="shared" si="175"/>
        <v>0</v>
      </c>
      <c r="Z505" s="345">
        <f>IF(Q505&lt;&gt;"",VLOOKUP(Y505,TIME!$R$21:$V$24,MATCH(FC_DATA!Q505,TIME!$R$20:$V$20,0),FALSE),H505)</f>
        <v>0</v>
      </c>
      <c r="AA505" s="345" t="str">
        <f>IFERROR(VLOOKUP(X505&amp;Z505,TIME!$A$12:$D$71,4,FALSE),"")</f>
        <v/>
      </c>
      <c r="AB505" s="592">
        <f t="shared" ca="1" si="176"/>
        <v>0</v>
      </c>
      <c r="AC505" s="593" t="e">
        <f ca="1">IF(ISBLANK(H505)=FALSE,IF(D505="BRAND.com",I505,IF(ISNA(VLOOKUP(_xlfn.CONCAT(X505,Z505),TIME!$M$40:$M$42,1,FALSE)),I505,VLOOKUP(_xlfn.CONCAT(D505,G505,H505),M_BUSAREA_FC!$AF$5:$AJ$10,5,FALSE)*HLOOKUP(_xlfn.CONCAT(F505,H505),ST_OVERVIEW!$G$99:$I$130,MATCH(_xlfn.CONCAT(D505,E505),ST_OVERVIEW!$F$99:$F$130,0),FALSE))),IF(D505="BRAND.com",VLOOKUP(_xlfn.CONCAT(C505,D505,E505,TIME!$F$1,Z505),HIS_SALES!$B$2:$V$4859,19,FALSE)*I505,VLOOKUP(_xlfn.CONCAT(D505,F505,G505),Q_BUSAREA_FC!$AE$5:$AI$12,5,FALSE)*HLOOKUP(_xlfn.CONCAT(FC_DATA!F505,FC_DATA!G505),LT_OVERVIEW!$I$99:$M$130,MATCH(_xlfn.CONCAT(D505,FC_DATA!E505),LT_OVERVIEW!$H$99:$H$130,0),FALSE)*IFERROR(VLOOKUP(_xlfn.CONCAT(C505,D505,E505,TIME!$F$1,Z505),HIS_SALES!$B$2:$V$4859,19,FALSE),0)))</f>
        <v>#N/A</v>
      </c>
      <c r="AD505" s="341">
        <f t="shared" ca="1" si="177"/>
        <v>0</v>
      </c>
      <c r="AE505" s="363" t="str">
        <f t="shared" si="178"/>
        <v/>
      </c>
      <c r="AF505" s="342" t="str">
        <f t="shared" si="179"/>
        <v/>
      </c>
      <c r="AG505" s="411" t="e">
        <f ca="1">VLOOKUP(_xlfn.CONCAT(U505,V505,W505,VLOOKUP(X505&amp;Y505,TIME!$L$27:$O$34,4,FALSE),Y505),HIS_SALES!$A$2:$R$5093,18,FALSE)</f>
        <v>#N/A</v>
      </c>
      <c r="AH505" s="412" t="e">
        <f ca="1">IFERROR(IF(AND(V505=V504,W505=W504),0.5*(AB505+AB504)*AG505,(VLOOKUP(_xlfn.CONCAT(U505,V505,W505,X505,VLOOKUP(Z505,TIME!$S$28:$T$39,2,FALSE)),FC_DATA!$R$2:$AB$5000,MATCH("GS_I_M",FC_DATA!$R$1:$AB$1,0),FALSE)+FC_DATA!AB505)*0.5*FC_DATA!AG505),NA())</f>
        <v>#N/A</v>
      </c>
      <c r="AI505" s="491" t="e">
        <f ca="1">IF(V505="PARTNER.com",AH505,IF(AND(V505=V504,W505=W504),(1-AVERAGE(AD504,AD505))*AH505,(1-AVERAGE(AD505,VLOOKUP(_xlfn.CONCAT(U505,V505,W505,X505,M_BRAND_FC!$F$6),FC_DATA!$R$2:$AD$5000,MATCH("DISCOUNT_%_M",FC_DATA!$R$1:$AD$1,0),FALSE)))*AH505))</f>
        <v>#N/A</v>
      </c>
      <c r="AJ505" s="412" t="str">
        <f t="shared" ca="1" si="180"/>
        <v/>
      </c>
      <c r="AK505" s="413" t="str">
        <f>IFERROR(AE505/(Q_BRAND_FC!$T$24+1),"")</f>
        <v/>
      </c>
      <c r="AL505" s="88" t="str">
        <f t="shared" ca="1" si="181"/>
        <v/>
      </c>
      <c r="AM505" s="414" t="str">
        <f t="shared" ca="1" si="182"/>
        <v/>
      </c>
      <c r="AN505" s="58">
        <f>IFERROR(IF($V505="BRAND.com",HLOOKUP($X505&amp;$Z505,NWC_FC_NOOS!$C$4:$Q$23,MATCH(W505,NWC_FC_NOOS!$B$4:$B$23,0),FALSE),0),0)</f>
        <v>0</v>
      </c>
      <c r="AO505" s="57">
        <f>IFERROR(IF($V505="BRAND.com",HLOOKUP($X505&amp;$Z505,NWC_FC_NOOS!$T$4:$AH$23,MATCH(W505,NWC_FC_NOOS!$S$4:$S$23,0),FALSE),0),0)</f>
        <v>0</v>
      </c>
      <c r="AP505" s="57">
        <f>IFERROR(IF($V505="BRAND.com",HLOOKUP($X505&amp;$Z505,NWC_FC_NOOS!$C$50:$U$69,MATCH(W505,NWC_FC_NOOS!$B$50:$B$69,0),FALSE),0),0)</f>
        <v>0</v>
      </c>
      <c r="AQ505" s="58">
        <f>IFERROR(IF($V505="BRAND.com",HLOOKUP($X505&amp;$Z505,'NWC_FC_NON-NOOS'!$C$4:$Q$23,MATCH(W505,'NWC_FC_NON-NOOS'!$B$4:$B$23,0),FALSE),0),0)</f>
        <v>0</v>
      </c>
      <c r="AR505" s="57">
        <f>IFERROR(IF($V505="BRAND.com",HLOOKUP($X505&amp;$Z505,'NWC_FC_NON-NOOS'!$T$4:$AH$23,MATCH(W505,'NWC_FC_NON-NOOS'!$S$4:$S$23,0),FALSE),0),0)</f>
        <v>0</v>
      </c>
      <c r="AS505" s="57">
        <f>IFERROR(IF($V505="BRAND.com",HLOOKUP($X505&amp;$Z505,'NWC_FC_NON-NOOS'!$C$50:$U$69,MATCH(W505,'NWC_FC_NON-NOOS'!$B$50:$B$69,0),FALSE),0),0)</f>
        <v>0</v>
      </c>
      <c r="AT505" s="57">
        <f t="shared" si="184"/>
        <v>0</v>
      </c>
      <c r="AU505" s="57">
        <f t="shared" si="185"/>
        <v>0</v>
      </c>
      <c r="AV505" s="58">
        <f>IFERROR(IF($V505="BRAND.com",HLOOKUP($X505&amp;$Z505,PLANNING_FC!$BB$27:$BP$46,MATCH($W505,PLANNING_FC!$BA$27:$BA$46,0),FALSE),0),0)</f>
        <v>0</v>
      </c>
      <c r="AW505" s="58">
        <f>IFERROR(IF($V505="BRAND.com",HLOOKUP($X505&amp;$Z505,PLANNING_FC!$BB$4:$BP$23,MATCH($W505,PLANNING_FC!$BA$4:$BA$23,0),FALSE),0),0)</f>
        <v>0</v>
      </c>
      <c r="AX505" s="58">
        <f>IFERROR(IF($V505="BRAND.com",HLOOKUP($X505&amp;$Z505,PLANNING_FC!$T$27:$AH$46,MATCH($W505,PLANNING_FC!$B$27:$B$46,0),FALSE),0),0)</f>
        <v>0</v>
      </c>
      <c r="AY505" s="58">
        <f>IFERROR(IF($V505="BRAND.com",HLOOKUP($X505&amp;$Z505,PLANNING_FC!$T$4:$AH$23,MATCH($W505,PLANNING_FC!$B$4:$B$23,0),FALSE),0),0)</f>
        <v>0</v>
      </c>
      <c r="AZ505" s="58">
        <f>IFERROR(IF($V505="BRAND.com",HLOOKUP($X505&amp;$Z505,PLANNING_FC!$DA$27:$DO$46,MATCH($W505,PLANNING_FC!$CZ$27:$CZ$46,0),FALSE),0),0)</f>
        <v>0</v>
      </c>
      <c r="BA505" s="58">
        <f>IFERROR(IF($V505="BRAND.com",HLOOKUP($X505&amp;$Z505,PLANNING_FC!$DA$4:$DO$23,MATCH($W505,PLANNING_FC!$CZ$4:$CZ$23,0),FALSE),0),0)</f>
        <v>0</v>
      </c>
      <c r="BB505" s="883" t="str">
        <f>IF(V505="BRAND.com",IFERROR(HLOOKUP(X505&amp;Z505,PLANNING_FC!$AK$4:$AY$23,MATCH(W505,PLANNING_FC!$AJ$4:$AJ$23,0),FALSE)*1000,""),"")</f>
        <v/>
      </c>
      <c r="BC505" s="883" t="str">
        <f>IF(V505="BRAND.com",IFERROR(HLOOKUP(X505&amp;Z505,PLANNING_FC!$AK$27:$AY$46,MATCH(W505,PLANNING_FC!$AJ$27:$AJ$46,0),FALSE)*1000,""),"")</f>
        <v/>
      </c>
    </row>
    <row r="506" spans="1:55" x14ac:dyDescent="0.25">
      <c r="A506" s="509"/>
      <c r="B506" s="509"/>
      <c r="C506" s="509"/>
      <c r="D506" s="509"/>
      <c r="E506" s="509"/>
      <c r="F506" s="509"/>
      <c r="G506" s="511"/>
      <c r="H506" s="509"/>
      <c r="I506" s="512"/>
      <c r="J506" s="513"/>
      <c r="K506" s="514"/>
      <c r="L506" s="515"/>
      <c r="M506" s="516"/>
      <c r="N506" s="56">
        <f t="shared" si="166"/>
        <v>0</v>
      </c>
      <c r="O506" s="57">
        <f t="shared" si="167"/>
        <v>0</v>
      </c>
      <c r="P506" s="57">
        <f ca="1">IFERROR(IF(ISBLANK(H506),SUMIFS($AC:$AC,$V:$V,V506,$W:$W,W506,$X:$X,X506,$Y:$Y,Y506)*J506/(1-J506)*VLOOKUP(_xlfn.CONCAT(C506,D506,E506,TIME!$M$12,Z506),HIS_SALES!$B$2:$W$4859,20,FALSE),AC506*J506/(1-J506)),0)</f>
        <v>0</v>
      </c>
      <c r="Q506" s="541" t="str">
        <f t="shared" si="168"/>
        <v/>
      </c>
      <c r="R506" s="346" t="str">
        <f t="shared" si="169"/>
        <v>00000</v>
      </c>
      <c r="S506" s="344">
        <f t="shared" si="170"/>
        <v>0</v>
      </c>
      <c r="T506" s="345" t="str">
        <f t="shared" si="183"/>
        <v>000</v>
      </c>
      <c r="U506" s="345">
        <f t="shared" si="171"/>
        <v>0</v>
      </c>
      <c r="V506" s="345">
        <f t="shared" si="172"/>
        <v>0</v>
      </c>
      <c r="W506" s="345">
        <f t="shared" si="173"/>
        <v>0</v>
      </c>
      <c r="X506" s="345">
        <f t="shared" si="174"/>
        <v>0</v>
      </c>
      <c r="Y506" s="345">
        <f t="shared" si="175"/>
        <v>0</v>
      </c>
      <c r="Z506" s="345">
        <f>IF(Q506&lt;&gt;"",VLOOKUP(Y506,TIME!$R$21:$V$24,MATCH(FC_DATA!Q506,TIME!$R$20:$V$20,0),FALSE),H506)</f>
        <v>0</v>
      </c>
      <c r="AA506" s="345" t="str">
        <f>IFERROR(VLOOKUP(X506&amp;Z506,TIME!$A$12:$D$71,4,FALSE),"")</f>
        <v/>
      </c>
      <c r="AB506" s="592">
        <f t="shared" ca="1" si="176"/>
        <v>0</v>
      </c>
      <c r="AC506" s="593" t="e">
        <f ca="1">IF(ISBLANK(H506)=FALSE,IF(D506="BRAND.com",I506,IF(ISNA(VLOOKUP(_xlfn.CONCAT(X506,Z506),TIME!$M$40:$M$42,1,FALSE)),I506,VLOOKUP(_xlfn.CONCAT(D506,G506,H506),M_BUSAREA_FC!$AF$5:$AJ$10,5,FALSE)*HLOOKUP(_xlfn.CONCAT(F506,H506),ST_OVERVIEW!$G$99:$I$130,MATCH(_xlfn.CONCAT(D506,E506),ST_OVERVIEW!$F$99:$F$130,0),FALSE))),IF(D506="BRAND.com",VLOOKUP(_xlfn.CONCAT(C506,D506,E506,TIME!$F$1,Z506),HIS_SALES!$B$2:$V$4859,19,FALSE)*I506,VLOOKUP(_xlfn.CONCAT(D506,F506,G506),Q_BUSAREA_FC!$AE$5:$AI$12,5,FALSE)*HLOOKUP(_xlfn.CONCAT(FC_DATA!F506,FC_DATA!G506),LT_OVERVIEW!$I$99:$M$130,MATCH(_xlfn.CONCAT(D506,FC_DATA!E506),LT_OVERVIEW!$H$99:$H$130,0),FALSE)*IFERROR(VLOOKUP(_xlfn.CONCAT(C506,D506,E506,TIME!$F$1,Z506),HIS_SALES!$B$2:$V$4859,19,FALSE),0)))</f>
        <v>#N/A</v>
      </c>
      <c r="AD506" s="341">
        <f t="shared" ca="1" si="177"/>
        <v>0</v>
      </c>
      <c r="AE506" s="363" t="str">
        <f t="shared" si="178"/>
        <v/>
      </c>
      <c r="AF506" s="342" t="str">
        <f t="shared" si="179"/>
        <v/>
      </c>
      <c r="AG506" s="411" t="e">
        <f ca="1">VLOOKUP(_xlfn.CONCAT(U506,V506,W506,VLOOKUP(X506&amp;Y506,TIME!$L$27:$O$34,4,FALSE),Y506),HIS_SALES!$A$2:$R$5093,18,FALSE)</f>
        <v>#N/A</v>
      </c>
      <c r="AH506" s="412" t="e">
        <f ca="1">IFERROR(IF(AND(V506=V505,W506=W505),0.5*(AB506+AB505)*AG506,(VLOOKUP(_xlfn.CONCAT(U506,V506,W506,X506,VLOOKUP(Z506,TIME!$S$28:$T$39,2,FALSE)),FC_DATA!$R$2:$AB$5000,MATCH("GS_I_M",FC_DATA!$R$1:$AB$1,0),FALSE)+FC_DATA!AB506)*0.5*FC_DATA!AG506),NA())</f>
        <v>#N/A</v>
      </c>
      <c r="AI506" s="491" t="e">
        <f ca="1">IF(V506="PARTNER.com",AH506,IF(AND(V506=V505,W506=W505),(1-AVERAGE(AD505,AD506))*AH506,(1-AVERAGE(AD506,VLOOKUP(_xlfn.CONCAT(U506,V506,W506,X506,M_BRAND_FC!$F$6),FC_DATA!$R$2:$AD$5000,MATCH("DISCOUNT_%_M",FC_DATA!$R$1:$AD$1,0),FALSE)))*AH506))</f>
        <v>#N/A</v>
      </c>
      <c r="AJ506" s="412" t="str">
        <f t="shared" ca="1" si="180"/>
        <v/>
      </c>
      <c r="AK506" s="413" t="str">
        <f>IFERROR(AE506/(Q_BRAND_FC!$T$24+1),"")</f>
        <v/>
      </c>
      <c r="AL506" s="88" t="str">
        <f t="shared" ca="1" si="181"/>
        <v/>
      </c>
      <c r="AM506" s="414" t="str">
        <f t="shared" ca="1" si="182"/>
        <v/>
      </c>
      <c r="AN506" s="58">
        <f>IFERROR(IF($V506="BRAND.com",HLOOKUP($X506&amp;$Z506,NWC_FC_NOOS!$C$4:$Q$23,MATCH(W506,NWC_FC_NOOS!$B$4:$B$23,0),FALSE),0),0)</f>
        <v>0</v>
      </c>
      <c r="AO506" s="57">
        <f>IFERROR(IF($V506="BRAND.com",HLOOKUP($X506&amp;$Z506,NWC_FC_NOOS!$T$4:$AH$23,MATCH(W506,NWC_FC_NOOS!$S$4:$S$23,0),FALSE),0),0)</f>
        <v>0</v>
      </c>
      <c r="AP506" s="57">
        <f>IFERROR(IF($V506="BRAND.com",HLOOKUP($X506&amp;$Z506,NWC_FC_NOOS!$C$50:$U$69,MATCH(W506,NWC_FC_NOOS!$B$50:$B$69,0),FALSE),0),0)</f>
        <v>0</v>
      </c>
      <c r="AQ506" s="58">
        <f>IFERROR(IF($V506="BRAND.com",HLOOKUP($X506&amp;$Z506,'NWC_FC_NON-NOOS'!$C$4:$Q$23,MATCH(W506,'NWC_FC_NON-NOOS'!$B$4:$B$23,0),FALSE),0),0)</f>
        <v>0</v>
      </c>
      <c r="AR506" s="57">
        <f>IFERROR(IF($V506="BRAND.com",HLOOKUP($X506&amp;$Z506,'NWC_FC_NON-NOOS'!$T$4:$AH$23,MATCH(W506,'NWC_FC_NON-NOOS'!$S$4:$S$23,0),FALSE),0),0)</f>
        <v>0</v>
      </c>
      <c r="AS506" s="57">
        <f>IFERROR(IF($V506="BRAND.com",HLOOKUP($X506&amp;$Z506,'NWC_FC_NON-NOOS'!$C$50:$U$69,MATCH(W506,'NWC_FC_NON-NOOS'!$B$50:$B$69,0),FALSE),0),0)</f>
        <v>0</v>
      </c>
      <c r="AT506" s="57">
        <f t="shared" si="184"/>
        <v>0</v>
      </c>
      <c r="AU506" s="57">
        <f t="shared" si="185"/>
        <v>0</v>
      </c>
      <c r="AV506" s="58">
        <f>IFERROR(IF($V506="BRAND.com",HLOOKUP($X506&amp;$Z506,PLANNING_FC!$BB$27:$BP$46,MATCH($W506,PLANNING_FC!$BA$27:$BA$46,0),FALSE),0),0)</f>
        <v>0</v>
      </c>
      <c r="AW506" s="58">
        <f>IFERROR(IF($V506="BRAND.com",HLOOKUP($X506&amp;$Z506,PLANNING_FC!$BB$4:$BP$23,MATCH($W506,PLANNING_FC!$BA$4:$BA$23,0),FALSE),0),0)</f>
        <v>0</v>
      </c>
      <c r="AX506" s="58">
        <f>IFERROR(IF($V506="BRAND.com",HLOOKUP($X506&amp;$Z506,PLANNING_FC!$T$27:$AH$46,MATCH($W506,PLANNING_FC!$B$27:$B$46,0),FALSE),0),0)</f>
        <v>0</v>
      </c>
      <c r="AY506" s="58">
        <f>IFERROR(IF($V506="BRAND.com",HLOOKUP($X506&amp;$Z506,PLANNING_FC!$T$4:$AH$23,MATCH($W506,PLANNING_FC!$B$4:$B$23,0),FALSE),0),0)</f>
        <v>0</v>
      </c>
      <c r="AZ506" s="58">
        <f>IFERROR(IF($V506="BRAND.com",HLOOKUP($X506&amp;$Z506,PLANNING_FC!$DA$27:$DO$46,MATCH($W506,PLANNING_FC!$CZ$27:$CZ$46,0),FALSE),0),0)</f>
        <v>0</v>
      </c>
      <c r="BA506" s="58">
        <f>IFERROR(IF($V506="BRAND.com",HLOOKUP($X506&amp;$Z506,PLANNING_FC!$DA$4:$DO$23,MATCH($W506,PLANNING_FC!$CZ$4:$CZ$23,0),FALSE),0),0)</f>
        <v>0</v>
      </c>
      <c r="BB506" s="883" t="str">
        <f>IF(V506="BRAND.com",IFERROR(HLOOKUP(X506&amp;Z506,PLANNING_FC!$AK$4:$AY$23,MATCH(W506,PLANNING_FC!$AJ$4:$AJ$23,0),FALSE)*1000,""),"")</f>
        <v/>
      </c>
      <c r="BC506" s="883" t="str">
        <f>IF(V506="BRAND.com",IFERROR(HLOOKUP(X506&amp;Z506,PLANNING_FC!$AK$27:$AY$46,MATCH(W506,PLANNING_FC!$AJ$27:$AJ$46,0),FALSE)*1000,""),"")</f>
        <v/>
      </c>
    </row>
    <row r="507" spans="1:55" x14ac:dyDescent="0.25">
      <c r="A507" s="509"/>
      <c r="B507" s="509"/>
      <c r="C507" s="509"/>
      <c r="D507" s="509"/>
      <c r="E507" s="509"/>
      <c r="F507" s="509"/>
      <c r="G507" s="509"/>
      <c r="H507" s="509"/>
      <c r="I507" s="512"/>
      <c r="J507" s="513"/>
      <c r="K507" s="514"/>
      <c r="L507" s="515"/>
      <c r="M507" s="516"/>
      <c r="N507" s="56">
        <f t="shared" si="166"/>
        <v>0</v>
      </c>
      <c r="O507" s="57">
        <f t="shared" si="167"/>
        <v>0</v>
      </c>
      <c r="P507" s="57">
        <f ca="1">IFERROR(IF(ISBLANK(H507),SUMIFS($AC:$AC,$V:$V,V507,$W:$W,W507,$X:$X,X507,$Y:$Y,Y507)*J507/(1-J507)*VLOOKUP(_xlfn.CONCAT(C507,D507,E507,TIME!$M$12,Z507),HIS_SALES!$B$2:$W$4859,20,FALSE),AC507*J507/(1-J507)),0)</f>
        <v>0</v>
      </c>
      <c r="Q507" s="541" t="str">
        <f t="shared" si="168"/>
        <v/>
      </c>
      <c r="R507" s="346" t="str">
        <f t="shared" si="169"/>
        <v>00000</v>
      </c>
      <c r="S507" s="344">
        <f t="shared" si="170"/>
        <v>0</v>
      </c>
      <c r="T507" s="345" t="str">
        <f t="shared" si="183"/>
        <v>000</v>
      </c>
      <c r="U507" s="345">
        <f t="shared" si="171"/>
        <v>0</v>
      </c>
      <c r="V507" s="345">
        <f t="shared" si="172"/>
        <v>0</v>
      </c>
      <c r="W507" s="345">
        <f t="shared" si="173"/>
        <v>0</v>
      </c>
      <c r="X507" s="345">
        <f t="shared" si="174"/>
        <v>0</v>
      </c>
      <c r="Y507" s="345">
        <f t="shared" si="175"/>
        <v>0</v>
      </c>
      <c r="Z507" s="345">
        <f>IF(Q507&lt;&gt;"",VLOOKUP(Y507,TIME!$R$21:$V$24,MATCH(FC_DATA!Q507,TIME!$R$20:$V$20,0),FALSE),H507)</f>
        <v>0</v>
      </c>
      <c r="AA507" s="345" t="str">
        <f>IFERROR(VLOOKUP(X507&amp;Z507,TIME!$A$12:$D$71,4,FALSE),"")</f>
        <v/>
      </c>
      <c r="AB507" s="592">
        <f t="shared" ca="1" si="176"/>
        <v>0</v>
      </c>
      <c r="AC507" s="593" t="e">
        <f ca="1">IF(ISBLANK(H507)=FALSE,IF(D507="BRAND.com",I507,IF(ISNA(VLOOKUP(_xlfn.CONCAT(X507,Z507),TIME!$M$40:$M$42,1,FALSE)),I507,VLOOKUP(_xlfn.CONCAT(D507,G507,H507),M_BUSAREA_FC!$AF$5:$AJ$10,5,FALSE)*HLOOKUP(_xlfn.CONCAT(F507,H507),ST_OVERVIEW!$G$99:$I$130,MATCH(_xlfn.CONCAT(D507,E507),ST_OVERVIEW!$F$99:$F$130,0),FALSE))),IF(D507="BRAND.com",VLOOKUP(_xlfn.CONCAT(C507,D507,E507,TIME!$F$1,Z507),HIS_SALES!$B$2:$V$4859,19,FALSE)*I507,VLOOKUP(_xlfn.CONCAT(D507,F507,G507),Q_BUSAREA_FC!$AE$5:$AI$12,5,FALSE)*HLOOKUP(_xlfn.CONCAT(FC_DATA!F507,FC_DATA!G507),LT_OVERVIEW!$I$99:$M$130,MATCH(_xlfn.CONCAT(D507,FC_DATA!E507),LT_OVERVIEW!$H$99:$H$130,0),FALSE)*IFERROR(VLOOKUP(_xlfn.CONCAT(C507,D507,E507,TIME!$F$1,Z507),HIS_SALES!$B$2:$V$4859,19,FALSE),0)))</f>
        <v>#N/A</v>
      </c>
      <c r="AD507" s="341">
        <f t="shared" ca="1" si="177"/>
        <v>0</v>
      </c>
      <c r="AE507" s="363" t="str">
        <f t="shared" si="178"/>
        <v/>
      </c>
      <c r="AF507" s="342" t="str">
        <f t="shared" si="179"/>
        <v/>
      </c>
      <c r="AG507" s="411" t="e">
        <f ca="1">VLOOKUP(_xlfn.CONCAT(U507,V507,W507,VLOOKUP(X507&amp;Y507,TIME!$L$27:$O$34,4,FALSE),Y507),HIS_SALES!$A$2:$R$5093,18,FALSE)</f>
        <v>#N/A</v>
      </c>
      <c r="AH507" s="412" t="e">
        <f ca="1">IFERROR(IF(AND(V507=V506,W507=W506),0.5*(AB507+AB506)*AG507,(VLOOKUP(_xlfn.CONCAT(U507,V507,W507,X507,VLOOKUP(Z507,TIME!$S$28:$T$39,2,FALSE)),FC_DATA!$R$2:$AB$5000,MATCH("GS_I_M",FC_DATA!$R$1:$AB$1,0),FALSE)+FC_DATA!AB507)*0.5*FC_DATA!AG507),NA())</f>
        <v>#N/A</v>
      </c>
      <c r="AI507" s="491" t="e">
        <f ca="1">IF(V507="PARTNER.com",AH507,IF(AND(V507=V506,W507=W506),(1-AVERAGE(AD506,AD507))*AH507,(1-AVERAGE(AD507,VLOOKUP(_xlfn.CONCAT(U507,V507,W507,X507,M_BRAND_FC!$F$6),FC_DATA!$R$2:$AD$5000,MATCH("DISCOUNT_%_M",FC_DATA!$R$1:$AD$1,0),FALSE)))*AH507))</f>
        <v>#N/A</v>
      </c>
      <c r="AJ507" s="412" t="str">
        <f t="shared" ca="1" si="180"/>
        <v/>
      </c>
      <c r="AK507" s="413" t="str">
        <f>IFERROR(AE507/(Q_BRAND_FC!$T$24+1),"")</f>
        <v/>
      </c>
      <c r="AL507" s="88" t="str">
        <f t="shared" ca="1" si="181"/>
        <v/>
      </c>
      <c r="AM507" s="414" t="str">
        <f t="shared" ca="1" si="182"/>
        <v/>
      </c>
      <c r="AN507" s="58">
        <f>IFERROR(IF($V507="BRAND.com",HLOOKUP($X507&amp;$Z507,NWC_FC_NOOS!$C$4:$Q$23,MATCH(W507,NWC_FC_NOOS!$B$4:$B$23,0),FALSE),0),0)</f>
        <v>0</v>
      </c>
      <c r="AO507" s="57">
        <f>IFERROR(IF($V507="BRAND.com",HLOOKUP($X507&amp;$Z507,NWC_FC_NOOS!$T$4:$AH$23,MATCH(W507,NWC_FC_NOOS!$S$4:$S$23,0),FALSE),0),0)</f>
        <v>0</v>
      </c>
      <c r="AP507" s="57">
        <f>IFERROR(IF($V507="BRAND.com",HLOOKUP($X507&amp;$Z507,NWC_FC_NOOS!$C$50:$U$69,MATCH(W507,NWC_FC_NOOS!$B$50:$B$69,0),FALSE),0),0)</f>
        <v>0</v>
      </c>
      <c r="AQ507" s="58">
        <f>IFERROR(IF($V507="BRAND.com",HLOOKUP($X507&amp;$Z507,'NWC_FC_NON-NOOS'!$C$4:$Q$23,MATCH(W507,'NWC_FC_NON-NOOS'!$B$4:$B$23,0),FALSE),0),0)</f>
        <v>0</v>
      </c>
      <c r="AR507" s="57">
        <f>IFERROR(IF($V507="BRAND.com",HLOOKUP($X507&amp;$Z507,'NWC_FC_NON-NOOS'!$T$4:$AH$23,MATCH(W507,'NWC_FC_NON-NOOS'!$S$4:$S$23,0),FALSE),0),0)</f>
        <v>0</v>
      </c>
      <c r="AS507" s="57">
        <f>IFERROR(IF($V507="BRAND.com",HLOOKUP($X507&amp;$Z507,'NWC_FC_NON-NOOS'!$C$50:$U$69,MATCH(W507,'NWC_FC_NON-NOOS'!$B$50:$B$69,0),FALSE),0),0)</f>
        <v>0</v>
      </c>
      <c r="AT507" s="57">
        <f t="shared" si="184"/>
        <v>0</v>
      </c>
      <c r="AU507" s="57">
        <f t="shared" si="185"/>
        <v>0</v>
      </c>
      <c r="AV507" s="58">
        <f>IFERROR(IF($V507="BRAND.com",HLOOKUP($X507&amp;$Z507,PLANNING_FC!$BB$27:$BP$46,MATCH($W507,PLANNING_FC!$BA$27:$BA$46,0),FALSE),0),0)</f>
        <v>0</v>
      </c>
      <c r="AW507" s="58">
        <f>IFERROR(IF($V507="BRAND.com",HLOOKUP($X507&amp;$Z507,PLANNING_FC!$BB$4:$BP$23,MATCH($W507,PLANNING_FC!$BA$4:$BA$23,0),FALSE),0),0)</f>
        <v>0</v>
      </c>
      <c r="AX507" s="58">
        <f>IFERROR(IF($V507="BRAND.com",HLOOKUP($X507&amp;$Z507,PLANNING_FC!$T$27:$AH$46,MATCH($W507,PLANNING_FC!$B$27:$B$46,0),FALSE),0),0)</f>
        <v>0</v>
      </c>
      <c r="AY507" s="58">
        <f>IFERROR(IF($V507="BRAND.com",HLOOKUP($X507&amp;$Z507,PLANNING_FC!$T$4:$AH$23,MATCH($W507,PLANNING_FC!$B$4:$B$23,0),FALSE),0),0)</f>
        <v>0</v>
      </c>
      <c r="AZ507" s="58">
        <f>IFERROR(IF($V507="BRAND.com",HLOOKUP($X507&amp;$Z507,PLANNING_FC!$DA$27:$DO$46,MATCH($W507,PLANNING_FC!$CZ$27:$CZ$46,0),FALSE),0),0)</f>
        <v>0</v>
      </c>
      <c r="BA507" s="58">
        <f>IFERROR(IF($V507="BRAND.com",HLOOKUP($X507&amp;$Z507,PLANNING_FC!$DA$4:$DO$23,MATCH($W507,PLANNING_FC!$CZ$4:$CZ$23,0),FALSE),0),0)</f>
        <v>0</v>
      </c>
      <c r="BB507" s="883" t="str">
        <f>IF(V507="BRAND.com",IFERROR(HLOOKUP(X507&amp;Z507,PLANNING_FC!$AK$4:$AY$23,MATCH(W507,PLANNING_FC!$AJ$4:$AJ$23,0),FALSE)*1000,""),"")</f>
        <v/>
      </c>
      <c r="BC507" s="883" t="str">
        <f>IF(V507="BRAND.com",IFERROR(HLOOKUP(X507&amp;Z507,PLANNING_FC!$AK$27:$AY$46,MATCH(W507,PLANNING_FC!$AJ$27:$AJ$46,0),FALSE)*1000,""),"")</f>
        <v/>
      </c>
    </row>
    <row r="508" spans="1:55" x14ac:dyDescent="0.25">
      <c r="A508" s="509"/>
      <c r="B508" s="509"/>
      <c r="C508" s="509"/>
      <c r="D508" s="509"/>
      <c r="E508" s="509"/>
      <c r="F508" s="509"/>
      <c r="G508" s="509"/>
      <c r="H508" s="509"/>
      <c r="I508" s="512"/>
      <c r="J508" s="513"/>
      <c r="K508" s="514"/>
      <c r="L508" s="515"/>
      <c r="M508" s="516"/>
      <c r="N508" s="56">
        <f t="shared" si="166"/>
        <v>0</v>
      </c>
      <c r="O508" s="57">
        <f t="shared" si="167"/>
        <v>0</v>
      </c>
      <c r="P508" s="57">
        <f ca="1">IFERROR(IF(ISBLANK(H508),SUMIFS($AC:$AC,$V:$V,V508,$W:$W,W508,$X:$X,X508,$Y:$Y,Y508)*J508/(1-J508)*VLOOKUP(_xlfn.CONCAT(C508,D508,E508,TIME!$M$12,Z508),HIS_SALES!$B$2:$W$4859,20,FALSE),AC508*J508/(1-J508)),0)</f>
        <v>0</v>
      </c>
      <c r="Q508" s="541" t="str">
        <f t="shared" si="168"/>
        <v/>
      </c>
      <c r="R508" s="346" t="str">
        <f t="shared" si="169"/>
        <v>00000</v>
      </c>
      <c r="S508" s="344">
        <f t="shared" si="170"/>
        <v>0</v>
      </c>
      <c r="T508" s="345" t="str">
        <f t="shared" si="183"/>
        <v>000</v>
      </c>
      <c r="U508" s="345">
        <f t="shared" si="171"/>
        <v>0</v>
      </c>
      <c r="V508" s="345">
        <f t="shared" si="172"/>
        <v>0</v>
      </c>
      <c r="W508" s="345">
        <f t="shared" si="173"/>
        <v>0</v>
      </c>
      <c r="X508" s="345">
        <f t="shared" si="174"/>
        <v>0</v>
      </c>
      <c r="Y508" s="345">
        <f t="shared" si="175"/>
        <v>0</v>
      </c>
      <c r="Z508" s="345">
        <f>IF(Q508&lt;&gt;"",VLOOKUP(Y508,TIME!$R$21:$V$24,MATCH(FC_DATA!Q508,TIME!$R$20:$V$20,0),FALSE),H508)</f>
        <v>0</v>
      </c>
      <c r="AA508" s="345" t="str">
        <f>IFERROR(VLOOKUP(X508&amp;Z508,TIME!$A$12:$D$71,4,FALSE),"")</f>
        <v/>
      </c>
      <c r="AB508" s="592">
        <f t="shared" ca="1" si="176"/>
        <v>0</v>
      </c>
      <c r="AC508" s="593" t="e">
        <f ca="1">IF(ISBLANK(H508)=FALSE,IF(D508="BRAND.com",I508,IF(ISNA(VLOOKUP(_xlfn.CONCAT(X508,Z508),TIME!$M$40:$M$42,1,FALSE)),I508,VLOOKUP(_xlfn.CONCAT(D508,G508,H508),M_BUSAREA_FC!$AF$5:$AJ$10,5,FALSE)*HLOOKUP(_xlfn.CONCAT(F508,H508),ST_OVERVIEW!$G$99:$I$130,MATCH(_xlfn.CONCAT(D508,E508),ST_OVERVIEW!$F$99:$F$130,0),FALSE))),IF(D508="BRAND.com",VLOOKUP(_xlfn.CONCAT(C508,D508,E508,TIME!$F$1,Z508),HIS_SALES!$B$2:$V$4859,19,FALSE)*I508,VLOOKUP(_xlfn.CONCAT(D508,F508,G508),Q_BUSAREA_FC!$AE$5:$AI$12,5,FALSE)*HLOOKUP(_xlfn.CONCAT(FC_DATA!F508,FC_DATA!G508),LT_OVERVIEW!$I$99:$M$130,MATCH(_xlfn.CONCAT(D508,FC_DATA!E508),LT_OVERVIEW!$H$99:$H$130,0),FALSE)*IFERROR(VLOOKUP(_xlfn.CONCAT(C508,D508,E508,TIME!$F$1,Z508),HIS_SALES!$B$2:$V$4859,19,FALSE),0)))</f>
        <v>#N/A</v>
      </c>
      <c r="AD508" s="341">
        <f t="shared" ca="1" si="177"/>
        <v>0</v>
      </c>
      <c r="AE508" s="363" t="str">
        <f t="shared" si="178"/>
        <v/>
      </c>
      <c r="AF508" s="342" t="str">
        <f t="shared" si="179"/>
        <v/>
      </c>
      <c r="AG508" s="411" t="e">
        <f ca="1">VLOOKUP(_xlfn.CONCAT(U508,V508,W508,VLOOKUP(X508&amp;Y508,TIME!$L$27:$O$34,4,FALSE),Y508),HIS_SALES!$A$2:$R$5093,18,FALSE)</f>
        <v>#N/A</v>
      </c>
      <c r="AH508" s="412" t="e">
        <f ca="1">IFERROR(IF(AND(V508=V507,W508=W507),0.5*(AB508+AB507)*AG508,(VLOOKUP(_xlfn.CONCAT(U508,V508,W508,X508,VLOOKUP(Z508,TIME!$S$28:$T$39,2,FALSE)),FC_DATA!$R$2:$AB$5000,MATCH("GS_I_M",FC_DATA!$R$1:$AB$1,0),FALSE)+FC_DATA!AB508)*0.5*FC_DATA!AG508),NA())</f>
        <v>#N/A</v>
      </c>
      <c r="AI508" s="491" t="e">
        <f ca="1">IF(V508="PARTNER.com",AH508,IF(AND(V508=V507,W508=W507),(1-AVERAGE(AD507,AD508))*AH508,(1-AVERAGE(AD508,VLOOKUP(_xlfn.CONCAT(U508,V508,W508,X508,M_BRAND_FC!$F$6),FC_DATA!$R$2:$AD$5000,MATCH("DISCOUNT_%_M",FC_DATA!$R$1:$AD$1,0),FALSE)))*AH508))</f>
        <v>#N/A</v>
      </c>
      <c r="AJ508" s="412" t="str">
        <f t="shared" ca="1" si="180"/>
        <v/>
      </c>
      <c r="AK508" s="413" t="str">
        <f>IFERROR(AE508/(Q_BRAND_FC!$T$24+1),"")</f>
        <v/>
      </c>
      <c r="AL508" s="88" t="str">
        <f t="shared" ca="1" si="181"/>
        <v/>
      </c>
      <c r="AM508" s="414" t="str">
        <f t="shared" ca="1" si="182"/>
        <v/>
      </c>
      <c r="AN508" s="58">
        <f>IFERROR(IF($V508="BRAND.com",HLOOKUP($X508&amp;$Z508,NWC_FC_NOOS!$C$4:$Q$23,MATCH(W508,NWC_FC_NOOS!$B$4:$B$23,0),FALSE),0),0)</f>
        <v>0</v>
      </c>
      <c r="AO508" s="57">
        <f>IFERROR(IF($V508="BRAND.com",HLOOKUP($X508&amp;$Z508,NWC_FC_NOOS!$T$4:$AH$23,MATCH(W508,NWC_FC_NOOS!$S$4:$S$23,0),FALSE),0),0)</f>
        <v>0</v>
      </c>
      <c r="AP508" s="57">
        <f>IFERROR(IF($V508="BRAND.com",HLOOKUP($X508&amp;$Z508,NWC_FC_NOOS!$C$50:$U$69,MATCH(W508,NWC_FC_NOOS!$B$50:$B$69,0),FALSE),0),0)</f>
        <v>0</v>
      </c>
      <c r="AQ508" s="58">
        <f>IFERROR(IF($V508="BRAND.com",HLOOKUP($X508&amp;$Z508,'NWC_FC_NON-NOOS'!$C$4:$Q$23,MATCH(W508,'NWC_FC_NON-NOOS'!$B$4:$B$23,0),FALSE),0),0)</f>
        <v>0</v>
      </c>
      <c r="AR508" s="57">
        <f>IFERROR(IF($V508="BRAND.com",HLOOKUP($X508&amp;$Z508,'NWC_FC_NON-NOOS'!$T$4:$AH$23,MATCH(W508,'NWC_FC_NON-NOOS'!$S$4:$S$23,0),FALSE),0),0)</f>
        <v>0</v>
      </c>
      <c r="AS508" s="57">
        <f>IFERROR(IF($V508="BRAND.com",HLOOKUP($X508&amp;$Z508,'NWC_FC_NON-NOOS'!$C$50:$U$69,MATCH(W508,'NWC_FC_NON-NOOS'!$B$50:$B$69,0),FALSE),0),0)</f>
        <v>0</v>
      </c>
      <c r="AT508" s="57">
        <f t="shared" si="184"/>
        <v>0</v>
      </c>
      <c r="AU508" s="57">
        <f t="shared" si="185"/>
        <v>0</v>
      </c>
      <c r="AV508" s="58">
        <f>IFERROR(IF($V508="BRAND.com",HLOOKUP($X508&amp;$Z508,PLANNING_FC!$BB$27:$BP$46,MATCH($W508,PLANNING_FC!$BA$27:$BA$46,0),FALSE),0),0)</f>
        <v>0</v>
      </c>
      <c r="AW508" s="58">
        <f>IFERROR(IF($V508="BRAND.com",HLOOKUP($X508&amp;$Z508,PLANNING_FC!$BB$4:$BP$23,MATCH($W508,PLANNING_FC!$BA$4:$BA$23,0),FALSE),0),0)</f>
        <v>0</v>
      </c>
      <c r="AX508" s="58">
        <f>IFERROR(IF($V508="BRAND.com",HLOOKUP($X508&amp;$Z508,PLANNING_FC!$T$27:$AH$46,MATCH($W508,PLANNING_FC!$B$27:$B$46,0),FALSE),0),0)</f>
        <v>0</v>
      </c>
      <c r="AY508" s="58">
        <f>IFERROR(IF($V508="BRAND.com",HLOOKUP($X508&amp;$Z508,PLANNING_FC!$T$4:$AH$23,MATCH($W508,PLANNING_FC!$B$4:$B$23,0),FALSE),0),0)</f>
        <v>0</v>
      </c>
      <c r="AZ508" s="58">
        <f>IFERROR(IF($V508="BRAND.com",HLOOKUP($X508&amp;$Z508,PLANNING_FC!$DA$27:$DO$46,MATCH($W508,PLANNING_FC!$CZ$27:$CZ$46,0),FALSE),0),0)</f>
        <v>0</v>
      </c>
      <c r="BA508" s="58">
        <f>IFERROR(IF($V508="BRAND.com",HLOOKUP($X508&amp;$Z508,PLANNING_FC!$DA$4:$DO$23,MATCH($W508,PLANNING_FC!$CZ$4:$CZ$23,0),FALSE),0),0)</f>
        <v>0</v>
      </c>
      <c r="BB508" s="883" t="str">
        <f>IF(V508="BRAND.com",IFERROR(HLOOKUP(X508&amp;Z508,PLANNING_FC!$AK$4:$AY$23,MATCH(W508,PLANNING_FC!$AJ$4:$AJ$23,0),FALSE)*1000,""),"")</f>
        <v/>
      </c>
      <c r="BC508" s="883" t="str">
        <f>IF(V508="BRAND.com",IFERROR(HLOOKUP(X508&amp;Z508,PLANNING_FC!$AK$27:$AY$46,MATCH(W508,PLANNING_FC!$AJ$27:$AJ$46,0),FALSE)*1000,""),"")</f>
        <v/>
      </c>
    </row>
    <row r="509" spans="1:55" x14ac:dyDescent="0.25">
      <c r="A509" s="509"/>
      <c r="B509" s="509"/>
      <c r="C509" s="509"/>
      <c r="D509" s="509"/>
      <c r="E509" s="509"/>
      <c r="F509" s="509"/>
      <c r="G509" s="509"/>
      <c r="H509" s="509"/>
      <c r="I509" s="512"/>
      <c r="J509" s="513"/>
      <c r="K509" s="514"/>
      <c r="L509" s="515"/>
      <c r="M509" s="516"/>
      <c r="N509" s="56">
        <f t="shared" si="166"/>
        <v>0</v>
      </c>
      <c r="O509" s="57">
        <f t="shared" si="167"/>
        <v>0</v>
      </c>
      <c r="P509" s="57">
        <f ca="1">IFERROR(IF(ISBLANK(H509),SUMIFS($AC:$AC,$V:$V,V509,$W:$W,W509,$X:$X,X509,$Y:$Y,Y509)*J509/(1-J509)*VLOOKUP(_xlfn.CONCAT(C509,D509,E509,TIME!$M$12,Z509),HIS_SALES!$B$2:$W$4859,20,FALSE),AC509*J509/(1-J509)),0)</f>
        <v>0</v>
      </c>
      <c r="Q509" s="541" t="str">
        <f t="shared" si="168"/>
        <v/>
      </c>
      <c r="R509" s="346" t="str">
        <f t="shared" si="169"/>
        <v>00000</v>
      </c>
      <c r="S509" s="344">
        <f t="shared" si="170"/>
        <v>0</v>
      </c>
      <c r="T509" s="345" t="str">
        <f t="shared" si="183"/>
        <v>000</v>
      </c>
      <c r="U509" s="345">
        <f t="shared" si="171"/>
        <v>0</v>
      </c>
      <c r="V509" s="345">
        <f t="shared" si="172"/>
        <v>0</v>
      </c>
      <c r="W509" s="345">
        <f t="shared" si="173"/>
        <v>0</v>
      </c>
      <c r="X509" s="345">
        <f t="shared" si="174"/>
        <v>0</v>
      </c>
      <c r="Y509" s="345">
        <f t="shared" si="175"/>
        <v>0</v>
      </c>
      <c r="Z509" s="345">
        <f>IF(Q509&lt;&gt;"",VLOOKUP(Y509,TIME!$R$21:$V$24,MATCH(FC_DATA!Q509,TIME!$R$20:$V$20,0),FALSE),H509)</f>
        <v>0</v>
      </c>
      <c r="AA509" s="345" t="str">
        <f>IFERROR(VLOOKUP(X509&amp;Z509,TIME!$A$12:$D$71,4,FALSE),"")</f>
        <v/>
      </c>
      <c r="AB509" s="592">
        <f t="shared" ca="1" si="176"/>
        <v>0</v>
      </c>
      <c r="AC509" s="593" t="e">
        <f ca="1">IF(ISBLANK(H509)=FALSE,IF(D509="BRAND.com",I509,IF(ISNA(VLOOKUP(_xlfn.CONCAT(X509,Z509),TIME!$M$40:$M$42,1,FALSE)),I509,VLOOKUP(_xlfn.CONCAT(D509,G509,H509),M_BUSAREA_FC!$AF$5:$AJ$10,5,FALSE)*HLOOKUP(_xlfn.CONCAT(F509,H509),ST_OVERVIEW!$G$99:$I$130,MATCH(_xlfn.CONCAT(D509,E509),ST_OVERVIEW!$F$99:$F$130,0),FALSE))),IF(D509="BRAND.com",VLOOKUP(_xlfn.CONCAT(C509,D509,E509,TIME!$F$1,Z509),HIS_SALES!$B$2:$V$4859,19,FALSE)*I509,VLOOKUP(_xlfn.CONCAT(D509,F509,G509),Q_BUSAREA_FC!$AE$5:$AI$12,5,FALSE)*HLOOKUP(_xlfn.CONCAT(FC_DATA!F509,FC_DATA!G509),LT_OVERVIEW!$I$99:$M$130,MATCH(_xlfn.CONCAT(D509,FC_DATA!E509),LT_OVERVIEW!$H$99:$H$130,0),FALSE)*IFERROR(VLOOKUP(_xlfn.CONCAT(C509,D509,E509,TIME!$F$1,Z509),HIS_SALES!$B$2:$V$4859,19,FALSE),0)))</f>
        <v>#N/A</v>
      </c>
      <c r="AD509" s="341">
        <f t="shared" ca="1" si="177"/>
        <v>0</v>
      </c>
      <c r="AE509" s="363" t="str">
        <f t="shared" si="178"/>
        <v/>
      </c>
      <c r="AF509" s="342" t="str">
        <f t="shared" si="179"/>
        <v/>
      </c>
      <c r="AG509" s="411" t="e">
        <f ca="1">VLOOKUP(_xlfn.CONCAT(U509,V509,W509,VLOOKUP(X509&amp;Y509,TIME!$L$27:$O$34,4,FALSE),Y509),HIS_SALES!$A$2:$R$5093,18,FALSE)</f>
        <v>#N/A</v>
      </c>
      <c r="AH509" s="412" t="e">
        <f ca="1">IFERROR(IF(AND(V509=V508,W509=W508),0.5*(AB509+AB508)*AG509,(VLOOKUP(_xlfn.CONCAT(U509,V509,W509,X509,VLOOKUP(Z509,TIME!$S$28:$T$39,2,FALSE)),FC_DATA!$R$2:$AB$5000,MATCH("GS_I_M",FC_DATA!$R$1:$AB$1,0),FALSE)+FC_DATA!AB509)*0.5*FC_DATA!AG509),NA())</f>
        <v>#N/A</v>
      </c>
      <c r="AI509" s="491" t="e">
        <f ca="1">IF(V509="PARTNER.com",AH509,IF(AND(V509=V508,W509=W508),(1-AVERAGE(AD508,AD509))*AH509,(1-AVERAGE(AD509,VLOOKUP(_xlfn.CONCAT(U509,V509,W509,X509,M_BRAND_FC!$F$6),FC_DATA!$R$2:$AD$5000,MATCH("DISCOUNT_%_M",FC_DATA!$R$1:$AD$1,0),FALSE)))*AH509))</f>
        <v>#N/A</v>
      </c>
      <c r="AJ509" s="412" t="str">
        <f t="shared" ca="1" si="180"/>
        <v/>
      </c>
      <c r="AK509" s="413" t="str">
        <f>IFERROR(AE509/(Q_BRAND_FC!$T$24+1),"")</f>
        <v/>
      </c>
      <c r="AL509" s="88" t="str">
        <f t="shared" ca="1" si="181"/>
        <v/>
      </c>
      <c r="AM509" s="414" t="str">
        <f t="shared" ca="1" si="182"/>
        <v/>
      </c>
      <c r="AN509" s="58">
        <f>IFERROR(IF($V509="BRAND.com",HLOOKUP($X509&amp;$Z509,NWC_FC_NOOS!$C$4:$Q$23,MATCH(W509,NWC_FC_NOOS!$B$4:$B$23,0),FALSE),0),0)</f>
        <v>0</v>
      </c>
      <c r="AO509" s="57">
        <f>IFERROR(IF($V509="BRAND.com",HLOOKUP($X509&amp;$Z509,NWC_FC_NOOS!$T$4:$AH$23,MATCH(W509,NWC_FC_NOOS!$S$4:$S$23,0),FALSE),0),0)</f>
        <v>0</v>
      </c>
      <c r="AP509" s="57">
        <f>IFERROR(IF($V509="BRAND.com",HLOOKUP($X509&amp;$Z509,NWC_FC_NOOS!$C$50:$U$69,MATCH(W509,NWC_FC_NOOS!$B$50:$B$69,0),FALSE),0),0)</f>
        <v>0</v>
      </c>
      <c r="AQ509" s="58">
        <f>IFERROR(IF($V509="BRAND.com",HLOOKUP($X509&amp;$Z509,'NWC_FC_NON-NOOS'!$C$4:$Q$23,MATCH(W509,'NWC_FC_NON-NOOS'!$B$4:$B$23,0),FALSE),0),0)</f>
        <v>0</v>
      </c>
      <c r="AR509" s="57">
        <f>IFERROR(IF($V509="BRAND.com",HLOOKUP($X509&amp;$Z509,'NWC_FC_NON-NOOS'!$T$4:$AH$23,MATCH(W509,'NWC_FC_NON-NOOS'!$S$4:$S$23,0),FALSE),0),0)</f>
        <v>0</v>
      </c>
      <c r="AS509" s="57">
        <f>IFERROR(IF($V509="BRAND.com",HLOOKUP($X509&amp;$Z509,'NWC_FC_NON-NOOS'!$C$50:$U$69,MATCH(W509,'NWC_FC_NON-NOOS'!$B$50:$B$69,0),FALSE),0),0)</f>
        <v>0</v>
      </c>
      <c r="AT509" s="57">
        <f t="shared" si="184"/>
        <v>0</v>
      </c>
      <c r="AU509" s="57">
        <f t="shared" si="185"/>
        <v>0</v>
      </c>
      <c r="AV509" s="58">
        <f>IFERROR(IF($V509="BRAND.com",HLOOKUP($X509&amp;$Z509,PLANNING_FC!$BB$27:$BP$46,MATCH($W509,PLANNING_FC!$BA$27:$BA$46,0),FALSE),0),0)</f>
        <v>0</v>
      </c>
      <c r="AW509" s="58">
        <f>IFERROR(IF($V509="BRAND.com",HLOOKUP($X509&amp;$Z509,PLANNING_FC!$BB$4:$BP$23,MATCH($W509,PLANNING_FC!$BA$4:$BA$23,0),FALSE),0),0)</f>
        <v>0</v>
      </c>
      <c r="AX509" s="58">
        <f>IFERROR(IF($V509="BRAND.com",HLOOKUP($X509&amp;$Z509,PLANNING_FC!$T$27:$AH$46,MATCH($W509,PLANNING_FC!$B$27:$B$46,0),FALSE),0),0)</f>
        <v>0</v>
      </c>
      <c r="AY509" s="58">
        <f>IFERROR(IF($V509="BRAND.com",HLOOKUP($X509&amp;$Z509,PLANNING_FC!$T$4:$AH$23,MATCH($W509,PLANNING_FC!$B$4:$B$23,0),FALSE),0),0)</f>
        <v>0</v>
      </c>
      <c r="AZ509" s="58">
        <f>IFERROR(IF($V509="BRAND.com",HLOOKUP($X509&amp;$Z509,PLANNING_FC!$DA$27:$DO$46,MATCH($W509,PLANNING_FC!$CZ$27:$CZ$46,0),FALSE),0),0)</f>
        <v>0</v>
      </c>
      <c r="BA509" s="58">
        <f>IFERROR(IF($V509="BRAND.com",HLOOKUP($X509&amp;$Z509,PLANNING_FC!$DA$4:$DO$23,MATCH($W509,PLANNING_FC!$CZ$4:$CZ$23,0),FALSE),0),0)</f>
        <v>0</v>
      </c>
      <c r="BB509" s="883" t="str">
        <f>IF(V509="BRAND.com",IFERROR(HLOOKUP(X509&amp;Z509,PLANNING_FC!$AK$4:$AY$23,MATCH(W509,PLANNING_FC!$AJ$4:$AJ$23,0),FALSE)*1000,""),"")</f>
        <v/>
      </c>
      <c r="BC509" s="883" t="str">
        <f>IF(V509="BRAND.com",IFERROR(HLOOKUP(X509&amp;Z509,PLANNING_FC!$AK$27:$AY$46,MATCH(W509,PLANNING_FC!$AJ$27:$AJ$46,0),FALSE)*1000,""),"")</f>
        <v/>
      </c>
    </row>
    <row r="510" spans="1:55" x14ac:dyDescent="0.25">
      <c r="A510" s="509"/>
      <c r="B510" s="509"/>
      <c r="C510" s="509"/>
      <c r="D510" s="509"/>
      <c r="E510" s="509"/>
      <c r="F510" s="509"/>
      <c r="G510" s="511"/>
      <c r="H510" s="509"/>
      <c r="I510" s="512"/>
      <c r="J510" s="513"/>
      <c r="K510" s="514"/>
      <c r="L510" s="515"/>
      <c r="M510" s="516"/>
      <c r="N510" s="56">
        <f t="shared" si="166"/>
        <v>0</v>
      </c>
      <c r="O510" s="57">
        <f t="shared" si="167"/>
        <v>0</v>
      </c>
      <c r="P510" s="57">
        <f ca="1">IFERROR(IF(ISBLANK(H510),SUMIFS($AC:$AC,$V:$V,V510,$W:$W,W510,$X:$X,X510,$Y:$Y,Y510)*J510/(1-J510)*VLOOKUP(_xlfn.CONCAT(C510,D510,E510,TIME!$M$12,Z510),HIS_SALES!$B$2:$W$4859,20,FALSE),AC510*J510/(1-J510)),0)</f>
        <v>0</v>
      </c>
      <c r="Q510" s="541" t="str">
        <f t="shared" si="168"/>
        <v/>
      </c>
      <c r="R510" s="346" t="str">
        <f t="shared" si="169"/>
        <v>00000</v>
      </c>
      <c r="S510" s="344">
        <f t="shared" si="170"/>
        <v>0</v>
      </c>
      <c r="T510" s="345" t="str">
        <f t="shared" si="183"/>
        <v>000</v>
      </c>
      <c r="U510" s="345">
        <f t="shared" si="171"/>
        <v>0</v>
      </c>
      <c r="V510" s="345">
        <f t="shared" si="172"/>
        <v>0</v>
      </c>
      <c r="W510" s="345">
        <f t="shared" si="173"/>
        <v>0</v>
      </c>
      <c r="X510" s="345">
        <f t="shared" si="174"/>
        <v>0</v>
      </c>
      <c r="Y510" s="345">
        <f t="shared" si="175"/>
        <v>0</v>
      </c>
      <c r="Z510" s="345">
        <f>IF(Q510&lt;&gt;"",VLOOKUP(Y510,TIME!$R$21:$V$24,MATCH(FC_DATA!Q510,TIME!$R$20:$V$20,0),FALSE),H510)</f>
        <v>0</v>
      </c>
      <c r="AA510" s="345" t="str">
        <f>IFERROR(VLOOKUP(X510&amp;Z510,TIME!$A$12:$D$71,4,FALSE),"")</f>
        <v/>
      </c>
      <c r="AB510" s="592">
        <f t="shared" ca="1" si="176"/>
        <v>0</v>
      </c>
      <c r="AC510" s="593" t="e">
        <f ca="1">IF(ISBLANK(H510)=FALSE,IF(D510="BRAND.com",I510,IF(ISNA(VLOOKUP(_xlfn.CONCAT(X510,Z510),TIME!$M$40:$M$42,1,FALSE)),I510,VLOOKUP(_xlfn.CONCAT(D510,G510,H510),M_BUSAREA_FC!$AF$5:$AJ$10,5,FALSE)*HLOOKUP(_xlfn.CONCAT(F510,H510),ST_OVERVIEW!$G$99:$I$130,MATCH(_xlfn.CONCAT(D510,E510),ST_OVERVIEW!$F$99:$F$130,0),FALSE))),IF(D510="BRAND.com",VLOOKUP(_xlfn.CONCAT(C510,D510,E510,TIME!$F$1,Z510),HIS_SALES!$B$2:$V$4859,19,FALSE)*I510,VLOOKUP(_xlfn.CONCAT(D510,F510,G510),Q_BUSAREA_FC!$AE$5:$AI$12,5,FALSE)*HLOOKUP(_xlfn.CONCAT(FC_DATA!F510,FC_DATA!G510),LT_OVERVIEW!$I$99:$M$130,MATCH(_xlfn.CONCAT(D510,FC_DATA!E510),LT_OVERVIEW!$H$99:$H$130,0),FALSE)*IFERROR(VLOOKUP(_xlfn.CONCAT(C510,D510,E510,TIME!$F$1,Z510),HIS_SALES!$B$2:$V$4859,19,FALSE),0)))</f>
        <v>#N/A</v>
      </c>
      <c r="AD510" s="341">
        <f t="shared" ca="1" si="177"/>
        <v>0</v>
      </c>
      <c r="AE510" s="363" t="str">
        <f t="shared" si="178"/>
        <v/>
      </c>
      <c r="AF510" s="342" t="str">
        <f t="shared" si="179"/>
        <v/>
      </c>
      <c r="AG510" s="411" t="e">
        <f ca="1">VLOOKUP(_xlfn.CONCAT(U510,V510,W510,VLOOKUP(X510&amp;Y510,TIME!$L$27:$O$34,4,FALSE),Y510),HIS_SALES!$A$2:$R$5093,18,FALSE)</f>
        <v>#N/A</v>
      </c>
      <c r="AH510" s="412" t="e">
        <f ca="1">IFERROR(IF(AND(V510=V509,W510=W509),0.5*(AB510+AB509)*AG510,(VLOOKUP(_xlfn.CONCAT(U510,V510,W510,X510,VLOOKUP(Z510,TIME!$S$28:$T$39,2,FALSE)),FC_DATA!$R$2:$AB$5000,MATCH("GS_I_M",FC_DATA!$R$1:$AB$1,0),FALSE)+FC_DATA!AB510)*0.5*FC_DATA!AG510),NA())</f>
        <v>#N/A</v>
      </c>
      <c r="AI510" s="491" t="e">
        <f ca="1">IF(V510="PARTNER.com",AH510,IF(AND(V510=V509,W510=W509),(1-AVERAGE(AD509,AD510))*AH510,(1-AVERAGE(AD510,VLOOKUP(_xlfn.CONCAT(U510,V510,W510,X510,M_BRAND_FC!$F$6),FC_DATA!$R$2:$AD$5000,MATCH("DISCOUNT_%_M",FC_DATA!$R$1:$AD$1,0),FALSE)))*AH510))</f>
        <v>#N/A</v>
      </c>
      <c r="AJ510" s="412" t="str">
        <f t="shared" ca="1" si="180"/>
        <v/>
      </c>
      <c r="AK510" s="413" t="str">
        <f>IFERROR(AE510/(Q_BRAND_FC!$T$24+1),"")</f>
        <v/>
      </c>
      <c r="AL510" s="88" t="str">
        <f t="shared" ca="1" si="181"/>
        <v/>
      </c>
      <c r="AM510" s="414" t="str">
        <f t="shared" ca="1" si="182"/>
        <v/>
      </c>
      <c r="AN510" s="58">
        <f>IFERROR(IF($V510="BRAND.com",HLOOKUP($X510&amp;$Z510,NWC_FC_NOOS!$C$4:$Q$23,MATCH(W510,NWC_FC_NOOS!$B$4:$B$23,0),FALSE),0),0)</f>
        <v>0</v>
      </c>
      <c r="AO510" s="57">
        <f>IFERROR(IF($V510="BRAND.com",HLOOKUP($X510&amp;$Z510,NWC_FC_NOOS!$T$4:$AH$23,MATCH(W510,NWC_FC_NOOS!$S$4:$S$23,0),FALSE),0),0)</f>
        <v>0</v>
      </c>
      <c r="AP510" s="57">
        <f>IFERROR(IF($V510="BRAND.com",HLOOKUP($X510&amp;$Z510,NWC_FC_NOOS!$C$50:$U$69,MATCH(W510,NWC_FC_NOOS!$B$50:$B$69,0),FALSE),0),0)</f>
        <v>0</v>
      </c>
      <c r="AQ510" s="58">
        <f>IFERROR(IF($V510="BRAND.com",HLOOKUP($X510&amp;$Z510,'NWC_FC_NON-NOOS'!$C$4:$Q$23,MATCH(W510,'NWC_FC_NON-NOOS'!$B$4:$B$23,0),FALSE),0),0)</f>
        <v>0</v>
      </c>
      <c r="AR510" s="57">
        <f>IFERROR(IF($V510="BRAND.com",HLOOKUP($X510&amp;$Z510,'NWC_FC_NON-NOOS'!$T$4:$AH$23,MATCH(W510,'NWC_FC_NON-NOOS'!$S$4:$S$23,0),FALSE),0),0)</f>
        <v>0</v>
      </c>
      <c r="AS510" s="57">
        <f>IFERROR(IF($V510="BRAND.com",HLOOKUP($X510&amp;$Z510,'NWC_FC_NON-NOOS'!$C$50:$U$69,MATCH(W510,'NWC_FC_NON-NOOS'!$B$50:$B$69,0),FALSE),0),0)</f>
        <v>0</v>
      </c>
      <c r="AT510" s="57">
        <f t="shared" si="184"/>
        <v>0</v>
      </c>
      <c r="AU510" s="57">
        <f t="shared" si="185"/>
        <v>0</v>
      </c>
      <c r="AV510" s="58">
        <f>IFERROR(IF($V510="BRAND.com",HLOOKUP($X510&amp;$Z510,PLANNING_FC!$BB$27:$BP$46,MATCH($W510,PLANNING_FC!$BA$27:$BA$46,0),FALSE),0),0)</f>
        <v>0</v>
      </c>
      <c r="AW510" s="58">
        <f>IFERROR(IF($V510="BRAND.com",HLOOKUP($X510&amp;$Z510,PLANNING_FC!$BB$4:$BP$23,MATCH($W510,PLANNING_FC!$BA$4:$BA$23,0),FALSE),0),0)</f>
        <v>0</v>
      </c>
      <c r="AX510" s="58">
        <f>IFERROR(IF($V510="BRAND.com",HLOOKUP($X510&amp;$Z510,PLANNING_FC!$T$27:$AH$46,MATCH($W510,PLANNING_FC!$B$27:$B$46,0),FALSE),0),0)</f>
        <v>0</v>
      </c>
      <c r="AY510" s="58">
        <f>IFERROR(IF($V510="BRAND.com",HLOOKUP($X510&amp;$Z510,PLANNING_FC!$T$4:$AH$23,MATCH($W510,PLANNING_FC!$B$4:$B$23,0),FALSE),0),0)</f>
        <v>0</v>
      </c>
      <c r="AZ510" s="58">
        <f>IFERROR(IF($V510="BRAND.com",HLOOKUP($X510&amp;$Z510,PLANNING_FC!$DA$27:$DO$46,MATCH($W510,PLANNING_FC!$CZ$27:$CZ$46,0),FALSE),0),0)</f>
        <v>0</v>
      </c>
      <c r="BA510" s="58">
        <f>IFERROR(IF($V510="BRAND.com",HLOOKUP($X510&amp;$Z510,PLANNING_FC!$DA$4:$DO$23,MATCH($W510,PLANNING_FC!$CZ$4:$CZ$23,0),FALSE),0),0)</f>
        <v>0</v>
      </c>
      <c r="BB510" s="883" t="str">
        <f>IF(V510="BRAND.com",IFERROR(HLOOKUP(X510&amp;Z510,PLANNING_FC!$AK$4:$AY$23,MATCH(W510,PLANNING_FC!$AJ$4:$AJ$23,0),FALSE)*1000,""),"")</f>
        <v/>
      </c>
      <c r="BC510" s="883" t="str">
        <f>IF(V510="BRAND.com",IFERROR(HLOOKUP(X510&amp;Z510,PLANNING_FC!$AK$27:$AY$46,MATCH(W510,PLANNING_FC!$AJ$27:$AJ$46,0),FALSE)*1000,""),"")</f>
        <v/>
      </c>
    </row>
    <row r="511" spans="1:55" x14ac:dyDescent="0.25">
      <c r="A511" s="509"/>
      <c r="B511" s="509"/>
      <c r="C511" s="509"/>
      <c r="D511" s="509"/>
      <c r="E511" s="509"/>
      <c r="F511" s="509"/>
      <c r="G511" s="509"/>
      <c r="H511" s="509"/>
      <c r="I511" s="512"/>
      <c r="J511" s="513"/>
      <c r="K511" s="514"/>
      <c r="L511" s="515"/>
      <c r="M511" s="516"/>
      <c r="N511" s="56">
        <f t="shared" si="166"/>
        <v>0</v>
      </c>
      <c r="O511" s="57">
        <f t="shared" si="167"/>
        <v>0</v>
      </c>
      <c r="P511" s="57">
        <f ca="1">IFERROR(IF(ISBLANK(H511),SUMIFS($AC:$AC,$V:$V,V511,$W:$W,W511,$X:$X,X511,$Y:$Y,Y511)*J511/(1-J511)*VLOOKUP(_xlfn.CONCAT(C511,D511,E511,TIME!$M$12,Z511),HIS_SALES!$B$2:$W$4859,20,FALSE),AC511*J511/(1-J511)),0)</f>
        <v>0</v>
      </c>
      <c r="Q511" s="541" t="str">
        <f t="shared" si="168"/>
        <v/>
      </c>
      <c r="R511" s="346" t="str">
        <f t="shared" si="169"/>
        <v>00000</v>
      </c>
      <c r="S511" s="344">
        <f t="shared" si="170"/>
        <v>0</v>
      </c>
      <c r="T511" s="345" t="str">
        <f t="shared" si="183"/>
        <v>000</v>
      </c>
      <c r="U511" s="345">
        <f t="shared" si="171"/>
        <v>0</v>
      </c>
      <c r="V511" s="345">
        <f t="shared" si="172"/>
        <v>0</v>
      </c>
      <c r="W511" s="345">
        <f t="shared" si="173"/>
        <v>0</v>
      </c>
      <c r="X511" s="345">
        <f t="shared" si="174"/>
        <v>0</v>
      </c>
      <c r="Y511" s="345">
        <f t="shared" si="175"/>
        <v>0</v>
      </c>
      <c r="Z511" s="345">
        <f>IF(Q511&lt;&gt;"",VLOOKUP(Y511,TIME!$R$21:$V$24,MATCH(FC_DATA!Q511,TIME!$R$20:$V$20,0),FALSE),H511)</f>
        <v>0</v>
      </c>
      <c r="AA511" s="345" t="str">
        <f>IFERROR(VLOOKUP(X511&amp;Z511,TIME!$A$12:$D$71,4,FALSE),"")</f>
        <v/>
      </c>
      <c r="AB511" s="592">
        <f t="shared" ca="1" si="176"/>
        <v>0</v>
      </c>
      <c r="AC511" s="593" t="e">
        <f ca="1">IF(ISBLANK(H511)=FALSE,IF(D511="BRAND.com",I511,IF(ISNA(VLOOKUP(_xlfn.CONCAT(X511,Z511),TIME!$M$40:$M$42,1,FALSE)),I511,VLOOKUP(_xlfn.CONCAT(D511,G511,H511),M_BUSAREA_FC!$AF$5:$AJ$10,5,FALSE)*HLOOKUP(_xlfn.CONCAT(F511,H511),ST_OVERVIEW!$G$99:$I$130,MATCH(_xlfn.CONCAT(D511,E511),ST_OVERVIEW!$F$99:$F$130,0),FALSE))),IF(D511="BRAND.com",VLOOKUP(_xlfn.CONCAT(C511,D511,E511,TIME!$F$1,Z511),HIS_SALES!$B$2:$V$4859,19,FALSE)*I511,VLOOKUP(_xlfn.CONCAT(D511,F511,G511),Q_BUSAREA_FC!$AE$5:$AI$12,5,FALSE)*HLOOKUP(_xlfn.CONCAT(FC_DATA!F511,FC_DATA!G511),LT_OVERVIEW!$I$99:$M$130,MATCH(_xlfn.CONCAT(D511,FC_DATA!E511),LT_OVERVIEW!$H$99:$H$130,0),FALSE)*IFERROR(VLOOKUP(_xlfn.CONCAT(C511,D511,E511,TIME!$F$1,Z511),HIS_SALES!$B$2:$V$4859,19,FALSE),0)))</f>
        <v>#N/A</v>
      </c>
      <c r="AD511" s="341">
        <f t="shared" ca="1" si="177"/>
        <v>0</v>
      </c>
      <c r="AE511" s="363" t="str">
        <f t="shared" si="178"/>
        <v/>
      </c>
      <c r="AF511" s="342" t="str">
        <f t="shared" si="179"/>
        <v/>
      </c>
      <c r="AG511" s="411" t="e">
        <f ca="1">VLOOKUP(_xlfn.CONCAT(U511,V511,W511,VLOOKUP(X511&amp;Y511,TIME!$L$27:$O$34,4,FALSE),Y511),HIS_SALES!$A$2:$R$5093,18,FALSE)</f>
        <v>#N/A</v>
      </c>
      <c r="AH511" s="412" t="e">
        <f ca="1">IFERROR(IF(AND(V511=V510,W511=W510),0.5*(AB511+AB510)*AG511,(VLOOKUP(_xlfn.CONCAT(U511,V511,W511,X511,VLOOKUP(Z511,TIME!$S$28:$T$39,2,FALSE)),FC_DATA!$R$2:$AB$5000,MATCH("GS_I_M",FC_DATA!$R$1:$AB$1,0),FALSE)+FC_DATA!AB511)*0.5*FC_DATA!AG511),NA())</f>
        <v>#N/A</v>
      </c>
      <c r="AI511" s="491" t="e">
        <f ca="1">IF(V511="PARTNER.com",AH511,IF(AND(V511=V510,W511=W510),(1-AVERAGE(AD510,AD511))*AH511,(1-AVERAGE(AD511,VLOOKUP(_xlfn.CONCAT(U511,V511,W511,X511,M_BRAND_FC!$F$6),FC_DATA!$R$2:$AD$5000,MATCH("DISCOUNT_%_M",FC_DATA!$R$1:$AD$1,0),FALSE)))*AH511))</f>
        <v>#N/A</v>
      </c>
      <c r="AJ511" s="412" t="str">
        <f t="shared" ca="1" si="180"/>
        <v/>
      </c>
      <c r="AK511" s="413" t="str">
        <f>IFERROR(AE511/(Q_BRAND_FC!$T$24+1),"")</f>
        <v/>
      </c>
      <c r="AL511" s="88" t="str">
        <f t="shared" ca="1" si="181"/>
        <v/>
      </c>
      <c r="AM511" s="414" t="str">
        <f t="shared" ca="1" si="182"/>
        <v/>
      </c>
      <c r="AN511" s="58">
        <f>IFERROR(IF($V511="BRAND.com",HLOOKUP($X511&amp;$Z511,NWC_FC_NOOS!$C$4:$Q$23,MATCH(W511,NWC_FC_NOOS!$B$4:$B$23,0),FALSE),0),0)</f>
        <v>0</v>
      </c>
      <c r="AO511" s="57">
        <f>IFERROR(IF($V511="BRAND.com",HLOOKUP($X511&amp;$Z511,NWC_FC_NOOS!$T$4:$AH$23,MATCH(W511,NWC_FC_NOOS!$S$4:$S$23,0),FALSE),0),0)</f>
        <v>0</v>
      </c>
      <c r="AP511" s="57">
        <f>IFERROR(IF($V511="BRAND.com",HLOOKUP($X511&amp;$Z511,NWC_FC_NOOS!$C$50:$U$69,MATCH(W511,NWC_FC_NOOS!$B$50:$B$69,0),FALSE),0),0)</f>
        <v>0</v>
      </c>
      <c r="AQ511" s="58">
        <f>IFERROR(IF($V511="BRAND.com",HLOOKUP($X511&amp;$Z511,'NWC_FC_NON-NOOS'!$C$4:$Q$23,MATCH(W511,'NWC_FC_NON-NOOS'!$B$4:$B$23,0),FALSE),0),0)</f>
        <v>0</v>
      </c>
      <c r="AR511" s="57">
        <f>IFERROR(IF($V511="BRAND.com",HLOOKUP($X511&amp;$Z511,'NWC_FC_NON-NOOS'!$T$4:$AH$23,MATCH(W511,'NWC_FC_NON-NOOS'!$S$4:$S$23,0),FALSE),0),0)</f>
        <v>0</v>
      </c>
      <c r="AS511" s="57">
        <f>IFERROR(IF($V511="BRAND.com",HLOOKUP($X511&amp;$Z511,'NWC_FC_NON-NOOS'!$C$50:$U$69,MATCH(W511,'NWC_FC_NON-NOOS'!$B$50:$B$69,0),FALSE),0),0)</f>
        <v>0</v>
      </c>
      <c r="AT511" s="57">
        <f t="shared" si="184"/>
        <v>0</v>
      </c>
      <c r="AU511" s="57">
        <f t="shared" si="185"/>
        <v>0</v>
      </c>
      <c r="AV511" s="58">
        <f>IFERROR(IF($V511="BRAND.com",HLOOKUP($X511&amp;$Z511,PLANNING_FC!$BB$27:$BP$46,MATCH($W511,PLANNING_FC!$BA$27:$BA$46,0),FALSE),0),0)</f>
        <v>0</v>
      </c>
      <c r="AW511" s="58">
        <f>IFERROR(IF($V511="BRAND.com",HLOOKUP($X511&amp;$Z511,PLANNING_FC!$BB$4:$BP$23,MATCH($W511,PLANNING_FC!$BA$4:$BA$23,0),FALSE),0),0)</f>
        <v>0</v>
      </c>
      <c r="AX511" s="58">
        <f>IFERROR(IF($V511="BRAND.com",HLOOKUP($X511&amp;$Z511,PLANNING_FC!$T$27:$AH$46,MATCH($W511,PLANNING_FC!$B$27:$B$46,0),FALSE),0),0)</f>
        <v>0</v>
      </c>
      <c r="AY511" s="58">
        <f>IFERROR(IF($V511="BRAND.com",HLOOKUP($X511&amp;$Z511,PLANNING_FC!$T$4:$AH$23,MATCH($W511,PLANNING_FC!$B$4:$B$23,0),FALSE),0),0)</f>
        <v>0</v>
      </c>
      <c r="AZ511" s="58">
        <f>IFERROR(IF($V511="BRAND.com",HLOOKUP($X511&amp;$Z511,PLANNING_FC!$DA$27:$DO$46,MATCH($W511,PLANNING_FC!$CZ$27:$CZ$46,0),FALSE),0),0)</f>
        <v>0</v>
      </c>
      <c r="BA511" s="58">
        <f>IFERROR(IF($V511="BRAND.com",HLOOKUP($X511&amp;$Z511,PLANNING_FC!$DA$4:$DO$23,MATCH($W511,PLANNING_FC!$CZ$4:$CZ$23,0),FALSE),0),0)</f>
        <v>0</v>
      </c>
      <c r="BB511" s="883" t="str">
        <f>IF(V511="BRAND.com",IFERROR(HLOOKUP(X511&amp;Z511,PLANNING_FC!$AK$4:$AY$23,MATCH(W511,PLANNING_FC!$AJ$4:$AJ$23,0),FALSE)*1000,""),"")</f>
        <v/>
      </c>
      <c r="BC511" s="883" t="str">
        <f>IF(V511="BRAND.com",IFERROR(HLOOKUP(X511&amp;Z511,PLANNING_FC!$AK$27:$AY$46,MATCH(W511,PLANNING_FC!$AJ$27:$AJ$46,0),FALSE)*1000,""),"")</f>
        <v/>
      </c>
    </row>
    <row r="512" spans="1:55" x14ac:dyDescent="0.25">
      <c r="A512" s="509"/>
      <c r="B512" s="509"/>
      <c r="C512" s="509"/>
      <c r="D512" s="509"/>
      <c r="E512" s="509"/>
      <c r="F512" s="509"/>
      <c r="G512" s="509"/>
      <c r="H512" s="509"/>
      <c r="I512" s="512"/>
      <c r="J512" s="513"/>
      <c r="K512" s="514"/>
      <c r="L512" s="515"/>
      <c r="M512" s="516"/>
      <c r="N512" s="56">
        <f t="shared" si="166"/>
        <v>0</v>
      </c>
      <c r="O512" s="57">
        <f t="shared" si="167"/>
        <v>0</v>
      </c>
      <c r="P512" s="57">
        <f ca="1">IFERROR(IF(ISBLANK(H512),SUMIFS($AC:$AC,$V:$V,V512,$W:$W,W512,$X:$X,X512,$Y:$Y,Y512)*J512/(1-J512)*VLOOKUP(_xlfn.CONCAT(C512,D512,E512,TIME!$M$12,Z512),HIS_SALES!$B$2:$W$4859,20,FALSE),AC512*J512/(1-J512)),0)</f>
        <v>0</v>
      </c>
      <c r="Q512" s="541" t="str">
        <f t="shared" si="168"/>
        <v/>
      </c>
      <c r="R512" s="346" t="str">
        <f t="shared" si="169"/>
        <v>00000</v>
      </c>
      <c r="S512" s="344">
        <f t="shared" si="170"/>
        <v>0</v>
      </c>
      <c r="T512" s="345" t="str">
        <f t="shared" si="183"/>
        <v>000</v>
      </c>
      <c r="U512" s="345">
        <f t="shared" si="171"/>
        <v>0</v>
      </c>
      <c r="V512" s="345">
        <f t="shared" si="172"/>
        <v>0</v>
      </c>
      <c r="W512" s="345">
        <f t="shared" si="173"/>
        <v>0</v>
      </c>
      <c r="X512" s="345">
        <f t="shared" si="174"/>
        <v>0</v>
      </c>
      <c r="Y512" s="345">
        <f t="shared" si="175"/>
        <v>0</v>
      </c>
      <c r="Z512" s="345">
        <f>IF(Q512&lt;&gt;"",VLOOKUP(Y512,TIME!$R$21:$V$24,MATCH(FC_DATA!Q512,TIME!$R$20:$V$20,0),FALSE),H512)</f>
        <v>0</v>
      </c>
      <c r="AA512" s="345" t="str">
        <f>IFERROR(VLOOKUP(X512&amp;Z512,TIME!$A$12:$D$71,4,FALSE),"")</f>
        <v/>
      </c>
      <c r="AB512" s="592">
        <f t="shared" ca="1" si="176"/>
        <v>0</v>
      </c>
      <c r="AC512" s="593" t="e">
        <f ca="1">IF(ISBLANK(H512)=FALSE,IF(D512="BRAND.com",I512,IF(ISNA(VLOOKUP(_xlfn.CONCAT(X512,Z512),TIME!$M$40:$M$42,1,FALSE)),I512,VLOOKUP(_xlfn.CONCAT(D512,G512,H512),M_BUSAREA_FC!$AF$5:$AJ$10,5,FALSE)*HLOOKUP(_xlfn.CONCAT(F512,H512),ST_OVERVIEW!$G$99:$I$130,MATCH(_xlfn.CONCAT(D512,E512),ST_OVERVIEW!$F$99:$F$130,0),FALSE))),IF(D512="BRAND.com",VLOOKUP(_xlfn.CONCAT(C512,D512,E512,TIME!$F$1,Z512),HIS_SALES!$B$2:$V$4859,19,FALSE)*I512,VLOOKUP(_xlfn.CONCAT(D512,F512,G512),Q_BUSAREA_FC!$AE$5:$AI$12,5,FALSE)*HLOOKUP(_xlfn.CONCAT(FC_DATA!F512,FC_DATA!G512),LT_OVERVIEW!$I$99:$M$130,MATCH(_xlfn.CONCAT(D512,FC_DATA!E512),LT_OVERVIEW!$H$99:$H$130,0),FALSE)*IFERROR(VLOOKUP(_xlfn.CONCAT(C512,D512,E512,TIME!$F$1,Z512),HIS_SALES!$B$2:$V$4859,19,FALSE),0)))</f>
        <v>#N/A</v>
      </c>
      <c r="AD512" s="341">
        <f t="shared" ca="1" si="177"/>
        <v>0</v>
      </c>
      <c r="AE512" s="363" t="str">
        <f t="shared" si="178"/>
        <v/>
      </c>
      <c r="AF512" s="342" t="str">
        <f t="shared" si="179"/>
        <v/>
      </c>
      <c r="AG512" s="411" t="e">
        <f ca="1">VLOOKUP(_xlfn.CONCAT(U512,V512,W512,VLOOKUP(X512&amp;Y512,TIME!$L$27:$O$34,4,FALSE),Y512),HIS_SALES!$A$2:$R$5093,18,FALSE)</f>
        <v>#N/A</v>
      </c>
      <c r="AH512" s="412" t="e">
        <f ca="1">IFERROR(IF(AND(V512=V511,W512=W511),0.5*(AB512+AB511)*AG512,(VLOOKUP(_xlfn.CONCAT(U512,V512,W512,X512,VLOOKUP(Z512,TIME!$S$28:$T$39,2,FALSE)),FC_DATA!$R$2:$AB$5000,MATCH("GS_I_M",FC_DATA!$R$1:$AB$1,0),FALSE)+FC_DATA!AB512)*0.5*FC_DATA!AG512),NA())</f>
        <v>#N/A</v>
      </c>
      <c r="AI512" s="491" t="e">
        <f ca="1">IF(V512="PARTNER.com",AH512,IF(AND(V512=V511,W512=W511),(1-AVERAGE(AD511,AD512))*AH512,(1-AVERAGE(AD512,VLOOKUP(_xlfn.CONCAT(U512,V512,W512,X512,M_BRAND_FC!$F$6),FC_DATA!$R$2:$AD$5000,MATCH("DISCOUNT_%_M",FC_DATA!$R$1:$AD$1,0),FALSE)))*AH512))</f>
        <v>#N/A</v>
      </c>
      <c r="AJ512" s="412" t="str">
        <f t="shared" ca="1" si="180"/>
        <v/>
      </c>
      <c r="AK512" s="413" t="str">
        <f>IFERROR(AE512/(Q_BRAND_FC!$T$24+1),"")</f>
        <v/>
      </c>
      <c r="AL512" s="88" t="str">
        <f t="shared" ca="1" si="181"/>
        <v/>
      </c>
      <c r="AM512" s="414" t="str">
        <f t="shared" ca="1" si="182"/>
        <v/>
      </c>
      <c r="AN512" s="58">
        <f>IFERROR(IF($V512="BRAND.com",HLOOKUP($X512&amp;$Z512,NWC_FC_NOOS!$C$4:$Q$23,MATCH(W512,NWC_FC_NOOS!$B$4:$B$23,0),FALSE),0),0)</f>
        <v>0</v>
      </c>
      <c r="AO512" s="57">
        <f>IFERROR(IF($V512="BRAND.com",HLOOKUP($X512&amp;$Z512,NWC_FC_NOOS!$T$4:$AH$23,MATCH(W512,NWC_FC_NOOS!$S$4:$S$23,0),FALSE),0),0)</f>
        <v>0</v>
      </c>
      <c r="AP512" s="57">
        <f>IFERROR(IF($V512="BRAND.com",HLOOKUP($X512&amp;$Z512,NWC_FC_NOOS!$C$50:$U$69,MATCH(W512,NWC_FC_NOOS!$B$50:$B$69,0),FALSE),0),0)</f>
        <v>0</v>
      </c>
      <c r="AQ512" s="58">
        <f>IFERROR(IF($V512="BRAND.com",HLOOKUP($X512&amp;$Z512,'NWC_FC_NON-NOOS'!$C$4:$Q$23,MATCH(W512,'NWC_FC_NON-NOOS'!$B$4:$B$23,0),FALSE),0),0)</f>
        <v>0</v>
      </c>
      <c r="AR512" s="57">
        <f>IFERROR(IF($V512="BRAND.com",HLOOKUP($X512&amp;$Z512,'NWC_FC_NON-NOOS'!$T$4:$AH$23,MATCH(W512,'NWC_FC_NON-NOOS'!$S$4:$S$23,0),FALSE),0),0)</f>
        <v>0</v>
      </c>
      <c r="AS512" s="57">
        <f>IFERROR(IF($V512="BRAND.com",HLOOKUP($X512&amp;$Z512,'NWC_FC_NON-NOOS'!$C$50:$U$69,MATCH(W512,'NWC_FC_NON-NOOS'!$B$50:$B$69,0),FALSE),0),0)</f>
        <v>0</v>
      </c>
      <c r="AT512" s="57">
        <f t="shared" si="184"/>
        <v>0</v>
      </c>
      <c r="AU512" s="57">
        <f t="shared" si="185"/>
        <v>0</v>
      </c>
      <c r="AV512" s="58">
        <f>IFERROR(IF($V512="BRAND.com",HLOOKUP($X512&amp;$Z512,PLANNING_FC!$BB$27:$BP$46,MATCH($W512,PLANNING_FC!$BA$27:$BA$46,0),FALSE),0),0)</f>
        <v>0</v>
      </c>
      <c r="AW512" s="58">
        <f>IFERROR(IF($V512="BRAND.com",HLOOKUP($X512&amp;$Z512,PLANNING_FC!$BB$4:$BP$23,MATCH($W512,PLANNING_FC!$BA$4:$BA$23,0),FALSE),0),0)</f>
        <v>0</v>
      </c>
      <c r="AX512" s="58">
        <f>IFERROR(IF($V512="BRAND.com",HLOOKUP($X512&amp;$Z512,PLANNING_FC!$T$27:$AH$46,MATCH($W512,PLANNING_FC!$B$27:$B$46,0),FALSE),0),0)</f>
        <v>0</v>
      </c>
      <c r="AY512" s="58">
        <f>IFERROR(IF($V512="BRAND.com",HLOOKUP($X512&amp;$Z512,PLANNING_FC!$T$4:$AH$23,MATCH($W512,PLANNING_FC!$B$4:$B$23,0),FALSE),0),0)</f>
        <v>0</v>
      </c>
      <c r="AZ512" s="58">
        <f>IFERROR(IF($V512="BRAND.com",HLOOKUP($X512&amp;$Z512,PLANNING_FC!$DA$27:$DO$46,MATCH($W512,PLANNING_FC!$CZ$27:$CZ$46,0),FALSE),0),0)</f>
        <v>0</v>
      </c>
      <c r="BA512" s="58">
        <f>IFERROR(IF($V512="BRAND.com",HLOOKUP($X512&amp;$Z512,PLANNING_FC!$DA$4:$DO$23,MATCH($W512,PLANNING_FC!$CZ$4:$CZ$23,0),FALSE),0),0)</f>
        <v>0</v>
      </c>
      <c r="BB512" s="883" t="str">
        <f>IF(V512="BRAND.com",IFERROR(HLOOKUP(X512&amp;Z512,PLANNING_FC!$AK$4:$AY$23,MATCH(W512,PLANNING_FC!$AJ$4:$AJ$23,0),FALSE)*1000,""),"")</f>
        <v/>
      </c>
      <c r="BC512" s="883" t="str">
        <f>IF(V512="BRAND.com",IFERROR(HLOOKUP(X512&amp;Z512,PLANNING_FC!$AK$27:$AY$46,MATCH(W512,PLANNING_FC!$AJ$27:$AJ$46,0),FALSE)*1000,""),"")</f>
        <v/>
      </c>
    </row>
    <row r="513" spans="1:55" x14ac:dyDescent="0.25">
      <c r="A513" s="509"/>
      <c r="B513" s="509"/>
      <c r="C513" s="509"/>
      <c r="D513" s="509"/>
      <c r="E513" s="509"/>
      <c r="F513" s="509"/>
      <c r="G513" s="509"/>
      <c r="H513" s="509"/>
      <c r="I513" s="512"/>
      <c r="J513" s="513"/>
      <c r="K513" s="514"/>
      <c r="L513" s="515"/>
      <c r="M513" s="516"/>
      <c r="N513" s="56">
        <f t="shared" si="166"/>
        <v>0</v>
      </c>
      <c r="O513" s="57">
        <f t="shared" si="167"/>
        <v>0</v>
      </c>
      <c r="P513" s="57">
        <f ca="1">IFERROR(IF(ISBLANK(H513),SUMIFS($AC:$AC,$V:$V,V513,$W:$W,W513,$X:$X,X513,$Y:$Y,Y513)*J513/(1-J513)*VLOOKUP(_xlfn.CONCAT(C513,D513,E513,TIME!$M$12,Z513),HIS_SALES!$B$2:$W$4859,20,FALSE),AC513*J513/(1-J513)),0)</f>
        <v>0</v>
      </c>
      <c r="Q513" s="541" t="str">
        <f t="shared" si="168"/>
        <v/>
      </c>
      <c r="R513" s="346" t="str">
        <f t="shared" si="169"/>
        <v>00000</v>
      </c>
      <c r="S513" s="344">
        <f t="shared" si="170"/>
        <v>0</v>
      </c>
      <c r="T513" s="345" t="str">
        <f t="shared" si="183"/>
        <v>000</v>
      </c>
      <c r="U513" s="345">
        <f t="shared" si="171"/>
        <v>0</v>
      </c>
      <c r="V513" s="345">
        <f t="shared" si="172"/>
        <v>0</v>
      </c>
      <c r="W513" s="345">
        <f t="shared" si="173"/>
        <v>0</v>
      </c>
      <c r="X513" s="345">
        <f t="shared" si="174"/>
        <v>0</v>
      </c>
      <c r="Y513" s="345">
        <f t="shared" si="175"/>
        <v>0</v>
      </c>
      <c r="Z513" s="345">
        <f>IF(Q513&lt;&gt;"",VLOOKUP(Y513,TIME!$R$21:$V$24,MATCH(FC_DATA!Q513,TIME!$R$20:$V$20,0),FALSE),H513)</f>
        <v>0</v>
      </c>
      <c r="AA513" s="345" t="str">
        <f>IFERROR(VLOOKUP(X513&amp;Z513,TIME!$A$12:$D$71,4,FALSE),"")</f>
        <v/>
      </c>
      <c r="AB513" s="592">
        <f t="shared" ca="1" si="176"/>
        <v>0</v>
      </c>
      <c r="AC513" s="593" t="e">
        <f ca="1">IF(ISBLANK(H513)=FALSE,IF(D513="BRAND.com",I513,IF(ISNA(VLOOKUP(_xlfn.CONCAT(X513,Z513),TIME!$M$40:$M$42,1,FALSE)),I513,VLOOKUP(_xlfn.CONCAT(D513,G513,H513),M_BUSAREA_FC!$AF$5:$AJ$10,5,FALSE)*HLOOKUP(_xlfn.CONCAT(F513,H513),ST_OVERVIEW!$G$99:$I$130,MATCH(_xlfn.CONCAT(D513,E513),ST_OVERVIEW!$F$99:$F$130,0),FALSE))),IF(D513="BRAND.com",VLOOKUP(_xlfn.CONCAT(C513,D513,E513,TIME!$F$1,Z513),HIS_SALES!$B$2:$V$4859,19,FALSE)*I513,VLOOKUP(_xlfn.CONCAT(D513,F513,G513),Q_BUSAREA_FC!$AE$5:$AI$12,5,FALSE)*HLOOKUP(_xlfn.CONCAT(FC_DATA!F513,FC_DATA!G513),LT_OVERVIEW!$I$99:$M$130,MATCH(_xlfn.CONCAT(D513,FC_DATA!E513),LT_OVERVIEW!$H$99:$H$130,0),FALSE)*IFERROR(VLOOKUP(_xlfn.CONCAT(C513,D513,E513,TIME!$F$1,Z513),HIS_SALES!$B$2:$V$4859,19,FALSE),0)))</f>
        <v>#N/A</v>
      </c>
      <c r="AD513" s="341">
        <f t="shared" ca="1" si="177"/>
        <v>0</v>
      </c>
      <c r="AE513" s="363" t="str">
        <f t="shared" si="178"/>
        <v/>
      </c>
      <c r="AF513" s="342" t="str">
        <f t="shared" si="179"/>
        <v/>
      </c>
      <c r="AG513" s="411" t="e">
        <f ca="1">VLOOKUP(_xlfn.CONCAT(U513,V513,W513,VLOOKUP(X513&amp;Y513,TIME!$L$27:$O$34,4,FALSE),Y513),HIS_SALES!$A$2:$R$5093,18,FALSE)</f>
        <v>#N/A</v>
      </c>
      <c r="AH513" s="412" t="e">
        <f ca="1">IFERROR(IF(AND(V513=V512,W513=W512),0.5*(AB513+AB512)*AG513,(VLOOKUP(_xlfn.CONCAT(U513,V513,W513,X513,VLOOKUP(Z513,TIME!$S$28:$T$39,2,FALSE)),FC_DATA!$R$2:$AB$5000,MATCH("GS_I_M",FC_DATA!$R$1:$AB$1,0),FALSE)+FC_DATA!AB513)*0.5*FC_DATA!AG513),NA())</f>
        <v>#N/A</v>
      </c>
      <c r="AI513" s="491" t="e">
        <f ca="1">IF(V513="PARTNER.com",AH513,IF(AND(V513=V512,W513=W512),(1-AVERAGE(AD512,AD513))*AH513,(1-AVERAGE(AD513,VLOOKUP(_xlfn.CONCAT(U513,V513,W513,X513,M_BRAND_FC!$F$6),FC_DATA!$R$2:$AD$5000,MATCH("DISCOUNT_%_M",FC_DATA!$R$1:$AD$1,0),FALSE)))*AH513))</f>
        <v>#N/A</v>
      </c>
      <c r="AJ513" s="412" t="str">
        <f t="shared" ca="1" si="180"/>
        <v/>
      </c>
      <c r="AK513" s="413" t="str">
        <f>IFERROR(AE513/(Q_BRAND_FC!$T$24+1),"")</f>
        <v/>
      </c>
      <c r="AL513" s="88" t="str">
        <f t="shared" ca="1" si="181"/>
        <v/>
      </c>
      <c r="AM513" s="414" t="str">
        <f t="shared" ca="1" si="182"/>
        <v/>
      </c>
      <c r="AN513" s="58">
        <f>IFERROR(IF($V513="BRAND.com",HLOOKUP($X513&amp;$Z513,NWC_FC_NOOS!$C$4:$Q$23,MATCH(W513,NWC_FC_NOOS!$B$4:$B$23,0),FALSE),0),0)</f>
        <v>0</v>
      </c>
      <c r="AO513" s="57">
        <f>IFERROR(IF($V513="BRAND.com",HLOOKUP($X513&amp;$Z513,NWC_FC_NOOS!$T$4:$AH$23,MATCH(W513,NWC_FC_NOOS!$S$4:$S$23,0),FALSE),0),0)</f>
        <v>0</v>
      </c>
      <c r="AP513" s="57">
        <f>IFERROR(IF($V513="BRAND.com",HLOOKUP($X513&amp;$Z513,NWC_FC_NOOS!$C$50:$U$69,MATCH(W513,NWC_FC_NOOS!$B$50:$B$69,0),FALSE),0),0)</f>
        <v>0</v>
      </c>
      <c r="AQ513" s="58">
        <f>IFERROR(IF($V513="BRAND.com",HLOOKUP($X513&amp;$Z513,'NWC_FC_NON-NOOS'!$C$4:$Q$23,MATCH(W513,'NWC_FC_NON-NOOS'!$B$4:$B$23,0),FALSE),0),0)</f>
        <v>0</v>
      </c>
      <c r="AR513" s="57">
        <f>IFERROR(IF($V513="BRAND.com",HLOOKUP($X513&amp;$Z513,'NWC_FC_NON-NOOS'!$T$4:$AH$23,MATCH(W513,'NWC_FC_NON-NOOS'!$S$4:$S$23,0),FALSE),0),0)</f>
        <v>0</v>
      </c>
      <c r="AS513" s="57">
        <f>IFERROR(IF($V513="BRAND.com",HLOOKUP($X513&amp;$Z513,'NWC_FC_NON-NOOS'!$C$50:$U$69,MATCH(W513,'NWC_FC_NON-NOOS'!$B$50:$B$69,0),FALSE),0),0)</f>
        <v>0</v>
      </c>
      <c r="AT513" s="57">
        <f t="shared" si="184"/>
        <v>0</v>
      </c>
      <c r="AU513" s="57">
        <f t="shared" si="185"/>
        <v>0</v>
      </c>
      <c r="AV513" s="58">
        <f>IFERROR(IF($V513="BRAND.com",HLOOKUP($X513&amp;$Z513,PLANNING_FC!$BB$27:$BP$46,MATCH($W513,PLANNING_FC!$BA$27:$BA$46,0),FALSE),0),0)</f>
        <v>0</v>
      </c>
      <c r="AW513" s="58">
        <f>IFERROR(IF($V513="BRAND.com",HLOOKUP($X513&amp;$Z513,PLANNING_FC!$BB$4:$BP$23,MATCH($W513,PLANNING_FC!$BA$4:$BA$23,0),FALSE),0),0)</f>
        <v>0</v>
      </c>
      <c r="AX513" s="58">
        <f>IFERROR(IF($V513="BRAND.com",HLOOKUP($X513&amp;$Z513,PLANNING_FC!$T$27:$AH$46,MATCH($W513,PLANNING_FC!$B$27:$B$46,0),FALSE),0),0)</f>
        <v>0</v>
      </c>
      <c r="AY513" s="58">
        <f>IFERROR(IF($V513="BRAND.com",HLOOKUP($X513&amp;$Z513,PLANNING_FC!$T$4:$AH$23,MATCH($W513,PLANNING_FC!$B$4:$B$23,0),FALSE),0),0)</f>
        <v>0</v>
      </c>
      <c r="AZ513" s="58">
        <f>IFERROR(IF($V513="BRAND.com",HLOOKUP($X513&amp;$Z513,PLANNING_FC!$DA$27:$DO$46,MATCH($W513,PLANNING_FC!$CZ$27:$CZ$46,0),FALSE),0),0)</f>
        <v>0</v>
      </c>
      <c r="BA513" s="58">
        <f>IFERROR(IF($V513="BRAND.com",HLOOKUP($X513&amp;$Z513,PLANNING_FC!$DA$4:$DO$23,MATCH($W513,PLANNING_FC!$CZ$4:$CZ$23,0),FALSE),0),0)</f>
        <v>0</v>
      </c>
      <c r="BB513" s="883" t="str">
        <f>IF(V513="BRAND.com",IFERROR(HLOOKUP(X513&amp;Z513,PLANNING_FC!$AK$4:$AY$23,MATCH(W513,PLANNING_FC!$AJ$4:$AJ$23,0),FALSE)*1000,""),"")</f>
        <v/>
      </c>
      <c r="BC513" s="883" t="str">
        <f>IF(V513="BRAND.com",IFERROR(HLOOKUP(X513&amp;Z513,PLANNING_FC!$AK$27:$AY$46,MATCH(W513,PLANNING_FC!$AJ$27:$AJ$46,0),FALSE)*1000,""),"")</f>
        <v/>
      </c>
    </row>
    <row r="514" spans="1:55" x14ac:dyDescent="0.25">
      <c r="A514" s="509"/>
      <c r="B514" s="509"/>
      <c r="C514" s="509"/>
      <c r="D514" s="509"/>
      <c r="E514" s="509"/>
      <c r="F514" s="509"/>
      <c r="G514" s="511"/>
      <c r="H514" s="509"/>
      <c r="I514" s="512"/>
      <c r="J514" s="513"/>
      <c r="K514" s="514"/>
      <c r="L514" s="515"/>
      <c r="M514" s="516"/>
      <c r="N514" s="56">
        <f t="shared" ref="N514:N529" si="186">IFERROR(I514/(1-J514)*J514,0)</f>
        <v>0</v>
      </c>
      <c r="O514" s="57">
        <f t="shared" ref="O514:O529" si="187">IFERROR(I514+N514,0)</f>
        <v>0</v>
      </c>
      <c r="P514" s="57">
        <f ca="1">IFERROR(IF(ISBLANK(H514),SUMIFS($AC:$AC,$V:$V,V514,$W:$W,W514,$X:$X,X514,$Y:$Y,Y514)*J514/(1-J514)*VLOOKUP(_xlfn.CONCAT(C514,D514,E514,TIME!$M$12,Z514),HIS_SALES!$B$2:$W$4859,20,FALSE),AC514*J514/(1-J514)),0)</f>
        <v>0</v>
      </c>
      <c r="Q514" s="541" t="str">
        <f t="shared" ref="Q514:Q529" si="188">IF(AND(A514&lt;&gt;"",H514=""),IF(A514=A513,Q513+1,1),"")</f>
        <v/>
      </c>
      <c r="R514" s="346" t="str">
        <f t="shared" ref="R514:R577" si="189">U514&amp;V514&amp;W514&amp;X514&amp;Z514</f>
        <v>00000</v>
      </c>
      <c r="S514" s="344">
        <f t="shared" ref="S514:S529" si="190">B514</f>
        <v>0</v>
      </c>
      <c r="T514" s="345" t="str">
        <f t="shared" si="183"/>
        <v>000</v>
      </c>
      <c r="U514" s="345">
        <f t="shared" ref="U514:U529" si="191">C514</f>
        <v>0</v>
      </c>
      <c r="V514" s="345">
        <f t="shared" ref="V514:V529" si="192">D514</f>
        <v>0</v>
      </c>
      <c r="W514" s="345">
        <f t="shared" ref="W514:W529" si="193">E514</f>
        <v>0</v>
      </c>
      <c r="X514" s="345">
        <f t="shared" ref="X514:X529" si="194">F514</f>
        <v>0</v>
      </c>
      <c r="Y514" s="345">
        <f t="shared" ref="Y514:Y529" si="195">G514</f>
        <v>0</v>
      </c>
      <c r="Z514" s="345">
        <f>IF(Q514&lt;&gt;"",VLOOKUP(Y514,TIME!$R$21:$V$24,MATCH(FC_DATA!Q514,TIME!$R$20:$V$20,0),FALSE),H514)</f>
        <v>0</v>
      </c>
      <c r="AA514" s="345" t="str">
        <f>IFERROR(VLOOKUP(X514&amp;Z514,TIME!$A$12:$D$71,4,FALSE),"")</f>
        <v/>
      </c>
      <c r="AB514" s="592">
        <f t="shared" ref="AB514:AB577" ca="1" si="196">IFERROR(AC514+P514,0)</f>
        <v>0</v>
      </c>
      <c r="AC514" s="593" t="e">
        <f ca="1">IF(ISBLANK(H514)=FALSE,IF(D514="BRAND.com",I514,IF(ISNA(VLOOKUP(_xlfn.CONCAT(X514,Z514),TIME!$M$40:$M$42,1,FALSE)),I514,VLOOKUP(_xlfn.CONCAT(D514,G514,H514),M_BUSAREA_FC!$AF$5:$AJ$10,5,FALSE)*HLOOKUP(_xlfn.CONCAT(F514,H514),ST_OVERVIEW!$G$99:$I$130,MATCH(_xlfn.CONCAT(D514,E514),ST_OVERVIEW!$F$99:$F$130,0),FALSE))),IF(D514="BRAND.com",VLOOKUP(_xlfn.CONCAT(C514,D514,E514,TIME!$F$1,Z514),HIS_SALES!$B$2:$V$4859,19,FALSE)*I514,VLOOKUP(_xlfn.CONCAT(D514,F514,G514),Q_BUSAREA_FC!$AE$5:$AI$12,5,FALSE)*HLOOKUP(_xlfn.CONCAT(FC_DATA!F514,FC_DATA!G514),LT_OVERVIEW!$I$99:$M$130,MATCH(_xlfn.CONCAT(D514,FC_DATA!E514),LT_OVERVIEW!$H$99:$H$130,0),FALSE)*IFERROR(VLOOKUP(_xlfn.CONCAT(C514,D514,E514,TIME!$F$1,Z514),HIS_SALES!$B$2:$V$4859,19,FALSE),0)))</f>
        <v>#N/A</v>
      </c>
      <c r="AD514" s="341">
        <f t="shared" ref="AD514:AD529" ca="1" si="197">IFERROR(IF(D514="PARTNER.com",0,1-AC514/AB514),0)</f>
        <v>0</v>
      </c>
      <c r="AE514" s="363" t="str">
        <f t="shared" ref="AE514:AE529" si="198">IF(A514&lt;&gt;"",K514,"")</f>
        <v/>
      </c>
      <c r="AF514" s="342" t="str">
        <f t="shared" ref="AF514:AF529" si="199">IF(B514&lt;&gt;"",M514,"")</f>
        <v/>
      </c>
      <c r="AG514" s="411" t="e">
        <f ca="1">VLOOKUP(_xlfn.CONCAT(U514,V514,W514,VLOOKUP(X514&amp;Y514,TIME!$L$27:$O$34,4,FALSE),Y514),HIS_SALES!$A$2:$R$5093,18,FALSE)</f>
        <v>#N/A</v>
      </c>
      <c r="AH514" s="412" t="e">
        <f ca="1">IFERROR(IF(AND(V514=V513,W514=W513),0.5*(AB514+AB513)*AG514,(VLOOKUP(_xlfn.CONCAT(U514,V514,W514,X514,VLOOKUP(Z514,TIME!$S$28:$T$39,2,FALSE)),FC_DATA!$R$2:$AB$5000,MATCH("GS_I_M",FC_DATA!$R$1:$AB$1,0),FALSE)+FC_DATA!AB514)*0.5*FC_DATA!AG514),NA())</f>
        <v>#N/A</v>
      </c>
      <c r="AI514" s="491" t="e">
        <f ca="1">IF(V514="PARTNER.com",AH514,IF(AND(V514=V513,W514=W513),(1-AVERAGE(AD513,AD514))*AH514,(1-AVERAGE(AD514,VLOOKUP(_xlfn.CONCAT(U514,V514,W514,X514,M_BRAND_FC!$F$6),FC_DATA!$R$2:$AD$5000,MATCH("DISCOUNT_%_M",FC_DATA!$R$1:$AD$1,0),FALSE)))*AH514))</f>
        <v>#N/A</v>
      </c>
      <c r="AJ514" s="412" t="str">
        <f t="shared" ref="AJ514:AJ577" ca="1" si="200">IFERROR(AC514-AI514,"")</f>
        <v/>
      </c>
      <c r="AK514" s="413" t="str">
        <f>IFERROR(AE514/(Q_BRAND_FC!$T$24+1),"")</f>
        <v/>
      </c>
      <c r="AL514" s="88" t="str">
        <f t="shared" ref="AL514:AL577" ca="1" si="201">IFERROR((AB514-AH514)/AK514*AF514,"")</f>
        <v/>
      </c>
      <c r="AM514" s="414" t="str">
        <f t="shared" ref="AM514:AM577" ca="1" si="202">IFERROR((AB514-AH514)/AK514*(1-AF514),"")</f>
        <v/>
      </c>
      <c r="AN514" s="58">
        <f>IFERROR(IF($V514="BRAND.com",HLOOKUP($X514&amp;$Z514,NWC_FC_NOOS!$C$4:$Q$23,MATCH(W514,NWC_FC_NOOS!$B$4:$B$23,0),FALSE),0),0)</f>
        <v>0</v>
      </c>
      <c r="AO514" s="57">
        <f>IFERROR(IF($V514="BRAND.com",HLOOKUP($X514&amp;$Z514,NWC_FC_NOOS!$T$4:$AH$23,MATCH(W514,NWC_FC_NOOS!$S$4:$S$23,0),FALSE),0),0)</f>
        <v>0</v>
      </c>
      <c r="AP514" s="57">
        <f>IFERROR(IF($V514="BRAND.com",HLOOKUP($X514&amp;$Z514,NWC_FC_NOOS!$C$50:$U$69,MATCH(W514,NWC_FC_NOOS!$B$50:$B$69,0),FALSE),0),0)</f>
        <v>0</v>
      </c>
      <c r="AQ514" s="58">
        <f>IFERROR(IF($V514="BRAND.com",HLOOKUP($X514&amp;$Z514,'NWC_FC_NON-NOOS'!$C$4:$Q$23,MATCH(W514,'NWC_FC_NON-NOOS'!$B$4:$B$23,0),FALSE),0),0)</f>
        <v>0</v>
      </c>
      <c r="AR514" s="57">
        <f>IFERROR(IF($V514="BRAND.com",HLOOKUP($X514&amp;$Z514,'NWC_FC_NON-NOOS'!$T$4:$AH$23,MATCH(W514,'NWC_FC_NON-NOOS'!$S$4:$S$23,0),FALSE),0),0)</f>
        <v>0</v>
      </c>
      <c r="AS514" s="57">
        <f>IFERROR(IF($V514="BRAND.com",HLOOKUP($X514&amp;$Z514,'NWC_FC_NON-NOOS'!$C$50:$U$69,MATCH(W514,'NWC_FC_NON-NOOS'!$B$50:$B$69,0),FALSE),0),0)</f>
        <v>0</v>
      </c>
      <c r="AT514" s="57">
        <f t="shared" si="184"/>
        <v>0</v>
      </c>
      <c r="AU514" s="57">
        <f t="shared" si="185"/>
        <v>0</v>
      </c>
      <c r="AV514" s="58">
        <f>IFERROR(IF($V514="BRAND.com",HLOOKUP($X514&amp;$Z514,PLANNING_FC!$BB$27:$BP$46,MATCH($W514,PLANNING_FC!$BA$27:$BA$46,0),FALSE),0),0)</f>
        <v>0</v>
      </c>
      <c r="AW514" s="58">
        <f>IFERROR(IF($V514="BRAND.com",HLOOKUP($X514&amp;$Z514,PLANNING_FC!$BB$4:$BP$23,MATCH($W514,PLANNING_FC!$BA$4:$BA$23,0),FALSE),0),0)</f>
        <v>0</v>
      </c>
      <c r="AX514" s="58">
        <f>IFERROR(IF($V514="BRAND.com",HLOOKUP($X514&amp;$Z514,PLANNING_FC!$T$27:$AH$46,MATCH($W514,PLANNING_FC!$B$27:$B$46,0),FALSE),0),0)</f>
        <v>0</v>
      </c>
      <c r="AY514" s="58">
        <f>IFERROR(IF($V514="BRAND.com",HLOOKUP($X514&amp;$Z514,PLANNING_FC!$T$4:$AH$23,MATCH($W514,PLANNING_FC!$B$4:$B$23,0),FALSE),0),0)</f>
        <v>0</v>
      </c>
      <c r="AZ514" s="58">
        <f>IFERROR(IF($V514="BRAND.com",HLOOKUP($X514&amp;$Z514,PLANNING_FC!$DA$27:$DO$46,MATCH($W514,PLANNING_FC!$CZ$27:$CZ$46,0),FALSE),0),0)</f>
        <v>0</v>
      </c>
      <c r="BA514" s="58">
        <f>IFERROR(IF($V514="BRAND.com",HLOOKUP($X514&amp;$Z514,PLANNING_FC!$DA$4:$DO$23,MATCH($W514,PLANNING_FC!$CZ$4:$CZ$23,0),FALSE),0),0)</f>
        <v>0</v>
      </c>
      <c r="BB514" s="883" t="str">
        <f>IF(V514="BRAND.com",IFERROR(HLOOKUP(X514&amp;Z514,PLANNING_FC!$AK$4:$AY$23,MATCH(W514,PLANNING_FC!$AJ$4:$AJ$23,0),FALSE)*1000,""),"")</f>
        <v/>
      </c>
      <c r="BC514" s="883" t="str">
        <f>IF(V514="BRAND.com",IFERROR(HLOOKUP(X514&amp;Z514,PLANNING_FC!$AK$27:$AY$46,MATCH(W514,PLANNING_FC!$AJ$27:$AJ$46,0),FALSE)*1000,""),"")</f>
        <v/>
      </c>
    </row>
    <row r="515" spans="1:55" x14ac:dyDescent="0.25">
      <c r="A515" s="509"/>
      <c r="B515" s="509"/>
      <c r="C515" s="509"/>
      <c r="D515" s="509"/>
      <c r="E515" s="509"/>
      <c r="F515" s="509"/>
      <c r="G515" s="509"/>
      <c r="H515" s="509"/>
      <c r="I515" s="512"/>
      <c r="J515" s="513"/>
      <c r="K515" s="514"/>
      <c r="L515" s="515"/>
      <c r="M515" s="516"/>
      <c r="N515" s="56">
        <f t="shared" si="186"/>
        <v>0</v>
      </c>
      <c r="O515" s="57">
        <f t="shared" si="187"/>
        <v>0</v>
      </c>
      <c r="P515" s="57">
        <f ca="1">IFERROR(IF(ISBLANK(H515),SUMIFS($AC:$AC,$V:$V,V515,$W:$W,W515,$X:$X,X515,$Y:$Y,Y515)*J515/(1-J515)*VLOOKUP(_xlfn.CONCAT(C515,D515,E515,TIME!$M$12,Z515),HIS_SALES!$B$2:$W$4859,20,FALSE),AC515*J515/(1-J515)),0)</f>
        <v>0</v>
      </c>
      <c r="Q515" s="541" t="str">
        <f t="shared" si="188"/>
        <v/>
      </c>
      <c r="R515" s="346" t="str">
        <f t="shared" si="189"/>
        <v>00000</v>
      </c>
      <c r="S515" s="344">
        <f t="shared" si="190"/>
        <v>0</v>
      </c>
      <c r="T515" s="345" t="str">
        <f t="shared" ref="T515:T578" si="203">U515&amp;V515&amp;W515&amp;AA515</f>
        <v>000</v>
      </c>
      <c r="U515" s="345">
        <f t="shared" si="191"/>
        <v>0</v>
      </c>
      <c r="V515" s="345">
        <f t="shared" si="192"/>
        <v>0</v>
      </c>
      <c r="W515" s="345">
        <f t="shared" si="193"/>
        <v>0</v>
      </c>
      <c r="X515" s="345">
        <f t="shared" si="194"/>
        <v>0</v>
      </c>
      <c r="Y515" s="345">
        <f t="shared" si="195"/>
        <v>0</v>
      </c>
      <c r="Z515" s="345">
        <f>IF(Q515&lt;&gt;"",VLOOKUP(Y515,TIME!$R$21:$V$24,MATCH(FC_DATA!Q515,TIME!$R$20:$V$20,0),FALSE),H515)</f>
        <v>0</v>
      </c>
      <c r="AA515" s="345" t="str">
        <f>IFERROR(VLOOKUP(X515&amp;Z515,TIME!$A$12:$D$71,4,FALSE),"")</f>
        <v/>
      </c>
      <c r="AB515" s="592">
        <f t="shared" ca="1" si="196"/>
        <v>0</v>
      </c>
      <c r="AC515" s="593" t="e">
        <f ca="1">IF(ISBLANK(H515)=FALSE,IF(D515="BRAND.com",I515,IF(ISNA(VLOOKUP(_xlfn.CONCAT(X515,Z515),TIME!$M$40:$M$42,1,FALSE)),I515,VLOOKUP(_xlfn.CONCAT(D515,G515,H515),M_BUSAREA_FC!$AF$5:$AJ$10,5,FALSE)*HLOOKUP(_xlfn.CONCAT(F515,H515),ST_OVERVIEW!$G$99:$I$130,MATCH(_xlfn.CONCAT(D515,E515),ST_OVERVIEW!$F$99:$F$130,0),FALSE))),IF(D515="BRAND.com",VLOOKUP(_xlfn.CONCAT(C515,D515,E515,TIME!$F$1,Z515),HIS_SALES!$B$2:$V$4859,19,FALSE)*I515,VLOOKUP(_xlfn.CONCAT(D515,F515,G515),Q_BUSAREA_FC!$AE$5:$AI$12,5,FALSE)*HLOOKUP(_xlfn.CONCAT(FC_DATA!F515,FC_DATA!G515),LT_OVERVIEW!$I$99:$M$130,MATCH(_xlfn.CONCAT(D515,FC_DATA!E515),LT_OVERVIEW!$H$99:$H$130,0),FALSE)*IFERROR(VLOOKUP(_xlfn.CONCAT(C515,D515,E515,TIME!$F$1,Z515),HIS_SALES!$B$2:$V$4859,19,FALSE),0)))</f>
        <v>#N/A</v>
      </c>
      <c r="AD515" s="341">
        <f t="shared" ca="1" si="197"/>
        <v>0</v>
      </c>
      <c r="AE515" s="363" t="str">
        <f t="shared" si="198"/>
        <v/>
      </c>
      <c r="AF515" s="342" t="str">
        <f t="shared" si="199"/>
        <v/>
      </c>
      <c r="AG515" s="411" t="e">
        <f ca="1">VLOOKUP(_xlfn.CONCAT(U515,V515,W515,VLOOKUP(X515&amp;Y515,TIME!$L$27:$O$34,4,FALSE),Y515),HIS_SALES!$A$2:$R$5093,18,FALSE)</f>
        <v>#N/A</v>
      </c>
      <c r="AH515" s="412" t="e">
        <f ca="1">IFERROR(IF(AND(V515=V514,W515=W514),0.5*(AB515+AB514)*AG515,(VLOOKUP(_xlfn.CONCAT(U515,V515,W515,X515,VLOOKUP(Z515,TIME!$S$28:$T$39,2,FALSE)),FC_DATA!$R$2:$AB$5000,MATCH("GS_I_M",FC_DATA!$R$1:$AB$1,0),FALSE)+FC_DATA!AB515)*0.5*FC_DATA!AG515),NA())</f>
        <v>#N/A</v>
      </c>
      <c r="AI515" s="491" t="e">
        <f ca="1">IF(V515="PARTNER.com",AH515,IF(AND(V515=V514,W515=W514),(1-AVERAGE(AD514,AD515))*AH515,(1-AVERAGE(AD515,VLOOKUP(_xlfn.CONCAT(U515,V515,W515,X515,M_BRAND_FC!$F$6),FC_DATA!$R$2:$AD$5000,MATCH("DISCOUNT_%_M",FC_DATA!$R$1:$AD$1,0),FALSE)))*AH515))</f>
        <v>#N/A</v>
      </c>
      <c r="AJ515" s="412" t="str">
        <f t="shared" ca="1" si="200"/>
        <v/>
      </c>
      <c r="AK515" s="413" t="str">
        <f>IFERROR(AE515/(Q_BRAND_FC!$T$24+1),"")</f>
        <v/>
      </c>
      <c r="AL515" s="88" t="str">
        <f t="shared" ca="1" si="201"/>
        <v/>
      </c>
      <c r="AM515" s="414" t="str">
        <f t="shared" ca="1" si="202"/>
        <v/>
      </c>
      <c r="AN515" s="58">
        <f>IFERROR(IF($V515="BRAND.com",HLOOKUP($X515&amp;$Z515,NWC_FC_NOOS!$C$4:$Q$23,MATCH(W515,NWC_FC_NOOS!$B$4:$B$23,0),FALSE),0),0)</f>
        <v>0</v>
      </c>
      <c r="AO515" s="57">
        <f>IFERROR(IF($V515="BRAND.com",HLOOKUP($X515&amp;$Z515,NWC_FC_NOOS!$T$4:$AH$23,MATCH(W515,NWC_FC_NOOS!$S$4:$S$23,0),FALSE),0),0)</f>
        <v>0</v>
      </c>
      <c r="AP515" s="57">
        <f>IFERROR(IF($V515="BRAND.com",HLOOKUP($X515&amp;$Z515,NWC_FC_NOOS!$C$50:$U$69,MATCH(W515,NWC_FC_NOOS!$B$50:$B$69,0),FALSE),0),0)</f>
        <v>0</v>
      </c>
      <c r="AQ515" s="58">
        <f>IFERROR(IF($V515="BRAND.com",HLOOKUP($X515&amp;$Z515,'NWC_FC_NON-NOOS'!$C$4:$Q$23,MATCH(W515,'NWC_FC_NON-NOOS'!$B$4:$B$23,0),FALSE),0),0)</f>
        <v>0</v>
      </c>
      <c r="AR515" s="57">
        <f>IFERROR(IF($V515="BRAND.com",HLOOKUP($X515&amp;$Z515,'NWC_FC_NON-NOOS'!$T$4:$AH$23,MATCH(W515,'NWC_FC_NON-NOOS'!$S$4:$S$23,0),FALSE),0),0)</f>
        <v>0</v>
      </c>
      <c r="AS515" s="57">
        <f>IFERROR(IF($V515="BRAND.com",HLOOKUP($X515&amp;$Z515,'NWC_FC_NON-NOOS'!$C$50:$U$69,MATCH(W515,'NWC_FC_NON-NOOS'!$B$50:$B$69,0),FALSE),0),0)</f>
        <v>0</v>
      </c>
      <c r="AT515" s="57">
        <f t="shared" ref="AT515:AT578" si="204">AO515+AR515</f>
        <v>0</v>
      </c>
      <c r="AU515" s="57">
        <f t="shared" ref="AU515:AU578" si="205">AP515+AS515</f>
        <v>0</v>
      </c>
      <c r="AV515" s="58">
        <f>IFERROR(IF($V515="BRAND.com",HLOOKUP($X515&amp;$Z515,PLANNING_FC!$BB$27:$BP$46,MATCH($W515,PLANNING_FC!$BA$27:$BA$46,0),FALSE),0),0)</f>
        <v>0</v>
      </c>
      <c r="AW515" s="58">
        <f>IFERROR(IF($V515="BRAND.com",HLOOKUP($X515&amp;$Z515,PLANNING_FC!$BB$4:$BP$23,MATCH($W515,PLANNING_FC!$BA$4:$BA$23,0),FALSE),0),0)</f>
        <v>0</v>
      </c>
      <c r="AX515" s="58">
        <f>IFERROR(IF($V515="BRAND.com",HLOOKUP($X515&amp;$Z515,PLANNING_FC!$T$27:$AH$46,MATCH($W515,PLANNING_FC!$B$27:$B$46,0),FALSE),0),0)</f>
        <v>0</v>
      </c>
      <c r="AY515" s="58">
        <f>IFERROR(IF($V515="BRAND.com",HLOOKUP($X515&amp;$Z515,PLANNING_FC!$T$4:$AH$23,MATCH($W515,PLANNING_FC!$B$4:$B$23,0),FALSE),0),0)</f>
        <v>0</v>
      </c>
      <c r="AZ515" s="58">
        <f>IFERROR(IF($V515="BRAND.com",HLOOKUP($X515&amp;$Z515,PLANNING_FC!$DA$27:$DO$46,MATCH($W515,PLANNING_FC!$CZ$27:$CZ$46,0),FALSE),0),0)</f>
        <v>0</v>
      </c>
      <c r="BA515" s="58">
        <f>IFERROR(IF($V515="BRAND.com",HLOOKUP($X515&amp;$Z515,PLANNING_FC!$DA$4:$DO$23,MATCH($W515,PLANNING_FC!$CZ$4:$CZ$23,0),FALSE),0),0)</f>
        <v>0</v>
      </c>
      <c r="BB515" s="883" t="str">
        <f>IF(V515="BRAND.com",IFERROR(HLOOKUP(X515&amp;Z515,PLANNING_FC!$AK$4:$AY$23,MATCH(W515,PLANNING_FC!$AJ$4:$AJ$23,0),FALSE)*1000,""),"")</f>
        <v/>
      </c>
      <c r="BC515" s="883" t="str">
        <f>IF(V515="BRAND.com",IFERROR(HLOOKUP(X515&amp;Z515,PLANNING_FC!$AK$27:$AY$46,MATCH(W515,PLANNING_FC!$AJ$27:$AJ$46,0),FALSE)*1000,""),"")</f>
        <v/>
      </c>
    </row>
    <row r="516" spans="1:55" x14ac:dyDescent="0.25">
      <c r="A516" s="509"/>
      <c r="B516" s="509"/>
      <c r="C516" s="509"/>
      <c r="D516" s="509"/>
      <c r="E516" s="509"/>
      <c r="F516" s="509"/>
      <c r="G516" s="509"/>
      <c r="H516" s="509"/>
      <c r="I516" s="512"/>
      <c r="J516" s="513"/>
      <c r="K516" s="514"/>
      <c r="L516" s="515"/>
      <c r="M516" s="516"/>
      <c r="N516" s="56">
        <f t="shared" si="186"/>
        <v>0</v>
      </c>
      <c r="O516" s="57">
        <f t="shared" si="187"/>
        <v>0</v>
      </c>
      <c r="P516" s="57">
        <f ca="1">IFERROR(IF(ISBLANK(H516),SUMIFS($AC:$AC,$V:$V,V516,$W:$W,W516,$X:$X,X516,$Y:$Y,Y516)*J516/(1-J516)*VLOOKUP(_xlfn.CONCAT(C516,D516,E516,TIME!$M$12,Z516),HIS_SALES!$B$2:$W$4859,20,FALSE),AC516*J516/(1-J516)),0)</f>
        <v>0</v>
      </c>
      <c r="Q516" s="541" t="str">
        <f t="shared" si="188"/>
        <v/>
      </c>
      <c r="R516" s="346" t="str">
        <f t="shared" si="189"/>
        <v>00000</v>
      </c>
      <c r="S516" s="344">
        <f t="shared" si="190"/>
        <v>0</v>
      </c>
      <c r="T516" s="345" t="str">
        <f t="shared" si="203"/>
        <v>000</v>
      </c>
      <c r="U516" s="345">
        <f t="shared" si="191"/>
        <v>0</v>
      </c>
      <c r="V516" s="345">
        <f t="shared" si="192"/>
        <v>0</v>
      </c>
      <c r="W516" s="345">
        <f t="shared" si="193"/>
        <v>0</v>
      </c>
      <c r="X516" s="345">
        <f t="shared" si="194"/>
        <v>0</v>
      </c>
      <c r="Y516" s="345">
        <f t="shared" si="195"/>
        <v>0</v>
      </c>
      <c r="Z516" s="345">
        <f>IF(Q516&lt;&gt;"",VLOOKUP(Y516,TIME!$R$21:$V$24,MATCH(FC_DATA!Q516,TIME!$R$20:$V$20,0),FALSE),H516)</f>
        <v>0</v>
      </c>
      <c r="AA516" s="345" t="str">
        <f>IFERROR(VLOOKUP(X516&amp;Z516,TIME!$A$12:$D$71,4,FALSE),"")</f>
        <v/>
      </c>
      <c r="AB516" s="592">
        <f t="shared" ca="1" si="196"/>
        <v>0</v>
      </c>
      <c r="AC516" s="593" t="e">
        <f ca="1">IF(ISBLANK(H516)=FALSE,IF(D516="BRAND.com",I516,IF(ISNA(VLOOKUP(_xlfn.CONCAT(X516,Z516),TIME!$M$40:$M$42,1,FALSE)),I516,VLOOKUP(_xlfn.CONCAT(D516,G516,H516),M_BUSAREA_FC!$AF$5:$AJ$10,5,FALSE)*HLOOKUP(_xlfn.CONCAT(F516,H516),ST_OVERVIEW!$G$99:$I$130,MATCH(_xlfn.CONCAT(D516,E516),ST_OVERVIEW!$F$99:$F$130,0),FALSE))),IF(D516="BRAND.com",VLOOKUP(_xlfn.CONCAT(C516,D516,E516,TIME!$F$1,Z516),HIS_SALES!$B$2:$V$4859,19,FALSE)*I516,VLOOKUP(_xlfn.CONCAT(D516,F516,G516),Q_BUSAREA_FC!$AE$5:$AI$12,5,FALSE)*HLOOKUP(_xlfn.CONCAT(FC_DATA!F516,FC_DATA!G516),LT_OVERVIEW!$I$99:$M$130,MATCH(_xlfn.CONCAT(D516,FC_DATA!E516),LT_OVERVIEW!$H$99:$H$130,0),FALSE)*IFERROR(VLOOKUP(_xlfn.CONCAT(C516,D516,E516,TIME!$F$1,Z516),HIS_SALES!$B$2:$V$4859,19,FALSE),0)))</f>
        <v>#N/A</v>
      </c>
      <c r="AD516" s="341">
        <f t="shared" ca="1" si="197"/>
        <v>0</v>
      </c>
      <c r="AE516" s="363" t="str">
        <f t="shared" si="198"/>
        <v/>
      </c>
      <c r="AF516" s="342" t="str">
        <f t="shared" si="199"/>
        <v/>
      </c>
      <c r="AG516" s="411" t="e">
        <f ca="1">VLOOKUP(_xlfn.CONCAT(U516,V516,W516,VLOOKUP(X516&amp;Y516,TIME!$L$27:$O$34,4,FALSE),Y516),HIS_SALES!$A$2:$R$5093,18,FALSE)</f>
        <v>#N/A</v>
      </c>
      <c r="AH516" s="412" t="e">
        <f ca="1">IFERROR(IF(AND(V516=V515,W516=W515),0.5*(AB516+AB515)*AG516,(VLOOKUP(_xlfn.CONCAT(U516,V516,W516,X516,VLOOKUP(Z516,TIME!$S$28:$T$39,2,FALSE)),FC_DATA!$R$2:$AB$5000,MATCH("GS_I_M",FC_DATA!$R$1:$AB$1,0),FALSE)+FC_DATA!AB516)*0.5*FC_DATA!AG516),NA())</f>
        <v>#N/A</v>
      </c>
      <c r="AI516" s="491" t="e">
        <f ca="1">IF(V516="PARTNER.com",AH516,IF(AND(V516=V515,W516=W515),(1-AVERAGE(AD515,AD516))*AH516,(1-AVERAGE(AD516,VLOOKUP(_xlfn.CONCAT(U516,V516,W516,X516,M_BRAND_FC!$F$6),FC_DATA!$R$2:$AD$5000,MATCH("DISCOUNT_%_M",FC_DATA!$R$1:$AD$1,0),FALSE)))*AH516))</f>
        <v>#N/A</v>
      </c>
      <c r="AJ516" s="412" t="str">
        <f t="shared" ca="1" si="200"/>
        <v/>
      </c>
      <c r="AK516" s="413" t="str">
        <f>IFERROR(AE516/(Q_BRAND_FC!$T$24+1),"")</f>
        <v/>
      </c>
      <c r="AL516" s="88" t="str">
        <f t="shared" ca="1" si="201"/>
        <v/>
      </c>
      <c r="AM516" s="414" t="str">
        <f t="shared" ca="1" si="202"/>
        <v/>
      </c>
      <c r="AN516" s="58">
        <f>IFERROR(IF($V516="BRAND.com",HLOOKUP($X516&amp;$Z516,NWC_FC_NOOS!$C$4:$Q$23,MATCH(W516,NWC_FC_NOOS!$B$4:$B$23,0),FALSE),0),0)</f>
        <v>0</v>
      </c>
      <c r="AO516" s="57">
        <f>IFERROR(IF($V516="BRAND.com",HLOOKUP($X516&amp;$Z516,NWC_FC_NOOS!$T$4:$AH$23,MATCH(W516,NWC_FC_NOOS!$S$4:$S$23,0),FALSE),0),0)</f>
        <v>0</v>
      </c>
      <c r="AP516" s="57">
        <f>IFERROR(IF($V516="BRAND.com",HLOOKUP($X516&amp;$Z516,NWC_FC_NOOS!$C$50:$U$69,MATCH(W516,NWC_FC_NOOS!$B$50:$B$69,0),FALSE),0),0)</f>
        <v>0</v>
      </c>
      <c r="AQ516" s="58">
        <f>IFERROR(IF($V516="BRAND.com",HLOOKUP($X516&amp;$Z516,'NWC_FC_NON-NOOS'!$C$4:$Q$23,MATCH(W516,'NWC_FC_NON-NOOS'!$B$4:$B$23,0),FALSE),0),0)</f>
        <v>0</v>
      </c>
      <c r="AR516" s="57">
        <f>IFERROR(IF($V516="BRAND.com",HLOOKUP($X516&amp;$Z516,'NWC_FC_NON-NOOS'!$T$4:$AH$23,MATCH(W516,'NWC_FC_NON-NOOS'!$S$4:$S$23,0),FALSE),0),0)</f>
        <v>0</v>
      </c>
      <c r="AS516" s="57">
        <f>IFERROR(IF($V516="BRAND.com",HLOOKUP($X516&amp;$Z516,'NWC_FC_NON-NOOS'!$C$50:$U$69,MATCH(W516,'NWC_FC_NON-NOOS'!$B$50:$B$69,0),FALSE),0),0)</f>
        <v>0</v>
      </c>
      <c r="AT516" s="57">
        <f t="shared" si="204"/>
        <v>0</v>
      </c>
      <c r="AU516" s="57">
        <f t="shared" si="205"/>
        <v>0</v>
      </c>
      <c r="AV516" s="58">
        <f>IFERROR(IF($V516="BRAND.com",HLOOKUP($X516&amp;$Z516,PLANNING_FC!$BB$27:$BP$46,MATCH($W516,PLANNING_FC!$BA$27:$BA$46,0),FALSE),0),0)</f>
        <v>0</v>
      </c>
      <c r="AW516" s="58">
        <f>IFERROR(IF($V516="BRAND.com",HLOOKUP($X516&amp;$Z516,PLANNING_FC!$BB$4:$BP$23,MATCH($W516,PLANNING_FC!$BA$4:$BA$23,0),FALSE),0),0)</f>
        <v>0</v>
      </c>
      <c r="AX516" s="58">
        <f>IFERROR(IF($V516="BRAND.com",HLOOKUP($X516&amp;$Z516,PLANNING_FC!$T$27:$AH$46,MATCH($W516,PLANNING_FC!$B$27:$B$46,0),FALSE),0),0)</f>
        <v>0</v>
      </c>
      <c r="AY516" s="58">
        <f>IFERROR(IF($V516="BRAND.com",HLOOKUP($X516&amp;$Z516,PLANNING_FC!$T$4:$AH$23,MATCH($W516,PLANNING_FC!$B$4:$B$23,0),FALSE),0),0)</f>
        <v>0</v>
      </c>
      <c r="AZ516" s="58">
        <f>IFERROR(IF($V516="BRAND.com",HLOOKUP($X516&amp;$Z516,PLANNING_FC!$DA$27:$DO$46,MATCH($W516,PLANNING_FC!$CZ$27:$CZ$46,0),FALSE),0),0)</f>
        <v>0</v>
      </c>
      <c r="BA516" s="58">
        <f>IFERROR(IF($V516="BRAND.com",HLOOKUP($X516&amp;$Z516,PLANNING_FC!$DA$4:$DO$23,MATCH($W516,PLANNING_FC!$CZ$4:$CZ$23,0),FALSE),0),0)</f>
        <v>0</v>
      </c>
      <c r="BB516" s="883" t="str">
        <f>IF(V516="BRAND.com",IFERROR(HLOOKUP(X516&amp;Z516,PLANNING_FC!$AK$4:$AY$23,MATCH(W516,PLANNING_FC!$AJ$4:$AJ$23,0),FALSE)*1000,""),"")</f>
        <v/>
      </c>
      <c r="BC516" s="883" t="str">
        <f>IF(V516="BRAND.com",IFERROR(HLOOKUP(X516&amp;Z516,PLANNING_FC!$AK$27:$AY$46,MATCH(W516,PLANNING_FC!$AJ$27:$AJ$46,0),FALSE)*1000,""),"")</f>
        <v/>
      </c>
    </row>
    <row r="517" spans="1:55" x14ac:dyDescent="0.25">
      <c r="A517" s="509"/>
      <c r="B517" s="509"/>
      <c r="C517" s="509"/>
      <c r="D517" s="509"/>
      <c r="E517" s="509"/>
      <c r="F517" s="509"/>
      <c r="G517" s="509"/>
      <c r="H517" s="509"/>
      <c r="I517" s="512"/>
      <c r="J517" s="513"/>
      <c r="K517" s="514"/>
      <c r="L517" s="515"/>
      <c r="M517" s="516"/>
      <c r="N517" s="56">
        <f t="shared" si="186"/>
        <v>0</v>
      </c>
      <c r="O517" s="57">
        <f t="shared" si="187"/>
        <v>0</v>
      </c>
      <c r="P517" s="57">
        <f ca="1">IFERROR(IF(ISBLANK(H517),SUMIFS($AC:$AC,$V:$V,V517,$W:$W,W517,$X:$X,X517,$Y:$Y,Y517)*J517/(1-J517)*VLOOKUP(_xlfn.CONCAT(C517,D517,E517,TIME!$M$12,Z517),HIS_SALES!$B$2:$W$4859,20,FALSE),AC517*J517/(1-J517)),0)</f>
        <v>0</v>
      </c>
      <c r="Q517" s="541" t="str">
        <f t="shared" si="188"/>
        <v/>
      </c>
      <c r="R517" s="346" t="str">
        <f t="shared" si="189"/>
        <v>00000</v>
      </c>
      <c r="S517" s="344">
        <f t="shared" si="190"/>
        <v>0</v>
      </c>
      <c r="T517" s="345" t="str">
        <f t="shared" si="203"/>
        <v>000</v>
      </c>
      <c r="U517" s="345">
        <f t="shared" si="191"/>
        <v>0</v>
      </c>
      <c r="V517" s="345">
        <f t="shared" si="192"/>
        <v>0</v>
      </c>
      <c r="W517" s="345">
        <f t="shared" si="193"/>
        <v>0</v>
      </c>
      <c r="X517" s="345">
        <f t="shared" si="194"/>
        <v>0</v>
      </c>
      <c r="Y517" s="345">
        <f t="shared" si="195"/>
        <v>0</v>
      </c>
      <c r="Z517" s="345">
        <f>IF(Q517&lt;&gt;"",VLOOKUP(Y517,TIME!$R$21:$V$24,MATCH(FC_DATA!Q517,TIME!$R$20:$V$20,0),FALSE),H517)</f>
        <v>0</v>
      </c>
      <c r="AA517" s="345" t="str">
        <f>IFERROR(VLOOKUP(X517&amp;Z517,TIME!$A$12:$D$71,4,FALSE),"")</f>
        <v/>
      </c>
      <c r="AB517" s="592">
        <f t="shared" ca="1" si="196"/>
        <v>0</v>
      </c>
      <c r="AC517" s="593" t="e">
        <f ca="1">IF(ISBLANK(H517)=FALSE,IF(D517="BRAND.com",I517,IF(ISNA(VLOOKUP(_xlfn.CONCAT(X517,Z517),TIME!$M$40:$M$42,1,FALSE)),I517,VLOOKUP(_xlfn.CONCAT(D517,G517,H517),M_BUSAREA_FC!$AF$5:$AJ$10,5,FALSE)*HLOOKUP(_xlfn.CONCAT(F517,H517),ST_OVERVIEW!$G$99:$I$130,MATCH(_xlfn.CONCAT(D517,E517),ST_OVERVIEW!$F$99:$F$130,0),FALSE))),IF(D517="BRAND.com",VLOOKUP(_xlfn.CONCAT(C517,D517,E517,TIME!$F$1,Z517),HIS_SALES!$B$2:$V$4859,19,FALSE)*I517,VLOOKUP(_xlfn.CONCAT(D517,F517,G517),Q_BUSAREA_FC!$AE$5:$AI$12,5,FALSE)*HLOOKUP(_xlfn.CONCAT(FC_DATA!F517,FC_DATA!G517),LT_OVERVIEW!$I$99:$M$130,MATCH(_xlfn.CONCAT(D517,FC_DATA!E517),LT_OVERVIEW!$H$99:$H$130,0),FALSE)*IFERROR(VLOOKUP(_xlfn.CONCAT(C517,D517,E517,TIME!$F$1,Z517),HIS_SALES!$B$2:$V$4859,19,FALSE),0)))</f>
        <v>#N/A</v>
      </c>
      <c r="AD517" s="341">
        <f t="shared" ca="1" si="197"/>
        <v>0</v>
      </c>
      <c r="AE517" s="363" t="str">
        <f t="shared" si="198"/>
        <v/>
      </c>
      <c r="AF517" s="342" t="str">
        <f t="shared" si="199"/>
        <v/>
      </c>
      <c r="AG517" s="411" t="e">
        <f ca="1">VLOOKUP(_xlfn.CONCAT(U517,V517,W517,VLOOKUP(X517&amp;Y517,TIME!$L$27:$O$34,4,FALSE),Y517),HIS_SALES!$A$2:$R$5093,18,FALSE)</f>
        <v>#N/A</v>
      </c>
      <c r="AH517" s="412" t="e">
        <f ca="1">IFERROR(IF(AND(V517=V516,W517=W516),0.5*(AB517+AB516)*AG517,(VLOOKUP(_xlfn.CONCAT(U517,V517,W517,X517,VLOOKUP(Z517,TIME!$S$28:$T$39,2,FALSE)),FC_DATA!$R$2:$AB$5000,MATCH("GS_I_M",FC_DATA!$R$1:$AB$1,0),FALSE)+FC_DATA!AB517)*0.5*FC_DATA!AG517),NA())</f>
        <v>#N/A</v>
      </c>
      <c r="AI517" s="491" t="e">
        <f ca="1">IF(V517="PARTNER.com",AH517,IF(AND(V517=V516,W517=W516),(1-AVERAGE(AD516,AD517))*AH517,(1-AVERAGE(AD517,VLOOKUP(_xlfn.CONCAT(U517,V517,W517,X517,M_BRAND_FC!$F$6),FC_DATA!$R$2:$AD$5000,MATCH("DISCOUNT_%_M",FC_DATA!$R$1:$AD$1,0),FALSE)))*AH517))</f>
        <v>#N/A</v>
      </c>
      <c r="AJ517" s="412" t="str">
        <f t="shared" ca="1" si="200"/>
        <v/>
      </c>
      <c r="AK517" s="413" t="str">
        <f>IFERROR(AE517/(Q_BRAND_FC!$T$24+1),"")</f>
        <v/>
      </c>
      <c r="AL517" s="88" t="str">
        <f t="shared" ca="1" si="201"/>
        <v/>
      </c>
      <c r="AM517" s="414" t="str">
        <f t="shared" ca="1" si="202"/>
        <v/>
      </c>
      <c r="AN517" s="58">
        <f>IFERROR(IF($V517="BRAND.com",HLOOKUP($X517&amp;$Z517,NWC_FC_NOOS!$C$4:$Q$23,MATCH(W517,NWC_FC_NOOS!$B$4:$B$23,0),FALSE),0),0)</f>
        <v>0</v>
      </c>
      <c r="AO517" s="57">
        <f>IFERROR(IF($V517="BRAND.com",HLOOKUP($X517&amp;$Z517,NWC_FC_NOOS!$T$4:$AH$23,MATCH(W517,NWC_FC_NOOS!$S$4:$S$23,0),FALSE),0),0)</f>
        <v>0</v>
      </c>
      <c r="AP517" s="57">
        <f>IFERROR(IF($V517="BRAND.com",HLOOKUP($X517&amp;$Z517,NWC_FC_NOOS!$C$50:$U$69,MATCH(W517,NWC_FC_NOOS!$B$50:$B$69,0),FALSE),0),0)</f>
        <v>0</v>
      </c>
      <c r="AQ517" s="58">
        <f>IFERROR(IF($V517="BRAND.com",HLOOKUP($X517&amp;$Z517,'NWC_FC_NON-NOOS'!$C$4:$Q$23,MATCH(W517,'NWC_FC_NON-NOOS'!$B$4:$B$23,0),FALSE),0),0)</f>
        <v>0</v>
      </c>
      <c r="AR517" s="57">
        <f>IFERROR(IF($V517="BRAND.com",HLOOKUP($X517&amp;$Z517,'NWC_FC_NON-NOOS'!$T$4:$AH$23,MATCH(W517,'NWC_FC_NON-NOOS'!$S$4:$S$23,0),FALSE),0),0)</f>
        <v>0</v>
      </c>
      <c r="AS517" s="57">
        <f>IFERROR(IF($V517="BRAND.com",HLOOKUP($X517&amp;$Z517,'NWC_FC_NON-NOOS'!$C$50:$U$69,MATCH(W517,'NWC_FC_NON-NOOS'!$B$50:$B$69,0),FALSE),0),0)</f>
        <v>0</v>
      </c>
      <c r="AT517" s="57">
        <f t="shared" si="204"/>
        <v>0</v>
      </c>
      <c r="AU517" s="57">
        <f t="shared" si="205"/>
        <v>0</v>
      </c>
      <c r="AV517" s="58">
        <f>IFERROR(IF($V517="BRAND.com",HLOOKUP($X517&amp;$Z517,PLANNING_FC!$BB$27:$BP$46,MATCH($W517,PLANNING_FC!$BA$27:$BA$46,0),FALSE),0),0)</f>
        <v>0</v>
      </c>
      <c r="AW517" s="58">
        <f>IFERROR(IF($V517="BRAND.com",HLOOKUP($X517&amp;$Z517,PLANNING_FC!$BB$4:$BP$23,MATCH($W517,PLANNING_FC!$BA$4:$BA$23,0),FALSE),0),0)</f>
        <v>0</v>
      </c>
      <c r="AX517" s="58">
        <f>IFERROR(IF($V517="BRAND.com",HLOOKUP($X517&amp;$Z517,PLANNING_FC!$T$27:$AH$46,MATCH($W517,PLANNING_FC!$B$27:$B$46,0),FALSE),0),0)</f>
        <v>0</v>
      </c>
      <c r="AY517" s="58">
        <f>IFERROR(IF($V517="BRAND.com",HLOOKUP($X517&amp;$Z517,PLANNING_FC!$T$4:$AH$23,MATCH($W517,PLANNING_FC!$B$4:$B$23,0),FALSE),0),0)</f>
        <v>0</v>
      </c>
      <c r="AZ517" s="58">
        <f>IFERROR(IF($V517="BRAND.com",HLOOKUP($X517&amp;$Z517,PLANNING_FC!$DA$27:$DO$46,MATCH($W517,PLANNING_FC!$CZ$27:$CZ$46,0),FALSE),0),0)</f>
        <v>0</v>
      </c>
      <c r="BA517" s="58">
        <f>IFERROR(IF($V517="BRAND.com",HLOOKUP($X517&amp;$Z517,PLANNING_FC!$DA$4:$DO$23,MATCH($W517,PLANNING_FC!$CZ$4:$CZ$23,0),FALSE),0),0)</f>
        <v>0</v>
      </c>
      <c r="BB517" s="883" t="str">
        <f>IF(V517="BRAND.com",IFERROR(HLOOKUP(X517&amp;Z517,PLANNING_FC!$AK$4:$AY$23,MATCH(W517,PLANNING_FC!$AJ$4:$AJ$23,0),FALSE)*1000,""),"")</f>
        <v/>
      </c>
      <c r="BC517" s="883" t="str">
        <f>IF(V517="BRAND.com",IFERROR(HLOOKUP(X517&amp;Z517,PLANNING_FC!$AK$27:$AY$46,MATCH(W517,PLANNING_FC!$AJ$27:$AJ$46,0),FALSE)*1000,""),"")</f>
        <v/>
      </c>
    </row>
    <row r="518" spans="1:55" x14ac:dyDescent="0.25">
      <c r="A518" s="509"/>
      <c r="B518" s="509"/>
      <c r="C518" s="509"/>
      <c r="D518" s="509"/>
      <c r="E518" s="509"/>
      <c r="F518" s="509"/>
      <c r="G518" s="511"/>
      <c r="H518" s="509"/>
      <c r="I518" s="512"/>
      <c r="J518" s="513"/>
      <c r="K518" s="514"/>
      <c r="L518" s="515"/>
      <c r="M518" s="516"/>
      <c r="N518" s="56">
        <f t="shared" si="186"/>
        <v>0</v>
      </c>
      <c r="O518" s="57">
        <f t="shared" si="187"/>
        <v>0</v>
      </c>
      <c r="P518" s="57">
        <f ca="1">IFERROR(IF(ISBLANK(H518),SUMIFS($AC:$AC,$V:$V,V518,$W:$W,W518,$X:$X,X518,$Y:$Y,Y518)*J518/(1-J518)*VLOOKUP(_xlfn.CONCAT(C518,D518,E518,TIME!$M$12,Z518),HIS_SALES!$B$2:$W$4859,20,FALSE),AC518*J518/(1-J518)),0)</f>
        <v>0</v>
      </c>
      <c r="Q518" s="541" t="str">
        <f t="shared" si="188"/>
        <v/>
      </c>
      <c r="R518" s="346" t="str">
        <f t="shared" si="189"/>
        <v>00000</v>
      </c>
      <c r="S518" s="344">
        <f t="shared" si="190"/>
        <v>0</v>
      </c>
      <c r="T518" s="345" t="str">
        <f t="shared" si="203"/>
        <v>000</v>
      </c>
      <c r="U518" s="345">
        <f t="shared" si="191"/>
        <v>0</v>
      </c>
      <c r="V518" s="345">
        <f t="shared" si="192"/>
        <v>0</v>
      </c>
      <c r="W518" s="345">
        <f t="shared" si="193"/>
        <v>0</v>
      </c>
      <c r="X518" s="345">
        <f t="shared" si="194"/>
        <v>0</v>
      </c>
      <c r="Y518" s="345">
        <f t="shared" si="195"/>
        <v>0</v>
      </c>
      <c r="Z518" s="345">
        <f>IF(Q518&lt;&gt;"",VLOOKUP(Y518,TIME!$R$21:$V$24,MATCH(FC_DATA!Q518,TIME!$R$20:$V$20,0),FALSE),H518)</f>
        <v>0</v>
      </c>
      <c r="AA518" s="345" t="str">
        <f>IFERROR(VLOOKUP(X518&amp;Z518,TIME!$A$12:$D$71,4,FALSE),"")</f>
        <v/>
      </c>
      <c r="AB518" s="592">
        <f t="shared" ca="1" si="196"/>
        <v>0</v>
      </c>
      <c r="AC518" s="593" t="e">
        <f ca="1">IF(ISBLANK(H518)=FALSE,IF(D518="BRAND.com",I518,IF(ISNA(VLOOKUP(_xlfn.CONCAT(X518,Z518),TIME!$M$40:$M$42,1,FALSE)),I518,VLOOKUP(_xlfn.CONCAT(D518,G518,H518),M_BUSAREA_FC!$AF$5:$AJ$10,5,FALSE)*HLOOKUP(_xlfn.CONCAT(F518,H518),ST_OVERVIEW!$G$99:$I$130,MATCH(_xlfn.CONCAT(D518,E518),ST_OVERVIEW!$F$99:$F$130,0),FALSE))),IF(D518="BRAND.com",VLOOKUP(_xlfn.CONCAT(C518,D518,E518,TIME!$F$1,Z518),HIS_SALES!$B$2:$V$4859,19,FALSE)*I518,VLOOKUP(_xlfn.CONCAT(D518,F518,G518),Q_BUSAREA_FC!$AE$5:$AI$12,5,FALSE)*HLOOKUP(_xlfn.CONCAT(FC_DATA!F518,FC_DATA!G518),LT_OVERVIEW!$I$99:$M$130,MATCH(_xlfn.CONCAT(D518,FC_DATA!E518),LT_OVERVIEW!$H$99:$H$130,0),FALSE)*IFERROR(VLOOKUP(_xlfn.CONCAT(C518,D518,E518,TIME!$F$1,Z518),HIS_SALES!$B$2:$V$4859,19,FALSE),0)))</f>
        <v>#N/A</v>
      </c>
      <c r="AD518" s="341">
        <f t="shared" ca="1" si="197"/>
        <v>0</v>
      </c>
      <c r="AE518" s="363" t="str">
        <f t="shared" si="198"/>
        <v/>
      </c>
      <c r="AF518" s="342" t="str">
        <f t="shared" si="199"/>
        <v/>
      </c>
      <c r="AG518" s="411" t="e">
        <f ca="1">VLOOKUP(_xlfn.CONCAT(U518,V518,W518,VLOOKUP(X518&amp;Y518,TIME!$L$27:$O$34,4,FALSE),Y518),HIS_SALES!$A$2:$R$5093,18,FALSE)</f>
        <v>#N/A</v>
      </c>
      <c r="AH518" s="412" t="e">
        <f ca="1">IFERROR(IF(AND(V518=V517,W518=W517),0.5*(AB518+AB517)*AG518,(VLOOKUP(_xlfn.CONCAT(U518,V518,W518,X518,VLOOKUP(Z518,TIME!$S$28:$T$39,2,FALSE)),FC_DATA!$R$2:$AB$5000,MATCH("GS_I_M",FC_DATA!$R$1:$AB$1,0),FALSE)+FC_DATA!AB518)*0.5*FC_DATA!AG518),NA())</f>
        <v>#N/A</v>
      </c>
      <c r="AI518" s="491" t="e">
        <f ca="1">IF(V518="PARTNER.com",AH518,IF(AND(V518=V517,W518=W517),(1-AVERAGE(AD517,AD518))*AH518,(1-AVERAGE(AD518,VLOOKUP(_xlfn.CONCAT(U518,V518,W518,X518,M_BRAND_FC!$F$6),FC_DATA!$R$2:$AD$5000,MATCH("DISCOUNT_%_M",FC_DATA!$R$1:$AD$1,0),FALSE)))*AH518))</f>
        <v>#N/A</v>
      </c>
      <c r="AJ518" s="412" t="str">
        <f t="shared" ca="1" si="200"/>
        <v/>
      </c>
      <c r="AK518" s="413" t="str">
        <f>IFERROR(AE518/(Q_BRAND_FC!$T$24+1),"")</f>
        <v/>
      </c>
      <c r="AL518" s="88" t="str">
        <f t="shared" ca="1" si="201"/>
        <v/>
      </c>
      <c r="AM518" s="414" t="str">
        <f t="shared" ca="1" si="202"/>
        <v/>
      </c>
      <c r="AN518" s="58">
        <f>IFERROR(IF($V518="BRAND.com",HLOOKUP($X518&amp;$Z518,NWC_FC_NOOS!$C$4:$Q$23,MATCH(W518,NWC_FC_NOOS!$B$4:$B$23,0),FALSE),0),0)</f>
        <v>0</v>
      </c>
      <c r="AO518" s="57">
        <f>IFERROR(IF($V518="BRAND.com",HLOOKUP($X518&amp;$Z518,NWC_FC_NOOS!$T$4:$AH$23,MATCH(W518,NWC_FC_NOOS!$S$4:$S$23,0),FALSE),0),0)</f>
        <v>0</v>
      </c>
      <c r="AP518" s="57">
        <f>IFERROR(IF($V518="BRAND.com",HLOOKUP($X518&amp;$Z518,NWC_FC_NOOS!$C$50:$U$69,MATCH(W518,NWC_FC_NOOS!$B$50:$B$69,0),FALSE),0),0)</f>
        <v>0</v>
      </c>
      <c r="AQ518" s="58">
        <f>IFERROR(IF($V518="BRAND.com",HLOOKUP($X518&amp;$Z518,'NWC_FC_NON-NOOS'!$C$4:$Q$23,MATCH(W518,'NWC_FC_NON-NOOS'!$B$4:$B$23,0),FALSE),0),0)</f>
        <v>0</v>
      </c>
      <c r="AR518" s="57">
        <f>IFERROR(IF($V518="BRAND.com",HLOOKUP($X518&amp;$Z518,'NWC_FC_NON-NOOS'!$T$4:$AH$23,MATCH(W518,'NWC_FC_NON-NOOS'!$S$4:$S$23,0),FALSE),0),0)</f>
        <v>0</v>
      </c>
      <c r="AS518" s="57">
        <f>IFERROR(IF($V518="BRAND.com",HLOOKUP($X518&amp;$Z518,'NWC_FC_NON-NOOS'!$C$50:$U$69,MATCH(W518,'NWC_FC_NON-NOOS'!$B$50:$B$69,0),FALSE),0),0)</f>
        <v>0</v>
      </c>
      <c r="AT518" s="57">
        <f t="shared" si="204"/>
        <v>0</v>
      </c>
      <c r="AU518" s="57">
        <f t="shared" si="205"/>
        <v>0</v>
      </c>
      <c r="AV518" s="58">
        <f>IFERROR(IF($V518="BRAND.com",HLOOKUP($X518&amp;$Z518,PLANNING_FC!$BB$27:$BP$46,MATCH($W518,PLANNING_FC!$BA$27:$BA$46,0),FALSE),0),0)</f>
        <v>0</v>
      </c>
      <c r="AW518" s="58">
        <f>IFERROR(IF($V518="BRAND.com",HLOOKUP($X518&amp;$Z518,PLANNING_FC!$BB$4:$BP$23,MATCH($W518,PLANNING_FC!$BA$4:$BA$23,0),FALSE),0),0)</f>
        <v>0</v>
      </c>
      <c r="AX518" s="58">
        <f>IFERROR(IF($V518="BRAND.com",HLOOKUP($X518&amp;$Z518,PLANNING_FC!$T$27:$AH$46,MATCH($W518,PLANNING_FC!$B$27:$B$46,0),FALSE),0),0)</f>
        <v>0</v>
      </c>
      <c r="AY518" s="58">
        <f>IFERROR(IF($V518="BRAND.com",HLOOKUP($X518&amp;$Z518,PLANNING_FC!$T$4:$AH$23,MATCH($W518,PLANNING_FC!$B$4:$B$23,0),FALSE),0),0)</f>
        <v>0</v>
      </c>
      <c r="AZ518" s="58">
        <f>IFERROR(IF($V518="BRAND.com",HLOOKUP($X518&amp;$Z518,PLANNING_FC!$DA$27:$DO$46,MATCH($W518,PLANNING_FC!$CZ$27:$CZ$46,0),FALSE),0),0)</f>
        <v>0</v>
      </c>
      <c r="BA518" s="58">
        <f>IFERROR(IF($V518="BRAND.com",HLOOKUP($X518&amp;$Z518,PLANNING_FC!$DA$4:$DO$23,MATCH($W518,PLANNING_FC!$CZ$4:$CZ$23,0),FALSE),0),0)</f>
        <v>0</v>
      </c>
      <c r="BB518" s="883" t="str">
        <f>IF(V518="BRAND.com",IFERROR(HLOOKUP(X518&amp;Z518,PLANNING_FC!$AK$4:$AY$23,MATCH(W518,PLANNING_FC!$AJ$4:$AJ$23,0),FALSE)*1000,""),"")</f>
        <v/>
      </c>
      <c r="BC518" s="883" t="str">
        <f>IF(V518="BRAND.com",IFERROR(HLOOKUP(X518&amp;Z518,PLANNING_FC!$AK$27:$AY$46,MATCH(W518,PLANNING_FC!$AJ$27:$AJ$46,0),FALSE)*1000,""),"")</f>
        <v/>
      </c>
    </row>
    <row r="519" spans="1:55" x14ac:dyDescent="0.25">
      <c r="A519" s="509"/>
      <c r="B519" s="509"/>
      <c r="C519" s="509"/>
      <c r="D519" s="509"/>
      <c r="E519" s="509"/>
      <c r="F519" s="509"/>
      <c r="G519" s="509"/>
      <c r="H519" s="509"/>
      <c r="I519" s="512"/>
      <c r="J519" s="513"/>
      <c r="K519" s="514"/>
      <c r="L519" s="515"/>
      <c r="M519" s="516"/>
      <c r="N519" s="56">
        <f t="shared" si="186"/>
        <v>0</v>
      </c>
      <c r="O519" s="57">
        <f t="shared" si="187"/>
        <v>0</v>
      </c>
      <c r="P519" s="57">
        <f ca="1">IFERROR(IF(ISBLANK(H519),SUMIFS($AC:$AC,$V:$V,V519,$W:$W,W519,$X:$X,X519,$Y:$Y,Y519)*J519/(1-J519)*VLOOKUP(_xlfn.CONCAT(C519,D519,E519,TIME!$M$12,Z519),HIS_SALES!$B$2:$W$4859,20,FALSE),AC519*J519/(1-J519)),0)</f>
        <v>0</v>
      </c>
      <c r="Q519" s="541" t="str">
        <f t="shared" si="188"/>
        <v/>
      </c>
      <c r="R519" s="346" t="str">
        <f t="shared" si="189"/>
        <v>00000</v>
      </c>
      <c r="S519" s="344">
        <f t="shared" si="190"/>
        <v>0</v>
      </c>
      <c r="T519" s="345" t="str">
        <f t="shared" si="203"/>
        <v>000</v>
      </c>
      <c r="U519" s="345">
        <f t="shared" si="191"/>
        <v>0</v>
      </c>
      <c r="V519" s="345">
        <f t="shared" si="192"/>
        <v>0</v>
      </c>
      <c r="W519" s="345">
        <f t="shared" si="193"/>
        <v>0</v>
      </c>
      <c r="X519" s="345">
        <f t="shared" si="194"/>
        <v>0</v>
      </c>
      <c r="Y519" s="345">
        <f t="shared" si="195"/>
        <v>0</v>
      </c>
      <c r="Z519" s="345">
        <f>IF(Q519&lt;&gt;"",VLOOKUP(Y519,TIME!$R$21:$V$24,MATCH(FC_DATA!Q519,TIME!$R$20:$V$20,0),FALSE),H519)</f>
        <v>0</v>
      </c>
      <c r="AA519" s="345" t="str">
        <f>IFERROR(VLOOKUP(X519&amp;Z519,TIME!$A$12:$D$71,4,FALSE),"")</f>
        <v/>
      </c>
      <c r="AB519" s="592">
        <f t="shared" ca="1" si="196"/>
        <v>0</v>
      </c>
      <c r="AC519" s="593" t="e">
        <f ca="1">IF(ISBLANK(H519)=FALSE,IF(D519="BRAND.com",I519,IF(ISNA(VLOOKUP(_xlfn.CONCAT(X519,Z519),TIME!$M$40:$M$42,1,FALSE)),I519,VLOOKUP(_xlfn.CONCAT(D519,G519,H519),M_BUSAREA_FC!$AF$5:$AJ$10,5,FALSE)*HLOOKUP(_xlfn.CONCAT(F519,H519),ST_OVERVIEW!$G$99:$I$130,MATCH(_xlfn.CONCAT(D519,E519),ST_OVERVIEW!$F$99:$F$130,0),FALSE))),IF(D519="BRAND.com",VLOOKUP(_xlfn.CONCAT(C519,D519,E519,TIME!$F$1,Z519),HIS_SALES!$B$2:$V$4859,19,FALSE)*I519,VLOOKUP(_xlfn.CONCAT(D519,F519,G519),Q_BUSAREA_FC!$AE$5:$AI$12,5,FALSE)*HLOOKUP(_xlfn.CONCAT(FC_DATA!F519,FC_DATA!G519),LT_OVERVIEW!$I$99:$M$130,MATCH(_xlfn.CONCAT(D519,FC_DATA!E519),LT_OVERVIEW!$H$99:$H$130,0),FALSE)*IFERROR(VLOOKUP(_xlfn.CONCAT(C519,D519,E519,TIME!$F$1,Z519),HIS_SALES!$B$2:$V$4859,19,FALSE),0)))</f>
        <v>#N/A</v>
      </c>
      <c r="AD519" s="341">
        <f t="shared" ca="1" si="197"/>
        <v>0</v>
      </c>
      <c r="AE519" s="363" t="str">
        <f t="shared" si="198"/>
        <v/>
      </c>
      <c r="AF519" s="342" t="str">
        <f t="shared" si="199"/>
        <v/>
      </c>
      <c r="AG519" s="411" t="e">
        <f ca="1">VLOOKUP(_xlfn.CONCAT(U519,V519,W519,VLOOKUP(X519&amp;Y519,TIME!$L$27:$O$34,4,FALSE),Y519),HIS_SALES!$A$2:$R$5093,18,FALSE)</f>
        <v>#N/A</v>
      </c>
      <c r="AH519" s="412" t="e">
        <f ca="1">IFERROR(IF(AND(V519=V518,W519=W518),0.5*(AB519+AB518)*AG519,(VLOOKUP(_xlfn.CONCAT(U519,V519,W519,X519,VLOOKUP(Z519,TIME!$S$28:$T$39,2,FALSE)),FC_DATA!$R$2:$AB$5000,MATCH("GS_I_M",FC_DATA!$R$1:$AB$1,0),FALSE)+FC_DATA!AB519)*0.5*FC_DATA!AG519),NA())</f>
        <v>#N/A</v>
      </c>
      <c r="AI519" s="491" t="e">
        <f ca="1">IF(V519="PARTNER.com",AH519,IF(AND(V519=V518,W519=W518),(1-AVERAGE(AD518,AD519))*AH519,(1-AVERAGE(AD519,VLOOKUP(_xlfn.CONCAT(U519,V519,W519,X519,M_BRAND_FC!$F$6),FC_DATA!$R$2:$AD$5000,MATCH("DISCOUNT_%_M",FC_DATA!$R$1:$AD$1,0),FALSE)))*AH519))</f>
        <v>#N/A</v>
      </c>
      <c r="AJ519" s="412" t="str">
        <f t="shared" ca="1" si="200"/>
        <v/>
      </c>
      <c r="AK519" s="413" t="str">
        <f>IFERROR(AE519/(Q_BRAND_FC!$T$24+1),"")</f>
        <v/>
      </c>
      <c r="AL519" s="88" t="str">
        <f t="shared" ca="1" si="201"/>
        <v/>
      </c>
      <c r="AM519" s="414" t="str">
        <f t="shared" ca="1" si="202"/>
        <v/>
      </c>
      <c r="AN519" s="58">
        <f>IFERROR(IF($V519="BRAND.com",HLOOKUP($X519&amp;$Z519,NWC_FC_NOOS!$C$4:$Q$23,MATCH(W519,NWC_FC_NOOS!$B$4:$B$23,0),FALSE),0),0)</f>
        <v>0</v>
      </c>
      <c r="AO519" s="57">
        <f>IFERROR(IF($V519="BRAND.com",HLOOKUP($X519&amp;$Z519,NWC_FC_NOOS!$T$4:$AH$23,MATCH(W519,NWC_FC_NOOS!$S$4:$S$23,0),FALSE),0),0)</f>
        <v>0</v>
      </c>
      <c r="AP519" s="57">
        <f>IFERROR(IF($V519="BRAND.com",HLOOKUP($X519&amp;$Z519,NWC_FC_NOOS!$C$50:$U$69,MATCH(W519,NWC_FC_NOOS!$B$50:$B$69,0),FALSE),0),0)</f>
        <v>0</v>
      </c>
      <c r="AQ519" s="58">
        <f>IFERROR(IF($V519="BRAND.com",HLOOKUP($X519&amp;$Z519,'NWC_FC_NON-NOOS'!$C$4:$Q$23,MATCH(W519,'NWC_FC_NON-NOOS'!$B$4:$B$23,0),FALSE),0),0)</f>
        <v>0</v>
      </c>
      <c r="AR519" s="57">
        <f>IFERROR(IF($V519="BRAND.com",HLOOKUP($X519&amp;$Z519,'NWC_FC_NON-NOOS'!$T$4:$AH$23,MATCH(W519,'NWC_FC_NON-NOOS'!$S$4:$S$23,0),FALSE),0),0)</f>
        <v>0</v>
      </c>
      <c r="AS519" s="57">
        <f>IFERROR(IF($V519="BRAND.com",HLOOKUP($X519&amp;$Z519,'NWC_FC_NON-NOOS'!$C$50:$U$69,MATCH(W519,'NWC_FC_NON-NOOS'!$B$50:$B$69,0),FALSE),0),0)</f>
        <v>0</v>
      </c>
      <c r="AT519" s="57">
        <f t="shared" si="204"/>
        <v>0</v>
      </c>
      <c r="AU519" s="57">
        <f t="shared" si="205"/>
        <v>0</v>
      </c>
      <c r="AV519" s="58">
        <f>IFERROR(IF($V519="BRAND.com",HLOOKUP($X519&amp;$Z519,PLANNING_FC!$BB$27:$BP$46,MATCH($W519,PLANNING_FC!$BA$27:$BA$46,0),FALSE),0),0)</f>
        <v>0</v>
      </c>
      <c r="AW519" s="58">
        <f>IFERROR(IF($V519="BRAND.com",HLOOKUP($X519&amp;$Z519,PLANNING_FC!$BB$4:$BP$23,MATCH($W519,PLANNING_FC!$BA$4:$BA$23,0),FALSE),0),0)</f>
        <v>0</v>
      </c>
      <c r="AX519" s="58">
        <f>IFERROR(IF($V519="BRAND.com",HLOOKUP($X519&amp;$Z519,PLANNING_FC!$T$27:$AH$46,MATCH($W519,PLANNING_FC!$B$27:$B$46,0),FALSE),0),0)</f>
        <v>0</v>
      </c>
      <c r="AY519" s="58">
        <f>IFERROR(IF($V519="BRAND.com",HLOOKUP($X519&amp;$Z519,PLANNING_FC!$T$4:$AH$23,MATCH($W519,PLANNING_FC!$B$4:$B$23,0),FALSE),0),0)</f>
        <v>0</v>
      </c>
      <c r="AZ519" s="58">
        <f>IFERROR(IF($V519="BRAND.com",HLOOKUP($X519&amp;$Z519,PLANNING_FC!$DA$27:$DO$46,MATCH($W519,PLANNING_FC!$CZ$27:$CZ$46,0),FALSE),0),0)</f>
        <v>0</v>
      </c>
      <c r="BA519" s="58">
        <f>IFERROR(IF($V519="BRAND.com",HLOOKUP($X519&amp;$Z519,PLANNING_FC!$DA$4:$DO$23,MATCH($W519,PLANNING_FC!$CZ$4:$CZ$23,0),FALSE),0),0)</f>
        <v>0</v>
      </c>
      <c r="BB519" s="883" t="str">
        <f>IF(V519="BRAND.com",IFERROR(HLOOKUP(X519&amp;Z519,PLANNING_FC!$AK$4:$AY$23,MATCH(W519,PLANNING_FC!$AJ$4:$AJ$23,0),FALSE)*1000,""),"")</f>
        <v/>
      </c>
      <c r="BC519" s="883" t="str">
        <f>IF(V519="BRAND.com",IFERROR(HLOOKUP(X519&amp;Z519,PLANNING_FC!$AK$27:$AY$46,MATCH(W519,PLANNING_FC!$AJ$27:$AJ$46,0),FALSE)*1000,""),"")</f>
        <v/>
      </c>
    </row>
    <row r="520" spans="1:55" x14ac:dyDescent="0.25">
      <c r="A520" s="509"/>
      <c r="B520" s="509"/>
      <c r="C520" s="509"/>
      <c r="D520" s="509"/>
      <c r="E520" s="509"/>
      <c r="F520" s="509"/>
      <c r="G520" s="509"/>
      <c r="H520" s="509"/>
      <c r="I520" s="512"/>
      <c r="J520" s="513"/>
      <c r="K520" s="514"/>
      <c r="L520" s="515"/>
      <c r="M520" s="516"/>
      <c r="N520" s="56">
        <f t="shared" si="186"/>
        <v>0</v>
      </c>
      <c r="O520" s="57">
        <f t="shared" si="187"/>
        <v>0</v>
      </c>
      <c r="P520" s="57">
        <f ca="1">IFERROR(IF(ISBLANK(H520),SUMIFS($AC:$AC,$V:$V,V520,$W:$W,W520,$X:$X,X520,$Y:$Y,Y520)*J520/(1-J520)*VLOOKUP(_xlfn.CONCAT(C520,D520,E520,TIME!$M$12,Z520),HIS_SALES!$B$2:$W$4859,20,FALSE),AC520*J520/(1-J520)),0)</f>
        <v>0</v>
      </c>
      <c r="Q520" s="541" t="str">
        <f t="shared" si="188"/>
        <v/>
      </c>
      <c r="R520" s="346" t="str">
        <f t="shared" si="189"/>
        <v>00000</v>
      </c>
      <c r="S520" s="344">
        <f t="shared" si="190"/>
        <v>0</v>
      </c>
      <c r="T520" s="345" t="str">
        <f t="shared" si="203"/>
        <v>000</v>
      </c>
      <c r="U520" s="345">
        <f t="shared" si="191"/>
        <v>0</v>
      </c>
      <c r="V520" s="345">
        <f t="shared" si="192"/>
        <v>0</v>
      </c>
      <c r="W520" s="345">
        <f t="shared" si="193"/>
        <v>0</v>
      </c>
      <c r="X520" s="345">
        <f t="shared" si="194"/>
        <v>0</v>
      </c>
      <c r="Y520" s="345">
        <f t="shared" si="195"/>
        <v>0</v>
      </c>
      <c r="Z520" s="345">
        <f>IF(Q520&lt;&gt;"",VLOOKUP(Y520,TIME!$R$21:$V$24,MATCH(FC_DATA!Q520,TIME!$R$20:$V$20,0),FALSE),H520)</f>
        <v>0</v>
      </c>
      <c r="AA520" s="345" t="str">
        <f>IFERROR(VLOOKUP(X520&amp;Z520,TIME!$A$12:$D$71,4,FALSE),"")</f>
        <v/>
      </c>
      <c r="AB520" s="592">
        <f t="shared" ca="1" si="196"/>
        <v>0</v>
      </c>
      <c r="AC520" s="593" t="e">
        <f ca="1">IF(ISBLANK(H520)=FALSE,IF(D520="BRAND.com",I520,IF(ISNA(VLOOKUP(_xlfn.CONCAT(X520,Z520),TIME!$M$40:$M$42,1,FALSE)),I520,VLOOKUP(_xlfn.CONCAT(D520,G520,H520),M_BUSAREA_FC!$AF$5:$AJ$10,5,FALSE)*HLOOKUP(_xlfn.CONCAT(F520,H520),ST_OVERVIEW!$G$99:$I$130,MATCH(_xlfn.CONCAT(D520,E520),ST_OVERVIEW!$F$99:$F$130,0),FALSE))),IF(D520="BRAND.com",VLOOKUP(_xlfn.CONCAT(C520,D520,E520,TIME!$F$1,Z520),HIS_SALES!$B$2:$V$4859,19,FALSE)*I520,VLOOKUP(_xlfn.CONCAT(D520,F520,G520),Q_BUSAREA_FC!$AE$5:$AI$12,5,FALSE)*HLOOKUP(_xlfn.CONCAT(FC_DATA!F520,FC_DATA!G520),LT_OVERVIEW!$I$99:$M$130,MATCH(_xlfn.CONCAT(D520,FC_DATA!E520),LT_OVERVIEW!$H$99:$H$130,0),FALSE)*IFERROR(VLOOKUP(_xlfn.CONCAT(C520,D520,E520,TIME!$F$1,Z520),HIS_SALES!$B$2:$V$4859,19,FALSE),0)))</f>
        <v>#N/A</v>
      </c>
      <c r="AD520" s="341">
        <f t="shared" ca="1" si="197"/>
        <v>0</v>
      </c>
      <c r="AE520" s="363" t="str">
        <f t="shared" si="198"/>
        <v/>
      </c>
      <c r="AF520" s="342" t="str">
        <f t="shared" si="199"/>
        <v/>
      </c>
      <c r="AG520" s="411" t="e">
        <f ca="1">VLOOKUP(_xlfn.CONCAT(U520,V520,W520,VLOOKUP(X520&amp;Y520,TIME!$L$27:$O$34,4,FALSE),Y520),HIS_SALES!$A$2:$R$5093,18,FALSE)</f>
        <v>#N/A</v>
      </c>
      <c r="AH520" s="412" t="e">
        <f ca="1">IFERROR(IF(AND(V520=V519,W520=W519),0.5*(AB520+AB519)*AG520,(VLOOKUP(_xlfn.CONCAT(U520,V520,W520,X520,VLOOKUP(Z520,TIME!$S$28:$T$39,2,FALSE)),FC_DATA!$R$2:$AB$5000,MATCH("GS_I_M",FC_DATA!$R$1:$AB$1,0),FALSE)+FC_DATA!AB520)*0.5*FC_DATA!AG520),NA())</f>
        <v>#N/A</v>
      </c>
      <c r="AI520" s="491" t="e">
        <f ca="1">IF(V520="PARTNER.com",AH520,IF(AND(V520=V519,W520=W519),(1-AVERAGE(AD519,AD520))*AH520,(1-AVERAGE(AD520,VLOOKUP(_xlfn.CONCAT(U520,V520,W520,X520,M_BRAND_FC!$F$6),FC_DATA!$R$2:$AD$5000,MATCH("DISCOUNT_%_M",FC_DATA!$R$1:$AD$1,0),FALSE)))*AH520))</f>
        <v>#N/A</v>
      </c>
      <c r="AJ520" s="412" t="str">
        <f t="shared" ca="1" si="200"/>
        <v/>
      </c>
      <c r="AK520" s="413" t="str">
        <f>IFERROR(AE520/(Q_BRAND_FC!$T$24+1),"")</f>
        <v/>
      </c>
      <c r="AL520" s="88" t="str">
        <f t="shared" ca="1" si="201"/>
        <v/>
      </c>
      <c r="AM520" s="414" t="str">
        <f t="shared" ca="1" si="202"/>
        <v/>
      </c>
      <c r="AN520" s="58">
        <f>IFERROR(IF($V520="BRAND.com",HLOOKUP($X520&amp;$Z520,NWC_FC_NOOS!$C$4:$Q$23,MATCH(W520,NWC_FC_NOOS!$B$4:$B$23,0),FALSE),0),0)</f>
        <v>0</v>
      </c>
      <c r="AO520" s="57">
        <f>IFERROR(IF($V520="BRAND.com",HLOOKUP($X520&amp;$Z520,NWC_FC_NOOS!$T$4:$AH$23,MATCH(W520,NWC_FC_NOOS!$S$4:$S$23,0),FALSE),0),0)</f>
        <v>0</v>
      </c>
      <c r="AP520" s="57">
        <f>IFERROR(IF($V520="BRAND.com",HLOOKUP($X520&amp;$Z520,NWC_FC_NOOS!$C$50:$U$69,MATCH(W520,NWC_FC_NOOS!$B$50:$B$69,0),FALSE),0),0)</f>
        <v>0</v>
      </c>
      <c r="AQ520" s="58">
        <f>IFERROR(IF($V520="BRAND.com",HLOOKUP($X520&amp;$Z520,'NWC_FC_NON-NOOS'!$C$4:$Q$23,MATCH(W520,'NWC_FC_NON-NOOS'!$B$4:$B$23,0),FALSE),0),0)</f>
        <v>0</v>
      </c>
      <c r="AR520" s="57">
        <f>IFERROR(IF($V520="BRAND.com",HLOOKUP($X520&amp;$Z520,'NWC_FC_NON-NOOS'!$T$4:$AH$23,MATCH(W520,'NWC_FC_NON-NOOS'!$S$4:$S$23,0),FALSE),0),0)</f>
        <v>0</v>
      </c>
      <c r="AS520" s="57">
        <f>IFERROR(IF($V520="BRAND.com",HLOOKUP($X520&amp;$Z520,'NWC_FC_NON-NOOS'!$C$50:$U$69,MATCH(W520,'NWC_FC_NON-NOOS'!$B$50:$B$69,0),FALSE),0),0)</f>
        <v>0</v>
      </c>
      <c r="AT520" s="57">
        <f t="shared" si="204"/>
        <v>0</v>
      </c>
      <c r="AU520" s="57">
        <f t="shared" si="205"/>
        <v>0</v>
      </c>
      <c r="AV520" s="58">
        <f>IFERROR(IF($V520="BRAND.com",HLOOKUP($X520&amp;$Z520,PLANNING_FC!$BB$27:$BP$46,MATCH($W520,PLANNING_FC!$BA$27:$BA$46,0),FALSE),0),0)</f>
        <v>0</v>
      </c>
      <c r="AW520" s="58">
        <f>IFERROR(IF($V520="BRAND.com",HLOOKUP($X520&amp;$Z520,PLANNING_FC!$BB$4:$BP$23,MATCH($W520,PLANNING_FC!$BA$4:$BA$23,0),FALSE),0),0)</f>
        <v>0</v>
      </c>
      <c r="AX520" s="58">
        <f>IFERROR(IF($V520="BRAND.com",HLOOKUP($X520&amp;$Z520,PLANNING_FC!$T$27:$AH$46,MATCH($W520,PLANNING_FC!$B$27:$B$46,0),FALSE),0),0)</f>
        <v>0</v>
      </c>
      <c r="AY520" s="58">
        <f>IFERROR(IF($V520="BRAND.com",HLOOKUP($X520&amp;$Z520,PLANNING_FC!$T$4:$AH$23,MATCH($W520,PLANNING_FC!$B$4:$B$23,0),FALSE),0),0)</f>
        <v>0</v>
      </c>
      <c r="AZ520" s="58">
        <f>IFERROR(IF($V520="BRAND.com",HLOOKUP($X520&amp;$Z520,PLANNING_FC!$DA$27:$DO$46,MATCH($W520,PLANNING_FC!$CZ$27:$CZ$46,0),FALSE),0),0)</f>
        <v>0</v>
      </c>
      <c r="BA520" s="58">
        <f>IFERROR(IF($V520="BRAND.com",HLOOKUP($X520&amp;$Z520,PLANNING_FC!$DA$4:$DO$23,MATCH($W520,PLANNING_FC!$CZ$4:$CZ$23,0),FALSE),0),0)</f>
        <v>0</v>
      </c>
      <c r="BB520" s="883" t="str">
        <f>IF(V520="BRAND.com",IFERROR(HLOOKUP(X520&amp;Z520,PLANNING_FC!$AK$4:$AY$23,MATCH(W520,PLANNING_FC!$AJ$4:$AJ$23,0),FALSE)*1000,""),"")</f>
        <v/>
      </c>
      <c r="BC520" s="883" t="str">
        <f>IF(V520="BRAND.com",IFERROR(HLOOKUP(X520&amp;Z520,PLANNING_FC!$AK$27:$AY$46,MATCH(W520,PLANNING_FC!$AJ$27:$AJ$46,0),FALSE)*1000,""),"")</f>
        <v/>
      </c>
    </row>
    <row r="521" spans="1:55" x14ac:dyDescent="0.25">
      <c r="A521" s="509"/>
      <c r="B521" s="509"/>
      <c r="C521" s="509"/>
      <c r="D521" s="509"/>
      <c r="E521" s="509"/>
      <c r="F521" s="509"/>
      <c r="G521" s="509"/>
      <c r="H521" s="509"/>
      <c r="I521" s="512"/>
      <c r="J521" s="513"/>
      <c r="K521" s="514"/>
      <c r="L521" s="515"/>
      <c r="M521" s="516"/>
      <c r="N521" s="56">
        <f t="shared" si="186"/>
        <v>0</v>
      </c>
      <c r="O521" s="57">
        <f t="shared" si="187"/>
        <v>0</v>
      </c>
      <c r="P521" s="57">
        <f ca="1">IFERROR(IF(ISBLANK(H521),SUMIFS($AC:$AC,$V:$V,V521,$W:$W,W521,$X:$X,X521,$Y:$Y,Y521)*J521/(1-J521)*VLOOKUP(_xlfn.CONCAT(C521,D521,E521,TIME!$M$12,Z521),HIS_SALES!$B$2:$W$4859,20,FALSE),AC521*J521/(1-J521)),0)</f>
        <v>0</v>
      </c>
      <c r="Q521" s="541" t="str">
        <f t="shared" si="188"/>
        <v/>
      </c>
      <c r="R521" s="346" t="str">
        <f t="shared" si="189"/>
        <v>00000</v>
      </c>
      <c r="S521" s="344">
        <f t="shared" si="190"/>
        <v>0</v>
      </c>
      <c r="T521" s="345" t="str">
        <f t="shared" si="203"/>
        <v>000</v>
      </c>
      <c r="U521" s="345">
        <f t="shared" si="191"/>
        <v>0</v>
      </c>
      <c r="V521" s="345">
        <f t="shared" si="192"/>
        <v>0</v>
      </c>
      <c r="W521" s="345">
        <f t="shared" si="193"/>
        <v>0</v>
      </c>
      <c r="X521" s="345">
        <f t="shared" si="194"/>
        <v>0</v>
      </c>
      <c r="Y521" s="345">
        <f t="shared" si="195"/>
        <v>0</v>
      </c>
      <c r="Z521" s="345">
        <f>IF(Q521&lt;&gt;"",VLOOKUP(Y521,TIME!$R$21:$V$24,MATCH(FC_DATA!Q521,TIME!$R$20:$V$20,0),FALSE),H521)</f>
        <v>0</v>
      </c>
      <c r="AA521" s="345" t="str">
        <f>IFERROR(VLOOKUP(X521&amp;Z521,TIME!$A$12:$D$71,4,FALSE),"")</f>
        <v/>
      </c>
      <c r="AB521" s="592">
        <f t="shared" ca="1" si="196"/>
        <v>0</v>
      </c>
      <c r="AC521" s="593" t="e">
        <f ca="1">IF(ISBLANK(H521)=FALSE,IF(D521="BRAND.com",I521,IF(ISNA(VLOOKUP(_xlfn.CONCAT(X521,Z521),TIME!$M$40:$M$42,1,FALSE)),I521,VLOOKUP(_xlfn.CONCAT(D521,G521,H521),M_BUSAREA_FC!$AF$5:$AJ$10,5,FALSE)*HLOOKUP(_xlfn.CONCAT(F521,H521),ST_OVERVIEW!$G$99:$I$130,MATCH(_xlfn.CONCAT(D521,E521),ST_OVERVIEW!$F$99:$F$130,0),FALSE))),IF(D521="BRAND.com",VLOOKUP(_xlfn.CONCAT(C521,D521,E521,TIME!$F$1,Z521),HIS_SALES!$B$2:$V$4859,19,FALSE)*I521,VLOOKUP(_xlfn.CONCAT(D521,F521,G521),Q_BUSAREA_FC!$AE$5:$AI$12,5,FALSE)*HLOOKUP(_xlfn.CONCAT(FC_DATA!F521,FC_DATA!G521),LT_OVERVIEW!$I$99:$M$130,MATCH(_xlfn.CONCAT(D521,FC_DATA!E521),LT_OVERVIEW!$H$99:$H$130,0),FALSE)*IFERROR(VLOOKUP(_xlfn.CONCAT(C521,D521,E521,TIME!$F$1,Z521),HIS_SALES!$B$2:$V$4859,19,FALSE),0)))</f>
        <v>#N/A</v>
      </c>
      <c r="AD521" s="341">
        <f t="shared" ca="1" si="197"/>
        <v>0</v>
      </c>
      <c r="AE521" s="363" t="str">
        <f t="shared" si="198"/>
        <v/>
      </c>
      <c r="AF521" s="342" t="str">
        <f t="shared" si="199"/>
        <v/>
      </c>
      <c r="AG521" s="411" t="e">
        <f ca="1">VLOOKUP(_xlfn.CONCAT(U521,V521,W521,VLOOKUP(X521&amp;Y521,TIME!$L$27:$O$34,4,FALSE),Y521),HIS_SALES!$A$2:$R$5093,18,FALSE)</f>
        <v>#N/A</v>
      </c>
      <c r="AH521" s="412" t="e">
        <f ca="1">IFERROR(IF(AND(V521=V520,W521=W520),0.5*(AB521+AB520)*AG521,(VLOOKUP(_xlfn.CONCAT(U521,V521,W521,X521,VLOOKUP(Z521,TIME!$S$28:$T$39,2,FALSE)),FC_DATA!$R$2:$AB$5000,MATCH("GS_I_M",FC_DATA!$R$1:$AB$1,0),FALSE)+FC_DATA!AB521)*0.5*FC_DATA!AG521),NA())</f>
        <v>#N/A</v>
      </c>
      <c r="AI521" s="491" t="e">
        <f ca="1">IF(V521="PARTNER.com",AH521,IF(AND(V521=V520,W521=W520),(1-AVERAGE(AD520,AD521))*AH521,(1-AVERAGE(AD521,VLOOKUP(_xlfn.CONCAT(U521,V521,W521,X521,M_BRAND_FC!$F$6),FC_DATA!$R$2:$AD$5000,MATCH("DISCOUNT_%_M",FC_DATA!$R$1:$AD$1,0),FALSE)))*AH521))</f>
        <v>#N/A</v>
      </c>
      <c r="AJ521" s="412" t="str">
        <f t="shared" ca="1" si="200"/>
        <v/>
      </c>
      <c r="AK521" s="413" t="str">
        <f>IFERROR(AE521/(Q_BRAND_FC!$T$24+1),"")</f>
        <v/>
      </c>
      <c r="AL521" s="88" t="str">
        <f t="shared" ca="1" si="201"/>
        <v/>
      </c>
      <c r="AM521" s="414" t="str">
        <f t="shared" ca="1" si="202"/>
        <v/>
      </c>
      <c r="AN521" s="58">
        <f>IFERROR(IF($V521="BRAND.com",HLOOKUP($X521&amp;$Z521,NWC_FC_NOOS!$C$4:$Q$23,MATCH(W521,NWC_FC_NOOS!$B$4:$B$23,0),FALSE),0),0)</f>
        <v>0</v>
      </c>
      <c r="AO521" s="57">
        <f>IFERROR(IF($V521="BRAND.com",HLOOKUP($X521&amp;$Z521,NWC_FC_NOOS!$T$4:$AH$23,MATCH(W521,NWC_FC_NOOS!$S$4:$S$23,0),FALSE),0),0)</f>
        <v>0</v>
      </c>
      <c r="AP521" s="57">
        <f>IFERROR(IF($V521="BRAND.com",HLOOKUP($X521&amp;$Z521,NWC_FC_NOOS!$C$50:$U$69,MATCH(W521,NWC_FC_NOOS!$B$50:$B$69,0),FALSE),0),0)</f>
        <v>0</v>
      </c>
      <c r="AQ521" s="58">
        <f>IFERROR(IF($V521="BRAND.com",HLOOKUP($X521&amp;$Z521,'NWC_FC_NON-NOOS'!$C$4:$Q$23,MATCH(W521,'NWC_FC_NON-NOOS'!$B$4:$B$23,0),FALSE),0),0)</f>
        <v>0</v>
      </c>
      <c r="AR521" s="57">
        <f>IFERROR(IF($V521="BRAND.com",HLOOKUP($X521&amp;$Z521,'NWC_FC_NON-NOOS'!$T$4:$AH$23,MATCH(W521,'NWC_FC_NON-NOOS'!$S$4:$S$23,0),FALSE),0),0)</f>
        <v>0</v>
      </c>
      <c r="AS521" s="57">
        <f>IFERROR(IF($V521="BRAND.com",HLOOKUP($X521&amp;$Z521,'NWC_FC_NON-NOOS'!$C$50:$U$69,MATCH(W521,'NWC_FC_NON-NOOS'!$B$50:$B$69,0),FALSE),0),0)</f>
        <v>0</v>
      </c>
      <c r="AT521" s="57">
        <f t="shared" si="204"/>
        <v>0</v>
      </c>
      <c r="AU521" s="57">
        <f t="shared" si="205"/>
        <v>0</v>
      </c>
      <c r="AV521" s="58">
        <f>IFERROR(IF($V521="BRAND.com",HLOOKUP($X521&amp;$Z521,PLANNING_FC!$BB$27:$BP$46,MATCH($W521,PLANNING_FC!$BA$27:$BA$46,0),FALSE),0),0)</f>
        <v>0</v>
      </c>
      <c r="AW521" s="58">
        <f>IFERROR(IF($V521="BRAND.com",HLOOKUP($X521&amp;$Z521,PLANNING_FC!$BB$4:$BP$23,MATCH($W521,PLANNING_FC!$BA$4:$BA$23,0),FALSE),0),0)</f>
        <v>0</v>
      </c>
      <c r="AX521" s="58">
        <f>IFERROR(IF($V521="BRAND.com",HLOOKUP($X521&amp;$Z521,PLANNING_FC!$T$27:$AH$46,MATCH($W521,PLANNING_FC!$B$27:$B$46,0),FALSE),0),0)</f>
        <v>0</v>
      </c>
      <c r="AY521" s="58">
        <f>IFERROR(IF($V521="BRAND.com",HLOOKUP($X521&amp;$Z521,PLANNING_FC!$T$4:$AH$23,MATCH($W521,PLANNING_FC!$B$4:$B$23,0),FALSE),0),0)</f>
        <v>0</v>
      </c>
      <c r="AZ521" s="58">
        <f>IFERROR(IF($V521="BRAND.com",HLOOKUP($X521&amp;$Z521,PLANNING_FC!$DA$27:$DO$46,MATCH($W521,PLANNING_FC!$CZ$27:$CZ$46,0),FALSE),0),0)</f>
        <v>0</v>
      </c>
      <c r="BA521" s="58">
        <f>IFERROR(IF($V521="BRAND.com",HLOOKUP($X521&amp;$Z521,PLANNING_FC!$DA$4:$DO$23,MATCH($W521,PLANNING_FC!$CZ$4:$CZ$23,0),FALSE),0),0)</f>
        <v>0</v>
      </c>
      <c r="BB521" s="883" t="str">
        <f>IF(V521="BRAND.com",IFERROR(HLOOKUP(X521&amp;Z521,PLANNING_FC!$AK$4:$AY$23,MATCH(W521,PLANNING_FC!$AJ$4:$AJ$23,0),FALSE)*1000,""),"")</f>
        <v/>
      </c>
      <c r="BC521" s="883" t="str">
        <f>IF(V521="BRAND.com",IFERROR(HLOOKUP(X521&amp;Z521,PLANNING_FC!$AK$27:$AY$46,MATCH(W521,PLANNING_FC!$AJ$27:$AJ$46,0),FALSE)*1000,""),"")</f>
        <v/>
      </c>
    </row>
    <row r="522" spans="1:55" x14ac:dyDescent="0.25">
      <c r="A522" s="509"/>
      <c r="B522" s="509"/>
      <c r="C522" s="509"/>
      <c r="D522" s="509"/>
      <c r="E522" s="509"/>
      <c r="F522" s="509"/>
      <c r="G522" s="511"/>
      <c r="H522" s="509"/>
      <c r="I522" s="512"/>
      <c r="J522" s="513"/>
      <c r="K522" s="514"/>
      <c r="L522" s="515"/>
      <c r="M522" s="516"/>
      <c r="N522" s="56">
        <f t="shared" si="186"/>
        <v>0</v>
      </c>
      <c r="O522" s="57">
        <f t="shared" si="187"/>
        <v>0</v>
      </c>
      <c r="P522" s="57">
        <f ca="1">IFERROR(IF(ISBLANK(H522),SUMIFS($AC:$AC,$V:$V,V522,$W:$W,W522,$X:$X,X522,$Y:$Y,Y522)*J522/(1-J522)*VLOOKUP(_xlfn.CONCAT(C522,D522,E522,TIME!$M$12,Z522),HIS_SALES!$B$2:$W$4859,20,FALSE),AC522*J522/(1-J522)),0)</f>
        <v>0</v>
      </c>
      <c r="Q522" s="541" t="str">
        <f t="shared" si="188"/>
        <v/>
      </c>
      <c r="R522" s="346" t="str">
        <f t="shared" si="189"/>
        <v>00000</v>
      </c>
      <c r="S522" s="344">
        <f t="shared" si="190"/>
        <v>0</v>
      </c>
      <c r="T522" s="345" t="str">
        <f t="shared" si="203"/>
        <v>000</v>
      </c>
      <c r="U522" s="345">
        <f t="shared" si="191"/>
        <v>0</v>
      </c>
      <c r="V522" s="345">
        <f t="shared" si="192"/>
        <v>0</v>
      </c>
      <c r="W522" s="345">
        <f t="shared" si="193"/>
        <v>0</v>
      </c>
      <c r="X522" s="345">
        <f t="shared" si="194"/>
        <v>0</v>
      </c>
      <c r="Y522" s="345">
        <f t="shared" si="195"/>
        <v>0</v>
      </c>
      <c r="Z522" s="345">
        <f>IF(Q522&lt;&gt;"",VLOOKUP(Y522,TIME!$R$21:$V$24,MATCH(FC_DATA!Q522,TIME!$R$20:$V$20,0),FALSE),H522)</f>
        <v>0</v>
      </c>
      <c r="AA522" s="345" t="str">
        <f>IFERROR(VLOOKUP(X522&amp;Z522,TIME!$A$12:$D$71,4,FALSE),"")</f>
        <v/>
      </c>
      <c r="AB522" s="592">
        <f t="shared" ca="1" si="196"/>
        <v>0</v>
      </c>
      <c r="AC522" s="593" t="e">
        <f ca="1">IF(ISBLANK(H522)=FALSE,IF(D522="BRAND.com",I522,IF(ISNA(VLOOKUP(_xlfn.CONCAT(X522,Z522),TIME!$M$40:$M$42,1,FALSE)),I522,VLOOKUP(_xlfn.CONCAT(D522,G522,H522),M_BUSAREA_FC!$AF$5:$AJ$10,5,FALSE)*HLOOKUP(_xlfn.CONCAT(F522,H522),ST_OVERVIEW!$G$99:$I$130,MATCH(_xlfn.CONCAT(D522,E522),ST_OVERVIEW!$F$99:$F$130,0),FALSE))),IF(D522="BRAND.com",VLOOKUP(_xlfn.CONCAT(C522,D522,E522,TIME!$F$1,Z522),HIS_SALES!$B$2:$V$4859,19,FALSE)*I522,VLOOKUP(_xlfn.CONCAT(D522,F522,G522),Q_BUSAREA_FC!$AE$5:$AI$12,5,FALSE)*HLOOKUP(_xlfn.CONCAT(FC_DATA!F522,FC_DATA!G522),LT_OVERVIEW!$I$99:$M$130,MATCH(_xlfn.CONCAT(D522,FC_DATA!E522),LT_OVERVIEW!$H$99:$H$130,0),FALSE)*IFERROR(VLOOKUP(_xlfn.CONCAT(C522,D522,E522,TIME!$F$1,Z522),HIS_SALES!$B$2:$V$4859,19,FALSE),0)))</f>
        <v>#N/A</v>
      </c>
      <c r="AD522" s="341">
        <f t="shared" ca="1" si="197"/>
        <v>0</v>
      </c>
      <c r="AE522" s="363" t="str">
        <f t="shared" si="198"/>
        <v/>
      </c>
      <c r="AF522" s="342" t="str">
        <f t="shared" si="199"/>
        <v/>
      </c>
      <c r="AG522" s="411" t="e">
        <f ca="1">VLOOKUP(_xlfn.CONCAT(U522,V522,W522,VLOOKUP(X522&amp;Y522,TIME!$L$27:$O$34,4,FALSE),Y522),HIS_SALES!$A$2:$R$5093,18,FALSE)</f>
        <v>#N/A</v>
      </c>
      <c r="AH522" s="412" t="e">
        <f ca="1">IFERROR(IF(AND(V522=V521,W522=W521),0.5*(AB522+AB521)*AG522,(VLOOKUP(_xlfn.CONCAT(U522,V522,W522,X522,VLOOKUP(Z522,TIME!$S$28:$T$39,2,FALSE)),FC_DATA!$R$2:$AB$5000,MATCH("GS_I_M",FC_DATA!$R$1:$AB$1,0),FALSE)+FC_DATA!AB522)*0.5*FC_DATA!AG522),NA())</f>
        <v>#N/A</v>
      </c>
      <c r="AI522" s="491" t="e">
        <f ca="1">IF(V522="PARTNER.com",AH522,IF(AND(V522=V521,W522=W521),(1-AVERAGE(AD521,AD522))*AH522,(1-AVERAGE(AD522,VLOOKUP(_xlfn.CONCAT(U522,V522,W522,X522,M_BRAND_FC!$F$6),FC_DATA!$R$2:$AD$5000,MATCH("DISCOUNT_%_M",FC_DATA!$R$1:$AD$1,0),FALSE)))*AH522))</f>
        <v>#N/A</v>
      </c>
      <c r="AJ522" s="412" t="str">
        <f t="shared" ca="1" si="200"/>
        <v/>
      </c>
      <c r="AK522" s="413" t="str">
        <f>IFERROR(AE522/(Q_BRAND_FC!$T$24+1),"")</f>
        <v/>
      </c>
      <c r="AL522" s="88" t="str">
        <f t="shared" ca="1" si="201"/>
        <v/>
      </c>
      <c r="AM522" s="414" t="str">
        <f t="shared" ca="1" si="202"/>
        <v/>
      </c>
      <c r="AN522" s="58">
        <f>IFERROR(IF($V522="BRAND.com",HLOOKUP($X522&amp;$Z522,NWC_FC_NOOS!$C$4:$Q$23,MATCH(W522,NWC_FC_NOOS!$B$4:$B$23,0),FALSE),0),0)</f>
        <v>0</v>
      </c>
      <c r="AO522" s="57">
        <f>IFERROR(IF($V522="BRAND.com",HLOOKUP($X522&amp;$Z522,NWC_FC_NOOS!$T$4:$AH$23,MATCH(W522,NWC_FC_NOOS!$S$4:$S$23,0),FALSE),0),0)</f>
        <v>0</v>
      </c>
      <c r="AP522" s="57">
        <f>IFERROR(IF($V522="BRAND.com",HLOOKUP($X522&amp;$Z522,NWC_FC_NOOS!$C$50:$U$69,MATCH(W522,NWC_FC_NOOS!$B$50:$B$69,0),FALSE),0),0)</f>
        <v>0</v>
      </c>
      <c r="AQ522" s="58">
        <f>IFERROR(IF($V522="BRAND.com",HLOOKUP($X522&amp;$Z522,'NWC_FC_NON-NOOS'!$C$4:$Q$23,MATCH(W522,'NWC_FC_NON-NOOS'!$B$4:$B$23,0),FALSE),0),0)</f>
        <v>0</v>
      </c>
      <c r="AR522" s="57">
        <f>IFERROR(IF($V522="BRAND.com",HLOOKUP($X522&amp;$Z522,'NWC_FC_NON-NOOS'!$T$4:$AH$23,MATCH(W522,'NWC_FC_NON-NOOS'!$S$4:$S$23,0),FALSE),0),0)</f>
        <v>0</v>
      </c>
      <c r="AS522" s="57">
        <f>IFERROR(IF($V522="BRAND.com",HLOOKUP($X522&amp;$Z522,'NWC_FC_NON-NOOS'!$C$50:$U$69,MATCH(W522,'NWC_FC_NON-NOOS'!$B$50:$B$69,0),FALSE),0),0)</f>
        <v>0</v>
      </c>
      <c r="AT522" s="57">
        <f t="shared" si="204"/>
        <v>0</v>
      </c>
      <c r="AU522" s="57">
        <f t="shared" si="205"/>
        <v>0</v>
      </c>
      <c r="AV522" s="58">
        <f>IFERROR(IF($V522="BRAND.com",HLOOKUP($X522&amp;$Z522,PLANNING_FC!$BB$27:$BP$46,MATCH($W522,PLANNING_FC!$BA$27:$BA$46,0),FALSE),0),0)</f>
        <v>0</v>
      </c>
      <c r="AW522" s="58">
        <f>IFERROR(IF($V522="BRAND.com",HLOOKUP($X522&amp;$Z522,PLANNING_FC!$BB$4:$BP$23,MATCH($W522,PLANNING_FC!$BA$4:$BA$23,0),FALSE),0),0)</f>
        <v>0</v>
      </c>
      <c r="AX522" s="58">
        <f>IFERROR(IF($V522="BRAND.com",HLOOKUP($X522&amp;$Z522,PLANNING_FC!$T$27:$AH$46,MATCH($W522,PLANNING_FC!$B$27:$B$46,0),FALSE),0),0)</f>
        <v>0</v>
      </c>
      <c r="AY522" s="58">
        <f>IFERROR(IF($V522="BRAND.com",HLOOKUP($X522&amp;$Z522,PLANNING_FC!$T$4:$AH$23,MATCH($W522,PLANNING_FC!$B$4:$B$23,0),FALSE),0),0)</f>
        <v>0</v>
      </c>
      <c r="AZ522" s="58">
        <f>IFERROR(IF($V522="BRAND.com",HLOOKUP($X522&amp;$Z522,PLANNING_FC!$DA$27:$DO$46,MATCH($W522,PLANNING_FC!$CZ$27:$CZ$46,0),FALSE),0),0)</f>
        <v>0</v>
      </c>
      <c r="BA522" s="58">
        <f>IFERROR(IF($V522="BRAND.com",HLOOKUP($X522&amp;$Z522,PLANNING_FC!$DA$4:$DO$23,MATCH($W522,PLANNING_FC!$CZ$4:$CZ$23,0),FALSE),0),0)</f>
        <v>0</v>
      </c>
      <c r="BB522" s="883" t="str">
        <f>IF(V522="BRAND.com",IFERROR(HLOOKUP(X522&amp;Z522,PLANNING_FC!$AK$4:$AY$23,MATCH(W522,PLANNING_FC!$AJ$4:$AJ$23,0),FALSE)*1000,""),"")</f>
        <v/>
      </c>
      <c r="BC522" s="883" t="str">
        <f>IF(V522="BRAND.com",IFERROR(HLOOKUP(X522&amp;Z522,PLANNING_FC!$AK$27:$AY$46,MATCH(W522,PLANNING_FC!$AJ$27:$AJ$46,0),FALSE)*1000,""),"")</f>
        <v/>
      </c>
    </row>
    <row r="523" spans="1:55" x14ac:dyDescent="0.25">
      <c r="A523" s="509"/>
      <c r="B523" s="509"/>
      <c r="C523" s="509"/>
      <c r="D523" s="509"/>
      <c r="E523" s="509"/>
      <c r="F523" s="509"/>
      <c r="G523" s="509"/>
      <c r="H523" s="509"/>
      <c r="I523" s="512"/>
      <c r="J523" s="513"/>
      <c r="K523" s="514"/>
      <c r="L523" s="515"/>
      <c r="M523" s="516"/>
      <c r="N523" s="56">
        <f t="shared" si="186"/>
        <v>0</v>
      </c>
      <c r="O523" s="57">
        <f t="shared" si="187"/>
        <v>0</v>
      </c>
      <c r="P523" s="57">
        <f ca="1">IFERROR(IF(ISBLANK(H523),SUMIFS($AC:$AC,$V:$V,V523,$W:$W,W523,$X:$X,X523,$Y:$Y,Y523)*J523/(1-J523)*VLOOKUP(_xlfn.CONCAT(C523,D523,E523,TIME!$M$12,Z523),HIS_SALES!$B$2:$W$4859,20,FALSE),AC523*J523/(1-J523)),0)</f>
        <v>0</v>
      </c>
      <c r="Q523" s="541" t="str">
        <f t="shared" si="188"/>
        <v/>
      </c>
      <c r="R523" s="346" t="str">
        <f t="shared" si="189"/>
        <v>00000</v>
      </c>
      <c r="S523" s="344">
        <f t="shared" si="190"/>
        <v>0</v>
      </c>
      <c r="T523" s="345" t="str">
        <f t="shared" si="203"/>
        <v>000</v>
      </c>
      <c r="U523" s="345">
        <f t="shared" si="191"/>
        <v>0</v>
      </c>
      <c r="V523" s="345">
        <f t="shared" si="192"/>
        <v>0</v>
      </c>
      <c r="W523" s="345">
        <f t="shared" si="193"/>
        <v>0</v>
      </c>
      <c r="X523" s="345">
        <f t="shared" si="194"/>
        <v>0</v>
      </c>
      <c r="Y523" s="345">
        <f t="shared" si="195"/>
        <v>0</v>
      </c>
      <c r="Z523" s="345">
        <f>IF(Q523&lt;&gt;"",VLOOKUP(Y523,TIME!$R$21:$V$24,MATCH(FC_DATA!Q523,TIME!$R$20:$V$20,0),FALSE),H523)</f>
        <v>0</v>
      </c>
      <c r="AA523" s="345" t="str">
        <f>IFERROR(VLOOKUP(X523&amp;Z523,TIME!$A$12:$D$71,4,FALSE),"")</f>
        <v/>
      </c>
      <c r="AB523" s="592">
        <f t="shared" ca="1" si="196"/>
        <v>0</v>
      </c>
      <c r="AC523" s="593" t="e">
        <f ca="1">IF(ISBLANK(H523)=FALSE,IF(D523="BRAND.com",I523,IF(ISNA(VLOOKUP(_xlfn.CONCAT(X523,Z523),TIME!$M$40:$M$42,1,FALSE)),I523,VLOOKUP(_xlfn.CONCAT(D523,G523,H523),M_BUSAREA_FC!$AF$5:$AJ$10,5,FALSE)*HLOOKUP(_xlfn.CONCAT(F523,H523),ST_OVERVIEW!$G$99:$I$130,MATCH(_xlfn.CONCAT(D523,E523),ST_OVERVIEW!$F$99:$F$130,0),FALSE))),IF(D523="BRAND.com",VLOOKUP(_xlfn.CONCAT(C523,D523,E523,TIME!$F$1,Z523),HIS_SALES!$B$2:$V$4859,19,FALSE)*I523,VLOOKUP(_xlfn.CONCAT(D523,F523,G523),Q_BUSAREA_FC!$AE$5:$AI$12,5,FALSE)*HLOOKUP(_xlfn.CONCAT(FC_DATA!F523,FC_DATA!G523),LT_OVERVIEW!$I$99:$M$130,MATCH(_xlfn.CONCAT(D523,FC_DATA!E523),LT_OVERVIEW!$H$99:$H$130,0),FALSE)*IFERROR(VLOOKUP(_xlfn.CONCAT(C523,D523,E523,TIME!$F$1,Z523),HIS_SALES!$B$2:$V$4859,19,FALSE),0)))</f>
        <v>#N/A</v>
      </c>
      <c r="AD523" s="341">
        <f t="shared" ca="1" si="197"/>
        <v>0</v>
      </c>
      <c r="AE523" s="363" t="str">
        <f t="shared" si="198"/>
        <v/>
      </c>
      <c r="AF523" s="342" t="str">
        <f t="shared" si="199"/>
        <v/>
      </c>
      <c r="AG523" s="411" t="e">
        <f ca="1">VLOOKUP(_xlfn.CONCAT(U523,V523,W523,VLOOKUP(X523&amp;Y523,TIME!$L$27:$O$34,4,FALSE),Y523),HIS_SALES!$A$2:$R$5093,18,FALSE)</f>
        <v>#N/A</v>
      </c>
      <c r="AH523" s="412" t="e">
        <f ca="1">IFERROR(IF(AND(V523=V522,W523=W522),0.5*(AB523+AB522)*AG523,(VLOOKUP(_xlfn.CONCAT(U523,V523,W523,X523,VLOOKUP(Z523,TIME!$S$28:$T$39,2,FALSE)),FC_DATA!$R$2:$AB$5000,MATCH("GS_I_M",FC_DATA!$R$1:$AB$1,0),FALSE)+FC_DATA!AB523)*0.5*FC_DATA!AG523),NA())</f>
        <v>#N/A</v>
      </c>
      <c r="AI523" s="491" t="e">
        <f ca="1">IF(V523="PARTNER.com",AH523,IF(AND(V523=V522,W523=W522),(1-AVERAGE(AD522,AD523))*AH523,(1-AVERAGE(AD523,VLOOKUP(_xlfn.CONCAT(U523,V523,W523,X523,M_BRAND_FC!$F$6),FC_DATA!$R$2:$AD$5000,MATCH("DISCOUNT_%_M",FC_DATA!$R$1:$AD$1,0),FALSE)))*AH523))</f>
        <v>#N/A</v>
      </c>
      <c r="AJ523" s="412" t="str">
        <f t="shared" ca="1" si="200"/>
        <v/>
      </c>
      <c r="AK523" s="413" t="str">
        <f>IFERROR(AE523/(Q_BRAND_FC!$T$24+1),"")</f>
        <v/>
      </c>
      <c r="AL523" s="88" t="str">
        <f t="shared" ca="1" si="201"/>
        <v/>
      </c>
      <c r="AM523" s="414" t="str">
        <f t="shared" ca="1" si="202"/>
        <v/>
      </c>
      <c r="AN523" s="58">
        <f>IFERROR(IF($V523="BRAND.com",HLOOKUP($X523&amp;$Z523,NWC_FC_NOOS!$C$4:$Q$23,MATCH(W523,NWC_FC_NOOS!$B$4:$B$23,0),FALSE),0),0)</f>
        <v>0</v>
      </c>
      <c r="AO523" s="57">
        <f>IFERROR(IF($V523="BRAND.com",HLOOKUP($X523&amp;$Z523,NWC_FC_NOOS!$T$4:$AH$23,MATCH(W523,NWC_FC_NOOS!$S$4:$S$23,0),FALSE),0),0)</f>
        <v>0</v>
      </c>
      <c r="AP523" s="57">
        <f>IFERROR(IF($V523="BRAND.com",HLOOKUP($X523&amp;$Z523,NWC_FC_NOOS!$C$50:$U$69,MATCH(W523,NWC_FC_NOOS!$B$50:$B$69,0),FALSE),0),0)</f>
        <v>0</v>
      </c>
      <c r="AQ523" s="58">
        <f>IFERROR(IF($V523="BRAND.com",HLOOKUP($X523&amp;$Z523,'NWC_FC_NON-NOOS'!$C$4:$Q$23,MATCH(W523,'NWC_FC_NON-NOOS'!$B$4:$B$23,0),FALSE),0),0)</f>
        <v>0</v>
      </c>
      <c r="AR523" s="57">
        <f>IFERROR(IF($V523="BRAND.com",HLOOKUP($X523&amp;$Z523,'NWC_FC_NON-NOOS'!$T$4:$AH$23,MATCH(W523,'NWC_FC_NON-NOOS'!$S$4:$S$23,0),FALSE),0),0)</f>
        <v>0</v>
      </c>
      <c r="AS523" s="57">
        <f>IFERROR(IF($V523="BRAND.com",HLOOKUP($X523&amp;$Z523,'NWC_FC_NON-NOOS'!$C$50:$U$69,MATCH(W523,'NWC_FC_NON-NOOS'!$B$50:$B$69,0),FALSE),0),0)</f>
        <v>0</v>
      </c>
      <c r="AT523" s="57">
        <f t="shared" si="204"/>
        <v>0</v>
      </c>
      <c r="AU523" s="57">
        <f t="shared" si="205"/>
        <v>0</v>
      </c>
      <c r="AV523" s="58">
        <f>IFERROR(IF($V523="BRAND.com",HLOOKUP($X523&amp;$Z523,PLANNING_FC!$BB$27:$BP$46,MATCH($W523,PLANNING_FC!$BA$27:$BA$46,0),FALSE),0),0)</f>
        <v>0</v>
      </c>
      <c r="AW523" s="58">
        <f>IFERROR(IF($V523="BRAND.com",HLOOKUP($X523&amp;$Z523,PLANNING_FC!$BB$4:$BP$23,MATCH($W523,PLANNING_FC!$BA$4:$BA$23,0),FALSE),0),0)</f>
        <v>0</v>
      </c>
      <c r="AX523" s="58">
        <f>IFERROR(IF($V523="BRAND.com",HLOOKUP($X523&amp;$Z523,PLANNING_FC!$T$27:$AH$46,MATCH($W523,PLANNING_FC!$B$27:$B$46,0),FALSE),0),0)</f>
        <v>0</v>
      </c>
      <c r="AY523" s="58">
        <f>IFERROR(IF($V523="BRAND.com",HLOOKUP($X523&amp;$Z523,PLANNING_FC!$T$4:$AH$23,MATCH($W523,PLANNING_FC!$B$4:$B$23,0),FALSE),0),0)</f>
        <v>0</v>
      </c>
      <c r="AZ523" s="58">
        <f>IFERROR(IF($V523="BRAND.com",HLOOKUP($X523&amp;$Z523,PLANNING_FC!$DA$27:$DO$46,MATCH($W523,PLANNING_FC!$CZ$27:$CZ$46,0),FALSE),0),0)</f>
        <v>0</v>
      </c>
      <c r="BA523" s="58">
        <f>IFERROR(IF($V523="BRAND.com",HLOOKUP($X523&amp;$Z523,PLANNING_FC!$DA$4:$DO$23,MATCH($W523,PLANNING_FC!$CZ$4:$CZ$23,0),FALSE),0),0)</f>
        <v>0</v>
      </c>
      <c r="BB523" s="883" t="str">
        <f>IF(V523="BRAND.com",IFERROR(HLOOKUP(X523&amp;Z523,PLANNING_FC!$AK$4:$AY$23,MATCH(W523,PLANNING_FC!$AJ$4:$AJ$23,0),FALSE)*1000,""),"")</f>
        <v/>
      </c>
      <c r="BC523" s="883" t="str">
        <f>IF(V523="BRAND.com",IFERROR(HLOOKUP(X523&amp;Z523,PLANNING_FC!$AK$27:$AY$46,MATCH(W523,PLANNING_FC!$AJ$27:$AJ$46,0),FALSE)*1000,""),"")</f>
        <v/>
      </c>
    </row>
    <row r="524" spans="1:55" x14ac:dyDescent="0.25">
      <c r="A524" s="509"/>
      <c r="B524" s="509"/>
      <c r="C524" s="509"/>
      <c r="D524" s="509"/>
      <c r="E524" s="509"/>
      <c r="F524" s="509"/>
      <c r="G524" s="509"/>
      <c r="H524" s="509"/>
      <c r="I524" s="512"/>
      <c r="J524" s="513"/>
      <c r="K524" s="514"/>
      <c r="L524" s="515"/>
      <c r="M524" s="516"/>
      <c r="N524" s="56">
        <f t="shared" si="186"/>
        <v>0</v>
      </c>
      <c r="O524" s="57">
        <f t="shared" si="187"/>
        <v>0</v>
      </c>
      <c r="P524" s="57">
        <f ca="1">IFERROR(IF(ISBLANK(H524),SUMIFS($AC:$AC,$V:$V,V524,$W:$W,W524,$X:$X,X524,$Y:$Y,Y524)*J524/(1-J524)*VLOOKUP(_xlfn.CONCAT(C524,D524,E524,TIME!$M$12,Z524),HIS_SALES!$B$2:$W$4859,20,FALSE),AC524*J524/(1-J524)),0)</f>
        <v>0</v>
      </c>
      <c r="Q524" s="541" t="str">
        <f t="shared" si="188"/>
        <v/>
      </c>
      <c r="R524" s="346" t="str">
        <f t="shared" si="189"/>
        <v>00000</v>
      </c>
      <c r="S524" s="344">
        <f t="shared" si="190"/>
        <v>0</v>
      </c>
      <c r="T524" s="345" t="str">
        <f t="shared" si="203"/>
        <v>000</v>
      </c>
      <c r="U524" s="345">
        <f t="shared" si="191"/>
        <v>0</v>
      </c>
      <c r="V524" s="345">
        <f t="shared" si="192"/>
        <v>0</v>
      </c>
      <c r="W524" s="345">
        <f t="shared" si="193"/>
        <v>0</v>
      </c>
      <c r="X524" s="345">
        <f t="shared" si="194"/>
        <v>0</v>
      </c>
      <c r="Y524" s="345">
        <f t="shared" si="195"/>
        <v>0</v>
      </c>
      <c r="Z524" s="345">
        <f>IF(Q524&lt;&gt;"",VLOOKUP(Y524,TIME!$R$21:$V$24,MATCH(FC_DATA!Q524,TIME!$R$20:$V$20,0),FALSE),H524)</f>
        <v>0</v>
      </c>
      <c r="AA524" s="345" t="str">
        <f>IFERROR(VLOOKUP(X524&amp;Z524,TIME!$A$12:$D$71,4,FALSE),"")</f>
        <v/>
      </c>
      <c r="AB524" s="592">
        <f t="shared" ca="1" si="196"/>
        <v>0</v>
      </c>
      <c r="AC524" s="593" t="e">
        <f ca="1">IF(ISBLANK(H524)=FALSE,IF(D524="BRAND.com",I524,IF(ISNA(VLOOKUP(_xlfn.CONCAT(X524,Z524),TIME!$M$40:$M$42,1,FALSE)),I524,VLOOKUP(_xlfn.CONCAT(D524,G524,H524),M_BUSAREA_FC!$AF$5:$AJ$10,5,FALSE)*HLOOKUP(_xlfn.CONCAT(F524,H524),ST_OVERVIEW!$G$99:$I$130,MATCH(_xlfn.CONCAT(D524,E524),ST_OVERVIEW!$F$99:$F$130,0),FALSE))),IF(D524="BRAND.com",VLOOKUP(_xlfn.CONCAT(C524,D524,E524,TIME!$F$1,Z524),HIS_SALES!$B$2:$V$4859,19,FALSE)*I524,VLOOKUP(_xlfn.CONCAT(D524,F524,G524),Q_BUSAREA_FC!$AE$5:$AI$12,5,FALSE)*HLOOKUP(_xlfn.CONCAT(FC_DATA!F524,FC_DATA!G524),LT_OVERVIEW!$I$99:$M$130,MATCH(_xlfn.CONCAT(D524,FC_DATA!E524),LT_OVERVIEW!$H$99:$H$130,0),FALSE)*IFERROR(VLOOKUP(_xlfn.CONCAT(C524,D524,E524,TIME!$F$1,Z524),HIS_SALES!$B$2:$V$4859,19,FALSE),0)))</f>
        <v>#N/A</v>
      </c>
      <c r="AD524" s="341">
        <f t="shared" ca="1" si="197"/>
        <v>0</v>
      </c>
      <c r="AE524" s="363" t="str">
        <f t="shared" si="198"/>
        <v/>
      </c>
      <c r="AF524" s="342" t="str">
        <f t="shared" si="199"/>
        <v/>
      </c>
      <c r="AG524" s="411" t="e">
        <f ca="1">VLOOKUP(_xlfn.CONCAT(U524,V524,W524,VLOOKUP(X524&amp;Y524,TIME!$L$27:$O$34,4,FALSE),Y524),HIS_SALES!$A$2:$R$5093,18,FALSE)</f>
        <v>#N/A</v>
      </c>
      <c r="AH524" s="412" t="e">
        <f ca="1">IFERROR(IF(AND(V524=V523,W524=W523),0.5*(AB524+AB523)*AG524,(VLOOKUP(_xlfn.CONCAT(U524,V524,W524,X524,VLOOKUP(Z524,TIME!$S$28:$T$39,2,FALSE)),FC_DATA!$R$2:$AB$5000,MATCH("GS_I_M",FC_DATA!$R$1:$AB$1,0),FALSE)+FC_DATA!AB524)*0.5*FC_DATA!AG524),NA())</f>
        <v>#N/A</v>
      </c>
      <c r="AI524" s="491" t="e">
        <f ca="1">IF(V524="PARTNER.com",AH524,IF(AND(V524=V523,W524=W523),(1-AVERAGE(AD523,AD524))*AH524,(1-AVERAGE(AD524,VLOOKUP(_xlfn.CONCAT(U524,V524,W524,X524,M_BRAND_FC!$F$6),FC_DATA!$R$2:$AD$5000,MATCH("DISCOUNT_%_M",FC_DATA!$R$1:$AD$1,0),FALSE)))*AH524))</f>
        <v>#N/A</v>
      </c>
      <c r="AJ524" s="412" t="str">
        <f t="shared" ca="1" si="200"/>
        <v/>
      </c>
      <c r="AK524" s="413" t="str">
        <f>IFERROR(AE524/(Q_BRAND_FC!$T$24+1),"")</f>
        <v/>
      </c>
      <c r="AL524" s="88" t="str">
        <f t="shared" ca="1" si="201"/>
        <v/>
      </c>
      <c r="AM524" s="414" t="str">
        <f t="shared" ca="1" si="202"/>
        <v/>
      </c>
      <c r="AN524" s="58">
        <f>IFERROR(IF($V524="BRAND.com",HLOOKUP($X524&amp;$Z524,NWC_FC_NOOS!$C$4:$Q$23,MATCH(W524,NWC_FC_NOOS!$B$4:$B$23,0),FALSE),0),0)</f>
        <v>0</v>
      </c>
      <c r="AO524" s="57">
        <f>IFERROR(IF($V524="BRAND.com",HLOOKUP($X524&amp;$Z524,NWC_FC_NOOS!$T$4:$AH$23,MATCH(W524,NWC_FC_NOOS!$S$4:$S$23,0),FALSE),0),0)</f>
        <v>0</v>
      </c>
      <c r="AP524" s="57">
        <f>IFERROR(IF($V524="BRAND.com",HLOOKUP($X524&amp;$Z524,NWC_FC_NOOS!$C$50:$U$69,MATCH(W524,NWC_FC_NOOS!$B$50:$B$69,0),FALSE),0),0)</f>
        <v>0</v>
      </c>
      <c r="AQ524" s="58">
        <f>IFERROR(IF($V524="BRAND.com",HLOOKUP($X524&amp;$Z524,'NWC_FC_NON-NOOS'!$C$4:$Q$23,MATCH(W524,'NWC_FC_NON-NOOS'!$B$4:$B$23,0),FALSE),0),0)</f>
        <v>0</v>
      </c>
      <c r="AR524" s="57">
        <f>IFERROR(IF($V524="BRAND.com",HLOOKUP($X524&amp;$Z524,'NWC_FC_NON-NOOS'!$T$4:$AH$23,MATCH(W524,'NWC_FC_NON-NOOS'!$S$4:$S$23,0),FALSE),0),0)</f>
        <v>0</v>
      </c>
      <c r="AS524" s="57">
        <f>IFERROR(IF($V524="BRAND.com",HLOOKUP($X524&amp;$Z524,'NWC_FC_NON-NOOS'!$C$50:$U$69,MATCH(W524,'NWC_FC_NON-NOOS'!$B$50:$B$69,0),FALSE),0),0)</f>
        <v>0</v>
      </c>
      <c r="AT524" s="57">
        <f t="shared" si="204"/>
        <v>0</v>
      </c>
      <c r="AU524" s="57">
        <f t="shared" si="205"/>
        <v>0</v>
      </c>
      <c r="AV524" s="58">
        <f>IFERROR(IF($V524="BRAND.com",HLOOKUP($X524&amp;$Z524,PLANNING_FC!$BB$27:$BP$46,MATCH($W524,PLANNING_FC!$BA$27:$BA$46,0),FALSE),0),0)</f>
        <v>0</v>
      </c>
      <c r="AW524" s="58">
        <f>IFERROR(IF($V524="BRAND.com",HLOOKUP($X524&amp;$Z524,PLANNING_FC!$BB$4:$BP$23,MATCH($W524,PLANNING_FC!$BA$4:$BA$23,0),FALSE),0),0)</f>
        <v>0</v>
      </c>
      <c r="AX524" s="58">
        <f>IFERROR(IF($V524="BRAND.com",HLOOKUP($X524&amp;$Z524,PLANNING_FC!$T$27:$AH$46,MATCH($W524,PLANNING_FC!$B$27:$B$46,0),FALSE),0),0)</f>
        <v>0</v>
      </c>
      <c r="AY524" s="58">
        <f>IFERROR(IF($V524="BRAND.com",HLOOKUP($X524&amp;$Z524,PLANNING_FC!$T$4:$AH$23,MATCH($W524,PLANNING_FC!$B$4:$B$23,0),FALSE),0),0)</f>
        <v>0</v>
      </c>
      <c r="AZ524" s="58">
        <f>IFERROR(IF($V524="BRAND.com",HLOOKUP($X524&amp;$Z524,PLANNING_FC!$DA$27:$DO$46,MATCH($W524,PLANNING_FC!$CZ$27:$CZ$46,0),FALSE),0),0)</f>
        <v>0</v>
      </c>
      <c r="BA524" s="58">
        <f>IFERROR(IF($V524="BRAND.com",HLOOKUP($X524&amp;$Z524,PLANNING_FC!$DA$4:$DO$23,MATCH($W524,PLANNING_FC!$CZ$4:$CZ$23,0),FALSE),0),0)</f>
        <v>0</v>
      </c>
      <c r="BB524" s="883" t="str">
        <f>IF(V524="BRAND.com",IFERROR(HLOOKUP(X524&amp;Z524,PLANNING_FC!$AK$4:$AY$23,MATCH(W524,PLANNING_FC!$AJ$4:$AJ$23,0),FALSE)*1000,""),"")</f>
        <v/>
      </c>
      <c r="BC524" s="883" t="str">
        <f>IF(V524="BRAND.com",IFERROR(HLOOKUP(X524&amp;Z524,PLANNING_FC!$AK$27:$AY$46,MATCH(W524,PLANNING_FC!$AJ$27:$AJ$46,0),FALSE)*1000,""),"")</f>
        <v/>
      </c>
    </row>
    <row r="525" spans="1:55" x14ac:dyDescent="0.25">
      <c r="A525" s="509"/>
      <c r="B525" s="509"/>
      <c r="C525" s="509"/>
      <c r="D525" s="509"/>
      <c r="E525" s="509"/>
      <c r="F525" s="509"/>
      <c r="G525" s="509"/>
      <c r="H525" s="509"/>
      <c r="I525" s="512"/>
      <c r="J525" s="513"/>
      <c r="K525" s="514"/>
      <c r="L525" s="515"/>
      <c r="M525" s="516"/>
      <c r="N525" s="56">
        <f t="shared" si="186"/>
        <v>0</v>
      </c>
      <c r="O525" s="57">
        <f t="shared" si="187"/>
        <v>0</v>
      </c>
      <c r="P525" s="57">
        <f ca="1">IFERROR(IF(ISBLANK(H525),SUMIFS($AC:$AC,$V:$V,V525,$W:$W,W525,$X:$X,X525,$Y:$Y,Y525)*J525/(1-J525)*VLOOKUP(_xlfn.CONCAT(C525,D525,E525,TIME!$M$12,Z525),HIS_SALES!$B$2:$W$4859,20,FALSE),AC525*J525/(1-J525)),0)</f>
        <v>0</v>
      </c>
      <c r="Q525" s="541" t="str">
        <f t="shared" si="188"/>
        <v/>
      </c>
      <c r="R525" s="346" t="str">
        <f t="shared" si="189"/>
        <v>00000</v>
      </c>
      <c r="S525" s="344">
        <f t="shared" si="190"/>
        <v>0</v>
      </c>
      <c r="T525" s="345" t="str">
        <f t="shared" si="203"/>
        <v>000</v>
      </c>
      <c r="U525" s="345">
        <f t="shared" si="191"/>
        <v>0</v>
      </c>
      <c r="V525" s="345">
        <f t="shared" si="192"/>
        <v>0</v>
      </c>
      <c r="W525" s="345">
        <f t="shared" si="193"/>
        <v>0</v>
      </c>
      <c r="X525" s="345">
        <f t="shared" si="194"/>
        <v>0</v>
      </c>
      <c r="Y525" s="345">
        <f t="shared" si="195"/>
        <v>0</v>
      </c>
      <c r="Z525" s="345">
        <f>IF(Q525&lt;&gt;"",VLOOKUP(Y525,TIME!$R$21:$V$24,MATCH(FC_DATA!Q525,TIME!$R$20:$V$20,0),FALSE),H525)</f>
        <v>0</v>
      </c>
      <c r="AA525" s="345" t="str">
        <f>IFERROR(VLOOKUP(X525&amp;Z525,TIME!$A$12:$D$71,4,FALSE),"")</f>
        <v/>
      </c>
      <c r="AB525" s="592">
        <f t="shared" ca="1" si="196"/>
        <v>0</v>
      </c>
      <c r="AC525" s="593" t="e">
        <f ca="1">IF(ISBLANK(H525)=FALSE,IF(D525="BRAND.com",I525,IF(ISNA(VLOOKUP(_xlfn.CONCAT(X525,Z525),TIME!$M$40:$M$42,1,FALSE)),I525,VLOOKUP(_xlfn.CONCAT(D525,G525,H525),M_BUSAREA_FC!$AF$5:$AJ$10,5,FALSE)*HLOOKUP(_xlfn.CONCAT(F525,H525),ST_OVERVIEW!$G$99:$I$130,MATCH(_xlfn.CONCAT(D525,E525),ST_OVERVIEW!$F$99:$F$130,0),FALSE))),IF(D525="BRAND.com",VLOOKUP(_xlfn.CONCAT(C525,D525,E525,TIME!$F$1,Z525),HIS_SALES!$B$2:$V$4859,19,FALSE)*I525,VLOOKUP(_xlfn.CONCAT(D525,F525,G525),Q_BUSAREA_FC!$AE$5:$AI$12,5,FALSE)*HLOOKUP(_xlfn.CONCAT(FC_DATA!F525,FC_DATA!G525),LT_OVERVIEW!$I$99:$M$130,MATCH(_xlfn.CONCAT(D525,FC_DATA!E525),LT_OVERVIEW!$H$99:$H$130,0),FALSE)*IFERROR(VLOOKUP(_xlfn.CONCAT(C525,D525,E525,TIME!$F$1,Z525),HIS_SALES!$B$2:$V$4859,19,FALSE),0)))</f>
        <v>#N/A</v>
      </c>
      <c r="AD525" s="341">
        <f t="shared" ca="1" si="197"/>
        <v>0</v>
      </c>
      <c r="AE525" s="363" t="str">
        <f t="shared" si="198"/>
        <v/>
      </c>
      <c r="AF525" s="342" t="str">
        <f t="shared" si="199"/>
        <v/>
      </c>
      <c r="AG525" s="411" t="e">
        <f ca="1">VLOOKUP(_xlfn.CONCAT(U525,V525,W525,VLOOKUP(X525&amp;Y525,TIME!$L$27:$O$34,4,FALSE),Y525),HIS_SALES!$A$2:$R$5093,18,FALSE)</f>
        <v>#N/A</v>
      </c>
      <c r="AH525" s="412" t="e">
        <f ca="1">IFERROR(IF(AND(V525=V524,W525=W524),0.5*(AB525+AB524)*AG525,(VLOOKUP(_xlfn.CONCAT(U525,V525,W525,X525,VLOOKUP(Z525,TIME!$S$28:$T$39,2,FALSE)),FC_DATA!$R$2:$AB$5000,MATCH("GS_I_M",FC_DATA!$R$1:$AB$1,0),FALSE)+FC_DATA!AB525)*0.5*FC_DATA!AG525),NA())</f>
        <v>#N/A</v>
      </c>
      <c r="AI525" s="491" t="e">
        <f ca="1">IF(V525="PARTNER.com",AH525,IF(AND(V525=V524,W525=W524),(1-AVERAGE(AD524,AD525))*AH525,(1-AVERAGE(AD525,VLOOKUP(_xlfn.CONCAT(U525,V525,W525,X525,M_BRAND_FC!$F$6),FC_DATA!$R$2:$AD$5000,MATCH("DISCOUNT_%_M",FC_DATA!$R$1:$AD$1,0),FALSE)))*AH525))</f>
        <v>#N/A</v>
      </c>
      <c r="AJ525" s="412" t="str">
        <f t="shared" ca="1" si="200"/>
        <v/>
      </c>
      <c r="AK525" s="413" t="str">
        <f>IFERROR(AE525/(Q_BRAND_FC!$T$24+1),"")</f>
        <v/>
      </c>
      <c r="AL525" s="88" t="str">
        <f t="shared" ca="1" si="201"/>
        <v/>
      </c>
      <c r="AM525" s="414" t="str">
        <f t="shared" ca="1" si="202"/>
        <v/>
      </c>
      <c r="AN525" s="58">
        <f>IFERROR(IF($V525="BRAND.com",HLOOKUP($X525&amp;$Z525,NWC_FC_NOOS!$C$4:$Q$23,MATCH(W525,NWC_FC_NOOS!$B$4:$B$23,0),FALSE),0),0)</f>
        <v>0</v>
      </c>
      <c r="AO525" s="57">
        <f>IFERROR(IF($V525="BRAND.com",HLOOKUP($X525&amp;$Z525,NWC_FC_NOOS!$T$4:$AH$23,MATCH(W525,NWC_FC_NOOS!$S$4:$S$23,0),FALSE),0),0)</f>
        <v>0</v>
      </c>
      <c r="AP525" s="57">
        <f>IFERROR(IF($V525="BRAND.com",HLOOKUP($X525&amp;$Z525,NWC_FC_NOOS!$C$50:$U$69,MATCH(W525,NWC_FC_NOOS!$B$50:$B$69,0),FALSE),0),0)</f>
        <v>0</v>
      </c>
      <c r="AQ525" s="58">
        <f>IFERROR(IF($V525="BRAND.com",HLOOKUP($X525&amp;$Z525,'NWC_FC_NON-NOOS'!$C$4:$Q$23,MATCH(W525,'NWC_FC_NON-NOOS'!$B$4:$B$23,0),FALSE),0),0)</f>
        <v>0</v>
      </c>
      <c r="AR525" s="57">
        <f>IFERROR(IF($V525="BRAND.com",HLOOKUP($X525&amp;$Z525,'NWC_FC_NON-NOOS'!$T$4:$AH$23,MATCH(W525,'NWC_FC_NON-NOOS'!$S$4:$S$23,0),FALSE),0),0)</f>
        <v>0</v>
      </c>
      <c r="AS525" s="57">
        <f>IFERROR(IF($V525="BRAND.com",HLOOKUP($X525&amp;$Z525,'NWC_FC_NON-NOOS'!$C$50:$U$69,MATCH(W525,'NWC_FC_NON-NOOS'!$B$50:$B$69,0),FALSE),0),0)</f>
        <v>0</v>
      </c>
      <c r="AT525" s="57">
        <f t="shared" si="204"/>
        <v>0</v>
      </c>
      <c r="AU525" s="57">
        <f t="shared" si="205"/>
        <v>0</v>
      </c>
      <c r="AV525" s="58">
        <f>IFERROR(IF($V525="BRAND.com",HLOOKUP($X525&amp;$Z525,PLANNING_FC!$BB$27:$BP$46,MATCH($W525,PLANNING_FC!$BA$27:$BA$46,0),FALSE),0),0)</f>
        <v>0</v>
      </c>
      <c r="AW525" s="58">
        <f>IFERROR(IF($V525="BRAND.com",HLOOKUP($X525&amp;$Z525,PLANNING_FC!$BB$4:$BP$23,MATCH($W525,PLANNING_FC!$BA$4:$BA$23,0),FALSE),0),0)</f>
        <v>0</v>
      </c>
      <c r="AX525" s="58">
        <f>IFERROR(IF($V525="BRAND.com",HLOOKUP($X525&amp;$Z525,PLANNING_FC!$T$27:$AH$46,MATCH($W525,PLANNING_FC!$B$27:$B$46,0),FALSE),0),0)</f>
        <v>0</v>
      </c>
      <c r="AY525" s="58">
        <f>IFERROR(IF($V525="BRAND.com",HLOOKUP($X525&amp;$Z525,PLANNING_FC!$T$4:$AH$23,MATCH($W525,PLANNING_FC!$B$4:$B$23,0),FALSE),0),0)</f>
        <v>0</v>
      </c>
      <c r="AZ525" s="58">
        <f>IFERROR(IF($V525="BRAND.com",HLOOKUP($X525&amp;$Z525,PLANNING_FC!$DA$27:$DO$46,MATCH($W525,PLANNING_FC!$CZ$27:$CZ$46,0),FALSE),0),0)</f>
        <v>0</v>
      </c>
      <c r="BA525" s="58">
        <f>IFERROR(IF($V525="BRAND.com",HLOOKUP($X525&amp;$Z525,PLANNING_FC!$DA$4:$DO$23,MATCH($W525,PLANNING_FC!$CZ$4:$CZ$23,0),FALSE),0),0)</f>
        <v>0</v>
      </c>
      <c r="BB525" s="883" t="str">
        <f>IF(V525="BRAND.com",IFERROR(HLOOKUP(X525&amp;Z525,PLANNING_FC!$AK$4:$AY$23,MATCH(W525,PLANNING_FC!$AJ$4:$AJ$23,0),FALSE)*1000,""),"")</f>
        <v/>
      </c>
      <c r="BC525" s="883" t="str">
        <f>IF(V525="BRAND.com",IFERROR(HLOOKUP(X525&amp;Z525,PLANNING_FC!$AK$27:$AY$46,MATCH(W525,PLANNING_FC!$AJ$27:$AJ$46,0),FALSE)*1000,""),"")</f>
        <v/>
      </c>
    </row>
    <row r="526" spans="1:55" x14ac:dyDescent="0.25">
      <c r="A526" s="509"/>
      <c r="B526" s="509"/>
      <c r="C526" s="509"/>
      <c r="D526" s="509"/>
      <c r="E526" s="509"/>
      <c r="F526" s="509"/>
      <c r="G526" s="511"/>
      <c r="H526" s="509"/>
      <c r="I526" s="512"/>
      <c r="J526" s="513"/>
      <c r="K526" s="514"/>
      <c r="L526" s="515"/>
      <c r="M526" s="516"/>
      <c r="N526" s="56">
        <f t="shared" si="186"/>
        <v>0</v>
      </c>
      <c r="O526" s="57">
        <f t="shared" si="187"/>
        <v>0</v>
      </c>
      <c r="P526" s="57">
        <f ca="1">IFERROR(IF(ISBLANK(H526),SUMIFS($AC:$AC,$V:$V,V526,$W:$W,W526,$X:$X,X526,$Y:$Y,Y526)*J526/(1-J526)*VLOOKUP(_xlfn.CONCAT(C526,D526,E526,TIME!$M$12,Z526),HIS_SALES!$B$2:$W$4859,20,FALSE),AC526*J526/(1-J526)),0)</f>
        <v>0</v>
      </c>
      <c r="Q526" s="541" t="str">
        <f t="shared" si="188"/>
        <v/>
      </c>
      <c r="R526" s="346" t="str">
        <f t="shared" si="189"/>
        <v>00000</v>
      </c>
      <c r="S526" s="344">
        <f t="shared" si="190"/>
        <v>0</v>
      </c>
      <c r="T526" s="345" t="str">
        <f t="shared" si="203"/>
        <v>000</v>
      </c>
      <c r="U526" s="345">
        <f t="shared" si="191"/>
        <v>0</v>
      </c>
      <c r="V526" s="345">
        <f t="shared" si="192"/>
        <v>0</v>
      </c>
      <c r="W526" s="345">
        <f t="shared" si="193"/>
        <v>0</v>
      </c>
      <c r="X526" s="345">
        <f t="shared" si="194"/>
        <v>0</v>
      </c>
      <c r="Y526" s="345">
        <f t="shared" si="195"/>
        <v>0</v>
      </c>
      <c r="Z526" s="345">
        <f>IF(Q526&lt;&gt;"",VLOOKUP(Y526,TIME!$R$21:$V$24,MATCH(FC_DATA!Q526,TIME!$R$20:$V$20,0),FALSE),H526)</f>
        <v>0</v>
      </c>
      <c r="AA526" s="345" t="str">
        <f>IFERROR(VLOOKUP(X526&amp;Z526,TIME!$A$12:$D$71,4,FALSE),"")</f>
        <v/>
      </c>
      <c r="AB526" s="592">
        <f t="shared" ca="1" si="196"/>
        <v>0</v>
      </c>
      <c r="AC526" s="593" t="e">
        <f ca="1">IF(ISBLANK(H526)=FALSE,IF(D526="BRAND.com",I526,IF(ISNA(VLOOKUP(_xlfn.CONCAT(X526,Z526),TIME!$M$40:$M$42,1,FALSE)),I526,VLOOKUP(_xlfn.CONCAT(D526,G526,H526),M_BUSAREA_FC!$AF$5:$AJ$10,5,FALSE)*HLOOKUP(_xlfn.CONCAT(F526,H526),ST_OVERVIEW!$G$99:$I$130,MATCH(_xlfn.CONCAT(D526,E526),ST_OVERVIEW!$F$99:$F$130,0),FALSE))),IF(D526="BRAND.com",VLOOKUP(_xlfn.CONCAT(C526,D526,E526,TIME!$F$1,Z526),HIS_SALES!$B$2:$V$4859,19,FALSE)*I526,VLOOKUP(_xlfn.CONCAT(D526,F526,G526),Q_BUSAREA_FC!$AE$5:$AI$12,5,FALSE)*HLOOKUP(_xlfn.CONCAT(FC_DATA!F526,FC_DATA!G526),LT_OVERVIEW!$I$99:$M$130,MATCH(_xlfn.CONCAT(D526,FC_DATA!E526),LT_OVERVIEW!$H$99:$H$130,0),FALSE)*IFERROR(VLOOKUP(_xlfn.CONCAT(C526,D526,E526,TIME!$F$1,Z526),HIS_SALES!$B$2:$V$4859,19,FALSE),0)))</f>
        <v>#N/A</v>
      </c>
      <c r="AD526" s="341">
        <f t="shared" ca="1" si="197"/>
        <v>0</v>
      </c>
      <c r="AE526" s="363" t="str">
        <f t="shared" si="198"/>
        <v/>
      </c>
      <c r="AF526" s="342" t="str">
        <f t="shared" si="199"/>
        <v/>
      </c>
      <c r="AG526" s="411" t="e">
        <f ca="1">VLOOKUP(_xlfn.CONCAT(U526,V526,W526,VLOOKUP(X526&amp;Y526,TIME!$L$27:$O$34,4,FALSE),Y526),HIS_SALES!$A$2:$R$5093,18,FALSE)</f>
        <v>#N/A</v>
      </c>
      <c r="AH526" s="412" t="e">
        <f ca="1">IFERROR(IF(AND(V526=V525,W526=W525),0.5*(AB526+AB525)*AG526,(VLOOKUP(_xlfn.CONCAT(U526,V526,W526,X526,VLOOKUP(Z526,TIME!$S$28:$T$39,2,FALSE)),FC_DATA!$R$2:$AB$5000,MATCH("GS_I_M",FC_DATA!$R$1:$AB$1,0),FALSE)+FC_DATA!AB526)*0.5*FC_DATA!AG526),NA())</f>
        <v>#N/A</v>
      </c>
      <c r="AI526" s="491" t="e">
        <f ca="1">IF(V526="PARTNER.com",AH526,IF(AND(V526=V525,W526=W525),(1-AVERAGE(AD525,AD526))*AH526,(1-AVERAGE(AD526,VLOOKUP(_xlfn.CONCAT(U526,V526,W526,X526,M_BRAND_FC!$F$6),FC_DATA!$R$2:$AD$5000,MATCH("DISCOUNT_%_M",FC_DATA!$R$1:$AD$1,0),FALSE)))*AH526))</f>
        <v>#N/A</v>
      </c>
      <c r="AJ526" s="412" t="str">
        <f t="shared" ca="1" si="200"/>
        <v/>
      </c>
      <c r="AK526" s="413" t="str">
        <f>IFERROR(AE526/(Q_BRAND_FC!$T$24+1),"")</f>
        <v/>
      </c>
      <c r="AL526" s="88" t="str">
        <f t="shared" ca="1" si="201"/>
        <v/>
      </c>
      <c r="AM526" s="414" t="str">
        <f t="shared" ca="1" si="202"/>
        <v/>
      </c>
      <c r="AN526" s="58">
        <f>IFERROR(IF($V526="BRAND.com",HLOOKUP($X526&amp;$Z526,NWC_FC_NOOS!$C$4:$Q$23,MATCH(W526,NWC_FC_NOOS!$B$4:$B$23,0),FALSE),0),0)</f>
        <v>0</v>
      </c>
      <c r="AO526" s="57">
        <f>IFERROR(IF($V526="BRAND.com",HLOOKUP($X526&amp;$Z526,NWC_FC_NOOS!$T$4:$AH$23,MATCH(W526,NWC_FC_NOOS!$S$4:$S$23,0),FALSE),0),0)</f>
        <v>0</v>
      </c>
      <c r="AP526" s="57">
        <f>IFERROR(IF($V526="BRAND.com",HLOOKUP($X526&amp;$Z526,NWC_FC_NOOS!$C$50:$U$69,MATCH(W526,NWC_FC_NOOS!$B$50:$B$69,0),FALSE),0),0)</f>
        <v>0</v>
      </c>
      <c r="AQ526" s="58">
        <f>IFERROR(IF($V526="BRAND.com",HLOOKUP($X526&amp;$Z526,'NWC_FC_NON-NOOS'!$C$4:$Q$23,MATCH(W526,'NWC_FC_NON-NOOS'!$B$4:$B$23,0),FALSE),0),0)</f>
        <v>0</v>
      </c>
      <c r="AR526" s="57">
        <f>IFERROR(IF($V526="BRAND.com",HLOOKUP($X526&amp;$Z526,'NWC_FC_NON-NOOS'!$T$4:$AH$23,MATCH(W526,'NWC_FC_NON-NOOS'!$S$4:$S$23,0),FALSE),0),0)</f>
        <v>0</v>
      </c>
      <c r="AS526" s="57">
        <f>IFERROR(IF($V526="BRAND.com",HLOOKUP($X526&amp;$Z526,'NWC_FC_NON-NOOS'!$C$50:$U$69,MATCH(W526,'NWC_FC_NON-NOOS'!$B$50:$B$69,0),FALSE),0),0)</f>
        <v>0</v>
      </c>
      <c r="AT526" s="57">
        <f t="shared" si="204"/>
        <v>0</v>
      </c>
      <c r="AU526" s="57">
        <f t="shared" si="205"/>
        <v>0</v>
      </c>
      <c r="AV526" s="58">
        <f>IFERROR(IF($V526="BRAND.com",HLOOKUP($X526&amp;$Z526,PLANNING_FC!$BB$27:$BP$46,MATCH($W526,PLANNING_FC!$BA$27:$BA$46,0),FALSE),0),0)</f>
        <v>0</v>
      </c>
      <c r="AW526" s="58">
        <f>IFERROR(IF($V526="BRAND.com",HLOOKUP($X526&amp;$Z526,PLANNING_FC!$BB$4:$BP$23,MATCH($W526,PLANNING_FC!$BA$4:$BA$23,0),FALSE),0),0)</f>
        <v>0</v>
      </c>
      <c r="AX526" s="58">
        <f>IFERROR(IF($V526="BRAND.com",HLOOKUP($X526&amp;$Z526,PLANNING_FC!$T$27:$AH$46,MATCH($W526,PLANNING_FC!$B$27:$B$46,0),FALSE),0),0)</f>
        <v>0</v>
      </c>
      <c r="AY526" s="58">
        <f>IFERROR(IF($V526="BRAND.com",HLOOKUP($X526&amp;$Z526,PLANNING_FC!$T$4:$AH$23,MATCH($W526,PLANNING_FC!$B$4:$B$23,0),FALSE),0),0)</f>
        <v>0</v>
      </c>
      <c r="AZ526" s="58">
        <f>IFERROR(IF($V526="BRAND.com",HLOOKUP($X526&amp;$Z526,PLANNING_FC!$DA$27:$DO$46,MATCH($W526,PLANNING_FC!$CZ$27:$CZ$46,0),FALSE),0),0)</f>
        <v>0</v>
      </c>
      <c r="BA526" s="58">
        <f>IFERROR(IF($V526="BRAND.com",HLOOKUP($X526&amp;$Z526,PLANNING_FC!$DA$4:$DO$23,MATCH($W526,PLANNING_FC!$CZ$4:$CZ$23,0),FALSE),0),0)</f>
        <v>0</v>
      </c>
      <c r="BB526" s="883" t="str">
        <f>IF(V526="BRAND.com",IFERROR(HLOOKUP(X526&amp;Z526,PLANNING_FC!$AK$4:$AY$23,MATCH(W526,PLANNING_FC!$AJ$4:$AJ$23,0),FALSE)*1000,""),"")</f>
        <v/>
      </c>
      <c r="BC526" s="883" t="str">
        <f>IF(V526="BRAND.com",IFERROR(HLOOKUP(X526&amp;Z526,PLANNING_FC!$AK$27:$AY$46,MATCH(W526,PLANNING_FC!$AJ$27:$AJ$46,0),FALSE)*1000,""),"")</f>
        <v/>
      </c>
    </row>
    <row r="527" spans="1:55" x14ac:dyDescent="0.25">
      <c r="A527" s="509"/>
      <c r="B527" s="509"/>
      <c r="C527" s="509"/>
      <c r="D527" s="509"/>
      <c r="E527" s="509"/>
      <c r="F527" s="509"/>
      <c r="G527" s="509"/>
      <c r="H527" s="509"/>
      <c r="I527" s="512"/>
      <c r="J527" s="513"/>
      <c r="K527" s="514"/>
      <c r="L527" s="515"/>
      <c r="M527" s="516"/>
      <c r="N527" s="56">
        <f t="shared" si="186"/>
        <v>0</v>
      </c>
      <c r="O527" s="57">
        <f t="shared" si="187"/>
        <v>0</v>
      </c>
      <c r="P527" s="57">
        <f ca="1">IFERROR(IF(ISBLANK(H527),SUMIFS($AC:$AC,$V:$V,V527,$W:$W,W527,$X:$X,X527,$Y:$Y,Y527)*J527/(1-J527)*VLOOKUP(_xlfn.CONCAT(C527,D527,E527,TIME!$M$12,Z527),HIS_SALES!$B$2:$W$4859,20,FALSE),AC527*J527/(1-J527)),0)</f>
        <v>0</v>
      </c>
      <c r="Q527" s="541" t="str">
        <f t="shared" si="188"/>
        <v/>
      </c>
      <c r="R527" s="346" t="str">
        <f t="shared" si="189"/>
        <v>00000</v>
      </c>
      <c r="S527" s="344">
        <f t="shared" si="190"/>
        <v>0</v>
      </c>
      <c r="T527" s="345" t="str">
        <f t="shared" si="203"/>
        <v>000</v>
      </c>
      <c r="U527" s="345">
        <f t="shared" si="191"/>
        <v>0</v>
      </c>
      <c r="V527" s="345">
        <f t="shared" si="192"/>
        <v>0</v>
      </c>
      <c r="W527" s="345">
        <f t="shared" si="193"/>
        <v>0</v>
      </c>
      <c r="X527" s="345">
        <f t="shared" si="194"/>
        <v>0</v>
      </c>
      <c r="Y527" s="345">
        <f t="shared" si="195"/>
        <v>0</v>
      </c>
      <c r="Z527" s="345">
        <f>IF(Q527&lt;&gt;"",VLOOKUP(Y527,TIME!$R$21:$V$24,MATCH(FC_DATA!Q527,TIME!$R$20:$V$20,0),FALSE),H527)</f>
        <v>0</v>
      </c>
      <c r="AA527" s="345" t="str">
        <f>IFERROR(VLOOKUP(X527&amp;Z527,TIME!$A$12:$D$71,4,FALSE),"")</f>
        <v/>
      </c>
      <c r="AB527" s="592">
        <f t="shared" ca="1" si="196"/>
        <v>0</v>
      </c>
      <c r="AC527" s="593" t="e">
        <f ca="1">IF(ISBLANK(H527)=FALSE,IF(D527="BRAND.com",I527,IF(ISNA(VLOOKUP(_xlfn.CONCAT(X527,Z527),TIME!$M$40:$M$42,1,FALSE)),I527,VLOOKUP(_xlfn.CONCAT(D527,G527,H527),M_BUSAREA_FC!$AF$5:$AJ$10,5,FALSE)*HLOOKUP(_xlfn.CONCAT(F527,H527),ST_OVERVIEW!$G$99:$I$130,MATCH(_xlfn.CONCAT(D527,E527),ST_OVERVIEW!$F$99:$F$130,0),FALSE))),IF(D527="BRAND.com",VLOOKUP(_xlfn.CONCAT(C527,D527,E527,TIME!$F$1,Z527),HIS_SALES!$B$2:$V$4859,19,FALSE)*I527,VLOOKUP(_xlfn.CONCAT(D527,F527,G527),Q_BUSAREA_FC!$AE$5:$AI$12,5,FALSE)*HLOOKUP(_xlfn.CONCAT(FC_DATA!F527,FC_DATA!G527),LT_OVERVIEW!$I$99:$M$130,MATCH(_xlfn.CONCAT(D527,FC_DATA!E527),LT_OVERVIEW!$H$99:$H$130,0),FALSE)*IFERROR(VLOOKUP(_xlfn.CONCAT(C527,D527,E527,TIME!$F$1,Z527),HIS_SALES!$B$2:$V$4859,19,FALSE),0)))</f>
        <v>#N/A</v>
      </c>
      <c r="AD527" s="341">
        <f t="shared" ca="1" si="197"/>
        <v>0</v>
      </c>
      <c r="AE527" s="363" t="str">
        <f t="shared" si="198"/>
        <v/>
      </c>
      <c r="AF527" s="342" t="str">
        <f t="shared" si="199"/>
        <v/>
      </c>
      <c r="AG527" s="411" t="e">
        <f ca="1">VLOOKUP(_xlfn.CONCAT(U527,V527,W527,VLOOKUP(X527&amp;Y527,TIME!$L$27:$O$34,4,FALSE),Y527),HIS_SALES!$A$2:$R$5093,18,FALSE)</f>
        <v>#N/A</v>
      </c>
      <c r="AH527" s="412" t="e">
        <f ca="1">IFERROR(IF(AND(V527=V526,W527=W526),0.5*(AB527+AB526)*AG527,(VLOOKUP(_xlfn.CONCAT(U527,V527,W527,X527,VLOOKUP(Z527,TIME!$S$28:$T$39,2,FALSE)),FC_DATA!$R$2:$AB$5000,MATCH("GS_I_M",FC_DATA!$R$1:$AB$1,0),FALSE)+FC_DATA!AB527)*0.5*FC_DATA!AG527),NA())</f>
        <v>#N/A</v>
      </c>
      <c r="AI527" s="491" t="e">
        <f ca="1">IF(V527="PARTNER.com",AH527,IF(AND(V527=V526,W527=W526),(1-AVERAGE(AD526,AD527))*AH527,(1-AVERAGE(AD527,VLOOKUP(_xlfn.CONCAT(U527,V527,W527,X527,M_BRAND_FC!$F$6),FC_DATA!$R$2:$AD$5000,MATCH("DISCOUNT_%_M",FC_DATA!$R$1:$AD$1,0),FALSE)))*AH527))</f>
        <v>#N/A</v>
      </c>
      <c r="AJ527" s="412" t="str">
        <f t="shared" ca="1" si="200"/>
        <v/>
      </c>
      <c r="AK527" s="413" t="str">
        <f>IFERROR(AE527/(Q_BRAND_FC!$T$24+1),"")</f>
        <v/>
      </c>
      <c r="AL527" s="88" t="str">
        <f t="shared" ca="1" si="201"/>
        <v/>
      </c>
      <c r="AM527" s="414" t="str">
        <f t="shared" ca="1" si="202"/>
        <v/>
      </c>
      <c r="AN527" s="58">
        <f>IFERROR(IF($V527="BRAND.com",HLOOKUP($X527&amp;$Z527,NWC_FC_NOOS!$C$4:$Q$23,MATCH(W527,NWC_FC_NOOS!$B$4:$B$23,0),FALSE),0),0)</f>
        <v>0</v>
      </c>
      <c r="AO527" s="57">
        <f>IFERROR(IF($V527="BRAND.com",HLOOKUP($X527&amp;$Z527,NWC_FC_NOOS!$T$4:$AH$23,MATCH(W527,NWC_FC_NOOS!$S$4:$S$23,0),FALSE),0),0)</f>
        <v>0</v>
      </c>
      <c r="AP527" s="57">
        <f>IFERROR(IF($V527="BRAND.com",HLOOKUP($X527&amp;$Z527,NWC_FC_NOOS!$C$50:$U$69,MATCH(W527,NWC_FC_NOOS!$B$50:$B$69,0),FALSE),0),0)</f>
        <v>0</v>
      </c>
      <c r="AQ527" s="58">
        <f>IFERROR(IF($V527="BRAND.com",HLOOKUP($X527&amp;$Z527,'NWC_FC_NON-NOOS'!$C$4:$Q$23,MATCH(W527,'NWC_FC_NON-NOOS'!$B$4:$B$23,0),FALSE),0),0)</f>
        <v>0</v>
      </c>
      <c r="AR527" s="57">
        <f>IFERROR(IF($V527="BRAND.com",HLOOKUP($X527&amp;$Z527,'NWC_FC_NON-NOOS'!$T$4:$AH$23,MATCH(W527,'NWC_FC_NON-NOOS'!$S$4:$S$23,0),FALSE),0),0)</f>
        <v>0</v>
      </c>
      <c r="AS527" s="57">
        <f>IFERROR(IF($V527="BRAND.com",HLOOKUP($X527&amp;$Z527,'NWC_FC_NON-NOOS'!$C$50:$U$69,MATCH(W527,'NWC_FC_NON-NOOS'!$B$50:$B$69,0),FALSE),0),0)</f>
        <v>0</v>
      </c>
      <c r="AT527" s="57">
        <f t="shared" si="204"/>
        <v>0</v>
      </c>
      <c r="AU527" s="57">
        <f t="shared" si="205"/>
        <v>0</v>
      </c>
      <c r="AV527" s="58">
        <f>IFERROR(IF($V527="BRAND.com",HLOOKUP($X527&amp;$Z527,PLANNING_FC!$BB$27:$BP$46,MATCH($W527,PLANNING_FC!$BA$27:$BA$46,0),FALSE),0),0)</f>
        <v>0</v>
      </c>
      <c r="AW527" s="58">
        <f>IFERROR(IF($V527="BRAND.com",HLOOKUP($X527&amp;$Z527,PLANNING_FC!$BB$4:$BP$23,MATCH($W527,PLANNING_FC!$BA$4:$BA$23,0),FALSE),0),0)</f>
        <v>0</v>
      </c>
      <c r="AX527" s="58">
        <f>IFERROR(IF($V527="BRAND.com",HLOOKUP($X527&amp;$Z527,PLANNING_FC!$T$27:$AH$46,MATCH($W527,PLANNING_FC!$B$27:$B$46,0),FALSE),0),0)</f>
        <v>0</v>
      </c>
      <c r="AY527" s="58">
        <f>IFERROR(IF($V527="BRAND.com",HLOOKUP($X527&amp;$Z527,PLANNING_FC!$T$4:$AH$23,MATCH($W527,PLANNING_FC!$B$4:$B$23,0),FALSE),0),0)</f>
        <v>0</v>
      </c>
      <c r="AZ527" s="58">
        <f>IFERROR(IF($V527="BRAND.com",HLOOKUP($X527&amp;$Z527,PLANNING_FC!$DA$27:$DO$46,MATCH($W527,PLANNING_FC!$CZ$27:$CZ$46,0),FALSE),0),0)</f>
        <v>0</v>
      </c>
      <c r="BA527" s="58">
        <f>IFERROR(IF($V527="BRAND.com",HLOOKUP($X527&amp;$Z527,PLANNING_FC!$DA$4:$DO$23,MATCH($W527,PLANNING_FC!$CZ$4:$CZ$23,0),FALSE),0),0)</f>
        <v>0</v>
      </c>
      <c r="BB527" s="883" t="str">
        <f>IF(V527="BRAND.com",IFERROR(HLOOKUP(X527&amp;Z527,PLANNING_FC!$AK$4:$AY$23,MATCH(W527,PLANNING_FC!$AJ$4:$AJ$23,0),FALSE)*1000,""),"")</f>
        <v/>
      </c>
      <c r="BC527" s="883" t="str">
        <f>IF(V527="BRAND.com",IFERROR(HLOOKUP(X527&amp;Z527,PLANNING_FC!$AK$27:$AY$46,MATCH(W527,PLANNING_FC!$AJ$27:$AJ$46,0),FALSE)*1000,""),"")</f>
        <v/>
      </c>
    </row>
    <row r="528" spans="1:55" x14ac:dyDescent="0.25">
      <c r="A528" s="509"/>
      <c r="B528" s="509"/>
      <c r="C528" s="509"/>
      <c r="D528" s="509"/>
      <c r="E528" s="509"/>
      <c r="F528" s="509"/>
      <c r="G528" s="509"/>
      <c r="H528" s="509"/>
      <c r="I528" s="512"/>
      <c r="J528" s="513"/>
      <c r="K528" s="514"/>
      <c r="L528" s="515"/>
      <c r="M528" s="516"/>
      <c r="N528" s="56">
        <f t="shared" si="186"/>
        <v>0</v>
      </c>
      <c r="O528" s="57">
        <f t="shared" si="187"/>
        <v>0</v>
      </c>
      <c r="P528" s="57">
        <f ca="1">IFERROR(IF(ISBLANK(H528),SUMIFS($AC:$AC,$V:$V,V528,$W:$W,W528,$X:$X,X528,$Y:$Y,Y528)*J528/(1-J528)*VLOOKUP(_xlfn.CONCAT(C528,D528,E528,TIME!$M$12,Z528),HIS_SALES!$B$2:$W$4859,20,FALSE),AC528*J528/(1-J528)),0)</f>
        <v>0</v>
      </c>
      <c r="Q528" s="541" t="str">
        <f t="shared" si="188"/>
        <v/>
      </c>
      <c r="R528" s="346" t="str">
        <f t="shared" si="189"/>
        <v>00000</v>
      </c>
      <c r="S528" s="344">
        <f t="shared" si="190"/>
        <v>0</v>
      </c>
      <c r="T528" s="345" t="str">
        <f t="shared" si="203"/>
        <v>000</v>
      </c>
      <c r="U528" s="345">
        <f t="shared" si="191"/>
        <v>0</v>
      </c>
      <c r="V528" s="345">
        <f t="shared" si="192"/>
        <v>0</v>
      </c>
      <c r="W528" s="345">
        <f t="shared" si="193"/>
        <v>0</v>
      </c>
      <c r="X528" s="345">
        <f t="shared" si="194"/>
        <v>0</v>
      </c>
      <c r="Y528" s="345">
        <f t="shared" si="195"/>
        <v>0</v>
      </c>
      <c r="Z528" s="345">
        <f>IF(Q528&lt;&gt;"",VLOOKUP(Y528,TIME!$R$21:$V$24,MATCH(FC_DATA!Q528,TIME!$R$20:$V$20,0),FALSE),H528)</f>
        <v>0</v>
      </c>
      <c r="AA528" s="345" t="str">
        <f>IFERROR(VLOOKUP(X528&amp;Z528,TIME!$A$12:$D$71,4,FALSE),"")</f>
        <v/>
      </c>
      <c r="AB528" s="592">
        <f t="shared" ca="1" si="196"/>
        <v>0</v>
      </c>
      <c r="AC528" s="593" t="e">
        <f ca="1">IF(ISBLANK(H528)=FALSE,IF(D528="BRAND.com",I528,IF(ISNA(VLOOKUP(_xlfn.CONCAT(X528,Z528),TIME!$M$40:$M$42,1,FALSE)),I528,VLOOKUP(_xlfn.CONCAT(D528,G528,H528),M_BUSAREA_FC!$AF$5:$AJ$10,5,FALSE)*HLOOKUP(_xlfn.CONCAT(F528,H528),ST_OVERVIEW!$G$99:$I$130,MATCH(_xlfn.CONCAT(D528,E528),ST_OVERVIEW!$F$99:$F$130,0),FALSE))),IF(D528="BRAND.com",VLOOKUP(_xlfn.CONCAT(C528,D528,E528,TIME!$F$1,Z528),HIS_SALES!$B$2:$V$4859,19,FALSE)*I528,VLOOKUP(_xlfn.CONCAT(D528,F528,G528),Q_BUSAREA_FC!$AE$5:$AI$12,5,FALSE)*HLOOKUP(_xlfn.CONCAT(FC_DATA!F528,FC_DATA!G528),LT_OVERVIEW!$I$99:$M$130,MATCH(_xlfn.CONCAT(D528,FC_DATA!E528),LT_OVERVIEW!$H$99:$H$130,0),FALSE)*IFERROR(VLOOKUP(_xlfn.CONCAT(C528,D528,E528,TIME!$F$1,Z528),HIS_SALES!$B$2:$V$4859,19,FALSE),0)))</f>
        <v>#N/A</v>
      </c>
      <c r="AD528" s="341">
        <f t="shared" ca="1" si="197"/>
        <v>0</v>
      </c>
      <c r="AE528" s="363" t="str">
        <f t="shared" si="198"/>
        <v/>
      </c>
      <c r="AF528" s="342" t="str">
        <f t="shared" si="199"/>
        <v/>
      </c>
      <c r="AG528" s="411" t="e">
        <f ca="1">VLOOKUP(_xlfn.CONCAT(U528,V528,W528,VLOOKUP(X528&amp;Y528,TIME!$L$27:$O$34,4,FALSE),Y528),HIS_SALES!$A$2:$R$5093,18,FALSE)</f>
        <v>#N/A</v>
      </c>
      <c r="AH528" s="412" t="e">
        <f ca="1">IFERROR(IF(AND(V528=V527,W528=W527),0.5*(AB528+AB527)*AG528,(VLOOKUP(_xlfn.CONCAT(U528,V528,W528,X528,VLOOKUP(Z528,TIME!$S$28:$T$39,2,FALSE)),FC_DATA!$R$2:$AB$5000,MATCH("GS_I_M",FC_DATA!$R$1:$AB$1,0),FALSE)+FC_DATA!AB528)*0.5*FC_DATA!AG528),NA())</f>
        <v>#N/A</v>
      </c>
      <c r="AI528" s="491" t="e">
        <f ca="1">IF(V528="PARTNER.com",AH528,IF(AND(V528=V527,W528=W527),(1-AVERAGE(AD527,AD528))*AH528,(1-AVERAGE(AD528,VLOOKUP(_xlfn.CONCAT(U528,V528,W528,X528,M_BRAND_FC!$F$6),FC_DATA!$R$2:$AD$5000,MATCH("DISCOUNT_%_M",FC_DATA!$R$1:$AD$1,0),FALSE)))*AH528))</f>
        <v>#N/A</v>
      </c>
      <c r="AJ528" s="412" t="str">
        <f t="shared" ca="1" si="200"/>
        <v/>
      </c>
      <c r="AK528" s="413" t="str">
        <f>IFERROR(AE528/(Q_BRAND_FC!$T$24+1),"")</f>
        <v/>
      </c>
      <c r="AL528" s="88" t="str">
        <f t="shared" ca="1" si="201"/>
        <v/>
      </c>
      <c r="AM528" s="414" t="str">
        <f t="shared" ca="1" si="202"/>
        <v/>
      </c>
      <c r="AN528" s="58">
        <f>IFERROR(IF($V528="BRAND.com",HLOOKUP($X528&amp;$Z528,NWC_FC_NOOS!$C$4:$Q$23,MATCH(W528,NWC_FC_NOOS!$B$4:$B$23,0),FALSE),0),0)</f>
        <v>0</v>
      </c>
      <c r="AO528" s="57">
        <f>IFERROR(IF($V528="BRAND.com",HLOOKUP($X528&amp;$Z528,NWC_FC_NOOS!$T$4:$AH$23,MATCH(W528,NWC_FC_NOOS!$S$4:$S$23,0),FALSE),0),0)</f>
        <v>0</v>
      </c>
      <c r="AP528" s="57">
        <f>IFERROR(IF($V528="BRAND.com",HLOOKUP($X528&amp;$Z528,NWC_FC_NOOS!$C$50:$U$69,MATCH(W528,NWC_FC_NOOS!$B$50:$B$69,0),FALSE),0),0)</f>
        <v>0</v>
      </c>
      <c r="AQ528" s="58">
        <f>IFERROR(IF($V528="BRAND.com",HLOOKUP($X528&amp;$Z528,'NWC_FC_NON-NOOS'!$C$4:$Q$23,MATCH(W528,'NWC_FC_NON-NOOS'!$B$4:$B$23,0),FALSE),0),0)</f>
        <v>0</v>
      </c>
      <c r="AR528" s="57">
        <f>IFERROR(IF($V528="BRAND.com",HLOOKUP($X528&amp;$Z528,'NWC_FC_NON-NOOS'!$T$4:$AH$23,MATCH(W528,'NWC_FC_NON-NOOS'!$S$4:$S$23,0),FALSE),0),0)</f>
        <v>0</v>
      </c>
      <c r="AS528" s="57">
        <f>IFERROR(IF($V528="BRAND.com",HLOOKUP($X528&amp;$Z528,'NWC_FC_NON-NOOS'!$C$50:$U$69,MATCH(W528,'NWC_FC_NON-NOOS'!$B$50:$B$69,0),FALSE),0),0)</f>
        <v>0</v>
      </c>
      <c r="AT528" s="57">
        <f t="shared" si="204"/>
        <v>0</v>
      </c>
      <c r="AU528" s="57">
        <f t="shared" si="205"/>
        <v>0</v>
      </c>
      <c r="AV528" s="58">
        <f>IFERROR(IF($V528="BRAND.com",HLOOKUP($X528&amp;$Z528,PLANNING_FC!$BB$27:$BP$46,MATCH($W528,PLANNING_FC!$BA$27:$BA$46,0),FALSE),0),0)</f>
        <v>0</v>
      </c>
      <c r="AW528" s="58">
        <f>IFERROR(IF($V528="BRAND.com",HLOOKUP($X528&amp;$Z528,PLANNING_FC!$BB$4:$BP$23,MATCH($W528,PLANNING_FC!$BA$4:$BA$23,0),FALSE),0),0)</f>
        <v>0</v>
      </c>
      <c r="AX528" s="58">
        <f>IFERROR(IF($V528="BRAND.com",HLOOKUP($X528&amp;$Z528,PLANNING_FC!$T$27:$AH$46,MATCH($W528,PLANNING_FC!$B$27:$B$46,0),FALSE),0),0)</f>
        <v>0</v>
      </c>
      <c r="AY528" s="58">
        <f>IFERROR(IF($V528="BRAND.com",HLOOKUP($X528&amp;$Z528,PLANNING_FC!$T$4:$AH$23,MATCH($W528,PLANNING_FC!$B$4:$B$23,0),FALSE),0),0)</f>
        <v>0</v>
      </c>
      <c r="AZ528" s="58">
        <f>IFERROR(IF($V528="BRAND.com",HLOOKUP($X528&amp;$Z528,PLANNING_FC!$DA$27:$DO$46,MATCH($W528,PLANNING_FC!$CZ$27:$CZ$46,0),FALSE),0),0)</f>
        <v>0</v>
      </c>
      <c r="BA528" s="58">
        <f>IFERROR(IF($V528="BRAND.com",HLOOKUP($X528&amp;$Z528,PLANNING_FC!$DA$4:$DO$23,MATCH($W528,PLANNING_FC!$CZ$4:$CZ$23,0),FALSE),0),0)</f>
        <v>0</v>
      </c>
      <c r="BB528" s="883" t="str">
        <f>IF(V528="BRAND.com",IFERROR(HLOOKUP(X528&amp;Z528,PLANNING_FC!$AK$4:$AY$23,MATCH(W528,PLANNING_FC!$AJ$4:$AJ$23,0),FALSE)*1000,""),"")</f>
        <v/>
      </c>
      <c r="BC528" s="883" t="str">
        <f>IF(V528="BRAND.com",IFERROR(HLOOKUP(X528&amp;Z528,PLANNING_FC!$AK$27:$AY$46,MATCH(W528,PLANNING_FC!$AJ$27:$AJ$46,0),FALSE)*1000,""),"")</f>
        <v/>
      </c>
    </row>
    <row r="529" spans="1:55" x14ac:dyDescent="0.25">
      <c r="A529" s="509"/>
      <c r="B529" s="509"/>
      <c r="C529" s="509"/>
      <c r="D529" s="509"/>
      <c r="E529" s="509"/>
      <c r="F529" s="509"/>
      <c r="G529" s="509"/>
      <c r="H529" s="509"/>
      <c r="I529" s="512"/>
      <c r="J529" s="513"/>
      <c r="K529" s="514"/>
      <c r="L529" s="515"/>
      <c r="M529" s="516"/>
      <c r="N529" s="56">
        <f t="shared" si="186"/>
        <v>0</v>
      </c>
      <c r="O529" s="57">
        <f t="shared" si="187"/>
        <v>0</v>
      </c>
      <c r="P529" s="57">
        <f ca="1">IFERROR(IF(ISBLANK(H529),SUMIFS($AC:$AC,$V:$V,V529,$W:$W,W529,$X:$X,X529,$Y:$Y,Y529)*J529/(1-J529)*VLOOKUP(_xlfn.CONCAT(C529,D529,E529,TIME!$M$12,Z529),HIS_SALES!$B$2:$W$4859,20,FALSE),AC529*J529/(1-J529)),0)</f>
        <v>0</v>
      </c>
      <c r="Q529" s="541" t="str">
        <f t="shared" si="188"/>
        <v/>
      </c>
      <c r="R529" s="346" t="str">
        <f t="shared" si="189"/>
        <v>00000</v>
      </c>
      <c r="S529" s="344">
        <f t="shared" si="190"/>
        <v>0</v>
      </c>
      <c r="T529" s="345" t="str">
        <f t="shared" si="203"/>
        <v>000</v>
      </c>
      <c r="U529" s="345">
        <f t="shared" si="191"/>
        <v>0</v>
      </c>
      <c r="V529" s="345">
        <f t="shared" si="192"/>
        <v>0</v>
      </c>
      <c r="W529" s="345">
        <f t="shared" si="193"/>
        <v>0</v>
      </c>
      <c r="X529" s="345">
        <f t="shared" si="194"/>
        <v>0</v>
      </c>
      <c r="Y529" s="345">
        <f t="shared" si="195"/>
        <v>0</v>
      </c>
      <c r="Z529" s="345">
        <f>IF(Q529&lt;&gt;"",VLOOKUP(Y529,TIME!$R$21:$V$24,MATCH(FC_DATA!Q529,TIME!$R$20:$V$20,0),FALSE),H529)</f>
        <v>0</v>
      </c>
      <c r="AA529" s="345" t="str">
        <f>IFERROR(VLOOKUP(X529&amp;Z529,TIME!$A$12:$D$71,4,FALSE),"")</f>
        <v/>
      </c>
      <c r="AB529" s="592">
        <f t="shared" ca="1" si="196"/>
        <v>0</v>
      </c>
      <c r="AC529" s="593" t="e">
        <f ca="1">IF(ISBLANK(H529)=FALSE,IF(D529="BRAND.com",I529,IF(ISNA(VLOOKUP(_xlfn.CONCAT(X529,Z529),TIME!$M$40:$M$42,1,FALSE)),I529,VLOOKUP(_xlfn.CONCAT(D529,G529,H529),M_BUSAREA_FC!$AF$5:$AJ$10,5,FALSE)*HLOOKUP(_xlfn.CONCAT(F529,H529),ST_OVERVIEW!$G$99:$I$130,MATCH(_xlfn.CONCAT(D529,E529),ST_OVERVIEW!$F$99:$F$130,0),FALSE))),IF(D529="BRAND.com",VLOOKUP(_xlfn.CONCAT(C529,D529,E529,TIME!$F$1,Z529),HIS_SALES!$B$2:$V$4859,19,FALSE)*I529,VLOOKUP(_xlfn.CONCAT(D529,F529,G529),Q_BUSAREA_FC!$AE$5:$AI$12,5,FALSE)*HLOOKUP(_xlfn.CONCAT(FC_DATA!F529,FC_DATA!G529),LT_OVERVIEW!$I$99:$M$130,MATCH(_xlfn.CONCAT(D529,FC_DATA!E529),LT_OVERVIEW!$H$99:$H$130,0),FALSE)*IFERROR(VLOOKUP(_xlfn.CONCAT(C529,D529,E529,TIME!$F$1,Z529),HIS_SALES!$B$2:$V$4859,19,FALSE),0)))</f>
        <v>#N/A</v>
      </c>
      <c r="AD529" s="341">
        <f t="shared" ca="1" si="197"/>
        <v>0</v>
      </c>
      <c r="AE529" s="363" t="str">
        <f t="shared" si="198"/>
        <v/>
      </c>
      <c r="AF529" s="342" t="str">
        <f t="shared" si="199"/>
        <v/>
      </c>
      <c r="AG529" s="411" t="e">
        <f ca="1">VLOOKUP(_xlfn.CONCAT(U529,V529,W529,VLOOKUP(X529&amp;Y529,TIME!$L$27:$O$34,4,FALSE),Y529),HIS_SALES!$A$2:$R$5093,18,FALSE)</f>
        <v>#N/A</v>
      </c>
      <c r="AH529" s="412" t="e">
        <f ca="1">IFERROR(IF(AND(V529=V528,W529=W528),0.5*(AB529+AB528)*AG529,(VLOOKUP(_xlfn.CONCAT(U529,V529,W529,X529,VLOOKUP(Z529,TIME!$S$28:$T$39,2,FALSE)),FC_DATA!$R$2:$AB$5000,MATCH("GS_I_M",FC_DATA!$R$1:$AB$1,0),FALSE)+FC_DATA!AB529)*0.5*FC_DATA!AG529),NA())</f>
        <v>#N/A</v>
      </c>
      <c r="AI529" s="491" t="e">
        <f ca="1">IF(V529="PARTNER.com",AH529,IF(AND(V529=V528,W529=W528),(1-AVERAGE(AD528,AD529))*AH529,(1-AVERAGE(AD529,VLOOKUP(_xlfn.CONCAT(U529,V529,W529,X529,M_BRAND_FC!$F$6),FC_DATA!$R$2:$AD$5000,MATCH("DISCOUNT_%_M",FC_DATA!$R$1:$AD$1,0),FALSE)))*AH529))</f>
        <v>#N/A</v>
      </c>
      <c r="AJ529" s="412" t="str">
        <f t="shared" ca="1" si="200"/>
        <v/>
      </c>
      <c r="AK529" s="413" t="str">
        <f>IFERROR(AE529/(Q_BRAND_FC!$T$24+1),"")</f>
        <v/>
      </c>
      <c r="AL529" s="88" t="str">
        <f t="shared" ca="1" si="201"/>
        <v/>
      </c>
      <c r="AM529" s="414" t="str">
        <f t="shared" ca="1" si="202"/>
        <v/>
      </c>
      <c r="AN529" s="58">
        <f>IFERROR(IF($V529="BRAND.com",HLOOKUP($X529&amp;$Z529,NWC_FC_NOOS!$C$4:$Q$23,MATCH(W529,NWC_FC_NOOS!$B$4:$B$23,0),FALSE),0),0)</f>
        <v>0</v>
      </c>
      <c r="AO529" s="57">
        <f>IFERROR(IF($V529="BRAND.com",HLOOKUP($X529&amp;$Z529,NWC_FC_NOOS!$T$4:$AH$23,MATCH(W529,NWC_FC_NOOS!$S$4:$S$23,0),FALSE),0),0)</f>
        <v>0</v>
      </c>
      <c r="AP529" s="57">
        <f>IFERROR(IF($V529="BRAND.com",HLOOKUP($X529&amp;$Z529,NWC_FC_NOOS!$C$50:$U$69,MATCH(W529,NWC_FC_NOOS!$B$50:$B$69,0),FALSE),0),0)</f>
        <v>0</v>
      </c>
      <c r="AQ529" s="58">
        <f>IFERROR(IF($V529="BRAND.com",HLOOKUP($X529&amp;$Z529,'NWC_FC_NON-NOOS'!$C$4:$Q$23,MATCH(W529,'NWC_FC_NON-NOOS'!$B$4:$B$23,0),FALSE),0),0)</f>
        <v>0</v>
      </c>
      <c r="AR529" s="57">
        <f>IFERROR(IF($V529="BRAND.com",HLOOKUP($X529&amp;$Z529,'NWC_FC_NON-NOOS'!$T$4:$AH$23,MATCH(W529,'NWC_FC_NON-NOOS'!$S$4:$S$23,0),FALSE),0),0)</f>
        <v>0</v>
      </c>
      <c r="AS529" s="57">
        <f>IFERROR(IF($V529="BRAND.com",HLOOKUP($X529&amp;$Z529,'NWC_FC_NON-NOOS'!$C$50:$U$69,MATCH(W529,'NWC_FC_NON-NOOS'!$B$50:$B$69,0),FALSE),0),0)</f>
        <v>0</v>
      </c>
      <c r="AT529" s="57">
        <f t="shared" si="204"/>
        <v>0</v>
      </c>
      <c r="AU529" s="57">
        <f t="shared" si="205"/>
        <v>0</v>
      </c>
      <c r="AV529" s="58">
        <f>IFERROR(IF($V529="BRAND.com",HLOOKUP($X529&amp;$Z529,PLANNING_FC!$BB$27:$BP$46,MATCH($W529,PLANNING_FC!$BA$27:$BA$46,0),FALSE),0),0)</f>
        <v>0</v>
      </c>
      <c r="AW529" s="58">
        <f>IFERROR(IF($V529="BRAND.com",HLOOKUP($X529&amp;$Z529,PLANNING_FC!$BB$4:$BP$23,MATCH($W529,PLANNING_FC!$BA$4:$BA$23,0),FALSE),0),0)</f>
        <v>0</v>
      </c>
      <c r="AX529" s="58">
        <f>IFERROR(IF($V529="BRAND.com",HLOOKUP($X529&amp;$Z529,PLANNING_FC!$T$27:$AH$46,MATCH($W529,PLANNING_FC!$B$27:$B$46,0),FALSE),0),0)</f>
        <v>0</v>
      </c>
      <c r="AY529" s="58">
        <f>IFERROR(IF($V529="BRAND.com",HLOOKUP($X529&amp;$Z529,PLANNING_FC!$T$4:$AH$23,MATCH($W529,PLANNING_FC!$B$4:$B$23,0),FALSE),0),0)</f>
        <v>0</v>
      </c>
      <c r="AZ529" s="58">
        <f>IFERROR(IF($V529="BRAND.com",HLOOKUP($X529&amp;$Z529,PLANNING_FC!$DA$27:$DO$46,MATCH($W529,PLANNING_FC!$CZ$27:$CZ$46,0),FALSE),0),0)</f>
        <v>0</v>
      </c>
      <c r="BA529" s="58">
        <f>IFERROR(IF($V529="BRAND.com",HLOOKUP($X529&amp;$Z529,PLANNING_FC!$DA$4:$DO$23,MATCH($W529,PLANNING_FC!$CZ$4:$CZ$23,0),FALSE),0),0)</f>
        <v>0</v>
      </c>
      <c r="BB529" s="883" t="str">
        <f>IF(V529="BRAND.com",IFERROR(HLOOKUP(X529&amp;Z529,PLANNING_FC!$AK$4:$AY$23,MATCH(W529,PLANNING_FC!$AJ$4:$AJ$23,0),FALSE)*1000,""),"")</f>
        <v/>
      </c>
      <c r="BC529" s="883" t="str">
        <f>IF(V529="BRAND.com",IFERROR(HLOOKUP(X529&amp;Z529,PLANNING_FC!$AK$27:$AY$46,MATCH(W529,PLANNING_FC!$AJ$27:$AJ$46,0),FALSE)*1000,""),"")</f>
        <v/>
      </c>
    </row>
    <row r="530" spans="1:55" x14ac:dyDescent="0.25">
      <c r="A530" s="509"/>
      <c r="B530" s="509"/>
      <c r="C530" s="509"/>
      <c r="D530" s="509"/>
      <c r="E530" s="509"/>
      <c r="F530" s="509"/>
      <c r="G530" s="511"/>
      <c r="H530" s="509"/>
      <c r="I530" s="512"/>
      <c r="J530" s="513"/>
      <c r="K530" s="514"/>
      <c r="L530" s="515"/>
      <c r="M530" s="516"/>
      <c r="N530" s="56">
        <f t="shared" ref="N530:N561" si="206">IFERROR(I530/(1-J530)*J530,0)</f>
        <v>0</v>
      </c>
      <c r="O530" s="57">
        <f t="shared" ref="O530:O561" si="207">IFERROR(I530+N530,0)</f>
        <v>0</v>
      </c>
      <c r="P530" s="57">
        <f ca="1">IFERROR(IF(ISBLANK(H530),SUMIFS($AC:$AC,$V:$V,V530,$W:$W,W530,$X:$X,X530,$Y:$Y,Y530)*J530/(1-J530)*VLOOKUP(_xlfn.CONCAT(C530,D530,E530,TIME!$M$12,Z530),HIS_SALES!$B$2:$W$4859,20,FALSE),AC530*J530/(1-J530)),0)</f>
        <v>0</v>
      </c>
      <c r="Q530" s="541" t="str">
        <f t="shared" ref="Q530:Q561" si="208">IF(AND(A530&lt;&gt;"",H530=""),IF(A530=A529,Q529+1,1),"")</f>
        <v/>
      </c>
      <c r="R530" s="346" t="str">
        <f t="shared" si="189"/>
        <v>00000</v>
      </c>
      <c r="S530" s="344">
        <f t="shared" ref="S530:S561" si="209">B530</f>
        <v>0</v>
      </c>
      <c r="T530" s="345" t="str">
        <f t="shared" si="203"/>
        <v>000</v>
      </c>
      <c r="U530" s="345">
        <f t="shared" ref="U530:U561" si="210">C530</f>
        <v>0</v>
      </c>
      <c r="V530" s="345">
        <f t="shared" ref="V530:V561" si="211">D530</f>
        <v>0</v>
      </c>
      <c r="W530" s="345">
        <f t="shared" ref="W530:W561" si="212">E530</f>
        <v>0</v>
      </c>
      <c r="X530" s="345">
        <f t="shared" ref="X530:X561" si="213">F530</f>
        <v>0</v>
      </c>
      <c r="Y530" s="345">
        <f t="shared" ref="Y530:Y561" si="214">G530</f>
        <v>0</v>
      </c>
      <c r="Z530" s="345">
        <f>IF(Q530&lt;&gt;"",VLOOKUP(Y530,TIME!$R$21:$V$24,MATCH(FC_DATA!Q530,TIME!$R$20:$V$20,0),FALSE),H530)</f>
        <v>0</v>
      </c>
      <c r="AA530" s="345" t="str">
        <f>IFERROR(VLOOKUP(X530&amp;Z530,TIME!$A$12:$D$71,4,FALSE),"")</f>
        <v/>
      </c>
      <c r="AB530" s="592">
        <f t="shared" ca="1" si="196"/>
        <v>0</v>
      </c>
      <c r="AC530" s="593" t="e">
        <f ca="1">IF(ISBLANK(H530)=FALSE,IF(D530="BRAND.com",I530,IF(ISNA(VLOOKUP(_xlfn.CONCAT(X530,Z530),TIME!$M$40:$M$42,1,FALSE)),I530,VLOOKUP(_xlfn.CONCAT(D530,G530,H530),M_BUSAREA_FC!$AF$5:$AJ$10,5,FALSE)*HLOOKUP(_xlfn.CONCAT(F530,H530),ST_OVERVIEW!$G$99:$I$130,MATCH(_xlfn.CONCAT(D530,E530),ST_OVERVIEW!$F$99:$F$130,0),FALSE))),IF(D530="BRAND.com",VLOOKUP(_xlfn.CONCAT(C530,D530,E530,TIME!$F$1,Z530),HIS_SALES!$B$2:$V$4859,19,FALSE)*I530,VLOOKUP(_xlfn.CONCAT(D530,F530,G530),Q_BUSAREA_FC!$AE$5:$AI$12,5,FALSE)*HLOOKUP(_xlfn.CONCAT(FC_DATA!F530,FC_DATA!G530),LT_OVERVIEW!$I$99:$M$130,MATCH(_xlfn.CONCAT(D530,FC_DATA!E530),LT_OVERVIEW!$H$99:$H$130,0),FALSE)*IFERROR(VLOOKUP(_xlfn.CONCAT(C530,D530,E530,TIME!$F$1,Z530),HIS_SALES!$B$2:$V$4859,19,FALSE),0)))</f>
        <v>#N/A</v>
      </c>
      <c r="AD530" s="341">
        <f t="shared" ref="AD530:AD561" ca="1" si="215">IFERROR(IF(D530="PARTNER.com",0,1-AC530/AB530),0)</f>
        <v>0</v>
      </c>
      <c r="AE530" s="363" t="str">
        <f t="shared" ref="AE530:AE561" si="216">IF(A530&lt;&gt;"",K530,"")</f>
        <v/>
      </c>
      <c r="AF530" s="342" t="str">
        <f t="shared" ref="AF530:AF561" si="217">IF(B530&lt;&gt;"",M530,"")</f>
        <v/>
      </c>
      <c r="AG530" s="411" t="e">
        <f ca="1">VLOOKUP(_xlfn.CONCAT(U530,V530,W530,VLOOKUP(X530&amp;Y530,TIME!$L$27:$O$34,4,FALSE),Y530),HIS_SALES!$A$2:$R$5093,18,FALSE)</f>
        <v>#N/A</v>
      </c>
      <c r="AH530" s="412" t="e">
        <f ca="1">IFERROR(IF(AND(V530=V529,W530=W529),0.5*(AB530+AB529)*AG530,(VLOOKUP(_xlfn.CONCAT(U530,V530,W530,X530,VLOOKUP(Z530,TIME!$S$28:$T$39,2,FALSE)),FC_DATA!$R$2:$AB$5000,MATCH("GS_I_M",FC_DATA!$R$1:$AB$1,0),FALSE)+FC_DATA!AB530)*0.5*FC_DATA!AG530),NA())</f>
        <v>#N/A</v>
      </c>
      <c r="AI530" s="491" t="e">
        <f ca="1">IF(V530="PARTNER.com",AH530,IF(AND(V530=V529,W530=W529),(1-AVERAGE(AD529,AD530))*AH530,(1-AVERAGE(AD530,VLOOKUP(_xlfn.CONCAT(U530,V530,W530,X530,M_BRAND_FC!$F$6),FC_DATA!$R$2:$AD$5000,MATCH("DISCOUNT_%_M",FC_DATA!$R$1:$AD$1,0),FALSE)))*AH530))</f>
        <v>#N/A</v>
      </c>
      <c r="AJ530" s="412" t="str">
        <f t="shared" ca="1" si="200"/>
        <v/>
      </c>
      <c r="AK530" s="413" t="str">
        <f>IFERROR(AE530/(Q_BRAND_FC!$T$24+1),"")</f>
        <v/>
      </c>
      <c r="AL530" s="88" t="str">
        <f t="shared" ca="1" si="201"/>
        <v/>
      </c>
      <c r="AM530" s="414" t="str">
        <f t="shared" ca="1" si="202"/>
        <v/>
      </c>
      <c r="AN530" s="58">
        <f>IFERROR(IF($V530="BRAND.com",HLOOKUP($X530&amp;$Z530,NWC_FC_NOOS!$C$4:$Q$23,MATCH(W530,NWC_FC_NOOS!$B$4:$B$23,0),FALSE),0),0)</f>
        <v>0</v>
      </c>
      <c r="AO530" s="57">
        <f>IFERROR(IF($V530="BRAND.com",HLOOKUP($X530&amp;$Z530,NWC_FC_NOOS!$T$4:$AH$23,MATCH(W530,NWC_FC_NOOS!$S$4:$S$23,0),FALSE),0),0)</f>
        <v>0</v>
      </c>
      <c r="AP530" s="57">
        <f>IFERROR(IF($V530="BRAND.com",HLOOKUP($X530&amp;$Z530,NWC_FC_NOOS!$C$50:$U$69,MATCH(W530,NWC_FC_NOOS!$B$50:$B$69,0),FALSE),0),0)</f>
        <v>0</v>
      </c>
      <c r="AQ530" s="58">
        <f>IFERROR(IF($V530="BRAND.com",HLOOKUP($X530&amp;$Z530,'NWC_FC_NON-NOOS'!$C$4:$Q$23,MATCH(W530,'NWC_FC_NON-NOOS'!$B$4:$B$23,0),FALSE),0),0)</f>
        <v>0</v>
      </c>
      <c r="AR530" s="57">
        <f>IFERROR(IF($V530="BRAND.com",HLOOKUP($X530&amp;$Z530,'NWC_FC_NON-NOOS'!$T$4:$AH$23,MATCH(W530,'NWC_FC_NON-NOOS'!$S$4:$S$23,0),FALSE),0),0)</f>
        <v>0</v>
      </c>
      <c r="AS530" s="57">
        <f>IFERROR(IF($V530="BRAND.com",HLOOKUP($X530&amp;$Z530,'NWC_FC_NON-NOOS'!$C$50:$U$69,MATCH(W530,'NWC_FC_NON-NOOS'!$B$50:$B$69,0),FALSE),0),0)</f>
        <v>0</v>
      </c>
      <c r="AT530" s="57">
        <f t="shared" si="204"/>
        <v>0</v>
      </c>
      <c r="AU530" s="57">
        <f t="shared" si="205"/>
        <v>0</v>
      </c>
      <c r="AV530" s="58">
        <f>IFERROR(IF($V530="BRAND.com",HLOOKUP($X530&amp;$Z530,PLANNING_FC!$BB$27:$BP$46,MATCH($W530,PLANNING_FC!$BA$27:$BA$46,0),FALSE),0),0)</f>
        <v>0</v>
      </c>
      <c r="AW530" s="58">
        <f>IFERROR(IF($V530="BRAND.com",HLOOKUP($X530&amp;$Z530,PLANNING_FC!$BB$4:$BP$23,MATCH($W530,PLANNING_FC!$BA$4:$BA$23,0),FALSE),0),0)</f>
        <v>0</v>
      </c>
      <c r="AX530" s="58">
        <f>IFERROR(IF($V530="BRAND.com",HLOOKUP($X530&amp;$Z530,PLANNING_FC!$T$27:$AH$46,MATCH($W530,PLANNING_FC!$B$27:$B$46,0),FALSE),0),0)</f>
        <v>0</v>
      </c>
      <c r="AY530" s="58">
        <f>IFERROR(IF($V530="BRAND.com",HLOOKUP($X530&amp;$Z530,PLANNING_FC!$T$4:$AH$23,MATCH($W530,PLANNING_FC!$B$4:$B$23,0),FALSE),0),0)</f>
        <v>0</v>
      </c>
      <c r="AZ530" s="58">
        <f>IFERROR(IF($V530="BRAND.com",HLOOKUP($X530&amp;$Z530,PLANNING_FC!$DA$27:$DO$46,MATCH($W530,PLANNING_FC!$CZ$27:$CZ$46,0),FALSE),0),0)</f>
        <v>0</v>
      </c>
      <c r="BA530" s="58">
        <f>IFERROR(IF($V530="BRAND.com",HLOOKUP($X530&amp;$Z530,PLANNING_FC!$DA$4:$DO$23,MATCH($W530,PLANNING_FC!$CZ$4:$CZ$23,0),FALSE),0),0)</f>
        <v>0</v>
      </c>
      <c r="BB530" s="883" t="str">
        <f>IF(V530="BRAND.com",IFERROR(HLOOKUP(X530&amp;Z530,PLANNING_FC!$AK$4:$AY$23,MATCH(W530,PLANNING_FC!$AJ$4:$AJ$23,0),FALSE)*1000,""),"")</f>
        <v/>
      </c>
      <c r="BC530" s="883" t="str">
        <f>IF(V530="BRAND.com",IFERROR(HLOOKUP(X530&amp;Z530,PLANNING_FC!$AK$27:$AY$46,MATCH(W530,PLANNING_FC!$AJ$27:$AJ$46,0),FALSE)*1000,""),"")</f>
        <v/>
      </c>
    </row>
    <row r="531" spans="1:55" x14ac:dyDescent="0.25">
      <c r="A531" s="509"/>
      <c r="B531" s="509"/>
      <c r="C531" s="509"/>
      <c r="D531" s="509"/>
      <c r="E531" s="509"/>
      <c r="F531" s="509"/>
      <c r="G531" s="509"/>
      <c r="H531" s="509"/>
      <c r="I531" s="512"/>
      <c r="J531" s="513"/>
      <c r="K531" s="514"/>
      <c r="L531" s="515"/>
      <c r="M531" s="516"/>
      <c r="N531" s="56">
        <f t="shared" si="206"/>
        <v>0</v>
      </c>
      <c r="O531" s="57">
        <f t="shared" si="207"/>
        <v>0</v>
      </c>
      <c r="P531" s="57">
        <f ca="1">IFERROR(IF(ISBLANK(H531),SUMIFS($AC:$AC,$V:$V,V531,$W:$W,W531,$X:$X,X531,$Y:$Y,Y531)*J531/(1-J531)*VLOOKUP(_xlfn.CONCAT(C531,D531,E531,TIME!$M$12,Z531),HIS_SALES!$B$2:$W$4859,20,FALSE),AC531*J531/(1-J531)),0)</f>
        <v>0</v>
      </c>
      <c r="Q531" s="541" t="str">
        <f t="shared" si="208"/>
        <v/>
      </c>
      <c r="R531" s="346" t="str">
        <f t="shared" si="189"/>
        <v>00000</v>
      </c>
      <c r="S531" s="344">
        <f t="shared" si="209"/>
        <v>0</v>
      </c>
      <c r="T531" s="345" t="str">
        <f t="shared" si="203"/>
        <v>000</v>
      </c>
      <c r="U531" s="345">
        <f t="shared" si="210"/>
        <v>0</v>
      </c>
      <c r="V531" s="345">
        <f t="shared" si="211"/>
        <v>0</v>
      </c>
      <c r="W531" s="345">
        <f t="shared" si="212"/>
        <v>0</v>
      </c>
      <c r="X531" s="345">
        <f t="shared" si="213"/>
        <v>0</v>
      </c>
      <c r="Y531" s="345">
        <f t="shared" si="214"/>
        <v>0</v>
      </c>
      <c r="Z531" s="345">
        <f>IF(Q531&lt;&gt;"",VLOOKUP(Y531,TIME!$R$21:$V$24,MATCH(FC_DATA!Q531,TIME!$R$20:$V$20,0),FALSE),H531)</f>
        <v>0</v>
      </c>
      <c r="AA531" s="345" t="str">
        <f>IFERROR(VLOOKUP(X531&amp;Z531,TIME!$A$12:$D$71,4,FALSE),"")</f>
        <v/>
      </c>
      <c r="AB531" s="592">
        <f t="shared" ca="1" si="196"/>
        <v>0</v>
      </c>
      <c r="AC531" s="593" t="e">
        <f ca="1">IF(ISBLANK(H531)=FALSE,IF(D531="BRAND.com",I531,IF(ISNA(VLOOKUP(_xlfn.CONCAT(X531,Z531),TIME!$M$40:$M$42,1,FALSE)),I531,VLOOKUP(_xlfn.CONCAT(D531,G531,H531),M_BUSAREA_FC!$AF$5:$AJ$10,5,FALSE)*HLOOKUP(_xlfn.CONCAT(F531,H531),ST_OVERVIEW!$G$99:$I$130,MATCH(_xlfn.CONCAT(D531,E531),ST_OVERVIEW!$F$99:$F$130,0),FALSE))),IF(D531="BRAND.com",VLOOKUP(_xlfn.CONCAT(C531,D531,E531,TIME!$F$1,Z531),HIS_SALES!$B$2:$V$4859,19,FALSE)*I531,VLOOKUP(_xlfn.CONCAT(D531,F531,G531),Q_BUSAREA_FC!$AE$5:$AI$12,5,FALSE)*HLOOKUP(_xlfn.CONCAT(FC_DATA!F531,FC_DATA!G531),LT_OVERVIEW!$I$99:$M$130,MATCH(_xlfn.CONCAT(D531,FC_DATA!E531),LT_OVERVIEW!$H$99:$H$130,0),FALSE)*IFERROR(VLOOKUP(_xlfn.CONCAT(C531,D531,E531,TIME!$F$1,Z531),HIS_SALES!$B$2:$V$4859,19,FALSE),0)))</f>
        <v>#N/A</v>
      </c>
      <c r="AD531" s="341">
        <f t="shared" ca="1" si="215"/>
        <v>0</v>
      </c>
      <c r="AE531" s="363" t="str">
        <f t="shared" si="216"/>
        <v/>
      </c>
      <c r="AF531" s="342" t="str">
        <f t="shared" si="217"/>
        <v/>
      </c>
      <c r="AG531" s="411" t="e">
        <f ca="1">VLOOKUP(_xlfn.CONCAT(U531,V531,W531,VLOOKUP(X531&amp;Y531,TIME!$L$27:$O$34,4,FALSE),Y531),HIS_SALES!$A$2:$R$5093,18,FALSE)</f>
        <v>#N/A</v>
      </c>
      <c r="AH531" s="412" t="e">
        <f ca="1">IFERROR(IF(AND(V531=V530,W531=W530),0.5*(AB531+AB530)*AG531,(VLOOKUP(_xlfn.CONCAT(U531,V531,W531,X531,VLOOKUP(Z531,TIME!$S$28:$T$39,2,FALSE)),FC_DATA!$R$2:$AB$5000,MATCH("GS_I_M",FC_DATA!$R$1:$AB$1,0),FALSE)+FC_DATA!AB531)*0.5*FC_DATA!AG531),NA())</f>
        <v>#N/A</v>
      </c>
      <c r="AI531" s="491" t="e">
        <f ca="1">IF(V531="PARTNER.com",AH531,IF(AND(V531=V530,W531=W530),(1-AVERAGE(AD530,AD531))*AH531,(1-AVERAGE(AD531,VLOOKUP(_xlfn.CONCAT(U531,V531,W531,X531,M_BRAND_FC!$F$6),FC_DATA!$R$2:$AD$5000,MATCH("DISCOUNT_%_M",FC_DATA!$R$1:$AD$1,0),FALSE)))*AH531))</f>
        <v>#N/A</v>
      </c>
      <c r="AJ531" s="412" t="str">
        <f t="shared" ca="1" si="200"/>
        <v/>
      </c>
      <c r="AK531" s="413" t="str">
        <f>IFERROR(AE531/(Q_BRAND_FC!$T$24+1),"")</f>
        <v/>
      </c>
      <c r="AL531" s="88" t="str">
        <f t="shared" ca="1" si="201"/>
        <v/>
      </c>
      <c r="AM531" s="414" t="str">
        <f t="shared" ca="1" si="202"/>
        <v/>
      </c>
      <c r="AN531" s="58">
        <f>IFERROR(IF($V531="BRAND.com",HLOOKUP($X531&amp;$Z531,NWC_FC_NOOS!$C$4:$Q$23,MATCH(W531,NWC_FC_NOOS!$B$4:$B$23,0),FALSE),0),0)</f>
        <v>0</v>
      </c>
      <c r="AO531" s="57">
        <f>IFERROR(IF($V531="BRAND.com",HLOOKUP($X531&amp;$Z531,NWC_FC_NOOS!$T$4:$AH$23,MATCH(W531,NWC_FC_NOOS!$S$4:$S$23,0),FALSE),0),0)</f>
        <v>0</v>
      </c>
      <c r="AP531" s="57">
        <f>IFERROR(IF($V531="BRAND.com",HLOOKUP($X531&amp;$Z531,NWC_FC_NOOS!$C$50:$U$69,MATCH(W531,NWC_FC_NOOS!$B$50:$B$69,0),FALSE),0),0)</f>
        <v>0</v>
      </c>
      <c r="AQ531" s="58">
        <f>IFERROR(IF($V531="BRAND.com",HLOOKUP($X531&amp;$Z531,'NWC_FC_NON-NOOS'!$C$4:$Q$23,MATCH(W531,'NWC_FC_NON-NOOS'!$B$4:$B$23,0),FALSE),0),0)</f>
        <v>0</v>
      </c>
      <c r="AR531" s="57">
        <f>IFERROR(IF($V531="BRAND.com",HLOOKUP($X531&amp;$Z531,'NWC_FC_NON-NOOS'!$T$4:$AH$23,MATCH(W531,'NWC_FC_NON-NOOS'!$S$4:$S$23,0),FALSE),0),0)</f>
        <v>0</v>
      </c>
      <c r="AS531" s="57">
        <f>IFERROR(IF($V531="BRAND.com",HLOOKUP($X531&amp;$Z531,'NWC_FC_NON-NOOS'!$C$50:$U$69,MATCH(W531,'NWC_FC_NON-NOOS'!$B$50:$B$69,0),FALSE),0),0)</f>
        <v>0</v>
      </c>
      <c r="AT531" s="57">
        <f t="shared" si="204"/>
        <v>0</v>
      </c>
      <c r="AU531" s="57">
        <f t="shared" si="205"/>
        <v>0</v>
      </c>
      <c r="AV531" s="58">
        <f>IFERROR(IF($V531="BRAND.com",HLOOKUP($X531&amp;$Z531,PLANNING_FC!$BB$27:$BP$46,MATCH($W531,PLANNING_FC!$BA$27:$BA$46,0),FALSE),0),0)</f>
        <v>0</v>
      </c>
      <c r="AW531" s="58">
        <f>IFERROR(IF($V531="BRAND.com",HLOOKUP($X531&amp;$Z531,PLANNING_FC!$BB$4:$BP$23,MATCH($W531,PLANNING_FC!$BA$4:$BA$23,0),FALSE),0),0)</f>
        <v>0</v>
      </c>
      <c r="AX531" s="58">
        <f>IFERROR(IF($V531="BRAND.com",HLOOKUP($X531&amp;$Z531,PLANNING_FC!$T$27:$AH$46,MATCH($W531,PLANNING_FC!$B$27:$B$46,0),FALSE),0),0)</f>
        <v>0</v>
      </c>
      <c r="AY531" s="58">
        <f>IFERROR(IF($V531="BRAND.com",HLOOKUP($X531&amp;$Z531,PLANNING_FC!$T$4:$AH$23,MATCH($W531,PLANNING_FC!$B$4:$B$23,0),FALSE),0),0)</f>
        <v>0</v>
      </c>
      <c r="AZ531" s="58">
        <f>IFERROR(IF($V531="BRAND.com",HLOOKUP($X531&amp;$Z531,PLANNING_FC!$DA$27:$DO$46,MATCH($W531,PLANNING_FC!$CZ$27:$CZ$46,0),FALSE),0),0)</f>
        <v>0</v>
      </c>
      <c r="BA531" s="58">
        <f>IFERROR(IF($V531="BRAND.com",HLOOKUP($X531&amp;$Z531,PLANNING_FC!$DA$4:$DO$23,MATCH($W531,PLANNING_FC!$CZ$4:$CZ$23,0),FALSE),0),0)</f>
        <v>0</v>
      </c>
      <c r="BB531" s="883" t="str">
        <f>IF(V531="BRAND.com",IFERROR(HLOOKUP(X531&amp;Z531,PLANNING_FC!$AK$4:$AY$23,MATCH(W531,PLANNING_FC!$AJ$4:$AJ$23,0),FALSE)*1000,""),"")</f>
        <v/>
      </c>
      <c r="BC531" s="883" t="str">
        <f>IF(V531="BRAND.com",IFERROR(HLOOKUP(X531&amp;Z531,PLANNING_FC!$AK$27:$AY$46,MATCH(W531,PLANNING_FC!$AJ$27:$AJ$46,0),FALSE)*1000,""),"")</f>
        <v/>
      </c>
    </row>
    <row r="532" spans="1:55" x14ac:dyDescent="0.25">
      <c r="A532" s="509"/>
      <c r="B532" s="509"/>
      <c r="C532" s="509"/>
      <c r="D532" s="509"/>
      <c r="E532" s="509"/>
      <c r="F532" s="509"/>
      <c r="G532" s="509"/>
      <c r="H532" s="509"/>
      <c r="I532" s="512"/>
      <c r="J532" s="513"/>
      <c r="K532" s="514"/>
      <c r="L532" s="515"/>
      <c r="M532" s="516"/>
      <c r="N532" s="56">
        <f t="shared" si="206"/>
        <v>0</v>
      </c>
      <c r="O532" s="57">
        <f t="shared" si="207"/>
        <v>0</v>
      </c>
      <c r="P532" s="57">
        <f ca="1">IFERROR(IF(ISBLANK(H532),SUMIFS($AC:$AC,$V:$V,V532,$W:$W,W532,$X:$X,X532,$Y:$Y,Y532)*J532/(1-J532)*VLOOKUP(_xlfn.CONCAT(C532,D532,E532,TIME!$M$12,Z532),HIS_SALES!$B$2:$W$4859,20,FALSE),AC532*J532/(1-J532)),0)</f>
        <v>0</v>
      </c>
      <c r="Q532" s="541" t="str">
        <f t="shared" si="208"/>
        <v/>
      </c>
      <c r="R532" s="346" t="str">
        <f t="shared" si="189"/>
        <v>00000</v>
      </c>
      <c r="S532" s="344">
        <f t="shared" si="209"/>
        <v>0</v>
      </c>
      <c r="T532" s="345" t="str">
        <f t="shared" si="203"/>
        <v>000</v>
      </c>
      <c r="U532" s="345">
        <f t="shared" si="210"/>
        <v>0</v>
      </c>
      <c r="V532" s="345">
        <f t="shared" si="211"/>
        <v>0</v>
      </c>
      <c r="W532" s="345">
        <f t="shared" si="212"/>
        <v>0</v>
      </c>
      <c r="X532" s="345">
        <f t="shared" si="213"/>
        <v>0</v>
      </c>
      <c r="Y532" s="345">
        <f t="shared" si="214"/>
        <v>0</v>
      </c>
      <c r="Z532" s="345">
        <f>IF(Q532&lt;&gt;"",VLOOKUP(Y532,TIME!$R$21:$V$24,MATCH(FC_DATA!Q532,TIME!$R$20:$V$20,0),FALSE),H532)</f>
        <v>0</v>
      </c>
      <c r="AA532" s="345" t="str">
        <f>IFERROR(VLOOKUP(X532&amp;Z532,TIME!$A$12:$D$71,4,FALSE),"")</f>
        <v/>
      </c>
      <c r="AB532" s="592">
        <f t="shared" ca="1" si="196"/>
        <v>0</v>
      </c>
      <c r="AC532" s="593" t="e">
        <f ca="1">IF(ISBLANK(H532)=FALSE,IF(D532="BRAND.com",I532,IF(ISNA(VLOOKUP(_xlfn.CONCAT(X532,Z532),TIME!$M$40:$M$42,1,FALSE)),I532,VLOOKUP(_xlfn.CONCAT(D532,G532,H532),M_BUSAREA_FC!$AF$5:$AJ$10,5,FALSE)*HLOOKUP(_xlfn.CONCAT(F532,H532),ST_OVERVIEW!$G$99:$I$130,MATCH(_xlfn.CONCAT(D532,E532),ST_OVERVIEW!$F$99:$F$130,0),FALSE))),IF(D532="BRAND.com",VLOOKUP(_xlfn.CONCAT(C532,D532,E532,TIME!$F$1,Z532),HIS_SALES!$B$2:$V$4859,19,FALSE)*I532,VLOOKUP(_xlfn.CONCAT(D532,F532,G532),Q_BUSAREA_FC!$AE$5:$AI$12,5,FALSE)*HLOOKUP(_xlfn.CONCAT(FC_DATA!F532,FC_DATA!G532),LT_OVERVIEW!$I$99:$M$130,MATCH(_xlfn.CONCAT(D532,FC_DATA!E532),LT_OVERVIEW!$H$99:$H$130,0),FALSE)*IFERROR(VLOOKUP(_xlfn.CONCAT(C532,D532,E532,TIME!$F$1,Z532),HIS_SALES!$B$2:$V$4859,19,FALSE),0)))</f>
        <v>#N/A</v>
      </c>
      <c r="AD532" s="341">
        <f t="shared" ca="1" si="215"/>
        <v>0</v>
      </c>
      <c r="AE532" s="363" t="str">
        <f t="shared" si="216"/>
        <v/>
      </c>
      <c r="AF532" s="342" t="str">
        <f t="shared" si="217"/>
        <v/>
      </c>
      <c r="AG532" s="411" t="e">
        <f ca="1">VLOOKUP(_xlfn.CONCAT(U532,V532,W532,VLOOKUP(X532&amp;Y532,TIME!$L$27:$O$34,4,FALSE),Y532),HIS_SALES!$A$2:$R$5093,18,FALSE)</f>
        <v>#N/A</v>
      </c>
      <c r="AH532" s="412" t="e">
        <f ca="1">IFERROR(IF(AND(V532=V531,W532=W531),0.5*(AB532+AB531)*AG532,(VLOOKUP(_xlfn.CONCAT(U532,V532,W532,X532,VLOOKUP(Z532,TIME!$S$28:$T$39,2,FALSE)),FC_DATA!$R$2:$AB$5000,MATCH("GS_I_M",FC_DATA!$R$1:$AB$1,0),FALSE)+FC_DATA!AB532)*0.5*FC_DATA!AG532),NA())</f>
        <v>#N/A</v>
      </c>
      <c r="AI532" s="491" t="e">
        <f ca="1">IF(V532="PARTNER.com",AH532,IF(AND(V532=V531,W532=W531),(1-AVERAGE(AD531,AD532))*AH532,(1-AVERAGE(AD532,VLOOKUP(_xlfn.CONCAT(U532,V532,W532,X532,M_BRAND_FC!$F$6),FC_DATA!$R$2:$AD$5000,MATCH("DISCOUNT_%_M",FC_DATA!$R$1:$AD$1,0),FALSE)))*AH532))</f>
        <v>#N/A</v>
      </c>
      <c r="AJ532" s="412" t="str">
        <f t="shared" ca="1" si="200"/>
        <v/>
      </c>
      <c r="AK532" s="413" t="str">
        <f>IFERROR(AE532/(Q_BRAND_FC!$T$24+1),"")</f>
        <v/>
      </c>
      <c r="AL532" s="88" t="str">
        <f t="shared" ca="1" si="201"/>
        <v/>
      </c>
      <c r="AM532" s="414" t="str">
        <f t="shared" ca="1" si="202"/>
        <v/>
      </c>
      <c r="AN532" s="58">
        <f>IFERROR(IF($V532="BRAND.com",HLOOKUP($X532&amp;$Z532,NWC_FC_NOOS!$C$4:$Q$23,MATCH(W532,NWC_FC_NOOS!$B$4:$B$23,0),FALSE),0),0)</f>
        <v>0</v>
      </c>
      <c r="AO532" s="57">
        <f>IFERROR(IF($V532="BRAND.com",HLOOKUP($X532&amp;$Z532,NWC_FC_NOOS!$T$4:$AH$23,MATCH(W532,NWC_FC_NOOS!$S$4:$S$23,0),FALSE),0),0)</f>
        <v>0</v>
      </c>
      <c r="AP532" s="57">
        <f>IFERROR(IF($V532="BRAND.com",HLOOKUP($X532&amp;$Z532,NWC_FC_NOOS!$C$50:$U$69,MATCH(W532,NWC_FC_NOOS!$B$50:$B$69,0),FALSE),0),0)</f>
        <v>0</v>
      </c>
      <c r="AQ532" s="58">
        <f>IFERROR(IF($V532="BRAND.com",HLOOKUP($X532&amp;$Z532,'NWC_FC_NON-NOOS'!$C$4:$Q$23,MATCH(W532,'NWC_FC_NON-NOOS'!$B$4:$B$23,0),FALSE),0),0)</f>
        <v>0</v>
      </c>
      <c r="AR532" s="57">
        <f>IFERROR(IF($V532="BRAND.com",HLOOKUP($X532&amp;$Z532,'NWC_FC_NON-NOOS'!$T$4:$AH$23,MATCH(W532,'NWC_FC_NON-NOOS'!$S$4:$S$23,0),FALSE),0),0)</f>
        <v>0</v>
      </c>
      <c r="AS532" s="57">
        <f>IFERROR(IF($V532="BRAND.com",HLOOKUP($X532&amp;$Z532,'NWC_FC_NON-NOOS'!$C$50:$U$69,MATCH(W532,'NWC_FC_NON-NOOS'!$B$50:$B$69,0),FALSE),0),0)</f>
        <v>0</v>
      </c>
      <c r="AT532" s="57">
        <f t="shared" si="204"/>
        <v>0</v>
      </c>
      <c r="AU532" s="57">
        <f t="shared" si="205"/>
        <v>0</v>
      </c>
      <c r="AV532" s="58">
        <f>IFERROR(IF($V532="BRAND.com",HLOOKUP($X532&amp;$Z532,PLANNING_FC!$BB$27:$BP$46,MATCH($W532,PLANNING_FC!$BA$27:$BA$46,0),FALSE),0),0)</f>
        <v>0</v>
      </c>
      <c r="AW532" s="58">
        <f>IFERROR(IF($V532="BRAND.com",HLOOKUP($X532&amp;$Z532,PLANNING_FC!$BB$4:$BP$23,MATCH($W532,PLANNING_FC!$BA$4:$BA$23,0),FALSE),0),0)</f>
        <v>0</v>
      </c>
      <c r="AX532" s="58">
        <f>IFERROR(IF($V532="BRAND.com",HLOOKUP($X532&amp;$Z532,PLANNING_FC!$T$27:$AH$46,MATCH($W532,PLANNING_FC!$B$27:$B$46,0),FALSE),0),0)</f>
        <v>0</v>
      </c>
      <c r="AY532" s="58">
        <f>IFERROR(IF($V532="BRAND.com",HLOOKUP($X532&amp;$Z532,PLANNING_FC!$T$4:$AH$23,MATCH($W532,PLANNING_FC!$B$4:$B$23,0),FALSE),0),0)</f>
        <v>0</v>
      </c>
      <c r="AZ532" s="58">
        <f>IFERROR(IF($V532="BRAND.com",HLOOKUP($X532&amp;$Z532,PLANNING_FC!$DA$27:$DO$46,MATCH($W532,PLANNING_FC!$CZ$27:$CZ$46,0),FALSE),0),0)</f>
        <v>0</v>
      </c>
      <c r="BA532" s="58">
        <f>IFERROR(IF($V532="BRAND.com",HLOOKUP($X532&amp;$Z532,PLANNING_FC!$DA$4:$DO$23,MATCH($W532,PLANNING_FC!$CZ$4:$CZ$23,0),FALSE),0),0)</f>
        <v>0</v>
      </c>
      <c r="BB532" s="883" t="str">
        <f>IF(V532="BRAND.com",IFERROR(HLOOKUP(X532&amp;Z532,PLANNING_FC!$AK$4:$AY$23,MATCH(W532,PLANNING_FC!$AJ$4:$AJ$23,0),FALSE)*1000,""),"")</f>
        <v/>
      </c>
      <c r="BC532" s="883" t="str">
        <f>IF(V532="BRAND.com",IFERROR(HLOOKUP(X532&amp;Z532,PLANNING_FC!$AK$27:$AY$46,MATCH(W532,PLANNING_FC!$AJ$27:$AJ$46,0),FALSE)*1000,""),"")</f>
        <v/>
      </c>
    </row>
    <row r="533" spans="1:55" x14ac:dyDescent="0.25">
      <c r="A533" s="509"/>
      <c r="B533" s="509"/>
      <c r="C533" s="509"/>
      <c r="D533" s="509"/>
      <c r="E533" s="509"/>
      <c r="F533" s="509"/>
      <c r="G533" s="509"/>
      <c r="H533" s="509"/>
      <c r="I533" s="512"/>
      <c r="J533" s="513"/>
      <c r="K533" s="514"/>
      <c r="L533" s="515"/>
      <c r="M533" s="516"/>
      <c r="N533" s="56">
        <f t="shared" si="206"/>
        <v>0</v>
      </c>
      <c r="O533" s="57">
        <f t="shared" si="207"/>
        <v>0</v>
      </c>
      <c r="P533" s="57">
        <f ca="1">IFERROR(IF(ISBLANK(H533),SUMIFS($AC:$AC,$V:$V,V533,$W:$W,W533,$X:$X,X533,$Y:$Y,Y533)*J533/(1-J533)*VLOOKUP(_xlfn.CONCAT(C533,D533,E533,TIME!$M$12,Z533),HIS_SALES!$B$2:$W$4859,20,FALSE),AC533*J533/(1-J533)),0)</f>
        <v>0</v>
      </c>
      <c r="Q533" s="541" t="str">
        <f t="shared" si="208"/>
        <v/>
      </c>
      <c r="R533" s="346" t="str">
        <f t="shared" si="189"/>
        <v>00000</v>
      </c>
      <c r="S533" s="344">
        <f t="shared" si="209"/>
        <v>0</v>
      </c>
      <c r="T533" s="345" t="str">
        <f t="shared" si="203"/>
        <v>000</v>
      </c>
      <c r="U533" s="345">
        <f t="shared" si="210"/>
        <v>0</v>
      </c>
      <c r="V533" s="345">
        <f t="shared" si="211"/>
        <v>0</v>
      </c>
      <c r="W533" s="345">
        <f t="shared" si="212"/>
        <v>0</v>
      </c>
      <c r="X533" s="345">
        <f t="shared" si="213"/>
        <v>0</v>
      </c>
      <c r="Y533" s="345">
        <f t="shared" si="214"/>
        <v>0</v>
      </c>
      <c r="Z533" s="345">
        <f>IF(Q533&lt;&gt;"",VLOOKUP(Y533,TIME!$R$21:$V$24,MATCH(FC_DATA!Q533,TIME!$R$20:$V$20,0),FALSE),H533)</f>
        <v>0</v>
      </c>
      <c r="AA533" s="345" t="str">
        <f>IFERROR(VLOOKUP(X533&amp;Z533,TIME!$A$12:$D$71,4,FALSE),"")</f>
        <v/>
      </c>
      <c r="AB533" s="592">
        <f t="shared" ca="1" si="196"/>
        <v>0</v>
      </c>
      <c r="AC533" s="593" t="e">
        <f ca="1">IF(ISBLANK(H533)=FALSE,IF(D533="BRAND.com",I533,IF(ISNA(VLOOKUP(_xlfn.CONCAT(X533,Z533),TIME!$M$40:$M$42,1,FALSE)),I533,VLOOKUP(_xlfn.CONCAT(D533,G533,H533),M_BUSAREA_FC!$AF$5:$AJ$10,5,FALSE)*HLOOKUP(_xlfn.CONCAT(F533,H533),ST_OVERVIEW!$G$99:$I$130,MATCH(_xlfn.CONCAT(D533,E533),ST_OVERVIEW!$F$99:$F$130,0),FALSE))),IF(D533="BRAND.com",VLOOKUP(_xlfn.CONCAT(C533,D533,E533,TIME!$F$1,Z533),HIS_SALES!$B$2:$V$4859,19,FALSE)*I533,VLOOKUP(_xlfn.CONCAT(D533,F533,G533),Q_BUSAREA_FC!$AE$5:$AI$12,5,FALSE)*HLOOKUP(_xlfn.CONCAT(FC_DATA!F533,FC_DATA!G533),LT_OVERVIEW!$I$99:$M$130,MATCH(_xlfn.CONCAT(D533,FC_DATA!E533),LT_OVERVIEW!$H$99:$H$130,0),FALSE)*IFERROR(VLOOKUP(_xlfn.CONCAT(C533,D533,E533,TIME!$F$1,Z533),HIS_SALES!$B$2:$V$4859,19,FALSE),0)))</f>
        <v>#N/A</v>
      </c>
      <c r="AD533" s="341">
        <f t="shared" ca="1" si="215"/>
        <v>0</v>
      </c>
      <c r="AE533" s="363" t="str">
        <f t="shared" si="216"/>
        <v/>
      </c>
      <c r="AF533" s="342" t="str">
        <f t="shared" si="217"/>
        <v/>
      </c>
      <c r="AG533" s="411" t="e">
        <f ca="1">VLOOKUP(_xlfn.CONCAT(U533,V533,W533,VLOOKUP(X533&amp;Y533,TIME!$L$27:$O$34,4,FALSE),Y533),HIS_SALES!$A$2:$R$5093,18,FALSE)</f>
        <v>#N/A</v>
      </c>
      <c r="AH533" s="412" t="e">
        <f ca="1">IFERROR(IF(AND(V533=V532,W533=W532),0.5*(AB533+AB532)*AG533,(VLOOKUP(_xlfn.CONCAT(U533,V533,W533,X533,VLOOKUP(Z533,TIME!$S$28:$T$39,2,FALSE)),FC_DATA!$R$2:$AB$5000,MATCH("GS_I_M",FC_DATA!$R$1:$AB$1,0),FALSE)+FC_DATA!AB533)*0.5*FC_DATA!AG533),NA())</f>
        <v>#N/A</v>
      </c>
      <c r="AI533" s="491" t="e">
        <f ca="1">IF(V533="PARTNER.com",AH533,IF(AND(V533=V532,W533=W532),(1-AVERAGE(AD532,AD533))*AH533,(1-AVERAGE(AD533,VLOOKUP(_xlfn.CONCAT(U533,V533,W533,X533,M_BRAND_FC!$F$6),FC_DATA!$R$2:$AD$5000,MATCH("DISCOUNT_%_M",FC_DATA!$R$1:$AD$1,0),FALSE)))*AH533))</f>
        <v>#N/A</v>
      </c>
      <c r="AJ533" s="412" t="str">
        <f t="shared" ca="1" si="200"/>
        <v/>
      </c>
      <c r="AK533" s="413" t="str">
        <f>IFERROR(AE533/(Q_BRAND_FC!$T$24+1),"")</f>
        <v/>
      </c>
      <c r="AL533" s="88" t="str">
        <f t="shared" ca="1" si="201"/>
        <v/>
      </c>
      <c r="AM533" s="414" t="str">
        <f t="shared" ca="1" si="202"/>
        <v/>
      </c>
      <c r="AN533" s="58">
        <f>IFERROR(IF($V533="BRAND.com",HLOOKUP($X533&amp;$Z533,NWC_FC_NOOS!$C$4:$Q$23,MATCH(W533,NWC_FC_NOOS!$B$4:$B$23,0),FALSE),0),0)</f>
        <v>0</v>
      </c>
      <c r="AO533" s="57">
        <f>IFERROR(IF($V533="BRAND.com",HLOOKUP($X533&amp;$Z533,NWC_FC_NOOS!$T$4:$AH$23,MATCH(W533,NWC_FC_NOOS!$S$4:$S$23,0),FALSE),0),0)</f>
        <v>0</v>
      </c>
      <c r="AP533" s="57">
        <f>IFERROR(IF($V533="BRAND.com",HLOOKUP($X533&amp;$Z533,NWC_FC_NOOS!$C$50:$U$69,MATCH(W533,NWC_FC_NOOS!$B$50:$B$69,0),FALSE),0),0)</f>
        <v>0</v>
      </c>
      <c r="AQ533" s="58">
        <f>IFERROR(IF($V533="BRAND.com",HLOOKUP($X533&amp;$Z533,'NWC_FC_NON-NOOS'!$C$4:$Q$23,MATCH(W533,'NWC_FC_NON-NOOS'!$B$4:$B$23,0),FALSE),0),0)</f>
        <v>0</v>
      </c>
      <c r="AR533" s="57">
        <f>IFERROR(IF($V533="BRAND.com",HLOOKUP($X533&amp;$Z533,'NWC_FC_NON-NOOS'!$T$4:$AH$23,MATCH(W533,'NWC_FC_NON-NOOS'!$S$4:$S$23,0),FALSE),0),0)</f>
        <v>0</v>
      </c>
      <c r="AS533" s="57">
        <f>IFERROR(IF($V533="BRAND.com",HLOOKUP($X533&amp;$Z533,'NWC_FC_NON-NOOS'!$C$50:$U$69,MATCH(W533,'NWC_FC_NON-NOOS'!$B$50:$B$69,0),FALSE),0),0)</f>
        <v>0</v>
      </c>
      <c r="AT533" s="57">
        <f t="shared" si="204"/>
        <v>0</v>
      </c>
      <c r="AU533" s="57">
        <f t="shared" si="205"/>
        <v>0</v>
      </c>
      <c r="AV533" s="58">
        <f>IFERROR(IF($V533="BRAND.com",HLOOKUP($X533&amp;$Z533,PLANNING_FC!$BB$27:$BP$46,MATCH($W533,PLANNING_FC!$BA$27:$BA$46,0),FALSE),0),0)</f>
        <v>0</v>
      </c>
      <c r="AW533" s="58">
        <f>IFERROR(IF($V533="BRAND.com",HLOOKUP($X533&amp;$Z533,PLANNING_FC!$BB$4:$BP$23,MATCH($W533,PLANNING_FC!$BA$4:$BA$23,0),FALSE),0),0)</f>
        <v>0</v>
      </c>
      <c r="AX533" s="58">
        <f>IFERROR(IF($V533="BRAND.com",HLOOKUP($X533&amp;$Z533,PLANNING_FC!$T$27:$AH$46,MATCH($W533,PLANNING_FC!$B$27:$B$46,0),FALSE),0),0)</f>
        <v>0</v>
      </c>
      <c r="AY533" s="58">
        <f>IFERROR(IF($V533="BRAND.com",HLOOKUP($X533&amp;$Z533,PLANNING_FC!$T$4:$AH$23,MATCH($W533,PLANNING_FC!$B$4:$B$23,0),FALSE),0),0)</f>
        <v>0</v>
      </c>
      <c r="AZ533" s="58">
        <f>IFERROR(IF($V533="BRAND.com",HLOOKUP($X533&amp;$Z533,PLANNING_FC!$DA$27:$DO$46,MATCH($W533,PLANNING_FC!$CZ$27:$CZ$46,0),FALSE),0),0)</f>
        <v>0</v>
      </c>
      <c r="BA533" s="58">
        <f>IFERROR(IF($V533="BRAND.com",HLOOKUP($X533&amp;$Z533,PLANNING_FC!$DA$4:$DO$23,MATCH($W533,PLANNING_FC!$CZ$4:$CZ$23,0),FALSE),0),0)</f>
        <v>0</v>
      </c>
      <c r="BB533" s="883" t="str">
        <f>IF(V533="BRAND.com",IFERROR(HLOOKUP(X533&amp;Z533,PLANNING_FC!$AK$4:$AY$23,MATCH(W533,PLANNING_FC!$AJ$4:$AJ$23,0),FALSE)*1000,""),"")</f>
        <v/>
      </c>
      <c r="BC533" s="883" t="str">
        <f>IF(V533="BRAND.com",IFERROR(HLOOKUP(X533&amp;Z533,PLANNING_FC!$AK$27:$AY$46,MATCH(W533,PLANNING_FC!$AJ$27:$AJ$46,0),FALSE)*1000,""),"")</f>
        <v/>
      </c>
    </row>
    <row r="534" spans="1:55" x14ac:dyDescent="0.25">
      <c r="A534" s="509"/>
      <c r="B534" s="509"/>
      <c r="C534" s="509"/>
      <c r="D534" s="509"/>
      <c r="E534" s="509"/>
      <c r="F534" s="509"/>
      <c r="G534" s="511"/>
      <c r="H534" s="509"/>
      <c r="I534" s="512"/>
      <c r="J534" s="513"/>
      <c r="K534" s="514"/>
      <c r="L534" s="515"/>
      <c r="M534" s="516"/>
      <c r="N534" s="56">
        <f t="shared" si="206"/>
        <v>0</v>
      </c>
      <c r="O534" s="57">
        <f t="shared" si="207"/>
        <v>0</v>
      </c>
      <c r="P534" s="57">
        <f ca="1">IFERROR(IF(ISBLANK(H534),SUMIFS($AC:$AC,$V:$V,V534,$W:$W,W534,$X:$X,X534,$Y:$Y,Y534)*J534/(1-J534)*VLOOKUP(_xlfn.CONCAT(C534,D534,E534,TIME!$M$12,Z534),HIS_SALES!$B$2:$W$4859,20,FALSE),AC534*J534/(1-J534)),0)</f>
        <v>0</v>
      </c>
      <c r="Q534" s="541" t="str">
        <f t="shared" si="208"/>
        <v/>
      </c>
      <c r="R534" s="346" t="str">
        <f t="shared" si="189"/>
        <v>00000</v>
      </c>
      <c r="S534" s="344">
        <f t="shared" si="209"/>
        <v>0</v>
      </c>
      <c r="T534" s="345" t="str">
        <f t="shared" si="203"/>
        <v>000</v>
      </c>
      <c r="U534" s="345">
        <f t="shared" si="210"/>
        <v>0</v>
      </c>
      <c r="V534" s="345">
        <f t="shared" si="211"/>
        <v>0</v>
      </c>
      <c r="W534" s="345">
        <f t="shared" si="212"/>
        <v>0</v>
      </c>
      <c r="X534" s="345">
        <f t="shared" si="213"/>
        <v>0</v>
      </c>
      <c r="Y534" s="345">
        <f t="shared" si="214"/>
        <v>0</v>
      </c>
      <c r="Z534" s="345">
        <f>IF(Q534&lt;&gt;"",VLOOKUP(Y534,TIME!$R$21:$V$24,MATCH(FC_DATA!Q534,TIME!$R$20:$V$20,0),FALSE),H534)</f>
        <v>0</v>
      </c>
      <c r="AA534" s="345" t="str">
        <f>IFERROR(VLOOKUP(X534&amp;Z534,TIME!$A$12:$D$71,4,FALSE),"")</f>
        <v/>
      </c>
      <c r="AB534" s="592">
        <f t="shared" ca="1" si="196"/>
        <v>0</v>
      </c>
      <c r="AC534" s="593" t="e">
        <f ca="1">IF(ISBLANK(H534)=FALSE,IF(D534="BRAND.com",I534,IF(ISNA(VLOOKUP(_xlfn.CONCAT(X534,Z534),TIME!$M$40:$M$42,1,FALSE)),I534,VLOOKUP(_xlfn.CONCAT(D534,G534,H534),M_BUSAREA_FC!$AF$5:$AJ$10,5,FALSE)*HLOOKUP(_xlfn.CONCAT(F534,H534),ST_OVERVIEW!$G$99:$I$130,MATCH(_xlfn.CONCAT(D534,E534),ST_OVERVIEW!$F$99:$F$130,0),FALSE))),IF(D534="BRAND.com",VLOOKUP(_xlfn.CONCAT(C534,D534,E534,TIME!$F$1,Z534),HIS_SALES!$B$2:$V$4859,19,FALSE)*I534,VLOOKUP(_xlfn.CONCAT(D534,F534,G534),Q_BUSAREA_FC!$AE$5:$AI$12,5,FALSE)*HLOOKUP(_xlfn.CONCAT(FC_DATA!F534,FC_DATA!G534),LT_OVERVIEW!$I$99:$M$130,MATCH(_xlfn.CONCAT(D534,FC_DATA!E534),LT_OVERVIEW!$H$99:$H$130,0),FALSE)*IFERROR(VLOOKUP(_xlfn.CONCAT(C534,D534,E534,TIME!$F$1,Z534),HIS_SALES!$B$2:$V$4859,19,FALSE),0)))</f>
        <v>#N/A</v>
      </c>
      <c r="AD534" s="341">
        <f t="shared" ca="1" si="215"/>
        <v>0</v>
      </c>
      <c r="AE534" s="363" t="str">
        <f t="shared" si="216"/>
        <v/>
      </c>
      <c r="AF534" s="342" t="str">
        <f t="shared" si="217"/>
        <v/>
      </c>
      <c r="AG534" s="411" t="e">
        <f ca="1">VLOOKUP(_xlfn.CONCAT(U534,V534,W534,VLOOKUP(X534&amp;Y534,TIME!$L$27:$O$34,4,FALSE),Y534),HIS_SALES!$A$2:$R$5093,18,FALSE)</f>
        <v>#N/A</v>
      </c>
      <c r="AH534" s="412" t="e">
        <f ca="1">IFERROR(IF(AND(V534=V533,W534=W533),0.5*(AB534+AB533)*AG534,(VLOOKUP(_xlfn.CONCAT(U534,V534,W534,X534,VLOOKUP(Z534,TIME!$S$28:$T$39,2,FALSE)),FC_DATA!$R$2:$AB$5000,MATCH("GS_I_M",FC_DATA!$R$1:$AB$1,0),FALSE)+FC_DATA!AB534)*0.5*FC_DATA!AG534),NA())</f>
        <v>#N/A</v>
      </c>
      <c r="AI534" s="491" t="e">
        <f ca="1">IF(V534="PARTNER.com",AH534,IF(AND(V534=V533,W534=W533),(1-AVERAGE(AD533,AD534))*AH534,(1-AVERAGE(AD534,VLOOKUP(_xlfn.CONCAT(U534,V534,W534,X534,M_BRAND_FC!$F$6),FC_DATA!$R$2:$AD$5000,MATCH("DISCOUNT_%_M",FC_DATA!$R$1:$AD$1,0),FALSE)))*AH534))</f>
        <v>#N/A</v>
      </c>
      <c r="AJ534" s="412" t="str">
        <f t="shared" ca="1" si="200"/>
        <v/>
      </c>
      <c r="AK534" s="413" t="str">
        <f>IFERROR(AE534/(Q_BRAND_FC!$T$24+1),"")</f>
        <v/>
      </c>
      <c r="AL534" s="88" t="str">
        <f t="shared" ca="1" si="201"/>
        <v/>
      </c>
      <c r="AM534" s="414" t="str">
        <f t="shared" ca="1" si="202"/>
        <v/>
      </c>
      <c r="AN534" s="58">
        <f>IFERROR(IF($V534="BRAND.com",HLOOKUP($X534&amp;$Z534,NWC_FC_NOOS!$C$4:$Q$23,MATCH(W534,NWC_FC_NOOS!$B$4:$B$23,0),FALSE),0),0)</f>
        <v>0</v>
      </c>
      <c r="AO534" s="57">
        <f>IFERROR(IF($V534="BRAND.com",HLOOKUP($X534&amp;$Z534,NWC_FC_NOOS!$T$4:$AH$23,MATCH(W534,NWC_FC_NOOS!$S$4:$S$23,0),FALSE),0),0)</f>
        <v>0</v>
      </c>
      <c r="AP534" s="57">
        <f>IFERROR(IF($V534="BRAND.com",HLOOKUP($X534&amp;$Z534,NWC_FC_NOOS!$C$50:$U$69,MATCH(W534,NWC_FC_NOOS!$B$50:$B$69,0),FALSE),0),0)</f>
        <v>0</v>
      </c>
      <c r="AQ534" s="58">
        <f>IFERROR(IF($V534="BRAND.com",HLOOKUP($X534&amp;$Z534,'NWC_FC_NON-NOOS'!$C$4:$Q$23,MATCH(W534,'NWC_FC_NON-NOOS'!$B$4:$B$23,0),FALSE),0),0)</f>
        <v>0</v>
      </c>
      <c r="AR534" s="57">
        <f>IFERROR(IF($V534="BRAND.com",HLOOKUP($X534&amp;$Z534,'NWC_FC_NON-NOOS'!$T$4:$AH$23,MATCH(W534,'NWC_FC_NON-NOOS'!$S$4:$S$23,0),FALSE),0),0)</f>
        <v>0</v>
      </c>
      <c r="AS534" s="57">
        <f>IFERROR(IF($V534="BRAND.com",HLOOKUP($X534&amp;$Z534,'NWC_FC_NON-NOOS'!$C$50:$U$69,MATCH(W534,'NWC_FC_NON-NOOS'!$B$50:$B$69,0),FALSE),0),0)</f>
        <v>0</v>
      </c>
      <c r="AT534" s="57">
        <f t="shared" si="204"/>
        <v>0</v>
      </c>
      <c r="AU534" s="57">
        <f t="shared" si="205"/>
        <v>0</v>
      </c>
      <c r="AV534" s="58">
        <f>IFERROR(IF($V534="BRAND.com",HLOOKUP($X534&amp;$Z534,PLANNING_FC!$BB$27:$BP$46,MATCH($W534,PLANNING_FC!$BA$27:$BA$46,0),FALSE),0),0)</f>
        <v>0</v>
      </c>
      <c r="AW534" s="58">
        <f>IFERROR(IF($V534="BRAND.com",HLOOKUP($X534&amp;$Z534,PLANNING_FC!$BB$4:$BP$23,MATCH($W534,PLANNING_FC!$BA$4:$BA$23,0),FALSE),0),0)</f>
        <v>0</v>
      </c>
      <c r="AX534" s="58">
        <f>IFERROR(IF($V534="BRAND.com",HLOOKUP($X534&amp;$Z534,PLANNING_FC!$T$27:$AH$46,MATCH($W534,PLANNING_FC!$B$27:$B$46,0),FALSE),0),0)</f>
        <v>0</v>
      </c>
      <c r="AY534" s="58">
        <f>IFERROR(IF($V534="BRAND.com",HLOOKUP($X534&amp;$Z534,PLANNING_FC!$T$4:$AH$23,MATCH($W534,PLANNING_FC!$B$4:$B$23,0),FALSE),0),0)</f>
        <v>0</v>
      </c>
      <c r="AZ534" s="58">
        <f>IFERROR(IF($V534="BRAND.com",HLOOKUP($X534&amp;$Z534,PLANNING_FC!$DA$27:$DO$46,MATCH($W534,PLANNING_FC!$CZ$27:$CZ$46,0),FALSE),0),0)</f>
        <v>0</v>
      </c>
      <c r="BA534" s="58">
        <f>IFERROR(IF($V534="BRAND.com",HLOOKUP($X534&amp;$Z534,PLANNING_FC!$DA$4:$DO$23,MATCH($W534,PLANNING_FC!$CZ$4:$CZ$23,0),FALSE),0),0)</f>
        <v>0</v>
      </c>
      <c r="BB534" s="883" t="str">
        <f>IF(V534="BRAND.com",IFERROR(HLOOKUP(X534&amp;Z534,PLANNING_FC!$AK$4:$AY$23,MATCH(W534,PLANNING_FC!$AJ$4:$AJ$23,0),FALSE)*1000,""),"")</f>
        <v/>
      </c>
      <c r="BC534" s="883" t="str">
        <f>IF(V534="BRAND.com",IFERROR(HLOOKUP(X534&amp;Z534,PLANNING_FC!$AK$27:$AY$46,MATCH(W534,PLANNING_FC!$AJ$27:$AJ$46,0),FALSE)*1000,""),"")</f>
        <v/>
      </c>
    </row>
    <row r="535" spans="1:55" x14ac:dyDescent="0.25">
      <c r="A535" s="509"/>
      <c r="B535" s="509"/>
      <c r="C535" s="509"/>
      <c r="D535" s="509"/>
      <c r="E535" s="509"/>
      <c r="F535" s="509"/>
      <c r="G535" s="509"/>
      <c r="H535" s="509"/>
      <c r="I535" s="512"/>
      <c r="J535" s="513"/>
      <c r="K535" s="514"/>
      <c r="L535" s="515"/>
      <c r="M535" s="516"/>
      <c r="N535" s="56">
        <f t="shared" si="206"/>
        <v>0</v>
      </c>
      <c r="O535" s="57">
        <f t="shared" si="207"/>
        <v>0</v>
      </c>
      <c r="P535" s="57">
        <f ca="1">IFERROR(IF(ISBLANK(H535),SUMIFS($AC:$AC,$V:$V,V535,$W:$W,W535,$X:$X,X535,$Y:$Y,Y535)*J535/(1-J535)*VLOOKUP(_xlfn.CONCAT(C535,D535,E535,TIME!$M$12,Z535),HIS_SALES!$B$2:$W$4859,20,FALSE),AC535*J535/(1-J535)),0)</f>
        <v>0</v>
      </c>
      <c r="Q535" s="541" t="str">
        <f t="shared" si="208"/>
        <v/>
      </c>
      <c r="R535" s="346" t="str">
        <f t="shared" si="189"/>
        <v>00000</v>
      </c>
      <c r="S535" s="344">
        <f t="shared" si="209"/>
        <v>0</v>
      </c>
      <c r="T535" s="345" t="str">
        <f t="shared" si="203"/>
        <v>000</v>
      </c>
      <c r="U535" s="345">
        <f t="shared" si="210"/>
        <v>0</v>
      </c>
      <c r="V535" s="345">
        <f t="shared" si="211"/>
        <v>0</v>
      </c>
      <c r="W535" s="345">
        <f t="shared" si="212"/>
        <v>0</v>
      </c>
      <c r="X535" s="345">
        <f t="shared" si="213"/>
        <v>0</v>
      </c>
      <c r="Y535" s="345">
        <f t="shared" si="214"/>
        <v>0</v>
      </c>
      <c r="Z535" s="345">
        <f>IF(Q535&lt;&gt;"",VLOOKUP(Y535,TIME!$R$21:$V$24,MATCH(FC_DATA!Q535,TIME!$R$20:$V$20,0),FALSE),H535)</f>
        <v>0</v>
      </c>
      <c r="AA535" s="345" t="str">
        <f>IFERROR(VLOOKUP(X535&amp;Z535,TIME!$A$12:$D$71,4,FALSE),"")</f>
        <v/>
      </c>
      <c r="AB535" s="592">
        <f t="shared" ca="1" si="196"/>
        <v>0</v>
      </c>
      <c r="AC535" s="593" t="e">
        <f ca="1">IF(ISBLANK(H535)=FALSE,IF(D535="BRAND.com",I535,IF(ISNA(VLOOKUP(_xlfn.CONCAT(X535,Z535),TIME!$M$40:$M$42,1,FALSE)),I535,VLOOKUP(_xlfn.CONCAT(D535,G535,H535),M_BUSAREA_FC!$AF$5:$AJ$10,5,FALSE)*HLOOKUP(_xlfn.CONCAT(F535,H535),ST_OVERVIEW!$G$99:$I$130,MATCH(_xlfn.CONCAT(D535,E535),ST_OVERVIEW!$F$99:$F$130,0),FALSE))),IF(D535="BRAND.com",VLOOKUP(_xlfn.CONCAT(C535,D535,E535,TIME!$F$1,Z535),HIS_SALES!$B$2:$V$4859,19,FALSE)*I535,VLOOKUP(_xlfn.CONCAT(D535,F535,G535),Q_BUSAREA_FC!$AE$5:$AI$12,5,FALSE)*HLOOKUP(_xlfn.CONCAT(FC_DATA!F535,FC_DATA!G535),LT_OVERVIEW!$I$99:$M$130,MATCH(_xlfn.CONCAT(D535,FC_DATA!E535),LT_OVERVIEW!$H$99:$H$130,0),FALSE)*IFERROR(VLOOKUP(_xlfn.CONCAT(C535,D535,E535,TIME!$F$1,Z535),HIS_SALES!$B$2:$V$4859,19,FALSE),0)))</f>
        <v>#N/A</v>
      </c>
      <c r="AD535" s="341">
        <f t="shared" ca="1" si="215"/>
        <v>0</v>
      </c>
      <c r="AE535" s="363" t="str">
        <f t="shared" si="216"/>
        <v/>
      </c>
      <c r="AF535" s="342" t="str">
        <f t="shared" si="217"/>
        <v/>
      </c>
      <c r="AG535" s="411" t="e">
        <f ca="1">VLOOKUP(_xlfn.CONCAT(U535,V535,W535,VLOOKUP(X535&amp;Y535,TIME!$L$27:$O$34,4,FALSE),Y535),HIS_SALES!$A$2:$R$5093,18,FALSE)</f>
        <v>#N/A</v>
      </c>
      <c r="AH535" s="412" t="e">
        <f ca="1">IFERROR(IF(AND(V535=V534,W535=W534),0.5*(AB535+AB534)*AG535,(VLOOKUP(_xlfn.CONCAT(U535,V535,W535,X535,VLOOKUP(Z535,TIME!$S$28:$T$39,2,FALSE)),FC_DATA!$R$2:$AB$5000,MATCH("GS_I_M",FC_DATA!$R$1:$AB$1,0),FALSE)+FC_DATA!AB535)*0.5*FC_DATA!AG535),NA())</f>
        <v>#N/A</v>
      </c>
      <c r="AI535" s="491" t="e">
        <f ca="1">IF(V535="PARTNER.com",AH535,IF(AND(V535=V534,W535=W534),(1-AVERAGE(AD534,AD535))*AH535,(1-AVERAGE(AD535,VLOOKUP(_xlfn.CONCAT(U535,V535,W535,X535,M_BRAND_FC!$F$6),FC_DATA!$R$2:$AD$5000,MATCH("DISCOUNT_%_M",FC_DATA!$R$1:$AD$1,0),FALSE)))*AH535))</f>
        <v>#N/A</v>
      </c>
      <c r="AJ535" s="412" t="str">
        <f t="shared" ca="1" si="200"/>
        <v/>
      </c>
      <c r="AK535" s="413" t="str">
        <f>IFERROR(AE535/(Q_BRAND_FC!$T$24+1),"")</f>
        <v/>
      </c>
      <c r="AL535" s="88" t="str">
        <f t="shared" ca="1" si="201"/>
        <v/>
      </c>
      <c r="AM535" s="414" t="str">
        <f t="shared" ca="1" si="202"/>
        <v/>
      </c>
      <c r="AN535" s="58">
        <f>IFERROR(IF($V535="BRAND.com",HLOOKUP($X535&amp;$Z535,NWC_FC_NOOS!$C$4:$Q$23,MATCH(W535,NWC_FC_NOOS!$B$4:$B$23,0),FALSE),0),0)</f>
        <v>0</v>
      </c>
      <c r="AO535" s="57">
        <f>IFERROR(IF($V535="BRAND.com",HLOOKUP($X535&amp;$Z535,NWC_FC_NOOS!$T$4:$AH$23,MATCH(W535,NWC_FC_NOOS!$S$4:$S$23,0),FALSE),0),0)</f>
        <v>0</v>
      </c>
      <c r="AP535" s="57">
        <f>IFERROR(IF($V535="BRAND.com",HLOOKUP($X535&amp;$Z535,NWC_FC_NOOS!$C$50:$U$69,MATCH(W535,NWC_FC_NOOS!$B$50:$B$69,0),FALSE),0),0)</f>
        <v>0</v>
      </c>
      <c r="AQ535" s="58">
        <f>IFERROR(IF($V535="BRAND.com",HLOOKUP($X535&amp;$Z535,'NWC_FC_NON-NOOS'!$C$4:$Q$23,MATCH(W535,'NWC_FC_NON-NOOS'!$B$4:$B$23,0),FALSE),0),0)</f>
        <v>0</v>
      </c>
      <c r="AR535" s="57">
        <f>IFERROR(IF($V535="BRAND.com",HLOOKUP($X535&amp;$Z535,'NWC_FC_NON-NOOS'!$T$4:$AH$23,MATCH(W535,'NWC_FC_NON-NOOS'!$S$4:$S$23,0),FALSE),0),0)</f>
        <v>0</v>
      </c>
      <c r="AS535" s="57">
        <f>IFERROR(IF($V535="BRAND.com",HLOOKUP($X535&amp;$Z535,'NWC_FC_NON-NOOS'!$C$50:$U$69,MATCH(W535,'NWC_FC_NON-NOOS'!$B$50:$B$69,0),FALSE),0),0)</f>
        <v>0</v>
      </c>
      <c r="AT535" s="57">
        <f t="shared" si="204"/>
        <v>0</v>
      </c>
      <c r="AU535" s="57">
        <f t="shared" si="205"/>
        <v>0</v>
      </c>
      <c r="AV535" s="58">
        <f>IFERROR(IF($V535="BRAND.com",HLOOKUP($X535&amp;$Z535,PLANNING_FC!$BB$27:$BP$46,MATCH($W535,PLANNING_FC!$BA$27:$BA$46,0),FALSE),0),0)</f>
        <v>0</v>
      </c>
      <c r="AW535" s="58">
        <f>IFERROR(IF($V535="BRAND.com",HLOOKUP($X535&amp;$Z535,PLANNING_FC!$BB$4:$BP$23,MATCH($W535,PLANNING_FC!$BA$4:$BA$23,0),FALSE),0),0)</f>
        <v>0</v>
      </c>
      <c r="AX535" s="58">
        <f>IFERROR(IF($V535="BRAND.com",HLOOKUP($X535&amp;$Z535,PLANNING_FC!$T$27:$AH$46,MATCH($W535,PLANNING_FC!$B$27:$B$46,0),FALSE),0),0)</f>
        <v>0</v>
      </c>
      <c r="AY535" s="58">
        <f>IFERROR(IF($V535="BRAND.com",HLOOKUP($X535&amp;$Z535,PLANNING_FC!$T$4:$AH$23,MATCH($W535,PLANNING_FC!$B$4:$B$23,0),FALSE),0),0)</f>
        <v>0</v>
      </c>
      <c r="AZ535" s="58">
        <f>IFERROR(IF($V535="BRAND.com",HLOOKUP($X535&amp;$Z535,PLANNING_FC!$DA$27:$DO$46,MATCH($W535,PLANNING_FC!$CZ$27:$CZ$46,0),FALSE),0),0)</f>
        <v>0</v>
      </c>
      <c r="BA535" s="58">
        <f>IFERROR(IF($V535="BRAND.com",HLOOKUP($X535&amp;$Z535,PLANNING_FC!$DA$4:$DO$23,MATCH($W535,PLANNING_FC!$CZ$4:$CZ$23,0),FALSE),0),0)</f>
        <v>0</v>
      </c>
      <c r="BB535" s="883" t="str">
        <f>IF(V535="BRAND.com",IFERROR(HLOOKUP(X535&amp;Z535,PLANNING_FC!$AK$4:$AY$23,MATCH(W535,PLANNING_FC!$AJ$4:$AJ$23,0),FALSE)*1000,""),"")</f>
        <v/>
      </c>
      <c r="BC535" s="883" t="str">
        <f>IF(V535="BRAND.com",IFERROR(HLOOKUP(X535&amp;Z535,PLANNING_FC!$AK$27:$AY$46,MATCH(W535,PLANNING_FC!$AJ$27:$AJ$46,0),FALSE)*1000,""),"")</f>
        <v/>
      </c>
    </row>
    <row r="536" spans="1:55" x14ac:dyDescent="0.25">
      <c r="A536" s="509"/>
      <c r="B536" s="509"/>
      <c r="C536" s="509"/>
      <c r="D536" s="509"/>
      <c r="E536" s="509"/>
      <c r="F536" s="509"/>
      <c r="G536" s="509"/>
      <c r="H536" s="509"/>
      <c r="I536" s="512"/>
      <c r="J536" s="513"/>
      <c r="K536" s="514"/>
      <c r="L536" s="515"/>
      <c r="M536" s="516"/>
      <c r="N536" s="56">
        <f t="shared" si="206"/>
        <v>0</v>
      </c>
      <c r="O536" s="57">
        <f t="shared" si="207"/>
        <v>0</v>
      </c>
      <c r="P536" s="57">
        <f ca="1">IFERROR(IF(ISBLANK(H536),SUMIFS($AC:$AC,$V:$V,V536,$W:$W,W536,$X:$X,X536,$Y:$Y,Y536)*J536/(1-J536)*VLOOKUP(_xlfn.CONCAT(C536,D536,E536,TIME!$M$12,Z536),HIS_SALES!$B$2:$W$4859,20,FALSE),AC536*J536/(1-J536)),0)</f>
        <v>0</v>
      </c>
      <c r="Q536" s="541" t="str">
        <f t="shared" si="208"/>
        <v/>
      </c>
      <c r="R536" s="346" t="str">
        <f t="shared" si="189"/>
        <v>00000</v>
      </c>
      <c r="S536" s="344">
        <f t="shared" si="209"/>
        <v>0</v>
      </c>
      <c r="T536" s="345" t="str">
        <f t="shared" si="203"/>
        <v>000</v>
      </c>
      <c r="U536" s="345">
        <f t="shared" si="210"/>
        <v>0</v>
      </c>
      <c r="V536" s="345">
        <f t="shared" si="211"/>
        <v>0</v>
      </c>
      <c r="W536" s="345">
        <f t="shared" si="212"/>
        <v>0</v>
      </c>
      <c r="X536" s="345">
        <f t="shared" si="213"/>
        <v>0</v>
      </c>
      <c r="Y536" s="345">
        <f t="shared" si="214"/>
        <v>0</v>
      </c>
      <c r="Z536" s="345">
        <f>IF(Q536&lt;&gt;"",VLOOKUP(Y536,TIME!$R$21:$V$24,MATCH(FC_DATA!Q536,TIME!$R$20:$V$20,0),FALSE),H536)</f>
        <v>0</v>
      </c>
      <c r="AA536" s="345" t="str">
        <f>IFERROR(VLOOKUP(X536&amp;Z536,TIME!$A$12:$D$71,4,FALSE),"")</f>
        <v/>
      </c>
      <c r="AB536" s="592">
        <f t="shared" ca="1" si="196"/>
        <v>0</v>
      </c>
      <c r="AC536" s="593" t="e">
        <f ca="1">IF(ISBLANK(H536)=FALSE,IF(D536="BRAND.com",I536,IF(ISNA(VLOOKUP(_xlfn.CONCAT(X536,Z536),TIME!$M$40:$M$42,1,FALSE)),I536,VLOOKUP(_xlfn.CONCAT(D536,G536,H536),M_BUSAREA_FC!$AF$5:$AJ$10,5,FALSE)*HLOOKUP(_xlfn.CONCAT(F536,H536),ST_OVERVIEW!$G$99:$I$130,MATCH(_xlfn.CONCAT(D536,E536),ST_OVERVIEW!$F$99:$F$130,0),FALSE))),IF(D536="BRAND.com",VLOOKUP(_xlfn.CONCAT(C536,D536,E536,TIME!$F$1,Z536),HIS_SALES!$B$2:$V$4859,19,FALSE)*I536,VLOOKUP(_xlfn.CONCAT(D536,F536,G536),Q_BUSAREA_FC!$AE$5:$AI$12,5,FALSE)*HLOOKUP(_xlfn.CONCAT(FC_DATA!F536,FC_DATA!G536),LT_OVERVIEW!$I$99:$M$130,MATCH(_xlfn.CONCAT(D536,FC_DATA!E536),LT_OVERVIEW!$H$99:$H$130,0),FALSE)*IFERROR(VLOOKUP(_xlfn.CONCAT(C536,D536,E536,TIME!$F$1,Z536),HIS_SALES!$B$2:$V$4859,19,FALSE),0)))</f>
        <v>#N/A</v>
      </c>
      <c r="AD536" s="341">
        <f t="shared" ca="1" si="215"/>
        <v>0</v>
      </c>
      <c r="AE536" s="363" t="str">
        <f t="shared" si="216"/>
        <v/>
      </c>
      <c r="AF536" s="342" t="str">
        <f t="shared" si="217"/>
        <v/>
      </c>
      <c r="AG536" s="411" t="e">
        <f ca="1">VLOOKUP(_xlfn.CONCAT(U536,V536,W536,VLOOKUP(X536&amp;Y536,TIME!$L$27:$O$34,4,FALSE),Y536),HIS_SALES!$A$2:$R$5093,18,FALSE)</f>
        <v>#N/A</v>
      </c>
      <c r="AH536" s="412" t="e">
        <f ca="1">IFERROR(IF(AND(V536=V535,W536=W535),0.5*(AB536+AB535)*AG536,(VLOOKUP(_xlfn.CONCAT(U536,V536,W536,X536,VLOOKUP(Z536,TIME!$S$28:$T$39,2,FALSE)),FC_DATA!$R$2:$AB$5000,MATCH("GS_I_M",FC_DATA!$R$1:$AB$1,0),FALSE)+FC_DATA!AB536)*0.5*FC_DATA!AG536),NA())</f>
        <v>#N/A</v>
      </c>
      <c r="AI536" s="491" t="e">
        <f ca="1">IF(V536="PARTNER.com",AH536,IF(AND(V536=V535,W536=W535),(1-AVERAGE(AD535,AD536))*AH536,(1-AVERAGE(AD536,VLOOKUP(_xlfn.CONCAT(U536,V536,W536,X536,M_BRAND_FC!$F$6),FC_DATA!$R$2:$AD$5000,MATCH("DISCOUNT_%_M",FC_DATA!$R$1:$AD$1,0),FALSE)))*AH536))</f>
        <v>#N/A</v>
      </c>
      <c r="AJ536" s="412" t="str">
        <f t="shared" ca="1" si="200"/>
        <v/>
      </c>
      <c r="AK536" s="413" t="str">
        <f>IFERROR(AE536/(Q_BRAND_FC!$T$24+1),"")</f>
        <v/>
      </c>
      <c r="AL536" s="88" t="str">
        <f t="shared" ca="1" si="201"/>
        <v/>
      </c>
      <c r="AM536" s="414" t="str">
        <f t="shared" ca="1" si="202"/>
        <v/>
      </c>
      <c r="AN536" s="58">
        <f>IFERROR(IF($V536="BRAND.com",HLOOKUP($X536&amp;$Z536,NWC_FC_NOOS!$C$4:$Q$23,MATCH(W536,NWC_FC_NOOS!$B$4:$B$23,0),FALSE),0),0)</f>
        <v>0</v>
      </c>
      <c r="AO536" s="57">
        <f>IFERROR(IF($V536="BRAND.com",HLOOKUP($X536&amp;$Z536,NWC_FC_NOOS!$T$4:$AH$23,MATCH(W536,NWC_FC_NOOS!$S$4:$S$23,0),FALSE),0),0)</f>
        <v>0</v>
      </c>
      <c r="AP536" s="57">
        <f>IFERROR(IF($V536="BRAND.com",HLOOKUP($X536&amp;$Z536,NWC_FC_NOOS!$C$50:$U$69,MATCH(W536,NWC_FC_NOOS!$B$50:$B$69,0),FALSE),0),0)</f>
        <v>0</v>
      </c>
      <c r="AQ536" s="58">
        <f>IFERROR(IF($V536="BRAND.com",HLOOKUP($X536&amp;$Z536,'NWC_FC_NON-NOOS'!$C$4:$Q$23,MATCH(W536,'NWC_FC_NON-NOOS'!$B$4:$B$23,0),FALSE),0),0)</f>
        <v>0</v>
      </c>
      <c r="AR536" s="57">
        <f>IFERROR(IF($V536="BRAND.com",HLOOKUP($X536&amp;$Z536,'NWC_FC_NON-NOOS'!$T$4:$AH$23,MATCH(W536,'NWC_FC_NON-NOOS'!$S$4:$S$23,0),FALSE),0),0)</f>
        <v>0</v>
      </c>
      <c r="AS536" s="57">
        <f>IFERROR(IF($V536="BRAND.com",HLOOKUP($X536&amp;$Z536,'NWC_FC_NON-NOOS'!$C$50:$U$69,MATCH(W536,'NWC_FC_NON-NOOS'!$B$50:$B$69,0),FALSE),0),0)</f>
        <v>0</v>
      </c>
      <c r="AT536" s="57">
        <f t="shared" si="204"/>
        <v>0</v>
      </c>
      <c r="AU536" s="57">
        <f t="shared" si="205"/>
        <v>0</v>
      </c>
      <c r="AV536" s="58">
        <f>IFERROR(IF($V536="BRAND.com",HLOOKUP($X536&amp;$Z536,PLANNING_FC!$BB$27:$BP$46,MATCH($W536,PLANNING_FC!$BA$27:$BA$46,0),FALSE),0),0)</f>
        <v>0</v>
      </c>
      <c r="AW536" s="58">
        <f>IFERROR(IF($V536="BRAND.com",HLOOKUP($X536&amp;$Z536,PLANNING_FC!$BB$4:$BP$23,MATCH($W536,PLANNING_FC!$BA$4:$BA$23,0),FALSE),0),0)</f>
        <v>0</v>
      </c>
      <c r="AX536" s="58">
        <f>IFERROR(IF($V536="BRAND.com",HLOOKUP($X536&amp;$Z536,PLANNING_FC!$T$27:$AH$46,MATCH($W536,PLANNING_FC!$B$27:$B$46,0),FALSE),0),0)</f>
        <v>0</v>
      </c>
      <c r="AY536" s="58">
        <f>IFERROR(IF($V536="BRAND.com",HLOOKUP($X536&amp;$Z536,PLANNING_FC!$T$4:$AH$23,MATCH($W536,PLANNING_FC!$B$4:$B$23,0),FALSE),0),0)</f>
        <v>0</v>
      </c>
      <c r="AZ536" s="58">
        <f>IFERROR(IF($V536="BRAND.com",HLOOKUP($X536&amp;$Z536,PLANNING_FC!$DA$27:$DO$46,MATCH($W536,PLANNING_FC!$CZ$27:$CZ$46,0),FALSE),0),0)</f>
        <v>0</v>
      </c>
      <c r="BA536" s="58">
        <f>IFERROR(IF($V536="BRAND.com",HLOOKUP($X536&amp;$Z536,PLANNING_FC!$DA$4:$DO$23,MATCH($W536,PLANNING_FC!$CZ$4:$CZ$23,0),FALSE),0),0)</f>
        <v>0</v>
      </c>
      <c r="BB536" s="883" t="str">
        <f>IF(V536="BRAND.com",IFERROR(HLOOKUP(X536&amp;Z536,PLANNING_FC!$AK$4:$AY$23,MATCH(W536,PLANNING_FC!$AJ$4:$AJ$23,0),FALSE)*1000,""),"")</f>
        <v/>
      </c>
      <c r="BC536" s="883" t="str">
        <f>IF(V536="BRAND.com",IFERROR(HLOOKUP(X536&amp;Z536,PLANNING_FC!$AK$27:$AY$46,MATCH(W536,PLANNING_FC!$AJ$27:$AJ$46,0),FALSE)*1000,""),"")</f>
        <v/>
      </c>
    </row>
    <row r="537" spans="1:55" x14ac:dyDescent="0.25">
      <c r="A537" s="509"/>
      <c r="B537" s="509"/>
      <c r="C537" s="509"/>
      <c r="D537" s="509"/>
      <c r="E537" s="509"/>
      <c r="F537" s="509"/>
      <c r="G537" s="509"/>
      <c r="H537" s="509"/>
      <c r="I537" s="512"/>
      <c r="J537" s="513"/>
      <c r="K537" s="514"/>
      <c r="L537" s="515"/>
      <c r="M537" s="516"/>
      <c r="N537" s="56">
        <f t="shared" si="206"/>
        <v>0</v>
      </c>
      <c r="O537" s="57">
        <f t="shared" si="207"/>
        <v>0</v>
      </c>
      <c r="P537" s="57">
        <f ca="1">IFERROR(IF(ISBLANK(H537),SUMIFS($AC:$AC,$V:$V,V537,$W:$W,W537,$X:$X,X537,$Y:$Y,Y537)*J537/(1-J537)*VLOOKUP(_xlfn.CONCAT(C537,D537,E537,TIME!$M$12,Z537),HIS_SALES!$B$2:$W$4859,20,FALSE),AC537*J537/(1-J537)),0)</f>
        <v>0</v>
      </c>
      <c r="Q537" s="541" t="str">
        <f t="shared" si="208"/>
        <v/>
      </c>
      <c r="R537" s="346" t="str">
        <f t="shared" si="189"/>
        <v>00000</v>
      </c>
      <c r="S537" s="344">
        <f t="shared" si="209"/>
        <v>0</v>
      </c>
      <c r="T537" s="345" t="str">
        <f t="shared" si="203"/>
        <v>000</v>
      </c>
      <c r="U537" s="345">
        <f t="shared" si="210"/>
        <v>0</v>
      </c>
      <c r="V537" s="345">
        <f t="shared" si="211"/>
        <v>0</v>
      </c>
      <c r="W537" s="345">
        <f t="shared" si="212"/>
        <v>0</v>
      </c>
      <c r="X537" s="345">
        <f t="shared" si="213"/>
        <v>0</v>
      </c>
      <c r="Y537" s="345">
        <f t="shared" si="214"/>
        <v>0</v>
      </c>
      <c r="Z537" s="345">
        <f>IF(Q537&lt;&gt;"",VLOOKUP(Y537,TIME!$R$21:$V$24,MATCH(FC_DATA!Q537,TIME!$R$20:$V$20,0),FALSE),H537)</f>
        <v>0</v>
      </c>
      <c r="AA537" s="345" t="str">
        <f>IFERROR(VLOOKUP(X537&amp;Z537,TIME!$A$12:$D$71,4,FALSE),"")</f>
        <v/>
      </c>
      <c r="AB537" s="592">
        <f t="shared" ca="1" si="196"/>
        <v>0</v>
      </c>
      <c r="AC537" s="593" t="e">
        <f ca="1">IF(ISBLANK(H537)=FALSE,IF(D537="BRAND.com",I537,IF(ISNA(VLOOKUP(_xlfn.CONCAT(X537,Z537),TIME!$M$40:$M$42,1,FALSE)),I537,VLOOKUP(_xlfn.CONCAT(D537,G537,H537),M_BUSAREA_FC!$AF$5:$AJ$10,5,FALSE)*HLOOKUP(_xlfn.CONCAT(F537,H537),ST_OVERVIEW!$G$99:$I$130,MATCH(_xlfn.CONCAT(D537,E537),ST_OVERVIEW!$F$99:$F$130,0),FALSE))),IF(D537="BRAND.com",VLOOKUP(_xlfn.CONCAT(C537,D537,E537,TIME!$F$1,Z537),HIS_SALES!$B$2:$V$4859,19,FALSE)*I537,VLOOKUP(_xlfn.CONCAT(D537,F537,G537),Q_BUSAREA_FC!$AE$5:$AI$12,5,FALSE)*HLOOKUP(_xlfn.CONCAT(FC_DATA!F537,FC_DATA!G537),LT_OVERVIEW!$I$99:$M$130,MATCH(_xlfn.CONCAT(D537,FC_DATA!E537),LT_OVERVIEW!$H$99:$H$130,0),FALSE)*IFERROR(VLOOKUP(_xlfn.CONCAT(C537,D537,E537,TIME!$F$1,Z537),HIS_SALES!$B$2:$V$4859,19,FALSE),0)))</f>
        <v>#N/A</v>
      </c>
      <c r="AD537" s="341">
        <f t="shared" ca="1" si="215"/>
        <v>0</v>
      </c>
      <c r="AE537" s="363" t="str">
        <f t="shared" si="216"/>
        <v/>
      </c>
      <c r="AF537" s="342" t="str">
        <f t="shared" si="217"/>
        <v/>
      </c>
      <c r="AG537" s="411" t="e">
        <f ca="1">VLOOKUP(_xlfn.CONCAT(U537,V537,W537,VLOOKUP(X537&amp;Y537,TIME!$L$27:$O$34,4,FALSE),Y537),HIS_SALES!$A$2:$R$5093,18,FALSE)</f>
        <v>#N/A</v>
      </c>
      <c r="AH537" s="412" t="e">
        <f ca="1">IFERROR(IF(AND(V537=V536,W537=W536),0.5*(AB537+AB536)*AG537,(VLOOKUP(_xlfn.CONCAT(U537,V537,W537,X537,VLOOKUP(Z537,TIME!$S$28:$T$39,2,FALSE)),FC_DATA!$R$2:$AB$5000,MATCH("GS_I_M",FC_DATA!$R$1:$AB$1,0),FALSE)+FC_DATA!AB537)*0.5*FC_DATA!AG537),NA())</f>
        <v>#N/A</v>
      </c>
      <c r="AI537" s="491" t="e">
        <f ca="1">IF(V537="PARTNER.com",AH537,IF(AND(V537=V536,W537=W536),(1-AVERAGE(AD536,AD537))*AH537,(1-AVERAGE(AD537,VLOOKUP(_xlfn.CONCAT(U537,V537,W537,X537,M_BRAND_FC!$F$6),FC_DATA!$R$2:$AD$5000,MATCH("DISCOUNT_%_M",FC_DATA!$R$1:$AD$1,0),FALSE)))*AH537))</f>
        <v>#N/A</v>
      </c>
      <c r="AJ537" s="412" t="str">
        <f t="shared" ca="1" si="200"/>
        <v/>
      </c>
      <c r="AK537" s="413" t="str">
        <f>IFERROR(AE537/(Q_BRAND_FC!$T$24+1),"")</f>
        <v/>
      </c>
      <c r="AL537" s="88" t="str">
        <f t="shared" ca="1" si="201"/>
        <v/>
      </c>
      <c r="AM537" s="414" t="str">
        <f t="shared" ca="1" si="202"/>
        <v/>
      </c>
      <c r="AN537" s="58">
        <f>IFERROR(IF($V537="BRAND.com",HLOOKUP($X537&amp;$Z537,NWC_FC_NOOS!$C$4:$Q$23,MATCH(W537,NWC_FC_NOOS!$B$4:$B$23,0),FALSE),0),0)</f>
        <v>0</v>
      </c>
      <c r="AO537" s="57">
        <f>IFERROR(IF($V537="BRAND.com",HLOOKUP($X537&amp;$Z537,NWC_FC_NOOS!$T$4:$AH$23,MATCH(W537,NWC_FC_NOOS!$S$4:$S$23,0),FALSE),0),0)</f>
        <v>0</v>
      </c>
      <c r="AP537" s="57">
        <f>IFERROR(IF($V537="BRAND.com",HLOOKUP($X537&amp;$Z537,NWC_FC_NOOS!$C$50:$U$69,MATCH(W537,NWC_FC_NOOS!$B$50:$B$69,0),FALSE),0),0)</f>
        <v>0</v>
      </c>
      <c r="AQ537" s="58">
        <f>IFERROR(IF($V537="BRAND.com",HLOOKUP($X537&amp;$Z537,'NWC_FC_NON-NOOS'!$C$4:$Q$23,MATCH(W537,'NWC_FC_NON-NOOS'!$B$4:$B$23,0),FALSE),0),0)</f>
        <v>0</v>
      </c>
      <c r="AR537" s="57">
        <f>IFERROR(IF($V537="BRAND.com",HLOOKUP($X537&amp;$Z537,'NWC_FC_NON-NOOS'!$T$4:$AH$23,MATCH(W537,'NWC_FC_NON-NOOS'!$S$4:$S$23,0),FALSE),0),0)</f>
        <v>0</v>
      </c>
      <c r="AS537" s="57">
        <f>IFERROR(IF($V537="BRAND.com",HLOOKUP($X537&amp;$Z537,'NWC_FC_NON-NOOS'!$C$50:$U$69,MATCH(W537,'NWC_FC_NON-NOOS'!$B$50:$B$69,0),FALSE),0),0)</f>
        <v>0</v>
      </c>
      <c r="AT537" s="57">
        <f t="shared" si="204"/>
        <v>0</v>
      </c>
      <c r="AU537" s="57">
        <f t="shared" si="205"/>
        <v>0</v>
      </c>
      <c r="AV537" s="58">
        <f>IFERROR(IF($V537="BRAND.com",HLOOKUP($X537&amp;$Z537,PLANNING_FC!$BB$27:$BP$46,MATCH($W537,PLANNING_FC!$BA$27:$BA$46,0),FALSE),0),0)</f>
        <v>0</v>
      </c>
      <c r="AW537" s="58">
        <f>IFERROR(IF($V537="BRAND.com",HLOOKUP($X537&amp;$Z537,PLANNING_FC!$BB$4:$BP$23,MATCH($W537,PLANNING_FC!$BA$4:$BA$23,0),FALSE),0),0)</f>
        <v>0</v>
      </c>
      <c r="AX537" s="58">
        <f>IFERROR(IF($V537="BRAND.com",HLOOKUP($X537&amp;$Z537,PLANNING_FC!$T$27:$AH$46,MATCH($W537,PLANNING_FC!$B$27:$B$46,0),FALSE),0),0)</f>
        <v>0</v>
      </c>
      <c r="AY537" s="58">
        <f>IFERROR(IF($V537="BRAND.com",HLOOKUP($X537&amp;$Z537,PLANNING_FC!$T$4:$AH$23,MATCH($W537,PLANNING_FC!$B$4:$B$23,0),FALSE),0),0)</f>
        <v>0</v>
      </c>
      <c r="AZ537" s="58">
        <f>IFERROR(IF($V537="BRAND.com",HLOOKUP($X537&amp;$Z537,PLANNING_FC!$DA$27:$DO$46,MATCH($W537,PLANNING_FC!$CZ$27:$CZ$46,0),FALSE),0),0)</f>
        <v>0</v>
      </c>
      <c r="BA537" s="58">
        <f>IFERROR(IF($V537="BRAND.com",HLOOKUP($X537&amp;$Z537,PLANNING_FC!$DA$4:$DO$23,MATCH($W537,PLANNING_FC!$CZ$4:$CZ$23,0),FALSE),0),0)</f>
        <v>0</v>
      </c>
      <c r="BB537" s="883" t="str">
        <f>IF(V537="BRAND.com",IFERROR(HLOOKUP(X537&amp;Z537,PLANNING_FC!$AK$4:$AY$23,MATCH(W537,PLANNING_FC!$AJ$4:$AJ$23,0),FALSE)*1000,""),"")</f>
        <v/>
      </c>
      <c r="BC537" s="883" t="str">
        <f>IF(V537="BRAND.com",IFERROR(HLOOKUP(X537&amp;Z537,PLANNING_FC!$AK$27:$AY$46,MATCH(W537,PLANNING_FC!$AJ$27:$AJ$46,0),FALSE)*1000,""),"")</f>
        <v/>
      </c>
    </row>
    <row r="538" spans="1:55" x14ac:dyDescent="0.25">
      <c r="A538" s="509"/>
      <c r="B538" s="509"/>
      <c r="C538" s="509"/>
      <c r="D538" s="509"/>
      <c r="E538" s="509"/>
      <c r="F538" s="509"/>
      <c r="G538" s="511"/>
      <c r="H538" s="509"/>
      <c r="I538" s="512"/>
      <c r="J538" s="513"/>
      <c r="K538" s="514"/>
      <c r="L538" s="515"/>
      <c r="M538" s="516"/>
      <c r="N538" s="56">
        <f t="shared" si="206"/>
        <v>0</v>
      </c>
      <c r="O538" s="57">
        <f t="shared" si="207"/>
        <v>0</v>
      </c>
      <c r="P538" s="57">
        <f ca="1">IFERROR(IF(ISBLANK(H538),SUMIFS($AC:$AC,$V:$V,V538,$W:$W,W538,$X:$X,X538,$Y:$Y,Y538)*J538/(1-J538)*VLOOKUP(_xlfn.CONCAT(C538,D538,E538,TIME!$M$12,Z538),HIS_SALES!$B$2:$W$4859,20,FALSE),AC538*J538/(1-J538)),0)</f>
        <v>0</v>
      </c>
      <c r="Q538" s="541" t="str">
        <f t="shared" si="208"/>
        <v/>
      </c>
      <c r="R538" s="346" t="str">
        <f t="shared" si="189"/>
        <v>00000</v>
      </c>
      <c r="S538" s="344">
        <f t="shared" si="209"/>
        <v>0</v>
      </c>
      <c r="T538" s="345" t="str">
        <f t="shared" si="203"/>
        <v>000</v>
      </c>
      <c r="U538" s="345">
        <f t="shared" si="210"/>
        <v>0</v>
      </c>
      <c r="V538" s="345">
        <f t="shared" si="211"/>
        <v>0</v>
      </c>
      <c r="W538" s="345">
        <f t="shared" si="212"/>
        <v>0</v>
      </c>
      <c r="X538" s="345">
        <f t="shared" si="213"/>
        <v>0</v>
      </c>
      <c r="Y538" s="345">
        <f t="shared" si="214"/>
        <v>0</v>
      </c>
      <c r="Z538" s="345">
        <f>IF(Q538&lt;&gt;"",VLOOKUP(Y538,TIME!$R$21:$V$24,MATCH(FC_DATA!Q538,TIME!$R$20:$V$20,0),FALSE),H538)</f>
        <v>0</v>
      </c>
      <c r="AA538" s="345" t="str">
        <f>IFERROR(VLOOKUP(X538&amp;Z538,TIME!$A$12:$D$71,4,FALSE),"")</f>
        <v/>
      </c>
      <c r="AB538" s="592">
        <f t="shared" ca="1" si="196"/>
        <v>0</v>
      </c>
      <c r="AC538" s="593" t="e">
        <f ca="1">IF(ISBLANK(H538)=FALSE,IF(D538="BRAND.com",I538,IF(ISNA(VLOOKUP(_xlfn.CONCAT(X538,Z538),TIME!$M$40:$M$42,1,FALSE)),I538,VLOOKUP(_xlfn.CONCAT(D538,G538,H538),M_BUSAREA_FC!$AF$5:$AJ$10,5,FALSE)*HLOOKUP(_xlfn.CONCAT(F538,H538),ST_OVERVIEW!$G$99:$I$130,MATCH(_xlfn.CONCAT(D538,E538),ST_OVERVIEW!$F$99:$F$130,0),FALSE))),IF(D538="BRAND.com",VLOOKUP(_xlfn.CONCAT(C538,D538,E538,TIME!$F$1,Z538),HIS_SALES!$B$2:$V$4859,19,FALSE)*I538,VLOOKUP(_xlfn.CONCAT(D538,F538,G538),Q_BUSAREA_FC!$AE$5:$AI$12,5,FALSE)*HLOOKUP(_xlfn.CONCAT(FC_DATA!F538,FC_DATA!G538),LT_OVERVIEW!$I$99:$M$130,MATCH(_xlfn.CONCAT(D538,FC_DATA!E538),LT_OVERVIEW!$H$99:$H$130,0),FALSE)*IFERROR(VLOOKUP(_xlfn.CONCAT(C538,D538,E538,TIME!$F$1,Z538),HIS_SALES!$B$2:$V$4859,19,FALSE),0)))</f>
        <v>#N/A</v>
      </c>
      <c r="AD538" s="341">
        <f t="shared" ca="1" si="215"/>
        <v>0</v>
      </c>
      <c r="AE538" s="363" t="str">
        <f t="shared" si="216"/>
        <v/>
      </c>
      <c r="AF538" s="342" t="str">
        <f t="shared" si="217"/>
        <v/>
      </c>
      <c r="AG538" s="411" t="e">
        <f ca="1">VLOOKUP(_xlfn.CONCAT(U538,V538,W538,VLOOKUP(X538&amp;Y538,TIME!$L$27:$O$34,4,FALSE),Y538),HIS_SALES!$A$2:$R$5093,18,FALSE)</f>
        <v>#N/A</v>
      </c>
      <c r="AH538" s="412" t="e">
        <f ca="1">IFERROR(IF(AND(V538=V537,W538=W537),0.5*(AB538+AB537)*AG538,(VLOOKUP(_xlfn.CONCAT(U538,V538,W538,X538,VLOOKUP(Z538,TIME!$S$28:$T$39,2,FALSE)),FC_DATA!$R$2:$AB$5000,MATCH("GS_I_M",FC_DATA!$R$1:$AB$1,0),FALSE)+FC_DATA!AB538)*0.5*FC_DATA!AG538),NA())</f>
        <v>#N/A</v>
      </c>
      <c r="AI538" s="491" t="e">
        <f ca="1">IF(V538="PARTNER.com",AH538,IF(AND(V538=V537,W538=W537),(1-AVERAGE(AD537,AD538))*AH538,(1-AVERAGE(AD538,VLOOKUP(_xlfn.CONCAT(U538,V538,W538,X538,M_BRAND_FC!$F$6),FC_DATA!$R$2:$AD$5000,MATCH("DISCOUNT_%_M",FC_DATA!$R$1:$AD$1,0),FALSE)))*AH538))</f>
        <v>#N/A</v>
      </c>
      <c r="AJ538" s="412" t="str">
        <f t="shared" ca="1" si="200"/>
        <v/>
      </c>
      <c r="AK538" s="413" t="str">
        <f>IFERROR(AE538/(Q_BRAND_FC!$T$24+1),"")</f>
        <v/>
      </c>
      <c r="AL538" s="88" t="str">
        <f t="shared" ca="1" si="201"/>
        <v/>
      </c>
      <c r="AM538" s="414" t="str">
        <f t="shared" ca="1" si="202"/>
        <v/>
      </c>
      <c r="AN538" s="58">
        <f>IFERROR(IF($V538="BRAND.com",HLOOKUP($X538&amp;$Z538,NWC_FC_NOOS!$C$4:$Q$23,MATCH(W538,NWC_FC_NOOS!$B$4:$B$23,0),FALSE),0),0)</f>
        <v>0</v>
      </c>
      <c r="AO538" s="57">
        <f>IFERROR(IF($V538="BRAND.com",HLOOKUP($X538&amp;$Z538,NWC_FC_NOOS!$T$4:$AH$23,MATCH(W538,NWC_FC_NOOS!$S$4:$S$23,0),FALSE),0),0)</f>
        <v>0</v>
      </c>
      <c r="AP538" s="57">
        <f>IFERROR(IF($V538="BRAND.com",HLOOKUP($X538&amp;$Z538,NWC_FC_NOOS!$C$50:$U$69,MATCH(W538,NWC_FC_NOOS!$B$50:$B$69,0),FALSE),0),0)</f>
        <v>0</v>
      </c>
      <c r="AQ538" s="58">
        <f>IFERROR(IF($V538="BRAND.com",HLOOKUP($X538&amp;$Z538,'NWC_FC_NON-NOOS'!$C$4:$Q$23,MATCH(W538,'NWC_FC_NON-NOOS'!$B$4:$B$23,0),FALSE),0),0)</f>
        <v>0</v>
      </c>
      <c r="AR538" s="57">
        <f>IFERROR(IF($V538="BRAND.com",HLOOKUP($X538&amp;$Z538,'NWC_FC_NON-NOOS'!$T$4:$AH$23,MATCH(W538,'NWC_FC_NON-NOOS'!$S$4:$S$23,0),FALSE),0),0)</f>
        <v>0</v>
      </c>
      <c r="AS538" s="57">
        <f>IFERROR(IF($V538="BRAND.com",HLOOKUP($X538&amp;$Z538,'NWC_FC_NON-NOOS'!$C$50:$U$69,MATCH(W538,'NWC_FC_NON-NOOS'!$B$50:$B$69,0),FALSE),0),0)</f>
        <v>0</v>
      </c>
      <c r="AT538" s="57">
        <f t="shared" si="204"/>
        <v>0</v>
      </c>
      <c r="AU538" s="57">
        <f t="shared" si="205"/>
        <v>0</v>
      </c>
      <c r="AV538" s="58">
        <f>IFERROR(IF($V538="BRAND.com",HLOOKUP($X538&amp;$Z538,PLANNING_FC!$BB$27:$BP$46,MATCH($W538,PLANNING_FC!$BA$27:$BA$46,0),FALSE),0),0)</f>
        <v>0</v>
      </c>
      <c r="AW538" s="58">
        <f>IFERROR(IF($V538="BRAND.com",HLOOKUP($X538&amp;$Z538,PLANNING_FC!$BB$4:$BP$23,MATCH($W538,PLANNING_FC!$BA$4:$BA$23,0),FALSE),0),0)</f>
        <v>0</v>
      </c>
      <c r="AX538" s="58">
        <f>IFERROR(IF($V538="BRAND.com",HLOOKUP($X538&amp;$Z538,PLANNING_FC!$T$27:$AH$46,MATCH($W538,PLANNING_FC!$B$27:$B$46,0),FALSE),0),0)</f>
        <v>0</v>
      </c>
      <c r="AY538" s="58">
        <f>IFERROR(IF($V538="BRAND.com",HLOOKUP($X538&amp;$Z538,PLANNING_FC!$T$4:$AH$23,MATCH($W538,PLANNING_FC!$B$4:$B$23,0),FALSE),0),0)</f>
        <v>0</v>
      </c>
      <c r="AZ538" s="58">
        <f>IFERROR(IF($V538="BRAND.com",HLOOKUP($X538&amp;$Z538,PLANNING_FC!$DA$27:$DO$46,MATCH($W538,PLANNING_FC!$CZ$27:$CZ$46,0),FALSE),0),0)</f>
        <v>0</v>
      </c>
      <c r="BA538" s="58">
        <f>IFERROR(IF($V538="BRAND.com",HLOOKUP($X538&amp;$Z538,PLANNING_FC!$DA$4:$DO$23,MATCH($W538,PLANNING_FC!$CZ$4:$CZ$23,0),FALSE),0),0)</f>
        <v>0</v>
      </c>
      <c r="BB538" s="883" t="str">
        <f>IF(V538="BRAND.com",IFERROR(HLOOKUP(X538&amp;Z538,PLANNING_FC!$AK$4:$AY$23,MATCH(W538,PLANNING_FC!$AJ$4:$AJ$23,0),FALSE)*1000,""),"")</f>
        <v/>
      </c>
      <c r="BC538" s="883" t="str">
        <f>IF(V538="BRAND.com",IFERROR(HLOOKUP(X538&amp;Z538,PLANNING_FC!$AK$27:$AY$46,MATCH(W538,PLANNING_FC!$AJ$27:$AJ$46,0),FALSE)*1000,""),"")</f>
        <v/>
      </c>
    </row>
    <row r="539" spans="1:55" x14ac:dyDescent="0.25">
      <c r="A539" s="509"/>
      <c r="B539" s="509"/>
      <c r="C539" s="509"/>
      <c r="D539" s="509"/>
      <c r="E539" s="509"/>
      <c r="F539" s="509"/>
      <c r="G539" s="509"/>
      <c r="H539" s="509"/>
      <c r="I539" s="512"/>
      <c r="J539" s="513"/>
      <c r="K539" s="514"/>
      <c r="L539" s="515"/>
      <c r="M539" s="516"/>
      <c r="N539" s="56">
        <f t="shared" si="206"/>
        <v>0</v>
      </c>
      <c r="O539" s="57">
        <f t="shared" si="207"/>
        <v>0</v>
      </c>
      <c r="P539" s="57">
        <f ca="1">IFERROR(IF(ISBLANK(H539),SUMIFS($AC:$AC,$V:$V,V539,$W:$W,W539,$X:$X,X539,$Y:$Y,Y539)*J539/(1-J539)*VLOOKUP(_xlfn.CONCAT(C539,D539,E539,TIME!$M$12,Z539),HIS_SALES!$B$2:$W$4859,20,FALSE),AC539*J539/(1-J539)),0)</f>
        <v>0</v>
      </c>
      <c r="Q539" s="541" t="str">
        <f t="shared" si="208"/>
        <v/>
      </c>
      <c r="R539" s="346" t="str">
        <f t="shared" si="189"/>
        <v>00000</v>
      </c>
      <c r="S539" s="344">
        <f t="shared" si="209"/>
        <v>0</v>
      </c>
      <c r="T539" s="345" t="str">
        <f t="shared" si="203"/>
        <v>000</v>
      </c>
      <c r="U539" s="345">
        <f t="shared" si="210"/>
        <v>0</v>
      </c>
      <c r="V539" s="345">
        <f t="shared" si="211"/>
        <v>0</v>
      </c>
      <c r="W539" s="345">
        <f t="shared" si="212"/>
        <v>0</v>
      </c>
      <c r="X539" s="345">
        <f t="shared" si="213"/>
        <v>0</v>
      </c>
      <c r="Y539" s="345">
        <f t="shared" si="214"/>
        <v>0</v>
      </c>
      <c r="Z539" s="345">
        <f>IF(Q539&lt;&gt;"",VLOOKUP(Y539,TIME!$R$21:$V$24,MATCH(FC_DATA!Q539,TIME!$R$20:$V$20,0),FALSE),H539)</f>
        <v>0</v>
      </c>
      <c r="AA539" s="345" t="str">
        <f>IFERROR(VLOOKUP(X539&amp;Z539,TIME!$A$12:$D$71,4,FALSE),"")</f>
        <v/>
      </c>
      <c r="AB539" s="592">
        <f t="shared" ca="1" si="196"/>
        <v>0</v>
      </c>
      <c r="AC539" s="593" t="e">
        <f ca="1">IF(ISBLANK(H539)=FALSE,IF(D539="BRAND.com",I539,IF(ISNA(VLOOKUP(_xlfn.CONCAT(X539,Z539),TIME!$M$40:$M$42,1,FALSE)),I539,VLOOKUP(_xlfn.CONCAT(D539,G539,H539),M_BUSAREA_FC!$AF$5:$AJ$10,5,FALSE)*HLOOKUP(_xlfn.CONCAT(F539,H539),ST_OVERVIEW!$G$99:$I$130,MATCH(_xlfn.CONCAT(D539,E539),ST_OVERVIEW!$F$99:$F$130,0),FALSE))),IF(D539="BRAND.com",VLOOKUP(_xlfn.CONCAT(C539,D539,E539,TIME!$F$1,Z539),HIS_SALES!$B$2:$V$4859,19,FALSE)*I539,VLOOKUP(_xlfn.CONCAT(D539,F539,G539),Q_BUSAREA_FC!$AE$5:$AI$12,5,FALSE)*HLOOKUP(_xlfn.CONCAT(FC_DATA!F539,FC_DATA!G539),LT_OVERVIEW!$I$99:$M$130,MATCH(_xlfn.CONCAT(D539,FC_DATA!E539),LT_OVERVIEW!$H$99:$H$130,0),FALSE)*IFERROR(VLOOKUP(_xlfn.CONCAT(C539,D539,E539,TIME!$F$1,Z539),HIS_SALES!$B$2:$V$4859,19,FALSE),0)))</f>
        <v>#N/A</v>
      </c>
      <c r="AD539" s="341">
        <f t="shared" ca="1" si="215"/>
        <v>0</v>
      </c>
      <c r="AE539" s="363" t="str">
        <f t="shared" si="216"/>
        <v/>
      </c>
      <c r="AF539" s="342" t="str">
        <f t="shared" si="217"/>
        <v/>
      </c>
      <c r="AG539" s="411" t="e">
        <f ca="1">VLOOKUP(_xlfn.CONCAT(U539,V539,W539,VLOOKUP(X539&amp;Y539,TIME!$L$27:$O$34,4,FALSE),Y539),HIS_SALES!$A$2:$R$5093,18,FALSE)</f>
        <v>#N/A</v>
      </c>
      <c r="AH539" s="412" t="e">
        <f ca="1">IFERROR(IF(AND(V539=V538,W539=W538),0.5*(AB539+AB538)*AG539,(VLOOKUP(_xlfn.CONCAT(U539,V539,W539,X539,VLOOKUP(Z539,TIME!$S$28:$T$39,2,FALSE)),FC_DATA!$R$2:$AB$5000,MATCH("GS_I_M",FC_DATA!$R$1:$AB$1,0),FALSE)+FC_DATA!AB539)*0.5*FC_DATA!AG539),NA())</f>
        <v>#N/A</v>
      </c>
      <c r="AI539" s="491" t="e">
        <f ca="1">IF(V539="PARTNER.com",AH539,IF(AND(V539=V538,W539=W538),(1-AVERAGE(AD538,AD539))*AH539,(1-AVERAGE(AD539,VLOOKUP(_xlfn.CONCAT(U539,V539,W539,X539,M_BRAND_FC!$F$6),FC_DATA!$R$2:$AD$5000,MATCH("DISCOUNT_%_M",FC_DATA!$R$1:$AD$1,0),FALSE)))*AH539))</f>
        <v>#N/A</v>
      </c>
      <c r="AJ539" s="412" t="str">
        <f t="shared" ca="1" si="200"/>
        <v/>
      </c>
      <c r="AK539" s="413" t="str">
        <f>IFERROR(AE539/(Q_BRAND_FC!$T$24+1),"")</f>
        <v/>
      </c>
      <c r="AL539" s="88" t="str">
        <f t="shared" ca="1" si="201"/>
        <v/>
      </c>
      <c r="AM539" s="414" t="str">
        <f t="shared" ca="1" si="202"/>
        <v/>
      </c>
      <c r="AN539" s="58">
        <f>IFERROR(IF($V539="BRAND.com",HLOOKUP($X539&amp;$Z539,NWC_FC_NOOS!$C$4:$Q$23,MATCH(W539,NWC_FC_NOOS!$B$4:$B$23,0),FALSE),0),0)</f>
        <v>0</v>
      </c>
      <c r="AO539" s="57">
        <f>IFERROR(IF($V539="BRAND.com",HLOOKUP($X539&amp;$Z539,NWC_FC_NOOS!$T$4:$AH$23,MATCH(W539,NWC_FC_NOOS!$S$4:$S$23,0),FALSE),0),0)</f>
        <v>0</v>
      </c>
      <c r="AP539" s="57">
        <f>IFERROR(IF($V539="BRAND.com",HLOOKUP($X539&amp;$Z539,NWC_FC_NOOS!$C$50:$U$69,MATCH(W539,NWC_FC_NOOS!$B$50:$B$69,0),FALSE),0),0)</f>
        <v>0</v>
      </c>
      <c r="AQ539" s="58">
        <f>IFERROR(IF($V539="BRAND.com",HLOOKUP($X539&amp;$Z539,'NWC_FC_NON-NOOS'!$C$4:$Q$23,MATCH(W539,'NWC_FC_NON-NOOS'!$B$4:$B$23,0),FALSE),0),0)</f>
        <v>0</v>
      </c>
      <c r="AR539" s="57">
        <f>IFERROR(IF($V539="BRAND.com",HLOOKUP($X539&amp;$Z539,'NWC_FC_NON-NOOS'!$T$4:$AH$23,MATCH(W539,'NWC_FC_NON-NOOS'!$S$4:$S$23,0),FALSE),0),0)</f>
        <v>0</v>
      </c>
      <c r="AS539" s="57">
        <f>IFERROR(IF($V539="BRAND.com",HLOOKUP($X539&amp;$Z539,'NWC_FC_NON-NOOS'!$C$50:$U$69,MATCH(W539,'NWC_FC_NON-NOOS'!$B$50:$B$69,0),FALSE),0),0)</f>
        <v>0</v>
      </c>
      <c r="AT539" s="57">
        <f t="shared" si="204"/>
        <v>0</v>
      </c>
      <c r="AU539" s="57">
        <f t="shared" si="205"/>
        <v>0</v>
      </c>
      <c r="AV539" s="58">
        <f>IFERROR(IF($V539="BRAND.com",HLOOKUP($X539&amp;$Z539,PLANNING_FC!$BB$27:$BP$46,MATCH($W539,PLANNING_FC!$BA$27:$BA$46,0),FALSE),0),0)</f>
        <v>0</v>
      </c>
      <c r="AW539" s="58">
        <f>IFERROR(IF($V539="BRAND.com",HLOOKUP($X539&amp;$Z539,PLANNING_FC!$BB$4:$BP$23,MATCH($W539,PLANNING_FC!$BA$4:$BA$23,0),FALSE),0),0)</f>
        <v>0</v>
      </c>
      <c r="AX539" s="58">
        <f>IFERROR(IF($V539="BRAND.com",HLOOKUP($X539&amp;$Z539,PLANNING_FC!$T$27:$AH$46,MATCH($W539,PLANNING_FC!$B$27:$B$46,0),FALSE),0),0)</f>
        <v>0</v>
      </c>
      <c r="AY539" s="58">
        <f>IFERROR(IF($V539="BRAND.com",HLOOKUP($X539&amp;$Z539,PLANNING_FC!$T$4:$AH$23,MATCH($W539,PLANNING_FC!$B$4:$B$23,0),FALSE),0),0)</f>
        <v>0</v>
      </c>
      <c r="AZ539" s="58">
        <f>IFERROR(IF($V539="BRAND.com",HLOOKUP($X539&amp;$Z539,PLANNING_FC!$DA$27:$DO$46,MATCH($W539,PLANNING_FC!$CZ$27:$CZ$46,0),FALSE),0),0)</f>
        <v>0</v>
      </c>
      <c r="BA539" s="58">
        <f>IFERROR(IF($V539="BRAND.com",HLOOKUP($X539&amp;$Z539,PLANNING_FC!$DA$4:$DO$23,MATCH($W539,PLANNING_FC!$CZ$4:$CZ$23,0),FALSE),0),0)</f>
        <v>0</v>
      </c>
      <c r="BB539" s="883" t="str">
        <f>IF(V539="BRAND.com",IFERROR(HLOOKUP(X539&amp;Z539,PLANNING_FC!$AK$4:$AY$23,MATCH(W539,PLANNING_FC!$AJ$4:$AJ$23,0),FALSE)*1000,""),"")</f>
        <v/>
      </c>
      <c r="BC539" s="883" t="str">
        <f>IF(V539="BRAND.com",IFERROR(HLOOKUP(X539&amp;Z539,PLANNING_FC!$AK$27:$AY$46,MATCH(W539,PLANNING_FC!$AJ$27:$AJ$46,0),FALSE)*1000,""),"")</f>
        <v/>
      </c>
    </row>
    <row r="540" spans="1:55" x14ac:dyDescent="0.25">
      <c r="A540" s="509"/>
      <c r="B540" s="509"/>
      <c r="C540" s="509"/>
      <c r="D540" s="509"/>
      <c r="E540" s="509"/>
      <c r="F540" s="509"/>
      <c r="G540" s="509"/>
      <c r="H540" s="509"/>
      <c r="I540" s="512"/>
      <c r="J540" s="513"/>
      <c r="K540" s="514"/>
      <c r="L540" s="515"/>
      <c r="M540" s="516"/>
      <c r="N540" s="56">
        <f t="shared" si="206"/>
        <v>0</v>
      </c>
      <c r="O540" s="57">
        <f t="shared" si="207"/>
        <v>0</v>
      </c>
      <c r="P540" s="57">
        <f ca="1">IFERROR(IF(ISBLANK(H540),SUMIFS($AC:$AC,$V:$V,V540,$W:$W,W540,$X:$X,X540,$Y:$Y,Y540)*J540/(1-J540)*VLOOKUP(_xlfn.CONCAT(C540,D540,E540,TIME!$M$12,Z540),HIS_SALES!$B$2:$W$4859,20,FALSE),AC540*J540/(1-J540)),0)</f>
        <v>0</v>
      </c>
      <c r="Q540" s="541" t="str">
        <f t="shared" si="208"/>
        <v/>
      </c>
      <c r="R540" s="346" t="str">
        <f t="shared" si="189"/>
        <v>00000</v>
      </c>
      <c r="S540" s="344">
        <f t="shared" si="209"/>
        <v>0</v>
      </c>
      <c r="T540" s="345" t="str">
        <f t="shared" si="203"/>
        <v>000</v>
      </c>
      <c r="U540" s="345">
        <f t="shared" si="210"/>
        <v>0</v>
      </c>
      <c r="V540" s="345">
        <f t="shared" si="211"/>
        <v>0</v>
      </c>
      <c r="W540" s="345">
        <f t="shared" si="212"/>
        <v>0</v>
      </c>
      <c r="X540" s="345">
        <f t="shared" si="213"/>
        <v>0</v>
      </c>
      <c r="Y540" s="345">
        <f t="shared" si="214"/>
        <v>0</v>
      </c>
      <c r="Z540" s="345">
        <f>IF(Q540&lt;&gt;"",VLOOKUP(Y540,TIME!$R$21:$V$24,MATCH(FC_DATA!Q540,TIME!$R$20:$V$20,0),FALSE),H540)</f>
        <v>0</v>
      </c>
      <c r="AA540" s="345" t="str">
        <f>IFERROR(VLOOKUP(X540&amp;Z540,TIME!$A$12:$D$71,4,FALSE),"")</f>
        <v/>
      </c>
      <c r="AB540" s="592">
        <f t="shared" ca="1" si="196"/>
        <v>0</v>
      </c>
      <c r="AC540" s="593" t="e">
        <f ca="1">IF(ISBLANK(H540)=FALSE,IF(D540="BRAND.com",I540,IF(ISNA(VLOOKUP(_xlfn.CONCAT(X540,Z540),TIME!$M$40:$M$42,1,FALSE)),I540,VLOOKUP(_xlfn.CONCAT(D540,G540,H540),M_BUSAREA_FC!$AF$5:$AJ$10,5,FALSE)*HLOOKUP(_xlfn.CONCAT(F540,H540),ST_OVERVIEW!$G$99:$I$130,MATCH(_xlfn.CONCAT(D540,E540),ST_OVERVIEW!$F$99:$F$130,0),FALSE))),IF(D540="BRAND.com",VLOOKUP(_xlfn.CONCAT(C540,D540,E540,TIME!$F$1,Z540),HIS_SALES!$B$2:$V$4859,19,FALSE)*I540,VLOOKUP(_xlfn.CONCAT(D540,F540,G540),Q_BUSAREA_FC!$AE$5:$AI$12,5,FALSE)*HLOOKUP(_xlfn.CONCAT(FC_DATA!F540,FC_DATA!G540),LT_OVERVIEW!$I$99:$M$130,MATCH(_xlfn.CONCAT(D540,FC_DATA!E540),LT_OVERVIEW!$H$99:$H$130,0),FALSE)*IFERROR(VLOOKUP(_xlfn.CONCAT(C540,D540,E540,TIME!$F$1,Z540),HIS_SALES!$B$2:$V$4859,19,FALSE),0)))</f>
        <v>#N/A</v>
      </c>
      <c r="AD540" s="341">
        <f t="shared" ca="1" si="215"/>
        <v>0</v>
      </c>
      <c r="AE540" s="363" t="str">
        <f t="shared" si="216"/>
        <v/>
      </c>
      <c r="AF540" s="342" t="str">
        <f t="shared" si="217"/>
        <v/>
      </c>
      <c r="AG540" s="411" t="e">
        <f ca="1">VLOOKUP(_xlfn.CONCAT(U540,V540,W540,VLOOKUP(X540&amp;Y540,TIME!$L$27:$O$34,4,FALSE),Y540),HIS_SALES!$A$2:$R$5093,18,FALSE)</f>
        <v>#N/A</v>
      </c>
      <c r="AH540" s="412" t="e">
        <f ca="1">IFERROR(IF(AND(V540=V539,W540=W539),0.5*(AB540+AB539)*AG540,(VLOOKUP(_xlfn.CONCAT(U540,V540,W540,X540,VLOOKUP(Z540,TIME!$S$28:$T$39,2,FALSE)),FC_DATA!$R$2:$AB$5000,MATCH("GS_I_M",FC_DATA!$R$1:$AB$1,0),FALSE)+FC_DATA!AB540)*0.5*FC_DATA!AG540),NA())</f>
        <v>#N/A</v>
      </c>
      <c r="AI540" s="491" t="e">
        <f ca="1">IF(V540="PARTNER.com",AH540,IF(AND(V540=V539,W540=W539),(1-AVERAGE(AD539,AD540))*AH540,(1-AVERAGE(AD540,VLOOKUP(_xlfn.CONCAT(U540,V540,W540,X540,M_BRAND_FC!$F$6),FC_DATA!$R$2:$AD$5000,MATCH("DISCOUNT_%_M",FC_DATA!$R$1:$AD$1,0),FALSE)))*AH540))</f>
        <v>#N/A</v>
      </c>
      <c r="AJ540" s="412" t="str">
        <f t="shared" ca="1" si="200"/>
        <v/>
      </c>
      <c r="AK540" s="413" t="str">
        <f>IFERROR(AE540/(Q_BRAND_FC!$T$24+1),"")</f>
        <v/>
      </c>
      <c r="AL540" s="88" t="str">
        <f t="shared" ca="1" si="201"/>
        <v/>
      </c>
      <c r="AM540" s="414" t="str">
        <f t="shared" ca="1" si="202"/>
        <v/>
      </c>
      <c r="AN540" s="58">
        <f>IFERROR(IF($V540="BRAND.com",HLOOKUP($X540&amp;$Z540,NWC_FC_NOOS!$C$4:$Q$23,MATCH(W540,NWC_FC_NOOS!$B$4:$B$23,0),FALSE),0),0)</f>
        <v>0</v>
      </c>
      <c r="AO540" s="57">
        <f>IFERROR(IF($V540="BRAND.com",HLOOKUP($X540&amp;$Z540,NWC_FC_NOOS!$T$4:$AH$23,MATCH(W540,NWC_FC_NOOS!$S$4:$S$23,0),FALSE),0),0)</f>
        <v>0</v>
      </c>
      <c r="AP540" s="57">
        <f>IFERROR(IF($V540="BRAND.com",HLOOKUP($X540&amp;$Z540,NWC_FC_NOOS!$C$50:$U$69,MATCH(W540,NWC_FC_NOOS!$B$50:$B$69,0),FALSE),0),0)</f>
        <v>0</v>
      </c>
      <c r="AQ540" s="58">
        <f>IFERROR(IF($V540="BRAND.com",HLOOKUP($X540&amp;$Z540,'NWC_FC_NON-NOOS'!$C$4:$Q$23,MATCH(W540,'NWC_FC_NON-NOOS'!$B$4:$B$23,0),FALSE),0),0)</f>
        <v>0</v>
      </c>
      <c r="AR540" s="57">
        <f>IFERROR(IF($V540="BRAND.com",HLOOKUP($X540&amp;$Z540,'NWC_FC_NON-NOOS'!$T$4:$AH$23,MATCH(W540,'NWC_FC_NON-NOOS'!$S$4:$S$23,0),FALSE),0),0)</f>
        <v>0</v>
      </c>
      <c r="AS540" s="57">
        <f>IFERROR(IF($V540="BRAND.com",HLOOKUP($X540&amp;$Z540,'NWC_FC_NON-NOOS'!$C$50:$U$69,MATCH(W540,'NWC_FC_NON-NOOS'!$B$50:$B$69,0),FALSE),0),0)</f>
        <v>0</v>
      </c>
      <c r="AT540" s="57">
        <f t="shared" si="204"/>
        <v>0</v>
      </c>
      <c r="AU540" s="57">
        <f t="shared" si="205"/>
        <v>0</v>
      </c>
      <c r="AV540" s="58">
        <f>IFERROR(IF($V540="BRAND.com",HLOOKUP($X540&amp;$Z540,PLANNING_FC!$BB$27:$BP$46,MATCH($W540,PLANNING_FC!$BA$27:$BA$46,0),FALSE),0),0)</f>
        <v>0</v>
      </c>
      <c r="AW540" s="58">
        <f>IFERROR(IF($V540="BRAND.com",HLOOKUP($X540&amp;$Z540,PLANNING_FC!$BB$4:$BP$23,MATCH($W540,PLANNING_FC!$BA$4:$BA$23,0),FALSE),0),0)</f>
        <v>0</v>
      </c>
      <c r="AX540" s="58">
        <f>IFERROR(IF($V540="BRAND.com",HLOOKUP($X540&amp;$Z540,PLANNING_FC!$T$27:$AH$46,MATCH($W540,PLANNING_FC!$B$27:$B$46,0),FALSE),0),0)</f>
        <v>0</v>
      </c>
      <c r="AY540" s="58">
        <f>IFERROR(IF($V540="BRAND.com",HLOOKUP($X540&amp;$Z540,PLANNING_FC!$T$4:$AH$23,MATCH($W540,PLANNING_FC!$B$4:$B$23,0),FALSE),0),0)</f>
        <v>0</v>
      </c>
      <c r="AZ540" s="58">
        <f>IFERROR(IF($V540="BRAND.com",HLOOKUP($X540&amp;$Z540,PLANNING_FC!$DA$27:$DO$46,MATCH($W540,PLANNING_FC!$CZ$27:$CZ$46,0),FALSE),0),0)</f>
        <v>0</v>
      </c>
      <c r="BA540" s="58">
        <f>IFERROR(IF($V540="BRAND.com",HLOOKUP($X540&amp;$Z540,PLANNING_FC!$DA$4:$DO$23,MATCH($W540,PLANNING_FC!$CZ$4:$CZ$23,0),FALSE),0),0)</f>
        <v>0</v>
      </c>
      <c r="BB540" s="883" t="str">
        <f>IF(V540="BRAND.com",IFERROR(HLOOKUP(X540&amp;Z540,PLANNING_FC!$AK$4:$AY$23,MATCH(W540,PLANNING_FC!$AJ$4:$AJ$23,0),FALSE)*1000,""),"")</f>
        <v/>
      </c>
      <c r="BC540" s="883" t="str">
        <f>IF(V540="BRAND.com",IFERROR(HLOOKUP(X540&amp;Z540,PLANNING_FC!$AK$27:$AY$46,MATCH(W540,PLANNING_FC!$AJ$27:$AJ$46,0),FALSE)*1000,""),"")</f>
        <v/>
      </c>
    </row>
    <row r="541" spans="1:55" x14ac:dyDescent="0.25">
      <c r="A541" s="509"/>
      <c r="B541" s="509"/>
      <c r="C541" s="509"/>
      <c r="D541" s="509"/>
      <c r="E541" s="509"/>
      <c r="F541" s="509"/>
      <c r="G541" s="509"/>
      <c r="H541" s="509"/>
      <c r="I541" s="512"/>
      <c r="J541" s="513"/>
      <c r="K541" s="514"/>
      <c r="L541" s="515"/>
      <c r="M541" s="516"/>
      <c r="N541" s="56">
        <f t="shared" si="206"/>
        <v>0</v>
      </c>
      <c r="O541" s="57">
        <f t="shared" si="207"/>
        <v>0</v>
      </c>
      <c r="P541" s="57">
        <f ca="1">IFERROR(IF(ISBLANK(H541),SUMIFS($AC:$AC,$V:$V,V541,$W:$W,W541,$X:$X,X541,$Y:$Y,Y541)*J541/(1-J541)*VLOOKUP(_xlfn.CONCAT(C541,D541,E541,TIME!$M$12,Z541),HIS_SALES!$B$2:$W$4859,20,FALSE),AC541*J541/(1-J541)),0)</f>
        <v>0</v>
      </c>
      <c r="Q541" s="541" t="str">
        <f t="shared" si="208"/>
        <v/>
      </c>
      <c r="R541" s="346" t="str">
        <f t="shared" si="189"/>
        <v>00000</v>
      </c>
      <c r="S541" s="344">
        <f t="shared" si="209"/>
        <v>0</v>
      </c>
      <c r="T541" s="345" t="str">
        <f t="shared" si="203"/>
        <v>000</v>
      </c>
      <c r="U541" s="345">
        <f t="shared" si="210"/>
        <v>0</v>
      </c>
      <c r="V541" s="345">
        <f t="shared" si="211"/>
        <v>0</v>
      </c>
      <c r="W541" s="345">
        <f t="shared" si="212"/>
        <v>0</v>
      </c>
      <c r="X541" s="345">
        <f t="shared" si="213"/>
        <v>0</v>
      </c>
      <c r="Y541" s="345">
        <f t="shared" si="214"/>
        <v>0</v>
      </c>
      <c r="Z541" s="345">
        <f>IF(Q541&lt;&gt;"",VLOOKUP(Y541,TIME!$R$21:$V$24,MATCH(FC_DATA!Q541,TIME!$R$20:$V$20,0),FALSE),H541)</f>
        <v>0</v>
      </c>
      <c r="AA541" s="345" t="str">
        <f>IFERROR(VLOOKUP(X541&amp;Z541,TIME!$A$12:$D$71,4,FALSE),"")</f>
        <v/>
      </c>
      <c r="AB541" s="592">
        <f t="shared" ca="1" si="196"/>
        <v>0</v>
      </c>
      <c r="AC541" s="593" t="e">
        <f ca="1">IF(ISBLANK(H541)=FALSE,IF(D541="BRAND.com",I541,IF(ISNA(VLOOKUP(_xlfn.CONCAT(X541,Z541),TIME!$M$40:$M$42,1,FALSE)),I541,VLOOKUP(_xlfn.CONCAT(D541,G541,H541),M_BUSAREA_FC!$AF$5:$AJ$10,5,FALSE)*HLOOKUP(_xlfn.CONCAT(F541,H541),ST_OVERVIEW!$G$99:$I$130,MATCH(_xlfn.CONCAT(D541,E541),ST_OVERVIEW!$F$99:$F$130,0),FALSE))),IF(D541="BRAND.com",VLOOKUP(_xlfn.CONCAT(C541,D541,E541,TIME!$F$1,Z541),HIS_SALES!$B$2:$V$4859,19,FALSE)*I541,VLOOKUP(_xlfn.CONCAT(D541,F541,G541),Q_BUSAREA_FC!$AE$5:$AI$12,5,FALSE)*HLOOKUP(_xlfn.CONCAT(FC_DATA!F541,FC_DATA!G541),LT_OVERVIEW!$I$99:$M$130,MATCH(_xlfn.CONCAT(D541,FC_DATA!E541),LT_OVERVIEW!$H$99:$H$130,0),FALSE)*IFERROR(VLOOKUP(_xlfn.CONCAT(C541,D541,E541,TIME!$F$1,Z541),HIS_SALES!$B$2:$V$4859,19,FALSE),0)))</f>
        <v>#N/A</v>
      </c>
      <c r="AD541" s="341">
        <f t="shared" ca="1" si="215"/>
        <v>0</v>
      </c>
      <c r="AE541" s="363" t="str">
        <f t="shared" si="216"/>
        <v/>
      </c>
      <c r="AF541" s="342" t="str">
        <f t="shared" si="217"/>
        <v/>
      </c>
      <c r="AG541" s="411" t="e">
        <f ca="1">VLOOKUP(_xlfn.CONCAT(U541,V541,W541,VLOOKUP(X541&amp;Y541,TIME!$L$27:$O$34,4,FALSE),Y541),HIS_SALES!$A$2:$R$5093,18,FALSE)</f>
        <v>#N/A</v>
      </c>
      <c r="AH541" s="412" t="e">
        <f ca="1">IFERROR(IF(AND(V541=V540,W541=W540),0.5*(AB541+AB540)*AG541,(VLOOKUP(_xlfn.CONCAT(U541,V541,W541,X541,VLOOKUP(Z541,TIME!$S$28:$T$39,2,FALSE)),FC_DATA!$R$2:$AB$5000,MATCH("GS_I_M",FC_DATA!$R$1:$AB$1,0),FALSE)+FC_DATA!AB541)*0.5*FC_DATA!AG541),NA())</f>
        <v>#N/A</v>
      </c>
      <c r="AI541" s="491" t="e">
        <f ca="1">IF(V541="PARTNER.com",AH541,IF(AND(V541=V540,W541=W540),(1-AVERAGE(AD540,AD541))*AH541,(1-AVERAGE(AD541,VLOOKUP(_xlfn.CONCAT(U541,V541,W541,X541,M_BRAND_FC!$F$6),FC_DATA!$R$2:$AD$5000,MATCH("DISCOUNT_%_M",FC_DATA!$R$1:$AD$1,0),FALSE)))*AH541))</f>
        <v>#N/A</v>
      </c>
      <c r="AJ541" s="412" t="str">
        <f t="shared" ca="1" si="200"/>
        <v/>
      </c>
      <c r="AK541" s="413" t="str">
        <f>IFERROR(AE541/(Q_BRAND_FC!$T$24+1),"")</f>
        <v/>
      </c>
      <c r="AL541" s="88" t="str">
        <f t="shared" ca="1" si="201"/>
        <v/>
      </c>
      <c r="AM541" s="414" t="str">
        <f t="shared" ca="1" si="202"/>
        <v/>
      </c>
      <c r="AN541" s="58">
        <f>IFERROR(IF($V541="BRAND.com",HLOOKUP($X541&amp;$Z541,NWC_FC_NOOS!$C$4:$Q$23,MATCH(W541,NWC_FC_NOOS!$B$4:$B$23,0),FALSE),0),0)</f>
        <v>0</v>
      </c>
      <c r="AO541" s="57">
        <f>IFERROR(IF($V541="BRAND.com",HLOOKUP($X541&amp;$Z541,NWC_FC_NOOS!$T$4:$AH$23,MATCH(W541,NWC_FC_NOOS!$S$4:$S$23,0),FALSE),0),0)</f>
        <v>0</v>
      </c>
      <c r="AP541" s="57">
        <f>IFERROR(IF($V541="BRAND.com",HLOOKUP($X541&amp;$Z541,NWC_FC_NOOS!$C$50:$U$69,MATCH(W541,NWC_FC_NOOS!$B$50:$B$69,0),FALSE),0),0)</f>
        <v>0</v>
      </c>
      <c r="AQ541" s="58">
        <f>IFERROR(IF($V541="BRAND.com",HLOOKUP($X541&amp;$Z541,'NWC_FC_NON-NOOS'!$C$4:$Q$23,MATCH(W541,'NWC_FC_NON-NOOS'!$B$4:$B$23,0),FALSE),0),0)</f>
        <v>0</v>
      </c>
      <c r="AR541" s="57">
        <f>IFERROR(IF($V541="BRAND.com",HLOOKUP($X541&amp;$Z541,'NWC_FC_NON-NOOS'!$T$4:$AH$23,MATCH(W541,'NWC_FC_NON-NOOS'!$S$4:$S$23,0),FALSE),0),0)</f>
        <v>0</v>
      </c>
      <c r="AS541" s="57">
        <f>IFERROR(IF($V541="BRAND.com",HLOOKUP($X541&amp;$Z541,'NWC_FC_NON-NOOS'!$C$50:$U$69,MATCH(W541,'NWC_FC_NON-NOOS'!$B$50:$B$69,0),FALSE),0),0)</f>
        <v>0</v>
      </c>
      <c r="AT541" s="57">
        <f t="shared" si="204"/>
        <v>0</v>
      </c>
      <c r="AU541" s="57">
        <f t="shared" si="205"/>
        <v>0</v>
      </c>
      <c r="AV541" s="58">
        <f>IFERROR(IF($V541="BRAND.com",HLOOKUP($X541&amp;$Z541,PLANNING_FC!$BB$27:$BP$46,MATCH($W541,PLANNING_FC!$BA$27:$BA$46,0),FALSE),0),0)</f>
        <v>0</v>
      </c>
      <c r="AW541" s="58">
        <f>IFERROR(IF($V541="BRAND.com",HLOOKUP($X541&amp;$Z541,PLANNING_FC!$BB$4:$BP$23,MATCH($W541,PLANNING_FC!$BA$4:$BA$23,0),FALSE),0),0)</f>
        <v>0</v>
      </c>
      <c r="AX541" s="58">
        <f>IFERROR(IF($V541="BRAND.com",HLOOKUP($X541&amp;$Z541,PLANNING_FC!$T$27:$AH$46,MATCH($W541,PLANNING_FC!$B$27:$B$46,0),FALSE),0),0)</f>
        <v>0</v>
      </c>
      <c r="AY541" s="58">
        <f>IFERROR(IF($V541="BRAND.com",HLOOKUP($X541&amp;$Z541,PLANNING_FC!$T$4:$AH$23,MATCH($W541,PLANNING_FC!$B$4:$B$23,0),FALSE),0),0)</f>
        <v>0</v>
      </c>
      <c r="AZ541" s="58">
        <f>IFERROR(IF($V541="BRAND.com",HLOOKUP($X541&amp;$Z541,PLANNING_FC!$DA$27:$DO$46,MATCH($W541,PLANNING_FC!$CZ$27:$CZ$46,0),FALSE),0),0)</f>
        <v>0</v>
      </c>
      <c r="BA541" s="58">
        <f>IFERROR(IF($V541="BRAND.com",HLOOKUP($X541&amp;$Z541,PLANNING_FC!$DA$4:$DO$23,MATCH($W541,PLANNING_FC!$CZ$4:$CZ$23,0),FALSE),0),0)</f>
        <v>0</v>
      </c>
      <c r="BB541" s="883" t="str">
        <f>IF(V541="BRAND.com",IFERROR(HLOOKUP(X541&amp;Z541,PLANNING_FC!$AK$4:$AY$23,MATCH(W541,PLANNING_FC!$AJ$4:$AJ$23,0),FALSE)*1000,""),"")</f>
        <v/>
      </c>
      <c r="BC541" s="883" t="str">
        <f>IF(V541="BRAND.com",IFERROR(HLOOKUP(X541&amp;Z541,PLANNING_FC!$AK$27:$AY$46,MATCH(W541,PLANNING_FC!$AJ$27:$AJ$46,0),FALSE)*1000,""),"")</f>
        <v/>
      </c>
    </row>
    <row r="542" spans="1:55" x14ac:dyDescent="0.25">
      <c r="A542" s="509"/>
      <c r="B542" s="509"/>
      <c r="C542" s="509"/>
      <c r="D542" s="509"/>
      <c r="E542" s="509"/>
      <c r="F542" s="509"/>
      <c r="G542" s="511"/>
      <c r="H542" s="509"/>
      <c r="I542" s="512"/>
      <c r="J542" s="513"/>
      <c r="K542" s="514"/>
      <c r="L542" s="515"/>
      <c r="M542" s="516"/>
      <c r="N542" s="56">
        <f t="shared" si="206"/>
        <v>0</v>
      </c>
      <c r="O542" s="57">
        <f t="shared" si="207"/>
        <v>0</v>
      </c>
      <c r="P542" s="57">
        <f ca="1">IFERROR(IF(ISBLANK(H542),SUMIFS($AC:$AC,$V:$V,V542,$W:$W,W542,$X:$X,X542,$Y:$Y,Y542)*J542/(1-J542)*VLOOKUP(_xlfn.CONCAT(C542,D542,E542,TIME!$M$12,Z542),HIS_SALES!$B$2:$W$4859,20,FALSE),AC542*J542/(1-J542)),0)</f>
        <v>0</v>
      </c>
      <c r="Q542" s="541" t="str">
        <f t="shared" si="208"/>
        <v/>
      </c>
      <c r="R542" s="346" t="str">
        <f t="shared" si="189"/>
        <v>00000</v>
      </c>
      <c r="S542" s="344">
        <f t="shared" si="209"/>
        <v>0</v>
      </c>
      <c r="T542" s="345" t="str">
        <f t="shared" si="203"/>
        <v>000</v>
      </c>
      <c r="U542" s="345">
        <f t="shared" si="210"/>
        <v>0</v>
      </c>
      <c r="V542" s="345">
        <f t="shared" si="211"/>
        <v>0</v>
      </c>
      <c r="W542" s="345">
        <f t="shared" si="212"/>
        <v>0</v>
      </c>
      <c r="X542" s="345">
        <f t="shared" si="213"/>
        <v>0</v>
      </c>
      <c r="Y542" s="345">
        <f t="shared" si="214"/>
        <v>0</v>
      </c>
      <c r="Z542" s="345">
        <f>IF(Q542&lt;&gt;"",VLOOKUP(Y542,TIME!$R$21:$V$24,MATCH(FC_DATA!Q542,TIME!$R$20:$V$20,0),FALSE),H542)</f>
        <v>0</v>
      </c>
      <c r="AA542" s="345" t="str">
        <f>IFERROR(VLOOKUP(X542&amp;Z542,TIME!$A$12:$D$71,4,FALSE),"")</f>
        <v/>
      </c>
      <c r="AB542" s="592">
        <f t="shared" ca="1" si="196"/>
        <v>0</v>
      </c>
      <c r="AC542" s="593" t="e">
        <f ca="1">IF(ISBLANK(H542)=FALSE,IF(D542="BRAND.com",I542,IF(ISNA(VLOOKUP(_xlfn.CONCAT(X542,Z542),TIME!$M$40:$M$42,1,FALSE)),I542,VLOOKUP(_xlfn.CONCAT(D542,G542,H542),M_BUSAREA_FC!$AF$5:$AJ$10,5,FALSE)*HLOOKUP(_xlfn.CONCAT(F542,H542),ST_OVERVIEW!$G$99:$I$130,MATCH(_xlfn.CONCAT(D542,E542),ST_OVERVIEW!$F$99:$F$130,0),FALSE))),IF(D542="BRAND.com",VLOOKUP(_xlfn.CONCAT(C542,D542,E542,TIME!$F$1,Z542),HIS_SALES!$B$2:$V$4859,19,FALSE)*I542,VLOOKUP(_xlfn.CONCAT(D542,F542,G542),Q_BUSAREA_FC!$AE$5:$AI$12,5,FALSE)*HLOOKUP(_xlfn.CONCAT(FC_DATA!F542,FC_DATA!G542),LT_OVERVIEW!$I$99:$M$130,MATCH(_xlfn.CONCAT(D542,FC_DATA!E542),LT_OVERVIEW!$H$99:$H$130,0),FALSE)*IFERROR(VLOOKUP(_xlfn.CONCAT(C542,D542,E542,TIME!$F$1,Z542),HIS_SALES!$B$2:$V$4859,19,FALSE),0)))</f>
        <v>#N/A</v>
      </c>
      <c r="AD542" s="341">
        <f t="shared" ca="1" si="215"/>
        <v>0</v>
      </c>
      <c r="AE542" s="363" t="str">
        <f t="shared" si="216"/>
        <v/>
      </c>
      <c r="AF542" s="342" t="str">
        <f t="shared" si="217"/>
        <v/>
      </c>
      <c r="AG542" s="411" t="e">
        <f ca="1">VLOOKUP(_xlfn.CONCAT(U542,V542,W542,VLOOKUP(X542&amp;Y542,TIME!$L$27:$O$34,4,FALSE),Y542),HIS_SALES!$A$2:$R$5093,18,FALSE)</f>
        <v>#N/A</v>
      </c>
      <c r="AH542" s="412" t="e">
        <f ca="1">IFERROR(IF(AND(V542=V541,W542=W541),0.5*(AB542+AB541)*AG542,(VLOOKUP(_xlfn.CONCAT(U542,V542,W542,X542,VLOOKUP(Z542,TIME!$S$28:$T$39,2,FALSE)),FC_DATA!$R$2:$AB$5000,MATCH("GS_I_M",FC_DATA!$R$1:$AB$1,0),FALSE)+FC_DATA!AB542)*0.5*FC_DATA!AG542),NA())</f>
        <v>#N/A</v>
      </c>
      <c r="AI542" s="491" t="e">
        <f ca="1">IF(V542="PARTNER.com",AH542,IF(AND(V542=V541,W542=W541),(1-AVERAGE(AD541,AD542))*AH542,(1-AVERAGE(AD542,VLOOKUP(_xlfn.CONCAT(U542,V542,W542,X542,M_BRAND_FC!$F$6),FC_DATA!$R$2:$AD$5000,MATCH("DISCOUNT_%_M",FC_DATA!$R$1:$AD$1,0),FALSE)))*AH542))</f>
        <v>#N/A</v>
      </c>
      <c r="AJ542" s="412" t="str">
        <f t="shared" ca="1" si="200"/>
        <v/>
      </c>
      <c r="AK542" s="413" t="str">
        <f>IFERROR(AE542/(Q_BRAND_FC!$T$24+1),"")</f>
        <v/>
      </c>
      <c r="AL542" s="88" t="str">
        <f t="shared" ca="1" si="201"/>
        <v/>
      </c>
      <c r="AM542" s="414" t="str">
        <f t="shared" ca="1" si="202"/>
        <v/>
      </c>
      <c r="AN542" s="58">
        <f>IFERROR(IF($V542="BRAND.com",HLOOKUP($X542&amp;$Z542,NWC_FC_NOOS!$C$4:$Q$23,MATCH(W542,NWC_FC_NOOS!$B$4:$B$23,0),FALSE),0),0)</f>
        <v>0</v>
      </c>
      <c r="AO542" s="57">
        <f>IFERROR(IF($V542="BRAND.com",HLOOKUP($X542&amp;$Z542,NWC_FC_NOOS!$T$4:$AH$23,MATCH(W542,NWC_FC_NOOS!$S$4:$S$23,0),FALSE),0),0)</f>
        <v>0</v>
      </c>
      <c r="AP542" s="57">
        <f>IFERROR(IF($V542="BRAND.com",HLOOKUP($X542&amp;$Z542,NWC_FC_NOOS!$C$50:$U$69,MATCH(W542,NWC_FC_NOOS!$B$50:$B$69,0),FALSE),0),0)</f>
        <v>0</v>
      </c>
      <c r="AQ542" s="58">
        <f>IFERROR(IF($V542="BRAND.com",HLOOKUP($X542&amp;$Z542,'NWC_FC_NON-NOOS'!$C$4:$Q$23,MATCH(W542,'NWC_FC_NON-NOOS'!$B$4:$B$23,0),FALSE),0),0)</f>
        <v>0</v>
      </c>
      <c r="AR542" s="57">
        <f>IFERROR(IF($V542="BRAND.com",HLOOKUP($X542&amp;$Z542,'NWC_FC_NON-NOOS'!$T$4:$AH$23,MATCH(W542,'NWC_FC_NON-NOOS'!$S$4:$S$23,0),FALSE),0),0)</f>
        <v>0</v>
      </c>
      <c r="AS542" s="57">
        <f>IFERROR(IF($V542="BRAND.com",HLOOKUP($X542&amp;$Z542,'NWC_FC_NON-NOOS'!$C$50:$U$69,MATCH(W542,'NWC_FC_NON-NOOS'!$B$50:$B$69,0),FALSE),0),0)</f>
        <v>0</v>
      </c>
      <c r="AT542" s="57">
        <f t="shared" si="204"/>
        <v>0</v>
      </c>
      <c r="AU542" s="57">
        <f t="shared" si="205"/>
        <v>0</v>
      </c>
      <c r="AV542" s="58">
        <f>IFERROR(IF($V542="BRAND.com",HLOOKUP($X542&amp;$Z542,PLANNING_FC!$BB$27:$BP$46,MATCH($W542,PLANNING_FC!$BA$27:$BA$46,0),FALSE),0),0)</f>
        <v>0</v>
      </c>
      <c r="AW542" s="58">
        <f>IFERROR(IF($V542="BRAND.com",HLOOKUP($X542&amp;$Z542,PLANNING_FC!$BB$4:$BP$23,MATCH($W542,PLANNING_FC!$BA$4:$BA$23,0),FALSE),0),0)</f>
        <v>0</v>
      </c>
      <c r="AX542" s="58">
        <f>IFERROR(IF($V542="BRAND.com",HLOOKUP($X542&amp;$Z542,PLANNING_FC!$T$27:$AH$46,MATCH($W542,PLANNING_FC!$B$27:$B$46,0),FALSE),0),0)</f>
        <v>0</v>
      </c>
      <c r="AY542" s="58">
        <f>IFERROR(IF($V542="BRAND.com",HLOOKUP($X542&amp;$Z542,PLANNING_FC!$T$4:$AH$23,MATCH($W542,PLANNING_FC!$B$4:$B$23,0),FALSE),0),0)</f>
        <v>0</v>
      </c>
      <c r="AZ542" s="58">
        <f>IFERROR(IF($V542="BRAND.com",HLOOKUP($X542&amp;$Z542,PLANNING_FC!$DA$27:$DO$46,MATCH($W542,PLANNING_FC!$CZ$27:$CZ$46,0),FALSE),0),0)</f>
        <v>0</v>
      </c>
      <c r="BA542" s="58">
        <f>IFERROR(IF($V542="BRAND.com",HLOOKUP($X542&amp;$Z542,PLANNING_FC!$DA$4:$DO$23,MATCH($W542,PLANNING_FC!$CZ$4:$CZ$23,0),FALSE),0),0)</f>
        <v>0</v>
      </c>
      <c r="BB542" s="883" t="str">
        <f>IF(V542="BRAND.com",IFERROR(HLOOKUP(X542&amp;Z542,PLANNING_FC!$AK$4:$AY$23,MATCH(W542,PLANNING_FC!$AJ$4:$AJ$23,0),FALSE)*1000,""),"")</f>
        <v/>
      </c>
      <c r="BC542" s="883" t="str">
        <f>IF(V542="BRAND.com",IFERROR(HLOOKUP(X542&amp;Z542,PLANNING_FC!$AK$27:$AY$46,MATCH(W542,PLANNING_FC!$AJ$27:$AJ$46,0),FALSE)*1000,""),"")</f>
        <v/>
      </c>
    </row>
    <row r="543" spans="1:55" x14ac:dyDescent="0.25">
      <c r="A543" s="509"/>
      <c r="B543" s="509"/>
      <c r="C543" s="509"/>
      <c r="D543" s="509"/>
      <c r="E543" s="509"/>
      <c r="F543" s="509"/>
      <c r="G543" s="509"/>
      <c r="H543" s="509"/>
      <c r="I543" s="512"/>
      <c r="J543" s="513"/>
      <c r="K543" s="514"/>
      <c r="L543" s="515"/>
      <c r="M543" s="516"/>
      <c r="N543" s="56">
        <f t="shared" si="206"/>
        <v>0</v>
      </c>
      <c r="O543" s="57">
        <f t="shared" si="207"/>
        <v>0</v>
      </c>
      <c r="P543" s="57">
        <f ca="1">IFERROR(IF(ISBLANK(H543),SUMIFS($AC:$AC,$V:$V,V543,$W:$W,W543,$X:$X,X543,$Y:$Y,Y543)*J543/(1-J543)*VLOOKUP(_xlfn.CONCAT(C543,D543,E543,TIME!$M$12,Z543),HIS_SALES!$B$2:$W$4859,20,FALSE),AC543*J543/(1-J543)),0)</f>
        <v>0</v>
      </c>
      <c r="Q543" s="541" t="str">
        <f t="shared" si="208"/>
        <v/>
      </c>
      <c r="R543" s="346" t="str">
        <f t="shared" si="189"/>
        <v>00000</v>
      </c>
      <c r="S543" s="344">
        <f t="shared" si="209"/>
        <v>0</v>
      </c>
      <c r="T543" s="345" t="str">
        <f t="shared" si="203"/>
        <v>000</v>
      </c>
      <c r="U543" s="345">
        <f t="shared" si="210"/>
        <v>0</v>
      </c>
      <c r="V543" s="345">
        <f t="shared" si="211"/>
        <v>0</v>
      </c>
      <c r="W543" s="345">
        <f t="shared" si="212"/>
        <v>0</v>
      </c>
      <c r="X543" s="345">
        <f t="shared" si="213"/>
        <v>0</v>
      </c>
      <c r="Y543" s="345">
        <f t="shared" si="214"/>
        <v>0</v>
      </c>
      <c r="Z543" s="345">
        <f>IF(Q543&lt;&gt;"",VLOOKUP(Y543,TIME!$R$21:$V$24,MATCH(FC_DATA!Q543,TIME!$R$20:$V$20,0),FALSE),H543)</f>
        <v>0</v>
      </c>
      <c r="AA543" s="345" t="str">
        <f>IFERROR(VLOOKUP(X543&amp;Z543,TIME!$A$12:$D$71,4,FALSE),"")</f>
        <v/>
      </c>
      <c r="AB543" s="592">
        <f t="shared" ca="1" si="196"/>
        <v>0</v>
      </c>
      <c r="AC543" s="593" t="e">
        <f ca="1">IF(ISBLANK(H543)=FALSE,IF(D543="BRAND.com",I543,IF(ISNA(VLOOKUP(_xlfn.CONCAT(X543,Z543),TIME!$M$40:$M$42,1,FALSE)),I543,VLOOKUP(_xlfn.CONCAT(D543,G543,H543),M_BUSAREA_FC!$AF$5:$AJ$10,5,FALSE)*HLOOKUP(_xlfn.CONCAT(F543,H543),ST_OVERVIEW!$G$99:$I$130,MATCH(_xlfn.CONCAT(D543,E543),ST_OVERVIEW!$F$99:$F$130,0),FALSE))),IF(D543="BRAND.com",VLOOKUP(_xlfn.CONCAT(C543,D543,E543,TIME!$F$1,Z543),HIS_SALES!$B$2:$V$4859,19,FALSE)*I543,VLOOKUP(_xlfn.CONCAT(D543,F543,G543),Q_BUSAREA_FC!$AE$5:$AI$12,5,FALSE)*HLOOKUP(_xlfn.CONCAT(FC_DATA!F543,FC_DATA!G543),LT_OVERVIEW!$I$99:$M$130,MATCH(_xlfn.CONCAT(D543,FC_DATA!E543),LT_OVERVIEW!$H$99:$H$130,0),FALSE)*IFERROR(VLOOKUP(_xlfn.CONCAT(C543,D543,E543,TIME!$F$1,Z543),HIS_SALES!$B$2:$V$4859,19,FALSE),0)))</f>
        <v>#N/A</v>
      </c>
      <c r="AD543" s="341">
        <f t="shared" ca="1" si="215"/>
        <v>0</v>
      </c>
      <c r="AE543" s="363" t="str">
        <f t="shared" si="216"/>
        <v/>
      </c>
      <c r="AF543" s="342" t="str">
        <f t="shared" si="217"/>
        <v/>
      </c>
      <c r="AG543" s="411" t="e">
        <f ca="1">VLOOKUP(_xlfn.CONCAT(U543,V543,W543,VLOOKUP(X543&amp;Y543,TIME!$L$27:$O$34,4,FALSE),Y543),HIS_SALES!$A$2:$R$5093,18,FALSE)</f>
        <v>#N/A</v>
      </c>
      <c r="AH543" s="412" t="e">
        <f ca="1">IFERROR(IF(AND(V543=V542,W543=W542),0.5*(AB543+AB542)*AG543,(VLOOKUP(_xlfn.CONCAT(U543,V543,W543,X543,VLOOKUP(Z543,TIME!$S$28:$T$39,2,FALSE)),FC_DATA!$R$2:$AB$5000,MATCH("GS_I_M",FC_DATA!$R$1:$AB$1,0),FALSE)+FC_DATA!AB543)*0.5*FC_DATA!AG543),NA())</f>
        <v>#N/A</v>
      </c>
      <c r="AI543" s="491" t="e">
        <f ca="1">IF(V543="PARTNER.com",AH543,IF(AND(V543=V542,W543=W542),(1-AVERAGE(AD542,AD543))*AH543,(1-AVERAGE(AD543,VLOOKUP(_xlfn.CONCAT(U543,V543,W543,X543,M_BRAND_FC!$F$6),FC_DATA!$R$2:$AD$5000,MATCH("DISCOUNT_%_M",FC_DATA!$R$1:$AD$1,0),FALSE)))*AH543))</f>
        <v>#N/A</v>
      </c>
      <c r="AJ543" s="412" t="str">
        <f t="shared" ca="1" si="200"/>
        <v/>
      </c>
      <c r="AK543" s="413" t="str">
        <f>IFERROR(AE543/(Q_BRAND_FC!$T$24+1),"")</f>
        <v/>
      </c>
      <c r="AL543" s="88" t="str">
        <f t="shared" ca="1" si="201"/>
        <v/>
      </c>
      <c r="AM543" s="414" t="str">
        <f t="shared" ca="1" si="202"/>
        <v/>
      </c>
      <c r="AN543" s="58">
        <f>IFERROR(IF($V543="BRAND.com",HLOOKUP($X543&amp;$Z543,NWC_FC_NOOS!$C$4:$Q$23,MATCH(W543,NWC_FC_NOOS!$B$4:$B$23,0),FALSE),0),0)</f>
        <v>0</v>
      </c>
      <c r="AO543" s="57">
        <f>IFERROR(IF($V543="BRAND.com",HLOOKUP($X543&amp;$Z543,NWC_FC_NOOS!$T$4:$AH$23,MATCH(W543,NWC_FC_NOOS!$S$4:$S$23,0),FALSE),0),0)</f>
        <v>0</v>
      </c>
      <c r="AP543" s="57">
        <f>IFERROR(IF($V543="BRAND.com",HLOOKUP($X543&amp;$Z543,NWC_FC_NOOS!$C$50:$U$69,MATCH(W543,NWC_FC_NOOS!$B$50:$B$69,0),FALSE),0),0)</f>
        <v>0</v>
      </c>
      <c r="AQ543" s="58">
        <f>IFERROR(IF($V543="BRAND.com",HLOOKUP($X543&amp;$Z543,'NWC_FC_NON-NOOS'!$C$4:$Q$23,MATCH(W543,'NWC_FC_NON-NOOS'!$B$4:$B$23,0),FALSE),0),0)</f>
        <v>0</v>
      </c>
      <c r="AR543" s="57">
        <f>IFERROR(IF($V543="BRAND.com",HLOOKUP($X543&amp;$Z543,'NWC_FC_NON-NOOS'!$T$4:$AH$23,MATCH(W543,'NWC_FC_NON-NOOS'!$S$4:$S$23,0),FALSE),0),0)</f>
        <v>0</v>
      </c>
      <c r="AS543" s="57">
        <f>IFERROR(IF($V543="BRAND.com",HLOOKUP($X543&amp;$Z543,'NWC_FC_NON-NOOS'!$C$50:$U$69,MATCH(W543,'NWC_FC_NON-NOOS'!$B$50:$B$69,0),FALSE),0),0)</f>
        <v>0</v>
      </c>
      <c r="AT543" s="57">
        <f t="shared" si="204"/>
        <v>0</v>
      </c>
      <c r="AU543" s="57">
        <f t="shared" si="205"/>
        <v>0</v>
      </c>
      <c r="AV543" s="58">
        <f>IFERROR(IF($V543="BRAND.com",HLOOKUP($X543&amp;$Z543,PLANNING_FC!$BB$27:$BP$46,MATCH($W543,PLANNING_FC!$BA$27:$BA$46,0),FALSE),0),0)</f>
        <v>0</v>
      </c>
      <c r="AW543" s="58">
        <f>IFERROR(IF($V543="BRAND.com",HLOOKUP($X543&amp;$Z543,PLANNING_FC!$BB$4:$BP$23,MATCH($W543,PLANNING_FC!$BA$4:$BA$23,0),FALSE),0),0)</f>
        <v>0</v>
      </c>
      <c r="AX543" s="58">
        <f>IFERROR(IF($V543="BRAND.com",HLOOKUP($X543&amp;$Z543,PLANNING_FC!$T$27:$AH$46,MATCH($W543,PLANNING_FC!$B$27:$B$46,0),FALSE),0),0)</f>
        <v>0</v>
      </c>
      <c r="AY543" s="58">
        <f>IFERROR(IF($V543="BRAND.com",HLOOKUP($X543&amp;$Z543,PLANNING_FC!$T$4:$AH$23,MATCH($W543,PLANNING_FC!$B$4:$B$23,0),FALSE),0),0)</f>
        <v>0</v>
      </c>
      <c r="AZ543" s="58">
        <f>IFERROR(IF($V543="BRAND.com",HLOOKUP($X543&amp;$Z543,PLANNING_FC!$DA$27:$DO$46,MATCH($W543,PLANNING_FC!$CZ$27:$CZ$46,0),FALSE),0),0)</f>
        <v>0</v>
      </c>
      <c r="BA543" s="58">
        <f>IFERROR(IF($V543="BRAND.com",HLOOKUP($X543&amp;$Z543,PLANNING_FC!$DA$4:$DO$23,MATCH($W543,PLANNING_FC!$CZ$4:$CZ$23,0),FALSE),0),0)</f>
        <v>0</v>
      </c>
      <c r="BB543" s="883" t="str">
        <f>IF(V543="BRAND.com",IFERROR(HLOOKUP(X543&amp;Z543,PLANNING_FC!$AK$4:$AY$23,MATCH(W543,PLANNING_FC!$AJ$4:$AJ$23,0),FALSE)*1000,""),"")</f>
        <v/>
      </c>
      <c r="BC543" s="883" t="str">
        <f>IF(V543="BRAND.com",IFERROR(HLOOKUP(X543&amp;Z543,PLANNING_FC!$AK$27:$AY$46,MATCH(W543,PLANNING_FC!$AJ$27:$AJ$46,0),FALSE)*1000,""),"")</f>
        <v/>
      </c>
    </row>
    <row r="544" spans="1:55" x14ac:dyDescent="0.25">
      <c r="A544" s="509"/>
      <c r="B544" s="509"/>
      <c r="C544" s="509"/>
      <c r="D544" s="509"/>
      <c r="E544" s="509"/>
      <c r="F544" s="509"/>
      <c r="G544" s="509"/>
      <c r="H544" s="509"/>
      <c r="I544" s="512"/>
      <c r="J544" s="513"/>
      <c r="K544" s="514"/>
      <c r="L544" s="515"/>
      <c r="M544" s="516"/>
      <c r="N544" s="56">
        <f t="shared" si="206"/>
        <v>0</v>
      </c>
      <c r="O544" s="57">
        <f t="shared" si="207"/>
        <v>0</v>
      </c>
      <c r="P544" s="57">
        <f ca="1">IFERROR(IF(ISBLANK(H544),SUMIFS($AC:$AC,$V:$V,V544,$W:$W,W544,$X:$X,X544,$Y:$Y,Y544)*J544/(1-J544)*VLOOKUP(_xlfn.CONCAT(C544,D544,E544,TIME!$M$12,Z544),HIS_SALES!$B$2:$W$4859,20,FALSE),AC544*J544/(1-J544)),0)</f>
        <v>0</v>
      </c>
      <c r="Q544" s="541" t="str">
        <f t="shared" si="208"/>
        <v/>
      </c>
      <c r="R544" s="346" t="str">
        <f t="shared" si="189"/>
        <v>00000</v>
      </c>
      <c r="S544" s="344">
        <f t="shared" si="209"/>
        <v>0</v>
      </c>
      <c r="T544" s="345" t="str">
        <f t="shared" si="203"/>
        <v>000</v>
      </c>
      <c r="U544" s="345">
        <f t="shared" si="210"/>
        <v>0</v>
      </c>
      <c r="V544" s="345">
        <f t="shared" si="211"/>
        <v>0</v>
      </c>
      <c r="W544" s="345">
        <f t="shared" si="212"/>
        <v>0</v>
      </c>
      <c r="X544" s="345">
        <f t="shared" si="213"/>
        <v>0</v>
      </c>
      <c r="Y544" s="345">
        <f t="shared" si="214"/>
        <v>0</v>
      </c>
      <c r="Z544" s="345">
        <f>IF(Q544&lt;&gt;"",VLOOKUP(Y544,TIME!$R$21:$V$24,MATCH(FC_DATA!Q544,TIME!$R$20:$V$20,0),FALSE),H544)</f>
        <v>0</v>
      </c>
      <c r="AA544" s="345" t="str">
        <f>IFERROR(VLOOKUP(X544&amp;Z544,TIME!$A$12:$D$71,4,FALSE),"")</f>
        <v/>
      </c>
      <c r="AB544" s="592">
        <f t="shared" ca="1" si="196"/>
        <v>0</v>
      </c>
      <c r="AC544" s="593" t="e">
        <f ca="1">IF(ISBLANK(H544)=FALSE,IF(D544="BRAND.com",I544,IF(ISNA(VLOOKUP(_xlfn.CONCAT(X544,Z544),TIME!$M$40:$M$42,1,FALSE)),I544,VLOOKUP(_xlfn.CONCAT(D544,G544,H544),M_BUSAREA_FC!$AF$5:$AJ$10,5,FALSE)*HLOOKUP(_xlfn.CONCAT(F544,H544),ST_OVERVIEW!$G$99:$I$130,MATCH(_xlfn.CONCAT(D544,E544),ST_OVERVIEW!$F$99:$F$130,0),FALSE))),IF(D544="BRAND.com",VLOOKUP(_xlfn.CONCAT(C544,D544,E544,TIME!$F$1,Z544),HIS_SALES!$B$2:$V$4859,19,FALSE)*I544,VLOOKUP(_xlfn.CONCAT(D544,F544,G544),Q_BUSAREA_FC!$AE$5:$AI$12,5,FALSE)*HLOOKUP(_xlfn.CONCAT(FC_DATA!F544,FC_DATA!G544),LT_OVERVIEW!$I$99:$M$130,MATCH(_xlfn.CONCAT(D544,FC_DATA!E544),LT_OVERVIEW!$H$99:$H$130,0),FALSE)*IFERROR(VLOOKUP(_xlfn.CONCAT(C544,D544,E544,TIME!$F$1,Z544),HIS_SALES!$B$2:$V$4859,19,FALSE),0)))</f>
        <v>#N/A</v>
      </c>
      <c r="AD544" s="341">
        <f t="shared" ca="1" si="215"/>
        <v>0</v>
      </c>
      <c r="AE544" s="363" t="str">
        <f t="shared" si="216"/>
        <v/>
      </c>
      <c r="AF544" s="342" t="str">
        <f t="shared" si="217"/>
        <v/>
      </c>
      <c r="AG544" s="411" t="e">
        <f ca="1">VLOOKUP(_xlfn.CONCAT(U544,V544,W544,VLOOKUP(X544&amp;Y544,TIME!$L$27:$O$34,4,FALSE),Y544),HIS_SALES!$A$2:$R$5093,18,FALSE)</f>
        <v>#N/A</v>
      </c>
      <c r="AH544" s="412" t="e">
        <f ca="1">IFERROR(IF(AND(V544=V543,W544=W543),0.5*(AB544+AB543)*AG544,(VLOOKUP(_xlfn.CONCAT(U544,V544,W544,X544,VLOOKUP(Z544,TIME!$S$28:$T$39,2,FALSE)),FC_DATA!$R$2:$AB$5000,MATCH("GS_I_M",FC_DATA!$R$1:$AB$1,0),FALSE)+FC_DATA!AB544)*0.5*FC_DATA!AG544),NA())</f>
        <v>#N/A</v>
      </c>
      <c r="AI544" s="491" t="e">
        <f ca="1">IF(V544="PARTNER.com",AH544,IF(AND(V544=V543,W544=W543),(1-AVERAGE(AD543,AD544))*AH544,(1-AVERAGE(AD544,VLOOKUP(_xlfn.CONCAT(U544,V544,W544,X544,M_BRAND_FC!$F$6),FC_DATA!$R$2:$AD$5000,MATCH("DISCOUNT_%_M",FC_DATA!$R$1:$AD$1,0),FALSE)))*AH544))</f>
        <v>#N/A</v>
      </c>
      <c r="AJ544" s="412" t="str">
        <f t="shared" ca="1" si="200"/>
        <v/>
      </c>
      <c r="AK544" s="413" t="str">
        <f>IFERROR(AE544/(Q_BRAND_FC!$T$24+1),"")</f>
        <v/>
      </c>
      <c r="AL544" s="88" t="str">
        <f t="shared" ca="1" si="201"/>
        <v/>
      </c>
      <c r="AM544" s="414" t="str">
        <f t="shared" ca="1" si="202"/>
        <v/>
      </c>
      <c r="AN544" s="58">
        <f>IFERROR(IF($V544="BRAND.com",HLOOKUP($X544&amp;$Z544,NWC_FC_NOOS!$C$4:$Q$23,MATCH(W544,NWC_FC_NOOS!$B$4:$B$23,0),FALSE),0),0)</f>
        <v>0</v>
      </c>
      <c r="AO544" s="57">
        <f>IFERROR(IF($V544="BRAND.com",HLOOKUP($X544&amp;$Z544,NWC_FC_NOOS!$T$4:$AH$23,MATCH(W544,NWC_FC_NOOS!$S$4:$S$23,0),FALSE),0),0)</f>
        <v>0</v>
      </c>
      <c r="AP544" s="57">
        <f>IFERROR(IF($V544="BRAND.com",HLOOKUP($X544&amp;$Z544,NWC_FC_NOOS!$C$50:$U$69,MATCH(W544,NWC_FC_NOOS!$B$50:$B$69,0),FALSE),0),0)</f>
        <v>0</v>
      </c>
      <c r="AQ544" s="58">
        <f>IFERROR(IF($V544="BRAND.com",HLOOKUP($X544&amp;$Z544,'NWC_FC_NON-NOOS'!$C$4:$Q$23,MATCH(W544,'NWC_FC_NON-NOOS'!$B$4:$B$23,0),FALSE),0),0)</f>
        <v>0</v>
      </c>
      <c r="AR544" s="57">
        <f>IFERROR(IF($V544="BRAND.com",HLOOKUP($X544&amp;$Z544,'NWC_FC_NON-NOOS'!$T$4:$AH$23,MATCH(W544,'NWC_FC_NON-NOOS'!$S$4:$S$23,0),FALSE),0),0)</f>
        <v>0</v>
      </c>
      <c r="AS544" s="57">
        <f>IFERROR(IF($V544="BRAND.com",HLOOKUP($X544&amp;$Z544,'NWC_FC_NON-NOOS'!$C$50:$U$69,MATCH(W544,'NWC_FC_NON-NOOS'!$B$50:$B$69,0),FALSE),0),0)</f>
        <v>0</v>
      </c>
      <c r="AT544" s="57">
        <f t="shared" si="204"/>
        <v>0</v>
      </c>
      <c r="AU544" s="57">
        <f t="shared" si="205"/>
        <v>0</v>
      </c>
      <c r="AV544" s="58">
        <f>IFERROR(IF($V544="BRAND.com",HLOOKUP($X544&amp;$Z544,PLANNING_FC!$BB$27:$BP$46,MATCH($W544,PLANNING_FC!$BA$27:$BA$46,0),FALSE),0),0)</f>
        <v>0</v>
      </c>
      <c r="AW544" s="58">
        <f>IFERROR(IF($V544="BRAND.com",HLOOKUP($X544&amp;$Z544,PLANNING_FC!$BB$4:$BP$23,MATCH($W544,PLANNING_FC!$BA$4:$BA$23,0),FALSE),0),0)</f>
        <v>0</v>
      </c>
      <c r="AX544" s="58">
        <f>IFERROR(IF($V544="BRAND.com",HLOOKUP($X544&amp;$Z544,PLANNING_FC!$T$27:$AH$46,MATCH($W544,PLANNING_FC!$B$27:$B$46,0),FALSE),0),0)</f>
        <v>0</v>
      </c>
      <c r="AY544" s="58">
        <f>IFERROR(IF($V544="BRAND.com",HLOOKUP($X544&amp;$Z544,PLANNING_FC!$T$4:$AH$23,MATCH($W544,PLANNING_FC!$B$4:$B$23,0),FALSE),0),0)</f>
        <v>0</v>
      </c>
      <c r="AZ544" s="58">
        <f>IFERROR(IF($V544="BRAND.com",HLOOKUP($X544&amp;$Z544,PLANNING_FC!$DA$27:$DO$46,MATCH($W544,PLANNING_FC!$CZ$27:$CZ$46,0),FALSE),0),0)</f>
        <v>0</v>
      </c>
      <c r="BA544" s="58">
        <f>IFERROR(IF($V544="BRAND.com",HLOOKUP($X544&amp;$Z544,PLANNING_FC!$DA$4:$DO$23,MATCH($W544,PLANNING_FC!$CZ$4:$CZ$23,0),FALSE),0),0)</f>
        <v>0</v>
      </c>
      <c r="BB544" s="883" t="str">
        <f>IF(V544="BRAND.com",IFERROR(HLOOKUP(X544&amp;Z544,PLANNING_FC!$AK$4:$AY$23,MATCH(W544,PLANNING_FC!$AJ$4:$AJ$23,0),FALSE)*1000,""),"")</f>
        <v/>
      </c>
      <c r="BC544" s="883" t="str">
        <f>IF(V544="BRAND.com",IFERROR(HLOOKUP(X544&amp;Z544,PLANNING_FC!$AK$27:$AY$46,MATCH(W544,PLANNING_FC!$AJ$27:$AJ$46,0),FALSE)*1000,""),"")</f>
        <v/>
      </c>
    </row>
    <row r="545" spans="1:55" x14ac:dyDescent="0.25">
      <c r="A545" s="509"/>
      <c r="B545" s="509"/>
      <c r="C545" s="509"/>
      <c r="D545" s="509"/>
      <c r="E545" s="509"/>
      <c r="F545" s="509"/>
      <c r="G545" s="509"/>
      <c r="H545" s="509"/>
      <c r="I545" s="512"/>
      <c r="J545" s="513"/>
      <c r="K545" s="514"/>
      <c r="L545" s="515"/>
      <c r="M545" s="516"/>
      <c r="N545" s="56">
        <f t="shared" si="206"/>
        <v>0</v>
      </c>
      <c r="O545" s="57">
        <f t="shared" si="207"/>
        <v>0</v>
      </c>
      <c r="P545" s="57">
        <f ca="1">IFERROR(IF(ISBLANK(H545),SUMIFS($AC:$AC,$V:$V,V545,$W:$W,W545,$X:$X,X545,$Y:$Y,Y545)*J545/(1-J545)*VLOOKUP(_xlfn.CONCAT(C545,D545,E545,TIME!$M$12,Z545),HIS_SALES!$B$2:$W$4859,20,FALSE),AC545*J545/(1-J545)),0)</f>
        <v>0</v>
      </c>
      <c r="Q545" s="541" t="str">
        <f t="shared" si="208"/>
        <v/>
      </c>
      <c r="R545" s="346" t="str">
        <f t="shared" si="189"/>
        <v>00000</v>
      </c>
      <c r="S545" s="344">
        <f t="shared" si="209"/>
        <v>0</v>
      </c>
      <c r="T545" s="345" t="str">
        <f t="shared" si="203"/>
        <v>000</v>
      </c>
      <c r="U545" s="345">
        <f t="shared" si="210"/>
        <v>0</v>
      </c>
      <c r="V545" s="345">
        <f t="shared" si="211"/>
        <v>0</v>
      </c>
      <c r="W545" s="345">
        <f t="shared" si="212"/>
        <v>0</v>
      </c>
      <c r="X545" s="345">
        <f t="shared" si="213"/>
        <v>0</v>
      </c>
      <c r="Y545" s="345">
        <f t="shared" si="214"/>
        <v>0</v>
      </c>
      <c r="Z545" s="345">
        <f>IF(Q545&lt;&gt;"",VLOOKUP(Y545,TIME!$R$21:$V$24,MATCH(FC_DATA!Q545,TIME!$R$20:$V$20,0),FALSE),H545)</f>
        <v>0</v>
      </c>
      <c r="AA545" s="345" t="str">
        <f>IFERROR(VLOOKUP(X545&amp;Z545,TIME!$A$12:$D$71,4,FALSE),"")</f>
        <v/>
      </c>
      <c r="AB545" s="592">
        <f t="shared" ca="1" si="196"/>
        <v>0</v>
      </c>
      <c r="AC545" s="593" t="e">
        <f ca="1">IF(ISBLANK(H545)=FALSE,IF(D545="BRAND.com",I545,IF(ISNA(VLOOKUP(_xlfn.CONCAT(X545,Z545),TIME!$M$40:$M$42,1,FALSE)),I545,VLOOKUP(_xlfn.CONCAT(D545,G545,H545),M_BUSAREA_FC!$AF$5:$AJ$10,5,FALSE)*HLOOKUP(_xlfn.CONCAT(F545,H545),ST_OVERVIEW!$G$99:$I$130,MATCH(_xlfn.CONCAT(D545,E545),ST_OVERVIEW!$F$99:$F$130,0),FALSE))),IF(D545="BRAND.com",VLOOKUP(_xlfn.CONCAT(C545,D545,E545,TIME!$F$1,Z545),HIS_SALES!$B$2:$V$4859,19,FALSE)*I545,VLOOKUP(_xlfn.CONCAT(D545,F545,G545),Q_BUSAREA_FC!$AE$5:$AI$12,5,FALSE)*HLOOKUP(_xlfn.CONCAT(FC_DATA!F545,FC_DATA!G545),LT_OVERVIEW!$I$99:$M$130,MATCH(_xlfn.CONCAT(D545,FC_DATA!E545),LT_OVERVIEW!$H$99:$H$130,0),FALSE)*IFERROR(VLOOKUP(_xlfn.CONCAT(C545,D545,E545,TIME!$F$1,Z545),HIS_SALES!$B$2:$V$4859,19,FALSE),0)))</f>
        <v>#N/A</v>
      </c>
      <c r="AD545" s="341">
        <f t="shared" ca="1" si="215"/>
        <v>0</v>
      </c>
      <c r="AE545" s="363" t="str">
        <f t="shared" si="216"/>
        <v/>
      </c>
      <c r="AF545" s="342" t="str">
        <f t="shared" si="217"/>
        <v/>
      </c>
      <c r="AG545" s="411" t="e">
        <f ca="1">VLOOKUP(_xlfn.CONCAT(U545,V545,W545,VLOOKUP(X545&amp;Y545,TIME!$L$27:$O$34,4,FALSE),Y545),HIS_SALES!$A$2:$R$5093,18,FALSE)</f>
        <v>#N/A</v>
      </c>
      <c r="AH545" s="412" t="e">
        <f ca="1">IFERROR(IF(AND(V545=V544,W545=W544),0.5*(AB545+AB544)*AG545,(VLOOKUP(_xlfn.CONCAT(U545,V545,W545,X545,VLOOKUP(Z545,TIME!$S$28:$T$39,2,FALSE)),FC_DATA!$R$2:$AB$5000,MATCH("GS_I_M",FC_DATA!$R$1:$AB$1,0),FALSE)+FC_DATA!AB545)*0.5*FC_DATA!AG545),NA())</f>
        <v>#N/A</v>
      </c>
      <c r="AI545" s="491" t="e">
        <f ca="1">IF(V545="PARTNER.com",AH545,IF(AND(V545=V544,W545=W544),(1-AVERAGE(AD544,AD545))*AH545,(1-AVERAGE(AD545,VLOOKUP(_xlfn.CONCAT(U545,V545,W545,X545,M_BRAND_FC!$F$6),FC_DATA!$R$2:$AD$5000,MATCH("DISCOUNT_%_M",FC_DATA!$R$1:$AD$1,0),FALSE)))*AH545))</f>
        <v>#N/A</v>
      </c>
      <c r="AJ545" s="412" t="str">
        <f t="shared" ca="1" si="200"/>
        <v/>
      </c>
      <c r="AK545" s="413" t="str">
        <f>IFERROR(AE545/(Q_BRAND_FC!$T$24+1),"")</f>
        <v/>
      </c>
      <c r="AL545" s="88" t="str">
        <f t="shared" ca="1" si="201"/>
        <v/>
      </c>
      <c r="AM545" s="414" t="str">
        <f t="shared" ca="1" si="202"/>
        <v/>
      </c>
      <c r="AN545" s="58">
        <f>IFERROR(IF($V545="BRAND.com",HLOOKUP($X545&amp;$Z545,NWC_FC_NOOS!$C$4:$Q$23,MATCH(W545,NWC_FC_NOOS!$B$4:$B$23,0),FALSE),0),0)</f>
        <v>0</v>
      </c>
      <c r="AO545" s="57">
        <f>IFERROR(IF($V545="BRAND.com",HLOOKUP($X545&amp;$Z545,NWC_FC_NOOS!$T$4:$AH$23,MATCH(W545,NWC_FC_NOOS!$S$4:$S$23,0),FALSE),0),0)</f>
        <v>0</v>
      </c>
      <c r="AP545" s="57">
        <f>IFERROR(IF($V545="BRAND.com",HLOOKUP($X545&amp;$Z545,NWC_FC_NOOS!$C$50:$U$69,MATCH(W545,NWC_FC_NOOS!$B$50:$B$69,0),FALSE),0),0)</f>
        <v>0</v>
      </c>
      <c r="AQ545" s="58">
        <f>IFERROR(IF($V545="BRAND.com",HLOOKUP($X545&amp;$Z545,'NWC_FC_NON-NOOS'!$C$4:$Q$23,MATCH(W545,'NWC_FC_NON-NOOS'!$B$4:$B$23,0),FALSE),0),0)</f>
        <v>0</v>
      </c>
      <c r="AR545" s="57">
        <f>IFERROR(IF($V545="BRAND.com",HLOOKUP($X545&amp;$Z545,'NWC_FC_NON-NOOS'!$T$4:$AH$23,MATCH(W545,'NWC_FC_NON-NOOS'!$S$4:$S$23,0),FALSE),0),0)</f>
        <v>0</v>
      </c>
      <c r="AS545" s="57">
        <f>IFERROR(IF($V545="BRAND.com",HLOOKUP($X545&amp;$Z545,'NWC_FC_NON-NOOS'!$C$50:$U$69,MATCH(W545,'NWC_FC_NON-NOOS'!$B$50:$B$69,0),FALSE),0),0)</f>
        <v>0</v>
      </c>
      <c r="AT545" s="57">
        <f t="shared" si="204"/>
        <v>0</v>
      </c>
      <c r="AU545" s="57">
        <f t="shared" si="205"/>
        <v>0</v>
      </c>
      <c r="AV545" s="58">
        <f>IFERROR(IF($V545="BRAND.com",HLOOKUP($X545&amp;$Z545,PLANNING_FC!$BB$27:$BP$46,MATCH($W545,PLANNING_FC!$BA$27:$BA$46,0),FALSE),0),0)</f>
        <v>0</v>
      </c>
      <c r="AW545" s="58">
        <f>IFERROR(IF($V545="BRAND.com",HLOOKUP($X545&amp;$Z545,PLANNING_FC!$BB$4:$BP$23,MATCH($W545,PLANNING_FC!$BA$4:$BA$23,0),FALSE),0),0)</f>
        <v>0</v>
      </c>
      <c r="AX545" s="58">
        <f>IFERROR(IF($V545="BRAND.com",HLOOKUP($X545&amp;$Z545,PLANNING_FC!$T$27:$AH$46,MATCH($W545,PLANNING_FC!$B$27:$B$46,0),FALSE),0),0)</f>
        <v>0</v>
      </c>
      <c r="AY545" s="58">
        <f>IFERROR(IF($V545="BRAND.com",HLOOKUP($X545&amp;$Z545,PLANNING_FC!$T$4:$AH$23,MATCH($W545,PLANNING_FC!$B$4:$B$23,0),FALSE),0),0)</f>
        <v>0</v>
      </c>
      <c r="AZ545" s="58">
        <f>IFERROR(IF($V545="BRAND.com",HLOOKUP($X545&amp;$Z545,PLANNING_FC!$DA$27:$DO$46,MATCH($W545,PLANNING_FC!$CZ$27:$CZ$46,0),FALSE),0),0)</f>
        <v>0</v>
      </c>
      <c r="BA545" s="58">
        <f>IFERROR(IF($V545="BRAND.com",HLOOKUP($X545&amp;$Z545,PLANNING_FC!$DA$4:$DO$23,MATCH($W545,PLANNING_FC!$CZ$4:$CZ$23,0),FALSE),0),0)</f>
        <v>0</v>
      </c>
      <c r="BB545" s="883" t="str">
        <f>IF(V545="BRAND.com",IFERROR(HLOOKUP(X545&amp;Z545,PLANNING_FC!$AK$4:$AY$23,MATCH(W545,PLANNING_FC!$AJ$4:$AJ$23,0),FALSE)*1000,""),"")</f>
        <v/>
      </c>
      <c r="BC545" s="883" t="str">
        <f>IF(V545="BRAND.com",IFERROR(HLOOKUP(X545&amp;Z545,PLANNING_FC!$AK$27:$AY$46,MATCH(W545,PLANNING_FC!$AJ$27:$AJ$46,0),FALSE)*1000,""),"")</f>
        <v/>
      </c>
    </row>
    <row r="546" spans="1:55" x14ac:dyDescent="0.25">
      <c r="A546" s="509"/>
      <c r="B546" s="509"/>
      <c r="C546" s="509"/>
      <c r="D546" s="509"/>
      <c r="E546" s="509"/>
      <c r="F546" s="509"/>
      <c r="G546" s="511"/>
      <c r="H546" s="509"/>
      <c r="I546" s="512"/>
      <c r="J546" s="513"/>
      <c r="K546" s="514"/>
      <c r="L546" s="515"/>
      <c r="M546" s="516"/>
      <c r="N546" s="56">
        <f t="shared" si="206"/>
        <v>0</v>
      </c>
      <c r="O546" s="57">
        <f t="shared" si="207"/>
        <v>0</v>
      </c>
      <c r="P546" s="57">
        <f ca="1">IFERROR(IF(ISBLANK(H546),SUMIFS($AC:$AC,$V:$V,V546,$W:$W,W546,$X:$X,X546,$Y:$Y,Y546)*J546/(1-J546)*VLOOKUP(_xlfn.CONCAT(C546,D546,E546,TIME!$M$12,Z546),HIS_SALES!$B$2:$W$4859,20,FALSE),AC546*J546/(1-J546)),0)</f>
        <v>0</v>
      </c>
      <c r="Q546" s="541" t="str">
        <f t="shared" si="208"/>
        <v/>
      </c>
      <c r="R546" s="346" t="str">
        <f t="shared" si="189"/>
        <v>00000</v>
      </c>
      <c r="S546" s="344">
        <f t="shared" si="209"/>
        <v>0</v>
      </c>
      <c r="T546" s="345" t="str">
        <f t="shared" si="203"/>
        <v>000</v>
      </c>
      <c r="U546" s="345">
        <f t="shared" si="210"/>
        <v>0</v>
      </c>
      <c r="V546" s="345">
        <f t="shared" si="211"/>
        <v>0</v>
      </c>
      <c r="W546" s="345">
        <f t="shared" si="212"/>
        <v>0</v>
      </c>
      <c r="X546" s="345">
        <f t="shared" si="213"/>
        <v>0</v>
      </c>
      <c r="Y546" s="345">
        <f t="shared" si="214"/>
        <v>0</v>
      </c>
      <c r="Z546" s="345">
        <f>IF(Q546&lt;&gt;"",VLOOKUP(Y546,TIME!$R$21:$V$24,MATCH(FC_DATA!Q546,TIME!$R$20:$V$20,0),FALSE),H546)</f>
        <v>0</v>
      </c>
      <c r="AA546" s="345" t="str">
        <f>IFERROR(VLOOKUP(X546&amp;Z546,TIME!$A$12:$D$71,4,FALSE),"")</f>
        <v/>
      </c>
      <c r="AB546" s="592">
        <f t="shared" ca="1" si="196"/>
        <v>0</v>
      </c>
      <c r="AC546" s="593" t="e">
        <f ca="1">IF(ISBLANK(H546)=FALSE,IF(D546="BRAND.com",I546,IF(ISNA(VLOOKUP(_xlfn.CONCAT(X546,Z546),TIME!$M$40:$M$42,1,FALSE)),I546,VLOOKUP(_xlfn.CONCAT(D546,G546,H546),M_BUSAREA_FC!$AF$5:$AJ$10,5,FALSE)*HLOOKUP(_xlfn.CONCAT(F546,H546),ST_OVERVIEW!$G$99:$I$130,MATCH(_xlfn.CONCAT(D546,E546),ST_OVERVIEW!$F$99:$F$130,0),FALSE))),IF(D546="BRAND.com",VLOOKUP(_xlfn.CONCAT(C546,D546,E546,TIME!$F$1,Z546),HIS_SALES!$B$2:$V$4859,19,FALSE)*I546,VLOOKUP(_xlfn.CONCAT(D546,F546,G546),Q_BUSAREA_FC!$AE$5:$AI$12,5,FALSE)*HLOOKUP(_xlfn.CONCAT(FC_DATA!F546,FC_DATA!G546),LT_OVERVIEW!$I$99:$M$130,MATCH(_xlfn.CONCAT(D546,FC_DATA!E546),LT_OVERVIEW!$H$99:$H$130,0),FALSE)*IFERROR(VLOOKUP(_xlfn.CONCAT(C546,D546,E546,TIME!$F$1,Z546),HIS_SALES!$B$2:$V$4859,19,FALSE),0)))</f>
        <v>#N/A</v>
      </c>
      <c r="AD546" s="341">
        <f t="shared" ca="1" si="215"/>
        <v>0</v>
      </c>
      <c r="AE546" s="363" t="str">
        <f t="shared" si="216"/>
        <v/>
      </c>
      <c r="AF546" s="342" t="str">
        <f t="shared" si="217"/>
        <v/>
      </c>
      <c r="AG546" s="411" t="e">
        <f ca="1">VLOOKUP(_xlfn.CONCAT(U546,V546,W546,VLOOKUP(X546&amp;Y546,TIME!$L$27:$O$34,4,FALSE),Y546),HIS_SALES!$A$2:$R$5093,18,FALSE)</f>
        <v>#N/A</v>
      </c>
      <c r="AH546" s="412" t="e">
        <f ca="1">IFERROR(IF(AND(V546=V545,W546=W545),0.5*(AB546+AB545)*AG546,(VLOOKUP(_xlfn.CONCAT(U546,V546,W546,X546,VLOOKUP(Z546,TIME!$S$28:$T$39,2,FALSE)),FC_DATA!$R$2:$AB$5000,MATCH("GS_I_M",FC_DATA!$R$1:$AB$1,0),FALSE)+FC_DATA!AB546)*0.5*FC_DATA!AG546),NA())</f>
        <v>#N/A</v>
      </c>
      <c r="AI546" s="491" t="e">
        <f ca="1">IF(V546="PARTNER.com",AH546,IF(AND(V546=V545,W546=W545),(1-AVERAGE(AD545,AD546))*AH546,(1-AVERAGE(AD546,VLOOKUP(_xlfn.CONCAT(U546,V546,W546,X546,M_BRAND_FC!$F$6),FC_DATA!$R$2:$AD$5000,MATCH("DISCOUNT_%_M",FC_DATA!$R$1:$AD$1,0),FALSE)))*AH546))</f>
        <v>#N/A</v>
      </c>
      <c r="AJ546" s="412" t="str">
        <f t="shared" ca="1" si="200"/>
        <v/>
      </c>
      <c r="AK546" s="413" t="str">
        <f>IFERROR(AE546/(Q_BRAND_FC!$T$24+1),"")</f>
        <v/>
      </c>
      <c r="AL546" s="88" t="str">
        <f t="shared" ca="1" si="201"/>
        <v/>
      </c>
      <c r="AM546" s="414" t="str">
        <f t="shared" ca="1" si="202"/>
        <v/>
      </c>
      <c r="AN546" s="58">
        <f>IFERROR(IF($V546="BRAND.com",HLOOKUP($X546&amp;$Z546,NWC_FC_NOOS!$C$4:$Q$23,MATCH(W546,NWC_FC_NOOS!$B$4:$B$23,0),FALSE),0),0)</f>
        <v>0</v>
      </c>
      <c r="AO546" s="57">
        <f>IFERROR(IF($V546="BRAND.com",HLOOKUP($X546&amp;$Z546,NWC_FC_NOOS!$T$4:$AH$23,MATCH(W546,NWC_FC_NOOS!$S$4:$S$23,0),FALSE),0),0)</f>
        <v>0</v>
      </c>
      <c r="AP546" s="57">
        <f>IFERROR(IF($V546="BRAND.com",HLOOKUP($X546&amp;$Z546,NWC_FC_NOOS!$C$50:$U$69,MATCH(W546,NWC_FC_NOOS!$B$50:$B$69,0),FALSE),0),0)</f>
        <v>0</v>
      </c>
      <c r="AQ546" s="58">
        <f>IFERROR(IF($V546="BRAND.com",HLOOKUP($X546&amp;$Z546,'NWC_FC_NON-NOOS'!$C$4:$Q$23,MATCH(W546,'NWC_FC_NON-NOOS'!$B$4:$B$23,0),FALSE),0),0)</f>
        <v>0</v>
      </c>
      <c r="AR546" s="57">
        <f>IFERROR(IF($V546="BRAND.com",HLOOKUP($X546&amp;$Z546,'NWC_FC_NON-NOOS'!$T$4:$AH$23,MATCH(W546,'NWC_FC_NON-NOOS'!$S$4:$S$23,0),FALSE),0),0)</f>
        <v>0</v>
      </c>
      <c r="AS546" s="57">
        <f>IFERROR(IF($V546="BRAND.com",HLOOKUP($X546&amp;$Z546,'NWC_FC_NON-NOOS'!$C$50:$U$69,MATCH(W546,'NWC_FC_NON-NOOS'!$B$50:$B$69,0),FALSE),0),0)</f>
        <v>0</v>
      </c>
      <c r="AT546" s="57">
        <f t="shared" si="204"/>
        <v>0</v>
      </c>
      <c r="AU546" s="57">
        <f t="shared" si="205"/>
        <v>0</v>
      </c>
      <c r="AV546" s="58">
        <f>IFERROR(IF($V546="BRAND.com",HLOOKUP($X546&amp;$Z546,PLANNING_FC!$BB$27:$BP$46,MATCH($W546,PLANNING_FC!$BA$27:$BA$46,0),FALSE),0),0)</f>
        <v>0</v>
      </c>
      <c r="AW546" s="58">
        <f>IFERROR(IF($V546="BRAND.com",HLOOKUP($X546&amp;$Z546,PLANNING_FC!$BB$4:$BP$23,MATCH($W546,PLANNING_FC!$BA$4:$BA$23,0),FALSE),0),0)</f>
        <v>0</v>
      </c>
      <c r="AX546" s="58">
        <f>IFERROR(IF($V546="BRAND.com",HLOOKUP($X546&amp;$Z546,PLANNING_FC!$T$27:$AH$46,MATCH($W546,PLANNING_FC!$B$27:$B$46,0),FALSE),0),0)</f>
        <v>0</v>
      </c>
      <c r="AY546" s="58">
        <f>IFERROR(IF($V546="BRAND.com",HLOOKUP($X546&amp;$Z546,PLANNING_FC!$T$4:$AH$23,MATCH($W546,PLANNING_FC!$B$4:$B$23,0),FALSE),0),0)</f>
        <v>0</v>
      </c>
      <c r="AZ546" s="58">
        <f>IFERROR(IF($V546="BRAND.com",HLOOKUP($X546&amp;$Z546,PLANNING_FC!$DA$27:$DO$46,MATCH($W546,PLANNING_FC!$CZ$27:$CZ$46,0),FALSE),0),0)</f>
        <v>0</v>
      </c>
      <c r="BA546" s="58">
        <f>IFERROR(IF($V546="BRAND.com",HLOOKUP($X546&amp;$Z546,PLANNING_FC!$DA$4:$DO$23,MATCH($W546,PLANNING_FC!$CZ$4:$CZ$23,0),FALSE),0),0)</f>
        <v>0</v>
      </c>
      <c r="BB546" s="883" t="str">
        <f>IF(V546="BRAND.com",IFERROR(HLOOKUP(X546&amp;Z546,PLANNING_FC!$AK$4:$AY$23,MATCH(W546,PLANNING_FC!$AJ$4:$AJ$23,0),FALSE)*1000,""),"")</f>
        <v/>
      </c>
      <c r="BC546" s="883" t="str">
        <f>IF(V546="BRAND.com",IFERROR(HLOOKUP(X546&amp;Z546,PLANNING_FC!$AK$27:$AY$46,MATCH(W546,PLANNING_FC!$AJ$27:$AJ$46,0),FALSE)*1000,""),"")</f>
        <v/>
      </c>
    </row>
    <row r="547" spans="1:55" x14ac:dyDescent="0.25">
      <c r="A547" s="509"/>
      <c r="B547" s="509"/>
      <c r="C547" s="509"/>
      <c r="D547" s="509"/>
      <c r="E547" s="509"/>
      <c r="F547" s="509"/>
      <c r="G547" s="509"/>
      <c r="H547" s="509"/>
      <c r="I547" s="512"/>
      <c r="J547" s="513"/>
      <c r="K547" s="514"/>
      <c r="L547" s="515"/>
      <c r="M547" s="516"/>
      <c r="N547" s="56">
        <f t="shared" si="206"/>
        <v>0</v>
      </c>
      <c r="O547" s="57">
        <f t="shared" si="207"/>
        <v>0</v>
      </c>
      <c r="P547" s="57">
        <f ca="1">IFERROR(IF(ISBLANK(H547),SUMIFS($AC:$AC,$V:$V,V547,$W:$W,W547,$X:$X,X547,$Y:$Y,Y547)*J547/(1-J547)*VLOOKUP(_xlfn.CONCAT(C547,D547,E547,TIME!$M$12,Z547),HIS_SALES!$B$2:$W$4859,20,FALSE),AC547*J547/(1-J547)),0)</f>
        <v>0</v>
      </c>
      <c r="Q547" s="541" t="str">
        <f t="shared" si="208"/>
        <v/>
      </c>
      <c r="R547" s="346" t="str">
        <f t="shared" si="189"/>
        <v>00000</v>
      </c>
      <c r="S547" s="344">
        <f t="shared" si="209"/>
        <v>0</v>
      </c>
      <c r="T547" s="345" t="str">
        <f t="shared" si="203"/>
        <v>000</v>
      </c>
      <c r="U547" s="345">
        <f t="shared" si="210"/>
        <v>0</v>
      </c>
      <c r="V547" s="345">
        <f t="shared" si="211"/>
        <v>0</v>
      </c>
      <c r="W547" s="345">
        <f t="shared" si="212"/>
        <v>0</v>
      </c>
      <c r="X547" s="345">
        <f t="shared" si="213"/>
        <v>0</v>
      </c>
      <c r="Y547" s="345">
        <f t="shared" si="214"/>
        <v>0</v>
      </c>
      <c r="Z547" s="345">
        <f>IF(Q547&lt;&gt;"",VLOOKUP(Y547,TIME!$R$21:$V$24,MATCH(FC_DATA!Q547,TIME!$R$20:$V$20,0),FALSE),H547)</f>
        <v>0</v>
      </c>
      <c r="AA547" s="345" t="str">
        <f>IFERROR(VLOOKUP(X547&amp;Z547,TIME!$A$12:$D$71,4,FALSE),"")</f>
        <v/>
      </c>
      <c r="AB547" s="592">
        <f t="shared" ca="1" si="196"/>
        <v>0</v>
      </c>
      <c r="AC547" s="593" t="e">
        <f ca="1">IF(ISBLANK(H547)=FALSE,IF(D547="BRAND.com",I547,IF(ISNA(VLOOKUP(_xlfn.CONCAT(X547,Z547),TIME!$M$40:$M$42,1,FALSE)),I547,VLOOKUP(_xlfn.CONCAT(D547,G547,H547),M_BUSAREA_FC!$AF$5:$AJ$10,5,FALSE)*HLOOKUP(_xlfn.CONCAT(F547,H547),ST_OVERVIEW!$G$99:$I$130,MATCH(_xlfn.CONCAT(D547,E547),ST_OVERVIEW!$F$99:$F$130,0),FALSE))),IF(D547="BRAND.com",VLOOKUP(_xlfn.CONCAT(C547,D547,E547,TIME!$F$1,Z547),HIS_SALES!$B$2:$V$4859,19,FALSE)*I547,VLOOKUP(_xlfn.CONCAT(D547,F547,G547),Q_BUSAREA_FC!$AE$5:$AI$12,5,FALSE)*HLOOKUP(_xlfn.CONCAT(FC_DATA!F547,FC_DATA!G547),LT_OVERVIEW!$I$99:$M$130,MATCH(_xlfn.CONCAT(D547,FC_DATA!E547),LT_OVERVIEW!$H$99:$H$130,0),FALSE)*IFERROR(VLOOKUP(_xlfn.CONCAT(C547,D547,E547,TIME!$F$1,Z547),HIS_SALES!$B$2:$V$4859,19,FALSE),0)))</f>
        <v>#N/A</v>
      </c>
      <c r="AD547" s="341">
        <f t="shared" ca="1" si="215"/>
        <v>0</v>
      </c>
      <c r="AE547" s="363" t="str">
        <f t="shared" si="216"/>
        <v/>
      </c>
      <c r="AF547" s="342" t="str">
        <f t="shared" si="217"/>
        <v/>
      </c>
      <c r="AG547" s="411" t="e">
        <f ca="1">VLOOKUP(_xlfn.CONCAT(U547,V547,W547,VLOOKUP(X547&amp;Y547,TIME!$L$27:$O$34,4,FALSE),Y547),HIS_SALES!$A$2:$R$5093,18,FALSE)</f>
        <v>#N/A</v>
      </c>
      <c r="AH547" s="412" t="e">
        <f ca="1">IFERROR(IF(AND(V547=V546,W547=W546),0.5*(AB547+AB546)*AG547,(VLOOKUP(_xlfn.CONCAT(U547,V547,W547,X547,VLOOKUP(Z547,TIME!$S$28:$T$39,2,FALSE)),FC_DATA!$R$2:$AB$5000,MATCH("GS_I_M",FC_DATA!$R$1:$AB$1,0),FALSE)+FC_DATA!AB547)*0.5*FC_DATA!AG547),NA())</f>
        <v>#N/A</v>
      </c>
      <c r="AI547" s="491" t="e">
        <f ca="1">IF(V547="PARTNER.com",AH547,IF(AND(V547=V546,W547=W546),(1-AVERAGE(AD546,AD547))*AH547,(1-AVERAGE(AD547,VLOOKUP(_xlfn.CONCAT(U547,V547,W547,X547,M_BRAND_FC!$F$6),FC_DATA!$R$2:$AD$5000,MATCH("DISCOUNT_%_M",FC_DATA!$R$1:$AD$1,0),FALSE)))*AH547))</f>
        <v>#N/A</v>
      </c>
      <c r="AJ547" s="412" t="str">
        <f t="shared" ca="1" si="200"/>
        <v/>
      </c>
      <c r="AK547" s="413" t="str">
        <f>IFERROR(AE547/(Q_BRAND_FC!$T$24+1),"")</f>
        <v/>
      </c>
      <c r="AL547" s="88" t="str">
        <f t="shared" ca="1" si="201"/>
        <v/>
      </c>
      <c r="AM547" s="414" t="str">
        <f t="shared" ca="1" si="202"/>
        <v/>
      </c>
      <c r="AN547" s="58">
        <f>IFERROR(IF($V547="BRAND.com",HLOOKUP($X547&amp;$Z547,NWC_FC_NOOS!$C$4:$Q$23,MATCH(W547,NWC_FC_NOOS!$B$4:$B$23,0),FALSE),0),0)</f>
        <v>0</v>
      </c>
      <c r="AO547" s="57">
        <f>IFERROR(IF($V547="BRAND.com",HLOOKUP($X547&amp;$Z547,NWC_FC_NOOS!$T$4:$AH$23,MATCH(W547,NWC_FC_NOOS!$S$4:$S$23,0),FALSE),0),0)</f>
        <v>0</v>
      </c>
      <c r="AP547" s="57">
        <f>IFERROR(IF($V547="BRAND.com",HLOOKUP($X547&amp;$Z547,NWC_FC_NOOS!$C$50:$U$69,MATCH(W547,NWC_FC_NOOS!$B$50:$B$69,0),FALSE),0),0)</f>
        <v>0</v>
      </c>
      <c r="AQ547" s="58">
        <f>IFERROR(IF($V547="BRAND.com",HLOOKUP($X547&amp;$Z547,'NWC_FC_NON-NOOS'!$C$4:$Q$23,MATCH(W547,'NWC_FC_NON-NOOS'!$B$4:$B$23,0),FALSE),0),0)</f>
        <v>0</v>
      </c>
      <c r="AR547" s="57">
        <f>IFERROR(IF($V547="BRAND.com",HLOOKUP($X547&amp;$Z547,'NWC_FC_NON-NOOS'!$T$4:$AH$23,MATCH(W547,'NWC_FC_NON-NOOS'!$S$4:$S$23,0),FALSE),0),0)</f>
        <v>0</v>
      </c>
      <c r="AS547" s="57">
        <f>IFERROR(IF($V547="BRAND.com",HLOOKUP($X547&amp;$Z547,'NWC_FC_NON-NOOS'!$C$50:$U$69,MATCH(W547,'NWC_FC_NON-NOOS'!$B$50:$B$69,0),FALSE),0),0)</f>
        <v>0</v>
      </c>
      <c r="AT547" s="57">
        <f t="shared" si="204"/>
        <v>0</v>
      </c>
      <c r="AU547" s="57">
        <f t="shared" si="205"/>
        <v>0</v>
      </c>
      <c r="AV547" s="58">
        <f>IFERROR(IF($V547="BRAND.com",HLOOKUP($X547&amp;$Z547,PLANNING_FC!$BB$27:$BP$46,MATCH($W547,PLANNING_FC!$BA$27:$BA$46,0),FALSE),0),0)</f>
        <v>0</v>
      </c>
      <c r="AW547" s="58">
        <f>IFERROR(IF($V547="BRAND.com",HLOOKUP($X547&amp;$Z547,PLANNING_FC!$BB$4:$BP$23,MATCH($W547,PLANNING_FC!$BA$4:$BA$23,0),FALSE),0),0)</f>
        <v>0</v>
      </c>
      <c r="AX547" s="58">
        <f>IFERROR(IF($V547="BRAND.com",HLOOKUP($X547&amp;$Z547,PLANNING_FC!$T$27:$AH$46,MATCH($W547,PLANNING_FC!$B$27:$B$46,0),FALSE),0),0)</f>
        <v>0</v>
      </c>
      <c r="AY547" s="58">
        <f>IFERROR(IF($V547="BRAND.com",HLOOKUP($X547&amp;$Z547,PLANNING_FC!$T$4:$AH$23,MATCH($W547,PLANNING_FC!$B$4:$B$23,0),FALSE),0),0)</f>
        <v>0</v>
      </c>
      <c r="AZ547" s="58">
        <f>IFERROR(IF($V547="BRAND.com",HLOOKUP($X547&amp;$Z547,PLANNING_FC!$DA$27:$DO$46,MATCH($W547,PLANNING_FC!$CZ$27:$CZ$46,0),FALSE),0),0)</f>
        <v>0</v>
      </c>
      <c r="BA547" s="58">
        <f>IFERROR(IF($V547="BRAND.com",HLOOKUP($X547&amp;$Z547,PLANNING_FC!$DA$4:$DO$23,MATCH($W547,PLANNING_FC!$CZ$4:$CZ$23,0),FALSE),0),0)</f>
        <v>0</v>
      </c>
      <c r="BB547" s="883" t="str">
        <f>IF(V547="BRAND.com",IFERROR(HLOOKUP(X547&amp;Z547,PLANNING_FC!$AK$4:$AY$23,MATCH(W547,PLANNING_FC!$AJ$4:$AJ$23,0),FALSE)*1000,""),"")</f>
        <v/>
      </c>
      <c r="BC547" s="883" t="str">
        <f>IF(V547="BRAND.com",IFERROR(HLOOKUP(X547&amp;Z547,PLANNING_FC!$AK$27:$AY$46,MATCH(W547,PLANNING_FC!$AJ$27:$AJ$46,0),FALSE)*1000,""),"")</f>
        <v/>
      </c>
    </row>
    <row r="548" spans="1:55" x14ac:dyDescent="0.25">
      <c r="A548" s="509"/>
      <c r="B548" s="509"/>
      <c r="C548" s="509"/>
      <c r="D548" s="509"/>
      <c r="E548" s="509"/>
      <c r="F548" s="509"/>
      <c r="G548" s="509"/>
      <c r="H548" s="509"/>
      <c r="I548" s="512"/>
      <c r="J548" s="513"/>
      <c r="K548" s="514"/>
      <c r="L548" s="515"/>
      <c r="M548" s="516"/>
      <c r="N548" s="56">
        <f t="shared" si="206"/>
        <v>0</v>
      </c>
      <c r="O548" s="57">
        <f t="shared" si="207"/>
        <v>0</v>
      </c>
      <c r="P548" s="57">
        <f ca="1">IFERROR(IF(ISBLANK(H548),SUMIFS($AC:$AC,$V:$V,V548,$W:$W,W548,$X:$X,X548,$Y:$Y,Y548)*J548/(1-J548)*VLOOKUP(_xlfn.CONCAT(C548,D548,E548,TIME!$M$12,Z548),HIS_SALES!$B$2:$W$4859,20,FALSE),AC548*J548/(1-J548)),0)</f>
        <v>0</v>
      </c>
      <c r="Q548" s="541" t="str">
        <f t="shared" si="208"/>
        <v/>
      </c>
      <c r="R548" s="346" t="str">
        <f t="shared" si="189"/>
        <v>00000</v>
      </c>
      <c r="S548" s="344">
        <f t="shared" si="209"/>
        <v>0</v>
      </c>
      <c r="T548" s="345" t="str">
        <f t="shared" si="203"/>
        <v>000</v>
      </c>
      <c r="U548" s="345">
        <f t="shared" si="210"/>
        <v>0</v>
      </c>
      <c r="V548" s="345">
        <f t="shared" si="211"/>
        <v>0</v>
      </c>
      <c r="W548" s="345">
        <f t="shared" si="212"/>
        <v>0</v>
      </c>
      <c r="X548" s="345">
        <f t="shared" si="213"/>
        <v>0</v>
      </c>
      <c r="Y548" s="345">
        <f t="shared" si="214"/>
        <v>0</v>
      </c>
      <c r="Z548" s="345">
        <f>IF(Q548&lt;&gt;"",VLOOKUP(Y548,TIME!$R$21:$V$24,MATCH(FC_DATA!Q548,TIME!$R$20:$V$20,0),FALSE),H548)</f>
        <v>0</v>
      </c>
      <c r="AA548" s="345" t="str">
        <f>IFERROR(VLOOKUP(X548&amp;Z548,TIME!$A$12:$D$71,4,FALSE),"")</f>
        <v/>
      </c>
      <c r="AB548" s="592">
        <f t="shared" ca="1" si="196"/>
        <v>0</v>
      </c>
      <c r="AC548" s="593" t="e">
        <f ca="1">IF(ISBLANK(H548)=FALSE,IF(D548="BRAND.com",I548,IF(ISNA(VLOOKUP(_xlfn.CONCAT(X548,Z548),TIME!$M$40:$M$42,1,FALSE)),I548,VLOOKUP(_xlfn.CONCAT(D548,G548,H548),M_BUSAREA_FC!$AF$5:$AJ$10,5,FALSE)*HLOOKUP(_xlfn.CONCAT(F548,H548),ST_OVERVIEW!$G$99:$I$130,MATCH(_xlfn.CONCAT(D548,E548),ST_OVERVIEW!$F$99:$F$130,0),FALSE))),IF(D548="BRAND.com",VLOOKUP(_xlfn.CONCAT(C548,D548,E548,TIME!$F$1,Z548),HIS_SALES!$B$2:$V$4859,19,FALSE)*I548,VLOOKUP(_xlfn.CONCAT(D548,F548,G548),Q_BUSAREA_FC!$AE$5:$AI$12,5,FALSE)*HLOOKUP(_xlfn.CONCAT(FC_DATA!F548,FC_DATA!G548),LT_OVERVIEW!$I$99:$M$130,MATCH(_xlfn.CONCAT(D548,FC_DATA!E548),LT_OVERVIEW!$H$99:$H$130,0),FALSE)*IFERROR(VLOOKUP(_xlfn.CONCAT(C548,D548,E548,TIME!$F$1,Z548),HIS_SALES!$B$2:$V$4859,19,FALSE),0)))</f>
        <v>#N/A</v>
      </c>
      <c r="AD548" s="341">
        <f t="shared" ca="1" si="215"/>
        <v>0</v>
      </c>
      <c r="AE548" s="363" t="str">
        <f t="shared" si="216"/>
        <v/>
      </c>
      <c r="AF548" s="342" t="str">
        <f t="shared" si="217"/>
        <v/>
      </c>
      <c r="AG548" s="411" t="e">
        <f ca="1">VLOOKUP(_xlfn.CONCAT(U548,V548,W548,VLOOKUP(X548&amp;Y548,TIME!$L$27:$O$34,4,FALSE),Y548),HIS_SALES!$A$2:$R$5093,18,FALSE)</f>
        <v>#N/A</v>
      </c>
      <c r="AH548" s="412" t="e">
        <f ca="1">IFERROR(IF(AND(V548=V547,W548=W547),0.5*(AB548+AB547)*AG548,(VLOOKUP(_xlfn.CONCAT(U548,V548,W548,X548,VLOOKUP(Z548,TIME!$S$28:$T$39,2,FALSE)),FC_DATA!$R$2:$AB$5000,MATCH("GS_I_M",FC_DATA!$R$1:$AB$1,0),FALSE)+FC_DATA!AB548)*0.5*FC_DATA!AG548),NA())</f>
        <v>#N/A</v>
      </c>
      <c r="AI548" s="491" t="e">
        <f ca="1">IF(V548="PARTNER.com",AH548,IF(AND(V548=V547,W548=W547),(1-AVERAGE(AD547,AD548))*AH548,(1-AVERAGE(AD548,VLOOKUP(_xlfn.CONCAT(U548,V548,W548,X548,M_BRAND_FC!$F$6),FC_DATA!$R$2:$AD$5000,MATCH("DISCOUNT_%_M",FC_DATA!$R$1:$AD$1,0),FALSE)))*AH548))</f>
        <v>#N/A</v>
      </c>
      <c r="AJ548" s="412" t="str">
        <f t="shared" ca="1" si="200"/>
        <v/>
      </c>
      <c r="AK548" s="413" t="str">
        <f>IFERROR(AE548/(Q_BRAND_FC!$T$24+1),"")</f>
        <v/>
      </c>
      <c r="AL548" s="88" t="str">
        <f t="shared" ca="1" si="201"/>
        <v/>
      </c>
      <c r="AM548" s="414" t="str">
        <f t="shared" ca="1" si="202"/>
        <v/>
      </c>
      <c r="AN548" s="58">
        <f>IFERROR(IF($V548="BRAND.com",HLOOKUP($X548&amp;$Z548,NWC_FC_NOOS!$C$4:$Q$23,MATCH(W548,NWC_FC_NOOS!$B$4:$B$23,0),FALSE),0),0)</f>
        <v>0</v>
      </c>
      <c r="AO548" s="57">
        <f>IFERROR(IF($V548="BRAND.com",HLOOKUP($X548&amp;$Z548,NWC_FC_NOOS!$T$4:$AH$23,MATCH(W548,NWC_FC_NOOS!$S$4:$S$23,0),FALSE),0),0)</f>
        <v>0</v>
      </c>
      <c r="AP548" s="57">
        <f>IFERROR(IF($V548="BRAND.com",HLOOKUP($X548&amp;$Z548,NWC_FC_NOOS!$C$50:$U$69,MATCH(W548,NWC_FC_NOOS!$B$50:$B$69,0),FALSE),0),0)</f>
        <v>0</v>
      </c>
      <c r="AQ548" s="58">
        <f>IFERROR(IF($V548="BRAND.com",HLOOKUP($X548&amp;$Z548,'NWC_FC_NON-NOOS'!$C$4:$Q$23,MATCH(W548,'NWC_FC_NON-NOOS'!$B$4:$B$23,0),FALSE),0),0)</f>
        <v>0</v>
      </c>
      <c r="AR548" s="57">
        <f>IFERROR(IF($V548="BRAND.com",HLOOKUP($X548&amp;$Z548,'NWC_FC_NON-NOOS'!$T$4:$AH$23,MATCH(W548,'NWC_FC_NON-NOOS'!$S$4:$S$23,0),FALSE),0),0)</f>
        <v>0</v>
      </c>
      <c r="AS548" s="57">
        <f>IFERROR(IF($V548="BRAND.com",HLOOKUP($X548&amp;$Z548,'NWC_FC_NON-NOOS'!$C$50:$U$69,MATCH(W548,'NWC_FC_NON-NOOS'!$B$50:$B$69,0),FALSE),0),0)</f>
        <v>0</v>
      </c>
      <c r="AT548" s="57">
        <f t="shared" si="204"/>
        <v>0</v>
      </c>
      <c r="AU548" s="57">
        <f t="shared" si="205"/>
        <v>0</v>
      </c>
      <c r="AV548" s="58">
        <f>IFERROR(IF($V548="BRAND.com",HLOOKUP($X548&amp;$Z548,PLANNING_FC!$BB$27:$BP$46,MATCH($W548,PLANNING_FC!$BA$27:$BA$46,0),FALSE),0),0)</f>
        <v>0</v>
      </c>
      <c r="AW548" s="58">
        <f>IFERROR(IF($V548="BRAND.com",HLOOKUP($X548&amp;$Z548,PLANNING_FC!$BB$4:$BP$23,MATCH($W548,PLANNING_FC!$BA$4:$BA$23,0),FALSE),0),0)</f>
        <v>0</v>
      </c>
      <c r="AX548" s="58">
        <f>IFERROR(IF($V548="BRAND.com",HLOOKUP($X548&amp;$Z548,PLANNING_FC!$T$27:$AH$46,MATCH($W548,PLANNING_FC!$B$27:$B$46,0),FALSE),0),0)</f>
        <v>0</v>
      </c>
      <c r="AY548" s="58">
        <f>IFERROR(IF($V548="BRAND.com",HLOOKUP($X548&amp;$Z548,PLANNING_FC!$T$4:$AH$23,MATCH($W548,PLANNING_FC!$B$4:$B$23,0),FALSE),0),0)</f>
        <v>0</v>
      </c>
      <c r="AZ548" s="58">
        <f>IFERROR(IF($V548="BRAND.com",HLOOKUP($X548&amp;$Z548,PLANNING_FC!$DA$27:$DO$46,MATCH($W548,PLANNING_FC!$CZ$27:$CZ$46,0),FALSE),0),0)</f>
        <v>0</v>
      </c>
      <c r="BA548" s="58">
        <f>IFERROR(IF($V548="BRAND.com",HLOOKUP($X548&amp;$Z548,PLANNING_FC!$DA$4:$DO$23,MATCH($W548,PLANNING_FC!$CZ$4:$CZ$23,0),FALSE),0),0)</f>
        <v>0</v>
      </c>
      <c r="BB548" s="883" t="str">
        <f>IF(V548="BRAND.com",IFERROR(HLOOKUP(X548&amp;Z548,PLANNING_FC!$AK$4:$AY$23,MATCH(W548,PLANNING_FC!$AJ$4:$AJ$23,0),FALSE)*1000,""),"")</f>
        <v/>
      </c>
      <c r="BC548" s="883" t="str">
        <f>IF(V548="BRAND.com",IFERROR(HLOOKUP(X548&amp;Z548,PLANNING_FC!$AK$27:$AY$46,MATCH(W548,PLANNING_FC!$AJ$27:$AJ$46,0),FALSE)*1000,""),"")</f>
        <v/>
      </c>
    </row>
    <row r="549" spans="1:55" x14ac:dyDescent="0.25">
      <c r="A549" s="509"/>
      <c r="B549" s="509"/>
      <c r="C549" s="509"/>
      <c r="D549" s="509"/>
      <c r="E549" s="509"/>
      <c r="F549" s="509"/>
      <c r="G549" s="509"/>
      <c r="H549" s="509"/>
      <c r="I549" s="512"/>
      <c r="J549" s="513"/>
      <c r="K549" s="514"/>
      <c r="L549" s="515"/>
      <c r="M549" s="516"/>
      <c r="N549" s="56">
        <f t="shared" si="206"/>
        <v>0</v>
      </c>
      <c r="O549" s="57">
        <f t="shared" si="207"/>
        <v>0</v>
      </c>
      <c r="P549" s="57">
        <f ca="1">IFERROR(IF(ISBLANK(H549),SUMIFS($AC:$AC,$V:$V,V549,$W:$W,W549,$X:$X,X549,$Y:$Y,Y549)*J549/(1-J549)*VLOOKUP(_xlfn.CONCAT(C549,D549,E549,TIME!$M$12,Z549),HIS_SALES!$B$2:$W$4859,20,FALSE),AC549*J549/(1-J549)),0)</f>
        <v>0</v>
      </c>
      <c r="Q549" s="541" t="str">
        <f t="shared" si="208"/>
        <v/>
      </c>
      <c r="R549" s="346" t="str">
        <f t="shared" si="189"/>
        <v>00000</v>
      </c>
      <c r="S549" s="344">
        <f t="shared" si="209"/>
        <v>0</v>
      </c>
      <c r="T549" s="345" t="str">
        <f t="shared" si="203"/>
        <v>000</v>
      </c>
      <c r="U549" s="345">
        <f t="shared" si="210"/>
        <v>0</v>
      </c>
      <c r="V549" s="345">
        <f t="shared" si="211"/>
        <v>0</v>
      </c>
      <c r="W549" s="345">
        <f t="shared" si="212"/>
        <v>0</v>
      </c>
      <c r="X549" s="345">
        <f t="shared" si="213"/>
        <v>0</v>
      </c>
      <c r="Y549" s="345">
        <f t="shared" si="214"/>
        <v>0</v>
      </c>
      <c r="Z549" s="345">
        <f>IF(Q549&lt;&gt;"",VLOOKUP(Y549,TIME!$R$21:$V$24,MATCH(FC_DATA!Q549,TIME!$R$20:$V$20,0),FALSE),H549)</f>
        <v>0</v>
      </c>
      <c r="AA549" s="345" t="str">
        <f>IFERROR(VLOOKUP(X549&amp;Z549,TIME!$A$12:$D$71,4,FALSE),"")</f>
        <v/>
      </c>
      <c r="AB549" s="592">
        <f t="shared" ca="1" si="196"/>
        <v>0</v>
      </c>
      <c r="AC549" s="593" t="e">
        <f ca="1">IF(ISBLANK(H549)=FALSE,IF(D549="BRAND.com",I549,IF(ISNA(VLOOKUP(_xlfn.CONCAT(X549,Z549),TIME!$M$40:$M$42,1,FALSE)),I549,VLOOKUP(_xlfn.CONCAT(D549,G549,H549),M_BUSAREA_FC!$AF$5:$AJ$10,5,FALSE)*HLOOKUP(_xlfn.CONCAT(F549,H549),ST_OVERVIEW!$G$99:$I$130,MATCH(_xlfn.CONCAT(D549,E549),ST_OVERVIEW!$F$99:$F$130,0),FALSE))),IF(D549="BRAND.com",VLOOKUP(_xlfn.CONCAT(C549,D549,E549,TIME!$F$1,Z549),HIS_SALES!$B$2:$V$4859,19,FALSE)*I549,VLOOKUP(_xlfn.CONCAT(D549,F549,G549),Q_BUSAREA_FC!$AE$5:$AI$12,5,FALSE)*HLOOKUP(_xlfn.CONCAT(FC_DATA!F549,FC_DATA!G549),LT_OVERVIEW!$I$99:$M$130,MATCH(_xlfn.CONCAT(D549,FC_DATA!E549),LT_OVERVIEW!$H$99:$H$130,0),FALSE)*IFERROR(VLOOKUP(_xlfn.CONCAT(C549,D549,E549,TIME!$F$1,Z549),HIS_SALES!$B$2:$V$4859,19,FALSE),0)))</f>
        <v>#N/A</v>
      </c>
      <c r="AD549" s="341">
        <f t="shared" ca="1" si="215"/>
        <v>0</v>
      </c>
      <c r="AE549" s="363" t="str">
        <f t="shared" si="216"/>
        <v/>
      </c>
      <c r="AF549" s="342" t="str">
        <f t="shared" si="217"/>
        <v/>
      </c>
      <c r="AG549" s="411" t="e">
        <f ca="1">VLOOKUP(_xlfn.CONCAT(U549,V549,W549,VLOOKUP(X549&amp;Y549,TIME!$L$27:$O$34,4,FALSE),Y549),HIS_SALES!$A$2:$R$5093,18,FALSE)</f>
        <v>#N/A</v>
      </c>
      <c r="AH549" s="412" t="e">
        <f ca="1">IFERROR(IF(AND(V549=V548,W549=W548),0.5*(AB549+AB548)*AG549,(VLOOKUP(_xlfn.CONCAT(U549,V549,W549,X549,VLOOKUP(Z549,TIME!$S$28:$T$39,2,FALSE)),FC_DATA!$R$2:$AB$5000,MATCH("GS_I_M",FC_DATA!$R$1:$AB$1,0),FALSE)+FC_DATA!AB549)*0.5*FC_DATA!AG549),NA())</f>
        <v>#N/A</v>
      </c>
      <c r="AI549" s="491" t="e">
        <f ca="1">IF(V549="PARTNER.com",AH549,IF(AND(V549=V548,W549=W548),(1-AVERAGE(AD548,AD549))*AH549,(1-AVERAGE(AD549,VLOOKUP(_xlfn.CONCAT(U549,V549,W549,X549,M_BRAND_FC!$F$6),FC_DATA!$R$2:$AD$5000,MATCH("DISCOUNT_%_M",FC_DATA!$R$1:$AD$1,0),FALSE)))*AH549))</f>
        <v>#N/A</v>
      </c>
      <c r="AJ549" s="412" t="str">
        <f t="shared" ca="1" si="200"/>
        <v/>
      </c>
      <c r="AK549" s="413" t="str">
        <f>IFERROR(AE549/(Q_BRAND_FC!$T$24+1),"")</f>
        <v/>
      </c>
      <c r="AL549" s="88" t="str">
        <f t="shared" ca="1" si="201"/>
        <v/>
      </c>
      <c r="AM549" s="414" t="str">
        <f t="shared" ca="1" si="202"/>
        <v/>
      </c>
      <c r="AN549" s="58">
        <f>IFERROR(IF($V549="BRAND.com",HLOOKUP($X549&amp;$Z549,NWC_FC_NOOS!$C$4:$Q$23,MATCH(W549,NWC_FC_NOOS!$B$4:$B$23,0),FALSE),0),0)</f>
        <v>0</v>
      </c>
      <c r="AO549" s="57">
        <f>IFERROR(IF($V549="BRAND.com",HLOOKUP($X549&amp;$Z549,NWC_FC_NOOS!$T$4:$AH$23,MATCH(W549,NWC_FC_NOOS!$S$4:$S$23,0),FALSE),0),0)</f>
        <v>0</v>
      </c>
      <c r="AP549" s="57">
        <f>IFERROR(IF($V549="BRAND.com",HLOOKUP($X549&amp;$Z549,NWC_FC_NOOS!$C$50:$U$69,MATCH(W549,NWC_FC_NOOS!$B$50:$B$69,0),FALSE),0),0)</f>
        <v>0</v>
      </c>
      <c r="AQ549" s="58">
        <f>IFERROR(IF($V549="BRAND.com",HLOOKUP($X549&amp;$Z549,'NWC_FC_NON-NOOS'!$C$4:$Q$23,MATCH(W549,'NWC_FC_NON-NOOS'!$B$4:$B$23,0),FALSE),0),0)</f>
        <v>0</v>
      </c>
      <c r="AR549" s="57">
        <f>IFERROR(IF($V549="BRAND.com",HLOOKUP($X549&amp;$Z549,'NWC_FC_NON-NOOS'!$T$4:$AH$23,MATCH(W549,'NWC_FC_NON-NOOS'!$S$4:$S$23,0),FALSE),0),0)</f>
        <v>0</v>
      </c>
      <c r="AS549" s="57">
        <f>IFERROR(IF($V549="BRAND.com",HLOOKUP($X549&amp;$Z549,'NWC_FC_NON-NOOS'!$C$50:$U$69,MATCH(W549,'NWC_FC_NON-NOOS'!$B$50:$B$69,0),FALSE),0),0)</f>
        <v>0</v>
      </c>
      <c r="AT549" s="57">
        <f t="shared" si="204"/>
        <v>0</v>
      </c>
      <c r="AU549" s="57">
        <f t="shared" si="205"/>
        <v>0</v>
      </c>
      <c r="AV549" s="58">
        <f>IFERROR(IF($V549="BRAND.com",HLOOKUP($X549&amp;$Z549,PLANNING_FC!$BB$27:$BP$46,MATCH($W549,PLANNING_FC!$BA$27:$BA$46,0),FALSE),0),0)</f>
        <v>0</v>
      </c>
      <c r="AW549" s="58">
        <f>IFERROR(IF($V549="BRAND.com",HLOOKUP($X549&amp;$Z549,PLANNING_FC!$BB$4:$BP$23,MATCH($W549,PLANNING_FC!$BA$4:$BA$23,0),FALSE),0),0)</f>
        <v>0</v>
      </c>
      <c r="AX549" s="58">
        <f>IFERROR(IF($V549="BRAND.com",HLOOKUP($X549&amp;$Z549,PLANNING_FC!$T$27:$AH$46,MATCH($W549,PLANNING_FC!$B$27:$B$46,0),FALSE),0),0)</f>
        <v>0</v>
      </c>
      <c r="AY549" s="58">
        <f>IFERROR(IF($V549="BRAND.com",HLOOKUP($X549&amp;$Z549,PLANNING_FC!$T$4:$AH$23,MATCH($W549,PLANNING_FC!$B$4:$B$23,0),FALSE),0),0)</f>
        <v>0</v>
      </c>
      <c r="AZ549" s="58">
        <f>IFERROR(IF($V549="BRAND.com",HLOOKUP($X549&amp;$Z549,PLANNING_FC!$DA$27:$DO$46,MATCH($W549,PLANNING_FC!$CZ$27:$CZ$46,0),FALSE),0),0)</f>
        <v>0</v>
      </c>
      <c r="BA549" s="58">
        <f>IFERROR(IF($V549="BRAND.com",HLOOKUP($X549&amp;$Z549,PLANNING_FC!$DA$4:$DO$23,MATCH($W549,PLANNING_FC!$CZ$4:$CZ$23,0),FALSE),0),0)</f>
        <v>0</v>
      </c>
      <c r="BB549" s="883" t="str">
        <f>IF(V549="BRAND.com",IFERROR(HLOOKUP(X549&amp;Z549,PLANNING_FC!$AK$4:$AY$23,MATCH(W549,PLANNING_FC!$AJ$4:$AJ$23,0),FALSE)*1000,""),"")</f>
        <v/>
      </c>
      <c r="BC549" s="883" t="str">
        <f>IF(V549="BRAND.com",IFERROR(HLOOKUP(X549&amp;Z549,PLANNING_FC!$AK$27:$AY$46,MATCH(W549,PLANNING_FC!$AJ$27:$AJ$46,0),FALSE)*1000,""),"")</f>
        <v/>
      </c>
    </row>
    <row r="550" spans="1:55" x14ac:dyDescent="0.25">
      <c r="A550" s="509"/>
      <c r="B550" s="509"/>
      <c r="C550" s="509"/>
      <c r="D550" s="509"/>
      <c r="E550" s="509"/>
      <c r="F550" s="509"/>
      <c r="G550" s="511"/>
      <c r="H550" s="509"/>
      <c r="I550" s="512"/>
      <c r="J550" s="513"/>
      <c r="K550" s="514"/>
      <c r="L550" s="515"/>
      <c r="M550" s="516"/>
      <c r="N550" s="56">
        <f t="shared" si="206"/>
        <v>0</v>
      </c>
      <c r="O550" s="57">
        <f t="shared" si="207"/>
        <v>0</v>
      </c>
      <c r="P550" s="57">
        <f ca="1">IFERROR(IF(ISBLANK(H550),SUMIFS($AC:$AC,$V:$V,V550,$W:$W,W550,$X:$X,X550,$Y:$Y,Y550)*J550/(1-J550)*VLOOKUP(_xlfn.CONCAT(C550,D550,E550,TIME!$M$12,Z550),HIS_SALES!$B$2:$W$4859,20,FALSE),AC550*J550/(1-J550)),0)</f>
        <v>0</v>
      </c>
      <c r="Q550" s="541" t="str">
        <f t="shared" si="208"/>
        <v/>
      </c>
      <c r="R550" s="346" t="str">
        <f t="shared" si="189"/>
        <v>00000</v>
      </c>
      <c r="S550" s="344">
        <f t="shared" si="209"/>
        <v>0</v>
      </c>
      <c r="T550" s="345" t="str">
        <f t="shared" si="203"/>
        <v>000</v>
      </c>
      <c r="U550" s="345">
        <f t="shared" si="210"/>
        <v>0</v>
      </c>
      <c r="V550" s="345">
        <f t="shared" si="211"/>
        <v>0</v>
      </c>
      <c r="W550" s="345">
        <f t="shared" si="212"/>
        <v>0</v>
      </c>
      <c r="X550" s="345">
        <f t="shared" si="213"/>
        <v>0</v>
      </c>
      <c r="Y550" s="345">
        <f t="shared" si="214"/>
        <v>0</v>
      </c>
      <c r="Z550" s="345">
        <f>IF(Q550&lt;&gt;"",VLOOKUP(Y550,TIME!$R$21:$V$24,MATCH(FC_DATA!Q550,TIME!$R$20:$V$20,0),FALSE),H550)</f>
        <v>0</v>
      </c>
      <c r="AA550" s="345" t="str">
        <f>IFERROR(VLOOKUP(X550&amp;Z550,TIME!$A$12:$D$71,4,FALSE),"")</f>
        <v/>
      </c>
      <c r="AB550" s="592">
        <f t="shared" ca="1" si="196"/>
        <v>0</v>
      </c>
      <c r="AC550" s="593" t="e">
        <f ca="1">IF(ISBLANK(H550)=FALSE,IF(D550="BRAND.com",I550,IF(ISNA(VLOOKUP(_xlfn.CONCAT(X550,Z550),TIME!$M$40:$M$42,1,FALSE)),I550,VLOOKUP(_xlfn.CONCAT(D550,G550,H550),M_BUSAREA_FC!$AF$5:$AJ$10,5,FALSE)*HLOOKUP(_xlfn.CONCAT(F550,H550),ST_OVERVIEW!$G$99:$I$130,MATCH(_xlfn.CONCAT(D550,E550),ST_OVERVIEW!$F$99:$F$130,0),FALSE))),IF(D550="BRAND.com",VLOOKUP(_xlfn.CONCAT(C550,D550,E550,TIME!$F$1,Z550),HIS_SALES!$B$2:$V$4859,19,FALSE)*I550,VLOOKUP(_xlfn.CONCAT(D550,F550,G550),Q_BUSAREA_FC!$AE$5:$AI$12,5,FALSE)*HLOOKUP(_xlfn.CONCAT(FC_DATA!F550,FC_DATA!G550),LT_OVERVIEW!$I$99:$M$130,MATCH(_xlfn.CONCAT(D550,FC_DATA!E550),LT_OVERVIEW!$H$99:$H$130,0),FALSE)*IFERROR(VLOOKUP(_xlfn.CONCAT(C550,D550,E550,TIME!$F$1,Z550),HIS_SALES!$B$2:$V$4859,19,FALSE),0)))</f>
        <v>#N/A</v>
      </c>
      <c r="AD550" s="341">
        <f t="shared" ca="1" si="215"/>
        <v>0</v>
      </c>
      <c r="AE550" s="363" t="str">
        <f t="shared" si="216"/>
        <v/>
      </c>
      <c r="AF550" s="342" t="str">
        <f t="shared" si="217"/>
        <v/>
      </c>
      <c r="AG550" s="411" t="e">
        <f ca="1">VLOOKUP(_xlfn.CONCAT(U550,V550,W550,VLOOKUP(X550&amp;Y550,TIME!$L$27:$O$34,4,FALSE),Y550),HIS_SALES!$A$2:$R$5093,18,FALSE)</f>
        <v>#N/A</v>
      </c>
      <c r="AH550" s="412" t="e">
        <f ca="1">IFERROR(IF(AND(V550=V549,W550=W549),0.5*(AB550+AB549)*AG550,(VLOOKUP(_xlfn.CONCAT(U550,V550,W550,X550,VLOOKUP(Z550,TIME!$S$28:$T$39,2,FALSE)),FC_DATA!$R$2:$AB$5000,MATCH("GS_I_M",FC_DATA!$R$1:$AB$1,0),FALSE)+FC_DATA!AB550)*0.5*FC_DATA!AG550),NA())</f>
        <v>#N/A</v>
      </c>
      <c r="AI550" s="491" t="e">
        <f ca="1">IF(V550="PARTNER.com",AH550,IF(AND(V550=V549,W550=W549),(1-AVERAGE(AD549,AD550))*AH550,(1-AVERAGE(AD550,VLOOKUP(_xlfn.CONCAT(U550,V550,W550,X550,M_BRAND_FC!$F$6),FC_DATA!$R$2:$AD$5000,MATCH("DISCOUNT_%_M",FC_DATA!$R$1:$AD$1,0),FALSE)))*AH550))</f>
        <v>#N/A</v>
      </c>
      <c r="AJ550" s="412" t="str">
        <f t="shared" ca="1" si="200"/>
        <v/>
      </c>
      <c r="AK550" s="413" t="str">
        <f>IFERROR(AE550/(Q_BRAND_FC!$T$24+1),"")</f>
        <v/>
      </c>
      <c r="AL550" s="88" t="str">
        <f t="shared" ca="1" si="201"/>
        <v/>
      </c>
      <c r="AM550" s="414" t="str">
        <f t="shared" ca="1" si="202"/>
        <v/>
      </c>
      <c r="AN550" s="58">
        <f>IFERROR(IF($V550="BRAND.com",HLOOKUP($X550&amp;$Z550,NWC_FC_NOOS!$C$4:$Q$23,MATCH(W550,NWC_FC_NOOS!$B$4:$B$23,0),FALSE),0),0)</f>
        <v>0</v>
      </c>
      <c r="AO550" s="57">
        <f>IFERROR(IF($V550="BRAND.com",HLOOKUP($X550&amp;$Z550,NWC_FC_NOOS!$T$4:$AH$23,MATCH(W550,NWC_FC_NOOS!$S$4:$S$23,0),FALSE),0),0)</f>
        <v>0</v>
      </c>
      <c r="AP550" s="57">
        <f>IFERROR(IF($V550="BRAND.com",HLOOKUP($X550&amp;$Z550,NWC_FC_NOOS!$C$50:$U$69,MATCH(W550,NWC_FC_NOOS!$B$50:$B$69,0),FALSE),0),0)</f>
        <v>0</v>
      </c>
      <c r="AQ550" s="58">
        <f>IFERROR(IF($V550="BRAND.com",HLOOKUP($X550&amp;$Z550,'NWC_FC_NON-NOOS'!$C$4:$Q$23,MATCH(W550,'NWC_FC_NON-NOOS'!$B$4:$B$23,0),FALSE),0),0)</f>
        <v>0</v>
      </c>
      <c r="AR550" s="57">
        <f>IFERROR(IF($V550="BRAND.com",HLOOKUP($X550&amp;$Z550,'NWC_FC_NON-NOOS'!$T$4:$AH$23,MATCH(W550,'NWC_FC_NON-NOOS'!$S$4:$S$23,0),FALSE),0),0)</f>
        <v>0</v>
      </c>
      <c r="AS550" s="57">
        <f>IFERROR(IF($V550="BRAND.com",HLOOKUP($X550&amp;$Z550,'NWC_FC_NON-NOOS'!$C$50:$U$69,MATCH(W550,'NWC_FC_NON-NOOS'!$B$50:$B$69,0),FALSE),0),0)</f>
        <v>0</v>
      </c>
      <c r="AT550" s="57">
        <f t="shared" si="204"/>
        <v>0</v>
      </c>
      <c r="AU550" s="57">
        <f t="shared" si="205"/>
        <v>0</v>
      </c>
      <c r="AV550" s="58">
        <f>IFERROR(IF($V550="BRAND.com",HLOOKUP($X550&amp;$Z550,PLANNING_FC!$BB$27:$BP$46,MATCH($W550,PLANNING_FC!$BA$27:$BA$46,0),FALSE),0),0)</f>
        <v>0</v>
      </c>
      <c r="AW550" s="58">
        <f>IFERROR(IF($V550="BRAND.com",HLOOKUP($X550&amp;$Z550,PLANNING_FC!$BB$4:$BP$23,MATCH($W550,PLANNING_FC!$BA$4:$BA$23,0),FALSE),0),0)</f>
        <v>0</v>
      </c>
      <c r="AX550" s="58">
        <f>IFERROR(IF($V550="BRAND.com",HLOOKUP($X550&amp;$Z550,PLANNING_FC!$T$27:$AH$46,MATCH($W550,PLANNING_FC!$B$27:$B$46,0),FALSE),0),0)</f>
        <v>0</v>
      </c>
      <c r="AY550" s="58">
        <f>IFERROR(IF($V550="BRAND.com",HLOOKUP($X550&amp;$Z550,PLANNING_FC!$T$4:$AH$23,MATCH($W550,PLANNING_FC!$B$4:$B$23,0),FALSE),0),0)</f>
        <v>0</v>
      </c>
      <c r="AZ550" s="58">
        <f>IFERROR(IF($V550="BRAND.com",HLOOKUP($X550&amp;$Z550,PLANNING_FC!$DA$27:$DO$46,MATCH($W550,PLANNING_FC!$CZ$27:$CZ$46,0),FALSE),0),0)</f>
        <v>0</v>
      </c>
      <c r="BA550" s="58">
        <f>IFERROR(IF($V550="BRAND.com",HLOOKUP($X550&amp;$Z550,PLANNING_FC!$DA$4:$DO$23,MATCH($W550,PLANNING_FC!$CZ$4:$CZ$23,0),FALSE),0),0)</f>
        <v>0</v>
      </c>
      <c r="BB550" s="883" t="str">
        <f>IF(V550="BRAND.com",IFERROR(HLOOKUP(X550&amp;Z550,PLANNING_FC!$AK$4:$AY$23,MATCH(W550,PLANNING_FC!$AJ$4:$AJ$23,0),FALSE)*1000,""),"")</f>
        <v/>
      </c>
      <c r="BC550" s="883" t="str">
        <f>IF(V550="BRAND.com",IFERROR(HLOOKUP(X550&amp;Z550,PLANNING_FC!$AK$27:$AY$46,MATCH(W550,PLANNING_FC!$AJ$27:$AJ$46,0),FALSE)*1000,""),"")</f>
        <v/>
      </c>
    </row>
    <row r="551" spans="1:55" x14ac:dyDescent="0.25">
      <c r="A551" s="509"/>
      <c r="B551" s="509"/>
      <c r="C551" s="509"/>
      <c r="D551" s="509"/>
      <c r="E551" s="509"/>
      <c r="F551" s="509"/>
      <c r="G551" s="509"/>
      <c r="H551" s="509"/>
      <c r="I551" s="512"/>
      <c r="J551" s="513"/>
      <c r="K551" s="514"/>
      <c r="L551" s="515"/>
      <c r="M551" s="516"/>
      <c r="N551" s="56">
        <f t="shared" si="206"/>
        <v>0</v>
      </c>
      <c r="O551" s="57">
        <f t="shared" si="207"/>
        <v>0</v>
      </c>
      <c r="P551" s="57">
        <f ca="1">IFERROR(IF(ISBLANK(H551),SUMIFS($AC:$AC,$V:$V,V551,$W:$W,W551,$X:$X,X551,$Y:$Y,Y551)*J551/(1-J551)*VLOOKUP(_xlfn.CONCAT(C551,D551,E551,TIME!$M$12,Z551),HIS_SALES!$B$2:$W$4859,20,FALSE),AC551*J551/(1-J551)),0)</f>
        <v>0</v>
      </c>
      <c r="Q551" s="541" t="str">
        <f t="shared" si="208"/>
        <v/>
      </c>
      <c r="R551" s="346" t="str">
        <f t="shared" si="189"/>
        <v>00000</v>
      </c>
      <c r="S551" s="344">
        <f t="shared" si="209"/>
        <v>0</v>
      </c>
      <c r="T551" s="345" t="str">
        <f t="shared" si="203"/>
        <v>000</v>
      </c>
      <c r="U551" s="345">
        <f t="shared" si="210"/>
        <v>0</v>
      </c>
      <c r="V551" s="345">
        <f t="shared" si="211"/>
        <v>0</v>
      </c>
      <c r="W551" s="345">
        <f t="shared" si="212"/>
        <v>0</v>
      </c>
      <c r="X551" s="345">
        <f t="shared" si="213"/>
        <v>0</v>
      </c>
      <c r="Y551" s="345">
        <f t="shared" si="214"/>
        <v>0</v>
      </c>
      <c r="Z551" s="345">
        <f>IF(Q551&lt;&gt;"",VLOOKUP(Y551,TIME!$R$21:$V$24,MATCH(FC_DATA!Q551,TIME!$R$20:$V$20,0),FALSE),H551)</f>
        <v>0</v>
      </c>
      <c r="AA551" s="345" t="str">
        <f>IFERROR(VLOOKUP(X551&amp;Z551,TIME!$A$12:$D$71,4,FALSE),"")</f>
        <v/>
      </c>
      <c r="AB551" s="592">
        <f t="shared" ca="1" si="196"/>
        <v>0</v>
      </c>
      <c r="AC551" s="593" t="e">
        <f ca="1">IF(ISBLANK(H551)=FALSE,IF(D551="BRAND.com",I551,IF(ISNA(VLOOKUP(_xlfn.CONCAT(X551,Z551),TIME!$M$40:$M$42,1,FALSE)),I551,VLOOKUP(_xlfn.CONCAT(D551,G551,H551),M_BUSAREA_FC!$AF$5:$AJ$10,5,FALSE)*HLOOKUP(_xlfn.CONCAT(F551,H551),ST_OVERVIEW!$G$99:$I$130,MATCH(_xlfn.CONCAT(D551,E551),ST_OVERVIEW!$F$99:$F$130,0),FALSE))),IF(D551="BRAND.com",VLOOKUP(_xlfn.CONCAT(C551,D551,E551,TIME!$F$1,Z551),HIS_SALES!$B$2:$V$4859,19,FALSE)*I551,VLOOKUP(_xlfn.CONCAT(D551,F551,G551),Q_BUSAREA_FC!$AE$5:$AI$12,5,FALSE)*HLOOKUP(_xlfn.CONCAT(FC_DATA!F551,FC_DATA!G551),LT_OVERVIEW!$I$99:$M$130,MATCH(_xlfn.CONCAT(D551,FC_DATA!E551),LT_OVERVIEW!$H$99:$H$130,0),FALSE)*IFERROR(VLOOKUP(_xlfn.CONCAT(C551,D551,E551,TIME!$F$1,Z551),HIS_SALES!$B$2:$V$4859,19,FALSE),0)))</f>
        <v>#N/A</v>
      </c>
      <c r="AD551" s="341">
        <f t="shared" ca="1" si="215"/>
        <v>0</v>
      </c>
      <c r="AE551" s="363" t="str">
        <f t="shared" si="216"/>
        <v/>
      </c>
      <c r="AF551" s="342" t="str">
        <f t="shared" si="217"/>
        <v/>
      </c>
      <c r="AG551" s="411" t="e">
        <f ca="1">VLOOKUP(_xlfn.CONCAT(U551,V551,W551,VLOOKUP(X551&amp;Y551,TIME!$L$27:$O$34,4,FALSE),Y551),HIS_SALES!$A$2:$R$5093,18,FALSE)</f>
        <v>#N/A</v>
      </c>
      <c r="AH551" s="412" t="e">
        <f ca="1">IFERROR(IF(AND(V551=V550,W551=W550),0.5*(AB551+AB550)*AG551,(VLOOKUP(_xlfn.CONCAT(U551,V551,W551,X551,VLOOKUP(Z551,TIME!$S$28:$T$39,2,FALSE)),FC_DATA!$R$2:$AB$5000,MATCH("GS_I_M",FC_DATA!$R$1:$AB$1,0),FALSE)+FC_DATA!AB551)*0.5*FC_DATA!AG551),NA())</f>
        <v>#N/A</v>
      </c>
      <c r="AI551" s="491" t="e">
        <f ca="1">IF(V551="PARTNER.com",AH551,IF(AND(V551=V550,W551=W550),(1-AVERAGE(AD550,AD551))*AH551,(1-AVERAGE(AD551,VLOOKUP(_xlfn.CONCAT(U551,V551,W551,X551,M_BRAND_FC!$F$6),FC_DATA!$R$2:$AD$5000,MATCH("DISCOUNT_%_M",FC_DATA!$R$1:$AD$1,0),FALSE)))*AH551))</f>
        <v>#N/A</v>
      </c>
      <c r="AJ551" s="412" t="str">
        <f t="shared" ca="1" si="200"/>
        <v/>
      </c>
      <c r="AK551" s="413" t="str">
        <f>IFERROR(AE551/(Q_BRAND_FC!$T$24+1),"")</f>
        <v/>
      </c>
      <c r="AL551" s="88" t="str">
        <f t="shared" ca="1" si="201"/>
        <v/>
      </c>
      <c r="AM551" s="414" t="str">
        <f t="shared" ca="1" si="202"/>
        <v/>
      </c>
      <c r="AN551" s="58">
        <f>IFERROR(IF($V551="BRAND.com",HLOOKUP($X551&amp;$Z551,NWC_FC_NOOS!$C$4:$Q$23,MATCH(W551,NWC_FC_NOOS!$B$4:$B$23,0),FALSE),0),0)</f>
        <v>0</v>
      </c>
      <c r="AO551" s="57">
        <f>IFERROR(IF($V551="BRAND.com",HLOOKUP($X551&amp;$Z551,NWC_FC_NOOS!$T$4:$AH$23,MATCH(W551,NWC_FC_NOOS!$S$4:$S$23,0),FALSE),0),0)</f>
        <v>0</v>
      </c>
      <c r="AP551" s="57">
        <f>IFERROR(IF($V551="BRAND.com",HLOOKUP($X551&amp;$Z551,NWC_FC_NOOS!$C$50:$U$69,MATCH(W551,NWC_FC_NOOS!$B$50:$B$69,0),FALSE),0),0)</f>
        <v>0</v>
      </c>
      <c r="AQ551" s="58">
        <f>IFERROR(IF($V551="BRAND.com",HLOOKUP($X551&amp;$Z551,'NWC_FC_NON-NOOS'!$C$4:$Q$23,MATCH(W551,'NWC_FC_NON-NOOS'!$B$4:$B$23,0),FALSE),0),0)</f>
        <v>0</v>
      </c>
      <c r="AR551" s="57">
        <f>IFERROR(IF($V551="BRAND.com",HLOOKUP($X551&amp;$Z551,'NWC_FC_NON-NOOS'!$T$4:$AH$23,MATCH(W551,'NWC_FC_NON-NOOS'!$S$4:$S$23,0),FALSE),0),0)</f>
        <v>0</v>
      </c>
      <c r="AS551" s="57">
        <f>IFERROR(IF($V551="BRAND.com",HLOOKUP($X551&amp;$Z551,'NWC_FC_NON-NOOS'!$C$50:$U$69,MATCH(W551,'NWC_FC_NON-NOOS'!$B$50:$B$69,0),FALSE),0),0)</f>
        <v>0</v>
      </c>
      <c r="AT551" s="57">
        <f t="shared" si="204"/>
        <v>0</v>
      </c>
      <c r="AU551" s="57">
        <f t="shared" si="205"/>
        <v>0</v>
      </c>
      <c r="AV551" s="58">
        <f>IFERROR(IF($V551="BRAND.com",HLOOKUP($X551&amp;$Z551,PLANNING_FC!$BB$27:$BP$46,MATCH($W551,PLANNING_FC!$BA$27:$BA$46,0),FALSE),0),0)</f>
        <v>0</v>
      </c>
      <c r="AW551" s="58">
        <f>IFERROR(IF($V551="BRAND.com",HLOOKUP($X551&amp;$Z551,PLANNING_FC!$BB$4:$BP$23,MATCH($W551,PLANNING_FC!$BA$4:$BA$23,0),FALSE),0),0)</f>
        <v>0</v>
      </c>
      <c r="AX551" s="58">
        <f>IFERROR(IF($V551="BRAND.com",HLOOKUP($X551&amp;$Z551,PLANNING_FC!$T$27:$AH$46,MATCH($W551,PLANNING_FC!$B$27:$B$46,0),FALSE),0),0)</f>
        <v>0</v>
      </c>
      <c r="AY551" s="58">
        <f>IFERROR(IF($V551="BRAND.com",HLOOKUP($X551&amp;$Z551,PLANNING_FC!$T$4:$AH$23,MATCH($W551,PLANNING_FC!$B$4:$B$23,0),FALSE),0),0)</f>
        <v>0</v>
      </c>
      <c r="AZ551" s="58">
        <f>IFERROR(IF($V551="BRAND.com",HLOOKUP($X551&amp;$Z551,PLANNING_FC!$DA$27:$DO$46,MATCH($W551,PLANNING_FC!$CZ$27:$CZ$46,0),FALSE),0),0)</f>
        <v>0</v>
      </c>
      <c r="BA551" s="58">
        <f>IFERROR(IF($V551="BRAND.com",HLOOKUP($X551&amp;$Z551,PLANNING_FC!$DA$4:$DO$23,MATCH($W551,PLANNING_FC!$CZ$4:$CZ$23,0),FALSE),0),0)</f>
        <v>0</v>
      </c>
      <c r="BB551" s="883" t="str">
        <f>IF(V551="BRAND.com",IFERROR(HLOOKUP(X551&amp;Z551,PLANNING_FC!$AK$4:$AY$23,MATCH(W551,PLANNING_FC!$AJ$4:$AJ$23,0),FALSE)*1000,""),"")</f>
        <v/>
      </c>
      <c r="BC551" s="883" t="str">
        <f>IF(V551="BRAND.com",IFERROR(HLOOKUP(X551&amp;Z551,PLANNING_FC!$AK$27:$AY$46,MATCH(W551,PLANNING_FC!$AJ$27:$AJ$46,0),FALSE)*1000,""),"")</f>
        <v/>
      </c>
    </row>
    <row r="552" spans="1:55" x14ac:dyDescent="0.25">
      <c r="A552" s="509"/>
      <c r="B552" s="509"/>
      <c r="C552" s="509"/>
      <c r="D552" s="509"/>
      <c r="E552" s="509"/>
      <c r="F552" s="509"/>
      <c r="G552" s="509"/>
      <c r="H552" s="509"/>
      <c r="I552" s="512"/>
      <c r="J552" s="513"/>
      <c r="K552" s="514"/>
      <c r="L552" s="515"/>
      <c r="M552" s="516"/>
      <c r="N552" s="56">
        <f t="shared" si="206"/>
        <v>0</v>
      </c>
      <c r="O552" s="57">
        <f t="shared" si="207"/>
        <v>0</v>
      </c>
      <c r="P552" s="57">
        <f ca="1">IFERROR(IF(ISBLANK(H552),SUMIFS($AC:$AC,$V:$V,V552,$W:$W,W552,$X:$X,X552,$Y:$Y,Y552)*J552/(1-J552)*VLOOKUP(_xlfn.CONCAT(C552,D552,E552,TIME!$M$12,Z552),HIS_SALES!$B$2:$W$4859,20,FALSE),AC552*J552/(1-J552)),0)</f>
        <v>0</v>
      </c>
      <c r="Q552" s="541" t="str">
        <f t="shared" si="208"/>
        <v/>
      </c>
      <c r="R552" s="346" t="str">
        <f t="shared" si="189"/>
        <v>00000</v>
      </c>
      <c r="S552" s="344">
        <f t="shared" si="209"/>
        <v>0</v>
      </c>
      <c r="T552" s="345" t="str">
        <f t="shared" si="203"/>
        <v>000</v>
      </c>
      <c r="U552" s="345">
        <f t="shared" si="210"/>
        <v>0</v>
      </c>
      <c r="V552" s="345">
        <f t="shared" si="211"/>
        <v>0</v>
      </c>
      <c r="W552" s="345">
        <f t="shared" si="212"/>
        <v>0</v>
      </c>
      <c r="X552" s="345">
        <f t="shared" si="213"/>
        <v>0</v>
      </c>
      <c r="Y552" s="345">
        <f t="shared" si="214"/>
        <v>0</v>
      </c>
      <c r="Z552" s="345">
        <f>IF(Q552&lt;&gt;"",VLOOKUP(Y552,TIME!$R$21:$V$24,MATCH(FC_DATA!Q552,TIME!$R$20:$V$20,0),FALSE),H552)</f>
        <v>0</v>
      </c>
      <c r="AA552" s="345" t="str">
        <f>IFERROR(VLOOKUP(X552&amp;Z552,TIME!$A$12:$D$71,4,FALSE),"")</f>
        <v/>
      </c>
      <c r="AB552" s="592">
        <f t="shared" ca="1" si="196"/>
        <v>0</v>
      </c>
      <c r="AC552" s="593" t="e">
        <f ca="1">IF(ISBLANK(H552)=FALSE,IF(D552="BRAND.com",I552,IF(ISNA(VLOOKUP(_xlfn.CONCAT(X552,Z552),TIME!$M$40:$M$42,1,FALSE)),I552,VLOOKUP(_xlfn.CONCAT(D552,G552,H552),M_BUSAREA_FC!$AF$5:$AJ$10,5,FALSE)*HLOOKUP(_xlfn.CONCAT(F552,H552),ST_OVERVIEW!$G$99:$I$130,MATCH(_xlfn.CONCAT(D552,E552),ST_OVERVIEW!$F$99:$F$130,0),FALSE))),IF(D552="BRAND.com",VLOOKUP(_xlfn.CONCAT(C552,D552,E552,TIME!$F$1,Z552),HIS_SALES!$B$2:$V$4859,19,FALSE)*I552,VLOOKUP(_xlfn.CONCAT(D552,F552,G552),Q_BUSAREA_FC!$AE$5:$AI$12,5,FALSE)*HLOOKUP(_xlfn.CONCAT(FC_DATA!F552,FC_DATA!G552),LT_OVERVIEW!$I$99:$M$130,MATCH(_xlfn.CONCAT(D552,FC_DATA!E552),LT_OVERVIEW!$H$99:$H$130,0),FALSE)*IFERROR(VLOOKUP(_xlfn.CONCAT(C552,D552,E552,TIME!$F$1,Z552),HIS_SALES!$B$2:$V$4859,19,FALSE),0)))</f>
        <v>#N/A</v>
      </c>
      <c r="AD552" s="341">
        <f t="shared" ca="1" si="215"/>
        <v>0</v>
      </c>
      <c r="AE552" s="363" t="str">
        <f t="shared" si="216"/>
        <v/>
      </c>
      <c r="AF552" s="342" t="str">
        <f t="shared" si="217"/>
        <v/>
      </c>
      <c r="AG552" s="411" t="e">
        <f ca="1">VLOOKUP(_xlfn.CONCAT(U552,V552,W552,VLOOKUP(X552&amp;Y552,TIME!$L$27:$O$34,4,FALSE),Y552),HIS_SALES!$A$2:$R$5093,18,FALSE)</f>
        <v>#N/A</v>
      </c>
      <c r="AH552" s="412" t="e">
        <f ca="1">IFERROR(IF(AND(V552=V551,W552=W551),0.5*(AB552+AB551)*AG552,(VLOOKUP(_xlfn.CONCAT(U552,V552,W552,X552,VLOOKUP(Z552,TIME!$S$28:$T$39,2,FALSE)),FC_DATA!$R$2:$AB$5000,MATCH("GS_I_M",FC_DATA!$R$1:$AB$1,0),FALSE)+FC_DATA!AB552)*0.5*FC_DATA!AG552),NA())</f>
        <v>#N/A</v>
      </c>
      <c r="AI552" s="491" t="e">
        <f ca="1">IF(V552="PARTNER.com",AH552,IF(AND(V552=V551,W552=W551),(1-AVERAGE(AD551,AD552))*AH552,(1-AVERAGE(AD552,VLOOKUP(_xlfn.CONCAT(U552,V552,W552,X552,M_BRAND_FC!$F$6),FC_DATA!$R$2:$AD$5000,MATCH("DISCOUNT_%_M",FC_DATA!$R$1:$AD$1,0),FALSE)))*AH552))</f>
        <v>#N/A</v>
      </c>
      <c r="AJ552" s="412" t="str">
        <f t="shared" ca="1" si="200"/>
        <v/>
      </c>
      <c r="AK552" s="413" t="str">
        <f>IFERROR(AE552/(Q_BRAND_FC!$T$24+1),"")</f>
        <v/>
      </c>
      <c r="AL552" s="88" t="str">
        <f t="shared" ca="1" si="201"/>
        <v/>
      </c>
      <c r="AM552" s="414" t="str">
        <f t="shared" ca="1" si="202"/>
        <v/>
      </c>
      <c r="AN552" s="58">
        <f>IFERROR(IF($V552="BRAND.com",HLOOKUP($X552&amp;$Z552,NWC_FC_NOOS!$C$4:$Q$23,MATCH(W552,NWC_FC_NOOS!$B$4:$B$23,0),FALSE),0),0)</f>
        <v>0</v>
      </c>
      <c r="AO552" s="57">
        <f>IFERROR(IF($V552="BRAND.com",HLOOKUP($X552&amp;$Z552,NWC_FC_NOOS!$T$4:$AH$23,MATCH(W552,NWC_FC_NOOS!$S$4:$S$23,0),FALSE),0),0)</f>
        <v>0</v>
      </c>
      <c r="AP552" s="57">
        <f>IFERROR(IF($V552="BRAND.com",HLOOKUP($X552&amp;$Z552,NWC_FC_NOOS!$C$50:$U$69,MATCH(W552,NWC_FC_NOOS!$B$50:$B$69,0),FALSE),0),0)</f>
        <v>0</v>
      </c>
      <c r="AQ552" s="58">
        <f>IFERROR(IF($V552="BRAND.com",HLOOKUP($X552&amp;$Z552,'NWC_FC_NON-NOOS'!$C$4:$Q$23,MATCH(W552,'NWC_FC_NON-NOOS'!$B$4:$B$23,0),FALSE),0),0)</f>
        <v>0</v>
      </c>
      <c r="AR552" s="57">
        <f>IFERROR(IF($V552="BRAND.com",HLOOKUP($X552&amp;$Z552,'NWC_FC_NON-NOOS'!$T$4:$AH$23,MATCH(W552,'NWC_FC_NON-NOOS'!$S$4:$S$23,0),FALSE),0),0)</f>
        <v>0</v>
      </c>
      <c r="AS552" s="57">
        <f>IFERROR(IF($V552="BRAND.com",HLOOKUP($X552&amp;$Z552,'NWC_FC_NON-NOOS'!$C$50:$U$69,MATCH(W552,'NWC_FC_NON-NOOS'!$B$50:$B$69,0),FALSE),0),0)</f>
        <v>0</v>
      </c>
      <c r="AT552" s="57">
        <f t="shared" si="204"/>
        <v>0</v>
      </c>
      <c r="AU552" s="57">
        <f t="shared" si="205"/>
        <v>0</v>
      </c>
      <c r="AV552" s="58">
        <f>IFERROR(IF($V552="BRAND.com",HLOOKUP($X552&amp;$Z552,PLANNING_FC!$BB$27:$BP$46,MATCH($W552,PLANNING_FC!$BA$27:$BA$46,0),FALSE),0),0)</f>
        <v>0</v>
      </c>
      <c r="AW552" s="58">
        <f>IFERROR(IF($V552="BRAND.com",HLOOKUP($X552&amp;$Z552,PLANNING_FC!$BB$4:$BP$23,MATCH($W552,PLANNING_FC!$BA$4:$BA$23,0),FALSE),0),0)</f>
        <v>0</v>
      </c>
      <c r="AX552" s="58">
        <f>IFERROR(IF($V552="BRAND.com",HLOOKUP($X552&amp;$Z552,PLANNING_FC!$T$27:$AH$46,MATCH($W552,PLANNING_FC!$B$27:$B$46,0),FALSE),0),0)</f>
        <v>0</v>
      </c>
      <c r="AY552" s="58">
        <f>IFERROR(IF($V552="BRAND.com",HLOOKUP($X552&amp;$Z552,PLANNING_FC!$T$4:$AH$23,MATCH($W552,PLANNING_FC!$B$4:$B$23,0),FALSE),0),0)</f>
        <v>0</v>
      </c>
      <c r="AZ552" s="58">
        <f>IFERROR(IF($V552="BRAND.com",HLOOKUP($X552&amp;$Z552,PLANNING_FC!$DA$27:$DO$46,MATCH($W552,PLANNING_FC!$CZ$27:$CZ$46,0),FALSE),0),0)</f>
        <v>0</v>
      </c>
      <c r="BA552" s="58">
        <f>IFERROR(IF($V552="BRAND.com",HLOOKUP($X552&amp;$Z552,PLANNING_FC!$DA$4:$DO$23,MATCH($W552,PLANNING_FC!$CZ$4:$CZ$23,0),FALSE),0),0)</f>
        <v>0</v>
      </c>
      <c r="BB552" s="883" t="str">
        <f>IF(V552="BRAND.com",IFERROR(HLOOKUP(X552&amp;Z552,PLANNING_FC!$AK$4:$AY$23,MATCH(W552,PLANNING_FC!$AJ$4:$AJ$23,0),FALSE)*1000,""),"")</f>
        <v/>
      </c>
      <c r="BC552" s="883" t="str">
        <f>IF(V552="BRAND.com",IFERROR(HLOOKUP(X552&amp;Z552,PLANNING_FC!$AK$27:$AY$46,MATCH(W552,PLANNING_FC!$AJ$27:$AJ$46,0),FALSE)*1000,""),"")</f>
        <v/>
      </c>
    </row>
    <row r="553" spans="1:55" x14ac:dyDescent="0.25">
      <c r="A553" s="509"/>
      <c r="B553" s="509"/>
      <c r="C553" s="509"/>
      <c r="D553" s="509"/>
      <c r="E553" s="509"/>
      <c r="F553" s="509"/>
      <c r="G553" s="509"/>
      <c r="H553" s="509"/>
      <c r="I553" s="512"/>
      <c r="J553" s="513"/>
      <c r="K553" s="514"/>
      <c r="L553" s="515"/>
      <c r="M553" s="516"/>
      <c r="N553" s="56">
        <f t="shared" si="206"/>
        <v>0</v>
      </c>
      <c r="O553" s="57">
        <f t="shared" si="207"/>
        <v>0</v>
      </c>
      <c r="P553" s="57">
        <f ca="1">IFERROR(IF(ISBLANK(H553),SUMIFS($AC:$AC,$V:$V,V553,$W:$W,W553,$X:$X,X553,$Y:$Y,Y553)*J553/(1-J553)*VLOOKUP(_xlfn.CONCAT(C553,D553,E553,TIME!$M$12,Z553),HIS_SALES!$B$2:$W$4859,20,FALSE),AC553*J553/(1-J553)),0)</f>
        <v>0</v>
      </c>
      <c r="Q553" s="541" t="str">
        <f t="shared" si="208"/>
        <v/>
      </c>
      <c r="R553" s="346" t="str">
        <f t="shared" si="189"/>
        <v>00000</v>
      </c>
      <c r="S553" s="344">
        <f t="shared" si="209"/>
        <v>0</v>
      </c>
      <c r="T553" s="345" t="str">
        <f t="shared" si="203"/>
        <v>000</v>
      </c>
      <c r="U553" s="345">
        <f t="shared" si="210"/>
        <v>0</v>
      </c>
      <c r="V553" s="345">
        <f t="shared" si="211"/>
        <v>0</v>
      </c>
      <c r="W553" s="345">
        <f t="shared" si="212"/>
        <v>0</v>
      </c>
      <c r="X553" s="345">
        <f t="shared" si="213"/>
        <v>0</v>
      </c>
      <c r="Y553" s="345">
        <f t="shared" si="214"/>
        <v>0</v>
      </c>
      <c r="Z553" s="345">
        <f>IF(Q553&lt;&gt;"",VLOOKUP(Y553,TIME!$R$21:$V$24,MATCH(FC_DATA!Q553,TIME!$R$20:$V$20,0),FALSE),H553)</f>
        <v>0</v>
      </c>
      <c r="AA553" s="345" t="str">
        <f>IFERROR(VLOOKUP(X553&amp;Z553,TIME!$A$12:$D$71,4,FALSE),"")</f>
        <v/>
      </c>
      <c r="AB553" s="592">
        <f t="shared" ca="1" si="196"/>
        <v>0</v>
      </c>
      <c r="AC553" s="593" t="e">
        <f ca="1">IF(ISBLANK(H553)=FALSE,IF(D553="BRAND.com",I553,IF(ISNA(VLOOKUP(_xlfn.CONCAT(X553,Z553),TIME!$M$40:$M$42,1,FALSE)),I553,VLOOKUP(_xlfn.CONCAT(D553,G553,H553),M_BUSAREA_FC!$AF$5:$AJ$10,5,FALSE)*HLOOKUP(_xlfn.CONCAT(F553,H553),ST_OVERVIEW!$G$99:$I$130,MATCH(_xlfn.CONCAT(D553,E553),ST_OVERVIEW!$F$99:$F$130,0),FALSE))),IF(D553="BRAND.com",VLOOKUP(_xlfn.CONCAT(C553,D553,E553,TIME!$F$1,Z553),HIS_SALES!$B$2:$V$4859,19,FALSE)*I553,VLOOKUP(_xlfn.CONCAT(D553,F553,G553),Q_BUSAREA_FC!$AE$5:$AI$12,5,FALSE)*HLOOKUP(_xlfn.CONCAT(FC_DATA!F553,FC_DATA!G553),LT_OVERVIEW!$I$99:$M$130,MATCH(_xlfn.CONCAT(D553,FC_DATA!E553),LT_OVERVIEW!$H$99:$H$130,0),FALSE)*IFERROR(VLOOKUP(_xlfn.CONCAT(C553,D553,E553,TIME!$F$1,Z553),HIS_SALES!$B$2:$V$4859,19,FALSE),0)))</f>
        <v>#N/A</v>
      </c>
      <c r="AD553" s="341">
        <f t="shared" ca="1" si="215"/>
        <v>0</v>
      </c>
      <c r="AE553" s="363" t="str">
        <f t="shared" si="216"/>
        <v/>
      </c>
      <c r="AF553" s="342" t="str">
        <f t="shared" si="217"/>
        <v/>
      </c>
      <c r="AG553" s="411" t="e">
        <f ca="1">VLOOKUP(_xlfn.CONCAT(U553,V553,W553,VLOOKUP(X553&amp;Y553,TIME!$L$27:$O$34,4,FALSE),Y553),HIS_SALES!$A$2:$R$5093,18,FALSE)</f>
        <v>#N/A</v>
      </c>
      <c r="AH553" s="412" t="e">
        <f ca="1">IFERROR(IF(AND(V553=V552,W553=W552),0.5*(AB553+AB552)*AG553,(VLOOKUP(_xlfn.CONCAT(U553,V553,W553,X553,VLOOKUP(Z553,TIME!$S$28:$T$39,2,FALSE)),FC_DATA!$R$2:$AB$5000,MATCH("GS_I_M",FC_DATA!$R$1:$AB$1,0),FALSE)+FC_DATA!AB553)*0.5*FC_DATA!AG553),NA())</f>
        <v>#N/A</v>
      </c>
      <c r="AI553" s="491" t="e">
        <f ca="1">IF(V553="PARTNER.com",AH553,IF(AND(V553=V552,W553=W552),(1-AVERAGE(AD552,AD553))*AH553,(1-AVERAGE(AD553,VLOOKUP(_xlfn.CONCAT(U553,V553,W553,X553,M_BRAND_FC!$F$6),FC_DATA!$R$2:$AD$5000,MATCH("DISCOUNT_%_M",FC_DATA!$R$1:$AD$1,0),FALSE)))*AH553))</f>
        <v>#N/A</v>
      </c>
      <c r="AJ553" s="412" t="str">
        <f t="shared" ca="1" si="200"/>
        <v/>
      </c>
      <c r="AK553" s="413" t="str">
        <f>IFERROR(AE553/(Q_BRAND_FC!$T$24+1),"")</f>
        <v/>
      </c>
      <c r="AL553" s="88" t="str">
        <f t="shared" ca="1" si="201"/>
        <v/>
      </c>
      <c r="AM553" s="414" t="str">
        <f t="shared" ca="1" si="202"/>
        <v/>
      </c>
      <c r="AN553" s="58">
        <f>IFERROR(IF($V553="BRAND.com",HLOOKUP($X553&amp;$Z553,NWC_FC_NOOS!$C$4:$Q$23,MATCH(W553,NWC_FC_NOOS!$B$4:$B$23,0),FALSE),0),0)</f>
        <v>0</v>
      </c>
      <c r="AO553" s="57">
        <f>IFERROR(IF($V553="BRAND.com",HLOOKUP($X553&amp;$Z553,NWC_FC_NOOS!$T$4:$AH$23,MATCH(W553,NWC_FC_NOOS!$S$4:$S$23,0),FALSE),0),0)</f>
        <v>0</v>
      </c>
      <c r="AP553" s="57">
        <f>IFERROR(IF($V553="BRAND.com",HLOOKUP($X553&amp;$Z553,NWC_FC_NOOS!$C$50:$U$69,MATCH(W553,NWC_FC_NOOS!$B$50:$B$69,0),FALSE),0),0)</f>
        <v>0</v>
      </c>
      <c r="AQ553" s="58">
        <f>IFERROR(IF($V553="BRAND.com",HLOOKUP($X553&amp;$Z553,'NWC_FC_NON-NOOS'!$C$4:$Q$23,MATCH(W553,'NWC_FC_NON-NOOS'!$B$4:$B$23,0),FALSE),0),0)</f>
        <v>0</v>
      </c>
      <c r="AR553" s="57">
        <f>IFERROR(IF($V553="BRAND.com",HLOOKUP($X553&amp;$Z553,'NWC_FC_NON-NOOS'!$T$4:$AH$23,MATCH(W553,'NWC_FC_NON-NOOS'!$S$4:$S$23,0),FALSE),0),0)</f>
        <v>0</v>
      </c>
      <c r="AS553" s="57">
        <f>IFERROR(IF($V553="BRAND.com",HLOOKUP($X553&amp;$Z553,'NWC_FC_NON-NOOS'!$C$50:$U$69,MATCH(W553,'NWC_FC_NON-NOOS'!$B$50:$B$69,0),FALSE),0),0)</f>
        <v>0</v>
      </c>
      <c r="AT553" s="57">
        <f t="shared" si="204"/>
        <v>0</v>
      </c>
      <c r="AU553" s="57">
        <f t="shared" si="205"/>
        <v>0</v>
      </c>
      <c r="AV553" s="58">
        <f>IFERROR(IF($V553="BRAND.com",HLOOKUP($X553&amp;$Z553,PLANNING_FC!$BB$27:$BP$46,MATCH($W553,PLANNING_FC!$BA$27:$BA$46,0),FALSE),0),0)</f>
        <v>0</v>
      </c>
      <c r="AW553" s="58">
        <f>IFERROR(IF($V553="BRAND.com",HLOOKUP($X553&amp;$Z553,PLANNING_FC!$BB$4:$BP$23,MATCH($W553,PLANNING_FC!$BA$4:$BA$23,0),FALSE),0),0)</f>
        <v>0</v>
      </c>
      <c r="AX553" s="58">
        <f>IFERROR(IF($V553="BRAND.com",HLOOKUP($X553&amp;$Z553,PLANNING_FC!$T$27:$AH$46,MATCH($W553,PLANNING_FC!$B$27:$B$46,0),FALSE),0),0)</f>
        <v>0</v>
      </c>
      <c r="AY553" s="58">
        <f>IFERROR(IF($V553="BRAND.com",HLOOKUP($X553&amp;$Z553,PLANNING_FC!$T$4:$AH$23,MATCH($W553,PLANNING_FC!$B$4:$B$23,0),FALSE),0),0)</f>
        <v>0</v>
      </c>
      <c r="AZ553" s="58">
        <f>IFERROR(IF($V553="BRAND.com",HLOOKUP($X553&amp;$Z553,PLANNING_FC!$DA$27:$DO$46,MATCH($W553,PLANNING_FC!$CZ$27:$CZ$46,0),FALSE),0),0)</f>
        <v>0</v>
      </c>
      <c r="BA553" s="58">
        <f>IFERROR(IF($V553="BRAND.com",HLOOKUP($X553&amp;$Z553,PLANNING_FC!$DA$4:$DO$23,MATCH($W553,PLANNING_FC!$CZ$4:$CZ$23,0),FALSE),0),0)</f>
        <v>0</v>
      </c>
      <c r="BB553" s="883" t="str">
        <f>IF(V553="BRAND.com",IFERROR(HLOOKUP(X553&amp;Z553,PLANNING_FC!$AK$4:$AY$23,MATCH(W553,PLANNING_FC!$AJ$4:$AJ$23,0),FALSE)*1000,""),"")</f>
        <v/>
      </c>
      <c r="BC553" s="883" t="str">
        <f>IF(V553="BRAND.com",IFERROR(HLOOKUP(X553&amp;Z553,PLANNING_FC!$AK$27:$AY$46,MATCH(W553,PLANNING_FC!$AJ$27:$AJ$46,0),FALSE)*1000,""),"")</f>
        <v/>
      </c>
    </row>
    <row r="554" spans="1:55" x14ac:dyDescent="0.25">
      <c r="A554" s="509"/>
      <c r="B554" s="509"/>
      <c r="C554" s="509"/>
      <c r="D554" s="509"/>
      <c r="E554" s="509"/>
      <c r="F554" s="509"/>
      <c r="G554" s="511"/>
      <c r="H554" s="509"/>
      <c r="I554" s="512"/>
      <c r="J554" s="513"/>
      <c r="K554" s="514"/>
      <c r="L554" s="515"/>
      <c r="M554" s="516"/>
      <c r="N554" s="56">
        <f t="shared" si="206"/>
        <v>0</v>
      </c>
      <c r="O554" s="57">
        <f t="shared" si="207"/>
        <v>0</v>
      </c>
      <c r="P554" s="57">
        <f ca="1">IFERROR(IF(ISBLANK(H554),SUMIFS($AC:$AC,$V:$V,V554,$W:$W,W554,$X:$X,X554,$Y:$Y,Y554)*J554/(1-J554)*VLOOKUP(_xlfn.CONCAT(C554,D554,E554,TIME!$M$12,Z554),HIS_SALES!$B$2:$W$4859,20,FALSE),AC554*J554/(1-J554)),0)</f>
        <v>0</v>
      </c>
      <c r="Q554" s="541" t="str">
        <f t="shared" si="208"/>
        <v/>
      </c>
      <c r="R554" s="346" t="str">
        <f t="shared" si="189"/>
        <v>00000</v>
      </c>
      <c r="S554" s="344">
        <f t="shared" si="209"/>
        <v>0</v>
      </c>
      <c r="T554" s="345" t="str">
        <f t="shared" si="203"/>
        <v>000</v>
      </c>
      <c r="U554" s="345">
        <f t="shared" si="210"/>
        <v>0</v>
      </c>
      <c r="V554" s="345">
        <f t="shared" si="211"/>
        <v>0</v>
      </c>
      <c r="W554" s="345">
        <f t="shared" si="212"/>
        <v>0</v>
      </c>
      <c r="X554" s="345">
        <f t="shared" si="213"/>
        <v>0</v>
      </c>
      <c r="Y554" s="345">
        <f t="shared" si="214"/>
        <v>0</v>
      </c>
      <c r="Z554" s="345">
        <f>IF(Q554&lt;&gt;"",VLOOKUP(Y554,TIME!$R$21:$V$24,MATCH(FC_DATA!Q554,TIME!$R$20:$V$20,0),FALSE),H554)</f>
        <v>0</v>
      </c>
      <c r="AA554" s="345" t="str">
        <f>IFERROR(VLOOKUP(X554&amp;Z554,TIME!$A$12:$D$71,4,FALSE),"")</f>
        <v/>
      </c>
      <c r="AB554" s="592">
        <f t="shared" ca="1" si="196"/>
        <v>0</v>
      </c>
      <c r="AC554" s="593" t="e">
        <f ca="1">IF(ISBLANK(H554)=FALSE,IF(D554="BRAND.com",I554,IF(ISNA(VLOOKUP(_xlfn.CONCAT(X554,Z554),TIME!$M$40:$M$42,1,FALSE)),I554,VLOOKUP(_xlfn.CONCAT(D554,G554,H554),M_BUSAREA_FC!$AF$5:$AJ$10,5,FALSE)*HLOOKUP(_xlfn.CONCAT(F554,H554),ST_OVERVIEW!$G$99:$I$130,MATCH(_xlfn.CONCAT(D554,E554),ST_OVERVIEW!$F$99:$F$130,0),FALSE))),IF(D554="BRAND.com",VLOOKUP(_xlfn.CONCAT(C554,D554,E554,TIME!$F$1,Z554),HIS_SALES!$B$2:$V$4859,19,FALSE)*I554,VLOOKUP(_xlfn.CONCAT(D554,F554,G554),Q_BUSAREA_FC!$AE$5:$AI$12,5,FALSE)*HLOOKUP(_xlfn.CONCAT(FC_DATA!F554,FC_DATA!G554),LT_OVERVIEW!$I$99:$M$130,MATCH(_xlfn.CONCAT(D554,FC_DATA!E554),LT_OVERVIEW!$H$99:$H$130,0),FALSE)*IFERROR(VLOOKUP(_xlfn.CONCAT(C554,D554,E554,TIME!$F$1,Z554),HIS_SALES!$B$2:$V$4859,19,FALSE),0)))</f>
        <v>#N/A</v>
      </c>
      <c r="AD554" s="341">
        <f t="shared" ca="1" si="215"/>
        <v>0</v>
      </c>
      <c r="AE554" s="363" t="str">
        <f t="shared" si="216"/>
        <v/>
      </c>
      <c r="AF554" s="342" t="str">
        <f t="shared" si="217"/>
        <v/>
      </c>
      <c r="AG554" s="411" t="e">
        <f ca="1">VLOOKUP(_xlfn.CONCAT(U554,V554,W554,VLOOKUP(X554&amp;Y554,TIME!$L$27:$O$34,4,FALSE),Y554),HIS_SALES!$A$2:$R$5093,18,FALSE)</f>
        <v>#N/A</v>
      </c>
      <c r="AH554" s="412" t="e">
        <f ca="1">IFERROR(IF(AND(V554=V553,W554=W553),0.5*(AB554+AB553)*AG554,(VLOOKUP(_xlfn.CONCAT(U554,V554,W554,X554,VLOOKUP(Z554,TIME!$S$28:$T$39,2,FALSE)),FC_DATA!$R$2:$AB$5000,MATCH("GS_I_M",FC_DATA!$R$1:$AB$1,0),FALSE)+FC_DATA!AB554)*0.5*FC_DATA!AG554),NA())</f>
        <v>#N/A</v>
      </c>
      <c r="AI554" s="491" t="e">
        <f ca="1">IF(V554="PARTNER.com",AH554,IF(AND(V554=V553,W554=W553),(1-AVERAGE(AD553,AD554))*AH554,(1-AVERAGE(AD554,VLOOKUP(_xlfn.CONCAT(U554,V554,W554,X554,M_BRAND_FC!$F$6),FC_DATA!$R$2:$AD$5000,MATCH("DISCOUNT_%_M",FC_DATA!$R$1:$AD$1,0),FALSE)))*AH554))</f>
        <v>#N/A</v>
      </c>
      <c r="AJ554" s="412" t="str">
        <f t="shared" ca="1" si="200"/>
        <v/>
      </c>
      <c r="AK554" s="413" t="str">
        <f>IFERROR(AE554/(Q_BRAND_FC!$T$24+1),"")</f>
        <v/>
      </c>
      <c r="AL554" s="88" t="str">
        <f t="shared" ca="1" si="201"/>
        <v/>
      </c>
      <c r="AM554" s="414" t="str">
        <f t="shared" ca="1" si="202"/>
        <v/>
      </c>
      <c r="AN554" s="58">
        <f>IFERROR(IF($V554="BRAND.com",HLOOKUP($X554&amp;$Z554,NWC_FC_NOOS!$C$4:$Q$23,MATCH(W554,NWC_FC_NOOS!$B$4:$B$23,0),FALSE),0),0)</f>
        <v>0</v>
      </c>
      <c r="AO554" s="57">
        <f>IFERROR(IF($V554="BRAND.com",HLOOKUP($X554&amp;$Z554,NWC_FC_NOOS!$T$4:$AH$23,MATCH(W554,NWC_FC_NOOS!$S$4:$S$23,0),FALSE),0),0)</f>
        <v>0</v>
      </c>
      <c r="AP554" s="57">
        <f>IFERROR(IF($V554="BRAND.com",HLOOKUP($X554&amp;$Z554,NWC_FC_NOOS!$C$50:$U$69,MATCH(W554,NWC_FC_NOOS!$B$50:$B$69,0),FALSE),0),0)</f>
        <v>0</v>
      </c>
      <c r="AQ554" s="58">
        <f>IFERROR(IF($V554="BRAND.com",HLOOKUP($X554&amp;$Z554,'NWC_FC_NON-NOOS'!$C$4:$Q$23,MATCH(W554,'NWC_FC_NON-NOOS'!$B$4:$B$23,0),FALSE),0),0)</f>
        <v>0</v>
      </c>
      <c r="AR554" s="57">
        <f>IFERROR(IF($V554="BRAND.com",HLOOKUP($X554&amp;$Z554,'NWC_FC_NON-NOOS'!$T$4:$AH$23,MATCH(W554,'NWC_FC_NON-NOOS'!$S$4:$S$23,0),FALSE),0),0)</f>
        <v>0</v>
      </c>
      <c r="AS554" s="57">
        <f>IFERROR(IF($V554="BRAND.com",HLOOKUP($X554&amp;$Z554,'NWC_FC_NON-NOOS'!$C$50:$U$69,MATCH(W554,'NWC_FC_NON-NOOS'!$B$50:$B$69,0),FALSE),0),0)</f>
        <v>0</v>
      </c>
      <c r="AT554" s="57">
        <f t="shared" si="204"/>
        <v>0</v>
      </c>
      <c r="AU554" s="57">
        <f t="shared" si="205"/>
        <v>0</v>
      </c>
      <c r="AV554" s="58">
        <f>IFERROR(IF($V554="BRAND.com",HLOOKUP($X554&amp;$Z554,PLANNING_FC!$BB$27:$BP$46,MATCH($W554,PLANNING_FC!$BA$27:$BA$46,0),FALSE),0),0)</f>
        <v>0</v>
      </c>
      <c r="AW554" s="58">
        <f>IFERROR(IF($V554="BRAND.com",HLOOKUP($X554&amp;$Z554,PLANNING_FC!$BB$4:$BP$23,MATCH($W554,PLANNING_FC!$BA$4:$BA$23,0),FALSE),0),0)</f>
        <v>0</v>
      </c>
      <c r="AX554" s="58">
        <f>IFERROR(IF($V554="BRAND.com",HLOOKUP($X554&amp;$Z554,PLANNING_FC!$T$27:$AH$46,MATCH($W554,PLANNING_FC!$B$27:$B$46,0),FALSE),0),0)</f>
        <v>0</v>
      </c>
      <c r="AY554" s="58">
        <f>IFERROR(IF($V554="BRAND.com",HLOOKUP($X554&amp;$Z554,PLANNING_FC!$T$4:$AH$23,MATCH($W554,PLANNING_FC!$B$4:$B$23,0),FALSE),0),0)</f>
        <v>0</v>
      </c>
      <c r="AZ554" s="58">
        <f>IFERROR(IF($V554="BRAND.com",HLOOKUP($X554&amp;$Z554,PLANNING_FC!$DA$27:$DO$46,MATCH($W554,PLANNING_FC!$CZ$27:$CZ$46,0),FALSE),0),0)</f>
        <v>0</v>
      </c>
      <c r="BA554" s="58">
        <f>IFERROR(IF($V554="BRAND.com",HLOOKUP($X554&amp;$Z554,PLANNING_FC!$DA$4:$DO$23,MATCH($W554,PLANNING_FC!$CZ$4:$CZ$23,0),FALSE),0),0)</f>
        <v>0</v>
      </c>
      <c r="BB554" s="883" t="str">
        <f>IF(V554="BRAND.com",IFERROR(HLOOKUP(X554&amp;Z554,PLANNING_FC!$AK$4:$AY$23,MATCH(W554,PLANNING_FC!$AJ$4:$AJ$23,0),FALSE)*1000,""),"")</f>
        <v/>
      </c>
      <c r="BC554" s="883" t="str">
        <f>IF(V554="BRAND.com",IFERROR(HLOOKUP(X554&amp;Z554,PLANNING_FC!$AK$27:$AY$46,MATCH(W554,PLANNING_FC!$AJ$27:$AJ$46,0),FALSE)*1000,""),"")</f>
        <v/>
      </c>
    </row>
    <row r="555" spans="1:55" x14ac:dyDescent="0.25">
      <c r="A555" s="509"/>
      <c r="B555" s="509"/>
      <c r="C555" s="509"/>
      <c r="D555" s="509"/>
      <c r="E555" s="509"/>
      <c r="F555" s="509"/>
      <c r="G555" s="509"/>
      <c r="H555" s="509"/>
      <c r="I555" s="512"/>
      <c r="J555" s="513"/>
      <c r="K555" s="514"/>
      <c r="L555" s="515"/>
      <c r="M555" s="516"/>
      <c r="N555" s="56">
        <f t="shared" si="206"/>
        <v>0</v>
      </c>
      <c r="O555" s="57">
        <f t="shared" si="207"/>
        <v>0</v>
      </c>
      <c r="P555" s="57">
        <f ca="1">IFERROR(IF(ISBLANK(H555),SUMIFS($AC:$AC,$V:$V,V555,$W:$W,W555,$X:$X,X555,$Y:$Y,Y555)*J555/(1-J555)*VLOOKUP(_xlfn.CONCAT(C555,D555,E555,TIME!$M$12,Z555),HIS_SALES!$B$2:$W$4859,20,FALSE),AC555*J555/(1-J555)),0)</f>
        <v>0</v>
      </c>
      <c r="Q555" s="541" t="str">
        <f t="shared" si="208"/>
        <v/>
      </c>
      <c r="R555" s="346" t="str">
        <f t="shared" si="189"/>
        <v>00000</v>
      </c>
      <c r="S555" s="344">
        <f t="shared" si="209"/>
        <v>0</v>
      </c>
      <c r="T555" s="345" t="str">
        <f t="shared" si="203"/>
        <v>000</v>
      </c>
      <c r="U555" s="345">
        <f t="shared" si="210"/>
        <v>0</v>
      </c>
      <c r="V555" s="345">
        <f t="shared" si="211"/>
        <v>0</v>
      </c>
      <c r="W555" s="345">
        <f t="shared" si="212"/>
        <v>0</v>
      </c>
      <c r="X555" s="345">
        <f t="shared" si="213"/>
        <v>0</v>
      </c>
      <c r="Y555" s="345">
        <f t="shared" si="214"/>
        <v>0</v>
      </c>
      <c r="Z555" s="345">
        <f>IF(Q555&lt;&gt;"",VLOOKUP(Y555,TIME!$R$21:$V$24,MATCH(FC_DATA!Q555,TIME!$R$20:$V$20,0),FALSE),H555)</f>
        <v>0</v>
      </c>
      <c r="AA555" s="345" t="str">
        <f>IFERROR(VLOOKUP(X555&amp;Z555,TIME!$A$12:$D$71,4,FALSE),"")</f>
        <v/>
      </c>
      <c r="AB555" s="592">
        <f t="shared" ca="1" si="196"/>
        <v>0</v>
      </c>
      <c r="AC555" s="593" t="e">
        <f ca="1">IF(ISBLANK(H555)=FALSE,IF(D555="BRAND.com",I555,IF(ISNA(VLOOKUP(_xlfn.CONCAT(X555,Z555),TIME!$M$40:$M$42,1,FALSE)),I555,VLOOKUP(_xlfn.CONCAT(D555,G555,H555),M_BUSAREA_FC!$AF$5:$AJ$10,5,FALSE)*HLOOKUP(_xlfn.CONCAT(F555,H555),ST_OVERVIEW!$G$99:$I$130,MATCH(_xlfn.CONCAT(D555,E555),ST_OVERVIEW!$F$99:$F$130,0),FALSE))),IF(D555="BRAND.com",VLOOKUP(_xlfn.CONCAT(C555,D555,E555,TIME!$F$1,Z555),HIS_SALES!$B$2:$V$4859,19,FALSE)*I555,VLOOKUP(_xlfn.CONCAT(D555,F555,G555),Q_BUSAREA_FC!$AE$5:$AI$12,5,FALSE)*HLOOKUP(_xlfn.CONCAT(FC_DATA!F555,FC_DATA!G555),LT_OVERVIEW!$I$99:$M$130,MATCH(_xlfn.CONCAT(D555,FC_DATA!E555),LT_OVERVIEW!$H$99:$H$130,0),FALSE)*IFERROR(VLOOKUP(_xlfn.CONCAT(C555,D555,E555,TIME!$F$1,Z555),HIS_SALES!$B$2:$V$4859,19,FALSE),0)))</f>
        <v>#N/A</v>
      </c>
      <c r="AD555" s="341">
        <f t="shared" ca="1" si="215"/>
        <v>0</v>
      </c>
      <c r="AE555" s="363" t="str">
        <f t="shared" si="216"/>
        <v/>
      </c>
      <c r="AF555" s="342" t="str">
        <f t="shared" si="217"/>
        <v/>
      </c>
      <c r="AG555" s="411" t="e">
        <f ca="1">VLOOKUP(_xlfn.CONCAT(U555,V555,W555,VLOOKUP(X555&amp;Y555,TIME!$L$27:$O$34,4,FALSE),Y555),HIS_SALES!$A$2:$R$5093,18,FALSE)</f>
        <v>#N/A</v>
      </c>
      <c r="AH555" s="412" t="e">
        <f ca="1">IFERROR(IF(AND(V555=V554,W555=W554),0.5*(AB555+AB554)*AG555,(VLOOKUP(_xlfn.CONCAT(U555,V555,W555,X555,VLOOKUP(Z555,TIME!$S$28:$T$39,2,FALSE)),FC_DATA!$R$2:$AB$5000,MATCH("GS_I_M",FC_DATA!$R$1:$AB$1,0),FALSE)+FC_DATA!AB555)*0.5*FC_DATA!AG555),NA())</f>
        <v>#N/A</v>
      </c>
      <c r="AI555" s="491" t="e">
        <f ca="1">IF(V555="PARTNER.com",AH555,IF(AND(V555=V554,W555=W554),(1-AVERAGE(AD554,AD555))*AH555,(1-AVERAGE(AD555,VLOOKUP(_xlfn.CONCAT(U555,V555,W555,X555,M_BRAND_FC!$F$6),FC_DATA!$R$2:$AD$5000,MATCH("DISCOUNT_%_M",FC_DATA!$R$1:$AD$1,0),FALSE)))*AH555))</f>
        <v>#N/A</v>
      </c>
      <c r="AJ555" s="412" t="str">
        <f t="shared" ca="1" si="200"/>
        <v/>
      </c>
      <c r="AK555" s="413" t="str">
        <f>IFERROR(AE555/(Q_BRAND_FC!$T$24+1),"")</f>
        <v/>
      </c>
      <c r="AL555" s="88" t="str">
        <f t="shared" ca="1" si="201"/>
        <v/>
      </c>
      <c r="AM555" s="414" t="str">
        <f t="shared" ca="1" si="202"/>
        <v/>
      </c>
      <c r="AN555" s="58">
        <f>IFERROR(IF($V555="BRAND.com",HLOOKUP($X555&amp;$Z555,NWC_FC_NOOS!$C$4:$Q$23,MATCH(W555,NWC_FC_NOOS!$B$4:$B$23,0),FALSE),0),0)</f>
        <v>0</v>
      </c>
      <c r="AO555" s="57">
        <f>IFERROR(IF($V555="BRAND.com",HLOOKUP($X555&amp;$Z555,NWC_FC_NOOS!$T$4:$AH$23,MATCH(W555,NWC_FC_NOOS!$S$4:$S$23,0),FALSE),0),0)</f>
        <v>0</v>
      </c>
      <c r="AP555" s="57">
        <f>IFERROR(IF($V555="BRAND.com",HLOOKUP($X555&amp;$Z555,NWC_FC_NOOS!$C$50:$U$69,MATCH(W555,NWC_FC_NOOS!$B$50:$B$69,0),FALSE),0),0)</f>
        <v>0</v>
      </c>
      <c r="AQ555" s="58">
        <f>IFERROR(IF($V555="BRAND.com",HLOOKUP($X555&amp;$Z555,'NWC_FC_NON-NOOS'!$C$4:$Q$23,MATCH(W555,'NWC_FC_NON-NOOS'!$B$4:$B$23,0),FALSE),0),0)</f>
        <v>0</v>
      </c>
      <c r="AR555" s="57">
        <f>IFERROR(IF($V555="BRAND.com",HLOOKUP($X555&amp;$Z555,'NWC_FC_NON-NOOS'!$T$4:$AH$23,MATCH(W555,'NWC_FC_NON-NOOS'!$S$4:$S$23,0),FALSE),0),0)</f>
        <v>0</v>
      </c>
      <c r="AS555" s="57">
        <f>IFERROR(IF($V555="BRAND.com",HLOOKUP($X555&amp;$Z555,'NWC_FC_NON-NOOS'!$C$50:$U$69,MATCH(W555,'NWC_FC_NON-NOOS'!$B$50:$B$69,0),FALSE),0),0)</f>
        <v>0</v>
      </c>
      <c r="AT555" s="57">
        <f t="shared" si="204"/>
        <v>0</v>
      </c>
      <c r="AU555" s="57">
        <f t="shared" si="205"/>
        <v>0</v>
      </c>
      <c r="AV555" s="58">
        <f>IFERROR(IF($V555="BRAND.com",HLOOKUP($X555&amp;$Z555,PLANNING_FC!$BB$27:$BP$46,MATCH($W555,PLANNING_FC!$BA$27:$BA$46,0),FALSE),0),0)</f>
        <v>0</v>
      </c>
      <c r="AW555" s="58">
        <f>IFERROR(IF($V555="BRAND.com",HLOOKUP($X555&amp;$Z555,PLANNING_FC!$BB$4:$BP$23,MATCH($W555,PLANNING_FC!$BA$4:$BA$23,0),FALSE),0),0)</f>
        <v>0</v>
      </c>
      <c r="AX555" s="58">
        <f>IFERROR(IF($V555="BRAND.com",HLOOKUP($X555&amp;$Z555,PLANNING_FC!$T$27:$AH$46,MATCH($W555,PLANNING_FC!$B$27:$B$46,0),FALSE),0),0)</f>
        <v>0</v>
      </c>
      <c r="AY555" s="58">
        <f>IFERROR(IF($V555="BRAND.com",HLOOKUP($X555&amp;$Z555,PLANNING_FC!$T$4:$AH$23,MATCH($W555,PLANNING_FC!$B$4:$B$23,0),FALSE),0),0)</f>
        <v>0</v>
      </c>
      <c r="AZ555" s="58">
        <f>IFERROR(IF($V555="BRAND.com",HLOOKUP($X555&amp;$Z555,PLANNING_FC!$DA$27:$DO$46,MATCH($W555,PLANNING_FC!$CZ$27:$CZ$46,0),FALSE),0),0)</f>
        <v>0</v>
      </c>
      <c r="BA555" s="58">
        <f>IFERROR(IF($V555="BRAND.com",HLOOKUP($X555&amp;$Z555,PLANNING_FC!$DA$4:$DO$23,MATCH($W555,PLANNING_FC!$CZ$4:$CZ$23,0),FALSE),0),0)</f>
        <v>0</v>
      </c>
      <c r="BB555" s="883" t="str">
        <f>IF(V555="BRAND.com",IFERROR(HLOOKUP(X555&amp;Z555,PLANNING_FC!$AK$4:$AY$23,MATCH(W555,PLANNING_FC!$AJ$4:$AJ$23,0),FALSE)*1000,""),"")</f>
        <v/>
      </c>
      <c r="BC555" s="883" t="str">
        <f>IF(V555="BRAND.com",IFERROR(HLOOKUP(X555&amp;Z555,PLANNING_FC!$AK$27:$AY$46,MATCH(W555,PLANNING_FC!$AJ$27:$AJ$46,0),FALSE)*1000,""),"")</f>
        <v/>
      </c>
    </row>
    <row r="556" spans="1:55" x14ac:dyDescent="0.25">
      <c r="A556" s="509"/>
      <c r="B556" s="509"/>
      <c r="C556" s="509"/>
      <c r="D556" s="509"/>
      <c r="E556" s="509"/>
      <c r="F556" s="509"/>
      <c r="G556" s="509"/>
      <c r="H556" s="509"/>
      <c r="I556" s="512"/>
      <c r="J556" s="513"/>
      <c r="K556" s="514"/>
      <c r="L556" s="515"/>
      <c r="M556" s="516"/>
      <c r="N556" s="56">
        <f t="shared" si="206"/>
        <v>0</v>
      </c>
      <c r="O556" s="57">
        <f t="shared" si="207"/>
        <v>0</v>
      </c>
      <c r="P556" s="57">
        <f ca="1">IFERROR(IF(ISBLANK(H556),SUMIFS($AC:$AC,$V:$V,V556,$W:$W,W556,$X:$X,X556,$Y:$Y,Y556)*J556/(1-J556)*VLOOKUP(_xlfn.CONCAT(C556,D556,E556,TIME!$M$12,Z556),HIS_SALES!$B$2:$W$4859,20,FALSE),AC556*J556/(1-J556)),0)</f>
        <v>0</v>
      </c>
      <c r="Q556" s="541" t="str">
        <f t="shared" si="208"/>
        <v/>
      </c>
      <c r="R556" s="346" t="str">
        <f t="shared" si="189"/>
        <v>00000</v>
      </c>
      <c r="S556" s="344">
        <f t="shared" si="209"/>
        <v>0</v>
      </c>
      <c r="T556" s="345" t="str">
        <f t="shared" si="203"/>
        <v>000</v>
      </c>
      <c r="U556" s="345">
        <f t="shared" si="210"/>
        <v>0</v>
      </c>
      <c r="V556" s="345">
        <f t="shared" si="211"/>
        <v>0</v>
      </c>
      <c r="W556" s="345">
        <f t="shared" si="212"/>
        <v>0</v>
      </c>
      <c r="X556" s="345">
        <f t="shared" si="213"/>
        <v>0</v>
      </c>
      <c r="Y556" s="345">
        <f t="shared" si="214"/>
        <v>0</v>
      </c>
      <c r="Z556" s="345">
        <f>IF(Q556&lt;&gt;"",VLOOKUP(Y556,TIME!$R$21:$V$24,MATCH(FC_DATA!Q556,TIME!$R$20:$V$20,0),FALSE),H556)</f>
        <v>0</v>
      </c>
      <c r="AA556" s="345" t="str">
        <f>IFERROR(VLOOKUP(X556&amp;Z556,TIME!$A$12:$D$71,4,FALSE),"")</f>
        <v/>
      </c>
      <c r="AB556" s="592">
        <f t="shared" ca="1" si="196"/>
        <v>0</v>
      </c>
      <c r="AC556" s="593" t="e">
        <f ca="1">IF(ISBLANK(H556)=FALSE,IF(D556="BRAND.com",I556,IF(ISNA(VLOOKUP(_xlfn.CONCAT(X556,Z556),TIME!$M$40:$M$42,1,FALSE)),I556,VLOOKUP(_xlfn.CONCAT(D556,G556,H556),M_BUSAREA_FC!$AF$5:$AJ$10,5,FALSE)*HLOOKUP(_xlfn.CONCAT(F556,H556),ST_OVERVIEW!$G$99:$I$130,MATCH(_xlfn.CONCAT(D556,E556),ST_OVERVIEW!$F$99:$F$130,0),FALSE))),IF(D556="BRAND.com",VLOOKUP(_xlfn.CONCAT(C556,D556,E556,TIME!$F$1,Z556),HIS_SALES!$B$2:$V$4859,19,FALSE)*I556,VLOOKUP(_xlfn.CONCAT(D556,F556,G556),Q_BUSAREA_FC!$AE$5:$AI$12,5,FALSE)*HLOOKUP(_xlfn.CONCAT(FC_DATA!F556,FC_DATA!G556),LT_OVERVIEW!$I$99:$M$130,MATCH(_xlfn.CONCAT(D556,FC_DATA!E556),LT_OVERVIEW!$H$99:$H$130,0),FALSE)*IFERROR(VLOOKUP(_xlfn.CONCAT(C556,D556,E556,TIME!$F$1,Z556),HIS_SALES!$B$2:$V$4859,19,FALSE),0)))</f>
        <v>#N/A</v>
      </c>
      <c r="AD556" s="341">
        <f t="shared" ca="1" si="215"/>
        <v>0</v>
      </c>
      <c r="AE556" s="363" t="str">
        <f t="shared" si="216"/>
        <v/>
      </c>
      <c r="AF556" s="342" t="str">
        <f t="shared" si="217"/>
        <v/>
      </c>
      <c r="AG556" s="411" t="e">
        <f ca="1">VLOOKUP(_xlfn.CONCAT(U556,V556,W556,VLOOKUP(X556&amp;Y556,TIME!$L$27:$O$34,4,FALSE),Y556),HIS_SALES!$A$2:$R$5093,18,FALSE)</f>
        <v>#N/A</v>
      </c>
      <c r="AH556" s="412" t="e">
        <f ca="1">IFERROR(IF(AND(V556=V555,W556=W555),0.5*(AB556+AB555)*AG556,(VLOOKUP(_xlfn.CONCAT(U556,V556,W556,X556,VLOOKUP(Z556,TIME!$S$28:$T$39,2,FALSE)),FC_DATA!$R$2:$AB$5000,MATCH("GS_I_M",FC_DATA!$R$1:$AB$1,0),FALSE)+FC_DATA!AB556)*0.5*FC_DATA!AG556),NA())</f>
        <v>#N/A</v>
      </c>
      <c r="AI556" s="491" t="e">
        <f ca="1">IF(V556="PARTNER.com",AH556,IF(AND(V556=V555,W556=W555),(1-AVERAGE(AD555,AD556))*AH556,(1-AVERAGE(AD556,VLOOKUP(_xlfn.CONCAT(U556,V556,W556,X556,M_BRAND_FC!$F$6),FC_DATA!$R$2:$AD$5000,MATCH("DISCOUNT_%_M",FC_DATA!$R$1:$AD$1,0),FALSE)))*AH556))</f>
        <v>#N/A</v>
      </c>
      <c r="AJ556" s="412" t="str">
        <f t="shared" ca="1" si="200"/>
        <v/>
      </c>
      <c r="AK556" s="413" t="str">
        <f>IFERROR(AE556/(Q_BRAND_FC!$T$24+1),"")</f>
        <v/>
      </c>
      <c r="AL556" s="88" t="str">
        <f t="shared" ca="1" si="201"/>
        <v/>
      </c>
      <c r="AM556" s="414" t="str">
        <f t="shared" ca="1" si="202"/>
        <v/>
      </c>
      <c r="AN556" s="58">
        <f>IFERROR(IF($V556="BRAND.com",HLOOKUP($X556&amp;$Z556,NWC_FC_NOOS!$C$4:$Q$23,MATCH(W556,NWC_FC_NOOS!$B$4:$B$23,0),FALSE),0),0)</f>
        <v>0</v>
      </c>
      <c r="AO556" s="57">
        <f>IFERROR(IF($V556="BRAND.com",HLOOKUP($X556&amp;$Z556,NWC_FC_NOOS!$T$4:$AH$23,MATCH(W556,NWC_FC_NOOS!$S$4:$S$23,0),FALSE),0),0)</f>
        <v>0</v>
      </c>
      <c r="AP556" s="57">
        <f>IFERROR(IF($V556="BRAND.com",HLOOKUP($X556&amp;$Z556,NWC_FC_NOOS!$C$50:$U$69,MATCH(W556,NWC_FC_NOOS!$B$50:$B$69,0),FALSE),0),0)</f>
        <v>0</v>
      </c>
      <c r="AQ556" s="58">
        <f>IFERROR(IF($V556="BRAND.com",HLOOKUP($X556&amp;$Z556,'NWC_FC_NON-NOOS'!$C$4:$Q$23,MATCH(W556,'NWC_FC_NON-NOOS'!$B$4:$B$23,0),FALSE),0),0)</f>
        <v>0</v>
      </c>
      <c r="AR556" s="57">
        <f>IFERROR(IF($V556="BRAND.com",HLOOKUP($X556&amp;$Z556,'NWC_FC_NON-NOOS'!$T$4:$AH$23,MATCH(W556,'NWC_FC_NON-NOOS'!$S$4:$S$23,0),FALSE),0),0)</f>
        <v>0</v>
      </c>
      <c r="AS556" s="57">
        <f>IFERROR(IF($V556="BRAND.com",HLOOKUP($X556&amp;$Z556,'NWC_FC_NON-NOOS'!$C$50:$U$69,MATCH(W556,'NWC_FC_NON-NOOS'!$B$50:$B$69,0),FALSE),0),0)</f>
        <v>0</v>
      </c>
      <c r="AT556" s="57">
        <f t="shared" si="204"/>
        <v>0</v>
      </c>
      <c r="AU556" s="57">
        <f t="shared" si="205"/>
        <v>0</v>
      </c>
      <c r="AV556" s="58">
        <f>IFERROR(IF($V556="BRAND.com",HLOOKUP($X556&amp;$Z556,PLANNING_FC!$BB$27:$BP$46,MATCH($W556,PLANNING_FC!$BA$27:$BA$46,0),FALSE),0),0)</f>
        <v>0</v>
      </c>
      <c r="AW556" s="58">
        <f>IFERROR(IF($V556="BRAND.com",HLOOKUP($X556&amp;$Z556,PLANNING_FC!$BB$4:$BP$23,MATCH($W556,PLANNING_FC!$BA$4:$BA$23,0),FALSE),0),0)</f>
        <v>0</v>
      </c>
      <c r="AX556" s="58">
        <f>IFERROR(IF($V556="BRAND.com",HLOOKUP($X556&amp;$Z556,PLANNING_FC!$T$27:$AH$46,MATCH($W556,PLANNING_FC!$B$27:$B$46,0),FALSE),0),0)</f>
        <v>0</v>
      </c>
      <c r="AY556" s="58">
        <f>IFERROR(IF($V556="BRAND.com",HLOOKUP($X556&amp;$Z556,PLANNING_FC!$T$4:$AH$23,MATCH($W556,PLANNING_FC!$B$4:$B$23,0),FALSE),0),0)</f>
        <v>0</v>
      </c>
      <c r="AZ556" s="58">
        <f>IFERROR(IF($V556="BRAND.com",HLOOKUP($X556&amp;$Z556,PLANNING_FC!$DA$27:$DO$46,MATCH($W556,PLANNING_FC!$CZ$27:$CZ$46,0),FALSE),0),0)</f>
        <v>0</v>
      </c>
      <c r="BA556" s="58">
        <f>IFERROR(IF($V556="BRAND.com",HLOOKUP($X556&amp;$Z556,PLANNING_FC!$DA$4:$DO$23,MATCH($W556,PLANNING_FC!$CZ$4:$CZ$23,0),FALSE),0),0)</f>
        <v>0</v>
      </c>
      <c r="BB556" s="883" t="str">
        <f>IF(V556="BRAND.com",IFERROR(HLOOKUP(X556&amp;Z556,PLANNING_FC!$AK$4:$AY$23,MATCH(W556,PLANNING_FC!$AJ$4:$AJ$23,0),FALSE)*1000,""),"")</f>
        <v/>
      </c>
      <c r="BC556" s="883" t="str">
        <f>IF(V556="BRAND.com",IFERROR(HLOOKUP(X556&amp;Z556,PLANNING_FC!$AK$27:$AY$46,MATCH(W556,PLANNING_FC!$AJ$27:$AJ$46,0),FALSE)*1000,""),"")</f>
        <v/>
      </c>
    </row>
    <row r="557" spans="1:55" x14ac:dyDescent="0.25">
      <c r="A557" s="509"/>
      <c r="B557" s="509"/>
      <c r="C557" s="509"/>
      <c r="D557" s="509"/>
      <c r="E557" s="509"/>
      <c r="F557" s="509"/>
      <c r="G557" s="509"/>
      <c r="H557" s="509"/>
      <c r="I557" s="512"/>
      <c r="J557" s="513"/>
      <c r="K557" s="514"/>
      <c r="L557" s="515"/>
      <c r="M557" s="516"/>
      <c r="N557" s="56">
        <f t="shared" si="206"/>
        <v>0</v>
      </c>
      <c r="O557" s="57">
        <f t="shared" si="207"/>
        <v>0</v>
      </c>
      <c r="P557" s="57">
        <f ca="1">IFERROR(IF(ISBLANK(H557),SUMIFS($AC:$AC,$V:$V,V557,$W:$W,W557,$X:$X,X557,$Y:$Y,Y557)*J557/(1-J557)*VLOOKUP(_xlfn.CONCAT(C557,D557,E557,TIME!$M$12,Z557),HIS_SALES!$B$2:$W$4859,20,FALSE),AC557*J557/(1-J557)),0)</f>
        <v>0</v>
      </c>
      <c r="Q557" s="541" t="str">
        <f t="shared" si="208"/>
        <v/>
      </c>
      <c r="R557" s="346" t="str">
        <f t="shared" si="189"/>
        <v>00000</v>
      </c>
      <c r="S557" s="344">
        <f t="shared" si="209"/>
        <v>0</v>
      </c>
      <c r="T557" s="345" t="str">
        <f t="shared" si="203"/>
        <v>000</v>
      </c>
      <c r="U557" s="345">
        <f t="shared" si="210"/>
        <v>0</v>
      </c>
      <c r="V557" s="345">
        <f t="shared" si="211"/>
        <v>0</v>
      </c>
      <c r="W557" s="345">
        <f t="shared" si="212"/>
        <v>0</v>
      </c>
      <c r="X557" s="345">
        <f t="shared" si="213"/>
        <v>0</v>
      </c>
      <c r="Y557" s="345">
        <f t="shared" si="214"/>
        <v>0</v>
      </c>
      <c r="Z557" s="345">
        <f>IF(Q557&lt;&gt;"",VLOOKUP(Y557,TIME!$R$21:$V$24,MATCH(FC_DATA!Q557,TIME!$R$20:$V$20,0),FALSE),H557)</f>
        <v>0</v>
      </c>
      <c r="AA557" s="345" t="str">
        <f>IFERROR(VLOOKUP(X557&amp;Z557,TIME!$A$12:$D$71,4,FALSE),"")</f>
        <v/>
      </c>
      <c r="AB557" s="592">
        <f t="shared" ca="1" si="196"/>
        <v>0</v>
      </c>
      <c r="AC557" s="593" t="e">
        <f ca="1">IF(ISBLANK(H557)=FALSE,IF(D557="BRAND.com",I557,IF(ISNA(VLOOKUP(_xlfn.CONCAT(X557,Z557),TIME!$M$40:$M$42,1,FALSE)),I557,VLOOKUP(_xlfn.CONCAT(D557,G557,H557),M_BUSAREA_FC!$AF$5:$AJ$10,5,FALSE)*HLOOKUP(_xlfn.CONCAT(F557,H557),ST_OVERVIEW!$G$99:$I$130,MATCH(_xlfn.CONCAT(D557,E557),ST_OVERVIEW!$F$99:$F$130,0),FALSE))),IF(D557="BRAND.com",VLOOKUP(_xlfn.CONCAT(C557,D557,E557,TIME!$F$1,Z557),HIS_SALES!$B$2:$V$4859,19,FALSE)*I557,VLOOKUP(_xlfn.CONCAT(D557,F557,G557),Q_BUSAREA_FC!$AE$5:$AI$12,5,FALSE)*HLOOKUP(_xlfn.CONCAT(FC_DATA!F557,FC_DATA!G557),LT_OVERVIEW!$I$99:$M$130,MATCH(_xlfn.CONCAT(D557,FC_DATA!E557),LT_OVERVIEW!$H$99:$H$130,0),FALSE)*IFERROR(VLOOKUP(_xlfn.CONCAT(C557,D557,E557,TIME!$F$1,Z557),HIS_SALES!$B$2:$V$4859,19,FALSE),0)))</f>
        <v>#N/A</v>
      </c>
      <c r="AD557" s="341">
        <f t="shared" ca="1" si="215"/>
        <v>0</v>
      </c>
      <c r="AE557" s="363" t="str">
        <f t="shared" si="216"/>
        <v/>
      </c>
      <c r="AF557" s="342" t="str">
        <f t="shared" si="217"/>
        <v/>
      </c>
      <c r="AG557" s="411" t="e">
        <f ca="1">VLOOKUP(_xlfn.CONCAT(U557,V557,W557,VLOOKUP(X557&amp;Y557,TIME!$L$27:$O$34,4,FALSE),Y557),HIS_SALES!$A$2:$R$5093,18,FALSE)</f>
        <v>#N/A</v>
      </c>
      <c r="AH557" s="412" t="e">
        <f ca="1">IFERROR(IF(AND(V557=V556,W557=W556),0.5*(AB557+AB556)*AG557,(VLOOKUP(_xlfn.CONCAT(U557,V557,W557,X557,VLOOKUP(Z557,TIME!$S$28:$T$39,2,FALSE)),FC_DATA!$R$2:$AB$5000,MATCH("GS_I_M",FC_DATA!$R$1:$AB$1,0),FALSE)+FC_DATA!AB557)*0.5*FC_DATA!AG557),NA())</f>
        <v>#N/A</v>
      </c>
      <c r="AI557" s="491" t="e">
        <f ca="1">IF(V557="PARTNER.com",AH557,IF(AND(V557=V556,W557=W556),(1-AVERAGE(AD556,AD557))*AH557,(1-AVERAGE(AD557,VLOOKUP(_xlfn.CONCAT(U557,V557,W557,X557,M_BRAND_FC!$F$6),FC_DATA!$R$2:$AD$5000,MATCH("DISCOUNT_%_M",FC_DATA!$R$1:$AD$1,0),FALSE)))*AH557))</f>
        <v>#N/A</v>
      </c>
      <c r="AJ557" s="412" t="str">
        <f t="shared" ca="1" si="200"/>
        <v/>
      </c>
      <c r="AK557" s="413" t="str">
        <f>IFERROR(AE557/(Q_BRAND_FC!$T$24+1),"")</f>
        <v/>
      </c>
      <c r="AL557" s="88" t="str">
        <f t="shared" ca="1" si="201"/>
        <v/>
      </c>
      <c r="AM557" s="414" t="str">
        <f t="shared" ca="1" si="202"/>
        <v/>
      </c>
      <c r="AN557" s="58">
        <f>IFERROR(IF($V557="BRAND.com",HLOOKUP($X557&amp;$Z557,NWC_FC_NOOS!$C$4:$Q$23,MATCH(W557,NWC_FC_NOOS!$B$4:$B$23,0),FALSE),0),0)</f>
        <v>0</v>
      </c>
      <c r="AO557" s="57">
        <f>IFERROR(IF($V557="BRAND.com",HLOOKUP($X557&amp;$Z557,NWC_FC_NOOS!$T$4:$AH$23,MATCH(W557,NWC_FC_NOOS!$S$4:$S$23,0),FALSE),0),0)</f>
        <v>0</v>
      </c>
      <c r="AP557" s="57">
        <f>IFERROR(IF($V557="BRAND.com",HLOOKUP($X557&amp;$Z557,NWC_FC_NOOS!$C$50:$U$69,MATCH(W557,NWC_FC_NOOS!$B$50:$B$69,0),FALSE),0),0)</f>
        <v>0</v>
      </c>
      <c r="AQ557" s="58">
        <f>IFERROR(IF($V557="BRAND.com",HLOOKUP($X557&amp;$Z557,'NWC_FC_NON-NOOS'!$C$4:$Q$23,MATCH(W557,'NWC_FC_NON-NOOS'!$B$4:$B$23,0),FALSE),0),0)</f>
        <v>0</v>
      </c>
      <c r="AR557" s="57">
        <f>IFERROR(IF($V557="BRAND.com",HLOOKUP($X557&amp;$Z557,'NWC_FC_NON-NOOS'!$T$4:$AH$23,MATCH(W557,'NWC_FC_NON-NOOS'!$S$4:$S$23,0),FALSE),0),0)</f>
        <v>0</v>
      </c>
      <c r="AS557" s="57">
        <f>IFERROR(IF($V557="BRAND.com",HLOOKUP($X557&amp;$Z557,'NWC_FC_NON-NOOS'!$C$50:$U$69,MATCH(W557,'NWC_FC_NON-NOOS'!$B$50:$B$69,0),FALSE),0),0)</f>
        <v>0</v>
      </c>
      <c r="AT557" s="57">
        <f t="shared" si="204"/>
        <v>0</v>
      </c>
      <c r="AU557" s="57">
        <f t="shared" si="205"/>
        <v>0</v>
      </c>
      <c r="AV557" s="58">
        <f>IFERROR(IF($V557="BRAND.com",HLOOKUP($X557&amp;$Z557,PLANNING_FC!$BB$27:$BP$46,MATCH($W557,PLANNING_FC!$BA$27:$BA$46,0),FALSE),0),0)</f>
        <v>0</v>
      </c>
      <c r="AW557" s="58">
        <f>IFERROR(IF($V557="BRAND.com",HLOOKUP($X557&amp;$Z557,PLANNING_FC!$BB$4:$BP$23,MATCH($W557,PLANNING_FC!$BA$4:$BA$23,0),FALSE),0),0)</f>
        <v>0</v>
      </c>
      <c r="AX557" s="58">
        <f>IFERROR(IF($V557="BRAND.com",HLOOKUP($X557&amp;$Z557,PLANNING_FC!$T$27:$AH$46,MATCH($W557,PLANNING_FC!$B$27:$B$46,0),FALSE),0),0)</f>
        <v>0</v>
      </c>
      <c r="AY557" s="58">
        <f>IFERROR(IF($V557="BRAND.com",HLOOKUP($X557&amp;$Z557,PLANNING_FC!$T$4:$AH$23,MATCH($W557,PLANNING_FC!$B$4:$B$23,0),FALSE),0),0)</f>
        <v>0</v>
      </c>
      <c r="AZ557" s="58">
        <f>IFERROR(IF($V557="BRAND.com",HLOOKUP($X557&amp;$Z557,PLANNING_FC!$DA$27:$DO$46,MATCH($W557,PLANNING_FC!$CZ$27:$CZ$46,0),FALSE),0),0)</f>
        <v>0</v>
      </c>
      <c r="BA557" s="58">
        <f>IFERROR(IF($V557="BRAND.com",HLOOKUP($X557&amp;$Z557,PLANNING_FC!$DA$4:$DO$23,MATCH($W557,PLANNING_FC!$CZ$4:$CZ$23,0),FALSE),0),0)</f>
        <v>0</v>
      </c>
      <c r="BB557" s="883" t="str">
        <f>IF(V557="BRAND.com",IFERROR(HLOOKUP(X557&amp;Z557,PLANNING_FC!$AK$4:$AY$23,MATCH(W557,PLANNING_FC!$AJ$4:$AJ$23,0),FALSE)*1000,""),"")</f>
        <v/>
      </c>
      <c r="BC557" s="883" t="str">
        <f>IF(V557="BRAND.com",IFERROR(HLOOKUP(X557&amp;Z557,PLANNING_FC!$AK$27:$AY$46,MATCH(W557,PLANNING_FC!$AJ$27:$AJ$46,0),FALSE)*1000,""),"")</f>
        <v/>
      </c>
    </row>
    <row r="558" spans="1:55" x14ac:dyDescent="0.25">
      <c r="A558" s="509"/>
      <c r="B558" s="509"/>
      <c r="C558" s="509"/>
      <c r="D558" s="509"/>
      <c r="E558" s="509"/>
      <c r="F558" s="509"/>
      <c r="G558" s="511"/>
      <c r="H558" s="509"/>
      <c r="I558" s="512"/>
      <c r="J558" s="513"/>
      <c r="K558" s="514"/>
      <c r="L558" s="515"/>
      <c r="M558" s="516"/>
      <c r="N558" s="56">
        <f t="shared" si="206"/>
        <v>0</v>
      </c>
      <c r="O558" s="57">
        <f t="shared" si="207"/>
        <v>0</v>
      </c>
      <c r="P558" s="57">
        <f ca="1">IFERROR(IF(ISBLANK(H558),SUMIFS($AC:$AC,$V:$V,V558,$W:$W,W558,$X:$X,X558,$Y:$Y,Y558)*J558/(1-J558)*VLOOKUP(_xlfn.CONCAT(C558,D558,E558,TIME!$M$12,Z558),HIS_SALES!$B$2:$W$4859,20,FALSE),AC558*J558/(1-J558)),0)</f>
        <v>0</v>
      </c>
      <c r="Q558" s="541" t="str">
        <f t="shared" si="208"/>
        <v/>
      </c>
      <c r="R558" s="346" t="str">
        <f t="shared" si="189"/>
        <v>00000</v>
      </c>
      <c r="S558" s="344">
        <f t="shared" si="209"/>
        <v>0</v>
      </c>
      <c r="T558" s="345" t="str">
        <f t="shared" si="203"/>
        <v>000</v>
      </c>
      <c r="U558" s="345">
        <f t="shared" si="210"/>
        <v>0</v>
      </c>
      <c r="V558" s="345">
        <f t="shared" si="211"/>
        <v>0</v>
      </c>
      <c r="W558" s="345">
        <f t="shared" si="212"/>
        <v>0</v>
      </c>
      <c r="X558" s="345">
        <f t="shared" si="213"/>
        <v>0</v>
      </c>
      <c r="Y558" s="345">
        <f t="shared" si="214"/>
        <v>0</v>
      </c>
      <c r="Z558" s="345">
        <f>IF(Q558&lt;&gt;"",VLOOKUP(Y558,TIME!$R$21:$V$24,MATCH(FC_DATA!Q558,TIME!$R$20:$V$20,0),FALSE),H558)</f>
        <v>0</v>
      </c>
      <c r="AA558" s="345" t="str">
        <f>IFERROR(VLOOKUP(X558&amp;Z558,TIME!$A$12:$D$71,4,FALSE),"")</f>
        <v/>
      </c>
      <c r="AB558" s="592">
        <f t="shared" ca="1" si="196"/>
        <v>0</v>
      </c>
      <c r="AC558" s="593" t="e">
        <f ca="1">IF(ISBLANK(H558)=FALSE,IF(D558="BRAND.com",I558,IF(ISNA(VLOOKUP(_xlfn.CONCAT(X558,Z558),TIME!$M$40:$M$42,1,FALSE)),I558,VLOOKUP(_xlfn.CONCAT(D558,G558,H558),M_BUSAREA_FC!$AF$5:$AJ$10,5,FALSE)*HLOOKUP(_xlfn.CONCAT(F558,H558),ST_OVERVIEW!$G$99:$I$130,MATCH(_xlfn.CONCAT(D558,E558),ST_OVERVIEW!$F$99:$F$130,0),FALSE))),IF(D558="BRAND.com",VLOOKUP(_xlfn.CONCAT(C558,D558,E558,TIME!$F$1,Z558),HIS_SALES!$B$2:$V$4859,19,FALSE)*I558,VLOOKUP(_xlfn.CONCAT(D558,F558,G558),Q_BUSAREA_FC!$AE$5:$AI$12,5,FALSE)*HLOOKUP(_xlfn.CONCAT(FC_DATA!F558,FC_DATA!G558),LT_OVERVIEW!$I$99:$M$130,MATCH(_xlfn.CONCAT(D558,FC_DATA!E558),LT_OVERVIEW!$H$99:$H$130,0),FALSE)*IFERROR(VLOOKUP(_xlfn.CONCAT(C558,D558,E558,TIME!$F$1,Z558),HIS_SALES!$B$2:$V$4859,19,FALSE),0)))</f>
        <v>#N/A</v>
      </c>
      <c r="AD558" s="341">
        <f t="shared" ca="1" si="215"/>
        <v>0</v>
      </c>
      <c r="AE558" s="363" t="str">
        <f t="shared" si="216"/>
        <v/>
      </c>
      <c r="AF558" s="342" t="str">
        <f t="shared" si="217"/>
        <v/>
      </c>
      <c r="AG558" s="411" t="e">
        <f ca="1">VLOOKUP(_xlfn.CONCAT(U558,V558,W558,VLOOKUP(X558&amp;Y558,TIME!$L$27:$O$34,4,FALSE),Y558),HIS_SALES!$A$2:$R$5093,18,FALSE)</f>
        <v>#N/A</v>
      </c>
      <c r="AH558" s="412" t="e">
        <f ca="1">IFERROR(IF(AND(V558=V557,W558=W557),0.5*(AB558+AB557)*AG558,(VLOOKUP(_xlfn.CONCAT(U558,V558,W558,X558,VLOOKUP(Z558,TIME!$S$28:$T$39,2,FALSE)),FC_DATA!$R$2:$AB$5000,MATCH("GS_I_M",FC_DATA!$R$1:$AB$1,0),FALSE)+FC_DATA!AB558)*0.5*FC_DATA!AG558),NA())</f>
        <v>#N/A</v>
      </c>
      <c r="AI558" s="491" t="e">
        <f ca="1">IF(V558="PARTNER.com",AH558,IF(AND(V558=V557,W558=W557),(1-AVERAGE(AD557,AD558))*AH558,(1-AVERAGE(AD558,VLOOKUP(_xlfn.CONCAT(U558,V558,W558,X558,M_BRAND_FC!$F$6),FC_DATA!$R$2:$AD$5000,MATCH("DISCOUNT_%_M",FC_DATA!$R$1:$AD$1,0),FALSE)))*AH558))</f>
        <v>#N/A</v>
      </c>
      <c r="AJ558" s="412" t="str">
        <f t="shared" ca="1" si="200"/>
        <v/>
      </c>
      <c r="AK558" s="413" t="str">
        <f>IFERROR(AE558/(Q_BRAND_FC!$T$24+1),"")</f>
        <v/>
      </c>
      <c r="AL558" s="88" t="str">
        <f t="shared" ca="1" si="201"/>
        <v/>
      </c>
      <c r="AM558" s="414" t="str">
        <f t="shared" ca="1" si="202"/>
        <v/>
      </c>
      <c r="AN558" s="58">
        <f>IFERROR(IF($V558="BRAND.com",HLOOKUP($X558&amp;$Z558,NWC_FC_NOOS!$C$4:$Q$23,MATCH(W558,NWC_FC_NOOS!$B$4:$B$23,0),FALSE),0),0)</f>
        <v>0</v>
      </c>
      <c r="AO558" s="57">
        <f>IFERROR(IF($V558="BRAND.com",HLOOKUP($X558&amp;$Z558,NWC_FC_NOOS!$T$4:$AH$23,MATCH(W558,NWC_FC_NOOS!$S$4:$S$23,0),FALSE),0),0)</f>
        <v>0</v>
      </c>
      <c r="AP558" s="57">
        <f>IFERROR(IF($V558="BRAND.com",HLOOKUP($X558&amp;$Z558,NWC_FC_NOOS!$C$50:$U$69,MATCH(W558,NWC_FC_NOOS!$B$50:$B$69,0),FALSE),0),0)</f>
        <v>0</v>
      </c>
      <c r="AQ558" s="58">
        <f>IFERROR(IF($V558="BRAND.com",HLOOKUP($X558&amp;$Z558,'NWC_FC_NON-NOOS'!$C$4:$Q$23,MATCH(W558,'NWC_FC_NON-NOOS'!$B$4:$B$23,0),FALSE),0),0)</f>
        <v>0</v>
      </c>
      <c r="AR558" s="57">
        <f>IFERROR(IF($V558="BRAND.com",HLOOKUP($X558&amp;$Z558,'NWC_FC_NON-NOOS'!$T$4:$AH$23,MATCH(W558,'NWC_FC_NON-NOOS'!$S$4:$S$23,0),FALSE),0),0)</f>
        <v>0</v>
      </c>
      <c r="AS558" s="57">
        <f>IFERROR(IF($V558="BRAND.com",HLOOKUP($X558&amp;$Z558,'NWC_FC_NON-NOOS'!$C$50:$U$69,MATCH(W558,'NWC_FC_NON-NOOS'!$B$50:$B$69,0),FALSE),0),0)</f>
        <v>0</v>
      </c>
      <c r="AT558" s="57">
        <f t="shared" si="204"/>
        <v>0</v>
      </c>
      <c r="AU558" s="57">
        <f t="shared" si="205"/>
        <v>0</v>
      </c>
      <c r="AV558" s="58">
        <f>IFERROR(IF($V558="BRAND.com",HLOOKUP($X558&amp;$Z558,PLANNING_FC!$BB$27:$BP$46,MATCH($W558,PLANNING_FC!$BA$27:$BA$46,0),FALSE),0),0)</f>
        <v>0</v>
      </c>
      <c r="AW558" s="58">
        <f>IFERROR(IF($V558="BRAND.com",HLOOKUP($X558&amp;$Z558,PLANNING_FC!$BB$4:$BP$23,MATCH($W558,PLANNING_FC!$BA$4:$BA$23,0),FALSE),0),0)</f>
        <v>0</v>
      </c>
      <c r="AX558" s="58">
        <f>IFERROR(IF($V558="BRAND.com",HLOOKUP($X558&amp;$Z558,PLANNING_FC!$T$27:$AH$46,MATCH($W558,PLANNING_FC!$B$27:$B$46,0),FALSE),0),0)</f>
        <v>0</v>
      </c>
      <c r="AY558" s="58">
        <f>IFERROR(IF($V558="BRAND.com",HLOOKUP($X558&amp;$Z558,PLANNING_FC!$T$4:$AH$23,MATCH($W558,PLANNING_FC!$B$4:$B$23,0),FALSE),0),0)</f>
        <v>0</v>
      </c>
      <c r="AZ558" s="58">
        <f>IFERROR(IF($V558="BRAND.com",HLOOKUP($X558&amp;$Z558,PLANNING_FC!$DA$27:$DO$46,MATCH($W558,PLANNING_FC!$CZ$27:$CZ$46,0),FALSE),0),0)</f>
        <v>0</v>
      </c>
      <c r="BA558" s="58">
        <f>IFERROR(IF($V558="BRAND.com",HLOOKUP($X558&amp;$Z558,PLANNING_FC!$DA$4:$DO$23,MATCH($W558,PLANNING_FC!$CZ$4:$CZ$23,0),FALSE),0),0)</f>
        <v>0</v>
      </c>
      <c r="BB558" s="883" t="str">
        <f>IF(V558="BRAND.com",IFERROR(HLOOKUP(X558&amp;Z558,PLANNING_FC!$AK$4:$AY$23,MATCH(W558,PLANNING_FC!$AJ$4:$AJ$23,0),FALSE)*1000,""),"")</f>
        <v/>
      </c>
      <c r="BC558" s="883" t="str">
        <f>IF(V558="BRAND.com",IFERROR(HLOOKUP(X558&amp;Z558,PLANNING_FC!$AK$27:$AY$46,MATCH(W558,PLANNING_FC!$AJ$27:$AJ$46,0),FALSE)*1000,""),"")</f>
        <v/>
      </c>
    </row>
    <row r="559" spans="1:55" x14ac:dyDescent="0.25">
      <c r="A559" s="509"/>
      <c r="B559" s="509"/>
      <c r="C559" s="509"/>
      <c r="D559" s="509"/>
      <c r="E559" s="509"/>
      <c r="F559" s="509"/>
      <c r="G559" s="509"/>
      <c r="H559" s="509"/>
      <c r="I559" s="512"/>
      <c r="J559" s="513"/>
      <c r="K559" s="514"/>
      <c r="L559" s="515"/>
      <c r="M559" s="516"/>
      <c r="N559" s="56">
        <f t="shared" si="206"/>
        <v>0</v>
      </c>
      <c r="O559" s="57">
        <f t="shared" si="207"/>
        <v>0</v>
      </c>
      <c r="P559" s="57">
        <f ca="1">IFERROR(IF(ISBLANK(H559),SUMIFS($AC:$AC,$V:$V,V559,$W:$W,W559,$X:$X,X559,$Y:$Y,Y559)*J559/(1-J559)*VLOOKUP(_xlfn.CONCAT(C559,D559,E559,TIME!$M$12,Z559),HIS_SALES!$B$2:$W$4859,20,FALSE),AC559*J559/(1-J559)),0)</f>
        <v>0</v>
      </c>
      <c r="Q559" s="541" t="str">
        <f t="shared" si="208"/>
        <v/>
      </c>
      <c r="R559" s="346" t="str">
        <f t="shared" si="189"/>
        <v>00000</v>
      </c>
      <c r="S559" s="344">
        <f t="shared" si="209"/>
        <v>0</v>
      </c>
      <c r="T559" s="345" t="str">
        <f t="shared" si="203"/>
        <v>000</v>
      </c>
      <c r="U559" s="345">
        <f t="shared" si="210"/>
        <v>0</v>
      </c>
      <c r="V559" s="345">
        <f t="shared" si="211"/>
        <v>0</v>
      </c>
      <c r="W559" s="345">
        <f t="shared" si="212"/>
        <v>0</v>
      </c>
      <c r="X559" s="345">
        <f t="shared" si="213"/>
        <v>0</v>
      </c>
      <c r="Y559" s="345">
        <f t="shared" si="214"/>
        <v>0</v>
      </c>
      <c r="Z559" s="345">
        <f>IF(Q559&lt;&gt;"",VLOOKUP(Y559,TIME!$R$21:$V$24,MATCH(FC_DATA!Q559,TIME!$R$20:$V$20,0),FALSE),H559)</f>
        <v>0</v>
      </c>
      <c r="AA559" s="345" t="str">
        <f>IFERROR(VLOOKUP(X559&amp;Z559,TIME!$A$12:$D$71,4,FALSE),"")</f>
        <v/>
      </c>
      <c r="AB559" s="592">
        <f t="shared" ca="1" si="196"/>
        <v>0</v>
      </c>
      <c r="AC559" s="593" t="e">
        <f ca="1">IF(ISBLANK(H559)=FALSE,IF(D559="BRAND.com",I559,IF(ISNA(VLOOKUP(_xlfn.CONCAT(X559,Z559),TIME!$M$40:$M$42,1,FALSE)),I559,VLOOKUP(_xlfn.CONCAT(D559,G559,H559),M_BUSAREA_FC!$AF$5:$AJ$10,5,FALSE)*HLOOKUP(_xlfn.CONCAT(F559,H559),ST_OVERVIEW!$G$99:$I$130,MATCH(_xlfn.CONCAT(D559,E559),ST_OVERVIEW!$F$99:$F$130,0),FALSE))),IF(D559="BRAND.com",VLOOKUP(_xlfn.CONCAT(C559,D559,E559,TIME!$F$1,Z559),HIS_SALES!$B$2:$V$4859,19,FALSE)*I559,VLOOKUP(_xlfn.CONCAT(D559,F559,G559),Q_BUSAREA_FC!$AE$5:$AI$12,5,FALSE)*HLOOKUP(_xlfn.CONCAT(FC_DATA!F559,FC_DATA!G559),LT_OVERVIEW!$I$99:$M$130,MATCH(_xlfn.CONCAT(D559,FC_DATA!E559),LT_OVERVIEW!$H$99:$H$130,0),FALSE)*IFERROR(VLOOKUP(_xlfn.CONCAT(C559,D559,E559,TIME!$F$1,Z559),HIS_SALES!$B$2:$V$4859,19,FALSE),0)))</f>
        <v>#N/A</v>
      </c>
      <c r="AD559" s="341">
        <f t="shared" ca="1" si="215"/>
        <v>0</v>
      </c>
      <c r="AE559" s="363" t="str">
        <f t="shared" si="216"/>
        <v/>
      </c>
      <c r="AF559" s="342" t="str">
        <f t="shared" si="217"/>
        <v/>
      </c>
      <c r="AG559" s="411" t="e">
        <f ca="1">VLOOKUP(_xlfn.CONCAT(U559,V559,W559,VLOOKUP(X559&amp;Y559,TIME!$L$27:$O$34,4,FALSE),Y559),HIS_SALES!$A$2:$R$5093,18,FALSE)</f>
        <v>#N/A</v>
      </c>
      <c r="AH559" s="412" t="e">
        <f ca="1">IFERROR(IF(AND(V559=V558,W559=W558),0.5*(AB559+AB558)*AG559,(VLOOKUP(_xlfn.CONCAT(U559,V559,W559,X559,VLOOKUP(Z559,TIME!$S$28:$T$39,2,FALSE)),FC_DATA!$R$2:$AB$5000,MATCH("GS_I_M",FC_DATA!$R$1:$AB$1,0),FALSE)+FC_DATA!AB559)*0.5*FC_DATA!AG559),NA())</f>
        <v>#N/A</v>
      </c>
      <c r="AI559" s="491" t="e">
        <f ca="1">IF(V559="PARTNER.com",AH559,IF(AND(V559=V558,W559=W558),(1-AVERAGE(AD558,AD559))*AH559,(1-AVERAGE(AD559,VLOOKUP(_xlfn.CONCAT(U559,V559,W559,X559,M_BRAND_FC!$F$6),FC_DATA!$R$2:$AD$5000,MATCH("DISCOUNT_%_M",FC_DATA!$R$1:$AD$1,0),FALSE)))*AH559))</f>
        <v>#N/A</v>
      </c>
      <c r="AJ559" s="412" t="str">
        <f t="shared" ca="1" si="200"/>
        <v/>
      </c>
      <c r="AK559" s="413" t="str">
        <f>IFERROR(AE559/(Q_BRAND_FC!$T$24+1),"")</f>
        <v/>
      </c>
      <c r="AL559" s="88" t="str">
        <f t="shared" ca="1" si="201"/>
        <v/>
      </c>
      <c r="AM559" s="414" t="str">
        <f t="shared" ca="1" si="202"/>
        <v/>
      </c>
      <c r="AN559" s="58">
        <f>IFERROR(IF($V559="BRAND.com",HLOOKUP($X559&amp;$Z559,NWC_FC_NOOS!$C$4:$Q$23,MATCH(W559,NWC_FC_NOOS!$B$4:$B$23,0),FALSE),0),0)</f>
        <v>0</v>
      </c>
      <c r="AO559" s="57">
        <f>IFERROR(IF($V559="BRAND.com",HLOOKUP($X559&amp;$Z559,NWC_FC_NOOS!$T$4:$AH$23,MATCH(W559,NWC_FC_NOOS!$S$4:$S$23,0),FALSE),0),0)</f>
        <v>0</v>
      </c>
      <c r="AP559" s="57">
        <f>IFERROR(IF($V559="BRAND.com",HLOOKUP($X559&amp;$Z559,NWC_FC_NOOS!$C$50:$U$69,MATCH(W559,NWC_FC_NOOS!$B$50:$B$69,0),FALSE),0),0)</f>
        <v>0</v>
      </c>
      <c r="AQ559" s="58">
        <f>IFERROR(IF($V559="BRAND.com",HLOOKUP($X559&amp;$Z559,'NWC_FC_NON-NOOS'!$C$4:$Q$23,MATCH(W559,'NWC_FC_NON-NOOS'!$B$4:$B$23,0),FALSE),0),0)</f>
        <v>0</v>
      </c>
      <c r="AR559" s="57">
        <f>IFERROR(IF($V559="BRAND.com",HLOOKUP($X559&amp;$Z559,'NWC_FC_NON-NOOS'!$T$4:$AH$23,MATCH(W559,'NWC_FC_NON-NOOS'!$S$4:$S$23,0),FALSE),0),0)</f>
        <v>0</v>
      </c>
      <c r="AS559" s="57">
        <f>IFERROR(IF($V559="BRAND.com",HLOOKUP($X559&amp;$Z559,'NWC_FC_NON-NOOS'!$C$50:$U$69,MATCH(W559,'NWC_FC_NON-NOOS'!$B$50:$B$69,0),FALSE),0),0)</f>
        <v>0</v>
      </c>
      <c r="AT559" s="57">
        <f t="shared" si="204"/>
        <v>0</v>
      </c>
      <c r="AU559" s="57">
        <f t="shared" si="205"/>
        <v>0</v>
      </c>
      <c r="AV559" s="58">
        <f>IFERROR(IF($V559="BRAND.com",HLOOKUP($X559&amp;$Z559,PLANNING_FC!$BB$27:$BP$46,MATCH($W559,PLANNING_FC!$BA$27:$BA$46,0),FALSE),0),0)</f>
        <v>0</v>
      </c>
      <c r="AW559" s="58">
        <f>IFERROR(IF($V559="BRAND.com",HLOOKUP($X559&amp;$Z559,PLANNING_FC!$BB$4:$BP$23,MATCH($W559,PLANNING_FC!$BA$4:$BA$23,0),FALSE),0),0)</f>
        <v>0</v>
      </c>
      <c r="AX559" s="58">
        <f>IFERROR(IF($V559="BRAND.com",HLOOKUP($X559&amp;$Z559,PLANNING_FC!$T$27:$AH$46,MATCH($W559,PLANNING_FC!$B$27:$B$46,0),FALSE),0),0)</f>
        <v>0</v>
      </c>
      <c r="AY559" s="58">
        <f>IFERROR(IF($V559="BRAND.com",HLOOKUP($X559&amp;$Z559,PLANNING_FC!$T$4:$AH$23,MATCH($W559,PLANNING_FC!$B$4:$B$23,0),FALSE),0),0)</f>
        <v>0</v>
      </c>
      <c r="AZ559" s="58">
        <f>IFERROR(IF($V559="BRAND.com",HLOOKUP($X559&amp;$Z559,PLANNING_FC!$DA$27:$DO$46,MATCH($W559,PLANNING_FC!$CZ$27:$CZ$46,0),FALSE),0),0)</f>
        <v>0</v>
      </c>
      <c r="BA559" s="58">
        <f>IFERROR(IF($V559="BRAND.com",HLOOKUP($X559&amp;$Z559,PLANNING_FC!$DA$4:$DO$23,MATCH($W559,PLANNING_FC!$CZ$4:$CZ$23,0),FALSE),0),0)</f>
        <v>0</v>
      </c>
      <c r="BB559" s="883" t="str">
        <f>IF(V559="BRAND.com",IFERROR(HLOOKUP(X559&amp;Z559,PLANNING_FC!$AK$4:$AY$23,MATCH(W559,PLANNING_FC!$AJ$4:$AJ$23,0),FALSE)*1000,""),"")</f>
        <v/>
      </c>
      <c r="BC559" s="883" t="str">
        <f>IF(V559="BRAND.com",IFERROR(HLOOKUP(X559&amp;Z559,PLANNING_FC!$AK$27:$AY$46,MATCH(W559,PLANNING_FC!$AJ$27:$AJ$46,0),FALSE)*1000,""),"")</f>
        <v/>
      </c>
    </row>
    <row r="560" spans="1:55" x14ac:dyDescent="0.25">
      <c r="A560" s="509"/>
      <c r="B560" s="509"/>
      <c r="C560" s="509"/>
      <c r="D560" s="509"/>
      <c r="E560" s="509"/>
      <c r="F560" s="509"/>
      <c r="G560" s="509"/>
      <c r="H560" s="509"/>
      <c r="I560" s="512"/>
      <c r="J560" s="513"/>
      <c r="K560" s="514"/>
      <c r="L560" s="515"/>
      <c r="M560" s="516"/>
      <c r="N560" s="56">
        <f t="shared" si="206"/>
        <v>0</v>
      </c>
      <c r="O560" s="57">
        <f t="shared" si="207"/>
        <v>0</v>
      </c>
      <c r="P560" s="57">
        <f ca="1">IFERROR(IF(ISBLANK(H560),SUMIFS($AC:$AC,$V:$V,V560,$W:$W,W560,$X:$X,X560,$Y:$Y,Y560)*J560/(1-J560)*VLOOKUP(_xlfn.CONCAT(C560,D560,E560,TIME!$M$12,Z560),HIS_SALES!$B$2:$W$4859,20,FALSE),AC560*J560/(1-J560)),0)</f>
        <v>0</v>
      </c>
      <c r="Q560" s="541" t="str">
        <f t="shared" si="208"/>
        <v/>
      </c>
      <c r="R560" s="346" t="str">
        <f t="shared" si="189"/>
        <v>00000</v>
      </c>
      <c r="S560" s="344">
        <f t="shared" si="209"/>
        <v>0</v>
      </c>
      <c r="T560" s="345" t="str">
        <f t="shared" si="203"/>
        <v>000</v>
      </c>
      <c r="U560" s="345">
        <f t="shared" si="210"/>
        <v>0</v>
      </c>
      <c r="V560" s="345">
        <f t="shared" si="211"/>
        <v>0</v>
      </c>
      <c r="W560" s="345">
        <f t="shared" si="212"/>
        <v>0</v>
      </c>
      <c r="X560" s="345">
        <f t="shared" si="213"/>
        <v>0</v>
      </c>
      <c r="Y560" s="345">
        <f t="shared" si="214"/>
        <v>0</v>
      </c>
      <c r="Z560" s="345">
        <f>IF(Q560&lt;&gt;"",VLOOKUP(Y560,TIME!$R$21:$V$24,MATCH(FC_DATA!Q560,TIME!$R$20:$V$20,0),FALSE),H560)</f>
        <v>0</v>
      </c>
      <c r="AA560" s="345" t="str">
        <f>IFERROR(VLOOKUP(X560&amp;Z560,TIME!$A$12:$D$71,4,FALSE),"")</f>
        <v/>
      </c>
      <c r="AB560" s="592">
        <f t="shared" ca="1" si="196"/>
        <v>0</v>
      </c>
      <c r="AC560" s="593" t="e">
        <f ca="1">IF(ISBLANK(H560)=FALSE,IF(D560="BRAND.com",I560,IF(ISNA(VLOOKUP(_xlfn.CONCAT(X560,Z560),TIME!$M$40:$M$42,1,FALSE)),I560,VLOOKUP(_xlfn.CONCAT(D560,G560,H560),M_BUSAREA_FC!$AF$5:$AJ$10,5,FALSE)*HLOOKUP(_xlfn.CONCAT(F560,H560),ST_OVERVIEW!$G$99:$I$130,MATCH(_xlfn.CONCAT(D560,E560),ST_OVERVIEW!$F$99:$F$130,0),FALSE))),IF(D560="BRAND.com",VLOOKUP(_xlfn.CONCAT(C560,D560,E560,TIME!$F$1,Z560),HIS_SALES!$B$2:$V$4859,19,FALSE)*I560,VLOOKUP(_xlfn.CONCAT(D560,F560,G560),Q_BUSAREA_FC!$AE$5:$AI$12,5,FALSE)*HLOOKUP(_xlfn.CONCAT(FC_DATA!F560,FC_DATA!G560),LT_OVERVIEW!$I$99:$M$130,MATCH(_xlfn.CONCAT(D560,FC_DATA!E560),LT_OVERVIEW!$H$99:$H$130,0),FALSE)*IFERROR(VLOOKUP(_xlfn.CONCAT(C560,D560,E560,TIME!$F$1,Z560),HIS_SALES!$B$2:$V$4859,19,FALSE),0)))</f>
        <v>#N/A</v>
      </c>
      <c r="AD560" s="341">
        <f t="shared" ca="1" si="215"/>
        <v>0</v>
      </c>
      <c r="AE560" s="363" t="str">
        <f t="shared" si="216"/>
        <v/>
      </c>
      <c r="AF560" s="342" t="str">
        <f t="shared" si="217"/>
        <v/>
      </c>
      <c r="AG560" s="411" t="e">
        <f ca="1">VLOOKUP(_xlfn.CONCAT(U560,V560,W560,VLOOKUP(X560&amp;Y560,TIME!$L$27:$O$34,4,FALSE),Y560),HIS_SALES!$A$2:$R$5093,18,FALSE)</f>
        <v>#N/A</v>
      </c>
      <c r="AH560" s="412" t="e">
        <f ca="1">IFERROR(IF(AND(V560=V559,W560=W559),0.5*(AB560+AB559)*AG560,(VLOOKUP(_xlfn.CONCAT(U560,V560,W560,X560,VLOOKUP(Z560,TIME!$S$28:$T$39,2,FALSE)),FC_DATA!$R$2:$AB$5000,MATCH("GS_I_M",FC_DATA!$R$1:$AB$1,0),FALSE)+FC_DATA!AB560)*0.5*FC_DATA!AG560),NA())</f>
        <v>#N/A</v>
      </c>
      <c r="AI560" s="491" t="e">
        <f ca="1">IF(V560="PARTNER.com",AH560,IF(AND(V560=V559,W560=W559),(1-AVERAGE(AD559,AD560))*AH560,(1-AVERAGE(AD560,VLOOKUP(_xlfn.CONCAT(U560,V560,W560,X560,M_BRAND_FC!$F$6),FC_DATA!$R$2:$AD$5000,MATCH("DISCOUNT_%_M",FC_DATA!$R$1:$AD$1,0),FALSE)))*AH560))</f>
        <v>#N/A</v>
      </c>
      <c r="AJ560" s="412" t="str">
        <f t="shared" ca="1" si="200"/>
        <v/>
      </c>
      <c r="AK560" s="413" t="str">
        <f>IFERROR(AE560/(Q_BRAND_FC!$T$24+1),"")</f>
        <v/>
      </c>
      <c r="AL560" s="88" t="str">
        <f t="shared" ca="1" si="201"/>
        <v/>
      </c>
      <c r="AM560" s="414" t="str">
        <f t="shared" ca="1" si="202"/>
        <v/>
      </c>
      <c r="AN560" s="58">
        <f>IFERROR(IF($V560="BRAND.com",HLOOKUP($X560&amp;$Z560,NWC_FC_NOOS!$C$4:$Q$23,MATCH(W560,NWC_FC_NOOS!$B$4:$B$23,0),FALSE),0),0)</f>
        <v>0</v>
      </c>
      <c r="AO560" s="57">
        <f>IFERROR(IF($V560="BRAND.com",HLOOKUP($X560&amp;$Z560,NWC_FC_NOOS!$T$4:$AH$23,MATCH(W560,NWC_FC_NOOS!$S$4:$S$23,0),FALSE),0),0)</f>
        <v>0</v>
      </c>
      <c r="AP560" s="57">
        <f>IFERROR(IF($V560="BRAND.com",HLOOKUP($X560&amp;$Z560,NWC_FC_NOOS!$C$50:$U$69,MATCH(W560,NWC_FC_NOOS!$B$50:$B$69,0),FALSE),0),0)</f>
        <v>0</v>
      </c>
      <c r="AQ560" s="58">
        <f>IFERROR(IF($V560="BRAND.com",HLOOKUP($X560&amp;$Z560,'NWC_FC_NON-NOOS'!$C$4:$Q$23,MATCH(W560,'NWC_FC_NON-NOOS'!$B$4:$B$23,0),FALSE),0),0)</f>
        <v>0</v>
      </c>
      <c r="AR560" s="57">
        <f>IFERROR(IF($V560="BRAND.com",HLOOKUP($X560&amp;$Z560,'NWC_FC_NON-NOOS'!$T$4:$AH$23,MATCH(W560,'NWC_FC_NON-NOOS'!$S$4:$S$23,0),FALSE),0),0)</f>
        <v>0</v>
      </c>
      <c r="AS560" s="57">
        <f>IFERROR(IF($V560="BRAND.com",HLOOKUP($X560&amp;$Z560,'NWC_FC_NON-NOOS'!$C$50:$U$69,MATCH(W560,'NWC_FC_NON-NOOS'!$B$50:$B$69,0),FALSE),0),0)</f>
        <v>0</v>
      </c>
      <c r="AT560" s="57">
        <f t="shared" si="204"/>
        <v>0</v>
      </c>
      <c r="AU560" s="57">
        <f t="shared" si="205"/>
        <v>0</v>
      </c>
      <c r="AV560" s="58">
        <f>IFERROR(IF($V560="BRAND.com",HLOOKUP($X560&amp;$Z560,PLANNING_FC!$BB$27:$BP$46,MATCH($W560,PLANNING_FC!$BA$27:$BA$46,0),FALSE),0),0)</f>
        <v>0</v>
      </c>
      <c r="AW560" s="58">
        <f>IFERROR(IF($V560="BRAND.com",HLOOKUP($X560&amp;$Z560,PLANNING_FC!$BB$4:$BP$23,MATCH($W560,PLANNING_FC!$BA$4:$BA$23,0),FALSE),0),0)</f>
        <v>0</v>
      </c>
      <c r="AX560" s="58">
        <f>IFERROR(IF($V560="BRAND.com",HLOOKUP($X560&amp;$Z560,PLANNING_FC!$T$27:$AH$46,MATCH($W560,PLANNING_FC!$B$27:$B$46,0),FALSE),0),0)</f>
        <v>0</v>
      </c>
      <c r="AY560" s="58">
        <f>IFERROR(IF($V560="BRAND.com",HLOOKUP($X560&amp;$Z560,PLANNING_FC!$T$4:$AH$23,MATCH($W560,PLANNING_FC!$B$4:$B$23,0),FALSE),0),0)</f>
        <v>0</v>
      </c>
      <c r="AZ560" s="58">
        <f>IFERROR(IF($V560="BRAND.com",HLOOKUP($X560&amp;$Z560,PLANNING_FC!$DA$27:$DO$46,MATCH($W560,PLANNING_FC!$CZ$27:$CZ$46,0),FALSE),0),0)</f>
        <v>0</v>
      </c>
      <c r="BA560" s="58">
        <f>IFERROR(IF($V560="BRAND.com",HLOOKUP($X560&amp;$Z560,PLANNING_FC!$DA$4:$DO$23,MATCH($W560,PLANNING_FC!$CZ$4:$CZ$23,0),FALSE),0),0)</f>
        <v>0</v>
      </c>
      <c r="BB560" s="883" t="str">
        <f>IF(V560="BRAND.com",IFERROR(HLOOKUP(X560&amp;Z560,PLANNING_FC!$AK$4:$AY$23,MATCH(W560,PLANNING_FC!$AJ$4:$AJ$23,0),FALSE)*1000,""),"")</f>
        <v/>
      </c>
      <c r="BC560" s="883" t="str">
        <f>IF(V560="BRAND.com",IFERROR(HLOOKUP(X560&amp;Z560,PLANNING_FC!$AK$27:$AY$46,MATCH(W560,PLANNING_FC!$AJ$27:$AJ$46,0),FALSE)*1000,""),"")</f>
        <v/>
      </c>
    </row>
    <row r="561" spans="1:55" x14ac:dyDescent="0.25">
      <c r="A561" s="509"/>
      <c r="B561" s="509"/>
      <c r="C561" s="509"/>
      <c r="D561" s="509"/>
      <c r="E561" s="509"/>
      <c r="F561" s="509"/>
      <c r="G561" s="509"/>
      <c r="H561" s="509"/>
      <c r="I561" s="512"/>
      <c r="J561" s="513"/>
      <c r="K561" s="514"/>
      <c r="L561" s="515"/>
      <c r="M561" s="516"/>
      <c r="N561" s="56">
        <f t="shared" si="206"/>
        <v>0</v>
      </c>
      <c r="O561" s="57">
        <f t="shared" si="207"/>
        <v>0</v>
      </c>
      <c r="P561" s="57">
        <f ca="1">IFERROR(IF(ISBLANK(H561),SUMIFS($AC:$AC,$V:$V,V561,$W:$W,W561,$X:$X,X561,$Y:$Y,Y561)*J561/(1-J561)*VLOOKUP(_xlfn.CONCAT(C561,D561,E561,TIME!$M$12,Z561),HIS_SALES!$B$2:$W$4859,20,FALSE),AC561*J561/(1-J561)),0)</f>
        <v>0</v>
      </c>
      <c r="Q561" s="541" t="str">
        <f t="shared" si="208"/>
        <v/>
      </c>
      <c r="R561" s="346" t="str">
        <f t="shared" si="189"/>
        <v>00000</v>
      </c>
      <c r="S561" s="344">
        <f t="shared" si="209"/>
        <v>0</v>
      </c>
      <c r="T561" s="345" t="str">
        <f t="shared" si="203"/>
        <v>000</v>
      </c>
      <c r="U561" s="345">
        <f t="shared" si="210"/>
        <v>0</v>
      </c>
      <c r="V561" s="345">
        <f t="shared" si="211"/>
        <v>0</v>
      </c>
      <c r="W561" s="345">
        <f t="shared" si="212"/>
        <v>0</v>
      </c>
      <c r="X561" s="345">
        <f t="shared" si="213"/>
        <v>0</v>
      </c>
      <c r="Y561" s="345">
        <f t="shared" si="214"/>
        <v>0</v>
      </c>
      <c r="Z561" s="345">
        <f>IF(Q561&lt;&gt;"",VLOOKUP(Y561,TIME!$R$21:$V$24,MATCH(FC_DATA!Q561,TIME!$R$20:$V$20,0),FALSE),H561)</f>
        <v>0</v>
      </c>
      <c r="AA561" s="345" t="str">
        <f>IFERROR(VLOOKUP(X561&amp;Z561,TIME!$A$12:$D$71,4,FALSE),"")</f>
        <v/>
      </c>
      <c r="AB561" s="592">
        <f t="shared" ca="1" si="196"/>
        <v>0</v>
      </c>
      <c r="AC561" s="593" t="e">
        <f ca="1">IF(ISBLANK(H561)=FALSE,IF(D561="BRAND.com",I561,IF(ISNA(VLOOKUP(_xlfn.CONCAT(X561,Z561),TIME!$M$40:$M$42,1,FALSE)),I561,VLOOKUP(_xlfn.CONCAT(D561,G561,H561),M_BUSAREA_FC!$AF$5:$AJ$10,5,FALSE)*HLOOKUP(_xlfn.CONCAT(F561,H561),ST_OVERVIEW!$G$99:$I$130,MATCH(_xlfn.CONCAT(D561,E561),ST_OVERVIEW!$F$99:$F$130,0),FALSE))),IF(D561="BRAND.com",VLOOKUP(_xlfn.CONCAT(C561,D561,E561,TIME!$F$1,Z561),HIS_SALES!$B$2:$V$4859,19,FALSE)*I561,VLOOKUP(_xlfn.CONCAT(D561,F561,G561),Q_BUSAREA_FC!$AE$5:$AI$12,5,FALSE)*HLOOKUP(_xlfn.CONCAT(FC_DATA!F561,FC_DATA!G561),LT_OVERVIEW!$I$99:$M$130,MATCH(_xlfn.CONCAT(D561,FC_DATA!E561),LT_OVERVIEW!$H$99:$H$130,0),FALSE)*IFERROR(VLOOKUP(_xlfn.CONCAT(C561,D561,E561,TIME!$F$1,Z561),HIS_SALES!$B$2:$V$4859,19,FALSE),0)))</f>
        <v>#N/A</v>
      </c>
      <c r="AD561" s="341">
        <f t="shared" ca="1" si="215"/>
        <v>0</v>
      </c>
      <c r="AE561" s="363" t="str">
        <f t="shared" si="216"/>
        <v/>
      </c>
      <c r="AF561" s="342" t="str">
        <f t="shared" si="217"/>
        <v/>
      </c>
      <c r="AG561" s="411" t="e">
        <f ca="1">VLOOKUP(_xlfn.CONCAT(U561,V561,W561,VLOOKUP(X561&amp;Y561,TIME!$L$27:$O$34,4,FALSE),Y561),HIS_SALES!$A$2:$R$5093,18,FALSE)</f>
        <v>#N/A</v>
      </c>
      <c r="AH561" s="412" t="e">
        <f ca="1">IFERROR(IF(AND(V561=V560,W561=W560),0.5*(AB561+AB560)*AG561,(VLOOKUP(_xlfn.CONCAT(U561,V561,W561,X561,VLOOKUP(Z561,TIME!$S$28:$T$39,2,FALSE)),FC_DATA!$R$2:$AB$5000,MATCH("GS_I_M",FC_DATA!$R$1:$AB$1,0),FALSE)+FC_DATA!AB561)*0.5*FC_DATA!AG561),NA())</f>
        <v>#N/A</v>
      </c>
      <c r="AI561" s="491" t="e">
        <f ca="1">IF(V561="PARTNER.com",AH561,IF(AND(V561=V560,W561=W560),(1-AVERAGE(AD560,AD561))*AH561,(1-AVERAGE(AD561,VLOOKUP(_xlfn.CONCAT(U561,V561,W561,X561,M_BRAND_FC!$F$6),FC_DATA!$R$2:$AD$5000,MATCH("DISCOUNT_%_M",FC_DATA!$R$1:$AD$1,0),FALSE)))*AH561))</f>
        <v>#N/A</v>
      </c>
      <c r="AJ561" s="412" t="str">
        <f t="shared" ca="1" si="200"/>
        <v/>
      </c>
      <c r="AK561" s="413" t="str">
        <f>IFERROR(AE561/(Q_BRAND_FC!$T$24+1),"")</f>
        <v/>
      </c>
      <c r="AL561" s="88" t="str">
        <f t="shared" ca="1" si="201"/>
        <v/>
      </c>
      <c r="AM561" s="414" t="str">
        <f t="shared" ca="1" si="202"/>
        <v/>
      </c>
      <c r="AN561" s="58">
        <f>IFERROR(IF($V561="BRAND.com",HLOOKUP($X561&amp;$Z561,NWC_FC_NOOS!$C$4:$Q$23,MATCH(W561,NWC_FC_NOOS!$B$4:$B$23,0),FALSE),0),0)</f>
        <v>0</v>
      </c>
      <c r="AO561" s="57">
        <f>IFERROR(IF($V561="BRAND.com",HLOOKUP($X561&amp;$Z561,NWC_FC_NOOS!$T$4:$AH$23,MATCH(W561,NWC_FC_NOOS!$S$4:$S$23,0),FALSE),0),0)</f>
        <v>0</v>
      </c>
      <c r="AP561" s="57">
        <f>IFERROR(IF($V561="BRAND.com",HLOOKUP($X561&amp;$Z561,NWC_FC_NOOS!$C$50:$U$69,MATCH(W561,NWC_FC_NOOS!$B$50:$B$69,0),FALSE),0),0)</f>
        <v>0</v>
      </c>
      <c r="AQ561" s="58">
        <f>IFERROR(IF($V561="BRAND.com",HLOOKUP($X561&amp;$Z561,'NWC_FC_NON-NOOS'!$C$4:$Q$23,MATCH(W561,'NWC_FC_NON-NOOS'!$B$4:$B$23,0),FALSE),0),0)</f>
        <v>0</v>
      </c>
      <c r="AR561" s="57">
        <f>IFERROR(IF($V561="BRAND.com",HLOOKUP($X561&amp;$Z561,'NWC_FC_NON-NOOS'!$T$4:$AH$23,MATCH(W561,'NWC_FC_NON-NOOS'!$S$4:$S$23,0),FALSE),0),0)</f>
        <v>0</v>
      </c>
      <c r="AS561" s="57">
        <f>IFERROR(IF($V561="BRAND.com",HLOOKUP($X561&amp;$Z561,'NWC_FC_NON-NOOS'!$C$50:$U$69,MATCH(W561,'NWC_FC_NON-NOOS'!$B$50:$B$69,0),FALSE),0),0)</f>
        <v>0</v>
      </c>
      <c r="AT561" s="57">
        <f t="shared" si="204"/>
        <v>0</v>
      </c>
      <c r="AU561" s="57">
        <f t="shared" si="205"/>
        <v>0</v>
      </c>
      <c r="AV561" s="58">
        <f>IFERROR(IF($V561="BRAND.com",HLOOKUP($X561&amp;$Z561,PLANNING_FC!$BB$27:$BP$46,MATCH($W561,PLANNING_FC!$BA$27:$BA$46,0),FALSE),0),0)</f>
        <v>0</v>
      </c>
      <c r="AW561" s="58">
        <f>IFERROR(IF($V561="BRAND.com",HLOOKUP($X561&amp;$Z561,PLANNING_FC!$BB$4:$BP$23,MATCH($W561,PLANNING_FC!$BA$4:$BA$23,0),FALSE),0),0)</f>
        <v>0</v>
      </c>
      <c r="AX561" s="58">
        <f>IFERROR(IF($V561="BRAND.com",HLOOKUP($X561&amp;$Z561,PLANNING_FC!$T$27:$AH$46,MATCH($W561,PLANNING_FC!$B$27:$B$46,0),FALSE),0),0)</f>
        <v>0</v>
      </c>
      <c r="AY561" s="58">
        <f>IFERROR(IF($V561="BRAND.com",HLOOKUP($X561&amp;$Z561,PLANNING_FC!$T$4:$AH$23,MATCH($W561,PLANNING_FC!$B$4:$B$23,0),FALSE),0),0)</f>
        <v>0</v>
      </c>
      <c r="AZ561" s="58">
        <f>IFERROR(IF($V561="BRAND.com",HLOOKUP($X561&amp;$Z561,PLANNING_FC!$DA$27:$DO$46,MATCH($W561,PLANNING_FC!$CZ$27:$CZ$46,0),FALSE),0),0)</f>
        <v>0</v>
      </c>
      <c r="BA561" s="58">
        <f>IFERROR(IF($V561="BRAND.com",HLOOKUP($X561&amp;$Z561,PLANNING_FC!$DA$4:$DO$23,MATCH($W561,PLANNING_FC!$CZ$4:$CZ$23,0),FALSE),0),0)</f>
        <v>0</v>
      </c>
      <c r="BB561" s="883" t="str">
        <f>IF(V561="BRAND.com",IFERROR(HLOOKUP(X561&amp;Z561,PLANNING_FC!$AK$4:$AY$23,MATCH(W561,PLANNING_FC!$AJ$4:$AJ$23,0),FALSE)*1000,""),"")</f>
        <v/>
      </c>
      <c r="BC561" s="883" t="str">
        <f>IF(V561="BRAND.com",IFERROR(HLOOKUP(X561&amp;Z561,PLANNING_FC!$AK$27:$AY$46,MATCH(W561,PLANNING_FC!$AJ$27:$AJ$46,0),FALSE)*1000,""),"")</f>
        <v/>
      </c>
    </row>
    <row r="562" spans="1:55" x14ac:dyDescent="0.25">
      <c r="A562" s="509"/>
      <c r="B562" s="509"/>
      <c r="C562" s="509"/>
      <c r="D562" s="509"/>
      <c r="E562" s="509"/>
      <c r="F562" s="509"/>
      <c r="G562" s="511"/>
      <c r="H562" s="509"/>
      <c r="I562" s="512"/>
      <c r="J562" s="513"/>
      <c r="K562" s="514"/>
      <c r="L562" s="515"/>
      <c r="M562" s="516"/>
      <c r="N562" s="56">
        <f t="shared" ref="N562:N593" si="218">IFERROR(I562/(1-J562)*J562,0)</f>
        <v>0</v>
      </c>
      <c r="O562" s="57">
        <f t="shared" ref="O562:O593" si="219">IFERROR(I562+N562,0)</f>
        <v>0</v>
      </c>
      <c r="P562" s="57">
        <f ca="1">IFERROR(IF(ISBLANK(H562),SUMIFS($AC:$AC,$V:$V,V562,$W:$W,W562,$X:$X,X562,$Y:$Y,Y562)*J562/(1-J562)*VLOOKUP(_xlfn.CONCAT(C562,D562,E562,TIME!$M$12,Z562),HIS_SALES!$B$2:$W$4859,20,FALSE),AC562*J562/(1-J562)),0)</f>
        <v>0</v>
      </c>
      <c r="Q562" s="541" t="str">
        <f t="shared" ref="Q562:Q593" si="220">IF(AND(A562&lt;&gt;"",H562=""),IF(A562=A561,Q561+1,1),"")</f>
        <v/>
      </c>
      <c r="R562" s="346" t="str">
        <f t="shared" si="189"/>
        <v>00000</v>
      </c>
      <c r="S562" s="344">
        <f t="shared" ref="S562:S593" si="221">B562</f>
        <v>0</v>
      </c>
      <c r="T562" s="345" t="str">
        <f t="shared" si="203"/>
        <v>000</v>
      </c>
      <c r="U562" s="345">
        <f t="shared" ref="U562:U593" si="222">C562</f>
        <v>0</v>
      </c>
      <c r="V562" s="345">
        <f t="shared" ref="V562:V593" si="223">D562</f>
        <v>0</v>
      </c>
      <c r="W562" s="345">
        <f t="shared" ref="W562:W593" si="224">E562</f>
        <v>0</v>
      </c>
      <c r="X562" s="345">
        <f t="shared" ref="X562:X593" si="225">F562</f>
        <v>0</v>
      </c>
      <c r="Y562" s="345">
        <f t="shared" ref="Y562:Y593" si="226">G562</f>
        <v>0</v>
      </c>
      <c r="Z562" s="345">
        <f>IF(Q562&lt;&gt;"",VLOOKUP(Y562,TIME!$R$21:$V$24,MATCH(FC_DATA!Q562,TIME!$R$20:$V$20,0),FALSE),H562)</f>
        <v>0</v>
      </c>
      <c r="AA562" s="345" t="str">
        <f>IFERROR(VLOOKUP(X562&amp;Z562,TIME!$A$12:$D$71,4,FALSE),"")</f>
        <v/>
      </c>
      <c r="AB562" s="592">
        <f t="shared" ca="1" si="196"/>
        <v>0</v>
      </c>
      <c r="AC562" s="593" t="e">
        <f ca="1">IF(ISBLANK(H562)=FALSE,IF(D562="BRAND.com",I562,IF(ISNA(VLOOKUP(_xlfn.CONCAT(X562,Z562),TIME!$M$40:$M$42,1,FALSE)),I562,VLOOKUP(_xlfn.CONCAT(D562,G562,H562),M_BUSAREA_FC!$AF$5:$AJ$10,5,FALSE)*HLOOKUP(_xlfn.CONCAT(F562,H562),ST_OVERVIEW!$G$99:$I$130,MATCH(_xlfn.CONCAT(D562,E562),ST_OVERVIEW!$F$99:$F$130,0),FALSE))),IF(D562="BRAND.com",VLOOKUP(_xlfn.CONCAT(C562,D562,E562,TIME!$F$1,Z562),HIS_SALES!$B$2:$V$4859,19,FALSE)*I562,VLOOKUP(_xlfn.CONCAT(D562,F562,G562),Q_BUSAREA_FC!$AE$5:$AI$12,5,FALSE)*HLOOKUP(_xlfn.CONCAT(FC_DATA!F562,FC_DATA!G562),LT_OVERVIEW!$I$99:$M$130,MATCH(_xlfn.CONCAT(D562,FC_DATA!E562),LT_OVERVIEW!$H$99:$H$130,0),FALSE)*IFERROR(VLOOKUP(_xlfn.CONCAT(C562,D562,E562,TIME!$F$1,Z562),HIS_SALES!$B$2:$V$4859,19,FALSE),0)))</f>
        <v>#N/A</v>
      </c>
      <c r="AD562" s="341">
        <f t="shared" ref="AD562:AD593" ca="1" si="227">IFERROR(IF(D562="PARTNER.com",0,1-AC562/AB562),0)</f>
        <v>0</v>
      </c>
      <c r="AE562" s="363" t="str">
        <f t="shared" ref="AE562:AE593" si="228">IF(A562&lt;&gt;"",K562,"")</f>
        <v/>
      </c>
      <c r="AF562" s="342" t="str">
        <f t="shared" ref="AF562:AF593" si="229">IF(B562&lt;&gt;"",M562,"")</f>
        <v/>
      </c>
      <c r="AG562" s="411" t="e">
        <f ca="1">VLOOKUP(_xlfn.CONCAT(U562,V562,W562,VLOOKUP(X562&amp;Y562,TIME!$L$27:$O$34,4,FALSE),Y562),HIS_SALES!$A$2:$R$5093,18,FALSE)</f>
        <v>#N/A</v>
      </c>
      <c r="AH562" s="412" t="e">
        <f ca="1">IFERROR(IF(AND(V562=V561,W562=W561),0.5*(AB562+AB561)*AG562,(VLOOKUP(_xlfn.CONCAT(U562,V562,W562,X562,VLOOKUP(Z562,TIME!$S$28:$T$39,2,FALSE)),FC_DATA!$R$2:$AB$5000,MATCH("GS_I_M",FC_DATA!$R$1:$AB$1,0),FALSE)+FC_DATA!AB562)*0.5*FC_DATA!AG562),NA())</f>
        <v>#N/A</v>
      </c>
      <c r="AI562" s="491" t="e">
        <f ca="1">IF(V562="PARTNER.com",AH562,IF(AND(V562=V561,W562=W561),(1-AVERAGE(AD561,AD562))*AH562,(1-AVERAGE(AD562,VLOOKUP(_xlfn.CONCAT(U562,V562,W562,X562,M_BRAND_FC!$F$6),FC_DATA!$R$2:$AD$5000,MATCH("DISCOUNT_%_M",FC_DATA!$R$1:$AD$1,0),FALSE)))*AH562))</f>
        <v>#N/A</v>
      </c>
      <c r="AJ562" s="412" t="str">
        <f t="shared" ca="1" si="200"/>
        <v/>
      </c>
      <c r="AK562" s="413" t="str">
        <f>IFERROR(AE562/(Q_BRAND_FC!$T$24+1),"")</f>
        <v/>
      </c>
      <c r="AL562" s="88" t="str">
        <f t="shared" ca="1" si="201"/>
        <v/>
      </c>
      <c r="AM562" s="414" t="str">
        <f t="shared" ca="1" si="202"/>
        <v/>
      </c>
      <c r="AN562" s="58">
        <f>IFERROR(IF($V562="BRAND.com",HLOOKUP($X562&amp;$Z562,NWC_FC_NOOS!$C$4:$Q$23,MATCH(W562,NWC_FC_NOOS!$B$4:$B$23,0),FALSE),0),0)</f>
        <v>0</v>
      </c>
      <c r="AO562" s="57">
        <f>IFERROR(IF($V562="BRAND.com",HLOOKUP($X562&amp;$Z562,NWC_FC_NOOS!$T$4:$AH$23,MATCH(W562,NWC_FC_NOOS!$S$4:$S$23,0),FALSE),0),0)</f>
        <v>0</v>
      </c>
      <c r="AP562" s="57">
        <f>IFERROR(IF($V562="BRAND.com",HLOOKUP($X562&amp;$Z562,NWC_FC_NOOS!$C$50:$U$69,MATCH(W562,NWC_FC_NOOS!$B$50:$B$69,0),FALSE),0),0)</f>
        <v>0</v>
      </c>
      <c r="AQ562" s="58">
        <f>IFERROR(IF($V562="BRAND.com",HLOOKUP($X562&amp;$Z562,'NWC_FC_NON-NOOS'!$C$4:$Q$23,MATCH(W562,'NWC_FC_NON-NOOS'!$B$4:$B$23,0),FALSE),0),0)</f>
        <v>0</v>
      </c>
      <c r="AR562" s="57">
        <f>IFERROR(IF($V562="BRAND.com",HLOOKUP($X562&amp;$Z562,'NWC_FC_NON-NOOS'!$T$4:$AH$23,MATCH(W562,'NWC_FC_NON-NOOS'!$S$4:$S$23,0),FALSE),0),0)</f>
        <v>0</v>
      </c>
      <c r="AS562" s="57">
        <f>IFERROR(IF($V562="BRAND.com",HLOOKUP($X562&amp;$Z562,'NWC_FC_NON-NOOS'!$C$50:$U$69,MATCH(W562,'NWC_FC_NON-NOOS'!$B$50:$B$69,0),FALSE),0),0)</f>
        <v>0</v>
      </c>
      <c r="AT562" s="57">
        <f t="shared" si="204"/>
        <v>0</v>
      </c>
      <c r="AU562" s="57">
        <f t="shared" si="205"/>
        <v>0</v>
      </c>
      <c r="AV562" s="58">
        <f>IFERROR(IF($V562="BRAND.com",HLOOKUP($X562&amp;$Z562,PLANNING_FC!$BB$27:$BP$46,MATCH($W562,PLANNING_FC!$BA$27:$BA$46,0),FALSE),0),0)</f>
        <v>0</v>
      </c>
      <c r="AW562" s="58">
        <f>IFERROR(IF($V562="BRAND.com",HLOOKUP($X562&amp;$Z562,PLANNING_FC!$BB$4:$BP$23,MATCH($W562,PLANNING_FC!$BA$4:$BA$23,0),FALSE),0),0)</f>
        <v>0</v>
      </c>
      <c r="AX562" s="58">
        <f>IFERROR(IF($V562="BRAND.com",HLOOKUP($X562&amp;$Z562,PLANNING_FC!$T$27:$AH$46,MATCH($W562,PLANNING_FC!$B$27:$B$46,0),FALSE),0),0)</f>
        <v>0</v>
      </c>
      <c r="AY562" s="58">
        <f>IFERROR(IF($V562="BRAND.com",HLOOKUP($X562&amp;$Z562,PLANNING_FC!$T$4:$AH$23,MATCH($W562,PLANNING_FC!$B$4:$B$23,0),FALSE),0),0)</f>
        <v>0</v>
      </c>
      <c r="AZ562" s="58">
        <f>IFERROR(IF($V562="BRAND.com",HLOOKUP($X562&amp;$Z562,PLANNING_FC!$DA$27:$DO$46,MATCH($W562,PLANNING_FC!$CZ$27:$CZ$46,0),FALSE),0),0)</f>
        <v>0</v>
      </c>
      <c r="BA562" s="58">
        <f>IFERROR(IF($V562="BRAND.com",HLOOKUP($X562&amp;$Z562,PLANNING_FC!$DA$4:$DO$23,MATCH($W562,PLANNING_FC!$CZ$4:$CZ$23,0),FALSE),0),0)</f>
        <v>0</v>
      </c>
      <c r="BB562" s="883" t="str">
        <f>IF(V562="BRAND.com",IFERROR(HLOOKUP(X562&amp;Z562,PLANNING_FC!$AK$4:$AY$23,MATCH(W562,PLANNING_FC!$AJ$4:$AJ$23,0),FALSE)*1000,""),"")</f>
        <v/>
      </c>
      <c r="BC562" s="883" t="str">
        <f>IF(V562="BRAND.com",IFERROR(HLOOKUP(X562&amp;Z562,PLANNING_FC!$AK$27:$AY$46,MATCH(W562,PLANNING_FC!$AJ$27:$AJ$46,0),FALSE)*1000,""),"")</f>
        <v/>
      </c>
    </row>
    <row r="563" spans="1:55" x14ac:dyDescent="0.25">
      <c r="A563" s="509"/>
      <c r="B563" s="509"/>
      <c r="C563" s="509"/>
      <c r="D563" s="509"/>
      <c r="E563" s="509"/>
      <c r="F563" s="509"/>
      <c r="G563" s="509"/>
      <c r="H563" s="509"/>
      <c r="I563" s="512"/>
      <c r="J563" s="513"/>
      <c r="K563" s="514"/>
      <c r="L563" s="515"/>
      <c r="M563" s="516"/>
      <c r="N563" s="56">
        <f t="shared" si="218"/>
        <v>0</v>
      </c>
      <c r="O563" s="57">
        <f t="shared" si="219"/>
        <v>0</v>
      </c>
      <c r="P563" s="57">
        <f ca="1">IFERROR(IF(ISBLANK(H563),SUMIFS($AC:$AC,$V:$V,V563,$W:$W,W563,$X:$X,X563,$Y:$Y,Y563)*J563/(1-J563)*VLOOKUP(_xlfn.CONCAT(C563,D563,E563,TIME!$M$12,Z563),HIS_SALES!$B$2:$W$4859,20,FALSE),AC563*J563/(1-J563)),0)</f>
        <v>0</v>
      </c>
      <c r="Q563" s="541" t="str">
        <f t="shared" si="220"/>
        <v/>
      </c>
      <c r="R563" s="346" t="str">
        <f t="shared" si="189"/>
        <v>00000</v>
      </c>
      <c r="S563" s="344">
        <f t="shared" si="221"/>
        <v>0</v>
      </c>
      <c r="T563" s="345" t="str">
        <f t="shared" si="203"/>
        <v>000</v>
      </c>
      <c r="U563" s="345">
        <f t="shared" si="222"/>
        <v>0</v>
      </c>
      <c r="V563" s="345">
        <f t="shared" si="223"/>
        <v>0</v>
      </c>
      <c r="W563" s="345">
        <f t="shared" si="224"/>
        <v>0</v>
      </c>
      <c r="X563" s="345">
        <f t="shared" si="225"/>
        <v>0</v>
      </c>
      <c r="Y563" s="345">
        <f t="shared" si="226"/>
        <v>0</v>
      </c>
      <c r="Z563" s="345">
        <f>IF(Q563&lt;&gt;"",VLOOKUP(Y563,TIME!$R$21:$V$24,MATCH(FC_DATA!Q563,TIME!$R$20:$V$20,0),FALSE),H563)</f>
        <v>0</v>
      </c>
      <c r="AA563" s="345" t="str">
        <f>IFERROR(VLOOKUP(X563&amp;Z563,TIME!$A$12:$D$71,4,FALSE),"")</f>
        <v/>
      </c>
      <c r="AB563" s="592">
        <f t="shared" ca="1" si="196"/>
        <v>0</v>
      </c>
      <c r="AC563" s="593" t="e">
        <f ca="1">IF(ISBLANK(H563)=FALSE,IF(D563="BRAND.com",I563,IF(ISNA(VLOOKUP(_xlfn.CONCAT(X563,Z563),TIME!$M$40:$M$42,1,FALSE)),I563,VLOOKUP(_xlfn.CONCAT(D563,G563,H563),M_BUSAREA_FC!$AF$5:$AJ$10,5,FALSE)*HLOOKUP(_xlfn.CONCAT(F563,H563),ST_OVERVIEW!$G$99:$I$130,MATCH(_xlfn.CONCAT(D563,E563),ST_OVERVIEW!$F$99:$F$130,0),FALSE))),IF(D563="BRAND.com",VLOOKUP(_xlfn.CONCAT(C563,D563,E563,TIME!$F$1,Z563),HIS_SALES!$B$2:$V$4859,19,FALSE)*I563,VLOOKUP(_xlfn.CONCAT(D563,F563,G563),Q_BUSAREA_FC!$AE$5:$AI$12,5,FALSE)*HLOOKUP(_xlfn.CONCAT(FC_DATA!F563,FC_DATA!G563),LT_OVERVIEW!$I$99:$M$130,MATCH(_xlfn.CONCAT(D563,FC_DATA!E563),LT_OVERVIEW!$H$99:$H$130,0),FALSE)*IFERROR(VLOOKUP(_xlfn.CONCAT(C563,D563,E563,TIME!$F$1,Z563),HIS_SALES!$B$2:$V$4859,19,FALSE),0)))</f>
        <v>#N/A</v>
      </c>
      <c r="AD563" s="341">
        <f t="shared" ca="1" si="227"/>
        <v>0</v>
      </c>
      <c r="AE563" s="363" t="str">
        <f t="shared" si="228"/>
        <v/>
      </c>
      <c r="AF563" s="342" t="str">
        <f t="shared" si="229"/>
        <v/>
      </c>
      <c r="AG563" s="411" t="e">
        <f ca="1">VLOOKUP(_xlfn.CONCAT(U563,V563,W563,VLOOKUP(X563&amp;Y563,TIME!$L$27:$O$34,4,FALSE),Y563),HIS_SALES!$A$2:$R$5093,18,FALSE)</f>
        <v>#N/A</v>
      </c>
      <c r="AH563" s="412" t="e">
        <f ca="1">IFERROR(IF(AND(V563=V562,W563=W562),0.5*(AB563+AB562)*AG563,(VLOOKUP(_xlfn.CONCAT(U563,V563,W563,X563,VLOOKUP(Z563,TIME!$S$28:$T$39,2,FALSE)),FC_DATA!$R$2:$AB$5000,MATCH("GS_I_M",FC_DATA!$R$1:$AB$1,0),FALSE)+FC_DATA!AB563)*0.5*FC_DATA!AG563),NA())</f>
        <v>#N/A</v>
      </c>
      <c r="AI563" s="491" t="e">
        <f ca="1">IF(V563="PARTNER.com",AH563,IF(AND(V563=V562,W563=W562),(1-AVERAGE(AD562,AD563))*AH563,(1-AVERAGE(AD563,VLOOKUP(_xlfn.CONCAT(U563,V563,W563,X563,M_BRAND_FC!$F$6),FC_DATA!$R$2:$AD$5000,MATCH("DISCOUNT_%_M",FC_DATA!$R$1:$AD$1,0),FALSE)))*AH563))</f>
        <v>#N/A</v>
      </c>
      <c r="AJ563" s="412" t="str">
        <f t="shared" ca="1" si="200"/>
        <v/>
      </c>
      <c r="AK563" s="413" t="str">
        <f>IFERROR(AE563/(Q_BRAND_FC!$T$24+1),"")</f>
        <v/>
      </c>
      <c r="AL563" s="88" t="str">
        <f t="shared" ca="1" si="201"/>
        <v/>
      </c>
      <c r="AM563" s="414" t="str">
        <f t="shared" ca="1" si="202"/>
        <v/>
      </c>
      <c r="AN563" s="58">
        <f>IFERROR(IF($V563="BRAND.com",HLOOKUP($X563&amp;$Z563,NWC_FC_NOOS!$C$4:$Q$23,MATCH(W563,NWC_FC_NOOS!$B$4:$B$23,0),FALSE),0),0)</f>
        <v>0</v>
      </c>
      <c r="AO563" s="57">
        <f>IFERROR(IF($V563="BRAND.com",HLOOKUP($X563&amp;$Z563,NWC_FC_NOOS!$T$4:$AH$23,MATCH(W563,NWC_FC_NOOS!$S$4:$S$23,0),FALSE),0),0)</f>
        <v>0</v>
      </c>
      <c r="AP563" s="57">
        <f>IFERROR(IF($V563="BRAND.com",HLOOKUP($X563&amp;$Z563,NWC_FC_NOOS!$C$50:$U$69,MATCH(W563,NWC_FC_NOOS!$B$50:$B$69,0),FALSE),0),0)</f>
        <v>0</v>
      </c>
      <c r="AQ563" s="58">
        <f>IFERROR(IF($V563="BRAND.com",HLOOKUP($X563&amp;$Z563,'NWC_FC_NON-NOOS'!$C$4:$Q$23,MATCH(W563,'NWC_FC_NON-NOOS'!$B$4:$B$23,0),FALSE),0),0)</f>
        <v>0</v>
      </c>
      <c r="AR563" s="57">
        <f>IFERROR(IF($V563="BRAND.com",HLOOKUP($X563&amp;$Z563,'NWC_FC_NON-NOOS'!$T$4:$AH$23,MATCH(W563,'NWC_FC_NON-NOOS'!$S$4:$S$23,0),FALSE),0),0)</f>
        <v>0</v>
      </c>
      <c r="AS563" s="57">
        <f>IFERROR(IF($V563="BRAND.com",HLOOKUP($X563&amp;$Z563,'NWC_FC_NON-NOOS'!$C$50:$U$69,MATCH(W563,'NWC_FC_NON-NOOS'!$B$50:$B$69,0),FALSE),0),0)</f>
        <v>0</v>
      </c>
      <c r="AT563" s="57">
        <f t="shared" si="204"/>
        <v>0</v>
      </c>
      <c r="AU563" s="57">
        <f t="shared" si="205"/>
        <v>0</v>
      </c>
      <c r="AV563" s="58">
        <f>IFERROR(IF($V563="BRAND.com",HLOOKUP($X563&amp;$Z563,PLANNING_FC!$BB$27:$BP$46,MATCH($W563,PLANNING_FC!$BA$27:$BA$46,0),FALSE),0),0)</f>
        <v>0</v>
      </c>
      <c r="AW563" s="58">
        <f>IFERROR(IF($V563="BRAND.com",HLOOKUP($X563&amp;$Z563,PLANNING_FC!$BB$4:$BP$23,MATCH($W563,PLANNING_FC!$BA$4:$BA$23,0),FALSE),0),0)</f>
        <v>0</v>
      </c>
      <c r="AX563" s="58">
        <f>IFERROR(IF($V563="BRAND.com",HLOOKUP($X563&amp;$Z563,PLANNING_FC!$T$27:$AH$46,MATCH($W563,PLANNING_FC!$B$27:$B$46,0),FALSE),0),0)</f>
        <v>0</v>
      </c>
      <c r="AY563" s="58">
        <f>IFERROR(IF($V563="BRAND.com",HLOOKUP($X563&amp;$Z563,PLANNING_FC!$T$4:$AH$23,MATCH($W563,PLANNING_FC!$B$4:$B$23,0),FALSE),0),0)</f>
        <v>0</v>
      </c>
      <c r="AZ563" s="58">
        <f>IFERROR(IF($V563="BRAND.com",HLOOKUP($X563&amp;$Z563,PLANNING_FC!$DA$27:$DO$46,MATCH($W563,PLANNING_FC!$CZ$27:$CZ$46,0),FALSE),0),0)</f>
        <v>0</v>
      </c>
      <c r="BA563" s="58">
        <f>IFERROR(IF($V563="BRAND.com",HLOOKUP($X563&amp;$Z563,PLANNING_FC!$DA$4:$DO$23,MATCH($W563,PLANNING_FC!$CZ$4:$CZ$23,0),FALSE),0),0)</f>
        <v>0</v>
      </c>
      <c r="BB563" s="883" t="str">
        <f>IF(V563="BRAND.com",IFERROR(HLOOKUP(X563&amp;Z563,PLANNING_FC!$AK$4:$AY$23,MATCH(W563,PLANNING_FC!$AJ$4:$AJ$23,0),FALSE)*1000,""),"")</f>
        <v/>
      </c>
      <c r="BC563" s="883" t="str">
        <f>IF(V563="BRAND.com",IFERROR(HLOOKUP(X563&amp;Z563,PLANNING_FC!$AK$27:$AY$46,MATCH(W563,PLANNING_FC!$AJ$27:$AJ$46,0),FALSE)*1000,""),"")</f>
        <v/>
      </c>
    </row>
    <row r="564" spans="1:55" x14ac:dyDescent="0.25">
      <c r="A564" s="509"/>
      <c r="B564" s="509"/>
      <c r="C564" s="509"/>
      <c r="D564" s="509"/>
      <c r="E564" s="509"/>
      <c r="F564" s="509"/>
      <c r="G564" s="509"/>
      <c r="H564" s="509"/>
      <c r="I564" s="512"/>
      <c r="J564" s="513"/>
      <c r="K564" s="514"/>
      <c r="L564" s="515"/>
      <c r="M564" s="516"/>
      <c r="N564" s="56">
        <f t="shared" si="218"/>
        <v>0</v>
      </c>
      <c r="O564" s="57">
        <f t="shared" si="219"/>
        <v>0</v>
      </c>
      <c r="P564" s="57">
        <f ca="1">IFERROR(IF(ISBLANK(H564),SUMIFS($AC:$AC,$V:$V,V564,$W:$W,W564,$X:$X,X564,$Y:$Y,Y564)*J564/(1-J564)*VLOOKUP(_xlfn.CONCAT(C564,D564,E564,TIME!$M$12,Z564),HIS_SALES!$B$2:$W$4859,20,FALSE),AC564*J564/(1-J564)),0)</f>
        <v>0</v>
      </c>
      <c r="Q564" s="541" t="str">
        <f t="shared" si="220"/>
        <v/>
      </c>
      <c r="R564" s="346" t="str">
        <f t="shared" si="189"/>
        <v>00000</v>
      </c>
      <c r="S564" s="344">
        <f t="shared" si="221"/>
        <v>0</v>
      </c>
      <c r="T564" s="345" t="str">
        <f t="shared" si="203"/>
        <v>000</v>
      </c>
      <c r="U564" s="345">
        <f t="shared" si="222"/>
        <v>0</v>
      </c>
      <c r="V564" s="345">
        <f t="shared" si="223"/>
        <v>0</v>
      </c>
      <c r="W564" s="345">
        <f t="shared" si="224"/>
        <v>0</v>
      </c>
      <c r="X564" s="345">
        <f t="shared" si="225"/>
        <v>0</v>
      </c>
      <c r="Y564" s="345">
        <f t="shared" si="226"/>
        <v>0</v>
      </c>
      <c r="Z564" s="345">
        <f>IF(Q564&lt;&gt;"",VLOOKUP(Y564,TIME!$R$21:$V$24,MATCH(FC_DATA!Q564,TIME!$R$20:$V$20,0),FALSE),H564)</f>
        <v>0</v>
      </c>
      <c r="AA564" s="345" t="str">
        <f>IFERROR(VLOOKUP(X564&amp;Z564,TIME!$A$12:$D$71,4,FALSE),"")</f>
        <v/>
      </c>
      <c r="AB564" s="592">
        <f t="shared" ca="1" si="196"/>
        <v>0</v>
      </c>
      <c r="AC564" s="593" t="e">
        <f ca="1">IF(ISBLANK(H564)=FALSE,IF(D564="BRAND.com",I564,IF(ISNA(VLOOKUP(_xlfn.CONCAT(X564,Z564),TIME!$M$40:$M$42,1,FALSE)),I564,VLOOKUP(_xlfn.CONCAT(D564,G564,H564),M_BUSAREA_FC!$AF$5:$AJ$10,5,FALSE)*HLOOKUP(_xlfn.CONCAT(F564,H564),ST_OVERVIEW!$G$99:$I$130,MATCH(_xlfn.CONCAT(D564,E564),ST_OVERVIEW!$F$99:$F$130,0),FALSE))),IF(D564="BRAND.com",VLOOKUP(_xlfn.CONCAT(C564,D564,E564,TIME!$F$1,Z564),HIS_SALES!$B$2:$V$4859,19,FALSE)*I564,VLOOKUP(_xlfn.CONCAT(D564,F564,G564),Q_BUSAREA_FC!$AE$5:$AI$12,5,FALSE)*HLOOKUP(_xlfn.CONCAT(FC_DATA!F564,FC_DATA!G564),LT_OVERVIEW!$I$99:$M$130,MATCH(_xlfn.CONCAT(D564,FC_DATA!E564),LT_OVERVIEW!$H$99:$H$130,0),FALSE)*IFERROR(VLOOKUP(_xlfn.CONCAT(C564,D564,E564,TIME!$F$1,Z564),HIS_SALES!$B$2:$V$4859,19,FALSE),0)))</f>
        <v>#N/A</v>
      </c>
      <c r="AD564" s="341">
        <f t="shared" ca="1" si="227"/>
        <v>0</v>
      </c>
      <c r="AE564" s="363" t="str">
        <f t="shared" si="228"/>
        <v/>
      </c>
      <c r="AF564" s="342" t="str">
        <f t="shared" si="229"/>
        <v/>
      </c>
      <c r="AG564" s="411" t="e">
        <f ca="1">VLOOKUP(_xlfn.CONCAT(U564,V564,W564,VLOOKUP(X564&amp;Y564,TIME!$L$27:$O$34,4,FALSE),Y564),HIS_SALES!$A$2:$R$5093,18,FALSE)</f>
        <v>#N/A</v>
      </c>
      <c r="AH564" s="412" t="e">
        <f ca="1">IFERROR(IF(AND(V564=V563,W564=W563),0.5*(AB564+AB563)*AG564,(VLOOKUP(_xlfn.CONCAT(U564,V564,W564,X564,VLOOKUP(Z564,TIME!$S$28:$T$39,2,FALSE)),FC_DATA!$R$2:$AB$5000,MATCH("GS_I_M",FC_DATA!$R$1:$AB$1,0),FALSE)+FC_DATA!AB564)*0.5*FC_DATA!AG564),NA())</f>
        <v>#N/A</v>
      </c>
      <c r="AI564" s="491" t="e">
        <f ca="1">IF(V564="PARTNER.com",AH564,IF(AND(V564=V563,W564=W563),(1-AVERAGE(AD563,AD564))*AH564,(1-AVERAGE(AD564,VLOOKUP(_xlfn.CONCAT(U564,V564,W564,X564,M_BRAND_FC!$F$6),FC_DATA!$R$2:$AD$5000,MATCH("DISCOUNT_%_M",FC_DATA!$R$1:$AD$1,0),FALSE)))*AH564))</f>
        <v>#N/A</v>
      </c>
      <c r="AJ564" s="412" t="str">
        <f t="shared" ca="1" si="200"/>
        <v/>
      </c>
      <c r="AK564" s="413" t="str">
        <f>IFERROR(AE564/(Q_BRAND_FC!$T$24+1),"")</f>
        <v/>
      </c>
      <c r="AL564" s="88" t="str">
        <f t="shared" ca="1" si="201"/>
        <v/>
      </c>
      <c r="AM564" s="414" t="str">
        <f t="shared" ca="1" si="202"/>
        <v/>
      </c>
      <c r="AN564" s="58">
        <f>IFERROR(IF($V564="BRAND.com",HLOOKUP($X564&amp;$Z564,NWC_FC_NOOS!$C$4:$Q$23,MATCH(W564,NWC_FC_NOOS!$B$4:$B$23,0),FALSE),0),0)</f>
        <v>0</v>
      </c>
      <c r="AO564" s="57">
        <f>IFERROR(IF($V564="BRAND.com",HLOOKUP($X564&amp;$Z564,NWC_FC_NOOS!$T$4:$AH$23,MATCH(W564,NWC_FC_NOOS!$S$4:$S$23,0),FALSE),0),0)</f>
        <v>0</v>
      </c>
      <c r="AP564" s="57">
        <f>IFERROR(IF($V564="BRAND.com",HLOOKUP($X564&amp;$Z564,NWC_FC_NOOS!$C$50:$U$69,MATCH(W564,NWC_FC_NOOS!$B$50:$B$69,0),FALSE),0),0)</f>
        <v>0</v>
      </c>
      <c r="AQ564" s="58">
        <f>IFERROR(IF($V564="BRAND.com",HLOOKUP($X564&amp;$Z564,'NWC_FC_NON-NOOS'!$C$4:$Q$23,MATCH(W564,'NWC_FC_NON-NOOS'!$B$4:$B$23,0),FALSE),0),0)</f>
        <v>0</v>
      </c>
      <c r="AR564" s="57">
        <f>IFERROR(IF($V564="BRAND.com",HLOOKUP($X564&amp;$Z564,'NWC_FC_NON-NOOS'!$T$4:$AH$23,MATCH(W564,'NWC_FC_NON-NOOS'!$S$4:$S$23,0),FALSE),0),0)</f>
        <v>0</v>
      </c>
      <c r="AS564" s="57">
        <f>IFERROR(IF($V564="BRAND.com",HLOOKUP($X564&amp;$Z564,'NWC_FC_NON-NOOS'!$C$50:$U$69,MATCH(W564,'NWC_FC_NON-NOOS'!$B$50:$B$69,0),FALSE),0),0)</f>
        <v>0</v>
      </c>
      <c r="AT564" s="57">
        <f t="shared" si="204"/>
        <v>0</v>
      </c>
      <c r="AU564" s="57">
        <f t="shared" si="205"/>
        <v>0</v>
      </c>
      <c r="AV564" s="58">
        <f>IFERROR(IF($V564="BRAND.com",HLOOKUP($X564&amp;$Z564,PLANNING_FC!$BB$27:$BP$46,MATCH($W564,PLANNING_FC!$BA$27:$BA$46,0),FALSE),0),0)</f>
        <v>0</v>
      </c>
      <c r="AW564" s="58">
        <f>IFERROR(IF($V564="BRAND.com",HLOOKUP($X564&amp;$Z564,PLANNING_FC!$BB$4:$BP$23,MATCH($W564,PLANNING_FC!$BA$4:$BA$23,0),FALSE),0),0)</f>
        <v>0</v>
      </c>
      <c r="AX564" s="58">
        <f>IFERROR(IF($V564="BRAND.com",HLOOKUP($X564&amp;$Z564,PLANNING_FC!$T$27:$AH$46,MATCH($W564,PLANNING_FC!$B$27:$B$46,0),FALSE),0),0)</f>
        <v>0</v>
      </c>
      <c r="AY564" s="58">
        <f>IFERROR(IF($V564="BRAND.com",HLOOKUP($X564&amp;$Z564,PLANNING_FC!$T$4:$AH$23,MATCH($W564,PLANNING_FC!$B$4:$B$23,0),FALSE),0),0)</f>
        <v>0</v>
      </c>
      <c r="AZ564" s="58">
        <f>IFERROR(IF($V564="BRAND.com",HLOOKUP($X564&amp;$Z564,PLANNING_FC!$DA$27:$DO$46,MATCH($W564,PLANNING_FC!$CZ$27:$CZ$46,0),FALSE),0),0)</f>
        <v>0</v>
      </c>
      <c r="BA564" s="58">
        <f>IFERROR(IF($V564="BRAND.com",HLOOKUP($X564&amp;$Z564,PLANNING_FC!$DA$4:$DO$23,MATCH($W564,PLANNING_FC!$CZ$4:$CZ$23,0),FALSE),0),0)</f>
        <v>0</v>
      </c>
      <c r="BB564" s="883" t="str">
        <f>IF(V564="BRAND.com",IFERROR(HLOOKUP(X564&amp;Z564,PLANNING_FC!$AK$4:$AY$23,MATCH(W564,PLANNING_FC!$AJ$4:$AJ$23,0),FALSE)*1000,""),"")</f>
        <v/>
      </c>
      <c r="BC564" s="883" t="str">
        <f>IF(V564="BRAND.com",IFERROR(HLOOKUP(X564&amp;Z564,PLANNING_FC!$AK$27:$AY$46,MATCH(W564,PLANNING_FC!$AJ$27:$AJ$46,0),FALSE)*1000,""),"")</f>
        <v/>
      </c>
    </row>
    <row r="565" spans="1:55" x14ac:dyDescent="0.25">
      <c r="A565" s="509"/>
      <c r="B565" s="509"/>
      <c r="C565" s="509"/>
      <c r="D565" s="509"/>
      <c r="E565" s="509"/>
      <c r="F565" s="509"/>
      <c r="G565" s="509"/>
      <c r="H565" s="509"/>
      <c r="I565" s="512"/>
      <c r="J565" s="513"/>
      <c r="K565" s="514"/>
      <c r="L565" s="515"/>
      <c r="M565" s="516"/>
      <c r="N565" s="56">
        <f t="shared" si="218"/>
        <v>0</v>
      </c>
      <c r="O565" s="57">
        <f t="shared" si="219"/>
        <v>0</v>
      </c>
      <c r="P565" s="57">
        <f ca="1">IFERROR(IF(ISBLANK(H565),SUMIFS($AC:$AC,$V:$V,V565,$W:$W,W565,$X:$X,X565,$Y:$Y,Y565)*J565/(1-J565)*VLOOKUP(_xlfn.CONCAT(C565,D565,E565,TIME!$M$12,Z565),HIS_SALES!$B$2:$W$4859,20,FALSE),AC565*J565/(1-J565)),0)</f>
        <v>0</v>
      </c>
      <c r="Q565" s="541" t="str">
        <f t="shared" si="220"/>
        <v/>
      </c>
      <c r="R565" s="346" t="str">
        <f t="shared" si="189"/>
        <v>00000</v>
      </c>
      <c r="S565" s="344">
        <f t="shared" si="221"/>
        <v>0</v>
      </c>
      <c r="T565" s="345" t="str">
        <f t="shared" si="203"/>
        <v>000</v>
      </c>
      <c r="U565" s="345">
        <f t="shared" si="222"/>
        <v>0</v>
      </c>
      <c r="V565" s="345">
        <f t="shared" si="223"/>
        <v>0</v>
      </c>
      <c r="W565" s="345">
        <f t="shared" si="224"/>
        <v>0</v>
      </c>
      <c r="X565" s="345">
        <f t="shared" si="225"/>
        <v>0</v>
      </c>
      <c r="Y565" s="345">
        <f t="shared" si="226"/>
        <v>0</v>
      </c>
      <c r="Z565" s="345">
        <f>IF(Q565&lt;&gt;"",VLOOKUP(Y565,TIME!$R$21:$V$24,MATCH(FC_DATA!Q565,TIME!$R$20:$V$20,0),FALSE),H565)</f>
        <v>0</v>
      </c>
      <c r="AA565" s="345" t="str">
        <f>IFERROR(VLOOKUP(X565&amp;Z565,TIME!$A$12:$D$71,4,FALSE),"")</f>
        <v/>
      </c>
      <c r="AB565" s="592">
        <f t="shared" ca="1" si="196"/>
        <v>0</v>
      </c>
      <c r="AC565" s="593" t="e">
        <f ca="1">IF(ISBLANK(H565)=FALSE,IF(D565="BRAND.com",I565,IF(ISNA(VLOOKUP(_xlfn.CONCAT(X565,Z565),TIME!$M$40:$M$42,1,FALSE)),I565,VLOOKUP(_xlfn.CONCAT(D565,G565,H565),M_BUSAREA_FC!$AF$5:$AJ$10,5,FALSE)*HLOOKUP(_xlfn.CONCAT(F565,H565),ST_OVERVIEW!$G$99:$I$130,MATCH(_xlfn.CONCAT(D565,E565),ST_OVERVIEW!$F$99:$F$130,0),FALSE))),IF(D565="BRAND.com",VLOOKUP(_xlfn.CONCAT(C565,D565,E565,TIME!$F$1,Z565),HIS_SALES!$B$2:$V$4859,19,FALSE)*I565,VLOOKUP(_xlfn.CONCAT(D565,F565,G565),Q_BUSAREA_FC!$AE$5:$AI$12,5,FALSE)*HLOOKUP(_xlfn.CONCAT(FC_DATA!F565,FC_DATA!G565),LT_OVERVIEW!$I$99:$M$130,MATCH(_xlfn.CONCAT(D565,FC_DATA!E565),LT_OVERVIEW!$H$99:$H$130,0),FALSE)*IFERROR(VLOOKUP(_xlfn.CONCAT(C565,D565,E565,TIME!$F$1,Z565),HIS_SALES!$B$2:$V$4859,19,FALSE),0)))</f>
        <v>#N/A</v>
      </c>
      <c r="AD565" s="341">
        <f t="shared" ca="1" si="227"/>
        <v>0</v>
      </c>
      <c r="AE565" s="363" t="str">
        <f t="shared" si="228"/>
        <v/>
      </c>
      <c r="AF565" s="342" t="str">
        <f t="shared" si="229"/>
        <v/>
      </c>
      <c r="AG565" s="411" t="e">
        <f ca="1">VLOOKUP(_xlfn.CONCAT(U565,V565,W565,VLOOKUP(X565&amp;Y565,TIME!$L$27:$O$34,4,FALSE),Y565),HIS_SALES!$A$2:$R$5093,18,FALSE)</f>
        <v>#N/A</v>
      </c>
      <c r="AH565" s="412" t="e">
        <f ca="1">IFERROR(IF(AND(V565=V564,W565=W564),0.5*(AB565+AB564)*AG565,(VLOOKUP(_xlfn.CONCAT(U565,V565,W565,X565,VLOOKUP(Z565,TIME!$S$28:$T$39,2,FALSE)),FC_DATA!$R$2:$AB$5000,MATCH("GS_I_M",FC_DATA!$R$1:$AB$1,0),FALSE)+FC_DATA!AB565)*0.5*FC_DATA!AG565),NA())</f>
        <v>#N/A</v>
      </c>
      <c r="AI565" s="491" t="e">
        <f ca="1">IF(V565="PARTNER.com",AH565,IF(AND(V565=V564,W565=W564),(1-AVERAGE(AD564,AD565))*AH565,(1-AVERAGE(AD565,VLOOKUP(_xlfn.CONCAT(U565,V565,W565,X565,M_BRAND_FC!$F$6),FC_DATA!$R$2:$AD$5000,MATCH("DISCOUNT_%_M",FC_DATA!$R$1:$AD$1,0),FALSE)))*AH565))</f>
        <v>#N/A</v>
      </c>
      <c r="AJ565" s="412" t="str">
        <f t="shared" ca="1" si="200"/>
        <v/>
      </c>
      <c r="AK565" s="413" t="str">
        <f>IFERROR(AE565/(Q_BRAND_FC!$T$24+1),"")</f>
        <v/>
      </c>
      <c r="AL565" s="88" t="str">
        <f t="shared" ca="1" si="201"/>
        <v/>
      </c>
      <c r="AM565" s="414" t="str">
        <f t="shared" ca="1" si="202"/>
        <v/>
      </c>
      <c r="AN565" s="58">
        <f>IFERROR(IF($V565="BRAND.com",HLOOKUP($X565&amp;$Z565,NWC_FC_NOOS!$C$4:$Q$23,MATCH(W565,NWC_FC_NOOS!$B$4:$B$23,0),FALSE),0),0)</f>
        <v>0</v>
      </c>
      <c r="AO565" s="57">
        <f>IFERROR(IF($V565="BRAND.com",HLOOKUP($X565&amp;$Z565,NWC_FC_NOOS!$T$4:$AH$23,MATCH(W565,NWC_FC_NOOS!$S$4:$S$23,0),FALSE),0),0)</f>
        <v>0</v>
      </c>
      <c r="AP565" s="57">
        <f>IFERROR(IF($V565="BRAND.com",HLOOKUP($X565&amp;$Z565,NWC_FC_NOOS!$C$50:$U$69,MATCH(W565,NWC_FC_NOOS!$B$50:$B$69,0),FALSE),0),0)</f>
        <v>0</v>
      </c>
      <c r="AQ565" s="58">
        <f>IFERROR(IF($V565="BRAND.com",HLOOKUP($X565&amp;$Z565,'NWC_FC_NON-NOOS'!$C$4:$Q$23,MATCH(W565,'NWC_FC_NON-NOOS'!$B$4:$B$23,0),FALSE),0),0)</f>
        <v>0</v>
      </c>
      <c r="AR565" s="57">
        <f>IFERROR(IF($V565="BRAND.com",HLOOKUP($X565&amp;$Z565,'NWC_FC_NON-NOOS'!$T$4:$AH$23,MATCH(W565,'NWC_FC_NON-NOOS'!$S$4:$S$23,0),FALSE),0),0)</f>
        <v>0</v>
      </c>
      <c r="AS565" s="57">
        <f>IFERROR(IF($V565="BRAND.com",HLOOKUP($X565&amp;$Z565,'NWC_FC_NON-NOOS'!$C$50:$U$69,MATCH(W565,'NWC_FC_NON-NOOS'!$B$50:$B$69,0),FALSE),0),0)</f>
        <v>0</v>
      </c>
      <c r="AT565" s="57">
        <f t="shared" si="204"/>
        <v>0</v>
      </c>
      <c r="AU565" s="57">
        <f t="shared" si="205"/>
        <v>0</v>
      </c>
      <c r="AV565" s="58">
        <f>IFERROR(IF($V565="BRAND.com",HLOOKUP($X565&amp;$Z565,PLANNING_FC!$BB$27:$BP$46,MATCH($W565,PLANNING_FC!$BA$27:$BA$46,0),FALSE),0),0)</f>
        <v>0</v>
      </c>
      <c r="AW565" s="58">
        <f>IFERROR(IF($V565="BRAND.com",HLOOKUP($X565&amp;$Z565,PLANNING_FC!$BB$4:$BP$23,MATCH($W565,PLANNING_FC!$BA$4:$BA$23,0),FALSE),0),0)</f>
        <v>0</v>
      </c>
      <c r="AX565" s="58">
        <f>IFERROR(IF($V565="BRAND.com",HLOOKUP($X565&amp;$Z565,PLANNING_FC!$T$27:$AH$46,MATCH($W565,PLANNING_FC!$B$27:$B$46,0),FALSE),0),0)</f>
        <v>0</v>
      </c>
      <c r="AY565" s="58">
        <f>IFERROR(IF($V565="BRAND.com",HLOOKUP($X565&amp;$Z565,PLANNING_FC!$T$4:$AH$23,MATCH($W565,PLANNING_FC!$B$4:$B$23,0),FALSE),0),0)</f>
        <v>0</v>
      </c>
      <c r="AZ565" s="58">
        <f>IFERROR(IF($V565="BRAND.com",HLOOKUP($X565&amp;$Z565,PLANNING_FC!$DA$27:$DO$46,MATCH($W565,PLANNING_FC!$CZ$27:$CZ$46,0),FALSE),0),0)</f>
        <v>0</v>
      </c>
      <c r="BA565" s="58">
        <f>IFERROR(IF($V565="BRAND.com",HLOOKUP($X565&amp;$Z565,PLANNING_FC!$DA$4:$DO$23,MATCH($W565,PLANNING_FC!$CZ$4:$CZ$23,0),FALSE),0),0)</f>
        <v>0</v>
      </c>
      <c r="BB565" s="883" t="str">
        <f>IF(V565="BRAND.com",IFERROR(HLOOKUP(X565&amp;Z565,PLANNING_FC!$AK$4:$AY$23,MATCH(W565,PLANNING_FC!$AJ$4:$AJ$23,0),FALSE)*1000,""),"")</f>
        <v/>
      </c>
      <c r="BC565" s="883" t="str">
        <f>IF(V565="BRAND.com",IFERROR(HLOOKUP(X565&amp;Z565,PLANNING_FC!$AK$27:$AY$46,MATCH(W565,PLANNING_FC!$AJ$27:$AJ$46,0),FALSE)*1000,""),"")</f>
        <v/>
      </c>
    </row>
    <row r="566" spans="1:55" x14ac:dyDescent="0.25">
      <c r="A566" s="509"/>
      <c r="B566" s="509"/>
      <c r="C566" s="509"/>
      <c r="D566" s="509"/>
      <c r="E566" s="509"/>
      <c r="F566" s="509"/>
      <c r="G566" s="511"/>
      <c r="H566" s="509"/>
      <c r="I566" s="512"/>
      <c r="J566" s="513"/>
      <c r="K566" s="514"/>
      <c r="L566" s="515"/>
      <c r="M566" s="516"/>
      <c r="N566" s="56">
        <f t="shared" si="218"/>
        <v>0</v>
      </c>
      <c r="O566" s="57">
        <f t="shared" si="219"/>
        <v>0</v>
      </c>
      <c r="P566" s="57">
        <f ca="1">IFERROR(IF(ISBLANK(H566),SUMIFS($AC:$AC,$V:$V,V566,$W:$W,W566,$X:$X,X566,$Y:$Y,Y566)*J566/(1-J566)*VLOOKUP(_xlfn.CONCAT(C566,D566,E566,TIME!$M$12,Z566),HIS_SALES!$B$2:$W$4859,20,FALSE),AC566*J566/(1-J566)),0)</f>
        <v>0</v>
      </c>
      <c r="Q566" s="541" t="str">
        <f t="shared" si="220"/>
        <v/>
      </c>
      <c r="R566" s="346" t="str">
        <f t="shared" si="189"/>
        <v>00000</v>
      </c>
      <c r="S566" s="344">
        <f t="shared" si="221"/>
        <v>0</v>
      </c>
      <c r="T566" s="345" t="str">
        <f t="shared" si="203"/>
        <v>000</v>
      </c>
      <c r="U566" s="345">
        <f t="shared" si="222"/>
        <v>0</v>
      </c>
      <c r="V566" s="345">
        <f t="shared" si="223"/>
        <v>0</v>
      </c>
      <c r="W566" s="345">
        <f t="shared" si="224"/>
        <v>0</v>
      </c>
      <c r="X566" s="345">
        <f t="shared" si="225"/>
        <v>0</v>
      </c>
      <c r="Y566" s="345">
        <f t="shared" si="226"/>
        <v>0</v>
      </c>
      <c r="Z566" s="345">
        <f>IF(Q566&lt;&gt;"",VLOOKUP(Y566,TIME!$R$21:$V$24,MATCH(FC_DATA!Q566,TIME!$R$20:$V$20,0),FALSE),H566)</f>
        <v>0</v>
      </c>
      <c r="AA566" s="345" t="str">
        <f>IFERROR(VLOOKUP(X566&amp;Z566,TIME!$A$12:$D$71,4,FALSE),"")</f>
        <v/>
      </c>
      <c r="AB566" s="592">
        <f t="shared" ca="1" si="196"/>
        <v>0</v>
      </c>
      <c r="AC566" s="593" t="e">
        <f ca="1">IF(ISBLANK(H566)=FALSE,IF(D566="BRAND.com",I566,IF(ISNA(VLOOKUP(_xlfn.CONCAT(X566,Z566),TIME!$M$40:$M$42,1,FALSE)),I566,VLOOKUP(_xlfn.CONCAT(D566,G566,H566),M_BUSAREA_FC!$AF$5:$AJ$10,5,FALSE)*HLOOKUP(_xlfn.CONCAT(F566,H566),ST_OVERVIEW!$G$99:$I$130,MATCH(_xlfn.CONCAT(D566,E566),ST_OVERVIEW!$F$99:$F$130,0),FALSE))),IF(D566="BRAND.com",VLOOKUP(_xlfn.CONCAT(C566,D566,E566,TIME!$F$1,Z566),HIS_SALES!$B$2:$V$4859,19,FALSE)*I566,VLOOKUP(_xlfn.CONCAT(D566,F566,G566),Q_BUSAREA_FC!$AE$5:$AI$12,5,FALSE)*HLOOKUP(_xlfn.CONCAT(FC_DATA!F566,FC_DATA!G566),LT_OVERVIEW!$I$99:$M$130,MATCH(_xlfn.CONCAT(D566,FC_DATA!E566),LT_OVERVIEW!$H$99:$H$130,0),FALSE)*IFERROR(VLOOKUP(_xlfn.CONCAT(C566,D566,E566,TIME!$F$1,Z566),HIS_SALES!$B$2:$V$4859,19,FALSE),0)))</f>
        <v>#N/A</v>
      </c>
      <c r="AD566" s="341">
        <f t="shared" ca="1" si="227"/>
        <v>0</v>
      </c>
      <c r="AE566" s="363" t="str">
        <f t="shared" si="228"/>
        <v/>
      </c>
      <c r="AF566" s="342" t="str">
        <f t="shared" si="229"/>
        <v/>
      </c>
      <c r="AG566" s="411" t="e">
        <f ca="1">VLOOKUP(_xlfn.CONCAT(U566,V566,W566,VLOOKUP(X566&amp;Y566,TIME!$L$27:$O$34,4,FALSE),Y566),HIS_SALES!$A$2:$R$5093,18,FALSE)</f>
        <v>#N/A</v>
      </c>
      <c r="AH566" s="412" t="e">
        <f ca="1">IFERROR(IF(AND(V566=V565,W566=W565),0.5*(AB566+AB565)*AG566,(VLOOKUP(_xlfn.CONCAT(U566,V566,W566,X566,VLOOKUP(Z566,TIME!$S$28:$T$39,2,FALSE)),FC_DATA!$R$2:$AB$5000,MATCH("GS_I_M",FC_DATA!$R$1:$AB$1,0),FALSE)+FC_DATA!AB566)*0.5*FC_DATA!AG566),NA())</f>
        <v>#N/A</v>
      </c>
      <c r="AI566" s="491" t="e">
        <f ca="1">IF(V566="PARTNER.com",AH566,IF(AND(V566=V565,W566=W565),(1-AVERAGE(AD565,AD566))*AH566,(1-AVERAGE(AD566,VLOOKUP(_xlfn.CONCAT(U566,V566,W566,X566,M_BRAND_FC!$F$6),FC_DATA!$R$2:$AD$5000,MATCH("DISCOUNT_%_M",FC_DATA!$R$1:$AD$1,0),FALSE)))*AH566))</f>
        <v>#N/A</v>
      </c>
      <c r="AJ566" s="412" t="str">
        <f t="shared" ca="1" si="200"/>
        <v/>
      </c>
      <c r="AK566" s="413" t="str">
        <f>IFERROR(AE566/(Q_BRAND_FC!$T$24+1),"")</f>
        <v/>
      </c>
      <c r="AL566" s="88" t="str">
        <f t="shared" ca="1" si="201"/>
        <v/>
      </c>
      <c r="AM566" s="414" t="str">
        <f t="shared" ca="1" si="202"/>
        <v/>
      </c>
      <c r="AN566" s="58">
        <f>IFERROR(IF($V566="BRAND.com",HLOOKUP($X566&amp;$Z566,NWC_FC_NOOS!$C$4:$Q$23,MATCH(W566,NWC_FC_NOOS!$B$4:$B$23,0),FALSE),0),0)</f>
        <v>0</v>
      </c>
      <c r="AO566" s="57">
        <f>IFERROR(IF($V566="BRAND.com",HLOOKUP($X566&amp;$Z566,NWC_FC_NOOS!$T$4:$AH$23,MATCH(W566,NWC_FC_NOOS!$S$4:$S$23,0),FALSE),0),0)</f>
        <v>0</v>
      </c>
      <c r="AP566" s="57">
        <f>IFERROR(IF($V566="BRAND.com",HLOOKUP($X566&amp;$Z566,NWC_FC_NOOS!$C$50:$U$69,MATCH(W566,NWC_FC_NOOS!$B$50:$B$69,0),FALSE),0),0)</f>
        <v>0</v>
      </c>
      <c r="AQ566" s="58">
        <f>IFERROR(IF($V566="BRAND.com",HLOOKUP($X566&amp;$Z566,'NWC_FC_NON-NOOS'!$C$4:$Q$23,MATCH(W566,'NWC_FC_NON-NOOS'!$B$4:$B$23,0),FALSE),0),0)</f>
        <v>0</v>
      </c>
      <c r="AR566" s="57">
        <f>IFERROR(IF($V566="BRAND.com",HLOOKUP($X566&amp;$Z566,'NWC_FC_NON-NOOS'!$T$4:$AH$23,MATCH(W566,'NWC_FC_NON-NOOS'!$S$4:$S$23,0),FALSE),0),0)</f>
        <v>0</v>
      </c>
      <c r="AS566" s="57">
        <f>IFERROR(IF($V566="BRAND.com",HLOOKUP($X566&amp;$Z566,'NWC_FC_NON-NOOS'!$C$50:$U$69,MATCH(W566,'NWC_FC_NON-NOOS'!$B$50:$B$69,0),FALSE),0),0)</f>
        <v>0</v>
      </c>
      <c r="AT566" s="57">
        <f t="shared" si="204"/>
        <v>0</v>
      </c>
      <c r="AU566" s="57">
        <f t="shared" si="205"/>
        <v>0</v>
      </c>
      <c r="AV566" s="58">
        <f>IFERROR(IF($V566="BRAND.com",HLOOKUP($X566&amp;$Z566,PLANNING_FC!$BB$27:$BP$46,MATCH($W566,PLANNING_FC!$BA$27:$BA$46,0),FALSE),0),0)</f>
        <v>0</v>
      </c>
      <c r="AW566" s="58">
        <f>IFERROR(IF($V566="BRAND.com",HLOOKUP($X566&amp;$Z566,PLANNING_FC!$BB$4:$BP$23,MATCH($W566,PLANNING_FC!$BA$4:$BA$23,0),FALSE),0),0)</f>
        <v>0</v>
      </c>
      <c r="AX566" s="58">
        <f>IFERROR(IF($V566="BRAND.com",HLOOKUP($X566&amp;$Z566,PLANNING_FC!$T$27:$AH$46,MATCH($W566,PLANNING_FC!$B$27:$B$46,0),FALSE),0),0)</f>
        <v>0</v>
      </c>
      <c r="AY566" s="58">
        <f>IFERROR(IF($V566="BRAND.com",HLOOKUP($X566&amp;$Z566,PLANNING_FC!$T$4:$AH$23,MATCH($W566,PLANNING_FC!$B$4:$B$23,0),FALSE),0),0)</f>
        <v>0</v>
      </c>
      <c r="AZ566" s="58">
        <f>IFERROR(IF($V566="BRAND.com",HLOOKUP($X566&amp;$Z566,PLANNING_FC!$DA$27:$DO$46,MATCH($W566,PLANNING_FC!$CZ$27:$CZ$46,0),FALSE),0),0)</f>
        <v>0</v>
      </c>
      <c r="BA566" s="58">
        <f>IFERROR(IF($V566="BRAND.com",HLOOKUP($X566&amp;$Z566,PLANNING_FC!$DA$4:$DO$23,MATCH($W566,PLANNING_FC!$CZ$4:$CZ$23,0),FALSE),0),0)</f>
        <v>0</v>
      </c>
      <c r="BB566" s="883" t="str">
        <f>IF(V566="BRAND.com",IFERROR(HLOOKUP(X566&amp;Z566,PLANNING_FC!$AK$4:$AY$23,MATCH(W566,PLANNING_FC!$AJ$4:$AJ$23,0),FALSE)*1000,""),"")</f>
        <v/>
      </c>
      <c r="BC566" s="883" t="str">
        <f>IF(V566="BRAND.com",IFERROR(HLOOKUP(X566&amp;Z566,PLANNING_FC!$AK$27:$AY$46,MATCH(W566,PLANNING_FC!$AJ$27:$AJ$46,0),FALSE)*1000,""),"")</f>
        <v/>
      </c>
    </row>
    <row r="567" spans="1:55" x14ac:dyDescent="0.25">
      <c r="A567" s="509"/>
      <c r="B567" s="509"/>
      <c r="C567" s="509"/>
      <c r="D567" s="509"/>
      <c r="E567" s="509"/>
      <c r="F567" s="509"/>
      <c r="G567" s="509"/>
      <c r="H567" s="509"/>
      <c r="I567" s="512"/>
      <c r="J567" s="513"/>
      <c r="K567" s="514"/>
      <c r="L567" s="515"/>
      <c r="M567" s="516"/>
      <c r="N567" s="56">
        <f t="shared" si="218"/>
        <v>0</v>
      </c>
      <c r="O567" s="57">
        <f t="shared" si="219"/>
        <v>0</v>
      </c>
      <c r="P567" s="57">
        <f ca="1">IFERROR(IF(ISBLANK(H567),SUMIFS($AC:$AC,$V:$V,V567,$W:$W,W567,$X:$X,X567,$Y:$Y,Y567)*J567/(1-J567)*VLOOKUP(_xlfn.CONCAT(C567,D567,E567,TIME!$M$12,Z567),HIS_SALES!$B$2:$W$4859,20,FALSE),AC567*J567/(1-J567)),0)</f>
        <v>0</v>
      </c>
      <c r="Q567" s="541" t="str">
        <f t="shared" si="220"/>
        <v/>
      </c>
      <c r="R567" s="346" t="str">
        <f t="shared" si="189"/>
        <v>00000</v>
      </c>
      <c r="S567" s="344">
        <f t="shared" si="221"/>
        <v>0</v>
      </c>
      <c r="T567" s="345" t="str">
        <f t="shared" si="203"/>
        <v>000</v>
      </c>
      <c r="U567" s="345">
        <f t="shared" si="222"/>
        <v>0</v>
      </c>
      <c r="V567" s="345">
        <f t="shared" si="223"/>
        <v>0</v>
      </c>
      <c r="W567" s="345">
        <f t="shared" si="224"/>
        <v>0</v>
      </c>
      <c r="X567" s="345">
        <f t="shared" si="225"/>
        <v>0</v>
      </c>
      <c r="Y567" s="345">
        <f t="shared" si="226"/>
        <v>0</v>
      </c>
      <c r="Z567" s="345">
        <f>IF(Q567&lt;&gt;"",VLOOKUP(Y567,TIME!$R$21:$V$24,MATCH(FC_DATA!Q567,TIME!$R$20:$V$20,0),FALSE),H567)</f>
        <v>0</v>
      </c>
      <c r="AA567" s="345" t="str">
        <f>IFERROR(VLOOKUP(X567&amp;Z567,TIME!$A$12:$D$71,4,FALSE),"")</f>
        <v/>
      </c>
      <c r="AB567" s="592">
        <f t="shared" ca="1" si="196"/>
        <v>0</v>
      </c>
      <c r="AC567" s="593" t="e">
        <f ca="1">IF(ISBLANK(H567)=FALSE,IF(D567="BRAND.com",I567,IF(ISNA(VLOOKUP(_xlfn.CONCAT(X567,Z567),TIME!$M$40:$M$42,1,FALSE)),I567,VLOOKUP(_xlfn.CONCAT(D567,G567,H567),M_BUSAREA_FC!$AF$5:$AJ$10,5,FALSE)*HLOOKUP(_xlfn.CONCAT(F567,H567),ST_OVERVIEW!$G$99:$I$130,MATCH(_xlfn.CONCAT(D567,E567),ST_OVERVIEW!$F$99:$F$130,0),FALSE))),IF(D567="BRAND.com",VLOOKUP(_xlfn.CONCAT(C567,D567,E567,TIME!$F$1,Z567),HIS_SALES!$B$2:$V$4859,19,FALSE)*I567,VLOOKUP(_xlfn.CONCAT(D567,F567,G567),Q_BUSAREA_FC!$AE$5:$AI$12,5,FALSE)*HLOOKUP(_xlfn.CONCAT(FC_DATA!F567,FC_DATA!G567),LT_OVERVIEW!$I$99:$M$130,MATCH(_xlfn.CONCAT(D567,FC_DATA!E567),LT_OVERVIEW!$H$99:$H$130,0),FALSE)*IFERROR(VLOOKUP(_xlfn.CONCAT(C567,D567,E567,TIME!$F$1,Z567),HIS_SALES!$B$2:$V$4859,19,FALSE),0)))</f>
        <v>#N/A</v>
      </c>
      <c r="AD567" s="341">
        <f t="shared" ca="1" si="227"/>
        <v>0</v>
      </c>
      <c r="AE567" s="363" t="str">
        <f t="shared" si="228"/>
        <v/>
      </c>
      <c r="AF567" s="342" t="str">
        <f t="shared" si="229"/>
        <v/>
      </c>
      <c r="AG567" s="411" t="e">
        <f ca="1">VLOOKUP(_xlfn.CONCAT(U567,V567,W567,VLOOKUP(X567&amp;Y567,TIME!$L$27:$O$34,4,FALSE),Y567),HIS_SALES!$A$2:$R$5093,18,FALSE)</f>
        <v>#N/A</v>
      </c>
      <c r="AH567" s="412" t="e">
        <f ca="1">IFERROR(IF(AND(V567=V566,W567=W566),0.5*(AB567+AB566)*AG567,(VLOOKUP(_xlfn.CONCAT(U567,V567,W567,X567,VLOOKUP(Z567,TIME!$S$28:$T$39,2,FALSE)),FC_DATA!$R$2:$AB$5000,MATCH("GS_I_M",FC_DATA!$R$1:$AB$1,0),FALSE)+FC_DATA!AB567)*0.5*FC_DATA!AG567),NA())</f>
        <v>#N/A</v>
      </c>
      <c r="AI567" s="491" t="e">
        <f ca="1">IF(V567="PARTNER.com",AH567,IF(AND(V567=V566,W567=W566),(1-AVERAGE(AD566,AD567))*AH567,(1-AVERAGE(AD567,VLOOKUP(_xlfn.CONCAT(U567,V567,W567,X567,M_BRAND_FC!$F$6),FC_DATA!$R$2:$AD$5000,MATCH("DISCOUNT_%_M",FC_DATA!$R$1:$AD$1,0),FALSE)))*AH567))</f>
        <v>#N/A</v>
      </c>
      <c r="AJ567" s="412" t="str">
        <f t="shared" ca="1" si="200"/>
        <v/>
      </c>
      <c r="AK567" s="413" t="str">
        <f>IFERROR(AE567/(Q_BRAND_FC!$T$24+1),"")</f>
        <v/>
      </c>
      <c r="AL567" s="88" t="str">
        <f t="shared" ca="1" si="201"/>
        <v/>
      </c>
      <c r="AM567" s="414" t="str">
        <f t="shared" ca="1" si="202"/>
        <v/>
      </c>
      <c r="AN567" s="58">
        <f>IFERROR(IF($V567="BRAND.com",HLOOKUP($X567&amp;$Z567,NWC_FC_NOOS!$C$4:$Q$23,MATCH(W567,NWC_FC_NOOS!$B$4:$B$23,0),FALSE),0),0)</f>
        <v>0</v>
      </c>
      <c r="AO567" s="57">
        <f>IFERROR(IF($V567="BRAND.com",HLOOKUP($X567&amp;$Z567,NWC_FC_NOOS!$T$4:$AH$23,MATCH(W567,NWC_FC_NOOS!$S$4:$S$23,0),FALSE),0),0)</f>
        <v>0</v>
      </c>
      <c r="AP567" s="57">
        <f>IFERROR(IF($V567="BRAND.com",HLOOKUP($X567&amp;$Z567,NWC_FC_NOOS!$C$50:$U$69,MATCH(W567,NWC_FC_NOOS!$B$50:$B$69,0),FALSE),0),0)</f>
        <v>0</v>
      </c>
      <c r="AQ567" s="58">
        <f>IFERROR(IF($V567="BRAND.com",HLOOKUP($X567&amp;$Z567,'NWC_FC_NON-NOOS'!$C$4:$Q$23,MATCH(W567,'NWC_FC_NON-NOOS'!$B$4:$B$23,0),FALSE),0),0)</f>
        <v>0</v>
      </c>
      <c r="AR567" s="57">
        <f>IFERROR(IF($V567="BRAND.com",HLOOKUP($X567&amp;$Z567,'NWC_FC_NON-NOOS'!$T$4:$AH$23,MATCH(W567,'NWC_FC_NON-NOOS'!$S$4:$S$23,0),FALSE),0),0)</f>
        <v>0</v>
      </c>
      <c r="AS567" s="57">
        <f>IFERROR(IF($V567="BRAND.com",HLOOKUP($X567&amp;$Z567,'NWC_FC_NON-NOOS'!$C$50:$U$69,MATCH(W567,'NWC_FC_NON-NOOS'!$B$50:$B$69,0),FALSE),0),0)</f>
        <v>0</v>
      </c>
      <c r="AT567" s="57">
        <f t="shared" si="204"/>
        <v>0</v>
      </c>
      <c r="AU567" s="57">
        <f t="shared" si="205"/>
        <v>0</v>
      </c>
      <c r="AV567" s="58">
        <f>IFERROR(IF($V567="BRAND.com",HLOOKUP($X567&amp;$Z567,PLANNING_FC!$BB$27:$BP$46,MATCH($W567,PLANNING_FC!$BA$27:$BA$46,0),FALSE),0),0)</f>
        <v>0</v>
      </c>
      <c r="AW567" s="58">
        <f>IFERROR(IF($V567="BRAND.com",HLOOKUP($X567&amp;$Z567,PLANNING_FC!$BB$4:$BP$23,MATCH($W567,PLANNING_FC!$BA$4:$BA$23,0),FALSE),0),0)</f>
        <v>0</v>
      </c>
      <c r="AX567" s="58">
        <f>IFERROR(IF($V567="BRAND.com",HLOOKUP($X567&amp;$Z567,PLANNING_FC!$T$27:$AH$46,MATCH($W567,PLANNING_FC!$B$27:$B$46,0),FALSE),0),0)</f>
        <v>0</v>
      </c>
      <c r="AY567" s="58">
        <f>IFERROR(IF($V567="BRAND.com",HLOOKUP($X567&amp;$Z567,PLANNING_FC!$T$4:$AH$23,MATCH($W567,PLANNING_FC!$B$4:$B$23,0),FALSE),0),0)</f>
        <v>0</v>
      </c>
      <c r="AZ567" s="58">
        <f>IFERROR(IF($V567="BRAND.com",HLOOKUP($X567&amp;$Z567,PLANNING_FC!$DA$27:$DO$46,MATCH($W567,PLANNING_FC!$CZ$27:$CZ$46,0),FALSE),0),0)</f>
        <v>0</v>
      </c>
      <c r="BA567" s="58">
        <f>IFERROR(IF($V567="BRAND.com",HLOOKUP($X567&amp;$Z567,PLANNING_FC!$DA$4:$DO$23,MATCH($W567,PLANNING_FC!$CZ$4:$CZ$23,0),FALSE),0),0)</f>
        <v>0</v>
      </c>
      <c r="BB567" s="883" t="str">
        <f>IF(V567="BRAND.com",IFERROR(HLOOKUP(X567&amp;Z567,PLANNING_FC!$AK$4:$AY$23,MATCH(W567,PLANNING_FC!$AJ$4:$AJ$23,0),FALSE)*1000,""),"")</f>
        <v/>
      </c>
      <c r="BC567" s="883" t="str">
        <f>IF(V567="BRAND.com",IFERROR(HLOOKUP(X567&amp;Z567,PLANNING_FC!$AK$27:$AY$46,MATCH(W567,PLANNING_FC!$AJ$27:$AJ$46,0),FALSE)*1000,""),"")</f>
        <v/>
      </c>
    </row>
    <row r="568" spans="1:55" x14ac:dyDescent="0.25">
      <c r="A568" s="509"/>
      <c r="B568" s="509"/>
      <c r="C568" s="509"/>
      <c r="D568" s="509"/>
      <c r="E568" s="509"/>
      <c r="F568" s="509"/>
      <c r="G568" s="509"/>
      <c r="H568" s="509"/>
      <c r="I568" s="512"/>
      <c r="J568" s="513"/>
      <c r="K568" s="514"/>
      <c r="L568" s="515"/>
      <c r="M568" s="516"/>
      <c r="N568" s="56">
        <f t="shared" si="218"/>
        <v>0</v>
      </c>
      <c r="O568" s="57">
        <f t="shared" si="219"/>
        <v>0</v>
      </c>
      <c r="P568" s="57">
        <f ca="1">IFERROR(IF(ISBLANK(H568),SUMIFS($AC:$AC,$V:$V,V568,$W:$W,W568,$X:$X,X568,$Y:$Y,Y568)*J568/(1-J568)*VLOOKUP(_xlfn.CONCAT(C568,D568,E568,TIME!$M$12,Z568),HIS_SALES!$B$2:$W$4859,20,FALSE),AC568*J568/(1-J568)),0)</f>
        <v>0</v>
      </c>
      <c r="Q568" s="541" t="str">
        <f t="shared" si="220"/>
        <v/>
      </c>
      <c r="R568" s="346" t="str">
        <f t="shared" si="189"/>
        <v>00000</v>
      </c>
      <c r="S568" s="344">
        <f t="shared" si="221"/>
        <v>0</v>
      </c>
      <c r="T568" s="345" t="str">
        <f t="shared" si="203"/>
        <v>000</v>
      </c>
      <c r="U568" s="345">
        <f t="shared" si="222"/>
        <v>0</v>
      </c>
      <c r="V568" s="345">
        <f t="shared" si="223"/>
        <v>0</v>
      </c>
      <c r="W568" s="345">
        <f t="shared" si="224"/>
        <v>0</v>
      </c>
      <c r="X568" s="345">
        <f t="shared" si="225"/>
        <v>0</v>
      </c>
      <c r="Y568" s="345">
        <f t="shared" si="226"/>
        <v>0</v>
      </c>
      <c r="Z568" s="345">
        <f>IF(Q568&lt;&gt;"",VLOOKUP(Y568,TIME!$R$21:$V$24,MATCH(FC_DATA!Q568,TIME!$R$20:$V$20,0),FALSE),H568)</f>
        <v>0</v>
      </c>
      <c r="AA568" s="345" t="str">
        <f>IFERROR(VLOOKUP(X568&amp;Z568,TIME!$A$12:$D$71,4,FALSE),"")</f>
        <v/>
      </c>
      <c r="AB568" s="592">
        <f t="shared" ca="1" si="196"/>
        <v>0</v>
      </c>
      <c r="AC568" s="593" t="e">
        <f ca="1">IF(ISBLANK(H568)=FALSE,IF(D568="BRAND.com",I568,IF(ISNA(VLOOKUP(_xlfn.CONCAT(X568,Z568),TIME!$M$40:$M$42,1,FALSE)),I568,VLOOKUP(_xlfn.CONCAT(D568,G568,H568),M_BUSAREA_FC!$AF$5:$AJ$10,5,FALSE)*HLOOKUP(_xlfn.CONCAT(F568,H568),ST_OVERVIEW!$G$99:$I$130,MATCH(_xlfn.CONCAT(D568,E568),ST_OVERVIEW!$F$99:$F$130,0),FALSE))),IF(D568="BRAND.com",VLOOKUP(_xlfn.CONCAT(C568,D568,E568,TIME!$F$1,Z568),HIS_SALES!$B$2:$V$4859,19,FALSE)*I568,VLOOKUP(_xlfn.CONCAT(D568,F568,G568),Q_BUSAREA_FC!$AE$5:$AI$12,5,FALSE)*HLOOKUP(_xlfn.CONCAT(FC_DATA!F568,FC_DATA!G568),LT_OVERVIEW!$I$99:$M$130,MATCH(_xlfn.CONCAT(D568,FC_DATA!E568),LT_OVERVIEW!$H$99:$H$130,0),FALSE)*IFERROR(VLOOKUP(_xlfn.CONCAT(C568,D568,E568,TIME!$F$1,Z568),HIS_SALES!$B$2:$V$4859,19,FALSE),0)))</f>
        <v>#N/A</v>
      </c>
      <c r="AD568" s="341">
        <f t="shared" ca="1" si="227"/>
        <v>0</v>
      </c>
      <c r="AE568" s="363" t="str">
        <f t="shared" si="228"/>
        <v/>
      </c>
      <c r="AF568" s="342" t="str">
        <f t="shared" si="229"/>
        <v/>
      </c>
      <c r="AG568" s="411" t="e">
        <f ca="1">VLOOKUP(_xlfn.CONCAT(U568,V568,W568,VLOOKUP(X568&amp;Y568,TIME!$L$27:$O$34,4,FALSE),Y568),HIS_SALES!$A$2:$R$5093,18,FALSE)</f>
        <v>#N/A</v>
      </c>
      <c r="AH568" s="412" t="e">
        <f ca="1">IFERROR(IF(AND(V568=V567,W568=W567),0.5*(AB568+AB567)*AG568,(VLOOKUP(_xlfn.CONCAT(U568,V568,W568,X568,VLOOKUP(Z568,TIME!$S$28:$T$39,2,FALSE)),FC_DATA!$R$2:$AB$5000,MATCH("GS_I_M",FC_DATA!$R$1:$AB$1,0),FALSE)+FC_DATA!AB568)*0.5*FC_DATA!AG568),NA())</f>
        <v>#N/A</v>
      </c>
      <c r="AI568" s="491" t="e">
        <f ca="1">IF(V568="PARTNER.com",AH568,IF(AND(V568=V567,W568=W567),(1-AVERAGE(AD567,AD568))*AH568,(1-AVERAGE(AD568,VLOOKUP(_xlfn.CONCAT(U568,V568,W568,X568,M_BRAND_FC!$F$6),FC_DATA!$R$2:$AD$5000,MATCH("DISCOUNT_%_M",FC_DATA!$R$1:$AD$1,0),FALSE)))*AH568))</f>
        <v>#N/A</v>
      </c>
      <c r="AJ568" s="412" t="str">
        <f t="shared" ca="1" si="200"/>
        <v/>
      </c>
      <c r="AK568" s="413" t="str">
        <f>IFERROR(AE568/(Q_BRAND_FC!$T$24+1),"")</f>
        <v/>
      </c>
      <c r="AL568" s="88" t="str">
        <f t="shared" ca="1" si="201"/>
        <v/>
      </c>
      <c r="AM568" s="414" t="str">
        <f t="shared" ca="1" si="202"/>
        <v/>
      </c>
      <c r="AN568" s="58">
        <f>IFERROR(IF($V568="BRAND.com",HLOOKUP($X568&amp;$Z568,NWC_FC_NOOS!$C$4:$Q$23,MATCH(W568,NWC_FC_NOOS!$B$4:$B$23,0),FALSE),0),0)</f>
        <v>0</v>
      </c>
      <c r="AO568" s="57">
        <f>IFERROR(IF($V568="BRAND.com",HLOOKUP($X568&amp;$Z568,NWC_FC_NOOS!$T$4:$AH$23,MATCH(W568,NWC_FC_NOOS!$S$4:$S$23,0),FALSE),0),0)</f>
        <v>0</v>
      </c>
      <c r="AP568" s="57">
        <f>IFERROR(IF($V568="BRAND.com",HLOOKUP($X568&amp;$Z568,NWC_FC_NOOS!$C$50:$U$69,MATCH(W568,NWC_FC_NOOS!$B$50:$B$69,0),FALSE),0),0)</f>
        <v>0</v>
      </c>
      <c r="AQ568" s="58">
        <f>IFERROR(IF($V568="BRAND.com",HLOOKUP($X568&amp;$Z568,'NWC_FC_NON-NOOS'!$C$4:$Q$23,MATCH(W568,'NWC_FC_NON-NOOS'!$B$4:$B$23,0),FALSE),0),0)</f>
        <v>0</v>
      </c>
      <c r="AR568" s="57">
        <f>IFERROR(IF($V568="BRAND.com",HLOOKUP($X568&amp;$Z568,'NWC_FC_NON-NOOS'!$T$4:$AH$23,MATCH(W568,'NWC_FC_NON-NOOS'!$S$4:$S$23,0),FALSE),0),0)</f>
        <v>0</v>
      </c>
      <c r="AS568" s="57">
        <f>IFERROR(IF($V568="BRAND.com",HLOOKUP($X568&amp;$Z568,'NWC_FC_NON-NOOS'!$C$50:$U$69,MATCH(W568,'NWC_FC_NON-NOOS'!$B$50:$B$69,0),FALSE),0),0)</f>
        <v>0</v>
      </c>
      <c r="AT568" s="57">
        <f t="shared" si="204"/>
        <v>0</v>
      </c>
      <c r="AU568" s="57">
        <f t="shared" si="205"/>
        <v>0</v>
      </c>
      <c r="AV568" s="58">
        <f>IFERROR(IF($V568="BRAND.com",HLOOKUP($X568&amp;$Z568,PLANNING_FC!$BB$27:$BP$46,MATCH($W568,PLANNING_FC!$BA$27:$BA$46,0),FALSE),0),0)</f>
        <v>0</v>
      </c>
      <c r="AW568" s="58">
        <f>IFERROR(IF($V568="BRAND.com",HLOOKUP($X568&amp;$Z568,PLANNING_FC!$BB$4:$BP$23,MATCH($W568,PLANNING_FC!$BA$4:$BA$23,0),FALSE),0),0)</f>
        <v>0</v>
      </c>
      <c r="AX568" s="58">
        <f>IFERROR(IF($V568="BRAND.com",HLOOKUP($X568&amp;$Z568,PLANNING_FC!$T$27:$AH$46,MATCH($W568,PLANNING_FC!$B$27:$B$46,0),FALSE),0),0)</f>
        <v>0</v>
      </c>
      <c r="AY568" s="58">
        <f>IFERROR(IF($V568="BRAND.com",HLOOKUP($X568&amp;$Z568,PLANNING_FC!$T$4:$AH$23,MATCH($W568,PLANNING_FC!$B$4:$B$23,0),FALSE),0),0)</f>
        <v>0</v>
      </c>
      <c r="AZ568" s="58">
        <f>IFERROR(IF($V568="BRAND.com",HLOOKUP($X568&amp;$Z568,PLANNING_FC!$DA$27:$DO$46,MATCH($W568,PLANNING_FC!$CZ$27:$CZ$46,0),FALSE),0),0)</f>
        <v>0</v>
      </c>
      <c r="BA568" s="58">
        <f>IFERROR(IF($V568="BRAND.com",HLOOKUP($X568&amp;$Z568,PLANNING_FC!$DA$4:$DO$23,MATCH($W568,PLANNING_FC!$CZ$4:$CZ$23,0),FALSE),0),0)</f>
        <v>0</v>
      </c>
      <c r="BB568" s="883" t="str">
        <f>IF(V568="BRAND.com",IFERROR(HLOOKUP(X568&amp;Z568,PLANNING_FC!$AK$4:$AY$23,MATCH(W568,PLANNING_FC!$AJ$4:$AJ$23,0),FALSE)*1000,""),"")</f>
        <v/>
      </c>
      <c r="BC568" s="883" t="str">
        <f>IF(V568="BRAND.com",IFERROR(HLOOKUP(X568&amp;Z568,PLANNING_FC!$AK$27:$AY$46,MATCH(W568,PLANNING_FC!$AJ$27:$AJ$46,0),FALSE)*1000,""),"")</f>
        <v/>
      </c>
    </row>
    <row r="569" spans="1:55" x14ac:dyDescent="0.25">
      <c r="A569" s="509"/>
      <c r="B569" s="509"/>
      <c r="C569" s="509"/>
      <c r="D569" s="509"/>
      <c r="E569" s="509"/>
      <c r="F569" s="509"/>
      <c r="G569" s="509"/>
      <c r="H569" s="509"/>
      <c r="I569" s="512"/>
      <c r="J569" s="513"/>
      <c r="K569" s="514"/>
      <c r="L569" s="515"/>
      <c r="M569" s="516"/>
      <c r="N569" s="56">
        <f t="shared" si="218"/>
        <v>0</v>
      </c>
      <c r="O569" s="57">
        <f t="shared" si="219"/>
        <v>0</v>
      </c>
      <c r="P569" s="57">
        <f ca="1">IFERROR(IF(ISBLANK(H569),SUMIFS($AC:$AC,$V:$V,V569,$W:$W,W569,$X:$X,X569,$Y:$Y,Y569)*J569/(1-J569)*VLOOKUP(_xlfn.CONCAT(C569,D569,E569,TIME!$M$12,Z569),HIS_SALES!$B$2:$W$4859,20,FALSE),AC569*J569/(1-J569)),0)</f>
        <v>0</v>
      </c>
      <c r="Q569" s="541" t="str">
        <f t="shared" si="220"/>
        <v/>
      </c>
      <c r="R569" s="346" t="str">
        <f t="shared" si="189"/>
        <v>00000</v>
      </c>
      <c r="S569" s="344">
        <f t="shared" si="221"/>
        <v>0</v>
      </c>
      <c r="T569" s="345" t="str">
        <f t="shared" si="203"/>
        <v>000</v>
      </c>
      <c r="U569" s="345">
        <f t="shared" si="222"/>
        <v>0</v>
      </c>
      <c r="V569" s="345">
        <f t="shared" si="223"/>
        <v>0</v>
      </c>
      <c r="W569" s="345">
        <f t="shared" si="224"/>
        <v>0</v>
      </c>
      <c r="X569" s="345">
        <f t="shared" si="225"/>
        <v>0</v>
      </c>
      <c r="Y569" s="345">
        <f t="shared" si="226"/>
        <v>0</v>
      </c>
      <c r="Z569" s="345">
        <f>IF(Q569&lt;&gt;"",VLOOKUP(Y569,TIME!$R$21:$V$24,MATCH(FC_DATA!Q569,TIME!$R$20:$V$20,0),FALSE),H569)</f>
        <v>0</v>
      </c>
      <c r="AA569" s="345" t="str">
        <f>IFERROR(VLOOKUP(X569&amp;Z569,TIME!$A$12:$D$71,4,FALSE),"")</f>
        <v/>
      </c>
      <c r="AB569" s="592">
        <f t="shared" ca="1" si="196"/>
        <v>0</v>
      </c>
      <c r="AC569" s="593" t="e">
        <f ca="1">IF(ISBLANK(H569)=FALSE,IF(D569="BRAND.com",I569,IF(ISNA(VLOOKUP(_xlfn.CONCAT(X569,Z569),TIME!$M$40:$M$42,1,FALSE)),I569,VLOOKUP(_xlfn.CONCAT(D569,G569,H569),M_BUSAREA_FC!$AF$5:$AJ$10,5,FALSE)*HLOOKUP(_xlfn.CONCAT(F569,H569),ST_OVERVIEW!$G$99:$I$130,MATCH(_xlfn.CONCAT(D569,E569),ST_OVERVIEW!$F$99:$F$130,0),FALSE))),IF(D569="BRAND.com",VLOOKUP(_xlfn.CONCAT(C569,D569,E569,TIME!$F$1,Z569),HIS_SALES!$B$2:$V$4859,19,FALSE)*I569,VLOOKUP(_xlfn.CONCAT(D569,F569,G569),Q_BUSAREA_FC!$AE$5:$AI$12,5,FALSE)*HLOOKUP(_xlfn.CONCAT(FC_DATA!F569,FC_DATA!G569),LT_OVERVIEW!$I$99:$M$130,MATCH(_xlfn.CONCAT(D569,FC_DATA!E569),LT_OVERVIEW!$H$99:$H$130,0),FALSE)*IFERROR(VLOOKUP(_xlfn.CONCAT(C569,D569,E569,TIME!$F$1,Z569),HIS_SALES!$B$2:$V$4859,19,FALSE),0)))</f>
        <v>#N/A</v>
      </c>
      <c r="AD569" s="341">
        <f t="shared" ca="1" si="227"/>
        <v>0</v>
      </c>
      <c r="AE569" s="363" t="str">
        <f t="shared" si="228"/>
        <v/>
      </c>
      <c r="AF569" s="342" t="str">
        <f t="shared" si="229"/>
        <v/>
      </c>
      <c r="AG569" s="411" t="e">
        <f ca="1">VLOOKUP(_xlfn.CONCAT(U569,V569,W569,VLOOKUP(X569&amp;Y569,TIME!$L$27:$O$34,4,FALSE),Y569),HIS_SALES!$A$2:$R$5093,18,FALSE)</f>
        <v>#N/A</v>
      </c>
      <c r="AH569" s="412" t="e">
        <f ca="1">IFERROR(IF(AND(V569=V568,W569=W568),0.5*(AB569+AB568)*AG569,(VLOOKUP(_xlfn.CONCAT(U569,V569,W569,X569,VLOOKUP(Z569,TIME!$S$28:$T$39,2,FALSE)),FC_DATA!$R$2:$AB$5000,MATCH("GS_I_M",FC_DATA!$R$1:$AB$1,0),FALSE)+FC_DATA!AB569)*0.5*FC_DATA!AG569),NA())</f>
        <v>#N/A</v>
      </c>
      <c r="AI569" s="491" t="e">
        <f ca="1">IF(V569="PARTNER.com",AH569,IF(AND(V569=V568,W569=W568),(1-AVERAGE(AD568,AD569))*AH569,(1-AVERAGE(AD569,VLOOKUP(_xlfn.CONCAT(U569,V569,W569,X569,M_BRAND_FC!$F$6),FC_DATA!$R$2:$AD$5000,MATCH("DISCOUNT_%_M",FC_DATA!$R$1:$AD$1,0),FALSE)))*AH569))</f>
        <v>#N/A</v>
      </c>
      <c r="AJ569" s="412" t="str">
        <f t="shared" ca="1" si="200"/>
        <v/>
      </c>
      <c r="AK569" s="413" t="str">
        <f>IFERROR(AE569/(Q_BRAND_FC!$T$24+1),"")</f>
        <v/>
      </c>
      <c r="AL569" s="88" t="str">
        <f t="shared" ca="1" si="201"/>
        <v/>
      </c>
      <c r="AM569" s="414" t="str">
        <f t="shared" ca="1" si="202"/>
        <v/>
      </c>
      <c r="AN569" s="58">
        <f>IFERROR(IF($V569="BRAND.com",HLOOKUP($X569&amp;$Z569,NWC_FC_NOOS!$C$4:$Q$23,MATCH(W569,NWC_FC_NOOS!$B$4:$B$23,0),FALSE),0),0)</f>
        <v>0</v>
      </c>
      <c r="AO569" s="57">
        <f>IFERROR(IF($V569="BRAND.com",HLOOKUP($X569&amp;$Z569,NWC_FC_NOOS!$T$4:$AH$23,MATCH(W569,NWC_FC_NOOS!$S$4:$S$23,0),FALSE),0),0)</f>
        <v>0</v>
      </c>
      <c r="AP569" s="57">
        <f>IFERROR(IF($V569="BRAND.com",HLOOKUP($X569&amp;$Z569,NWC_FC_NOOS!$C$50:$U$69,MATCH(W569,NWC_FC_NOOS!$B$50:$B$69,0),FALSE),0),0)</f>
        <v>0</v>
      </c>
      <c r="AQ569" s="58">
        <f>IFERROR(IF($V569="BRAND.com",HLOOKUP($X569&amp;$Z569,'NWC_FC_NON-NOOS'!$C$4:$Q$23,MATCH(W569,'NWC_FC_NON-NOOS'!$B$4:$B$23,0),FALSE),0),0)</f>
        <v>0</v>
      </c>
      <c r="AR569" s="57">
        <f>IFERROR(IF($V569="BRAND.com",HLOOKUP($X569&amp;$Z569,'NWC_FC_NON-NOOS'!$T$4:$AH$23,MATCH(W569,'NWC_FC_NON-NOOS'!$S$4:$S$23,0),FALSE),0),0)</f>
        <v>0</v>
      </c>
      <c r="AS569" s="57">
        <f>IFERROR(IF($V569="BRAND.com",HLOOKUP($X569&amp;$Z569,'NWC_FC_NON-NOOS'!$C$50:$U$69,MATCH(W569,'NWC_FC_NON-NOOS'!$B$50:$B$69,0),FALSE),0),0)</f>
        <v>0</v>
      </c>
      <c r="AT569" s="57">
        <f t="shared" si="204"/>
        <v>0</v>
      </c>
      <c r="AU569" s="57">
        <f t="shared" si="205"/>
        <v>0</v>
      </c>
      <c r="AV569" s="58">
        <f>IFERROR(IF($V569="BRAND.com",HLOOKUP($X569&amp;$Z569,PLANNING_FC!$BB$27:$BP$46,MATCH($W569,PLANNING_FC!$BA$27:$BA$46,0),FALSE),0),0)</f>
        <v>0</v>
      </c>
      <c r="AW569" s="58">
        <f>IFERROR(IF($V569="BRAND.com",HLOOKUP($X569&amp;$Z569,PLANNING_FC!$BB$4:$BP$23,MATCH($W569,PLANNING_FC!$BA$4:$BA$23,0),FALSE),0),0)</f>
        <v>0</v>
      </c>
      <c r="AX569" s="58">
        <f>IFERROR(IF($V569="BRAND.com",HLOOKUP($X569&amp;$Z569,PLANNING_FC!$T$27:$AH$46,MATCH($W569,PLANNING_FC!$B$27:$B$46,0),FALSE),0),0)</f>
        <v>0</v>
      </c>
      <c r="AY569" s="58">
        <f>IFERROR(IF($V569="BRAND.com",HLOOKUP($X569&amp;$Z569,PLANNING_FC!$T$4:$AH$23,MATCH($W569,PLANNING_FC!$B$4:$B$23,0),FALSE),0),0)</f>
        <v>0</v>
      </c>
      <c r="AZ569" s="58">
        <f>IFERROR(IF($V569="BRAND.com",HLOOKUP($X569&amp;$Z569,PLANNING_FC!$DA$27:$DO$46,MATCH($W569,PLANNING_FC!$CZ$27:$CZ$46,0),FALSE),0),0)</f>
        <v>0</v>
      </c>
      <c r="BA569" s="58">
        <f>IFERROR(IF($V569="BRAND.com",HLOOKUP($X569&amp;$Z569,PLANNING_FC!$DA$4:$DO$23,MATCH($W569,PLANNING_FC!$CZ$4:$CZ$23,0),FALSE),0),0)</f>
        <v>0</v>
      </c>
      <c r="BB569" s="883" t="str">
        <f>IF(V569="BRAND.com",IFERROR(HLOOKUP(X569&amp;Z569,PLANNING_FC!$AK$4:$AY$23,MATCH(W569,PLANNING_FC!$AJ$4:$AJ$23,0),FALSE)*1000,""),"")</f>
        <v/>
      </c>
      <c r="BC569" s="883" t="str">
        <f>IF(V569="BRAND.com",IFERROR(HLOOKUP(X569&amp;Z569,PLANNING_FC!$AK$27:$AY$46,MATCH(W569,PLANNING_FC!$AJ$27:$AJ$46,0),FALSE)*1000,""),"")</f>
        <v/>
      </c>
    </row>
    <row r="570" spans="1:55" x14ac:dyDescent="0.25">
      <c r="A570" s="509"/>
      <c r="B570" s="509"/>
      <c r="C570" s="509"/>
      <c r="D570" s="509"/>
      <c r="E570" s="509"/>
      <c r="F570" s="509"/>
      <c r="G570" s="511"/>
      <c r="H570" s="509"/>
      <c r="I570" s="512"/>
      <c r="J570" s="513"/>
      <c r="K570" s="514"/>
      <c r="L570" s="515"/>
      <c r="M570" s="516"/>
      <c r="N570" s="56">
        <f t="shared" si="218"/>
        <v>0</v>
      </c>
      <c r="O570" s="57">
        <f t="shared" si="219"/>
        <v>0</v>
      </c>
      <c r="P570" s="57">
        <f ca="1">IFERROR(IF(ISBLANK(H570),SUMIFS($AC:$AC,$V:$V,V570,$W:$W,W570,$X:$X,X570,$Y:$Y,Y570)*J570/(1-J570)*VLOOKUP(_xlfn.CONCAT(C570,D570,E570,TIME!$M$12,Z570),HIS_SALES!$B$2:$W$4859,20,FALSE),AC570*J570/(1-J570)),0)</f>
        <v>0</v>
      </c>
      <c r="Q570" s="541" t="str">
        <f t="shared" si="220"/>
        <v/>
      </c>
      <c r="R570" s="346" t="str">
        <f t="shared" si="189"/>
        <v>00000</v>
      </c>
      <c r="S570" s="344">
        <f t="shared" si="221"/>
        <v>0</v>
      </c>
      <c r="T570" s="345" t="str">
        <f t="shared" si="203"/>
        <v>000</v>
      </c>
      <c r="U570" s="345">
        <f t="shared" si="222"/>
        <v>0</v>
      </c>
      <c r="V570" s="345">
        <f t="shared" si="223"/>
        <v>0</v>
      </c>
      <c r="W570" s="345">
        <f t="shared" si="224"/>
        <v>0</v>
      </c>
      <c r="X570" s="345">
        <f t="shared" si="225"/>
        <v>0</v>
      </c>
      <c r="Y570" s="345">
        <f t="shared" si="226"/>
        <v>0</v>
      </c>
      <c r="Z570" s="345">
        <f>IF(Q570&lt;&gt;"",VLOOKUP(Y570,TIME!$R$21:$V$24,MATCH(FC_DATA!Q570,TIME!$R$20:$V$20,0),FALSE),H570)</f>
        <v>0</v>
      </c>
      <c r="AA570" s="345" t="str">
        <f>IFERROR(VLOOKUP(X570&amp;Z570,TIME!$A$12:$D$71,4,FALSE),"")</f>
        <v/>
      </c>
      <c r="AB570" s="592">
        <f t="shared" ca="1" si="196"/>
        <v>0</v>
      </c>
      <c r="AC570" s="593" t="e">
        <f ca="1">IF(ISBLANK(H570)=FALSE,IF(D570="BRAND.com",I570,IF(ISNA(VLOOKUP(_xlfn.CONCAT(X570,Z570),TIME!$M$40:$M$42,1,FALSE)),I570,VLOOKUP(_xlfn.CONCAT(D570,G570,H570),M_BUSAREA_FC!$AF$5:$AJ$10,5,FALSE)*HLOOKUP(_xlfn.CONCAT(F570,H570),ST_OVERVIEW!$G$99:$I$130,MATCH(_xlfn.CONCAT(D570,E570),ST_OVERVIEW!$F$99:$F$130,0),FALSE))),IF(D570="BRAND.com",VLOOKUP(_xlfn.CONCAT(C570,D570,E570,TIME!$F$1,Z570),HIS_SALES!$B$2:$V$4859,19,FALSE)*I570,VLOOKUP(_xlfn.CONCAT(D570,F570,G570),Q_BUSAREA_FC!$AE$5:$AI$12,5,FALSE)*HLOOKUP(_xlfn.CONCAT(FC_DATA!F570,FC_DATA!G570),LT_OVERVIEW!$I$99:$M$130,MATCH(_xlfn.CONCAT(D570,FC_DATA!E570),LT_OVERVIEW!$H$99:$H$130,0),FALSE)*IFERROR(VLOOKUP(_xlfn.CONCAT(C570,D570,E570,TIME!$F$1,Z570),HIS_SALES!$B$2:$V$4859,19,FALSE),0)))</f>
        <v>#N/A</v>
      </c>
      <c r="AD570" s="341">
        <f t="shared" ca="1" si="227"/>
        <v>0</v>
      </c>
      <c r="AE570" s="363" t="str">
        <f t="shared" si="228"/>
        <v/>
      </c>
      <c r="AF570" s="342" t="str">
        <f t="shared" si="229"/>
        <v/>
      </c>
      <c r="AG570" s="411" t="e">
        <f ca="1">VLOOKUP(_xlfn.CONCAT(U570,V570,W570,VLOOKUP(X570&amp;Y570,TIME!$L$27:$O$34,4,FALSE),Y570),HIS_SALES!$A$2:$R$5093,18,FALSE)</f>
        <v>#N/A</v>
      </c>
      <c r="AH570" s="412" t="e">
        <f ca="1">IFERROR(IF(AND(V570=V569,W570=W569),0.5*(AB570+AB569)*AG570,(VLOOKUP(_xlfn.CONCAT(U570,V570,W570,X570,VLOOKUP(Z570,TIME!$S$28:$T$39,2,FALSE)),FC_DATA!$R$2:$AB$5000,MATCH("GS_I_M",FC_DATA!$R$1:$AB$1,0),FALSE)+FC_DATA!AB570)*0.5*FC_DATA!AG570),NA())</f>
        <v>#N/A</v>
      </c>
      <c r="AI570" s="491" t="e">
        <f ca="1">IF(V570="PARTNER.com",AH570,IF(AND(V570=V569,W570=W569),(1-AVERAGE(AD569,AD570))*AH570,(1-AVERAGE(AD570,VLOOKUP(_xlfn.CONCAT(U570,V570,W570,X570,M_BRAND_FC!$F$6),FC_DATA!$R$2:$AD$5000,MATCH("DISCOUNT_%_M",FC_DATA!$R$1:$AD$1,0),FALSE)))*AH570))</f>
        <v>#N/A</v>
      </c>
      <c r="AJ570" s="412" t="str">
        <f t="shared" ca="1" si="200"/>
        <v/>
      </c>
      <c r="AK570" s="413" t="str">
        <f>IFERROR(AE570/(Q_BRAND_FC!$T$24+1),"")</f>
        <v/>
      </c>
      <c r="AL570" s="88" t="str">
        <f t="shared" ca="1" si="201"/>
        <v/>
      </c>
      <c r="AM570" s="414" t="str">
        <f t="shared" ca="1" si="202"/>
        <v/>
      </c>
      <c r="AN570" s="58">
        <f>IFERROR(IF($V570="BRAND.com",HLOOKUP($X570&amp;$Z570,NWC_FC_NOOS!$C$4:$Q$23,MATCH(W570,NWC_FC_NOOS!$B$4:$B$23,0),FALSE),0),0)</f>
        <v>0</v>
      </c>
      <c r="AO570" s="57">
        <f>IFERROR(IF($V570="BRAND.com",HLOOKUP($X570&amp;$Z570,NWC_FC_NOOS!$T$4:$AH$23,MATCH(W570,NWC_FC_NOOS!$S$4:$S$23,0),FALSE),0),0)</f>
        <v>0</v>
      </c>
      <c r="AP570" s="57">
        <f>IFERROR(IF($V570="BRAND.com",HLOOKUP($X570&amp;$Z570,NWC_FC_NOOS!$C$50:$U$69,MATCH(W570,NWC_FC_NOOS!$B$50:$B$69,0),FALSE),0),0)</f>
        <v>0</v>
      </c>
      <c r="AQ570" s="58">
        <f>IFERROR(IF($V570="BRAND.com",HLOOKUP($X570&amp;$Z570,'NWC_FC_NON-NOOS'!$C$4:$Q$23,MATCH(W570,'NWC_FC_NON-NOOS'!$B$4:$B$23,0),FALSE),0),0)</f>
        <v>0</v>
      </c>
      <c r="AR570" s="57">
        <f>IFERROR(IF($V570="BRAND.com",HLOOKUP($X570&amp;$Z570,'NWC_FC_NON-NOOS'!$T$4:$AH$23,MATCH(W570,'NWC_FC_NON-NOOS'!$S$4:$S$23,0),FALSE),0),0)</f>
        <v>0</v>
      </c>
      <c r="AS570" s="57">
        <f>IFERROR(IF($V570="BRAND.com",HLOOKUP($X570&amp;$Z570,'NWC_FC_NON-NOOS'!$C$50:$U$69,MATCH(W570,'NWC_FC_NON-NOOS'!$B$50:$B$69,0),FALSE),0),0)</f>
        <v>0</v>
      </c>
      <c r="AT570" s="57">
        <f t="shared" si="204"/>
        <v>0</v>
      </c>
      <c r="AU570" s="57">
        <f t="shared" si="205"/>
        <v>0</v>
      </c>
      <c r="AV570" s="58">
        <f>IFERROR(IF($V570="BRAND.com",HLOOKUP($X570&amp;$Z570,PLANNING_FC!$BB$27:$BP$46,MATCH($W570,PLANNING_FC!$BA$27:$BA$46,0),FALSE),0),0)</f>
        <v>0</v>
      </c>
      <c r="AW570" s="58">
        <f>IFERROR(IF($V570="BRAND.com",HLOOKUP($X570&amp;$Z570,PLANNING_FC!$BB$4:$BP$23,MATCH($W570,PLANNING_FC!$BA$4:$BA$23,0),FALSE),0),0)</f>
        <v>0</v>
      </c>
      <c r="AX570" s="58">
        <f>IFERROR(IF($V570="BRAND.com",HLOOKUP($X570&amp;$Z570,PLANNING_FC!$T$27:$AH$46,MATCH($W570,PLANNING_FC!$B$27:$B$46,0),FALSE),0),0)</f>
        <v>0</v>
      </c>
      <c r="AY570" s="58">
        <f>IFERROR(IF($V570="BRAND.com",HLOOKUP($X570&amp;$Z570,PLANNING_FC!$T$4:$AH$23,MATCH($W570,PLANNING_FC!$B$4:$B$23,0),FALSE),0),0)</f>
        <v>0</v>
      </c>
      <c r="AZ570" s="58">
        <f>IFERROR(IF($V570="BRAND.com",HLOOKUP($X570&amp;$Z570,PLANNING_FC!$DA$27:$DO$46,MATCH($W570,PLANNING_FC!$CZ$27:$CZ$46,0),FALSE),0),0)</f>
        <v>0</v>
      </c>
      <c r="BA570" s="58">
        <f>IFERROR(IF($V570="BRAND.com",HLOOKUP($X570&amp;$Z570,PLANNING_FC!$DA$4:$DO$23,MATCH($W570,PLANNING_FC!$CZ$4:$CZ$23,0),FALSE),0),0)</f>
        <v>0</v>
      </c>
      <c r="BB570" s="883" t="str">
        <f>IF(V570="BRAND.com",IFERROR(HLOOKUP(X570&amp;Z570,PLANNING_FC!$AK$4:$AY$23,MATCH(W570,PLANNING_FC!$AJ$4:$AJ$23,0),FALSE)*1000,""),"")</f>
        <v/>
      </c>
      <c r="BC570" s="883" t="str">
        <f>IF(V570="BRAND.com",IFERROR(HLOOKUP(X570&amp;Z570,PLANNING_FC!$AK$27:$AY$46,MATCH(W570,PLANNING_FC!$AJ$27:$AJ$46,0),FALSE)*1000,""),"")</f>
        <v/>
      </c>
    </row>
    <row r="571" spans="1:55" x14ac:dyDescent="0.25">
      <c r="A571" s="509"/>
      <c r="B571" s="509"/>
      <c r="C571" s="509"/>
      <c r="D571" s="509"/>
      <c r="E571" s="509"/>
      <c r="F571" s="509"/>
      <c r="G571" s="509"/>
      <c r="H571" s="509"/>
      <c r="I571" s="512"/>
      <c r="J571" s="513"/>
      <c r="K571" s="514"/>
      <c r="L571" s="515"/>
      <c r="M571" s="516"/>
      <c r="N571" s="56">
        <f t="shared" si="218"/>
        <v>0</v>
      </c>
      <c r="O571" s="57">
        <f t="shared" si="219"/>
        <v>0</v>
      </c>
      <c r="P571" s="57">
        <f ca="1">IFERROR(IF(ISBLANK(H571),SUMIFS($AC:$AC,$V:$V,V571,$W:$W,W571,$X:$X,X571,$Y:$Y,Y571)*J571/(1-J571)*VLOOKUP(_xlfn.CONCAT(C571,D571,E571,TIME!$M$12,Z571),HIS_SALES!$B$2:$W$4859,20,FALSE),AC571*J571/(1-J571)),0)</f>
        <v>0</v>
      </c>
      <c r="Q571" s="541" t="str">
        <f t="shared" si="220"/>
        <v/>
      </c>
      <c r="R571" s="346" t="str">
        <f t="shared" si="189"/>
        <v>00000</v>
      </c>
      <c r="S571" s="344">
        <f t="shared" si="221"/>
        <v>0</v>
      </c>
      <c r="T571" s="345" t="str">
        <f t="shared" si="203"/>
        <v>000</v>
      </c>
      <c r="U571" s="345">
        <f t="shared" si="222"/>
        <v>0</v>
      </c>
      <c r="V571" s="345">
        <f t="shared" si="223"/>
        <v>0</v>
      </c>
      <c r="W571" s="345">
        <f t="shared" si="224"/>
        <v>0</v>
      </c>
      <c r="X571" s="345">
        <f t="shared" si="225"/>
        <v>0</v>
      </c>
      <c r="Y571" s="345">
        <f t="shared" si="226"/>
        <v>0</v>
      </c>
      <c r="Z571" s="345">
        <f>IF(Q571&lt;&gt;"",VLOOKUP(Y571,TIME!$R$21:$V$24,MATCH(FC_DATA!Q571,TIME!$R$20:$V$20,0),FALSE),H571)</f>
        <v>0</v>
      </c>
      <c r="AA571" s="345" t="str">
        <f>IFERROR(VLOOKUP(X571&amp;Z571,TIME!$A$12:$D$71,4,FALSE),"")</f>
        <v/>
      </c>
      <c r="AB571" s="592">
        <f t="shared" ca="1" si="196"/>
        <v>0</v>
      </c>
      <c r="AC571" s="593" t="e">
        <f ca="1">IF(ISBLANK(H571)=FALSE,IF(D571="BRAND.com",I571,IF(ISNA(VLOOKUP(_xlfn.CONCAT(X571,Z571),TIME!$M$40:$M$42,1,FALSE)),I571,VLOOKUP(_xlfn.CONCAT(D571,G571,H571),M_BUSAREA_FC!$AF$5:$AJ$10,5,FALSE)*HLOOKUP(_xlfn.CONCAT(F571,H571),ST_OVERVIEW!$G$99:$I$130,MATCH(_xlfn.CONCAT(D571,E571),ST_OVERVIEW!$F$99:$F$130,0),FALSE))),IF(D571="BRAND.com",VLOOKUP(_xlfn.CONCAT(C571,D571,E571,TIME!$F$1,Z571),HIS_SALES!$B$2:$V$4859,19,FALSE)*I571,VLOOKUP(_xlfn.CONCAT(D571,F571,G571),Q_BUSAREA_FC!$AE$5:$AI$12,5,FALSE)*HLOOKUP(_xlfn.CONCAT(FC_DATA!F571,FC_DATA!G571),LT_OVERVIEW!$I$99:$M$130,MATCH(_xlfn.CONCAT(D571,FC_DATA!E571),LT_OVERVIEW!$H$99:$H$130,0),FALSE)*IFERROR(VLOOKUP(_xlfn.CONCAT(C571,D571,E571,TIME!$F$1,Z571),HIS_SALES!$B$2:$V$4859,19,FALSE),0)))</f>
        <v>#N/A</v>
      </c>
      <c r="AD571" s="341">
        <f t="shared" ca="1" si="227"/>
        <v>0</v>
      </c>
      <c r="AE571" s="363" t="str">
        <f t="shared" si="228"/>
        <v/>
      </c>
      <c r="AF571" s="342" t="str">
        <f t="shared" si="229"/>
        <v/>
      </c>
      <c r="AG571" s="411" t="e">
        <f ca="1">VLOOKUP(_xlfn.CONCAT(U571,V571,W571,VLOOKUP(X571&amp;Y571,TIME!$L$27:$O$34,4,FALSE),Y571),HIS_SALES!$A$2:$R$5093,18,FALSE)</f>
        <v>#N/A</v>
      </c>
      <c r="AH571" s="412" t="e">
        <f ca="1">IFERROR(IF(AND(V571=V570,W571=W570),0.5*(AB571+AB570)*AG571,(VLOOKUP(_xlfn.CONCAT(U571,V571,W571,X571,VLOOKUP(Z571,TIME!$S$28:$T$39,2,FALSE)),FC_DATA!$R$2:$AB$5000,MATCH("GS_I_M",FC_DATA!$R$1:$AB$1,0),FALSE)+FC_DATA!AB571)*0.5*FC_DATA!AG571),NA())</f>
        <v>#N/A</v>
      </c>
      <c r="AI571" s="491" t="e">
        <f ca="1">IF(V571="PARTNER.com",AH571,IF(AND(V571=V570,W571=W570),(1-AVERAGE(AD570,AD571))*AH571,(1-AVERAGE(AD571,VLOOKUP(_xlfn.CONCAT(U571,V571,W571,X571,M_BRAND_FC!$F$6),FC_DATA!$R$2:$AD$5000,MATCH("DISCOUNT_%_M",FC_DATA!$R$1:$AD$1,0),FALSE)))*AH571))</f>
        <v>#N/A</v>
      </c>
      <c r="AJ571" s="412" t="str">
        <f t="shared" ca="1" si="200"/>
        <v/>
      </c>
      <c r="AK571" s="413" t="str">
        <f>IFERROR(AE571/(Q_BRAND_FC!$T$24+1),"")</f>
        <v/>
      </c>
      <c r="AL571" s="88" t="str">
        <f t="shared" ca="1" si="201"/>
        <v/>
      </c>
      <c r="AM571" s="414" t="str">
        <f t="shared" ca="1" si="202"/>
        <v/>
      </c>
      <c r="AN571" s="58">
        <f>IFERROR(IF($V571="BRAND.com",HLOOKUP($X571&amp;$Z571,NWC_FC_NOOS!$C$4:$Q$23,MATCH(W571,NWC_FC_NOOS!$B$4:$B$23,0),FALSE),0),0)</f>
        <v>0</v>
      </c>
      <c r="AO571" s="57">
        <f>IFERROR(IF($V571="BRAND.com",HLOOKUP($X571&amp;$Z571,NWC_FC_NOOS!$T$4:$AH$23,MATCH(W571,NWC_FC_NOOS!$S$4:$S$23,0),FALSE),0),0)</f>
        <v>0</v>
      </c>
      <c r="AP571" s="57">
        <f>IFERROR(IF($V571="BRAND.com",HLOOKUP($X571&amp;$Z571,NWC_FC_NOOS!$C$50:$U$69,MATCH(W571,NWC_FC_NOOS!$B$50:$B$69,0),FALSE),0),0)</f>
        <v>0</v>
      </c>
      <c r="AQ571" s="58">
        <f>IFERROR(IF($V571="BRAND.com",HLOOKUP($X571&amp;$Z571,'NWC_FC_NON-NOOS'!$C$4:$Q$23,MATCH(W571,'NWC_FC_NON-NOOS'!$B$4:$B$23,0),FALSE),0),0)</f>
        <v>0</v>
      </c>
      <c r="AR571" s="57">
        <f>IFERROR(IF($V571="BRAND.com",HLOOKUP($X571&amp;$Z571,'NWC_FC_NON-NOOS'!$T$4:$AH$23,MATCH(W571,'NWC_FC_NON-NOOS'!$S$4:$S$23,0),FALSE),0),0)</f>
        <v>0</v>
      </c>
      <c r="AS571" s="57">
        <f>IFERROR(IF($V571="BRAND.com",HLOOKUP($X571&amp;$Z571,'NWC_FC_NON-NOOS'!$C$50:$U$69,MATCH(W571,'NWC_FC_NON-NOOS'!$B$50:$B$69,0),FALSE),0),0)</f>
        <v>0</v>
      </c>
      <c r="AT571" s="57">
        <f t="shared" si="204"/>
        <v>0</v>
      </c>
      <c r="AU571" s="57">
        <f t="shared" si="205"/>
        <v>0</v>
      </c>
      <c r="AV571" s="58">
        <f>IFERROR(IF($V571="BRAND.com",HLOOKUP($X571&amp;$Z571,PLANNING_FC!$BB$27:$BP$46,MATCH($W571,PLANNING_FC!$BA$27:$BA$46,0),FALSE),0),0)</f>
        <v>0</v>
      </c>
      <c r="AW571" s="58">
        <f>IFERROR(IF($V571="BRAND.com",HLOOKUP($X571&amp;$Z571,PLANNING_FC!$BB$4:$BP$23,MATCH($W571,PLANNING_FC!$BA$4:$BA$23,0),FALSE),0),0)</f>
        <v>0</v>
      </c>
      <c r="AX571" s="58">
        <f>IFERROR(IF($V571="BRAND.com",HLOOKUP($X571&amp;$Z571,PLANNING_FC!$T$27:$AH$46,MATCH($W571,PLANNING_FC!$B$27:$B$46,0),FALSE),0),0)</f>
        <v>0</v>
      </c>
      <c r="AY571" s="58">
        <f>IFERROR(IF($V571="BRAND.com",HLOOKUP($X571&amp;$Z571,PLANNING_FC!$T$4:$AH$23,MATCH($W571,PLANNING_FC!$B$4:$B$23,0),FALSE),0),0)</f>
        <v>0</v>
      </c>
      <c r="AZ571" s="58">
        <f>IFERROR(IF($V571="BRAND.com",HLOOKUP($X571&amp;$Z571,PLANNING_FC!$DA$27:$DO$46,MATCH($W571,PLANNING_FC!$CZ$27:$CZ$46,0),FALSE),0),0)</f>
        <v>0</v>
      </c>
      <c r="BA571" s="58">
        <f>IFERROR(IF($V571="BRAND.com",HLOOKUP($X571&amp;$Z571,PLANNING_FC!$DA$4:$DO$23,MATCH($W571,PLANNING_FC!$CZ$4:$CZ$23,0),FALSE),0),0)</f>
        <v>0</v>
      </c>
      <c r="BB571" s="883" t="str">
        <f>IF(V571="BRAND.com",IFERROR(HLOOKUP(X571&amp;Z571,PLANNING_FC!$AK$4:$AY$23,MATCH(W571,PLANNING_FC!$AJ$4:$AJ$23,0),FALSE)*1000,""),"")</f>
        <v/>
      </c>
      <c r="BC571" s="883" t="str">
        <f>IF(V571="BRAND.com",IFERROR(HLOOKUP(X571&amp;Z571,PLANNING_FC!$AK$27:$AY$46,MATCH(W571,PLANNING_FC!$AJ$27:$AJ$46,0),FALSE)*1000,""),"")</f>
        <v/>
      </c>
    </row>
    <row r="572" spans="1:55" x14ac:dyDescent="0.25">
      <c r="A572" s="509"/>
      <c r="B572" s="509"/>
      <c r="C572" s="509"/>
      <c r="D572" s="509"/>
      <c r="E572" s="509"/>
      <c r="F572" s="509"/>
      <c r="G572" s="509"/>
      <c r="H572" s="509"/>
      <c r="I572" s="512"/>
      <c r="J572" s="513"/>
      <c r="K572" s="514"/>
      <c r="L572" s="515"/>
      <c r="M572" s="516"/>
      <c r="N572" s="56">
        <f t="shared" si="218"/>
        <v>0</v>
      </c>
      <c r="O572" s="57">
        <f t="shared" si="219"/>
        <v>0</v>
      </c>
      <c r="P572" s="57">
        <f ca="1">IFERROR(IF(ISBLANK(H572),SUMIFS($AC:$AC,$V:$V,V572,$W:$W,W572,$X:$X,X572,$Y:$Y,Y572)*J572/(1-J572)*VLOOKUP(_xlfn.CONCAT(C572,D572,E572,TIME!$M$12,Z572),HIS_SALES!$B$2:$W$4859,20,FALSE),AC572*J572/(1-J572)),0)</f>
        <v>0</v>
      </c>
      <c r="Q572" s="541" t="str">
        <f t="shared" si="220"/>
        <v/>
      </c>
      <c r="R572" s="346" t="str">
        <f t="shared" si="189"/>
        <v>00000</v>
      </c>
      <c r="S572" s="344">
        <f t="shared" si="221"/>
        <v>0</v>
      </c>
      <c r="T572" s="345" t="str">
        <f t="shared" si="203"/>
        <v>000</v>
      </c>
      <c r="U572" s="345">
        <f t="shared" si="222"/>
        <v>0</v>
      </c>
      <c r="V572" s="345">
        <f t="shared" si="223"/>
        <v>0</v>
      </c>
      <c r="W572" s="345">
        <f t="shared" si="224"/>
        <v>0</v>
      </c>
      <c r="X572" s="345">
        <f t="shared" si="225"/>
        <v>0</v>
      </c>
      <c r="Y572" s="345">
        <f t="shared" si="226"/>
        <v>0</v>
      </c>
      <c r="Z572" s="345">
        <f>IF(Q572&lt;&gt;"",VLOOKUP(Y572,TIME!$R$21:$V$24,MATCH(FC_DATA!Q572,TIME!$R$20:$V$20,0),FALSE),H572)</f>
        <v>0</v>
      </c>
      <c r="AA572" s="345" t="str">
        <f>IFERROR(VLOOKUP(X572&amp;Z572,TIME!$A$12:$D$71,4,FALSE),"")</f>
        <v/>
      </c>
      <c r="AB572" s="592">
        <f t="shared" ca="1" si="196"/>
        <v>0</v>
      </c>
      <c r="AC572" s="593" t="e">
        <f ca="1">IF(ISBLANK(H572)=FALSE,IF(D572="BRAND.com",I572,IF(ISNA(VLOOKUP(_xlfn.CONCAT(X572,Z572),TIME!$M$40:$M$42,1,FALSE)),I572,VLOOKUP(_xlfn.CONCAT(D572,G572,H572),M_BUSAREA_FC!$AF$5:$AJ$10,5,FALSE)*HLOOKUP(_xlfn.CONCAT(F572,H572),ST_OVERVIEW!$G$99:$I$130,MATCH(_xlfn.CONCAT(D572,E572),ST_OVERVIEW!$F$99:$F$130,0),FALSE))),IF(D572="BRAND.com",VLOOKUP(_xlfn.CONCAT(C572,D572,E572,TIME!$F$1,Z572),HIS_SALES!$B$2:$V$4859,19,FALSE)*I572,VLOOKUP(_xlfn.CONCAT(D572,F572,G572),Q_BUSAREA_FC!$AE$5:$AI$12,5,FALSE)*HLOOKUP(_xlfn.CONCAT(FC_DATA!F572,FC_DATA!G572),LT_OVERVIEW!$I$99:$M$130,MATCH(_xlfn.CONCAT(D572,FC_DATA!E572),LT_OVERVIEW!$H$99:$H$130,0),FALSE)*IFERROR(VLOOKUP(_xlfn.CONCAT(C572,D572,E572,TIME!$F$1,Z572),HIS_SALES!$B$2:$V$4859,19,FALSE),0)))</f>
        <v>#N/A</v>
      </c>
      <c r="AD572" s="341">
        <f t="shared" ca="1" si="227"/>
        <v>0</v>
      </c>
      <c r="AE572" s="363" t="str">
        <f t="shared" si="228"/>
        <v/>
      </c>
      <c r="AF572" s="342" t="str">
        <f t="shared" si="229"/>
        <v/>
      </c>
      <c r="AG572" s="411" t="e">
        <f ca="1">VLOOKUP(_xlfn.CONCAT(U572,V572,W572,VLOOKUP(X572&amp;Y572,TIME!$L$27:$O$34,4,FALSE),Y572),HIS_SALES!$A$2:$R$5093,18,FALSE)</f>
        <v>#N/A</v>
      </c>
      <c r="AH572" s="412" t="e">
        <f ca="1">IFERROR(IF(AND(V572=V571,W572=W571),0.5*(AB572+AB571)*AG572,(VLOOKUP(_xlfn.CONCAT(U572,V572,W572,X572,VLOOKUP(Z572,TIME!$S$28:$T$39,2,FALSE)),FC_DATA!$R$2:$AB$5000,MATCH("GS_I_M",FC_DATA!$R$1:$AB$1,0),FALSE)+FC_DATA!AB572)*0.5*FC_DATA!AG572),NA())</f>
        <v>#N/A</v>
      </c>
      <c r="AI572" s="491" t="e">
        <f ca="1">IF(V572="PARTNER.com",AH572,IF(AND(V572=V571,W572=W571),(1-AVERAGE(AD571,AD572))*AH572,(1-AVERAGE(AD572,VLOOKUP(_xlfn.CONCAT(U572,V572,W572,X572,M_BRAND_FC!$F$6),FC_DATA!$R$2:$AD$5000,MATCH("DISCOUNT_%_M",FC_DATA!$R$1:$AD$1,0),FALSE)))*AH572))</f>
        <v>#N/A</v>
      </c>
      <c r="AJ572" s="412" t="str">
        <f t="shared" ca="1" si="200"/>
        <v/>
      </c>
      <c r="AK572" s="413" t="str">
        <f>IFERROR(AE572/(Q_BRAND_FC!$T$24+1),"")</f>
        <v/>
      </c>
      <c r="AL572" s="88" t="str">
        <f t="shared" ca="1" si="201"/>
        <v/>
      </c>
      <c r="AM572" s="414" t="str">
        <f t="shared" ca="1" si="202"/>
        <v/>
      </c>
      <c r="AN572" s="58">
        <f>IFERROR(IF($V572="BRAND.com",HLOOKUP($X572&amp;$Z572,NWC_FC_NOOS!$C$4:$Q$23,MATCH(W572,NWC_FC_NOOS!$B$4:$B$23,0),FALSE),0),0)</f>
        <v>0</v>
      </c>
      <c r="AO572" s="57">
        <f>IFERROR(IF($V572="BRAND.com",HLOOKUP($X572&amp;$Z572,NWC_FC_NOOS!$T$4:$AH$23,MATCH(W572,NWC_FC_NOOS!$S$4:$S$23,0),FALSE),0),0)</f>
        <v>0</v>
      </c>
      <c r="AP572" s="57">
        <f>IFERROR(IF($V572="BRAND.com",HLOOKUP($X572&amp;$Z572,NWC_FC_NOOS!$C$50:$U$69,MATCH(W572,NWC_FC_NOOS!$B$50:$B$69,0),FALSE),0),0)</f>
        <v>0</v>
      </c>
      <c r="AQ572" s="58">
        <f>IFERROR(IF($V572="BRAND.com",HLOOKUP($X572&amp;$Z572,'NWC_FC_NON-NOOS'!$C$4:$Q$23,MATCH(W572,'NWC_FC_NON-NOOS'!$B$4:$B$23,0),FALSE),0),0)</f>
        <v>0</v>
      </c>
      <c r="AR572" s="57">
        <f>IFERROR(IF($V572="BRAND.com",HLOOKUP($X572&amp;$Z572,'NWC_FC_NON-NOOS'!$T$4:$AH$23,MATCH(W572,'NWC_FC_NON-NOOS'!$S$4:$S$23,0),FALSE),0),0)</f>
        <v>0</v>
      </c>
      <c r="AS572" s="57">
        <f>IFERROR(IF($V572="BRAND.com",HLOOKUP($X572&amp;$Z572,'NWC_FC_NON-NOOS'!$C$50:$U$69,MATCH(W572,'NWC_FC_NON-NOOS'!$B$50:$B$69,0),FALSE),0),0)</f>
        <v>0</v>
      </c>
      <c r="AT572" s="57">
        <f t="shared" si="204"/>
        <v>0</v>
      </c>
      <c r="AU572" s="57">
        <f t="shared" si="205"/>
        <v>0</v>
      </c>
      <c r="AV572" s="58">
        <f>IFERROR(IF($V572="BRAND.com",HLOOKUP($X572&amp;$Z572,PLANNING_FC!$BB$27:$BP$46,MATCH($W572,PLANNING_FC!$BA$27:$BA$46,0),FALSE),0),0)</f>
        <v>0</v>
      </c>
      <c r="AW572" s="58">
        <f>IFERROR(IF($V572="BRAND.com",HLOOKUP($X572&amp;$Z572,PLANNING_FC!$BB$4:$BP$23,MATCH($W572,PLANNING_FC!$BA$4:$BA$23,0),FALSE),0),0)</f>
        <v>0</v>
      </c>
      <c r="AX572" s="58">
        <f>IFERROR(IF($V572="BRAND.com",HLOOKUP($X572&amp;$Z572,PLANNING_FC!$T$27:$AH$46,MATCH($W572,PLANNING_FC!$B$27:$B$46,0),FALSE),0),0)</f>
        <v>0</v>
      </c>
      <c r="AY572" s="58">
        <f>IFERROR(IF($V572="BRAND.com",HLOOKUP($X572&amp;$Z572,PLANNING_FC!$T$4:$AH$23,MATCH($W572,PLANNING_FC!$B$4:$B$23,0),FALSE),0),0)</f>
        <v>0</v>
      </c>
      <c r="AZ572" s="58">
        <f>IFERROR(IF($V572="BRAND.com",HLOOKUP($X572&amp;$Z572,PLANNING_FC!$DA$27:$DO$46,MATCH($W572,PLANNING_FC!$CZ$27:$CZ$46,0),FALSE),0),0)</f>
        <v>0</v>
      </c>
      <c r="BA572" s="58">
        <f>IFERROR(IF($V572="BRAND.com",HLOOKUP($X572&amp;$Z572,PLANNING_FC!$DA$4:$DO$23,MATCH($W572,PLANNING_FC!$CZ$4:$CZ$23,0),FALSE),0),0)</f>
        <v>0</v>
      </c>
      <c r="BB572" s="883" t="str">
        <f>IF(V572="BRAND.com",IFERROR(HLOOKUP(X572&amp;Z572,PLANNING_FC!$AK$4:$AY$23,MATCH(W572,PLANNING_FC!$AJ$4:$AJ$23,0),FALSE)*1000,""),"")</f>
        <v/>
      </c>
      <c r="BC572" s="883" t="str">
        <f>IF(V572="BRAND.com",IFERROR(HLOOKUP(X572&amp;Z572,PLANNING_FC!$AK$27:$AY$46,MATCH(W572,PLANNING_FC!$AJ$27:$AJ$46,0),FALSE)*1000,""),"")</f>
        <v/>
      </c>
    </row>
    <row r="573" spans="1:55" x14ac:dyDescent="0.25">
      <c r="A573" s="509"/>
      <c r="B573" s="509"/>
      <c r="C573" s="509"/>
      <c r="D573" s="509"/>
      <c r="E573" s="509"/>
      <c r="F573" s="509"/>
      <c r="G573" s="509"/>
      <c r="H573" s="509"/>
      <c r="I573" s="512"/>
      <c r="J573" s="513"/>
      <c r="K573" s="514"/>
      <c r="L573" s="515"/>
      <c r="M573" s="516"/>
      <c r="N573" s="56">
        <f t="shared" si="218"/>
        <v>0</v>
      </c>
      <c r="O573" s="57">
        <f t="shared" si="219"/>
        <v>0</v>
      </c>
      <c r="P573" s="57">
        <f ca="1">IFERROR(IF(ISBLANK(H573),SUMIFS($AC:$AC,$V:$V,V573,$W:$W,W573,$X:$X,X573,$Y:$Y,Y573)*J573/(1-J573)*VLOOKUP(_xlfn.CONCAT(C573,D573,E573,TIME!$M$12,Z573),HIS_SALES!$B$2:$W$4859,20,FALSE),AC573*J573/(1-J573)),0)</f>
        <v>0</v>
      </c>
      <c r="Q573" s="541" t="str">
        <f t="shared" si="220"/>
        <v/>
      </c>
      <c r="R573" s="346" t="str">
        <f t="shared" si="189"/>
        <v>00000</v>
      </c>
      <c r="S573" s="344">
        <f t="shared" si="221"/>
        <v>0</v>
      </c>
      <c r="T573" s="345" t="str">
        <f t="shared" si="203"/>
        <v>000</v>
      </c>
      <c r="U573" s="345">
        <f t="shared" si="222"/>
        <v>0</v>
      </c>
      <c r="V573" s="345">
        <f t="shared" si="223"/>
        <v>0</v>
      </c>
      <c r="W573" s="345">
        <f t="shared" si="224"/>
        <v>0</v>
      </c>
      <c r="X573" s="345">
        <f t="shared" si="225"/>
        <v>0</v>
      </c>
      <c r="Y573" s="345">
        <f t="shared" si="226"/>
        <v>0</v>
      </c>
      <c r="Z573" s="345">
        <f>IF(Q573&lt;&gt;"",VLOOKUP(Y573,TIME!$R$21:$V$24,MATCH(FC_DATA!Q573,TIME!$R$20:$V$20,0),FALSE),H573)</f>
        <v>0</v>
      </c>
      <c r="AA573" s="345" t="str">
        <f>IFERROR(VLOOKUP(X573&amp;Z573,TIME!$A$12:$D$71,4,FALSE),"")</f>
        <v/>
      </c>
      <c r="AB573" s="592">
        <f t="shared" ca="1" si="196"/>
        <v>0</v>
      </c>
      <c r="AC573" s="593" t="e">
        <f ca="1">IF(ISBLANK(H573)=FALSE,IF(D573="BRAND.com",I573,IF(ISNA(VLOOKUP(_xlfn.CONCAT(X573,Z573),TIME!$M$40:$M$42,1,FALSE)),I573,VLOOKUP(_xlfn.CONCAT(D573,G573,H573),M_BUSAREA_FC!$AF$5:$AJ$10,5,FALSE)*HLOOKUP(_xlfn.CONCAT(F573,H573),ST_OVERVIEW!$G$99:$I$130,MATCH(_xlfn.CONCAT(D573,E573),ST_OVERVIEW!$F$99:$F$130,0),FALSE))),IF(D573="BRAND.com",VLOOKUP(_xlfn.CONCAT(C573,D573,E573,TIME!$F$1,Z573),HIS_SALES!$B$2:$V$4859,19,FALSE)*I573,VLOOKUP(_xlfn.CONCAT(D573,F573,G573),Q_BUSAREA_FC!$AE$5:$AI$12,5,FALSE)*HLOOKUP(_xlfn.CONCAT(FC_DATA!F573,FC_DATA!G573),LT_OVERVIEW!$I$99:$M$130,MATCH(_xlfn.CONCAT(D573,FC_DATA!E573),LT_OVERVIEW!$H$99:$H$130,0),FALSE)*IFERROR(VLOOKUP(_xlfn.CONCAT(C573,D573,E573,TIME!$F$1,Z573),HIS_SALES!$B$2:$V$4859,19,FALSE),0)))</f>
        <v>#N/A</v>
      </c>
      <c r="AD573" s="341">
        <f t="shared" ca="1" si="227"/>
        <v>0</v>
      </c>
      <c r="AE573" s="363" t="str">
        <f t="shared" si="228"/>
        <v/>
      </c>
      <c r="AF573" s="342" t="str">
        <f t="shared" si="229"/>
        <v/>
      </c>
      <c r="AG573" s="411" t="e">
        <f ca="1">VLOOKUP(_xlfn.CONCAT(U573,V573,W573,VLOOKUP(X573&amp;Y573,TIME!$L$27:$O$34,4,FALSE),Y573),HIS_SALES!$A$2:$R$5093,18,FALSE)</f>
        <v>#N/A</v>
      </c>
      <c r="AH573" s="412" t="e">
        <f ca="1">IFERROR(IF(AND(V573=V572,W573=W572),0.5*(AB573+AB572)*AG573,(VLOOKUP(_xlfn.CONCAT(U573,V573,W573,X573,VLOOKUP(Z573,TIME!$S$28:$T$39,2,FALSE)),FC_DATA!$R$2:$AB$5000,MATCH("GS_I_M",FC_DATA!$R$1:$AB$1,0),FALSE)+FC_DATA!AB573)*0.5*FC_DATA!AG573),NA())</f>
        <v>#N/A</v>
      </c>
      <c r="AI573" s="491" t="e">
        <f ca="1">IF(V573="PARTNER.com",AH573,IF(AND(V573=V572,W573=W572),(1-AVERAGE(AD572,AD573))*AH573,(1-AVERAGE(AD573,VLOOKUP(_xlfn.CONCAT(U573,V573,W573,X573,M_BRAND_FC!$F$6),FC_DATA!$R$2:$AD$5000,MATCH("DISCOUNT_%_M",FC_DATA!$R$1:$AD$1,0),FALSE)))*AH573))</f>
        <v>#N/A</v>
      </c>
      <c r="AJ573" s="412" t="str">
        <f t="shared" ca="1" si="200"/>
        <v/>
      </c>
      <c r="AK573" s="413" t="str">
        <f>IFERROR(AE573/(Q_BRAND_FC!$T$24+1),"")</f>
        <v/>
      </c>
      <c r="AL573" s="88" t="str">
        <f t="shared" ca="1" si="201"/>
        <v/>
      </c>
      <c r="AM573" s="414" t="str">
        <f t="shared" ca="1" si="202"/>
        <v/>
      </c>
      <c r="AN573" s="58">
        <f>IFERROR(IF($V573="BRAND.com",HLOOKUP($X573&amp;$Z573,NWC_FC_NOOS!$C$4:$Q$23,MATCH(W573,NWC_FC_NOOS!$B$4:$B$23,0),FALSE),0),0)</f>
        <v>0</v>
      </c>
      <c r="AO573" s="57">
        <f>IFERROR(IF($V573="BRAND.com",HLOOKUP($X573&amp;$Z573,NWC_FC_NOOS!$T$4:$AH$23,MATCH(W573,NWC_FC_NOOS!$S$4:$S$23,0),FALSE),0),0)</f>
        <v>0</v>
      </c>
      <c r="AP573" s="57">
        <f>IFERROR(IF($V573="BRAND.com",HLOOKUP($X573&amp;$Z573,NWC_FC_NOOS!$C$50:$U$69,MATCH(W573,NWC_FC_NOOS!$B$50:$B$69,0),FALSE),0),0)</f>
        <v>0</v>
      </c>
      <c r="AQ573" s="58">
        <f>IFERROR(IF($V573="BRAND.com",HLOOKUP($X573&amp;$Z573,'NWC_FC_NON-NOOS'!$C$4:$Q$23,MATCH(W573,'NWC_FC_NON-NOOS'!$B$4:$B$23,0),FALSE),0),0)</f>
        <v>0</v>
      </c>
      <c r="AR573" s="57">
        <f>IFERROR(IF($V573="BRAND.com",HLOOKUP($X573&amp;$Z573,'NWC_FC_NON-NOOS'!$T$4:$AH$23,MATCH(W573,'NWC_FC_NON-NOOS'!$S$4:$S$23,0),FALSE),0),0)</f>
        <v>0</v>
      </c>
      <c r="AS573" s="57">
        <f>IFERROR(IF($V573="BRAND.com",HLOOKUP($X573&amp;$Z573,'NWC_FC_NON-NOOS'!$C$50:$U$69,MATCH(W573,'NWC_FC_NON-NOOS'!$B$50:$B$69,0),FALSE),0),0)</f>
        <v>0</v>
      </c>
      <c r="AT573" s="57">
        <f t="shared" si="204"/>
        <v>0</v>
      </c>
      <c r="AU573" s="57">
        <f t="shared" si="205"/>
        <v>0</v>
      </c>
      <c r="AV573" s="58">
        <f>IFERROR(IF($V573="BRAND.com",HLOOKUP($X573&amp;$Z573,PLANNING_FC!$BB$27:$BP$46,MATCH($W573,PLANNING_FC!$BA$27:$BA$46,0),FALSE),0),0)</f>
        <v>0</v>
      </c>
      <c r="AW573" s="58">
        <f>IFERROR(IF($V573="BRAND.com",HLOOKUP($X573&amp;$Z573,PLANNING_FC!$BB$4:$BP$23,MATCH($W573,PLANNING_FC!$BA$4:$BA$23,0),FALSE),0),0)</f>
        <v>0</v>
      </c>
      <c r="AX573" s="58">
        <f>IFERROR(IF($V573="BRAND.com",HLOOKUP($X573&amp;$Z573,PLANNING_FC!$T$27:$AH$46,MATCH($W573,PLANNING_FC!$B$27:$B$46,0),FALSE),0),0)</f>
        <v>0</v>
      </c>
      <c r="AY573" s="58">
        <f>IFERROR(IF($V573="BRAND.com",HLOOKUP($X573&amp;$Z573,PLANNING_FC!$T$4:$AH$23,MATCH($W573,PLANNING_FC!$B$4:$B$23,0),FALSE),0),0)</f>
        <v>0</v>
      </c>
      <c r="AZ573" s="58">
        <f>IFERROR(IF($V573="BRAND.com",HLOOKUP($X573&amp;$Z573,PLANNING_FC!$DA$27:$DO$46,MATCH($W573,PLANNING_FC!$CZ$27:$CZ$46,0),FALSE),0),0)</f>
        <v>0</v>
      </c>
      <c r="BA573" s="58">
        <f>IFERROR(IF($V573="BRAND.com",HLOOKUP($X573&amp;$Z573,PLANNING_FC!$DA$4:$DO$23,MATCH($W573,PLANNING_FC!$CZ$4:$CZ$23,0),FALSE),0),0)</f>
        <v>0</v>
      </c>
      <c r="BB573" s="883" t="str">
        <f>IF(V573="BRAND.com",IFERROR(HLOOKUP(X573&amp;Z573,PLANNING_FC!$AK$4:$AY$23,MATCH(W573,PLANNING_FC!$AJ$4:$AJ$23,0),FALSE)*1000,""),"")</f>
        <v/>
      </c>
      <c r="BC573" s="883" t="str">
        <f>IF(V573="BRAND.com",IFERROR(HLOOKUP(X573&amp;Z573,PLANNING_FC!$AK$27:$AY$46,MATCH(W573,PLANNING_FC!$AJ$27:$AJ$46,0),FALSE)*1000,""),"")</f>
        <v/>
      </c>
    </row>
    <row r="574" spans="1:55" x14ac:dyDescent="0.25">
      <c r="A574" s="509"/>
      <c r="B574" s="509"/>
      <c r="C574" s="509"/>
      <c r="D574" s="509"/>
      <c r="E574" s="509"/>
      <c r="F574" s="509"/>
      <c r="G574" s="511"/>
      <c r="H574" s="509"/>
      <c r="I574" s="512"/>
      <c r="J574" s="513"/>
      <c r="K574" s="514"/>
      <c r="L574" s="515"/>
      <c r="M574" s="516"/>
      <c r="N574" s="56">
        <f t="shared" si="218"/>
        <v>0</v>
      </c>
      <c r="O574" s="57">
        <f t="shared" si="219"/>
        <v>0</v>
      </c>
      <c r="P574" s="57">
        <f ca="1">IFERROR(IF(ISBLANK(H574),SUMIFS($AC:$AC,$V:$V,V574,$W:$W,W574,$X:$X,X574,$Y:$Y,Y574)*J574/(1-J574)*VLOOKUP(_xlfn.CONCAT(C574,D574,E574,TIME!$M$12,Z574),HIS_SALES!$B$2:$W$4859,20,FALSE),AC574*J574/(1-J574)),0)</f>
        <v>0</v>
      </c>
      <c r="Q574" s="541" t="str">
        <f t="shared" si="220"/>
        <v/>
      </c>
      <c r="R574" s="346" t="str">
        <f t="shared" si="189"/>
        <v>00000</v>
      </c>
      <c r="S574" s="344">
        <f t="shared" si="221"/>
        <v>0</v>
      </c>
      <c r="T574" s="345" t="str">
        <f t="shared" si="203"/>
        <v>000</v>
      </c>
      <c r="U574" s="345">
        <f t="shared" si="222"/>
        <v>0</v>
      </c>
      <c r="V574" s="345">
        <f t="shared" si="223"/>
        <v>0</v>
      </c>
      <c r="W574" s="345">
        <f t="shared" si="224"/>
        <v>0</v>
      </c>
      <c r="X574" s="345">
        <f t="shared" si="225"/>
        <v>0</v>
      </c>
      <c r="Y574" s="345">
        <f t="shared" si="226"/>
        <v>0</v>
      </c>
      <c r="Z574" s="345">
        <f>IF(Q574&lt;&gt;"",VLOOKUP(Y574,TIME!$R$21:$V$24,MATCH(FC_DATA!Q574,TIME!$R$20:$V$20,0),FALSE),H574)</f>
        <v>0</v>
      </c>
      <c r="AA574" s="345" t="str">
        <f>IFERROR(VLOOKUP(X574&amp;Z574,TIME!$A$12:$D$71,4,FALSE),"")</f>
        <v/>
      </c>
      <c r="AB574" s="592">
        <f t="shared" ca="1" si="196"/>
        <v>0</v>
      </c>
      <c r="AC574" s="593" t="e">
        <f ca="1">IF(ISBLANK(H574)=FALSE,IF(D574="BRAND.com",I574,IF(ISNA(VLOOKUP(_xlfn.CONCAT(X574,Z574),TIME!$M$40:$M$42,1,FALSE)),I574,VLOOKUP(_xlfn.CONCAT(D574,G574,H574),M_BUSAREA_FC!$AF$5:$AJ$10,5,FALSE)*HLOOKUP(_xlfn.CONCAT(F574,H574),ST_OVERVIEW!$G$99:$I$130,MATCH(_xlfn.CONCAT(D574,E574),ST_OVERVIEW!$F$99:$F$130,0),FALSE))),IF(D574="BRAND.com",VLOOKUP(_xlfn.CONCAT(C574,D574,E574,TIME!$F$1,Z574),HIS_SALES!$B$2:$V$4859,19,FALSE)*I574,VLOOKUP(_xlfn.CONCAT(D574,F574,G574),Q_BUSAREA_FC!$AE$5:$AI$12,5,FALSE)*HLOOKUP(_xlfn.CONCAT(FC_DATA!F574,FC_DATA!G574),LT_OVERVIEW!$I$99:$M$130,MATCH(_xlfn.CONCAT(D574,FC_DATA!E574),LT_OVERVIEW!$H$99:$H$130,0),FALSE)*IFERROR(VLOOKUP(_xlfn.CONCAT(C574,D574,E574,TIME!$F$1,Z574),HIS_SALES!$B$2:$V$4859,19,FALSE),0)))</f>
        <v>#N/A</v>
      </c>
      <c r="AD574" s="341">
        <f t="shared" ca="1" si="227"/>
        <v>0</v>
      </c>
      <c r="AE574" s="363" t="str">
        <f t="shared" si="228"/>
        <v/>
      </c>
      <c r="AF574" s="342" t="str">
        <f t="shared" si="229"/>
        <v/>
      </c>
      <c r="AG574" s="411" t="e">
        <f ca="1">VLOOKUP(_xlfn.CONCAT(U574,V574,W574,VLOOKUP(X574&amp;Y574,TIME!$L$27:$O$34,4,FALSE),Y574),HIS_SALES!$A$2:$R$5093,18,FALSE)</f>
        <v>#N/A</v>
      </c>
      <c r="AH574" s="412" t="e">
        <f ca="1">IFERROR(IF(AND(V574=V573,W574=W573),0.5*(AB574+AB573)*AG574,(VLOOKUP(_xlfn.CONCAT(U574,V574,W574,X574,VLOOKUP(Z574,TIME!$S$28:$T$39,2,FALSE)),FC_DATA!$R$2:$AB$5000,MATCH("GS_I_M",FC_DATA!$R$1:$AB$1,0),FALSE)+FC_DATA!AB574)*0.5*FC_DATA!AG574),NA())</f>
        <v>#N/A</v>
      </c>
      <c r="AI574" s="491" t="e">
        <f ca="1">IF(V574="PARTNER.com",AH574,IF(AND(V574=V573,W574=W573),(1-AVERAGE(AD573,AD574))*AH574,(1-AVERAGE(AD574,VLOOKUP(_xlfn.CONCAT(U574,V574,W574,X574,M_BRAND_FC!$F$6),FC_DATA!$R$2:$AD$5000,MATCH("DISCOUNT_%_M",FC_DATA!$R$1:$AD$1,0),FALSE)))*AH574))</f>
        <v>#N/A</v>
      </c>
      <c r="AJ574" s="412" t="str">
        <f t="shared" ca="1" si="200"/>
        <v/>
      </c>
      <c r="AK574" s="413" t="str">
        <f>IFERROR(AE574/(Q_BRAND_FC!$T$24+1),"")</f>
        <v/>
      </c>
      <c r="AL574" s="88" t="str">
        <f t="shared" ca="1" si="201"/>
        <v/>
      </c>
      <c r="AM574" s="414" t="str">
        <f t="shared" ca="1" si="202"/>
        <v/>
      </c>
      <c r="AN574" s="58">
        <f>IFERROR(IF($V574="BRAND.com",HLOOKUP($X574&amp;$Z574,NWC_FC_NOOS!$C$4:$Q$23,MATCH(W574,NWC_FC_NOOS!$B$4:$B$23,0),FALSE),0),0)</f>
        <v>0</v>
      </c>
      <c r="AO574" s="57">
        <f>IFERROR(IF($V574="BRAND.com",HLOOKUP($X574&amp;$Z574,NWC_FC_NOOS!$T$4:$AH$23,MATCH(W574,NWC_FC_NOOS!$S$4:$S$23,0),FALSE),0),0)</f>
        <v>0</v>
      </c>
      <c r="AP574" s="57">
        <f>IFERROR(IF($V574="BRAND.com",HLOOKUP($X574&amp;$Z574,NWC_FC_NOOS!$C$50:$U$69,MATCH(W574,NWC_FC_NOOS!$B$50:$B$69,0),FALSE),0),0)</f>
        <v>0</v>
      </c>
      <c r="AQ574" s="58">
        <f>IFERROR(IF($V574="BRAND.com",HLOOKUP($X574&amp;$Z574,'NWC_FC_NON-NOOS'!$C$4:$Q$23,MATCH(W574,'NWC_FC_NON-NOOS'!$B$4:$B$23,0),FALSE),0),0)</f>
        <v>0</v>
      </c>
      <c r="AR574" s="57">
        <f>IFERROR(IF($V574="BRAND.com",HLOOKUP($X574&amp;$Z574,'NWC_FC_NON-NOOS'!$T$4:$AH$23,MATCH(W574,'NWC_FC_NON-NOOS'!$S$4:$S$23,0),FALSE),0),0)</f>
        <v>0</v>
      </c>
      <c r="AS574" s="57">
        <f>IFERROR(IF($V574="BRAND.com",HLOOKUP($X574&amp;$Z574,'NWC_FC_NON-NOOS'!$C$50:$U$69,MATCH(W574,'NWC_FC_NON-NOOS'!$B$50:$B$69,0),FALSE),0),0)</f>
        <v>0</v>
      </c>
      <c r="AT574" s="57">
        <f t="shared" si="204"/>
        <v>0</v>
      </c>
      <c r="AU574" s="57">
        <f t="shared" si="205"/>
        <v>0</v>
      </c>
      <c r="AV574" s="58">
        <f>IFERROR(IF($V574="BRAND.com",HLOOKUP($X574&amp;$Z574,PLANNING_FC!$BB$27:$BP$46,MATCH($W574,PLANNING_FC!$BA$27:$BA$46,0),FALSE),0),0)</f>
        <v>0</v>
      </c>
      <c r="AW574" s="58">
        <f>IFERROR(IF($V574="BRAND.com",HLOOKUP($X574&amp;$Z574,PLANNING_FC!$BB$4:$BP$23,MATCH($W574,PLANNING_FC!$BA$4:$BA$23,0),FALSE),0),0)</f>
        <v>0</v>
      </c>
      <c r="AX574" s="58">
        <f>IFERROR(IF($V574="BRAND.com",HLOOKUP($X574&amp;$Z574,PLANNING_FC!$T$27:$AH$46,MATCH($W574,PLANNING_FC!$B$27:$B$46,0),FALSE),0),0)</f>
        <v>0</v>
      </c>
      <c r="AY574" s="58">
        <f>IFERROR(IF($V574="BRAND.com",HLOOKUP($X574&amp;$Z574,PLANNING_FC!$T$4:$AH$23,MATCH($W574,PLANNING_FC!$B$4:$B$23,0),FALSE),0),0)</f>
        <v>0</v>
      </c>
      <c r="AZ574" s="58">
        <f>IFERROR(IF($V574="BRAND.com",HLOOKUP($X574&amp;$Z574,PLANNING_FC!$DA$27:$DO$46,MATCH($W574,PLANNING_FC!$CZ$27:$CZ$46,0),FALSE),0),0)</f>
        <v>0</v>
      </c>
      <c r="BA574" s="58">
        <f>IFERROR(IF($V574="BRAND.com",HLOOKUP($X574&amp;$Z574,PLANNING_FC!$DA$4:$DO$23,MATCH($W574,PLANNING_FC!$CZ$4:$CZ$23,0),FALSE),0),0)</f>
        <v>0</v>
      </c>
      <c r="BB574" s="883" t="str">
        <f>IF(V574="BRAND.com",IFERROR(HLOOKUP(X574&amp;Z574,PLANNING_FC!$AK$4:$AY$23,MATCH(W574,PLANNING_FC!$AJ$4:$AJ$23,0),FALSE)*1000,""),"")</f>
        <v/>
      </c>
      <c r="BC574" s="883" t="str">
        <f>IF(V574="BRAND.com",IFERROR(HLOOKUP(X574&amp;Z574,PLANNING_FC!$AK$27:$AY$46,MATCH(W574,PLANNING_FC!$AJ$27:$AJ$46,0),FALSE)*1000,""),"")</f>
        <v/>
      </c>
    </row>
    <row r="575" spans="1:55" x14ac:dyDescent="0.25">
      <c r="A575" s="509"/>
      <c r="B575" s="509"/>
      <c r="C575" s="509"/>
      <c r="D575" s="509"/>
      <c r="E575" s="509"/>
      <c r="F575" s="509"/>
      <c r="G575" s="509"/>
      <c r="H575" s="509"/>
      <c r="I575" s="512"/>
      <c r="J575" s="513"/>
      <c r="K575" s="514"/>
      <c r="L575" s="515"/>
      <c r="M575" s="516"/>
      <c r="N575" s="56">
        <f t="shared" si="218"/>
        <v>0</v>
      </c>
      <c r="O575" s="57">
        <f t="shared" si="219"/>
        <v>0</v>
      </c>
      <c r="P575" s="57">
        <f ca="1">IFERROR(IF(ISBLANK(H575),SUMIFS($AC:$AC,$V:$V,V575,$W:$W,W575,$X:$X,X575,$Y:$Y,Y575)*J575/(1-J575)*VLOOKUP(_xlfn.CONCAT(C575,D575,E575,TIME!$M$12,Z575),HIS_SALES!$B$2:$W$4859,20,FALSE),AC575*J575/(1-J575)),0)</f>
        <v>0</v>
      </c>
      <c r="Q575" s="541" t="str">
        <f t="shared" si="220"/>
        <v/>
      </c>
      <c r="R575" s="346" t="str">
        <f t="shared" si="189"/>
        <v>00000</v>
      </c>
      <c r="S575" s="344">
        <f t="shared" si="221"/>
        <v>0</v>
      </c>
      <c r="T575" s="345" t="str">
        <f t="shared" si="203"/>
        <v>000</v>
      </c>
      <c r="U575" s="345">
        <f t="shared" si="222"/>
        <v>0</v>
      </c>
      <c r="V575" s="345">
        <f t="shared" si="223"/>
        <v>0</v>
      </c>
      <c r="W575" s="345">
        <f t="shared" si="224"/>
        <v>0</v>
      </c>
      <c r="X575" s="345">
        <f t="shared" si="225"/>
        <v>0</v>
      </c>
      <c r="Y575" s="345">
        <f t="shared" si="226"/>
        <v>0</v>
      </c>
      <c r="Z575" s="345">
        <f>IF(Q575&lt;&gt;"",VLOOKUP(Y575,TIME!$R$21:$V$24,MATCH(FC_DATA!Q575,TIME!$R$20:$V$20,0),FALSE),H575)</f>
        <v>0</v>
      </c>
      <c r="AA575" s="345" t="str">
        <f>IFERROR(VLOOKUP(X575&amp;Z575,TIME!$A$12:$D$71,4,FALSE),"")</f>
        <v/>
      </c>
      <c r="AB575" s="592">
        <f t="shared" ca="1" si="196"/>
        <v>0</v>
      </c>
      <c r="AC575" s="593" t="e">
        <f ca="1">IF(ISBLANK(H575)=FALSE,IF(D575="BRAND.com",I575,IF(ISNA(VLOOKUP(_xlfn.CONCAT(X575,Z575),TIME!$M$40:$M$42,1,FALSE)),I575,VLOOKUP(_xlfn.CONCAT(D575,G575,H575),M_BUSAREA_FC!$AF$5:$AJ$10,5,FALSE)*HLOOKUP(_xlfn.CONCAT(F575,H575),ST_OVERVIEW!$G$99:$I$130,MATCH(_xlfn.CONCAT(D575,E575),ST_OVERVIEW!$F$99:$F$130,0),FALSE))),IF(D575="BRAND.com",VLOOKUP(_xlfn.CONCAT(C575,D575,E575,TIME!$F$1,Z575),HIS_SALES!$B$2:$V$4859,19,FALSE)*I575,VLOOKUP(_xlfn.CONCAT(D575,F575,G575),Q_BUSAREA_FC!$AE$5:$AI$12,5,FALSE)*HLOOKUP(_xlfn.CONCAT(FC_DATA!F575,FC_DATA!G575),LT_OVERVIEW!$I$99:$M$130,MATCH(_xlfn.CONCAT(D575,FC_DATA!E575),LT_OVERVIEW!$H$99:$H$130,0),FALSE)*IFERROR(VLOOKUP(_xlfn.CONCAT(C575,D575,E575,TIME!$F$1,Z575),HIS_SALES!$B$2:$V$4859,19,FALSE),0)))</f>
        <v>#N/A</v>
      </c>
      <c r="AD575" s="341">
        <f t="shared" ca="1" si="227"/>
        <v>0</v>
      </c>
      <c r="AE575" s="363" t="str">
        <f t="shared" si="228"/>
        <v/>
      </c>
      <c r="AF575" s="342" t="str">
        <f t="shared" si="229"/>
        <v/>
      </c>
      <c r="AG575" s="411" t="e">
        <f ca="1">VLOOKUP(_xlfn.CONCAT(U575,V575,W575,VLOOKUP(X575&amp;Y575,TIME!$L$27:$O$34,4,FALSE),Y575),HIS_SALES!$A$2:$R$5093,18,FALSE)</f>
        <v>#N/A</v>
      </c>
      <c r="AH575" s="412" t="e">
        <f ca="1">IFERROR(IF(AND(V575=V574,W575=W574),0.5*(AB575+AB574)*AG575,(VLOOKUP(_xlfn.CONCAT(U575,V575,W575,X575,VLOOKUP(Z575,TIME!$S$28:$T$39,2,FALSE)),FC_DATA!$R$2:$AB$5000,MATCH("GS_I_M",FC_DATA!$R$1:$AB$1,0),FALSE)+FC_DATA!AB575)*0.5*FC_DATA!AG575),NA())</f>
        <v>#N/A</v>
      </c>
      <c r="AI575" s="491" t="e">
        <f ca="1">IF(V575="PARTNER.com",AH575,IF(AND(V575=V574,W575=W574),(1-AVERAGE(AD574,AD575))*AH575,(1-AVERAGE(AD575,VLOOKUP(_xlfn.CONCAT(U575,V575,W575,X575,M_BRAND_FC!$F$6),FC_DATA!$R$2:$AD$5000,MATCH("DISCOUNT_%_M",FC_DATA!$R$1:$AD$1,0),FALSE)))*AH575))</f>
        <v>#N/A</v>
      </c>
      <c r="AJ575" s="412" t="str">
        <f t="shared" ca="1" si="200"/>
        <v/>
      </c>
      <c r="AK575" s="413" t="str">
        <f>IFERROR(AE575/(Q_BRAND_FC!$T$24+1),"")</f>
        <v/>
      </c>
      <c r="AL575" s="88" t="str">
        <f t="shared" ca="1" si="201"/>
        <v/>
      </c>
      <c r="AM575" s="414" t="str">
        <f t="shared" ca="1" si="202"/>
        <v/>
      </c>
      <c r="AN575" s="58">
        <f>IFERROR(IF($V575="BRAND.com",HLOOKUP($X575&amp;$Z575,NWC_FC_NOOS!$C$4:$Q$23,MATCH(W575,NWC_FC_NOOS!$B$4:$B$23,0),FALSE),0),0)</f>
        <v>0</v>
      </c>
      <c r="AO575" s="57">
        <f>IFERROR(IF($V575="BRAND.com",HLOOKUP($X575&amp;$Z575,NWC_FC_NOOS!$T$4:$AH$23,MATCH(W575,NWC_FC_NOOS!$S$4:$S$23,0),FALSE),0),0)</f>
        <v>0</v>
      </c>
      <c r="AP575" s="57">
        <f>IFERROR(IF($V575="BRAND.com",HLOOKUP($X575&amp;$Z575,NWC_FC_NOOS!$C$50:$U$69,MATCH(W575,NWC_FC_NOOS!$B$50:$B$69,0),FALSE),0),0)</f>
        <v>0</v>
      </c>
      <c r="AQ575" s="58">
        <f>IFERROR(IF($V575="BRAND.com",HLOOKUP($X575&amp;$Z575,'NWC_FC_NON-NOOS'!$C$4:$Q$23,MATCH(W575,'NWC_FC_NON-NOOS'!$B$4:$B$23,0),FALSE),0),0)</f>
        <v>0</v>
      </c>
      <c r="AR575" s="57">
        <f>IFERROR(IF($V575="BRAND.com",HLOOKUP($X575&amp;$Z575,'NWC_FC_NON-NOOS'!$T$4:$AH$23,MATCH(W575,'NWC_FC_NON-NOOS'!$S$4:$S$23,0),FALSE),0),0)</f>
        <v>0</v>
      </c>
      <c r="AS575" s="57">
        <f>IFERROR(IF($V575="BRAND.com",HLOOKUP($X575&amp;$Z575,'NWC_FC_NON-NOOS'!$C$50:$U$69,MATCH(W575,'NWC_FC_NON-NOOS'!$B$50:$B$69,0),FALSE),0),0)</f>
        <v>0</v>
      </c>
      <c r="AT575" s="57">
        <f t="shared" si="204"/>
        <v>0</v>
      </c>
      <c r="AU575" s="57">
        <f t="shared" si="205"/>
        <v>0</v>
      </c>
      <c r="AV575" s="58">
        <f>IFERROR(IF($V575="BRAND.com",HLOOKUP($X575&amp;$Z575,PLANNING_FC!$BB$27:$BP$46,MATCH($W575,PLANNING_FC!$BA$27:$BA$46,0),FALSE),0),0)</f>
        <v>0</v>
      </c>
      <c r="AW575" s="58">
        <f>IFERROR(IF($V575="BRAND.com",HLOOKUP($X575&amp;$Z575,PLANNING_FC!$BB$4:$BP$23,MATCH($W575,PLANNING_FC!$BA$4:$BA$23,0),FALSE),0),0)</f>
        <v>0</v>
      </c>
      <c r="AX575" s="58">
        <f>IFERROR(IF($V575="BRAND.com",HLOOKUP($X575&amp;$Z575,PLANNING_FC!$T$27:$AH$46,MATCH($W575,PLANNING_FC!$B$27:$B$46,0),FALSE),0),0)</f>
        <v>0</v>
      </c>
      <c r="AY575" s="58">
        <f>IFERROR(IF($V575="BRAND.com",HLOOKUP($X575&amp;$Z575,PLANNING_FC!$T$4:$AH$23,MATCH($W575,PLANNING_FC!$B$4:$B$23,0),FALSE),0),0)</f>
        <v>0</v>
      </c>
      <c r="AZ575" s="58">
        <f>IFERROR(IF($V575="BRAND.com",HLOOKUP($X575&amp;$Z575,PLANNING_FC!$DA$27:$DO$46,MATCH($W575,PLANNING_FC!$CZ$27:$CZ$46,0),FALSE),0),0)</f>
        <v>0</v>
      </c>
      <c r="BA575" s="58">
        <f>IFERROR(IF($V575="BRAND.com",HLOOKUP($X575&amp;$Z575,PLANNING_FC!$DA$4:$DO$23,MATCH($W575,PLANNING_FC!$CZ$4:$CZ$23,0),FALSE),0),0)</f>
        <v>0</v>
      </c>
      <c r="BB575" s="883" t="str">
        <f>IF(V575="BRAND.com",IFERROR(HLOOKUP(X575&amp;Z575,PLANNING_FC!$AK$4:$AY$23,MATCH(W575,PLANNING_FC!$AJ$4:$AJ$23,0),FALSE)*1000,""),"")</f>
        <v/>
      </c>
      <c r="BC575" s="883" t="str">
        <f>IF(V575="BRAND.com",IFERROR(HLOOKUP(X575&amp;Z575,PLANNING_FC!$AK$27:$AY$46,MATCH(W575,PLANNING_FC!$AJ$27:$AJ$46,0),FALSE)*1000,""),"")</f>
        <v/>
      </c>
    </row>
    <row r="576" spans="1:55" x14ac:dyDescent="0.25">
      <c r="A576" s="509"/>
      <c r="B576" s="509"/>
      <c r="C576" s="509"/>
      <c r="D576" s="509"/>
      <c r="E576" s="509"/>
      <c r="F576" s="509"/>
      <c r="G576" s="509"/>
      <c r="H576" s="509"/>
      <c r="I576" s="512"/>
      <c r="J576" s="513"/>
      <c r="K576" s="514"/>
      <c r="L576" s="515"/>
      <c r="M576" s="516"/>
      <c r="N576" s="56">
        <f t="shared" si="218"/>
        <v>0</v>
      </c>
      <c r="O576" s="57">
        <f t="shared" si="219"/>
        <v>0</v>
      </c>
      <c r="P576" s="57">
        <f ca="1">IFERROR(IF(ISBLANK(H576),SUMIFS($AC:$AC,$V:$V,V576,$W:$W,W576,$X:$X,X576,$Y:$Y,Y576)*J576/(1-J576)*VLOOKUP(_xlfn.CONCAT(C576,D576,E576,TIME!$M$12,Z576),HIS_SALES!$B$2:$W$4859,20,FALSE),AC576*J576/(1-J576)),0)</f>
        <v>0</v>
      </c>
      <c r="Q576" s="541" t="str">
        <f t="shared" si="220"/>
        <v/>
      </c>
      <c r="R576" s="346" t="str">
        <f t="shared" si="189"/>
        <v>00000</v>
      </c>
      <c r="S576" s="344">
        <f t="shared" si="221"/>
        <v>0</v>
      </c>
      <c r="T576" s="345" t="str">
        <f t="shared" si="203"/>
        <v>000</v>
      </c>
      <c r="U576" s="345">
        <f t="shared" si="222"/>
        <v>0</v>
      </c>
      <c r="V576" s="345">
        <f t="shared" si="223"/>
        <v>0</v>
      </c>
      <c r="W576" s="345">
        <f t="shared" si="224"/>
        <v>0</v>
      </c>
      <c r="X576" s="345">
        <f t="shared" si="225"/>
        <v>0</v>
      </c>
      <c r="Y576" s="345">
        <f t="shared" si="226"/>
        <v>0</v>
      </c>
      <c r="Z576" s="345">
        <f>IF(Q576&lt;&gt;"",VLOOKUP(Y576,TIME!$R$21:$V$24,MATCH(FC_DATA!Q576,TIME!$R$20:$V$20,0),FALSE),H576)</f>
        <v>0</v>
      </c>
      <c r="AA576" s="345" t="str">
        <f>IFERROR(VLOOKUP(X576&amp;Z576,TIME!$A$12:$D$71,4,FALSE),"")</f>
        <v/>
      </c>
      <c r="AB576" s="592">
        <f t="shared" ca="1" si="196"/>
        <v>0</v>
      </c>
      <c r="AC576" s="593" t="e">
        <f ca="1">IF(ISBLANK(H576)=FALSE,IF(D576="BRAND.com",I576,IF(ISNA(VLOOKUP(_xlfn.CONCAT(X576,Z576),TIME!$M$40:$M$42,1,FALSE)),I576,VLOOKUP(_xlfn.CONCAT(D576,G576,H576),M_BUSAREA_FC!$AF$5:$AJ$10,5,FALSE)*HLOOKUP(_xlfn.CONCAT(F576,H576),ST_OVERVIEW!$G$99:$I$130,MATCH(_xlfn.CONCAT(D576,E576),ST_OVERVIEW!$F$99:$F$130,0),FALSE))),IF(D576="BRAND.com",VLOOKUP(_xlfn.CONCAT(C576,D576,E576,TIME!$F$1,Z576),HIS_SALES!$B$2:$V$4859,19,FALSE)*I576,VLOOKUP(_xlfn.CONCAT(D576,F576,G576),Q_BUSAREA_FC!$AE$5:$AI$12,5,FALSE)*HLOOKUP(_xlfn.CONCAT(FC_DATA!F576,FC_DATA!G576),LT_OVERVIEW!$I$99:$M$130,MATCH(_xlfn.CONCAT(D576,FC_DATA!E576),LT_OVERVIEW!$H$99:$H$130,0),FALSE)*IFERROR(VLOOKUP(_xlfn.CONCAT(C576,D576,E576,TIME!$F$1,Z576),HIS_SALES!$B$2:$V$4859,19,FALSE),0)))</f>
        <v>#N/A</v>
      </c>
      <c r="AD576" s="341">
        <f t="shared" ca="1" si="227"/>
        <v>0</v>
      </c>
      <c r="AE576" s="363" t="str">
        <f t="shared" si="228"/>
        <v/>
      </c>
      <c r="AF576" s="342" t="str">
        <f t="shared" si="229"/>
        <v/>
      </c>
      <c r="AG576" s="411" t="e">
        <f ca="1">VLOOKUP(_xlfn.CONCAT(U576,V576,W576,VLOOKUP(X576&amp;Y576,TIME!$L$27:$O$34,4,FALSE),Y576),HIS_SALES!$A$2:$R$5093,18,FALSE)</f>
        <v>#N/A</v>
      </c>
      <c r="AH576" s="412" t="e">
        <f ca="1">IFERROR(IF(AND(V576=V575,W576=W575),0.5*(AB576+AB575)*AG576,(VLOOKUP(_xlfn.CONCAT(U576,V576,W576,X576,VLOOKUP(Z576,TIME!$S$28:$T$39,2,FALSE)),FC_DATA!$R$2:$AB$5000,MATCH("GS_I_M",FC_DATA!$R$1:$AB$1,0),FALSE)+FC_DATA!AB576)*0.5*FC_DATA!AG576),NA())</f>
        <v>#N/A</v>
      </c>
      <c r="AI576" s="491" t="e">
        <f ca="1">IF(V576="PARTNER.com",AH576,IF(AND(V576=V575,W576=W575),(1-AVERAGE(AD575,AD576))*AH576,(1-AVERAGE(AD576,VLOOKUP(_xlfn.CONCAT(U576,V576,W576,X576,M_BRAND_FC!$F$6),FC_DATA!$R$2:$AD$5000,MATCH("DISCOUNT_%_M",FC_DATA!$R$1:$AD$1,0),FALSE)))*AH576))</f>
        <v>#N/A</v>
      </c>
      <c r="AJ576" s="412" t="str">
        <f t="shared" ca="1" si="200"/>
        <v/>
      </c>
      <c r="AK576" s="413" t="str">
        <f>IFERROR(AE576/(Q_BRAND_FC!$T$24+1),"")</f>
        <v/>
      </c>
      <c r="AL576" s="88" t="str">
        <f t="shared" ca="1" si="201"/>
        <v/>
      </c>
      <c r="AM576" s="414" t="str">
        <f t="shared" ca="1" si="202"/>
        <v/>
      </c>
      <c r="AN576" s="58">
        <f>IFERROR(IF($V576="BRAND.com",HLOOKUP($X576&amp;$Z576,NWC_FC_NOOS!$C$4:$Q$23,MATCH(W576,NWC_FC_NOOS!$B$4:$B$23,0),FALSE),0),0)</f>
        <v>0</v>
      </c>
      <c r="AO576" s="57">
        <f>IFERROR(IF($V576="BRAND.com",HLOOKUP($X576&amp;$Z576,NWC_FC_NOOS!$T$4:$AH$23,MATCH(W576,NWC_FC_NOOS!$S$4:$S$23,0),FALSE),0),0)</f>
        <v>0</v>
      </c>
      <c r="AP576" s="57">
        <f>IFERROR(IF($V576="BRAND.com",HLOOKUP($X576&amp;$Z576,NWC_FC_NOOS!$C$50:$U$69,MATCH(W576,NWC_FC_NOOS!$B$50:$B$69,0),FALSE),0),0)</f>
        <v>0</v>
      </c>
      <c r="AQ576" s="58">
        <f>IFERROR(IF($V576="BRAND.com",HLOOKUP($X576&amp;$Z576,'NWC_FC_NON-NOOS'!$C$4:$Q$23,MATCH(W576,'NWC_FC_NON-NOOS'!$B$4:$B$23,0),FALSE),0),0)</f>
        <v>0</v>
      </c>
      <c r="AR576" s="57">
        <f>IFERROR(IF($V576="BRAND.com",HLOOKUP($X576&amp;$Z576,'NWC_FC_NON-NOOS'!$T$4:$AH$23,MATCH(W576,'NWC_FC_NON-NOOS'!$S$4:$S$23,0),FALSE),0),0)</f>
        <v>0</v>
      </c>
      <c r="AS576" s="57">
        <f>IFERROR(IF($V576="BRAND.com",HLOOKUP($X576&amp;$Z576,'NWC_FC_NON-NOOS'!$C$50:$U$69,MATCH(W576,'NWC_FC_NON-NOOS'!$B$50:$B$69,0),FALSE),0),0)</f>
        <v>0</v>
      </c>
      <c r="AT576" s="57">
        <f t="shared" si="204"/>
        <v>0</v>
      </c>
      <c r="AU576" s="57">
        <f t="shared" si="205"/>
        <v>0</v>
      </c>
      <c r="AV576" s="58">
        <f>IFERROR(IF($V576="BRAND.com",HLOOKUP($X576&amp;$Z576,PLANNING_FC!$BB$27:$BP$46,MATCH($W576,PLANNING_FC!$BA$27:$BA$46,0),FALSE),0),0)</f>
        <v>0</v>
      </c>
      <c r="AW576" s="58">
        <f>IFERROR(IF($V576="BRAND.com",HLOOKUP($X576&amp;$Z576,PLANNING_FC!$BB$4:$BP$23,MATCH($W576,PLANNING_FC!$BA$4:$BA$23,0),FALSE),0),0)</f>
        <v>0</v>
      </c>
      <c r="AX576" s="58">
        <f>IFERROR(IF($V576="BRAND.com",HLOOKUP($X576&amp;$Z576,PLANNING_FC!$T$27:$AH$46,MATCH($W576,PLANNING_FC!$B$27:$B$46,0),FALSE),0),0)</f>
        <v>0</v>
      </c>
      <c r="AY576" s="58">
        <f>IFERROR(IF($V576="BRAND.com",HLOOKUP($X576&amp;$Z576,PLANNING_FC!$T$4:$AH$23,MATCH($W576,PLANNING_FC!$B$4:$B$23,0),FALSE),0),0)</f>
        <v>0</v>
      </c>
      <c r="AZ576" s="58">
        <f>IFERROR(IF($V576="BRAND.com",HLOOKUP($X576&amp;$Z576,PLANNING_FC!$DA$27:$DO$46,MATCH($W576,PLANNING_FC!$CZ$27:$CZ$46,0),FALSE),0),0)</f>
        <v>0</v>
      </c>
      <c r="BA576" s="58">
        <f>IFERROR(IF($V576="BRAND.com",HLOOKUP($X576&amp;$Z576,PLANNING_FC!$DA$4:$DO$23,MATCH($W576,PLANNING_FC!$CZ$4:$CZ$23,0),FALSE),0),0)</f>
        <v>0</v>
      </c>
      <c r="BB576" s="883" t="str">
        <f>IF(V576="BRAND.com",IFERROR(HLOOKUP(X576&amp;Z576,PLANNING_FC!$AK$4:$AY$23,MATCH(W576,PLANNING_FC!$AJ$4:$AJ$23,0),FALSE)*1000,""),"")</f>
        <v/>
      </c>
      <c r="BC576" s="883" t="str">
        <f>IF(V576="BRAND.com",IFERROR(HLOOKUP(X576&amp;Z576,PLANNING_FC!$AK$27:$AY$46,MATCH(W576,PLANNING_FC!$AJ$27:$AJ$46,0),FALSE)*1000,""),"")</f>
        <v/>
      </c>
    </row>
    <row r="577" spans="1:55" x14ac:dyDescent="0.25">
      <c r="A577" s="509"/>
      <c r="B577" s="509"/>
      <c r="C577" s="509"/>
      <c r="D577" s="509"/>
      <c r="E577" s="509"/>
      <c r="F577" s="509"/>
      <c r="G577" s="509"/>
      <c r="H577" s="509"/>
      <c r="I577" s="512"/>
      <c r="J577" s="513"/>
      <c r="K577" s="514"/>
      <c r="L577" s="515"/>
      <c r="M577" s="516"/>
      <c r="N577" s="56">
        <f t="shared" si="218"/>
        <v>0</v>
      </c>
      <c r="O577" s="57">
        <f t="shared" si="219"/>
        <v>0</v>
      </c>
      <c r="P577" s="57">
        <f ca="1">IFERROR(IF(ISBLANK(H577),SUMIFS($AC:$AC,$V:$V,V577,$W:$W,W577,$X:$X,X577,$Y:$Y,Y577)*J577/(1-J577)*VLOOKUP(_xlfn.CONCAT(C577,D577,E577,TIME!$M$12,Z577),HIS_SALES!$B$2:$W$4859,20,FALSE),AC577*J577/(1-J577)),0)</f>
        <v>0</v>
      </c>
      <c r="Q577" s="541" t="str">
        <f t="shared" si="220"/>
        <v/>
      </c>
      <c r="R577" s="346" t="str">
        <f t="shared" si="189"/>
        <v>00000</v>
      </c>
      <c r="S577" s="344">
        <f t="shared" si="221"/>
        <v>0</v>
      </c>
      <c r="T577" s="345" t="str">
        <f t="shared" si="203"/>
        <v>000</v>
      </c>
      <c r="U577" s="345">
        <f t="shared" si="222"/>
        <v>0</v>
      </c>
      <c r="V577" s="345">
        <f t="shared" si="223"/>
        <v>0</v>
      </c>
      <c r="W577" s="345">
        <f t="shared" si="224"/>
        <v>0</v>
      </c>
      <c r="X577" s="345">
        <f t="shared" si="225"/>
        <v>0</v>
      </c>
      <c r="Y577" s="345">
        <f t="shared" si="226"/>
        <v>0</v>
      </c>
      <c r="Z577" s="345">
        <f>IF(Q577&lt;&gt;"",VLOOKUP(Y577,TIME!$R$21:$V$24,MATCH(FC_DATA!Q577,TIME!$R$20:$V$20,0),FALSE),H577)</f>
        <v>0</v>
      </c>
      <c r="AA577" s="345" t="str">
        <f>IFERROR(VLOOKUP(X577&amp;Z577,TIME!$A$12:$D$71,4,FALSE),"")</f>
        <v/>
      </c>
      <c r="AB577" s="592">
        <f t="shared" ca="1" si="196"/>
        <v>0</v>
      </c>
      <c r="AC577" s="593" t="e">
        <f ca="1">IF(ISBLANK(H577)=FALSE,IF(D577="BRAND.com",I577,IF(ISNA(VLOOKUP(_xlfn.CONCAT(X577,Z577),TIME!$M$40:$M$42,1,FALSE)),I577,VLOOKUP(_xlfn.CONCAT(D577,G577,H577),M_BUSAREA_FC!$AF$5:$AJ$10,5,FALSE)*HLOOKUP(_xlfn.CONCAT(F577,H577),ST_OVERVIEW!$G$99:$I$130,MATCH(_xlfn.CONCAT(D577,E577),ST_OVERVIEW!$F$99:$F$130,0),FALSE))),IF(D577="BRAND.com",VLOOKUP(_xlfn.CONCAT(C577,D577,E577,TIME!$F$1,Z577),HIS_SALES!$B$2:$V$4859,19,FALSE)*I577,VLOOKUP(_xlfn.CONCAT(D577,F577,G577),Q_BUSAREA_FC!$AE$5:$AI$12,5,FALSE)*HLOOKUP(_xlfn.CONCAT(FC_DATA!F577,FC_DATA!G577),LT_OVERVIEW!$I$99:$M$130,MATCH(_xlfn.CONCAT(D577,FC_DATA!E577),LT_OVERVIEW!$H$99:$H$130,0),FALSE)*IFERROR(VLOOKUP(_xlfn.CONCAT(C577,D577,E577,TIME!$F$1,Z577),HIS_SALES!$B$2:$V$4859,19,FALSE),0)))</f>
        <v>#N/A</v>
      </c>
      <c r="AD577" s="341">
        <f t="shared" ca="1" si="227"/>
        <v>0</v>
      </c>
      <c r="AE577" s="363" t="str">
        <f t="shared" si="228"/>
        <v/>
      </c>
      <c r="AF577" s="342" t="str">
        <f t="shared" si="229"/>
        <v/>
      </c>
      <c r="AG577" s="411" t="e">
        <f ca="1">VLOOKUP(_xlfn.CONCAT(U577,V577,W577,VLOOKUP(X577&amp;Y577,TIME!$L$27:$O$34,4,FALSE),Y577),HIS_SALES!$A$2:$R$5093,18,FALSE)</f>
        <v>#N/A</v>
      </c>
      <c r="AH577" s="412" t="e">
        <f ca="1">IFERROR(IF(AND(V577=V576,W577=W576),0.5*(AB577+AB576)*AG577,(VLOOKUP(_xlfn.CONCAT(U577,V577,W577,X577,VLOOKUP(Z577,TIME!$S$28:$T$39,2,FALSE)),FC_DATA!$R$2:$AB$5000,MATCH("GS_I_M",FC_DATA!$R$1:$AB$1,0),FALSE)+FC_DATA!AB577)*0.5*FC_DATA!AG577),NA())</f>
        <v>#N/A</v>
      </c>
      <c r="AI577" s="491" t="e">
        <f ca="1">IF(V577="PARTNER.com",AH577,IF(AND(V577=V576,W577=W576),(1-AVERAGE(AD576,AD577))*AH577,(1-AVERAGE(AD577,VLOOKUP(_xlfn.CONCAT(U577,V577,W577,X577,M_BRAND_FC!$F$6),FC_DATA!$R$2:$AD$5000,MATCH("DISCOUNT_%_M",FC_DATA!$R$1:$AD$1,0),FALSE)))*AH577))</f>
        <v>#N/A</v>
      </c>
      <c r="AJ577" s="412" t="str">
        <f t="shared" ca="1" si="200"/>
        <v/>
      </c>
      <c r="AK577" s="413" t="str">
        <f>IFERROR(AE577/(Q_BRAND_FC!$T$24+1),"")</f>
        <v/>
      </c>
      <c r="AL577" s="88" t="str">
        <f t="shared" ca="1" si="201"/>
        <v/>
      </c>
      <c r="AM577" s="414" t="str">
        <f t="shared" ca="1" si="202"/>
        <v/>
      </c>
      <c r="AN577" s="58">
        <f>IFERROR(IF($V577="BRAND.com",HLOOKUP($X577&amp;$Z577,NWC_FC_NOOS!$C$4:$Q$23,MATCH(W577,NWC_FC_NOOS!$B$4:$B$23,0),FALSE),0),0)</f>
        <v>0</v>
      </c>
      <c r="AO577" s="57">
        <f>IFERROR(IF($V577="BRAND.com",HLOOKUP($X577&amp;$Z577,NWC_FC_NOOS!$T$4:$AH$23,MATCH(W577,NWC_FC_NOOS!$S$4:$S$23,0),FALSE),0),0)</f>
        <v>0</v>
      </c>
      <c r="AP577" s="57">
        <f>IFERROR(IF($V577="BRAND.com",HLOOKUP($X577&amp;$Z577,NWC_FC_NOOS!$C$50:$U$69,MATCH(W577,NWC_FC_NOOS!$B$50:$B$69,0),FALSE),0),0)</f>
        <v>0</v>
      </c>
      <c r="AQ577" s="58">
        <f>IFERROR(IF($V577="BRAND.com",HLOOKUP($X577&amp;$Z577,'NWC_FC_NON-NOOS'!$C$4:$Q$23,MATCH(W577,'NWC_FC_NON-NOOS'!$B$4:$B$23,0),FALSE),0),0)</f>
        <v>0</v>
      </c>
      <c r="AR577" s="57">
        <f>IFERROR(IF($V577="BRAND.com",HLOOKUP($X577&amp;$Z577,'NWC_FC_NON-NOOS'!$T$4:$AH$23,MATCH(W577,'NWC_FC_NON-NOOS'!$S$4:$S$23,0),FALSE),0),0)</f>
        <v>0</v>
      </c>
      <c r="AS577" s="57">
        <f>IFERROR(IF($V577="BRAND.com",HLOOKUP($X577&amp;$Z577,'NWC_FC_NON-NOOS'!$C$50:$U$69,MATCH(W577,'NWC_FC_NON-NOOS'!$B$50:$B$69,0),FALSE),0),0)</f>
        <v>0</v>
      </c>
      <c r="AT577" s="57">
        <f t="shared" si="204"/>
        <v>0</v>
      </c>
      <c r="AU577" s="57">
        <f t="shared" si="205"/>
        <v>0</v>
      </c>
      <c r="AV577" s="58">
        <f>IFERROR(IF($V577="BRAND.com",HLOOKUP($X577&amp;$Z577,PLANNING_FC!$BB$27:$BP$46,MATCH($W577,PLANNING_FC!$BA$27:$BA$46,0),FALSE),0),0)</f>
        <v>0</v>
      </c>
      <c r="AW577" s="58">
        <f>IFERROR(IF($V577="BRAND.com",HLOOKUP($X577&amp;$Z577,PLANNING_FC!$BB$4:$BP$23,MATCH($W577,PLANNING_FC!$BA$4:$BA$23,0),FALSE),0),0)</f>
        <v>0</v>
      </c>
      <c r="AX577" s="58">
        <f>IFERROR(IF($V577="BRAND.com",HLOOKUP($X577&amp;$Z577,PLANNING_FC!$T$27:$AH$46,MATCH($W577,PLANNING_FC!$B$27:$B$46,0),FALSE),0),0)</f>
        <v>0</v>
      </c>
      <c r="AY577" s="58">
        <f>IFERROR(IF($V577="BRAND.com",HLOOKUP($X577&amp;$Z577,PLANNING_FC!$T$4:$AH$23,MATCH($W577,PLANNING_FC!$B$4:$B$23,0),FALSE),0),0)</f>
        <v>0</v>
      </c>
      <c r="AZ577" s="58">
        <f>IFERROR(IF($V577="BRAND.com",HLOOKUP($X577&amp;$Z577,PLANNING_FC!$DA$27:$DO$46,MATCH($W577,PLANNING_FC!$CZ$27:$CZ$46,0),FALSE),0),0)</f>
        <v>0</v>
      </c>
      <c r="BA577" s="58">
        <f>IFERROR(IF($V577="BRAND.com",HLOOKUP($X577&amp;$Z577,PLANNING_FC!$DA$4:$DO$23,MATCH($W577,PLANNING_FC!$CZ$4:$CZ$23,0),FALSE),0),0)</f>
        <v>0</v>
      </c>
      <c r="BB577" s="883" t="str">
        <f>IF(V577="BRAND.com",IFERROR(HLOOKUP(X577&amp;Z577,PLANNING_FC!$AK$4:$AY$23,MATCH(W577,PLANNING_FC!$AJ$4:$AJ$23,0),FALSE)*1000,""),"")</f>
        <v/>
      </c>
      <c r="BC577" s="883" t="str">
        <f>IF(V577="BRAND.com",IFERROR(HLOOKUP(X577&amp;Z577,PLANNING_FC!$AK$27:$AY$46,MATCH(W577,PLANNING_FC!$AJ$27:$AJ$46,0),FALSE)*1000,""),"")</f>
        <v/>
      </c>
    </row>
    <row r="578" spans="1:55" x14ac:dyDescent="0.25">
      <c r="A578" s="509"/>
      <c r="B578" s="509"/>
      <c r="C578" s="509"/>
      <c r="D578" s="509"/>
      <c r="E578" s="509"/>
      <c r="F578" s="509"/>
      <c r="G578" s="509"/>
      <c r="H578" s="509"/>
      <c r="I578" s="512"/>
      <c r="J578" s="513"/>
      <c r="K578" s="514"/>
      <c r="L578" s="515"/>
      <c r="M578" s="516"/>
      <c r="N578" s="56">
        <f t="shared" si="218"/>
        <v>0</v>
      </c>
      <c r="O578" s="57">
        <f t="shared" si="219"/>
        <v>0</v>
      </c>
      <c r="P578" s="57">
        <f ca="1">IFERROR(IF(ISBLANK(H578),SUMIFS($AC:$AC,$V:$V,V578,$W:$W,W578,$X:$X,X578,$Y:$Y,Y578)*J578/(1-J578)*VLOOKUP(_xlfn.CONCAT(C578,D578,E578,TIME!$M$12,Z578),HIS_SALES!$B$2:$W$4859,20,FALSE),AC578*J578/(1-J578)),0)</f>
        <v>0</v>
      </c>
      <c r="Q578" s="541" t="str">
        <f t="shared" si="220"/>
        <v/>
      </c>
      <c r="R578" s="346" t="str">
        <f t="shared" ref="R578:R641" si="230">U578&amp;V578&amp;W578&amp;X578&amp;Z578</f>
        <v>00000</v>
      </c>
      <c r="S578" s="344">
        <f t="shared" si="221"/>
        <v>0</v>
      </c>
      <c r="T578" s="345" t="str">
        <f t="shared" si="203"/>
        <v>000</v>
      </c>
      <c r="U578" s="345">
        <f t="shared" si="222"/>
        <v>0</v>
      </c>
      <c r="V578" s="345">
        <f t="shared" si="223"/>
        <v>0</v>
      </c>
      <c r="W578" s="345">
        <f t="shared" si="224"/>
        <v>0</v>
      </c>
      <c r="X578" s="345">
        <f t="shared" si="225"/>
        <v>0</v>
      </c>
      <c r="Y578" s="345">
        <f t="shared" si="226"/>
        <v>0</v>
      </c>
      <c r="Z578" s="345">
        <f>IF(Q578&lt;&gt;"",VLOOKUP(Y578,TIME!$R$21:$V$24,MATCH(FC_DATA!Q578,TIME!$R$20:$V$20,0),FALSE),H578)</f>
        <v>0</v>
      </c>
      <c r="AA578" s="345" t="str">
        <f>IFERROR(VLOOKUP(X578&amp;Z578,TIME!$A$12:$D$71,4,FALSE),"")</f>
        <v/>
      </c>
      <c r="AB578" s="592">
        <f t="shared" ref="AB578:AB641" ca="1" si="231">IFERROR(AC578+P578,0)</f>
        <v>0</v>
      </c>
      <c r="AC578" s="593" t="e">
        <f ca="1">IF(ISBLANK(H578)=FALSE,IF(D578="BRAND.com",I578,IF(ISNA(VLOOKUP(_xlfn.CONCAT(X578,Z578),TIME!$M$40:$M$42,1,FALSE)),I578,VLOOKUP(_xlfn.CONCAT(D578,G578,H578),M_BUSAREA_FC!$AF$5:$AJ$10,5,FALSE)*HLOOKUP(_xlfn.CONCAT(F578,H578),ST_OVERVIEW!$G$99:$I$130,MATCH(_xlfn.CONCAT(D578,E578),ST_OVERVIEW!$F$99:$F$130,0),FALSE))),IF(D578="BRAND.com",VLOOKUP(_xlfn.CONCAT(C578,D578,E578,TIME!$F$1,Z578),HIS_SALES!$B$2:$V$4859,19,FALSE)*I578,VLOOKUP(_xlfn.CONCAT(D578,F578,G578),Q_BUSAREA_FC!$AE$5:$AI$12,5,FALSE)*HLOOKUP(_xlfn.CONCAT(FC_DATA!F578,FC_DATA!G578),LT_OVERVIEW!$I$99:$M$130,MATCH(_xlfn.CONCAT(D578,FC_DATA!E578),LT_OVERVIEW!$H$99:$H$130,0),FALSE)*IFERROR(VLOOKUP(_xlfn.CONCAT(C578,D578,E578,TIME!$F$1,Z578),HIS_SALES!$B$2:$V$4859,19,FALSE),0)))</f>
        <v>#N/A</v>
      </c>
      <c r="AD578" s="341">
        <f t="shared" ca="1" si="227"/>
        <v>0</v>
      </c>
      <c r="AE578" s="363" t="str">
        <f t="shared" si="228"/>
        <v/>
      </c>
      <c r="AF578" s="342" t="str">
        <f t="shared" si="229"/>
        <v/>
      </c>
      <c r="AG578" s="411" t="e">
        <f ca="1">VLOOKUP(_xlfn.CONCAT(U578,V578,W578,VLOOKUP(X578&amp;Y578,TIME!$L$27:$O$34,4,FALSE),Y578),HIS_SALES!$A$2:$R$5093,18,FALSE)</f>
        <v>#N/A</v>
      </c>
      <c r="AH578" s="412" t="e">
        <f ca="1">IFERROR(IF(AND(V578=V577,W578=W577),0.5*(AB578+AB577)*AG578,(VLOOKUP(_xlfn.CONCAT(U578,V578,W578,X578,VLOOKUP(Z578,TIME!$S$28:$T$39,2,FALSE)),FC_DATA!$R$2:$AB$5000,MATCH("GS_I_M",FC_DATA!$R$1:$AB$1,0),FALSE)+FC_DATA!AB578)*0.5*FC_DATA!AG578),NA())</f>
        <v>#N/A</v>
      </c>
      <c r="AI578" s="491" t="e">
        <f ca="1">IF(V578="PARTNER.com",AH578,IF(AND(V578=V577,W578=W577),(1-AVERAGE(AD577,AD578))*AH578,(1-AVERAGE(AD578,VLOOKUP(_xlfn.CONCAT(U578,V578,W578,X578,M_BRAND_FC!$F$6),FC_DATA!$R$2:$AD$5000,MATCH("DISCOUNT_%_M",FC_DATA!$R$1:$AD$1,0),FALSE)))*AH578))</f>
        <v>#N/A</v>
      </c>
      <c r="AJ578" s="412" t="str">
        <f t="shared" ref="AJ578:AJ641" ca="1" si="232">IFERROR(AC578-AI578,"")</f>
        <v/>
      </c>
      <c r="AK578" s="413" t="str">
        <f>IFERROR(AE578/(Q_BRAND_FC!$T$24+1),"")</f>
        <v/>
      </c>
      <c r="AL578" s="88" t="str">
        <f t="shared" ref="AL578:AL641" ca="1" si="233">IFERROR((AB578-AH578)/AK578*AF578,"")</f>
        <v/>
      </c>
      <c r="AM578" s="414" t="str">
        <f t="shared" ref="AM578:AM641" ca="1" si="234">IFERROR((AB578-AH578)/AK578*(1-AF578),"")</f>
        <v/>
      </c>
      <c r="AN578" s="58">
        <f>IFERROR(IF($V578="BRAND.com",HLOOKUP($X578&amp;$Z578,NWC_FC_NOOS!$C$4:$Q$23,MATCH(W578,NWC_FC_NOOS!$B$4:$B$23,0),FALSE),0),0)</f>
        <v>0</v>
      </c>
      <c r="AO578" s="57">
        <f>IFERROR(IF($V578="BRAND.com",HLOOKUP($X578&amp;$Z578,NWC_FC_NOOS!$T$4:$AH$23,MATCH(W578,NWC_FC_NOOS!$S$4:$S$23,0),FALSE),0),0)</f>
        <v>0</v>
      </c>
      <c r="AP578" s="57">
        <f>IFERROR(IF($V578="BRAND.com",HLOOKUP($X578&amp;$Z578,NWC_FC_NOOS!$C$50:$U$69,MATCH(W578,NWC_FC_NOOS!$B$50:$B$69,0),FALSE),0),0)</f>
        <v>0</v>
      </c>
      <c r="AQ578" s="58">
        <f>IFERROR(IF($V578="BRAND.com",HLOOKUP($X578&amp;$Z578,'NWC_FC_NON-NOOS'!$C$4:$Q$23,MATCH(W578,'NWC_FC_NON-NOOS'!$B$4:$B$23,0),FALSE),0),0)</f>
        <v>0</v>
      </c>
      <c r="AR578" s="57">
        <f>IFERROR(IF($V578="BRAND.com",HLOOKUP($X578&amp;$Z578,'NWC_FC_NON-NOOS'!$T$4:$AH$23,MATCH(W578,'NWC_FC_NON-NOOS'!$S$4:$S$23,0),FALSE),0),0)</f>
        <v>0</v>
      </c>
      <c r="AS578" s="57">
        <f>IFERROR(IF($V578="BRAND.com",HLOOKUP($X578&amp;$Z578,'NWC_FC_NON-NOOS'!$C$50:$U$69,MATCH(W578,'NWC_FC_NON-NOOS'!$B$50:$B$69,0),FALSE),0),0)</f>
        <v>0</v>
      </c>
      <c r="AT578" s="57">
        <f t="shared" si="204"/>
        <v>0</v>
      </c>
      <c r="AU578" s="57">
        <f t="shared" si="205"/>
        <v>0</v>
      </c>
      <c r="AV578" s="58">
        <f>IFERROR(IF($V578="BRAND.com",HLOOKUP($X578&amp;$Z578,PLANNING_FC!$BB$27:$BP$46,MATCH($W578,PLANNING_FC!$BA$27:$BA$46,0),FALSE),0),0)</f>
        <v>0</v>
      </c>
      <c r="AW578" s="58">
        <f>IFERROR(IF($V578="BRAND.com",HLOOKUP($X578&amp;$Z578,PLANNING_FC!$BB$4:$BP$23,MATCH($W578,PLANNING_FC!$BA$4:$BA$23,0),FALSE),0),0)</f>
        <v>0</v>
      </c>
      <c r="AX578" s="58">
        <f>IFERROR(IF($V578="BRAND.com",HLOOKUP($X578&amp;$Z578,PLANNING_FC!$T$27:$AH$46,MATCH($W578,PLANNING_FC!$B$27:$B$46,0),FALSE),0),0)</f>
        <v>0</v>
      </c>
      <c r="AY578" s="58">
        <f>IFERROR(IF($V578="BRAND.com",HLOOKUP($X578&amp;$Z578,PLANNING_FC!$T$4:$AH$23,MATCH($W578,PLANNING_FC!$B$4:$B$23,0),FALSE),0),0)</f>
        <v>0</v>
      </c>
      <c r="AZ578" s="58">
        <f>IFERROR(IF($V578="BRAND.com",HLOOKUP($X578&amp;$Z578,PLANNING_FC!$DA$27:$DO$46,MATCH($W578,PLANNING_FC!$CZ$27:$CZ$46,0),FALSE),0),0)</f>
        <v>0</v>
      </c>
      <c r="BA578" s="58">
        <f>IFERROR(IF($V578="BRAND.com",HLOOKUP($X578&amp;$Z578,PLANNING_FC!$DA$4:$DO$23,MATCH($W578,PLANNING_FC!$CZ$4:$CZ$23,0),FALSE),0),0)</f>
        <v>0</v>
      </c>
      <c r="BB578" s="883" t="str">
        <f>IF(V578="BRAND.com",IFERROR(HLOOKUP(X578&amp;Z578,PLANNING_FC!$AK$4:$AY$23,MATCH(W578,PLANNING_FC!$AJ$4:$AJ$23,0),FALSE)*1000,""),"")</f>
        <v/>
      </c>
      <c r="BC578" s="883" t="str">
        <f>IF(V578="BRAND.com",IFERROR(HLOOKUP(X578&amp;Z578,PLANNING_FC!$AK$27:$AY$46,MATCH(W578,PLANNING_FC!$AJ$27:$AJ$46,0),FALSE)*1000,""),"")</f>
        <v/>
      </c>
    </row>
    <row r="579" spans="1:55" x14ac:dyDescent="0.25">
      <c r="A579" s="509"/>
      <c r="B579" s="509"/>
      <c r="C579" s="509"/>
      <c r="D579" s="509"/>
      <c r="E579" s="509"/>
      <c r="F579" s="509"/>
      <c r="G579" s="509"/>
      <c r="H579" s="509"/>
      <c r="I579" s="512"/>
      <c r="J579" s="513"/>
      <c r="K579" s="514"/>
      <c r="L579" s="515"/>
      <c r="M579" s="516"/>
      <c r="N579" s="56">
        <f t="shared" si="218"/>
        <v>0</v>
      </c>
      <c r="O579" s="57">
        <f t="shared" si="219"/>
        <v>0</v>
      </c>
      <c r="P579" s="57">
        <f ca="1">IFERROR(IF(ISBLANK(H579),SUMIFS($AC:$AC,$V:$V,V579,$W:$W,W579,$X:$X,X579,$Y:$Y,Y579)*J579/(1-J579)*VLOOKUP(_xlfn.CONCAT(C579,D579,E579,TIME!$M$12,Z579),HIS_SALES!$B$2:$W$4859,20,FALSE),AC579*J579/(1-J579)),0)</f>
        <v>0</v>
      </c>
      <c r="Q579" s="541" t="str">
        <f t="shared" si="220"/>
        <v/>
      </c>
      <c r="R579" s="346" t="str">
        <f t="shared" si="230"/>
        <v>00000</v>
      </c>
      <c r="S579" s="344">
        <f t="shared" si="221"/>
        <v>0</v>
      </c>
      <c r="T579" s="345" t="str">
        <f t="shared" ref="T579:T642" si="235">U579&amp;V579&amp;W579&amp;AA579</f>
        <v>000</v>
      </c>
      <c r="U579" s="345">
        <f t="shared" si="222"/>
        <v>0</v>
      </c>
      <c r="V579" s="345">
        <f t="shared" si="223"/>
        <v>0</v>
      </c>
      <c r="W579" s="345">
        <f t="shared" si="224"/>
        <v>0</v>
      </c>
      <c r="X579" s="345">
        <f t="shared" si="225"/>
        <v>0</v>
      </c>
      <c r="Y579" s="345">
        <f t="shared" si="226"/>
        <v>0</v>
      </c>
      <c r="Z579" s="345">
        <f>IF(Q579&lt;&gt;"",VLOOKUP(Y579,TIME!$R$21:$V$24,MATCH(FC_DATA!Q579,TIME!$R$20:$V$20,0),FALSE),H579)</f>
        <v>0</v>
      </c>
      <c r="AA579" s="345" t="str">
        <f>IFERROR(VLOOKUP(X579&amp;Z579,TIME!$A$12:$D$71,4,FALSE),"")</f>
        <v/>
      </c>
      <c r="AB579" s="592">
        <f t="shared" ca="1" si="231"/>
        <v>0</v>
      </c>
      <c r="AC579" s="593" t="e">
        <f ca="1">IF(ISBLANK(H579)=FALSE,IF(D579="BRAND.com",I579,IF(ISNA(VLOOKUP(_xlfn.CONCAT(X579,Z579),TIME!$M$40:$M$42,1,FALSE)),I579,VLOOKUP(_xlfn.CONCAT(D579,G579,H579),M_BUSAREA_FC!$AF$5:$AJ$10,5,FALSE)*HLOOKUP(_xlfn.CONCAT(F579,H579),ST_OVERVIEW!$G$99:$I$130,MATCH(_xlfn.CONCAT(D579,E579),ST_OVERVIEW!$F$99:$F$130,0),FALSE))),IF(D579="BRAND.com",VLOOKUP(_xlfn.CONCAT(C579,D579,E579,TIME!$F$1,Z579),HIS_SALES!$B$2:$V$4859,19,FALSE)*I579,VLOOKUP(_xlfn.CONCAT(D579,F579,G579),Q_BUSAREA_FC!$AE$5:$AI$12,5,FALSE)*HLOOKUP(_xlfn.CONCAT(FC_DATA!F579,FC_DATA!G579),LT_OVERVIEW!$I$99:$M$130,MATCH(_xlfn.CONCAT(D579,FC_DATA!E579),LT_OVERVIEW!$H$99:$H$130,0),FALSE)*IFERROR(VLOOKUP(_xlfn.CONCAT(C579,D579,E579,TIME!$F$1,Z579),HIS_SALES!$B$2:$V$4859,19,FALSE),0)))</f>
        <v>#N/A</v>
      </c>
      <c r="AD579" s="341">
        <f t="shared" ca="1" si="227"/>
        <v>0</v>
      </c>
      <c r="AE579" s="363" t="str">
        <f t="shared" si="228"/>
        <v/>
      </c>
      <c r="AF579" s="342" t="str">
        <f t="shared" si="229"/>
        <v/>
      </c>
      <c r="AG579" s="411" t="e">
        <f ca="1">VLOOKUP(_xlfn.CONCAT(U579,V579,W579,VLOOKUP(X579&amp;Y579,TIME!$L$27:$O$34,4,FALSE),Y579),HIS_SALES!$A$2:$R$5093,18,FALSE)</f>
        <v>#N/A</v>
      </c>
      <c r="AH579" s="412" t="e">
        <f ca="1">IFERROR(IF(AND(V579=V578,W579=W578),0.5*(AB579+AB578)*AG579,(VLOOKUP(_xlfn.CONCAT(U579,V579,W579,X579,VLOOKUP(Z579,TIME!$S$28:$T$39,2,FALSE)),FC_DATA!$R$2:$AB$5000,MATCH("GS_I_M",FC_DATA!$R$1:$AB$1,0),FALSE)+FC_DATA!AB579)*0.5*FC_DATA!AG579),NA())</f>
        <v>#N/A</v>
      </c>
      <c r="AI579" s="491" t="e">
        <f ca="1">IF(V579="PARTNER.com",AH579,IF(AND(V579=V578,W579=W578),(1-AVERAGE(AD578,AD579))*AH579,(1-AVERAGE(AD579,VLOOKUP(_xlfn.CONCAT(U579,V579,W579,X579,M_BRAND_FC!$F$6),FC_DATA!$R$2:$AD$5000,MATCH("DISCOUNT_%_M",FC_DATA!$R$1:$AD$1,0),FALSE)))*AH579))</f>
        <v>#N/A</v>
      </c>
      <c r="AJ579" s="412" t="str">
        <f t="shared" ca="1" si="232"/>
        <v/>
      </c>
      <c r="AK579" s="413" t="str">
        <f>IFERROR(AE579/(Q_BRAND_FC!$T$24+1),"")</f>
        <v/>
      </c>
      <c r="AL579" s="88" t="str">
        <f t="shared" ca="1" si="233"/>
        <v/>
      </c>
      <c r="AM579" s="414" t="str">
        <f t="shared" ca="1" si="234"/>
        <v/>
      </c>
      <c r="AN579" s="58">
        <f>IFERROR(IF($V579="BRAND.com",HLOOKUP($X579&amp;$Z579,NWC_FC_NOOS!$C$4:$Q$23,MATCH(W579,NWC_FC_NOOS!$B$4:$B$23,0),FALSE),0),0)</f>
        <v>0</v>
      </c>
      <c r="AO579" s="57">
        <f>IFERROR(IF($V579="BRAND.com",HLOOKUP($X579&amp;$Z579,NWC_FC_NOOS!$T$4:$AH$23,MATCH(W579,NWC_FC_NOOS!$S$4:$S$23,0),FALSE),0),0)</f>
        <v>0</v>
      </c>
      <c r="AP579" s="57">
        <f>IFERROR(IF($V579="BRAND.com",HLOOKUP($X579&amp;$Z579,NWC_FC_NOOS!$C$50:$U$69,MATCH(W579,NWC_FC_NOOS!$B$50:$B$69,0),FALSE),0),0)</f>
        <v>0</v>
      </c>
      <c r="AQ579" s="58">
        <f>IFERROR(IF($V579="BRAND.com",HLOOKUP($X579&amp;$Z579,'NWC_FC_NON-NOOS'!$C$4:$Q$23,MATCH(W579,'NWC_FC_NON-NOOS'!$B$4:$B$23,0),FALSE),0),0)</f>
        <v>0</v>
      </c>
      <c r="AR579" s="57">
        <f>IFERROR(IF($V579="BRAND.com",HLOOKUP($X579&amp;$Z579,'NWC_FC_NON-NOOS'!$T$4:$AH$23,MATCH(W579,'NWC_FC_NON-NOOS'!$S$4:$S$23,0),FALSE),0),0)</f>
        <v>0</v>
      </c>
      <c r="AS579" s="57">
        <f>IFERROR(IF($V579="BRAND.com",HLOOKUP($X579&amp;$Z579,'NWC_FC_NON-NOOS'!$C$50:$U$69,MATCH(W579,'NWC_FC_NON-NOOS'!$B$50:$B$69,0),FALSE),0),0)</f>
        <v>0</v>
      </c>
      <c r="AT579" s="57">
        <f t="shared" ref="AT579:AT642" si="236">AO579+AR579</f>
        <v>0</v>
      </c>
      <c r="AU579" s="57">
        <f t="shared" ref="AU579:AU642" si="237">AP579+AS579</f>
        <v>0</v>
      </c>
      <c r="AV579" s="58">
        <f>IFERROR(IF($V579="BRAND.com",HLOOKUP($X579&amp;$Z579,PLANNING_FC!$BB$27:$BP$46,MATCH($W579,PLANNING_FC!$BA$27:$BA$46,0),FALSE),0),0)</f>
        <v>0</v>
      </c>
      <c r="AW579" s="58">
        <f>IFERROR(IF($V579="BRAND.com",HLOOKUP($X579&amp;$Z579,PLANNING_FC!$BB$4:$BP$23,MATCH($W579,PLANNING_FC!$BA$4:$BA$23,0),FALSE),0),0)</f>
        <v>0</v>
      </c>
      <c r="AX579" s="58">
        <f>IFERROR(IF($V579="BRAND.com",HLOOKUP($X579&amp;$Z579,PLANNING_FC!$T$27:$AH$46,MATCH($W579,PLANNING_FC!$B$27:$B$46,0),FALSE),0),0)</f>
        <v>0</v>
      </c>
      <c r="AY579" s="58">
        <f>IFERROR(IF($V579="BRAND.com",HLOOKUP($X579&amp;$Z579,PLANNING_FC!$T$4:$AH$23,MATCH($W579,PLANNING_FC!$B$4:$B$23,0),FALSE),0),0)</f>
        <v>0</v>
      </c>
      <c r="AZ579" s="58">
        <f>IFERROR(IF($V579="BRAND.com",HLOOKUP($X579&amp;$Z579,PLANNING_FC!$DA$27:$DO$46,MATCH($W579,PLANNING_FC!$CZ$27:$CZ$46,0),FALSE),0),0)</f>
        <v>0</v>
      </c>
      <c r="BA579" s="58">
        <f>IFERROR(IF($V579="BRAND.com",HLOOKUP($X579&amp;$Z579,PLANNING_FC!$DA$4:$DO$23,MATCH($W579,PLANNING_FC!$CZ$4:$CZ$23,0),FALSE),0),0)</f>
        <v>0</v>
      </c>
      <c r="BB579" s="883" t="str">
        <f>IF(V579="BRAND.com",IFERROR(HLOOKUP(X579&amp;Z579,PLANNING_FC!$AK$4:$AY$23,MATCH(W579,PLANNING_FC!$AJ$4:$AJ$23,0),FALSE)*1000,""),"")</f>
        <v/>
      </c>
      <c r="BC579" s="883" t="str">
        <f>IF(V579="BRAND.com",IFERROR(HLOOKUP(X579&amp;Z579,PLANNING_FC!$AK$27:$AY$46,MATCH(W579,PLANNING_FC!$AJ$27:$AJ$46,0),FALSE)*1000,""),"")</f>
        <v/>
      </c>
    </row>
    <row r="580" spans="1:55" x14ac:dyDescent="0.25">
      <c r="A580" s="509"/>
      <c r="B580" s="509"/>
      <c r="C580" s="509"/>
      <c r="D580" s="509"/>
      <c r="E580" s="509"/>
      <c r="F580" s="509"/>
      <c r="G580" s="509"/>
      <c r="H580" s="509"/>
      <c r="I580" s="512"/>
      <c r="J580" s="513"/>
      <c r="K580" s="514"/>
      <c r="L580" s="515"/>
      <c r="M580" s="516"/>
      <c r="N580" s="56">
        <f t="shared" si="218"/>
        <v>0</v>
      </c>
      <c r="O580" s="57">
        <f t="shared" si="219"/>
        <v>0</v>
      </c>
      <c r="P580" s="57">
        <f ca="1">IFERROR(IF(ISBLANK(H580),SUMIFS($AC:$AC,$V:$V,V580,$W:$W,W580,$X:$X,X580,$Y:$Y,Y580)*J580/(1-J580)*VLOOKUP(_xlfn.CONCAT(C580,D580,E580,TIME!$M$12,Z580),HIS_SALES!$B$2:$W$4859,20,FALSE),AC580*J580/(1-J580)),0)</f>
        <v>0</v>
      </c>
      <c r="Q580" s="541" t="str">
        <f t="shared" si="220"/>
        <v/>
      </c>
      <c r="R580" s="346" t="str">
        <f t="shared" si="230"/>
        <v>00000</v>
      </c>
      <c r="S580" s="344">
        <f t="shared" si="221"/>
        <v>0</v>
      </c>
      <c r="T580" s="345" t="str">
        <f t="shared" si="235"/>
        <v>000</v>
      </c>
      <c r="U580" s="345">
        <f t="shared" si="222"/>
        <v>0</v>
      </c>
      <c r="V580" s="345">
        <f t="shared" si="223"/>
        <v>0</v>
      </c>
      <c r="W580" s="345">
        <f t="shared" si="224"/>
        <v>0</v>
      </c>
      <c r="X580" s="345">
        <f t="shared" si="225"/>
        <v>0</v>
      </c>
      <c r="Y580" s="345">
        <f t="shared" si="226"/>
        <v>0</v>
      </c>
      <c r="Z580" s="345">
        <f>IF(Q580&lt;&gt;"",VLOOKUP(Y580,TIME!$R$21:$V$24,MATCH(FC_DATA!Q580,TIME!$R$20:$V$20,0),FALSE),H580)</f>
        <v>0</v>
      </c>
      <c r="AA580" s="345" t="str">
        <f>IFERROR(VLOOKUP(X580&amp;Z580,TIME!$A$12:$D$71,4,FALSE),"")</f>
        <v/>
      </c>
      <c r="AB580" s="592">
        <f t="shared" ca="1" si="231"/>
        <v>0</v>
      </c>
      <c r="AC580" s="593" t="e">
        <f ca="1">IF(ISBLANK(H580)=FALSE,IF(D580="BRAND.com",I580,IF(ISNA(VLOOKUP(_xlfn.CONCAT(X580,Z580),TIME!$M$40:$M$42,1,FALSE)),I580,VLOOKUP(_xlfn.CONCAT(D580,G580,H580),M_BUSAREA_FC!$AF$5:$AJ$10,5,FALSE)*HLOOKUP(_xlfn.CONCAT(F580,H580),ST_OVERVIEW!$G$99:$I$130,MATCH(_xlfn.CONCAT(D580,E580),ST_OVERVIEW!$F$99:$F$130,0),FALSE))),IF(D580="BRAND.com",VLOOKUP(_xlfn.CONCAT(C580,D580,E580,TIME!$F$1,Z580),HIS_SALES!$B$2:$V$4859,19,FALSE)*I580,VLOOKUP(_xlfn.CONCAT(D580,F580,G580),Q_BUSAREA_FC!$AE$5:$AI$12,5,FALSE)*HLOOKUP(_xlfn.CONCAT(FC_DATA!F580,FC_DATA!G580),LT_OVERVIEW!$I$99:$M$130,MATCH(_xlfn.CONCAT(D580,FC_DATA!E580),LT_OVERVIEW!$H$99:$H$130,0),FALSE)*IFERROR(VLOOKUP(_xlfn.CONCAT(C580,D580,E580,TIME!$F$1,Z580),HIS_SALES!$B$2:$V$4859,19,FALSE),0)))</f>
        <v>#N/A</v>
      </c>
      <c r="AD580" s="341">
        <f t="shared" ca="1" si="227"/>
        <v>0</v>
      </c>
      <c r="AE580" s="363" t="str">
        <f t="shared" si="228"/>
        <v/>
      </c>
      <c r="AF580" s="342" t="str">
        <f t="shared" si="229"/>
        <v/>
      </c>
      <c r="AG580" s="411" t="e">
        <f ca="1">VLOOKUP(_xlfn.CONCAT(U580,V580,W580,VLOOKUP(X580&amp;Y580,TIME!$L$27:$O$34,4,FALSE),Y580),HIS_SALES!$A$2:$R$5093,18,FALSE)</f>
        <v>#N/A</v>
      </c>
      <c r="AH580" s="412" t="e">
        <f ca="1">IFERROR(IF(AND(V580=V579,W580=W579),0.5*(AB580+AB579)*AG580,(VLOOKUP(_xlfn.CONCAT(U580,V580,W580,X580,VLOOKUP(Z580,TIME!$S$28:$T$39,2,FALSE)),FC_DATA!$R$2:$AB$5000,MATCH("GS_I_M",FC_DATA!$R$1:$AB$1,0),FALSE)+FC_DATA!AB580)*0.5*FC_DATA!AG580),NA())</f>
        <v>#N/A</v>
      </c>
      <c r="AI580" s="491" t="e">
        <f ca="1">IF(V580="PARTNER.com",AH580,IF(AND(V580=V579,W580=W579),(1-AVERAGE(AD579,AD580))*AH580,(1-AVERAGE(AD580,VLOOKUP(_xlfn.CONCAT(U580,V580,W580,X580,M_BRAND_FC!$F$6),FC_DATA!$R$2:$AD$5000,MATCH("DISCOUNT_%_M",FC_DATA!$R$1:$AD$1,0),FALSE)))*AH580))</f>
        <v>#N/A</v>
      </c>
      <c r="AJ580" s="412" t="str">
        <f t="shared" ca="1" si="232"/>
        <v/>
      </c>
      <c r="AK580" s="413" t="str">
        <f>IFERROR(AE580/(Q_BRAND_FC!$T$24+1),"")</f>
        <v/>
      </c>
      <c r="AL580" s="88" t="str">
        <f t="shared" ca="1" si="233"/>
        <v/>
      </c>
      <c r="AM580" s="414" t="str">
        <f t="shared" ca="1" si="234"/>
        <v/>
      </c>
      <c r="AN580" s="58">
        <f>IFERROR(IF($V580="BRAND.com",HLOOKUP($X580&amp;$Z580,NWC_FC_NOOS!$C$4:$Q$23,MATCH(W580,NWC_FC_NOOS!$B$4:$B$23,0),FALSE),0),0)</f>
        <v>0</v>
      </c>
      <c r="AO580" s="57">
        <f>IFERROR(IF($V580="BRAND.com",HLOOKUP($X580&amp;$Z580,NWC_FC_NOOS!$T$4:$AH$23,MATCH(W580,NWC_FC_NOOS!$S$4:$S$23,0),FALSE),0),0)</f>
        <v>0</v>
      </c>
      <c r="AP580" s="57">
        <f>IFERROR(IF($V580="BRAND.com",HLOOKUP($X580&amp;$Z580,NWC_FC_NOOS!$C$50:$U$69,MATCH(W580,NWC_FC_NOOS!$B$50:$B$69,0),FALSE),0),0)</f>
        <v>0</v>
      </c>
      <c r="AQ580" s="58">
        <f>IFERROR(IF($V580="BRAND.com",HLOOKUP($X580&amp;$Z580,'NWC_FC_NON-NOOS'!$C$4:$Q$23,MATCH(W580,'NWC_FC_NON-NOOS'!$B$4:$B$23,0),FALSE),0),0)</f>
        <v>0</v>
      </c>
      <c r="AR580" s="57">
        <f>IFERROR(IF($V580="BRAND.com",HLOOKUP($X580&amp;$Z580,'NWC_FC_NON-NOOS'!$T$4:$AH$23,MATCH(W580,'NWC_FC_NON-NOOS'!$S$4:$S$23,0),FALSE),0),0)</f>
        <v>0</v>
      </c>
      <c r="AS580" s="57">
        <f>IFERROR(IF($V580="BRAND.com",HLOOKUP($X580&amp;$Z580,'NWC_FC_NON-NOOS'!$C$50:$U$69,MATCH(W580,'NWC_FC_NON-NOOS'!$B$50:$B$69,0),FALSE),0),0)</f>
        <v>0</v>
      </c>
      <c r="AT580" s="57">
        <f t="shared" si="236"/>
        <v>0</v>
      </c>
      <c r="AU580" s="57">
        <f t="shared" si="237"/>
        <v>0</v>
      </c>
      <c r="AV580" s="58">
        <f>IFERROR(IF($V580="BRAND.com",HLOOKUP($X580&amp;$Z580,PLANNING_FC!$BB$27:$BP$46,MATCH($W580,PLANNING_FC!$BA$27:$BA$46,0),FALSE),0),0)</f>
        <v>0</v>
      </c>
      <c r="AW580" s="58">
        <f>IFERROR(IF($V580="BRAND.com",HLOOKUP($X580&amp;$Z580,PLANNING_FC!$BB$4:$BP$23,MATCH($W580,PLANNING_FC!$BA$4:$BA$23,0),FALSE),0),0)</f>
        <v>0</v>
      </c>
      <c r="AX580" s="58">
        <f>IFERROR(IF($V580="BRAND.com",HLOOKUP($X580&amp;$Z580,PLANNING_FC!$T$27:$AH$46,MATCH($W580,PLANNING_FC!$B$27:$B$46,0),FALSE),0),0)</f>
        <v>0</v>
      </c>
      <c r="AY580" s="58">
        <f>IFERROR(IF($V580="BRAND.com",HLOOKUP($X580&amp;$Z580,PLANNING_FC!$T$4:$AH$23,MATCH($W580,PLANNING_FC!$B$4:$B$23,0),FALSE),0),0)</f>
        <v>0</v>
      </c>
      <c r="AZ580" s="58">
        <f>IFERROR(IF($V580="BRAND.com",HLOOKUP($X580&amp;$Z580,PLANNING_FC!$DA$27:$DO$46,MATCH($W580,PLANNING_FC!$CZ$27:$CZ$46,0),FALSE),0),0)</f>
        <v>0</v>
      </c>
      <c r="BA580" s="58">
        <f>IFERROR(IF($V580="BRAND.com",HLOOKUP($X580&amp;$Z580,PLANNING_FC!$DA$4:$DO$23,MATCH($W580,PLANNING_FC!$CZ$4:$CZ$23,0),FALSE),0),0)</f>
        <v>0</v>
      </c>
      <c r="BB580" s="883" t="str">
        <f>IF(V580="BRAND.com",IFERROR(HLOOKUP(X580&amp;Z580,PLANNING_FC!$AK$4:$AY$23,MATCH(W580,PLANNING_FC!$AJ$4:$AJ$23,0),FALSE)*1000,""),"")</f>
        <v/>
      </c>
      <c r="BC580" s="883" t="str">
        <f>IF(V580="BRAND.com",IFERROR(HLOOKUP(X580&amp;Z580,PLANNING_FC!$AK$27:$AY$46,MATCH(W580,PLANNING_FC!$AJ$27:$AJ$46,0),FALSE)*1000,""),"")</f>
        <v/>
      </c>
    </row>
    <row r="581" spans="1:55" x14ac:dyDescent="0.25">
      <c r="A581" s="509"/>
      <c r="B581" s="509"/>
      <c r="C581" s="509"/>
      <c r="D581" s="509"/>
      <c r="E581" s="509"/>
      <c r="F581" s="509"/>
      <c r="G581" s="509"/>
      <c r="H581" s="509"/>
      <c r="I581" s="512"/>
      <c r="J581" s="513"/>
      <c r="K581" s="514"/>
      <c r="L581" s="515"/>
      <c r="M581" s="516"/>
      <c r="N581" s="56">
        <f t="shared" si="218"/>
        <v>0</v>
      </c>
      <c r="O581" s="57">
        <f t="shared" si="219"/>
        <v>0</v>
      </c>
      <c r="P581" s="57">
        <f ca="1">IFERROR(IF(ISBLANK(H581),SUMIFS($AC:$AC,$V:$V,V581,$W:$W,W581,$X:$X,X581,$Y:$Y,Y581)*J581/(1-J581)*VLOOKUP(_xlfn.CONCAT(C581,D581,E581,TIME!$M$12,Z581),HIS_SALES!$B$2:$W$4859,20,FALSE),AC581*J581/(1-J581)),0)</f>
        <v>0</v>
      </c>
      <c r="Q581" s="541" t="str">
        <f t="shared" si="220"/>
        <v/>
      </c>
      <c r="R581" s="346" t="str">
        <f t="shared" si="230"/>
        <v>00000</v>
      </c>
      <c r="S581" s="344">
        <f t="shared" si="221"/>
        <v>0</v>
      </c>
      <c r="T581" s="345" t="str">
        <f t="shared" si="235"/>
        <v>000</v>
      </c>
      <c r="U581" s="345">
        <f t="shared" si="222"/>
        <v>0</v>
      </c>
      <c r="V581" s="345">
        <f t="shared" si="223"/>
        <v>0</v>
      </c>
      <c r="W581" s="345">
        <f t="shared" si="224"/>
        <v>0</v>
      </c>
      <c r="X581" s="345">
        <f t="shared" si="225"/>
        <v>0</v>
      </c>
      <c r="Y581" s="345">
        <f t="shared" si="226"/>
        <v>0</v>
      </c>
      <c r="Z581" s="345">
        <f>IF(Q581&lt;&gt;"",VLOOKUP(Y581,TIME!$R$21:$V$24,MATCH(FC_DATA!Q581,TIME!$R$20:$V$20,0),FALSE),H581)</f>
        <v>0</v>
      </c>
      <c r="AA581" s="345" t="str">
        <f>IFERROR(VLOOKUP(X581&amp;Z581,TIME!$A$12:$D$71,4,FALSE),"")</f>
        <v/>
      </c>
      <c r="AB581" s="592">
        <f t="shared" ca="1" si="231"/>
        <v>0</v>
      </c>
      <c r="AC581" s="593" t="e">
        <f ca="1">IF(ISBLANK(H581)=FALSE,IF(D581="BRAND.com",I581,IF(ISNA(VLOOKUP(_xlfn.CONCAT(X581,Z581),TIME!$M$40:$M$42,1,FALSE)),I581,VLOOKUP(_xlfn.CONCAT(D581,G581,H581),M_BUSAREA_FC!$AF$5:$AJ$10,5,FALSE)*HLOOKUP(_xlfn.CONCAT(F581,H581),ST_OVERVIEW!$G$99:$I$130,MATCH(_xlfn.CONCAT(D581,E581),ST_OVERVIEW!$F$99:$F$130,0),FALSE))),IF(D581="BRAND.com",VLOOKUP(_xlfn.CONCAT(C581,D581,E581,TIME!$F$1,Z581),HIS_SALES!$B$2:$V$4859,19,FALSE)*I581,VLOOKUP(_xlfn.CONCAT(D581,F581,G581),Q_BUSAREA_FC!$AE$5:$AI$12,5,FALSE)*HLOOKUP(_xlfn.CONCAT(FC_DATA!F581,FC_DATA!G581),LT_OVERVIEW!$I$99:$M$130,MATCH(_xlfn.CONCAT(D581,FC_DATA!E581),LT_OVERVIEW!$H$99:$H$130,0),FALSE)*IFERROR(VLOOKUP(_xlfn.CONCAT(C581,D581,E581,TIME!$F$1,Z581),HIS_SALES!$B$2:$V$4859,19,FALSE),0)))</f>
        <v>#N/A</v>
      </c>
      <c r="AD581" s="341">
        <f t="shared" ca="1" si="227"/>
        <v>0</v>
      </c>
      <c r="AE581" s="363" t="str">
        <f t="shared" si="228"/>
        <v/>
      </c>
      <c r="AF581" s="342" t="str">
        <f t="shared" si="229"/>
        <v/>
      </c>
      <c r="AG581" s="411" t="e">
        <f ca="1">VLOOKUP(_xlfn.CONCAT(U581,V581,W581,VLOOKUP(X581&amp;Y581,TIME!$L$27:$O$34,4,FALSE),Y581),HIS_SALES!$A$2:$R$5093,18,FALSE)</f>
        <v>#N/A</v>
      </c>
      <c r="AH581" s="412" t="e">
        <f ca="1">IFERROR(IF(AND(V581=V580,W581=W580),0.5*(AB581+AB580)*AG581,(VLOOKUP(_xlfn.CONCAT(U581,V581,W581,X581,VLOOKUP(Z581,TIME!$S$28:$T$39,2,FALSE)),FC_DATA!$R$2:$AB$5000,MATCH("GS_I_M",FC_DATA!$R$1:$AB$1,0),FALSE)+FC_DATA!AB581)*0.5*FC_DATA!AG581),NA())</f>
        <v>#N/A</v>
      </c>
      <c r="AI581" s="491" t="e">
        <f ca="1">IF(V581="PARTNER.com",AH581,IF(AND(V581=V580,W581=W580),(1-AVERAGE(AD580,AD581))*AH581,(1-AVERAGE(AD581,VLOOKUP(_xlfn.CONCAT(U581,V581,W581,X581,M_BRAND_FC!$F$6),FC_DATA!$R$2:$AD$5000,MATCH("DISCOUNT_%_M",FC_DATA!$R$1:$AD$1,0),FALSE)))*AH581))</f>
        <v>#N/A</v>
      </c>
      <c r="AJ581" s="412" t="str">
        <f t="shared" ca="1" si="232"/>
        <v/>
      </c>
      <c r="AK581" s="413" t="str">
        <f>IFERROR(AE581/(Q_BRAND_FC!$T$24+1),"")</f>
        <v/>
      </c>
      <c r="AL581" s="88" t="str">
        <f t="shared" ca="1" si="233"/>
        <v/>
      </c>
      <c r="AM581" s="414" t="str">
        <f t="shared" ca="1" si="234"/>
        <v/>
      </c>
      <c r="AN581" s="58">
        <f>IFERROR(IF($V581="BRAND.com",HLOOKUP($X581&amp;$Z581,NWC_FC_NOOS!$C$4:$Q$23,MATCH(W581,NWC_FC_NOOS!$B$4:$B$23,0),FALSE),0),0)</f>
        <v>0</v>
      </c>
      <c r="AO581" s="57">
        <f>IFERROR(IF($V581="BRAND.com",HLOOKUP($X581&amp;$Z581,NWC_FC_NOOS!$T$4:$AH$23,MATCH(W581,NWC_FC_NOOS!$S$4:$S$23,0),FALSE),0),0)</f>
        <v>0</v>
      </c>
      <c r="AP581" s="57">
        <f>IFERROR(IF($V581="BRAND.com",HLOOKUP($X581&amp;$Z581,NWC_FC_NOOS!$C$50:$U$69,MATCH(W581,NWC_FC_NOOS!$B$50:$B$69,0),FALSE),0),0)</f>
        <v>0</v>
      </c>
      <c r="AQ581" s="58">
        <f>IFERROR(IF($V581="BRAND.com",HLOOKUP($X581&amp;$Z581,'NWC_FC_NON-NOOS'!$C$4:$Q$23,MATCH(W581,'NWC_FC_NON-NOOS'!$B$4:$B$23,0),FALSE),0),0)</f>
        <v>0</v>
      </c>
      <c r="AR581" s="57">
        <f>IFERROR(IF($V581="BRAND.com",HLOOKUP($X581&amp;$Z581,'NWC_FC_NON-NOOS'!$T$4:$AH$23,MATCH(W581,'NWC_FC_NON-NOOS'!$S$4:$S$23,0),FALSE),0),0)</f>
        <v>0</v>
      </c>
      <c r="AS581" s="57">
        <f>IFERROR(IF($V581="BRAND.com",HLOOKUP($X581&amp;$Z581,'NWC_FC_NON-NOOS'!$C$50:$U$69,MATCH(W581,'NWC_FC_NON-NOOS'!$B$50:$B$69,0),FALSE),0),0)</f>
        <v>0</v>
      </c>
      <c r="AT581" s="57">
        <f t="shared" si="236"/>
        <v>0</v>
      </c>
      <c r="AU581" s="57">
        <f t="shared" si="237"/>
        <v>0</v>
      </c>
      <c r="AV581" s="58">
        <f>IFERROR(IF($V581="BRAND.com",HLOOKUP($X581&amp;$Z581,PLANNING_FC!$BB$27:$BP$46,MATCH($W581,PLANNING_FC!$BA$27:$BA$46,0),FALSE),0),0)</f>
        <v>0</v>
      </c>
      <c r="AW581" s="58">
        <f>IFERROR(IF($V581="BRAND.com",HLOOKUP($X581&amp;$Z581,PLANNING_FC!$BB$4:$BP$23,MATCH($W581,PLANNING_FC!$BA$4:$BA$23,0),FALSE),0),0)</f>
        <v>0</v>
      </c>
      <c r="AX581" s="58">
        <f>IFERROR(IF($V581="BRAND.com",HLOOKUP($X581&amp;$Z581,PLANNING_FC!$T$27:$AH$46,MATCH($W581,PLANNING_FC!$B$27:$B$46,0),FALSE),0),0)</f>
        <v>0</v>
      </c>
      <c r="AY581" s="58">
        <f>IFERROR(IF($V581="BRAND.com",HLOOKUP($X581&amp;$Z581,PLANNING_FC!$T$4:$AH$23,MATCH($W581,PLANNING_FC!$B$4:$B$23,0),FALSE),0),0)</f>
        <v>0</v>
      </c>
      <c r="AZ581" s="58">
        <f>IFERROR(IF($V581="BRAND.com",HLOOKUP($X581&amp;$Z581,PLANNING_FC!$DA$27:$DO$46,MATCH($W581,PLANNING_FC!$CZ$27:$CZ$46,0),FALSE),0),0)</f>
        <v>0</v>
      </c>
      <c r="BA581" s="58">
        <f>IFERROR(IF($V581="BRAND.com",HLOOKUP($X581&amp;$Z581,PLANNING_FC!$DA$4:$DO$23,MATCH($W581,PLANNING_FC!$CZ$4:$CZ$23,0),FALSE),0),0)</f>
        <v>0</v>
      </c>
      <c r="BB581" s="883" t="str">
        <f>IF(V581="BRAND.com",IFERROR(HLOOKUP(X581&amp;Z581,PLANNING_FC!$AK$4:$AY$23,MATCH(W581,PLANNING_FC!$AJ$4:$AJ$23,0),FALSE)*1000,""),"")</f>
        <v/>
      </c>
      <c r="BC581" s="883" t="str">
        <f>IF(V581="BRAND.com",IFERROR(HLOOKUP(X581&amp;Z581,PLANNING_FC!$AK$27:$AY$46,MATCH(W581,PLANNING_FC!$AJ$27:$AJ$46,0),FALSE)*1000,""),"")</f>
        <v/>
      </c>
    </row>
    <row r="582" spans="1:55" x14ac:dyDescent="0.25">
      <c r="A582" s="509"/>
      <c r="B582" s="509"/>
      <c r="C582" s="509"/>
      <c r="D582" s="509"/>
      <c r="E582" s="509"/>
      <c r="F582" s="509"/>
      <c r="G582" s="509"/>
      <c r="H582" s="509"/>
      <c r="I582" s="512"/>
      <c r="J582" s="513"/>
      <c r="K582" s="514"/>
      <c r="L582" s="515"/>
      <c r="M582" s="516"/>
      <c r="N582" s="56">
        <f t="shared" si="218"/>
        <v>0</v>
      </c>
      <c r="O582" s="57">
        <f t="shared" si="219"/>
        <v>0</v>
      </c>
      <c r="P582" s="57">
        <f ca="1">IFERROR(IF(ISBLANK(H582),SUMIFS($AC:$AC,$V:$V,V582,$W:$W,W582,$X:$X,X582,$Y:$Y,Y582)*J582/(1-J582)*VLOOKUP(_xlfn.CONCAT(C582,D582,E582,TIME!$M$12,Z582),HIS_SALES!$B$2:$W$4859,20,FALSE),AC582*J582/(1-J582)),0)</f>
        <v>0</v>
      </c>
      <c r="Q582" s="541" t="str">
        <f t="shared" si="220"/>
        <v/>
      </c>
      <c r="R582" s="346" t="str">
        <f t="shared" si="230"/>
        <v>00000</v>
      </c>
      <c r="S582" s="344">
        <f t="shared" si="221"/>
        <v>0</v>
      </c>
      <c r="T582" s="345" t="str">
        <f t="shared" si="235"/>
        <v>000</v>
      </c>
      <c r="U582" s="345">
        <f t="shared" si="222"/>
        <v>0</v>
      </c>
      <c r="V582" s="345">
        <f t="shared" si="223"/>
        <v>0</v>
      </c>
      <c r="W582" s="345">
        <f t="shared" si="224"/>
        <v>0</v>
      </c>
      <c r="X582" s="345">
        <f t="shared" si="225"/>
        <v>0</v>
      </c>
      <c r="Y582" s="345">
        <f t="shared" si="226"/>
        <v>0</v>
      </c>
      <c r="Z582" s="345">
        <f>IF(Q582&lt;&gt;"",VLOOKUP(Y582,TIME!$R$21:$V$24,MATCH(FC_DATA!Q582,TIME!$R$20:$V$20,0),FALSE),H582)</f>
        <v>0</v>
      </c>
      <c r="AA582" s="345" t="str">
        <f>IFERROR(VLOOKUP(X582&amp;Z582,TIME!$A$12:$D$71,4,FALSE),"")</f>
        <v/>
      </c>
      <c r="AB582" s="592">
        <f t="shared" ca="1" si="231"/>
        <v>0</v>
      </c>
      <c r="AC582" s="593" t="e">
        <f ca="1">IF(ISBLANK(H582)=FALSE,IF(D582="BRAND.com",I582,IF(ISNA(VLOOKUP(_xlfn.CONCAT(X582,Z582),TIME!$M$40:$M$42,1,FALSE)),I582,VLOOKUP(_xlfn.CONCAT(D582,G582,H582),M_BUSAREA_FC!$AF$5:$AJ$10,5,FALSE)*HLOOKUP(_xlfn.CONCAT(F582,H582),ST_OVERVIEW!$G$99:$I$130,MATCH(_xlfn.CONCAT(D582,E582),ST_OVERVIEW!$F$99:$F$130,0),FALSE))),IF(D582="BRAND.com",VLOOKUP(_xlfn.CONCAT(C582,D582,E582,TIME!$F$1,Z582),HIS_SALES!$B$2:$V$4859,19,FALSE)*I582,VLOOKUP(_xlfn.CONCAT(D582,F582,G582),Q_BUSAREA_FC!$AE$5:$AI$12,5,FALSE)*HLOOKUP(_xlfn.CONCAT(FC_DATA!F582,FC_DATA!G582),LT_OVERVIEW!$I$99:$M$130,MATCH(_xlfn.CONCAT(D582,FC_DATA!E582),LT_OVERVIEW!$H$99:$H$130,0),FALSE)*IFERROR(VLOOKUP(_xlfn.CONCAT(C582,D582,E582,TIME!$F$1,Z582),HIS_SALES!$B$2:$V$4859,19,FALSE),0)))</f>
        <v>#N/A</v>
      </c>
      <c r="AD582" s="341">
        <f t="shared" ca="1" si="227"/>
        <v>0</v>
      </c>
      <c r="AE582" s="363" t="str">
        <f t="shared" si="228"/>
        <v/>
      </c>
      <c r="AF582" s="342" t="str">
        <f t="shared" si="229"/>
        <v/>
      </c>
      <c r="AG582" s="411" t="e">
        <f ca="1">VLOOKUP(_xlfn.CONCAT(U582,V582,W582,VLOOKUP(X582&amp;Y582,TIME!$L$27:$O$34,4,FALSE),Y582),HIS_SALES!$A$2:$R$5093,18,FALSE)</f>
        <v>#N/A</v>
      </c>
      <c r="AH582" s="412" t="e">
        <f ca="1">IFERROR(IF(AND(V582=V581,W582=W581),0.5*(AB582+AB581)*AG582,(VLOOKUP(_xlfn.CONCAT(U582,V582,W582,X582,VLOOKUP(Z582,TIME!$S$28:$T$39,2,FALSE)),FC_DATA!$R$2:$AB$5000,MATCH("GS_I_M",FC_DATA!$R$1:$AB$1,0),FALSE)+FC_DATA!AB582)*0.5*FC_DATA!AG582),NA())</f>
        <v>#N/A</v>
      </c>
      <c r="AI582" s="491" t="e">
        <f ca="1">IF(V582="PARTNER.com",AH582,IF(AND(V582=V581,W582=W581),(1-AVERAGE(AD581,AD582))*AH582,(1-AVERAGE(AD582,VLOOKUP(_xlfn.CONCAT(U582,V582,W582,X582,M_BRAND_FC!$F$6),FC_DATA!$R$2:$AD$5000,MATCH("DISCOUNT_%_M",FC_DATA!$R$1:$AD$1,0),FALSE)))*AH582))</f>
        <v>#N/A</v>
      </c>
      <c r="AJ582" s="412" t="str">
        <f t="shared" ca="1" si="232"/>
        <v/>
      </c>
      <c r="AK582" s="413" t="str">
        <f>IFERROR(AE582/(Q_BRAND_FC!$T$24+1),"")</f>
        <v/>
      </c>
      <c r="AL582" s="88" t="str">
        <f t="shared" ca="1" si="233"/>
        <v/>
      </c>
      <c r="AM582" s="414" t="str">
        <f t="shared" ca="1" si="234"/>
        <v/>
      </c>
      <c r="AN582" s="58">
        <f>IFERROR(IF($V582="BRAND.com",HLOOKUP($X582&amp;$Z582,NWC_FC_NOOS!$C$4:$Q$23,MATCH(W582,NWC_FC_NOOS!$B$4:$B$23,0),FALSE),0),0)</f>
        <v>0</v>
      </c>
      <c r="AO582" s="57">
        <f>IFERROR(IF($V582="BRAND.com",HLOOKUP($X582&amp;$Z582,NWC_FC_NOOS!$T$4:$AH$23,MATCH(W582,NWC_FC_NOOS!$S$4:$S$23,0),FALSE),0),0)</f>
        <v>0</v>
      </c>
      <c r="AP582" s="57">
        <f>IFERROR(IF($V582="BRAND.com",HLOOKUP($X582&amp;$Z582,NWC_FC_NOOS!$C$50:$U$69,MATCH(W582,NWC_FC_NOOS!$B$50:$B$69,0),FALSE),0),0)</f>
        <v>0</v>
      </c>
      <c r="AQ582" s="58">
        <f>IFERROR(IF($V582="BRAND.com",HLOOKUP($X582&amp;$Z582,'NWC_FC_NON-NOOS'!$C$4:$Q$23,MATCH(W582,'NWC_FC_NON-NOOS'!$B$4:$B$23,0),FALSE),0),0)</f>
        <v>0</v>
      </c>
      <c r="AR582" s="57">
        <f>IFERROR(IF($V582="BRAND.com",HLOOKUP($X582&amp;$Z582,'NWC_FC_NON-NOOS'!$T$4:$AH$23,MATCH(W582,'NWC_FC_NON-NOOS'!$S$4:$S$23,0),FALSE),0),0)</f>
        <v>0</v>
      </c>
      <c r="AS582" s="57">
        <f>IFERROR(IF($V582="BRAND.com",HLOOKUP($X582&amp;$Z582,'NWC_FC_NON-NOOS'!$C$50:$U$69,MATCH(W582,'NWC_FC_NON-NOOS'!$B$50:$B$69,0),FALSE),0),0)</f>
        <v>0</v>
      </c>
      <c r="AT582" s="57">
        <f t="shared" si="236"/>
        <v>0</v>
      </c>
      <c r="AU582" s="57">
        <f t="shared" si="237"/>
        <v>0</v>
      </c>
      <c r="AV582" s="58">
        <f>IFERROR(IF($V582="BRAND.com",HLOOKUP($X582&amp;$Z582,PLANNING_FC!$BB$27:$BP$46,MATCH($W582,PLANNING_FC!$BA$27:$BA$46,0),FALSE),0),0)</f>
        <v>0</v>
      </c>
      <c r="AW582" s="58">
        <f>IFERROR(IF($V582="BRAND.com",HLOOKUP($X582&amp;$Z582,PLANNING_FC!$BB$4:$BP$23,MATCH($W582,PLANNING_FC!$BA$4:$BA$23,0),FALSE),0),0)</f>
        <v>0</v>
      </c>
      <c r="AX582" s="58">
        <f>IFERROR(IF($V582="BRAND.com",HLOOKUP($X582&amp;$Z582,PLANNING_FC!$T$27:$AH$46,MATCH($W582,PLANNING_FC!$B$27:$B$46,0),FALSE),0),0)</f>
        <v>0</v>
      </c>
      <c r="AY582" s="58">
        <f>IFERROR(IF($V582="BRAND.com",HLOOKUP($X582&amp;$Z582,PLANNING_FC!$T$4:$AH$23,MATCH($W582,PLANNING_FC!$B$4:$B$23,0),FALSE),0),0)</f>
        <v>0</v>
      </c>
      <c r="AZ582" s="58">
        <f>IFERROR(IF($V582="BRAND.com",HLOOKUP($X582&amp;$Z582,PLANNING_FC!$DA$27:$DO$46,MATCH($W582,PLANNING_FC!$CZ$27:$CZ$46,0),FALSE),0),0)</f>
        <v>0</v>
      </c>
      <c r="BA582" s="58">
        <f>IFERROR(IF($V582="BRAND.com",HLOOKUP($X582&amp;$Z582,PLANNING_FC!$DA$4:$DO$23,MATCH($W582,PLANNING_FC!$CZ$4:$CZ$23,0),FALSE),0),0)</f>
        <v>0</v>
      </c>
      <c r="BB582" s="883" t="str">
        <f>IF(V582="BRAND.com",IFERROR(HLOOKUP(X582&amp;Z582,PLANNING_FC!$AK$4:$AY$23,MATCH(W582,PLANNING_FC!$AJ$4:$AJ$23,0),FALSE)*1000,""),"")</f>
        <v/>
      </c>
      <c r="BC582" s="883" t="str">
        <f>IF(V582="BRAND.com",IFERROR(HLOOKUP(X582&amp;Z582,PLANNING_FC!$AK$27:$AY$46,MATCH(W582,PLANNING_FC!$AJ$27:$AJ$46,0),FALSE)*1000,""),"")</f>
        <v/>
      </c>
    </row>
    <row r="583" spans="1:55" x14ac:dyDescent="0.25">
      <c r="A583" s="509"/>
      <c r="B583" s="509"/>
      <c r="C583" s="509"/>
      <c r="D583" s="509"/>
      <c r="E583" s="509"/>
      <c r="F583" s="509"/>
      <c r="G583" s="509"/>
      <c r="H583" s="509"/>
      <c r="I583" s="512"/>
      <c r="J583" s="513"/>
      <c r="K583" s="514"/>
      <c r="L583" s="515"/>
      <c r="M583" s="516"/>
      <c r="N583" s="56">
        <f t="shared" si="218"/>
        <v>0</v>
      </c>
      <c r="O583" s="57">
        <f t="shared" si="219"/>
        <v>0</v>
      </c>
      <c r="P583" s="57">
        <f ca="1">IFERROR(IF(ISBLANK(H583),SUMIFS($AC:$AC,$V:$V,V583,$W:$W,W583,$X:$X,X583,$Y:$Y,Y583)*J583/(1-J583)*VLOOKUP(_xlfn.CONCAT(C583,D583,E583,TIME!$M$12,Z583),HIS_SALES!$B$2:$W$4859,20,FALSE),AC583*J583/(1-J583)),0)</f>
        <v>0</v>
      </c>
      <c r="Q583" s="541" t="str">
        <f t="shared" si="220"/>
        <v/>
      </c>
      <c r="R583" s="346" t="str">
        <f t="shared" si="230"/>
        <v>00000</v>
      </c>
      <c r="S583" s="344">
        <f t="shared" si="221"/>
        <v>0</v>
      </c>
      <c r="T583" s="345" t="str">
        <f t="shared" si="235"/>
        <v>000</v>
      </c>
      <c r="U583" s="345">
        <f t="shared" si="222"/>
        <v>0</v>
      </c>
      <c r="V583" s="345">
        <f t="shared" si="223"/>
        <v>0</v>
      </c>
      <c r="W583" s="345">
        <f t="shared" si="224"/>
        <v>0</v>
      </c>
      <c r="X583" s="345">
        <f t="shared" si="225"/>
        <v>0</v>
      </c>
      <c r="Y583" s="345">
        <f t="shared" si="226"/>
        <v>0</v>
      </c>
      <c r="Z583" s="345">
        <f>IF(Q583&lt;&gt;"",VLOOKUP(Y583,TIME!$R$21:$V$24,MATCH(FC_DATA!Q583,TIME!$R$20:$V$20,0),FALSE),H583)</f>
        <v>0</v>
      </c>
      <c r="AA583" s="345" t="str">
        <f>IFERROR(VLOOKUP(X583&amp;Z583,TIME!$A$12:$D$71,4,FALSE),"")</f>
        <v/>
      </c>
      <c r="AB583" s="592">
        <f t="shared" ca="1" si="231"/>
        <v>0</v>
      </c>
      <c r="AC583" s="593" t="e">
        <f ca="1">IF(ISBLANK(H583)=FALSE,IF(D583="BRAND.com",I583,IF(ISNA(VLOOKUP(_xlfn.CONCAT(X583,Z583),TIME!$M$40:$M$42,1,FALSE)),I583,VLOOKUP(_xlfn.CONCAT(D583,G583,H583),M_BUSAREA_FC!$AF$5:$AJ$10,5,FALSE)*HLOOKUP(_xlfn.CONCAT(F583,H583),ST_OVERVIEW!$G$99:$I$130,MATCH(_xlfn.CONCAT(D583,E583),ST_OVERVIEW!$F$99:$F$130,0),FALSE))),IF(D583="BRAND.com",VLOOKUP(_xlfn.CONCAT(C583,D583,E583,TIME!$F$1,Z583),HIS_SALES!$B$2:$V$4859,19,FALSE)*I583,VLOOKUP(_xlfn.CONCAT(D583,F583,G583),Q_BUSAREA_FC!$AE$5:$AI$12,5,FALSE)*HLOOKUP(_xlfn.CONCAT(FC_DATA!F583,FC_DATA!G583),LT_OVERVIEW!$I$99:$M$130,MATCH(_xlfn.CONCAT(D583,FC_DATA!E583),LT_OVERVIEW!$H$99:$H$130,0),FALSE)*IFERROR(VLOOKUP(_xlfn.CONCAT(C583,D583,E583,TIME!$F$1,Z583),HIS_SALES!$B$2:$V$4859,19,FALSE),0)))</f>
        <v>#N/A</v>
      </c>
      <c r="AD583" s="341">
        <f t="shared" ca="1" si="227"/>
        <v>0</v>
      </c>
      <c r="AE583" s="363" t="str">
        <f t="shared" si="228"/>
        <v/>
      </c>
      <c r="AF583" s="342" t="str">
        <f t="shared" si="229"/>
        <v/>
      </c>
      <c r="AG583" s="411" t="e">
        <f ca="1">VLOOKUP(_xlfn.CONCAT(U583,V583,W583,VLOOKUP(X583&amp;Y583,TIME!$L$27:$O$34,4,FALSE),Y583),HIS_SALES!$A$2:$R$5093,18,FALSE)</f>
        <v>#N/A</v>
      </c>
      <c r="AH583" s="412" t="e">
        <f ca="1">IFERROR(IF(AND(V583=V582,W583=W582),0.5*(AB583+AB582)*AG583,(VLOOKUP(_xlfn.CONCAT(U583,V583,W583,X583,VLOOKUP(Z583,TIME!$S$28:$T$39,2,FALSE)),FC_DATA!$R$2:$AB$5000,MATCH("GS_I_M",FC_DATA!$R$1:$AB$1,0),FALSE)+FC_DATA!AB583)*0.5*FC_DATA!AG583),NA())</f>
        <v>#N/A</v>
      </c>
      <c r="AI583" s="491" t="e">
        <f ca="1">IF(V583="PARTNER.com",AH583,IF(AND(V583=V582,W583=W582),(1-AVERAGE(AD582,AD583))*AH583,(1-AVERAGE(AD583,VLOOKUP(_xlfn.CONCAT(U583,V583,W583,X583,M_BRAND_FC!$F$6),FC_DATA!$R$2:$AD$5000,MATCH("DISCOUNT_%_M",FC_DATA!$R$1:$AD$1,0),FALSE)))*AH583))</f>
        <v>#N/A</v>
      </c>
      <c r="AJ583" s="412" t="str">
        <f t="shared" ca="1" si="232"/>
        <v/>
      </c>
      <c r="AK583" s="413" t="str">
        <f>IFERROR(AE583/(Q_BRAND_FC!$T$24+1),"")</f>
        <v/>
      </c>
      <c r="AL583" s="88" t="str">
        <f t="shared" ca="1" si="233"/>
        <v/>
      </c>
      <c r="AM583" s="414" t="str">
        <f t="shared" ca="1" si="234"/>
        <v/>
      </c>
      <c r="AN583" s="58">
        <f>IFERROR(IF($V583="BRAND.com",HLOOKUP($X583&amp;$Z583,NWC_FC_NOOS!$C$4:$Q$23,MATCH(W583,NWC_FC_NOOS!$B$4:$B$23,0),FALSE),0),0)</f>
        <v>0</v>
      </c>
      <c r="AO583" s="57">
        <f>IFERROR(IF($V583="BRAND.com",HLOOKUP($X583&amp;$Z583,NWC_FC_NOOS!$T$4:$AH$23,MATCH(W583,NWC_FC_NOOS!$S$4:$S$23,0),FALSE),0),0)</f>
        <v>0</v>
      </c>
      <c r="AP583" s="57">
        <f>IFERROR(IF($V583="BRAND.com",HLOOKUP($X583&amp;$Z583,NWC_FC_NOOS!$C$50:$U$69,MATCH(W583,NWC_FC_NOOS!$B$50:$B$69,0),FALSE),0),0)</f>
        <v>0</v>
      </c>
      <c r="AQ583" s="58">
        <f>IFERROR(IF($V583="BRAND.com",HLOOKUP($X583&amp;$Z583,'NWC_FC_NON-NOOS'!$C$4:$Q$23,MATCH(W583,'NWC_FC_NON-NOOS'!$B$4:$B$23,0),FALSE),0),0)</f>
        <v>0</v>
      </c>
      <c r="AR583" s="57">
        <f>IFERROR(IF($V583="BRAND.com",HLOOKUP($X583&amp;$Z583,'NWC_FC_NON-NOOS'!$T$4:$AH$23,MATCH(W583,'NWC_FC_NON-NOOS'!$S$4:$S$23,0),FALSE),0),0)</f>
        <v>0</v>
      </c>
      <c r="AS583" s="57">
        <f>IFERROR(IF($V583="BRAND.com",HLOOKUP($X583&amp;$Z583,'NWC_FC_NON-NOOS'!$C$50:$U$69,MATCH(W583,'NWC_FC_NON-NOOS'!$B$50:$B$69,0),FALSE),0),0)</f>
        <v>0</v>
      </c>
      <c r="AT583" s="57">
        <f t="shared" si="236"/>
        <v>0</v>
      </c>
      <c r="AU583" s="57">
        <f t="shared" si="237"/>
        <v>0</v>
      </c>
      <c r="AV583" s="58">
        <f>IFERROR(IF($V583="BRAND.com",HLOOKUP($X583&amp;$Z583,PLANNING_FC!$BB$27:$BP$46,MATCH($W583,PLANNING_FC!$BA$27:$BA$46,0),FALSE),0),0)</f>
        <v>0</v>
      </c>
      <c r="AW583" s="58">
        <f>IFERROR(IF($V583="BRAND.com",HLOOKUP($X583&amp;$Z583,PLANNING_FC!$BB$4:$BP$23,MATCH($W583,PLANNING_FC!$BA$4:$BA$23,0),FALSE),0),0)</f>
        <v>0</v>
      </c>
      <c r="AX583" s="58">
        <f>IFERROR(IF($V583="BRAND.com",HLOOKUP($X583&amp;$Z583,PLANNING_FC!$T$27:$AH$46,MATCH($W583,PLANNING_FC!$B$27:$B$46,0),FALSE),0),0)</f>
        <v>0</v>
      </c>
      <c r="AY583" s="58">
        <f>IFERROR(IF($V583="BRAND.com",HLOOKUP($X583&amp;$Z583,PLANNING_FC!$T$4:$AH$23,MATCH($W583,PLANNING_FC!$B$4:$B$23,0),FALSE),0),0)</f>
        <v>0</v>
      </c>
      <c r="AZ583" s="58">
        <f>IFERROR(IF($V583="BRAND.com",HLOOKUP($X583&amp;$Z583,PLANNING_FC!$DA$27:$DO$46,MATCH($W583,PLANNING_FC!$CZ$27:$CZ$46,0),FALSE),0),0)</f>
        <v>0</v>
      </c>
      <c r="BA583" s="58">
        <f>IFERROR(IF($V583="BRAND.com",HLOOKUP($X583&amp;$Z583,PLANNING_FC!$DA$4:$DO$23,MATCH($W583,PLANNING_FC!$CZ$4:$CZ$23,0),FALSE),0),0)</f>
        <v>0</v>
      </c>
      <c r="BB583" s="883" t="str">
        <f>IF(V583="BRAND.com",IFERROR(HLOOKUP(X583&amp;Z583,PLANNING_FC!$AK$4:$AY$23,MATCH(W583,PLANNING_FC!$AJ$4:$AJ$23,0),FALSE)*1000,""),"")</f>
        <v/>
      </c>
      <c r="BC583" s="883" t="str">
        <f>IF(V583="BRAND.com",IFERROR(HLOOKUP(X583&amp;Z583,PLANNING_FC!$AK$27:$AY$46,MATCH(W583,PLANNING_FC!$AJ$27:$AJ$46,0),FALSE)*1000,""),"")</f>
        <v/>
      </c>
    </row>
    <row r="584" spans="1:55" x14ac:dyDescent="0.25">
      <c r="A584" s="509"/>
      <c r="B584" s="509"/>
      <c r="C584" s="509"/>
      <c r="D584" s="509"/>
      <c r="E584" s="509"/>
      <c r="F584" s="509"/>
      <c r="G584" s="509"/>
      <c r="H584" s="509"/>
      <c r="I584" s="512"/>
      <c r="J584" s="513"/>
      <c r="K584" s="514"/>
      <c r="L584" s="515"/>
      <c r="M584" s="516"/>
      <c r="N584" s="56">
        <f t="shared" si="218"/>
        <v>0</v>
      </c>
      <c r="O584" s="57">
        <f t="shared" si="219"/>
        <v>0</v>
      </c>
      <c r="P584" s="57">
        <f ca="1">IFERROR(IF(ISBLANK(H584),SUMIFS($AC:$AC,$V:$V,V584,$W:$W,W584,$X:$X,X584,$Y:$Y,Y584)*J584/(1-J584)*VLOOKUP(_xlfn.CONCAT(C584,D584,E584,TIME!$M$12,Z584),HIS_SALES!$B$2:$W$4859,20,FALSE),AC584*J584/(1-J584)),0)</f>
        <v>0</v>
      </c>
      <c r="Q584" s="541" t="str">
        <f t="shared" si="220"/>
        <v/>
      </c>
      <c r="R584" s="346" t="str">
        <f t="shared" si="230"/>
        <v>00000</v>
      </c>
      <c r="S584" s="344">
        <f t="shared" si="221"/>
        <v>0</v>
      </c>
      <c r="T584" s="345" t="str">
        <f t="shared" si="235"/>
        <v>000</v>
      </c>
      <c r="U584" s="345">
        <f t="shared" si="222"/>
        <v>0</v>
      </c>
      <c r="V584" s="345">
        <f t="shared" si="223"/>
        <v>0</v>
      </c>
      <c r="W584" s="345">
        <f t="shared" si="224"/>
        <v>0</v>
      </c>
      <c r="X584" s="345">
        <f t="shared" si="225"/>
        <v>0</v>
      </c>
      <c r="Y584" s="345">
        <f t="shared" si="226"/>
        <v>0</v>
      </c>
      <c r="Z584" s="345">
        <f>IF(Q584&lt;&gt;"",VLOOKUP(Y584,TIME!$R$21:$V$24,MATCH(FC_DATA!Q584,TIME!$R$20:$V$20,0),FALSE),H584)</f>
        <v>0</v>
      </c>
      <c r="AA584" s="345" t="str">
        <f>IFERROR(VLOOKUP(X584&amp;Z584,TIME!$A$12:$D$71,4,FALSE),"")</f>
        <v/>
      </c>
      <c r="AB584" s="592">
        <f t="shared" ca="1" si="231"/>
        <v>0</v>
      </c>
      <c r="AC584" s="593" t="e">
        <f ca="1">IF(ISBLANK(H584)=FALSE,IF(D584="BRAND.com",I584,IF(ISNA(VLOOKUP(_xlfn.CONCAT(X584,Z584),TIME!$M$40:$M$42,1,FALSE)),I584,VLOOKUP(_xlfn.CONCAT(D584,G584,H584),M_BUSAREA_FC!$AF$5:$AJ$10,5,FALSE)*HLOOKUP(_xlfn.CONCAT(F584,H584),ST_OVERVIEW!$G$99:$I$130,MATCH(_xlfn.CONCAT(D584,E584),ST_OVERVIEW!$F$99:$F$130,0),FALSE))),IF(D584="BRAND.com",VLOOKUP(_xlfn.CONCAT(C584,D584,E584,TIME!$F$1,Z584),HIS_SALES!$B$2:$V$4859,19,FALSE)*I584,VLOOKUP(_xlfn.CONCAT(D584,F584,G584),Q_BUSAREA_FC!$AE$5:$AI$12,5,FALSE)*HLOOKUP(_xlfn.CONCAT(FC_DATA!F584,FC_DATA!G584),LT_OVERVIEW!$I$99:$M$130,MATCH(_xlfn.CONCAT(D584,FC_DATA!E584),LT_OVERVIEW!$H$99:$H$130,0),FALSE)*IFERROR(VLOOKUP(_xlfn.CONCAT(C584,D584,E584,TIME!$F$1,Z584),HIS_SALES!$B$2:$V$4859,19,FALSE),0)))</f>
        <v>#N/A</v>
      </c>
      <c r="AD584" s="341">
        <f t="shared" ca="1" si="227"/>
        <v>0</v>
      </c>
      <c r="AE584" s="363" t="str">
        <f t="shared" si="228"/>
        <v/>
      </c>
      <c r="AF584" s="342" t="str">
        <f t="shared" si="229"/>
        <v/>
      </c>
      <c r="AG584" s="411" t="e">
        <f ca="1">VLOOKUP(_xlfn.CONCAT(U584,V584,W584,VLOOKUP(X584&amp;Y584,TIME!$L$27:$O$34,4,FALSE),Y584),HIS_SALES!$A$2:$R$5093,18,FALSE)</f>
        <v>#N/A</v>
      </c>
      <c r="AH584" s="412" t="e">
        <f ca="1">IFERROR(IF(AND(V584=V583,W584=W583),0.5*(AB584+AB583)*AG584,(VLOOKUP(_xlfn.CONCAT(U584,V584,W584,X584,VLOOKUP(Z584,TIME!$S$28:$T$39,2,FALSE)),FC_DATA!$R$2:$AB$5000,MATCH("GS_I_M",FC_DATA!$R$1:$AB$1,0),FALSE)+FC_DATA!AB584)*0.5*FC_DATA!AG584),NA())</f>
        <v>#N/A</v>
      </c>
      <c r="AI584" s="491" t="e">
        <f ca="1">IF(V584="PARTNER.com",AH584,IF(AND(V584=V583,W584=W583),(1-AVERAGE(AD583,AD584))*AH584,(1-AVERAGE(AD584,VLOOKUP(_xlfn.CONCAT(U584,V584,W584,X584,M_BRAND_FC!$F$6),FC_DATA!$R$2:$AD$5000,MATCH("DISCOUNT_%_M",FC_DATA!$R$1:$AD$1,0),FALSE)))*AH584))</f>
        <v>#N/A</v>
      </c>
      <c r="AJ584" s="412" t="str">
        <f t="shared" ca="1" si="232"/>
        <v/>
      </c>
      <c r="AK584" s="413" t="str">
        <f>IFERROR(AE584/(Q_BRAND_FC!$T$24+1),"")</f>
        <v/>
      </c>
      <c r="AL584" s="88" t="str">
        <f t="shared" ca="1" si="233"/>
        <v/>
      </c>
      <c r="AM584" s="414" t="str">
        <f t="shared" ca="1" si="234"/>
        <v/>
      </c>
      <c r="AN584" s="58">
        <f>IFERROR(IF($V584="BRAND.com",HLOOKUP($X584&amp;$Z584,NWC_FC_NOOS!$C$4:$Q$23,MATCH(W584,NWC_FC_NOOS!$B$4:$B$23,0),FALSE),0),0)</f>
        <v>0</v>
      </c>
      <c r="AO584" s="57">
        <f>IFERROR(IF($V584="BRAND.com",HLOOKUP($X584&amp;$Z584,NWC_FC_NOOS!$T$4:$AH$23,MATCH(W584,NWC_FC_NOOS!$S$4:$S$23,0),FALSE),0),0)</f>
        <v>0</v>
      </c>
      <c r="AP584" s="57">
        <f>IFERROR(IF($V584="BRAND.com",HLOOKUP($X584&amp;$Z584,NWC_FC_NOOS!$C$50:$U$69,MATCH(W584,NWC_FC_NOOS!$B$50:$B$69,0),FALSE),0),0)</f>
        <v>0</v>
      </c>
      <c r="AQ584" s="58">
        <f>IFERROR(IF($V584="BRAND.com",HLOOKUP($X584&amp;$Z584,'NWC_FC_NON-NOOS'!$C$4:$Q$23,MATCH(W584,'NWC_FC_NON-NOOS'!$B$4:$B$23,0),FALSE),0),0)</f>
        <v>0</v>
      </c>
      <c r="AR584" s="57">
        <f>IFERROR(IF($V584="BRAND.com",HLOOKUP($X584&amp;$Z584,'NWC_FC_NON-NOOS'!$T$4:$AH$23,MATCH(W584,'NWC_FC_NON-NOOS'!$S$4:$S$23,0),FALSE),0),0)</f>
        <v>0</v>
      </c>
      <c r="AS584" s="57">
        <f>IFERROR(IF($V584="BRAND.com",HLOOKUP($X584&amp;$Z584,'NWC_FC_NON-NOOS'!$C$50:$U$69,MATCH(W584,'NWC_FC_NON-NOOS'!$B$50:$B$69,0),FALSE),0),0)</f>
        <v>0</v>
      </c>
      <c r="AT584" s="57">
        <f t="shared" si="236"/>
        <v>0</v>
      </c>
      <c r="AU584" s="57">
        <f t="shared" si="237"/>
        <v>0</v>
      </c>
      <c r="AV584" s="58">
        <f>IFERROR(IF($V584="BRAND.com",HLOOKUP($X584&amp;$Z584,PLANNING_FC!$BB$27:$BP$46,MATCH($W584,PLANNING_FC!$BA$27:$BA$46,0),FALSE),0),0)</f>
        <v>0</v>
      </c>
      <c r="AW584" s="58">
        <f>IFERROR(IF($V584="BRAND.com",HLOOKUP($X584&amp;$Z584,PLANNING_FC!$BB$4:$BP$23,MATCH($W584,PLANNING_FC!$BA$4:$BA$23,0),FALSE),0),0)</f>
        <v>0</v>
      </c>
      <c r="AX584" s="58">
        <f>IFERROR(IF($V584="BRAND.com",HLOOKUP($X584&amp;$Z584,PLANNING_FC!$T$27:$AH$46,MATCH($W584,PLANNING_FC!$B$27:$B$46,0),FALSE),0),0)</f>
        <v>0</v>
      </c>
      <c r="AY584" s="58">
        <f>IFERROR(IF($V584="BRAND.com",HLOOKUP($X584&amp;$Z584,PLANNING_FC!$T$4:$AH$23,MATCH($W584,PLANNING_FC!$B$4:$B$23,0),FALSE),0),0)</f>
        <v>0</v>
      </c>
      <c r="AZ584" s="58">
        <f>IFERROR(IF($V584="BRAND.com",HLOOKUP($X584&amp;$Z584,PLANNING_FC!$DA$27:$DO$46,MATCH($W584,PLANNING_FC!$CZ$27:$CZ$46,0),FALSE),0),0)</f>
        <v>0</v>
      </c>
      <c r="BA584" s="58">
        <f>IFERROR(IF($V584="BRAND.com",HLOOKUP($X584&amp;$Z584,PLANNING_FC!$DA$4:$DO$23,MATCH($W584,PLANNING_FC!$CZ$4:$CZ$23,0),FALSE),0),0)</f>
        <v>0</v>
      </c>
      <c r="BB584" s="883" t="str">
        <f>IF(V584="BRAND.com",IFERROR(HLOOKUP(X584&amp;Z584,PLANNING_FC!$AK$4:$AY$23,MATCH(W584,PLANNING_FC!$AJ$4:$AJ$23,0),FALSE)*1000,""),"")</f>
        <v/>
      </c>
      <c r="BC584" s="883" t="str">
        <f>IF(V584="BRAND.com",IFERROR(HLOOKUP(X584&amp;Z584,PLANNING_FC!$AK$27:$AY$46,MATCH(W584,PLANNING_FC!$AJ$27:$AJ$46,0),FALSE)*1000,""),"")</f>
        <v/>
      </c>
    </row>
    <row r="585" spans="1:55" x14ac:dyDescent="0.25">
      <c r="A585" s="509"/>
      <c r="B585" s="509"/>
      <c r="C585" s="509"/>
      <c r="D585" s="509"/>
      <c r="E585" s="509"/>
      <c r="F585" s="509"/>
      <c r="G585" s="509"/>
      <c r="H585" s="509"/>
      <c r="I585" s="512"/>
      <c r="J585" s="513"/>
      <c r="K585" s="514"/>
      <c r="L585" s="515"/>
      <c r="M585" s="516"/>
      <c r="N585" s="56">
        <f t="shared" si="218"/>
        <v>0</v>
      </c>
      <c r="O585" s="57">
        <f t="shared" si="219"/>
        <v>0</v>
      </c>
      <c r="P585" s="57">
        <f ca="1">IFERROR(IF(ISBLANK(H585),SUMIFS($AC:$AC,$V:$V,V585,$W:$W,W585,$X:$X,X585,$Y:$Y,Y585)*J585/(1-J585)*VLOOKUP(_xlfn.CONCAT(C585,D585,E585,TIME!$M$12,Z585),HIS_SALES!$B$2:$W$4859,20,FALSE),AC585*J585/(1-J585)),0)</f>
        <v>0</v>
      </c>
      <c r="Q585" s="541" t="str">
        <f t="shared" si="220"/>
        <v/>
      </c>
      <c r="R585" s="346" t="str">
        <f t="shared" si="230"/>
        <v>00000</v>
      </c>
      <c r="S585" s="344">
        <f t="shared" si="221"/>
        <v>0</v>
      </c>
      <c r="T585" s="345" t="str">
        <f t="shared" si="235"/>
        <v>000</v>
      </c>
      <c r="U585" s="345">
        <f t="shared" si="222"/>
        <v>0</v>
      </c>
      <c r="V585" s="345">
        <f t="shared" si="223"/>
        <v>0</v>
      </c>
      <c r="W585" s="345">
        <f t="shared" si="224"/>
        <v>0</v>
      </c>
      <c r="X585" s="345">
        <f t="shared" si="225"/>
        <v>0</v>
      </c>
      <c r="Y585" s="345">
        <f t="shared" si="226"/>
        <v>0</v>
      </c>
      <c r="Z585" s="345">
        <f>IF(Q585&lt;&gt;"",VLOOKUP(Y585,TIME!$R$21:$V$24,MATCH(FC_DATA!Q585,TIME!$R$20:$V$20,0),FALSE),H585)</f>
        <v>0</v>
      </c>
      <c r="AA585" s="345" t="str">
        <f>IFERROR(VLOOKUP(X585&amp;Z585,TIME!$A$12:$D$71,4,FALSE),"")</f>
        <v/>
      </c>
      <c r="AB585" s="592">
        <f t="shared" ca="1" si="231"/>
        <v>0</v>
      </c>
      <c r="AC585" s="593" t="e">
        <f ca="1">IF(ISBLANK(H585)=FALSE,IF(D585="BRAND.com",I585,IF(ISNA(VLOOKUP(_xlfn.CONCAT(X585,Z585),TIME!$M$40:$M$42,1,FALSE)),I585,VLOOKUP(_xlfn.CONCAT(D585,G585,H585),M_BUSAREA_FC!$AF$5:$AJ$10,5,FALSE)*HLOOKUP(_xlfn.CONCAT(F585,H585),ST_OVERVIEW!$G$99:$I$130,MATCH(_xlfn.CONCAT(D585,E585),ST_OVERVIEW!$F$99:$F$130,0),FALSE))),IF(D585="BRAND.com",VLOOKUP(_xlfn.CONCAT(C585,D585,E585,TIME!$F$1,Z585),HIS_SALES!$B$2:$V$4859,19,FALSE)*I585,VLOOKUP(_xlfn.CONCAT(D585,F585,G585),Q_BUSAREA_FC!$AE$5:$AI$12,5,FALSE)*HLOOKUP(_xlfn.CONCAT(FC_DATA!F585,FC_DATA!G585),LT_OVERVIEW!$I$99:$M$130,MATCH(_xlfn.CONCAT(D585,FC_DATA!E585),LT_OVERVIEW!$H$99:$H$130,0),FALSE)*IFERROR(VLOOKUP(_xlfn.CONCAT(C585,D585,E585,TIME!$F$1,Z585),HIS_SALES!$B$2:$V$4859,19,FALSE),0)))</f>
        <v>#N/A</v>
      </c>
      <c r="AD585" s="341">
        <f t="shared" ca="1" si="227"/>
        <v>0</v>
      </c>
      <c r="AE585" s="363" t="str">
        <f t="shared" si="228"/>
        <v/>
      </c>
      <c r="AF585" s="342" t="str">
        <f t="shared" si="229"/>
        <v/>
      </c>
      <c r="AG585" s="411" t="e">
        <f ca="1">VLOOKUP(_xlfn.CONCAT(U585,V585,W585,VLOOKUP(X585&amp;Y585,TIME!$L$27:$O$34,4,FALSE),Y585),HIS_SALES!$A$2:$R$5093,18,FALSE)</f>
        <v>#N/A</v>
      </c>
      <c r="AH585" s="412" t="e">
        <f ca="1">IFERROR(IF(AND(V585=V584,W585=W584),0.5*(AB585+AB584)*AG585,(VLOOKUP(_xlfn.CONCAT(U585,V585,W585,X585,VLOOKUP(Z585,TIME!$S$28:$T$39,2,FALSE)),FC_DATA!$R$2:$AB$5000,MATCH("GS_I_M",FC_DATA!$R$1:$AB$1,0),FALSE)+FC_DATA!AB585)*0.5*FC_DATA!AG585),NA())</f>
        <v>#N/A</v>
      </c>
      <c r="AI585" s="491" t="e">
        <f ca="1">IF(V585="PARTNER.com",AH585,IF(AND(V585=V584,W585=W584),(1-AVERAGE(AD584,AD585))*AH585,(1-AVERAGE(AD585,VLOOKUP(_xlfn.CONCAT(U585,V585,W585,X585,M_BRAND_FC!$F$6),FC_DATA!$R$2:$AD$5000,MATCH("DISCOUNT_%_M",FC_DATA!$R$1:$AD$1,0),FALSE)))*AH585))</f>
        <v>#N/A</v>
      </c>
      <c r="AJ585" s="412" t="str">
        <f t="shared" ca="1" si="232"/>
        <v/>
      </c>
      <c r="AK585" s="413" t="str">
        <f>IFERROR(AE585/(Q_BRAND_FC!$T$24+1),"")</f>
        <v/>
      </c>
      <c r="AL585" s="88" t="str">
        <f t="shared" ca="1" si="233"/>
        <v/>
      </c>
      <c r="AM585" s="414" t="str">
        <f t="shared" ca="1" si="234"/>
        <v/>
      </c>
      <c r="AN585" s="58">
        <f>IFERROR(IF($V585="BRAND.com",HLOOKUP($X585&amp;$Z585,NWC_FC_NOOS!$C$4:$Q$23,MATCH(W585,NWC_FC_NOOS!$B$4:$B$23,0),FALSE),0),0)</f>
        <v>0</v>
      </c>
      <c r="AO585" s="57">
        <f>IFERROR(IF($V585="BRAND.com",HLOOKUP($X585&amp;$Z585,NWC_FC_NOOS!$T$4:$AH$23,MATCH(W585,NWC_FC_NOOS!$S$4:$S$23,0),FALSE),0),0)</f>
        <v>0</v>
      </c>
      <c r="AP585" s="57">
        <f>IFERROR(IF($V585="BRAND.com",HLOOKUP($X585&amp;$Z585,NWC_FC_NOOS!$C$50:$U$69,MATCH(W585,NWC_FC_NOOS!$B$50:$B$69,0),FALSE),0),0)</f>
        <v>0</v>
      </c>
      <c r="AQ585" s="58">
        <f>IFERROR(IF($V585="BRAND.com",HLOOKUP($X585&amp;$Z585,'NWC_FC_NON-NOOS'!$C$4:$Q$23,MATCH(W585,'NWC_FC_NON-NOOS'!$B$4:$B$23,0),FALSE),0),0)</f>
        <v>0</v>
      </c>
      <c r="AR585" s="57">
        <f>IFERROR(IF($V585="BRAND.com",HLOOKUP($X585&amp;$Z585,'NWC_FC_NON-NOOS'!$T$4:$AH$23,MATCH(W585,'NWC_FC_NON-NOOS'!$S$4:$S$23,0),FALSE),0),0)</f>
        <v>0</v>
      </c>
      <c r="AS585" s="57">
        <f>IFERROR(IF($V585="BRAND.com",HLOOKUP($X585&amp;$Z585,'NWC_FC_NON-NOOS'!$C$50:$U$69,MATCH(W585,'NWC_FC_NON-NOOS'!$B$50:$B$69,0),FALSE),0),0)</f>
        <v>0</v>
      </c>
      <c r="AT585" s="57">
        <f t="shared" si="236"/>
        <v>0</v>
      </c>
      <c r="AU585" s="57">
        <f t="shared" si="237"/>
        <v>0</v>
      </c>
      <c r="AV585" s="58">
        <f>IFERROR(IF($V585="BRAND.com",HLOOKUP($X585&amp;$Z585,PLANNING_FC!$BB$27:$BP$46,MATCH($W585,PLANNING_FC!$BA$27:$BA$46,0),FALSE),0),0)</f>
        <v>0</v>
      </c>
      <c r="AW585" s="58">
        <f>IFERROR(IF($V585="BRAND.com",HLOOKUP($X585&amp;$Z585,PLANNING_FC!$BB$4:$BP$23,MATCH($W585,PLANNING_FC!$BA$4:$BA$23,0),FALSE),0),0)</f>
        <v>0</v>
      </c>
      <c r="AX585" s="58">
        <f>IFERROR(IF($V585="BRAND.com",HLOOKUP($X585&amp;$Z585,PLANNING_FC!$T$27:$AH$46,MATCH($W585,PLANNING_FC!$B$27:$B$46,0),FALSE),0),0)</f>
        <v>0</v>
      </c>
      <c r="AY585" s="58">
        <f>IFERROR(IF($V585="BRAND.com",HLOOKUP($X585&amp;$Z585,PLANNING_FC!$T$4:$AH$23,MATCH($W585,PLANNING_FC!$B$4:$B$23,0),FALSE),0),0)</f>
        <v>0</v>
      </c>
      <c r="AZ585" s="58">
        <f>IFERROR(IF($V585="BRAND.com",HLOOKUP($X585&amp;$Z585,PLANNING_FC!$DA$27:$DO$46,MATCH($W585,PLANNING_FC!$CZ$27:$CZ$46,0),FALSE),0),0)</f>
        <v>0</v>
      </c>
      <c r="BA585" s="58">
        <f>IFERROR(IF($V585="BRAND.com",HLOOKUP($X585&amp;$Z585,PLANNING_FC!$DA$4:$DO$23,MATCH($W585,PLANNING_FC!$CZ$4:$CZ$23,0),FALSE),0),0)</f>
        <v>0</v>
      </c>
      <c r="BB585" s="883" t="str">
        <f>IF(V585="BRAND.com",IFERROR(HLOOKUP(X585&amp;Z585,PLANNING_FC!$AK$4:$AY$23,MATCH(W585,PLANNING_FC!$AJ$4:$AJ$23,0),FALSE)*1000,""),"")</f>
        <v/>
      </c>
      <c r="BC585" s="883" t="str">
        <f>IF(V585="BRAND.com",IFERROR(HLOOKUP(X585&amp;Z585,PLANNING_FC!$AK$27:$AY$46,MATCH(W585,PLANNING_FC!$AJ$27:$AJ$46,0),FALSE)*1000,""),"")</f>
        <v/>
      </c>
    </row>
    <row r="586" spans="1:55" x14ac:dyDescent="0.25">
      <c r="A586" s="509"/>
      <c r="B586" s="509"/>
      <c r="C586" s="509"/>
      <c r="D586" s="509"/>
      <c r="E586" s="509"/>
      <c r="F586" s="509"/>
      <c r="G586" s="509"/>
      <c r="H586" s="509"/>
      <c r="I586" s="512"/>
      <c r="J586" s="513"/>
      <c r="K586" s="514"/>
      <c r="L586" s="515"/>
      <c r="M586" s="516"/>
      <c r="N586" s="56">
        <f t="shared" si="218"/>
        <v>0</v>
      </c>
      <c r="O586" s="57">
        <f t="shared" si="219"/>
        <v>0</v>
      </c>
      <c r="P586" s="57">
        <f ca="1">IFERROR(IF(ISBLANK(H586),SUMIFS($AC:$AC,$V:$V,V586,$W:$W,W586,$X:$X,X586,$Y:$Y,Y586)*J586/(1-J586)*VLOOKUP(_xlfn.CONCAT(C586,D586,E586,TIME!$M$12,Z586),HIS_SALES!$B$2:$W$4859,20,FALSE),AC586*J586/(1-J586)),0)</f>
        <v>0</v>
      </c>
      <c r="Q586" s="541" t="str">
        <f t="shared" si="220"/>
        <v/>
      </c>
      <c r="R586" s="346" t="str">
        <f t="shared" si="230"/>
        <v>00000</v>
      </c>
      <c r="S586" s="344">
        <f t="shared" si="221"/>
        <v>0</v>
      </c>
      <c r="T586" s="345" t="str">
        <f t="shared" si="235"/>
        <v>000</v>
      </c>
      <c r="U586" s="345">
        <f t="shared" si="222"/>
        <v>0</v>
      </c>
      <c r="V586" s="345">
        <f t="shared" si="223"/>
        <v>0</v>
      </c>
      <c r="W586" s="345">
        <f t="shared" si="224"/>
        <v>0</v>
      </c>
      <c r="X586" s="345">
        <f t="shared" si="225"/>
        <v>0</v>
      </c>
      <c r="Y586" s="345">
        <f t="shared" si="226"/>
        <v>0</v>
      </c>
      <c r="Z586" s="345">
        <f>IF(Q586&lt;&gt;"",VLOOKUP(Y586,TIME!$R$21:$V$24,MATCH(FC_DATA!Q586,TIME!$R$20:$V$20,0),FALSE),H586)</f>
        <v>0</v>
      </c>
      <c r="AA586" s="345" t="str">
        <f>IFERROR(VLOOKUP(X586&amp;Z586,TIME!$A$12:$D$71,4,FALSE),"")</f>
        <v/>
      </c>
      <c r="AB586" s="592">
        <f t="shared" ca="1" si="231"/>
        <v>0</v>
      </c>
      <c r="AC586" s="593" t="e">
        <f ca="1">IF(ISBLANK(H586)=FALSE,IF(D586="BRAND.com",I586,IF(ISNA(VLOOKUP(_xlfn.CONCAT(X586,Z586),TIME!$M$40:$M$42,1,FALSE)),I586,VLOOKUP(_xlfn.CONCAT(D586,G586,H586),M_BUSAREA_FC!$AF$5:$AJ$10,5,FALSE)*HLOOKUP(_xlfn.CONCAT(F586,H586),ST_OVERVIEW!$G$99:$I$130,MATCH(_xlfn.CONCAT(D586,E586),ST_OVERVIEW!$F$99:$F$130,0),FALSE))),IF(D586="BRAND.com",VLOOKUP(_xlfn.CONCAT(C586,D586,E586,TIME!$F$1,Z586),HIS_SALES!$B$2:$V$4859,19,FALSE)*I586,VLOOKUP(_xlfn.CONCAT(D586,F586,G586),Q_BUSAREA_FC!$AE$5:$AI$12,5,FALSE)*HLOOKUP(_xlfn.CONCAT(FC_DATA!F586,FC_DATA!G586),LT_OVERVIEW!$I$99:$M$130,MATCH(_xlfn.CONCAT(D586,FC_DATA!E586),LT_OVERVIEW!$H$99:$H$130,0),FALSE)*IFERROR(VLOOKUP(_xlfn.CONCAT(C586,D586,E586,TIME!$F$1,Z586),HIS_SALES!$B$2:$V$4859,19,FALSE),0)))</f>
        <v>#N/A</v>
      </c>
      <c r="AD586" s="341">
        <f t="shared" ca="1" si="227"/>
        <v>0</v>
      </c>
      <c r="AE586" s="363" t="str">
        <f t="shared" si="228"/>
        <v/>
      </c>
      <c r="AF586" s="342" t="str">
        <f t="shared" si="229"/>
        <v/>
      </c>
      <c r="AG586" s="411" t="e">
        <f ca="1">VLOOKUP(_xlfn.CONCAT(U586,V586,W586,VLOOKUP(X586&amp;Y586,TIME!$L$27:$O$34,4,FALSE),Y586),HIS_SALES!$A$2:$R$5093,18,FALSE)</f>
        <v>#N/A</v>
      </c>
      <c r="AH586" s="412" t="e">
        <f ca="1">IFERROR(IF(AND(V586=V585,W586=W585),0.5*(AB586+AB585)*AG586,(VLOOKUP(_xlfn.CONCAT(U586,V586,W586,X586,VLOOKUP(Z586,TIME!$S$28:$T$39,2,FALSE)),FC_DATA!$R$2:$AB$5000,MATCH("GS_I_M",FC_DATA!$R$1:$AB$1,0),FALSE)+FC_DATA!AB586)*0.5*FC_DATA!AG586),NA())</f>
        <v>#N/A</v>
      </c>
      <c r="AI586" s="491" t="e">
        <f ca="1">IF(V586="PARTNER.com",AH586,IF(AND(V586=V585,W586=W585),(1-AVERAGE(AD585,AD586))*AH586,(1-AVERAGE(AD586,VLOOKUP(_xlfn.CONCAT(U586,V586,W586,X586,M_BRAND_FC!$F$6),FC_DATA!$R$2:$AD$5000,MATCH("DISCOUNT_%_M",FC_DATA!$R$1:$AD$1,0),FALSE)))*AH586))</f>
        <v>#N/A</v>
      </c>
      <c r="AJ586" s="412" t="str">
        <f t="shared" ca="1" si="232"/>
        <v/>
      </c>
      <c r="AK586" s="413" t="str">
        <f>IFERROR(AE586/(Q_BRAND_FC!$T$24+1),"")</f>
        <v/>
      </c>
      <c r="AL586" s="88" t="str">
        <f t="shared" ca="1" si="233"/>
        <v/>
      </c>
      <c r="AM586" s="414" t="str">
        <f t="shared" ca="1" si="234"/>
        <v/>
      </c>
      <c r="AN586" s="58">
        <f>IFERROR(IF($V586="BRAND.com",HLOOKUP($X586&amp;$Z586,NWC_FC_NOOS!$C$4:$Q$23,MATCH(W586,NWC_FC_NOOS!$B$4:$B$23,0),FALSE),0),0)</f>
        <v>0</v>
      </c>
      <c r="AO586" s="57">
        <f>IFERROR(IF($V586="BRAND.com",HLOOKUP($X586&amp;$Z586,NWC_FC_NOOS!$T$4:$AH$23,MATCH(W586,NWC_FC_NOOS!$S$4:$S$23,0),FALSE),0),0)</f>
        <v>0</v>
      </c>
      <c r="AP586" s="57">
        <f>IFERROR(IF($V586="BRAND.com",HLOOKUP($X586&amp;$Z586,NWC_FC_NOOS!$C$50:$U$69,MATCH(W586,NWC_FC_NOOS!$B$50:$B$69,0),FALSE),0),0)</f>
        <v>0</v>
      </c>
      <c r="AQ586" s="58">
        <f>IFERROR(IF($V586="BRAND.com",HLOOKUP($X586&amp;$Z586,'NWC_FC_NON-NOOS'!$C$4:$Q$23,MATCH(W586,'NWC_FC_NON-NOOS'!$B$4:$B$23,0),FALSE),0),0)</f>
        <v>0</v>
      </c>
      <c r="AR586" s="57">
        <f>IFERROR(IF($V586="BRAND.com",HLOOKUP($X586&amp;$Z586,'NWC_FC_NON-NOOS'!$T$4:$AH$23,MATCH(W586,'NWC_FC_NON-NOOS'!$S$4:$S$23,0),FALSE),0),0)</f>
        <v>0</v>
      </c>
      <c r="AS586" s="57">
        <f>IFERROR(IF($V586="BRAND.com",HLOOKUP($X586&amp;$Z586,'NWC_FC_NON-NOOS'!$C$50:$U$69,MATCH(W586,'NWC_FC_NON-NOOS'!$B$50:$B$69,0),FALSE),0),0)</f>
        <v>0</v>
      </c>
      <c r="AT586" s="57">
        <f t="shared" si="236"/>
        <v>0</v>
      </c>
      <c r="AU586" s="57">
        <f t="shared" si="237"/>
        <v>0</v>
      </c>
      <c r="AV586" s="58">
        <f>IFERROR(IF($V586="BRAND.com",HLOOKUP($X586&amp;$Z586,PLANNING_FC!$BB$27:$BP$46,MATCH($W586,PLANNING_FC!$BA$27:$BA$46,0),FALSE),0),0)</f>
        <v>0</v>
      </c>
      <c r="AW586" s="58">
        <f>IFERROR(IF($V586="BRAND.com",HLOOKUP($X586&amp;$Z586,PLANNING_FC!$BB$4:$BP$23,MATCH($W586,PLANNING_FC!$BA$4:$BA$23,0),FALSE),0),0)</f>
        <v>0</v>
      </c>
      <c r="AX586" s="58">
        <f>IFERROR(IF($V586="BRAND.com",HLOOKUP($X586&amp;$Z586,PLANNING_FC!$T$27:$AH$46,MATCH($W586,PLANNING_FC!$B$27:$B$46,0),FALSE),0),0)</f>
        <v>0</v>
      </c>
      <c r="AY586" s="58">
        <f>IFERROR(IF($V586="BRAND.com",HLOOKUP($X586&amp;$Z586,PLANNING_FC!$T$4:$AH$23,MATCH($W586,PLANNING_FC!$B$4:$B$23,0),FALSE),0),0)</f>
        <v>0</v>
      </c>
      <c r="AZ586" s="58">
        <f>IFERROR(IF($V586="BRAND.com",HLOOKUP($X586&amp;$Z586,PLANNING_FC!$DA$27:$DO$46,MATCH($W586,PLANNING_FC!$CZ$27:$CZ$46,0),FALSE),0),0)</f>
        <v>0</v>
      </c>
      <c r="BA586" s="58">
        <f>IFERROR(IF($V586="BRAND.com",HLOOKUP($X586&amp;$Z586,PLANNING_FC!$DA$4:$DO$23,MATCH($W586,PLANNING_FC!$CZ$4:$CZ$23,0),FALSE),0),0)</f>
        <v>0</v>
      </c>
      <c r="BB586" s="883" t="str">
        <f>IF(V586="BRAND.com",IFERROR(HLOOKUP(X586&amp;Z586,PLANNING_FC!$AK$4:$AY$23,MATCH(W586,PLANNING_FC!$AJ$4:$AJ$23,0),FALSE)*1000,""),"")</f>
        <v/>
      </c>
      <c r="BC586" s="883" t="str">
        <f>IF(V586="BRAND.com",IFERROR(HLOOKUP(X586&amp;Z586,PLANNING_FC!$AK$27:$AY$46,MATCH(W586,PLANNING_FC!$AJ$27:$AJ$46,0),FALSE)*1000,""),"")</f>
        <v/>
      </c>
    </row>
    <row r="587" spans="1:55" x14ac:dyDescent="0.25">
      <c r="A587" s="509"/>
      <c r="B587" s="509"/>
      <c r="C587" s="509"/>
      <c r="D587" s="509"/>
      <c r="E587" s="509"/>
      <c r="F587" s="509"/>
      <c r="G587" s="509"/>
      <c r="H587" s="509"/>
      <c r="I587" s="512"/>
      <c r="J587" s="513"/>
      <c r="K587" s="514"/>
      <c r="L587" s="515"/>
      <c r="M587" s="516"/>
      <c r="N587" s="56">
        <f t="shared" si="218"/>
        <v>0</v>
      </c>
      <c r="O587" s="57">
        <f t="shared" si="219"/>
        <v>0</v>
      </c>
      <c r="P587" s="57">
        <f ca="1">IFERROR(IF(ISBLANK(H587),SUMIFS($AC:$AC,$V:$V,V587,$W:$W,W587,$X:$X,X587,$Y:$Y,Y587)*J587/(1-J587)*VLOOKUP(_xlfn.CONCAT(C587,D587,E587,TIME!$M$12,Z587),HIS_SALES!$B$2:$W$4859,20,FALSE),AC587*J587/(1-J587)),0)</f>
        <v>0</v>
      </c>
      <c r="Q587" s="541" t="str">
        <f t="shared" si="220"/>
        <v/>
      </c>
      <c r="R587" s="346" t="str">
        <f t="shared" si="230"/>
        <v>00000</v>
      </c>
      <c r="S587" s="344">
        <f t="shared" si="221"/>
        <v>0</v>
      </c>
      <c r="T587" s="345" t="str">
        <f t="shared" si="235"/>
        <v>000</v>
      </c>
      <c r="U587" s="345">
        <f t="shared" si="222"/>
        <v>0</v>
      </c>
      <c r="V587" s="345">
        <f t="shared" si="223"/>
        <v>0</v>
      </c>
      <c r="W587" s="345">
        <f t="shared" si="224"/>
        <v>0</v>
      </c>
      <c r="X587" s="345">
        <f t="shared" si="225"/>
        <v>0</v>
      </c>
      <c r="Y587" s="345">
        <f t="shared" si="226"/>
        <v>0</v>
      </c>
      <c r="Z587" s="345">
        <f>IF(Q587&lt;&gt;"",VLOOKUP(Y587,TIME!$R$21:$V$24,MATCH(FC_DATA!Q587,TIME!$R$20:$V$20,0),FALSE),H587)</f>
        <v>0</v>
      </c>
      <c r="AA587" s="345" t="str">
        <f>IFERROR(VLOOKUP(X587&amp;Z587,TIME!$A$12:$D$71,4,FALSE),"")</f>
        <v/>
      </c>
      <c r="AB587" s="592">
        <f t="shared" ca="1" si="231"/>
        <v>0</v>
      </c>
      <c r="AC587" s="593" t="e">
        <f ca="1">IF(ISBLANK(H587)=FALSE,IF(D587="BRAND.com",I587,IF(ISNA(VLOOKUP(_xlfn.CONCAT(X587,Z587),TIME!$M$40:$M$42,1,FALSE)),I587,VLOOKUP(_xlfn.CONCAT(D587,G587,H587),M_BUSAREA_FC!$AF$5:$AJ$10,5,FALSE)*HLOOKUP(_xlfn.CONCAT(F587,H587),ST_OVERVIEW!$G$99:$I$130,MATCH(_xlfn.CONCAT(D587,E587),ST_OVERVIEW!$F$99:$F$130,0),FALSE))),IF(D587="BRAND.com",VLOOKUP(_xlfn.CONCAT(C587,D587,E587,TIME!$F$1,Z587),HIS_SALES!$B$2:$V$4859,19,FALSE)*I587,VLOOKUP(_xlfn.CONCAT(D587,F587,G587),Q_BUSAREA_FC!$AE$5:$AI$12,5,FALSE)*HLOOKUP(_xlfn.CONCAT(FC_DATA!F587,FC_DATA!G587),LT_OVERVIEW!$I$99:$M$130,MATCH(_xlfn.CONCAT(D587,FC_DATA!E587),LT_OVERVIEW!$H$99:$H$130,0),FALSE)*IFERROR(VLOOKUP(_xlfn.CONCAT(C587,D587,E587,TIME!$F$1,Z587),HIS_SALES!$B$2:$V$4859,19,FALSE),0)))</f>
        <v>#N/A</v>
      </c>
      <c r="AD587" s="341">
        <f t="shared" ca="1" si="227"/>
        <v>0</v>
      </c>
      <c r="AE587" s="363" t="str">
        <f t="shared" si="228"/>
        <v/>
      </c>
      <c r="AF587" s="342" t="str">
        <f t="shared" si="229"/>
        <v/>
      </c>
      <c r="AG587" s="411" t="e">
        <f ca="1">VLOOKUP(_xlfn.CONCAT(U587,V587,W587,VLOOKUP(X587&amp;Y587,TIME!$L$27:$O$34,4,FALSE),Y587),HIS_SALES!$A$2:$R$5093,18,FALSE)</f>
        <v>#N/A</v>
      </c>
      <c r="AH587" s="412" t="e">
        <f ca="1">IFERROR(IF(AND(V587=V586,W587=W586),0.5*(AB587+AB586)*AG587,(VLOOKUP(_xlfn.CONCAT(U587,V587,W587,X587,VLOOKUP(Z587,TIME!$S$28:$T$39,2,FALSE)),FC_DATA!$R$2:$AB$5000,MATCH("GS_I_M",FC_DATA!$R$1:$AB$1,0),FALSE)+FC_DATA!AB587)*0.5*FC_DATA!AG587),NA())</f>
        <v>#N/A</v>
      </c>
      <c r="AI587" s="491" t="e">
        <f ca="1">IF(V587="PARTNER.com",AH587,IF(AND(V587=V586,W587=W586),(1-AVERAGE(AD586,AD587))*AH587,(1-AVERAGE(AD587,VLOOKUP(_xlfn.CONCAT(U587,V587,W587,X587,M_BRAND_FC!$F$6),FC_DATA!$R$2:$AD$5000,MATCH("DISCOUNT_%_M",FC_DATA!$R$1:$AD$1,0),FALSE)))*AH587))</f>
        <v>#N/A</v>
      </c>
      <c r="AJ587" s="412" t="str">
        <f t="shared" ca="1" si="232"/>
        <v/>
      </c>
      <c r="AK587" s="413" t="str">
        <f>IFERROR(AE587/(Q_BRAND_FC!$T$24+1),"")</f>
        <v/>
      </c>
      <c r="AL587" s="88" t="str">
        <f t="shared" ca="1" si="233"/>
        <v/>
      </c>
      <c r="AM587" s="414" t="str">
        <f t="shared" ca="1" si="234"/>
        <v/>
      </c>
      <c r="AN587" s="58">
        <f>IFERROR(IF($V587="BRAND.com",HLOOKUP($X587&amp;$Z587,NWC_FC_NOOS!$C$4:$Q$23,MATCH(W587,NWC_FC_NOOS!$B$4:$B$23,0),FALSE),0),0)</f>
        <v>0</v>
      </c>
      <c r="AO587" s="57">
        <f>IFERROR(IF($V587="BRAND.com",HLOOKUP($X587&amp;$Z587,NWC_FC_NOOS!$T$4:$AH$23,MATCH(W587,NWC_FC_NOOS!$S$4:$S$23,0),FALSE),0),0)</f>
        <v>0</v>
      </c>
      <c r="AP587" s="57">
        <f>IFERROR(IF($V587="BRAND.com",HLOOKUP($X587&amp;$Z587,NWC_FC_NOOS!$C$50:$U$69,MATCH(W587,NWC_FC_NOOS!$B$50:$B$69,0),FALSE),0),0)</f>
        <v>0</v>
      </c>
      <c r="AQ587" s="58">
        <f>IFERROR(IF($V587="BRAND.com",HLOOKUP($X587&amp;$Z587,'NWC_FC_NON-NOOS'!$C$4:$Q$23,MATCH(W587,'NWC_FC_NON-NOOS'!$B$4:$B$23,0),FALSE),0),0)</f>
        <v>0</v>
      </c>
      <c r="AR587" s="57">
        <f>IFERROR(IF($V587="BRAND.com",HLOOKUP($X587&amp;$Z587,'NWC_FC_NON-NOOS'!$T$4:$AH$23,MATCH(W587,'NWC_FC_NON-NOOS'!$S$4:$S$23,0),FALSE),0),0)</f>
        <v>0</v>
      </c>
      <c r="AS587" s="57">
        <f>IFERROR(IF($V587="BRAND.com",HLOOKUP($X587&amp;$Z587,'NWC_FC_NON-NOOS'!$C$50:$U$69,MATCH(W587,'NWC_FC_NON-NOOS'!$B$50:$B$69,0),FALSE),0),0)</f>
        <v>0</v>
      </c>
      <c r="AT587" s="57">
        <f t="shared" si="236"/>
        <v>0</v>
      </c>
      <c r="AU587" s="57">
        <f t="shared" si="237"/>
        <v>0</v>
      </c>
      <c r="AV587" s="58">
        <f>IFERROR(IF($V587="BRAND.com",HLOOKUP($X587&amp;$Z587,PLANNING_FC!$BB$27:$BP$46,MATCH($W587,PLANNING_FC!$BA$27:$BA$46,0),FALSE),0),0)</f>
        <v>0</v>
      </c>
      <c r="AW587" s="58">
        <f>IFERROR(IF($V587="BRAND.com",HLOOKUP($X587&amp;$Z587,PLANNING_FC!$BB$4:$BP$23,MATCH($W587,PLANNING_FC!$BA$4:$BA$23,0),FALSE),0),0)</f>
        <v>0</v>
      </c>
      <c r="AX587" s="58">
        <f>IFERROR(IF($V587="BRAND.com",HLOOKUP($X587&amp;$Z587,PLANNING_FC!$T$27:$AH$46,MATCH($W587,PLANNING_FC!$B$27:$B$46,0),FALSE),0),0)</f>
        <v>0</v>
      </c>
      <c r="AY587" s="58">
        <f>IFERROR(IF($V587="BRAND.com",HLOOKUP($X587&amp;$Z587,PLANNING_FC!$T$4:$AH$23,MATCH($W587,PLANNING_FC!$B$4:$B$23,0),FALSE),0),0)</f>
        <v>0</v>
      </c>
      <c r="AZ587" s="58">
        <f>IFERROR(IF($V587="BRAND.com",HLOOKUP($X587&amp;$Z587,PLANNING_FC!$DA$27:$DO$46,MATCH($W587,PLANNING_FC!$CZ$27:$CZ$46,0),FALSE),0),0)</f>
        <v>0</v>
      </c>
      <c r="BA587" s="58">
        <f>IFERROR(IF($V587="BRAND.com",HLOOKUP($X587&amp;$Z587,PLANNING_FC!$DA$4:$DO$23,MATCH($W587,PLANNING_FC!$CZ$4:$CZ$23,0),FALSE),0),0)</f>
        <v>0</v>
      </c>
      <c r="BB587" s="883" t="str">
        <f>IF(V587="BRAND.com",IFERROR(HLOOKUP(X587&amp;Z587,PLANNING_FC!$AK$4:$AY$23,MATCH(W587,PLANNING_FC!$AJ$4:$AJ$23,0),FALSE)*1000,""),"")</f>
        <v/>
      </c>
      <c r="BC587" s="883" t="str">
        <f>IF(V587="BRAND.com",IFERROR(HLOOKUP(X587&amp;Z587,PLANNING_FC!$AK$27:$AY$46,MATCH(W587,PLANNING_FC!$AJ$27:$AJ$46,0),FALSE)*1000,""),"")</f>
        <v/>
      </c>
    </row>
    <row r="588" spans="1:55" x14ac:dyDescent="0.25">
      <c r="A588" s="509"/>
      <c r="B588" s="509"/>
      <c r="C588" s="509"/>
      <c r="D588" s="509"/>
      <c r="E588" s="509"/>
      <c r="F588" s="509"/>
      <c r="G588" s="509"/>
      <c r="H588" s="509"/>
      <c r="I588" s="512"/>
      <c r="J588" s="513"/>
      <c r="K588" s="514"/>
      <c r="L588" s="515"/>
      <c r="M588" s="516"/>
      <c r="N588" s="56">
        <f t="shared" si="218"/>
        <v>0</v>
      </c>
      <c r="O588" s="57">
        <f t="shared" si="219"/>
        <v>0</v>
      </c>
      <c r="P588" s="57">
        <f ca="1">IFERROR(IF(ISBLANK(H588),SUMIFS($AC:$AC,$V:$V,V588,$W:$W,W588,$X:$X,X588,$Y:$Y,Y588)*J588/(1-J588)*VLOOKUP(_xlfn.CONCAT(C588,D588,E588,TIME!$M$12,Z588),HIS_SALES!$B$2:$W$4859,20,FALSE),AC588*J588/(1-J588)),0)</f>
        <v>0</v>
      </c>
      <c r="Q588" s="541" t="str">
        <f t="shared" si="220"/>
        <v/>
      </c>
      <c r="R588" s="346" t="str">
        <f t="shared" si="230"/>
        <v>00000</v>
      </c>
      <c r="S588" s="344">
        <f t="shared" si="221"/>
        <v>0</v>
      </c>
      <c r="T588" s="345" t="str">
        <f t="shared" si="235"/>
        <v>000</v>
      </c>
      <c r="U588" s="345">
        <f t="shared" si="222"/>
        <v>0</v>
      </c>
      <c r="V588" s="345">
        <f t="shared" si="223"/>
        <v>0</v>
      </c>
      <c r="W588" s="345">
        <f t="shared" si="224"/>
        <v>0</v>
      </c>
      <c r="X588" s="345">
        <f t="shared" si="225"/>
        <v>0</v>
      </c>
      <c r="Y588" s="345">
        <f t="shared" si="226"/>
        <v>0</v>
      </c>
      <c r="Z588" s="345">
        <f>IF(Q588&lt;&gt;"",VLOOKUP(Y588,TIME!$R$21:$V$24,MATCH(FC_DATA!Q588,TIME!$R$20:$V$20,0),FALSE),H588)</f>
        <v>0</v>
      </c>
      <c r="AA588" s="345" t="str">
        <f>IFERROR(VLOOKUP(X588&amp;Z588,TIME!$A$12:$D$71,4,FALSE),"")</f>
        <v/>
      </c>
      <c r="AB588" s="592">
        <f t="shared" ca="1" si="231"/>
        <v>0</v>
      </c>
      <c r="AC588" s="593" t="e">
        <f ca="1">IF(ISBLANK(H588)=FALSE,IF(D588="BRAND.com",I588,IF(ISNA(VLOOKUP(_xlfn.CONCAT(X588,Z588),TIME!$M$40:$M$42,1,FALSE)),I588,VLOOKUP(_xlfn.CONCAT(D588,G588,H588),M_BUSAREA_FC!$AF$5:$AJ$10,5,FALSE)*HLOOKUP(_xlfn.CONCAT(F588,H588),ST_OVERVIEW!$G$99:$I$130,MATCH(_xlfn.CONCAT(D588,E588),ST_OVERVIEW!$F$99:$F$130,0),FALSE))),IF(D588="BRAND.com",VLOOKUP(_xlfn.CONCAT(C588,D588,E588,TIME!$F$1,Z588),HIS_SALES!$B$2:$V$4859,19,FALSE)*I588,VLOOKUP(_xlfn.CONCAT(D588,F588,G588),Q_BUSAREA_FC!$AE$5:$AI$12,5,FALSE)*HLOOKUP(_xlfn.CONCAT(FC_DATA!F588,FC_DATA!G588),LT_OVERVIEW!$I$99:$M$130,MATCH(_xlfn.CONCAT(D588,FC_DATA!E588),LT_OVERVIEW!$H$99:$H$130,0),FALSE)*IFERROR(VLOOKUP(_xlfn.CONCAT(C588,D588,E588,TIME!$F$1,Z588),HIS_SALES!$B$2:$V$4859,19,FALSE),0)))</f>
        <v>#N/A</v>
      </c>
      <c r="AD588" s="341">
        <f t="shared" ca="1" si="227"/>
        <v>0</v>
      </c>
      <c r="AE588" s="363" t="str">
        <f t="shared" si="228"/>
        <v/>
      </c>
      <c r="AF588" s="342" t="str">
        <f t="shared" si="229"/>
        <v/>
      </c>
      <c r="AG588" s="411" t="e">
        <f ca="1">VLOOKUP(_xlfn.CONCAT(U588,V588,W588,VLOOKUP(X588&amp;Y588,TIME!$L$27:$O$34,4,FALSE),Y588),HIS_SALES!$A$2:$R$5093,18,FALSE)</f>
        <v>#N/A</v>
      </c>
      <c r="AH588" s="412" t="e">
        <f ca="1">IFERROR(IF(AND(V588=V587,W588=W587),0.5*(AB588+AB587)*AG588,(VLOOKUP(_xlfn.CONCAT(U588,V588,W588,X588,VLOOKUP(Z588,TIME!$S$28:$T$39,2,FALSE)),FC_DATA!$R$2:$AB$5000,MATCH("GS_I_M",FC_DATA!$R$1:$AB$1,0),FALSE)+FC_DATA!AB588)*0.5*FC_DATA!AG588),NA())</f>
        <v>#N/A</v>
      </c>
      <c r="AI588" s="491" t="e">
        <f ca="1">IF(V588="PARTNER.com",AH588,IF(AND(V588=V587,W588=W587),(1-AVERAGE(AD587,AD588))*AH588,(1-AVERAGE(AD588,VLOOKUP(_xlfn.CONCAT(U588,V588,W588,X588,M_BRAND_FC!$F$6),FC_DATA!$R$2:$AD$5000,MATCH("DISCOUNT_%_M",FC_DATA!$R$1:$AD$1,0),FALSE)))*AH588))</f>
        <v>#N/A</v>
      </c>
      <c r="AJ588" s="412" t="str">
        <f t="shared" ca="1" si="232"/>
        <v/>
      </c>
      <c r="AK588" s="413" t="str">
        <f>IFERROR(AE588/(Q_BRAND_FC!$T$24+1),"")</f>
        <v/>
      </c>
      <c r="AL588" s="88" t="str">
        <f t="shared" ca="1" si="233"/>
        <v/>
      </c>
      <c r="AM588" s="414" t="str">
        <f t="shared" ca="1" si="234"/>
        <v/>
      </c>
      <c r="AN588" s="58">
        <f>IFERROR(IF($V588="BRAND.com",HLOOKUP($X588&amp;$Z588,NWC_FC_NOOS!$C$4:$Q$23,MATCH(W588,NWC_FC_NOOS!$B$4:$B$23,0),FALSE),0),0)</f>
        <v>0</v>
      </c>
      <c r="AO588" s="57">
        <f>IFERROR(IF($V588="BRAND.com",HLOOKUP($X588&amp;$Z588,NWC_FC_NOOS!$T$4:$AH$23,MATCH(W588,NWC_FC_NOOS!$S$4:$S$23,0),FALSE),0),0)</f>
        <v>0</v>
      </c>
      <c r="AP588" s="57">
        <f>IFERROR(IF($V588="BRAND.com",HLOOKUP($X588&amp;$Z588,NWC_FC_NOOS!$C$50:$U$69,MATCH(W588,NWC_FC_NOOS!$B$50:$B$69,0),FALSE),0),0)</f>
        <v>0</v>
      </c>
      <c r="AQ588" s="58">
        <f>IFERROR(IF($V588="BRAND.com",HLOOKUP($X588&amp;$Z588,'NWC_FC_NON-NOOS'!$C$4:$Q$23,MATCH(W588,'NWC_FC_NON-NOOS'!$B$4:$B$23,0),FALSE),0),0)</f>
        <v>0</v>
      </c>
      <c r="AR588" s="57">
        <f>IFERROR(IF($V588="BRAND.com",HLOOKUP($X588&amp;$Z588,'NWC_FC_NON-NOOS'!$T$4:$AH$23,MATCH(W588,'NWC_FC_NON-NOOS'!$S$4:$S$23,0),FALSE),0),0)</f>
        <v>0</v>
      </c>
      <c r="AS588" s="57">
        <f>IFERROR(IF($V588="BRAND.com",HLOOKUP($X588&amp;$Z588,'NWC_FC_NON-NOOS'!$C$50:$U$69,MATCH(W588,'NWC_FC_NON-NOOS'!$B$50:$B$69,0),FALSE),0),0)</f>
        <v>0</v>
      </c>
      <c r="AT588" s="57">
        <f t="shared" si="236"/>
        <v>0</v>
      </c>
      <c r="AU588" s="57">
        <f t="shared" si="237"/>
        <v>0</v>
      </c>
      <c r="AV588" s="58">
        <f>IFERROR(IF($V588="BRAND.com",HLOOKUP($X588&amp;$Z588,PLANNING_FC!$BB$27:$BP$46,MATCH($W588,PLANNING_FC!$BA$27:$BA$46,0),FALSE),0),0)</f>
        <v>0</v>
      </c>
      <c r="AW588" s="58">
        <f>IFERROR(IF($V588="BRAND.com",HLOOKUP($X588&amp;$Z588,PLANNING_FC!$BB$4:$BP$23,MATCH($W588,PLANNING_FC!$BA$4:$BA$23,0),FALSE),0),0)</f>
        <v>0</v>
      </c>
      <c r="AX588" s="58">
        <f>IFERROR(IF($V588="BRAND.com",HLOOKUP($X588&amp;$Z588,PLANNING_FC!$T$27:$AH$46,MATCH($W588,PLANNING_FC!$B$27:$B$46,0),FALSE),0),0)</f>
        <v>0</v>
      </c>
      <c r="AY588" s="58">
        <f>IFERROR(IF($V588="BRAND.com",HLOOKUP($X588&amp;$Z588,PLANNING_FC!$T$4:$AH$23,MATCH($W588,PLANNING_FC!$B$4:$B$23,0),FALSE),0),0)</f>
        <v>0</v>
      </c>
      <c r="AZ588" s="58">
        <f>IFERROR(IF($V588="BRAND.com",HLOOKUP($X588&amp;$Z588,PLANNING_FC!$DA$27:$DO$46,MATCH($W588,PLANNING_FC!$CZ$27:$CZ$46,0),FALSE),0),0)</f>
        <v>0</v>
      </c>
      <c r="BA588" s="58">
        <f>IFERROR(IF($V588="BRAND.com",HLOOKUP($X588&amp;$Z588,PLANNING_FC!$DA$4:$DO$23,MATCH($W588,PLANNING_FC!$CZ$4:$CZ$23,0),FALSE),0),0)</f>
        <v>0</v>
      </c>
      <c r="BB588" s="883" t="str">
        <f>IF(V588="BRAND.com",IFERROR(HLOOKUP(X588&amp;Z588,PLANNING_FC!$AK$4:$AY$23,MATCH(W588,PLANNING_FC!$AJ$4:$AJ$23,0),FALSE)*1000,""),"")</f>
        <v/>
      </c>
      <c r="BC588" s="883" t="str">
        <f>IF(V588="BRAND.com",IFERROR(HLOOKUP(X588&amp;Z588,PLANNING_FC!$AK$27:$AY$46,MATCH(W588,PLANNING_FC!$AJ$27:$AJ$46,0),FALSE)*1000,""),"")</f>
        <v/>
      </c>
    </row>
    <row r="589" spans="1:55" x14ac:dyDescent="0.25">
      <c r="A589" s="509"/>
      <c r="B589" s="509"/>
      <c r="C589" s="509"/>
      <c r="D589" s="509"/>
      <c r="E589" s="509"/>
      <c r="F589" s="509"/>
      <c r="G589" s="509"/>
      <c r="H589" s="509"/>
      <c r="I589" s="512"/>
      <c r="J589" s="513"/>
      <c r="K589" s="514"/>
      <c r="L589" s="515"/>
      <c r="M589" s="516"/>
      <c r="N589" s="56">
        <f t="shared" si="218"/>
        <v>0</v>
      </c>
      <c r="O589" s="57">
        <f t="shared" si="219"/>
        <v>0</v>
      </c>
      <c r="P589" s="57">
        <f ca="1">IFERROR(IF(ISBLANK(H589),SUMIFS($AC:$AC,$V:$V,V589,$W:$W,W589,$X:$X,X589,$Y:$Y,Y589)*J589/(1-J589)*VLOOKUP(_xlfn.CONCAT(C589,D589,E589,TIME!$M$12,Z589),HIS_SALES!$B$2:$W$4859,20,FALSE),AC589*J589/(1-J589)),0)</f>
        <v>0</v>
      </c>
      <c r="Q589" s="541" t="str">
        <f t="shared" si="220"/>
        <v/>
      </c>
      <c r="R589" s="346" t="str">
        <f t="shared" si="230"/>
        <v>00000</v>
      </c>
      <c r="S589" s="344">
        <f t="shared" si="221"/>
        <v>0</v>
      </c>
      <c r="T589" s="345" t="str">
        <f t="shared" si="235"/>
        <v>000</v>
      </c>
      <c r="U589" s="345">
        <f t="shared" si="222"/>
        <v>0</v>
      </c>
      <c r="V589" s="345">
        <f t="shared" si="223"/>
        <v>0</v>
      </c>
      <c r="W589" s="345">
        <f t="shared" si="224"/>
        <v>0</v>
      </c>
      <c r="X589" s="345">
        <f t="shared" si="225"/>
        <v>0</v>
      </c>
      <c r="Y589" s="345">
        <f t="shared" si="226"/>
        <v>0</v>
      </c>
      <c r="Z589" s="345">
        <f>IF(Q589&lt;&gt;"",VLOOKUP(Y589,TIME!$R$21:$V$24,MATCH(FC_DATA!Q589,TIME!$R$20:$V$20,0),FALSE),H589)</f>
        <v>0</v>
      </c>
      <c r="AA589" s="345" t="str">
        <f>IFERROR(VLOOKUP(X589&amp;Z589,TIME!$A$12:$D$71,4,FALSE),"")</f>
        <v/>
      </c>
      <c r="AB589" s="592">
        <f t="shared" ca="1" si="231"/>
        <v>0</v>
      </c>
      <c r="AC589" s="593" t="e">
        <f ca="1">IF(ISBLANK(H589)=FALSE,IF(D589="BRAND.com",I589,IF(ISNA(VLOOKUP(_xlfn.CONCAT(X589,Z589),TIME!$M$40:$M$42,1,FALSE)),I589,VLOOKUP(_xlfn.CONCAT(D589,G589,H589),M_BUSAREA_FC!$AF$5:$AJ$10,5,FALSE)*HLOOKUP(_xlfn.CONCAT(F589,H589),ST_OVERVIEW!$G$99:$I$130,MATCH(_xlfn.CONCAT(D589,E589),ST_OVERVIEW!$F$99:$F$130,0),FALSE))),IF(D589="BRAND.com",VLOOKUP(_xlfn.CONCAT(C589,D589,E589,TIME!$F$1,Z589),HIS_SALES!$B$2:$V$4859,19,FALSE)*I589,VLOOKUP(_xlfn.CONCAT(D589,F589,G589),Q_BUSAREA_FC!$AE$5:$AI$12,5,FALSE)*HLOOKUP(_xlfn.CONCAT(FC_DATA!F589,FC_DATA!G589),LT_OVERVIEW!$I$99:$M$130,MATCH(_xlfn.CONCAT(D589,FC_DATA!E589),LT_OVERVIEW!$H$99:$H$130,0),FALSE)*IFERROR(VLOOKUP(_xlfn.CONCAT(C589,D589,E589,TIME!$F$1,Z589),HIS_SALES!$B$2:$V$4859,19,FALSE),0)))</f>
        <v>#N/A</v>
      </c>
      <c r="AD589" s="341">
        <f t="shared" ca="1" si="227"/>
        <v>0</v>
      </c>
      <c r="AE589" s="363" t="str">
        <f t="shared" si="228"/>
        <v/>
      </c>
      <c r="AF589" s="342" t="str">
        <f t="shared" si="229"/>
        <v/>
      </c>
      <c r="AG589" s="411" t="e">
        <f ca="1">VLOOKUP(_xlfn.CONCAT(U589,V589,W589,VLOOKUP(X589&amp;Y589,TIME!$L$27:$O$34,4,FALSE),Y589),HIS_SALES!$A$2:$R$5093,18,FALSE)</f>
        <v>#N/A</v>
      </c>
      <c r="AH589" s="412" t="e">
        <f ca="1">IFERROR(IF(AND(V589=V588,W589=W588),0.5*(AB589+AB588)*AG589,(VLOOKUP(_xlfn.CONCAT(U589,V589,W589,X589,VLOOKUP(Z589,TIME!$S$28:$T$39,2,FALSE)),FC_DATA!$R$2:$AB$5000,MATCH("GS_I_M",FC_DATA!$R$1:$AB$1,0),FALSE)+FC_DATA!AB589)*0.5*FC_DATA!AG589),NA())</f>
        <v>#N/A</v>
      </c>
      <c r="AI589" s="491" t="e">
        <f ca="1">IF(V589="PARTNER.com",AH589,IF(AND(V589=V588,W589=W588),(1-AVERAGE(AD588,AD589))*AH589,(1-AVERAGE(AD589,VLOOKUP(_xlfn.CONCAT(U589,V589,W589,X589,M_BRAND_FC!$F$6),FC_DATA!$R$2:$AD$5000,MATCH("DISCOUNT_%_M",FC_DATA!$R$1:$AD$1,0),FALSE)))*AH589))</f>
        <v>#N/A</v>
      </c>
      <c r="AJ589" s="412" t="str">
        <f t="shared" ca="1" si="232"/>
        <v/>
      </c>
      <c r="AK589" s="413" t="str">
        <f>IFERROR(AE589/(Q_BRAND_FC!$T$24+1),"")</f>
        <v/>
      </c>
      <c r="AL589" s="88" t="str">
        <f t="shared" ca="1" si="233"/>
        <v/>
      </c>
      <c r="AM589" s="414" t="str">
        <f t="shared" ca="1" si="234"/>
        <v/>
      </c>
      <c r="AN589" s="58">
        <f>IFERROR(IF($V589="BRAND.com",HLOOKUP($X589&amp;$Z589,NWC_FC_NOOS!$C$4:$Q$23,MATCH(W589,NWC_FC_NOOS!$B$4:$B$23,0),FALSE),0),0)</f>
        <v>0</v>
      </c>
      <c r="AO589" s="57">
        <f>IFERROR(IF($V589="BRAND.com",HLOOKUP($X589&amp;$Z589,NWC_FC_NOOS!$T$4:$AH$23,MATCH(W589,NWC_FC_NOOS!$S$4:$S$23,0),FALSE),0),0)</f>
        <v>0</v>
      </c>
      <c r="AP589" s="57">
        <f>IFERROR(IF($V589="BRAND.com",HLOOKUP($X589&amp;$Z589,NWC_FC_NOOS!$C$50:$U$69,MATCH(W589,NWC_FC_NOOS!$B$50:$B$69,0),FALSE),0),0)</f>
        <v>0</v>
      </c>
      <c r="AQ589" s="58">
        <f>IFERROR(IF($V589="BRAND.com",HLOOKUP($X589&amp;$Z589,'NWC_FC_NON-NOOS'!$C$4:$Q$23,MATCH(W589,'NWC_FC_NON-NOOS'!$B$4:$B$23,0),FALSE),0),0)</f>
        <v>0</v>
      </c>
      <c r="AR589" s="57">
        <f>IFERROR(IF($V589="BRAND.com",HLOOKUP($X589&amp;$Z589,'NWC_FC_NON-NOOS'!$T$4:$AH$23,MATCH(W589,'NWC_FC_NON-NOOS'!$S$4:$S$23,0),FALSE),0),0)</f>
        <v>0</v>
      </c>
      <c r="AS589" s="57">
        <f>IFERROR(IF($V589="BRAND.com",HLOOKUP($X589&amp;$Z589,'NWC_FC_NON-NOOS'!$C$50:$U$69,MATCH(W589,'NWC_FC_NON-NOOS'!$B$50:$B$69,0),FALSE),0),0)</f>
        <v>0</v>
      </c>
      <c r="AT589" s="57">
        <f t="shared" si="236"/>
        <v>0</v>
      </c>
      <c r="AU589" s="57">
        <f t="shared" si="237"/>
        <v>0</v>
      </c>
      <c r="AV589" s="58">
        <f>IFERROR(IF($V589="BRAND.com",HLOOKUP($X589&amp;$Z589,PLANNING_FC!$BB$27:$BP$46,MATCH($W589,PLANNING_FC!$BA$27:$BA$46,0),FALSE),0),0)</f>
        <v>0</v>
      </c>
      <c r="AW589" s="58">
        <f>IFERROR(IF($V589="BRAND.com",HLOOKUP($X589&amp;$Z589,PLANNING_FC!$BB$4:$BP$23,MATCH($W589,PLANNING_FC!$BA$4:$BA$23,0),FALSE),0),0)</f>
        <v>0</v>
      </c>
      <c r="AX589" s="58">
        <f>IFERROR(IF($V589="BRAND.com",HLOOKUP($X589&amp;$Z589,PLANNING_FC!$T$27:$AH$46,MATCH($W589,PLANNING_FC!$B$27:$B$46,0),FALSE),0),0)</f>
        <v>0</v>
      </c>
      <c r="AY589" s="58">
        <f>IFERROR(IF($V589="BRAND.com",HLOOKUP($X589&amp;$Z589,PLANNING_FC!$T$4:$AH$23,MATCH($W589,PLANNING_FC!$B$4:$B$23,0),FALSE),0),0)</f>
        <v>0</v>
      </c>
      <c r="AZ589" s="58">
        <f>IFERROR(IF($V589="BRAND.com",HLOOKUP($X589&amp;$Z589,PLANNING_FC!$DA$27:$DO$46,MATCH($W589,PLANNING_FC!$CZ$27:$CZ$46,0),FALSE),0),0)</f>
        <v>0</v>
      </c>
      <c r="BA589" s="58">
        <f>IFERROR(IF($V589="BRAND.com",HLOOKUP($X589&amp;$Z589,PLANNING_FC!$DA$4:$DO$23,MATCH($W589,PLANNING_FC!$CZ$4:$CZ$23,0),FALSE),0),0)</f>
        <v>0</v>
      </c>
      <c r="BB589" s="883" t="str">
        <f>IF(V589="BRAND.com",IFERROR(HLOOKUP(X589&amp;Z589,PLANNING_FC!$AK$4:$AY$23,MATCH(W589,PLANNING_FC!$AJ$4:$AJ$23,0),FALSE)*1000,""),"")</f>
        <v/>
      </c>
      <c r="BC589" s="883" t="str">
        <f>IF(V589="BRAND.com",IFERROR(HLOOKUP(X589&amp;Z589,PLANNING_FC!$AK$27:$AY$46,MATCH(W589,PLANNING_FC!$AJ$27:$AJ$46,0),FALSE)*1000,""),"")</f>
        <v/>
      </c>
    </row>
    <row r="590" spans="1:55" x14ac:dyDescent="0.25">
      <c r="A590" s="509"/>
      <c r="B590" s="509"/>
      <c r="C590" s="509"/>
      <c r="D590" s="509"/>
      <c r="E590" s="509"/>
      <c r="F590" s="509"/>
      <c r="G590" s="509"/>
      <c r="H590" s="509"/>
      <c r="I590" s="512"/>
      <c r="J590" s="513"/>
      <c r="K590" s="514"/>
      <c r="L590" s="515"/>
      <c r="M590" s="516"/>
      <c r="N590" s="56">
        <f t="shared" si="218"/>
        <v>0</v>
      </c>
      <c r="O590" s="57">
        <f t="shared" si="219"/>
        <v>0</v>
      </c>
      <c r="P590" s="57">
        <f ca="1">IFERROR(IF(ISBLANK(H590),SUMIFS($AC:$AC,$V:$V,V590,$W:$W,W590,$X:$X,X590,$Y:$Y,Y590)*J590/(1-J590)*VLOOKUP(_xlfn.CONCAT(C590,D590,E590,TIME!$M$12,Z590),HIS_SALES!$B$2:$W$4859,20,FALSE),AC590*J590/(1-J590)),0)</f>
        <v>0</v>
      </c>
      <c r="Q590" s="541" t="str">
        <f t="shared" si="220"/>
        <v/>
      </c>
      <c r="R590" s="346" t="str">
        <f t="shared" si="230"/>
        <v>00000</v>
      </c>
      <c r="S590" s="344">
        <f t="shared" si="221"/>
        <v>0</v>
      </c>
      <c r="T590" s="345" t="str">
        <f t="shared" si="235"/>
        <v>000</v>
      </c>
      <c r="U590" s="345">
        <f t="shared" si="222"/>
        <v>0</v>
      </c>
      <c r="V590" s="345">
        <f t="shared" si="223"/>
        <v>0</v>
      </c>
      <c r="W590" s="345">
        <f t="shared" si="224"/>
        <v>0</v>
      </c>
      <c r="X590" s="345">
        <f t="shared" si="225"/>
        <v>0</v>
      </c>
      <c r="Y590" s="345">
        <f t="shared" si="226"/>
        <v>0</v>
      </c>
      <c r="Z590" s="345">
        <f>IF(Q590&lt;&gt;"",VLOOKUP(Y590,TIME!$R$21:$V$24,MATCH(FC_DATA!Q590,TIME!$R$20:$V$20,0),FALSE),H590)</f>
        <v>0</v>
      </c>
      <c r="AA590" s="345" t="str">
        <f>IFERROR(VLOOKUP(X590&amp;Z590,TIME!$A$12:$D$71,4,FALSE),"")</f>
        <v/>
      </c>
      <c r="AB590" s="592">
        <f t="shared" ca="1" si="231"/>
        <v>0</v>
      </c>
      <c r="AC590" s="593" t="e">
        <f ca="1">IF(ISBLANK(H590)=FALSE,IF(D590="BRAND.com",I590,IF(ISNA(VLOOKUP(_xlfn.CONCAT(X590,Z590),TIME!$M$40:$M$42,1,FALSE)),I590,VLOOKUP(_xlfn.CONCAT(D590,G590,H590),M_BUSAREA_FC!$AF$5:$AJ$10,5,FALSE)*HLOOKUP(_xlfn.CONCAT(F590,H590),ST_OVERVIEW!$G$99:$I$130,MATCH(_xlfn.CONCAT(D590,E590),ST_OVERVIEW!$F$99:$F$130,0),FALSE))),IF(D590="BRAND.com",VLOOKUP(_xlfn.CONCAT(C590,D590,E590,TIME!$F$1,Z590),HIS_SALES!$B$2:$V$4859,19,FALSE)*I590,VLOOKUP(_xlfn.CONCAT(D590,F590,G590),Q_BUSAREA_FC!$AE$5:$AI$12,5,FALSE)*HLOOKUP(_xlfn.CONCAT(FC_DATA!F590,FC_DATA!G590),LT_OVERVIEW!$I$99:$M$130,MATCH(_xlfn.CONCAT(D590,FC_DATA!E590),LT_OVERVIEW!$H$99:$H$130,0),FALSE)*IFERROR(VLOOKUP(_xlfn.CONCAT(C590,D590,E590,TIME!$F$1,Z590),HIS_SALES!$B$2:$V$4859,19,FALSE),0)))</f>
        <v>#N/A</v>
      </c>
      <c r="AD590" s="341">
        <f t="shared" ca="1" si="227"/>
        <v>0</v>
      </c>
      <c r="AE590" s="363" t="str">
        <f t="shared" si="228"/>
        <v/>
      </c>
      <c r="AF590" s="342" t="str">
        <f t="shared" si="229"/>
        <v/>
      </c>
      <c r="AG590" s="411" t="e">
        <f ca="1">VLOOKUP(_xlfn.CONCAT(U590,V590,W590,VLOOKUP(X590&amp;Y590,TIME!$L$27:$O$34,4,FALSE),Y590),HIS_SALES!$A$2:$R$5093,18,FALSE)</f>
        <v>#N/A</v>
      </c>
      <c r="AH590" s="412" t="e">
        <f ca="1">IFERROR(IF(AND(V590=V589,W590=W589),0.5*(AB590+AB589)*AG590,(VLOOKUP(_xlfn.CONCAT(U590,V590,W590,X590,VLOOKUP(Z590,TIME!$S$28:$T$39,2,FALSE)),FC_DATA!$R$2:$AB$5000,MATCH("GS_I_M",FC_DATA!$R$1:$AB$1,0),FALSE)+FC_DATA!AB590)*0.5*FC_DATA!AG590),NA())</f>
        <v>#N/A</v>
      </c>
      <c r="AI590" s="491" t="e">
        <f ca="1">IF(V590="PARTNER.com",AH590,IF(AND(V590=V589,W590=W589),(1-AVERAGE(AD589,AD590))*AH590,(1-AVERAGE(AD590,VLOOKUP(_xlfn.CONCAT(U590,V590,W590,X590,M_BRAND_FC!$F$6),FC_DATA!$R$2:$AD$5000,MATCH("DISCOUNT_%_M",FC_DATA!$R$1:$AD$1,0),FALSE)))*AH590))</f>
        <v>#N/A</v>
      </c>
      <c r="AJ590" s="412" t="str">
        <f t="shared" ca="1" si="232"/>
        <v/>
      </c>
      <c r="AK590" s="413" t="str">
        <f>IFERROR(AE590/(Q_BRAND_FC!$T$24+1),"")</f>
        <v/>
      </c>
      <c r="AL590" s="88" t="str">
        <f t="shared" ca="1" si="233"/>
        <v/>
      </c>
      <c r="AM590" s="414" t="str">
        <f t="shared" ca="1" si="234"/>
        <v/>
      </c>
      <c r="AN590" s="58">
        <f>IFERROR(IF($V590="BRAND.com",HLOOKUP($X590&amp;$Z590,NWC_FC_NOOS!$C$4:$Q$23,MATCH(W590,NWC_FC_NOOS!$B$4:$B$23,0),FALSE),0),0)</f>
        <v>0</v>
      </c>
      <c r="AO590" s="57">
        <f>IFERROR(IF($V590="BRAND.com",HLOOKUP($X590&amp;$Z590,NWC_FC_NOOS!$T$4:$AH$23,MATCH(W590,NWC_FC_NOOS!$S$4:$S$23,0),FALSE),0),0)</f>
        <v>0</v>
      </c>
      <c r="AP590" s="57">
        <f>IFERROR(IF($V590="BRAND.com",HLOOKUP($X590&amp;$Z590,NWC_FC_NOOS!$C$50:$U$69,MATCH(W590,NWC_FC_NOOS!$B$50:$B$69,0),FALSE),0),0)</f>
        <v>0</v>
      </c>
      <c r="AQ590" s="58">
        <f>IFERROR(IF($V590="BRAND.com",HLOOKUP($X590&amp;$Z590,'NWC_FC_NON-NOOS'!$C$4:$Q$23,MATCH(W590,'NWC_FC_NON-NOOS'!$B$4:$B$23,0),FALSE),0),0)</f>
        <v>0</v>
      </c>
      <c r="AR590" s="57">
        <f>IFERROR(IF($V590="BRAND.com",HLOOKUP($X590&amp;$Z590,'NWC_FC_NON-NOOS'!$T$4:$AH$23,MATCH(W590,'NWC_FC_NON-NOOS'!$S$4:$S$23,0),FALSE),0),0)</f>
        <v>0</v>
      </c>
      <c r="AS590" s="57">
        <f>IFERROR(IF($V590="BRAND.com",HLOOKUP($X590&amp;$Z590,'NWC_FC_NON-NOOS'!$C$50:$U$69,MATCH(W590,'NWC_FC_NON-NOOS'!$B$50:$B$69,0),FALSE),0),0)</f>
        <v>0</v>
      </c>
      <c r="AT590" s="57">
        <f t="shared" si="236"/>
        <v>0</v>
      </c>
      <c r="AU590" s="57">
        <f t="shared" si="237"/>
        <v>0</v>
      </c>
      <c r="AV590" s="58">
        <f>IFERROR(IF($V590="BRAND.com",HLOOKUP($X590&amp;$Z590,PLANNING_FC!$BB$27:$BP$46,MATCH($W590,PLANNING_FC!$BA$27:$BA$46,0),FALSE),0),0)</f>
        <v>0</v>
      </c>
      <c r="AW590" s="58">
        <f>IFERROR(IF($V590="BRAND.com",HLOOKUP($X590&amp;$Z590,PLANNING_FC!$BB$4:$BP$23,MATCH($W590,PLANNING_FC!$BA$4:$BA$23,0),FALSE),0),0)</f>
        <v>0</v>
      </c>
      <c r="AX590" s="58">
        <f>IFERROR(IF($V590="BRAND.com",HLOOKUP($X590&amp;$Z590,PLANNING_FC!$T$27:$AH$46,MATCH($W590,PLANNING_FC!$B$27:$B$46,0),FALSE),0),0)</f>
        <v>0</v>
      </c>
      <c r="AY590" s="58">
        <f>IFERROR(IF($V590="BRAND.com",HLOOKUP($X590&amp;$Z590,PLANNING_FC!$T$4:$AH$23,MATCH($W590,PLANNING_FC!$B$4:$B$23,0),FALSE),0),0)</f>
        <v>0</v>
      </c>
      <c r="AZ590" s="58">
        <f>IFERROR(IF($V590="BRAND.com",HLOOKUP($X590&amp;$Z590,PLANNING_FC!$DA$27:$DO$46,MATCH($W590,PLANNING_FC!$CZ$27:$CZ$46,0),FALSE),0),0)</f>
        <v>0</v>
      </c>
      <c r="BA590" s="58">
        <f>IFERROR(IF($V590="BRAND.com",HLOOKUP($X590&amp;$Z590,PLANNING_FC!$DA$4:$DO$23,MATCH($W590,PLANNING_FC!$CZ$4:$CZ$23,0),FALSE),0),0)</f>
        <v>0</v>
      </c>
      <c r="BB590" s="883" t="str">
        <f>IF(V590="BRAND.com",IFERROR(HLOOKUP(X590&amp;Z590,PLANNING_FC!$AK$4:$AY$23,MATCH(W590,PLANNING_FC!$AJ$4:$AJ$23,0),FALSE)*1000,""),"")</f>
        <v/>
      </c>
      <c r="BC590" s="883" t="str">
        <f>IF(V590="BRAND.com",IFERROR(HLOOKUP(X590&amp;Z590,PLANNING_FC!$AK$27:$AY$46,MATCH(W590,PLANNING_FC!$AJ$27:$AJ$46,0),FALSE)*1000,""),"")</f>
        <v/>
      </c>
    </row>
    <row r="591" spans="1:55" x14ac:dyDescent="0.25">
      <c r="A591" s="509"/>
      <c r="B591" s="509"/>
      <c r="C591" s="509"/>
      <c r="D591" s="509"/>
      <c r="E591" s="509"/>
      <c r="F591" s="509"/>
      <c r="G591" s="509"/>
      <c r="H591" s="509"/>
      <c r="I591" s="512"/>
      <c r="J591" s="513"/>
      <c r="K591" s="514"/>
      <c r="L591" s="515"/>
      <c r="M591" s="516"/>
      <c r="N591" s="56">
        <f t="shared" si="218"/>
        <v>0</v>
      </c>
      <c r="O591" s="57">
        <f t="shared" si="219"/>
        <v>0</v>
      </c>
      <c r="P591" s="57">
        <f ca="1">IFERROR(IF(ISBLANK(H591),SUMIFS($AC:$AC,$V:$V,V591,$W:$W,W591,$X:$X,X591,$Y:$Y,Y591)*J591/(1-J591)*VLOOKUP(_xlfn.CONCAT(C591,D591,E591,TIME!$M$12,Z591),HIS_SALES!$B$2:$W$4859,20,FALSE),AC591*J591/(1-J591)),0)</f>
        <v>0</v>
      </c>
      <c r="Q591" s="541" t="str">
        <f t="shared" si="220"/>
        <v/>
      </c>
      <c r="R591" s="346" t="str">
        <f t="shared" si="230"/>
        <v>00000</v>
      </c>
      <c r="S591" s="344">
        <f t="shared" si="221"/>
        <v>0</v>
      </c>
      <c r="T591" s="345" t="str">
        <f t="shared" si="235"/>
        <v>000</v>
      </c>
      <c r="U591" s="345">
        <f t="shared" si="222"/>
        <v>0</v>
      </c>
      <c r="V591" s="345">
        <f t="shared" si="223"/>
        <v>0</v>
      </c>
      <c r="W591" s="345">
        <f t="shared" si="224"/>
        <v>0</v>
      </c>
      <c r="X591" s="345">
        <f t="shared" si="225"/>
        <v>0</v>
      </c>
      <c r="Y591" s="345">
        <f t="shared" si="226"/>
        <v>0</v>
      </c>
      <c r="Z591" s="345">
        <f>IF(Q591&lt;&gt;"",VLOOKUP(Y591,TIME!$R$21:$V$24,MATCH(FC_DATA!Q591,TIME!$R$20:$V$20,0),FALSE),H591)</f>
        <v>0</v>
      </c>
      <c r="AA591" s="345" t="str">
        <f>IFERROR(VLOOKUP(X591&amp;Z591,TIME!$A$12:$D$71,4,FALSE),"")</f>
        <v/>
      </c>
      <c r="AB591" s="592">
        <f t="shared" ca="1" si="231"/>
        <v>0</v>
      </c>
      <c r="AC591" s="593" t="e">
        <f ca="1">IF(ISBLANK(H591)=FALSE,IF(D591="BRAND.com",I591,IF(ISNA(VLOOKUP(_xlfn.CONCAT(X591,Z591),TIME!$M$40:$M$42,1,FALSE)),I591,VLOOKUP(_xlfn.CONCAT(D591,G591,H591),M_BUSAREA_FC!$AF$5:$AJ$10,5,FALSE)*HLOOKUP(_xlfn.CONCAT(F591,H591),ST_OVERVIEW!$G$99:$I$130,MATCH(_xlfn.CONCAT(D591,E591),ST_OVERVIEW!$F$99:$F$130,0),FALSE))),IF(D591="BRAND.com",VLOOKUP(_xlfn.CONCAT(C591,D591,E591,TIME!$F$1,Z591),HIS_SALES!$B$2:$V$4859,19,FALSE)*I591,VLOOKUP(_xlfn.CONCAT(D591,F591,G591),Q_BUSAREA_FC!$AE$5:$AI$12,5,FALSE)*HLOOKUP(_xlfn.CONCAT(FC_DATA!F591,FC_DATA!G591),LT_OVERVIEW!$I$99:$M$130,MATCH(_xlfn.CONCAT(D591,FC_DATA!E591),LT_OVERVIEW!$H$99:$H$130,0),FALSE)*IFERROR(VLOOKUP(_xlfn.CONCAT(C591,D591,E591,TIME!$F$1,Z591),HIS_SALES!$B$2:$V$4859,19,FALSE),0)))</f>
        <v>#N/A</v>
      </c>
      <c r="AD591" s="341">
        <f t="shared" ca="1" si="227"/>
        <v>0</v>
      </c>
      <c r="AE591" s="363" t="str">
        <f t="shared" si="228"/>
        <v/>
      </c>
      <c r="AF591" s="342" t="str">
        <f t="shared" si="229"/>
        <v/>
      </c>
      <c r="AG591" s="411" t="e">
        <f ca="1">VLOOKUP(_xlfn.CONCAT(U591,V591,W591,VLOOKUP(X591&amp;Y591,TIME!$L$27:$O$34,4,FALSE),Y591),HIS_SALES!$A$2:$R$5093,18,FALSE)</f>
        <v>#N/A</v>
      </c>
      <c r="AH591" s="412" t="e">
        <f ca="1">IFERROR(IF(AND(V591=V590,W591=W590),0.5*(AB591+AB590)*AG591,(VLOOKUP(_xlfn.CONCAT(U591,V591,W591,X591,VLOOKUP(Z591,TIME!$S$28:$T$39,2,FALSE)),FC_DATA!$R$2:$AB$5000,MATCH("GS_I_M",FC_DATA!$R$1:$AB$1,0),FALSE)+FC_DATA!AB591)*0.5*FC_DATA!AG591),NA())</f>
        <v>#N/A</v>
      </c>
      <c r="AI591" s="491" t="e">
        <f ca="1">IF(V591="PARTNER.com",AH591,IF(AND(V591=V590,W591=W590),(1-AVERAGE(AD590,AD591))*AH591,(1-AVERAGE(AD591,VLOOKUP(_xlfn.CONCAT(U591,V591,W591,X591,M_BRAND_FC!$F$6),FC_DATA!$R$2:$AD$5000,MATCH("DISCOUNT_%_M",FC_DATA!$R$1:$AD$1,0),FALSE)))*AH591))</f>
        <v>#N/A</v>
      </c>
      <c r="AJ591" s="412" t="str">
        <f t="shared" ca="1" si="232"/>
        <v/>
      </c>
      <c r="AK591" s="413" t="str">
        <f>IFERROR(AE591/(Q_BRAND_FC!$T$24+1),"")</f>
        <v/>
      </c>
      <c r="AL591" s="88" t="str">
        <f t="shared" ca="1" si="233"/>
        <v/>
      </c>
      <c r="AM591" s="414" t="str">
        <f t="shared" ca="1" si="234"/>
        <v/>
      </c>
      <c r="AN591" s="58">
        <f>IFERROR(IF($V591="BRAND.com",HLOOKUP($X591&amp;$Z591,NWC_FC_NOOS!$C$4:$Q$23,MATCH(W591,NWC_FC_NOOS!$B$4:$B$23,0),FALSE),0),0)</f>
        <v>0</v>
      </c>
      <c r="AO591" s="57">
        <f>IFERROR(IF($V591="BRAND.com",HLOOKUP($X591&amp;$Z591,NWC_FC_NOOS!$T$4:$AH$23,MATCH(W591,NWC_FC_NOOS!$S$4:$S$23,0),FALSE),0),0)</f>
        <v>0</v>
      </c>
      <c r="AP591" s="57">
        <f>IFERROR(IF($V591="BRAND.com",HLOOKUP($X591&amp;$Z591,NWC_FC_NOOS!$C$50:$U$69,MATCH(W591,NWC_FC_NOOS!$B$50:$B$69,0),FALSE),0),0)</f>
        <v>0</v>
      </c>
      <c r="AQ591" s="58">
        <f>IFERROR(IF($V591="BRAND.com",HLOOKUP($X591&amp;$Z591,'NWC_FC_NON-NOOS'!$C$4:$Q$23,MATCH(W591,'NWC_FC_NON-NOOS'!$B$4:$B$23,0),FALSE),0),0)</f>
        <v>0</v>
      </c>
      <c r="AR591" s="57">
        <f>IFERROR(IF($V591="BRAND.com",HLOOKUP($X591&amp;$Z591,'NWC_FC_NON-NOOS'!$T$4:$AH$23,MATCH(W591,'NWC_FC_NON-NOOS'!$S$4:$S$23,0),FALSE),0),0)</f>
        <v>0</v>
      </c>
      <c r="AS591" s="57">
        <f>IFERROR(IF($V591="BRAND.com",HLOOKUP($X591&amp;$Z591,'NWC_FC_NON-NOOS'!$C$50:$U$69,MATCH(W591,'NWC_FC_NON-NOOS'!$B$50:$B$69,0),FALSE),0),0)</f>
        <v>0</v>
      </c>
      <c r="AT591" s="57">
        <f t="shared" si="236"/>
        <v>0</v>
      </c>
      <c r="AU591" s="57">
        <f t="shared" si="237"/>
        <v>0</v>
      </c>
      <c r="AV591" s="58">
        <f>IFERROR(IF($V591="BRAND.com",HLOOKUP($X591&amp;$Z591,PLANNING_FC!$BB$27:$BP$46,MATCH($W591,PLANNING_FC!$BA$27:$BA$46,0),FALSE),0),0)</f>
        <v>0</v>
      </c>
      <c r="AW591" s="58">
        <f>IFERROR(IF($V591="BRAND.com",HLOOKUP($X591&amp;$Z591,PLANNING_FC!$BB$4:$BP$23,MATCH($W591,PLANNING_FC!$BA$4:$BA$23,0),FALSE),0),0)</f>
        <v>0</v>
      </c>
      <c r="AX591" s="58">
        <f>IFERROR(IF($V591="BRAND.com",HLOOKUP($X591&amp;$Z591,PLANNING_FC!$T$27:$AH$46,MATCH($W591,PLANNING_FC!$B$27:$B$46,0),FALSE),0),0)</f>
        <v>0</v>
      </c>
      <c r="AY591" s="58">
        <f>IFERROR(IF($V591="BRAND.com",HLOOKUP($X591&amp;$Z591,PLANNING_FC!$T$4:$AH$23,MATCH($W591,PLANNING_FC!$B$4:$B$23,0),FALSE),0),0)</f>
        <v>0</v>
      </c>
      <c r="AZ591" s="58">
        <f>IFERROR(IF($V591="BRAND.com",HLOOKUP($X591&amp;$Z591,PLANNING_FC!$DA$27:$DO$46,MATCH($W591,PLANNING_FC!$CZ$27:$CZ$46,0),FALSE),0),0)</f>
        <v>0</v>
      </c>
      <c r="BA591" s="58">
        <f>IFERROR(IF($V591="BRAND.com",HLOOKUP($X591&amp;$Z591,PLANNING_FC!$DA$4:$DO$23,MATCH($W591,PLANNING_FC!$CZ$4:$CZ$23,0),FALSE),0),0)</f>
        <v>0</v>
      </c>
      <c r="BB591" s="883" t="str">
        <f>IF(V591="BRAND.com",IFERROR(HLOOKUP(X591&amp;Z591,PLANNING_FC!$AK$4:$AY$23,MATCH(W591,PLANNING_FC!$AJ$4:$AJ$23,0),FALSE)*1000,""),"")</f>
        <v/>
      </c>
      <c r="BC591" s="883" t="str">
        <f>IF(V591="BRAND.com",IFERROR(HLOOKUP(X591&amp;Z591,PLANNING_FC!$AK$27:$AY$46,MATCH(W591,PLANNING_FC!$AJ$27:$AJ$46,0),FALSE)*1000,""),"")</f>
        <v/>
      </c>
    </row>
    <row r="592" spans="1:55" x14ac:dyDescent="0.25">
      <c r="A592" s="509"/>
      <c r="B592" s="509"/>
      <c r="C592" s="509"/>
      <c r="D592" s="509"/>
      <c r="E592" s="509"/>
      <c r="F592" s="509"/>
      <c r="G592" s="509"/>
      <c r="H592" s="509"/>
      <c r="I592" s="512"/>
      <c r="J592" s="513"/>
      <c r="K592" s="514"/>
      <c r="L592" s="515"/>
      <c r="M592" s="516"/>
      <c r="N592" s="56">
        <f t="shared" si="218"/>
        <v>0</v>
      </c>
      <c r="O592" s="57">
        <f t="shared" si="219"/>
        <v>0</v>
      </c>
      <c r="P592" s="57">
        <f ca="1">IFERROR(IF(ISBLANK(H592),SUMIFS($AC:$AC,$V:$V,V592,$W:$W,W592,$X:$X,X592,$Y:$Y,Y592)*J592/(1-J592)*VLOOKUP(_xlfn.CONCAT(C592,D592,E592,TIME!$M$12,Z592),HIS_SALES!$B$2:$W$4859,20,FALSE),AC592*J592/(1-J592)),0)</f>
        <v>0</v>
      </c>
      <c r="Q592" s="541" t="str">
        <f t="shared" si="220"/>
        <v/>
      </c>
      <c r="R592" s="346" t="str">
        <f t="shared" si="230"/>
        <v>00000</v>
      </c>
      <c r="S592" s="344">
        <f t="shared" si="221"/>
        <v>0</v>
      </c>
      <c r="T592" s="345" t="str">
        <f t="shared" si="235"/>
        <v>000</v>
      </c>
      <c r="U592" s="345">
        <f t="shared" si="222"/>
        <v>0</v>
      </c>
      <c r="V592" s="345">
        <f t="shared" si="223"/>
        <v>0</v>
      </c>
      <c r="W592" s="345">
        <f t="shared" si="224"/>
        <v>0</v>
      </c>
      <c r="X592" s="345">
        <f t="shared" si="225"/>
        <v>0</v>
      </c>
      <c r="Y592" s="345">
        <f t="shared" si="226"/>
        <v>0</v>
      </c>
      <c r="Z592" s="345">
        <f>IF(Q592&lt;&gt;"",VLOOKUP(Y592,TIME!$R$21:$V$24,MATCH(FC_DATA!Q592,TIME!$R$20:$V$20,0),FALSE),H592)</f>
        <v>0</v>
      </c>
      <c r="AA592" s="345" t="str">
        <f>IFERROR(VLOOKUP(X592&amp;Z592,TIME!$A$12:$D$71,4,FALSE),"")</f>
        <v/>
      </c>
      <c r="AB592" s="592">
        <f t="shared" ca="1" si="231"/>
        <v>0</v>
      </c>
      <c r="AC592" s="593" t="e">
        <f ca="1">IF(ISBLANK(H592)=FALSE,IF(D592="BRAND.com",I592,IF(ISNA(VLOOKUP(_xlfn.CONCAT(X592,Z592),TIME!$M$40:$M$42,1,FALSE)),I592,VLOOKUP(_xlfn.CONCAT(D592,G592,H592),M_BUSAREA_FC!$AF$5:$AJ$10,5,FALSE)*HLOOKUP(_xlfn.CONCAT(F592,H592),ST_OVERVIEW!$G$99:$I$130,MATCH(_xlfn.CONCAT(D592,E592),ST_OVERVIEW!$F$99:$F$130,0),FALSE))),IF(D592="BRAND.com",VLOOKUP(_xlfn.CONCAT(C592,D592,E592,TIME!$F$1,Z592),HIS_SALES!$B$2:$V$4859,19,FALSE)*I592,VLOOKUP(_xlfn.CONCAT(D592,F592,G592),Q_BUSAREA_FC!$AE$5:$AI$12,5,FALSE)*HLOOKUP(_xlfn.CONCAT(FC_DATA!F592,FC_DATA!G592),LT_OVERVIEW!$I$99:$M$130,MATCH(_xlfn.CONCAT(D592,FC_DATA!E592),LT_OVERVIEW!$H$99:$H$130,0),FALSE)*IFERROR(VLOOKUP(_xlfn.CONCAT(C592,D592,E592,TIME!$F$1,Z592),HIS_SALES!$B$2:$V$4859,19,FALSE),0)))</f>
        <v>#N/A</v>
      </c>
      <c r="AD592" s="341">
        <f t="shared" ca="1" si="227"/>
        <v>0</v>
      </c>
      <c r="AE592" s="363" t="str">
        <f t="shared" si="228"/>
        <v/>
      </c>
      <c r="AF592" s="342" t="str">
        <f t="shared" si="229"/>
        <v/>
      </c>
      <c r="AG592" s="411" t="e">
        <f ca="1">VLOOKUP(_xlfn.CONCAT(U592,V592,W592,VLOOKUP(X592&amp;Y592,TIME!$L$27:$O$34,4,FALSE),Y592),HIS_SALES!$A$2:$R$5093,18,FALSE)</f>
        <v>#N/A</v>
      </c>
      <c r="AH592" s="412" t="e">
        <f ca="1">IFERROR(IF(AND(V592=V591,W592=W591),0.5*(AB592+AB591)*AG592,(VLOOKUP(_xlfn.CONCAT(U592,V592,W592,X592,VLOOKUP(Z592,TIME!$S$28:$T$39,2,FALSE)),FC_DATA!$R$2:$AB$5000,MATCH("GS_I_M",FC_DATA!$R$1:$AB$1,0),FALSE)+FC_DATA!AB592)*0.5*FC_DATA!AG592),NA())</f>
        <v>#N/A</v>
      </c>
      <c r="AI592" s="491" t="e">
        <f ca="1">IF(V592="PARTNER.com",AH592,IF(AND(V592=V591,W592=W591),(1-AVERAGE(AD591,AD592))*AH592,(1-AVERAGE(AD592,VLOOKUP(_xlfn.CONCAT(U592,V592,W592,X592,M_BRAND_FC!$F$6),FC_DATA!$R$2:$AD$5000,MATCH("DISCOUNT_%_M",FC_DATA!$R$1:$AD$1,0),FALSE)))*AH592))</f>
        <v>#N/A</v>
      </c>
      <c r="AJ592" s="412" t="str">
        <f t="shared" ca="1" si="232"/>
        <v/>
      </c>
      <c r="AK592" s="413" t="str">
        <f>IFERROR(AE592/(Q_BRAND_FC!$T$24+1),"")</f>
        <v/>
      </c>
      <c r="AL592" s="88" t="str">
        <f t="shared" ca="1" si="233"/>
        <v/>
      </c>
      <c r="AM592" s="414" t="str">
        <f t="shared" ca="1" si="234"/>
        <v/>
      </c>
      <c r="AN592" s="58">
        <f>IFERROR(IF($V592="BRAND.com",HLOOKUP($X592&amp;$Z592,NWC_FC_NOOS!$C$4:$Q$23,MATCH(W592,NWC_FC_NOOS!$B$4:$B$23,0),FALSE),0),0)</f>
        <v>0</v>
      </c>
      <c r="AO592" s="57">
        <f>IFERROR(IF($V592="BRAND.com",HLOOKUP($X592&amp;$Z592,NWC_FC_NOOS!$T$4:$AH$23,MATCH(W592,NWC_FC_NOOS!$S$4:$S$23,0),FALSE),0),0)</f>
        <v>0</v>
      </c>
      <c r="AP592" s="57">
        <f>IFERROR(IF($V592="BRAND.com",HLOOKUP($X592&amp;$Z592,NWC_FC_NOOS!$C$50:$U$69,MATCH(W592,NWC_FC_NOOS!$B$50:$B$69,0),FALSE),0),0)</f>
        <v>0</v>
      </c>
      <c r="AQ592" s="58">
        <f>IFERROR(IF($V592="BRAND.com",HLOOKUP($X592&amp;$Z592,'NWC_FC_NON-NOOS'!$C$4:$Q$23,MATCH(W592,'NWC_FC_NON-NOOS'!$B$4:$B$23,0),FALSE),0),0)</f>
        <v>0</v>
      </c>
      <c r="AR592" s="57">
        <f>IFERROR(IF($V592="BRAND.com",HLOOKUP($X592&amp;$Z592,'NWC_FC_NON-NOOS'!$T$4:$AH$23,MATCH(W592,'NWC_FC_NON-NOOS'!$S$4:$S$23,0),FALSE),0),0)</f>
        <v>0</v>
      </c>
      <c r="AS592" s="57">
        <f>IFERROR(IF($V592="BRAND.com",HLOOKUP($X592&amp;$Z592,'NWC_FC_NON-NOOS'!$C$50:$U$69,MATCH(W592,'NWC_FC_NON-NOOS'!$B$50:$B$69,0),FALSE),0),0)</f>
        <v>0</v>
      </c>
      <c r="AT592" s="57">
        <f t="shared" si="236"/>
        <v>0</v>
      </c>
      <c r="AU592" s="57">
        <f t="shared" si="237"/>
        <v>0</v>
      </c>
      <c r="AV592" s="58">
        <f>IFERROR(IF($V592="BRAND.com",HLOOKUP($X592&amp;$Z592,PLANNING_FC!$BB$27:$BP$46,MATCH($W592,PLANNING_FC!$BA$27:$BA$46,0),FALSE),0),0)</f>
        <v>0</v>
      </c>
      <c r="AW592" s="58">
        <f>IFERROR(IF($V592="BRAND.com",HLOOKUP($X592&amp;$Z592,PLANNING_FC!$BB$4:$BP$23,MATCH($W592,PLANNING_FC!$BA$4:$BA$23,0),FALSE),0),0)</f>
        <v>0</v>
      </c>
      <c r="AX592" s="58">
        <f>IFERROR(IF($V592="BRAND.com",HLOOKUP($X592&amp;$Z592,PLANNING_FC!$T$27:$AH$46,MATCH($W592,PLANNING_FC!$B$27:$B$46,0),FALSE),0),0)</f>
        <v>0</v>
      </c>
      <c r="AY592" s="58">
        <f>IFERROR(IF($V592="BRAND.com",HLOOKUP($X592&amp;$Z592,PLANNING_FC!$T$4:$AH$23,MATCH($W592,PLANNING_FC!$B$4:$B$23,0),FALSE),0),0)</f>
        <v>0</v>
      </c>
      <c r="AZ592" s="58">
        <f>IFERROR(IF($V592="BRAND.com",HLOOKUP($X592&amp;$Z592,PLANNING_FC!$DA$27:$DO$46,MATCH($W592,PLANNING_FC!$CZ$27:$CZ$46,0),FALSE),0),0)</f>
        <v>0</v>
      </c>
      <c r="BA592" s="58">
        <f>IFERROR(IF($V592="BRAND.com",HLOOKUP($X592&amp;$Z592,PLANNING_FC!$DA$4:$DO$23,MATCH($W592,PLANNING_FC!$CZ$4:$CZ$23,0),FALSE),0),0)</f>
        <v>0</v>
      </c>
      <c r="BB592" s="883" t="str">
        <f>IF(V592="BRAND.com",IFERROR(HLOOKUP(X592&amp;Z592,PLANNING_FC!$AK$4:$AY$23,MATCH(W592,PLANNING_FC!$AJ$4:$AJ$23,0),FALSE)*1000,""),"")</f>
        <v/>
      </c>
      <c r="BC592" s="883" t="str">
        <f>IF(V592="BRAND.com",IFERROR(HLOOKUP(X592&amp;Z592,PLANNING_FC!$AK$27:$AY$46,MATCH(W592,PLANNING_FC!$AJ$27:$AJ$46,0),FALSE)*1000,""),"")</f>
        <v/>
      </c>
    </row>
    <row r="593" spans="1:55" x14ac:dyDescent="0.25">
      <c r="A593" s="509"/>
      <c r="B593" s="509"/>
      <c r="C593" s="509"/>
      <c r="D593" s="509"/>
      <c r="E593" s="509"/>
      <c r="F593" s="509"/>
      <c r="G593" s="509"/>
      <c r="H593" s="509"/>
      <c r="I593" s="512"/>
      <c r="J593" s="513"/>
      <c r="K593" s="514"/>
      <c r="L593" s="515"/>
      <c r="M593" s="516"/>
      <c r="N593" s="56">
        <f t="shared" si="218"/>
        <v>0</v>
      </c>
      <c r="O593" s="57">
        <f t="shared" si="219"/>
        <v>0</v>
      </c>
      <c r="P593" s="57">
        <f ca="1">IFERROR(IF(ISBLANK(H593),SUMIFS($AC:$AC,$V:$V,V593,$W:$W,W593,$X:$X,X593,$Y:$Y,Y593)*J593/(1-J593)*VLOOKUP(_xlfn.CONCAT(C593,D593,E593,TIME!$M$12,Z593),HIS_SALES!$B$2:$W$4859,20,FALSE),AC593*J593/(1-J593)),0)</f>
        <v>0</v>
      </c>
      <c r="Q593" s="541" t="str">
        <f t="shared" si="220"/>
        <v/>
      </c>
      <c r="R593" s="346" t="str">
        <f t="shared" si="230"/>
        <v>00000</v>
      </c>
      <c r="S593" s="344">
        <f t="shared" si="221"/>
        <v>0</v>
      </c>
      <c r="T593" s="345" t="str">
        <f t="shared" si="235"/>
        <v>000</v>
      </c>
      <c r="U593" s="345">
        <f t="shared" si="222"/>
        <v>0</v>
      </c>
      <c r="V593" s="345">
        <f t="shared" si="223"/>
        <v>0</v>
      </c>
      <c r="W593" s="345">
        <f t="shared" si="224"/>
        <v>0</v>
      </c>
      <c r="X593" s="345">
        <f t="shared" si="225"/>
        <v>0</v>
      </c>
      <c r="Y593" s="345">
        <f t="shared" si="226"/>
        <v>0</v>
      </c>
      <c r="Z593" s="345">
        <f>IF(Q593&lt;&gt;"",VLOOKUP(Y593,TIME!$R$21:$V$24,MATCH(FC_DATA!Q593,TIME!$R$20:$V$20,0),FALSE),H593)</f>
        <v>0</v>
      </c>
      <c r="AA593" s="345" t="str">
        <f>IFERROR(VLOOKUP(X593&amp;Z593,TIME!$A$12:$D$71,4,FALSE),"")</f>
        <v/>
      </c>
      <c r="AB593" s="592">
        <f t="shared" ca="1" si="231"/>
        <v>0</v>
      </c>
      <c r="AC593" s="593" t="e">
        <f ca="1">IF(ISBLANK(H593)=FALSE,IF(D593="BRAND.com",I593,IF(ISNA(VLOOKUP(_xlfn.CONCAT(X593,Z593),TIME!$M$40:$M$42,1,FALSE)),I593,VLOOKUP(_xlfn.CONCAT(D593,G593,H593),M_BUSAREA_FC!$AF$5:$AJ$10,5,FALSE)*HLOOKUP(_xlfn.CONCAT(F593,H593),ST_OVERVIEW!$G$99:$I$130,MATCH(_xlfn.CONCAT(D593,E593),ST_OVERVIEW!$F$99:$F$130,0),FALSE))),IF(D593="BRAND.com",VLOOKUP(_xlfn.CONCAT(C593,D593,E593,TIME!$F$1,Z593),HIS_SALES!$B$2:$V$4859,19,FALSE)*I593,VLOOKUP(_xlfn.CONCAT(D593,F593,G593),Q_BUSAREA_FC!$AE$5:$AI$12,5,FALSE)*HLOOKUP(_xlfn.CONCAT(FC_DATA!F593,FC_DATA!G593),LT_OVERVIEW!$I$99:$M$130,MATCH(_xlfn.CONCAT(D593,FC_DATA!E593),LT_OVERVIEW!$H$99:$H$130,0),FALSE)*IFERROR(VLOOKUP(_xlfn.CONCAT(C593,D593,E593,TIME!$F$1,Z593),HIS_SALES!$B$2:$V$4859,19,FALSE),0)))</f>
        <v>#N/A</v>
      </c>
      <c r="AD593" s="341">
        <f t="shared" ca="1" si="227"/>
        <v>0</v>
      </c>
      <c r="AE593" s="363" t="str">
        <f t="shared" si="228"/>
        <v/>
      </c>
      <c r="AF593" s="342" t="str">
        <f t="shared" si="229"/>
        <v/>
      </c>
      <c r="AG593" s="411" t="e">
        <f ca="1">VLOOKUP(_xlfn.CONCAT(U593,V593,W593,VLOOKUP(X593&amp;Y593,TIME!$L$27:$O$34,4,FALSE),Y593),HIS_SALES!$A$2:$R$5093,18,FALSE)</f>
        <v>#N/A</v>
      </c>
      <c r="AH593" s="412" t="e">
        <f ca="1">IFERROR(IF(AND(V593=V592,W593=W592),0.5*(AB593+AB592)*AG593,(VLOOKUP(_xlfn.CONCAT(U593,V593,W593,X593,VLOOKUP(Z593,TIME!$S$28:$T$39,2,FALSE)),FC_DATA!$R$2:$AB$5000,MATCH("GS_I_M",FC_DATA!$R$1:$AB$1,0),FALSE)+FC_DATA!AB593)*0.5*FC_DATA!AG593),NA())</f>
        <v>#N/A</v>
      </c>
      <c r="AI593" s="491" t="e">
        <f ca="1">IF(V593="PARTNER.com",AH593,IF(AND(V593=V592,W593=W592),(1-AVERAGE(AD592,AD593))*AH593,(1-AVERAGE(AD593,VLOOKUP(_xlfn.CONCAT(U593,V593,W593,X593,M_BRAND_FC!$F$6),FC_DATA!$R$2:$AD$5000,MATCH("DISCOUNT_%_M",FC_DATA!$R$1:$AD$1,0),FALSE)))*AH593))</f>
        <v>#N/A</v>
      </c>
      <c r="AJ593" s="412" t="str">
        <f t="shared" ca="1" si="232"/>
        <v/>
      </c>
      <c r="AK593" s="413" t="str">
        <f>IFERROR(AE593/(Q_BRAND_FC!$T$24+1),"")</f>
        <v/>
      </c>
      <c r="AL593" s="88" t="str">
        <f t="shared" ca="1" si="233"/>
        <v/>
      </c>
      <c r="AM593" s="414" t="str">
        <f t="shared" ca="1" si="234"/>
        <v/>
      </c>
      <c r="AN593" s="58">
        <f>IFERROR(IF($V593="BRAND.com",HLOOKUP($X593&amp;$Z593,NWC_FC_NOOS!$C$4:$Q$23,MATCH(W593,NWC_FC_NOOS!$B$4:$B$23,0),FALSE),0),0)</f>
        <v>0</v>
      </c>
      <c r="AO593" s="57">
        <f>IFERROR(IF($V593="BRAND.com",HLOOKUP($X593&amp;$Z593,NWC_FC_NOOS!$T$4:$AH$23,MATCH(W593,NWC_FC_NOOS!$S$4:$S$23,0),FALSE),0),0)</f>
        <v>0</v>
      </c>
      <c r="AP593" s="57">
        <f>IFERROR(IF($V593="BRAND.com",HLOOKUP($X593&amp;$Z593,NWC_FC_NOOS!$C$50:$U$69,MATCH(W593,NWC_FC_NOOS!$B$50:$B$69,0),FALSE),0),0)</f>
        <v>0</v>
      </c>
      <c r="AQ593" s="58">
        <f>IFERROR(IF($V593="BRAND.com",HLOOKUP($X593&amp;$Z593,'NWC_FC_NON-NOOS'!$C$4:$Q$23,MATCH(W593,'NWC_FC_NON-NOOS'!$B$4:$B$23,0),FALSE),0),0)</f>
        <v>0</v>
      </c>
      <c r="AR593" s="57">
        <f>IFERROR(IF($V593="BRAND.com",HLOOKUP($X593&amp;$Z593,'NWC_FC_NON-NOOS'!$T$4:$AH$23,MATCH(W593,'NWC_FC_NON-NOOS'!$S$4:$S$23,0),FALSE),0),0)</f>
        <v>0</v>
      </c>
      <c r="AS593" s="57">
        <f>IFERROR(IF($V593="BRAND.com",HLOOKUP($X593&amp;$Z593,'NWC_FC_NON-NOOS'!$C$50:$U$69,MATCH(W593,'NWC_FC_NON-NOOS'!$B$50:$B$69,0),FALSE),0),0)</f>
        <v>0</v>
      </c>
      <c r="AT593" s="57">
        <f t="shared" si="236"/>
        <v>0</v>
      </c>
      <c r="AU593" s="57">
        <f t="shared" si="237"/>
        <v>0</v>
      </c>
      <c r="AV593" s="58">
        <f>IFERROR(IF($V593="BRAND.com",HLOOKUP($X593&amp;$Z593,PLANNING_FC!$BB$27:$BP$46,MATCH($W593,PLANNING_FC!$BA$27:$BA$46,0),FALSE),0),0)</f>
        <v>0</v>
      </c>
      <c r="AW593" s="58">
        <f>IFERROR(IF($V593="BRAND.com",HLOOKUP($X593&amp;$Z593,PLANNING_FC!$BB$4:$BP$23,MATCH($W593,PLANNING_FC!$BA$4:$BA$23,0),FALSE),0),0)</f>
        <v>0</v>
      </c>
      <c r="AX593" s="58">
        <f>IFERROR(IF($V593="BRAND.com",HLOOKUP($X593&amp;$Z593,PLANNING_FC!$T$27:$AH$46,MATCH($W593,PLANNING_FC!$B$27:$B$46,0),FALSE),0),0)</f>
        <v>0</v>
      </c>
      <c r="AY593" s="58">
        <f>IFERROR(IF($V593="BRAND.com",HLOOKUP($X593&amp;$Z593,PLANNING_FC!$T$4:$AH$23,MATCH($W593,PLANNING_FC!$B$4:$B$23,0),FALSE),0),0)</f>
        <v>0</v>
      </c>
      <c r="AZ593" s="58">
        <f>IFERROR(IF($V593="BRAND.com",HLOOKUP($X593&amp;$Z593,PLANNING_FC!$DA$27:$DO$46,MATCH($W593,PLANNING_FC!$CZ$27:$CZ$46,0),FALSE),0),0)</f>
        <v>0</v>
      </c>
      <c r="BA593" s="58">
        <f>IFERROR(IF($V593="BRAND.com",HLOOKUP($X593&amp;$Z593,PLANNING_FC!$DA$4:$DO$23,MATCH($W593,PLANNING_FC!$CZ$4:$CZ$23,0),FALSE),0),0)</f>
        <v>0</v>
      </c>
      <c r="BB593" s="883" t="str">
        <f>IF(V593="BRAND.com",IFERROR(HLOOKUP(X593&amp;Z593,PLANNING_FC!$AK$4:$AY$23,MATCH(W593,PLANNING_FC!$AJ$4:$AJ$23,0),FALSE)*1000,""),"")</f>
        <v/>
      </c>
      <c r="BC593" s="883" t="str">
        <f>IF(V593="BRAND.com",IFERROR(HLOOKUP(X593&amp;Z593,PLANNING_FC!$AK$27:$AY$46,MATCH(W593,PLANNING_FC!$AJ$27:$AJ$46,0),FALSE)*1000,""),"")</f>
        <v/>
      </c>
    </row>
    <row r="594" spans="1:55" x14ac:dyDescent="0.25">
      <c r="A594" s="509"/>
      <c r="B594" s="509"/>
      <c r="C594" s="509"/>
      <c r="D594" s="509"/>
      <c r="E594" s="509"/>
      <c r="F594" s="509"/>
      <c r="G594" s="509"/>
      <c r="H594" s="509"/>
      <c r="I594" s="512"/>
      <c r="J594" s="513"/>
      <c r="K594" s="514"/>
      <c r="L594" s="515"/>
      <c r="M594" s="516"/>
      <c r="N594" s="56">
        <f t="shared" ref="N594:N625" si="238">IFERROR(I594/(1-J594)*J594,0)</f>
        <v>0</v>
      </c>
      <c r="O594" s="57">
        <f t="shared" ref="O594:O625" si="239">IFERROR(I594+N594,0)</f>
        <v>0</v>
      </c>
      <c r="P594" s="57">
        <f ca="1">IFERROR(IF(ISBLANK(H594),SUMIFS($AC:$AC,$V:$V,V594,$W:$W,W594,$X:$X,X594,$Y:$Y,Y594)*J594/(1-J594)*VLOOKUP(_xlfn.CONCAT(C594,D594,E594,TIME!$M$12,Z594),HIS_SALES!$B$2:$W$4859,20,FALSE),AC594*J594/(1-J594)),0)</f>
        <v>0</v>
      </c>
      <c r="Q594" s="541" t="str">
        <f t="shared" ref="Q594:Q625" si="240">IF(AND(A594&lt;&gt;"",H594=""),IF(A594=A593,Q593+1,1),"")</f>
        <v/>
      </c>
      <c r="R594" s="346" t="str">
        <f t="shared" si="230"/>
        <v>00000</v>
      </c>
      <c r="S594" s="344">
        <f t="shared" ref="S594:S625" si="241">B594</f>
        <v>0</v>
      </c>
      <c r="T594" s="345" t="str">
        <f t="shared" si="235"/>
        <v>000</v>
      </c>
      <c r="U594" s="345">
        <f t="shared" ref="U594:U625" si="242">C594</f>
        <v>0</v>
      </c>
      <c r="V594" s="345">
        <f t="shared" ref="V594:V625" si="243">D594</f>
        <v>0</v>
      </c>
      <c r="W594" s="345">
        <f t="shared" ref="W594:W625" si="244">E594</f>
        <v>0</v>
      </c>
      <c r="X594" s="345">
        <f t="shared" ref="X594:X625" si="245">F594</f>
        <v>0</v>
      </c>
      <c r="Y594" s="345">
        <f t="shared" ref="Y594:Y625" si="246">G594</f>
        <v>0</v>
      </c>
      <c r="Z594" s="345">
        <f>IF(Q594&lt;&gt;"",VLOOKUP(Y594,TIME!$R$21:$V$24,MATCH(FC_DATA!Q594,TIME!$R$20:$V$20,0),FALSE),H594)</f>
        <v>0</v>
      </c>
      <c r="AA594" s="345" t="str">
        <f>IFERROR(VLOOKUP(X594&amp;Z594,TIME!$A$12:$D$71,4,FALSE),"")</f>
        <v/>
      </c>
      <c r="AB594" s="592">
        <f t="shared" ca="1" si="231"/>
        <v>0</v>
      </c>
      <c r="AC594" s="593" t="e">
        <f ca="1">IF(ISBLANK(H594)=FALSE,IF(D594="BRAND.com",I594,IF(ISNA(VLOOKUP(_xlfn.CONCAT(X594,Z594),TIME!$M$40:$M$42,1,FALSE)),I594,VLOOKUP(_xlfn.CONCAT(D594,G594,H594),M_BUSAREA_FC!$AF$5:$AJ$10,5,FALSE)*HLOOKUP(_xlfn.CONCAT(F594,H594),ST_OVERVIEW!$G$99:$I$130,MATCH(_xlfn.CONCAT(D594,E594),ST_OVERVIEW!$F$99:$F$130,0),FALSE))),IF(D594="BRAND.com",VLOOKUP(_xlfn.CONCAT(C594,D594,E594,TIME!$F$1,Z594),HIS_SALES!$B$2:$V$4859,19,FALSE)*I594,VLOOKUP(_xlfn.CONCAT(D594,F594,G594),Q_BUSAREA_FC!$AE$5:$AI$12,5,FALSE)*HLOOKUP(_xlfn.CONCAT(FC_DATA!F594,FC_DATA!G594),LT_OVERVIEW!$I$99:$M$130,MATCH(_xlfn.CONCAT(D594,FC_DATA!E594),LT_OVERVIEW!$H$99:$H$130,0),FALSE)*IFERROR(VLOOKUP(_xlfn.CONCAT(C594,D594,E594,TIME!$F$1,Z594),HIS_SALES!$B$2:$V$4859,19,FALSE),0)))</f>
        <v>#N/A</v>
      </c>
      <c r="AD594" s="341">
        <f t="shared" ref="AD594:AD625" ca="1" si="247">IFERROR(IF(D594="PARTNER.com",0,1-AC594/AB594),0)</f>
        <v>0</v>
      </c>
      <c r="AE594" s="363" t="str">
        <f t="shared" ref="AE594:AE625" si="248">IF(A594&lt;&gt;"",K594,"")</f>
        <v/>
      </c>
      <c r="AF594" s="342" t="str">
        <f t="shared" ref="AF594:AF625" si="249">IF(B594&lt;&gt;"",M594,"")</f>
        <v/>
      </c>
      <c r="AG594" s="411" t="e">
        <f ca="1">VLOOKUP(_xlfn.CONCAT(U594,V594,W594,VLOOKUP(X594&amp;Y594,TIME!$L$27:$O$34,4,FALSE),Y594),HIS_SALES!$A$2:$R$5093,18,FALSE)</f>
        <v>#N/A</v>
      </c>
      <c r="AH594" s="412" t="e">
        <f ca="1">IFERROR(IF(AND(V594=V593,W594=W593),0.5*(AB594+AB593)*AG594,(VLOOKUP(_xlfn.CONCAT(U594,V594,W594,X594,VLOOKUP(Z594,TIME!$S$28:$T$39,2,FALSE)),FC_DATA!$R$2:$AB$5000,MATCH("GS_I_M",FC_DATA!$R$1:$AB$1,0),FALSE)+FC_DATA!AB594)*0.5*FC_DATA!AG594),NA())</f>
        <v>#N/A</v>
      </c>
      <c r="AI594" s="491" t="e">
        <f ca="1">IF(V594="PARTNER.com",AH594,IF(AND(V594=V593,W594=W593),(1-AVERAGE(AD593,AD594))*AH594,(1-AVERAGE(AD594,VLOOKUP(_xlfn.CONCAT(U594,V594,W594,X594,M_BRAND_FC!$F$6),FC_DATA!$R$2:$AD$5000,MATCH("DISCOUNT_%_M",FC_DATA!$R$1:$AD$1,0),FALSE)))*AH594))</f>
        <v>#N/A</v>
      </c>
      <c r="AJ594" s="412" t="str">
        <f t="shared" ca="1" si="232"/>
        <v/>
      </c>
      <c r="AK594" s="413" t="str">
        <f>IFERROR(AE594/(Q_BRAND_FC!$T$24+1),"")</f>
        <v/>
      </c>
      <c r="AL594" s="88" t="str">
        <f t="shared" ca="1" si="233"/>
        <v/>
      </c>
      <c r="AM594" s="414" t="str">
        <f t="shared" ca="1" si="234"/>
        <v/>
      </c>
      <c r="AN594" s="58">
        <f>IFERROR(IF($V594="BRAND.com",HLOOKUP($X594&amp;$Z594,NWC_FC_NOOS!$C$4:$Q$23,MATCH(W594,NWC_FC_NOOS!$B$4:$B$23,0),FALSE),0),0)</f>
        <v>0</v>
      </c>
      <c r="AO594" s="57">
        <f>IFERROR(IF($V594="BRAND.com",HLOOKUP($X594&amp;$Z594,NWC_FC_NOOS!$T$4:$AH$23,MATCH(W594,NWC_FC_NOOS!$S$4:$S$23,0),FALSE),0),0)</f>
        <v>0</v>
      </c>
      <c r="AP594" s="57">
        <f>IFERROR(IF($V594="BRAND.com",HLOOKUP($X594&amp;$Z594,NWC_FC_NOOS!$C$50:$U$69,MATCH(W594,NWC_FC_NOOS!$B$50:$B$69,0),FALSE),0),0)</f>
        <v>0</v>
      </c>
      <c r="AQ594" s="58">
        <f>IFERROR(IF($V594="BRAND.com",HLOOKUP($X594&amp;$Z594,'NWC_FC_NON-NOOS'!$C$4:$Q$23,MATCH(W594,'NWC_FC_NON-NOOS'!$B$4:$B$23,0),FALSE),0),0)</f>
        <v>0</v>
      </c>
      <c r="AR594" s="57">
        <f>IFERROR(IF($V594="BRAND.com",HLOOKUP($X594&amp;$Z594,'NWC_FC_NON-NOOS'!$T$4:$AH$23,MATCH(W594,'NWC_FC_NON-NOOS'!$S$4:$S$23,0),FALSE),0),0)</f>
        <v>0</v>
      </c>
      <c r="AS594" s="57">
        <f>IFERROR(IF($V594="BRAND.com",HLOOKUP($X594&amp;$Z594,'NWC_FC_NON-NOOS'!$C$50:$U$69,MATCH(W594,'NWC_FC_NON-NOOS'!$B$50:$B$69,0),FALSE),0),0)</f>
        <v>0</v>
      </c>
      <c r="AT594" s="57">
        <f t="shared" si="236"/>
        <v>0</v>
      </c>
      <c r="AU594" s="57">
        <f t="shared" si="237"/>
        <v>0</v>
      </c>
      <c r="AV594" s="58">
        <f>IFERROR(IF($V594="BRAND.com",HLOOKUP($X594&amp;$Z594,PLANNING_FC!$BB$27:$BP$46,MATCH($W594,PLANNING_FC!$BA$27:$BA$46,0),FALSE),0),0)</f>
        <v>0</v>
      </c>
      <c r="AW594" s="58">
        <f>IFERROR(IF($V594="BRAND.com",HLOOKUP($X594&amp;$Z594,PLANNING_FC!$BB$4:$BP$23,MATCH($W594,PLANNING_FC!$BA$4:$BA$23,0),FALSE),0),0)</f>
        <v>0</v>
      </c>
      <c r="AX594" s="58">
        <f>IFERROR(IF($V594="BRAND.com",HLOOKUP($X594&amp;$Z594,PLANNING_FC!$T$27:$AH$46,MATCH($W594,PLANNING_FC!$B$27:$B$46,0),FALSE),0),0)</f>
        <v>0</v>
      </c>
      <c r="AY594" s="58">
        <f>IFERROR(IF($V594="BRAND.com",HLOOKUP($X594&amp;$Z594,PLANNING_FC!$T$4:$AH$23,MATCH($W594,PLANNING_FC!$B$4:$B$23,0),FALSE),0),0)</f>
        <v>0</v>
      </c>
      <c r="AZ594" s="58">
        <f>IFERROR(IF($V594="BRAND.com",HLOOKUP($X594&amp;$Z594,PLANNING_FC!$DA$27:$DO$46,MATCH($W594,PLANNING_FC!$CZ$27:$CZ$46,0),FALSE),0),0)</f>
        <v>0</v>
      </c>
      <c r="BA594" s="58">
        <f>IFERROR(IF($V594="BRAND.com",HLOOKUP($X594&amp;$Z594,PLANNING_FC!$DA$4:$DO$23,MATCH($W594,PLANNING_FC!$CZ$4:$CZ$23,0),FALSE),0),0)</f>
        <v>0</v>
      </c>
      <c r="BB594" s="883" t="str">
        <f>IF(V594="BRAND.com",IFERROR(HLOOKUP(X594&amp;Z594,PLANNING_FC!$AK$4:$AY$23,MATCH(W594,PLANNING_FC!$AJ$4:$AJ$23,0),FALSE)*1000,""),"")</f>
        <v/>
      </c>
      <c r="BC594" s="883" t="str">
        <f>IF(V594="BRAND.com",IFERROR(HLOOKUP(X594&amp;Z594,PLANNING_FC!$AK$27:$AY$46,MATCH(W594,PLANNING_FC!$AJ$27:$AJ$46,0),FALSE)*1000,""),"")</f>
        <v/>
      </c>
    </row>
    <row r="595" spans="1:55" x14ac:dyDescent="0.25">
      <c r="A595" s="509"/>
      <c r="B595" s="509"/>
      <c r="C595" s="509"/>
      <c r="D595" s="509"/>
      <c r="E595" s="509"/>
      <c r="F595" s="509"/>
      <c r="G595" s="509"/>
      <c r="H595" s="509"/>
      <c r="I595" s="512"/>
      <c r="J595" s="513"/>
      <c r="K595" s="514"/>
      <c r="L595" s="515"/>
      <c r="M595" s="516"/>
      <c r="N595" s="56">
        <f t="shared" si="238"/>
        <v>0</v>
      </c>
      <c r="O595" s="57">
        <f t="shared" si="239"/>
        <v>0</v>
      </c>
      <c r="P595" s="57">
        <f ca="1">IFERROR(IF(ISBLANK(H595),SUMIFS($AC:$AC,$V:$V,V595,$W:$W,W595,$X:$X,X595,$Y:$Y,Y595)*J595/(1-J595)*VLOOKUP(_xlfn.CONCAT(C595,D595,E595,TIME!$M$12,Z595),HIS_SALES!$B$2:$W$4859,20,FALSE),AC595*J595/(1-J595)),0)</f>
        <v>0</v>
      </c>
      <c r="Q595" s="541" t="str">
        <f t="shared" si="240"/>
        <v/>
      </c>
      <c r="R595" s="346" t="str">
        <f t="shared" si="230"/>
        <v>00000</v>
      </c>
      <c r="S595" s="344">
        <f t="shared" si="241"/>
        <v>0</v>
      </c>
      <c r="T595" s="345" t="str">
        <f t="shared" si="235"/>
        <v>000</v>
      </c>
      <c r="U595" s="345">
        <f t="shared" si="242"/>
        <v>0</v>
      </c>
      <c r="V595" s="345">
        <f t="shared" si="243"/>
        <v>0</v>
      </c>
      <c r="W595" s="345">
        <f t="shared" si="244"/>
        <v>0</v>
      </c>
      <c r="X595" s="345">
        <f t="shared" si="245"/>
        <v>0</v>
      </c>
      <c r="Y595" s="345">
        <f t="shared" si="246"/>
        <v>0</v>
      </c>
      <c r="Z595" s="345">
        <f>IF(Q595&lt;&gt;"",VLOOKUP(Y595,TIME!$R$21:$V$24,MATCH(FC_DATA!Q595,TIME!$R$20:$V$20,0),FALSE),H595)</f>
        <v>0</v>
      </c>
      <c r="AA595" s="345" t="str">
        <f>IFERROR(VLOOKUP(X595&amp;Z595,TIME!$A$12:$D$71,4,FALSE),"")</f>
        <v/>
      </c>
      <c r="AB595" s="592">
        <f t="shared" ca="1" si="231"/>
        <v>0</v>
      </c>
      <c r="AC595" s="593" t="e">
        <f ca="1">IF(ISBLANK(H595)=FALSE,IF(D595="BRAND.com",I595,IF(ISNA(VLOOKUP(_xlfn.CONCAT(X595,Z595),TIME!$M$40:$M$42,1,FALSE)),I595,VLOOKUP(_xlfn.CONCAT(D595,G595,H595),M_BUSAREA_FC!$AF$5:$AJ$10,5,FALSE)*HLOOKUP(_xlfn.CONCAT(F595,H595),ST_OVERVIEW!$G$99:$I$130,MATCH(_xlfn.CONCAT(D595,E595),ST_OVERVIEW!$F$99:$F$130,0),FALSE))),IF(D595="BRAND.com",VLOOKUP(_xlfn.CONCAT(C595,D595,E595,TIME!$F$1,Z595),HIS_SALES!$B$2:$V$4859,19,FALSE)*I595,VLOOKUP(_xlfn.CONCAT(D595,F595,G595),Q_BUSAREA_FC!$AE$5:$AI$12,5,FALSE)*HLOOKUP(_xlfn.CONCAT(FC_DATA!F595,FC_DATA!G595),LT_OVERVIEW!$I$99:$M$130,MATCH(_xlfn.CONCAT(D595,FC_DATA!E595),LT_OVERVIEW!$H$99:$H$130,0),FALSE)*IFERROR(VLOOKUP(_xlfn.CONCAT(C595,D595,E595,TIME!$F$1,Z595),HIS_SALES!$B$2:$V$4859,19,FALSE),0)))</f>
        <v>#N/A</v>
      </c>
      <c r="AD595" s="341">
        <f t="shared" ca="1" si="247"/>
        <v>0</v>
      </c>
      <c r="AE595" s="363" t="str">
        <f t="shared" si="248"/>
        <v/>
      </c>
      <c r="AF595" s="342" t="str">
        <f t="shared" si="249"/>
        <v/>
      </c>
      <c r="AG595" s="411" t="e">
        <f ca="1">VLOOKUP(_xlfn.CONCAT(U595,V595,W595,VLOOKUP(X595&amp;Y595,TIME!$L$27:$O$34,4,FALSE),Y595),HIS_SALES!$A$2:$R$5093,18,FALSE)</f>
        <v>#N/A</v>
      </c>
      <c r="AH595" s="412" t="e">
        <f ca="1">IFERROR(IF(AND(V595=V594,W595=W594),0.5*(AB595+AB594)*AG595,(VLOOKUP(_xlfn.CONCAT(U595,V595,W595,X595,VLOOKUP(Z595,TIME!$S$28:$T$39,2,FALSE)),FC_DATA!$R$2:$AB$5000,MATCH("GS_I_M",FC_DATA!$R$1:$AB$1,0),FALSE)+FC_DATA!AB595)*0.5*FC_DATA!AG595),NA())</f>
        <v>#N/A</v>
      </c>
      <c r="AI595" s="491" t="e">
        <f ca="1">IF(V595="PARTNER.com",AH595,IF(AND(V595=V594,W595=W594),(1-AVERAGE(AD594,AD595))*AH595,(1-AVERAGE(AD595,VLOOKUP(_xlfn.CONCAT(U595,V595,W595,X595,M_BRAND_FC!$F$6),FC_DATA!$R$2:$AD$5000,MATCH("DISCOUNT_%_M",FC_DATA!$R$1:$AD$1,0),FALSE)))*AH595))</f>
        <v>#N/A</v>
      </c>
      <c r="AJ595" s="412" t="str">
        <f t="shared" ca="1" si="232"/>
        <v/>
      </c>
      <c r="AK595" s="413" t="str">
        <f>IFERROR(AE595/(Q_BRAND_FC!$T$24+1),"")</f>
        <v/>
      </c>
      <c r="AL595" s="88" t="str">
        <f t="shared" ca="1" si="233"/>
        <v/>
      </c>
      <c r="AM595" s="414" t="str">
        <f t="shared" ca="1" si="234"/>
        <v/>
      </c>
      <c r="AN595" s="58">
        <f>IFERROR(IF($V595="BRAND.com",HLOOKUP($X595&amp;$Z595,NWC_FC_NOOS!$C$4:$Q$23,MATCH(W595,NWC_FC_NOOS!$B$4:$B$23,0),FALSE),0),0)</f>
        <v>0</v>
      </c>
      <c r="AO595" s="57">
        <f>IFERROR(IF($V595="BRAND.com",HLOOKUP($X595&amp;$Z595,NWC_FC_NOOS!$T$4:$AH$23,MATCH(W595,NWC_FC_NOOS!$S$4:$S$23,0),FALSE),0),0)</f>
        <v>0</v>
      </c>
      <c r="AP595" s="57">
        <f>IFERROR(IF($V595="BRAND.com",HLOOKUP($X595&amp;$Z595,NWC_FC_NOOS!$C$50:$U$69,MATCH(W595,NWC_FC_NOOS!$B$50:$B$69,0),FALSE),0),0)</f>
        <v>0</v>
      </c>
      <c r="AQ595" s="58">
        <f>IFERROR(IF($V595="BRAND.com",HLOOKUP($X595&amp;$Z595,'NWC_FC_NON-NOOS'!$C$4:$Q$23,MATCH(W595,'NWC_FC_NON-NOOS'!$B$4:$B$23,0),FALSE),0),0)</f>
        <v>0</v>
      </c>
      <c r="AR595" s="57">
        <f>IFERROR(IF($V595="BRAND.com",HLOOKUP($X595&amp;$Z595,'NWC_FC_NON-NOOS'!$T$4:$AH$23,MATCH(W595,'NWC_FC_NON-NOOS'!$S$4:$S$23,0),FALSE),0),0)</f>
        <v>0</v>
      </c>
      <c r="AS595" s="57">
        <f>IFERROR(IF($V595="BRAND.com",HLOOKUP($X595&amp;$Z595,'NWC_FC_NON-NOOS'!$C$50:$U$69,MATCH(W595,'NWC_FC_NON-NOOS'!$B$50:$B$69,0),FALSE),0),0)</f>
        <v>0</v>
      </c>
      <c r="AT595" s="57">
        <f t="shared" si="236"/>
        <v>0</v>
      </c>
      <c r="AU595" s="57">
        <f t="shared" si="237"/>
        <v>0</v>
      </c>
      <c r="AV595" s="58">
        <f>IFERROR(IF($V595="BRAND.com",HLOOKUP($X595&amp;$Z595,PLANNING_FC!$BB$27:$BP$46,MATCH($W595,PLANNING_FC!$BA$27:$BA$46,0),FALSE),0),0)</f>
        <v>0</v>
      </c>
      <c r="AW595" s="58">
        <f>IFERROR(IF($V595="BRAND.com",HLOOKUP($X595&amp;$Z595,PLANNING_FC!$BB$4:$BP$23,MATCH($W595,PLANNING_FC!$BA$4:$BA$23,0),FALSE),0),0)</f>
        <v>0</v>
      </c>
      <c r="AX595" s="58">
        <f>IFERROR(IF($V595="BRAND.com",HLOOKUP($X595&amp;$Z595,PLANNING_FC!$T$27:$AH$46,MATCH($W595,PLANNING_FC!$B$27:$B$46,0),FALSE),0),0)</f>
        <v>0</v>
      </c>
      <c r="AY595" s="58">
        <f>IFERROR(IF($V595="BRAND.com",HLOOKUP($X595&amp;$Z595,PLANNING_FC!$T$4:$AH$23,MATCH($W595,PLANNING_FC!$B$4:$B$23,0),FALSE),0),0)</f>
        <v>0</v>
      </c>
      <c r="AZ595" s="58">
        <f>IFERROR(IF($V595="BRAND.com",HLOOKUP($X595&amp;$Z595,PLANNING_FC!$DA$27:$DO$46,MATCH($W595,PLANNING_FC!$CZ$27:$CZ$46,0),FALSE),0),0)</f>
        <v>0</v>
      </c>
      <c r="BA595" s="58">
        <f>IFERROR(IF($V595="BRAND.com",HLOOKUP($X595&amp;$Z595,PLANNING_FC!$DA$4:$DO$23,MATCH($W595,PLANNING_FC!$CZ$4:$CZ$23,0),FALSE),0),0)</f>
        <v>0</v>
      </c>
      <c r="BB595" s="883" t="str">
        <f>IF(V595="BRAND.com",IFERROR(HLOOKUP(X595&amp;Z595,PLANNING_FC!$AK$4:$AY$23,MATCH(W595,PLANNING_FC!$AJ$4:$AJ$23,0),FALSE)*1000,""),"")</f>
        <v/>
      </c>
      <c r="BC595" s="883" t="str">
        <f>IF(V595="BRAND.com",IFERROR(HLOOKUP(X595&amp;Z595,PLANNING_FC!$AK$27:$AY$46,MATCH(W595,PLANNING_FC!$AJ$27:$AJ$46,0),FALSE)*1000,""),"")</f>
        <v/>
      </c>
    </row>
    <row r="596" spans="1:55" x14ac:dyDescent="0.25">
      <c r="A596" s="509"/>
      <c r="B596" s="509"/>
      <c r="C596" s="509"/>
      <c r="D596" s="509"/>
      <c r="E596" s="509"/>
      <c r="F596" s="509"/>
      <c r="G596" s="509"/>
      <c r="H596" s="509"/>
      <c r="I596" s="512"/>
      <c r="J596" s="513"/>
      <c r="K596" s="514"/>
      <c r="L596" s="515"/>
      <c r="M596" s="516"/>
      <c r="N596" s="56">
        <f t="shared" si="238"/>
        <v>0</v>
      </c>
      <c r="O596" s="57">
        <f t="shared" si="239"/>
        <v>0</v>
      </c>
      <c r="P596" s="57">
        <f ca="1">IFERROR(IF(ISBLANK(H596),SUMIFS($AC:$AC,$V:$V,V596,$W:$W,W596,$X:$X,X596,$Y:$Y,Y596)*J596/(1-J596)*VLOOKUP(_xlfn.CONCAT(C596,D596,E596,TIME!$M$12,Z596),HIS_SALES!$B$2:$W$4859,20,FALSE),AC596*J596/(1-J596)),0)</f>
        <v>0</v>
      </c>
      <c r="Q596" s="541" t="str">
        <f t="shared" si="240"/>
        <v/>
      </c>
      <c r="R596" s="346" t="str">
        <f t="shared" si="230"/>
        <v>00000</v>
      </c>
      <c r="S596" s="344">
        <f t="shared" si="241"/>
        <v>0</v>
      </c>
      <c r="T596" s="345" t="str">
        <f t="shared" si="235"/>
        <v>000</v>
      </c>
      <c r="U596" s="345">
        <f t="shared" si="242"/>
        <v>0</v>
      </c>
      <c r="V596" s="345">
        <f t="shared" si="243"/>
        <v>0</v>
      </c>
      <c r="W596" s="345">
        <f t="shared" si="244"/>
        <v>0</v>
      </c>
      <c r="X596" s="345">
        <f t="shared" si="245"/>
        <v>0</v>
      </c>
      <c r="Y596" s="345">
        <f t="shared" si="246"/>
        <v>0</v>
      </c>
      <c r="Z596" s="345">
        <f>IF(Q596&lt;&gt;"",VLOOKUP(Y596,TIME!$R$21:$V$24,MATCH(FC_DATA!Q596,TIME!$R$20:$V$20,0),FALSE),H596)</f>
        <v>0</v>
      </c>
      <c r="AA596" s="345" t="str">
        <f>IFERROR(VLOOKUP(X596&amp;Z596,TIME!$A$12:$D$71,4,FALSE),"")</f>
        <v/>
      </c>
      <c r="AB596" s="592">
        <f t="shared" ca="1" si="231"/>
        <v>0</v>
      </c>
      <c r="AC596" s="593" t="e">
        <f ca="1">IF(ISBLANK(H596)=FALSE,IF(D596="BRAND.com",I596,IF(ISNA(VLOOKUP(_xlfn.CONCAT(X596,Z596),TIME!$M$40:$M$42,1,FALSE)),I596,VLOOKUP(_xlfn.CONCAT(D596,G596,H596),M_BUSAREA_FC!$AF$5:$AJ$10,5,FALSE)*HLOOKUP(_xlfn.CONCAT(F596,H596),ST_OVERVIEW!$G$99:$I$130,MATCH(_xlfn.CONCAT(D596,E596),ST_OVERVIEW!$F$99:$F$130,0),FALSE))),IF(D596="BRAND.com",VLOOKUP(_xlfn.CONCAT(C596,D596,E596,TIME!$F$1,Z596),HIS_SALES!$B$2:$V$4859,19,FALSE)*I596,VLOOKUP(_xlfn.CONCAT(D596,F596,G596),Q_BUSAREA_FC!$AE$5:$AI$12,5,FALSE)*HLOOKUP(_xlfn.CONCAT(FC_DATA!F596,FC_DATA!G596),LT_OVERVIEW!$I$99:$M$130,MATCH(_xlfn.CONCAT(D596,FC_DATA!E596),LT_OVERVIEW!$H$99:$H$130,0),FALSE)*IFERROR(VLOOKUP(_xlfn.CONCAT(C596,D596,E596,TIME!$F$1,Z596),HIS_SALES!$B$2:$V$4859,19,FALSE),0)))</f>
        <v>#N/A</v>
      </c>
      <c r="AD596" s="341">
        <f t="shared" ca="1" si="247"/>
        <v>0</v>
      </c>
      <c r="AE596" s="363" t="str">
        <f t="shared" si="248"/>
        <v/>
      </c>
      <c r="AF596" s="342" t="str">
        <f t="shared" si="249"/>
        <v/>
      </c>
      <c r="AG596" s="411" t="e">
        <f ca="1">VLOOKUP(_xlfn.CONCAT(U596,V596,W596,VLOOKUP(X596&amp;Y596,TIME!$L$27:$O$34,4,FALSE),Y596),HIS_SALES!$A$2:$R$5093,18,FALSE)</f>
        <v>#N/A</v>
      </c>
      <c r="AH596" s="412" t="e">
        <f ca="1">IFERROR(IF(AND(V596=V595,W596=W595),0.5*(AB596+AB595)*AG596,(VLOOKUP(_xlfn.CONCAT(U596,V596,W596,X596,VLOOKUP(Z596,TIME!$S$28:$T$39,2,FALSE)),FC_DATA!$R$2:$AB$5000,MATCH("GS_I_M",FC_DATA!$R$1:$AB$1,0),FALSE)+FC_DATA!AB596)*0.5*FC_DATA!AG596),NA())</f>
        <v>#N/A</v>
      </c>
      <c r="AI596" s="491" t="e">
        <f ca="1">IF(V596="PARTNER.com",AH596,IF(AND(V596=V595,W596=W595),(1-AVERAGE(AD595,AD596))*AH596,(1-AVERAGE(AD596,VLOOKUP(_xlfn.CONCAT(U596,V596,W596,X596,M_BRAND_FC!$F$6),FC_DATA!$R$2:$AD$5000,MATCH("DISCOUNT_%_M",FC_DATA!$R$1:$AD$1,0),FALSE)))*AH596))</f>
        <v>#N/A</v>
      </c>
      <c r="AJ596" s="412" t="str">
        <f t="shared" ca="1" si="232"/>
        <v/>
      </c>
      <c r="AK596" s="413" t="str">
        <f>IFERROR(AE596/(Q_BRAND_FC!$T$24+1),"")</f>
        <v/>
      </c>
      <c r="AL596" s="88" t="str">
        <f t="shared" ca="1" si="233"/>
        <v/>
      </c>
      <c r="AM596" s="414" t="str">
        <f t="shared" ca="1" si="234"/>
        <v/>
      </c>
      <c r="AN596" s="58">
        <f>IFERROR(IF($V596="BRAND.com",HLOOKUP($X596&amp;$Z596,NWC_FC_NOOS!$C$4:$Q$23,MATCH(W596,NWC_FC_NOOS!$B$4:$B$23,0),FALSE),0),0)</f>
        <v>0</v>
      </c>
      <c r="AO596" s="57">
        <f>IFERROR(IF($V596="BRAND.com",HLOOKUP($X596&amp;$Z596,NWC_FC_NOOS!$T$4:$AH$23,MATCH(W596,NWC_FC_NOOS!$S$4:$S$23,0),FALSE),0),0)</f>
        <v>0</v>
      </c>
      <c r="AP596" s="57">
        <f>IFERROR(IF($V596="BRAND.com",HLOOKUP($X596&amp;$Z596,NWC_FC_NOOS!$C$50:$U$69,MATCH(W596,NWC_FC_NOOS!$B$50:$B$69,0),FALSE),0),0)</f>
        <v>0</v>
      </c>
      <c r="AQ596" s="58">
        <f>IFERROR(IF($V596="BRAND.com",HLOOKUP($X596&amp;$Z596,'NWC_FC_NON-NOOS'!$C$4:$Q$23,MATCH(W596,'NWC_FC_NON-NOOS'!$B$4:$B$23,0),FALSE),0),0)</f>
        <v>0</v>
      </c>
      <c r="AR596" s="57">
        <f>IFERROR(IF($V596="BRAND.com",HLOOKUP($X596&amp;$Z596,'NWC_FC_NON-NOOS'!$T$4:$AH$23,MATCH(W596,'NWC_FC_NON-NOOS'!$S$4:$S$23,0),FALSE),0),0)</f>
        <v>0</v>
      </c>
      <c r="AS596" s="57">
        <f>IFERROR(IF($V596="BRAND.com",HLOOKUP($X596&amp;$Z596,'NWC_FC_NON-NOOS'!$C$50:$U$69,MATCH(W596,'NWC_FC_NON-NOOS'!$B$50:$B$69,0),FALSE),0),0)</f>
        <v>0</v>
      </c>
      <c r="AT596" s="57">
        <f t="shared" si="236"/>
        <v>0</v>
      </c>
      <c r="AU596" s="57">
        <f t="shared" si="237"/>
        <v>0</v>
      </c>
      <c r="AV596" s="58">
        <f>IFERROR(IF($V596="BRAND.com",HLOOKUP($X596&amp;$Z596,PLANNING_FC!$BB$27:$BP$46,MATCH($W596,PLANNING_FC!$BA$27:$BA$46,0),FALSE),0),0)</f>
        <v>0</v>
      </c>
      <c r="AW596" s="58">
        <f>IFERROR(IF($V596="BRAND.com",HLOOKUP($X596&amp;$Z596,PLANNING_FC!$BB$4:$BP$23,MATCH($W596,PLANNING_FC!$BA$4:$BA$23,0),FALSE),0),0)</f>
        <v>0</v>
      </c>
      <c r="AX596" s="58">
        <f>IFERROR(IF($V596="BRAND.com",HLOOKUP($X596&amp;$Z596,PLANNING_FC!$T$27:$AH$46,MATCH($W596,PLANNING_FC!$B$27:$B$46,0),FALSE),0),0)</f>
        <v>0</v>
      </c>
      <c r="AY596" s="58">
        <f>IFERROR(IF($V596="BRAND.com",HLOOKUP($X596&amp;$Z596,PLANNING_FC!$T$4:$AH$23,MATCH($W596,PLANNING_FC!$B$4:$B$23,0),FALSE),0),0)</f>
        <v>0</v>
      </c>
      <c r="AZ596" s="58">
        <f>IFERROR(IF($V596="BRAND.com",HLOOKUP($X596&amp;$Z596,PLANNING_FC!$DA$27:$DO$46,MATCH($W596,PLANNING_FC!$CZ$27:$CZ$46,0),FALSE),0),0)</f>
        <v>0</v>
      </c>
      <c r="BA596" s="58">
        <f>IFERROR(IF($V596="BRAND.com",HLOOKUP($X596&amp;$Z596,PLANNING_FC!$DA$4:$DO$23,MATCH($W596,PLANNING_FC!$CZ$4:$CZ$23,0),FALSE),0),0)</f>
        <v>0</v>
      </c>
      <c r="BB596" s="883" t="str">
        <f>IF(V596="BRAND.com",IFERROR(HLOOKUP(X596&amp;Z596,PLANNING_FC!$AK$4:$AY$23,MATCH(W596,PLANNING_FC!$AJ$4:$AJ$23,0),FALSE)*1000,""),"")</f>
        <v/>
      </c>
      <c r="BC596" s="883" t="str">
        <f>IF(V596="BRAND.com",IFERROR(HLOOKUP(X596&amp;Z596,PLANNING_FC!$AK$27:$AY$46,MATCH(W596,PLANNING_FC!$AJ$27:$AJ$46,0),FALSE)*1000,""),"")</f>
        <v/>
      </c>
    </row>
    <row r="597" spans="1:55" x14ac:dyDescent="0.25">
      <c r="A597" s="509"/>
      <c r="B597" s="509"/>
      <c r="C597" s="509"/>
      <c r="D597" s="509"/>
      <c r="E597" s="509"/>
      <c r="F597" s="509"/>
      <c r="G597" s="509"/>
      <c r="H597" s="509"/>
      <c r="I597" s="512"/>
      <c r="J597" s="513"/>
      <c r="K597" s="514"/>
      <c r="L597" s="515"/>
      <c r="M597" s="516"/>
      <c r="N597" s="56">
        <f t="shared" si="238"/>
        <v>0</v>
      </c>
      <c r="O597" s="57">
        <f t="shared" si="239"/>
        <v>0</v>
      </c>
      <c r="P597" s="57">
        <f ca="1">IFERROR(IF(ISBLANK(H597),SUMIFS($AC:$AC,$V:$V,V597,$W:$W,W597,$X:$X,X597,$Y:$Y,Y597)*J597/(1-J597)*VLOOKUP(_xlfn.CONCAT(C597,D597,E597,TIME!$M$12,Z597),HIS_SALES!$B$2:$W$4859,20,FALSE),AC597*J597/(1-J597)),0)</f>
        <v>0</v>
      </c>
      <c r="Q597" s="541" t="str">
        <f t="shared" si="240"/>
        <v/>
      </c>
      <c r="R597" s="346" t="str">
        <f t="shared" si="230"/>
        <v>00000</v>
      </c>
      <c r="S597" s="344">
        <f t="shared" si="241"/>
        <v>0</v>
      </c>
      <c r="T597" s="345" t="str">
        <f t="shared" si="235"/>
        <v>000</v>
      </c>
      <c r="U597" s="345">
        <f t="shared" si="242"/>
        <v>0</v>
      </c>
      <c r="V597" s="345">
        <f t="shared" si="243"/>
        <v>0</v>
      </c>
      <c r="W597" s="345">
        <f t="shared" si="244"/>
        <v>0</v>
      </c>
      <c r="X597" s="345">
        <f t="shared" si="245"/>
        <v>0</v>
      </c>
      <c r="Y597" s="345">
        <f t="shared" si="246"/>
        <v>0</v>
      </c>
      <c r="Z597" s="345">
        <f>IF(Q597&lt;&gt;"",VLOOKUP(Y597,TIME!$R$21:$V$24,MATCH(FC_DATA!Q597,TIME!$R$20:$V$20,0),FALSE),H597)</f>
        <v>0</v>
      </c>
      <c r="AA597" s="345" t="str">
        <f>IFERROR(VLOOKUP(X597&amp;Z597,TIME!$A$12:$D$71,4,FALSE),"")</f>
        <v/>
      </c>
      <c r="AB597" s="592">
        <f t="shared" ca="1" si="231"/>
        <v>0</v>
      </c>
      <c r="AC597" s="593" t="e">
        <f ca="1">IF(ISBLANK(H597)=FALSE,IF(D597="BRAND.com",I597,IF(ISNA(VLOOKUP(_xlfn.CONCAT(X597,Z597),TIME!$M$40:$M$42,1,FALSE)),I597,VLOOKUP(_xlfn.CONCAT(D597,G597,H597),M_BUSAREA_FC!$AF$5:$AJ$10,5,FALSE)*HLOOKUP(_xlfn.CONCAT(F597,H597),ST_OVERVIEW!$G$99:$I$130,MATCH(_xlfn.CONCAT(D597,E597),ST_OVERVIEW!$F$99:$F$130,0),FALSE))),IF(D597="BRAND.com",VLOOKUP(_xlfn.CONCAT(C597,D597,E597,TIME!$F$1,Z597),HIS_SALES!$B$2:$V$4859,19,FALSE)*I597,VLOOKUP(_xlfn.CONCAT(D597,F597,G597),Q_BUSAREA_FC!$AE$5:$AI$12,5,FALSE)*HLOOKUP(_xlfn.CONCAT(FC_DATA!F597,FC_DATA!G597),LT_OVERVIEW!$I$99:$M$130,MATCH(_xlfn.CONCAT(D597,FC_DATA!E597),LT_OVERVIEW!$H$99:$H$130,0),FALSE)*IFERROR(VLOOKUP(_xlfn.CONCAT(C597,D597,E597,TIME!$F$1,Z597),HIS_SALES!$B$2:$V$4859,19,FALSE),0)))</f>
        <v>#N/A</v>
      </c>
      <c r="AD597" s="341">
        <f t="shared" ca="1" si="247"/>
        <v>0</v>
      </c>
      <c r="AE597" s="363" t="str">
        <f t="shared" si="248"/>
        <v/>
      </c>
      <c r="AF597" s="342" t="str">
        <f t="shared" si="249"/>
        <v/>
      </c>
      <c r="AG597" s="411" t="e">
        <f ca="1">VLOOKUP(_xlfn.CONCAT(U597,V597,W597,VLOOKUP(X597&amp;Y597,TIME!$L$27:$O$34,4,FALSE),Y597),HIS_SALES!$A$2:$R$5093,18,FALSE)</f>
        <v>#N/A</v>
      </c>
      <c r="AH597" s="412" t="e">
        <f ca="1">IFERROR(IF(AND(V597=V596,W597=W596),0.5*(AB597+AB596)*AG597,(VLOOKUP(_xlfn.CONCAT(U597,V597,W597,X597,VLOOKUP(Z597,TIME!$S$28:$T$39,2,FALSE)),FC_DATA!$R$2:$AB$5000,MATCH("GS_I_M",FC_DATA!$R$1:$AB$1,0),FALSE)+FC_DATA!AB597)*0.5*FC_DATA!AG597),NA())</f>
        <v>#N/A</v>
      </c>
      <c r="AI597" s="491" t="e">
        <f ca="1">IF(V597="PARTNER.com",AH597,IF(AND(V597=V596,W597=W596),(1-AVERAGE(AD596,AD597))*AH597,(1-AVERAGE(AD597,VLOOKUP(_xlfn.CONCAT(U597,V597,W597,X597,M_BRAND_FC!$F$6),FC_DATA!$R$2:$AD$5000,MATCH("DISCOUNT_%_M",FC_DATA!$R$1:$AD$1,0),FALSE)))*AH597))</f>
        <v>#N/A</v>
      </c>
      <c r="AJ597" s="412" t="str">
        <f t="shared" ca="1" si="232"/>
        <v/>
      </c>
      <c r="AK597" s="413" t="str">
        <f>IFERROR(AE597/(Q_BRAND_FC!$T$24+1),"")</f>
        <v/>
      </c>
      <c r="AL597" s="88" t="str">
        <f t="shared" ca="1" si="233"/>
        <v/>
      </c>
      <c r="AM597" s="414" t="str">
        <f t="shared" ca="1" si="234"/>
        <v/>
      </c>
      <c r="AN597" s="58">
        <f>IFERROR(IF($V597="BRAND.com",HLOOKUP($X597&amp;$Z597,NWC_FC_NOOS!$C$4:$Q$23,MATCH(W597,NWC_FC_NOOS!$B$4:$B$23,0),FALSE),0),0)</f>
        <v>0</v>
      </c>
      <c r="AO597" s="57">
        <f>IFERROR(IF($V597="BRAND.com",HLOOKUP($X597&amp;$Z597,NWC_FC_NOOS!$T$4:$AH$23,MATCH(W597,NWC_FC_NOOS!$S$4:$S$23,0),FALSE),0),0)</f>
        <v>0</v>
      </c>
      <c r="AP597" s="57">
        <f>IFERROR(IF($V597="BRAND.com",HLOOKUP($X597&amp;$Z597,NWC_FC_NOOS!$C$50:$U$69,MATCH(W597,NWC_FC_NOOS!$B$50:$B$69,0),FALSE),0),0)</f>
        <v>0</v>
      </c>
      <c r="AQ597" s="58">
        <f>IFERROR(IF($V597="BRAND.com",HLOOKUP($X597&amp;$Z597,'NWC_FC_NON-NOOS'!$C$4:$Q$23,MATCH(W597,'NWC_FC_NON-NOOS'!$B$4:$B$23,0),FALSE),0),0)</f>
        <v>0</v>
      </c>
      <c r="AR597" s="57">
        <f>IFERROR(IF($V597="BRAND.com",HLOOKUP($X597&amp;$Z597,'NWC_FC_NON-NOOS'!$T$4:$AH$23,MATCH(W597,'NWC_FC_NON-NOOS'!$S$4:$S$23,0),FALSE),0),0)</f>
        <v>0</v>
      </c>
      <c r="AS597" s="57">
        <f>IFERROR(IF($V597="BRAND.com",HLOOKUP($X597&amp;$Z597,'NWC_FC_NON-NOOS'!$C$50:$U$69,MATCH(W597,'NWC_FC_NON-NOOS'!$B$50:$B$69,0),FALSE),0),0)</f>
        <v>0</v>
      </c>
      <c r="AT597" s="57">
        <f t="shared" si="236"/>
        <v>0</v>
      </c>
      <c r="AU597" s="57">
        <f t="shared" si="237"/>
        <v>0</v>
      </c>
      <c r="AV597" s="58">
        <f>IFERROR(IF($V597="BRAND.com",HLOOKUP($X597&amp;$Z597,PLANNING_FC!$BB$27:$BP$46,MATCH($W597,PLANNING_FC!$BA$27:$BA$46,0),FALSE),0),0)</f>
        <v>0</v>
      </c>
      <c r="AW597" s="58">
        <f>IFERROR(IF($V597="BRAND.com",HLOOKUP($X597&amp;$Z597,PLANNING_FC!$BB$4:$BP$23,MATCH($W597,PLANNING_FC!$BA$4:$BA$23,0),FALSE),0),0)</f>
        <v>0</v>
      </c>
      <c r="AX597" s="58">
        <f>IFERROR(IF($V597="BRAND.com",HLOOKUP($X597&amp;$Z597,PLANNING_FC!$T$27:$AH$46,MATCH($W597,PLANNING_FC!$B$27:$B$46,0),FALSE),0),0)</f>
        <v>0</v>
      </c>
      <c r="AY597" s="58">
        <f>IFERROR(IF($V597="BRAND.com",HLOOKUP($X597&amp;$Z597,PLANNING_FC!$T$4:$AH$23,MATCH($W597,PLANNING_FC!$B$4:$B$23,0),FALSE),0),0)</f>
        <v>0</v>
      </c>
      <c r="AZ597" s="58">
        <f>IFERROR(IF($V597="BRAND.com",HLOOKUP($X597&amp;$Z597,PLANNING_FC!$DA$27:$DO$46,MATCH($W597,PLANNING_FC!$CZ$27:$CZ$46,0),FALSE),0),0)</f>
        <v>0</v>
      </c>
      <c r="BA597" s="58">
        <f>IFERROR(IF($V597="BRAND.com",HLOOKUP($X597&amp;$Z597,PLANNING_FC!$DA$4:$DO$23,MATCH($W597,PLANNING_FC!$CZ$4:$CZ$23,0),FALSE),0),0)</f>
        <v>0</v>
      </c>
      <c r="BB597" s="883" t="str">
        <f>IF(V597="BRAND.com",IFERROR(HLOOKUP(X597&amp;Z597,PLANNING_FC!$AK$4:$AY$23,MATCH(W597,PLANNING_FC!$AJ$4:$AJ$23,0),FALSE)*1000,""),"")</f>
        <v/>
      </c>
      <c r="BC597" s="883" t="str">
        <f>IF(V597="BRAND.com",IFERROR(HLOOKUP(X597&amp;Z597,PLANNING_FC!$AK$27:$AY$46,MATCH(W597,PLANNING_FC!$AJ$27:$AJ$46,0),FALSE)*1000,""),"")</f>
        <v/>
      </c>
    </row>
    <row r="598" spans="1:55" x14ac:dyDescent="0.25">
      <c r="A598" s="509"/>
      <c r="B598" s="509"/>
      <c r="C598" s="509"/>
      <c r="D598" s="509"/>
      <c r="E598" s="509"/>
      <c r="F598" s="509"/>
      <c r="G598" s="509"/>
      <c r="H598" s="509"/>
      <c r="I598" s="512"/>
      <c r="J598" s="513"/>
      <c r="K598" s="514"/>
      <c r="L598" s="515"/>
      <c r="M598" s="516"/>
      <c r="N598" s="56">
        <f t="shared" si="238"/>
        <v>0</v>
      </c>
      <c r="O598" s="57">
        <f t="shared" si="239"/>
        <v>0</v>
      </c>
      <c r="P598" s="57">
        <f ca="1">IFERROR(IF(ISBLANK(H598),SUMIFS($AC:$AC,$V:$V,V598,$W:$W,W598,$X:$X,X598,$Y:$Y,Y598)*J598/(1-J598)*VLOOKUP(_xlfn.CONCAT(C598,D598,E598,TIME!$M$12,Z598),HIS_SALES!$B$2:$W$4859,20,FALSE),AC598*J598/(1-J598)),0)</f>
        <v>0</v>
      </c>
      <c r="Q598" s="541" t="str">
        <f t="shared" si="240"/>
        <v/>
      </c>
      <c r="R598" s="346" t="str">
        <f t="shared" si="230"/>
        <v>00000</v>
      </c>
      <c r="S598" s="344">
        <f t="shared" si="241"/>
        <v>0</v>
      </c>
      <c r="T598" s="345" t="str">
        <f t="shared" si="235"/>
        <v>000</v>
      </c>
      <c r="U598" s="345">
        <f t="shared" si="242"/>
        <v>0</v>
      </c>
      <c r="V598" s="345">
        <f t="shared" si="243"/>
        <v>0</v>
      </c>
      <c r="W598" s="345">
        <f t="shared" si="244"/>
        <v>0</v>
      </c>
      <c r="X598" s="345">
        <f t="shared" si="245"/>
        <v>0</v>
      </c>
      <c r="Y598" s="345">
        <f t="shared" si="246"/>
        <v>0</v>
      </c>
      <c r="Z598" s="345">
        <f>IF(Q598&lt;&gt;"",VLOOKUP(Y598,TIME!$R$21:$V$24,MATCH(FC_DATA!Q598,TIME!$R$20:$V$20,0),FALSE),H598)</f>
        <v>0</v>
      </c>
      <c r="AA598" s="345" t="str">
        <f>IFERROR(VLOOKUP(X598&amp;Z598,TIME!$A$12:$D$71,4,FALSE),"")</f>
        <v/>
      </c>
      <c r="AB598" s="592">
        <f t="shared" ca="1" si="231"/>
        <v>0</v>
      </c>
      <c r="AC598" s="593" t="e">
        <f ca="1">IF(ISBLANK(H598)=FALSE,IF(D598="BRAND.com",I598,IF(ISNA(VLOOKUP(_xlfn.CONCAT(X598,Z598),TIME!$M$40:$M$42,1,FALSE)),I598,VLOOKUP(_xlfn.CONCAT(D598,G598,H598),M_BUSAREA_FC!$AF$5:$AJ$10,5,FALSE)*HLOOKUP(_xlfn.CONCAT(F598,H598),ST_OVERVIEW!$G$99:$I$130,MATCH(_xlfn.CONCAT(D598,E598),ST_OVERVIEW!$F$99:$F$130,0),FALSE))),IF(D598="BRAND.com",VLOOKUP(_xlfn.CONCAT(C598,D598,E598,TIME!$F$1,Z598),HIS_SALES!$B$2:$V$4859,19,FALSE)*I598,VLOOKUP(_xlfn.CONCAT(D598,F598,G598),Q_BUSAREA_FC!$AE$5:$AI$12,5,FALSE)*HLOOKUP(_xlfn.CONCAT(FC_DATA!F598,FC_DATA!G598),LT_OVERVIEW!$I$99:$M$130,MATCH(_xlfn.CONCAT(D598,FC_DATA!E598),LT_OVERVIEW!$H$99:$H$130,0),FALSE)*IFERROR(VLOOKUP(_xlfn.CONCAT(C598,D598,E598,TIME!$F$1,Z598),HIS_SALES!$B$2:$V$4859,19,FALSE),0)))</f>
        <v>#N/A</v>
      </c>
      <c r="AD598" s="341">
        <f t="shared" ca="1" si="247"/>
        <v>0</v>
      </c>
      <c r="AE598" s="363" t="str">
        <f t="shared" si="248"/>
        <v/>
      </c>
      <c r="AF598" s="342" t="str">
        <f t="shared" si="249"/>
        <v/>
      </c>
      <c r="AG598" s="411" t="e">
        <f ca="1">VLOOKUP(_xlfn.CONCAT(U598,V598,W598,VLOOKUP(X598&amp;Y598,TIME!$L$27:$O$34,4,FALSE),Y598),HIS_SALES!$A$2:$R$5093,18,FALSE)</f>
        <v>#N/A</v>
      </c>
      <c r="AH598" s="412" t="e">
        <f ca="1">IFERROR(IF(AND(V598=V597,W598=W597),0.5*(AB598+AB597)*AG598,(VLOOKUP(_xlfn.CONCAT(U598,V598,W598,X598,VLOOKUP(Z598,TIME!$S$28:$T$39,2,FALSE)),FC_DATA!$R$2:$AB$5000,MATCH("GS_I_M",FC_DATA!$R$1:$AB$1,0),FALSE)+FC_DATA!AB598)*0.5*FC_DATA!AG598),NA())</f>
        <v>#N/A</v>
      </c>
      <c r="AI598" s="491" t="e">
        <f ca="1">IF(V598="PARTNER.com",AH598,IF(AND(V598=V597,W598=W597),(1-AVERAGE(AD597,AD598))*AH598,(1-AVERAGE(AD598,VLOOKUP(_xlfn.CONCAT(U598,V598,W598,X598,M_BRAND_FC!$F$6),FC_DATA!$R$2:$AD$5000,MATCH("DISCOUNT_%_M",FC_DATA!$R$1:$AD$1,0),FALSE)))*AH598))</f>
        <v>#N/A</v>
      </c>
      <c r="AJ598" s="412" t="str">
        <f t="shared" ca="1" si="232"/>
        <v/>
      </c>
      <c r="AK598" s="413" t="str">
        <f>IFERROR(AE598/(Q_BRAND_FC!$T$24+1),"")</f>
        <v/>
      </c>
      <c r="AL598" s="88" t="str">
        <f t="shared" ca="1" si="233"/>
        <v/>
      </c>
      <c r="AM598" s="414" t="str">
        <f t="shared" ca="1" si="234"/>
        <v/>
      </c>
      <c r="AN598" s="58">
        <f>IFERROR(IF($V598="BRAND.com",HLOOKUP($X598&amp;$Z598,NWC_FC_NOOS!$C$4:$Q$23,MATCH(W598,NWC_FC_NOOS!$B$4:$B$23,0),FALSE),0),0)</f>
        <v>0</v>
      </c>
      <c r="AO598" s="57">
        <f>IFERROR(IF($V598="BRAND.com",HLOOKUP($X598&amp;$Z598,NWC_FC_NOOS!$T$4:$AH$23,MATCH(W598,NWC_FC_NOOS!$S$4:$S$23,0),FALSE),0),0)</f>
        <v>0</v>
      </c>
      <c r="AP598" s="57">
        <f>IFERROR(IF($V598="BRAND.com",HLOOKUP($X598&amp;$Z598,NWC_FC_NOOS!$C$50:$U$69,MATCH(W598,NWC_FC_NOOS!$B$50:$B$69,0),FALSE),0),0)</f>
        <v>0</v>
      </c>
      <c r="AQ598" s="58">
        <f>IFERROR(IF($V598="BRAND.com",HLOOKUP($X598&amp;$Z598,'NWC_FC_NON-NOOS'!$C$4:$Q$23,MATCH(W598,'NWC_FC_NON-NOOS'!$B$4:$B$23,0),FALSE),0),0)</f>
        <v>0</v>
      </c>
      <c r="AR598" s="57">
        <f>IFERROR(IF($V598="BRAND.com",HLOOKUP($X598&amp;$Z598,'NWC_FC_NON-NOOS'!$T$4:$AH$23,MATCH(W598,'NWC_FC_NON-NOOS'!$S$4:$S$23,0),FALSE),0),0)</f>
        <v>0</v>
      </c>
      <c r="AS598" s="57">
        <f>IFERROR(IF($V598="BRAND.com",HLOOKUP($X598&amp;$Z598,'NWC_FC_NON-NOOS'!$C$50:$U$69,MATCH(W598,'NWC_FC_NON-NOOS'!$B$50:$B$69,0),FALSE),0),0)</f>
        <v>0</v>
      </c>
      <c r="AT598" s="57">
        <f t="shared" si="236"/>
        <v>0</v>
      </c>
      <c r="AU598" s="57">
        <f t="shared" si="237"/>
        <v>0</v>
      </c>
      <c r="AV598" s="58">
        <f>IFERROR(IF($V598="BRAND.com",HLOOKUP($X598&amp;$Z598,PLANNING_FC!$BB$27:$BP$46,MATCH($W598,PLANNING_FC!$BA$27:$BA$46,0),FALSE),0),0)</f>
        <v>0</v>
      </c>
      <c r="AW598" s="58">
        <f>IFERROR(IF($V598="BRAND.com",HLOOKUP($X598&amp;$Z598,PLANNING_FC!$BB$4:$BP$23,MATCH($W598,PLANNING_FC!$BA$4:$BA$23,0),FALSE),0),0)</f>
        <v>0</v>
      </c>
      <c r="AX598" s="58">
        <f>IFERROR(IF($V598="BRAND.com",HLOOKUP($X598&amp;$Z598,PLANNING_FC!$T$27:$AH$46,MATCH($W598,PLANNING_FC!$B$27:$B$46,0),FALSE),0),0)</f>
        <v>0</v>
      </c>
      <c r="AY598" s="58">
        <f>IFERROR(IF($V598="BRAND.com",HLOOKUP($X598&amp;$Z598,PLANNING_FC!$T$4:$AH$23,MATCH($W598,PLANNING_FC!$B$4:$B$23,0),FALSE),0),0)</f>
        <v>0</v>
      </c>
      <c r="AZ598" s="58">
        <f>IFERROR(IF($V598="BRAND.com",HLOOKUP($X598&amp;$Z598,PLANNING_FC!$DA$27:$DO$46,MATCH($W598,PLANNING_FC!$CZ$27:$CZ$46,0),FALSE),0),0)</f>
        <v>0</v>
      </c>
      <c r="BA598" s="58">
        <f>IFERROR(IF($V598="BRAND.com",HLOOKUP($X598&amp;$Z598,PLANNING_FC!$DA$4:$DO$23,MATCH($W598,PLANNING_FC!$CZ$4:$CZ$23,0),FALSE),0),0)</f>
        <v>0</v>
      </c>
      <c r="BB598" s="883" t="str">
        <f>IF(V598="BRAND.com",IFERROR(HLOOKUP(X598&amp;Z598,PLANNING_FC!$AK$4:$AY$23,MATCH(W598,PLANNING_FC!$AJ$4:$AJ$23,0),FALSE)*1000,""),"")</f>
        <v/>
      </c>
      <c r="BC598" s="883" t="str">
        <f>IF(V598="BRAND.com",IFERROR(HLOOKUP(X598&amp;Z598,PLANNING_FC!$AK$27:$AY$46,MATCH(W598,PLANNING_FC!$AJ$27:$AJ$46,0),FALSE)*1000,""),"")</f>
        <v/>
      </c>
    </row>
    <row r="599" spans="1:55" x14ac:dyDescent="0.25">
      <c r="A599" s="509"/>
      <c r="B599" s="509"/>
      <c r="C599" s="509"/>
      <c r="D599" s="509"/>
      <c r="E599" s="509"/>
      <c r="F599" s="509"/>
      <c r="G599" s="509"/>
      <c r="H599" s="509"/>
      <c r="I599" s="512"/>
      <c r="J599" s="513"/>
      <c r="K599" s="514"/>
      <c r="L599" s="515"/>
      <c r="M599" s="516"/>
      <c r="N599" s="56">
        <f t="shared" si="238"/>
        <v>0</v>
      </c>
      <c r="O599" s="57">
        <f t="shared" si="239"/>
        <v>0</v>
      </c>
      <c r="P599" s="57">
        <f ca="1">IFERROR(IF(ISBLANK(H599),SUMIFS($AC:$AC,$V:$V,V599,$W:$W,W599,$X:$X,X599,$Y:$Y,Y599)*J599/(1-J599)*VLOOKUP(_xlfn.CONCAT(C599,D599,E599,TIME!$M$12,Z599),HIS_SALES!$B$2:$W$4859,20,FALSE),AC599*J599/(1-J599)),0)</f>
        <v>0</v>
      </c>
      <c r="Q599" s="541" t="str">
        <f t="shared" si="240"/>
        <v/>
      </c>
      <c r="R599" s="346" t="str">
        <f t="shared" si="230"/>
        <v>00000</v>
      </c>
      <c r="S599" s="344">
        <f t="shared" si="241"/>
        <v>0</v>
      </c>
      <c r="T599" s="345" t="str">
        <f t="shared" si="235"/>
        <v>000</v>
      </c>
      <c r="U599" s="345">
        <f t="shared" si="242"/>
        <v>0</v>
      </c>
      <c r="V599" s="345">
        <f t="shared" si="243"/>
        <v>0</v>
      </c>
      <c r="W599" s="345">
        <f t="shared" si="244"/>
        <v>0</v>
      </c>
      <c r="X599" s="345">
        <f t="shared" si="245"/>
        <v>0</v>
      </c>
      <c r="Y599" s="345">
        <f t="shared" si="246"/>
        <v>0</v>
      </c>
      <c r="Z599" s="345">
        <f>IF(Q599&lt;&gt;"",VLOOKUP(Y599,TIME!$R$21:$V$24,MATCH(FC_DATA!Q599,TIME!$R$20:$V$20,0),FALSE),H599)</f>
        <v>0</v>
      </c>
      <c r="AA599" s="345" t="str">
        <f>IFERROR(VLOOKUP(X599&amp;Z599,TIME!$A$12:$D$71,4,FALSE),"")</f>
        <v/>
      </c>
      <c r="AB599" s="592">
        <f t="shared" ca="1" si="231"/>
        <v>0</v>
      </c>
      <c r="AC599" s="593" t="e">
        <f ca="1">IF(ISBLANK(H599)=FALSE,IF(D599="BRAND.com",I599,IF(ISNA(VLOOKUP(_xlfn.CONCAT(X599,Z599),TIME!$M$40:$M$42,1,FALSE)),I599,VLOOKUP(_xlfn.CONCAT(D599,G599,H599),M_BUSAREA_FC!$AF$5:$AJ$10,5,FALSE)*HLOOKUP(_xlfn.CONCAT(F599,H599),ST_OVERVIEW!$G$99:$I$130,MATCH(_xlfn.CONCAT(D599,E599),ST_OVERVIEW!$F$99:$F$130,0),FALSE))),IF(D599="BRAND.com",VLOOKUP(_xlfn.CONCAT(C599,D599,E599,TIME!$F$1,Z599),HIS_SALES!$B$2:$V$4859,19,FALSE)*I599,VLOOKUP(_xlfn.CONCAT(D599,F599,G599),Q_BUSAREA_FC!$AE$5:$AI$12,5,FALSE)*HLOOKUP(_xlfn.CONCAT(FC_DATA!F599,FC_DATA!G599),LT_OVERVIEW!$I$99:$M$130,MATCH(_xlfn.CONCAT(D599,FC_DATA!E599),LT_OVERVIEW!$H$99:$H$130,0),FALSE)*IFERROR(VLOOKUP(_xlfn.CONCAT(C599,D599,E599,TIME!$F$1,Z599),HIS_SALES!$B$2:$V$4859,19,FALSE),0)))</f>
        <v>#N/A</v>
      </c>
      <c r="AD599" s="341">
        <f t="shared" ca="1" si="247"/>
        <v>0</v>
      </c>
      <c r="AE599" s="363" t="str">
        <f t="shared" si="248"/>
        <v/>
      </c>
      <c r="AF599" s="342" t="str">
        <f t="shared" si="249"/>
        <v/>
      </c>
      <c r="AG599" s="411" t="e">
        <f ca="1">VLOOKUP(_xlfn.CONCAT(U599,V599,W599,VLOOKUP(X599&amp;Y599,TIME!$L$27:$O$34,4,FALSE),Y599),HIS_SALES!$A$2:$R$5093,18,FALSE)</f>
        <v>#N/A</v>
      </c>
      <c r="AH599" s="412" t="e">
        <f ca="1">IFERROR(IF(AND(V599=V598,W599=W598),0.5*(AB599+AB598)*AG599,(VLOOKUP(_xlfn.CONCAT(U599,V599,W599,X599,VLOOKUP(Z599,TIME!$S$28:$T$39,2,FALSE)),FC_DATA!$R$2:$AB$5000,MATCH("GS_I_M",FC_DATA!$R$1:$AB$1,0),FALSE)+FC_DATA!AB599)*0.5*FC_DATA!AG599),NA())</f>
        <v>#N/A</v>
      </c>
      <c r="AI599" s="491" t="e">
        <f ca="1">IF(V599="PARTNER.com",AH599,IF(AND(V599=V598,W599=W598),(1-AVERAGE(AD598,AD599))*AH599,(1-AVERAGE(AD599,VLOOKUP(_xlfn.CONCAT(U599,V599,W599,X599,M_BRAND_FC!$F$6),FC_DATA!$R$2:$AD$5000,MATCH("DISCOUNT_%_M",FC_DATA!$R$1:$AD$1,0),FALSE)))*AH599))</f>
        <v>#N/A</v>
      </c>
      <c r="AJ599" s="412" t="str">
        <f t="shared" ca="1" si="232"/>
        <v/>
      </c>
      <c r="AK599" s="413" t="str">
        <f>IFERROR(AE599/(Q_BRAND_FC!$T$24+1),"")</f>
        <v/>
      </c>
      <c r="AL599" s="88" t="str">
        <f t="shared" ca="1" si="233"/>
        <v/>
      </c>
      <c r="AM599" s="414" t="str">
        <f t="shared" ca="1" si="234"/>
        <v/>
      </c>
      <c r="AN599" s="58">
        <f>IFERROR(IF($V599="BRAND.com",HLOOKUP($X599&amp;$Z599,NWC_FC_NOOS!$C$4:$Q$23,MATCH(W599,NWC_FC_NOOS!$B$4:$B$23,0),FALSE),0),0)</f>
        <v>0</v>
      </c>
      <c r="AO599" s="57">
        <f>IFERROR(IF($V599="BRAND.com",HLOOKUP($X599&amp;$Z599,NWC_FC_NOOS!$T$4:$AH$23,MATCH(W599,NWC_FC_NOOS!$S$4:$S$23,0),FALSE),0),0)</f>
        <v>0</v>
      </c>
      <c r="AP599" s="57">
        <f>IFERROR(IF($V599="BRAND.com",HLOOKUP($X599&amp;$Z599,NWC_FC_NOOS!$C$50:$U$69,MATCH(W599,NWC_FC_NOOS!$B$50:$B$69,0),FALSE),0),0)</f>
        <v>0</v>
      </c>
      <c r="AQ599" s="58">
        <f>IFERROR(IF($V599="BRAND.com",HLOOKUP($X599&amp;$Z599,'NWC_FC_NON-NOOS'!$C$4:$Q$23,MATCH(W599,'NWC_FC_NON-NOOS'!$B$4:$B$23,0),FALSE),0),0)</f>
        <v>0</v>
      </c>
      <c r="AR599" s="57">
        <f>IFERROR(IF($V599="BRAND.com",HLOOKUP($X599&amp;$Z599,'NWC_FC_NON-NOOS'!$T$4:$AH$23,MATCH(W599,'NWC_FC_NON-NOOS'!$S$4:$S$23,0),FALSE),0),0)</f>
        <v>0</v>
      </c>
      <c r="AS599" s="57">
        <f>IFERROR(IF($V599="BRAND.com",HLOOKUP($X599&amp;$Z599,'NWC_FC_NON-NOOS'!$C$50:$U$69,MATCH(W599,'NWC_FC_NON-NOOS'!$B$50:$B$69,0),FALSE),0),0)</f>
        <v>0</v>
      </c>
      <c r="AT599" s="57">
        <f t="shared" si="236"/>
        <v>0</v>
      </c>
      <c r="AU599" s="57">
        <f t="shared" si="237"/>
        <v>0</v>
      </c>
      <c r="AV599" s="58">
        <f>IFERROR(IF($V599="BRAND.com",HLOOKUP($X599&amp;$Z599,PLANNING_FC!$BB$27:$BP$46,MATCH($W599,PLANNING_FC!$BA$27:$BA$46,0),FALSE),0),0)</f>
        <v>0</v>
      </c>
      <c r="AW599" s="58">
        <f>IFERROR(IF($V599="BRAND.com",HLOOKUP($X599&amp;$Z599,PLANNING_FC!$BB$4:$BP$23,MATCH($W599,PLANNING_FC!$BA$4:$BA$23,0),FALSE),0),0)</f>
        <v>0</v>
      </c>
      <c r="AX599" s="58">
        <f>IFERROR(IF($V599="BRAND.com",HLOOKUP($X599&amp;$Z599,PLANNING_FC!$T$27:$AH$46,MATCH($W599,PLANNING_FC!$B$27:$B$46,0),FALSE),0),0)</f>
        <v>0</v>
      </c>
      <c r="AY599" s="58">
        <f>IFERROR(IF($V599="BRAND.com",HLOOKUP($X599&amp;$Z599,PLANNING_FC!$T$4:$AH$23,MATCH($W599,PLANNING_FC!$B$4:$B$23,0),FALSE),0),0)</f>
        <v>0</v>
      </c>
      <c r="AZ599" s="58">
        <f>IFERROR(IF($V599="BRAND.com",HLOOKUP($X599&amp;$Z599,PLANNING_FC!$DA$27:$DO$46,MATCH($W599,PLANNING_FC!$CZ$27:$CZ$46,0),FALSE),0),0)</f>
        <v>0</v>
      </c>
      <c r="BA599" s="58">
        <f>IFERROR(IF($V599="BRAND.com",HLOOKUP($X599&amp;$Z599,PLANNING_FC!$DA$4:$DO$23,MATCH($W599,PLANNING_FC!$CZ$4:$CZ$23,0),FALSE),0),0)</f>
        <v>0</v>
      </c>
      <c r="BB599" s="883" t="str">
        <f>IF(V599="BRAND.com",IFERROR(HLOOKUP(X599&amp;Z599,PLANNING_FC!$AK$4:$AY$23,MATCH(W599,PLANNING_FC!$AJ$4:$AJ$23,0),FALSE)*1000,""),"")</f>
        <v/>
      </c>
      <c r="BC599" s="883" t="str">
        <f>IF(V599="BRAND.com",IFERROR(HLOOKUP(X599&amp;Z599,PLANNING_FC!$AK$27:$AY$46,MATCH(W599,PLANNING_FC!$AJ$27:$AJ$46,0),FALSE)*1000,""),"")</f>
        <v/>
      </c>
    </row>
    <row r="600" spans="1:55" x14ac:dyDescent="0.25">
      <c r="A600" s="509"/>
      <c r="B600" s="509"/>
      <c r="C600" s="509"/>
      <c r="D600" s="509"/>
      <c r="E600" s="509"/>
      <c r="F600" s="509"/>
      <c r="G600" s="509"/>
      <c r="H600" s="509"/>
      <c r="I600" s="512"/>
      <c r="J600" s="513"/>
      <c r="K600" s="514"/>
      <c r="L600" s="515"/>
      <c r="M600" s="516"/>
      <c r="N600" s="56">
        <f t="shared" si="238"/>
        <v>0</v>
      </c>
      <c r="O600" s="57">
        <f t="shared" si="239"/>
        <v>0</v>
      </c>
      <c r="P600" s="57">
        <f ca="1">IFERROR(IF(ISBLANK(H600),SUMIFS($AC:$AC,$V:$V,V600,$W:$W,W600,$X:$X,X600,$Y:$Y,Y600)*J600/(1-J600)*VLOOKUP(_xlfn.CONCAT(C600,D600,E600,TIME!$M$12,Z600),HIS_SALES!$B$2:$W$4859,20,FALSE),AC600*J600/(1-J600)),0)</f>
        <v>0</v>
      </c>
      <c r="Q600" s="541" t="str">
        <f t="shared" si="240"/>
        <v/>
      </c>
      <c r="R600" s="346" t="str">
        <f t="shared" si="230"/>
        <v>00000</v>
      </c>
      <c r="S600" s="344">
        <f t="shared" si="241"/>
        <v>0</v>
      </c>
      <c r="T600" s="345" t="str">
        <f t="shared" si="235"/>
        <v>000</v>
      </c>
      <c r="U600" s="345">
        <f t="shared" si="242"/>
        <v>0</v>
      </c>
      <c r="V600" s="345">
        <f t="shared" si="243"/>
        <v>0</v>
      </c>
      <c r="W600" s="345">
        <f t="shared" si="244"/>
        <v>0</v>
      </c>
      <c r="X600" s="345">
        <f t="shared" si="245"/>
        <v>0</v>
      </c>
      <c r="Y600" s="345">
        <f t="shared" si="246"/>
        <v>0</v>
      </c>
      <c r="Z600" s="345">
        <f>IF(Q600&lt;&gt;"",VLOOKUP(Y600,TIME!$R$21:$V$24,MATCH(FC_DATA!Q600,TIME!$R$20:$V$20,0),FALSE),H600)</f>
        <v>0</v>
      </c>
      <c r="AA600" s="345" t="str">
        <f>IFERROR(VLOOKUP(X600&amp;Z600,TIME!$A$12:$D$71,4,FALSE),"")</f>
        <v/>
      </c>
      <c r="AB600" s="592">
        <f t="shared" ca="1" si="231"/>
        <v>0</v>
      </c>
      <c r="AC600" s="593" t="e">
        <f ca="1">IF(ISBLANK(H600)=FALSE,IF(D600="BRAND.com",I600,IF(ISNA(VLOOKUP(_xlfn.CONCAT(X600,Z600),TIME!$M$40:$M$42,1,FALSE)),I600,VLOOKUP(_xlfn.CONCAT(D600,G600,H600),M_BUSAREA_FC!$AF$5:$AJ$10,5,FALSE)*HLOOKUP(_xlfn.CONCAT(F600,H600),ST_OVERVIEW!$G$99:$I$130,MATCH(_xlfn.CONCAT(D600,E600),ST_OVERVIEW!$F$99:$F$130,0),FALSE))),IF(D600="BRAND.com",VLOOKUP(_xlfn.CONCAT(C600,D600,E600,TIME!$F$1,Z600),HIS_SALES!$B$2:$V$4859,19,FALSE)*I600,VLOOKUP(_xlfn.CONCAT(D600,F600,G600),Q_BUSAREA_FC!$AE$5:$AI$12,5,FALSE)*HLOOKUP(_xlfn.CONCAT(FC_DATA!F600,FC_DATA!G600),LT_OVERVIEW!$I$99:$M$130,MATCH(_xlfn.CONCAT(D600,FC_DATA!E600),LT_OVERVIEW!$H$99:$H$130,0),FALSE)*IFERROR(VLOOKUP(_xlfn.CONCAT(C600,D600,E600,TIME!$F$1,Z600),HIS_SALES!$B$2:$V$4859,19,FALSE),0)))</f>
        <v>#N/A</v>
      </c>
      <c r="AD600" s="341">
        <f t="shared" ca="1" si="247"/>
        <v>0</v>
      </c>
      <c r="AE600" s="363" t="str">
        <f t="shared" si="248"/>
        <v/>
      </c>
      <c r="AF600" s="342" t="str">
        <f t="shared" si="249"/>
        <v/>
      </c>
      <c r="AG600" s="411" t="e">
        <f ca="1">VLOOKUP(_xlfn.CONCAT(U600,V600,W600,VLOOKUP(X600&amp;Y600,TIME!$L$27:$O$34,4,FALSE),Y600),HIS_SALES!$A$2:$R$5093,18,FALSE)</f>
        <v>#N/A</v>
      </c>
      <c r="AH600" s="412" t="e">
        <f ca="1">IFERROR(IF(AND(V600=V599,W600=W599),0.5*(AB600+AB599)*AG600,(VLOOKUP(_xlfn.CONCAT(U600,V600,W600,X600,VLOOKUP(Z600,TIME!$S$28:$T$39,2,FALSE)),FC_DATA!$R$2:$AB$5000,MATCH("GS_I_M",FC_DATA!$R$1:$AB$1,0),FALSE)+FC_DATA!AB600)*0.5*FC_DATA!AG600),NA())</f>
        <v>#N/A</v>
      </c>
      <c r="AI600" s="491" t="e">
        <f ca="1">IF(V600="PARTNER.com",AH600,IF(AND(V600=V599,W600=W599),(1-AVERAGE(AD599,AD600))*AH600,(1-AVERAGE(AD600,VLOOKUP(_xlfn.CONCAT(U600,V600,W600,X600,M_BRAND_FC!$F$6),FC_DATA!$R$2:$AD$5000,MATCH("DISCOUNT_%_M",FC_DATA!$R$1:$AD$1,0),FALSE)))*AH600))</f>
        <v>#N/A</v>
      </c>
      <c r="AJ600" s="412" t="str">
        <f t="shared" ca="1" si="232"/>
        <v/>
      </c>
      <c r="AK600" s="413" t="str">
        <f>IFERROR(AE600/(Q_BRAND_FC!$T$24+1),"")</f>
        <v/>
      </c>
      <c r="AL600" s="88" t="str">
        <f t="shared" ca="1" si="233"/>
        <v/>
      </c>
      <c r="AM600" s="414" t="str">
        <f t="shared" ca="1" si="234"/>
        <v/>
      </c>
      <c r="AN600" s="58">
        <f>IFERROR(IF($V600="BRAND.com",HLOOKUP($X600&amp;$Z600,NWC_FC_NOOS!$C$4:$Q$23,MATCH(W600,NWC_FC_NOOS!$B$4:$B$23,0),FALSE),0),0)</f>
        <v>0</v>
      </c>
      <c r="AO600" s="57">
        <f>IFERROR(IF($V600="BRAND.com",HLOOKUP($X600&amp;$Z600,NWC_FC_NOOS!$T$4:$AH$23,MATCH(W600,NWC_FC_NOOS!$S$4:$S$23,0),FALSE),0),0)</f>
        <v>0</v>
      </c>
      <c r="AP600" s="57">
        <f>IFERROR(IF($V600="BRAND.com",HLOOKUP($X600&amp;$Z600,NWC_FC_NOOS!$C$50:$U$69,MATCH(W600,NWC_FC_NOOS!$B$50:$B$69,0),FALSE),0),0)</f>
        <v>0</v>
      </c>
      <c r="AQ600" s="58">
        <f>IFERROR(IF($V600="BRAND.com",HLOOKUP($X600&amp;$Z600,'NWC_FC_NON-NOOS'!$C$4:$Q$23,MATCH(W600,'NWC_FC_NON-NOOS'!$B$4:$B$23,0),FALSE),0),0)</f>
        <v>0</v>
      </c>
      <c r="AR600" s="57">
        <f>IFERROR(IF($V600="BRAND.com",HLOOKUP($X600&amp;$Z600,'NWC_FC_NON-NOOS'!$T$4:$AH$23,MATCH(W600,'NWC_FC_NON-NOOS'!$S$4:$S$23,0),FALSE),0),0)</f>
        <v>0</v>
      </c>
      <c r="AS600" s="57">
        <f>IFERROR(IF($V600="BRAND.com",HLOOKUP($X600&amp;$Z600,'NWC_FC_NON-NOOS'!$C$50:$U$69,MATCH(W600,'NWC_FC_NON-NOOS'!$B$50:$B$69,0),FALSE),0),0)</f>
        <v>0</v>
      </c>
      <c r="AT600" s="57">
        <f t="shared" si="236"/>
        <v>0</v>
      </c>
      <c r="AU600" s="57">
        <f t="shared" si="237"/>
        <v>0</v>
      </c>
      <c r="AV600" s="58">
        <f>IFERROR(IF($V600="BRAND.com",HLOOKUP($X600&amp;$Z600,PLANNING_FC!$BB$27:$BP$46,MATCH($W600,PLANNING_FC!$BA$27:$BA$46,0),FALSE),0),0)</f>
        <v>0</v>
      </c>
      <c r="AW600" s="58">
        <f>IFERROR(IF($V600="BRAND.com",HLOOKUP($X600&amp;$Z600,PLANNING_FC!$BB$4:$BP$23,MATCH($W600,PLANNING_FC!$BA$4:$BA$23,0),FALSE),0),0)</f>
        <v>0</v>
      </c>
      <c r="AX600" s="58">
        <f>IFERROR(IF($V600="BRAND.com",HLOOKUP($X600&amp;$Z600,PLANNING_FC!$T$27:$AH$46,MATCH($W600,PLANNING_FC!$B$27:$B$46,0),FALSE),0),0)</f>
        <v>0</v>
      </c>
      <c r="AY600" s="58">
        <f>IFERROR(IF($V600="BRAND.com",HLOOKUP($X600&amp;$Z600,PLANNING_FC!$T$4:$AH$23,MATCH($W600,PLANNING_FC!$B$4:$B$23,0),FALSE),0),0)</f>
        <v>0</v>
      </c>
      <c r="AZ600" s="58">
        <f>IFERROR(IF($V600="BRAND.com",HLOOKUP($X600&amp;$Z600,PLANNING_FC!$DA$27:$DO$46,MATCH($W600,PLANNING_FC!$CZ$27:$CZ$46,0),FALSE),0),0)</f>
        <v>0</v>
      </c>
      <c r="BA600" s="58">
        <f>IFERROR(IF($V600="BRAND.com",HLOOKUP($X600&amp;$Z600,PLANNING_FC!$DA$4:$DO$23,MATCH($W600,PLANNING_FC!$CZ$4:$CZ$23,0),FALSE),0),0)</f>
        <v>0</v>
      </c>
      <c r="BB600" s="883" t="str">
        <f>IF(V600="BRAND.com",IFERROR(HLOOKUP(X600&amp;Z600,PLANNING_FC!$AK$4:$AY$23,MATCH(W600,PLANNING_FC!$AJ$4:$AJ$23,0),FALSE)*1000,""),"")</f>
        <v/>
      </c>
      <c r="BC600" s="883" t="str">
        <f>IF(V600="BRAND.com",IFERROR(HLOOKUP(X600&amp;Z600,PLANNING_FC!$AK$27:$AY$46,MATCH(W600,PLANNING_FC!$AJ$27:$AJ$46,0),FALSE)*1000,""),"")</f>
        <v/>
      </c>
    </row>
    <row r="601" spans="1:55" x14ac:dyDescent="0.25">
      <c r="A601" s="509"/>
      <c r="B601" s="509"/>
      <c r="C601" s="509"/>
      <c r="D601" s="509"/>
      <c r="E601" s="509"/>
      <c r="F601" s="509"/>
      <c r="G601" s="509"/>
      <c r="H601" s="509"/>
      <c r="I601" s="512"/>
      <c r="J601" s="513"/>
      <c r="K601" s="514"/>
      <c r="L601" s="515"/>
      <c r="M601" s="516"/>
      <c r="N601" s="56">
        <f t="shared" si="238"/>
        <v>0</v>
      </c>
      <c r="O601" s="57">
        <f t="shared" si="239"/>
        <v>0</v>
      </c>
      <c r="P601" s="57">
        <f ca="1">IFERROR(IF(ISBLANK(H601),SUMIFS($AC:$AC,$V:$V,V601,$W:$W,W601,$X:$X,X601,$Y:$Y,Y601)*J601/(1-J601)*VLOOKUP(_xlfn.CONCAT(C601,D601,E601,TIME!$M$12,Z601),HIS_SALES!$B$2:$W$4859,20,FALSE),AC601*J601/(1-J601)),0)</f>
        <v>0</v>
      </c>
      <c r="Q601" s="541" t="str">
        <f t="shared" si="240"/>
        <v/>
      </c>
      <c r="R601" s="346" t="str">
        <f t="shared" si="230"/>
        <v>00000</v>
      </c>
      <c r="S601" s="344">
        <f t="shared" si="241"/>
        <v>0</v>
      </c>
      <c r="T601" s="345" t="str">
        <f t="shared" si="235"/>
        <v>000</v>
      </c>
      <c r="U601" s="345">
        <f t="shared" si="242"/>
        <v>0</v>
      </c>
      <c r="V601" s="345">
        <f t="shared" si="243"/>
        <v>0</v>
      </c>
      <c r="W601" s="345">
        <f t="shared" si="244"/>
        <v>0</v>
      </c>
      <c r="X601" s="345">
        <f t="shared" si="245"/>
        <v>0</v>
      </c>
      <c r="Y601" s="345">
        <f t="shared" si="246"/>
        <v>0</v>
      </c>
      <c r="Z601" s="345">
        <f>IF(Q601&lt;&gt;"",VLOOKUP(Y601,TIME!$R$21:$V$24,MATCH(FC_DATA!Q601,TIME!$R$20:$V$20,0),FALSE),H601)</f>
        <v>0</v>
      </c>
      <c r="AA601" s="345" t="str">
        <f>IFERROR(VLOOKUP(X601&amp;Z601,TIME!$A$12:$D$71,4,FALSE),"")</f>
        <v/>
      </c>
      <c r="AB601" s="592">
        <f t="shared" ca="1" si="231"/>
        <v>0</v>
      </c>
      <c r="AC601" s="593" t="e">
        <f ca="1">IF(ISBLANK(H601)=FALSE,IF(D601="BRAND.com",I601,IF(ISNA(VLOOKUP(_xlfn.CONCAT(X601,Z601),TIME!$M$40:$M$42,1,FALSE)),I601,VLOOKUP(_xlfn.CONCAT(D601,G601,H601),M_BUSAREA_FC!$AF$5:$AJ$10,5,FALSE)*HLOOKUP(_xlfn.CONCAT(F601,H601),ST_OVERVIEW!$G$99:$I$130,MATCH(_xlfn.CONCAT(D601,E601),ST_OVERVIEW!$F$99:$F$130,0),FALSE))),IF(D601="BRAND.com",VLOOKUP(_xlfn.CONCAT(C601,D601,E601,TIME!$F$1,Z601),HIS_SALES!$B$2:$V$4859,19,FALSE)*I601,VLOOKUP(_xlfn.CONCAT(D601,F601,G601),Q_BUSAREA_FC!$AE$5:$AI$12,5,FALSE)*HLOOKUP(_xlfn.CONCAT(FC_DATA!F601,FC_DATA!G601),LT_OVERVIEW!$I$99:$M$130,MATCH(_xlfn.CONCAT(D601,FC_DATA!E601),LT_OVERVIEW!$H$99:$H$130,0),FALSE)*IFERROR(VLOOKUP(_xlfn.CONCAT(C601,D601,E601,TIME!$F$1,Z601),HIS_SALES!$B$2:$V$4859,19,FALSE),0)))</f>
        <v>#N/A</v>
      </c>
      <c r="AD601" s="341">
        <f t="shared" ca="1" si="247"/>
        <v>0</v>
      </c>
      <c r="AE601" s="363" t="str">
        <f t="shared" si="248"/>
        <v/>
      </c>
      <c r="AF601" s="342" t="str">
        <f t="shared" si="249"/>
        <v/>
      </c>
      <c r="AG601" s="411" t="e">
        <f ca="1">VLOOKUP(_xlfn.CONCAT(U601,V601,W601,VLOOKUP(X601&amp;Y601,TIME!$L$27:$O$34,4,FALSE),Y601),HIS_SALES!$A$2:$R$5093,18,FALSE)</f>
        <v>#N/A</v>
      </c>
      <c r="AH601" s="412" t="e">
        <f ca="1">IFERROR(IF(AND(V601=V600,W601=W600),0.5*(AB601+AB600)*AG601,(VLOOKUP(_xlfn.CONCAT(U601,V601,W601,X601,VLOOKUP(Z601,TIME!$S$28:$T$39,2,FALSE)),FC_DATA!$R$2:$AB$5000,MATCH("GS_I_M",FC_DATA!$R$1:$AB$1,0),FALSE)+FC_DATA!AB601)*0.5*FC_DATA!AG601),NA())</f>
        <v>#N/A</v>
      </c>
      <c r="AI601" s="491" t="e">
        <f ca="1">IF(V601="PARTNER.com",AH601,IF(AND(V601=V600,W601=W600),(1-AVERAGE(AD600,AD601))*AH601,(1-AVERAGE(AD601,VLOOKUP(_xlfn.CONCAT(U601,V601,W601,X601,M_BRAND_FC!$F$6),FC_DATA!$R$2:$AD$5000,MATCH("DISCOUNT_%_M",FC_DATA!$R$1:$AD$1,0),FALSE)))*AH601))</f>
        <v>#N/A</v>
      </c>
      <c r="AJ601" s="412" t="str">
        <f t="shared" ca="1" si="232"/>
        <v/>
      </c>
      <c r="AK601" s="413" t="str">
        <f>IFERROR(AE601/(Q_BRAND_FC!$T$24+1),"")</f>
        <v/>
      </c>
      <c r="AL601" s="88" t="str">
        <f t="shared" ca="1" si="233"/>
        <v/>
      </c>
      <c r="AM601" s="414" t="str">
        <f t="shared" ca="1" si="234"/>
        <v/>
      </c>
      <c r="AN601" s="58">
        <f>IFERROR(IF($V601="BRAND.com",HLOOKUP($X601&amp;$Z601,NWC_FC_NOOS!$C$4:$Q$23,MATCH(W601,NWC_FC_NOOS!$B$4:$B$23,0),FALSE),0),0)</f>
        <v>0</v>
      </c>
      <c r="AO601" s="57">
        <f>IFERROR(IF($V601="BRAND.com",HLOOKUP($X601&amp;$Z601,NWC_FC_NOOS!$T$4:$AH$23,MATCH(W601,NWC_FC_NOOS!$S$4:$S$23,0),FALSE),0),0)</f>
        <v>0</v>
      </c>
      <c r="AP601" s="57">
        <f>IFERROR(IF($V601="BRAND.com",HLOOKUP($X601&amp;$Z601,NWC_FC_NOOS!$C$50:$U$69,MATCH(W601,NWC_FC_NOOS!$B$50:$B$69,0),FALSE),0),0)</f>
        <v>0</v>
      </c>
      <c r="AQ601" s="58">
        <f>IFERROR(IF($V601="BRAND.com",HLOOKUP($X601&amp;$Z601,'NWC_FC_NON-NOOS'!$C$4:$Q$23,MATCH(W601,'NWC_FC_NON-NOOS'!$B$4:$B$23,0),FALSE),0),0)</f>
        <v>0</v>
      </c>
      <c r="AR601" s="57">
        <f>IFERROR(IF($V601="BRAND.com",HLOOKUP($X601&amp;$Z601,'NWC_FC_NON-NOOS'!$T$4:$AH$23,MATCH(W601,'NWC_FC_NON-NOOS'!$S$4:$S$23,0),FALSE),0),0)</f>
        <v>0</v>
      </c>
      <c r="AS601" s="57">
        <f>IFERROR(IF($V601="BRAND.com",HLOOKUP($X601&amp;$Z601,'NWC_FC_NON-NOOS'!$C$50:$U$69,MATCH(W601,'NWC_FC_NON-NOOS'!$B$50:$B$69,0),FALSE),0),0)</f>
        <v>0</v>
      </c>
      <c r="AT601" s="57">
        <f t="shared" si="236"/>
        <v>0</v>
      </c>
      <c r="AU601" s="57">
        <f t="shared" si="237"/>
        <v>0</v>
      </c>
      <c r="AV601" s="58">
        <f>IFERROR(IF($V601="BRAND.com",HLOOKUP($X601&amp;$Z601,PLANNING_FC!$BB$27:$BP$46,MATCH($W601,PLANNING_FC!$BA$27:$BA$46,0),FALSE),0),0)</f>
        <v>0</v>
      </c>
      <c r="AW601" s="58">
        <f>IFERROR(IF($V601="BRAND.com",HLOOKUP($X601&amp;$Z601,PLANNING_FC!$BB$4:$BP$23,MATCH($W601,PLANNING_FC!$BA$4:$BA$23,0),FALSE),0),0)</f>
        <v>0</v>
      </c>
      <c r="AX601" s="58">
        <f>IFERROR(IF($V601="BRAND.com",HLOOKUP($X601&amp;$Z601,PLANNING_FC!$T$27:$AH$46,MATCH($W601,PLANNING_FC!$B$27:$B$46,0),FALSE),0),0)</f>
        <v>0</v>
      </c>
      <c r="AY601" s="58">
        <f>IFERROR(IF($V601="BRAND.com",HLOOKUP($X601&amp;$Z601,PLANNING_FC!$T$4:$AH$23,MATCH($W601,PLANNING_FC!$B$4:$B$23,0),FALSE),0),0)</f>
        <v>0</v>
      </c>
      <c r="AZ601" s="58">
        <f>IFERROR(IF($V601="BRAND.com",HLOOKUP($X601&amp;$Z601,PLANNING_FC!$DA$27:$DO$46,MATCH($W601,PLANNING_FC!$CZ$27:$CZ$46,0),FALSE),0),0)</f>
        <v>0</v>
      </c>
      <c r="BA601" s="58">
        <f>IFERROR(IF($V601="BRAND.com",HLOOKUP($X601&amp;$Z601,PLANNING_FC!$DA$4:$DO$23,MATCH($W601,PLANNING_FC!$CZ$4:$CZ$23,0),FALSE),0),0)</f>
        <v>0</v>
      </c>
      <c r="BB601" s="883" t="str">
        <f>IF(V601="BRAND.com",IFERROR(HLOOKUP(X601&amp;Z601,PLANNING_FC!$AK$4:$AY$23,MATCH(W601,PLANNING_FC!$AJ$4:$AJ$23,0),FALSE)*1000,""),"")</f>
        <v/>
      </c>
      <c r="BC601" s="883" t="str">
        <f>IF(V601="BRAND.com",IFERROR(HLOOKUP(X601&amp;Z601,PLANNING_FC!$AK$27:$AY$46,MATCH(W601,PLANNING_FC!$AJ$27:$AJ$46,0),FALSE)*1000,""),"")</f>
        <v/>
      </c>
    </row>
    <row r="602" spans="1:55" x14ac:dyDescent="0.25">
      <c r="A602" s="509"/>
      <c r="B602" s="509"/>
      <c r="C602" s="509"/>
      <c r="D602" s="509"/>
      <c r="E602" s="509"/>
      <c r="F602" s="509"/>
      <c r="G602" s="509"/>
      <c r="H602" s="509"/>
      <c r="I602" s="512"/>
      <c r="J602" s="513"/>
      <c r="K602" s="514"/>
      <c r="L602" s="515"/>
      <c r="M602" s="516"/>
      <c r="N602" s="56">
        <f t="shared" si="238"/>
        <v>0</v>
      </c>
      <c r="O602" s="57">
        <f t="shared" si="239"/>
        <v>0</v>
      </c>
      <c r="P602" s="57">
        <f ca="1">IFERROR(IF(ISBLANK(H602),SUMIFS($AC:$AC,$V:$V,V602,$W:$W,W602,$X:$X,X602,$Y:$Y,Y602)*J602/(1-J602)*VLOOKUP(_xlfn.CONCAT(C602,D602,E602,TIME!$M$12,Z602),HIS_SALES!$B$2:$W$4859,20,FALSE),AC602*J602/(1-J602)),0)</f>
        <v>0</v>
      </c>
      <c r="Q602" s="541" t="str">
        <f t="shared" si="240"/>
        <v/>
      </c>
      <c r="R602" s="346" t="str">
        <f t="shared" si="230"/>
        <v>00000</v>
      </c>
      <c r="S602" s="344">
        <f t="shared" si="241"/>
        <v>0</v>
      </c>
      <c r="T602" s="345" t="str">
        <f t="shared" si="235"/>
        <v>000</v>
      </c>
      <c r="U602" s="345">
        <f t="shared" si="242"/>
        <v>0</v>
      </c>
      <c r="V602" s="345">
        <f t="shared" si="243"/>
        <v>0</v>
      </c>
      <c r="W602" s="345">
        <f t="shared" si="244"/>
        <v>0</v>
      </c>
      <c r="X602" s="345">
        <f t="shared" si="245"/>
        <v>0</v>
      </c>
      <c r="Y602" s="345">
        <f t="shared" si="246"/>
        <v>0</v>
      </c>
      <c r="Z602" s="345">
        <f>IF(Q602&lt;&gt;"",VLOOKUP(Y602,TIME!$R$21:$V$24,MATCH(FC_DATA!Q602,TIME!$R$20:$V$20,0),FALSE),H602)</f>
        <v>0</v>
      </c>
      <c r="AA602" s="345" t="str">
        <f>IFERROR(VLOOKUP(X602&amp;Z602,TIME!$A$12:$D$71,4,FALSE),"")</f>
        <v/>
      </c>
      <c r="AB602" s="592">
        <f t="shared" ca="1" si="231"/>
        <v>0</v>
      </c>
      <c r="AC602" s="593" t="e">
        <f ca="1">IF(ISBLANK(H602)=FALSE,IF(D602="BRAND.com",I602,IF(ISNA(VLOOKUP(_xlfn.CONCAT(X602,Z602),TIME!$M$40:$M$42,1,FALSE)),I602,VLOOKUP(_xlfn.CONCAT(D602,G602,H602),M_BUSAREA_FC!$AF$5:$AJ$10,5,FALSE)*HLOOKUP(_xlfn.CONCAT(F602,H602),ST_OVERVIEW!$G$99:$I$130,MATCH(_xlfn.CONCAT(D602,E602),ST_OVERVIEW!$F$99:$F$130,0),FALSE))),IF(D602="BRAND.com",VLOOKUP(_xlfn.CONCAT(C602,D602,E602,TIME!$F$1,Z602),HIS_SALES!$B$2:$V$4859,19,FALSE)*I602,VLOOKUP(_xlfn.CONCAT(D602,F602,G602),Q_BUSAREA_FC!$AE$5:$AI$12,5,FALSE)*HLOOKUP(_xlfn.CONCAT(FC_DATA!F602,FC_DATA!G602),LT_OVERVIEW!$I$99:$M$130,MATCH(_xlfn.CONCAT(D602,FC_DATA!E602),LT_OVERVIEW!$H$99:$H$130,0),FALSE)*IFERROR(VLOOKUP(_xlfn.CONCAT(C602,D602,E602,TIME!$F$1,Z602),HIS_SALES!$B$2:$V$4859,19,FALSE),0)))</f>
        <v>#N/A</v>
      </c>
      <c r="AD602" s="341">
        <f t="shared" ca="1" si="247"/>
        <v>0</v>
      </c>
      <c r="AE602" s="363" t="str">
        <f t="shared" si="248"/>
        <v/>
      </c>
      <c r="AF602" s="342" t="str">
        <f t="shared" si="249"/>
        <v/>
      </c>
      <c r="AG602" s="411" t="e">
        <f ca="1">VLOOKUP(_xlfn.CONCAT(U602,V602,W602,VLOOKUP(X602&amp;Y602,TIME!$L$27:$O$34,4,FALSE),Y602),HIS_SALES!$A$2:$R$5093,18,FALSE)</f>
        <v>#N/A</v>
      </c>
      <c r="AH602" s="412" t="e">
        <f ca="1">IFERROR(IF(AND(V602=V601,W602=W601),0.5*(AB602+AB601)*AG602,(VLOOKUP(_xlfn.CONCAT(U602,V602,W602,X602,VLOOKUP(Z602,TIME!$S$28:$T$39,2,FALSE)),FC_DATA!$R$2:$AB$5000,MATCH("GS_I_M",FC_DATA!$R$1:$AB$1,0),FALSE)+FC_DATA!AB602)*0.5*FC_DATA!AG602),NA())</f>
        <v>#N/A</v>
      </c>
      <c r="AI602" s="491" t="e">
        <f ca="1">IF(V602="PARTNER.com",AH602,IF(AND(V602=V601,W602=W601),(1-AVERAGE(AD601,AD602))*AH602,(1-AVERAGE(AD602,VLOOKUP(_xlfn.CONCAT(U602,V602,W602,X602,M_BRAND_FC!$F$6),FC_DATA!$R$2:$AD$5000,MATCH("DISCOUNT_%_M",FC_DATA!$R$1:$AD$1,0),FALSE)))*AH602))</f>
        <v>#N/A</v>
      </c>
      <c r="AJ602" s="412" t="str">
        <f t="shared" ca="1" si="232"/>
        <v/>
      </c>
      <c r="AK602" s="413" t="str">
        <f>IFERROR(AE602/(Q_BRAND_FC!$T$24+1),"")</f>
        <v/>
      </c>
      <c r="AL602" s="88" t="str">
        <f t="shared" ca="1" si="233"/>
        <v/>
      </c>
      <c r="AM602" s="414" t="str">
        <f t="shared" ca="1" si="234"/>
        <v/>
      </c>
      <c r="AN602" s="58">
        <f>IFERROR(IF($V602="BRAND.com",HLOOKUP($X602&amp;$Z602,NWC_FC_NOOS!$C$4:$Q$23,MATCH(W602,NWC_FC_NOOS!$B$4:$B$23,0),FALSE),0),0)</f>
        <v>0</v>
      </c>
      <c r="AO602" s="57">
        <f>IFERROR(IF($V602="BRAND.com",HLOOKUP($X602&amp;$Z602,NWC_FC_NOOS!$T$4:$AH$23,MATCH(W602,NWC_FC_NOOS!$S$4:$S$23,0),FALSE),0),0)</f>
        <v>0</v>
      </c>
      <c r="AP602" s="57">
        <f>IFERROR(IF($V602="BRAND.com",HLOOKUP($X602&amp;$Z602,NWC_FC_NOOS!$C$50:$U$69,MATCH(W602,NWC_FC_NOOS!$B$50:$B$69,0),FALSE),0),0)</f>
        <v>0</v>
      </c>
      <c r="AQ602" s="58">
        <f>IFERROR(IF($V602="BRAND.com",HLOOKUP($X602&amp;$Z602,'NWC_FC_NON-NOOS'!$C$4:$Q$23,MATCH(W602,'NWC_FC_NON-NOOS'!$B$4:$B$23,0),FALSE),0),0)</f>
        <v>0</v>
      </c>
      <c r="AR602" s="57">
        <f>IFERROR(IF($V602="BRAND.com",HLOOKUP($X602&amp;$Z602,'NWC_FC_NON-NOOS'!$T$4:$AH$23,MATCH(W602,'NWC_FC_NON-NOOS'!$S$4:$S$23,0),FALSE),0),0)</f>
        <v>0</v>
      </c>
      <c r="AS602" s="57">
        <f>IFERROR(IF($V602="BRAND.com",HLOOKUP($X602&amp;$Z602,'NWC_FC_NON-NOOS'!$C$50:$U$69,MATCH(W602,'NWC_FC_NON-NOOS'!$B$50:$B$69,0),FALSE),0),0)</f>
        <v>0</v>
      </c>
      <c r="AT602" s="57">
        <f t="shared" si="236"/>
        <v>0</v>
      </c>
      <c r="AU602" s="57">
        <f t="shared" si="237"/>
        <v>0</v>
      </c>
      <c r="AV602" s="58">
        <f>IFERROR(IF($V602="BRAND.com",HLOOKUP($X602&amp;$Z602,PLANNING_FC!$BB$27:$BP$46,MATCH($W602,PLANNING_FC!$BA$27:$BA$46,0),FALSE),0),0)</f>
        <v>0</v>
      </c>
      <c r="AW602" s="58">
        <f>IFERROR(IF($V602="BRAND.com",HLOOKUP($X602&amp;$Z602,PLANNING_FC!$BB$4:$BP$23,MATCH($W602,PLANNING_FC!$BA$4:$BA$23,0),FALSE),0),0)</f>
        <v>0</v>
      </c>
      <c r="AX602" s="58">
        <f>IFERROR(IF($V602="BRAND.com",HLOOKUP($X602&amp;$Z602,PLANNING_FC!$T$27:$AH$46,MATCH($W602,PLANNING_FC!$B$27:$B$46,0),FALSE),0),0)</f>
        <v>0</v>
      </c>
      <c r="AY602" s="58">
        <f>IFERROR(IF($V602="BRAND.com",HLOOKUP($X602&amp;$Z602,PLANNING_FC!$T$4:$AH$23,MATCH($W602,PLANNING_FC!$B$4:$B$23,0),FALSE),0),0)</f>
        <v>0</v>
      </c>
      <c r="AZ602" s="58">
        <f>IFERROR(IF($V602="BRAND.com",HLOOKUP($X602&amp;$Z602,PLANNING_FC!$DA$27:$DO$46,MATCH($W602,PLANNING_FC!$CZ$27:$CZ$46,0),FALSE),0),0)</f>
        <v>0</v>
      </c>
      <c r="BA602" s="58">
        <f>IFERROR(IF($V602="BRAND.com",HLOOKUP($X602&amp;$Z602,PLANNING_FC!$DA$4:$DO$23,MATCH($W602,PLANNING_FC!$CZ$4:$CZ$23,0),FALSE),0),0)</f>
        <v>0</v>
      </c>
      <c r="BB602" s="883" t="str">
        <f>IF(V602="BRAND.com",IFERROR(HLOOKUP(X602&amp;Z602,PLANNING_FC!$AK$4:$AY$23,MATCH(W602,PLANNING_FC!$AJ$4:$AJ$23,0),FALSE)*1000,""),"")</f>
        <v/>
      </c>
      <c r="BC602" s="883" t="str">
        <f>IF(V602="BRAND.com",IFERROR(HLOOKUP(X602&amp;Z602,PLANNING_FC!$AK$27:$AY$46,MATCH(W602,PLANNING_FC!$AJ$27:$AJ$46,0),FALSE)*1000,""),"")</f>
        <v/>
      </c>
    </row>
    <row r="603" spans="1:55" x14ac:dyDescent="0.25">
      <c r="A603" s="509"/>
      <c r="B603" s="509"/>
      <c r="C603" s="509"/>
      <c r="D603" s="509"/>
      <c r="E603" s="509"/>
      <c r="F603" s="509"/>
      <c r="G603" s="509"/>
      <c r="H603" s="509"/>
      <c r="I603" s="512"/>
      <c r="J603" s="513"/>
      <c r="K603" s="514"/>
      <c r="L603" s="515"/>
      <c r="M603" s="516"/>
      <c r="N603" s="56">
        <f t="shared" si="238"/>
        <v>0</v>
      </c>
      <c r="O603" s="57">
        <f t="shared" si="239"/>
        <v>0</v>
      </c>
      <c r="P603" s="57">
        <f ca="1">IFERROR(IF(ISBLANK(H603),SUMIFS($AC:$AC,$V:$V,V603,$W:$W,W603,$X:$X,X603,$Y:$Y,Y603)*J603/(1-J603)*VLOOKUP(_xlfn.CONCAT(C603,D603,E603,TIME!$M$12,Z603),HIS_SALES!$B$2:$W$4859,20,FALSE),AC603*J603/(1-J603)),0)</f>
        <v>0</v>
      </c>
      <c r="Q603" s="541" t="str">
        <f t="shared" si="240"/>
        <v/>
      </c>
      <c r="R603" s="346" t="str">
        <f t="shared" si="230"/>
        <v>00000</v>
      </c>
      <c r="S603" s="344">
        <f t="shared" si="241"/>
        <v>0</v>
      </c>
      <c r="T603" s="345" t="str">
        <f t="shared" si="235"/>
        <v>000</v>
      </c>
      <c r="U603" s="345">
        <f t="shared" si="242"/>
        <v>0</v>
      </c>
      <c r="V603" s="345">
        <f t="shared" si="243"/>
        <v>0</v>
      </c>
      <c r="W603" s="345">
        <f t="shared" si="244"/>
        <v>0</v>
      </c>
      <c r="X603" s="345">
        <f t="shared" si="245"/>
        <v>0</v>
      </c>
      <c r="Y603" s="345">
        <f t="shared" si="246"/>
        <v>0</v>
      </c>
      <c r="Z603" s="345">
        <f>IF(Q603&lt;&gt;"",VLOOKUP(Y603,TIME!$R$21:$V$24,MATCH(FC_DATA!Q603,TIME!$R$20:$V$20,0),FALSE),H603)</f>
        <v>0</v>
      </c>
      <c r="AA603" s="345" t="str">
        <f>IFERROR(VLOOKUP(X603&amp;Z603,TIME!$A$12:$D$71,4,FALSE),"")</f>
        <v/>
      </c>
      <c r="AB603" s="592">
        <f t="shared" ca="1" si="231"/>
        <v>0</v>
      </c>
      <c r="AC603" s="593" t="e">
        <f ca="1">IF(ISBLANK(H603)=FALSE,IF(D603="BRAND.com",I603,IF(ISNA(VLOOKUP(_xlfn.CONCAT(X603,Z603),TIME!$M$40:$M$42,1,FALSE)),I603,VLOOKUP(_xlfn.CONCAT(D603,G603,H603),M_BUSAREA_FC!$AF$5:$AJ$10,5,FALSE)*HLOOKUP(_xlfn.CONCAT(F603,H603),ST_OVERVIEW!$G$99:$I$130,MATCH(_xlfn.CONCAT(D603,E603),ST_OVERVIEW!$F$99:$F$130,0),FALSE))),IF(D603="BRAND.com",VLOOKUP(_xlfn.CONCAT(C603,D603,E603,TIME!$F$1,Z603),HIS_SALES!$B$2:$V$4859,19,FALSE)*I603,VLOOKUP(_xlfn.CONCAT(D603,F603,G603),Q_BUSAREA_FC!$AE$5:$AI$12,5,FALSE)*HLOOKUP(_xlfn.CONCAT(FC_DATA!F603,FC_DATA!G603),LT_OVERVIEW!$I$99:$M$130,MATCH(_xlfn.CONCAT(D603,FC_DATA!E603),LT_OVERVIEW!$H$99:$H$130,0),FALSE)*IFERROR(VLOOKUP(_xlfn.CONCAT(C603,D603,E603,TIME!$F$1,Z603),HIS_SALES!$B$2:$V$4859,19,FALSE),0)))</f>
        <v>#N/A</v>
      </c>
      <c r="AD603" s="341">
        <f t="shared" ca="1" si="247"/>
        <v>0</v>
      </c>
      <c r="AE603" s="363" t="str">
        <f t="shared" si="248"/>
        <v/>
      </c>
      <c r="AF603" s="342" t="str">
        <f t="shared" si="249"/>
        <v/>
      </c>
      <c r="AG603" s="411" t="e">
        <f ca="1">VLOOKUP(_xlfn.CONCAT(U603,V603,W603,VLOOKUP(X603&amp;Y603,TIME!$L$27:$O$34,4,FALSE),Y603),HIS_SALES!$A$2:$R$5093,18,FALSE)</f>
        <v>#N/A</v>
      </c>
      <c r="AH603" s="412" t="e">
        <f ca="1">IFERROR(IF(AND(V603=V602,W603=W602),0.5*(AB603+AB602)*AG603,(VLOOKUP(_xlfn.CONCAT(U603,V603,W603,X603,VLOOKUP(Z603,TIME!$S$28:$T$39,2,FALSE)),FC_DATA!$R$2:$AB$5000,MATCH("GS_I_M",FC_DATA!$R$1:$AB$1,0),FALSE)+FC_DATA!AB603)*0.5*FC_DATA!AG603),NA())</f>
        <v>#N/A</v>
      </c>
      <c r="AI603" s="491" t="e">
        <f ca="1">IF(V603="PARTNER.com",AH603,IF(AND(V603=V602,W603=W602),(1-AVERAGE(AD602,AD603))*AH603,(1-AVERAGE(AD603,VLOOKUP(_xlfn.CONCAT(U603,V603,W603,X603,M_BRAND_FC!$F$6),FC_DATA!$R$2:$AD$5000,MATCH("DISCOUNT_%_M",FC_DATA!$R$1:$AD$1,0),FALSE)))*AH603))</f>
        <v>#N/A</v>
      </c>
      <c r="AJ603" s="412" t="str">
        <f t="shared" ca="1" si="232"/>
        <v/>
      </c>
      <c r="AK603" s="413" t="str">
        <f>IFERROR(AE603/(Q_BRAND_FC!$T$24+1),"")</f>
        <v/>
      </c>
      <c r="AL603" s="88" t="str">
        <f t="shared" ca="1" si="233"/>
        <v/>
      </c>
      <c r="AM603" s="414" t="str">
        <f t="shared" ca="1" si="234"/>
        <v/>
      </c>
      <c r="AN603" s="58">
        <f>IFERROR(IF($V603="BRAND.com",HLOOKUP($X603&amp;$Z603,NWC_FC_NOOS!$C$4:$Q$23,MATCH(W603,NWC_FC_NOOS!$B$4:$B$23,0),FALSE),0),0)</f>
        <v>0</v>
      </c>
      <c r="AO603" s="57">
        <f>IFERROR(IF($V603="BRAND.com",HLOOKUP($X603&amp;$Z603,NWC_FC_NOOS!$T$4:$AH$23,MATCH(W603,NWC_FC_NOOS!$S$4:$S$23,0),FALSE),0),0)</f>
        <v>0</v>
      </c>
      <c r="AP603" s="57">
        <f>IFERROR(IF($V603="BRAND.com",HLOOKUP($X603&amp;$Z603,NWC_FC_NOOS!$C$50:$U$69,MATCH(W603,NWC_FC_NOOS!$B$50:$B$69,0),FALSE),0),0)</f>
        <v>0</v>
      </c>
      <c r="AQ603" s="58">
        <f>IFERROR(IF($V603="BRAND.com",HLOOKUP($X603&amp;$Z603,'NWC_FC_NON-NOOS'!$C$4:$Q$23,MATCH(W603,'NWC_FC_NON-NOOS'!$B$4:$B$23,0),FALSE),0),0)</f>
        <v>0</v>
      </c>
      <c r="AR603" s="57">
        <f>IFERROR(IF($V603="BRAND.com",HLOOKUP($X603&amp;$Z603,'NWC_FC_NON-NOOS'!$T$4:$AH$23,MATCH(W603,'NWC_FC_NON-NOOS'!$S$4:$S$23,0),FALSE),0),0)</f>
        <v>0</v>
      </c>
      <c r="AS603" s="57">
        <f>IFERROR(IF($V603="BRAND.com",HLOOKUP($X603&amp;$Z603,'NWC_FC_NON-NOOS'!$C$50:$U$69,MATCH(W603,'NWC_FC_NON-NOOS'!$B$50:$B$69,0),FALSE),0),0)</f>
        <v>0</v>
      </c>
      <c r="AT603" s="57">
        <f t="shared" si="236"/>
        <v>0</v>
      </c>
      <c r="AU603" s="57">
        <f t="shared" si="237"/>
        <v>0</v>
      </c>
      <c r="AV603" s="58">
        <f>IFERROR(IF($V603="BRAND.com",HLOOKUP($X603&amp;$Z603,PLANNING_FC!$BB$27:$BP$46,MATCH($W603,PLANNING_FC!$BA$27:$BA$46,0),FALSE),0),0)</f>
        <v>0</v>
      </c>
      <c r="AW603" s="58">
        <f>IFERROR(IF($V603="BRAND.com",HLOOKUP($X603&amp;$Z603,PLANNING_FC!$BB$4:$BP$23,MATCH($W603,PLANNING_FC!$BA$4:$BA$23,0),FALSE),0),0)</f>
        <v>0</v>
      </c>
      <c r="AX603" s="58">
        <f>IFERROR(IF($V603="BRAND.com",HLOOKUP($X603&amp;$Z603,PLANNING_FC!$T$27:$AH$46,MATCH($W603,PLANNING_FC!$B$27:$B$46,0),FALSE),0),0)</f>
        <v>0</v>
      </c>
      <c r="AY603" s="58">
        <f>IFERROR(IF($V603="BRAND.com",HLOOKUP($X603&amp;$Z603,PLANNING_FC!$T$4:$AH$23,MATCH($W603,PLANNING_FC!$B$4:$B$23,0),FALSE),0),0)</f>
        <v>0</v>
      </c>
      <c r="AZ603" s="58">
        <f>IFERROR(IF($V603="BRAND.com",HLOOKUP($X603&amp;$Z603,PLANNING_FC!$DA$27:$DO$46,MATCH($W603,PLANNING_FC!$CZ$27:$CZ$46,0),FALSE),0),0)</f>
        <v>0</v>
      </c>
      <c r="BA603" s="58">
        <f>IFERROR(IF($V603="BRAND.com",HLOOKUP($X603&amp;$Z603,PLANNING_FC!$DA$4:$DO$23,MATCH($W603,PLANNING_FC!$CZ$4:$CZ$23,0),FALSE),0),0)</f>
        <v>0</v>
      </c>
      <c r="BB603" s="883" t="str">
        <f>IF(V603="BRAND.com",IFERROR(HLOOKUP(X603&amp;Z603,PLANNING_FC!$AK$4:$AY$23,MATCH(W603,PLANNING_FC!$AJ$4:$AJ$23,0),FALSE)*1000,""),"")</f>
        <v/>
      </c>
      <c r="BC603" s="883" t="str">
        <f>IF(V603="BRAND.com",IFERROR(HLOOKUP(X603&amp;Z603,PLANNING_FC!$AK$27:$AY$46,MATCH(W603,PLANNING_FC!$AJ$27:$AJ$46,0),FALSE)*1000,""),"")</f>
        <v/>
      </c>
    </row>
    <row r="604" spans="1:55" x14ac:dyDescent="0.25">
      <c r="A604" s="509"/>
      <c r="B604" s="509"/>
      <c r="C604" s="509"/>
      <c r="D604" s="509"/>
      <c r="E604" s="509"/>
      <c r="F604" s="509"/>
      <c r="G604" s="509"/>
      <c r="H604" s="509"/>
      <c r="I604" s="512"/>
      <c r="J604" s="513"/>
      <c r="K604" s="514"/>
      <c r="L604" s="515"/>
      <c r="M604" s="516"/>
      <c r="N604" s="56">
        <f t="shared" si="238"/>
        <v>0</v>
      </c>
      <c r="O604" s="57">
        <f t="shared" si="239"/>
        <v>0</v>
      </c>
      <c r="P604" s="57">
        <f ca="1">IFERROR(IF(ISBLANK(H604),SUMIFS($AC:$AC,$V:$V,V604,$W:$W,W604,$X:$X,X604,$Y:$Y,Y604)*J604/(1-J604)*VLOOKUP(_xlfn.CONCAT(C604,D604,E604,TIME!$M$12,Z604),HIS_SALES!$B$2:$W$4859,20,FALSE),AC604*J604/(1-J604)),0)</f>
        <v>0</v>
      </c>
      <c r="Q604" s="541" t="str">
        <f t="shared" si="240"/>
        <v/>
      </c>
      <c r="R604" s="346" t="str">
        <f t="shared" si="230"/>
        <v>00000</v>
      </c>
      <c r="S604" s="344">
        <f t="shared" si="241"/>
        <v>0</v>
      </c>
      <c r="T604" s="345" t="str">
        <f t="shared" si="235"/>
        <v>000</v>
      </c>
      <c r="U604" s="345">
        <f t="shared" si="242"/>
        <v>0</v>
      </c>
      <c r="V604" s="345">
        <f t="shared" si="243"/>
        <v>0</v>
      </c>
      <c r="W604" s="345">
        <f t="shared" si="244"/>
        <v>0</v>
      </c>
      <c r="X604" s="345">
        <f t="shared" si="245"/>
        <v>0</v>
      </c>
      <c r="Y604" s="345">
        <f t="shared" si="246"/>
        <v>0</v>
      </c>
      <c r="Z604" s="345">
        <f>IF(Q604&lt;&gt;"",VLOOKUP(Y604,TIME!$R$21:$V$24,MATCH(FC_DATA!Q604,TIME!$R$20:$V$20,0),FALSE),H604)</f>
        <v>0</v>
      </c>
      <c r="AA604" s="345" t="str">
        <f>IFERROR(VLOOKUP(X604&amp;Z604,TIME!$A$12:$D$71,4,FALSE),"")</f>
        <v/>
      </c>
      <c r="AB604" s="592">
        <f t="shared" ca="1" si="231"/>
        <v>0</v>
      </c>
      <c r="AC604" s="593" t="e">
        <f ca="1">IF(ISBLANK(H604)=FALSE,IF(D604="BRAND.com",I604,IF(ISNA(VLOOKUP(_xlfn.CONCAT(X604,Z604),TIME!$M$40:$M$42,1,FALSE)),I604,VLOOKUP(_xlfn.CONCAT(D604,G604,H604),M_BUSAREA_FC!$AF$5:$AJ$10,5,FALSE)*HLOOKUP(_xlfn.CONCAT(F604,H604),ST_OVERVIEW!$G$99:$I$130,MATCH(_xlfn.CONCAT(D604,E604),ST_OVERVIEW!$F$99:$F$130,0),FALSE))),IF(D604="BRAND.com",VLOOKUP(_xlfn.CONCAT(C604,D604,E604,TIME!$F$1,Z604),HIS_SALES!$B$2:$V$4859,19,FALSE)*I604,VLOOKUP(_xlfn.CONCAT(D604,F604,G604),Q_BUSAREA_FC!$AE$5:$AI$12,5,FALSE)*HLOOKUP(_xlfn.CONCAT(FC_DATA!F604,FC_DATA!G604),LT_OVERVIEW!$I$99:$M$130,MATCH(_xlfn.CONCAT(D604,FC_DATA!E604),LT_OVERVIEW!$H$99:$H$130,0),FALSE)*IFERROR(VLOOKUP(_xlfn.CONCAT(C604,D604,E604,TIME!$F$1,Z604),HIS_SALES!$B$2:$V$4859,19,FALSE),0)))</f>
        <v>#N/A</v>
      </c>
      <c r="AD604" s="341">
        <f t="shared" ca="1" si="247"/>
        <v>0</v>
      </c>
      <c r="AE604" s="363" t="str">
        <f t="shared" si="248"/>
        <v/>
      </c>
      <c r="AF604" s="342" t="str">
        <f t="shared" si="249"/>
        <v/>
      </c>
      <c r="AG604" s="411" t="e">
        <f ca="1">VLOOKUP(_xlfn.CONCAT(U604,V604,W604,VLOOKUP(X604&amp;Y604,TIME!$L$27:$O$34,4,FALSE),Y604),HIS_SALES!$A$2:$R$5093,18,FALSE)</f>
        <v>#N/A</v>
      </c>
      <c r="AH604" s="412" t="e">
        <f ca="1">IFERROR(IF(AND(V604=V603,W604=W603),0.5*(AB604+AB603)*AG604,(VLOOKUP(_xlfn.CONCAT(U604,V604,W604,X604,VLOOKUP(Z604,TIME!$S$28:$T$39,2,FALSE)),FC_DATA!$R$2:$AB$5000,MATCH("GS_I_M",FC_DATA!$R$1:$AB$1,0),FALSE)+FC_DATA!AB604)*0.5*FC_DATA!AG604),NA())</f>
        <v>#N/A</v>
      </c>
      <c r="AI604" s="491" t="e">
        <f ca="1">IF(V604="PARTNER.com",AH604,IF(AND(V604=V603,W604=W603),(1-AVERAGE(AD603,AD604))*AH604,(1-AVERAGE(AD604,VLOOKUP(_xlfn.CONCAT(U604,V604,W604,X604,M_BRAND_FC!$F$6),FC_DATA!$R$2:$AD$5000,MATCH("DISCOUNT_%_M",FC_DATA!$R$1:$AD$1,0),FALSE)))*AH604))</f>
        <v>#N/A</v>
      </c>
      <c r="AJ604" s="412" t="str">
        <f t="shared" ca="1" si="232"/>
        <v/>
      </c>
      <c r="AK604" s="413" t="str">
        <f>IFERROR(AE604/(Q_BRAND_FC!$T$24+1),"")</f>
        <v/>
      </c>
      <c r="AL604" s="88" t="str">
        <f t="shared" ca="1" si="233"/>
        <v/>
      </c>
      <c r="AM604" s="414" t="str">
        <f t="shared" ca="1" si="234"/>
        <v/>
      </c>
      <c r="AN604" s="58">
        <f>IFERROR(IF($V604="BRAND.com",HLOOKUP($X604&amp;$Z604,NWC_FC_NOOS!$C$4:$Q$23,MATCH(W604,NWC_FC_NOOS!$B$4:$B$23,0),FALSE),0),0)</f>
        <v>0</v>
      </c>
      <c r="AO604" s="57">
        <f>IFERROR(IF($V604="BRAND.com",HLOOKUP($X604&amp;$Z604,NWC_FC_NOOS!$T$4:$AH$23,MATCH(W604,NWC_FC_NOOS!$S$4:$S$23,0),FALSE),0),0)</f>
        <v>0</v>
      </c>
      <c r="AP604" s="57">
        <f>IFERROR(IF($V604="BRAND.com",HLOOKUP($X604&amp;$Z604,NWC_FC_NOOS!$C$50:$U$69,MATCH(W604,NWC_FC_NOOS!$B$50:$B$69,0),FALSE),0),0)</f>
        <v>0</v>
      </c>
      <c r="AQ604" s="58">
        <f>IFERROR(IF($V604="BRAND.com",HLOOKUP($X604&amp;$Z604,'NWC_FC_NON-NOOS'!$C$4:$Q$23,MATCH(W604,'NWC_FC_NON-NOOS'!$B$4:$B$23,0),FALSE),0),0)</f>
        <v>0</v>
      </c>
      <c r="AR604" s="57">
        <f>IFERROR(IF($V604="BRAND.com",HLOOKUP($X604&amp;$Z604,'NWC_FC_NON-NOOS'!$T$4:$AH$23,MATCH(W604,'NWC_FC_NON-NOOS'!$S$4:$S$23,0),FALSE),0),0)</f>
        <v>0</v>
      </c>
      <c r="AS604" s="57">
        <f>IFERROR(IF($V604="BRAND.com",HLOOKUP($X604&amp;$Z604,'NWC_FC_NON-NOOS'!$C$50:$U$69,MATCH(W604,'NWC_FC_NON-NOOS'!$B$50:$B$69,0),FALSE),0),0)</f>
        <v>0</v>
      </c>
      <c r="AT604" s="57">
        <f t="shared" si="236"/>
        <v>0</v>
      </c>
      <c r="AU604" s="57">
        <f t="shared" si="237"/>
        <v>0</v>
      </c>
      <c r="AV604" s="58">
        <f>IFERROR(IF($V604="BRAND.com",HLOOKUP($X604&amp;$Z604,PLANNING_FC!$BB$27:$BP$46,MATCH($W604,PLANNING_FC!$BA$27:$BA$46,0),FALSE),0),0)</f>
        <v>0</v>
      </c>
      <c r="AW604" s="58">
        <f>IFERROR(IF($V604="BRAND.com",HLOOKUP($X604&amp;$Z604,PLANNING_FC!$BB$4:$BP$23,MATCH($W604,PLANNING_FC!$BA$4:$BA$23,0),FALSE),0),0)</f>
        <v>0</v>
      </c>
      <c r="AX604" s="58">
        <f>IFERROR(IF($V604="BRAND.com",HLOOKUP($X604&amp;$Z604,PLANNING_FC!$T$27:$AH$46,MATCH($W604,PLANNING_FC!$B$27:$B$46,0),FALSE),0),0)</f>
        <v>0</v>
      </c>
      <c r="AY604" s="58">
        <f>IFERROR(IF($V604="BRAND.com",HLOOKUP($X604&amp;$Z604,PLANNING_FC!$T$4:$AH$23,MATCH($W604,PLANNING_FC!$B$4:$B$23,0),FALSE),0),0)</f>
        <v>0</v>
      </c>
      <c r="AZ604" s="58">
        <f>IFERROR(IF($V604="BRAND.com",HLOOKUP($X604&amp;$Z604,PLANNING_FC!$DA$27:$DO$46,MATCH($W604,PLANNING_FC!$CZ$27:$CZ$46,0),FALSE),0),0)</f>
        <v>0</v>
      </c>
      <c r="BA604" s="58">
        <f>IFERROR(IF($V604="BRAND.com",HLOOKUP($X604&amp;$Z604,PLANNING_FC!$DA$4:$DO$23,MATCH($W604,PLANNING_FC!$CZ$4:$CZ$23,0),FALSE),0),0)</f>
        <v>0</v>
      </c>
      <c r="BB604" s="883" t="str">
        <f>IF(V604="BRAND.com",IFERROR(HLOOKUP(X604&amp;Z604,PLANNING_FC!$AK$4:$AY$23,MATCH(W604,PLANNING_FC!$AJ$4:$AJ$23,0),FALSE)*1000,""),"")</f>
        <v/>
      </c>
      <c r="BC604" s="883" t="str">
        <f>IF(V604="BRAND.com",IFERROR(HLOOKUP(X604&amp;Z604,PLANNING_FC!$AK$27:$AY$46,MATCH(W604,PLANNING_FC!$AJ$27:$AJ$46,0),FALSE)*1000,""),"")</f>
        <v/>
      </c>
    </row>
    <row r="605" spans="1:55" x14ac:dyDescent="0.25">
      <c r="A605" s="509"/>
      <c r="B605" s="509"/>
      <c r="C605" s="509"/>
      <c r="D605" s="509"/>
      <c r="E605" s="509"/>
      <c r="F605" s="509"/>
      <c r="G605" s="509"/>
      <c r="H605" s="509"/>
      <c r="I605" s="512"/>
      <c r="J605" s="513"/>
      <c r="K605" s="514"/>
      <c r="L605" s="515"/>
      <c r="M605" s="516"/>
      <c r="N605" s="56">
        <f t="shared" si="238"/>
        <v>0</v>
      </c>
      <c r="O605" s="57">
        <f t="shared" si="239"/>
        <v>0</v>
      </c>
      <c r="P605" s="57">
        <f ca="1">IFERROR(IF(ISBLANK(H605),SUMIFS($AC:$AC,$V:$V,V605,$W:$W,W605,$X:$X,X605,$Y:$Y,Y605)*J605/(1-J605)*VLOOKUP(_xlfn.CONCAT(C605,D605,E605,TIME!$M$12,Z605),HIS_SALES!$B$2:$W$4859,20,FALSE),AC605*J605/(1-J605)),0)</f>
        <v>0</v>
      </c>
      <c r="Q605" s="541" t="str">
        <f t="shared" si="240"/>
        <v/>
      </c>
      <c r="R605" s="346" t="str">
        <f t="shared" si="230"/>
        <v>00000</v>
      </c>
      <c r="S605" s="344">
        <f t="shared" si="241"/>
        <v>0</v>
      </c>
      <c r="T605" s="345" t="str">
        <f t="shared" si="235"/>
        <v>000</v>
      </c>
      <c r="U605" s="345">
        <f t="shared" si="242"/>
        <v>0</v>
      </c>
      <c r="V605" s="345">
        <f t="shared" si="243"/>
        <v>0</v>
      </c>
      <c r="W605" s="345">
        <f t="shared" si="244"/>
        <v>0</v>
      </c>
      <c r="X605" s="345">
        <f t="shared" si="245"/>
        <v>0</v>
      </c>
      <c r="Y605" s="345">
        <f t="shared" si="246"/>
        <v>0</v>
      </c>
      <c r="Z605" s="345">
        <f>IF(Q605&lt;&gt;"",VLOOKUP(Y605,TIME!$R$21:$V$24,MATCH(FC_DATA!Q605,TIME!$R$20:$V$20,0),FALSE),H605)</f>
        <v>0</v>
      </c>
      <c r="AA605" s="345" t="str">
        <f>IFERROR(VLOOKUP(X605&amp;Z605,TIME!$A$12:$D$71,4,FALSE),"")</f>
        <v/>
      </c>
      <c r="AB605" s="592">
        <f t="shared" ca="1" si="231"/>
        <v>0</v>
      </c>
      <c r="AC605" s="593" t="e">
        <f ca="1">IF(ISBLANK(H605)=FALSE,IF(D605="BRAND.com",I605,IF(ISNA(VLOOKUP(_xlfn.CONCAT(X605,Z605),TIME!$M$40:$M$42,1,FALSE)),I605,VLOOKUP(_xlfn.CONCAT(D605,G605,H605),M_BUSAREA_FC!$AF$5:$AJ$10,5,FALSE)*HLOOKUP(_xlfn.CONCAT(F605,H605),ST_OVERVIEW!$G$99:$I$130,MATCH(_xlfn.CONCAT(D605,E605),ST_OVERVIEW!$F$99:$F$130,0),FALSE))),IF(D605="BRAND.com",VLOOKUP(_xlfn.CONCAT(C605,D605,E605,TIME!$F$1,Z605),HIS_SALES!$B$2:$V$4859,19,FALSE)*I605,VLOOKUP(_xlfn.CONCAT(D605,F605,G605),Q_BUSAREA_FC!$AE$5:$AI$12,5,FALSE)*HLOOKUP(_xlfn.CONCAT(FC_DATA!F605,FC_DATA!G605),LT_OVERVIEW!$I$99:$M$130,MATCH(_xlfn.CONCAT(D605,FC_DATA!E605),LT_OVERVIEW!$H$99:$H$130,0),FALSE)*IFERROR(VLOOKUP(_xlfn.CONCAT(C605,D605,E605,TIME!$F$1,Z605),HIS_SALES!$B$2:$V$4859,19,FALSE),0)))</f>
        <v>#N/A</v>
      </c>
      <c r="AD605" s="341">
        <f t="shared" ca="1" si="247"/>
        <v>0</v>
      </c>
      <c r="AE605" s="363" t="str">
        <f t="shared" si="248"/>
        <v/>
      </c>
      <c r="AF605" s="342" t="str">
        <f t="shared" si="249"/>
        <v/>
      </c>
      <c r="AG605" s="411" t="e">
        <f ca="1">VLOOKUP(_xlfn.CONCAT(U605,V605,W605,VLOOKUP(X605&amp;Y605,TIME!$L$27:$O$34,4,FALSE),Y605),HIS_SALES!$A$2:$R$5093,18,FALSE)</f>
        <v>#N/A</v>
      </c>
      <c r="AH605" s="412" t="e">
        <f ca="1">IFERROR(IF(AND(V605=V604,W605=W604),0.5*(AB605+AB604)*AG605,(VLOOKUP(_xlfn.CONCAT(U605,V605,W605,X605,VLOOKUP(Z605,TIME!$S$28:$T$39,2,FALSE)),FC_DATA!$R$2:$AB$5000,MATCH("GS_I_M",FC_DATA!$R$1:$AB$1,0),FALSE)+FC_DATA!AB605)*0.5*FC_DATA!AG605),NA())</f>
        <v>#N/A</v>
      </c>
      <c r="AI605" s="491" t="e">
        <f ca="1">IF(V605="PARTNER.com",AH605,IF(AND(V605=V604,W605=W604),(1-AVERAGE(AD604,AD605))*AH605,(1-AVERAGE(AD605,VLOOKUP(_xlfn.CONCAT(U605,V605,W605,X605,M_BRAND_FC!$F$6),FC_DATA!$R$2:$AD$5000,MATCH("DISCOUNT_%_M",FC_DATA!$R$1:$AD$1,0),FALSE)))*AH605))</f>
        <v>#N/A</v>
      </c>
      <c r="AJ605" s="412" t="str">
        <f t="shared" ca="1" si="232"/>
        <v/>
      </c>
      <c r="AK605" s="413" t="str">
        <f>IFERROR(AE605/(Q_BRAND_FC!$T$24+1),"")</f>
        <v/>
      </c>
      <c r="AL605" s="88" t="str">
        <f t="shared" ca="1" si="233"/>
        <v/>
      </c>
      <c r="AM605" s="414" t="str">
        <f t="shared" ca="1" si="234"/>
        <v/>
      </c>
      <c r="AN605" s="58">
        <f>IFERROR(IF($V605="BRAND.com",HLOOKUP($X605&amp;$Z605,NWC_FC_NOOS!$C$4:$Q$23,MATCH(W605,NWC_FC_NOOS!$B$4:$B$23,0),FALSE),0),0)</f>
        <v>0</v>
      </c>
      <c r="AO605" s="57">
        <f>IFERROR(IF($V605="BRAND.com",HLOOKUP($X605&amp;$Z605,NWC_FC_NOOS!$T$4:$AH$23,MATCH(W605,NWC_FC_NOOS!$S$4:$S$23,0),FALSE),0),0)</f>
        <v>0</v>
      </c>
      <c r="AP605" s="57">
        <f>IFERROR(IF($V605="BRAND.com",HLOOKUP($X605&amp;$Z605,NWC_FC_NOOS!$C$50:$U$69,MATCH(W605,NWC_FC_NOOS!$B$50:$B$69,0),FALSE),0),0)</f>
        <v>0</v>
      </c>
      <c r="AQ605" s="58">
        <f>IFERROR(IF($V605="BRAND.com",HLOOKUP($X605&amp;$Z605,'NWC_FC_NON-NOOS'!$C$4:$Q$23,MATCH(W605,'NWC_FC_NON-NOOS'!$B$4:$B$23,0),FALSE),0),0)</f>
        <v>0</v>
      </c>
      <c r="AR605" s="57">
        <f>IFERROR(IF($V605="BRAND.com",HLOOKUP($X605&amp;$Z605,'NWC_FC_NON-NOOS'!$T$4:$AH$23,MATCH(W605,'NWC_FC_NON-NOOS'!$S$4:$S$23,0),FALSE),0),0)</f>
        <v>0</v>
      </c>
      <c r="AS605" s="57">
        <f>IFERROR(IF($V605="BRAND.com",HLOOKUP($X605&amp;$Z605,'NWC_FC_NON-NOOS'!$C$50:$U$69,MATCH(W605,'NWC_FC_NON-NOOS'!$B$50:$B$69,0),FALSE),0),0)</f>
        <v>0</v>
      </c>
      <c r="AT605" s="57">
        <f t="shared" si="236"/>
        <v>0</v>
      </c>
      <c r="AU605" s="57">
        <f t="shared" si="237"/>
        <v>0</v>
      </c>
      <c r="AV605" s="58">
        <f>IFERROR(IF($V605="BRAND.com",HLOOKUP($X605&amp;$Z605,PLANNING_FC!$BB$27:$BP$46,MATCH($W605,PLANNING_FC!$BA$27:$BA$46,0),FALSE),0),0)</f>
        <v>0</v>
      </c>
      <c r="AW605" s="58">
        <f>IFERROR(IF($V605="BRAND.com",HLOOKUP($X605&amp;$Z605,PLANNING_FC!$BB$4:$BP$23,MATCH($W605,PLANNING_FC!$BA$4:$BA$23,0),FALSE),0),0)</f>
        <v>0</v>
      </c>
      <c r="AX605" s="58">
        <f>IFERROR(IF($V605="BRAND.com",HLOOKUP($X605&amp;$Z605,PLANNING_FC!$T$27:$AH$46,MATCH($W605,PLANNING_FC!$B$27:$B$46,0),FALSE),0),0)</f>
        <v>0</v>
      </c>
      <c r="AY605" s="58">
        <f>IFERROR(IF($V605="BRAND.com",HLOOKUP($X605&amp;$Z605,PLANNING_FC!$T$4:$AH$23,MATCH($W605,PLANNING_FC!$B$4:$B$23,0),FALSE),0),0)</f>
        <v>0</v>
      </c>
      <c r="AZ605" s="58">
        <f>IFERROR(IF($V605="BRAND.com",HLOOKUP($X605&amp;$Z605,PLANNING_FC!$DA$27:$DO$46,MATCH($W605,PLANNING_FC!$CZ$27:$CZ$46,0),FALSE),0),0)</f>
        <v>0</v>
      </c>
      <c r="BA605" s="58">
        <f>IFERROR(IF($V605="BRAND.com",HLOOKUP($X605&amp;$Z605,PLANNING_FC!$DA$4:$DO$23,MATCH($W605,PLANNING_FC!$CZ$4:$CZ$23,0),FALSE),0),0)</f>
        <v>0</v>
      </c>
      <c r="BB605" s="883" t="str">
        <f>IF(V605="BRAND.com",IFERROR(HLOOKUP(X605&amp;Z605,PLANNING_FC!$AK$4:$AY$23,MATCH(W605,PLANNING_FC!$AJ$4:$AJ$23,0),FALSE)*1000,""),"")</f>
        <v/>
      </c>
      <c r="BC605" s="883" t="str">
        <f>IF(V605="BRAND.com",IFERROR(HLOOKUP(X605&amp;Z605,PLANNING_FC!$AK$27:$AY$46,MATCH(W605,PLANNING_FC!$AJ$27:$AJ$46,0),FALSE)*1000,""),"")</f>
        <v/>
      </c>
    </row>
    <row r="606" spans="1:55" x14ac:dyDescent="0.25">
      <c r="A606" s="509"/>
      <c r="B606" s="509"/>
      <c r="C606" s="509"/>
      <c r="D606" s="509"/>
      <c r="E606" s="509"/>
      <c r="F606" s="509"/>
      <c r="G606" s="509"/>
      <c r="H606" s="509"/>
      <c r="I606" s="512"/>
      <c r="J606" s="513"/>
      <c r="K606" s="514"/>
      <c r="L606" s="515"/>
      <c r="M606" s="516"/>
      <c r="N606" s="56">
        <f t="shared" si="238"/>
        <v>0</v>
      </c>
      <c r="O606" s="57">
        <f t="shared" si="239"/>
        <v>0</v>
      </c>
      <c r="P606" s="57">
        <f ca="1">IFERROR(IF(ISBLANK(H606),SUMIFS($AC:$AC,$V:$V,V606,$W:$W,W606,$X:$X,X606,$Y:$Y,Y606)*J606/(1-J606)*VLOOKUP(_xlfn.CONCAT(C606,D606,E606,TIME!$M$12,Z606),HIS_SALES!$B$2:$W$4859,20,FALSE),AC606*J606/(1-J606)),0)</f>
        <v>0</v>
      </c>
      <c r="Q606" s="541" t="str">
        <f t="shared" si="240"/>
        <v/>
      </c>
      <c r="R606" s="346" t="str">
        <f t="shared" si="230"/>
        <v>00000</v>
      </c>
      <c r="S606" s="344">
        <f t="shared" si="241"/>
        <v>0</v>
      </c>
      <c r="T606" s="345" t="str">
        <f t="shared" si="235"/>
        <v>000</v>
      </c>
      <c r="U606" s="345">
        <f t="shared" si="242"/>
        <v>0</v>
      </c>
      <c r="V606" s="345">
        <f t="shared" si="243"/>
        <v>0</v>
      </c>
      <c r="W606" s="345">
        <f t="shared" si="244"/>
        <v>0</v>
      </c>
      <c r="X606" s="345">
        <f t="shared" si="245"/>
        <v>0</v>
      </c>
      <c r="Y606" s="345">
        <f t="shared" si="246"/>
        <v>0</v>
      </c>
      <c r="Z606" s="345">
        <f>IF(Q606&lt;&gt;"",VLOOKUP(Y606,TIME!$R$21:$V$24,MATCH(FC_DATA!Q606,TIME!$R$20:$V$20,0),FALSE),H606)</f>
        <v>0</v>
      </c>
      <c r="AA606" s="345" t="str">
        <f>IFERROR(VLOOKUP(X606&amp;Z606,TIME!$A$12:$D$71,4,FALSE),"")</f>
        <v/>
      </c>
      <c r="AB606" s="592">
        <f t="shared" ca="1" si="231"/>
        <v>0</v>
      </c>
      <c r="AC606" s="593" t="e">
        <f ca="1">IF(ISBLANK(H606)=FALSE,IF(D606="BRAND.com",I606,IF(ISNA(VLOOKUP(_xlfn.CONCAT(X606,Z606),TIME!$M$40:$M$42,1,FALSE)),I606,VLOOKUP(_xlfn.CONCAT(D606,G606,H606),M_BUSAREA_FC!$AF$5:$AJ$10,5,FALSE)*HLOOKUP(_xlfn.CONCAT(F606,H606),ST_OVERVIEW!$G$99:$I$130,MATCH(_xlfn.CONCAT(D606,E606),ST_OVERVIEW!$F$99:$F$130,0),FALSE))),IF(D606="BRAND.com",VLOOKUP(_xlfn.CONCAT(C606,D606,E606,TIME!$F$1,Z606),HIS_SALES!$B$2:$V$4859,19,FALSE)*I606,VLOOKUP(_xlfn.CONCAT(D606,F606,G606),Q_BUSAREA_FC!$AE$5:$AI$12,5,FALSE)*HLOOKUP(_xlfn.CONCAT(FC_DATA!F606,FC_DATA!G606),LT_OVERVIEW!$I$99:$M$130,MATCH(_xlfn.CONCAT(D606,FC_DATA!E606),LT_OVERVIEW!$H$99:$H$130,0),FALSE)*IFERROR(VLOOKUP(_xlfn.CONCAT(C606,D606,E606,TIME!$F$1,Z606),HIS_SALES!$B$2:$V$4859,19,FALSE),0)))</f>
        <v>#N/A</v>
      </c>
      <c r="AD606" s="341">
        <f t="shared" ca="1" si="247"/>
        <v>0</v>
      </c>
      <c r="AE606" s="363" t="str">
        <f t="shared" si="248"/>
        <v/>
      </c>
      <c r="AF606" s="342" t="str">
        <f t="shared" si="249"/>
        <v/>
      </c>
      <c r="AG606" s="411" t="e">
        <f ca="1">VLOOKUP(_xlfn.CONCAT(U606,V606,W606,VLOOKUP(X606&amp;Y606,TIME!$L$27:$O$34,4,FALSE),Y606),HIS_SALES!$A$2:$R$5093,18,FALSE)</f>
        <v>#N/A</v>
      </c>
      <c r="AH606" s="412" t="e">
        <f ca="1">IFERROR(IF(AND(V606=V605,W606=W605),0.5*(AB606+AB605)*AG606,(VLOOKUP(_xlfn.CONCAT(U606,V606,W606,X606,VLOOKUP(Z606,TIME!$S$28:$T$39,2,FALSE)),FC_DATA!$R$2:$AB$5000,MATCH("GS_I_M",FC_DATA!$R$1:$AB$1,0),FALSE)+FC_DATA!AB606)*0.5*FC_DATA!AG606),NA())</f>
        <v>#N/A</v>
      </c>
      <c r="AI606" s="491" t="e">
        <f ca="1">IF(V606="PARTNER.com",AH606,IF(AND(V606=V605,W606=W605),(1-AVERAGE(AD605,AD606))*AH606,(1-AVERAGE(AD606,VLOOKUP(_xlfn.CONCAT(U606,V606,W606,X606,M_BRAND_FC!$F$6),FC_DATA!$R$2:$AD$5000,MATCH("DISCOUNT_%_M",FC_DATA!$R$1:$AD$1,0),FALSE)))*AH606))</f>
        <v>#N/A</v>
      </c>
      <c r="AJ606" s="412" t="str">
        <f t="shared" ca="1" si="232"/>
        <v/>
      </c>
      <c r="AK606" s="413" t="str">
        <f>IFERROR(AE606/(Q_BRAND_FC!$T$24+1),"")</f>
        <v/>
      </c>
      <c r="AL606" s="88" t="str">
        <f t="shared" ca="1" si="233"/>
        <v/>
      </c>
      <c r="AM606" s="414" t="str">
        <f t="shared" ca="1" si="234"/>
        <v/>
      </c>
      <c r="AN606" s="58">
        <f>IFERROR(IF($V606="BRAND.com",HLOOKUP($X606&amp;$Z606,NWC_FC_NOOS!$C$4:$Q$23,MATCH(W606,NWC_FC_NOOS!$B$4:$B$23,0),FALSE),0),0)</f>
        <v>0</v>
      </c>
      <c r="AO606" s="57">
        <f>IFERROR(IF($V606="BRAND.com",HLOOKUP($X606&amp;$Z606,NWC_FC_NOOS!$T$4:$AH$23,MATCH(W606,NWC_FC_NOOS!$S$4:$S$23,0),FALSE),0),0)</f>
        <v>0</v>
      </c>
      <c r="AP606" s="57">
        <f>IFERROR(IF($V606="BRAND.com",HLOOKUP($X606&amp;$Z606,NWC_FC_NOOS!$C$50:$U$69,MATCH(W606,NWC_FC_NOOS!$B$50:$B$69,0),FALSE),0),0)</f>
        <v>0</v>
      </c>
      <c r="AQ606" s="58">
        <f>IFERROR(IF($V606="BRAND.com",HLOOKUP($X606&amp;$Z606,'NWC_FC_NON-NOOS'!$C$4:$Q$23,MATCH(W606,'NWC_FC_NON-NOOS'!$B$4:$B$23,0),FALSE),0),0)</f>
        <v>0</v>
      </c>
      <c r="AR606" s="57">
        <f>IFERROR(IF($V606="BRAND.com",HLOOKUP($X606&amp;$Z606,'NWC_FC_NON-NOOS'!$T$4:$AH$23,MATCH(W606,'NWC_FC_NON-NOOS'!$S$4:$S$23,0),FALSE),0),0)</f>
        <v>0</v>
      </c>
      <c r="AS606" s="57">
        <f>IFERROR(IF($V606="BRAND.com",HLOOKUP($X606&amp;$Z606,'NWC_FC_NON-NOOS'!$C$50:$U$69,MATCH(W606,'NWC_FC_NON-NOOS'!$B$50:$B$69,0),FALSE),0),0)</f>
        <v>0</v>
      </c>
      <c r="AT606" s="57">
        <f t="shared" si="236"/>
        <v>0</v>
      </c>
      <c r="AU606" s="57">
        <f t="shared" si="237"/>
        <v>0</v>
      </c>
      <c r="AV606" s="58">
        <f>IFERROR(IF($V606="BRAND.com",HLOOKUP($X606&amp;$Z606,PLANNING_FC!$BB$27:$BP$46,MATCH($W606,PLANNING_FC!$BA$27:$BA$46,0),FALSE),0),0)</f>
        <v>0</v>
      </c>
      <c r="AW606" s="58">
        <f>IFERROR(IF($V606="BRAND.com",HLOOKUP($X606&amp;$Z606,PLANNING_FC!$BB$4:$BP$23,MATCH($W606,PLANNING_FC!$BA$4:$BA$23,0),FALSE),0),0)</f>
        <v>0</v>
      </c>
      <c r="AX606" s="58">
        <f>IFERROR(IF($V606="BRAND.com",HLOOKUP($X606&amp;$Z606,PLANNING_FC!$T$27:$AH$46,MATCH($W606,PLANNING_FC!$B$27:$B$46,0),FALSE),0),0)</f>
        <v>0</v>
      </c>
      <c r="AY606" s="58">
        <f>IFERROR(IF($V606="BRAND.com",HLOOKUP($X606&amp;$Z606,PLANNING_FC!$T$4:$AH$23,MATCH($W606,PLANNING_FC!$B$4:$B$23,0),FALSE),0),0)</f>
        <v>0</v>
      </c>
      <c r="AZ606" s="58">
        <f>IFERROR(IF($V606="BRAND.com",HLOOKUP($X606&amp;$Z606,PLANNING_FC!$DA$27:$DO$46,MATCH($W606,PLANNING_FC!$CZ$27:$CZ$46,0),FALSE),0),0)</f>
        <v>0</v>
      </c>
      <c r="BA606" s="58">
        <f>IFERROR(IF($V606="BRAND.com",HLOOKUP($X606&amp;$Z606,PLANNING_FC!$DA$4:$DO$23,MATCH($W606,PLANNING_FC!$CZ$4:$CZ$23,0),FALSE),0),0)</f>
        <v>0</v>
      </c>
      <c r="BB606" s="883" t="str">
        <f>IF(V606="BRAND.com",IFERROR(HLOOKUP(X606&amp;Z606,PLANNING_FC!$AK$4:$AY$23,MATCH(W606,PLANNING_FC!$AJ$4:$AJ$23,0),FALSE)*1000,""),"")</f>
        <v/>
      </c>
      <c r="BC606" s="883" t="str">
        <f>IF(V606="BRAND.com",IFERROR(HLOOKUP(X606&amp;Z606,PLANNING_FC!$AK$27:$AY$46,MATCH(W606,PLANNING_FC!$AJ$27:$AJ$46,0),FALSE)*1000,""),"")</f>
        <v/>
      </c>
    </row>
    <row r="607" spans="1:55" x14ac:dyDescent="0.25">
      <c r="A607" s="509"/>
      <c r="B607" s="509"/>
      <c r="C607" s="509"/>
      <c r="D607" s="509"/>
      <c r="E607" s="509"/>
      <c r="F607" s="509"/>
      <c r="G607" s="509"/>
      <c r="H607" s="509"/>
      <c r="I607" s="512"/>
      <c r="J607" s="513"/>
      <c r="K607" s="514"/>
      <c r="L607" s="515"/>
      <c r="M607" s="516"/>
      <c r="N607" s="56">
        <f t="shared" si="238"/>
        <v>0</v>
      </c>
      <c r="O607" s="57">
        <f t="shared" si="239"/>
        <v>0</v>
      </c>
      <c r="P607" s="57">
        <f ca="1">IFERROR(IF(ISBLANK(H607),SUMIFS($AC:$AC,$V:$V,V607,$W:$W,W607,$X:$X,X607,$Y:$Y,Y607)*J607/(1-J607)*VLOOKUP(_xlfn.CONCAT(C607,D607,E607,TIME!$M$12,Z607),HIS_SALES!$B$2:$W$4859,20,FALSE),AC607*J607/(1-J607)),0)</f>
        <v>0</v>
      </c>
      <c r="Q607" s="541" t="str">
        <f t="shared" si="240"/>
        <v/>
      </c>
      <c r="R607" s="346" t="str">
        <f t="shared" si="230"/>
        <v>00000</v>
      </c>
      <c r="S607" s="344">
        <f t="shared" si="241"/>
        <v>0</v>
      </c>
      <c r="T607" s="345" t="str">
        <f t="shared" si="235"/>
        <v>000</v>
      </c>
      <c r="U607" s="345">
        <f t="shared" si="242"/>
        <v>0</v>
      </c>
      <c r="V607" s="345">
        <f t="shared" si="243"/>
        <v>0</v>
      </c>
      <c r="W607" s="345">
        <f t="shared" si="244"/>
        <v>0</v>
      </c>
      <c r="X607" s="345">
        <f t="shared" si="245"/>
        <v>0</v>
      </c>
      <c r="Y607" s="345">
        <f t="shared" si="246"/>
        <v>0</v>
      </c>
      <c r="Z607" s="345">
        <f>IF(Q607&lt;&gt;"",VLOOKUP(Y607,TIME!$R$21:$V$24,MATCH(FC_DATA!Q607,TIME!$R$20:$V$20,0),FALSE),H607)</f>
        <v>0</v>
      </c>
      <c r="AA607" s="345" t="str">
        <f>IFERROR(VLOOKUP(X607&amp;Z607,TIME!$A$12:$D$71,4,FALSE),"")</f>
        <v/>
      </c>
      <c r="AB607" s="592">
        <f t="shared" ca="1" si="231"/>
        <v>0</v>
      </c>
      <c r="AC607" s="593" t="e">
        <f ca="1">IF(ISBLANK(H607)=FALSE,IF(D607="BRAND.com",I607,IF(ISNA(VLOOKUP(_xlfn.CONCAT(X607,Z607),TIME!$M$40:$M$42,1,FALSE)),I607,VLOOKUP(_xlfn.CONCAT(D607,G607,H607),M_BUSAREA_FC!$AF$5:$AJ$10,5,FALSE)*HLOOKUP(_xlfn.CONCAT(F607,H607),ST_OVERVIEW!$G$99:$I$130,MATCH(_xlfn.CONCAT(D607,E607),ST_OVERVIEW!$F$99:$F$130,0),FALSE))),IF(D607="BRAND.com",VLOOKUP(_xlfn.CONCAT(C607,D607,E607,TIME!$F$1,Z607),HIS_SALES!$B$2:$V$4859,19,FALSE)*I607,VLOOKUP(_xlfn.CONCAT(D607,F607,G607),Q_BUSAREA_FC!$AE$5:$AI$12,5,FALSE)*HLOOKUP(_xlfn.CONCAT(FC_DATA!F607,FC_DATA!G607),LT_OVERVIEW!$I$99:$M$130,MATCH(_xlfn.CONCAT(D607,FC_DATA!E607),LT_OVERVIEW!$H$99:$H$130,0),FALSE)*IFERROR(VLOOKUP(_xlfn.CONCAT(C607,D607,E607,TIME!$F$1,Z607),HIS_SALES!$B$2:$V$4859,19,FALSE),0)))</f>
        <v>#N/A</v>
      </c>
      <c r="AD607" s="341">
        <f t="shared" ca="1" si="247"/>
        <v>0</v>
      </c>
      <c r="AE607" s="363" t="str">
        <f t="shared" si="248"/>
        <v/>
      </c>
      <c r="AF607" s="342" t="str">
        <f t="shared" si="249"/>
        <v/>
      </c>
      <c r="AG607" s="411" t="e">
        <f ca="1">VLOOKUP(_xlfn.CONCAT(U607,V607,W607,VLOOKUP(X607&amp;Y607,TIME!$L$27:$O$34,4,FALSE),Y607),HIS_SALES!$A$2:$R$5093,18,FALSE)</f>
        <v>#N/A</v>
      </c>
      <c r="AH607" s="412" t="e">
        <f ca="1">IFERROR(IF(AND(V607=V606,W607=W606),0.5*(AB607+AB606)*AG607,(VLOOKUP(_xlfn.CONCAT(U607,V607,W607,X607,VLOOKUP(Z607,TIME!$S$28:$T$39,2,FALSE)),FC_DATA!$R$2:$AB$5000,MATCH("GS_I_M",FC_DATA!$R$1:$AB$1,0),FALSE)+FC_DATA!AB607)*0.5*FC_DATA!AG607),NA())</f>
        <v>#N/A</v>
      </c>
      <c r="AI607" s="491" t="e">
        <f ca="1">IF(V607="PARTNER.com",AH607,IF(AND(V607=V606,W607=W606),(1-AVERAGE(AD606,AD607))*AH607,(1-AVERAGE(AD607,VLOOKUP(_xlfn.CONCAT(U607,V607,W607,X607,M_BRAND_FC!$F$6),FC_DATA!$R$2:$AD$5000,MATCH("DISCOUNT_%_M",FC_DATA!$R$1:$AD$1,0),FALSE)))*AH607))</f>
        <v>#N/A</v>
      </c>
      <c r="AJ607" s="412" t="str">
        <f t="shared" ca="1" si="232"/>
        <v/>
      </c>
      <c r="AK607" s="413" t="str">
        <f>IFERROR(AE607/(Q_BRAND_FC!$T$24+1),"")</f>
        <v/>
      </c>
      <c r="AL607" s="88" t="str">
        <f t="shared" ca="1" si="233"/>
        <v/>
      </c>
      <c r="AM607" s="414" t="str">
        <f t="shared" ca="1" si="234"/>
        <v/>
      </c>
      <c r="AN607" s="58">
        <f>IFERROR(IF($V607="BRAND.com",HLOOKUP($X607&amp;$Z607,NWC_FC_NOOS!$C$4:$Q$23,MATCH(W607,NWC_FC_NOOS!$B$4:$B$23,0),FALSE),0),0)</f>
        <v>0</v>
      </c>
      <c r="AO607" s="57">
        <f>IFERROR(IF($V607="BRAND.com",HLOOKUP($X607&amp;$Z607,NWC_FC_NOOS!$T$4:$AH$23,MATCH(W607,NWC_FC_NOOS!$S$4:$S$23,0),FALSE),0),0)</f>
        <v>0</v>
      </c>
      <c r="AP607" s="57">
        <f>IFERROR(IF($V607="BRAND.com",HLOOKUP($X607&amp;$Z607,NWC_FC_NOOS!$C$50:$U$69,MATCH(W607,NWC_FC_NOOS!$B$50:$B$69,0),FALSE),0),0)</f>
        <v>0</v>
      </c>
      <c r="AQ607" s="58">
        <f>IFERROR(IF($V607="BRAND.com",HLOOKUP($X607&amp;$Z607,'NWC_FC_NON-NOOS'!$C$4:$Q$23,MATCH(W607,'NWC_FC_NON-NOOS'!$B$4:$B$23,0),FALSE),0),0)</f>
        <v>0</v>
      </c>
      <c r="AR607" s="57">
        <f>IFERROR(IF($V607="BRAND.com",HLOOKUP($X607&amp;$Z607,'NWC_FC_NON-NOOS'!$T$4:$AH$23,MATCH(W607,'NWC_FC_NON-NOOS'!$S$4:$S$23,0),FALSE),0),0)</f>
        <v>0</v>
      </c>
      <c r="AS607" s="57">
        <f>IFERROR(IF($V607="BRAND.com",HLOOKUP($X607&amp;$Z607,'NWC_FC_NON-NOOS'!$C$50:$U$69,MATCH(W607,'NWC_FC_NON-NOOS'!$B$50:$B$69,0),FALSE),0),0)</f>
        <v>0</v>
      </c>
      <c r="AT607" s="57">
        <f t="shared" si="236"/>
        <v>0</v>
      </c>
      <c r="AU607" s="57">
        <f t="shared" si="237"/>
        <v>0</v>
      </c>
      <c r="AV607" s="58">
        <f>IFERROR(IF($V607="BRAND.com",HLOOKUP($X607&amp;$Z607,PLANNING_FC!$BB$27:$BP$46,MATCH($W607,PLANNING_FC!$BA$27:$BA$46,0),FALSE),0),0)</f>
        <v>0</v>
      </c>
      <c r="AW607" s="58">
        <f>IFERROR(IF($V607="BRAND.com",HLOOKUP($X607&amp;$Z607,PLANNING_FC!$BB$4:$BP$23,MATCH($W607,PLANNING_FC!$BA$4:$BA$23,0),FALSE),0),0)</f>
        <v>0</v>
      </c>
      <c r="AX607" s="58">
        <f>IFERROR(IF($V607="BRAND.com",HLOOKUP($X607&amp;$Z607,PLANNING_FC!$T$27:$AH$46,MATCH($W607,PLANNING_FC!$B$27:$B$46,0),FALSE),0),0)</f>
        <v>0</v>
      </c>
      <c r="AY607" s="58">
        <f>IFERROR(IF($V607="BRAND.com",HLOOKUP($X607&amp;$Z607,PLANNING_FC!$T$4:$AH$23,MATCH($W607,PLANNING_FC!$B$4:$B$23,0),FALSE),0),0)</f>
        <v>0</v>
      </c>
      <c r="AZ607" s="58">
        <f>IFERROR(IF($V607="BRAND.com",HLOOKUP($X607&amp;$Z607,PLANNING_FC!$DA$27:$DO$46,MATCH($W607,PLANNING_FC!$CZ$27:$CZ$46,0),FALSE),0),0)</f>
        <v>0</v>
      </c>
      <c r="BA607" s="58">
        <f>IFERROR(IF($V607="BRAND.com",HLOOKUP($X607&amp;$Z607,PLANNING_FC!$DA$4:$DO$23,MATCH($W607,PLANNING_FC!$CZ$4:$CZ$23,0),FALSE),0),0)</f>
        <v>0</v>
      </c>
      <c r="BB607" s="883" t="str">
        <f>IF(V607="BRAND.com",IFERROR(HLOOKUP(X607&amp;Z607,PLANNING_FC!$AK$4:$AY$23,MATCH(W607,PLANNING_FC!$AJ$4:$AJ$23,0),FALSE)*1000,""),"")</f>
        <v/>
      </c>
      <c r="BC607" s="883" t="str">
        <f>IF(V607="BRAND.com",IFERROR(HLOOKUP(X607&amp;Z607,PLANNING_FC!$AK$27:$AY$46,MATCH(W607,PLANNING_FC!$AJ$27:$AJ$46,0),FALSE)*1000,""),"")</f>
        <v/>
      </c>
    </row>
    <row r="608" spans="1:55" x14ac:dyDescent="0.25">
      <c r="A608" s="509"/>
      <c r="B608" s="509"/>
      <c r="C608" s="509"/>
      <c r="D608" s="509"/>
      <c r="E608" s="509"/>
      <c r="F608" s="509"/>
      <c r="G608" s="509"/>
      <c r="H608" s="509"/>
      <c r="I608" s="512"/>
      <c r="J608" s="513"/>
      <c r="K608" s="514"/>
      <c r="L608" s="515"/>
      <c r="M608" s="516"/>
      <c r="N608" s="56">
        <f t="shared" si="238"/>
        <v>0</v>
      </c>
      <c r="O608" s="57">
        <f t="shared" si="239"/>
        <v>0</v>
      </c>
      <c r="P608" s="57">
        <f ca="1">IFERROR(IF(ISBLANK(H608),SUMIFS($AC:$AC,$V:$V,V608,$W:$W,W608,$X:$X,X608,$Y:$Y,Y608)*J608/(1-J608)*VLOOKUP(_xlfn.CONCAT(C608,D608,E608,TIME!$M$12,Z608),HIS_SALES!$B$2:$W$4859,20,FALSE),AC608*J608/(1-J608)),0)</f>
        <v>0</v>
      </c>
      <c r="Q608" s="541" t="str">
        <f t="shared" si="240"/>
        <v/>
      </c>
      <c r="R608" s="346" t="str">
        <f t="shared" si="230"/>
        <v>00000</v>
      </c>
      <c r="S608" s="344">
        <f t="shared" si="241"/>
        <v>0</v>
      </c>
      <c r="T608" s="345" t="str">
        <f t="shared" si="235"/>
        <v>000</v>
      </c>
      <c r="U608" s="345">
        <f t="shared" si="242"/>
        <v>0</v>
      </c>
      <c r="V608" s="345">
        <f t="shared" si="243"/>
        <v>0</v>
      </c>
      <c r="W608" s="345">
        <f t="shared" si="244"/>
        <v>0</v>
      </c>
      <c r="X608" s="345">
        <f t="shared" si="245"/>
        <v>0</v>
      </c>
      <c r="Y608" s="345">
        <f t="shared" si="246"/>
        <v>0</v>
      </c>
      <c r="Z608" s="345">
        <f>IF(Q608&lt;&gt;"",VLOOKUP(Y608,TIME!$R$21:$V$24,MATCH(FC_DATA!Q608,TIME!$R$20:$V$20,0),FALSE),H608)</f>
        <v>0</v>
      </c>
      <c r="AA608" s="345" t="str">
        <f>IFERROR(VLOOKUP(X608&amp;Z608,TIME!$A$12:$D$71,4,FALSE),"")</f>
        <v/>
      </c>
      <c r="AB608" s="592">
        <f t="shared" ca="1" si="231"/>
        <v>0</v>
      </c>
      <c r="AC608" s="593" t="e">
        <f ca="1">IF(ISBLANK(H608)=FALSE,IF(D608="BRAND.com",I608,IF(ISNA(VLOOKUP(_xlfn.CONCAT(X608,Z608),TIME!$M$40:$M$42,1,FALSE)),I608,VLOOKUP(_xlfn.CONCAT(D608,G608,H608),M_BUSAREA_FC!$AF$5:$AJ$10,5,FALSE)*HLOOKUP(_xlfn.CONCAT(F608,H608),ST_OVERVIEW!$G$99:$I$130,MATCH(_xlfn.CONCAT(D608,E608),ST_OVERVIEW!$F$99:$F$130,0),FALSE))),IF(D608="BRAND.com",VLOOKUP(_xlfn.CONCAT(C608,D608,E608,TIME!$F$1,Z608),HIS_SALES!$B$2:$V$4859,19,FALSE)*I608,VLOOKUP(_xlfn.CONCAT(D608,F608,G608),Q_BUSAREA_FC!$AE$5:$AI$12,5,FALSE)*HLOOKUP(_xlfn.CONCAT(FC_DATA!F608,FC_DATA!G608),LT_OVERVIEW!$I$99:$M$130,MATCH(_xlfn.CONCAT(D608,FC_DATA!E608),LT_OVERVIEW!$H$99:$H$130,0),FALSE)*IFERROR(VLOOKUP(_xlfn.CONCAT(C608,D608,E608,TIME!$F$1,Z608),HIS_SALES!$B$2:$V$4859,19,FALSE),0)))</f>
        <v>#N/A</v>
      </c>
      <c r="AD608" s="341">
        <f t="shared" ca="1" si="247"/>
        <v>0</v>
      </c>
      <c r="AE608" s="363" t="str">
        <f t="shared" si="248"/>
        <v/>
      </c>
      <c r="AF608" s="342" t="str">
        <f t="shared" si="249"/>
        <v/>
      </c>
      <c r="AG608" s="411" t="e">
        <f ca="1">VLOOKUP(_xlfn.CONCAT(U608,V608,W608,VLOOKUP(X608&amp;Y608,TIME!$L$27:$O$34,4,FALSE),Y608),HIS_SALES!$A$2:$R$5093,18,FALSE)</f>
        <v>#N/A</v>
      </c>
      <c r="AH608" s="412" t="e">
        <f ca="1">IFERROR(IF(AND(V608=V607,W608=W607),0.5*(AB608+AB607)*AG608,(VLOOKUP(_xlfn.CONCAT(U608,V608,W608,X608,VLOOKUP(Z608,TIME!$S$28:$T$39,2,FALSE)),FC_DATA!$R$2:$AB$5000,MATCH("GS_I_M",FC_DATA!$R$1:$AB$1,0),FALSE)+FC_DATA!AB608)*0.5*FC_DATA!AG608),NA())</f>
        <v>#N/A</v>
      </c>
      <c r="AI608" s="491" t="e">
        <f ca="1">IF(V608="PARTNER.com",AH608,IF(AND(V608=V607,W608=W607),(1-AVERAGE(AD607,AD608))*AH608,(1-AVERAGE(AD608,VLOOKUP(_xlfn.CONCAT(U608,V608,W608,X608,M_BRAND_FC!$F$6),FC_DATA!$R$2:$AD$5000,MATCH("DISCOUNT_%_M",FC_DATA!$R$1:$AD$1,0),FALSE)))*AH608))</f>
        <v>#N/A</v>
      </c>
      <c r="AJ608" s="412" t="str">
        <f t="shared" ca="1" si="232"/>
        <v/>
      </c>
      <c r="AK608" s="413" t="str">
        <f>IFERROR(AE608/(Q_BRAND_FC!$T$24+1),"")</f>
        <v/>
      </c>
      <c r="AL608" s="88" t="str">
        <f t="shared" ca="1" si="233"/>
        <v/>
      </c>
      <c r="AM608" s="414" t="str">
        <f t="shared" ca="1" si="234"/>
        <v/>
      </c>
      <c r="AN608" s="58">
        <f>IFERROR(IF($V608="BRAND.com",HLOOKUP($X608&amp;$Z608,NWC_FC_NOOS!$C$4:$Q$23,MATCH(W608,NWC_FC_NOOS!$B$4:$B$23,0),FALSE),0),0)</f>
        <v>0</v>
      </c>
      <c r="AO608" s="57">
        <f>IFERROR(IF($V608="BRAND.com",HLOOKUP($X608&amp;$Z608,NWC_FC_NOOS!$T$4:$AH$23,MATCH(W608,NWC_FC_NOOS!$S$4:$S$23,0),FALSE),0),0)</f>
        <v>0</v>
      </c>
      <c r="AP608" s="57">
        <f>IFERROR(IF($V608="BRAND.com",HLOOKUP($X608&amp;$Z608,NWC_FC_NOOS!$C$50:$U$69,MATCH(W608,NWC_FC_NOOS!$B$50:$B$69,0),FALSE),0),0)</f>
        <v>0</v>
      </c>
      <c r="AQ608" s="58">
        <f>IFERROR(IF($V608="BRAND.com",HLOOKUP($X608&amp;$Z608,'NWC_FC_NON-NOOS'!$C$4:$Q$23,MATCH(W608,'NWC_FC_NON-NOOS'!$B$4:$B$23,0),FALSE),0),0)</f>
        <v>0</v>
      </c>
      <c r="AR608" s="57">
        <f>IFERROR(IF($V608="BRAND.com",HLOOKUP($X608&amp;$Z608,'NWC_FC_NON-NOOS'!$T$4:$AH$23,MATCH(W608,'NWC_FC_NON-NOOS'!$S$4:$S$23,0),FALSE),0),0)</f>
        <v>0</v>
      </c>
      <c r="AS608" s="57">
        <f>IFERROR(IF($V608="BRAND.com",HLOOKUP($X608&amp;$Z608,'NWC_FC_NON-NOOS'!$C$50:$U$69,MATCH(W608,'NWC_FC_NON-NOOS'!$B$50:$B$69,0),FALSE),0),0)</f>
        <v>0</v>
      </c>
      <c r="AT608" s="57">
        <f t="shared" si="236"/>
        <v>0</v>
      </c>
      <c r="AU608" s="57">
        <f t="shared" si="237"/>
        <v>0</v>
      </c>
      <c r="AV608" s="58">
        <f>IFERROR(IF($V608="BRAND.com",HLOOKUP($X608&amp;$Z608,PLANNING_FC!$BB$27:$BP$46,MATCH($W608,PLANNING_FC!$BA$27:$BA$46,0),FALSE),0),0)</f>
        <v>0</v>
      </c>
      <c r="AW608" s="58">
        <f>IFERROR(IF($V608="BRAND.com",HLOOKUP($X608&amp;$Z608,PLANNING_FC!$BB$4:$BP$23,MATCH($W608,PLANNING_FC!$BA$4:$BA$23,0),FALSE),0),0)</f>
        <v>0</v>
      </c>
      <c r="AX608" s="58">
        <f>IFERROR(IF($V608="BRAND.com",HLOOKUP($X608&amp;$Z608,PLANNING_FC!$T$27:$AH$46,MATCH($W608,PLANNING_FC!$B$27:$B$46,0),FALSE),0),0)</f>
        <v>0</v>
      </c>
      <c r="AY608" s="58">
        <f>IFERROR(IF($V608="BRAND.com",HLOOKUP($X608&amp;$Z608,PLANNING_FC!$T$4:$AH$23,MATCH($W608,PLANNING_FC!$B$4:$B$23,0),FALSE),0),0)</f>
        <v>0</v>
      </c>
      <c r="AZ608" s="58">
        <f>IFERROR(IF($V608="BRAND.com",HLOOKUP($X608&amp;$Z608,PLANNING_FC!$DA$27:$DO$46,MATCH($W608,PLANNING_FC!$CZ$27:$CZ$46,0),FALSE),0),0)</f>
        <v>0</v>
      </c>
      <c r="BA608" s="58">
        <f>IFERROR(IF($V608="BRAND.com",HLOOKUP($X608&amp;$Z608,PLANNING_FC!$DA$4:$DO$23,MATCH($W608,PLANNING_FC!$CZ$4:$CZ$23,0),FALSE),0),0)</f>
        <v>0</v>
      </c>
      <c r="BB608" s="883" t="str">
        <f>IF(V608="BRAND.com",IFERROR(HLOOKUP(X608&amp;Z608,PLANNING_FC!$AK$4:$AY$23,MATCH(W608,PLANNING_FC!$AJ$4:$AJ$23,0),FALSE)*1000,""),"")</f>
        <v/>
      </c>
      <c r="BC608" s="883" t="str">
        <f>IF(V608="BRAND.com",IFERROR(HLOOKUP(X608&amp;Z608,PLANNING_FC!$AK$27:$AY$46,MATCH(W608,PLANNING_FC!$AJ$27:$AJ$46,0),FALSE)*1000,""),"")</f>
        <v/>
      </c>
    </row>
    <row r="609" spans="1:55" x14ac:dyDescent="0.25">
      <c r="A609" s="509"/>
      <c r="B609" s="509"/>
      <c r="C609" s="509"/>
      <c r="D609" s="509"/>
      <c r="E609" s="509"/>
      <c r="F609" s="509"/>
      <c r="G609" s="509"/>
      <c r="H609" s="509"/>
      <c r="I609" s="512"/>
      <c r="J609" s="513"/>
      <c r="K609" s="514"/>
      <c r="L609" s="515"/>
      <c r="M609" s="516"/>
      <c r="N609" s="56">
        <f t="shared" si="238"/>
        <v>0</v>
      </c>
      <c r="O609" s="57">
        <f t="shared" si="239"/>
        <v>0</v>
      </c>
      <c r="P609" s="57">
        <f ca="1">IFERROR(IF(ISBLANK(H609),SUMIFS($AC:$AC,$V:$V,V609,$W:$W,W609,$X:$X,X609,$Y:$Y,Y609)*J609/(1-J609)*VLOOKUP(_xlfn.CONCAT(C609,D609,E609,TIME!$M$12,Z609),HIS_SALES!$B$2:$W$4859,20,FALSE),AC609*J609/(1-J609)),0)</f>
        <v>0</v>
      </c>
      <c r="Q609" s="541" t="str">
        <f t="shared" si="240"/>
        <v/>
      </c>
      <c r="R609" s="346" t="str">
        <f t="shared" si="230"/>
        <v>00000</v>
      </c>
      <c r="S609" s="344">
        <f t="shared" si="241"/>
        <v>0</v>
      </c>
      <c r="T609" s="345" t="str">
        <f t="shared" si="235"/>
        <v>000</v>
      </c>
      <c r="U609" s="345">
        <f t="shared" si="242"/>
        <v>0</v>
      </c>
      <c r="V609" s="345">
        <f t="shared" si="243"/>
        <v>0</v>
      </c>
      <c r="W609" s="345">
        <f t="shared" si="244"/>
        <v>0</v>
      </c>
      <c r="X609" s="345">
        <f t="shared" si="245"/>
        <v>0</v>
      </c>
      <c r="Y609" s="345">
        <f t="shared" si="246"/>
        <v>0</v>
      </c>
      <c r="Z609" s="345">
        <f>IF(Q609&lt;&gt;"",VLOOKUP(Y609,TIME!$R$21:$V$24,MATCH(FC_DATA!Q609,TIME!$R$20:$V$20,0),FALSE),H609)</f>
        <v>0</v>
      </c>
      <c r="AA609" s="345" t="str">
        <f>IFERROR(VLOOKUP(X609&amp;Z609,TIME!$A$12:$D$71,4,FALSE),"")</f>
        <v/>
      </c>
      <c r="AB609" s="592">
        <f t="shared" ca="1" si="231"/>
        <v>0</v>
      </c>
      <c r="AC609" s="593" t="e">
        <f ca="1">IF(ISBLANK(H609)=FALSE,IF(D609="BRAND.com",I609,IF(ISNA(VLOOKUP(_xlfn.CONCAT(X609,Z609),TIME!$M$40:$M$42,1,FALSE)),I609,VLOOKUP(_xlfn.CONCAT(D609,G609,H609),M_BUSAREA_FC!$AF$5:$AJ$10,5,FALSE)*HLOOKUP(_xlfn.CONCAT(F609,H609),ST_OVERVIEW!$G$99:$I$130,MATCH(_xlfn.CONCAT(D609,E609),ST_OVERVIEW!$F$99:$F$130,0),FALSE))),IF(D609="BRAND.com",VLOOKUP(_xlfn.CONCAT(C609,D609,E609,TIME!$F$1,Z609),HIS_SALES!$B$2:$V$4859,19,FALSE)*I609,VLOOKUP(_xlfn.CONCAT(D609,F609,G609),Q_BUSAREA_FC!$AE$5:$AI$12,5,FALSE)*HLOOKUP(_xlfn.CONCAT(FC_DATA!F609,FC_DATA!G609),LT_OVERVIEW!$I$99:$M$130,MATCH(_xlfn.CONCAT(D609,FC_DATA!E609),LT_OVERVIEW!$H$99:$H$130,0),FALSE)*IFERROR(VLOOKUP(_xlfn.CONCAT(C609,D609,E609,TIME!$F$1,Z609),HIS_SALES!$B$2:$V$4859,19,FALSE),0)))</f>
        <v>#N/A</v>
      </c>
      <c r="AD609" s="341">
        <f t="shared" ca="1" si="247"/>
        <v>0</v>
      </c>
      <c r="AE609" s="363" t="str">
        <f t="shared" si="248"/>
        <v/>
      </c>
      <c r="AF609" s="342" t="str">
        <f t="shared" si="249"/>
        <v/>
      </c>
      <c r="AG609" s="411" t="e">
        <f ca="1">VLOOKUP(_xlfn.CONCAT(U609,V609,W609,VLOOKUP(X609&amp;Y609,TIME!$L$27:$O$34,4,FALSE),Y609),HIS_SALES!$A$2:$R$5093,18,FALSE)</f>
        <v>#N/A</v>
      </c>
      <c r="AH609" s="412" t="e">
        <f ca="1">IFERROR(IF(AND(V609=V608,W609=W608),0.5*(AB609+AB608)*AG609,(VLOOKUP(_xlfn.CONCAT(U609,V609,W609,X609,VLOOKUP(Z609,TIME!$S$28:$T$39,2,FALSE)),FC_DATA!$R$2:$AB$5000,MATCH("GS_I_M",FC_DATA!$R$1:$AB$1,0),FALSE)+FC_DATA!AB609)*0.5*FC_DATA!AG609),NA())</f>
        <v>#N/A</v>
      </c>
      <c r="AI609" s="491" t="e">
        <f ca="1">IF(V609="PARTNER.com",AH609,IF(AND(V609=V608,W609=W608),(1-AVERAGE(AD608,AD609))*AH609,(1-AVERAGE(AD609,VLOOKUP(_xlfn.CONCAT(U609,V609,W609,X609,M_BRAND_FC!$F$6),FC_DATA!$R$2:$AD$5000,MATCH("DISCOUNT_%_M",FC_DATA!$R$1:$AD$1,0),FALSE)))*AH609))</f>
        <v>#N/A</v>
      </c>
      <c r="AJ609" s="412" t="str">
        <f t="shared" ca="1" si="232"/>
        <v/>
      </c>
      <c r="AK609" s="413" t="str">
        <f>IFERROR(AE609/(Q_BRAND_FC!$T$24+1),"")</f>
        <v/>
      </c>
      <c r="AL609" s="88" t="str">
        <f t="shared" ca="1" si="233"/>
        <v/>
      </c>
      <c r="AM609" s="414" t="str">
        <f t="shared" ca="1" si="234"/>
        <v/>
      </c>
      <c r="AN609" s="58">
        <f>IFERROR(IF($V609="BRAND.com",HLOOKUP($X609&amp;$Z609,NWC_FC_NOOS!$C$4:$Q$23,MATCH(W609,NWC_FC_NOOS!$B$4:$B$23,0),FALSE),0),0)</f>
        <v>0</v>
      </c>
      <c r="AO609" s="57">
        <f>IFERROR(IF($V609="BRAND.com",HLOOKUP($X609&amp;$Z609,NWC_FC_NOOS!$T$4:$AH$23,MATCH(W609,NWC_FC_NOOS!$S$4:$S$23,0),FALSE),0),0)</f>
        <v>0</v>
      </c>
      <c r="AP609" s="57">
        <f>IFERROR(IF($V609="BRAND.com",HLOOKUP($X609&amp;$Z609,NWC_FC_NOOS!$C$50:$U$69,MATCH(W609,NWC_FC_NOOS!$B$50:$B$69,0),FALSE),0),0)</f>
        <v>0</v>
      </c>
      <c r="AQ609" s="58">
        <f>IFERROR(IF($V609="BRAND.com",HLOOKUP($X609&amp;$Z609,'NWC_FC_NON-NOOS'!$C$4:$Q$23,MATCH(W609,'NWC_FC_NON-NOOS'!$B$4:$B$23,0),FALSE),0),0)</f>
        <v>0</v>
      </c>
      <c r="AR609" s="57">
        <f>IFERROR(IF($V609="BRAND.com",HLOOKUP($X609&amp;$Z609,'NWC_FC_NON-NOOS'!$T$4:$AH$23,MATCH(W609,'NWC_FC_NON-NOOS'!$S$4:$S$23,0),FALSE),0),0)</f>
        <v>0</v>
      </c>
      <c r="AS609" s="57">
        <f>IFERROR(IF($V609="BRAND.com",HLOOKUP($X609&amp;$Z609,'NWC_FC_NON-NOOS'!$C$50:$U$69,MATCH(W609,'NWC_FC_NON-NOOS'!$B$50:$B$69,0),FALSE),0),0)</f>
        <v>0</v>
      </c>
      <c r="AT609" s="57">
        <f t="shared" si="236"/>
        <v>0</v>
      </c>
      <c r="AU609" s="57">
        <f t="shared" si="237"/>
        <v>0</v>
      </c>
      <c r="AV609" s="58">
        <f>IFERROR(IF($V609="BRAND.com",HLOOKUP($X609&amp;$Z609,PLANNING_FC!$BB$27:$BP$46,MATCH($W609,PLANNING_FC!$BA$27:$BA$46,0),FALSE),0),0)</f>
        <v>0</v>
      </c>
      <c r="AW609" s="58">
        <f>IFERROR(IF($V609="BRAND.com",HLOOKUP($X609&amp;$Z609,PLANNING_FC!$BB$4:$BP$23,MATCH($W609,PLANNING_FC!$BA$4:$BA$23,0),FALSE),0),0)</f>
        <v>0</v>
      </c>
      <c r="AX609" s="58">
        <f>IFERROR(IF($V609="BRAND.com",HLOOKUP($X609&amp;$Z609,PLANNING_FC!$T$27:$AH$46,MATCH($W609,PLANNING_FC!$B$27:$B$46,0),FALSE),0),0)</f>
        <v>0</v>
      </c>
      <c r="AY609" s="58">
        <f>IFERROR(IF($V609="BRAND.com",HLOOKUP($X609&amp;$Z609,PLANNING_FC!$T$4:$AH$23,MATCH($W609,PLANNING_FC!$B$4:$B$23,0),FALSE),0),0)</f>
        <v>0</v>
      </c>
      <c r="AZ609" s="58">
        <f>IFERROR(IF($V609="BRAND.com",HLOOKUP($X609&amp;$Z609,PLANNING_FC!$DA$27:$DO$46,MATCH($W609,PLANNING_FC!$CZ$27:$CZ$46,0),FALSE),0),0)</f>
        <v>0</v>
      </c>
      <c r="BA609" s="58">
        <f>IFERROR(IF($V609="BRAND.com",HLOOKUP($X609&amp;$Z609,PLANNING_FC!$DA$4:$DO$23,MATCH($W609,PLANNING_FC!$CZ$4:$CZ$23,0),FALSE),0),0)</f>
        <v>0</v>
      </c>
      <c r="BB609" s="883" t="str">
        <f>IF(V609="BRAND.com",IFERROR(HLOOKUP(X609&amp;Z609,PLANNING_FC!$AK$4:$AY$23,MATCH(W609,PLANNING_FC!$AJ$4:$AJ$23,0),FALSE)*1000,""),"")</f>
        <v/>
      </c>
      <c r="BC609" s="883" t="str">
        <f>IF(V609="BRAND.com",IFERROR(HLOOKUP(X609&amp;Z609,PLANNING_FC!$AK$27:$AY$46,MATCH(W609,PLANNING_FC!$AJ$27:$AJ$46,0),FALSE)*1000,""),"")</f>
        <v/>
      </c>
    </row>
    <row r="610" spans="1:55" x14ac:dyDescent="0.25">
      <c r="A610" s="509"/>
      <c r="B610" s="509"/>
      <c r="C610" s="509"/>
      <c r="D610" s="509"/>
      <c r="E610" s="509"/>
      <c r="F610" s="509"/>
      <c r="G610" s="509"/>
      <c r="H610" s="509"/>
      <c r="I610" s="512"/>
      <c r="J610" s="513"/>
      <c r="K610" s="514"/>
      <c r="L610" s="515"/>
      <c r="M610" s="516"/>
      <c r="N610" s="56">
        <f t="shared" si="238"/>
        <v>0</v>
      </c>
      <c r="O610" s="57">
        <f t="shared" si="239"/>
        <v>0</v>
      </c>
      <c r="P610" s="57">
        <f ca="1">IFERROR(IF(ISBLANK(H610),SUMIFS($AC:$AC,$V:$V,V610,$W:$W,W610,$X:$X,X610,$Y:$Y,Y610)*J610/(1-J610)*VLOOKUP(_xlfn.CONCAT(C610,D610,E610,TIME!$M$12,Z610),HIS_SALES!$B$2:$W$4859,20,FALSE),AC610*J610/(1-J610)),0)</f>
        <v>0</v>
      </c>
      <c r="Q610" s="541" t="str">
        <f t="shared" si="240"/>
        <v/>
      </c>
      <c r="R610" s="346" t="str">
        <f t="shared" si="230"/>
        <v>00000</v>
      </c>
      <c r="S610" s="344">
        <f t="shared" si="241"/>
        <v>0</v>
      </c>
      <c r="T610" s="345" t="str">
        <f t="shared" si="235"/>
        <v>000</v>
      </c>
      <c r="U610" s="345">
        <f t="shared" si="242"/>
        <v>0</v>
      </c>
      <c r="V610" s="345">
        <f t="shared" si="243"/>
        <v>0</v>
      </c>
      <c r="W610" s="345">
        <f t="shared" si="244"/>
        <v>0</v>
      </c>
      <c r="X610" s="345">
        <f t="shared" si="245"/>
        <v>0</v>
      </c>
      <c r="Y610" s="345">
        <f t="shared" si="246"/>
        <v>0</v>
      </c>
      <c r="Z610" s="345">
        <f>IF(Q610&lt;&gt;"",VLOOKUP(Y610,TIME!$R$21:$V$24,MATCH(FC_DATA!Q610,TIME!$R$20:$V$20,0),FALSE),H610)</f>
        <v>0</v>
      </c>
      <c r="AA610" s="345" t="str">
        <f>IFERROR(VLOOKUP(X610&amp;Z610,TIME!$A$12:$D$71,4,FALSE),"")</f>
        <v/>
      </c>
      <c r="AB610" s="592">
        <f t="shared" ca="1" si="231"/>
        <v>0</v>
      </c>
      <c r="AC610" s="593" t="e">
        <f ca="1">IF(ISBLANK(H610)=FALSE,IF(D610="BRAND.com",I610,IF(ISNA(VLOOKUP(_xlfn.CONCAT(X610,Z610),TIME!$M$40:$M$42,1,FALSE)),I610,VLOOKUP(_xlfn.CONCAT(D610,G610,H610),M_BUSAREA_FC!$AF$5:$AJ$10,5,FALSE)*HLOOKUP(_xlfn.CONCAT(F610,H610),ST_OVERVIEW!$G$99:$I$130,MATCH(_xlfn.CONCAT(D610,E610),ST_OVERVIEW!$F$99:$F$130,0),FALSE))),IF(D610="BRAND.com",VLOOKUP(_xlfn.CONCAT(C610,D610,E610,TIME!$F$1,Z610),HIS_SALES!$B$2:$V$4859,19,FALSE)*I610,VLOOKUP(_xlfn.CONCAT(D610,F610,G610),Q_BUSAREA_FC!$AE$5:$AI$12,5,FALSE)*HLOOKUP(_xlfn.CONCAT(FC_DATA!F610,FC_DATA!G610),LT_OVERVIEW!$I$99:$M$130,MATCH(_xlfn.CONCAT(D610,FC_DATA!E610),LT_OVERVIEW!$H$99:$H$130,0),FALSE)*IFERROR(VLOOKUP(_xlfn.CONCAT(C610,D610,E610,TIME!$F$1,Z610),HIS_SALES!$B$2:$V$4859,19,FALSE),0)))</f>
        <v>#N/A</v>
      </c>
      <c r="AD610" s="341">
        <f t="shared" ca="1" si="247"/>
        <v>0</v>
      </c>
      <c r="AE610" s="363" t="str">
        <f t="shared" si="248"/>
        <v/>
      </c>
      <c r="AF610" s="342" t="str">
        <f t="shared" si="249"/>
        <v/>
      </c>
      <c r="AG610" s="411" t="e">
        <f ca="1">VLOOKUP(_xlfn.CONCAT(U610,V610,W610,VLOOKUP(X610&amp;Y610,TIME!$L$27:$O$34,4,FALSE),Y610),HIS_SALES!$A$2:$R$5093,18,FALSE)</f>
        <v>#N/A</v>
      </c>
      <c r="AH610" s="412" t="e">
        <f ca="1">IFERROR(IF(AND(V610=V609,W610=W609),0.5*(AB610+AB609)*AG610,(VLOOKUP(_xlfn.CONCAT(U610,V610,W610,X610,VLOOKUP(Z610,TIME!$S$28:$T$39,2,FALSE)),FC_DATA!$R$2:$AB$5000,MATCH("GS_I_M",FC_DATA!$R$1:$AB$1,0),FALSE)+FC_DATA!AB610)*0.5*FC_DATA!AG610),NA())</f>
        <v>#N/A</v>
      </c>
      <c r="AI610" s="491" t="e">
        <f ca="1">IF(V610="PARTNER.com",AH610,IF(AND(V610=V609,W610=W609),(1-AVERAGE(AD609,AD610))*AH610,(1-AVERAGE(AD610,VLOOKUP(_xlfn.CONCAT(U610,V610,W610,X610,M_BRAND_FC!$F$6),FC_DATA!$R$2:$AD$5000,MATCH("DISCOUNT_%_M",FC_DATA!$R$1:$AD$1,0),FALSE)))*AH610))</f>
        <v>#N/A</v>
      </c>
      <c r="AJ610" s="412" t="str">
        <f t="shared" ca="1" si="232"/>
        <v/>
      </c>
      <c r="AK610" s="413" t="str">
        <f>IFERROR(AE610/(Q_BRAND_FC!$T$24+1),"")</f>
        <v/>
      </c>
      <c r="AL610" s="88" t="str">
        <f t="shared" ca="1" si="233"/>
        <v/>
      </c>
      <c r="AM610" s="414" t="str">
        <f t="shared" ca="1" si="234"/>
        <v/>
      </c>
      <c r="AN610" s="58">
        <f>IFERROR(IF($V610="BRAND.com",HLOOKUP($X610&amp;$Z610,NWC_FC_NOOS!$C$4:$Q$23,MATCH(W610,NWC_FC_NOOS!$B$4:$B$23,0),FALSE),0),0)</f>
        <v>0</v>
      </c>
      <c r="AO610" s="57">
        <f>IFERROR(IF($V610="BRAND.com",HLOOKUP($X610&amp;$Z610,NWC_FC_NOOS!$T$4:$AH$23,MATCH(W610,NWC_FC_NOOS!$S$4:$S$23,0),FALSE),0),0)</f>
        <v>0</v>
      </c>
      <c r="AP610" s="57">
        <f>IFERROR(IF($V610="BRAND.com",HLOOKUP($X610&amp;$Z610,NWC_FC_NOOS!$C$50:$U$69,MATCH(W610,NWC_FC_NOOS!$B$50:$B$69,0),FALSE),0),0)</f>
        <v>0</v>
      </c>
      <c r="AQ610" s="58">
        <f>IFERROR(IF($V610="BRAND.com",HLOOKUP($X610&amp;$Z610,'NWC_FC_NON-NOOS'!$C$4:$Q$23,MATCH(W610,'NWC_FC_NON-NOOS'!$B$4:$B$23,0),FALSE),0),0)</f>
        <v>0</v>
      </c>
      <c r="AR610" s="57">
        <f>IFERROR(IF($V610="BRAND.com",HLOOKUP($X610&amp;$Z610,'NWC_FC_NON-NOOS'!$T$4:$AH$23,MATCH(W610,'NWC_FC_NON-NOOS'!$S$4:$S$23,0),FALSE),0),0)</f>
        <v>0</v>
      </c>
      <c r="AS610" s="57">
        <f>IFERROR(IF($V610="BRAND.com",HLOOKUP($X610&amp;$Z610,'NWC_FC_NON-NOOS'!$C$50:$U$69,MATCH(W610,'NWC_FC_NON-NOOS'!$B$50:$B$69,0),FALSE),0),0)</f>
        <v>0</v>
      </c>
      <c r="AT610" s="57">
        <f t="shared" si="236"/>
        <v>0</v>
      </c>
      <c r="AU610" s="57">
        <f t="shared" si="237"/>
        <v>0</v>
      </c>
      <c r="AV610" s="58">
        <f>IFERROR(IF($V610="BRAND.com",HLOOKUP($X610&amp;$Z610,PLANNING_FC!$BB$27:$BP$46,MATCH($W610,PLANNING_FC!$BA$27:$BA$46,0),FALSE),0),0)</f>
        <v>0</v>
      </c>
      <c r="AW610" s="58">
        <f>IFERROR(IF($V610="BRAND.com",HLOOKUP($X610&amp;$Z610,PLANNING_FC!$BB$4:$BP$23,MATCH($W610,PLANNING_FC!$BA$4:$BA$23,0),FALSE),0),0)</f>
        <v>0</v>
      </c>
      <c r="AX610" s="58">
        <f>IFERROR(IF($V610="BRAND.com",HLOOKUP($X610&amp;$Z610,PLANNING_FC!$T$27:$AH$46,MATCH($W610,PLANNING_FC!$B$27:$B$46,0),FALSE),0),0)</f>
        <v>0</v>
      </c>
      <c r="AY610" s="58">
        <f>IFERROR(IF($V610="BRAND.com",HLOOKUP($X610&amp;$Z610,PLANNING_FC!$T$4:$AH$23,MATCH($W610,PLANNING_FC!$B$4:$B$23,0),FALSE),0),0)</f>
        <v>0</v>
      </c>
      <c r="AZ610" s="58">
        <f>IFERROR(IF($V610="BRAND.com",HLOOKUP($X610&amp;$Z610,PLANNING_FC!$DA$27:$DO$46,MATCH($W610,PLANNING_FC!$CZ$27:$CZ$46,0),FALSE),0),0)</f>
        <v>0</v>
      </c>
      <c r="BA610" s="58">
        <f>IFERROR(IF($V610="BRAND.com",HLOOKUP($X610&amp;$Z610,PLANNING_FC!$DA$4:$DO$23,MATCH($W610,PLANNING_FC!$CZ$4:$CZ$23,0),FALSE),0),0)</f>
        <v>0</v>
      </c>
      <c r="BB610" s="883" t="str">
        <f>IF(V610="BRAND.com",IFERROR(HLOOKUP(X610&amp;Z610,PLANNING_FC!$AK$4:$AY$23,MATCH(W610,PLANNING_FC!$AJ$4:$AJ$23,0),FALSE)*1000,""),"")</f>
        <v/>
      </c>
      <c r="BC610" s="883" t="str">
        <f>IF(V610="BRAND.com",IFERROR(HLOOKUP(X610&amp;Z610,PLANNING_FC!$AK$27:$AY$46,MATCH(W610,PLANNING_FC!$AJ$27:$AJ$46,0),FALSE)*1000,""),"")</f>
        <v/>
      </c>
    </row>
    <row r="611" spans="1:55" x14ac:dyDescent="0.25">
      <c r="A611" s="509"/>
      <c r="B611" s="509"/>
      <c r="C611" s="509"/>
      <c r="D611" s="509"/>
      <c r="E611" s="509"/>
      <c r="F611" s="509"/>
      <c r="G611" s="509"/>
      <c r="H611" s="509"/>
      <c r="I611" s="512"/>
      <c r="J611" s="513"/>
      <c r="K611" s="514"/>
      <c r="L611" s="515"/>
      <c r="M611" s="516"/>
      <c r="N611" s="56">
        <f t="shared" si="238"/>
        <v>0</v>
      </c>
      <c r="O611" s="57">
        <f t="shared" si="239"/>
        <v>0</v>
      </c>
      <c r="P611" s="57">
        <f ca="1">IFERROR(IF(ISBLANK(H611),SUMIFS($AC:$AC,$V:$V,V611,$W:$W,W611,$X:$X,X611,$Y:$Y,Y611)*J611/(1-J611)*VLOOKUP(_xlfn.CONCAT(C611,D611,E611,TIME!$M$12,Z611),HIS_SALES!$B$2:$W$4859,20,FALSE),AC611*J611/(1-J611)),0)</f>
        <v>0</v>
      </c>
      <c r="Q611" s="541" t="str">
        <f t="shared" si="240"/>
        <v/>
      </c>
      <c r="R611" s="346" t="str">
        <f t="shared" si="230"/>
        <v>00000</v>
      </c>
      <c r="S611" s="344">
        <f t="shared" si="241"/>
        <v>0</v>
      </c>
      <c r="T611" s="345" t="str">
        <f t="shared" si="235"/>
        <v>000</v>
      </c>
      <c r="U611" s="345">
        <f t="shared" si="242"/>
        <v>0</v>
      </c>
      <c r="V611" s="345">
        <f t="shared" si="243"/>
        <v>0</v>
      </c>
      <c r="W611" s="345">
        <f t="shared" si="244"/>
        <v>0</v>
      </c>
      <c r="X611" s="345">
        <f t="shared" si="245"/>
        <v>0</v>
      </c>
      <c r="Y611" s="345">
        <f t="shared" si="246"/>
        <v>0</v>
      </c>
      <c r="Z611" s="345">
        <f>IF(Q611&lt;&gt;"",VLOOKUP(Y611,TIME!$R$21:$V$24,MATCH(FC_DATA!Q611,TIME!$R$20:$V$20,0),FALSE),H611)</f>
        <v>0</v>
      </c>
      <c r="AA611" s="345" t="str">
        <f>IFERROR(VLOOKUP(X611&amp;Z611,TIME!$A$12:$D$71,4,FALSE),"")</f>
        <v/>
      </c>
      <c r="AB611" s="592">
        <f t="shared" ca="1" si="231"/>
        <v>0</v>
      </c>
      <c r="AC611" s="593" t="e">
        <f ca="1">IF(ISBLANK(H611)=FALSE,IF(D611="BRAND.com",I611,IF(ISNA(VLOOKUP(_xlfn.CONCAT(X611,Z611),TIME!$M$40:$M$42,1,FALSE)),I611,VLOOKUP(_xlfn.CONCAT(D611,G611,H611),M_BUSAREA_FC!$AF$5:$AJ$10,5,FALSE)*HLOOKUP(_xlfn.CONCAT(F611,H611),ST_OVERVIEW!$G$99:$I$130,MATCH(_xlfn.CONCAT(D611,E611),ST_OVERVIEW!$F$99:$F$130,0),FALSE))),IF(D611="BRAND.com",VLOOKUP(_xlfn.CONCAT(C611,D611,E611,TIME!$F$1,Z611),HIS_SALES!$B$2:$V$4859,19,FALSE)*I611,VLOOKUP(_xlfn.CONCAT(D611,F611,G611),Q_BUSAREA_FC!$AE$5:$AI$12,5,FALSE)*HLOOKUP(_xlfn.CONCAT(FC_DATA!F611,FC_DATA!G611),LT_OVERVIEW!$I$99:$M$130,MATCH(_xlfn.CONCAT(D611,FC_DATA!E611),LT_OVERVIEW!$H$99:$H$130,0),FALSE)*IFERROR(VLOOKUP(_xlfn.CONCAT(C611,D611,E611,TIME!$F$1,Z611),HIS_SALES!$B$2:$V$4859,19,FALSE),0)))</f>
        <v>#N/A</v>
      </c>
      <c r="AD611" s="341">
        <f t="shared" ca="1" si="247"/>
        <v>0</v>
      </c>
      <c r="AE611" s="363" t="str">
        <f t="shared" si="248"/>
        <v/>
      </c>
      <c r="AF611" s="342" t="str">
        <f t="shared" si="249"/>
        <v/>
      </c>
      <c r="AG611" s="411" t="e">
        <f ca="1">VLOOKUP(_xlfn.CONCAT(U611,V611,W611,VLOOKUP(X611&amp;Y611,TIME!$L$27:$O$34,4,FALSE),Y611),HIS_SALES!$A$2:$R$5093,18,FALSE)</f>
        <v>#N/A</v>
      </c>
      <c r="AH611" s="412" t="e">
        <f ca="1">IFERROR(IF(AND(V611=V610,W611=W610),0.5*(AB611+AB610)*AG611,(VLOOKUP(_xlfn.CONCAT(U611,V611,W611,X611,VLOOKUP(Z611,TIME!$S$28:$T$39,2,FALSE)),FC_DATA!$R$2:$AB$5000,MATCH("GS_I_M",FC_DATA!$R$1:$AB$1,0),FALSE)+FC_DATA!AB611)*0.5*FC_DATA!AG611),NA())</f>
        <v>#N/A</v>
      </c>
      <c r="AI611" s="491" t="e">
        <f ca="1">IF(V611="PARTNER.com",AH611,IF(AND(V611=V610,W611=W610),(1-AVERAGE(AD610,AD611))*AH611,(1-AVERAGE(AD611,VLOOKUP(_xlfn.CONCAT(U611,V611,W611,X611,M_BRAND_FC!$F$6),FC_DATA!$R$2:$AD$5000,MATCH("DISCOUNT_%_M",FC_DATA!$R$1:$AD$1,0),FALSE)))*AH611))</f>
        <v>#N/A</v>
      </c>
      <c r="AJ611" s="412" t="str">
        <f t="shared" ca="1" si="232"/>
        <v/>
      </c>
      <c r="AK611" s="413" t="str">
        <f>IFERROR(AE611/(Q_BRAND_FC!$T$24+1),"")</f>
        <v/>
      </c>
      <c r="AL611" s="88" t="str">
        <f t="shared" ca="1" si="233"/>
        <v/>
      </c>
      <c r="AM611" s="414" t="str">
        <f t="shared" ca="1" si="234"/>
        <v/>
      </c>
      <c r="AN611" s="58">
        <f>IFERROR(IF($V611="BRAND.com",HLOOKUP($X611&amp;$Z611,NWC_FC_NOOS!$C$4:$Q$23,MATCH(W611,NWC_FC_NOOS!$B$4:$B$23,0),FALSE),0),0)</f>
        <v>0</v>
      </c>
      <c r="AO611" s="57">
        <f>IFERROR(IF($V611="BRAND.com",HLOOKUP($X611&amp;$Z611,NWC_FC_NOOS!$T$4:$AH$23,MATCH(W611,NWC_FC_NOOS!$S$4:$S$23,0),FALSE),0),0)</f>
        <v>0</v>
      </c>
      <c r="AP611" s="57">
        <f>IFERROR(IF($V611="BRAND.com",HLOOKUP($X611&amp;$Z611,NWC_FC_NOOS!$C$50:$U$69,MATCH(W611,NWC_FC_NOOS!$B$50:$B$69,0),FALSE),0),0)</f>
        <v>0</v>
      </c>
      <c r="AQ611" s="58">
        <f>IFERROR(IF($V611="BRAND.com",HLOOKUP($X611&amp;$Z611,'NWC_FC_NON-NOOS'!$C$4:$Q$23,MATCH(W611,'NWC_FC_NON-NOOS'!$B$4:$B$23,0),FALSE),0),0)</f>
        <v>0</v>
      </c>
      <c r="AR611" s="57">
        <f>IFERROR(IF($V611="BRAND.com",HLOOKUP($X611&amp;$Z611,'NWC_FC_NON-NOOS'!$T$4:$AH$23,MATCH(W611,'NWC_FC_NON-NOOS'!$S$4:$S$23,0),FALSE),0),0)</f>
        <v>0</v>
      </c>
      <c r="AS611" s="57">
        <f>IFERROR(IF($V611="BRAND.com",HLOOKUP($X611&amp;$Z611,'NWC_FC_NON-NOOS'!$C$50:$U$69,MATCH(W611,'NWC_FC_NON-NOOS'!$B$50:$B$69,0),FALSE),0),0)</f>
        <v>0</v>
      </c>
      <c r="AT611" s="57">
        <f t="shared" si="236"/>
        <v>0</v>
      </c>
      <c r="AU611" s="57">
        <f t="shared" si="237"/>
        <v>0</v>
      </c>
      <c r="AV611" s="58">
        <f>IFERROR(IF($V611="BRAND.com",HLOOKUP($X611&amp;$Z611,PLANNING_FC!$BB$27:$BP$46,MATCH($W611,PLANNING_FC!$BA$27:$BA$46,0),FALSE),0),0)</f>
        <v>0</v>
      </c>
      <c r="AW611" s="58">
        <f>IFERROR(IF($V611="BRAND.com",HLOOKUP($X611&amp;$Z611,PLANNING_FC!$BB$4:$BP$23,MATCH($W611,PLANNING_FC!$BA$4:$BA$23,0),FALSE),0),0)</f>
        <v>0</v>
      </c>
      <c r="AX611" s="58">
        <f>IFERROR(IF($V611="BRAND.com",HLOOKUP($X611&amp;$Z611,PLANNING_FC!$T$27:$AH$46,MATCH($W611,PLANNING_FC!$B$27:$B$46,0),FALSE),0),0)</f>
        <v>0</v>
      </c>
      <c r="AY611" s="58">
        <f>IFERROR(IF($V611="BRAND.com",HLOOKUP($X611&amp;$Z611,PLANNING_FC!$T$4:$AH$23,MATCH($W611,PLANNING_FC!$B$4:$B$23,0),FALSE),0),0)</f>
        <v>0</v>
      </c>
      <c r="AZ611" s="58">
        <f>IFERROR(IF($V611="BRAND.com",HLOOKUP($X611&amp;$Z611,PLANNING_FC!$DA$27:$DO$46,MATCH($W611,PLANNING_FC!$CZ$27:$CZ$46,0),FALSE),0),0)</f>
        <v>0</v>
      </c>
      <c r="BA611" s="58">
        <f>IFERROR(IF($V611="BRAND.com",HLOOKUP($X611&amp;$Z611,PLANNING_FC!$DA$4:$DO$23,MATCH($W611,PLANNING_FC!$CZ$4:$CZ$23,0),FALSE),0),0)</f>
        <v>0</v>
      </c>
      <c r="BB611" s="883" t="str">
        <f>IF(V611="BRAND.com",IFERROR(HLOOKUP(X611&amp;Z611,PLANNING_FC!$AK$4:$AY$23,MATCH(W611,PLANNING_FC!$AJ$4:$AJ$23,0),FALSE)*1000,""),"")</f>
        <v/>
      </c>
      <c r="BC611" s="883" t="str">
        <f>IF(V611="BRAND.com",IFERROR(HLOOKUP(X611&amp;Z611,PLANNING_FC!$AK$27:$AY$46,MATCH(W611,PLANNING_FC!$AJ$27:$AJ$46,0),FALSE)*1000,""),"")</f>
        <v/>
      </c>
    </row>
    <row r="612" spans="1:55" x14ac:dyDescent="0.25">
      <c r="A612" s="509"/>
      <c r="B612" s="509"/>
      <c r="C612" s="509"/>
      <c r="D612" s="509"/>
      <c r="E612" s="509"/>
      <c r="F612" s="509"/>
      <c r="G612" s="509"/>
      <c r="H612" s="509"/>
      <c r="I612" s="512"/>
      <c r="J612" s="513"/>
      <c r="K612" s="514"/>
      <c r="L612" s="515"/>
      <c r="M612" s="516"/>
      <c r="N612" s="56">
        <f t="shared" si="238"/>
        <v>0</v>
      </c>
      <c r="O612" s="57">
        <f t="shared" si="239"/>
        <v>0</v>
      </c>
      <c r="P612" s="57">
        <f ca="1">IFERROR(IF(ISBLANK(H612),SUMIFS($AC:$AC,$V:$V,V612,$W:$W,W612,$X:$X,X612,$Y:$Y,Y612)*J612/(1-J612)*VLOOKUP(_xlfn.CONCAT(C612,D612,E612,TIME!$M$12,Z612),HIS_SALES!$B$2:$W$4859,20,FALSE),AC612*J612/(1-J612)),0)</f>
        <v>0</v>
      </c>
      <c r="Q612" s="541" t="str">
        <f t="shared" si="240"/>
        <v/>
      </c>
      <c r="R612" s="346" t="str">
        <f t="shared" si="230"/>
        <v>00000</v>
      </c>
      <c r="S612" s="344">
        <f t="shared" si="241"/>
        <v>0</v>
      </c>
      <c r="T612" s="345" t="str">
        <f t="shared" si="235"/>
        <v>000</v>
      </c>
      <c r="U612" s="345">
        <f t="shared" si="242"/>
        <v>0</v>
      </c>
      <c r="V612" s="345">
        <f t="shared" si="243"/>
        <v>0</v>
      </c>
      <c r="W612" s="345">
        <f t="shared" si="244"/>
        <v>0</v>
      </c>
      <c r="X612" s="345">
        <f t="shared" si="245"/>
        <v>0</v>
      </c>
      <c r="Y612" s="345">
        <f t="shared" si="246"/>
        <v>0</v>
      </c>
      <c r="Z612" s="345">
        <f>IF(Q612&lt;&gt;"",VLOOKUP(Y612,TIME!$R$21:$V$24,MATCH(FC_DATA!Q612,TIME!$R$20:$V$20,0),FALSE),H612)</f>
        <v>0</v>
      </c>
      <c r="AA612" s="345" t="str">
        <f>IFERROR(VLOOKUP(X612&amp;Z612,TIME!$A$12:$D$71,4,FALSE),"")</f>
        <v/>
      </c>
      <c r="AB612" s="592">
        <f t="shared" ca="1" si="231"/>
        <v>0</v>
      </c>
      <c r="AC612" s="593" t="e">
        <f ca="1">IF(ISBLANK(H612)=FALSE,IF(D612="BRAND.com",I612,IF(ISNA(VLOOKUP(_xlfn.CONCAT(X612,Z612),TIME!$M$40:$M$42,1,FALSE)),I612,VLOOKUP(_xlfn.CONCAT(D612,G612,H612),M_BUSAREA_FC!$AF$5:$AJ$10,5,FALSE)*HLOOKUP(_xlfn.CONCAT(F612,H612),ST_OVERVIEW!$G$99:$I$130,MATCH(_xlfn.CONCAT(D612,E612),ST_OVERVIEW!$F$99:$F$130,0),FALSE))),IF(D612="BRAND.com",VLOOKUP(_xlfn.CONCAT(C612,D612,E612,TIME!$F$1,Z612),HIS_SALES!$B$2:$V$4859,19,FALSE)*I612,VLOOKUP(_xlfn.CONCAT(D612,F612,G612),Q_BUSAREA_FC!$AE$5:$AI$12,5,FALSE)*HLOOKUP(_xlfn.CONCAT(FC_DATA!F612,FC_DATA!G612),LT_OVERVIEW!$I$99:$M$130,MATCH(_xlfn.CONCAT(D612,FC_DATA!E612),LT_OVERVIEW!$H$99:$H$130,0),FALSE)*IFERROR(VLOOKUP(_xlfn.CONCAT(C612,D612,E612,TIME!$F$1,Z612),HIS_SALES!$B$2:$V$4859,19,FALSE),0)))</f>
        <v>#N/A</v>
      </c>
      <c r="AD612" s="341">
        <f t="shared" ca="1" si="247"/>
        <v>0</v>
      </c>
      <c r="AE612" s="363" t="str">
        <f t="shared" si="248"/>
        <v/>
      </c>
      <c r="AF612" s="342" t="str">
        <f t="shared" si="249"/>
        <v/>
      </c>
      <c r="AG612" s="411" t="e">
        <f ca="1">VLOOKUP(_xlfn.CONCAT(U612,V612,W612,VLOOKUP(X612&amp;Y612,TIME!$L$27:$O$34,4,FALSE),Y612),HIS_SALES!$A$2:$R$5093,18,FALSE)</f>
        <v>#N/A</v>
      </c>
      <c r="AH612" s="412" t="e">
        <f ca="1">IFERROR(IF(AND(V612=V611,W612=W611),0.5*(AB612+AB611)*AG612,(VLOOKUP(_xlfn.CONCAT(U612,V612,W612,X612,VLOOKUP(Z612,TIME!$S$28:$T$39,2,FALSE)),FC_DATA!$R$2:$AB$5000,MATCH("GS_I_M",FC_DATA!$R$1:$AB$1,0),FALSE)+FC_DATA!AB612)*0.5*FC_DATA!AG612),NA())</f>
        <v>#N/A</v>
      </c>
      <c r="AI612" s="491" t="e">
        <f ca="1">IF(V612="PARTNER.com",AH612,IF(AND(V612=V611,W612=W611),(1-AVERAGE(AD611,AD612))*AH612,(1-AVERAGE(AD612,VLOOKUP(_xlfn.CONCAT(U612,V612,W612,X612,M_BRAND_FC!$F$6),FC_DATA!$R$2:$AD$5000,MATCH("DISCOUNT_%_M",FC_DATA!$R$1:$AD$1,0),FALSE)))*AH612))</f>
        <v>#N/A</v>
      </c>
      <c r="AJ612" s="412" t="str">
        <f t="shared" ca="1" si="232"/>
        <v/>
      </c>
      <c r="AK612" s="413" t="str">
        <f>IFERROR(AE612/(Q_BRAND_FC!$T$24+1),"")</f>
        <v/>
      </c>
      <c r="AL612" s="88" t="str">
        <f t="shared" ca="1" si="233"/>
        <v/>
      </c>
      <c r="AM612" s="414" t="str">
        <f t="shared" ca="1" si="234"/>
        <v/>
      </c>
      <c r="AN612" s="58">
        <f>IFERROR(IF($V612="BRAND.com",HLOOKUP($X612&amp;$Z612,NWC_FC_NOOS!$C$4:$Q$23,MATCH(W612,NWC_FC_NOOS!$B$4:$B$23,0),FALSE),0),0)</f>
        <v>0</v>
      </c>
      <c r="AO612" s="57">
        <f>IFERROR(IF($V612="BRAND.com",HLOOKUP($X612&amp;$Z612,NWC_FC_NOOS!$T$4:$AH$23,MATCH(W612,NWC_FC_NOOS!$S$4:$S$23,0),FALSE),0),0)</f>
        <v>0</v>
      </c>
      <c r="AP612" s="57">
        <f>IFERROR(IF($V612="BRAND.com",HLOOKUP($X612&amp;$Z612,NWC_FC_NOOS!$C$50:$U$69,MATCH(W612,NWC_FC_NOOS!$B$50:$B$69,0),FALSE),0),0)</f>
        <v>0</v>
      </c>
      <c r="AQ612" s="58">
        <f>IFERROR(IF($V612="BRAND.com",HLOOKUP($X612&amp;$Z612,'NWC_FC_NON-NOOS'!$C$4:$Q$23,MATCH(W612,'NWC_FC_NON-NOOS'!$B$4:$B$23,0),FALSE),0),0)</f>
        <v>0</v>
      </c>
      <c r="AR612" s="57">
        <f>IFERROR(IF($V612="BRAND.com",HLOOKUP($X612&amp;$Z612,'NWC_FC_NON-NOOS'!$T$4:$AH$23,MATCH(W612,'NWC_FC_NON-NOOS'!$S$4:$S$23,0),FALSE),0),0)</f>
        <v>0</v>
      </c>
      <c r="AS612" s="57">
        <f>IFERROR(IF($V612="BRAND.com",HLOOKUP($X612&amp;$Z612,'NWC_FC_NON-NOOS'!$C$50:$U$69,MATCH(W612,'NWC_FC_NON-NOOS'!$B$50:$B$69,0),FALSE),0),0)</f>
        <v>0</v>
      </c>
      <c r="AT612" s="57">
        <f t="shared" si="236"/>
        <v>0</v>
      </c>
      <c r="AU612" s="57">
        <f t="shared" si="237"/>
        <v>0</v>
      </c>
      <c r="AV612" s="58">
        <f>IFERROR(IF($V612="BRAND.com",HLOOKUP($X612&amp;$Z612,PLANNING_FC!$BB$27:$BP$46,MATCH($W612,PLANNING_FC!$BA$27:$BA$46,0),FALSE),0),0)</f>
        <v>0</v>
      </c>
      <c r="AW612" s="58">
        <f>IFERROR(IF($V612="BRAND.com",HLOOKUP($X612&amp;$Z612,PLANNING_FC!$BB$4:$BP$23,MATCH($W612,PLANNING_FC!$BA$4:$BA$23,0),FALSE),0),0)</f>
        <v>0</v>
      </c>
      <c r="AX612" s="58">
        <f>IFERROR(IF($V612="BRAND.com",HLOOKUP($X612&amp;$Z612,PLANNING_FC!$T$27:$AH$46,MATCH($W612,PLANNING_FC!$B$27:$B$46,0),FALSE),0),0)</f>
        <v>0</v>
      </c>
      <c r="AY612" s="58">
        <f>IFERROR(IF($V612="BRAND.com",HLOOKUP($X612&amp;$Z612,PLANNING_FC!$T$4:$AH$23,MATCH($W612,PLANNING_FC!$B$4:$B$23,0),FALSE),0),0)</f>
        <v>0</v>
      </c>
      <c r="AZ612" s="58">
        <f>IFERROR(IF($V612="BRAND.com",HLOOKUP($X612&amp;$Z612,PLANNING_FC!$DA$27:$DO$46,MATCH($W612,PLANNING_FC!$CZ$27:$CZ$46,0),FALSE),0),0)</f>
        <v>0</v>
      </c>
      <c r="BA612" s="58">
        <f>IFERROR(IF($V612="BRAND.com",HLOOKUP($X612&amp;$Z612,PLANNING_FC!$DA$4:$DO$23,MATCH($W612,PLANNING_FC!$CZ$4:$CZ$23,0),FALSE),0),0)</f>
        <v>0</v>
      </c>
      <c r="BB612" s="883" t="str">
        <f>IF(V612="BRAND.com",IFERROR(HLOOKUP(X612&amp;Z612,PLANNING_FC!$AK$4:$AY$23,MATCH(W612,PLANNING_FC!$AJ$4:$AJ$23,0),FALSE)*1000,""),"")</f>
        <v/>
      </c>
      <c r="BC612" s="883" t="str">
        <f>IF(V612="BRAND.com",IFERROR(HLOOKUP(X612&amp;Z612,PLANNING_FC!$AK$27:$AY$46,MATCH(W612,PLANNING_FC!$AJ$27:$AJ$46,0),FALSE)*1000,""),"")</f>
        <v/>
      </c>
    </row>
    <row r="613" spans="1:55" x14ac:dyDescent="0.25">
      <c r="A613" s="509"/>
      <c r="B613" s="509"/>
      <c r="C613" s="509"/>
      <c r="D613" s="509"/>
      <c r="E613" s="509"/>
      <c r="F613" s="509"/>
      <c r="G613" s="509"/>
      <c r="H613" s="509"/>
      <c r="I613" s="512"/>
      <c r="J613" s="513"/>
      <c r="K613" s="514"/>
      <c r="L613" s="515"/>
      <c r="M613" s="516"/>
      <c r="N613" s="56">
        <f t="shared" si="238"/>
        <v>0</v>
      </c>
      <c r="O613" s="57">
        <f t="shared" si="239"/>
        <v>0</v>
      </c>
      <c r="P613" s="57">
        <f ca="1">IFERROR(IF(ISBLANK(H613),SUMIFS($AC:$AC,$V:$V,V613,$W:$W,W613,$X:$X,X613,$Y:$Y,Y613)*J613/(1-J613)*VLOOKUP(_xlfn.CONCAT(C613,D613,E613,TIME!$M$12,Z613),HIS_SALES!$B$2:$W$4859,20,FALSE),AC613*J613/(1-J613)),0)</f>
        <v>0</v>
      </c>
      <c r="Q613" s="541" t="str">
        <f t="shared" si="240"/>
        <v/>
      </c>
      <c r="R613" s="346" t="str">
        <f t="shared" si="230"/>
        <v>00000</v>
      </c>
      <c r="S613" s="344">
        <f t="shared" si="241"/>
        <v>0</v>
      </c>
      <c r="T613" s="345" t="str">
        <f t="shared" si="235"/>
        <v>000</v>
      </c>
      <c r="U613" s="345">
        <f t="shared" si="242"/>
        <v>0</v>
      </c>
      <c r="V613" s="345">
        <f t="shared" si="243"/>
        <v>0</v>
      </c>
      <c r="W613" s="345">
        <f t="shared" si="244"/>
        <v>0</v>
      </c>
      <c r="X613" s="345">
        <f t="shared" si="245"/>
        <v>0</v>
      </c>
      <c r="Y613" s="345">
        <f t="shared" si="246"/>
        <v>0</v>
      </c>
      <c r="Z613" s="345">
        <f>IF(Q613&lt;&gt;"",VLOOKUP(Y613,TIME!$R$21:$V$24,MATCH(FC_DATA!Q613,TIME!$R$20:$V$20,0),FALSE),H613)</f>
        <v>0</v>
      </c>
      <c r="AA613" s="345" t="str">
        <f>IFERROR(VLOOKUP(X613&amp;Z613,TIME!$A$12:$D$71,4,FALSE),"")</f>
        <v/>
      </c>
      <c r="AB613" s="592">
        <f t="shared" ca="1" si="231"/>
        <v>0</v>
      </c>
      <c r="AC613" s="593" t="e">
        <f ca="1">IF(ISBLANK(H613)=FALSE,IF(D613="BRAND.com",I613,IF(ISNA(VLOOKUP(_xlfn.CONCAT(X613,Z613),TIME!$M$40:$M$42,1,FALSE)),I613,VLOOKUP(_xlfn.CONCAT(D613,G613,H613),M_BUSAREA_FC!$AF$5:$AJ$10,5,FALSE)*HLOOKUP(_xlfn.CONCAT(F613,H613),ST_OVERVIEW!$G$99:$I$130,MATCH(_xlfn.CONCAT(D613,E613),ST_OVERVIEW!$F$99:$F$130,0),FALSE))),IF(D613="BRAND.com",VLOOKUP(_xlfn.CONCAT(C613,D613,E613,TIME!$F$1,Z613),HIS_SALES!$B$2:$V$4859,19,FALSE)*I613,VLOOKUP(_xlfn.CONCAT(D613,F613,G613),Q_BUSAREA_FC!$AE$5:$AI$12,5,FALSE)*HLOOKUP(_xlfn.CONCAT(FC_DATA!F613,FC_DATA!G613),LT_OVERVIEW!$I$99:$M$130,MATCH(_xlfn.CONCAT(D613,FC_DATA!E613),LT_OVERVIEW!$H$99:$H$130,0),FALSE)*IFERROR(VLOOKUP(_xlfn.CONCAT(C613,D613,E613,TIME!$F$1,Z613),HIS_SALES!$B$2:$V$4859,19,FALSE),0)))</f>
        <v>#N/A</v>
      </c>
      <c r="AD613" s="341">
        <f t="shared" ca="1" si="247"/>
        <v>0</v>
      </c>
      <c r="AE613" s="363" t="str">
        <f t="shared" si="248"/>
        <v/>
      </c>
      <c r="AF613" s="342" t="str">
        <f t="shared" si="249"/>
        <v/>
      </c>
      <c r="AG613" s="411" t="e">
        <f ca="1">VLOOKUP(_xlfn.CONCAT(U613,V613,W613,VLOOKUP(X613&amp;Y613,TIME!$L$27:$O$34,4,FALSE),Y613),HIS_SALES!$A$2:$R$5093,18,FALSE)</f>
        <v>#N/A</v>
      </c>
      <c r="AH613" s="412" t="e">
        <f ca="1">IFERROR(IF(AND(V613=V612,W613=W612),0.5*(AB613+AB612)*AG613,(VLOOKUP(_xlfn.CONCAT(U613,V613,W613,X613,VLOOKUP(Z613,TIME!$S$28:$T$39,2,FALSE)),FC_DATA!$R$2:$AB$5000,MATCH("GS_I_M",FC_DATA!$R$1:$AB$1,0),FALSE)+FC_DATA!AB613)*0.5*FC_DATA!AG613),NA())</f>
        <v>#N/A</v>
      </c>
      <c r="AI613" s="491" t="e">
        <f ca="1">IF(V613="PARTNER.com",AH613,IF(AND(V613=V612,W613=W612),(1-AVERAGE(AD612,AD613))*AH613,(1-AVERAGE(AD613,VLOOKUP(_xlfn.CONCAT(U613,V613,W613,X613,M_BRAND_FC!$F$6),FC_DATA!$R$2:$AD$5000,MATCH("DISCOUNT_%_M",FC_DATA!$R$1:$AD$1,0),FALSE)))*AH613))</f>
        <v>#N/A</v>
      </c>
      <c r="AJ613" s="412" t="str">
        <f t="shared" ca="1" si="232"/>
        <v/>
      </c>
      <c r="AK613" s="413" t="str">
        <f>IFERROR(AE613/(Q_BRAND_FC!$T$24+1),"")</f>
        <v/>
      </c>
      <c r="AL613" s="88" t="str">
        <f t="shared" ca="1" si="233"/>
        <v/>
      </c>
      <c r="AM613" s="414" t="str">
        <f t="shared" ca="1" si="234"/>
        <v/>
      </c>
      <c r="AN613" s="58">
        <f>IFERROR(IF($V613="BRAND.com",HLOOKUP($X613&amp;$Z613,NWC_FC_NOOS!$C$4:$Q$23,MATCH(W613,NWC_FC_NOOS!$B$4:$B$23,0),FALSE),0),0)</f>
        <v>0</v>
      </c>
      <c r="AO613" s="57">
        <f>IFERROR(IF($V613="BRAND.com",HLOOKUP($X613&amp;$Z613,NWC_FC_NOOS!$T$4:$AH$23,MATCH(W613,NWC_FC_NOOS!$S$4:$S$23,0),FALSE),0),0)</f>
        <v>0</v>
      </c>
      <c r="AP613" s="57">
        <f>IFERROR(IF($V613="BRAND.com",HLOOKUP($X613&amp;$Z613,NWC_FC_NOOS!$C$50:$U$69,MATCH(W613,NWC_FC_NOOS!$B$50:$B$69,0),FALSE),0),0)</f>
        <v>0</v>
      </c>
      <c r="AQ613" s="58">
        <f>IFERROR(IF($V613="BRAND.com",HLOOKUP($X613&amp;$Z613,'NWC_FC_NON-NOOS'!$C$4:$Q$23,MATCH(W613,'NWC_FC_NON-NOOS'!$B$4:$B$23,0),FALSE),0),0)</f>
        <v>0</v>
      </c>
      <c r="AR613" s="57">
        <f>IFERROR(IF($V613="BRAND.com",HLOOKUP($X613&amp;$Z613,'NWC_FC_NON-NOOS'!$T$4:$AH$23,MATCH(W613,'NWC_FC_NON-NOOS'!$S$4:$S$23,0),FALSE),0),0)</f>
        <v>0</v>
      </c>
      <c r="AS613" s="57">
        <f>IFERROR(IF($V613="BRAND.com",HLOOKUP($X613&amp;$Z613,'NWC_FC_NON-NOOS'!$C$50:$U$69,MATCH(W613,'NWC_FC_NON-NOOS'!$B$50:$B$69,0),FALSE),0),0)</f>
        <v>0</v>
      </c>
      <c r="AT613" s="57">
        <f t="shared" si="236"/>
        <v>0</v>
      </c>
      <c r="AU613" s="57">
        <f t="shared" si="237"/>
        <v>0</v>
      </c>
      <c r="AV613" s="58">
        <f>IFERROR(IF($V613="BRAND.com",HLOOKUP($X613&amp;$Z613,PLANNING_FC!$BB$27:$BP$46,MATCH($W613,PLANNING_FC!$BA$27:$BA$46,0),FALSE),0),0)</f>
        <v>0</v>
      </c>
      <c r="AW613" s="58">
        <f>IFERROR(IF($V613="BRAND.com",HLOOKUP($X613&amp;$Z613,PLANNING_FC!$BB$4:$BP$23,MATCH($W613,PLANNING_FC!$BA$4:$BA$23,0),FALSE),0),0)</f>
        <v>0</v>
      </c>
      <c r="AX613" s="58">
        <f>IFERROR(IF($V613="BRAND.com",HLOOKUP($X613&amp;$Z613,PLANNING_FC!$T$27:$AH$46,MATCH($W613,PLANNING_FC!$B$27:$B$46,0),FALSE),0),0)</f>
        <v>0</v>
      </c>
      <c r="AY613" s="58">
        <f>IFERROR(IF($V613="BRAND.com",HLOOKUP($X613&amp;$Z613,PLANNING_FC!$T$4:$AH$23,MATCH($W613,PLANNING_FC!$B$4:$B$23,0),FALSE),0),0)</f>
        <v>0</v>
      </c>
      <c r="AZ613" s="58">
        <f>IFERROR(IF($V613="BRAND.com",HLOOKUP($X613&amp;$Z613,PLANNING_FC!$DA$27:$DO$46,MATCH($W613,PLANNING_FC!$CZ$27:$CZ$46,0),FALSE),0),0)</f>
        <v>0</v>
      </c>
      <c r="BA613" s="58">
        <f>IFERROR(IF($V613="BRAND.com",HLOOKUP($X613&amp;$Z613,PLANNING_FC!$DA$4:$DO$23,MATCH($W613,PLANNING_FC!$CZ$4:$CZ$23,0),FALSE),0),0)</f>
        <v>0</v>
      </c>
      <c r="BB613" s="883" t="str">
        <f>IF(V613="BRAND.com",IFERROR(HLOOKUP(X613&amp;Z613,PLANNING_FC!$AK$4:$AY$23,MATCH(W613,PLANNING_FC!$AJ$4:$AJ$23,0),FALSE)*1000,""),"")</f>
        <v/>
      </c>
      <c r="BC613" s="883" t="str">
        <f>IF(V613="BRAND.com",IFERROR(HLOOKUP(X613&amp;Z613,PLANNING_FC!$AK$27:$AY$46,MATCH(W613,PLANNING_FC!$AJ$27:$AJ$46,0),FALSE)*1000,""),"")</f>
        <v/>
      </c>
    </row>
    <row r="614" spans="1:55" x14ac:dyDescent="0.25">
      <c r="A614" s="509"/>
      <c r="B614" s="509"/>
      <c r="C614" s="509"/>
      <c r="D614" s="509"/>
      <c r="E614" s="509"/>
      <c r="F614" s="509"/>
      <c r="G614" s="509"/>
      <c r="H614" s="509"/>
      <c r="I614" s="512"/>
      <c r="J614" s="513"/>
      <c r="K614" s="514"/>
      <c r="L614" s="515"/>
      <c r="M614" s="516"/>
      <c r="N614" s="56">
        <f t="shared" si="238"/>
        <v>0</v>
      </c>
      <c r="O614" s="57">
        <f t="shared" si="239"/>
        <v>0</v>
      </c>
      <c r="P614" s="57">
        <f ca="1">IFERROR(IF(ISBLANK(H614),SUMIFS($AC:$AC,$V:$V,V614,$W:$W,W614,$X:$X,X614,$Y:$Y,Y614)*J614/(1-J614)*VLOOKUP(_xlfn.CONCAT(C614,D614,E614,TIME!$M$12,Z614),HIS_SALES!$B$2:$W$4859,20,FALSE),AC614*J614/(1-J614)),0)</f>
        <v>0</v>
      </c>
      <c r="Q614" s="541" t="str">
        <f t="shared" si="240"/>
        <v/>
      </c>
      <c r="R614" s="346" t="str">
        <f t="shared" si="230"/>
        <v>00000</v>
      </c>
      <c r="S614" s="344">
        <f t="shared" si="241"/>
        <v>0</v>
      </c>
      <c r="T614" s="345" t="str">
        <f t="shared" si="235"/>
        <v>000</v>
      </c>
      <c r="U614" s="345">
        <f t="shared" si="242"/>
        <v>0</v>
      </c>
      <c r="V614" s="345">
        <f t="shared" si="243"/>
        <v>0</v>
      </c>
      <c r="W614" s="345">
        <f t="shared" si="244"/>
        <v>0</v>
      </c>
      <c r="X614" s="345">
        <f t="shared" si="245"/>
        <v>0</v>
      </c>
      <c r="Y614" s="345">
        <f t="shared" si="246"/>
        <v>0</v>
      </c>
      <c r="Z614" s="345">
        <f>IF(Q614&lt;&gt;"",VLOOKUP(Y614,TIME!$R$21:$V$24,MATCH(FC_DATA!Q614,TIME!$R$20:$V$20,0),FALSE),H614)</f>
        <v>0</v>
      </c>
      <c r="AA614" s="345" t="str">
        <f>IFERROR(VLOOKUP(X614&amp;Z614,TIME!$A$12:$D$71,4,FALSE),"")</f>
        <v/>
      </c>
      <c r="AB614" s="592">
        <f t="shared" ca="1" si="231"/>
        <v>0</v>
      </c>
      <c r="AC614" s="593" t="e">
        <f ca="1">IF(ISBLANK(H614)=FALSE,IF(D614="BRAND.com",I614,IF(ISNA(VLOOKUP(_xlfn.CONCAT(X614,Z614),TIME!$M$40:$M$42,1,FALSE)),I614,VLOOKUP(_xlfn.CONCAT(D614,G614,H614),M_BUSAREA_FC!$AF$5:$AJ$10,5,FALSE)*HLOOKUP(_xlfn.CONCAT(F614,H614),ST_OVERVIEW!$G$99:$I$130,MATCH(_xlfn.CONCAT(D614,E614),ST_OVERVIEW!$F$99:$F$130,0),FALSE))),IF(D614="BRAND.com",VLOOKUP(_xlfn.CONCAT(C614,D614,E614,TIME!$F$1,Z614),HIS_SALES!$B$2:$V$4859,19,FALSE)*I614,VLOOKUP(_xlfn.CONCAT(D614,F614,G614),Q_BUSAREA_FC!$AE$5:$AI$12,5,FALSE)*HLOOKUP(_xlfn.CONCAT(FC_DATA!F614,FC_DATA!G614),LT_OVERVIEW!$I$99:$M$130,MATCH(_xlfn.CONCAT(D614,FC_DATA!E614),LT_OVERVIEW!$H$99:$H$130,0),FALSE)*IFERROR(VLOOKUP(_xlfn.CONCAT(C614,D614,E614,TIME!$F$1,Z614),HIS_SALES!$B$2:$V$4859,19,FALSE),0)))</f>
        <v>#N/A</v>
      </c>
      <c r="AD614" s="341">
        <f t="shared" ca="1" si="247"/>
        <v>0</v>
      </c>
      <c r="AE614" s="363" t="str">
        <f t="shared" si="248"/>
        <v/>
      </c>
      <c r="AF614" s="342" t="str">
        <f t="shared" si="249"/>
        <v/>
      </c>
      <c r="AG614" s="411" t="e">
        <f ca="1">VLOOKUP(_xlfn.CONCAT(U614,V614,W614,VLOOKUP(X614&amp;Y614,TIME!$L$27:$O$34,4,FALSE),Y614),HIS_SALES!$A$2:$R$5093,18,FALSE)</f>
        <v>#N/A</v>
      </c>
      <c r="AH614" s="412" t="e">
        <f ca="1">IFERROR(IF(AND(V614=V613,W614=W613),0.5*(AB614+AB613)*AG614,(VLOOKUP(_xlfn.CONCAT(U614,V614,W614,X614,VLOOKUP(Z614,TIME!$S$28:$T$39,2,FALSE)),FC_DATA!$R$2:$AB$5000,MATCH("GS_I_M",FC_DATA!$R$1:$AB$1,0),FALSE)+FC_DATA!AB614)*0.5*FC_DATA!AG614),NA())</f>
        <v>#N/A</v>
      </c>
      <c r="AI614" s="491" t="e">
        <f ca="1">IF(V614="PARTNER.com",AH614,IF(AND(V614=V613,W614=W613),(1-AVERAGE(AD613,AD614))*AH614,(1-AVERAGE(AD614,VLOOKUP(_xlfn.CONCAT(U614,V614,W614,X614,M_BRAND_FC!$F$6),FC_DATA!$R$2:$AD$5000,MATCH("DISCOUNT_%_M",FC_DATA!$R$1:$AD$1,0),FALSE)))*AH614))</f>
        <v>#N/A</v>
      </c>
      <c r="AJ614" s="412" t="str">
        <f t="shared" ca="1" si="232"/>
        <v/>
      </c>
      <c r="AK614" s="413" t="str">
        <f>IFERROR(AE614/(Q_BRAND_FC!$T$24+1),"")</f>
        <v/>
      </c>
      <c r="AL614" s="88" t="str">
        <f t="shared" ca="1" si="233"/>
        <v/>
      </c>
      <c r="AM614" s="414" t="str">
        <f t="shared" ca="1" si="234"/>
        <v/>
      </c>
      <c r="AN614" s="58">
        <f>IFERROR(IF($V614="BRAND.com",HLOOKUP($X614&amp;$Z614,NWC_FC_NOOS!$C$4:$Q$23,MATCH(W614,NWC_FC_NOOS!$B$4:$B$23,0),FALSE),0),0)</f>
        <v>0</v>
      </c>
      <c r="AO614" s="57">
        <f>IFERROR(IF($V614="BRAND.com",HLOOKUP($X614&amp;$Z614,NWC_FC_NOOS!$T$4:$AH$23,MATCH(W614,NWC_FC_NOOS!$S$4:$S$23,0),FALSE),0),0)</f>
        <v>0</v>
      </c>
      <c r="AP614" s="57">
        <f>IFERROR(IF($V614="BRAND.com",HLOOKUP($X614&amp;$Z614,NWC_FC_NOOS!$C$50:$U$69,MATCH(W614,NWC_FC_NOOS!$B$50:$B$69,0),FALSE),0),0)</f>
        <v>0</v>
      </c>
      <c r="AQ614" s="58">
        <f>IFERROR(IF($V614="BRAND.com",HLOOKUP($X614&amp;$Z614,'NWC_FC_NON-NOOS'!$C$4:$Q$23,MATCH(W614,'NWC_FC_NON-NOOS'!$B$4:$B$23,0),FALSE),0),0)</f>
        <v>0</v>
      </c>
      <c r="AR614" s="57">
        <f>IFERROR(IF($V614="BRAND.com",HLOOKUP($X614&amp;$Z614,'NWC_FC_NON-NOOS'!$T$4:$AH$23,MATCH(W614,'NWC_FC_NON-NOOS'!$S$4:$S$23,0),FALSE),0),0)</f>
        <v>0</v>
      </c>
      <c r="AS614" s="57">
        <f>IFERROR(IF($V614="BRAND.com",HLOOKUP($X614&amp;$Z614,'NWC_FC_NON-NOOS'!$C$50:$U$69,MATCH(W614,'NWC_FC_NON-NOOS'!$B$50:$B$69,0),FALSE),0),0)</f>
        <v>0</v>
      </c>
      <c r="AT614" s="57">
        <f t="shared" si="236"/>
        <v>0</v>
      </c>
      <c r="AU614" s="57">
        <f t="shared" si="237"/>
        <v>0</v>
      </c>
      <c r="AV614" s="58">
        <f>IFERROR(IF($V614="BRAND.com",HLOOKUP($X614&amp;$Z614,PLANNING_FC!$BB$27:$BP$46,MATCH($W614,PLANNING_FC!$BA$27:$BA$46,0),FALSE),0),0)</f>
        <v>0</v>
      </c>
      <c r="AW614" s="58">
        <f>IFERROR(IF($V614="BRAND.com",HLOOKUP($X614&amp;$Z614,PLANNING_FC!$BB$4:$BP$23,MATCH($W614,PLANNING_FC!$BA$4:$BA$23,0),FALSE),0),0)</f>
        <v>0</v>
      </c>
      <c r="AX614" s="58">
        <f>IFERROR(IF($V614="BRAND.com",HLOOKUP($X614&amp;$Z614,PLANNING_FC!$T$27:$AH$46,MATCH($W614,PLANNING_FC!$B$27:$B$46,0),FALSE),0),0)</f>
        <v>0</v>
      </c>
      <c r="AY614" s="58">
        <f>IFERROR(IF($V614="BRAND.com",HLOOKUP($X614&amp;$Z614,PLANNING_FC!$T$4:$AH$23,MATCH($W614,PLANNING_FC!$B$4:$B$23,0),FALSE),0),0)</f>
        <v>0</v>
      </c>
      <c r="AZ614" s="58">
        <f>IFERROR(IF($V614="BRAND.com",HLOOKUP($X614&amp;$Z614,PLANNING_FC!$DA$27:$DO$46,MATCH($W614,PLANNING_FC!$CZ$27:$CZ$46,0),FALSE),0),0)</f>
        <v>0</v>
      </c>
      <c r="BA614" s="58">
        <f>IFERROR(IF($V614="BRAND.com",HLOOKUP($X614&amp;$Z614,PLANNING_FC!$DA$4:$DO$23,MATCH($W614,PLANNING_FC!$CZ$4:$CZ$23,0),FALSE),0),0)</f>
        <v>0</v>
      </c>
      <c r="BB614" s="883" t="str">
        <f>IF(V614="BRAND.com",IFERROR(HLOOKUP(X614&amp;Z614,PLANNING_FC!$AK$4:$AY$23,MATCH(W614,PLANNING_FC!$AJ$4:$AJ$23,0),FALSE)*1000,""),"")</f>
        <v/>
      </c>
      <c r="BC614" s="883" t="str">
        <f>IF(V614="BRAND.com",IFERROR(HLOOKUP(X614&amp;Z614,PLANNING_FC!$AK$27:$AY$46,MATCH(W614,PLANNING_FC!$AJ$27:$AJ$46,0),FALSE)*1000,""),"")</f>
        <v/>
      </c>
    </row>
    <row r="615" spans="1:55" x14ac:dyDescent="0.25">
      <c r="A615" s="509"/>
      <c r="B615" s="509"/>
      <c r="C615" s="509"/>
      <c r="D615" s="509"/>
      <c r="E615" s="509"/>
      <c r="F615" s="509"/>
      <c r="G615" s="509"/>
      <c r="H615" s="509"/>
      <c r="I615" s="512"/>
      <c r="J615" s="513"/>
      <c r="K615" s="514"/>
      <c r="L615" s="515"/>
      <c r="M615" s="516"/>
      <c r="N615" s="56">
        <f t="shared" si="238"/>
        <v>0</v>
      </c>
      <c r="O615" s="57">
        <f t="shared" si="239"/>
        <v>0</v>
      </c>
      <c r="P615" s="57">
        <f ca="1">IFERROR(IF(ISBLANK(H615),SUMIFS($AC:$AC,$V:$V,V615,$W:$W,W615,$X:$X,X615,$Y:$Y,Y615)*J615/(1-J615)*VLOOKUP(_xlfn.CONCAT(C615,D615,E615,TIME!$M$12,Z615),HIS_SALES!$B$2:$W$4859,20,FALSE),AC615*J615/(1-J615)),0)</f>
        <v>0</v>
      </c>
      <c r="Q615" s="541" t="str">
        <f t="shared" si="240"/>
        <v/>
      </c>
      <c r="R615" s="346" t="str">
        <f t="shared" si="230"/>
        <v>00000</v>
      </c>
      <c r="S615" s="344">
        <f t="shared" si="241"/>
        <v>0</v>
      </c>
      <c r="T615" s="345" t="str">
        <f t="shared" si="235"/>
        <v>000</v>
      </c>
      <c r="U615" s="345">
        <f t="shared" si="242"/>
        <v>0</v>
      </c>
      <c r="V615" s="345">
        <f t="shared" si="243"/>
        <v>0</v>
      </c>
      <c r="W615" s="345">
        <f t="shared" si="244"/>
        <v>0</v>
      </c>
      <c r="X615" s="345">
        <f t="shared" si="245"/>
        <v>0</v>
      </c>
      <c r="Y615" s="345">
        <f t="shared" si="246"/>
        <v>0</v>
      </c>
      <c r="Z615" s="345">
        <f>IF(Q615&lt;&gt;"",VLOOKUP(Y615,TIME!$R$21:$V$24,MATCH(FC_DATA!Q615,TIME!$R$20:$V$20,0),FALSE),H615)</f>
        <v>0</v>
      </c>
      <c r="AA615" s="345" t="str">
        <f>IFERROR(VLOOKUP(X615&amp;Z615,TIME!$A$12:$D$71,4,FALSE),"")</f>
        <v/>
      </c>
      <c r="AB615" s="592">
        <f t="shared" ca="1" si="231"/>
        <v>0</v>
      </c>
      <c r="AC615" s="593" t="e">
        <f ca="1">IF(ISBLANK(H615)=FALSE,IF(D615="BRAND.com",I615,IF(ISNA(VLOOKUP(_xlfn.CONCAT(X615,Z615),TIME!$M$40:$M$42,1,FALSE)),I615,VLOOKUP(_xlfn.CONCAT(D615,G615,H615),M_BUSAREA_FC!$AF$5:$AJ$10,5,FALSE)*HLOOKUP(_xlfn.CONCAT(F615,H615),ST_OVERVIEW!$G$99:$I$130,MATCH(_xlfn.CONCAT(D615,E615),ST_OVERVIEW!$F$99:$F$130,0),FALSE))),IF(D615="BRAND.com",VLOOKUP(_xlfn.CONCAT(C615,D615,E615,TIME!$F$1,Z615),HIS_SALES!$B$2:$V$4859,19,FALSE)*I615,VLOOKUP(_xlfn.CONCAT(D615,F615,G615),Q_BUSAREA_FC!$AE$5:$AI$12,5,FALSE)*HLOOKUP(_xlfn.CONCAT(FC_DATA!F615,FC_DATA!G615),LT_OVERVIEW!$I$99:$M$130,MATCH(_xlfn.CONCAT(D615,FC_DATA!E615),LT_OVERVIEW!$H$99:$H$130,0),FALSE)*IFERROR(VLOOKUP(_xlfn.CONCAT(C615,D615,E615,TIME!$F$1,Z615),HIS_SALES!$B$2:$V$4859,19,FALSE),0)))</f>
        <v>#N/A</v>
      </c>
      <c r="AD615" s="341">
        <f t="shared" ca="1" si="247"/>
        <v>0</v>
      </c>
      <c r="AE615" s="363" t="str">
        <f t="shared" si="248"/>
        <v/>
      </c>
      <c r="AF615" s="342" t="str">
        <f t="shared" si="249"/>
        <v/>
      </c>
      <c r="AG615" s="411" t="e">
        <f ca="1">VLOOKUP(_xlfn.CONCAT(U615,V615,W615,VLOOKUP(X615&amp;Y615,TIME!$L$27:$O$34,4,FALSE),Y615),HIS_SALES!$A$2:$R$5093,18,FALSE)</f>
        <v>#N/A</v>
      </c>
      <c r="AH615" s="412" t="e">
        <f ca="1">IFERROR(IF(AND(V615=V614,W615=W614),0.5*(AB615+AB614)*AG615,(VLOOKUP(_xlfn.CONCAT(U615,V615,W615,X615,VLOOKUP(Z615,TIME!$S$28:$T$39,2,FALSE)),FC_DATA!$R$2:$AB$5000,MATCH("GS_I_M",FC_DATA!$R$1:$AB$1,0),FALSE)+FC_DATA!AB615)*0.5*FC_DATA!AG615),NA())</f>
        <v>#N/A</v>
      </c>
      <c r="AI615" s="491" t="e">
        <f ca="1">IF(V615="PARTNER.com",AH615,IF(AND(V615=V614,W615=W614),(1-AVERAGE(AD614,AD615))*AH615,(1-AVERAGE(AD615,VLOOKUP(_xlfn.CONCAT(U615,V615,W615,X615,M_BRAND_FC!$F$6),FC_DATA!$R$2:$AD$5000,MATCH("DISCOUNT_%_M",FC_DATA!$R$1:$AD$1,0),FALSE)))*AH615))</f>
        <v>#N/A</v>
      </c>
      <c r="AJ615" s="412" t="str">
        <f t="shared" ca="1" si="232"/>
        <v/>
      </c>
      <c r="AK615" s="413" t="str">
        <f>IFERROR(AE615/(Q_BRAND_FC!$T$24+1),"")</f>
        <v/>
      </c>
      <c r="AL615" s="88" t="str">
        <f t="shared" ca="1" si="233"/>
        <v/>
      </c>
      <c r="AM615" s="414" t="str">
        <f t="shared" ca="1" si="234"/>
        <v/>
      </c>
      <c r="AN615" s="58">
        <f>IFERROR(IF($V615="BRAND.com",HLOOKUP($X615&amp;$Z615,NWC_FC_NOOS!$C$4:$Q$23,MATCH(W615,NWC_FC_NOOS!$B$4:$B$23,0),FALSE),0),0)</f>
        <v>0</v>
      </c>
      <c r="AO615" s="57">
        <f>IFERROR(IF($V615="BRAND.com",HLOOKUP($X615&amp;$Z615,NWC_FC_NOOS!$T$4:$AH$23,MATCH(W615,NWC_FC_NOOS!$S$4:$S$23,0),FALSE),0),0)</f>
        <v>0</v>
      </c>
      <c r="AP615" s="57">
        <f>IFERROR(IF($V615="BRAND.com",HLOOKUP($X615&amp;$Z615,NWC_FC_NOOS!$C$50:$U$69,MATCH(W615,NWC_FC_NOOS!$B$50:$B$69,0),FALSE),0),0)</f>
        <v>0</v>
      </c>
      <c r="AQ615" s="58">
        <f>IFERROR(IF($V615="BRAND.com",HLOOKUP($X615&amp;$Z615,'NWC_FC_NON-NOOS'!$C$4:$Q$23,MATCH(W615,'NWC_FC_NON-NOOS'!$B$4:$B$23,0),FALSE),0),0)</f>
        <v>0</v>
      </c>
      <c r="AR615" s="57">
        <f>IFERROR(IF($V615="BRAND.com",HLOOKUP($X615&amp;$Z615,'NWC_FC_NON-NOOS'!$T$4:$AH$23,MATCH(W615,'NWC_FC_NON-NOOS'!$S$4:$S$23,0),FALSE),0),0)</f>
        <v>0</v>
      </c>
      <c r="AS615" s="57">
        <f>IFERROR(IF($V615="BRAND.com",HLOOKUP($X615&amp;$Z615,'NWC_FC_NON-NOOS'!$C$50:$U$69,MATCH(W615,'NWC_FC_NON-NOOS'!$B$50:$B$69,0),FALSE),0),0)</f>
        <v>0</v>
      </c>
      <c r="AT615" s="57">
        <f t="shared" si="236"/>
        <v>0</v>
      </c>
      <c r="AU615" s="57">
        <f t="shared" si="237"/>
        <v>0</v>
      </c>
      <c r="AV615" s="58">
        <f>IFERROR(IF($V615="BRAND.com",HLOOKUP($X615&amp;$Z615,PLANNING_FC!$BB$27:$BP$46,MATCH($W615,PLANNING_FC!$BA$27:$BA$46,0),FALSE),0),0)</f>
        <v>0</v>
      </c>
      <c r="AW615" s="58">
        <f>IFERROR(IF($V615="BRAND.com",HLOOKUP($X615&amp;$Z615,PLANNING_FC!$BB$4:$BP$23,MATCH($W615,PLANNING_FC!$BA$4:$BA$23,0),FALSE),0),0)</f>
        <v>0</v>
      </c>
      <c r="AX615" s="58">
        <f>IFERROR(IF($V615="BRAND.com",HLOOKUP($X615&amp;$Z615,PLANNING_FC!$T$27:$AH$46,MATCH($W615,PLANNING_FC!$B$27:$B$46,0),FALSE),0),0)</f>
        <v>0</v>
      </c>
      <c r="AY615" s="58">
        <f>IFERROR(IF($V615="BRAND.com",HLOOKUP($X615&amp;$Z615,PLANNING_FC!$T$4:$AH$23,MATCH($W615,PLANNING_FC!$B$4:$B$23,0),FALSE),0),0)</f>
        <v>0</v>
      </c>
      <c r="AZ615" s="58">
        <f>IFERROR(IF($V615="BRAND.com",HLOOKUP($X615&amp;$Z615,PLANNING_FC!$DA$27:$DO$46,MATCH($W615,PLANNING_FC!$CZ$27:$CZ$46,0),FALSE),0),0)</f>
        <v>0</v>
      </c>
      <c r="BA615" s="58">
        <f>IFERROR(IF($V615="BRAND.com",HLOOKUP($X615&amp;$Z615,PLANNING_FC!$DA$4:$DO$23,MATCH($W615,PLANNING_FC!$CZ$4:$CZ$23,0),FALSE),0),0)</f>
        <v>0</v>
      </c>
      <c r="BB615" s="883" t="str">
        <f>IF(V615="BRAND.com",IFERROR(HLOOKUP(X615&amp;Z615,PLANNING_FC!$AK$4:$AY$23,MATCH(W615,PLANNING_FC!$AJ$4:$AJ$23,0),FALSE)*1000,""),"")</f>
        <v/>
      </c>
      <c r="BC615" s="883" t="str">
        <f>IF(V615="BRAND.com",IFERROR(HLOOKUP(X615&amp;Z615,PLANNING_FC!$AK$27:$AY$46,MATCH(W615,PLANNING_FC!$AJ$27:$AJ$46,0),FALSE)*1000,""),"")</f>
        <v/>
      </c>
    </row>
    <row r="616" spans="1:55" x14ac:dyDescent="0.25">
      <c r="A616" s="509"/>
      <c r="B616" s="509"/>
      <c r="C616" s="509"/>
      <c r="D616" s="509"/>
      <c r="E616" s="509"/>
      <c r="F616" s="509"/>
      <c r="G616" s="509"/>
      <c r="H616" s="509"/>
      <c r="I616" s="512"/>
      <c r="J616" s="513"/>
      <c r="K616" s="514"/>
      <c r="L616" s="515"/>
      <c r="M616" s="516"/>
      <c r="N616" s="56">
        <f t="shared" si="238"/>
        <v>0</v>
      </c>
      <c r="O616" s="57">
        <f t="shared" si="239"/>
        <v>0</v>
      </c>
      <c r="P616" s="57">
        <f ca="1">IFERROR(IF(ISBLANK(H616),SUMIFS($AC:$AC,$V:$V,V616,$W:$W,W616,$X:$X,X616,$Y:$Y,Y616)*J616/(1-J616)*VLOOKUP(_xlfn.CONCAT(C616,D616,E616,TIME!$M$12,Z616),HIS_SALES!$B$2:$W$4859,20,FALSE),AC616*J616/(1-J616)),0)</f>
        <v>0</v>
      </c>
      <c r="Q616" s="541" t="str">
        <f t="shared" si="240"/>
        <v/>
      </c>
      <c r="R616" s="346" t="str">
        <f t="shared" si="230"/>
        <v>00000</v>
      </c>
      <c r="S616" s="344">
        <f t="shared" si="241"/>
        <v>0</v>
      </c>
      <c r="T616" s="345" t="str">
        <f t="shared" si="235"/>
        <v>000</v>
      </c>
      <c r="U616" s="345">
        <f t="shared" si="242"/>
        <v>0</v>
      </c>
      <c r="V616" s="345">
        <f t="shared" si="243"/>
        <v>0</v>
      </c>
      <c r="W616" s="345">
        <f t="shared" si="244"/>
        <v>0</v>
      </c>
      <c r="X616" s="345">
        <f t="shared" si="245"/>
        <v>0</v>
      </c>
      <c r="Y616" s="345">
        <f t="shared" si="246"/>
        <v>0</v>
      </c>
      <c r="Z616" s="345">
        <f>IF(Q616&lt;&gt;"",VLOOKUP(Y616,TIME!$R$21:$V$24,MATCH(FC_DATA!Q616,TIME!$R$20:$V$20,0),FALSE),H616)</f>
        <v>0</v>
      </c>
      <c r="AA616" s="345" t="str">
        <f>IFERROR(VLOOKUP(X616&amp;Z616,TIME!$A$12:$D$71,4,FALSE),"")</f>
        <v/>
      </c>
      <c r="AB616" s="592">
        <f t="shared" ca="1" si="231"/>
        <v>0</v>
      </c>
      <c r="AC616" s="593" t="e">
        <f ca="1">IF(ISBLANK(H616)=FALSE,IF(D616="BRAND.com",I616,IF(ISNA(VLOOKUP(_xlfn.CONCAT(X616,Z616),TIME!$M$40:$M$42,1,FALSE)),I616,VLOOKUP(_xlfn.CONCAT(D616,G616,H616),M_BUSAREA_FC!$AF$5:$AJ$10,5,FALSE)*HLOOKUP(_xlfn.CONCAT(F616,H616),ST_OVERVIEW!$G$99:$I$130,MATCH(_xlfn.CONCAT(D616,E616),ST_OVERVIEW!$F$99:$F$130,0),FALSE))),IF(D616="BRAND.com",VLOOKUP(_xlfn.CONCAT(C616,D616,E616,TIME!$F$1,Z616),HIS_SALES!$B$2:$V$4859,19,FALSE)*I616,VLOOKUP(_xlfn.CONCAT(D616,F616,G616),Q_BUSAREA_FC!$AE$5:$AI$12,5,FALSE)*HLOOKUP(_xlfn.CONCAT(FC_DATA!F616,FC_DATA!G616),LT_OVERVIEW!$I$99:$M$130,MATCH(_xlfn.CONCAT(D616,FC_DATA!E616),LT_OVERVIEW!$H$99:$H$130,0),FALSE)*IFERROR(VLOOKUP(_xlfn.CONCAT(C616,D616,E616,TIME!$F$1,Z616),HIS_SALES!$B$2:$V$4859,19,FALSE),0)))</f>
        <v>#N/A</v>
      </c>
      <c r="AD616" s="341">
        <f t="shared" ca="1" si="247"/>
        <v>0</v>
      </c>
      <c r="AE616" s="363" t="str">
        <f t="shared" si="248"/>
        <v/>
      </c>
      <c r="AF616" s="342" t="str">
        <f t="shared" si="249"/>
        <v/>
      </c>
      <c r="AG616" s="411" t="e">
        <f ca="1">VLOOKUP(_xlfn.CONCAT(U616,V616,W616,VLOOKUP(X616&amp;Y616,TIME!$L$27:$O$34,4,FALSE),Y616),HIS_SALES!$A$2:$R$5093,18,FALSE)</f>
        <v>#N/A</v>
      </c>
      <c r="AH616" s="412" t="e">
        <f ca="1">IFERROR(IF(AND(V616=V615,W616=W615),0.5*(AB616+AB615)*AG616,(VLOOKUP(_xlfn.CONCAT(U616,V616,W616,X616,VLOOKUP(Z616,TIME!$S$28:$T$39,2,FALSE)),FC_DATA!$R$2:$AB$5000,MATCH("GS_I_M",FC_DATA!$R$1:$AB$1,0),FALSE)+FC_DATA!AB616)*0.5*FC_DATA!AG616),NA())</f>
        <v>#N/A</v>
      </c>
      <c r="AI616" s="491" t="e">
        <f ca="1">IF(V616="PARTNER.com",AH616,IF(AND(V616=V615,W616=W615),(1-AVERAGE(AD615,AD616))*AH616,(1-AVERAGE(AD616,VLOOKUP(_xlfn.CONCAT(U616,V616,W616,X616,M_BRAND_FC!$F$6),FC_DATA!$R$2:$AD$5000,MATCH("DISCOUNT_%_M",FC_DATA!$R$1:$AD$1,0),FALSE)))*AH616))</f>
        <v>#N/A</v>
      </c>
      <c r="AJ616" s="412" t="str">
        <f t="shared" ca="1" si="232"/>
        <v/>
      </c>
      <c r="AK616" s="413" t="str">
        <f>IFERROR(AE616/(Q_BRAND_FC!$T$24+1),"")</f>
        <v/>
      </c>
      <c r="AL616" s="88" t="str">
        <f t="shared" ca="1" si="233"/>
        <v/>
      </c>
      <c r="AM616" s="414" t="str">
        <f t="shared" ca="1" si="234"/>
        <v/>
      </c>
      <c r="AN616" s="58">
        <f>IFERROR(IF($V616="BRAND.com",HLOOKUP($X616&amp;$Z616,NWC_FC_NOOS!$C$4:$Q$23,MATCH(W616,NWC_FC_NOOS!$B$4:$B$23,0),FALSE),0),0)</f>
        <v>0</v>
      </c>
      <c r="AO616" s="57">
        <f>IFERROR(IF($V616="BRAND.com",HLOOKUP($X616&amp;$Z616,NWC_FC_NOOS!$T$4:$AH$23,MATCH(W616,NWC_FC_NOOS!$S$4:$S$23,0),FALSE),0),0)</f>
        <v>0</v>
      </c>
      <c r="AP616" s="57">
        <f>IFERROR(IF($V616="BRAND.com",HLOOKUP($X616&amp;$Z616,NWC_FC_NOOS!$C$50:$U$69,MATCH(W616,NWC_FC_NOOS!$B$50:$B$69,0),FALSE),0),0)</f>
        <v>0</v>
      </c>
      <c r="AQ616" s="58">
        <f>IFERROR(IF($V616="BRAND.com",HLOOKUP($X616&amp;$Z616,'NWC_FC_NON-NOOS'!$C$4:$Q$23,MATCH(W616,'NWC_FC_NON-NOOS'!$B$4:$B$23,0),FALSE),0),0)</f>
        <v>0</v>
      </c>
      <c r="AR616" s="57">
        <f>IFERROR(IF($V616="BRAND.com",HLOOKUP($X616&amp;$Z616,'NWC_FC_NON-NOOS'!$T$4:$AH$23,MATCH(W616,'NWC_FC_NON-NOOS'!$S$4:$S$23,0),FALSE),0),0)</f>
        <v>0</v>
      </c>
      <c r="AS616" s="57">
        <f>IFERROR(IF($V616="BRAND.com",HLOOKUP($X616&amp;$Z616,'NWC_FC_NON-NOOS'!$C$50:$U$69,MATCH(W616,'NWC_FC_NON-NOOS'!$B$50:$B$69,0),FALSE),0),0)</f>
        <v>0</v>
      </c>
      <c r="AT616" s="57">
        <f t="shared" si="236"/>
        <v>0</v>
      </c>
      <c r="AU616" s="57">
        <f t="shared" si="237"/>
        <v>0</v>
      </c>
      <c r="AV616" s="58">
        <f>IFERROR(IF($V616="BRAND.com",HLOOKUP($X616&amp;$Z616,PLANNING_FC!$BB$27:$BP$46,MATCH($W616,PLANNING_FC!$BA$27:$BA$46,0),FALSE),0),0)</f>
        <v>0</v>
      </c>
      <c r="AW616" s="58">
        <f>IFERROR(IF($V616="BRAND.com",HLOOKUP($X616&amp;$Z616,PLANNING_FC!$BB$4:$BP$23,MATCH($W616,PLANNING_FC!$BA$4:$BA$23,0),FALSE),0),0)</f>
        <v>0</v>
      </c>
      <c r="AX616" s="58">
        <f>IFERROR(IF($V616="BRAND.com",HLOOKUP($X616&amp;$Z616,PLANNING_FC!$T$27:$AH$46,MATCH($W616,PLANNING_FC!$B$27:$B$46,0),FALSE),0),0)</f>
        <v>0</v>
      </c>
      <c r="AY616" s="58">
        <f>IFERROR(IF($V616="BRAND.com",HLOOKUP($X616&amp;$Z616,PLANNING_FC!$T$4:$AH$23,MATCH($W616,PLANNING_FC!$B$4:$B$23,0),FALSE),0),0)</f>
        <v>0</v>
      </c>
      <c r="AZ616" s="58">
        <f>IFERROR(IF($V616="BRAND.com",HLOOKUP($X616&amp;$Z616,PLANNING_FC!$DA$27:$DO$46,MATCH($W616,PLANNING_FC!$CZ$27:$CZ$46,0),FALSE),0),0)</f>
        <v>0</v>
      </c>
      <c r="BA616" s="58">
        <f>IFERROR(IF($V616="BRAND.com",HLOOKUP($X616&amp;$Z616,PLANNING_FC!$DA$4:$DO$23,MATCH($W616,PLANNING_FC!$CZ$4:$CZ$23,0),FALSE),0),0)</f>
        <v>0</v>
      </c>
      <c r="BB616" s="883" t="str">
        <f>IF(V616="BRAND.com",IFERROR(HLOOKUP(X616&amp;Z616,PLANNING_FC!$AK$4:$AY$23,MATCH(W616,PLANNING_FC!$AJ$4:$AJ$23,0),FALSE)*1000,""),"")</f>
        <v/>
      </c>
      <c r="BC616" s="883" t="str">
        <f>IF(V616="BRAND.com",IFERROR(HLOOKUP(X616&amp;Z616,PLANNING_FC!$AK$27:$AY$46,MATCH(W616,PLANNING_FC!$AJ$27:$AJ$46,0),FALSE)*1000,""),"")</f>
        <v/>
      </c>
    </row>
    <row r="617" spans="1:55" x14ac:dyDescent="0.25">
      <c r="A617" s="509"/>
      <c r="B617" s="509"/>
      <c r="C617" s="509"/>
      <c r="D617" s="509"/>
      <c r="E617" s="509"/>
      <c r="F617" s="509"/>
      <c r="G617" s="509"/>
      <c r="H617" s="509"/>
      <c r="I617" s="512"/>
      <c r="J617" s="513"/>
      <c r="K617" s="514"/>
      <c r="L617" s="515"/>
      <c r="M617" s="516"/>
      <c r="N617" s="56">
        <f t="shared" si="238"/>
        <v>0</v>
      </c>
      <c r="O617" s="57">
        <f t="shared" si="239"/>
        <v>0</v>
      </c>
      <c r="P617" s="57">
        <f ca="1">IFERROR(IF(ISBLANK(H617),SUMIFS($AC:$AC,$V:$V,V617,$W:$W,W617,$X:$X,X617,$Y:$Y,Y617)*J617/(1-J617)*VLOOKUP(_xlfn.CONCAT(C617,D617,E617,TIME!$M$12,Z617),HIS_SALES!$B$2:$W$4859,20,FALSE),AC617*J617/(1-J617)),0)</f>
        <v>0</v>
      </c>
      <c r="Q617" s="541" t="str">
        <f t="shared" si="240"/>
        <v/>
      </c>
      <c r="R617" s="346" t="str">
        <f t="shared" si="230"/>
        <v>00000</v>
      </c>
      <c r="S617" s="344">
        <f t="shared" si="241"/>
        <v>0</v>
      </c>
      <c r="T617" s="345" t="str">
        <f t="shared" si="235"/>
        <v>000</v>
      </c>
      <c r="U617" s="345">
        <f t="shared" si="242"/>
        <v>0</v>
      </c>
      <c r="V617" s="345">
        <f t="shared" si="243"/>
        <v>0</v>
      </c>
      <c r="W617" s="345">
        <f t="shared" si="244"/>
        <v>0</v>
      </c>
      <c r="X617" s="345">
        <f t="shared" si="245"/>
        <v>0</v>
      </c>
      <c r="Y617" s="345">
        <f t="shared" si="246"/>
        <v>0</v>
      </c>
      <c r="Z617" s="345">
        <f>IF(Q617&lt;&gt;"",VLOOKUP(Y617,TIME!$R$21:$V$24,MATCH(FC_DATA!Q617,TIME!$R$20:$V$20,0),FALSE),H617)</f>
        <v>0</v>
      </c>
      <c r="AA617" s="345" t="str">
        <f>IFERROR(VLOOKUP(X617&amp;Z617,TIME!$A$12:$D$71,4,FALSE),"")</f>
        <v/>
      </c>
      <c r="AB617" s="592">
        <f t="shared" ca="1" si="231"/>
        <v>0</v>
      </c>
      <c r="AC617" s="593" t="e">
        <f ca="1">IF(ISBLANK(H617)=FALSE,IF(D617="BRAND.com",I617,IF(ISNA(VLOOKUP(_xlfn.CONCAT(X617,Z617),TIME!$M$40:$M$42,1,FALSE)),I617,VLOOKUP(_xlfn.CONCAT(D617,G617,H617),M_BUSAREA_FC!$AF$5:$AJ$10,5,FALSE)*HLOOKUP(_xlfn.CONCAT(F617,H617),ST_OVERVIEW!$G$99:$I$130,MATCH(_xlfn.CONCAT(D617,E617),ST_OVERVIEW!$F$99:$F$130,0),FALSE))),IF(D617="BRAND.com",VLOOKUP(_xlfn.CONCAT(C617,D617,E617,TIME!$F$1,Z617),HIS_SALES!$B$2:$V$4859,19,FALSE)*I617,VLOOKUP(_xlfn.CONCAT(D617,F617,G617),Q_BUSAREA_FC!$AE$5:$AI$12,5,FALSE)*HLOOKUP(_xlfn.CONCAT(FC_DATA!F617,FC_DATA!G617),LT_OVERVIEW!$I$99:$M$130,MATCH(_xlfn.CONCAT(D617,FC_DATA!E617),LT_OVERVIEW!$H$99:$H$130,0),FALSE)*IFERROR(VLOOKUP(_xlfn.CONCAT(C617,D617,E617,TIME!$F$1,Z617),HIS_SALES!$B$2:$V$4859,19,FALSE),0)))</f>
        <v>#N/A</v>
      </c>
      <c r="AD617" s="341">
        <f t="shared" ca="1" si="247"/>
        <v>0</v>
      </c>
      <c r="AE617" s="363" t="str">
        <f t="shared" si="248"/>
        <v/>
      </c>
      <c r="AF617" s="342" t="str">
        <f t="shared" si="249"/>
        <v/>
      </c>
      <c r="AG617" s="411" t="e">
        <f ca="1">VLOOKUP(_xlfn.CONCAT(U617,V617,W617,VLOOKUP(X617&amp;Y617,TIME!$L$27:$O$34,4,FALSE),Y617),HIS_SALES!$A$2:$R$5093,18,FALSE)</f>
        <v>#N/A</v>
      </c>
      <c r="AH617" s="412" t="e">
        <f ca="1">IFERROR(IF(AND(V617=V616,W617=W616),0.5*(AB617+AB616)*AG617,(VLOOKUP(_xlfn.CONCAT(U617,V617,W617,X617,VLOOKUP(Z617,TIME!$S$28:$T$39,2,FALSE)),FC_DATA!$R$2:$AB$5000,MATCH("GS_I_M",FC_DATA!$R$1:$AB$1,0),FALSE)+FC_DATA!AB617)*0.5*FC_DATA!AG617),NA())</f>
        <v>#N/A</v>
      </c>
      <c r="AI617" s="491" t="e">
        <f ca="1">IF(V617="PARTNER.com",AH617,IF(AND(V617=V616,W617=W616),(1-AVERAGE(AD616,AD617))*AH617,(1-AVERAGE(AD617,VLOOKUP(_xlfn.CONCAT(U617,V617,W617,X617,M_BRAND_FC!$F$6),FC_DATA!$R$2:$AD$5000,MATCH("DISCOUNT_%_M",FC_DATA!$R$1:$AD$1,0),FALSE)))*AH617))</f>
        <v>#N/A</v>
      </c>
      <c r="AJ617" s="412" t="str">
        <f t="shared" ca="1" si="232"/>
        <v/>
      </c>
      <c r="AK617" s="413" t="str">
        <f>IFERROR(AE617/(Q_BRAND_FC!$T$24+1),"")</f>
        <v/>
      </c>
      <c r="AL617" s="88" t="str">
        <f t="shared" ca="1" si="233"/>
        <v/>
      </c>
      <c r="AM617" s="414" t="str">
        <f t="shared" ca="1" si="234"/>
        <v/>
      </c>
      <c r="AN617" s="58">
        <f>IFERROR(IF($V617="BRAND.com",HLOOKUP($X617&amp;$Z617,NWC_FC_NOOS!$C$4:$Q$23,MATCH(W617,NWC_FC_NOOS!$B$4:$B$23,0),FALSE),0),0)</f>
        <v>0</v>
      </c>
      <c r="AO617" s="57">
        <f>IFERROR(IF($V617="BRAND.com",HLOOKUP($X617&amp;$Z617,NWC_FC_NOOS!$T$4:$AH$23,MATCH(W617,NWC_FC_NOOS!$S$4:$S$23,0),FALSE),0),0)</f>
        <v>0</v>
      </c>
      <c r="AP617" s="57">
        <f>IFERROR(IF($V617="BRAND.com",HLOOKUP($X617&amp;$Z617,NWC_FC_NOOS!$C$50:$U$69,MATCH(W617,NWC_FC_NOOS!$B$50:$B$69,0),FALSE),0),0)</f>
        <v>0</v>
      </c>
      <c r="AQ617" s="58">
        <f>IFERROR(IF($V617="BRAND.com",HLOOKUP($X617&amp;$Z617,'NWC_FC_NON-NOOS'!$C$4:$Q$23,MATCH(W617,'NWC_FC_NON-NOOS'!$B$4:$B$23,0),FALSE),0),0)</f>
        <v>0</v>
      </c>
      <c r="AR617" s="57">
        <f>IFERROR(IF($V617="BRAND.com",HLOOKUP($X617&amp;$Z617,'NWC_FC_NON-NOOS'!$T$4:$AH$23,MATCH(W617,'NWC_FC_NON-NOOS'!$S$4:$S$23,0),FALSE),0),0)</f>
        <v>0</v>
      </c>
      <c r="AS617" s="57">
        <f>IFERROR(IF($V617="BRAND.com",HLOOKUP($X617&amp;$Z617,'NWC_FC_NON-NOOS'!$C$50:$U$69,MATCH(W617,'NWC_FC_NON-NOOS'!$B$50:$B$69,0),FALSE),0),0)</f>
        <v>0</v>
      </c>
      <c r="AT617" s="57">
        <f t="shared" si="236"/>
        <v>0</v>
      </c>
      <c r="AU617" s="57">
        <f t="shared" si="237"/>
        <v>0</v>
      </c>
      <c r="AV617" s="58">
        <f>IFERROR(IF($V617="BRAND.com",HLOOKUP($X617&amp;$Z617,PLANNING_FC!$BB$27:$BP$46,MATCH($W617,PLANNING_FC!$BA$27:$BA$46,0),FALSE),0),0)</f>
        <v>0</v>
      </c>
      <c r="AW617" s="58">
        <f>IFERROR(IF($V617="BRAND.com",HLOOKUP($X617&amp;$Z617,PLANNING_FC!$BB$4:$BP$23,MATCH($W617,PLANNING_FC!$BA$4:$BA$23,0),FALSE),0),0)</f>
        <v>0</v>
      </c>
      <c r="AX617" s="58">
        <f>IFERROR(IF($V617="BRAND.com",HLOOKUP($X617&amp;$Z617,PLANNING_FC!$T$27:$AH$46,MATCH($W617,PLANNING_FC!$B$27:$B$46,0),FALSE),0),0)</f>
        <v>0</v>
      </c>
      <c r="AY617" s="58">
        <f>IFERROR(IF($V617="BRAND.com",HLOOKUP($X617&amp;$Z617,PLANNING_FC!$T$4:$AH$23,MATCH($W617,PLANNING_FC!$B$4:$B$23,0),FALSE),0),0)</f>
        <v>0</v>
      </c>
      <c r="AZ617" s="58">
        <f>IFERROR(IF($V617="BRAND.com",HLOOKUP($X617&amp;$Z617,PLANNING_FC!$DA$27:$DO$46,MATCH($W617,PLANNING_FC!$CZ$27:$CZ$46,0),FALSE),0),0)</f>
        <v>0</v>
      </c>
      <c r="BA617" s="58">
        <f>IFERROR(IF($V617="BRAND.com",HLOOKUP($X617&amp;$Z617,PLANNING_FC!$DA$4:$DO$23,MATCH($W617,PLANNING_FC!$CZ$4:$CZ$23,0),FALSE),0),0)</f>
        <v>0</v>
      </c>
      <c r="BB617" s="883" t="str">
        <f>IF(V617="BRAND.com",IFERROR(HLOOKUP(X617&amp;Z617,PLANNING_FC!$AK$4:$AY$23,MATCH(W617,PLANNING_FC!$AJ$4:$AJ$23,0),FALSE)*1000,""),"")</f>
        <v/>
      </c>
      <c r="BC617" s="883" t="str">
        <f>IF(V617="BRAND.com",IFERROR(HLOOKUP(X617&amp;Z617,PLANNING_FC!$AK$27:$AY$46,MATCH(W617,PLANNING_FC!$AJ$27:$AJ$46,0),FALSE)*1000,""),"")</f>
        <v/>
      </c>
    </row>
    <row r="618" spans="1:55" x14ac:dyDescent="0.25">
      <c r="A618" s="509"/>
      <c r="B618" s="509"/>
      <c r="C618" s="509"/>
      <c r="D618" s="509"/>
      <c r="E618" s="509"/>
      <c r="F618" s="509"/>
      <c r="G618" s="509"/>
      <c r="H618" s="509"/>
      <c r="I618" s="512"/>
      <c r="J618" s="513"/>
      <c r="K618" s="514"/>
      <c r="L618" s="515"/>
      <c r="M618" s="516"/>
      <c r="N618" s="56">
        <f t="shared" si="238"/>
        <v>0</v>
      </c>
      <c r="O618" s="57">
        <f t="shared" si="239"/>
        <v>0</v>
      </c>
      <c r="P618" s="57">
        <f ca="1">IFERROR(IF(ISBLANK(H618),SUMIFS($AC:$AC,$V:$V,V618,$W:$W,W618,$X:$X,X618,$Y:$Y,Y618)*J618/(1-J618)*VLOOKUP(_xlfn.CONCAT(C618,D618,E618,TIME!$M$12,Z618),HIS_SALES!$B$2:$W$4859,20,FALSE),AC618*J618/(1-J618)),0)</f>
        <v>0</v>
      </c>
      <c r="Q618" s="541" t="str">
        <f t="shared" si="240"/>
        <v/>
      </c>
      <c r="R618" s="346" t="str">
        <f t="shared" si="230"/>
        <v>00000</v>
      </c>
      <c r="S618" s="344">
        <f t="shared" si="241"/>
        <v>0</v>
      </c>
      <c r="T618" s="345" t="str">
        <f t="shared" si="235"/>
        <v>000</v>
      </c>
      <c r="U618" s="345">
        <f t="shared" si="242"/>
        <v>0</v>
      </c>
      <c r="V618" s="345">
        <f t="shared" si="243"/>
        <v>0</v>
      </c>
      <c r="W618" s="345">
        <f t="shared" si="244"/>
        <v>0</v>
      </c>
      <c r="X618" s="345">
        <f t="shared" si="245"/>
        <v>0</v>
      </c>
      <c r="Y618" s="345">
        <f t="shared" si="246"/>
        <v>0</v>
      </c>
      <c r="Z618" s="345">
        <f>IF(Q618&lt;&gt;"",VLOOKUP(Y618,TIME!$R$21:$V$24,MATCH(FC_DATA!Q618,TIME!$R$20:$V$20,0),FALSE),H618)</f>
        <v>0</v>
      </c>
      <c r="AA618" s="345" t="str">
        <f>IFERROR(VLOOKUP(X618&amp;Z618,TIME!$A$12:$D$71,4,FALSE),"")</f>
        <v/>
      </c>
      <c r="AB618" s="592">
        <f t="shared" ca="1" si="231"/>
        <v>0</v>
      </c>
      <c r="AC618" s="593" t="e">
        <f ca="1">IF(ISBLANK(H618)=FALSE,IF(D618="BRAND.com",I618,IF(ISNA(VLOOKUP(_xlfn.CONCAT(X618,Z618),TIME!$M$40:$M$42,1,FALSE)),I618,VLOOKUP(_xlfn.CONCAT(D618,G618,H618),M_BUSAREA_FC!$AF$5:$AJ$10,5,FALSE)*HLOOKUP(_xlfn.CONCAT(F618,H618),ST_OVERVIEW!$G$99:$I$130,MATCH(_xlfn.CONCAT(D618,E618),ST_OVERVIEW!$F$99:$F$130,0),FALSE))),IF(D618="BRAND.com",VLOOKUP(_xlfn.CONCAT(C618,D618,E618,TIME!$F$1,Z618),HIS_SALES!$B$2:$V$4859,19,FALSE)*I618,VLOOKUP(_xlfn.CONCAT(D618,F618,G618),Q_BUSAREA_FC!$AE$5:$AI$12,5,FALSE)*HLOOKUP(_xlfn.CONCAT(FC_DATA!F618,FC_DATA!G618),LT_OVERVIEW!$I$99:$M$130,MATCH(_xlfn.CONCAT(D618,FC_DATA!E618),LT_OVERVIEW!$H$99:$H$130,0),FALSE)*IFERROR(VLOOKUP(_xlfn.CONCAT(C618,D618,E618,TIME!$F$1,Z618),HIS_SALES!$B$2:$V$4859,19,FALSE),0)))</f>
        <v>#N/A</v>
      </c>
      <c r="AD618" s="341">
        <f t="shared" ca="1" si="247"/>
        <v>0</v>
      </c>
      <c r="AE618" s="363" t="str">
        <f t="shared" si="248"/>
        <v/>
      </c>
      <c r="AF618" s="342" t="str">
        <f t="shared" si="249"/>
        <v/>
      </c>
      <c r="AG618" s="411" t="e">
        <f ca="1">VLOOKUP(_xlfn.CONCAT(U618,V618,W618,VLOOKUP(X618&amp;Y618,TIME!$L$27:$O$34,4,FALSE),Y618),HIS_SALES!$A$2:$R$5093,18,FALSE)</f>
        <v>#N/A</v>
      </c>
      <c r="AH618" s="412" t="e">
        <f ca="1">IFERROR(IF(AND(V618=V617,W618=W617),0.5*(AB618+AB617)*AG618,(VLOOKUP(_xlfn.CONCAT(U618,V618,W618,X618,VLOOKUP(Z618,TIME!$S$28:$T$39,2,FALSE)),FC_DATA!$R$2:$AB$5000,MATCH("GS_I_M",FC_DATA!$R$1:$AB$1,0),FALSE)+FC_DATA!AB618)*0.5*FC_DATA!AG618),NA())</f>
        <v>#N/A</v>
      </c>
      <c r="AI618" s="491" t="e">
        <f ca="1">IF(V618="PARTNER.com",AH618,IF(AND(V618=V617,W618=W617),(1-AVERAGE(AD617,AD618))*AH618,(1-AVERAGE(AD618,VLOOKUP(_xlfn.CONCAT(U618,V618,W618,X618,M_BRAND_FC!$F$6),FC_DATA!$R$2:$AD$5000,MATCH("DISCOUNT_%_M",FC_DATA!$R$1:$AD$1,0),FALSE)))*AH618))</f>
        <v>#N/A</v>
      </c>
      <c r="AJ618" s="412" t="str">
        <f t="shared" ca="1" si="232"/>
        <v/>
      </c>
      <c r="AK618" s="413" t="str">
        <f>IFERROR(AE618/(Q_BRAND_FC!$T$24+1),"")</f>
        <v/>
      </c>
      <c r="AL618" s="88" t="str">
        <f t="shared" ca="1" si="233"/>
        <v/>
      </c>
      <c r="AM618" s="414" t="str">
        <f t="shared" ca="1" si="234"/>
        <v/>
      </c>
      <c r="AN618" s="58">
        <f>IFERROR(IF($V618="BRAND.com",HLOOKUP($X618&amp;$Z618,NWC_FC_NOOS!$C$4:$Q$23,MATCH(W618,NWC_FC_NOOS!$B$4:$B$23,0),FALSE),0),0)</f>
        <v>0</v>
      </c>
      <c r="AO618" s="57">
        <f>IFERROR(IF($V618="BRAND.com",HLOOKUP($X618&amp;$Z618,NWC_FC_NOOS!$T$4:$AH$23,MATCH(W618,NWC_FC_NOOS!$S$4:$S$23,0),FALSE),0),0)</f>
        <v>0</v>
      </c>
      <c r="AP618" s="57">
        <f>IFERROR(IF($V618="BRAND.com",HLOOKUP($X618&amp;$Z618,NWC_FC_NOOS!$C$50:$U$69,MATCH(W618,NWC_FC_NOOS!$B$50:$B$69,0),FALSE),0),0)</f>
        <v>0</v>
      </c>
      <c r="AQ618" s="58">
        <f>IFERROR(IF($V618="BRAND.com",HLOOKUP($X618&amp;$Z618,'NWC_FC_NON-NOOS'!$C$4:$Q$23,MATCH(W618,'NWC_FC_NON-NOOS'!$B$4:$B$23,0),FALSE),0),0)</f>
        <v>0</v>
      </c>
      <c r="AR618" s="57">
        <f>IFERROR(IF($V618="BRAND.com",HLOOKUP($X618&amp;$Z618,'NWC_FC_NON-NOOS'!$T$4:$AH$23,MATCH(W618,'NWC_FC_NON-NOOS'!$S$4:$S$23,0),FALSE),0),0)</f>
        <v>0</v>
      </c>
      <c r="AS618" s="57">
        <f>IFERROR(IF($V618="BRAND.com",HLOOKUP($X618&amp;$Z618,'NWC_FC_NON-NOOS'!$C$50:$U$69,MATCH(W618,'NWC_FC_NON-NOOS'!$B$50:$B$69,0),FALSE),0),0)</f>
        <v>0</v>
      </c>
      <c r="AT618" s="57">
        <f t="shared" si="236"/>
        <v>0</v>
      </c>
      <c r="AU618" s="57">
        <f t="shared" si="237"/>
        <v>0</v>
      </c>
      <c r="AV618" s="58">
        <f>IFERROR(IF($V618="BRAND.com",HLOOKUP($X618&amp;$Z618,PLANNING_FC!$BB$27:$BP$46,MATCH($W618,PLANNING_FC!$BA$27:$BA$46,0),FALSE),0),0)</f>
        <v>0</v>
      </c>
      <c r="AW618" s="58">
        <f>IFERROR(IF($V618="BRAND.com",HLOOKUP($X618&amp;$Z618,PLANNING_FC!$BB$4:$BP$23,MATCH($W618,PLANNING_FC!$BA$4:$BA$23,0),FALSE),0),0)</f>
        <v>0</v>
      </c>
      <c r="AX618" s="58">
        <f>IFERROR(IF($V618="BRAND.com",HLOOKUP($X618&amp;$Z618,PLANNING_FC!$T$27:$AH$46,MATCH($W618,PLANNING_FC!$B$27:$B$46,0),FALSE),0),0)</f>
        <v>0</v>
      </c>
      <c r="AY618" s="58">
        <f>IFERROR(IF($V618="BRAND.com",HLOOKUP($X618&amp;$Z618,PLANNING_FC!$T$4:$AH$23,MATCH($W618,PLANNING_FC!$B$4:$B$23,0),FALSE),0),0)</f>
        <v>0</v>
      </c>
      <c r="AZ618" s="58">
        <f>IFERROR(IF($V618="BRAND.com",HLOOKUP($X618&amp;$Z618,PLANNING_FC!$DA$27:$DO$46,MATCH($W618,PLANNING_FC!$CZ$27:$CZ$46,0),FALSE),0),0)</f>
        <v>0</v>
      </c>
      <c r="BA618" s="58">
        <f>IFERROR(IF($V618="BRAND.com",HLOOKUP($X618&amp;$Z618,PLANNING_FC!$DA$4:$DO$23,MATCH($W618,PLANNING_FC!$CZ$4:$CZ$23,0),FALSE),0),0)</f>
        <v>0</v>
      </c>
      <c r="BB618" s="883" t="str">
        <f>IF(V618="BRAND.com",IFERROR(HLOOKUP(X618&amp;Z618,PLANNING_FC!$AK$4:$AY$23,MATCH(W618,PLANNING_FC!$AJ$4:$AJ$23,0),FALSE)*1000,""),"")</f>
        <v/>
      </c>
      <c r="BC618" s="883" t="str">
        <f>IF(V618="BRAND.com",IFERROR(HLOOKUP(X618&amp;Z618,PLANNING_FC!$AK$27:$AY$46,MATCH(W618,PLANNING_FC!$AJ$27:$AJ$46,0),FALSE)*1000,""),"")</f>
        <v/>
      </c>
    </row>
    <row r="619" spans="1:55" x14ac:dyDescent="0.25">
      <c r="A619" s="509"/>
      <c r="B619" s="509"/>
      <c r="C619" s="509"/>
      <c r="D619" s="509"/>
      <c r="E619" s="509"/>
      <c r="F619" s="509"/>
      <c r="G619" s="509"/>
      <c r="H619" s="509"/>
      <c r="I619" s="512"/>
      <c r="J619" s="513"/>
      <c r="K619" s="514"/>
      <c r="L619" s="515"/>
      <c r="M619" s="516"/>
      <c r="N619" s="56">
        <f t="shared" si="238"/>
        <v>0</v>
      </c>
      <c r="O619" s="57">
        <f t="shared" si="239"/>
        <v>0</v>
      </c>
      <c r="P619" s="57">
        <f ca="1">IFERROR(IF(ISBLANK(H619),SUMIFS($AC:$AC,$V:$V,V619,$W:$W,W619,$X:$X,X619,$Y:$Y,Y619)*J619/(1-J619)*VLOOKUP(_xlfn.CONCAT(C619,D619,E619,TIME!$M$12,Z619),HIS_SALES!$B$2:$W$4859,20,FALSE),AC619*J619/(1-J619)),0)</f>
        <v>0</v>
      </c>
      <c r="Q619" s="541" t="str">
        <f t="shared" si="240"/>
        <v/>
      </c>
      <c r="R619" s="346" t="str">
        <f t="shared" si="230"/>
        <v>00000</v>
      </c>
      <c r="S619" s="344">
        <f t="shared" si="241"/>
        <v>0</v>
      </c>
      <c r="T619" s="345" t="str">
        <f t="shared" si="235"/>
        <v>000</v>
      </c>
      <c r="U619" s="345">
        <f t="shared" si="242"/>
        <v>0</v>
      </c>
      <c r="V619" s="345">
        <f t="shared" si="243"/>
        <v>0</v>
      </c>
      <c r="W619" s="345">
        <f t="shared" si="244"/>
        <v>0</v>
      </c>
      <c r="X619" s="345">
        <f t="shared" si="245"/>
        <v>0</v>
      </c>
      <c r="Y619" s="345">
        <f t="shared" si="246"/>
        <v>0</v>
      </c>
      <c r="Z619" s="345">
        <f>IF(Q619&lt;&gt;"",VLOOKUP(Y619,TIME!$R$21:$V$24,MATCH(FC_DATA!Q619,TIME!$R$20:$V$20,0),FALSE),H619)</f>
        <v>0</v>
      </c>
      <c r="AA619" s="345" t="str">
        <f>IFERROR(VLOOKUP(X619&amp;Z619,TIME!$A$12:$D$71,4,FALSE),"")</f>
        <v/>
      </c>
      <c r="AB619" s="592">
        <f t="shared" ca="1" si="231"/>
        <v>0</v>
      </c>
      <c r="AC619" s="593" t="e">
        <f ca="1">IF(ISBLANK(H619)=FALSE,IF(D619="BRAND.com",I619,IF(ISNA(VLOOKUP(_xlfn.CONCAT(X619,Z619),TIME!$M$40:$M$42,1,FALSE)),I619,VLOOKUP(_xlfn.CONCAT(D619,G619,H619),M_BUSAREA_FC!$AF$5:$AJ$10,5,FALSE)*HLOOKUP(_xlfn.CONCAT(F619,H619),ST_OVERVIEW!$G$99:$I$130,MATCH(_xlfn.CONCAT(D619,E619),ST_OVERVIEW!$F$99:$F$130,0),FALSE))),IF(D619="BRAND.com",VLOOKUP(_xlfn.CONCAT(C619,D619,E619,TIME!$F$1,Z619),HIS_SALES!$B$2:$V$4859,19,FALSE)*I619,VLOOKUP(_xlfn.CONCAT(D619,F619,G619),Q_BUSAREA_FC!$AE$5:$AI$12,5,FALSE)*HLOOKUP(_xlfn.CONCAT(FC_DATA!F619,FC_DATA!G619),LT_OVERVIEW!$I$99:$M$130,MATCH(_xlfn.CONCAT(D619,FC_DATA!E619),LT_OVERVIEW!$H$99:$H$130,0),FALSE)*IFERROR(VLOOKUP(_xlfn.CONCAT(C619,D619,E619,TIME!$F$1,Z619),HIS_SALES!$B$2:$V$4859,19,FALSE),0)))</f>
        <v>#N/A</v>
      </c>
      <c r="AD619" s="341">
        <f t="shared" ca="1" si="247"/>
        <v>0</v>
      </c>
      <c r="AE619" s="363" t="str">
        <f t="shared" si="248"/>
        <v/>
      </c>
      <c r="AF619" s="342" t="str">
        <f t="shared" si="249"/>
        <v/>
      </c>
      <c r="AG619" s="411" t="e">
        <f ca="1">VLOOKUP(_xlfn.CONCAT(U619,V619,W619,VLOOKUP(X619&amp;Y619,TIME!$L$27:$O$34,4,FALSE),Y619),HIS_SALES!$A$2:$R$5093,18,FALSE)</f>
        <v>#N/A</v>
      </c>
      <c r="AH619" s="412" t="e">
        <f ca="1">IFERROR(IF(AND(V619=V618,W619=W618),0.5*(AB619+AB618)*AG619,(VLOOKUP(_xlfn.CONCAT(U619,V619,W619,X619,VLOOKUP(Z619,TIME!$S$28:$T$39,2,FALSE)),FC_DATA!$R$2:$AB$5000,MATCH("GS_I_M",FC_DATA!$R$1:$AB$1,0),FALSE)+FC_DATA!AB619)*0.5*FC_DATA!AG619),NA())</f>
        <v>#N/A</v>
      </c>
      <c r="AI619" s="491" t="e">
        <f ca="1">IF(V619="PARTNER.com",AH619,IF(AND(V619=V618,W619=W618),(1-AVERAGE(AD618,AD619))*AH619,(1-AVERAGE(AD619,VLOOKUP(_xlfn.CONCAT(U619,V619,W619,X619,M_BRAND_FC!$F$6),FC_DATA!$R$2:$AD$5000,MATCH("DISCOUNT_%_M",FC_DATA!$R$1:$AD$1,0),FALSE)))*AH619))</f>
        <v>#N/A</v>
      </c>
      <c r="AJ619" s="412" t="str">
        <f t="shared" ca="1" si="232"/>
        <v/>
      </c>
      <c r="AK619" s="413" t="str">
        <f>IFERROR(AE619/(Q_BRAND_FC!$T$24+1),"")</f>
        <v/>
      </c>
      <c r="AL619" s="88" t="str">
        <f t="shared" ca="1" si="233"/>
        <v/>
      </c>
      <c r="AM619" s="414" t="str">
        <f t="shared" ca="1" si="234"/>
        <v/>
      </c>
      <c r="AN619" s="58">
        <f>IFERROR(IF($V619="BRAND.com",HLOOKUP($X619&amp;$Z619,NWC_FC_NOOS!$C$4:$Q$23,MATCH(W619,NWC_FC_NOOS!$B$4:$B$23,0),FALSE),0),0)</f>
        <v>0</v>
      </c>
      <c r="AO619" s="57">
        <f>IFERROR(IF($V619="BRAND.com",HLOOKUP($X619&amp;$Z619,NWC_FC_NOOS!$T$4:$AH$23,MATCH(W619,NWC_FC_NOOS!$S$4:$S$23,0),FALSE),0),0)</f>
        <v>0</v>
      </c>
      <c r="AP619" s="57">
        <f>IFERROR(IF($V619="BRAND.com",HLOOKUP($X619&amp;$Z619,NWC_FC_NOOS!$C$50:$U$69,MATCH(W619,NWC_FC_NOOS!$B$50:$B$69,0),FALSE),0),0)</f>
        <v>0</v>
      </c>
      <c r="AQ619" s="58">
        <f>IFERROR(IF($V619="BRAND.com",HLOOKUP($X619&amp;$Z619,'NWC_FC_NON-NOOS'!$C$4:$Q$23,MATCH(W619,'NWC_FC_NON-NOOS'!$B$4:$B$23,0),FALSE),0),0)</f>
        <v>0</v>
      </c>
      <c r="AR619" s="57">
        <f>IFERROR(IF($V619="BRAND.com",HLOOKUP($X619&amp;$Z619,'NWC_FC_NON-NOOS'!$T$4:$AH$23,MATCH(W619,'NWC_FC_NON-NOOS'!$S$4:$S$23,0),FALSE),0),0)</f>
        <v>0</v>
      </c>
      <c r="AS619" s="57">
        <f>IFERROR(IF($V619="BRAND.com",HLOOKUP($X619&amp;$Z619,'NWC_FC_NON-NOOS'!$C$50:$U$69,MATCH(W619,'NWC_FC_NON-NOOS'!$B$50:$B$69,0),FALSE),0),0)</f>
        <v>0</v>
      </c>
      <c r="AT619" s="57">
        <f t="shared" si="236"/>
        <v>0</v>
      </c>
      <c r="AU619" s="57">
        <f t="shared" si="237"/>
        <v>0</v>
      </c>
      <c r="AV619" s="58">
        <f>IFERROR(IF($V619="BRAND.com",HLOOKUP($X619&amp;$Z619,PLANNING_FC!$BB$27:$BP$46,MATCH($W619,PLANNING_FC!$BA$27:$BA$46,0),FALSE),0),0)</f>
        <v>0</v>
      </c>
      <c r="AW619" s="58">
        <f>IFERROR(IF($V619="BRAND.com",HLOOKUP($X619&amp;$Z619,PLANNING_FC!$BB$4:$BP$23,MATCH($W619,PLANNING_FC!$BA$4:$BA$23,0),FALSE),0),0)</f>
        <v>0</v>
      </c>
      <c r="AX619" s="58">
        <f>IFERROR(IF($V619="BRAND.com",HLOOKUP($X619&amp;$Z619,PLANNING_FC!$T$27:$AH$46,MATCH($W619,PLANNING_FC!$B$27:$B$46,0),FALSE),0),0)</f>
        <v>0</v>
      </c>
      <c r="AY619" s="58">
        <f>IFERROR(IF($V619="BRAND.com",HLOOKUP($X619&amp;$Z619,PLANNING_FC!$T$4:$AH$23,MATCH($W619,PLANNING_FC!$B$4:$B$23,0),FALSE),0),0)</f>
        <v>0</v>
      </c>
      <c r="AZ619" s="58">
        <f>IFERROR(IF($V619="BRAND.com",HLOOKUP($X619&amp;$Z619,PLANNING_FC!$DA$27:$DO$46,MATCH($W619,PLANNING_FC!$CZ$27:$CZ$46,0),FALSE),0),0)</f>
        <v>0</v>
      </c>
      <c r="BA619" s="58">
        <f>IFERROR(IF($V619="BRAND.com",HLOOKUP($X619&amp;$Z619,PLANNING_FC!$DA$4:$DO$23,MATCH($W619,PLANNING_FC!$CZ$4:$CZ$23,0),FALSE),0),0)</f>
        <v>0</v>
      </c>
      <c r="BB619" s="883" t="str">
        <f>IF(V619="BRAND.com",IFERROR(HLOOKUP(X619&amp;Z619,PLANNING_FC!$AK$4:$AY$23,MATCH(W619,PLANNING_FC!$AJ$4:$AJ$23,0),FALSE)*1000,""),"")</f>
        <v/>
      </c>
      <c r="BC619" s="883" t="str">
        <f>IF(V619="BRAND.com",IFERROR(HLOOKUP(X619&amp;Z619,PLANNING_FC!$AK$27:$AY$46,MATCH(W619,PLANNING_FC!$AJ$27:$AJ$46,0),FALSE)*1000,""),"")</f>
        <v/>
      </c>
    </row>
    <row r="620" spans="1:55" x14ac:dyDescent="0.25">
      <c r="A620" s="509"/>
      <c r="B620" s="509"/>
      <c r="C620" s="509"/>
      <c r="D620" s="509"/>
      <c r="E620" s="509"/>
      <c r="F620" s="509"/>
      <c r="G620" s="509"/>
      <c r="H620" s="509"/>
      <c r="I620" s="512"/>
      <c r="J620" s="513"/>
      <c r="K620" s="514"/>
      <c r="L620" s="515"/>
      <c r="M620" s="516"/>
      <c r="N620" s="56">
        <f t="shared" si="238"/>
        <v>0</v>
      </c>
      <c r="O620" s="57">
        <f t="shared" si="239"/>
        <v>0</v>
      </c>
      <c r="P620" s="57">
        <f ca="1">IFERROR(IF(ISBLANK(H620),SUMIFS($AC:$AC,$V:$V,V620,$W:$W,W620,$X:$X,X620,$Y:$Y,Y620)*J620/(1-J620)*VLOOKUP(_xlfn.CONCAT(C620,D620,E620,TIME!$M$12,Z620),HIS_SALES!$B$2:$W$4859,20,FALSE),AC620*J620/(1-J620)),0)</f>
        <v>0</v>
      </c>
      <c r="Q620" s="541" t="str">
        <f t="shared" si="240"/>
        <v/>
      </c>
      <c r="R620" s="346" t="str">
        <f t="shared" si="230"/>
        <v>00000</v>
      </c>
      <c r="S620" s="344">
        <f t="shared" si="241"/>
        <v>0</v>
      </c>
      <c r="T620" s="345" t="str">
        <f t="shared" si="235"/>
        <v>000</v>
      </c>
      <c r="U620" s="345">
        <f t="shared" si="242"/>
        <v>0</v>
      </c>
      <c r="V620" s="345">
        <f t="shared" si="243"/>
        <v>0</v>
      </c>
      <c r="W620" s="345">
        <f t="shared" si="244"/>
        <v>0</v>
      </c>
      <c r="X620" s="345">
        <f t="shared" si="245"/>
        <v>0</v>
      </c>
      <c r="Y620" s="345">
        <f t="shared" si="246"/>
        <v>0</v>
      </c>
      <c r="Z620" s="345">
        <f>IF(Q620&lt;&gt;"",VLOOKUP(Y620,TIME!$R$21:$V$24,MATCH(FC_DATA!Q620,TIME!$R$20:$V$20,0),FALSE),H620)</f>
        <v>0</v>
      </c>
      <c r="AA620" s="345" t="str">
        <f>IFERROR(VLOOKUP(X620&amp;Z620,TIME!$A$12:$D$71,4,FALSE),"")</f>
        <v/>
      </c>
      <c r="AB620" s="592">
        <f t="shared" ca="1" si="231"/>
        <v>0</v>
      </c>
      <c r="AC620" s="593" t="e">
        <f ca="1">IF(ISBLANK(H620)=FALSE,IF(D620="BRAND.com",I620,IF(ISNA(VLOOKUP(_xlfn.CONCAT(X620,Z620),TIME!$M$40:$M$42,1,FALSE)),I620,VLOOKUP(_xlfn.CONCAT(D620,G620,H620),M_BUSAREA_FC!$AF$5:$AJ$10,5,FALSE)*HLOOKUP(_xlfn.CONCAT(F620,H620),ST_OVERVIEW!$G$99:$I$130,MATCH(_xlfn.CONCAT(D620,E620),ST_OVERVIEW!$F$99:$F$130,0),FALSE))),IF(D620="BRAND.com",VLOOKUP(_xlfn.CONCAT(C620,D620,E620,TIME!$F$1,Z620),HIS_SALES!$B$2:$V$4859,19,FALSE)*I620,VLOOKUP(_xlfn.CONCAT(D620,F620,G620),Q_BUSAREA_FC!$AE$5:$AI$12,5,FALSE)*HLOOKUP(_xlfn.CONCAT(FC_DATA!F620,FC_DATA!G620),LT_OVERVIEW!$I$99:$M$130,MATCH(_xlfn.CONCAT(D620,FC_DATA!E620),LT_OVERVIEW!$H$99:$H$130,0),FALSE)*IFERROR(VLOOKUP(_xlfn.CONCAT(C620,D620,E620,TIME!$F$1,Z620),HIS_SALES!$B$2:$V$4859,19,FALSE),0)))</f>
        <v>#N/A</v>
      </c>
      <c r="AD620" s="341">
        <f t="shared" ca="1" si="247"/>
        <v>0</v>
      </c>
      <c r="AE620" s="363" t="str">
        <f t="shared" si="248"/>
        <v/>
      </c>
      <c r="AF620" s="342" t="str">
        <f t="shared" si="249"/>
        <v/>
      </c>
      <c r="AG620" s="411" t="e">
        <f ca="1">VLOOKUP(_xlfn.CONCAT(U620,V620,W620,VLOOKUP(X620&amp;Y620,TIME!$L$27:$O$34,4,FALSE),Y620),HIS_SALES!$A$2:$R$5093,18,FALSE)</f>
        <v>#N/A</v>
      </c>
      <c r="AH620" s="412" t="e">
        <f ca="1">IFERROR(IF(AND(V620=V619,W620=W619),0.5*(AB620+AB619)*AG620,(VLOOKUP(_xlfn.CONCAT(U620,V620,W620,X620,VLOOKUP(Z620,TIME!$S$28:$T$39,2,FALSE)),FC_DATA!$R$2:$AB$5000,MATCH("GS_I_M",FC_DATA!$R$1:$AB$1,0),FALSE)+FC_DATA!AB620)*0.5*FC_DATA!AG620),NA())</f>
        <v>#N/A</v>
      </c>
      <c r="AI620" s="491" t="e">
        <f ca="1">IF(V620="PARTNER.com",AH620,IF(AND(V620=V619,W620=W619),(1-AVERAGE(AD619,AD620))*AH620,(1-AVERAGE(AD620,VLOOKUP(_xlfn.CONCAT(U620,V620,W620,X620,M_BRAND_FC!$F$6),FC_DATA!$R$2:$AD$5000,MATCH("DISCOUNT_%_M",FC_DATA!$R$1:$AD$1,0),FALSE)))*AH620))</f>
        <v>#N/A</v>
      </c>
      <c r="AJ620" s="412" t="str">
        <f t="shared" ca="1" si="232"/>
        <v/>
      </c>
      <c r="AK620" s="413" t="str">
        <f>IFERROR(AE620/(Q_BRAND_FC!$T$24+1),"")</f>
        <v/>
      </c>
      <c r="AL620" s="88" t="str">
        <f t="shared" ca="1" si="233"/>
        <v/>
      </c>
      <c r="AM620" s="414" t="str">
        <f t="shared" ca="1" si="234"/>
        <v/>
      </c>
      <c r="AN620" s="58">
        <f>IFERROR(IF($V620="BRAND.com",HLOOKUP($X620&amp;$Z620,NWC_FC_NOOS!$C$4:$Q$23,MATCH(W620,NWC_FC_NOOS!$B$4:$B$23,0),FALSE),0),0)</f>
        <v>0</v>
      </c>
      <c r="AO620" s="57">
        <f>IFERROR(IF($V620="BRAND.com",HLOOKUP($X620&amp;$Z620,NWC_FC_NOOS!$T$4:$AH$23,MATCH(W620,NWC_FC_NOOS!$S$4:$S$23,0),FALSE),0),0)</f>
        <v>0</v>
      </c>
      <c r="AP620" s="57">
        <f>IFERROR(IF($V620="BRAND.com",HLOOKUP($X620&amp;$Z620,NWC_FC_NOOS!$C$50:$U$69,MATCH(W620,NWC_FC_NOOS!$B$50:$B$69,0),FALSE),0),0)</f>
        <v>0</v>
      </c>
      <c r="AQ620" s="58">
        <f>IFERROR(IF($V620="BRAND.com",HLOOKUP($X620&amp;$Z620,'NWC_FC_NON-NOOS'!$C$4:$Q$23,MATCH(W620,'NWC_FC_NON-NOOS'!$B$4:$B$23,0),FALSE),0),0)</f>
        <v>0</v>
      </c>
      <c r="AR620" s="57">
        <f>IFERROR(IF($V620="BRAND.com",HLOOKUP($X620&amp;$Z620,'NWC_FC_NON-NOOS'!$T$4:$AH$23,MATCH(W620,'NWC_FC_NON-NOOS'!$S$4:$S$23,0),FALSE),0),0)</f>
        <v>0</v>
      </c>
      <c r="AS620" s="57">
        <f>IFERROR(IF($V620="BRAND.com",HLOOKUP($X620&amp;$Z620,'NWC_FC_NON-NOOS'!$C$50:$U$69,MATCH(W620,'NWC_FC_NON-NOOS'!$B$50:$B$69,0),FALSE),0),0)</f>
        <v>0</v>
      </c>
      <c r="AT620" s="57">
        <f t="shared" si="236"/>
        <v>0</v>
      </c>
      <c r="AU620" s="57">
        <f t="shared" si="237"/>
        <v>0</v>
      </c>
      <c r="AV620" s="58">
        <f>IFERROR(IF($V620="BRAND.com",HLOOKUP($X620&amp;$Z620,PLANNING_FC!$BB$27:$BP$46,MATCH($W620,PLANNING_FC!$BA$27:$BA$46,0),FALSE),0),0)</f>
        <v>0</v>
      </c>
      <c r="AW620" s="58">
        <f>IFERROR(IF($V620="BRAND.com",HLOOKUP($X620&amp;$Z620,PLANNING_FC!$BB$4:$BP$23,MATCH($W620,PLANNING_FC!$BA$4:$BA$23,0),FALSE),0),0)</f>
        <v>0</v>
      </c>
      <c r="AX620" s="58">
        <f>IFERROR(IF($V620="BRAND.com",HLOOKUP($X620&amp;$Z620,PLANNING_FC!$T$27:$AH$46,MATCH($W620,PLANNING_FC!$B$27:$B$46,0),FALSE),0),0)</f>
        <v>0</v>
      </c>
      <c r="AY620" s="58">
        <f>IFERROR(IF($V620="BRAND.com",HLOOKUP($X620&amp;$Z620,PLANNING_FC!$T$4:$AH$23,MATCH($W620,PLANNING_FC!$B$4:$B$23,0),FALSE),0),0)</f>
        <v>0</v>
      </c>
      <c r="AZ620" s="58">
        <f>IFERROR(IF($V620="BRAND.com",HLOOKUP($X620&amp;$Z620,PLANNING_FC!$DA$27:$DO$46,MATCH($W620,PLANNING_FC!$CZ$27:$CZ$46,0),FALSE),0),0)</f>
        <v>0</v>
      </c>
      <c r="BA620" s="58">
        <f>IFERROR(IF($V620="BRAND.com",HLOOKUP($X620&amp;$Z620,PLANNING_FC!$DA$4:$DO$23,MATCH($W620,PLANNING_FC!$CZ$4:$CZ$23,0),FALSE),0),0)</f>
        <v>0</v>
      </c>
      <c r="BB620" s="883" t="str">
        <f>IF(V620="BRAND.com",IFERROR(HLOOKUP(X620&amp;Z620,PLANNING_FC!$AK$4:$AY$23,MATCH(W620,PLANNING_FC!$AJ$4:$AJ$23,0),FALSE)*1000,""),"")</f>
        <v/>
      </c>
      <c r="BC620" s="883" t="str">
        <f>IF(V620="BRAND.com",IFERROR(HLOOKUP(X620&amp;Z620,PLANNING_FC!$AK$27:$AY$46,MATCH(W620,PLANNING_FC!$AJ$27:$AJ$46,0),FALSE)*1000,""),"")</f>
        <v/>
      </c>
    </row>
    <row r="621" spans="1:55" x14ac:dyDescent="0.25">
      <c r="A621" s="509"/>
      <c r="B621" s="509"/>
      <c r="C621" s="509"/>
      <c r="D621" s="509"/>
      <c r="E621" s="509"/>
      <c r="F621" s="509"/>
      <c r="G621" s="509"/>
      <c r="H621" s="509"/>
      <c r="I621" s="512"/>
      <c r="J621" s="513"/>
      <c r="K621" s="514"/>
      <c r="L621" s="515"/>
      <c r="M621" s="516"/>
      <c r="N621" s="56">
        <f t="shared" si="238"/>
        <v>0</v>
      </c>
      <c r="O621" s="57">
        <f t="shared" si="239"/>
        <v>0</v>
      </c>
      <c r="P621" s="57">
        <f ca="1">IFERROR(IF(ISBLANK(H621),SUMIFS($AC:$AC,$V:$V,V621,$W:$W,W621,$X:$X,X621,$Y:$Y,Y621)*J621/(1-J621)*VLOOKUP(_xlfn.CONCAT(C621,D621,E621,TIME!$M$12,Z621),HIS_SALES!$B$2:$W$4859,20,FALSE),AC621*J621/(1-J621)),0)</f>
        <v>0</v>
      </c>
      <c r="Q621" s="541" t="str">
        <f t="shared" si="240"/>
        <v/>
      </c>
      <c r="R621" s="346" t="str">
        <f t="shared" si="230"/>
        <v>00000</v>
      </c>
      <c r="S621" s="344">
        <f t="shared" si="241"/>
        <v>0</v>
      </c>
      <c r="T621" s="345" t="str">
        <f t="shared" si="235"/>
        <v>000</v>
      </c>
      <c r="U621" s="345">
        <f t="shared" si="242"/>
        <v>0</v>
      </c>
      <c r="V621" s="345">
        <f t="shared" si="243"/>
        <v>0</v>
      </c>
      <c r="W621" s="345">
        <f t="shared" si="244"/>
        <v>0</v>
      </c>
      <c r="X621" s="345">
        <f t="shared" si="245"/>
        <v>0</v>
      </c>
      <c r="Y621" s="345">
        <f t="shared" si="246"/>
        <v>0</v>
      </c>
      <c r="Z621" s="345">
        <f>IF(Q621&lt;&gt;"",VLOOKUP(Y621,TIME!$R$21:$V$24,MATCH(FC_DATA!Q621,TIME!$R$20:$V$20,0),FALSE),H621)</f>
        <v>0</v>
      </c>
      <c r="AA621" s="345" t="str">
        <f>IFERROR(VLOOKUP(X621&amp;Z621,TIME!$A$12:$D$71,4,FALSE),"")</f>
        <v/>
      </c>
      <c r="AB621" s="592">
        <f t="shared" ca="1" si="231"/>
        <v>0</v>
      </c>
      <c r="AC621" s="593" t="e">
        <f ca="1">IF(ISBLANK(H621)=FALSE,IF(D621="BRAND.com",I621,IF(ISNA(VLOOKUP(_xlfn.CONCAT(X621,Z621),TIME!$M$40:$M$42,1,FALSE)),I621,VLOOKUP(_xlfn.CONCAT(D621,G621,H621),M_BUSAREA_FC!$AF$5:$AJ$10,5,FALSE)*HLOOKUP(_xlfn.CONCAT(F621,H621),ST_OVERVIEW!$G$99:$I$130,MATCH(_xlfn.CONCAT(D621,E621),ST_OVERVIEW!$F$99:$F$130,0),FALSE))),IF(D621="BRAND.com",VLOOKUP(_xlfn.CONCAT(C621,D621,E621,TIME!$F$1,Z621),HIS_SALES!$B$2:$V$4859,19,FALSE)*I621,VLOOKUP(_xlfn.CONCAT(D621,F621,G621),Q_BUSAREA_FC!$AE$5:$AI$12,5,FALSE)*HLOOKUP(_xlfn.CONCAT(FC_DATA!F621,FC_DATA!G621),LT_OVERVIEW!$I$99:$M$130,MATCH(_xlfn.CONCAT(D621,FC_DATA!E621),LT_OVERVIEW!$H$99:$H$130,0),FALSE)*IFERROR(VLOOKUP(_xlfn.CONCAT(C621,D621,E621,TIME!$F$1,Z621),HIS_SALES!$B$2:$V$4859,19,FALSE),0)))</f>
        <v>#N/A</v>
      </c>
      <c r="AD621" s="341">
        <f t="shared" ca="1" si="247"/>
        <v>0</v>
      </c>
      <c r="AE621" s="363" t="str">
        <f t="shared" si="248"/>
        <v/>
      </c>
      <c r="AF621" s="342" t="str">
        <f t="shared" si="249"/>
        <v/>
      </c>
      <c r="AG621" s="411" t="e">
        <f ca="1">VLOOKUP(_xlfn.CONCAT(U621,V621,W621,VLOOKUP(X621&amp;Y621,TIME!$L$27:$O$34,4,FALSE),Y621),HIS_SALES!$A$2:$R$5093,18,FALSE)</f>
        <v>#N/A</v>
      </c>
      <c r="AH621" s="412" t="e">
        <f ca="1">IFERROR(IF(AND(V621=V620,W621=W620),0.5*(AB621+AB620)*AG621,(VLOOKUP(_xlfn.CONCAT(U621,V621,W621,X621,VLOOKUP(Z621,TIME!$S$28:$T$39,2,FALSE)),FC_DATA!$R$2:$AB$5000,MATCH("GS_I_M",FC_DATA!$R$1:$AB$1,0),FALSE)+FC_DATA!AB621)*0.5*FC_DATA!AG621),NA())</f>
        <v>#N/A</v>
      </c>
      <c r="AI621" s="491" t="e">
        <f ca="1">IF(V621="PARTNER.com",AH621,IF(AND(V621=V620,W621=W620),(1-AVERAGE(AD620,AD621))*AH621,(1-AVERAGE(AD621,VLOOKUP(_xlfn.CONCAT(U621,V621,W621,X621,M_BRAND_FC!$F$6),FC_DATA!$R$2:$AD$5000,MATCH("DISCOUNT_%_M",FC_DATA!$R$1:$AD$1,0),FALSE)))*AH621))</f>
        <v>#N/A</v>
      </c>
      <c r="AJ621" s="412" t="str">
        <f t="shared" ca="1" si="232"/>
        <v/>
      </c>
      <c r="AK621" s="413" t="str">
        <f>IFERROR(AE621/(Q_BRAND_FC!$T$24+1),"")</f>
        <v/>
      </c>
      <c r="AL621" s="88" t="str">
        <f t="shared" ca="1" si="233"/>
        <v/>
      </c>
      <c r="AM621" s="414" t="str">
        <f t="shared" ca="1" si="234"/>
        <v/>
      </c>
      <c r="AN621" s="58">
        <f>IFERROR(IF($V621="BRAND.com",HLOOKUP($X621&amp;$Z621,NWC_FC_NOOS!$C$4:$Q$23,MATCH(W621,NWC_FC_NOOS!$B$4:$B$23,0),FALSE),0),0)</f>
        <v>0</v>
      </c>
      <c r="AO621" s="57">
        <f>IFERROR(IF($V621="BRAND.com",HLOOKUP($X621&amp;$Z621,NWC_FC_NOOS!$T$4:$AH$23,MATCH(W621,NWC_FC_NOOS!$S$4:$S$23,0),FALSE),0),0)</f>
        <v>0</v>
      </c>
      <c r="AP621" s="57">
        <f>IFERROR(IF($V621="BRAND.com",HLOOKUP($X621&amp;$Z621,NWC_FC_NOOS!$C$50:$U$69,MATCH(W621,NWC_FC_NOOS!$B$50:$B$69,0),FALSE),0),0)</f>
        <v>0</v>
      </c>
      <c r="AQ621" s="58">
        <f>IFERROR(IF($V621="BRAND.com",HLOOKUP($X621&amp;$Z621,'NWC_FC_NON-NOOS'!$C$4:$Q$23,MATCH(W621,'NWC_FC_NON-NOOS'!$B$4:$B$23,0),FALSE),0),0)</f>
        <v>0</v>
      </c>
      <c r="AR621" s="57">
        <f>IFERROR(IF($V621="BRAND.com",HLOOKUP($X621&amp;$Z621,'NWC_FC_NON-NOOS'!$T$4:$AH$23,MATCH(W621,'NWC_FC_NON-NOOS'!$S$4:$S$23,0),FALSE),0),0)</f>
        <v>0</v>
      </c>
      <c r="AS621" s="57">
        <f>IFERROR(IF($V621="BRAND.com",HLOOKUP($X621&amp;$Z621,'NWC_FC_NON-NOOS'!$C$50:$U$69,MATCH(W621,'NWC_FC_NON-NOOS'!$B$50:$B$69,0),FALSE),0),0)</f>
        <v>0</v>
      </c>
      <c r="AT621" s="57">
        <f t="shared" si="236"/>
        <v>0</v>
      </c>
      <c r="AU621" s="57">
        <f t="shared" si="237"/>
        <v>0</v>
      </c>
      <c r="AV621" s="58">
        <f>IFERROR(IF($V621="BRAND.com",HLOOKUP($X621&amp;$Z621,PLANNING_FC!$BB$27:$BP$46,MATCH($W621,PLANNING_FC!$BA$27:$BA$46,0),FALSE),0),0)</f>
        <v>0</v>
      </c>
      <c r="AW621" s="58">
        <f>IFERROR(IF($V621="BRAND.com",HLOOKUP($X621&amp;$Z621,PLANNING_FC!$BB$4:$BP$23,MATCH($W621,PLANNING_FC!$BA$4:$BA$23,0),FALSE),0),0)</f>
        <v>0</v>
      </c>
      <c r="AX621" s="58">
        <f>IFERROR(IF($V621="BRAND.com",HLOOKUP($X621&amp;$Z621,PLANNING_FC!$T$27:$AH$46,MATCH($W621,PLANNING_FC!$B$27:$B$46,0),FALSE),0),0)</f>
        <v>0</v>
      </c>
      <c r="AY621" s="58">
        <f>IFERROR(IF($V621="BRAND.com",HLOOKUP($X621&amp;$Z621,PLANNING_FC!$T$4:$AH$23,MATCH($W621,PLANNING_FC!$B$4:$B$23,0),FALSE),0),0)</f>
        <v>0</v>
      </c>
      <c r="AZ621" s="58">
        <f>IFERROR(IF($V621="BRAND.com",HLOOKUP($X621&amp;$Z621,PLANNING_FC!$DA$27:$DO$46,MATCH($W621,PLANNING_FC!$CZ$27:$CZ$46,0),FALSE),0),0)</f>
        <v>0</v>
      </c>
      <c r="BA621" s="58">
        <f>IFERROR(IF($V621="BRAND.com",HLOOKUP($X621&amp;$Z621,PLANNING_FC!$DA$4:$DO$23,MATCH($W621,PLANNING_FC!$CZ$4:$CZ$23,0),FALSE),0),0)</f>
        <v>0</v>
      </c>
      <c r="BB621" s="883" t="str">
        <f>IF(V621="BRAND.com",IFERROR(HLOOKUP(X621&amp;Z621,PLANNING_FC!$AK$4:$AY$23,MATCH(W621,PLANNING_FC!$AJ$4:$AJ$23,0),FALSE)*1000,""),"")</f>
        <v/>
      </c>
      <c r="BC621" s="883" t="str">
        <f>IF(V621="BRAND.com",IFERROR(HLOOKUP(X621&amp;Z621,PLANNING_FC!$AK$27:$AY$46,MATCH(W621,PLANNING_FC!$AJ$27:$AJ$46,0),FALSE)*1000,""),"")</f>
        <v/>
      </c>
    </row>
    <row r="622" spans="1:55" x14ac:dyDescent="0.25">
      <c r="A622" s="509"/>
      <c r="B622" s="509"/>
      <c r="C622" s="509"/>
      <c r="D622" s="509"/>
      <c r="E622" s="509"/>
      <c r="F622" s="509"/>
      <c r="G622" s="509"/>
      <c r="H622" s="509"/>
      <c r="I622" s="512"/>
      <c r="J622" s="513"/>
      <c r="K622" s="514"/>
      <c r="L622" s="515"/>
      <c r="M622" s="516"/>
      <c r="N622" s="56">
        <f t="shared" si="238"/>
        <v>0</v>
      </c>
      <c r="O622" s="57">
        <f t="shared" si="239"/>
        <v>0</v>
      </c>
      <c r="P622" s="57">
        <f ca="1">IFERROR(IF(ISBLANK(H622),SUMIFS($AC:$AC,$V:$V,V622,$W:$W,W622,$X:$X,X622,$Y:$Y,Y622)*J622/(1-J622)*VLOOKUP(_xlfn.CONCAT(C622,D622,E622,TIME!$M$12,Z622),HIS_SALES!$B$2:$W$4859,20,FALSE),AC622*J622/(1-J622)),0)</f>
        <v>0</v>
      </c>
      <c r="Q622" s="541" t="str">
        <f t="shared" si="240"/>
        <v/>
      </c>
      <c r="R622" s="346" t="str">
        <f t="shared" si="230"/>
        <v>00000</v>
      </c>
      <c r="S622" s="344">
        <f t="shared" si="241"/>
        <v>0</v>
      </c>
      <c r="T622" s="345" t="str">
        <f t="shared" si="235"/>
        <v>000</v>
      </c>
      <c r="U622" s="345">
        <f t="shared" si="242"/>
        <v>0</v>
      </c>
      <c r="V622" s="345">
        <f t="shared" si="243"/>
        <v>0</v>
      </c>
      <c r="W622" s="345">
        <f t="shared" si="244"/>
        <v>0</v>
      </c>
      <c r="X622" s="345">
        <f t="shared" si="245"/>
        <v>0</v>
      </c>
      <c r="Y622" s="345">
        <f t="shared" si="246"/>
        <v>0</v>
      </c>
      <c r="Z622" s="345">
        <f>IF(Q622&lt;&gt;"",VLOOKUP(Y622,TIME!$R$21:$V$24,MATCH(FC_DATA!Q622,TIME!$R$20:$V$20,0),FALSE),H622)</f>
        <v>0</v>
      </c>
      <c r="AA622" s="345" t="str">
        <f>IFERROR(VLOOKUP(X622&amp;Z622,TIME!$A$12:$D$71,4,FALSE),"")</f>
        <v/>
      </c>
      <c r="AB622" s="592">
        <f t="shared" ca="1" si="231"/>
        <v>0</v>
      </c>
      <c r="AC622" s="593" t="e">
        <f ca="1">IF(ISBLANK(H622)=FALSE,IF(D622="BRAND.com",I622,IF(ISNA(VLOOKUP(_xlfn.CONCAT(X622,Z622),TIME!$M$40:$M$42,1,FALSE)),I622,VLOOKUP(_xlfn.CONCAT(D622,G622,H622),M_BUSAREA_FC!$AF$5:$AJ$10,5,FALSE)*HLOOKUP(_xlfn.CONCAT(F622,H622),ST_OVERVIEW!$G$99:$I$130,MATCH(_xlfn.CONCAT(D622,E622),ST_OVERVIEW!$F$99:$F$130,0),FALSE))),IF(D622="BRAND.com",VLOOKUP(_xlfn.CONCAT(C622,D622,E622,TIME!$F$1,Z622),HIS_SALES!$B$2:$V$4859,19,FALSE)*I622,VLOOKUP(_xlfn.CONCAT(D622,F622,G622),Q_BUSAREA_FC!$AE$5:$AI$12,5,FALSE)*HLOOKUP(_xlfn.CONCAT(FC_DATA!F622,FC_DATA!G622),LT_OVERVIEW!$I$99:$M$130,MATCH(_xlfn.CONCAT(D622,FC_DATA!E622),LT_OVERVIEW!$H$99:$H$130,0),FALSE)*IFERROR(VLOOKUP(_xlfn.CONCAT(C622,D622,E622,TIME!$F$1,Z622),HIS_SALES!$B$2:$V$4859,19,FALSE),0)))</f>
        <v>#N/A</v>
      </c>
      <c r="AD622" s="341">
        <f t="shared" ca="1" si="247"/>
        <v>0</v>
      </c>
      <c r="AE622" s="363" t="str">
        <f t="shared" si="248"/>
        <v/>
      </c>
      <c r="AF622" s="342" t="str">
        <f t="shared" si="249"/>
        <v/>
      </c>
      <c r="AG622" s="411" t="e">
        <f ca="1">VLOOKUP(_xlfn.CONCAT(U622,V622,W622,VLOOKUP(X622&amp;Y622,TIME!$L$27:$O$34,4,FALSE),Y622),HIS_SALES!$A$2:$R$5093,18,FALSE)</f>
        <v>#N/A</v>
      </c>
      <c r="AH622" s="412" t="e">
        <f ca="1">IFERROR(IF(AND(V622=V621,W622=W621),0.5*(AB622+AB621)*AG622,(VLOOKUP(_xlfn.CONCAT(U622,V622,W622,X622,VLOOKUP(Z622,TIME!$S$28:$T$39,2,FALSE)),FC_DATA!$R$2:$AB$5000,MATCH("GS_I_M",FC_DATA!$R$1:$AB$1,0),FALSE)+FC_DATA!AB622)*0.5*FC_DATA!AG622),NA())</f>
        <v>#N/A</v>
      </c>
      <c r="AI622" s="491" t="e">
        <f ca="1">IF(V622="PARTNER.com",AH622,IF(AND(V622=V621,W622=W621),(1-AVERAGE(AD621,AD622))*AH622,(1-AVERAGE(AD622,VLOOKUP(_xlfn.CONCAT(U622,V622,W622,X622,M_BRAND_FC!$F$6),FC_DATA!$R$2:$AD$5000,MATCH("DISCOUNT_%_M",FC_DATA!$R$1:$AD$1,0),FALSE)))*AH622))</f>
        <v>#N/A</v>
      </c>
      <c r="AJ622" s="412" t="str">
        <f t="shared" ca="1" si="232"/>
        <v/>
      </c>
      <c r="AK622" s="413" t="str">
        <f>IFERROR(AE622/(Q_BRAND_FC!$T$24+1),"")</f>
        <v/>
      </c>
      <c r="AL622" s="88" t="str">
        <f t="shared" ca="1" si="233"/>
        <v/>
      </c>
      <c r="AM622" s="414" t="str">
        <f t="shared" ca="1" si="234"/>
        <v/>
      </c>
      <c r="AN622" s="58">
        <f>IFERROR(IF($V622="BRAND.com",HLOOKUP($X622&amp;$Z622,NWC_FC_NOOS!$C$4:$Q$23,MATCH(W622,NWC_FC_NOOS!$B$4:$B$23,0),FALSE),0),0)</f>
        <v>0</v>
      </c>
      <c r="AO622" s="57">
        <f>IFERROR(IF($V622="BRAND.com",HLOOKUP($X622&amp;$Z622,NWC_FC_NOOS!$T$4:$AH$23,MATCH(W622,NWC_FC_NOOS!$S$4:$S$23,0),FALSE),0),0)</f>
        <v>0</v>
      </c>
      <c r="AP622" s="57">
        <f>IFERROR(IF($V622="BRAND.com",HLOOKUP($X622&amp;$Z622,NWC_FC_NOOS!$C$50:$U$69,MATCH(W622,NWC_FC_NOOS!$B$50:$B$69,0),FALSE),0),0)</f>
        <v>0</v>
      </c>
      <c r="AQ622" s="58">
        <f>IFERROR(IF($V622="BRAND.com",HLOOKUP($X622&amp;$Z622,'NWC_FC_NON-NOOS'!$C$4:$Q$23,MATCH(W622,'NWC_FC_NON-NOOS'!$B$4:$B$23,0),FALSE),0),0)</f>
        <v>0</v>
      </c>
      <c r="AR622" s="57">
        <f>IFERROR(IF($V622="BRAND.com",HLOOKUP($X622&amp;$Z622,'NWC_FC_NON-NOOS'!$T$4:$AH$23,MATCH(W622,'NWC_FC_NON-NOOS'!$S$4:$S$23,0),FALSE),0),0)</f>
        <v>0</v>
      </c>
      <c r="AS622" s="57">
        <f>IFERROR(IF($V622="BRAND.com",HLOOKUP($X622&amp;$Z622,'NWC_FC_NON-NOOS'!$C$50:$U$69,MATCH(W622,'NWC_FC_NON-NOOS'!$B$50:$B$69,0),FALSE),0),0)</f>
        <v>0</v>
      </c>
      <c r="AT622" s="57">
        <f t="shared" si="236"/>
        <v>0</v>
      </c>
      <c r="AU622" s="57">
        <f t="shared" si="237"/>
        <v>0</v>
      </c>
      <c r="AV622" s="58">
        <f>IFERROR(IF($V622="BRAND.com",HLOOKUP($X622&amp;$Z622,PLANNING_FC!$BB$27:$BP$46,MATCH($W622,PLANNING_FC!$BA$27:$BA$46,0),FALSE),0),0)</f>
        <v>0</v>
      </c>
      <c r="AW622" s="58">
        <f>IFERROR(IF($V622="BRAND.com",HLOOKUP($X622&amp;$Z622,PLANNING_FC!$BB$4:$BP$23,MATCH($W622,PLANNING_FC!$BA$4:$BA$23,0),FALSE),0),0)</f>
        <v>0</v>
      </c>
      <c r="AX622" s="58">
        <f>IFERROR(IF($V622="BRAND.com",HLOOKUP($X622&amp;$Z622,PLANNING_FC!$T$27:$AH$46,MATCH($W622,PLANNING_FC!$B$27:$B$46,0),FALSE),0),0)</f>
        <v>0</v>
      </c>
      <c r="AY622" s="58">
        <f>IFERROR(IF($V622="BRAND.com",HLOOKUP($X622&amp;$Z622,PLANNING_FC!$T$4:$AH$23,MATCH($W622,PLANNING_FC!$B$4:$B$23,0),FALSE),0),0)</f>
        <v>0</v>
      </c>
      <c r="AZ622" s="58">
        <f>IFERROR(IF($V622="BRAND.com",HLOOKUP($X622&amp;$Z622,PLANNING_FC!$DA$27:$DO$46,MATCH($W622,PLANNING_FC!$CZ$27:$CZ$46,0),FALSE),0),0)</f>
        <v>0</v>
      </c>
      <c r="BA622" s="58">
        <f>IFERROR(IF($V622="BRAND.com",HLOOKUP($X622&amp;$Z622,PLANNING_FC!$DA$4:$DO$23,MATCH($W622,PLANNING_FC!$CZ$4:$CZ$23,0),FALSE),0),0)</f>
        <v>0</v>
      </c>
      <c r="BB622" s="883" t="str">
        <f>IF(V622="BRAND.com",IFERROR(HLOOKUP(X622&amp;Z622,PLANNING_FC!$AK$4:$AY$23,MATCH(W622,PLANNING_FC!$AJ$4:$AJ$23,0),FALSE)*1000,""),"")</f>
        <v/>
      </c>
      <c r="BC622" s="883" t="str">
        <f>IF(V622="BRAND.com",IFERROR(HLOOKUP(X622&amp;Z622,PLANNING_FC!$AK$27:$AY$46,MATCH(W622,PLANNING_FC!$AJ$27:$AJ$46,0),FALSE)*1000,""),"")</f>
        <v/>
      </c>
    </row>
    <row r="623" spans="1:55" x14ac:dyDescent="0.25">
      <c r="A623" s="509"/>
      <c r="B623" s="509"/>
      <c r="C623" s="509"/>
      <c r="D623" s="509"/>
      <c r="E623" s="509"/>
      <c r="F623" s="509"/>
      <c r="G623" s="509"/>
      <c r="H623" s="509"/>
      <c r="I623" s="512"/>
      <c r="J623" s="513"/>
      <c r="K623" s="514"/>
      <c r="L623" s="515"/>
      <c r="M623" s="516"/>
      <c r="N623" s="56">
        <f t="shared" si="238"/>
        <v>0</v>
      </c>
      <c r="O623" s="57">
        <f t="shared" si="239"/>
        <v>0</v>
      </c>
      <c r="P623" s="57">
        <f ca="1">IFERROR(IF(ISBLANK(H623),SUMIFS($AC:$AC,$V:$V,V623,$W:$W,W623,$X:$X,X623,$Y:$Y,Y623)*J623/(1-J623)*VLOOKUP(_xlfn.CONCAT(C623,D623,E623,TIME!$M$12,Z623),HIS_SALES!$B$2:$W$4859,20,FALSE),AC623*J623/(1-J623)),0)</f>
        <v>0</v>
      </c>
      <c r="Q623" s="541" t="str">
        <f t="shared" si="240"/>
        <v/>
      </c>
      <c r="R623" s="346" t="str">
        <f t="shared" si="230"/>
        <v>00000</v>
      </c>
      <c r="S623" s="344">
        <f t="shared" si="241"/>
        <v>0</v>
      </c>
      <c r="T623" s="345" t="str">
        <f t="shared" si="235"/>
        <v>000</v>
      </c>
      <c r="U623" s="345">
        <f t="shared" si="242"/>
        <v>0</v>
      </c>
      <c r="V623" s="345">
        <f t="shared" si="243"/>
        <v>0</v>
      </c>
      <c r="W623" s="345">
        <f t="shared" si="244"/>
        <v>0</v>
      </c>
      <c r="X623" s="345">
        <f t="shared" si="245"/>
        <v>0</v>
      </c>
      <c r="Y623" s="345">
        <f t="shared" si="246"/>
        <v>0</v>
      </c>
      <c r="Z623" s="345">
        <f>IF(Q623&lt;&gt;"",VLOOKUP(Y623,TIME!$R$21:$V$24,MATCH(FC_DATA!Q623,TIME!$R$20:$V$20,0),FALSE),H623)</f>
        <v>0</v>
      </c>
      <c r="AA623" s="345" t="str">
        <f>IFERROR(VLOOKUP(X623&amp;Z623,TIME!$A$12:$D$71,4,FALSE),"")</f>
        <v/>
      </c>
      <c r="AB623" s="592">
        <f t="shared" ca="1" si="231"/>
        <v>0</v>
      </c>
      <c r="AC623" s="593" t="e">
        <f ca="1">IF(ISBLANK(H623)=FALSE,IF(D623="BRAND.com",I623,IF(ISNA(VLOOKUP(_xlfn.CONCAT(X623,Z623),TIME!$M$40:$M$42,1,FALSE)),I623,VLOOKUP(_xlfn.CONCAT(D623,G623,H623),M_BUSAREA_FC!$AF$5:$AJ$10,5,FALSE)*HLOOKUP(_xlfn.CONCAT(F623,H623),ST_OVERVIEW!$G$99:$I$130,MATCH(_xlfn.CONCAT(D623,E623),ST_OVERVIEW!$F$99:$F$130,0),FALSE))),IF(D623="BRAND.com",VLOOKUP(_xlfn.CONCAT(C623,D623,E623,TIME!$F$1,Z623),HIS_SALES!$B$2:$V$4859,19,FALSE)*I623,VLOOKUP(_xlfn.CONCAT(D623,F623,G623),Q_BUSAREA_FC!$AE$5:$AI$12,5,FALSE)*HLOOKUP(_xlfn.CONCAT(FC_DATA!F623,FC_DATA!G623),LT_OVERVIEW!$I$99:$M$130,MATCH(_xlfn.CONCAT(D623,FC_DATA!E623),LT_OVERVIEW!$H$99:$H$130,0),FALSE)*IFERROR(VLOOKUP(_xlfn.CONCAT(C623,D623,E623,TIME!$F$1,Z623),HIS_SALES!$B$2:$V$4859,19,FALSE),0)))</f>
        <v>#N/A</v>
      </c>
      <c r="AD623" s="341">
        <f t="shared" ca="1" si="247"/>
        <v>0</v>
      </c>
      <c r="AE623" s="363" t="str">
        <f t="shared" si="248"/>
        <v/>
      </c>
      <c r="AF623" s="342" t="str">
        <f t="shared" si="249"/>
        <v/>
      </c>
      <c r="AG623" s="411" t="e">
        <f ca="1">VLOOKUP(_xlfn.CONCAT(U623,V623,W623,VLOOKUP(X623&amp;Y623,TIME!$L$27:$O$34,4,FALSE),Y623),HIS_SALES!$A$2:$R$5093,18,FALSE)</f>
        <v>#N/A</v>
      </c>
      <c r="AH623" s="412" t="e">
        <f ca="1">IFERROR(IF(AND(V623=V622,W623=W622),0.5*(AB623+AB622)*AG623,(VLOOKUP(_xlfn.CONCAT(U623,V623,W623,X623,VLOOKUP(Z623,TIME!$S$28:$T$39,2,FALSE)),FC_DATA!$R$2:$AB$5000,MATCH("GS_I_M",FC_DATA!$R$1:$AB$1,0),FALSE)+FC_DATA!AB623)*0.5*FC_DATA!AG623),NA())</f>
        <v>#N/A</v>
      </c>
      <c r="AI623" s="491" t="e">
        <f ca="1">IF(V623="PARTNER.com",AH623,IF(AND(V623=V622,W623=W622),(1-AVERAGE(AD622,AD623))*AH623,(1-AVERAGE(AD623,VLOOKUP(_xlfn.CONCAT(U623,V623,W623,X623,M_BRAND_FC!$F$6),FC_DATA!$R$2:$AD$5000,MATCH("DISCOUNT_%_M",FC_DATA!$R$1:$AD$1,0),FALSE)))*AH623))</f>
        <v>#N/A</v>
      </c>
      <c r="AJ623" s="412" t="str">
        <f t="shared" ca="1" si="232"/>
        <v/>
      </c>
      <c r="AK623" s="413" t="str">
        <f>IFERROR(AE623/(Q_BRAND_FC!$T$24+1),"")</f>
        <v/>
      </c>
      <c r="AL623" s="88" t="str">
        <f t="shared" ca="1" si="233"/>
        <v/>
      </c>
      <c r="AM623" s="414" t="str">
        <f t="shared" ca="1" si="234"/>
        <v/>
      </c>
      <c r="AN623" s="58">
        <f>IFERROR(IF($V623="BRAND.com",HLOOKUP($X623&amp;$Z623,NWC_FC_NOOS!$C$4:$Q$23,MATCH(W623,NWC_FC_NOOS!$B$4:$B$23,0),FALSE),0),0)</f>
        <v>0</v>
      </c>
      <c r="AO623" s="57">
        <f>IFERROR(IF($V623="BRAND.com",HLOOKUP($X623&amp;$Z623,NWC_FC_NOOS!$T$4:$AH$23,MATCH(W623,NWC_FC_NOOS!$S$4:$S$23,0),FALSE),0),0)</f>
        <v>0</v>
      </c>
      <c r="AP623" s="57">
        <f>IFERROR(IF($V623="BRAND.com",HLOOKUP($X623&amp;$Z623,NWC_FC_NOOS!$C$50:$U$69,MATCH(W623,NWC_FC_NOOS!$B$50:$B$69,0),FALSE),0),0)</f>
        <v>0</v>
      </c>
      <c r="AQ623" s="58">
        <f>IFERROR(IF($V623="BRAND.com",HLOOKUP($X623&amp;$Z623,'NWC_FC_NON-NOOS'!$C$4:$Q$23,MATCH(W623,'NWC_FC_NON-NOOS'!$B$4:$B$23,0),FALSE),0),0)</f>
        <v>0</v>
      </c>
      <c r="AR623" s="57">
        <f>IFERROR(IF($V623="BRAND.com",HLOOKUP($X623&amp;$Z623,'NWC_FC_NON-NOOS'!$T$4:$AH$23,MATCH(W623,'NWC_FC_NON-NOOS'!$S$4:$S$23,0),FALSE),0),0)</f>
        <v>0</v>
      </c>
      <c r="AS623" s="57">
        <f>IFERROR(IF($V623="BRAND.com",HLOOKUP($X623&amp;$Z623,'NWC_FC_NON-NOOS'!$C$50:$U$69,MATCH(W623,'NWC_FC_NON-NOOS'!$B$50:$B$69,0),FALSE),0),0)</f>
        <v>0</v>
      </c>
      <c r="AT623" s="57">
        <f t="shared" si="236"/>
        <v>0</v>
      </c>
      <c r="AU623" s="57">
        <f t="shared" si="237"/>
        <v>0</v>
      </c>
      <c r="AV623" s="58">
        <f>IFERROR(IF($V623="BRAND.com",HLOOKUP($X623&amp;$Z623,PLANNING_FC!$BB$27:$BP$46,MATCH($W623,PLANNING_FC!$BA$27:$BA$46,0),FALSE),0),0)</f>
        <v>0</v>
      </c>
      <c r="AW623" s="58">
        <f>IFERROR(IF($V623="BRAND.com",HLOOKUP($X623&amp;$Z623,PLANNING_FC!$BB$4:$BP$23,MATCH($W623,PLANNING_FC!$BA$4:$BA$23,0),FALSE),0),0)</f>
        <v>0</v>
      </c>
      <c r="AX623" s="58">
        <f>IFERROR(IF($V623="BRAND.com",HLOOKUP($X623&amp;$Z623,PLANNING_FC!$T$27:$AH$46,MATCH($W623,PLANNING_FC!$B$27:$B$46,0),FALSE),0),0)</f>
        <v>0</v>
      </c>
      <c r="AY623" s="58">
        <f>IFERROR(IF($V623="BRAND.com",HLOOKUP($X623&amp;$Z623,PLANNING_FC!$T$4:$AH$23,MATCH($W623,PLANNING_FC!$B$4:$B$23,0),FALSE),0),0)</f>
        <v>0</v>
      </c>
      <c r="AZ623" s="58">
        <f>IFERROR(IF($V623="BRAND.com",HLOOKUP($X623&amp;$Z623,PLANNING_FC!$DA$27:$DO$46,MATCH($W623,PLANNING_FC!$CZ$27:$CZ$46,0),FALSE),0),0)</f>
        <v>0</v>
      </c>
      <c r="BA623" s="58">
        <f>IFERROR(IF($V623="BRAND.com",HLOOKUP($X623&amp;$Z623,PLANNING_FC!$DA$4:$DO$23,MATCH($W623,PLANNING_FC!$CZ$4:$CZ$23,0),FALSE),0),0)</f>
        <v>0</v>
      </c>
      <c r="BB623" s="883" t="str">
        <f>IF(V623="BRAND.com",IFERROR(HLOOKUP(X623&amp;Z623,PLANNING_FC!$AK$4:$AY$23,MATCH(W623,PLANNING_FC!$AJ$4:$AJ$23,0),FALSE)*1000,""),"")</f>
        <v/>
      </c>
      <c r="BC623" s="883" t="str">
        <f>IF(V623="BRAND.com",IFERROR(HLOOKUP(X623&amp;Z623,PLANNING_FC!$AK$27:$AY$46,MATCH(W623,PLANNING_FC!$AJ$27:$AJ$46,0),FALSE)*1000,""),"")</f>
        <v/>
      </c>
    </row>
    <row r="624" spans="1:55" x14ac:dyDescent="0.25">
      <c r="A624" s="509"/>
      <c r="B624" s="509"/>
      <c r="C624" s="509"/>
      <c r="D624" s="509"/>
      <c r="E624" s="509"/>
      <c r="F624" s="509"/>
      <c r="G624" s="509"/>
      <c r="H624" s="509"/>
      <c r="I624" s="512"/>
      <c r="J624" s="513"/>
      <c r="K624" s="514"/>
      <c r="L624" s="515"/>
      <c r="M624" s="516"/>
      <c r="N624" s="56">
        <f t="shared" si="238"/>
        <v>0</v>
      </c>
      <c r="O624" s="57">
        <f t="shared" si="239"/>
        <v>0</v>
      </c>
      <c r="P624" s="57">
        <f ca="1">IFERROR(IF(ISBLANK(H624),SUMIFS($AC:$AC,$V:$V,V624,$W:$W,W624,$X:$X,X624,$Y:$Y,Y624)*J624/(1-J624)*VLOOKUP(_xlfn.CONCAT(C624,D624,E624,TIME!$M$12,Z624),HIS_SALES!$B$2:$W$4859,20,FALSE),AC624*J624/(1-J624)),0)</f>
        <v>0</v>
      </c>
      <c r="Q624" s="541" t="str">
        <f t="shared" si="240"/>
        <v/>
      </c>
      <c r="R624" s="346" t="str">
        <f t="shared" si="230"/>
        <v>00000</v>
      </c>
      <c r="S624" s="344">
        <f t="shared" si="241"/>
        <v>0</v>
      </c>
      <c r="T624" s="345" t="str">
        <f t="shared" si="235"/>
        <v>000</v>
      </c>
      <c r="U624" s="345">
        <f t="shared" si="242"/>
        <v>0</v>
      </c>
      <c r="V624" s="345">
        <f t="shared" si="243"/>
        <v>0</v>
      </c>
      <c r="W624" s="345">
        <f t="shared" si="244"/>
        <v>0</v>
      </c>
      <c r="X624" s="345">
        <f t="shared" si="245"/>
        <v>0</v>
      </c>
      <c r="Y624" s="345">
        <f t="shared" si="246"/>
        <v>0</v>
      </c>
      <c r="Z624" s="345">
        <f>IF(Q624&lt;&gt;"",VLOOKUP(Y624,TIME!$R$21:$V$24,MATCH(FC_DATA!Q624,TIME!$R$20:$V$20,0),FALSE),H624)</f>
        <v>0</v>
      </c>
      <c r="AA624" s="345" t="str">
        <f>IFERROR(VLOOKUP(X624&amp;Z624,TIME!$A$12:$D$71,4,FALSE),"")</f>
        <v/>
      </c>
      <c r="AB624" s="592">
        <f t="shared" ca="1" si="231"/>
        <v>0</v>
      </c>
      <c r="AC624" s="593" t="e">
        <f ca="1">IF(ISBLANK(H624)=FALSE,IF(D624="BRAND.com",I624,IF(ISNA(VLOOKUP(_xlfn.CONCAT(X624,Z624),TIME!$M$40:$M$42,1,FALSE)),I624,VLOOKUP(_xlfn.CONCAT(D624,G624,H624),M_BUSAREA_FC!$AF$5:$AJ$10,5,FALSE)*HLOOKUP(_xlfn.CONCAT(F624,H624),ST_OVERVIEW!$G$99:$I$130,MATCH(_xlfn.CONCAT(D624,E624),ST_OVERVIEW!$F$99:$F$130,0),FALSE))),IF(D624="BRAND.com",VLOOKUP(_xlfn.CONCAT(C624,D624,E624,TIME!$F$1,Z624),HIS_SALES!$B$2:$V$4859,19,FALSE)*I624,VLOOKUP(_xlfn.CONCAT(D624,F624,G624),Q_BUSAREA_FC!$AE$5:$AI$12,5,FALSE)*HLOOKUP(_xlfn.CONCAT(FC_DATA!F624,FC_DATA!G624),LT_OVERVIEW!$I$99:$M$130,MATCH(_xlfn.CONCAT(D624,FC_DATA!E624),LT_OVERVIEW!$H$99:$H$130,0),FALSE)*IFERROR(VLOOKUP(_xlfn.CONCAT(C624,D624,E624,TIME!$F$1,Z624),HIS_SALES!$B$2:$V$4859,19,FALSE),0)))</f>
        <v>#N/A</v>
      </c>
      <c r="AD624" s="341">
        <f t="shared" ca="1" si="247"/>
        <v>0</v>
      </c>
      <c r="AE624" s="363" t="str">
        <f t="shared" si="248"/>
        <v/>
      </c>
      <c r="AF624" s="342" t="str">
        <f t="shared" si="249"/>
        <v/>
      </c>
      <c r="AG624" s="411" t="e">
        <f ca="1">VLOOKUP(_xlfn.CONCAT(U624,V624,W624,VLOOKUP(X624&amp;Y624,TIME!$L$27:$O$34,4,FALSE),Y624),HIS_SALES!$A$2:$R$5093,18,FALSE)</f>
        <v>#N/A</v>
      </c>
      <c r="AH624" s="412" t="e">
        <f ca="1">IFERROR(IF(AND(V624=V623,W624=W623),0.5*(AB624+AB623)*AG624,(VLOOKUP(_xlfn.CONCAT(U624,V624,W624,X624,VLOOKUP(Z624,TIME!$S$28:$T$39,2,FALSE)),FC_DATA!$R$2:$AB$5000,MATCH("GS_I_M",FC_DATA!$R$1:$AB$1,0),FALSE)+FC_DATA!AB624)*0.5*FC_DATA!AG624),NA())</f>
        <v>#N/A</v>
      </c>
      <c r="AI624" s="491" t="e">
        <f ca="1">IF(V624="PARTNER.com",AH624,IF(AND(V624=V623,W624=W623),(1-AVERAGE(AD623,AD624))*AH624,(1-AVERAGE(AD624,VLOOKUP(_xlfn.CONCAT(U624,V624,W624,X624,M_BRAND_FC!$F$6),FC_DATA!$R$2:$AD$5000,MATCH("DISCOUNT_%_M",FC_DATA!$R$1:$AD$1,0),FALSE)))*AH624))</f>
        <v>#N/A</v>
      </c>
      <c r="AJ624" s="412" t="str">
        <f t="shared" ca="1" si="232"/>
        <v/>
      </c>
      <c r="AK624" s="413" t="str">
        <f>IFERROR(AE624/(Q_BRAND_FC!$T$24+1),"")</f>
        <v/>
      </c>
      <c r="AL624" s="88" t="str">
        <f t="shared" ca="1" si="233"/>
        <v/>
      </c>
      <c r="AM624" s="414" t="str">
        <f t="shared" ca="1" si="234"/>
        <v/>
      </c>
      <c r="AN624" s="58">
        <f>IFERROR(IF($V624="BRAND.com",HLOOKUP($X624&amp;$Z624,NWC_FC_NOOS!$C$4:$Q$23,MATCH(W624,NWC_FC_NOOS!$B$4:$B$23,0),FALSE),0),0)</f>
        <v>0</v>
      </c>
      <c r="AO624" s="57">
        <f>IFERROR(IF($V624="BRAND.com",HLOOKUP($X624&amp;$Z624,NWC_FC_NOOS!$T$4:$AH$23,MATCH(W624,NWC_FC_NOOS!$S$4:$S$23,0),FALSE),0),0)</f>
        <v>0</v>
      </c>
      <c r="AP624" s="57">
        <f>IFERROR(IF($V624="BRAND.com",HLOOKUP($X624&amp;$Z624,NWC_FC_NOOS!$C$50:$U$69,MATCH(W624,NWC_FC_NOOS!$B$50:$B$69,0),FALSE),0),0)</f>
        <v>0</v>
      </c>
      <c r="AQ624" s="58">
        <f>IFERROR(IF($V624="BRAND.com",HLOOKUP($X624&amp;$Z624,'NWC_FC_NON-NOOS'!$C$4:$Q$23,MATCH(W624,'NWC_FC_NON-NOOS'!$B$4:$B$23,0),FALSE),0),0)</f>
        <v>0</v>
      </c>
      <c r="AR624" s="57">
        <f>IFERROR(IF($V624="BRAND.com",HLOOKUP($X624&amp;$Z624,'NWC_FC_NON-NOOS'!$T$4:$AH$23,MATCH(W624,'NWC_FC_NON-NOOS'!$S$4:$S$23,0),FALSE),0),0)</f>
        <v>0</v>
      </c>
      <c r="AS624" s="57">
        <f>IFERROR(IF($V624="BRAND.com",HLOOKUP($X624&amp;$Z624,'NWC_FC_NON-NOOS'!$C$50:$U$69,MATCH(W624,'NWC_FC_NON-NOOS'!$B$50:$B$69,0),FALSE),0),0)</f>
        <v>0</v>
      </c>
      <c r="AT624" s="57">
        <f t="shared" si="236"/>
        <v>0</v>
      </c>
      <c r="AU624" s="57">
        <f t="shared" si="237"/>
        <v>0</v>
      </c>
      <c r="AV624" s="58">
        <f>IFERROR(IF($V624="BRAND.com",HLOOKUP($X624&amp;$Z624,PLANNING_FC!$BB$27:$BP$46,MATCH($W624,PLANNING_FC!$BA$27:$BA$46,0),FALSE),0),0)</f>
        <v>0</v>
      </c>
      <c r="AW624" s="58">
        <f>IFERROR(IF($V624="BRAND.com",HLOOKUP($X624&amp;$Z624,PLANNING_FC!$BB$4:$BP$23,MATCH($W624,PLANNING_FC!$BA$4:$BA$23,0),FALSE),0),0)</f>
        <v>0</v>
      </c>
      <c r="AX624" s="58">
        <f>IFERROR(IF($V624="BRAND.com",HLOOKUP($X624&amp;$Z624,PLANNING_FC!$T$27:$AH$46,MATCH($W624,PLANNING_FC!$B$27:$B$46,0),FALSE),0),0)</f>
        <v>0</v>
      </c>
      <c r="AY624" s="58">
        <f>IFERROR(IF($V624="BRAND.com",HLOOKUP($X624&amp;$Z624,PLANNING_FC!$T$4:$AH$23,MATCH($W624,PLANNING_FC!$B$4:$B$23,0),FALSE),0),0)</f>
        <v>0</v>
      </c>
      <c r="AZ624" s="58">
        <f>IFERROR(IF($V624="BRAND.com",HLOOKUP($X624&amp;$Z624,PLANNING_FC!$DA$27:$DO$46,MATCH($W624,PLANNING_FC!$CZ$27:$CZ$46,0),FALSE),0),0)</f>
        <v>0</v>
      </c>
      <c r="BA624" s="58">
        <f>IFERROR(IF($V624="BRAND.com",HLOOKUP($X624&amp;$Z624,PLANNING_FC!$DA$4:$DO$23,MATCH($W624,PLANNING_FC!$CZ$4:$CZ$23,0),FALSE),0),0)</f>
        <v>0</v>
      </c>
      <c r="BB624" s="883" t="str">
        <f>IF(V624="BRAND.com",IFERROR(HLOOKUP(X624&amp;Z624,PLANNING_FC!$AK$4:$AY$23,MATCH(W624,PLANNING_FC!$AJ$4:$AJ$23,0),FALSE)*1000,""),"")</f>
        <v/>
      </c>
      <c r="BC624" s="883" t="str">
        <f>IF(V624="BRAND.com",IFERROR(HLOOKUP(X624&amp;Z624,PLANNING_FC!$AK$27:$AY$46,MATCH(W624,PLANNING_FC!$AJ$27:$AJ$46,0),FALSE)*1000,""),"")</f>
        <v/>
      </c>
    </row>
    <row r="625" spans="1:55" x14ac:dyDescent="0.25">
      <c r="A625" s="509"/>
      <c r="B625" s="509"/>
      <c r="C625" s="509"/>
      <c r="D625" s="509"/>
      <c r="E625" s="509"/>
      <c r="F625" s="509"/>
      <c r="G625" s="509"/>
      <c r="H625" s="509"/>
      <c r="I625" s="512"/>
      <c r="J625" s="513"/>
      <c r="K625" s="514"/>
      <c r="L625" s="515"/>
      <c r="M625" s="516"/>
      <c r="N625" s="56">
        <f t="shared" si="238"/>
        <v>0</v>
      </c>
      <c r="O625" s="57">
        <f t="shared" si="239"/>
        <v>0</v>
      </c>
      <c r="P625" s="57">
        <f ca="1">IFERROR(IF(ISBLANK(H625),SUMIFS($AC:$AC,$V:$V,V625,$W:$W,W625,$X:$X,X625,$Y:$Y,Y625)*J625/(1-J625)*VLOOKUP(_xlfn.CONCAT(C625,D625,E625,TIME!$M$12,Z625),HIS_SALES!$B$2:$W$4859,20,FALSE),AC625*J625/(1-J625)),0)</f>
        <v>0</v>
      </c>
      <c r="Q625" s="541" t="str">
        <f t="shared" si="240"/>
        <v/>
      </c>
      <c r="R625" s="346" t="str">
        <f t="shared" si="230"/>
        <v>00000</v>
      </c>
      <c r="S625" s="344">
        <f t="shared" si="241"/>
        <v>0</v>
      </c>
      <c r="T625" s="345" t="str">
        <f t="shared" si="235"/>
        <v>000</v>
      </c>
      <c r="U625" s="345">
        <f t="shared" si="242"/>
        <v>0</v>
      </c>
      <c r="V625" s="345">
        <f t="shared" si="243"/>
        <v>0</v>
      </c>
      <c r="W625" s="345">
        <f t="shared" si="244"/>
        <v>0</v>
      </c>
      <c r="X625" s="345">
        <f t="shared" si="245"/>
        <v>0</v>
      </c>
      <c r="Y625" s="345">
        <f t="shared" si="246"/>
        <v>0</v>
      </c>
      <c r="Z625" s="345">
        <f>IF(Q625&lt;&gt;"",VLOOKUP(Y625,TIME!$R$21:$V$24,MATCH(FC_DATA!Q625,TIME!$R$20:$V$20,0),FALSE),H625)</f>
        <v>0</v>
      </c>
      <c r="AA625" s="345" t="str">
        <f>IFERROR(VLOOKUP(X625&amp;Z625,TIME!$A$12:$D$71,4,FALSE),"")</f>
        <v/>
      </c>
      <c r="AB625" s="592">
        <f t="shared" ca="1" si="231"/>
        <v>0</v>
      </c>
      <c r="AC625" s="593" t="e">
        <f ca="1">IF(ISBLANK(H625)=FALSE,IF(D625="BRAND.com",I625,IF(ISNA(VLOOKUP(_xlfn.CONCAT(X625,Z625),TIME!$M$40:$M$42,1,FALSE)),I625,VLOOKUP(_xlfn.CONCAT(D625,G625,H625),M_BUSAREA_FC!$AF$5:$AJ$10,5,FALSE)*HLOOKUP(_xlfn.CONCAT(F625,H625),ST_OVERVIEW!$G$99:$I$130,MATCH(_xlfn.CONCAT(D625,E625),ST_OVERVIEW!$F$99:$F$130,0),FALSE))),IF(D625="BRAND.com",VLOOKUP(_xlfn.CONCAT(C625,D625,E625,TIME!$F$1,Z625),HIS_SALES!$B$2:$V$4859,19,FALSE)*I625,VLOOKUP(_xlfn.CONCAT(D625,F625,G625),Q_BUSAREA_FC!$AE$5:$AI$12,5,FALSE)*HLOOKUP(_xlfn.CONCAT(FC_DATA!F625,FC_DATA!G625),LT_OVERVIEW!$I$99:$M$130,MATCH(_xlfn.CONCAT(D625,FC_DATA!E625),LT_OVERVIEW!$H$99:$H$130,0),FALSE)*IFERROR(VLOOKUP(_xlfn.CONCAT(C625,D625,E625,TIME!$F$1,Z625),HIS_SALES!$B$2:$V$4859,19,FALSE),0)))</f>
        <v>#N/A</v>
      </c>
      <c r="AD625" s="341">
        <f t="shared" ca="1" si="247"/>
        <v>0</v>
      </c>
      <c r="AE625" s="363" t="str">
        <f t="shared" si="248"/>
        <v/>
      </c>
      <c r="AF625" s="342" t="str">
        <f t="shared" si="249"/>
        <v/>
      </c>
      <c r="AG625" s="411" t="e">
        <f ca="1">VLOOKUP(_xlfn.CONCAT(U625,V625,W625,VLOOKUP(X625&amp;Y625,TIME!$L$27:$O$34,4,FALSE),Y625),HIS_SALES!$A$2:$R$5093,18,FALSE)</f>
        <v>#N/A</v>
      </c>
      <c r="AH625" s="412" t="e">
        <f ca="1">IFERROR(IF(AND(V625=V624,W625=W624),0.5*(AB625+AB624)*AG625,(VLOOKUP(_xlfn.CONCAT(U625,V625,W625,X625,VLOOKUP(Z625,TIME!$S$28:$T$39,2,FALSE)),FC_DATA!$R$2:$AB$5000,MATCH("GS_I_M",FC_DATA!$R$1:$AB$1,0),FALSE)+FC_DATA!AB625)*0.5*FC_DATA!AG625),NA())</f>
        <v>#N/A</v>
      </c>
      <c r="AI625" s="491" t="e">
        <f ca="1">IF(V625="PARTNER.com",AH625,IF(AND(V625=V624,W625=W624),(1-AVERAGE(AD624,AD625))*AH625,(1-AVERAGE(AD625,VLOOKUP(_xlfn.CONCAT(U625,V625,W625,X625,M_BRAND_FC!$F$6),FC_DATA!$R$2:$AD$5000,MATCH("DISCOUNT_%_M",FC_DATA!$R$1:$AD$1,0),FALSE)))*AH625))</f>
        <v>#N/A</v>
      </c>
      <c r="AJ625" s="412" t="str">
        <f t="shared" ca="1" si="232"/>
        <v/>
      </c>
      <c r="AK625" s="413" t="str">
        <f>IFERROR(AE625/(Q_BRAND_FC!$T$24+1),"")</f>
        <v/>
      </c>
      <c r="AL625" s="88" t="str">
        <f t="shared" ca="1" si="233"/>
        <v/>
      </c>
      <c r="AM625" s="414" t="str">
        <f t="shared" ca="1" si="234"/>
        <v/>
      </c>
      <c r="AN625" s="58">
        <f>IFERROR(IF($V625="BRAND.com",HLOOKUP($X625&amp;$Z625,NWC_FC_NOOS!$C$4:$Q$23,MATCH(W625,NWC_FC_NOOS!$B$4:$B$23,0),FALSE),0),0)</f>
        <v>0</v>
      </c>
      <c r="AO625" s="57">
        <f>IFERROR(IF($V625="BRAND.com",HLOOKUP($X625&amp;$Z625,NWC_FC_NOOS!$T$4:$AH$23,MATCH(W625,NWC_FC_NOOS!$S$4:$S$23,0),FALSE),0),0)</f>
        <v>0</v>
      </c>
      <c r="AP625" s="57">
        <f>IFERROR(IF($V625="BRAND.com",HLOOKUP($X625&amp;$Z625,NWC_FC_NOOS!$C$50:$U$69,MATCH(W625,NWC_FC_NOOS!$B$50:$B$69,0),FALSE),0),0)</f>
        <v>0</v>
      </c>
      <c r="AQ625" s="58">
        <f>IFERROR(IF($V625="BRAND.com",HLOOKUP($X625&amp;$Z625,'NWC_FC_NON-NOOS'!$C$4:$Q$23,MATCH(W625,'NWC_FC_NON-NOOS'!$B$4:$B$23,0),FALSE),0),0)</f>
        <v>0</v>
      </c>
      <c r="AR625" s="57">
        <f>IFERROR(IF($V625="BRAND.com",HLOOKUP($X625&amp;$Z625,'NWC_FC_NON-NOOS'!$T$4:$AH$23,MATCH(W625,'NWC_FC_NON-NOOS'!$S$4:$S$23,0),FALSE),0),0)</f>
        <v>0</v>
      </c>
      <c r="AS625" s="57">
        <f>IFERROR(IF($V625="BRAND.com",HLOOKUP($X625&amp;$Z625,'NWC_FC_NON-NOOS'!$C$50:$U$69,MATCH(W625,'NWC_FC_NON-NOOS'!$B$50:$B$69,0),FALSE),0),0)</f>
        <v>0</v>
      </c>
      <c r="AT625" s="57">
        <f t="shared" si="236"/>
        <v>0</v>
      </c>
      <c r="AU625" s="57">
        <f t="shared" si="237"/>
        <v>0</v>
      </c>
      <c r="AV625" s="58">
        <f>IFERROR(IF($V625="BRAND.com",HLOOKUP($X625&amp;$Z625,PLANNING_FC!$BB$27:$BP$46,MATCH($W625,PLANNING_FC!$BA$27:$BA$46,0),FALSE),0),0)</f>
        <v>0</v>
      </c>
      <c r="AW625" s="58">
        <f>IFERROR(IF($V625="BRAND.com",HLOOKUP($X625&amp;$Z625,PLANNING_FC!$BB$4:$BP$23,MATCH($W625,PLANNING_FC!$BA$4:$BA$23,0),FALSE),0),0)</f>
        <v>0</v>
      </c>
      <c r="AX625" s="58">
        <f>IFERROR(IF($V625="BRAND.com",HLOOKUP($X625&amp;$Z625,PLANNING_FC!$T$27:$AH$46,MATCH($W625,PLANNING_FC!$B$27:$B$46,0),FALSE),0),0)</f>
        <v>0</v>
      </c>
      <c r="AY625" s="58">
        <f>IFERROR(IF($V625="BRAND.com",HLOOKUP($X625&amp;$Z625,PLANNING_FC!$T$4:$AH$23,MATCH($W625,PLANNING_FC!$B$4:$B$23,0),FALSE),0),0)</f>
        <v>0</v>
      </c>
      <c r="AZ625" s="58">
        <f>IFERROR(IF($V625="BRAND.com",HLOOKUP($X625&amp;$Z625,PLANNING_FC!$DA$27:$DO$46,MATCH($W625,PLANNING_FC!$CZ$27:$CZ$46,0),FALSE),0),0)</f>
        <v>0</v>
      </c>
      <c r="BA625" s="58">
        <f>IFERROR(IF($V625="BRAND.com",HLOOKUP($X625&amp;$Z625,PLANNING_FC!$DA$4:$DO$23,MATCH($W625,PLANNING_FC!$CZ$4:$CZ$23,0),FALSE),0),0)</f>
        <v>0</v>
      </c>
      <c r="BB625" s="883" t="str">
        <f>IF(V625="BRAND.com",IFERROR(HLOOKUP(X625&amp;Z625,PLANNING_FC!$AK$4:$AY$23,MATCH(W625,PLANNING_FC!$AJ$4:$AJ$23,0),FALSE)*1000,""),"")</f>
        <v/>
      </c>
      <c r="BC625" s="883" t="str">
        <f>IF(V625="BRAND.com",IFERROR(HLOOKUP(X625&amp;Z625,PLANNING_FC!$AK$27:$AY$46,MATCH(W625,PLANNING_FC!$AJ$27:$AJ$46,0),FALSE)*1000,""),"")</f>
        <v/>
      </c>
    </row>
    <row r="626" spans="1:55" x14ac:dyDescent="0.25">
      <c r="N626" s="56">
        <f t="shared" ref="N626:N661" si="250">IFERROR(I626/(1-J626)*J626,0)</f>
        <v>0</v>
      </c>
      <c r="O626" s="57">
        <f t="shared" ref="O626:O657" si="251">IFERROR(I626+N626,0)</f>
        <v>0</v>
      </c>
      <c r="P626" s="57">
        <f ca="1">IFERROR(IF(ISBLANK(H626),SUMIFS($AC:$AC,$V:$V,V626,$W:$W,W626,$X:$X,X626,$Y:$Y,Y626)*J626/(1-J626)*VLOOKUP(_xlfn.CONCAT(C626,D626,E626,TIME!$M$12,Z626),HIS_SALES!$B$2:$W$4859,20,FALSE),AC626*J626/(1-J626)),0)</f>
        <v>0</v>
      </c>
      <c r="Q626" s="541" t="str">
        <f t="shared" ref="Q626:Q662" si="252">IF(AND(A626&lt;&gt;"",H626=""),IF(A626=A625,Q625+1,1),"")</f>
        <v/>
      </c>
      <c r="R626" s="346" t="str">
        <f t="shared" si="230"/>
        <v>00000</v>
      </c>
      <c r="S626" s="344">
        <f t="shared" ref="S626:S661" si="253">B626</f>
        <v>0</v>
      </c>
      <c r="T626" s="345" t="str">
        <f t="shared" si="235"/>
        <v>000</v>
      </c>
      <c r="U626" s="345">
        <f t="shared" ref="U626:U661" si="254">C626</f>
        <v>0</v>
      </c>
      <c r="V626" s="345">
        <f t="shared" ref="V626:V661" si="255">D626</f>
        <v>0</v>
      </c>
      <c r="W626" s="345">
        <f t="shared" ref="W626:W661" si="256">E626</f>
        <v>0</v>
      </c>
      <c r="X626" s="345">
        <f t="shared" ref="X626:X661" si="257">F626</f>
        <v>0</v>
      </c>
      <c r="Y626" s="345">
        <f t="shared" ref="Y626:Y661" si="258">G626</f>
        <v>0</v>
      </c>
      <c r="Z626" s="345">
        <f>IF(Q626&lt;&gt;"",VLOOKUP(Y626,TIME!$R$21:$V$24,MATCH(FC_DATA!Q626,TIME!$R$20:$V$20,0),FALSE),H626)</f>
        <v>0</v>
      </c>
      <c r="AA626" s="345" t="str">
        <f>IFERROR(VLOOKUP(X626&amp;Z626,TIME!$A$12:$D$71,4,FALSE),"")</f>
        <v/>
      </c>
      <c r="AB626" s="592">
        <f t="shared" ca="1" si="231"/>
        <v>0</v>
      </c>
      <c r="AC626" s="593" t="e">
        <f ca="1">IF(ISBLANK(H626)=FALSE,IF(D626="BRAND.com",I626,IF(ISNA(VLOOKUP(_xlfn.CONCAT(X626,Z626),TIME!$M$40:$M$42,1,FALSE)),I626,VLOOKUP(_xlfn.CONCAT(D626,G626,H626),M_BUSAREA_FC!$AF$5:$AJ$10,5,FALSE)*HLOOKUP(_xlfn.CONCAT(F626,H626),ST_OVERVIEW!$G$99:$I$130,MATCH(_xlfn.CONCAT(D626,E626),ST_OVERVIEW!$F$99:$F$130,0),FALSE))),IF(D626="BRAND.com",VLOOKUP(_xlfn.CONCAT(C626,D626,E626,TIME!$F$1,Z626),HIS_SALES!$B$2:$V$4859,19,FALSE)*I626,VLOOKUP(_xlfn.CONCAT(D626,F626,G626),Q_BUSAREA_FC!$AE$5:$AI$12,5,FALSE)*HLOOKUP(_xlfn.CONCAT(FC_DATA!F626,FC_DATA!G626),LT_OVERVIEW!$I$99:$M$130,MATCH(_xlfn.CONCAT(D626,FC_DATA!E626),LT_OVERVIEW!$H$99:$H$130,0),FALSE)*IFERROR(VLOOKUP(_xlfn.CONCAT(C626,D626,E626,TIME!$F$1,Z626),HIS_SALES!$B$2:$V$4859,19,FALSE),0)))</f>
        <v>#N/A</v>
      </c>
      <c r="AD626" s="341">
        <f t="shared" ref="AD626:AD657" ca="1" si="259">IFERROR(IF(D626="PARTNER.com",0,1-AC626/AB626),0)</f>
        <v>0</v>
      </c>
      <c r="AE626" s="363" t="str">
        <f t="shared" ref="AE626:AE661" si="260">IF(A626&lt;&gt;"",K626,"")</f>
        <v/>
      </c>
      <c r="AF626" s="342" t="str">
        <f t="shared" ref="AF626:AF661" si="261">IF(B626&lt;&gt;"",M626,"")</f>
        <v/>
      </c>
      <c r="AG626" s="411" t="e">
        <f ca="1">VLOOKUP(_xlfn.CONCAT(U626,V626,W626,VLOOKUP(X626&amp;Y626,TIME!$L$27:$O$34,4,FALSE),Y626),HIS_SALES!$A$2:$R$5093,18,FALSE)</f>
        <v>#N/A</v>
      </c>
      <c r="AH626" s="412" t="e">
        <f ca="1">IFERROR(IF(AND(V626=V625,W626=W625),0.5*(AB626+AB625)*AG626,(VLOOKUP(_xlfn.CONCAT(U626,V626,W626,X626,VLOOKUP(Z626,TIME!$S$28:$T$39,2,FALSE)),FC_DATA!$R$2:$AB$5000,MATCH("GS_I_M",FC_DATA!$R$1:$AB$1,0),FALSE)+FC_DATA!AB626)*0.5*FC_DATA!AG626),NA())</f>
        <v>#N/A</v>
      </c>
      <c r="AI626" s="491" t="e">
        <f ca="1">IF(V626="PARTNER.com",AH626,IF(AND(V626=V625,W626=W625),(1-AVERAGE(AD625,AD626))*AH626,(1-AVERAGE(AD626,VLOOKUP(_xlfn.CONCAT(U626,V626,W626,X626,M_BRAND_FC!$F$6),FC_DATA!$R$2:$AD$5000,MATCH("DISCOUNT_%_M",FC_DATA!$R$1:$AD$1,0),FALSE)))*AH626))</f>
        <v>#N/A</v>
      </c>
      <c r="AJ626" s="412" t="str">
        <f t="shared" ca="1" si="232"/>
        <v/>
      </c>
      <c r="AK626" s="413" t="str">
        <f>IFERROR(AE626/(Q_BRAND_FC!$T$24+1),"")</f>
        <v/>
      </c>
      <c r="AL626" s="88" t="str">
        <f t="shared" ca="1" si="233"/>
        <v/>
      </c>
      <c r="AM626" s="414" t="str">
        <f t="shared" ca="1" si="234"/>
        <v/>
      </c>
      <c r="AN626" s="58">
        <f>IFERROR(IF($V626="BRAND.com",HLOOKUP($X626&amp;$Z626,NWC_FC_NOOS!$C$4:$Q$23,MATCH(W626,NWC_FC_NOOS!$B$4:$B$23,0),FALSE),0),0)</f>
        <v>0</v>
      </c>
      <c r="AO626" s="57">
        <f>IFERROR(IF($V626="BRAND.com",HLOOKUP($X626&amp;$Z626,NWC_FC_NOOS!$T$4:$AH$23,MATCH(W626,NWC_FC_NOOS!$S$4:$S$23,0),FALSE),0),0)</f>
        <v>0</v>
      </c>
      <c r="AP626" s="57">
        <f>IFERROR(IF($V626="BRAND.com",HLOOKUP($X626&amp;$Z626,NWC_FC_NOOS!$C$50:$U$69,MATCH(W626,NWC_FC_NOOS!$B$50:$B$69,0),FALSE),0),0)</f>
        <v>0</v>
      </c>
      <c r="AQ626" s="58">
        <f>IFERROR(IF($V626="BRAND.com",HLOOKUP($X626&amp;$Z626,'NWC_FC_NON-NOOS'!$C$4:$Q$23,MATCH(W626,'NWC_FC_NON-NOOS'!$B$4:$B$23,0),FALSE),0),0)</f>
        <v>0</v>
      </c>
      <c r="AR626" s="57">
        <f>IFERROR(IF($V626="BRAND.com",HLOOKUP($X626&amp;$Z626,'NWC_FC_NON-NOOS'!$T$4:$AH$23,MATCH(W626,'NWC_FC_NON-NOOS'!$S$4:$S$23,0),FALSE),0),0)</f>
        <v>0</v>
      </c>
      <c r="AS626" s="57">
        <f>IFERROR(IF($V626="BRAND.com",HLOOKUP($X626&amp;$Z626,'NWC_FC_NON-NOOS'!$C$50:$U$69,MATCH(W626,'NWC_FC_NON-NOOS'!$B$50:$B$69,0),FALSE),0),0)</f>
        <v>0</v>
      </c>
      <c r="AT626" s="57">
        <f t="shared" si="236"/>
        <v>0</v>
      </c>
      <c r="AU626" s="57">
        <f t="shared" si="237"/>
        <v>0</v>
      </c>
      <c r="AV626" s="58">
        <f>IFERROR(IF($V626="BRAND.com",HLOOKUP($X626&amp;$Z626,PLANNING_FC!$BB$27:$BP$46,MATCH($W626,PLANNING_FC!$BA$27:$BA$46,0),FALSE),0),0)</f>
        <v>0</v>
      </c>
      <c r="AW626" s="58">
        <f>IFERROR(IF($V626="BRAND.com",HLOOKUP($X626&amp;$Z626,PLANNING_FC!$BB$4:$BP$23,MATCH($W626,PLANNING_FC!$BA$4:$BA$23,0),FALSE),0),0)</f>
        <v>0</v>
      </c>
      <c r="AX626" s="58">
        <f>IFERROR(IF($V626="BRAND.com",HLOOKUP($X626&amp;$Z626,PLANNING_FC!$T$27:$AH$46,MATCH($W626,PLANNING_FC!$B$27:$B$46,0),FALSE),0),0)</f>
        <v>0</v>
      </c>
      <c r="AY626" s="58">
        <f>IFERROR(IF($V626="BRAND.com",HLOOKUP($X626&amp;$Z626,PLANNING_FC!$T$4:$AH$23,MATCH($W626,PLANNING_FC!$B$4:$B$23,0),FALSE),0),0)</f>
        <v>0</v>
      </c>
      <c r="AZ626" s="58">
        <f>IFERROR(IF($V626="BRAND.com",HLOOKUP($X626&amp;$Z626,PLANNING_FC!$DA$27:$DO$46,MATCH($W626,PLANNING_FC!$CZ$27:$CZ$46,0),FALSE),0),0)</f>
        <v>0</v>
      </c>
      <c r="BA626" s="58">
        <f>IFERROR(IF($V626="BRAND.com",HLOOKUP($X626&amp;$Z626,PLANNING_FC!$DA$4:$DO$23,MATCH($W626,PLANNING_FC!$CZ$4:$CZ$23,0),FALSE),0),0)</f>
        <v>0</v>
      </c>
      <c r="BB626" s="883" t="str">
        <f>IF(V626="BRAND.com",IFERROR(HLOOKUP(X626&amp;Z626,PLANNING_FC!$AK$4:$AY$23,MATCH(W626,PLANNING_FC!$AJ$4:$AJ$23,0),FALSE)*1000,""),"")</f>
        <v/>
      </c>
      <c r="BC626" s="883" t="str">
        <f>IF(V626="BRAND.com",IFERROR(HLOOKUP(X626&amp;Z626,PLANNING_FC!$AK$27:$AY$46,MATCH(W626,PLANNING_FC!$AJ$27:$AJ$46,0),FALSE)*1000,""),"")</f>
        <v/>
      </c>
    </row>
    <row r="627" spans="1:55" x14ac:dyDescent="0.25">
      <c r="N627" s="56">
        <f t="shared" si="250"/>
        <v>0</v>
      </c>
      <c r="O627" s="57">
        <f t="shared" si="251"/>
        <v>0</v>
      </c>
      <c r="P627" s="57">
        <f ca="1">IFERROR(IF(ISBLANK(H627),SUMIFS($AC:$AC,$V:$V,V627,$W:$W,W627,$X:$X,X627,$Y:$Y,Y627)*J627/(1-J627)*VLOOKUP(_xlfn.CONCAT(C627,D627,E627,TIME!$M$12,Z627),HIS_SALES!$B$2:$W$4859,20,FALSE),AC627*J627/(1-J627)),0)</f>
        <v>0</v>
      </c>
      <c r="Q627" s="541" t="str">
        <f t="shared" si="252"/>
        <v/>
      </c>
      <c r="R627" s="346" t="str">
        <f t="shared" si="230"/>
        <v>00000</v>
      </c>
      <c r="S627" s="344">
        <f t="shared" si="253"/>
        <v>0</v>
      </c>
      <c r="T627" s="345" t="str">
        <f t="shared" si="235"/>
        <v>000</v>
      </c>
      <c r="U627" s="345">
        <f t="shared" si="254"/>
        <v>0</v>
      </c>
      <c r="V627" s="345">
        <f t="shared" si="255"/>
        <v>0</v>
      </c>
      <c r="W627" s="345">
        <f t="shared" si="256"/>
        <v>0</v>
      </c>
      <c r="X627" s="345">
        <f t="shared" si="257"/>
        <v>0</v>
      </c>
      <c r="Y627" s="345">
        <f t="shared" si="258"/>
        <v>0</v>
      </c>
      <c r="Z627" s="345">
        <f>IF(Q627&lt;&gt;"",VLOOKUP(Y627,TIME!$R$21:$V$24,MATCH(FC_DATA!Q627,TIME!$R$20:$V$20,0),FALSE),H627)</f>
        <v>0</v>
      </c>
      <c r="AA627" s="345" t="str">
        <f>IFERROR(VLOOKUP(X627&amp;Z627,TIME!$A$12:$D$71,4,FALSE),"")</f>
        <v/>
      </c>
      <c r="AB627" s="592">
        <f t="shared" ca="1" si="231"/>
        <v>0</v>
      </c>
      <c r="AC627" s="593" t="e">
        <f ca="1">IF(ISBLANK(H627)=FALSE,IF(D627="BRAND.com",I627,IF(ISNA(VLOOKUP(_xlfn.CONCAT(X627,Z627),TIME!$M$40:$M$42,1,FALSE)),I627,VLOOKUP(_xlfn.CONCAT(D627,G627,H627),M_BUSAREA_FC!$AF$5:$AJ$10,5,FALSE)*HLOOKUP(_xlfn.CONCAT(F627,H627),ST_OVERVIEW!$G$99:$I$130,MATCH(_xlfn.CONCAT(D627,E627),ST_OVERVIEW!$F$99:$F$130,0),FALSE))),IF(D627="BRAND.com",VLOOKUP(_xlfn.CONCAT(C627,D627,E627,TIME!$F$1,Z627),HIS_SALES!$B$2:$V$4859,19,FALSE)*I627,VLOOKUP(_xlfn.CONCAT(D627,F627,G627),Q_BUSAREA_FC!$AE$5:$AI$12,5,FALSE)*HLOOKUP(_xlfn.CONCAT(FC_DATA!F627,FC_DATA!G627),LT_OVERVIEW!$I$99:$M$130,MATCH(_xlfn.CONCAT(D627,FC_DATA!E627),LT_OVERVIEW!$H$99:$H$130,0),FALSE)*IFERROR(VLOOKUP(_xlfn.CONCAT(C627,D627,E627,TIME!$F$1,Z627),HIS_SALES!$B$2:$V$4859,19,FALSE),0)))</f>
        <v>#N/A</v>
      </c>
      <c r="AD627" s="341">
        <f t="shared" ca="1" si="259"/>
        <v>0</v>
      </c>
      <c r="AE627" s="363" t="str">
        <f t="shared" si="260"/>
        <v/>
      </c>
      <c r="AF627" s="342" t="str">
        <f t="shared" si="261"/>
        <v/>
      </c>
      <c r="AG627" s="411" t="e">
        <f ca="1">VLOOKUP(_xlfn.CONCAT(U627,V627,W627,VLOOKUP(X627&amp;Y627,TIME!$L$27:$O$34,4,FALSE),Y627),HIS_SALES!$A$2:$R$5093,18,FALSE)</f>
        <v>#N/A</v>
      </c>
      <c r="AH627" s="412" t="e">
        <f ca="1">IFERROR(IF(AND(V627=V626,W627=W626),0.5*(AB627+AB626)*AG627,(VLOOKUP(_xlfn.CONCAT(U627,V627,W627,X627,VLOOKUP(Z627,TIME!$S$28:$T$39,2,FALSE)),FC_DATA!$R$2:$AB$5000,MATCH("GS_I_M",FC_DATA!$R$1:$AB$1,0),FALSE)+FC_DATA!AB627)*0.5*FC_DATA!AG627),NA())</f>
        <v>#N/A</v>
      </c>
      <c r="AI627" s="491" t="e">
        <f ca="1">IF(V627="PARTNER.com",AH627,IF(AND(V627=V626,W627=W626),(1-AVERAGE(AD626,AD627))*AH627,(1-AVERAGE(AD627,VLOOKUP(_xlfn.CONCAT(U627,V627,W627,X627,M_BRAND_FC!$F$6),FC_DATA!$R$2:$AD$5000,MATCH("DISCOUNT_%_M",FC_DATA!$R$1:$AD$1,0),FALSE)))*AH627))</f>
        <v>#N/A</v>
      </c>
      <c r="AJ627" s="412" t="str">
        <f t="shared" ca="1" si="232"/>
        <v/>
      </c>
      <c r="AK627" s="413" t="str">
        <f>IFERROR(AE627/(Q_BRAND_FC!$T$24+1),"")</f>
        <v/>
      </c>
      <c r="AL627" s="88" t="str">
        <f t="shared" ca="1" si="233"/>
        <v/>
      </c>
      <c r="AM627" s="414" t="str">
        <f t="shared" ca="1" si="234"/>
        <v/>
      </c>
      <c r="AN627" s="58">
        <f>IFERROR(IF($V627="BRAND.com",HLOOKUP($X627&amp;$Z627,NWC_FC_NOOS!$C$4:$Q$23,MATCH(W627,NWC_FC_NOOS!$B$4:$B$23,0),FALSE),0),0)</f>
        <v>0</v>
      </c>
      <c r="AO627" s="57">
        <f>IFERROR(IF($V627="BRAND.com",HLOOKUP($X627&amp;$Z627,NWC_FC_NOOS!$T$4:$AH$23,MATCH(W627,NWC_FC_NOOS!$S$4:$S$23,0),FALSE),0),0)</f>
        <v>0</v>
      </c>
      <c r="AP627" s="57">
        <f>IFERROR(IF($V627="BRAND.com",HLOOKUP($X627&amp;$Z627,NWC_FC_NOOS!$C$50:$U$69,MATCH(W627,NWC_FC_NOOS!$B$50:$B$69,0),FALSE),0),0)</f>
        <v>0</v>
      </c>
      <c r="AQ627" s="58">
        <f>IFERROR(IF($V627="BRAND.com",HLOOKUP($X627&amp;$Z627,'NWC_FC_NON-NOOS'!$C$4:$Q$23,MATCH(W627,'NWC_FC_NON-NOOS'!$B$4:$B$23,0),FALSE),0),0)</f>
        <v>0</v>
      </c>
      <c r="AR627" s="57">
        <f>IFERROR(IF($V627="BRAND.com",HLOOKUP($X627&amp;$Z627,'NWC_FC_NON-NOOS'!$T$4:$AH$23,MATCH(W627,'NWC_FC_NON-NOOS'!$S$4:$S$23,0),FALSE),0),0)</f>
        <v>0</v>
      </c>
      <c r="AS627" s="57">
        <f>IFERROR(IF($V627="BRAND.com",HLOOKUP($X627&amp;$Z627,'NWC_FC_NON-NOOS'!$C$50:$U$69,MATCH(W627,'NWC_FC_NON-NOOS'!$B$50:$B$69,0),FALSE),0),0)</f>
        <v>0</v>
      </c>
      <c r="AT627" s="57">
        <f t="shared" si="236"/>
        <v>0</v>
      </c>
      <c r="AU627" s="57">
        <f t="shared" si="237"/>
        <v>0</v>
      </c>
      <c r="AV627" s="58">
        <f>IFERROR(IF($V627="BRAND.com",HLOOKUP($X627&amp;$Z627,PLANNING_FC!$BB$27:$BP$46,MATCH($W627,PLANNING_FC!$BA$27:$BA$46,0),FALSE),0),0)</f>
        <v>0</v>
      </c>
      <c r="AW627" s="58">
        <f>IFERROR(IF($V627="BRAND.com",HLOOKUP($X627&amp;$Z627,PLANNING_FC!$BB$4:$BP$23,MATCH($W627,PLANNING_FC!$BA$4:$BA$23,0),FALSE),0),0)</f>
        <v>0</v>
      </c>
      <c r="AX627" s="58">
        <f>IFERROR(IF($V627="BRAND.com",HLOOKUP($X627&amp;$Z627,PLANNING_FC!$T$27:$AH$46,MATCH($W627,PLANNING_FC!$B$27:$B$46,0),FALSE),0),0)</f>
        <v>0</v>
      </c>
      <c r="AY627" s="58">
        <f>IFERROR(IF($V627="BRAND.com",HLOOKUP($X627&amp;$Z627,PLANNING_FC!$T$4:$AH$23,MATCH($W627,PLANNING_FC!$B$4:$B$23,0),FALSE),0),0)</f>
        <v>0</v>
      </c>
      <c r="AZ627" s="58">
        <f>IFERROR(IF($V627="BRAND.com",HLOOKUP($X627&amp;$Z627,PLANNING_FC!$DA$27:$DO$46,MATCH($W627,PLANNING_FC!$CZ$27:$CZ$46,0),FALSE),0),0)</f>
        <v>0</v>
      </c>
      <c r="BA627" s="58">
        <f>IFERROR(IF($V627="BRAND.com",HLOOKUP($X627&amp;$Z627,PLANNING_FC!$DA$4:$DO$23,MATCH($W627,PLANNING_FC!$CZ$4:$CZ$23,0),FALSE),0),0)</f>
        <v>0</v>
      </c>
      <c r="BB627" s="883" t="str">
        <f>IF(V627="BRAND.com",IFERROR(HLOOKUP(X627&amp;Z627,PLANNING_FC!$AK$4:$AY$23,MATCH(W627,PLANNING_FC!$AJ$4:$AJ$23,0),FALSE)*1000,""),"")</f>
        <v/>
      </c>
      <c r="BC627" s="883" t="str">
        <f>IF(V627="BRAND.com",IFERROR(HLOOKUP(X627&amp;Z627,PLANNING_FC!$AK$27:$AY$46,MATCH(W627,PLANNING_FC!$AJ$27:$AJ$46,0),FALSE)*1000,""),"")</f>
        <v/>
      </c>
    </row>
    <row r="628" spans="1:55" x14ac:dyDescent="0.25">
      <c r="N628" s="56">
        <f t="shared" si="250"/>
        <v>0</v>
      </c>
      <c r="O628" s="57">
        <f t="shared" si="251"/>
        <v>0</v>
      </c>
      <c r="P628" s="57">
        <f ca="1">IFERROR(IF(ISBLANK(H628),SUMIFS($AC:$AC,$V:$V,V628,$W:$W,W628,$X:$X,X628,$Y:$Y,Y628)*J628/(1-J628)*VLOOKUP(_xlfn.CONCAT(C628,D628,E628,TIME!$M$12,Z628),HIS_SALES!$B$2:$W$4859,20,FALSE),AC628*J628/(1-J628)),0)</f>
        <v>0</v>
      </c>
      <c r="Q628" s="541" t="str">
        <f t="shared" si="252"/>
        <v/>
      </c>
      <c r="R628" s="346" t="str">
        <f t="shared" si="230"/>
        <v>00000</v>
      </c>
      <c r="S628" s="344">
        <f t="shared" si="253"/>
        <v>0</v>
      </c>
      <c r="T628" s="345" t="str">
        <f t="shared" si="235"/>
        <v>000</v>
      </c>
      <c r="U628" s="345">
        <f t="shared" si="254"/>
        <v>0</v>
      </c>
      <c r="V628" s="345">
        <f t="shared" si="255"/>
        <v>0</v>
      </c>
      <c r="W628" s="345">
        <f t="shared" si="256"/>
        <v>0</v>
      </c>
      <c r="X628" s="345">
        <f t="shared" si="257"/>
        <v>0</v>
      </c>
      <c r="Y628" s="345">
        <f t="shared" si="258"/>
        <v>0</v>
      </c>
      <c r="Z628" s="345">
        <f>IF(Q628&lt;&gt;"",VLOOKUP(Y628,TIME!$R$21:$V$24,MATCH(FC_DATA!Q628,TIME!$R$20:$V$20,0),FALSE),H628)</f>
        <v>0</v>
      </c>
      <c r="AA628" s="345" t="str">
        <f>IFERROR(VLOOKUP(X628&amp;Z628,TIME!$A$12:$D$71,4,FALSE),"")</f>
        <v/>
      </c>
      <c r="AB628" s="592">
        <f t="shared" ca="1" si="231"/>
        <v>0</v>
      </c>
      <c r="AC628" s="593" t="e">
        <f ca="1">IF(ISBLANK(H628)=FALSE,IF(D628="BRAND.com",I628,IF(ISNA(VLOOKUP(_xlfn.CONCAT(X628,Z628),TIME!$M$40:$M$42,1,FALSE)),I628,VLOOKUP(_xlfn.CONCAT(D628,G628,H628),M_BUSAREA_FC!$AF$5:$AJ$10,5,FALSE)*HLOOKUP(_xlfn.CONCAT(F628,H628),ST_OVERVIEW!$G$99:$I$130,MATCH(_xlfn.CONCAT(D628,E628),ST_OVERVIEW!$F$99:$F$130,0),FALSE))),IF(D628="BRAND.com",VLOOKUP(_xlfn.CONCAT(C628,D628,E628,TIME!$F$1,Z628),HIS_SALES!$B$2:$V$4859,19,FALSE)*I628,VLOOKUP(_xlfn.CONCAT(D628,F628,G628),Q_BUSAREA_FC!$AE$5:$AI$12,5,FALSE)*HLOOKUP(_xlfn.CONCAT(FC_DATA!F628,FC_DATA!G628),LT_OVERVIEW!$I$99:$M$130,MATCH(_xlfn.CONCAT(D628,FC_DATA!E628),LT_OVERVIEW!$H$99:$H$130,0),FALSE)*IFERROR(VLOOKUP(_xlfn.CONCAT(C628,D628,E628,TIME!$F$1,Z628),HIS_SALES!$B$2:$V$4859,19,FALSE),0)))</f>
        <v>#N/A</v>
      </c>
      <c r="AD628" s="341">
        <f t="shared" ca="1" si="259"/>
        <v>0</v>
      </c>
      <c r="AE628" s="363" t="str">
        <f t="shared" si="260"/>
        <v/>
      </c>
      <c r="AF628" s="342" t="str">
        <f t="shared" si="261"/>
        <v/>
      </c>
      <c r="AG628" s="411" t="e">
        <f ca="1">VLOOKUP(_xlfn.CONCAT(U628,V628,W628,VLOOKUP(X628&amp;Y628,TIME!$L$27:$O$34,4,FALSE),Y628),HIS_SALES!$A$2:$R$5093,18,FALSE)</f>
        <v>#N/A</v>
      </c>
      <c r="AH628" s="412" t="e">
        <f ca="1">IFERROR(IF(AND(V628=V627,W628=W627),0.5*(AB628+AB627)*AG628,(VLOOKUP(_xlfn.CONCAT(U628,V628,W628,X628,VLOOKUP(Z628,TIME!$S$28:$T$39,2,FALSE)),FC_DATA!$R$2:$AB$5000,MATCH("GS_I_M",FC_DATA!$R$1:$AB$1,0),FALSE)+FC_DATA!AB628)*0.5*FC_DATA!AG628),NA())</f>
        <v>#N/A</v>
      </c>
      <c r="AI628" s="491" t="e">
        <f ca="1">IF(V628="PARTNER.com",AH628,IF(AND(V628=V627,W628=W627),(1-AVERAGE(AD627,AD628))*AH628,(1-AVERAGE(AD628,VLOOKUP(_xlfn.CONCAT(U628,V628,W628,X628,M_BRAND_FC!$F$6),FC_DATA!$R$2:$AD$5000,MATCH("DISCOUNT_%_M",FC_DATA!$R$1:$AD$1,0),FALSE)))*AH628))</f>
        <v>#N/A</v>
      </c>
      <c r="AJ628" s="412" t="str">
        <f t="shared" ca="1" si="232"/>
        <v/>
      </c>
      <c r="AK628" s="413" t="str">
        <f>IFERROR(AE628/(Q_BRAND_FC!$T$24+1),"")</f>
        <v/>
      </c>
      <c r="AL628" s="88" t="str">
        <f t="shared" ca="1" si="233"/>
        <v/>
      </c>
      <c r="AM628" s="414" t="str">
        <f t="shared" ca="1" si="234"/>
        <v/>
      </c>
      <c r="AN628" s="58">
        <f>IFERROR(IF($V628="BRAND.com",HLOOKUP($X628&amp;$Z628,NWC_FC_NOOS!$C$4:$Q$23,MATCH(W628,NWC_FC_NOOS!$B$4:$B$23,0),FALSE),0),0)</f>
        <v>0</v>
      </c>
      <c r="AO628" s="57">
        <f>IFERROR(IF($V628="BRAND.com",HLOOKUP($X628&amp;$Z628,NWC_FC_NOOS!$T$4:$AH$23,MATCH(W628,NWC_FC_NOOS!$S$4:$S$23,0),FALSE),0),0)</f>
        <v>0</v>
      </c>
      <c r="AP628" s="57">
        <f>IFERROR(IF($V628="BRAND.com",HLOOKUP($X628&amp;$Z628,NWC_FC_NOOS!$C$50:$U$69,MATCH(W628,NWC_FC_NOOS!$B$50:$B$69,0),FALSE),0),0)</f>
        <v>0</v>
      </c>
      <c r="AQ628" s="58">
        <f>IFERROR(IF($V628="BRAND.com",HLOOKUP($X628&amp;$Z628,'NWC_FC_NON-NOOS'!$C$4:$Q$23,MATCH(W628,'NWC_FC_NON-NOOS'!$B$4:$B$23,0),FALSE),0),0)</f>
        <v>0</v>
      </c>
      <c r="AR628" s="57">
        <f>IFERROR(IF($V628="BRAND.com",HLOOKUP($X628&amp;$Z628,'NWC_FC_NON-NOOS'!$T$4:$AH$23,MATCH(W628,'NWC_FC_NON-NOOS'!$S$4:$S$23,0),FALSE),0),0)</f>
        <v>0</v>
      </c>
      <c r="AS628" s="57">
        <f>IFERROR(IF($V628="BRAND.com",HLOOKUP($X628&amp;$Z628,'NWC_FC_NON-NOOS'!$C$50:$U$69,MATCH(W628,'NWC_FC_NON-NOOS'!$B$50:$B$69,0),FALSE),0),0)</f>
        <v>0</v>
      </c>
      <c r="AT628" s="57">
        <f t="shared" si="236"/>
        <v>0</v>
      </c>
      <c r="AU628" s="57">
        <f t="shared" si="237"/>
        <v>0</v>
      </c>
      <c r="AV628" s="58">
        <f>IFERROR(IF($V628="BRAND.com",HLOOKUP($X628&amp;$Z628,PLANNING_FC!$BB$27:$BP$46,MATCH($W628,PLANNING_FC!$BA$27:$BA$46,0),FALSE),0),0)</f>
        <v>0</v>
      </c>
      <c r="AW628" s="58">
        <f>IFERROR(IF($V628="BRAND.com",HLOOKUP($X628&amp;$Z628,PLANNING_FC!$BB$4:$BP$23,MATCH($W628,PLANNING_FC!$BA$4:$BA$23,0),FALSE),0),0)</f>
        <v>0</v>
      </c>
      <c r="AX628" s="58">
        <f>IFERROR(IF($V628="BRAND.com",HLOOKUP($X628&amp;$Z628,PLANNING_FC!$T$27:$AH$46,MATCH($W628,PLANNING_FC!$B$27:$B$46,0),FALSE),0),0)</f>
        <v>0</v>
      </c>
      <c r="AY628" s="58">
        <f>IFERROR(IF($V628="BRAND.com",HLOOKUP($X628&amp;$Z628,PLANNING_FC!$T$4:$AH$23,MATCH($W628,PLANNING_FC!$B$4:$B$23,0),FALSE),0),0)</f>
        <v>0</v>
      </c>
      <c r="AZ628" s="58">
        <f>IFERROR(IF($V628="BRAND.com",HLOOKUP($X628&amp;$Z628,PLANNING_FC!$DA$27:$DO$46,MATCH($W628,PLANNING_FC!$CZ$27:$CZ$46,0),FALSE),0),0)</f>
        <v>0</v>
      </c>
      <c r="BA628" s="58">
        <f>IFERROR(IF($V628="BRAND.com",HLOOKUP($X628&amp;$Z628,PLANNING_FC!$DA$4:$DO$23,MATCH($W628,PLANNING_FC!$CZ$4:$CZ$23,0),FALSE),0),0)</f>
        <v>0</v>
      </c>
      <c r="BB628" s="883" t="str">
        <f>IF(V628="BRAND.com",IFERROR(HLOOKUP(X628&amp;Z628,PLANNING_FC!$AK$4:$AY$23,MATCH(W628,PLANNING_FC!$AJ$4:$AJ$23,0),FALSE)*1000,""),"")</f>
        <v/>
      </c>
      <c r="BC628" s="883" t="str">
        <f>IF(V628="BRAND.com",IFERROR(HLOOKUP(X628&amp;Z628,PLANNING_FC!$AK$27:$AY$46,MATCH(W628,PLANNING_FC!$AJ$27:$AJ$46,0),FALSE)*1000,""),"")</f>
        <v/>
      </c>
    </row>
    <row r="629" spans="1:55" x14ac:dyDescent="0.25">
      <c r="N629" s="56">
        <f t="shared" si="250"/>
        <v>0</v>
      </c>
      <c r="O629" s="57">
        <f t="shared" si="251"/>
        <v>0</v>
      </c>
      <c r="P629" s="57">
        <f ca="1">IFERROR(IF(ISBLANK(H629),SUMIFS($AC:$AC,$V:$V,V629,$W:$W,W629,$X:$X,X629,$Y:$Y,Y629)*J629/(1-J629)*VLOOKUP(_xlfn.CONCAT(C629,D629,E629,TIME!$M$12,Z629),HIS_SALES!$B$2:$W$4859,20,FALSE),AC629*J629/(1-J629)),0)</f>
        <v>0</v>
      </c>
      <c r="Q629" s="541" t="str">
        <f t="shared" si="252"/>
        <v/>
      </c>
      <c r="R629" s="346" t="str">
        <f t="shared" si="230"/>
        <v>00000</v>
      </c>
      <c r="S629" s="344">
        <f t="shared" si="253"/>
        <v>0</v>
      </c>
      <c r="T629" s="345" t="str">
        <f t="shared" si="235"/>
        <v>000</v>
      </c>
      <c r="U629" s="345">
        <f t="shared" si="254"/>
        <v>0</v>
      </c>
      <c r="V629" s="345">
        <f t="shared" si="255"/>
        <v>0</v>
      </c>
      <c r="W629" s="345">
        <f t="shared" si="256"/>
        <v>0</v>
      </c>
      <c r="X629" s="345">
        <f t="shared" si="257"/>
        <v>0</v>
      </c>
      <c r="Y629" s="345">
        <f t="shared" si="258"/>
        <v>0</v>
      </c>
      <c r="Z629" s="345">
        <f>IF(Q629&lt;&gt;"",VLOOKUP(Y629,TIME!$R$21:$V$24,MATCH(FC_DATA!Q629,TIME!$R$20:$V$20,0),FALSE),H629)</f>
        <v>0</v>
      </c>
      <c r="AA629" s="345" t="str">
        <f>IFERROR(VLOOKUP(X629&amp;Z629,TIME!$A$12:$D$71,4,FALSE),"")</f>
        <v/>
      </c>
      <c r="AB629" s="592">
        <f t="shared" ca="1" si="231"/>
        <v>0</v>
      </c>
      <c r="AC629" s="593" t="e">
        <f ca="1">IF(ISBLANK(H629)=FALSE,IF(D629="BRAND.com",I629,IF(ISNA(VLOOKUP(_xlfn.CONCAT(X629,Z629),TIME!$M$40:$M$42,1,FALSE)),I629,VLOOKUP(_xlfn.CONCAT(D629,G629,H629),M_BUSAREA_FC!$AF$5:$AJ$10,5,FALSE)*HLOOKUP(_xlfn.CONCAT(F629,H629),ST_OVERVIEW!$G$99:$I$130,MATCH(_xlfn.CONCAT(D629,E629),ST_OVERVIEW!$F$99:$F$130,0),FALSE))),IF(D629="BRAND.com",VLOOKUP(_xlfn.CONCAT(C629,D629,E629,TIME!$F$1,Z629),HIS_SALES!$B$2:$V$4859,19,FALSE)*I629,VLOOKUP(_xlfn.CONCAT(D629,F629,G629),Q_BUSAREA_FC!$AE$5:$AI$12,5,FALSE)*HLOOKUP(_xlfn.CONCAT(FC_DATA!F629,FC_DATA!G629),LT_OVERVIEW!$I$99:$M$130,MATCH(_xlfn.CONCAT(D629,FC_DATA!E629),LT_OVERVIEW!$H$99:$H$130,0),FALSE)*IFERROR(VLOOKUP(_xlfn.CONCAT(C629,D629,E629,TIME!$F$1,Z629),HIS_SALES!$B$2:$V$4859,19,FALSE),0)))</f>
        <v>#N/A</v>
      </c>
      <c r="AD629" s="341">
        <f t="shared" ca="1" si="259"/>
        <v>0</v>
      </c>
      <c r="AE629" s="363" t="str">
        <f t="shared" si="260"/>
        <v/>
      </c>
      <c r="AF629" s="342" t="str">
        <f t="shared" si="261"/>
        <v/>
      </c>
      <c r="AG629" s="411" t="e">
        <f ca="1">VLOOKUP(_xlfn.CONCAT(U629,V629,W629,VLOOKUP(X629&amp;Y629,TIME!$L$27:$O$34,4,FALSE),Y629),HIS_SALES!$A$2:$R$5093,18,FALSE)</f>
        <v>#N/A</v>
      </c>
      <c r="AH629" s="412" t="e">
        <f ca="1">IFERROR(IF(AND(V629=V628,W629=W628),0.5*(AB629+AB628)*AG629,(VLOOKUP(_xlfn.CONCAT(U629,V629,W629,X629,VLOOKUP(Z629,TIME!$S$28:$T$39,2,FALSE)),FC_DATA!$R$2:$AB$5000,MATCH("GS_I_M",FC_DATA!$R$1:$AB$1,0),FALSE)+FC_DATA!AB629)*0.5*FC_DATA!AG629),NA())</f>
        <v>#N/A</v>
      </c>
      <c r="AI629" s="491" t="e">
        <f ca="1">IF(V629="PARTNER.com",AH629,IF(AND(V629=V628,W629=W628),(1-AVERAGE(AD628,AD629))*AH629,(1-AVERAGE(AD629,VLOOKUP(_xlfn.CONCAT(U629,V629,W629,X629,M_BRAND_FC!$F$6),FC_DATA!$R$2:$AD$5000,MATCH("DISCOUNT_%_M",FC_DATA!$R$1:$AD$1,0),FALSE)))*AH629))</f>
        <v>#N/A</v>
      </c>
      <c r="AJ629" s="412" t="str">
        <f t="shared" ca="1" si="232"/>
        <v/>
      </c>
      <c r="AK629" s="413" t="str">
        <f>IFERROR(AE629/(Q_BRAND_FC!$T$24+1),"")</f>
        <v/>
      </c>
      <c r="AL629" s="88" t="str">
        <f t="shared" ca="1" si="233"/>
        <v/>
      </c>
      <c r="AM629" s="414" t="str">
        <f t="shared" ca="1" si="234"/>
        <v/>
      </c>
      <c r="AN629" s="58">
        <f>IFERROR(IF($V629="BRAND.com",HLOOKUP($X629&amp;$Z629,NWC_FC_NOOS!$C$4:$Q$23,MATCH(W629,NWC_FC_NOOS!$B$4:$B$23,0),FALSE),0),0)</f>
        <v>0</v>
      </c>
      <c r="AO629" s="57">
        <f>IFERROR(IF($V629="BRAND.com",HLOOKUP($X629&amp;$Z629,NWC_FC_NOOS!$T$4:$AH$23,MATCH(W629,NWC_FC_NOOS!$S$4:$S$23,0),FALSE),0),0)</f>
        <v>0</v>
      </c>
      <c r="AP629" s="57">
        <f>IFERROR(IF($V629="BRAND.com",HLOOKUP($X629&amp;$Z629,NWC_FC_NOOS!$C$50:$U$69,MATCH(W629,NWC_FC_NOOS!$B$50:$B$69,0),FALSE),0),0)</f>
        <v>0</v>
      </c>
      <c r="AQ629" s="58">
        <f>IFERROR(IF($V629="BRAND.com",HLOOKUP($X629&amp;$Z629,'NWC_FC_NON-NOOS'!$C$4:$Q$23,MATCH(W629,'NWC_FC_NON-NOOS'!$B$4:$B$23,0),FALSE),0),0)</f>
        <v>0</v>
      </c>
      <c r="AR629" s="57">
        <f>IFERROR(IF($V629="BRAND.com",HLOOKUP($X629&amp;$Z629,'NWC_FC_NON-NOOS'!$T$4:$AH$23,MATCH(W629,'NWC_FC_NON-NOOS'!$S$4:$S$23,0),FALSE),0),0)</f>
        <v>0</v>
      </c>
      <c r="AS629" s="57">
        <f>IFERROR(IF($V629="BRAND.com",HLOOKUP($X629&amp;$Z629,'NWC_FC_NON-NOOS'!$C$50:$U$69,MATCH(W629,'NWC_FC_NON-NOOS'!$B$50:$B$69,0),FALSE),0),0)</f>
        <v>0</v>
      </c>
      <c r="AT629" s="57">
        <f t="shared" si="236"/>
        <v>0</v>
      </c>
      <c r="AU629" s="57">
        <f t="shared" si="237"/>
        <v>0</v>
      </c>
      <c r="AV629" s="58">
        <f>IFERROR(IF($V629="BRAND.com",HLOOKUP($X629&amp;$Z629,PLANNING_FC!$BB$27:$BP$46,MATCH($W629,PLANNING_FC!$BA$27:$BA$46,0),FALSE),0),0)</f>
        <v>0</v>
      </c>
      <c r="AW629" s="58">
        <f>IFERROR(IF($V629="BRAND.com",HLOOKUP($X629&amp;$Z629,PLANNING_FC!$BB$4:$BP$23,MATCH($W629,PLANNING_FC!$BA$4:$BA$23,0),FALSE),0),0)</f>
        <v>0</v>
      </c>
      <c r="AX629" s="58">
        <f>IFERROR(IF($V629="BRAND.com",HLOOKUP($X629&amp;$Z629,PLANNING_FC!$T$27:$AH$46,MATCH($W629,PLANNING_FC!$B$27:$B$46,0),FALSE),0),0)</f>
        <v>0</v>
      </c>
      <c r="AY629" s="58">
        <f>IFERROR(IF($V629="BRAND.com",HLOOKUP($X629&amp;$Z629,PLANNING_FC!$T$4:$AH$23,MATCH($W629,PLANNING_FC!$B$4:$B$23,0),FALSE),0),0)</f>
        <v>0</v>
      </c>
      <c r="AZ629" s="58">
        <f>IFERROR(IF($V629="BRAND.com",HLOOKUP($X629&amp;$Z629,PLANNING_FC!$DA$27:$DO$46,MATCH($W629,PLANNING_FC!$CZ$27:$CZ$46,0),FALSE),0),0)</f>
        <v>0</v>
      </c>
      <c r="BA629" s="58">
        <f>IFERROR(IF($V629="BRAND.com",HLOOKUP($X629&amp;$Z629,PLANNING_FC!$DA$4:$DO$23,MATCH($W629,PLANNING_FC!$CZ$4:$CZ$23,0),FALSE),0),0)</f>
        <v>0</v>
      </c>
      <c r="BB629" s="883" t="str">
        <f>IF(V629="BRAND.com",IFERROR(HLOOKUP(X629&amp;Z629,PLANNING_FC!$AK$4:$AY$23,MATCH(W629,PLANNING_FC!$AJ$4:$AJ$23,0),FALSE)*1000,""),"")</f>
        <v/>
      </c>
      <c r="BC629" s="883" t="str">
        <f>IF(V629="BRAND.com",IFERROR(HLOOKUP(X629&amp;Z629,PLANNING_FC!$AK$27:$AY$46,MATCH(W629,PLANNING_FC!$AJ$27:$AJ$46,0),FALSE)*1000,""),"")</f>
        <v/>
      </c>
    </row>
    <row r="630" spans="1:55" x14ac:dyDescent="0.25">
      <c r="N630" s="56">
        <f t="shared" si="250"/>
        <v>0</v>
      </c>
      <c r="O630" s="57">
        <f t="shared" si="251"/>
        <v>0</v>
      </c>
      <c r="P630" s="57">
        <f ca="1">IFERROR(IF(ISBLANK(H630),SUMIFS($AC:$AC,$V:$V,V630,$W:$W,W630,$X:$X,X630,$Y:$Y,Y630)*J630/(1-J630)*VLOOKUP(_xlfn.CONCAT(C630,D630,E630,TIME!$M$12,Z630),HIS_SALES!$B$2:$W$4859,20,FALSE),AC630*J630/(1-J630)),0)</f>
        <v>0</v>
      </c>
      <c r="Q630" s="541" t="str">
        <f t="shared" si="252"/>
        <v/>
      </c>
      <c r="R630" s="346" t="str">
        <f t="shared" si="230"/>
        <v>00000</v>
      </c>
      <c r="S630" s="344">
        <f t="shared" si="253"/>
        <v>0</v>
      </c>
      <c r="T630" s="345" t="str">
        <f t="shared" si="235"/>
        <v>000</v>
      </c>
      <c r="U630" s="345">
        <f t="shared" si="254"/>
        <v>0</v>
      </c>
      <c r="V630" s="345">
        <f t="shared" si="255"/>
        <v>0</v>
      </c>
      <c r="W630" s="345">
        <f t="shared" si="256"/>
        <v>0</v>
      </c>
      <c r="X630" s="345">
        <f t="shared" si="257"/>
        <v>0</v>
      </c>
      <c r="Y630" s="345">
        <f t="shared" si="258"/>
        <v>0</v>
      </c>
      <c r="Z630" s="345">
        <f>IF(Q630&lt;&gt;"",VLOOKUP(Y630,TIME!$R$21:$V$24,MATCH(FC_DATA!Q630,TIME!$R$20:$V$20,0),FALSE),H630)</f>
        <v>0</v>
      </c>
      <c r="AA630" s="345" t="str">
        <f>IFERROR(VLOOKUP(X630&amp;Z630,TIME!$A$12:$D$71,4,FALSE),"")</f>
        <v/>
      </c>
      <c r="AB630" s="592">
        <f t="shared" ca="1" si="231"/>
        <v>0</v>
      </c>
      <c r="AC630" s="593" t="e">
        <f ca="1">IF(ISBLANK(H630)=FALSE,IF(D630="BRAND.com",I630,IF(ISNA(VLOOKUP(_xlfn.CONCAT(X630,Z630),TIME!$M$40:$M$42,1,FALSE)),I630,VLOOKUP(_xlfn.CONCAT(D630,G630,H630),M_BUSAREA_FC!$AF$5:$AJ$10,5,FALSE)*HLOOKUP(_xlfn.CONCAT(F630,H630),ST_OVERVIEW!$G$99:$I$130,MATCH(_xlfn.CONCAT(D630,E630),ST_OVERVIEW!$F$99:$F$130,0),FALSE))),IF(D630="BRAND.com",VLOOKUP(_xlfn.CONCAT(C630,D630,E630,TIME!$F$1,Z630),HIS_SALES!$B$2:$V$4859,19,FALSE)*I630,VLOOKUP(_xlfn.CONCAT(D630,F630,G630),Q_BUSAREA_FC!$AE$5:$AI$12,5,FALSE)*HLOOKUP(_xlfn.CONCAT(FC_DATA!F630,FC_DATA!G630),LT_OVERVIEW!$I$99:$M$130,MATCH(_xlfn.CONCAT(D630,FC_DATA!E630),LT_OVERVIEW!$H$99:$H$130,0),FALSE)*IFERROR(VLOOKUP(_xlfn.CONCAT(C630,D630,E630,TIME!$F$1,Z630),HIS_SALES!$B$2:$V$4859,19,FALSE),0)))</f>
        <v>#N/A</v>
      </c>
      <c r="AD630" s="341">
        <f t="shared" ca="1" si="259"/>
        <v>0</v>
      </c>
      <c r="AE630" s="363" t="str">
        <f t="shared" si="260"/>
        <v/>
      </c>
      <c r="AF630" s="342" t="str">
        <f t="shared" si="261"/>
        <v/>
      </c>
      <c r="AG630" s="411" t="e">
        <f ca="1">VLOOKUP(_xlfn.CONCAT(U630,V630,W630,VLOOKUP(X630&amp;Y630,TIME!$L$27:$O$34,4,FALSE),Y630),HIS_SALES!$A$2:$R$5093,18,FALSE)</f>
        <v>#N/A</v>
      </c>
      <c r="AH630" s="412" t="e">
        <f ca="1">IFERROR(IF(AND(V630=V629,W630=W629),0.5*(AB630+AB629)*AG630,(VLOOKUP(_xlfn.CONCAT(U630,V630,W630,X630,VLOOKUP(Z630,TIME!$S$28:$T$39,2,FALSE)),FC_DATA!$R$2:$AB$5000,MATCH("GS_I_M",FC_DATA!$R$1:$AB$1,0),FALSE)+FC_DATA!AB630)*0.5*FC_DATA!AG630),NA())</f>
        <v>#N/A</v>
      </c>
      <c r="AI630" s="491" t="e">
        <f ca="1">IF(V630="PARTNER.com",AH630,IF(AND(V630=V629,W630=W629),(1-AVERAGE(AD629,AD630))*AH630,(1-AVERAGE(AD630,VLOOKUP(_xlfn.CONCAT(U630,V630,W630,X630,M_BRAND_FC!$F$6),FC_DATA!$R$2:$AD$5000,MATCH("DISCOUNT_%_M",FC_DATA!$R$1:$AD$1,0),FALSE)))*AH630))</f>
        <v>#N/A</v>
      </c>
      <c r="AJ630" s="412" t="str">
        <f t="shared" ca="1" si="232"/>
        <v/>
      </c>
      <c r="AK630" s="413" t="str">
        <f>IFERROR(AE630/(Q_BRAND_FC!$T$24+1),"")</f>
        <v/>
      </c>
      <c r="AL630" s="88" t="str">
        <f t="shared" ca="1" si="233"/>
        <v/>
      </c>
      <c r="AM630" s="414" t="str">
        <f t="shared" ca="1" si="234"/>
        <v/>
      </c>
      <c r="AN630" s="58">
        <f>IFERROR(IF($V630="BRAND.com",HLOOKUP($X630&amp;$Z630,NWC_FC_NOOS!$C$4:$Q$23,MATCH(W630,NWC_FC_NOOS!$B$4:$B$23,0),FALSE),0),0)</f>
        <v>0</v>
      </c>
      <c r="AO630" s="57">
        <f>IFERROR(IF($V630="BRAND.com",HLOOKUP($X630&amp;$Z630,NWC_FC_NOOS!$T$4:$AH$23,MATCH(W630,NWC_FC_NOOS!$S$4:$S$23,0),FALSE),0),0)</f>
        <v>0</v>
      </c>
      <c r="AP630" s="57">
        <f>IFERROR(IF($V630="BRAND.com",HLOOKUP($X630&amp;$Z630,NWC_FC_NOOS!$C$50:$U$69,MATCH(W630,NWC_FC_NOOS!$B$50:$B$69,0),FALSE),0),0)</f>
        <v>0</v>
      </c>
      <c r="AQ630" s="58">
        <f>IFERROR(IF($V630="BRAND.com",HLOOKUP($X630&amp;$Z630,'NWC_FC_NON-NOOS'!$C$4:$Q$23,MATCH(W630,'NWC_FC_NON-NOOS'!$B$4:$B$23,0),FALSE),0),0)</f>
        <v>0</v>
      </c>
      <c r="AR630" s="57">
        <f>IFERROR(IF($V630="BRAND.com",HLOOKUP($X630&amp;$Z630,'NWC_FC_NON-NOOS'!$T$4:$AH$23,MATCH(W630,'NWC_FC_NON-NOOS'!$S$4:$S$23,0),FALSE),0),0)</f>
        <v>0</v>
      </c>
      <c r="AS630" s="57">
        <f>IFERROR(IF($V630="BRAND.com",HLOOKUP($X630&amp;$Z630,'NWC_FC_NON-NOOS'!$C$50:$U$69,MATCH(W630,'NWC_FC_NON-NOOS'!$B$50:$B$69,0),FALSE),0),0)</f>
        <v>0</v>
      </c>
      <c r="AT630" s="57">
        <f t="shared" si="236"/>
        <v>0</v>
      </c>
      <c r="AU630" s="57">
        <f t="shared" si="237"/>
        <v>0</v>
      </c>
      <c r="AV630" s="58">
        <f>IFERROR(IF($V630="BRAND.com",HLOOKUP($X630&amp;$Z630,PLANNING_FC!$BB$27:$BP$46,MATCH($W630,PLANNING_FC!$BA$27:$BA$46,0),FALSE),0),0)</f>
        <v>0</v>
      </c>
      <c r="AW630" s="58">
        <f>IFERROR(IF($V630="BRAND.com",HLOOKUP($X630&amp;$Z630,PLANNING_FC!$BB$4:$BP$23,MATCH($W630,PLANNING_FC!$BA$4:$BA$23,0),FALSE),0),0)</f>
        <v>0</v>
      </c>
      <c r="AX630" s="58">
        <f>IFERROR(IF($V630="BRAND.com",HLOOKUP($X630&amp;$Z630,PLANNING_FC!$T$27:$AH$46,MATCH($W630,PLANNING_FC!$B$27:$B$46,0),FALSE),0),0)</f>
        <v>0</v>
      </c>
      <c r="AY630" s="58">
        <f>IFERROR(IF($V630="BRAND.com",HLOOKUP($X630&amp;$Z630,PLANNING_FC!$T$4:$AH$23,MATCH($W630,PLANNING_FC!$B$4:$B$23,0),FALSE),0),0)</f>
        <v>0</v>
      </c>
      <c r="AZ630" s="58">
        <f>IFERROR(IF($V630="BRAND.com",HLOOKUP($X630&amp;$Z630,PLANNING_FC!$DA$27:$DO$46,MATCH($W630,PLANNING_FC!$CZ$27:$CZ$46,0),FALSE),0),0)</f>
        <v>0</v>
      </c>
      <c r="BA630" s="58">
        <f>IFERROR(IF($V630="BRAND.com",HLOOKUP($X630&amp;$Z630,PLANNING_FC!$DA$4:$DO$23,MATCH($W630,PLANNING_FC!$CZ$4:$CZ$23,0),FALSE),0),0)</f>
        <v>0</v>
      </c>
      <c r="BB630" s="883" t="str">
        <f>IF(V630="BRAND.com",IFERROR(HLOOKUP(X630&amp;Z630,PLANNING_FC!$AK$4:$AY$23,MATCH(W630,PLANNING_FC!$AJ$4:$AJ$23,0),FALSE)*1000,""),"")</f>
        <v/>
      </c>
      <c r="BC630" s="883" t="str">
        <f>IF(V630="BRAND.com",IFERROR(HLOOKUP(X630&amp;Z630,PLANNING_FC!$AK$27:$AY$46,MATCH(W630,PLANNING_FC!$AJ$27:$AJ$46,0),FALSE)*1000,""),"")</f>
        <v/>
      </c>
    </row>
    <row r="631" spans="1:55" x14ac:dyDescent="0.25">
      <c r="N631" s="56">
        <f t="shared" si="250"/>
        <v>0</v>
      </c>
      <c r="O631" s="57">
        <f t="shared" si="251"/>
        <v>0</v>
      </c>
      <c r="P631" s="57">
        <f ca="1">IFERROR(IF(ISBLANK(H631),SUMIFS($AC:$AC,$V:$V,V631,$W:$W,W631,$X:$X,X631,$Y:$Y,Y631)*J631/(1-J631)*VLOOKUP(_xlfn.CONCAT(C631,D631,E631,TIME!$M$12,Z631),HIS_SALES!$B$2:$W$4859,20,FALSE),AC631*J631/(1-J631)),0)</f>
        <v>0</v>
      </c>
      <c r="Q631" s="541" t="str">
        <f t="shared" si="252"/>
        <v/>
      </c>
      <c r="R631" s="346" t="str">
        <f t="shared" si="230"/>
        <v>00000</v>
      </c>
      <c r="S631" s="344">
        <f t="shared" si="253"/>
        <v>0</v>
      </c>
      <c r="T631" s="345" t="str">
        <f t="shared" si="235"/>
        <v>000</v>
      </c>
      <c r="U631" s="345">
        <f t="shared" si="254"/>
        <v>0</v>
      </c>
      <c r="V631" s="345">
        <f t="shared" si="255"/>
        <v>0</v>
      </c>
      <c r="W631" s="345">
        <f t="shared" si="256"/>
        <v>0</v>
      </c>
      <c r="X631" s="345">
        <f t="shared" si="257"/>
        <v>0</v>
      </c>
      <c r="Y631" s="345">
        <f t="shared" si="258"/>
        <v>0</v>
      </c>
      <c r="Z631" s="345">
        <f>IF(Q631&lt;&gt;"",VLOOKUP(Y631,TIME!$R$21:$V$24,MATCH(FC_DATA!Q631,TIME!$R$20:$V$20,0),FALSE),H631)</f>
        <v>0</v>
      </c>
      <c r="AA631" s="345" t="str">
        <f>IFERROR(VLOOKUP(X631&amp;Z631,TIME!$A$12:$D$71,4,FALSE),"")</f>
        <v/>
      </c>
      <c r="AB631" s="592">
        <f t="shared" ca="1" si="231"/>
        <v>0</v>
      </c>
      <c r="AC631" s="593" t="e">
        <f ca="1">IF(ISBLANK(H631)=FALSE,IF(D631="BRAND.com",I631,IF(ISNA(VLOOKUP(_xlfn.CONCAT(X631,Z631),TIME!$M$40:$M$42,1,FALSE)),I631,VLOOKUP(_xlfn.CONCAT(D631,G631,H631),M_BUSAREA_FC!$AF$5:$AJ$10,5,FALSE)*HLOOKUP(_xlfn.CONCAT(F631,H631),ST_OVERVIEW!$G$99:$I$130,MATCH(_xlfn.CONCAT(D631,E631),ST_OVERVIEW!$F$99:$F$130,0),FALSE))),IF(D631="BRAND.com",VLOOKUP(_xlfn.CONCAT(C631,D631,E631,TIME!$F$1,Z631),HIS_SALES!$B$2:$V$4859,19,FALSE)*I631,VLOOKUP(_xlfn.CONCAT(D631,F631,G631),Q_BUSAREA_FC!$AE$5:$AI$12,5,FALSE)*HLOOKUP(_xlfn.CONCAT(FC_DATA!F631,FC_DATA!G631),LT_OVERVIEW!$I$99:$M$130,MATCH(_xlfn.CONCAT(D631,FC_DATA!E631),LT_OVERVIEW!$H$99:$H$130,0),FALSE)*IFERROR(VLOOKUP(_xlfn.CONCAT(C631,D631,E631,TIME!$F$1,Z631),HIS_SALES!$B$2:$V$4859,19,FALSE),0)))</f>
        <v>#N/A</v>
      </c>
      <c r="AD631" s="341">
        <f t="shared" ca="1" si="259"/>
        <v>0</v>
      </c>
      <c r="AE631" s="363" t="str">
        <f t="shared" si="260"/>
        <v/>
      </c>
      <c r="AF631" s="342" t="str">
        <f t="shared" si="261"/>
        <v/>
      </c>
      <c r="AG631" s="411" t="e">
        <f ca="1">VLOOKUP(_xlfn.CONCAT(U631,V631,W631,VLOOKUP(X631&amp;Y631,TIME!$L$27:$O$34,4,FALSE),Y631),HIS_SALES!$A$2:$R$5093,18,FALSE)</f>
        <v>#N/A</v>
      </c>
      <c r="AH631" s="412" t="e">
        <f ca="1">IFERROR(IF(AND(V631=V630,W631=W630),0.5*(AB631+AB630)*AG631,(VLOOKUP(_xlfn.CONCAT(U631,V631,W631,X631,VLOOKUP(Z631,TIME!$S$28:$T$39,2,FALSE)),FC_DATA!$R$2:$AB$5000,MATCH("GS_I_M",FC_DATA!$R$1:$AB$1,0),FALSE)+FC_DATA!AB631)*0.5*FC_DATA!AG631),NA())</f>
        <v>#N/A</v>
      </c>
      <c r="AI631" s="491" t="e">
        <f ca="1">IF(V631="PARTNER.com",AH631,IF(AND(V631=V630,W631=W630),(1-AVERAGE(AD630,AD631))*AH631,(1-AVERAGE(AD631,VLOOKUP(_xlfn.CONCAT(U631,V631,W631,X631,M_BRAND_FC!$F$6),FC_DATA!$R$2:$AD$5000,MATCH("DISCOUNT_%_M",FC_DATA!$R$1:$AD$1,0),FALSE)))*AH631))</f>
        <v>#N/A</v>
      </c>
      <c r="AJ631" s="412" t="str">
        <f t="shared" ca="1" si="232"/>
        <v/>
      </c>
      <c r="AK631" s="413" t="str">
        <f>IFERROR(AE631/(Q_BRAND_FC!$T$24+1),"")</f>
        <v/>
      </c>
      <c r="AL631" s="88" t="str">
        <f t="shared" ca="1" si="233"/>
        <v/>
      </c>
      <c r="AM631" s="414" t="str">
        <f t="shared" ca="1" si="234"/>
        <v/>
      </c>
      <c r="AN631" s="58">
        <f>IFERROR(IF($V631="BRAND.com",HLOOKUP($X631&amp;$Z631,NWC_FC_NOOS!$C$4:$Q$23,MATCH(W631,NWC_FC_NOOS!$B$4:$B$23,0),FALSE),0),0)</f>
        <v>0</v>
      </c>
      <c r="AO631" s="57">
        <f>IFERROR(IF($V631="BRAND.com",HLOOKUP($X631&amp;$Z631,NWC_FC_NOOS!$T$4:$AH$23,MATCH(W631,NWC_FC_NOOS!$S$4:$S$23,0),FALSE),0),0)</f>
        <v>0</v>
      </c>
      <c r="AP631" s="57">
        <f>IFERROR(IF($V631="BRAND.com",HLOOKUP($X631&amp;$Z631,NWC_FC_NOOS!$C$50:$U$69,MATCH(W631,NWC_FC_NOOS!$B$50:$B$69,0),FALSE),0),0)</f>
        <v>0</v>
      </c>
      <c r="AQ631" s="58">
        <f>IFERROR(IF($V631="BRAND.com",HLOOKUP($X631&amp;$Z631,'NWC_FC_NON-NOOS'!$C$4:$Q$23,MATCH(W631,'NWC_FC_NON-NOOS'!$B$4:$B$23,0),FALSE),0),0)</f>
        <v>0</v>
      </c>
      <c r="AR631" s="57">
        <f>IFERROR(IF($V631="BRAND.com",HLOOKUP($X631&amp;$Z631,'NWC_FC_NON-NOOS'!$T$4:$AH$23,MATCH(W631,'NWC_FC_NON-NOOS'!$S$4:$S$23,0),FALSE),0),0)</f>
        <v>0</v>
      </c>
      <c r="AS631" s="57">
        <f>IFERROR(IF($V631="BRAND.com",HLOOKUP($X631&amp;$Z631,'NWC_FC_NON-NOOS'!$C$50:$U$69,MATCH(W631,'NWC_FC_NON-NOOS'!$B$50:$B$69,0),FALSE),0),0)</f>
        <v>0</v>
      </c>
      <c r="AT631" s="57">
        <f t="shared" si="236"/>
        <v>0</v>
      </c>
      <c r="AU631" s="57">
        <f t="shared" si="237"/>
        <v>0</v>
      </c>
      <c r="AV631" s="58">
        <f>IFERROR(IF($V631="BRAND.com",HLOOKUP($X631&amp;$Z631,PLANNING_FC!$BB$27:$BP$46,MATCH($W631,PLANNING_FC!$BA$27:$BA$46,0),FALSE),0),0)</f>
        <v>0</v>
      </c>
      <c r="AW631" s="58">
        <f>IFERROR(IF($V631="BRAND.com",HLOOKUP($X631&amp;$Z631,PLANNING_FC!$BB$4:$BP$23,MATCH($W631,PLANNING_FC!$BA$4:$BA$23,0),FALSE),0),0)</f>
        <v>0</v>
      </c>
      <c r="AX631" s="58">
        <f>IFERROR(IF($V631="BRAND.com",HLOOKUP($X631&amp;$Z631,PLANNING_FC!$T$27:$AH$46,MATCH($W631,PLANNING_FC!$B$27:$B$46,0),FALSE),0),0)</f>
        <v>0</v>
      </c>
      <c r="AY631" s="58">
        <f>IFERROR(IF($V631="BRAND.com",HLOOKUP($X631&amp;$Z631,PLANNING_FC!$T$4:$AH$23,MATCH($W631,PLANNING_FC!$B$4:$B$23,0),FALSE),0),0)</f>
        <v>0</v>
      </c>
      <c r="AZ631" s="58">
        <f>IFERROR(IF($V631="BRAND.com",HLOOKUP($X631&amp;$Z631,PLANNING_FC!$DA$27:$DO$46,MATCH($W631,PLANNING_FC!$CZ$27:$CZ$46,0),FALSE),0),0)</f>
        <v>0</v>
      </c>
      <c r="BA631" s="58">
        <f>IFERROR(IF($V631="BRAND.com",HLOOKUP($X631&amp;$Z631,PLANNING_FC!$DA$4:$DO$23,MATCH($W631,PLANNING_FC!$CZ$4:$CZ$23,0),FALSE),0),0)</f>
        <v>0</v>
      </c>
      <c r="BB631" s="883" t="str">
        <f>IF(V631="BRAND.com",IFERROR(HLOOKUP(X631&amp;Z631,PLANNING_FC!$AK$4:$AY$23,MATCH(W631,PLANNING_FC!$AJ$4:$AJ$23,0),FALSE)*1000,""),"")</f>
        <v/>
      </c>
      <c r="BC631" s="883" t="str">
        <f>IF(V631="BRAND.com",IFERROR(HLOOKUP(X631&amp;Z631,PLANNING_FC!$AK$27:$AY$46,MATCH(W631,PLANNING_FC!$AJ$27:$AJ$46,0),FALSE)*1000,""),"")</f>
        <v/>
      </c>
    </row>
    <row r="632" spans="1:55" x14ac:dyDescent="0.25">
      <c r="N632" s="56">
        <f t="shared" si="250"/>
        <v>0</v>
      </c>
      <c r="O632" s="57">
        <f t="shared" si="251"/>
        <v>0</v>
      </c>
      <c r="P632" s="57">
        <f ca="1">IFERROR(IF(ISBLANK(H632),SUMIFS($AC:$AC,$V:$V,V632,$W:$W,W632,$X:$X,X632,$Y:$Y,Y632)*J632/(1-J632)*VLOOKUP(_xlfn.CONCAT(C632,D632,E632,TIME!$M$12,Z632),HIS_SALES!$B$2:$W$4859,20,FALSE),AC632*J632/(1-J632)),0)</f>
        <v>0</v>
      </c>
      <c r="Q632" s="541" t="str">
        <f t="shared" si="252"/>
        <v/>
      </c>
      <c r="R632" s="346" t="str">
        <f t="shared" si="230"/>
        <v>00000</v>
      </c>
      <c r="S632" s="344">
        <f t="shared" si="253"/>
        <v>0</v>
      </c>
      <c r="T632" s="345" t="str">
        <f t="shared" si="235"/>
        <v>000</v>
      </c>
      <c r="U632" s="345">
        <f t="shared" si="254"/>
        <v>0</v>
      </c>
      <c r="V632" s="345">
        <f t="shared" si="255"/>
        <v>0</v>
      </c>
      <c r="W632" s="345">
        <f t="shared" si="256"/>
        <v>0</v>
      </c>
      <c r="X632" s="345">
        <f t="shared" si="257"/>
        <v>0</v>
      </c>
      <c r="Y632" s="345">
        <f t="shared" si="258"/>
        <v>0</v>
      </c>
      <c r="Z632" s="345">
        <f>IF(Q632&lt;&gt;"",VLOOKUP(Y632,TIME!$R$21:$V$24,MATCH(FC_DATA!Q632,TIME!$R$20:$V$20,0),FALSE),H632)</f>
        <v>0</v>
      </c>
      <c r="AA632" s="345" t="str">
        <f>IFERROR(VLOOKUP(X632&amp;Z632,TIME!$A$12:$D$71,4,FALSE),"")</f>
        <v/>
      </c>
      <c r="AB632" s="592">
        <f t="shared" ca="1" si="231"/>
        <v>0</v>
      </c>
      <c r="AC632" s="593" t="e">
        <f ca="1">IF(ISBLANK(H632)=FALSE,IF(D632="BRAND.com",I632,IF(ISNA(VLOOKUP(_xlfn.CONCAT(X632,Z632),TIME!$M$40:$M$42,1,FALSE)),I632,VLOOKUP(_xlfn.CONCAT(D632,G632,H632),M_BUSAREA_FC!$AF$5:$AJ$10,5,FALSE)*HLOOKUP(_xlfn.CONCAT(F632,H632),ST_OVERVIEW!$G$99:$I$130,MATCH(_xlfn.CONCAT(D632,E632),ST_OVERVIEW!$F$99:$F$130,0),FALSE))),IF(D632="BRAND.com",VLOOKUP(_xlfn.CONCAT(C632,D632,E632,TIME!$F$1,Z632),HIS_SALES!$B$2:$V$4859,19,FALSE)*I632,VLOOKUP(_xlfn.CONCAT(D632,F632,G632),Q_BUSAREA_FC!$AE$5:$AI$12,5,FALSE)*HLOOKUP(_xlfn.CONCAT(FC_DATA!F632,FC_DATA!G632),LT_OVERVIEW!$I$99:$M$130,MATCH(_xlfn.CONCAT(D632,FC_DATA!E632),LT_OVERVIEW!$H$99:$H$130,0),FALSE)*IFERROR(VLOOKUP(_xlfn.CONCAT(C632,D632,E632,TIME!$F$1,Z632),HIS_SALES!$B$2:$V$4859,19,FALSE),0)))</f>
        <v>#N/A</v>
      </c>
      <c r="AD632" s="341">
        <f t="shared" ca="1" si="259"/>
        <v>0</v>
      </c>
      <c r="AE632" s="363" t="str">
        <f t="shared" si="260"/>
        <v/>
      </c>
      <c r="AF632" s="342" t="str">
        <f t="shared" si="261"/>
        <v/>
      </c>
      <c r="AG632" s="411" t="e">
        <f ca="1">VLOOKUP(_xlfn.CONCAT(U632,V632,W632,VLOOKUP(X632&amp;Y632,TIME!$L$27:$O$34,4,FALSE),Y632),HIS_SALES!$A$2:$R$5093,18,FALSE)</f>
        <v>#N/A</v>
      </c>
      <c r="AH632" s="412" t="e">
        <f ca="1">IFERROR(IF(AND(V632=V631,W632=W631),0.5*(AB632+AB631)*AG632,(VLOOKUP(_xlfn.CONCAT(U632,V632,W632,X632,VLOOKUP(Z632,TIME!$S$28:$T$39,2,FALSE)),FC_DATA!$R$2:$AB$5000,MATCH("GS_I_M",FC_DATA!$R$1:$AB$1,0),FALSE)+FC_DATA!AB632)*0.5*FC_DATA!AG632),NA())</f>
        <v>#N/A</v>
      </c>
      <c r="AI632" s="491" t="e">
        <f ca="1">IF(V632="PARTNER.com",AH632,IF(AND(V632=V631,W632=W631),(1-AVERAGE(AD631,AD632))*AH632,(1-AVERAGE(AD632,VLOOKUP(_xlfn.CONCAT(U632,V632,W632,X632,M_BRAND_FC!$F$6),FC_DATA!$R$2:$AD$5000,MATCH("DISCOUNT_%_M",FC_DATA!$R$1:$AD$1,0),FALSE)))*AH632))</f>
        <v>#N/A</v>
      </c>
      <c r="AJ632" s="412" t="str">
        <f t="shared" ca="1" si="232"/>
        <v/>
      </c>
      <c r="AK632" s="413" t="str">
        <f>IFERROR(AE632/(Q_BRAND_FC!$T$24+1),"")</f>
        <v/>
      </c>
      <c r="AL632" s="88" t="str">
        <f t="shared" ca="1" si="233"/>
        <v/>
      </c>
      <c r="AM632" s="414" t="str">
        <f t="shared" ca="1" si="234"/>
        <v/>
      </c>
      <c r="AN632" s="58">
        <f>IFERROR(IF($V632="BRAND.com",HLOOKUP($X632&amp;$Z632,NWC_FC_NOOS!$C$4:$Q$23,MATCH(W632,NWC_FC_NOOS!$B$4:$B$23,0),FALSE),0),0)</f>
        <v>0</v>
      </c>
      <c r="AO632" s="57">
        <f>IFERROR(IF($V632="BRAND.com",HLOOKUP($X632&amp;$Z632,NWC_FC_NOOS!$T$4:$AH$23,MATCH(W632,NWC_FC_NOOS!$S$4:$S$23,0),FALSE),0),0)</f>
        <v>0</v>
      </c>
      <c r="AP632" s="57">
        <f>IFERROR(IF($V632="BRAND.com",HLOOKUP($X632&amp;$Z632,NWC_FC_NOOS!$C$50:$U$69,MATCH(W632,NWC_FC_NOOS!$B$50:$B$69,0),FALSE),0),0)</f>
        <v>0</v>
      </c>
      <c r="AQ632" s="58">
        <f>IFERROR(IF($V632="BRAND.com",HLOOKUP($X632&amp;$Z632,'NWC_FC_NON-NOOS'!$C$4:$Q$23,MATCH(W632,'NWC_FC_NON-NOOS'!$B$4:$B$23,0),FALSE),0),0)</f>
        <v>0</v>
      </c>
      <c r="AR632" s="57">
        <f>IFERROR(IF($V632="BRAND.com",HLOOKUP($X632&amp;$Z632,'NWC_FC_NON-NOOS'!$T$4:$AH$23,MATCH(W632,'NWC_FC_NON-NOOS'!$S$4:$S$23,0),FALSE),0),0)</f>
        <v>0</v>
      </c>
      <c r="AS632" s="57">
        <f>IFERROR(IF($V632="BRAND.com",HLOOKUP($X632&amp;$Z632,'NWC_FC_NON-NOOS'!$C$50:$U$69,MATCH(W632,'NWC_FC_NON-NOOS'!$B$50:$B$69,0),FALSE),0),0)</f>
        <v>0</v>
      </c>
      <c r="AT632" s="57">
        <f t="shared" si="236"/>
        <v>0</v>
      </c>
      <c r="AU632" s="57">
        <f t="shared" si="237"/>
        <v>0</v>
      </c>
      <c r="AV632" s="58">
        <f>IFERROR(IF($V632="BRAND.com",HLOOKUP($X632&amp;$Z632,PLANNING_FC!$BB$27:$BP$46,MATCH($W632,PLANNING_FC!$BA$27:$BA$46,0),FALSE),0),0)</f>
        <v>0</v>
      </c>
      <c r="AW632" s="58">
        <f>IFERROR(IF($V632="BRAND.com",HLOOKUP($X632&amp;$Z632,PLANNING_FC!$BB$4:$BP$23,MATCH($W632,PLANNING_FC!$BA$4:$BA$23,0),FALSE),0),0)</f>
        <v>0</v>
      </c>
      <c r="AX632" s="58">
        <f>IFERROR(IF($V632="BRAND.com",HLOOKUP($X632&amp;$Z632,PLANNING_FC!$T$27:$AH$46,MATCH($W632,PLANNING_FC!$B$27:$B$46,0),FALSE),0),0)</f>
        <v>0</v>
      </c>
      <c r="AY632" s="58">
        <f>IFERROR(IF($V632="BRAND.com",HLOOKUP($X632&amp;$Z632,PLANNING_FC!$T$4:$AH$23,MATCH($W632,PLANNING_FC!$B$4:$B$23,0),FALSE),0),0)</f>
        <v>0</v>
      </c>
      <c r="AZ632" s="58">
        <f>IFERROR(IF($V632="BRAND.com",HLOOKUP($X632&amp;$Z632,PLANNING_FC!$DA$27:$DO$46,MATCH($W632,PLANNING_FC!$CZ$27:$CZ$46,0),FALSE),0),0)</f>
        <v>0</v>
      </c>
      <c r="BA632" s="58">
        <f>IFERROR(IF($V632="BRAND.com",HLOOKUP($X632&amp;$Z632,PLANNING_FC!$DA$4:$DO$23,MATCH($W632,PLANNING_FC!$CZ$4:$CZ$23,0),FALSE),0),0)</f>
        <v>0</v>
      </c>
      <c r="BB632" s="883" t="str">
        <f>IF(V632="BRAND.com",IFERROR(HLOOKUP(X632&amp;Z632,PLANNING_FC!$AK$4:$AY$23,MATCH(W632,PLANNING_FC!$AJ$4:$AJ$23,0),FALSE)*1000,""),"")</f>
        <v/>
      </c>
      <c r="BC632" s="883" t="str">
        <f>IF(V632="BRAND.com",IFERROR(HLOOKUP(X632&amp;Z632,PLANNING_FC!$AK$27:$AY$46,MATCH(W632,PLANNING_FC!$AJ$27:$AJ$46,0),FALSE)*1000,""),"")</f>
        <v/>
      </c>
    </row>
    <row r="633" spans="1:55" x14ac:dyDescent="0.25">
      <c r="N633" s="56">
        <f t="shared" si="250"/>
        <v>0</v>
      </c>
      <c r="O633" s="57">
        <f t="shared" si="251"/>
        <v>0</v>
      </c>
      <c r="P633" s="57">
        <f ca="1">IFERROR(IF(ISBLANK(H633),SUMIFS($AC:$AC,$V:$V,V633,$W:$W,W633,$X:$X,X633,$Y:$Y,Y633)*J633/(1-J633)*VLOOKUP(_xlfn.CONCAT(C633,D633,E633,TIME!$M$12,Z633),HIS_SALES!$B$2:$W$4859,20,FALSE),AC633*J633/(1-J633)),0)</f>
        <v>0</v>
      </c>
      <c r="Q633" s="541" t="str">
        <f t="shared" si="252"/>
        <v/>
      </c>
      <c r="R633" s="346" t="str">
        <f t="shared" si="230"/>
        <v>00000</v>
      </c>
      <c r="S633" s="344">
        <f t="shared" si="253"/>
        <v>0</v>
      </c>
      <c r="T633" s="345" t="str">
        <f t="shared" si="235"/>
        <v>000</v>
      </c>
      <c r="U633" s="345">
        <f t="shared" si="254"/>
        <v>0</v>
      </c>
      <c r="V633" s="345">
        <f t="shared" si="255"/>
        <v>0</v>
      </c>
      <c r="W633" s="345">
        <f t="shared" si="256"/>
        <v>0</v>
      </c>
      <c r="X633" s="345">
        <f t="shared" si="257"/>
        <v>0</v>
      </c>
      <c r="Y633" s="345">
        <f t="shared" si="258"/>
        <v>0</v>
      </c>
      <c r="Z633" s="345">
        <f>IF(Q633&lt;&gt;"",VLOOKUP(Y633,TIME!$R$21:$V$24,MATCH(FC_DATA!Q633,TIME!$R$20:$V$20,0),FALSE),H633)</f>
        <v>0</v>
      </c>
      <c r="AA633" s="345" t="str">
        <f>IFERROR(VLOOKUP(X633&amp;Z633,TIME!$A$12:$D$71,4,FALSE),"")</f>
        <v/>
      </c>
      <c r="AB633" s="592">
        <f t="shared" ca="1" si="231"/>
        <v>0</v>
      </c>
      <c r="AC633" s="593" t="e">
        <f ca="1">IF(ISBLANK(H633)=FALSE,IF(D633="BRAND.com",I633,IF(ISNA(VLOOKUP(_xlfn.CONCAT(X633,Z633),TIME!$M$40:$M$42,1,FALSE)),I633,VLOOKUP(_xlfn.CONCAT(D633,G633,H633),M_BUSAREA_FC!$AF$5:$AJ$10,5,FALSE)*HLOOKUP(_xlfn.CONCAT(F633,H633),ST_OVERVIEW!$G$99:$I$130,MATCH(_xlfn.CONCAT(D633,E633),ST_OVERVIEW!$F$99:$F$130,0),FALSE))),IF(D633="BRAND.com",VLOOKUP(_xlfn.CONCAT(C633,D633,E633,TIME!$F$1,Z633),HIS_SALES!$B$2:$V$4859,19,FALSE)*I633,VLOOKUP(_xlfn.CONCAT(D633,F633,G633),Q_BUSAREA_FC!$AE$5:$AI$12,5,FALSE)*HLOOKUP(_xlfn.CONCAT(FC_DATA!F633,FC_DATA!G633),LT_OVERVIEW!$I$99:$M$130,MATCH(_xlfn.CONCAT(D633,FC_DATA!E633),LT_OVERVIEW!$H$99:$H$130,0),FALSE)*IFERROR(VLOOKUP(_xlfn.CONCAT(C633,D633,E633,TIME!$F$1,Z633),HIS_SALES!$B$2:$V$4859,19,FALSE),0)))</f>
        <v>#N/A</v>
      </c>
      <c r="AD633" s="341">
        <f t="shared" ca="1" si="259"/>
        <v>0</v>
      </c>
      <c r="AE633" s="363" t="str">
        <f t="shared" si="260"/>
        <v/>
      </c>
      <c r="AF633" s="342" t="str">
        <f t="shared" si="261"/>
        <v/>
      </c>
      <c r="AG633" s="411" t="e">
        <f ca="1">VLOOKUP(_xlfn.CONCAT(U633,V633,W633,VLOOKUP(X633&amp;Y633,TIME!$L$27:$O$34,4,FALSE),Y633),HIS_SALES!$A$2:$R$5093,18,FALSE)</f>
        <v>#N/A</v>
      </c>
      <c r="AH633" s="412" t="e">
        <f ca="1">IFERROR(IF(AND(V633=V632,W633=W632),0.5*(AB633+AB632)*AG633,(VLOOKUP(_xlfn.CONCAT(U633,V633,W633,X633,VLOOKUP(Z633,TIME!$S$28:$T$39,2,FALSE)),FC_DATA!$R$2:$AB$5000,MATCH("GS_I_M",FC_DATA!$R$1:$AB$1,0),FALSE)+FC_DATA!AB633)*0.5*FC_DATA!AG633),NA())</f>
        <v>#N/A</v>
      </c>
      <c r="AI633" s="491" t="e">
        <f ca="1">IF(V633="PARTNER.com",AH633,IF(AND(V633=V632,W633=W632),(1-AVERAGE(AD632,AD633))*AH633,(1-AVERAGE(AD633,VLOOKUP(_xlfn.CONCAT(U633,V633,W633,X633,M_BRAND_FC!$F$6),FC_DATA!$R$2:$AD$5000,MATCH("DISCOUNT_%_M",FC_DATA!$R$1:$AD$1,0),FALSE)))*AH633))</f>
        <v>#N/A</v>
      </c>
      <c r="AJ633" s="412" t="str">
        <f t="shared" ca="1" si="232"/>
        <v/>
      </c>
      <c r="AK633" s="413" t="str">
        <f>IFERROR(AE633/(Q_BRAND_FC!$T$24+1),"")</f>
        <v/>
      </c>
      <c r="AL633" s="88" t="str">
        <f t="shared" ca="1" si="233"/>
        <v/>
      </c>
      <c r="AM633" s="414" t="str">
        <f t="shared" ca="1" si="234"/>
        <v/>
      </c>
      <c r="AN633" s="58">
        <f>IFERROR(IF($V633="BRAND.com",HLOOKUP($X633&amp;$Z633,NWC_FC_NOOS!$C$4:$Q$23,MATCH(W633,NWC_FC_NOOS!$B$4:$B$23,0),FALSE),0),0)</f>
        <v>0</v>
      </c>
      <c r="AO633" s="57">
        <f>IFERROR(IF($V633="BRAND.com",HLOOKUP($X633&amp;$Z633,NWC_FC_NOOS!$T$4:$AH$23,MATCH(W633,NWC_FC_NOOS!$S$4:$S$23,0),FALSE),0),0)</f>
        <v>0</v>
      </c>
      <c r="AP633" s="57">
        <f>IFERROR(IF($V633="BRAND.com",HLOOKUP($X633&amp;$Z633,NWC_FC_NOOS!$C$50:$U$69,MATCH(W633,NWC_FC_NOOS!$B$50:$B$69,0),FALSE),0),0)</f>
        <v>0</v>
      </c>
      <c r="AQ633" s="58">
        <f>IFERROR(IF($V633="BRAND.com",HLOOKUP($X633&amp;$Z633,'NWC_FC_NON-NOOS'!$C$4:$Q$23,MATCH(W633,'NWC_FC_NON-NOOS'!$B$4:$B$23,0),FALSE),0),0)</f>
        <v>0</v>
      </c>
      <c r="AR633" s="57">
        <f>IFERROR(IF($V633="BRAND.com",HLOOKUP($X633&amp;$Z633,'NWC_FC_NON-NOOS'!$T$4:$AH$23,MATCH(W633,'NWC_FC_NON-NOOS'!$S$4:$S$23,0),FALSE),0),0)</f>
        <v>0</v>
      </c>
      <c r="AS633" s="57">
        <f>IFERROR(IF($V633="BRAND.com",HLOOKUP($X633&amp;$Z633,'NWC_FC_NON-NOOS'!$C$50:$U$69,MATCH(W633,'NWC_FC_NON-NOOS'!$B$50:$B$69,0),FALSE),0),0)</f>
        <v>0</v>
      </c>
      <c r="AT633" s="57">
        <f t="shared" si="236"/>
        <v>0</v>
      </c>
      <c r="AU633" s="57">
        <f t="shared" si="237"/>
        <v>0</v>
      </c>
      <c r="AV633" s="58">
        <f>IFERROR(IF($V633="BRAND.com",HLOOKUP($X633&amp;$Z633,PLANNING_FC!$BB$27:$BP$46,MATCH($W633,PLANNING_FC!$BA$27:$BA$46,0),FALSE),0),0)</f>
        <v>0</v>
      </c>
      <c r="AW633" s="58">
        <f>IFERROR(IF($V633="BRAND.com",HLOOKUP($X633&amp;$Z633,PLANNING_FC!$BB$4:$BP$23,MATCH($W633,PLANNING_FC!$BA$4:$BA$23,0),FALSE),0),0)</f>
        <v>0</v>
      </c>
      <c r="AX633" s="58">
        <f>IFERROR(IF($V633="BRAND.com",HLOOKUP($X633&amp;$Z633,PLANNING_FC!$T$27:$AH$46,MATCH($W633,PLANNING_FC!$B$27:$B$46,0),FALSE),0),0)</f>
        <v>0</v>
      </c>
      <c r="AY633" s="58">
        <f>IFERROR(IF($V633="BRAND.com",HLOOKUP($X633&amp;$Z633,PLANNING_FC!$T$4:$AH$23,MATCH($W633,PLANNING_FC!$B$4:$B$23,0),FALSE),0),0)</f>
        <v>0</v>
      </c>
      <c r="AZ633" s="58">
        <f>IFERROR(IF($V633="BRAND.com",HLOOKUP($X633&amp;$Z633,PLANNING_FC!$DA$27:$DO$46,MATCH($W633,PLANNING_FC!$CZ$27:$CZ$46,0),FALSE),0),0)</f>
        <v>0</v>
      </c>
      <c r="BA633" s="58">
        <f>IFERROR(IF($V633="BRAND.com",HLOOKUP($X633&amp;$Z633,PLANNING_FC!$DA$4:$DO$23,MATCH($W633,PLANNING_FC!$CZ$4:$CZ$23,0),FALSE),0),0)</f>
        <v>0</v>
      </c>
      <c r="BB633" s="883" t="str">
        <f>IF(V633="BRAND.com",IFERROR(HLOOKUP(X633&amp;Z633,PLANNING_FC!$AK$4:$AY$23,MATCH(W633,PLANNING_FC!$AJ$4:$AJ$23,0),FALSE)*1000,""),"")</f>
        <v/>
      </c>
      <c r="BC633" s="883" t="str">
        <f>IF(V633="BRAND.com",IFERROR(HLOOKUP(X633&amp;Z633,PLANNING_FC!$AK$27:$AY$46,MATCH(W633,PLANNING_FC!$AJ$27:$AJ$46,0),FALSE)*1000,""),"")</f>
        <v/>
      </c>
    </row>
    <row r="634" spans="1:55" x14ac:dyDescent="0.25">
      <c r="N634" s="56">
        <f t="shared" si="250"/>
        <v>0</v>
      </c>
      <c r="O634" s="57">
        <f t="shared" si="251"/>
        <v>0</v>
      </c>
      <c r="P634" s="57">
        <f ca="1">IFERROR(IF(ISBLANK(H634),SUMIFS($AC:$AC,$V:$V,V634,$W:$W,W634,$X:$X,X634,$Y:$Y,Y634)*J634/(1-J634)*VLOOKUP(_xlfn.CONCAT(C634,D634,E634,TIME!$M$12,Z634),HIS_SALES!$B$2:$W$4859,20,FALSE),AC634*J634/(1-J634)),0)</f>
        <v>0</v>
      </c>
      <c r="Q634" s="541" t="str">
        <f t="shared" si="252"/>
        <v/>
      </c>
      <c r="R634" s="346" t="str">
        <f t="shared" si="230"/>
        <v>00000</v>
      </c>
      <c r="S634" s="344">
        <f t="shared" si="253"/>
        <v>0</v>
      </c>
      <c r="T634" s="345" t="str">
        <f t="shared" si="235"/>
        <v>000</v>
      </c>
      <c r="U634" s="345">
        <f t="shared" si="254"/>
        <v>0</v>
      </c>
      <c r="V634" s="345">
        <f t="shared" si="255"/>
        <v>0</v>
      </c>
      <c r="W634" s="345">
        <f t="shared" si="256"/>
        <v>0</v>
      </c>
      <c r="X634" s="345">
        <f t="shared" si="257"/>
        <v>0</v>
      </c>
      <c r="Y634" s="345">
        <f t="shared" si="258"/>
        <v>0</v>
      </c>
      <c r="Z634" s="345">
        <f>IF(Q634&lt;&gt;"",VLOOKUP(Y634,TIME!$R$21:$V$24,MATCH(FC_DATA!Q634,TIME!$R$20:$V$20,0),FALSE),H634)</f>
        <v>0</v>
      </c>
      <c r="AA634" s="345" t="str">
        <f>IFERROR(VLOOKUP(X634&amp;Z634,TIME!$A$12:$D$71,4,FALSE),"")</f>
        <v/>
      </c>
      <c r="AB634" s="592">
        <f t="shared" ca="1" si="231"/>
        <v>0</v>
      </c>
      <c r="AC634" s="593" t="e">
        <f ca="1">IF(ISBLANK(H634)=FALSE,IF(D634="BRAND.com",I634,IF(ISNA(VLOOKUP(_xlfn.CONCAT(X634,Z634),TIME!$M$40:$M$42,1,FALSE)),I634,VLOOKUP(_xlfn.CONCAT(D634,G634,H634),M_BUSAREA_FC!$AF$5:$AJ$10,5,FALSE)*HLOOKUP(_xlfn.CONCAT(F634,H634),ST_OVERVIEW!$G$99:$I$130,MATCH(_xlfn.CONCAT(D634,E634),ST_OVERVIEW!$F$99:$F$130,0),FALSE))),IF(D634="BRAND.com",VLOOKUP(_xlfn.CONCAT(C634,D634,E634,TIME!$F$1,Z634),HIS_SALES!$B$2:$V$4859,19,FALSE)*I634,VLOOKUP(_xlfn.CONCAT(D634,F634,G634),Q_BUSAREA_FC!$AE$5:$AI$12,5,FALSE)*HLOOKUP(_xlfn.CONCAT(FC_DATA!F634,FC_DATA!G634),LT_OVERVIEW!$I$99:$M$130,MATCH(_xlfn.CONCAT(D634,FC_DATA!E634),LT_OVERVIEW!$H$99:$H$130,0),FALSE)*IFERROR(VLOOKUP(_xlfn.CONCAT(C634,D634,E634,TIME!$F$1,Z634),HIS_SALES!$B$2:$V$4859,19,FALSE),0)))</f>
        <v>#N/A</v>
      </c>
      <c r="AD634" s="341">
        <f t="shared" ca="1" si="259"/>
        <v>0</v>
      </c>
      <c r="AE634" s="363" t="str">
        <f t="shared" si="260"/>
        <v/>
      </c>
      <c r="AF634" s="342" t="str">
        <f t="shared" si="261"/>
        <v/>
      </c>
      <c r="AG634" s="411" t="e">
        <f ca="1">VLOOKUP(_xlfn.CONCAT(U634,V634,W634,VLOOKUP(X634&amp;Y634,TIME!$L$27:$O$34,4,FALSE),Y634),HIS_SALES!$A$2:$R$5093,18,FALSE)</f>
        <v>#N/A</v>
      </c>
      <c r="AH634" s="412" t="e">
        <f ca="1">IFERROR(IF(AND(V634=V633,W634=W633),0.5*(AB634+AB633)*AG634,(VLOOKUP(_xlfn.CONCAT(U634,V634,W634,X634,VLOOKUP(Z634,TIME!$S$28:$T$39,2,FALSE)),FC_DATA!$R$2:$AB$5000,MATCH("GS_I_M",FC_DATA!$R$1:$AB$1,0),FALSE)+FC_DATA!AB634)*0.5*FC_DATA!AG634),NA())</f>
        <v>#N/A</v>
      </c>
      <c r="AI634" s="491" t="e">
        <f ca="1">IF(V634="PARTNER.com",AH634,IF(AND(V634=V633,W634=W633),(1-AVERAGE(AD633,AD634))*AH634,(1-AVERAGE(AD634,VLOOKUP(_xlfn.CONCAT(U634,V634,W634,X634,M_BRAND_FC!$F$6),FC_DATA!$R$2:$AD$5000,MATCH("DISCOUNT_%_M",FC_DATA!$R$1:$AD$1,0),FALSE)))*AH634))</f>
        <v>#N/A</v>
      </c>
      <c r="AJ634" s="412" t="str">
        <f t="shared" ca="1" si="232"/>
        <v/>
      </c>
      <c r="AK634" s="413" t="str">
        <f>IFERROR(AE634/(Q_BRAND_FC!$T$24+1),"")</f>
        <v/>
      </c>
      <c r="AL634" s="88" t="str">
        <f t="shared" ca="1" si="233"/>
        <v/>
      </c>
      <c r="AM634" s="414" t="str">
        <f t="shared" ca="1" si="234"/>
        <v/>
      </c>
      <c r="AN634" s="58">
        <f>IFERROR(IF($V634="BRAND.com",HLOOKUP($X634&amp;$Z634,NWC_FC_NOOS!$C$4:$Q$23,MATCH(W634,NWC_FC_NOOS!$B$4:$B$23,0),FALSE),0),0)</f>
        <v>0</v>
      </c>
      <c r="AO634" s="57">
        <f>IFERROR(IF($V634="BRAND.com",HLOOKUP($X634&amp;$Z634,NWC_FC_NOOS!$T$4:$AH$23,MATCH(W634,NWC_FC_NOOS!$S$4:$S$23,0),FALSE),0),0)</f>
        <v>0</v>
      </c>
      <c r="AP634" s="57">
        <f>IFERROR(IF($V634="BRAND.com",HLOOKUP($X634&amp;$Z634,NWC_FC_NOOS!$C$50:$U$69,MATCH(W634,NWC_FC_NOOS!$B$50:$B$69,0),FALSE),0),0)</f>
        <v>0</v>
      </c>
      <c r="AQ634" s="58">
        <f>IFERROR(IF($V634="BRAND.com",HLOOKUP($X634&amp;$Z634,'NWC_FC_NON-NOOS'!$C$4:$Q$23,MATCH(W634,'NWC_FC_NON-NOOS'!$B$4:$B$23,0),FALSE),0),0)</f>
        <v>0</v>
      </c>
      <c r="AR634" s="57">
        <f>IFERROR(IF($V634="BRAND.com",HLOOKUP($X634&amp;$Z634,'NWC_FC_NON-NOOS'!$T$4:$AH$23,MATCH(W634,'NWC_FC_NON-NOOS'!$S$4:$S$23,0),FALSE),0),0)</f>
        <v>0</v>
      </c>
      <c r="AS634" s="57">
        <f>IFERROR(IF($V634="BRAND.com",HLOOKUP($X634&amp;$Z634,'NWC_FC_NON-NOOS'!$C$50:$U$69,MATCH(W634,'NWC_FC_NON-NOOS'!$B$50:$B$69,0),FALSE),0),0)</f>
        <v>0</v>
      </c>
      <c r="AT634" s="57">
        <f t="shared" si="236"/>
        <v>0</v>
      </c>
      <c r="AU634" s="57">
        <f t="shared" si="237"/>
        <v>0</v>
      </c>
      <c r="AV634" s="58">
        <f>IFERROR(IF($V634="BRAND.com",HLOOKUP($X634&amp;$Z634,PLANNING_FC!$BB$27:$BP$46,MATCH($W634,PLANNING_FC!$BA$27:$BA$46,0),FALSE),0),0)</f>
        <v>0</v>
      </c>
      <c r="AW634" s="58">
        <f>IFERROR(IF($V634="BRAND.com",HLOOKUP($X634&amp;$Z634,PLANNING_FC!$BB$4:$BP$23,MATCH($W634,PLANNING_FC!$BA$4:$BA$23,0),FALSE),0),0)</f>
        <v>0</v>
      </c>
      <c r="AX634" s="58">
        <f>IFERROR(IF($V634="BRAND.com",HLOOKUP($X634&amp;$Z634,PLANNING_FC!$T$27:$AH$46,MATCH($W634,PLANNING_FC!$B$27:$B$46,0),FALSE),0),0)</f>
        <v>0</v>
      </c>
      <c r="AY634" s="58">
        <f>IFERROR(IF($V634="BRAND.com",HLOOKUP($X634&amp;$Z634,PLANNING_FC!$T$4:$AH$23,MATCH($W634,PLANNING_FC!$B$4:$B$23,0),FALSE),0),0)</f>
        <v>0</v>
      </c>
      <c r="AZ634" s="58">
        <f>IFERROR(IF($V634="BRAND.com",HLOOKUP($X634&amp;$Z634,PLANNING_FC!$DA$27:$DO$46,MATCH($W634,PLANNING_FC!$CZ$27:$CZ$46,0),FALSE),0),0)</f>
        <v>0</v>
      </c>
      <c r="BA634" s="58">
        <f>IFERROR(IF($V634="BRAND.com",HLOOKUP($X634&amp;$Z634,PLANNING_FC!$DA$4:$DO$23,MATCH($W634,PLANNING_FC!$CZ$4:$CZ$23,0),FALSE),0),0)</f>
        <v>0</v>
      </c>
      <c r="BB634" s="883" t="str">
        <f>IF(V634="BRAND.com",IFERROR(HLOOKUP(X634&amp;Z634,PLANNING_FC!$AK$4:$AY$23,MATCH(W634,PLANNING_FC!$AJ$4:$AJ$23,0),FALSE)*1000,""),"")</f>
        <v/>
      </c>
      <c r="BC634" s="883" t="str">
        <f>IF(V634="BRAND.com",IFERROR(HLOOKUP(X634&amp;Z634,PLANNING_FC!$AK$27:$AY$46,MATCH(W634,PLANNING_FC!$AJ$27:$AJ$46,0),FALSE)*1000,""),"")</f>
        <v/>
      </c>
    </row>
    <row r="635" spans="1:55" x14ac:dyDescent="0.25">
      <c r="N635" s="56">
        <f t="shared" si="250"/>
        <v>0</v>
      </c>
      <c r="O635" s="57">
        <f t="shared" si="251"/>
        <v>0</v>
      </c>
      <c r="P635" s="57">
        <f ca="1">IFERROR(IF(ISBLANK(H635),SUMIFS($AC:$AC,$V:$V,V635,$W:$W,W635,$X:$X,X635,$Y:$Y,Y635)*J635/(1-J635)*VLOOKUP(_xlfn.CONCAT(C635,D635,E635,TIME!$M$12,Z635),HIS_SALES!$B$2:$W$4859,20,FALSE),AC635*J635/(1-J635)),0)</f>
        <v>0</v>
      </c>
      <c r="Q635" s="541" t="str">
        <f t="shared" si="252"/>
        <v/>
      </c>
      <c r="R635" s="346" t="str">
        <f t="shared" si="230"/>
        <v>00000</v>
      </c>
      <c r="S635" s="344">
        <f t="shared" si="253"/>
        <v>0</v>
      </c>
      <c r="T635" s="345" t="str">
        <f t="shared" si="235"/>
        <v>000</v>
      </c>
      <c r="U635" s="345">
        <f t="shared" si="254"/>
        <v>0</v>
      </c>
      <c r="V635" s="345">
        <f t="shared" si="255"/>
        <v>0</v>
      </c>
      <c r="W635" s="345">
        <f t="shared" si="256"/>
        <v>0</v>
      </c>
      <c r="X635" s="345">
        <f t="shared" si="257"/>
        <v>0</v>
      </c>
      <c r="Y635" s="345">
        <f t="shared" si="258"/>
        <v>0</v>
      </c>
      <c r="Z635" s="345">
        <f>IF(Q635&lt;&gt;"",VLOOKUP(Y635,TIME!$R$21:$V$24,MATCH(FC_DATA!Q635,TIME!$R$20:$V$20,0),FALSE),H635)</f>
        <v>0</v>
      </c>
      <c r="AA635" s="345" t="str">
        <f>IFERROR(VLOOKUP(X635&amp;Z635,TIME!$A$12:$D$71,4,FALSE),"")</f>
        <v/>
      </c>
      <c r="AB635" s="592">
        <f t="shared" ca="1" si="231"/>
        <v>0</v>
      </c>
      <c r="AC635" s="593" t="e">
        <f ca="1">IF(ISBLANK(H635)=FALSE,IF(D635="BRAND.com",I635,IF(ISNA(VLOOKUP(_xlfn.CONCAT(X635,Z635),TIME!$M$40:$M$42,1,FALSE)),I635,VLOOKUP(_xlfn.CONCAT(D635,G635,H635),M_BUSAREA_FC!$AF$5:$AJ$10,5,FALSE)*HLOOKUP(_xlfn.CONCAT(F635,H635),ST_OVERVIEW!$G$99:$I$130,MATCH(_xlfn.CONCAT(D635,E635),ST_OVERVIEW!$F$99:$F$130,0),FALSE))),IF(D635="BRAND.com",VLOOKUP(_xlfn.CONCAT(C635,D635,E635,TIME!$F$1,Z635),HIS_SALES!$B$2:$V$4859,19,FALSE)*I635,VLOOKUP(_xlfn.CONCAT(D635,F635,G635),Q_BUSAREA_FC!$AE$5:$AI$12,5,FALSE)*HLOOKUP(_xlfn.CONCAT(FC_DATA!F635,FC_DATA!G635),LT_OVERVIEW!$I$99:$M$130,MATCH(_xlfn.CONCAT(D635,FC_DATA!E635),LT_OVERVIEW!$H$99:$H$130,0),FALSE)*IFERROR(VLOOKUP(_xlfn.CONCAT(C635,D635,E635,TIME!$F$1,Z635),HIS_SALES!$B$2:$V$4859,19,FALSE),0)))</f>
        <v>#N/A</v>
      </c>
      <c r="AD635" s="341">
        <f t="shared" ca="1" si="259"/>
        <v>0</v>
      </c>
      <c r="AE635" s="363" t="str">
        <f t="shared" si="260"/>
        <v/>
      </c>
      <c r="AF635" s="342" t="str">
        <f t="shared" si="261"/>
        <v/>
      </c>
      <c r="AG635" s="411" t="e">
        <f ca="1">VLOOKUP(_xlfn.CONCAT(U635,V635,W635,VLOOKUP(X635&amp;Y635,TIME!$L$27:$O$34,4,FALSE),Y635),HIS_SALES!$A$2:$R$5093,18,FALSE)</f>
        <v>#N/A</v>
      </c>
      <c r="AH635" s="412" t="e">
        <f ca="1">IFERROR(IF(AND(V635=V634,W635=W634),0.5*(AB635+AB634)*AG635,(VLOOKUP(_xlfn.CONCAT(U635,V635,W635,X635,VLOOKUP(Z635,TIME!$S$28:$T$39,2,FALSE)),FC_DATA!$R$2:$AB$5000,MATCH("GS_I_M",FC_DATA!$R$1:$AB$1,0),FALSE)+FC_DATA!AB635)*0.5*FC_DATA!AG635),NA())</f>
        <v>#N/A</v>
      </c>
      <c r="AI635" s="491" t="e">
        <f ca="1">IF(V635="PARTNER.com",AH635,IF(AND(V635=V634,W635=W634),(1-AVERAGE(AD634,AD635))*AH635,(1-AVERAGE(AD635,VLOOKUP(_xlfn.CONCAT(U635,V635,W635,X635,M_BRAND_FC!$F$6),FC_DATA!$R$2:$AD$5000,MATCH("DISCOUNT_%_M",FC_DATA!$R$1:$AD$1,0),FALSE)))*AH635))</f>
        <v>#N/A</v>
      </c>
      <c r="AJ635" s="412" t="str">
        <f t="shared" ca="1" si="232"/>
        <v/>
      </c>
      <c r="AK635" s="413" t="str">
        <f>IFERROR(AE635/(Q_BRAND_FC!$T$24+1),"")</f>
        <v/>
      </c>
      <c r="AL635" s="88" t="str">
        <f t="shared" ca="1" si="233"/>
        <v/>
      </c>
      <c r="AM635" s="414" t="str">
        <f t="shared" ca="1" si="234"/>
        <v/>
      </c>
      <c r="AN635" s="58">
        <f>IFERROR(IF($V635="BRAND.com",HLOOKUP($X635&amp;$Z635,NWC_FC_NOOS!$C$4:$Q$23,MATCH(W635,NWC_FC_NOOS!$B$4:$B$23,0),FALSE),0),0)</f>
        <v>0</v>
      </c>
      <c r="AO635" s="57">
        <f>IFERROR(IF($V635="BRAND.com",HLOOKUP($X635&amp;$Z635,NWC_FC_NOOS!$T$4:$AH$23,MATCH(W635,NWC_FC_NOOS!$S$4:$S$23,0),FALSE),0),0)</f>
        <v>0</v>
      </c>
      <c r="AP635" s="57">
        <f>IFERROR(IF($V635="BRAND.com",HLOOKUP($X635&amp;$Z635,NWC_FC_NOOS!$C$50:$U$69,MATCH(W635,NWC_FC_NOOS!$B$50:$B$69,0),FALSE),0),0)</f>
        <v>0</v>
      </c>
      <c r="AQ635" s="58">
        <f>IFERROR(IF($V635="BRAND.com",HLOOKUP($X635&amp;$Z635,'NWC_FC_NON-NOOS'!$C$4:$Q$23,MATCH(W635,'NWC_FC_NON-NOOS'!$B$4:$B$23,0),FALSE),0),0)</f>
        <v>0</v>
      </c>
      <c r="AR635" s="57">
        <f>IFERROR(IF($V635="BRAND.com",HLOOKUP($X635&amp;$Z635,'NWC_FC_NON-NOOS'!$T$4:$AH$23,MATCH(W635,'NWC_FC_NON-NOOS'!$S$4:$S$23,0),FALSE),0),0)</f>
        <v>0</v>
      </c>
      <c r="AS635" s="57">
        <f>IFERROR(IF($V635="BRAND.com",HLOOKUP($X635&amp;$Z635,'NWC_FC_NON-NOOS'!$C$50:$U$69,MATCH(W635,'NWC_FC_NON-NOOS'!$B$50:$B$69,0),FALSE),0),0)</f>
        <v>0</v>
      </c>
      <c r="AT635" s="57">
        <f t="shared" si="236"/>
        <v>0</v>
      </c>
      <c r="AU635" s="57">
        <f t="shared" si="237"/>
        <v>0</v>
      </c>
      <c r="AV635" s="58">
        <f>IFERROR(IF($V635="BRAND.com",HLOOKUP($X635&amp;$Z635,PLANNING_FC!$BB$27:$BP$46,MATCH($W635,PLANNING_FC!$BA$27:$BA$46,0),FALSE),0),0)</f>
        <v>0</v>
      </c>
      <c r="AW635" s="58">
        <f>IFERROR(IF($V635="BRAND.com",HLOOKUP($X635&amp;$Z635,PLANNING_FC!$BB$4:$BP$23,MATCH($W635,PLANNING_FC!$BA$4:$BA$23,0),FALSE),0),0)</f>
        <v>0</v>
      </c>
      <c r="AX635" s="58">
        <f>IFERROR(IF($V635="BRAND.com",HLOOKUP($X635&amp;$Z635,PLANNING_FC!$T$27:$AH$46,MATCH($W635,PLANNING_FC!$B$27:$B$46,0),FALSE),0),0)</f>
        <v>0</v>
      </c>
      <c r="AY635" s="58">
        <f>IFERROR(IF($V635="BRAND.com",HLOOKUP($X635&amp;$Z635,PLANNING_FC!$T$4:$AH$23,MATCH($W635,PLANNING_FC!$B$4:$B$23,0),FALSE),0),0)</f>
        <v>0</v>
      </c>
      <c r="AZ635" s="58">
        <f>IFERROR(IF($V635="BRAND.com",HLOOKUP($X635&amp;$Z635,PLANNING_FC!$DA$27:$DO$46,MATCH($W635,PLANNING_FC!$CZ$27:$CZ$46,0),FALSE),0),0)</f>
        <v>0</v>
      </c>
      <c r="BA635" s="58">
        <f>IFERROR(IF($V635="BRAND.com",HLOOKUP($X635&amp;$Z635,PLANNING_FC!$DA$4:$DO$23,MATCH($W635,PLANNING_FC!$CZ$4:$CZ$23,0),FALSE),0),0)</f>
        <v>0</v>
      </c>
      <c r="BB635" s="883" t="str">
        <f>IF(V635="BRAND.com",IFERROR(HLOOKUP(X635&amp;Z635,PLANNING_FC!$AK$4:$AY$23,MATCH(W635,PLANNING_FC!$AJ$4:$AJ$23,0),FALSE)*1000,""),"")</f>
        <v/>
      </c>
      <c r="BC635" s="883" t="str">
        <f>IF(V635="BRAND.com",IFERROR(HLOOKUP(X635&amp;Z635,PLANNING_FC!$AK$27:$AY$46,MATCH(W635,PLANNING_FC!$AJ$27:$AJ$46,0),FALSE)*1000,""),"")</f>
        <v/>
      </c>
    </row>
    <row r="636" spans="1:55" x14ac:dyDescent="0.25">
      <c r="N636" s="56">
        <f t="shared" si="250"/>
        <v>0</v>
      </c>
      <c r="O636" s="57">
        <f t="shared" si="251"/>
        <v>0</v>
      </c>
      <c r="P636" s="57">
        <f ca="1">IFERROR(IF(ISBLANK(H636),SUMIFS($AC:$AC,$V:$V,V636,$W:$W,W636,$X:$X,X636,$Y:$Y,Y636)*J636/(1-J636)*VLOOKUP(_xlfn.CONCAT(C636,D636,E636,TIME!$M$12,Z636),HIS_SALES!$B$2:$W$4859,20,FALSE),AC636*J636/(1-J636)),0)</f>
        <v>0</v>
      </c>
      <c r="Q636" s="541" t="str">
        <f t="shared" si="252"/>
        <v/>
      </c>
      <c r="R636" s="346" t="str">
        <f t="shared" si="230"/>
        <v>00000</v>
      </c>
      <c r="S636" s="344">
        <f t="shared" si="253"/>
        <v>0</v>
      </c>
      <c r="T636" s="345" t="str">
        <f t="shared" si="235"/>
        <v>000</v>
      </c>
      <c r="U636" s="345">
        <f t="shared" si="254"/>
        <v>0</v>
      </c>
      <c r="V636" s="345">
        <f t="shared" si="255"/>
        <v>0</v>
      </c>
      <c r="W636" s="345">
        <f t="shared" si="256"/>
        <v>0</v>
      </c>
      <c r="X636" s="345">
        <f t="shared" si="257"/>
        <v>0</v>
      </c>
      <c r="Y636" s="345">
        <f t="shared" si="258"/>
        <v>0</v>
      </c>
      <c r="Z636" s="345">
        <f>IF(Q636&lt;&gt;"",VLOOKUP(Y636,TIME!$R$21:$V$24,MATCH(FC_DATA!Q636,TIME!$R$20:$V$20,0),FALSE),H636)</f>
        <v>0</v>
      </c>
      <c r="AA636" s="345" t="str">
        <f>IFERROR(VLOOKUP(X636&amp;Z636,TIME!$A$12:$D$71,4,FALSE),"")</f>
        <v/>
      </c>
      <c r="AB636" s="592">
        <f t="shared" ca="1" si="231"/>
        <v>0</v>
      </c>
      <c r="AC636" s="593" t="e">
        <f ca="1">IF(ISBLANK(H636)=FALSE,IF(D636="BRAND.com",I636,IF(ISNA(VLOOKUP(_xlfn.CONCAT(X636,Z636),TIME!$M$40:$M$42,1,FALSE)),I636,VLOOKUP(_xlfn.CONCAT(D636,G636,H636),M_BUSAREA_FC!$AF$5:$AJ$10,5,FALSE)*HLOOKUP(_xlfn.CONCAT(F636,H636),ST_OVERVIEW!$G$99:$I$130,MATCH(_xlfn.CONCAT(D636,E636),ST_OVERVIEW!$F$99:$F$130,0),FALSE))),IF(D636="BRAND.com",VLOOKUP(_xlfn.CONCAT(C636,D636,E636,TIME!$F$1,Z636),HIS_SALES!$B$2:$V$4859,19,FALSE)*I636,VLOOKUP(_xlfn.CONCAT(D636,F636,G636),Q_BUSAREA_FC!$AE$5:$AI$12,5,FALSE)*HLOOKUP(_xlfn.CONCAT(FC_DATA!F636,FC_DATA!G636),LT_OVERVIEW!$I$99:$M$130,MATCH(_xlfn.CONCAT(D636,FC_DATA!E636),LT_OVERVIEW!$H$99:$H$130,0),FALSE)*IFERROR(VLOOKUP(_xlfn.CONCAT(C636,D636,E636,TIME!$F$1,Z636),HIS_SALES!$B$2:$V$4859,19,FALSE),0)))</f>
        <v>#N/A</v>
      </c>
      <c r="AD636" s="341">
        <f t="shared" ca="1" si="259"/>
        <v>0</v>
      </c>
      <c r="AE636" s="363" t="str">
        <f t="shared" si="260"/>
        <v/>
      </c>
      <c r="AF636" s="342" t="str">
        <f t="shared" si="261"/>
        <v/>
      </c>
      <c r="AG636" s="411" t="e">
        <f ca="1">VLOOKUP(_xlfn.CONCAT(U636,V636,W636,VLOOKUP(X636&amp;Y636,TIME!$L$27:$O$34,4,FALSE),Y636),HIS_SALES!$A$2:$R$5093,18,FALSE)</f>
        <v>#N/A</v>
      </c>
      <c r="AH636" s="412" t="e">
        <f ca="1">IFERROR(IF(AND(V636=V635,W636=W635),0.5*(AB636+AB635)*AG636,(VLOOKUP(_xlfn.CONCAT(U636,V636,W636,X636,VLOOKUP(Z636,TIME!$S$28:$T$39,2,FALSE)),FC_DATA!$R$2:$AB$5000,MATCH("GS_I_M",FC_DATA!$R$1:$AB$1,0),FALSE)+FC_DATA!AB636)*0.5*FC_DATA!AG636),NA())</f>
        <v>#N/A</v>
      </c>
      <c r="AI636" s="491" t="e">
        <f ca="1">IF(V636="PARTNER.com",AH636,IF(AND(V636=V635,W636=W635),(1-AVERAGE(AD635,AD636))*AH636,(1-AVERAGE(AD636,VLOOKUP(_xlfn.CONCAT(U636,V636,W636,X636,M_BRAND_FC!$F$6),FC_DATA!$R$2:$AD$5000,MATCH("DISCOUNT_%_M",FC_DATA!$R$1:$AD$1,0),FALSE)))*AH636))</f>
        <v>#N/A</v>
      </c>
      <c r="AJ636" s="412" t="str">
        <f t="shared" ca="1" si="232"/>
        <v/>
      </c>
      <c r="AK636" s="413" t="str">
        <f>IFERROR(AE636/(Q_BRAND_FC!$T$24+1),"")</f>
        <v/>
      </c>
      <c r="AL636" s="88" t="str">
        <f t="shared" ca="1" si="233"/>
        <v/>
      </c>
      <c r="AM636" s="414" t="str">
        <f t="shared" ca="1" si="234"/>
        <v/>
      </c>
      <c r="AN636" s="58">
        <f>IFERROR(IF($V636="BRAND.com",HLOOKUP($X636&amp;$Z636,NWC_FC_NOOS!$C$4:$Q$23,MATCH(W636,NWC_FC_NOOS!$B$4:$B$23,0),FALSE),0),0)</f>
        <v>0</v>
      </c>
      <c r="AO636" s="57">
        <f>IFERROR(IF($V636="BRAND.com",HLOOKUP($X636&amp;$Z636,NWC_FC_NOOS!$T$4:$AH$23,MATCH(W636,NWC_FC_NOOS!$S$4:$S$23,0),FALSE),0),0)</f>
        <v>0</v>
      </c>
      <c r="AP636" s="57">
        <f>IFERROR(IF($V636="BRAND.com",HLOOKUP($X636&amp;$Z636,NWC_FC_NOOS!$C$50:$U$69,MATCH(W636,NWC_FC_NOOS!$B$50:$B$69,0),FALSE),0),0)</f>
        <v>0</v>
      </c>
      <c r="AQ636" s="58">
        <f>IFERROR(IF($V636="BRAND.com",HLOOKUP($X636&amp;$Z636,'NWC_FC_NON-NOOS'!$C$4:$Q$23,MATCH(W636,'NWC_FC_NON-NOOS'!$B$4:$B$23,0),FALSE),0),0)</f>
        <v>0</v>
      </c>
      <c r="AR636" s="57">
        <f>IFERROR(IF($V636="BRAND.com",HLOOKUP($X636&amp;$Z636,'NWC_FC_NON-NOOS'!$T$4:$AH$23,MATCH(W636,'NWC_FC_NON-NOOS'!$S$4:$S$23,0),FALSE),0),0)</f>
        <v>0</v>
      </c>
      <c r="AS636" s="57">
        <f>IFERROR(IF($V636="BRAND.com",HLOOKUP($X636&amp;$Z636,'NWC_FC_NON-NOOS'!$C$50:$U$69,MATCH(W636,'NWC_FC_NON-NOOS'!$B$50:$B$69,0),FALSE),0),0)</f>
        <v>0</v>
      </c>
      <c r="AT636" s="57">
        <f t="shared" si="236"/>
        <v>0</v>
      </c>
      <c r="AU636" s="57">
        <f t="shared" si="237"/>
        <v>0</v>
      </c>
      <c r="AV636" s="58">
        <f>IFERROR(IF($V636="BRAND.com",HLOOKUP($X636&amp;$Z636,PLANNING_FC!$BB$27:$BP$46,MATCH($W636,PLANNING_FC!$BA$27:$BA$46,0),FALSE),0),0)</f>
        <v>0</v>
      </c>
      <c r="AW636" s="58">
        <f>IFERROR(IF($V636="BRAND.com",HLOOKUP($X636&amp;$Z636,PLANNING_FC!$BB$4:$BP$23,MATCH($W636,PLANNING_FC!$BA$4:$BA$23,0),FALSE),0),0)</f>
        <v>0</v>
      </c>
      <c r="AX636" s="58">
        <f>IFERROR(IF($V636="BRAND.com",HLOOKUP($X636&amp;$Z636,PLANNING_FC!$T$27:$AH$46,MATCH($W636,PLANNING_FC!$B$27:$B$46,0),FALSE),0),0)</f>
        <v>0</v>
      </c>
      <c r="AY636" s="58">
        <f>IFERROR(IF($V636="BRAND.com",HLOOKUP($X636&amp;$Z636,PLANNING_FC!$T$4:$AH$23,MATCH($W636,PLANNING_FC!$B$4:$B$23,0),FALSE),0),0)</f>
        <v>0</v>
      </c>
      <c r="AZ636" s="58">
        <f>IFERROR(IF($V636="BRAND.com",HLOOKUP($X636&amp;$Z636,PLANNING_FC!$DA$27:$DO$46,MATCH($W636,PLANNING_FC!$CZ$27:$CZ$46,0),FALSE),0),0)</f>
        <v>0</v>
      </c>
      <c r="BA636" s="58">
        <f>IFERROR(IF($V636="BRAND.com",HLOOKUP($X636&amp;$Z636,PLANNING_FC!$DA$4:$DO$23,MATCH($W636,PLANNING_FC!$CZ$4:$CZ$23,0),FALSE),0),0)</f>
        <v>0</v>
      </c>
      <c r="BB636" s="883" t="str">
        <f>IF(V636="BRAND.com",IFERROR(HLOOKUP(X636&amp;Z636,PLANNING_FC!$AK$4:$AY$23,MATCH(W636,PLANNING_FC!$AJ$4:$AJ$23,0),FALSE)*1000,""),"")</f>
        <v/>
      </c>
      <c r="BC636" s="883" t="str">
        <f>IF(V636="BRAND.com",IFERROR(HLOOKUP(X636&amp;Z636,PLANNING_FC!$AK$27:$AY$46,MATCH(W636,PLANNING_FC!$AJ$27:$AJ$46,0),FALSE)*1000,""),"")</f>
        <v/>
      </c>
    </row>
    <row r="637" spans="1:55" x14ac:dyDescent="0.25">
      <c r="N637" s="56">
        <f t="shared" si="250"/>
        <v>0</v>
      </c>
      <c r="O637" s="57">
        <f t="shared" si="251"/>
        <v>0</v>
      </c>
      <c r="P637" s="57">
        <f ca="1">IFERROR(IF(ISBLANK(H637),SUMIFS($AC:$AC,$V:$V,V637,$W:$W,W637,$X:$X,X637,$Y:$Y,Y637)*J637/(1-J637)*VLOOKUP(_xlfn.CONCAT(C637,D637,E637,TIME!$M$12,Z637),HIS_SALES!$B$2:$W$4859,20,FALSE),AC637*J637/(1-J637)),0)</f>
        <v>0</v>
      </c>
      <c r="Q637" s="541" t="str">
        <f t="shared" si="252"/>
        <v/>
      </c>
      <c r="R637" s="346" t="str">
        <f t="shared" si="230"/>
        <v>00000</v>
      </c>
      <c r="S637" s="344">
        <f t="shared" si="253"/>
        <v>0</v>
      </c>
      <c r="T637" s="345" t="str">
        <f t="shared" si="235"/>
        <v>000</v>
      </c>
      <c r="U637" s="345">
        <f t="shared" si="254"/>
        <v>0</v>
      </c>
      <c r="V637" s="345">
        <f t="shared" si="255"/>
        <v>0</v>
      </c>
      <c r="W637" s="345">
        <f t="shared" si="256"/>
        <v>0</v>
      </c>
      <c r="X637" s="345">
        <f t="shared" si="257"/>
        <v>0</v>
      </c>
      <c r="Y637" s="345">
        <f t="shared" si="258"/>
        <v>0</v>
      </c>
      <c r="Z637" s="345">
        <f>IF(Q637&lt;&gt;"",VLOOKUP(Y637,TIME!$R$21:$V$24,MATCH(FC_DATA!Q637,TIME!$R$20:$V$20,0),FALSE),H637)</f>
        <v>0</v>
      </c>
      <c r="AA637" s="345" t="str">
        <f>IFERROR(VLOOKUP(X637&amp;Z637,TIME!$A$12:$D$71,4,FALSE),"")</f>
        <v/>
      </c>
      <c r="AB637" s="592">
        <f t="shared" ca="1" si="231"/>
        <v>0</v>
      </c>
      <c r="AC637" s="593" t="e">
        <f ca="1">IF(ISBLANK(H637)=FALSE,IF(D637="BRAND.com",I637,IF(ISNA(VLOOKUP(_xlfn.CONCAT(X637,Z637),TIME!$M$40:$M$42,1,FALSE)),I637,VLOOKUP(_xlfn.CONCAT(D637,G637,H637),M_BUSAREA_FC!$AF$5:$AJ$10,5,FALSE)*HLOOKUP(_xlfn.CONCAT(F637,H637),ST_OVERVIEW!$G$99:$I$130,MATCH(_xlfn.CONCAT(D637,E637),ST_OVERVIEW!$F$99:$F$130,0),FALSE))),IF(D637="BRAND.com",VLOOKUP(_xlfn.CONCAT(C637,D637,E637,TIME!$F$1,Z637),HIS_SALES!$B$2:$V$4859,19,FALSE)*I637,VLOOKUP(_xlfn.CONCAT(D637,F637,G637),Q_BUSAREA_FC!$AE$5:$AI$12,5,FALSE)*HLOOKUP(_xlfn.CONCAT(FC_DATA!F637,FC_DATA!G637),LT_OVERVIEW!$I$99:$M$130,MATCH(_xlfn.CONCAT(D637,FC_DATA!E637),LT_OVERVIEW!$H$99:$H$130,0),FALSE)*IFERROR(VLOOKUP(_xlfn.CONCAT(C637,D637,E637,TIME!$F$1,Z637),HIS_SALES!$B$2:$V$4859,19,FALSE),0)))</f>
        <v>#N/A</v>
      </c>
      <c r="AD637" s="341">
        <f t="shared" ca="1" si="259"/>
        <v>0</v>
      </c>
      <c r="AE637" s="363" t="str">
        <f t="shared" si="260"/>
        <v/>
      </c>
      <c r="AF637" s="342" t="str">
        <f t="shared" si="261"/>
        <v/>
      </c>
      <c r="AG637" s="411" t="e">
        <f ca="1">VLOOKUP(_xlfn.CONCAT(U637,V637,W637,VLOOKUP(X637&amp;Y637,TIME!$L$27:$O$34,4,FALSE),Y637),HIS_SALES!$A$2:$R$5093,18,FALSE)</f>
        <v>#N/A</v>
      </c>
      <c r="AH637" s="412" t="e">
        <f ca="1">IFERROR(IF(AND(V637=V636,W637=W636),0.5*(AB637+AB636)*AG637,(VLOOKUP(_xlfn.CONCAT(U637,V637,W637,X637,VLOOKUP(Z637,TIME!$S$28:$T$39,2,FALSE)),FC_DATA!$R$2:$AB$5000,MATCH("GS_I_M",FC_DATA!$R$1:$AB$1,0),FALSE)+FC_DATA!AB637)*0.5*FC_DATA!AG637),NA())</f>
        <v>#N/A</v>
      </c>
      <c r="AI637" s="491" t="e">
        <f ca="1">IF(V637="PARTNER.com",AH637,IF(AND(V637=V636,W637=W636),(1-AVERAGE(AD636,AD637))*AH637,(1-AVERAGE(AD637,VLOOKUP(_xlfn.CONCAT(U637,V637,W637,X637,M_BRAND_FC!$F$6),FC_DATA!$R$2:$AD$5000,MATCH("DISCOUNT_%_M",FC_DATA!$R$1:$AD$1,0),FALSE)))*AH637))</f>
        <v>#N/A</v>
      </c>
      <c r="AJ637" s="412" t="str">
        <f t="shared" ca="1" si="232"/>
        <v/>
      </c>
      <c r="AK637" s="413" t="str">
        <f>IFERROR(AE637/(Q_BRAND_FC!$T$24+1),"")</f>
        <v/>
      </c>
      <c r="AL637" s="88" t="str">
        <f t="shared" ca="1" si="233"/>
        <v/>
      </c>
      <c r="AM637" s="414" t="str">
        <f t="shared" ca="1" si="234"/>
        <v/>
      </c>
      <c r="AN637" s="58">
        <f>IFERROR(IF($V637="BRAND.com",HLOOKUP($X637&amp;$Z637,NWC_FC_NOOS!$C$4:$Q$23,MATCH(W637,NWC_FC_NOOS!$B$4:$B$23,0),FALSE),0),0)</f>
        <v>0</v>
      </c>
      <c r="AO637" s="57">
        <f>IFERROR(IF($V637="BRAND.com",HLOOKUP($X637&amp;$Z637,NWC_FC_NOOS!$T$4:$AH$23,MATCH(W637,NWC_FC_NOOS!$S$4:$S$23,0),FALSE),0),0)</f>
        <v>0</v>
      </c>
      <c r="AP637" s="57">
        <f>IFERROR(IF($V637="BRAND.com",HLOOKUP($X637&amp;$Z637,NWC_FC_NOOS!$C$50:$U$69,MATCH(W637,NWC_FC_NOOS!$B$50:$B$69,0),FALSE),0),0)</f>
        <v>0</v>
      </c>
      <c r="AQ637" s="58">
        <f>IFERROR(IF($V637="BRAND.com",HLOOKUP($X637&amp;$Z637,'NWC_FC_NON-NOOS'!$C$4:$Q$23,MATCH(W637,'NWC_FC_NON-NOOS'!$B$4:$B$23,0),FALSE),0),0)</f>
        <v>0</v>
      </c>
      <c r="AR637" s="57">
        <f>IFERROR(IF($V637="BRAND.com",HLOOKUP($X637&amp;$Z637,'NWC_FC_NON-NOOS'!$T$4:$AH$23,MATCH(W637,'NWC_FC_NON-NOOS'!$S$4:$S$23,0),FALSE),0),0)</f>
        <v>0</v>
      </c>
      <c r="AS637" s="57">
        <f>IFERROR(IF($V637="BRAND.com",HLOOKUP($X637&amp;$Z637,'NWC_FC_NON-NOOS'!$C$50:$U$69,MATCH(W637,'NWC_FC_NON-NOOS'!$B$50:$B$69,0),FALSE),0),0)</f>
        <v>0</v>
      </c>
      <c r="AT637" s="57">
        <f t="shared" si="236"/>
        <v>0</v>
      </c>
      <c r="AU637" s="57">
        <f t="shared" si="237"/>
        <v>0</v>
      </c>
      <c r="AV637" s="58">
        <f>IFERROR(IF($V637="BRAND.com",HLOOKUP($X637&amp;$Z637,PLANNING_FC!$BB$27:$BP$46,MATCH($W637,PLANNING_FC!$BA$27:$BA$46,0),FALSE),0),0)</f>
        <v>0</v>
      </c>
      <c r="AW637" s="58">
        <f>IFERROR(IF($V637="BRAND.com",HLOOKUP($X637&amp;$Z637,PLANNING_FC!$BB$4:$BP$23,MATCH($W637,PLANNING_FC!$BA$4:$BA$23,0),FALSE),0),0)</f>
        <v>0</v>
      </c>
      <c r="AX637" s="58">
        <f>IFERROR(IF($V637="BRAND.com",HLOOKUP($X637&amp;$Z637,PLANNING_FC!$T$27:$AH$46,MATCH($W637,PLANNING_FC!$B$27:$B$46,0),FALSE),0),0)</f>
        <v>0</v>
      </c>
      <c r="AY637" s="58">
        <f>IFERROR(IF($V637="BRAND.com",HLOOKUP($X637&amp;$Z637,PLANNING_FC!$T$4:$AH$23,MATCH($W637,PLANNING_FC!$B$4:$B$23,0),FALSE),0),0)</f>
        <v>0</v>
      </c>
      <c r="AZ637" s="58">
        <f>IFERROR(IF($V637="BRAND.com",HLOOKUP($X637&amp;$Z637,PLANNING_FC!$DA$27:$DO$46,MATCH($W637,PLANNING_FC!$CZ$27:$CZ$46,0),FALSE),0),0)</f>
        <v>0</v>
      </c>
      <c r="BA637" s="58">
        <f>IFERROR(IF($V637="BRAND.com",HLOOKUP($X637&amp;$Z637,PLANNING_FC!$DA$4:$DO$23,MATCH($W637,PLANNING_FC!$CZ$4:$CZ$23,0),FALSE),0),0)</f>
        <v>0</v>
      </c>
      <c r="BB637" s="883" t="str">
        <f>IF(V637="BRAND.com",IFERROR(HLOOKUP(X637&amp;Z637,PLANNING_FC!$AK$4:$AY$23,MATCH(W637,PLANNING_FC!$AJ$4:$AJ$23,0),FALSE)*1000,""),"")</f>
        <v/>
      </c>
      <c r="BC637" s="883" t="str">
        <f>IF(V637="BRAND.com",IFERROR(HLOOKUP(X637&amp;Z637,PLANNING_FC!$AK$27:$AY$46,MATCH(W637,PLANNING_FC!$AJ$27:$AJ$46,0),FALSE)*1000,""),"")</f>
        <v/>
      </c>
    </row>
    <row r="638" spans="1:55" x14ac:dyDescent="0.25">
      <c r="N638" s="56">
        <f t="shared" si="250"/>
        <v>0</v>
      </c>
      <c r="O638" s="57">
        <f t="shared" si="251"/>
        <v>0</v>
      </c>
      <c r="P638" s="57">
        <f ca="1">IFERROR(IF(ISBLANK(H638),SUMIFS($AC:$AC,$V:$V,V638,$W:$W,W638,$X:$X,X638,$Y:$Y,Y638)*J638/(1-J638)*VLOOKUP(_xlfn.CONCAT(C638,D638,E638,TIME!$M$12,Z638),HIS_SALES!$B$2:$W$4859,20,FALSE),AC638*J638/(1-J638)),0)</f>
        <v>0</v>
      </c>
      <c r="Q638" s="541" t="str">
        <f t="shared" si="252"/>
        <v/>
      </c>
      <c r="R638" s="346" t="str">
        <f t="shared" si="230"/>
        <v>00000</v>
      </c>
      <c r="S638" s="344">
        <f t="shared" si="253"/>
        <v>0</v>
      </c>
      <c r="T638" s="345" t="str">
        <f t="shared" si="235"/>
        <v>000</v>
      </c>
      <c r="U638" s="345">
        <f t="shared" si="254"/>
        <v>0</v>
      </c>
      <c r="V638" s="345">
        <f t="shared" si="255"/>
        <v>0</v>
      </c>
      <c r="W638" s="345">
        <f t="shared" si="256"/>
        <v>0</v>
      </c>
      <c r="X638" s="345">
        <f t="shared" si="257"/>
        <v>0</v>
      </c>
      <c r="Y638" s="345">
        <f t="shared" si="258"/>
        <v>0</v>
      </c>
      <c r="Z638" s="345">
        <f>IF(Q638&lt;&gt;"",VLOOKUP(Y638,TIME!$R$21:$V$24,MATCH(FC_DATA!Q638,TIME!$R$20:$V$20,0),FALSE),H638)</f>
        <v>0</v>
      </c>
      <c r="AA638" s="345" t="str">
        <f>IFERROR(VLOOKUP(X638&amp;Z638,TIME!$A$12:$D$71,4,FALSE),"")</f>
        <v/>
      </c>
      <c r="AB638" s="592">
        <f t="shared" ca="1" si="231"/>
        <v>0</v>
      </c>
      <c r="AC638" s="593" t="e">
        <f ca="1">IF(ISBLANK(H638)=FALSE,IF(D638="BRAND.com",I638,IF(ISNA(VLOOKUP(_xlfn.CONCAT(X638,Z638),TIME!$M$40:$M$42,1,FALSE)),I638,VLOOKUP(_xlfn.CONCAT(D638,G638,H638),M_BUSAREA_FC!$AF$5:$AJ$10,5,FALSE)*HLOOKUP(_xlfn.CONCAT(F638,H638),ST_OVERVIEW!$G$99:$I$130,MATCH(_xlfn.CONCAT(D638,E638),ST_OVERVIEW!$F$99:$F$130,0),FALSE))),IF(D638="BRAND.com",VLOOKUP(_xlfn.CONCAT(C638,D638,E638,TIME!$F$1,Z638),HIS_SALES!$B$2:$V$4859,19,FALSE)*I638,VLOOKUP(_xlfn.CONCAT(D638,F638,G638),Q_BUSAREA_FC!$AE$5:$AI$12,5,FALSE)*HLOOKUP(_xlfn.CONCAT(FC_DATA!F638,FC_DATA!G638),LT_OVERVIEW!$I$99:$M$130,MATCH(_xlfn.CONCAT(D638,FC_DATA!E638),LT_OVERVIEW!$H$99:$H$130,0),FALSE)*IFERROR(VLOOKUP(_xlfn.CONCAT(C638,D638,E638,TIME!$F$1,Z638),HIS_SALES!$B$2:$V$4859,19,FALSE),0)))</f>
        <v>#N/A</v>
      </c>
      <c r="AD638" s="341">
        <f t="shared" ca="1" si="259"/>
        <v>0</v>
      </c>
      <c r="AE638" s="363" t="str">
        <f t="shared" si="260"/>
        <v/>
      </c>
      <c r="AF638" s="342" t="str">
        <f t="shared" si="261"/>
        <v/>
      </c>
      <c r="AG638" s="411" t="e">
        <f ca="1">VLOOKUP(_xlfn.CONCAT(U638,V638,W638,VLOOKUP(X638&amp;Y638,TIME!$L$27:$O$34,4,FALSE),Y638),HIS_SALES!$A$2:$R$5093,18,FALSE)</f>
        <v>#N/A</v>
      </c>
      <c r="AH638" s="412" t="e">
        <f ca="1">IFERROR(IF(AND(V638=V637,W638=W637),0.5*(AB638+AB637)*AG638,(VLOOKUP(_xlfn.CONCAT(U638,V638,W638,X638,VLOOKUP(Z638,TIME!$S$28:$T$39,2,FALSE)),FC_DATA!$R$2:$AB$5000,MATCH("GS_I_M",FC_DATA!$R$1:$AB$1,0),FALSE)+FC_DATA!AB638)*0.5*FC_DATA!AG638),NA())</f>
        <v>#N/A</v>
      </c>
      <c r="AI638" s="491" t="e">
        <f ca="1">IF(V638="PARTNER.com",AH638,IF(AND(V638=V637,W638=W637),(1-AVERAGE(AD637,AD638))*AH638,(1-AVERAGE(AD638,VLOOKUP(_xlfn.CONCAT(U638,V638,W638,X638,M_BRAND_FC!$F$6),FC_DATA!$R$2:$AD$5000,MATCH("DISCOUNT_%_M",FC_DATA!$R$1:$AD$1,0),FALSE)))*AH638))</f>
        <v>#N/A</v>
      </c>
      <c r="AJ638" s="412" t="str">
        <f t="shared" ca="1" si="232"/>
        <v/>
      </c>
      <c r="AK638" s="413" t="str">
        <f>IFERROR(AE638/(Q_BRAND_FC!$T$24+1),"")</f>
        <v/>
      </c>
      <c r="AL638" s="88" t="str">
        <f t="shared" ca="1" si="233"/>
        <v/>
      </c>
      <c r="AM638" s="414" t="str">
        <f t="shared" ca="1" si="234"/>
        <v/>
      </c>
      <c r="AN638" s="58">
        <f>IFERROR(IF($V638="BRAND.com",HLOOKUP($X638&amp;$Z638,NWC_FC_NOOS!$C$4:$Q$23,MATCH(W638,NWC_FC_NOOS!$B$4:$B$23,0),FALSE),0),0)</f>
        <v>0</v>
      </c>
      <c r="AO638" s="57">
        <f>IFERROR(IF($V638="BRAND.com",HLOOKUP($X638&amp;$Z638,NWC_FC_NOOS!$T$4:$AH$23,MATCH(W638,NWC_FC_NOOS!$S$4:$S$23,0),FALSE),0),0)</f>
        <v>0</v>
      </c>
      <c r="AP638" s="57">
        <f>IFERROR(IF($V638="BRAND.com",HLOOKUP($X638&amp;$Z638,NWC_FC_NOOS!$C$50:$U$69,MATCH(W638,NWC_FC_NOOS!$B$50:$B$69,0),FALSE),0),0)</f>
        <v>0</v>
      </c>
      <c r="AQ638" s="58">
        <f>IFERROR(IF($V638="BRAND.com",HLOOKUP($X638&amp;$Z638,'NWC_FC_NON-NOOS'!$C$4:$Q$23,MATCH(W638,'NWC_FC_NON-NOOS'!$B$4:$B$23,0),FALSE),0),0)</f>
        <v>0</v>
      </c>
      <c r="AR638" s="57">
        <f>IFERROR(IF($V638="BRAND.com",HLOOKUP($X638&amp;$Z638,'NWC_FC_NON-NOOS'!$T$4:$AH$23,MATCH(W638,'NWC_FC_NON-NOOS'!$S$4:$S$23,0),FALSE),0),0)</f>
        <v>0</v>
      </c>
      <c r="AS638" s="57">
        <f>IFERROR(IF($V638="BRAND.com",HLOOKUP($X638&amp;$Z638,'NWC_FC_NON-NOOS'!$C$50:$U$69,MATCH(W638,'NWC_FC_NON-NOOS'!$B$50:$B$69,0),FALSE),0),0)</f>
        <v>0</v>
      </c>
      <c r="AT638" s="57">
        <f t="shared" si="236"/>
        <v>0</v>
      </c>
      <c r="AU638" s="57">
        <f t="shared" si="237"/>
        <v>0</v>
      </c>
      <c r="AV638" s="58">
        <f>IFERROR(IF($V638="BRAND.com",HLOOKUP($X638&amp;$Z638,PLANNING_FC!$BB$27:$BP$46,MATCH($W638,PLANNING_FC!$BA$27:$BA$46,0),FALSE),0),0)</f>
        <v>0</v>
      </c>
      <c r="AW638" s="58">
        <f>IFERROR(IF($V638="BRAND.com",HLOOKUP($X638&amp;$Z638,PLANNING_FC!$BB$4:$BP$23,MATCH($W638,PLANNING_FC!$BA$4:$BA$23,0),FALSE),0),0)</f>
        <v>0</v>
      </c>
      <c r="AX638" s="58">
        <f>IFERROR(IF($V638="BRAND.com",HLOOKUP($X638&amp;$Z638,PLANNING_FC!$T$27:$AH$46,MATCH($W638,PLANNING_FC!$B$27:$B$46,0),FALSE),0),0)</f>
        <v>0</v>
      </c>
      <c r="AY638" s="58">
        <f>IFERROR(IF($V638="BRAND.com",HLOOKUP($X638&amp;$Z638,PLANNING_FC!$T$4:$AH$23,MATCH($W638,PLANNING_FC!$B$4:$B$23,0),FALSE),0),0)</f>
        <v>0</v>
      </c>
      <c r="AZ638" s="58">
        <f>IFERROR(IF($V638="BRAND.com",HLOOKUP($X638&amp;$Z638,PLANNING_FC!$DA$27:$DO$46,MATCH($W638,PLANNING_FC!$CZ$27:$CZ$46,0),FALSE),0),0)</f>
        <v>0</v>
      </c>
      <c r="BA638" s="58">
        <f>IFERROR(IF($V638="BRAND.com",HLOOKUP($X638&amp;$Z638,PLANNING_FC!$DA$4:$DO$23,MATCH($W638,PLANNING_FC!$CZ$4:$CZ$23,0),FALSE),0),0)</f>
        <v>0</v>
      </c>
      <c r="BB638" s="883" t="str">
        <f>IF(V638="BRAND.com",IFERROR(HLOOKUP(X638&amp;Z638,PLANNING_FC!$AK$4:$AY$23,MATCH(W638,PLANNING_FC!$AJ$4:$AJ$23,0),FALSE)*1000,""),"")</f>
        <v/>
      </c>
      <c r="BC638" s="883" t="str">
        <f>IF(V638="BRAND.com",IFERROR(HLOOKUP(X638&amp;Z638,PLANNING_FC!$AK$27:$AY$46,MATCH(W638,PLANNING_FC!$AJ$27:$AJ$46,0),FALSE)*1000,""),"")</f>
        <v/>
      </c>
    </row>
    <row r="639" spans="1:55" x14ac:dyDescent="0.25">
      <c r="N639" s="56">
        <f t="shared" si="250"/>
        <v>0</v>
      </c>
      <c r="O639" s="57">
        <f t="shared" si="251"/>
        <v>0</v>
      </c>
      <c r="P639" s="57">
        <f ca="1">IFERROR(IF(ISBLANK(H639),SUMIFS($AC:$AC,$V:$V,V639,$W:$W,W639,$X:$X,X639,$Y:$Y,Y639)*J639/(1-J639)*VLOOKUP(_xlfn.CONCAT(C639,D639,E639,TIME!$M$12,Z639),HIS_SALES!$B$2:$W$4859,20,FALSE),AC639*J639/(1-J639)),0)</f>
        <v>0</v>
      </c>
      <c r="Q639" s="541" t="str">
        <f t="shared" si="252"/>
        <v/>
      </c>
      <c r="R639" s="346" t="str">
        <f t="shared" si="230"/>
        <v>00000</v>
      </c>
      <c r="S639" s="344">
        <f t="shared" si="253"/>
        <v>0</v>
      </c>
      <c r="T639" s="345" t="str">
        <f t="shared" si="235"/>
        <v>000</v>
      </c>
      <c r="U639" s="345">
        <f t="shared" si="254"/>
        <v>0</v>
      </c>
      <c r="V639" s="345">
        <f t="shared" si="255"/>
        <v>0</v>
      </c>
      <c r="W639" s="345">
        <f t="shared" si="256"/>
        <v>0</v>
      </c>
      <c r="X639" s="345">
        <f t="shared" si="257"/>
        <v>0</v>
      </c>
      <c r="Y639" s="345">
        <f t="shared" si="258"/>
        <v>0</v>
      </c>
      <c r="Z639" s="345">
        <f>IF(Q639&lt;&gt;"",VLOOKUP(Y639,TIME!$R$21:$V$24,MATCH(FC_DATA!Q639,TIME!$R$20:$V$20,0),FALSE),H639)</f>
        <v>0</v>
      </c>
      <c r="AA639" s="345" t="str">
        <f>IFERROR(VLOOKUP(X639&amp;Z639,TIME!$A$12:$D$71,4,FALSE),"")</f>
        <v/>
      </c>
      <c r="AB639" s="592">
        <f t="shared" ca="1" si="231"/>
        <v>0</v>
      </c>
      <c r="AC639" s="593" t="e">
        <f ca="1">IF(ISBLANK(H639)=FALSE,IF(D639="BRAND.com",I639,IF(ISNA(VLOOKUP(_xlfn.CONCAT(X639,Z639),TIME!$M$40:$M$42,1,FALSE)),I639,VLOOKUP(_xlfn.CONCAT(D639,G639,H639),M_BUSAREA_FC!$AF$5:$AJ$10,5,FALSE)*HLOOKUP(_xlfn.CONCAT(F639,H639),ST_OVERVIEW!$G$99:$I$130,MATCH(_xlfn.CONCAT(D639,E639),ST_OVERVIEW!$F$99:$F$130,0),FALSE))),IF(D639="BRAND.com",VLOOKUP(_xlfn.CONCAT(C639,D639,E639,TIME!$F$1,Z639),HIS_SALES!$B$2:$V$4859,19,FALSE)*I639,VLOOKUP(_xlfn.CONCAT(D639,F639,G639),Q_BUSAREA_FC!$AE$5:$AI$12,5,FALSE)*HLOOKUP(_xlfn.CONCAT(FC_DATA!F639,FC_DATA!G639),LT_OVERVIEW!$I$99:$M$130,MATCH(_xlfn.CONCAT(D639,FC_DATA!E639),LT_OVERVIEW!$H$99:$H$130,0),FALSE)*IFERROR(VLOOKUP(_xlfn.CONCAT(C639,D639,E639,TIME!$F$1,Z639),HIS_SALES!$B$2:$V$4859,19,FALSE),0)))</f>
        <v>#N/A</v>
      </c>
      <c r="AD639" s="341">
        <f t="shared" ca="1" si="259"/>
        <v>0</v>
      </c>
      <c r="AE639" s="363" t="str">
        <f t="shared" si="260"/>
        <v/>
      </c>
      <c r="AF639" s="342" t="str">
        <f t="shared" si="261"/>
        <v/>
      </c>
      <c r="AG639" s="411" t="e">
        <f ca="1">VLOOKUP(_xlfn.CONCAT(U639,V639,W639,VLOOKUP(X639&amp;Y639,TIME!$L$27:$O$34,4,FALSE),Y639),HIS_SALES!$A$2:$R$5093,18,FALSE)</f>
        <v>#N/A</v>
      </c>
      <c r="AH639" s="412" t="e">
        <f ca="1">IFERROR(IF(AND(V639=V638,W639=W638),0.5*(AB639+AB638)*AG639,(VLOOKUP(_xlfn.CONCAT(U639,V639,W639,X639,VLOOKUP(Z639,TIME!$S$28:$T$39,2,FALSE)),FC_DATA!$R$2:$AB$5000,MATCH("GS_I_M",FC_DATA!$R$1:$AB$1,0),FALSE)+FC_DATA!AB639)*0.5*FC_DATA!AG639),NA())</f>
        <v>#N/A</v>
      </c>
      <c r="AI639" s="491" t="e">
        <f ca="1">IF(V639="PARTNER.com",AH639,IF(AND(V639=V638,W639=W638),(1-AVERAGE(AD638,AD639))*AH639,(1-AVERAGE(AD639,VLOOKUP(_xlfn.CONCAT(U639,V639,W639,X639,M_BRAND_FC!$F$6),FC_DATA!$R$2:$AD$5000,MATCH("DISCOUNT_%_M",FC_DATA!$R$1:$AD$1,0),FALSE)))*AH639))</f>
        <v>#N/A</v>
      </c>
      <c r="AJ639" s="412" t="str">
        <f t="shared" ca="1" si="232"/>
        <v/>
      </c>
      <c r="AK639" s="413" t="str">
        <f>IFERROR(AE639/(Q_BRAND_FC!$T$24+1),"")</f>
        <v/>
      </c>
      <c r="AL639" s="88" t="str">
        <f t="shared" ca="1" si="233"/>
        <v/>
      </c>
      <c r="AM639" s="414" t="str">
        <f t="shared" ca="1" si="234"/>
        <v/>
      </c>
      <c r="AN639" s="58">
        <f>IFERROR(IF($V639="BRAND.com",HLOOKUP($X639&amp;$Z639,NWC_FC_NOOS!$C$4:$Q$23,MATCH(W639,NWC_FC_NOOS!$B$4:$B$23,0),FALSE),0),0)</f>
        <v>0</v>
      </c>
      <c r="AO639" s="57">
        <f>IFERROR(IF($V639="BRAND.com",HLOOKUP($X639&amp;$Z639,NWC_FC_NOOS!$T$4:$AH$23,MATCH(W639,NWC_FC_NOOS!$S$4:$S$23,0),FALSE),0),0)</f>
        <v>0</v>
      </c>
      <c r="AP639" s="57">
        <f>IFERROR(IF($V639="BRAND.com",HLOOKUP($X639&amp;$Z639,NWC_FC_NOOS!$C$50:$U$69,MATCH(W639,NWC_FC_NOOS!$B$50:$B$69,0),FALSE),0),0)</f>
        <v>0</v>
      </c>
      <c r="AQ639" s="58">
        <f>IFERROR(IF($V639="BRAND.com",HLOOKUP($X639&amp;$Z639,'NWC_FC_NON-NOOS'!$C$4:$Q$23,MATCH(W639,'NWC_FC_NON-NOOS'!$B$4:$B$23,0),FALSE),0),0)</f>
        <v>0</v>
      </c>
      <c r="AR639" s="57">
        <f>IFERROR(IF($V639="BRAND.com",HLOOKUP($X639&amp;$Z639,'NWC_FC_NON-NOOS'!$T$4:$AH$23,MATCH(W639,'NWC_FC_NON-NOOS'!$S$4:$S$23,0),FALSE),0),0)</f>
        <v>0</v>
      </c>
      <c r="AS639" s="57">
        <f>IFERROR(IF($V639="BRAND.com",HLOOKUP($X639&amp;$Z639,'NWC_FC_NON-NOOS'!$C$50:$U$69,MATCH(W639,'NWC_FC_NON-NOOS'!$B$50:$B$69,0),FALSE),0),0)</f>
        <v>0</v>
      </c>
      <c r="AT639" s="57">
        <f t="shared" si="236"/>
        <v>0</v>
      </c>
      <c r="AU639" s="57">
        <f t="shared" si="237"/>
        <v>0</v>
      </c>
      <c r="AV639" s="58">
        <f>IFERROR(IF($V639="BRAND.com",HLOOKUP($X639&amp;$Z639,PLANNING_FC!$BB$27:$BP$46,MATCH($W639,PLANNING_FC!$BA$27:$BA$46,0),FALSE),0),0)</f>
        <v>0</v>
      </c>
      <c r="AW639" s="58">
        <f>IFERROR(IF($V639="BRAND.com",HLOOKUP($X639&amp;$Z639,PLANNING_FC!$BB$4:$BP$23,MATCH($W639,PLANNING_FC!$BA$4:$BA$23,0),FALSE),0),0)</f>
        <v>0</v>
      </c>
      <c r="AX639" s="58">
        <f>IFERROR(IF($V639="BRAND.com",HLOOKUP($X639&amp;$Z639,PLANNING_FC!$T$27:$AH$46,MATCH($W639,PLANNING_FC!$B$27:$B$46,0),FALSE),0),0)</f>
        <v>0</v>
      </c>
      <c r="AY639" s="58">
        <f>IFERROR(IF($V639="BRAND.com",HLOOKUP($X639&amp;$Z639,PLANNING_FC!$T$4:$AH$23,MATCH($W639,PLANNING_FC!$B$4:$B$23,0),FALSE),0),0)</f>
        <v>0</v>
      </c>
      <c r="AZ639" s="58">
        <f>IFERROR(IF($V639="BRAND.com",HLOOKUP($X639&amp;$Z639,PLANNING_FC!$DA$27:$DO$46,MATCH($W639,PLANNING_FC!$CZ$27:$CZ$46,0),FALSE),0),0)</f>
        <v>0</v>
      </c>
      <c r="BA639" s="58">
        <f>IFERROR(IF($V639="BRAND.com",HLOOKUP($X639&amp;$Z639,PLANNING_FC!$DA$4:$DO$23,MATCH($W639,PLANNING_FC!$CZ$4:$CZ$23,0),FALSE),0),0)</f>
        <v>0</v>
      </c>
      <c r="BB639" s="883" t="str">
        <f>IF(V639="BRAND.com",IFERROR(HLOOKUP(X639&amp;Z639,PLANNING_FC!$AK$4:$AY$23,MATCH(W639,PLANNING_FC!$AJ$4:$AJ$23,0),FALSE)*1000,""),"")</f>
        <v/>
      </c>
      <c r="BC639" s="883" t="str">
        <f>IF(V639="BRAND.com",IFERROR(HLOOKUP(X639&amp;Z639,PLANNING_FC!$AK$27:$AY$46,MATCH(W639,PLANNING_FC!$AJ$27:$AJ$46,0),FALSE)*1000,""),"")</f>
        <v/>
      </c>
    </row>
    <row r="640" spans="1:55" x14ac:dyDescent="0.25">
      <c r="N640" s="56">
        <f t="shared" si="250"/>
        <v>0</v>
      </c>
      <c r="O640" s="57">
        <f t="shared" si="251"/>
        <v>0</v>
      </c>
      <c r="P640" s="57">
        <f ca="1">IFERROR(IF(ISBLANK(H640),SUMIFS($AC:$AC,$V:$V,V640,$W:$W,W640,$X:$X,X640,$Y:$Y,Y640)*J640/(1-J640)*VLOOKUP(_xlfn.CONCAT(C640,D640,E640,TIME!$M$12,Z640),HIS_SALES!$B$2:$W$4859,20,FALSE),AC640*J640/(1-J640)),0)</f>
        <v>0</v>
      </c>
      <c r="Q640" s="541" t="str">
        <f t="shared" si="252"/>
        <v/>
      </c>
      <c r="R640" s="346" t="str">
        <f t="shared" si="230"/>
        <v>00000</v>
      </c>
      <c r="S640" s="344">
        <f t="shared" si="253"/>
        <v>0</v>
      </c>
      <c r="T640" s="345" t="str">
        <f t="shared" si="235"/>
        <v>000</v>
      </c>
      <c r="U640" s="345">
        <f t="shared" si="254"/>
        <v>0</v>
      </c>
      <c r="V640" s="345">
        <f t="shared" si="255"/>
        <v>0</v>
      </c>
      <c r="W640" s="345">
        <f t="shared" si="256"/>
        <v>0</v>
      </c>
      <c r="X640" s="345">
        <f t="shared" si="257"/>
        <v>0</v>
      </c>
      <c r="Y640" s="345">
        <f t="shared" si="258"/>
        <v>0</v>
      </c>
      <c r="Z640" s="345">
        <f>IF(Q640&lt;&gt;"",VLOOKUP(Y640,TIME!$R$21:$V$24,MATCH(FC_DATA!Q640,TIME!$R$20:$V$20,0),FALSE),H640)</f>
        <v>0</v>
      </c>
      <c r="AA640" s="345" t="str">
        <f>IFERROR(VLOOKUP(X640&amp;Z640,TIME!$A$12:$D$71,4,FALSE),"")</f>
        <v/>
      </c>
      <c r="AB640" s="592">
        <f t="shared" ca="1" si="231"/>
        <v>0</v>
      </c>
      <c r="AC640" s="593" t="e">
        <f ca="1">IF(ISBLANK(H640)=FALSE,IF(D640="BRAND.com",I640,IF(ISNA(VLOOKUP(_xlfn.CONCAT(X640,Z640),TIME!$M$40:$M$42,1,FALSE)),I640,VLOOKUP(_xlfn.CONCAT(D640,G640,H640),M_BUSAREA_FC!$AF$5:$AJ$10,5,FALSE)*HLOOKUP(_xlfn.CONCAT(F640,H640),ST_OVERVIEW!$G$99:$I$130,MATCH(_xlfn.CONCAT(D640,E640),ST_OVERVIEW!$F$99:$F$130,0),FALSE))),IF(D640="BRAND.com",VLOOKUP(_xlfn.CONCAT(C640,D640,E640,TIME!$F$1,Z640),HIS_SALES!$B$2:$V$4859,19,FALSE)*I640,VLOOKUP(_xlfn.CONCAT(D640,F640,G640),Q_BUSAREA_FC!$AE$5:$AI$12,5,FALSE)*HLOOKUP(_xlfn.CONCAT(FC_DATA!F640,FC_DATA!G640),LT_OVERVIEW!$I$99:$M$130,MATCH(_xlfn.CONCAT(D640,FC_DATA!E640),LT_OVERVIEW!$H$99:$H$130,0),FALSE)*IFERROR(VLOOKUP(_xlfn.CONCAT(C640,D640,E640,TIME!$F$1,Z640),HIS_SALES!$B$2:$V$4859,19,FALSE),0)))</f>
        <v>#N/A</v>
      </c>
      <c r="AD640" s="341">
        <f t="shared" ca="1" si="259"/>
        <v>0</v>
      </c>
      <c r="AE640" s="363" t="str">
        <f t="shared" si="260"/>
        <v/>
      </c>
      <c r="AF640" s="342" t="str">
        <f t="shared" si="261"/>
        <v/>
      </c>
      <c r="AG640" s="411" t="e">
        <f ca="1">VLOOKUP(_xlfn.CONCAT(U640,V640,W640,VLOOKUP(X640&amp;Y640,TIME!$L$27:$O$34,4,FALSE),Y640),HIS_SALES!$A$2:$R$5093,18,FALSE)</f>
        <v>#N/A</v>
      </c>
      <c r="AH640" s="412" t="e">
        <f ca="1">IFERROR(IF(AND(V640=V639,W640=W639),0.5*(AB640+AB639)*AG640,(VLOOKUP(_xlfn.CONCAT(U640,V640,W640,X640,VLOOKUP(Z640,TIME!$S$28:$T$39,2,FALSE)),FC_DATA!$R$2:$AB$5000,MATCH("GS_I_M",FC_DATA!$R$1:$AB$1,0),FALSE)+FC_DATA!AB640)*0.5*FC_DATA!AG640),NA())</f>
        <v>#N/A</v>
      </c>
      <c r="AI640" s="491" t="e">
        <f ca="1">IF(V640="PARTNER.com",AH640,IF(AND(V640=V639,W640=W639),(1-AVERAGE(AD639,AD640))*AH640,(1-AVERAGE(AD640,VLOOKUP(_xlfn.CONCAT(U640,V640,W640,X640,M_BRAND_FC!$F$6),FC_DATA!$R$2:$AD$5000,MATCH("DISCOUNT_%_M",FC_DATA!$R$1:$AD$1,0),FALSE)))*AH640))</f>
        <v>#N/A</v>
      </c>
      <c r="AJ640" s="412" t="str">
        <f t="shared" ca="1" si="232"/>
        <v/>
      </c>
      <c r="AK640" s="413" t="str">
        <f>IFERROR(AE640/(Q_BRAND_FC!$T$24+1),"")</f>
        <v/>
      </c>
      <c r="AL640" s="88" t="str">
        <f t="shared" ca="1" si="233"/>
        <v/>
      </c>
      <c r="AM640" s="414" t="str">
        <f t="shared" ca="1" si="234"/>
        <v/>
      </c>
      <c r="AN640" s="58">
        <f>IFERROR(IF($V640="BRAND.com",HLOOKUP($X640&amp;$Z640,NWC_FC_NOOS!$C$4:$Q$23,MATCH(W640,NWC_FC_NOOS!$B$4:$B$23,0),FALSE),0),0)</f>
        <v>0</v>
      </c>
      <c r="AO640" s="57">
        <f>IFERROR(IF($V640="BRAND.com",HLOOKUP($X640&amp;$Z640,NWC_FC_NOOS!$T$4:$AH$23,MATCH(W640,NWC_FC_NOOS!$S$4:$S$23,0),FALSE),0),0)</f>
        <v>0</v>
      </c>
      <c r="AP640" s="57">
        <f>IFERROR(IF($V640="BRAND.com",HLOOKUP($X640&amp;$Z640,NWC_FC_NOOS!$C$50:$U$69,MATCH(W640,NWC_FC_NOOS!$B$50:$B$69,0),FALSE),0),0)</f>
        <v>0</v>
      </c>
      <c r="AQ640" s="58">
        <f>IFERROR(IF($V640="BRAND.com",HLOOKUP($X640&amp;$Z640,'NWC_FC_NON-NOOS'!$C$4:$Q$23,MATCH(W640,'NWC_FC_NON-NOOS'!$B$4:$B$23,0),FALSE),0),0)</f>
        <v>0</v>
      </c>
      <c r="AR640" s="57">
        <f>IFERROR(IF($V640="BRAND.com",HLOOKUP($X640&amp;$Z640,'NWC_FC_NON-NOOS'!$T$4:$AH$23,MATCH(W640,'NWC_FC_NON-NOOS'!$S$4:$S$23,0),FALSE),0),0)</f>
        <v>0</v>
      </c>
      <c r="AS640" s="57">
        <f>IFERROR(IF($V640="BRAND.com",HLOOKUP($X640&amp;$Z640,'NWC_FC_NON-NOOS'!$C$50:$U$69,MATCH(W640,'NWC_FC_NON-NOOS'!$B$50:$B$69,0),FALSE),0),0)</f>
        <v>0</v>
      </c>
      <c r="AT640" s="57">
        <f t="shared" si="236"/>
        <v>0</v>
      </c>
      <c r="AU640" s="57">
        <f t="shared" si="237"/>
        <v>0</v>
      </c>
      <c r="AV640" s="58">
        <f>IFERROR(IF($V640="BRAND.com",HLOOKUP($X640&amp;$Z640,PLANNING_FC!$BB$27:$BP$46,MATCH($W640,PLANNING_FC!$BA$27:$BA$46,0),FALSE),0),0)</f>
        <v>0</v>
      </c>
      <c r="AW640" s="58">
        <f>IFERROR(IF($V640="BRAND.com",HLOOKUP($X640&amp;$Z640,PLANNING_FC!$BB$4:$BP$23,MATCH($W640,PLANNING_FC!$BA$4:$BA$23,0),FALSE),0),0)</f>
        <v>0</v>
      </c>
      <c r="AX640" s="58">
        <f>IFERROR(IF($V640="BRAND.com",HLOOKUP($X640&amp;$Z640,PLANNING_FC!$T$27:$AH$46,MATCH($W640,PLANNING_FC!$B$27:$B$46,0),FALSE),0),0)</f>
        <v>0</v>
      </c>
      <c r="AY640" s="58">
        <f>IFERROR(IF($V640="BRAND.com",HLOOKUP($X640&amp;$Z640,PLANNING_FC!$T$4:$AH$23,MATCH($W640,PLANNING_FC!$B$4:$B$23,0),FALSE),0),0)</f>
        <v>0</v>
      </c>
      <c r="AZ640" s="58">
        <f>IFERROR(IF($V640="BRAND.com",HLOOKUP($X640&amp;$Z640,PLANNING_FC!$DA$27:$DO$46,MATCH($W640,PLANNING_FC!$CZ$27:$CZ$46,0),FALSE),0),0)</f>
        <v>0</v>
      </c>
      <c r="BA640" s="58">
        <f>IFERROR(IF($V640="BRAND.com",HLOOKUP($X640&amp;$Z640,PLANNING_FC!$DA$4:$DO$23,MATCH($W640,PLANNING_FC!$CZ$4:$CZ$23,0),FALSE),0),0)</f>
        <v>0</v>
      </c>
      <c r="BB640" s="883" t="str">
        <f>IF(V640="BRAND.com",IFERROR(HLOOKUP(X640&amp;Z640,PLANNING_FC!$AK$4:$AY$23,MATCH(W640,PLANNING_FC!$AJ$4:$AJ$23,0),FALSE)*1000,""),"")</f>
        <v/>
      </c>
      <c r="BC640" s="883" t="str">
        <f>IF(V640="BRAND.com",IFERROR(HLOOKUP(X640&amp;Z640,PLANNING_FC!$AK$27:$AY$46,MATCH(W640,PLANNING_FC!$AJ$27:$AJ$46,0),FALSE)*1000,""),"")</f>
        <v/>
      </c>
    </row>
    <row r="641" spans="14:55" x14ac:dyDescent="0.25">
      <c r="N641" s="56">
        <f t="shared" si="250"/>
        <v>0</v>
      </c>
      <c r="O641" s="57">
        <f t="shared" si="251"/>
        <v>0</v>
      </c>
      <c r="P641" s="57">
        <f ca="1">IFERROR(IF(ISBLANK(H641),SUMIFS($AC:$AC,$V:$V,V641,$W:$W,W641,$X:$X,X641,$Y:$Y,Y641)*J641/(1-J641)*VLOOKUP(_xlfn.CONCAT(C641,D641,E641,TIME!$M$12,Z641),HIS_SALES!$B$2:$W$4859,20,FALSE),AC641*J641/(1-J641)),0)</f>
        <v>0</v>
      </c>
      <c r="Q641" s="541" t="str">
        <f t="shared" si="252"/>
        <v/>
      </c>
      <c r="R641" s="346" t="str">
        <f t="shared" si="230"/>
        <v>00000</v>
      </c>
      <c r="S641" s="344">
        <f t="shared" si="253"/>
        <v>0</v>
      </c>
      <c r="T641" s="345" t="str">
        <f t="shared" si="235"/>
        <v>000</v>
      </c>
      <c r="U641" s="345">
        <f t="shared" si="254"/>
        <v>0</v>
      </c>
      <c r="V641" s="345">
        <f t="shared" si="255"/>
        <v>0</v>
      </c>
      <c r="W641" s="345">
        <f t="shared" si="256"/>
        <v>0</v>
      </c>
      <c r="X641" s="345">
        <f t="shared" si="257"/>
        <v>0</v>
      </c>
      <c r="Y641" s="345">
        <f t="shared" si="258"/>
        <v>0</v>
      </c>
      <c r="Z641" s="345">
        <f>IF(Q641&lt;&gt;"",VLOOKUP(Y641,TIME!$R$21:$V$24,MATCH(FC_DATA!Q641,TIME!$R$20:$V$20,0),FALSE),H641)</f>
        <v>0</v>
      </c>
      <c r="AA641" s="345" t="str">
        <f>IFERROR(VLOOKUP(X641&amp;Z641,TIME!$A$12:$D$71,4,FALSE),"")</f>
        <v/>
      </c>
      <c r="AB641" s="592">
        <f t="shared" ca="1" si="231"/>
        <v>0</v>
      </c>
      <c r="AC641" s="593" t="e">
        <f ca="1">IF(ISBLANK(H641)=FALSE,IF(D641="BRAND.com",I641,IF(ISNA(VLOOKUP(_xlfn.CONCAT(X641,Z641),TIME!$M$40:$M$42,1,FALSE)),I641,VLOOKUP(_xlfn.CONCAT(D641,G641,H641),M_BUSAREA_FC!$AF$5:$AJ$10,5,FALSE)*HLOOKUP(_xlfn.CONCAT(F641,H641),ST_OVERVIEW!$G$99:$I$130,MATCH(_xlfn.CONCAT(D641,E641),ST_OVERVIEW!$F$99:$F$130,0),FALSE))),IF(D641="BRAND.com",VLOOKUP(_xlfn.CONCAT(C641,D641,E641,TIME!$F$1,Z641),HIS_SALES!$B$2:$V$4859,19,FALSE)*I641,VLOOKUP(_xlfn.CONCAT(D641,F641,G641),Q_BUSAREA_FC!$AE$5:$AI$12,5,FALSE)*HLOOKUP(_xlfn.CONCAT(FC_DATA!F641,FC_DATA!G641),LT_OVERVIEW!$I$99:$M$130,MATCH(_xlfn.CONCAT(D641,FC_DATA!E641),LT_OVERVIEW!$H$99:$H$130,0),FALSE)*IFERROR(VLOOKUP(_xlfn.CONCAT(C641,D641,E641,TIME!$F$1,Z641),HIS_SALES!$B$2:$V$4859,19,FALSE),0)))</f>
        <v>#N/A</v>
      </c>
      <c r="AD641" s="341">
        <f t="shared" ca="1" si="259"/>
        <v>0</v>
      </c>
      <c r="AE641" s="363" t="str">
        <f t="shared" si="260"/>
        <v/>
      </c>
      <c r="AF641" s="342" t="str">
        <f t="shared" si="261"/>
        <v/>
      </c>
      <c r="AG641" s="411" t="e">
        <f ca="1">VLOOKUP(_xlfn.CONCAT(U641,V641,W641,VLOOKUP(X641&amp;Y641,TIME!$L$27:$O$34,4,FALSE),Y641),HIS_SALES!$A$2:$R$5093,18,FALSE)</f>
        <v>#N/A</v>
      </c>
      <c r="AH641" s="412" t="e">
        <f ca="1">IFERROR(IF(AND(V641=V640,W641=W640),0.5*(AB641+AB640)*AG641,(VLOOKUP(_xlfn.CONCAT(U641,V641,W641,X641,VLOOKUP(Z641,TIME!$S$28:$T$39,2,FALSE)),FC_DATA!$R$2:$AB$5000,MATCH("GS_I_M",FC_DATA!$R$1:$AB$1,0),FALSE)+FC_DATA!AB641)*0.5*FC_DATA!AG641),NA())</f>
        <v>#N/A</v>
      </c>
      <c r="AI641" s="491" t="e">
        <f ca="1">IF(V641="PARTNER.com",AH641,IF(AND(V641=V640,W641=W640),(1-AVERAGE(AD640,AD641))*AH641,(1-AVERAGE(AD641,VLOOKUP(_xlfn.CONCAT(U641,V641,W641,X641,M_BRAND_FC!$F$6),FC_DATA!$R$2:$AD$5000,MATCH("DISCOUNT_%_M",FC_DATA!$R$1:$AD$1,0),FALSE)))*AH641))</f>
        <v>#N/A</v>
      </c>
      <c r="AJ641" s="412" t="str">
        <f t="shared" ca="1" si="232"/>
        <v/>
      </c>
      <c r="AK641" s="413" t="str">
        <f>IFERROR(AE641/(Q_BRAND_FC!$T$24+1),"")</f>
        <v/>
      </c>
      <c r="AL641" s="88" t="str">
        <f t="shared" ca="1" si="233"/>
        <v/>
      </c>
      <c r="AM641" s="414" t="str">
        <f t="shared" ca="1" si="234"/>
        <v/>
      </c>
      <c r="AN641" s="58">
        <f>IFERROR(IF($V641="BRAND.com",HLOOKUP($X641&amp;$Z641,NWC_FC_NOOS!$C$4:$Q$23,MATCH(W641,NWC_FC_NOOS!$B$4:$B$23,0),FALSE),0),0)</f>
        <v>0</v>
      </c>
      <c r="AO641" s="57">
        <f>IFERROR(IF($V641="BRAND.com",HLOOKUP($X641&amp;$Z641,NWC_FC_NOOS!$T$4:$AH$23,MATCH(W641,NWC_FC_NOOS!$S$4:$S$23,0),FALSE),0),0)</f>
        <v>0</v>
      </c>
      <c r="AP641" s="57">
        <f>IFERROR(IF($V641="BRAND.com",HLOOKUP($X641&amp;$Z641,NWC_FC_NOOS!$C$50:$U$69,MATCH(W641,NWC_FC_NOOS!$B$50:$B$69,0),FALSE),0),0)</f>
        <v>0</v>
      </c>
      <c r="AQ641" s="58">
        <f>IFERROR(IF($V641="BRAND.com",HLOOKUP($X641&amp;$Z641,'NWC_FC_NON-NOOS'!$C$4:$Q$23,MATCH(W641,'NWC_FC_NON-NOOS'!$B$4:$B$23,0),FALSE),0),0)</f>
        <v>0</v>
      </c>
      <c r="AR641" s="57">
        <f>IFERROR(IF($V641="BRAND.com",HLOOKUP($X641&amp;$Z641,'NWC_FC_NON-NOOS'!$T$4:$AH$23,MATCH(W641,'NWC_FC_NON-NOOS'!$S$4:$S$23,0),FALSE),0),0)</f>
        <v>0</v>
      </c>
      <c r="AS641" s="57">
        <f>IFERROR(IF($V641="BRAND.com",HLOOKUP($X641&amp;$Z641,'NWC_FC_NON-NOOS'!$C$50:$U$69,MATCH(W641,'NWC_FC_NON-NOOS'!$B$50:$B$69,0),FALSE),0),0)</f>
        <v>0</v>
      </c>
      <c r="AT641" s="57">
        <f t="shared" si="236"/>
        <v>0</v>
      </c>
      <c r="AU641" s="57">
        <f t="shared" si="237"/>
        <v>0</v>
      </c>
      <c r="AV641" s="58">
        <f>IFERROR(IF($V641="BRAND.com",HLOOKUP($X641&amp;$Z641,PLANNING_FC!$BB$27:$BP$46,MATCH($W641,PLANNING_FC!$BA$27:$BA$46,0),FALSE),0),0)</f>
        <v>0</v>
      </c>
      <c r="AW641" s="58">
        <f>IFERROR(IF($V641="BRAND.com",HLOOKUP($X641&amp;$Z641,PLANNING_FC!$BB$4:$BP$23,MATCH($W641,PLANNING_FC!$BA$4:$BA$23,0),FALSE),0),0)</f>
        <v>0</v>
      </c>
      <c r="AX641" s="58">
        <f>IFERROR(IF($V641="BRAND.com",HLOOKUP($X641&amp;$Z641,PLANNING_FC!$T$27:$AH$46,MATCH($W641,PLANNING_FC!$B$27:$B$46,0),FALSE),0),0)</f>
        <v>0</v>
      </c>
      <c r="AY641" s="58">
        <f>IFERROR(IF($V641="BRAND.com",HLOOKUP($X641&amp;$Z641,PLANNING_FC!$T$4:$AH$23,MATCH($W641,PLANNING_FC!$B$4:$B$23,0),FALSE),0),0)</f>
        <v>0</v>
      </c>
      <c r="AZ641" s="58">
        <f>IFERROR(IF($V641="BRAND.com",HLOOKUP($X641&amp;$Z641,PLANNING_FC!$DA$27:$DO$46,MATCH($W641,PLANNING_FC!$CZ$27:$CZ$46,0),FALSE),0),0)</f>
        <v>0</v>
      </c>
      <c r="BA641" s="58">
        <f>IFERROR(IF($V641="BRAND.com",HLOOKUP($X641&amp;$Z641,PLANNING_FC!$DA$4:$DO$23,MATCH($W641,PLANNING_FC!$CZ$4:$CZ$23,0),FALSE),0),0)</f>
        <v>0</v>
      </c>
      <c r="BB641" s="883" t="str">
        <f>IF(V641="BRAND.com",IFERROR(HLOOKUP(X641&amp;Z641,PLANNING_FC!$AK$4:$AY$23,MATCH(W641,PLANNING_FC!$AJ$4:$AJ$23,0),FALSE)*1000,""),"")</f>
        <v/>
      </c>
      <c r="BC641" s="883" t="str">
        <f>IF(V641="BRAND.com",IFERROR(HLOOKUP(X641&amp;Z641,PLANNING_FC!$AK$27:$AY$46,MATCH(W641,PLANNING_FC!$AJ$27:$AJ$46,0),FALSE)*1000,""),"")</f>
        <v/>
      </c>
    </row>
    <row r="642" spans="14:55" x14ac:dyDescent="0.25">
      <c r="N642" s="56">
        <f t="shared" si="250"/>
        <v>0</v>
      </c>
      <c r="O642" s="57">
        <f t="shared" si="251"/>
        <v>0</v>
      </c>
      <c r="P642" s="57">
        <f ca="1">IFERROR(IF(ISBLANK(H642),SUMIFS($AC:$AC,$V:$V,V642,$W:$W,W642,$X:$X,X642,$Y:$Y,Y642)*J642/(1-J642)*VLOOKUP(_xlfn.CONCAT(C642,D642,E642,TIME!$M$12,Z642),HIS_SALES!$B$2:$W$4859,20,FALSE),AC642*J642/(1-J642)),0)</f>
        <v>0</v>
      </c>
      <c r="Q642" s="541" t="str">
        <f t="shared" si="252"/>
        <v/>
      </c>
      <c r="R642" s="346" t="str">
        <f t="shared" ref="R642:R705" si="262">U642&amp;V642&amp;W642&amp;X642&amp;Z642</f>
        <v>00000</v>
      </c>
      <c r="S642" s="344">
        <f t="shared" si="253"/>
        <v>0</v>
      </c>
      <c r="T642" s="345" t="str">
        <f t="shared" si="235"/>
        <v>000</v>
      </c>
      <c r="U642" s="345">
        <f t="shared" si="254"/>
        <v>0</v>
      </c>
      <c r="V642" s="345">
        <f t="shared" si="255"/>
        <v>0</v>
      </c>
      <c r="W642" s="345">
        <f t="shared" si="256"/>
        <v>0</v>
      </c>
      <c r="X642" s="345">
        <f t="shared" si="257"/>
        <v>0</v>
      </c>
      <c r="Y642" s="345">
        <f t="shared" si="258"/>
        <v>0</v>
      </c>
      <c r="Z642" s="345">
        <f>IF(Q642&lt;&gt;"",VLOOKUP(Y642,TIME!$R$21:$V$24,MATCH(FC_DATA!Q642,TIME!$R$20:$V$20,0),FALSE),H642)</f>
        <v>0</v>
      </c>
      <c r="AA642" s="345" t="str">
        <f>IFERROR(VLOOKUP(X642&amp;Z642,TIME!$A$12:$D$71,4,FALSE),"")</f>
        <v/>
      </c>
      <c r="AB642" s="592">
        <f t="shared" ref="AB642:AB705" ca="1" si="263">IFERROR(AC642+P642,0)</f>
        <v>0</v>
      </c>
      <c r="AC642" s="593" t="e">
        <f ca="1">IF(ISBLANK(H642)=FALSE,IF(D642="BRAND.com",I642,IF(ISNA(VLOOKUP(_xlfn.CONCAT(X642,Z642),TIME!$M$40:$M$42,1,FALSE)),I642,VLOOKUP(_xlfn.CONCAT(D642,G642,H642),M_BUSAREA_FC!$AF$5:$AJ$10,5,FALSE)*HLOOKUP(_xlfn.CONCAT(F642,H642),ST_OVERVIEW!$G$99:$I$130,MATCH(_xlfn.CONCAT(D642,E642),ST_OVERVIEW!$F$99:$F$130,0),FALSE))),IF(D642="BRAND.com",VLOOKUP(_xlfn.CONCAT(C642,D642,E642,TIME!$F$1,Z642),HIS_SALES!$B$2:$V$4859,19,FALSE)*I642,VLOOKUP(_xlfn.CONCAT(D642,F642,G642),Q_BUSAREA_FC!$AE$5:$AI$12,5,FALSE)*HLOOKUP(_xlfn.CONCAT(FC_DATA!F642,FC_DATA!G642),LT_OVERVIEW!$I$99:$M$130,MATCH(_xlfn.CONCAT(D642,FC_DATA!E642),LT_OVERVIEW!$H$99:$H$130,0),FALSE)*IFERROR(VLOOKUP(_xlfn.CONCAT(C642,D642,E642,TIME!$F$1,Z642),HIS_SALES!$B$2:$V$4859,19,FALSE),0)))</f>
        <v>#N/A</v>
      </c>
      <c r="AD642" s="341">
        <f t="shared" ca="1" si="259"/>
        <v>0</v>
      </c>
      <c r="AE642" s="363" t="str">
        <f t="shared" si="260"/>
        <v/>
      </c>
      <c r="AF642" s="342" t="str">
        <f t="shared" si="261"/>
        <v/>
      </c>
      <c r="AG642" s="411" t="e">
        <f ca="1">VLOOKUP(_xlfn.CONCAT(U642,V642,W642,VLOOKUP(X642&amp;Y642,TIME!$L$27:$O$34,4,FALSE),Y642),HIS_SALES!$A$2:$R$5093,18,FALSE)</f>
        <v>#N/A</v>
      </c>
      <c r="AH642" s="412" t="e">
        <f ca="1">IFERROR(IF(AND(V642=V641,W642=W641),0.5*(AB642+AB641)*AG642,(VLOOKUP(_xlfn.CONCAT(U642,V642,W642,X642,VLOOKUP(Z642,TIME!$S$28:$T$39,2,FALSE)),FC_DATA!$R$2:$AB$5000,MATCH("GS_I_M",FC_DATA!$R$1:$AB$1,0),FALSE)+FC_DATA!AB642)*0.5*FC_DATA!AG642),NA())</f>
        <v>#N/A</v>
      </c>
      <c r="AI642" s="491" t="e">
        <f ca="1">IF(V642="PARTNER.com",AH642,IF(AND(V642=V641,W642=W641),(1-AVERAGE(AD641,AD642))*AH642,(1-AVERAGE(AD642,VLOOKUP(_xlfn.CONCAT(U642,V642,W642,X642,M_BRAND_FC!$F$6),FC_DATA!$R$2:$AD$5000,MATCH("DISCOUNT_%_M",FC_DATA!$R$1:$AD$1,0),FALSE)))*AH642))</f>
        <v>#N/A</v>
      </c>
      <c r="AJ642" s="412" t="str">
        <f t="shared" ref="AJ642:AJ705" ca="1" si="264">IFERROR(AC642-AI642,"")</f>
        <v/>
      </c>
      <c r="AK642" s="413" t="str">
        <f>IFERROR(AE642/(Q_BRAND_FC!$T$24+1),"")</f>
        <v/>
      </c>
      <c r="AL642" s="88" t="str">
        <f t="shared" ref="AL642:AL705" ca="1" si="265">IFERROR((AB642-AH642)/AK642*AF642,"")</f>
        <v/>
      </c>
      <c r="AM642" s="414" t="str">
        <f t="shared" ref="AM642:AM705" ca="1" si="266">IFERROR((AB642-AH642)/AK642*(1-AF642),"")</f>
        <v/>
      </c>
      <c r="AN642" s="58">
        <f>IFERROR(IF($V642="BRAND.com",HLOOKUP($X642&amp;$Z642,NWC_FC_NOOS!$C$4:$Q$23,MATCH(W642,NWC_FC_NOOS!$B$4:$B$23,0),FALSE),0),0)</f>
        <v>0</v>
      </c>
      <c r="AO642" s="57">
        <f>IFERROR(IF($V642="BRAND.com",HLOOKUP($X642&amp;$Z642,NWC_FC_NOOS!$T$4:$AH$23,MATCH(W642,NWC_FC_NOOS!$S$4:$S$23,0),FALSE),0),0)</f>
        <v>0</v>
      </c>
      <c r="AP642" s="57">
        <f>IFERROR(IF($V642="BRAND.com",HLOOKUP($X642&amp;$Z642,NWC_FC_NOOS!$C$50:$U$69,MATCH(W642,NWC_FC_NOOS!$B$50:$B$69,0),FALSE),0),0)</f>
        <v>0</v>
      </c>
      <c r="AQ642" s="58">
        <f>IFERROR(IF($V642="BRAND.com",HLOOKUP($X642&amp;$Z642,'NWC_FC_NON-NOOS'!$C$4:$Q$23,MATCH(W642,'NWC_FC_NON-NOOS'!$B$4:$B$23,0),FALSE),0),0)</f>
        <v>0</v>
      </c>
      <c r="AR642" s="57">
        <f>IFERROR(IF($V642="BRAND.com",HLOOKUP($X642&amp;$Z642,'NWC_FC_NON-NOOS'!$T$4:$AH$23,MATCH(W642,'NWC_FC_NON-NOOS'!$S$4:$S$23,0),FALSE),0),0)</f>
        <v>0</v>
      </c>
      <c r="AS642" s="57">
        <f>IFERROR(IF($V642="BRAND.com",HLOOKUP($X642&amp;$Z642,'NWC_FC_NON-NOOS'!$C$50:$U$69,MATCH(W642,'NWC_FC_NON-NOOS'!$B$50:$B$69,0),FALSE),0),0)</f>
        <v>0</v>
      </c>
      <c r="AT642" s="57">
        <f t="shared" si="236"/>
        <v>0</v>
      </c>
      <c r="AU642" s="57">
        <f t="shared" si="237"/>
        <v>0</v>
      </c>
      <c r="AV642" s="58">
        <f>IFERROR(IF($V642="BRAND.com",HLOOKUP($X642&amp;$Z642,PLANNING_FC!$BB$27:$BP$46,MATCH($W642,PLANNING_FC!$BA$27:$BA$46,0),FALSE),0),0)</f>
        <v>0</v>
      </c>
      <c r="AW642" s="58">
        <f>IFERROR(IF($V642="BRAND.com",HLOOKUP($X642&amp;$Z642,PLANNING_FC!$BB$4:$BP$23,MATCH($W642,PLANNING_FC!$BA$4:$BA$23,0),FALSE),0),0)</f>
        <v>0</v>
      </c>
      <c r="AX642" s="58">
        <f>IFERROR(IF($V642="BRAND.com",HLOOKUP($X642&amp;$Z642,PLANNING_FC!$T$27:$AH$46,MATCH($W642,PLANNING_FC!$B$27:$B$46,0),FALSE),0),0)</f>
        <v>0</v>
      </c>
      <c r="AY642" s="58">
        <f>IFERROR(IF($V642="BRAND.com",HLOOKUP($X642&amp;$Z642,PLANNING_FC!$T$4:$AH$23,MATCH($W642,PLANNING_FC!$B$4:$B$23,0),FALSE),0),0)</f>
        <v>0</v>
      </c>
      <c r="AZ642" s="58">
        <f>IFERROR(IF($V642="BRAND.com",HLOOKUP($X642&amp;$Z642,PLANNING_FC!$DA$27:$DO$46,MATCH($W642,PLANNING_FC!$CZ$27:$CZ$46,0),FALSE),0),0)</f>
        <v>0</v>
      </c>
      <c r="BA642" s="58">
        <f>IFERROR(IF($V642="BRAND.com",HLOOKUP($X642&amp;$Z642,PLANNING_FC!$DA$4:$DO$23,MATCH($W642,PLANNING_FC!$CZ$4:$CZ$23,0),FALSE),0),0)</f>
        <v>0</v>
      </c>
      <c r="BB642" s="883" t="str">
        <f>IF(V642="BRAND.com",IFERROR(HLOOKUP(X642&amp;Z642,PLANNING_FC!$AK$4:$AY$23,MATCH(W642,PLANNING_FC!$AJ$4:$AJ$23,0),FALSE)*1000,""),"")</f>
        <v/>
      </c>
      <c r="BC642" s="883" t="str">
        <f>IF(V642="BRAND.com",IFERROR(HLOOKUP(X642&amp;Z642,PLANNING_FC!$AK$27:$AY$46,MATCH(W642,PLANNING_FC!$AJ$27:$AJ$46,0),FALSE)*1000,""),"")</f>
        <v/>
      </c>
    </row>
    <row r="643" spans="14:55" x14ac:dyDescent="0.25">
      <c r="N643" s="56">
        <f t="shared" si="250"/>
        <v>0</v>
      </c>
      <c r="O643" s="57">
        <f t="shared" si="251"/>
        <v>0</v>
      </c>
      <c r="P643" s="57">
        <f ca="1">IFERROR(IF(ISBLANK(H643),SUMIFS($AC:$AC,$V:$V,V643,$W:$W,W643,$X:$X,X643,$Y:$Y,Y643)*J643/(1-J643)*VLOOKUP(_xlfn.CONCAT(C643,D643,E643,TIME!$M$12,Z643),HIS_SALES!$B$2:$W$4859,20,FALSE),AC643*J643/(1-J643)),0)</f>
        <v>0</v>
      </c>
      <c r="Q643" s="541" t="str">
        <f t="shared" si="252"/>
        <v/>
      </c>
      <c r="R643" s="346" t="str">
        <f t="shared" si="262"/>
        <v>00000</v>
      </c>
      <c r="S643" s="344">
        <f t="shared" si="253"/>
        <v>0</v>
      </c>
      <c r="T643" s="345" t="str">
        <f t="shared" ref="T643:T706" si="267">U643&amp;V643&amp;W643&amp;AA643</f>
        <v>000</v>
      </c>
      <c r="U643" s="345">
        <f t="shared" si="254"/>
        <v>0</v>
      </c>
      <c r="V643" s="345">
        <f t="shared" si="255"/>
        <v>0</v>
      </c>
      <c r="W643" s="345">
        <f t="shared" si="256"/>
        <v>0</v>
      </c>
      <c r="X643" s="345">
        <f t="shared" si="257"/>
        <v>0</v>
      </c>
      <c r="Y643" s="345">
        <f t="shared" si="258"/>
        <v>0</v>
      </c>
      <c r="Z643" s="345">
        <f>IF(Q643&lt;&gt;"",VLOOKUP(Y643,TIME!$R$21:$V$24,MATCH(FC_DATA!Q643,TIME!$R$20:$V$20,0),FALSE),H643)</f>
        <v>0</v>
      </c>
      <c r="AA643" s="345" t="str">
        <f>IFERROR(VLOOKUP(X643&amp;Z643,TIME!$A$12:$D$71,4,FALSE),"")</f>
        <v/>
      </c>
      <c r="AB643" s="592">
        <f t="shared" ca="1" si="263"/>
        <v>0</v>
      </c>
      <c r="AC643" s="593" t="e">
        <f ca="1">IF(ISBLANK(H643)=FALSE,IF(D643="BRAND.com",I643,IF(ISNA(VLOOKUP(_xlfn.CONCAT(X643,Z643),TIME!$M$40:$M$42,1,FALSE)),I643,VLOOKUP(_xlfn.CONCAT(D643,G643,H643),M_BUSAREA_FC!$AF$5:$AJ$10,5,FALSE)*HLOOKUP(_xlfn.CONCAT(F643,H643),ST_OVERVIEW!$G$99:$I$130,MATCH(_xlfn.CONCAT(D643,E643),ST_OVERVIEW!$F$99:$F$130,0),FALSE))),IF(D643="BRAND.com",VLOOKUP(_xlfn.CONCAT(C643,D643,E643,TIME!$F$1,Z643),HIS_SALES!$B$2:$V$4859,19,FALSE)*I643,VLOOKUP(_xlfn.CONCAT(D643,F643,G643),Q_BUSAREA_FC!$AE$5:$AI$12,5,FALSE)*HLOOKUP(_xlfn.CONCAT(FC_DATA!F643,FC_DATA!G643),LT_OVERVIEW!$I$99:$M$130,MATCH(_xlfn.CONCAT(D643,FC_DATA!E643),LT_OVERVIEW!$H$99:$H$130,0),FALSE)*IFERROR(VLOOKUP(_xlfn.CONCAT(C643,D643,E643,TIME!$F$1,Z643),HIS_SALES!$B$2:$V$4859,19,FALSE),0)))</f>
        <v>#N/A</v>
      </c>
      <c r="AD643" s="341">
        <f t="shared" ca="1" si="259"/>
        <v>0</v>
      </c>
      <c r="AE643" s="363" t="str">
        <f t="shared" si="260"/>
        <v/>
      </c>
      <c r="AF643" s="342" t="str">
        <f t="shared" si="261"/>
        <v/>
      </c>
      <c r="AG643" s="411" t="e">
        <f ca="1">VLOOKUP(_xlfn.CONCAT(U643,V643,W643,VLOOKUP(X643&amp;Y643,TIME!$L$27:$O$34,4,FALSE),Y643),HIS_SALES!$A$2:$R$5093,18,FALSE)</f>
        <v>#N/A</v>
      </c>
      <c r="AH643" s="412" t="e">
        <f ca="1">IFERROR(IF(AND(V643=V642,W643=W642),0.5*(AB643+AB642)*AG643,(VLOOKUP(_xlfn.CONCAT(U643,V643,W643,X643,VLOOKUP(Z643,TIME!$S$28:$T$39,2,FALSE)),FC_DATA!$R$2:$AB$5000,MATCH("GS_I_M",FC_DATA!$R$1:$AB$1,0),FALSE)+FC_DATA!AB643)*0.5*FC_DATA!AG643),NA())</f>
        <v>#N/A</v>
      </c>
      <c r="AI643" s="491" t="e">
        <f ca="1">IF(V643="PARTNER.com",AH643,IF(AND(V643=V642,W643=W642),(1-AVERAGE(AD642,AD643))*AH643,(1-AVERAGE(AD643,VLOOKUP(_xlfn.CONCAT(U643,V643,W643,X643,M_BRAND_FC!$F$6),FC_DATA!$R$2:$AD$5000,MATCH("DISCOUNT_%_M",FC_DATA!$R$1:$AD$1,0),FALSE)))*AH643))</f>
        <v>#N/A</v>
      </c>
      <c r="AJ643" s="412" t="str">
        <f t="shared" ca="1" si="264"/>
        <v/>
      </c>
      <c r="AK643" s="413" t="str">
        <f>IFERROR(AE643/(Q_BRAND_FC!$T$24+1),"")</f>
        <v/>
      </c>
      <c r="AL643" s="88" t="str">
        <f t="shared" ca="1" si="265"/>
        <v/>
      </c>
      <c r="AM643" s="414" t="str">
        <f t="shared" ca="1" si="266"/>
        <v/>
      </c>
      <c r="AN643" s="58">
        <f>IFERROR(IF($V643="BRAND.com",HLOOKUP($X643&amp;$Z643,NWC_FC_NOOS!$C$4:$Q$23,MATCH(W643,NWC_FC_NOOS!$B$4:$B$23,0),FALSE),0),0)</f>
        <v>0</v>
      </c>
      <c r="AO643" s="57">
        <f>IFERROR(IF($V643="BRAND.com",HLOOKUP($X643&amp;$Z643,NWC_FC_NOOS!$T$4:$AH$23,MATCH(W643,NWC_FC_NOOS!$S$4:$S$23,0),FALSE),0),0)</f>
        <v>0</v>
      </c>
      <c r="AP643" s="57">
        <f>IFERROR(IF($V643="BRAND.com",HLOOKUP($X643&amp;$Z643,NWC_FC_NOOS!$C$50:$U$69,MATCH(W643,NWC_FC_NOOS!$B$50:$B$69,0),FALSE),0),0)</f>
        <v>0</v>
      </c>
      <c r="AQ643" s="58">
        <f>IFERROR(IF($V643="BRAND.com",HLOOKUP($X643&amp;$Z643,'NWC_FC_NON-NOOS'!$C$4:$Q$23,MATCH(W643,'NWC_FC_NON-NOOS'!$B$4:$B$23,0),FALSE),0),0)</f>
        <v>0</v>
      </c>
      <c r="AR643" s="57">
        <f>IFERROR(IF($V643="BRAND.com",HLOOKUP($X643&amp;$Z643,'NWC_FC_NON-NOOS'!$T$4:$AH$23,MATCH(W643,'NWC_FC_NON-NOOS'!$S$4:$S$23,0),FALSE),0),0)</f>
        <v>0</v>
      </c>
      <c r="AS643" s="57">
        <f>IFERROR(IF($V643="BRAND.com",HLOOKUP($X643&amp;$Z643,'NWC_FC_NON-NOOS'!$C$50:$U$69,MATCH(W643,'NWC_FC_NON-NOOS'!$B$50:$B$69,0),FALSE),0),0)</f>
        <v>0</v>
      </c>
      <c r="AT643" s="57">
        <f t="shared" ref="AT643:AT706" si="268">AO643+AR643</f>
        <v>0</v>
      </c>
      <c r="AU643" s="57">
        <f t="shared" ref="AU643:AU706" si="269">AP643+AS643</f>
        <v>0</v>
      </c>
      <c r="AV643" s="58">
        <f>IFERROR(IF($V643="BRAND.com",HLOOKUP($X643&amp;$Z643,PLANNING_FC!$BB$27:$BP$46,MATCH($W643,PLANNING_FC!$BA$27:$BA$46,0),FALSE),0),0)</f>
        <v>0</v>
      </c>
      <c r="AW643" s="58">
        <f>IFERROR(IF($V643="BRAND.com",HLOOKUP($X643&amp;$Z643,PLANNING_FC!$BB$4:$BP$23,MATCH($W643,PLANNING_FC!$BA$4:$BA$23,0),FALSE),0),0)</f>
        <v>0</v>
      </c>
      <c r="AX643" s="58">
        <f>IFERROR(IF($V643="BRAND.com",HLOOKUP($X643&amp;$Z643,PLANNING_FC!$T$27:$AH$46,MATCH($W643,PLANNING_FC!$B$27:$B$46,0),FALSE),0),0)</f>
        <v>0</v>
      </c>
      <c r="AY643" s="58">
        <f>IFERROR(IF($V643="BRAND.com",HLOOKUP($X643&amp;$Z643,PLANNING_FC!$T$4:$AH$23,MATCH($W643,PLANNING_FC!$B$4:$B$23,0),FALSE),0),0)</f>
        <v>0</v>
      </c>
      <c r="AZ643" s="58">
        <f>IFERROR(IF($V643="BRAND.com",HLOOKUP($X643&amp;$Z643,PLANNING_FC!$DA$27:$DO$46,MATCH($W643,PLANNING_FC!$CZ$27:$CZ$46,0),FALSE),0),0)</f>
        <v>0</v>
      </c>
      <c r="BA643" s="58">
        <f>IFERROR(IF($V643="BRAND.com",HLOOKUP($X643&amp;$Z643,PLANNING_FC!$DA$4:$DO$23,MATCH($W643,PLANNING_FC!$CZ$4:$CZ$23,0),FALSE),0),0)</f>
        <v>0</v>
      </c>
      <c r="BB643" s="883" t="str">
        <f>IF(V643="BRAND.com",IFERROR(HLOOKUP(X643&amp;Z643,PLANNING_FC!$AK$4:$AY$23,MATCH(W643,PLANNING_FC!$AJ$4:$AJ$23,0),FALSE)*1000,""),"")</f>
        <v/>
      </c>
      <c r="BC643" s="883" t="str">
        <f>IF(V643="BRAND.com",IFERROR(HLOOKUP(X643&amp;Z643,PLANNING_FC!$AK$27:$AY$46,MATCH(W643,PLANNING_FC!$AJ$27:$AJ$46,0),FALSE)*1000,""),"")</f>
        <v/>
      </c>
    </row>
    <row r="644" spans="14:55" x14ac:dyDescent="0.25">
      <c r="N644" s="56">
        <f t="shared" si="250"/>
        <v>0</v>
      </c>
      <c r="O644" s="57">
        <f t="shared" si="251"/>
        <v>0</v>
      </c>
      <c r="P644" s="57">
        <f ca="1">IFERROR(IF(ISBLANK(H644),SUMIFS($AC:$AC,$V:$V,V644,$W:$W,W644,$X:$X,X644,$Y:$Y,Y644)*J644/(1-J644)*VLOOKUP(_xlfn.CONCAT(C644,D644,E644,TIME!$M$12,Z644),HIS_SALES!$B$2:$W$4859,20,FALSE),AC644*J644/(1-J644)),0)</f>
        <v>0</v>
      </c>
      <c r="Q644" s="541" t="str">
        <f t="shared" si="252"/>
        <v/>
      </c>
      <c r="R644" s="346" t="str">
        <f t="shared" si="262"/>
        <v>00000</v>
      </c>
      <c r="S644" s="344">
        <f t="shared" si="253"/>
        <v>0</v>
      </c>
      <c r="T644" s="345" t="str">
        <f t="shared" si="267"/>
        <v>000</v>
      </c>
      <c r="U644" s="345">
        <f t="shared" si="254"/>
        <v>0</v>
      </c>
      <c r="V644" s="345">
        <f t="shared" si="255"/>
        <v>0</v>
      </c>
      <c r="W644" s="345">
        <f t="shared" si="256"/>
        <v>0</v>
      </c>
      <c r="X644" s="345">
        <f t="shared" si="257"/>
        <v>0</v>
      </c>
      <c r="Y644" s="345">
        <f t="shared" si="258"/>
        <v>0</v>
      </c>
      <c r="Z644" s="345">
        <f>IF(Q644&lt;&gt;"",VLOOKUP(Y644,TIME!$R$21:$V$24,MATCH(FC_DATA!Q644,TIME!$R$20:$V$20,0),FALSE),H644)</f>
        <v>0</v>
      </c>
      <c r="AA644" s="345" t="str">
        <f>IFERROR(VLOOKUP(X644&amp;Z644,TIME!$A$12:$D$71,4,FALSE),"")</f>
        <v/>
      </c>
      <c r="AB644" s="592">
        <f t="shared" ca="1" si="263"/>
        <v>0</v>
      </c>
      <c r="AC644" s="593" t="e">
        <f ca="1">IF(ISBLANK(H644)=FALSE,IF(D644="BRAND.com",I644,IF(ISNA(VLOOKUP(_xlfn.CONCAT(X644,Z644),TIME!$M$40:$M$42,1,FALSE)),I644,VLOOKUP(_xlfn.CONCAT(D644,G644,H644),M_BUSAREA_FC!$AF$5:$AJ$10,5,FALSE)*HLOOKUP(_xlfn.CONCAT(F644,H644),ST_OVERVIEW!$G$99:$I$130,MATCH(_xlfn.CONCAT(D644,E644),ST_OVERVIEW!$F$99:$F$130,0),FALSE))),IF(D644="BRAND.com",VLOOKUP(_xlfn.CONCAT(C644,D644,E644,TIME!$F$1,Z644),HIS_SALES!$B$2:$V$4859,19,FALSE)*I644,VLOOKUP(_xlfn.CONCAT(D644,F644,G644),Q_BUSAREA_FC!$AE$5:$AI$12,5,FALSE)*HLOOKUP(_xlfn.CONCAT(FC_DATA!F644,FC_DATA!G644),LT_OVERVIEW!$I$99:$M$130,MATCH(_xlfn.CONCAT(D644,FC_DATA!E644),LT_OVERVIEW!$H$99:$H$130,0),FALSE)*IFERROR(VLOOKUP(_xlfn.CONCAT(C644,D644,E644,TIME!$F$1,Z644),HIS_SALES!$B$2:$V$4859,19,FALSE),0)))</f>
        <v>#N/A</v>
      </c>
      <c r="AD644" s="341">
        <f t="shared" ca="1" si="259"/>
        <v>0</v>
      </c>
      <c r="AE644" s="363" t="str">
        <f t="shared" si="260"/>
        <v/>
      </c>
      <c r="AF644" s="342" t="str">
        <f t="shared" si="261"/>
        <v/>
      </c>
      <c r="AG644" s="411" t="e">
        <f ca="1">VLOOKUP(_xlfn.CONCAT(U644,V644,W644,VLOOKUP(X644&amp;Y644,TIME!$L$27:$O$34,4,FALSE),Y644),HIS_SALES!$A$2:$R$5093,18,FALSE)</f>
        <v>#N/A</v>
      </c>
      <c r="AH644" s="412" t="e">
        <f ca="1">IFERROR(IF(AND(V644=V643,W644=W643),0.5*(AB644+AB643)*AG644,(VLOOKUP(_xlfn.CONCAT(U644,V644,W644,X644,VLOOKUP(Z644,TIME!$S$28:$T$39,2,FALSE)),FC_DATA!$R$2:$AB$5000,MATCH("GS_I_M",FC_DATA!$R$1:$AB$1,0),FALSE)+FC_DATA!AB644)*0.5*FC_DATA!AG644),NA())</f>
        <v>#N/A</v>
      </c>
      <c r="AI644" s="491" t="e">
        <f ca="1">IF(V644="PARTNER.com",AH644,IF(AND(V644=V643,W644=W643),(1-AVERAGE(AD643,AD644))*AH644,(1-AVERAGE(AD644,VLOOKUP(_xlfn.CONCAT(U644,V644,W644,X644,M_BRAND_FC!$F$6),FC_DATA!$R$2:$AD$5000,MATCH("DISCOUNT_%_M",FC_DATA!$R$1:$AD$1,0),FALSE)))*AH644))</f>
        <v>#N/A</v>
      </c>
      <c r="AJ644" s="412" t="str">
        <f t="shared" ca="1" si="264"/>
        <v/>
      </c>
      <c r="AK644" s="413" t="str">
        <f>IFERROR(AE644/(Q_BRAND_FC!$T$24+1),"")</f>
        <v/>
      </c>
      <c r="AL644" s="88" t="str">
        <f t="shared" ca="1" si="265"/>
        <v/>
      </c>
      <c r="AM644" s="414" t="str">
        <f t="shared" ca="1" si="266"/>
        <v/>
      </c>
      <c r="AN644" s="58">
        <f>IFERROR(IF($V644="BRAND.com",HLOOKUP($X644&amp;$Z644,NWC_FC_NOOS!$C$4:$Q$23,MATCH(W644,NWC_FC_NOOS!$B$4:$B$23,0),FALSE),0),0)</f>
        <v>0</v>
      </c>
      <c r="AO644" s="57">
        <f>IFERROR(IF($V644="BRAND.com",HLOOKUP($X644&amp;$Z644,NWC_FC_NOOS!$T$4:$AH$23,MATCH(W644,NWC_FC_NOOS!$S$4:$S$23,0),FALSE),0),0)</f>
        <v>0</v>
      </c>
      <c r="AP644" s="57">
        <f>IFERROR(IF($V644="BRAND.com",HLOOKUP($X644&amp;$Z644,NWC_FC_NOOS!$C$50:$U$69,MATCH(W644,NWC_FC_NOOS!$B$50:$B$69,0),FALSE),0),0)</f>
        <v>0</v>
      </c>
      <c r="AQ644" s="58">
        <f>IFERROR(IF($V644="BRAND.com",HLOOKUP($X644&amp;$Z644,'NWC_FC_NON-NOOS'!$C$4:$Q$23,MATCH(W644,'NWC_FC_NON-NOOS'!$B$4:$B$23,0),FALSE),0),0)</f>
        <v>0</v>
      </c>
      <c r="AR644" s="57">
        <f>IFERROR(IF($V644="BRAND.com",HLOOKUP($X644&amp;$Z644,'NWC_FC_NON-NOOS'!$T$4:$AH$23,MATCH(W644,'NWC_FC_NON-NOOS'!$S$4:$S$23,0),FALSE),0),0)</f>
        <v>0</v>
      </c>
      <c r="AS644" s="57">
        <f>IFERROR(IF($V644="BRAND.com",HLOOKUP($X644&amp;$Z644,'NWC_FC_NON-NOOS'!$C$50:$U$69,MATCH(W644,'NWC_FC_NON-NOOS'!$B$50:$B$69,0),FALSE),0),0)</f>
        <v>0</v>
      </c>
      <c r="AT644" s="57">
        <f t="shared" si="268"/>
        <v>0</v>
      </c>
      <c r="AU644" s="57">
        <f t="shared" si="269"/>
        <v>0</v>
      </c>
      <c r="AV644" s="58">
        <f>IFERROR(IF($V644="BRAND.com",HLOOKUP($X644&amp;$Z644,PLANNING_FC!$BB$27:$BP$46,MATCH($W644,PLANNING_FC!$BA$27:$BA$46,0),FALSE),0),0)</f>
        <v>0</v>
      </c>
      <c r="AW644" s="58">
        <f>IFERROR(IF($V644="BRAND.com",HLOOKUP($X644&amp;$Z644,PLANNING_FC!$BB$4:$BP$23,MATCH($W644,PLANNING_FC!$BA$4:$BA$23,0),FALSE),0),0)</f>
        <v>0</v>
      </c>
      <c r="AX644" s="58">
        <f>IFERROR(IF($V644="BRAND.com",HLOOKUP($X644&amp;$Z644,PLANNING_FC!$T$27:$AH$46,MATCH($W644,PLANNING_FC!$B$27:$B$46,0),FALSE),0),0)</f>
        <v>0</v>
      </c>
      <c r="AY644" s="58">
        <f>IFERROR(IF($V644="BRAND.com",HLOOKUP($X644&amp;$Z644,PLANNING_FC!$T$4:$AH$23,MATCH($W644,PLANNING_FC!$B$4:$B$23,0),FALSE),0),0)</f>
        <v>0</v>
      </c>
      <c r="AZ644" s="58">
        <f>IFERROR(IF($V644="BRAND.com",HLOOKUP($X644&amp;$Z644,PLANNING_FC!$DA$27:$DO$46,MATCH($W644,PLANNING_FC!$CZ$27:$CZ$46,0),FALSE),0),0)</f>
        <v>0</v>
      </c>
      <c r="BA644" s="58">
        <f>IFERROR(IF($V644="BRAND.com",HLOOKUP($X644&amp;$Z644,PLANNING_FC!$DA$4:$DO$23,MATCH($W644,PLANNING_FC!$CZ$4:$CZ$23,0),FALSE),0),0)</f>
        <v>0</v>
      </c>
      <c r="BB644" s="883" t="str">
        <f>IF(V644="BRAND.com",IFERROR(HLOOKUP(X644&amp;Z644,PLANNING_FC!$AK$4:$AY$23,MATCH(W644,PLANNING_FC!$AJ$4:$AJ$23,0),FALSE)*1000,""),"")</f>
        <v/>
      </c>
      <c r="BC644" s="883" t="str">
        <f>IF(V644="BRAND.com",IFERROR(HLOOKUP(X644&amp;Z644,PLANNING_FC!$AK$27:$AY$46,MATCH(W644,PLANNING_FC!$AJ$27:$AJ$46,0),FALSE)*1000,""),"")</f>
        <v/>
      </c>
    </row>
    <row r="645" spans="14:55" x14ac:dyDescent="0.25">
      <c r="N645" s="56">
        <f t="shared" si="250"/>
        <v>0</v>
      </c>
      <c r="O645" s="57">
        <f t="shared" si="251"/>
        <v>0</v>
      </c>
      <c r="P645" s="57">
        <f ca="1">IFERROR(IF(ISBLANK(H645),SUMIFS($AC:$AC,$V:$V,V645,$W:$W,W645,$X:$X,X645,$Y:$Y,Y645)*J645/(1-J645)*VLOOKUP(_xlfn.CONCAT(C645,D645,E645,TIME!$M$12,Z645),HIS_SALES!$B$2:$W$4859,20,FALSE),AC645*J645/(1-J645)),0)</f>
        <v>0</v>
      </c>
      <c r="Q645" s="541" t="str">
        <f t="shared" si="252"/>
        <v/>
      </c>
      <c r="R645" s="346" t="str">
        <f t="shared" si="262"/>
        <v>00000</v>
      </c>
      <c r="S645" s="344">
        <f t="shared" si="253"/>
        <v>0</v>
      </c>
      <c r="T645" s="345" t="str">
        <f t="shared" si="267"/>
        <v>000</v>
      </c>
      <c r="U645" s="345">
        <f t="shared" si="254"/>
        <v>0</v>
      </c>
      <c r="V645" s="345">
        <f t="shared" si="255"/>
        <v>0</v>
      </c>
      <c r="W645" s="345">
        <f t="shared" si="256"/>
        <v>0</v>
      </c>
      <c r="X645" s="345">
        <f t="shared" si="257"/>
        <v>0</v>
      </c>
      <c r="Y645" s="345">
        <f t="shared" si="258"/>
        <v>0</v>
      </c>
      <c r="Z645" s="345">
        <f>IF(Q645&lt;&gt;"",VLOOKUP(Y645,TIME!$R$21:$V$24,MATCH(FC_DATA!Q645,TIME!$R$20:$V$20,0),FALSE),H645)</f>
        <v>0</v>
      </c>
      <c r="AA645" s="345" t="str">
        <f>IFERROR(VLOOKUP(X645&amp;Z645,TIME!$A$12:$D$71,4,FALSE),"")</f>
        <v/>
      </c>
      <c r="AB645" s="592">
        <f t="shared" ca="1" si="263"/>
        <v>0</v>
      </c>
      <c r="AC645" s="593" t="e">
        <f ca="1">IF(ISBLANK(H645)=FALSE,IF(D645="BRAND.com",I645,IF(ISNA(VLOOKUP(_xlfn.CONCAT(X645,Z645),TIME!$M$40:$M$42,1,FALSE)),I645,VLOOKUP(_xlfn.CONCAT(D645,G645,H645),M_BUSAREA_FC!$AF$5:$AJ$10,5,FALSE)*HLOOKUP(_xlfn.CONCAT(F645,H645),ST_OVERVIEW!$G$99:$I$130,MATCH(_xlfn.CONCAT(D645,E645),ST_OVERVIEW!$F$99:$F$130,0),FALSE))),IF(D645="BRAND.com",VLOOKUP(_xlfn.CONCAT(C645,D645,E645,TIME!$F$1,Z645),HIS_SALES!$B$2:$V$4859,19,FALSE)*I645,VLOOKUP(_xlfn.CONCAT(D645,F645,G645),Q_BUSAREA_FC!$AE$5:$AI$12,5,FALSE)*HLOOKUP(_xlfn.CONCAT(FC_DATA!F645,FC_DATA!G645),LT_OVERVIEW!$I$99:$M$130,MATCH(_xlfn.CONCAT(D645,FC_DATA!E645),LT_OVERVIEW!$H$99:$H$130,0),FALSE)*IFERROR(VLOOKUP(_xlfn.CONCAT(C645,D645,E645,TIME!$F$1,Z645),HIS_SALES!$B$2:$V$4859,19,FALSE),0)))</f>
        <v>#N/A</v>
      </c>
      <c r="AD645" s="341">
        <f t="shared" ca="1" si="259"/>
        <v>0</v>
      </c>
      <c r="AE645" s="363" t="str">
        <f t="shared" si="260"/>
        <v/>
      </c>
      <c r="AF645" s="342" t="str">
        <f t="shared" si="261"/>
        <v/>
      </c>
      <c r="AG645" s="411" t="e">
        <f ca="1">VLOOKUP(_xlfn.CONCAT(U645,V645,W645,VLOOKUP(X645&amp;Y645,TIME!$L$27:$O$34,4,FALSE),Y645),HIS_SALES!$A$2:$R$5093,18,FALSE)</f>
        <v>#N/A</v>
      </c>
      <c r="AH645" s="412" t="e">
        <f ca="1">IFERROR(IF(AND(V645=V644,W645=W644),0.5*(AB645+AB644)*AG645,(VLOOKUP(_xlfn.CONCAT(U645,V645,W645,X645,VLOOKUP(Z645,TIME!$S$28:$T$39,2,FALSE)),FC_DATA!$R$2:$AB$5000,MATCH("GS_I_M",FC_DATA!$R$1:$AB$1,0),FALSE)+FC_DATA!AB645)*0.5*FC_DATA!AG645),NA())</f>
        <v>#N/A</v>
      </c>
      <c r="AI645" s="491" t="e">
        <f ca="1">IF(V645="PARTNER.com",AH645,IF(AND(V645=V644,W645=W644),(1-AVERAGE(AD644,AD645))*AH645,(1-AVERAGE(AD645,VLOOKUP(_xlfn.CONCAT(U645,V645,W645,X645,M_BRAND_FC!$F$6),FC_DATA!$R$2:$AD$5000,MATCH("DISCOUNT_%_M",FC_DATA!$R$1:$AD$1,0),FALSE)))*AH645))</f>
        <v>#N/A</v>
      </c>
      <c r="AJ645" s="412" t="str">
        <f t="shared" ca="1" si="264"/>
        <v/>
      </c>
      <c r="AK645" s="413" t="str">
        <f>IFERROR(AE645/(Q_BRAND_FC!$T$24+1),"")</f>
        <v/>
      </c>
      <c r="AL645" s="88" t="str">
        <f t="shared" ca="1" si="265"/>
        <v/>
      </c>
      <c r="AM645" s="414" t="str">
        <f t="shared" ca="1" si="266"/>
        <v/>
      </c>
      <c r="AN645" s="58">
        <f>IFERROR(IF($V645="BRAND.com",HLOOKUP($X645&amp;$Z645,NWC_FC_NOOS!$C$4:$Q$23,MATCH(W645,NWC_FC_NOOS!$B$4:$B$23,0),FALSE),0),0)</f>
        <v>0</v>
      </c>
      <c r="AO645" s="57">
        <f>IFERROR(IF($V645="BRAND.com",HLOOKUP($X645&amp;$Z645,NWC_FC_NOOS!$T$4:$AH$23,MATCH(W645,NWC_FC_NOOS!$S$4:$S$23,0),FALSE),0),0)</f>
        <v>0</v>
      </c>
      <c r="AP645" s="57">
        <f>IFERROR(IF($V645="BRAND.com",HLOOKUP($X645&amp;$Z645,NWC_FC_NOOS!$C$50:$U$69,MATCH(W645,NWC_FC_NOOS!$B$50:$B$69,0),FALSE),0),0)</f>
        <v>0</v>
      </c>
      <c r="AQ645" s="58">
        <f>IFERROR(IF($V645="BRAND.com",HLOOKUP($X645&amp;$Z645,'NWC_FC_NON-NOOS'!$C$4:$Q$23,MATCH(W645,'NWC_FC_NON-NOOS'!$B$4:$B$23,0),FALSE),0),0)</f>
        <v>0</v>
      </c>
      <c r="AR645" s="57">
        <f>IFERROR(IF($V645="BRAND.com",HLOOKUP($X645&amp;$Z645,'NWC_FC_NON-NOOS'!$T$4:$AH$23,MATCH(W645,'NWC_FC_NON-NOOS'!$S$4:$S$23,0),FALSE),0),0)</f>
        <v>0</v>
      </c>
      <c r="AS645" s="57">
        <f>IFERROR(IF($V645="BRAND.com",HLOOKUP($X645&amp;$Z645,'NWC_FC_NON-NOOS'!$C$50:$U$69,MATCH(W645,'NWC_FC_NON-NOOS'!$B$50:$B$69,0),FALSE),0),0)</f>
        <v>0</v>
      </c>
      <c r="AT645" s="57">
        <f t="shared" si="268"/>
        <v>0</v>
      </c>
      <c r="AU645" s="57">
        <f t="shared" si="269"/>
        <v>0</v>
      </c>
      <c r="AV645" s="58">
        <f>IFERROR(IF($V645="BRAND.com",HLOOKUP($X645&amp;$Z645,PLANNING_FC!$BB$27:$BP$46,MATCH($W645,PLANNING_FC!$BA$27:$BA$46,0),FALSE),0),0)</f>
        <v>0</v>
      </c>
      <c r="AW645" s="58">
        <f>IFERROR(IF($V645="BRAND.com",HLOOKUP($X645&amp;$Z645,PLANNING_FC!$BB$4:$BP$23,MATCH($W645,PLANNING_FC!$BA$4:$BA$23,0),FALSE),0),0)</f>
        <v>0</v>
      </c>
      <c r="AX645" s="58">
        <f>IFERROR(IF($V645="BRAND.com",HLOOKUP($X645&amp;$Z645,PLANNING_FC!$T$27:$AH$46,MATCH($W645,PLANNING_FC!$B$27:$B$46,0),FALSE),0),0)</f>
        <v>0</v>
      </c>
      <c r="AY645" s="58">
        <f>IFERROR(IF($V645="BRAND.com",HLOOKUP($X645&amp;$Z645,PLANNING_FC!$T$4:$AH$23,MATCH($W645,PLANNING_FC!$B$4:$B$23,0),FALSE),0),0)</f>
        <v>0</v>
      </c>
      <c r="AZ645" s="58">
        <f>IFERROR(IF($V645="BRAND.com",HLOOKUP($X645&amp;$Z645,PLANNING_FC!$DA$27:$DO$46,MATCH($W645,PLANNING_FC!$CZ$27:$CZ$46,0),FALSE),0),0)</f>
        <v>0</v>
      </c>
      <c r="BA645" s="58">
        <f>IFERROR(IF($V645="BRAND.com",HLOOKUP($X645&amp;$Z645,PLANNING_FC!$DA$4:$DO$23,MATCH($W645,PLANNING_FC!$CZ$4:$CZ$23,0),FALSE),0),0)</f>
        <v>0</v>
      </c>
      <c r="BB645" s="883" t="str">
        <f>IF(V645="BRAND.com",IFERROR(HLOOKUP(X645&amp;Z645,PLANNING_FC!$AK$4:$AY$23,MATCH(W645,PLANNING_FC!$AJ$4:$AJ$23,0),FALSE)*1000,""),"")</f>
        <v/>
      </c>
      <c r="BC645" s="883" t="str">
        <f>IF(V645="BRAND.com",IFERROR(HLOOKUP(X645&amp;Z645,PLANNING_FC!$AK$27:$AY$46,MATCH(W645,PLANNING_FC!$AJ$27:$AJ$46,0),FALSE)*1000,""),"")</f>
        <v/>
      </c>
    </row>
    <row r="646" spans="14:55" x14ac:dyDescent="0.25">
      <c r="N646" s="56">
        <f t="shared" si="250"/>
        <v>0</v>
      </c>
      <c r="O646" s="57">
        <f t="shared" si="251"/>
        <v>0</v>
      </c>
      <c r="P646" s="57">
        <f ca="1">IFERROR(IF(ISBLANK(H646),SUMIFS($AC:$AC,$V:$V,V646,$W:$W,W646,$X:$X,X646,$Y:$Y,Y646)*J646/(1-J646)*VLOOKUP(_xlfn.CONCAT(C646,D646,E646,TIME!$M$12,Z646),HIS_SALES!$B$2:$W$4859,20,FALSE),AC646*J646/(1-J646)),0)</f>
        <v>0</v>
      </c>
      <c r="Q646" s="541" t="str">
        <f t="shared" si="252"/>
        <v/>
      </c>
      <c r="R646" s="346" t="str">
        <f t="shared" si="262"/>
        <v>00000</v>
      </c>
      <c r="S646" s="344">
        <f t="shared" si="253"/>
        <v>0</v>
      </c>
      <c r="T646" s="345" t="str">
        <f t="shared" si="267"/>
        <v>000</v>
      </c>
      <c r="U646" s="345">
        <f t="shared" si="254"/>
        <v>0</v>
      </c>
      <c r="V646" s="345">
        <f t="shared" si="255"/>
        <v>0</v>
      </c>
      <c r="W646" s="345">
        <f t="shared" si="256"/>
        <v>0</v>
      </c>
      <c r="X646" s="345">
        <f t="shared" si="257"/>
        <v>0</v>
      </c>
      <c r="Y646" s="345">
        <f t="shared" si="258"/>
        <v>0</v>
      </c>
      <c r="Z646" s="345">
        <f>IF(Q646&lt;&gt;"",VLOOKUP(Y646,TIME!$R$21:$V$24,MATCH(FC_DATA!Q646,TIME!$R$20:$V$20,0),FALSE),H646)</f>
        <v>0</v>
      </c>
      <c r="AA646" s="345" t="str">
        <f>IFERROR(VLOOKUP(X646&amp;Z646,TIME!$A$12:$D$71,4,FALSE),"")</f>
        <v/>
      </c>
      <c r="AB646" s="592">
        <f t="shared" ca="1" si="263"/>
        <v>0</v>
      </c>
      <c r="AC646" s="593" t="e">
        <f ca="1">IF(ISBLANK(H646)=FALSE,IF(D646="BRAND.com",I646,IF(ISNA(VLOOKUP(_xlfn.CONCAT(X646,Z646),TIME!$M$40:$M$42,1,FALSE)),I646,VLOOKUP(_xlfn.CONCAT(D646,G646,H646),M_BUSAREA_FC!$AF$5:$AJ$10,5,FALSE)*HLOOKUP(_xlfn.CONCAT(F646,H646),ST_OVERVIEW!$G$99:$I$130,MATCH(_xlfn.CONCAT(D646,E646),ST_OVERVIEW!$F$99:$F$130,0),FALSE))),IF(D646="BRAND.com",VLOOKUP(_xlfn.CONCAT(C646,D646,E646,TIME!$F$1,Z646),HIS_SALES!$B$2:$V$4859,19,FALSE)*I646,VLOOKUP(_xlfn.CONCAT(D646,F646,G646),Q_BUSAREA_FC!$AE$5:$AI$12,5,FALSE)*HLOOKUP(_xlfn.CONCAT(FC_DATA!F646,FC_DATA!G646),LT_OVERVIEW!$I$99:$M$130,MATCH(_xlfn.CONCAT(D646,FC_DATA!E646),LT_OVERVIEW!$H$99:$H$130,0),FALSE)*IFERROR(VLOOKUP(_xlfn.CONCAT(C646,D646,E646,TIME!$F$1,Z646),HIS_SALES!$B$2:$V$4859,19,FALSE),0)))</f>
        <v>#N/A</v>
      </c>
      <c r="AD646" s="341">
        <f t="shared" ca="1" si="259"/>
        <v>0</v>
      </c>
      <c r="AE646" s="363" t="str">
        <f t="shared" si="260"/>
        <v/>
      </c>
      <c r="AF646" s="342" t="str">
        <f t="shared" si="261"/>
        <v/>
      </c>
      <c r="AG646" s="411" t="e">
        <f ca="1">VLOOKUP(_xlfn.CONCAT(U646,V646,W646,VLOOKUP(X646&amp;Y646,TIME!$L$27:$O$34,4,FALSE),Y646),HIS_SALES!$A$2:$R$5093,18,FALSE)</f>
        <v>#N/A</v>
      </c>
      <c r="AH646" s="412" t="e">
        <f ca="1">IFERROR(IF(AND(V646=V645,W646=W645),0.5*(AB646+AB645)*AG646,(VLOOKUP(_xlfn.CONCAT(U646,V646,W646,X646,VLOOKUP(Z646,TIME!$S$28:$T$39,2,FALSE)),FC_DATA!$R$2:$AB$5000,MATCH("GS_I_M",FC_DATA!$R$1:$AB$1,0),FALSE)+FC_DATA!AB646)*0.5*FC_DATA!AG646),NA())</f>
        <v>#N/A</v>
      </c>
      <c r="AI646" s="491" t="e">
        <f ca="1">IF(V646="PARTNER.com",AH646,IF(AND(V646=V645,W646=W645),(1-AVERAGE(AD645,AD646))*AH646,(1-AVERAGE(AD646,VLOOKUP(_xlfn.CONCAT(U646,V646,W646,X646,M_BRAND_FC!$F$6),FC_DATA!$R$2:$AD$5000,MATCH("DISCOUNT_%_M",FC_DATA!$R$1:$AD$1,0),FALSE)))*AH646))</f>
        <v>#N/A</v>
      </c>
      <c r="AJ646" s="412" t="str">
        <f t="shared" ca="1" si="264"/>
        <v/>
      </c>
      <c r="AK646" s="413" t="str">
        <f>IFERROR(AE646/(Q_BRAND_FC!$T$24+1),"")</f>
        <v/>
      </c>
      <c r="AL646" s="88" t="str">
        <f t="shared" ca="1" si="265"/>
        <v/>
      </c>
      <c r="AM646" s="414" t="str">
        <f t="shared" ca="1" si="266"/>
        <v/>
      </c>
      <c r="AN646" s="58">
        <f>IFERROR(IF($V646="BRAND.com",HLOOKUP($X646&amp;$Z646,NWC_FC_NOOS!$C$4:$Q$23,MATCH(W646,NWC_FC_NOOS!$B$4:$B$23,0),FALSE),0),0)</f>
        <v>0</v>
      </c>
      <c r="AO646" s="57">
        <f>IFERROR(IF($V646="BRAND.com",HLOOKUP($X646&amp;$Z646,NWC_FC_NOOS!$T$4:$AH$23,MATCH(W646,NWC_FC_NOOS!$S$4:$S$23,0),FALSE),0),0)</f>
        <v>0</v>
      </c>
      <c r="AP646" s="57">
        <f>IFERROR(IF($V646="BRAND.com",HLOOKUP($X646&amp;$Z646,NWC_FC_NOOS!$C$50:$U$69,MATCH(W646,NWC_FC_NOOS!$B$50:$B$69,0),FALSE),0),0)</f>
        <v>0</v>
      </c>
      <c r="AQ646" s="58">
        <f>IFERROR(IF($V646="BRAND.com",HLOOKUP($X646&amp;$Z646,'NWC_FC_NON-NOOS'!$C$4:$Q$23,MATCH(W646,'NWC_FC_NON-NOOS'!$B$4:$B$23,0),FALSE),0),0)</f>
        <v>0</v>
      </c>
      <c r="AR646" s="57">
        <f>IFERROR(IF($V646="BRAND.com",HLOOKUP($X646&amp;$Z646,'NWC_FC_NON-NOOS'!$T$4:$AH$23,MATCH(W646,'NWC_FC_NON-NOOS'!$S$4:$S$23,0),FALSE),0),0)</f>
        <v>0</v>
      </c>
      <c r="AS646" s="57">
        <f>IFERROR(IF($V646="BRAND.com",HLOOKUP($X646&amp;$Z646,'NWC_FC_NON-NOOS'!$C$50:$U$69,MATCH(W646,'NWC_FC_NON-NOOS'!$B$50:$B$69,0),FALSE),0),0)</f>
        <v>0</v>
      </c>
      <c r="AT646" s="57">
        <f t="shared" si="268"/>
        <v>0</v>
      </c>
      <c r="AU646" s="57">
        <f t="shared" si="269"/>
        <v>0</v>
      </c>
      <c r="AV646" s="58">
        <f>IFERROR(IF($V646="BRAND.com",HLOOKUP($X646&amp;$Z646,PLANNING_FC!$BB$27:$BP$46,MATCH($W646,PLANNING_FC!$BA$27:$BA$46,0),FALSE),0),0)</f>
        <v>0</v>
      </c>
      <c r="AW646" s="58">
        <f>IFERROR(IF($V646="BRAND.com",HLOOKUP($X646&amp;$Z646,PLANNING_FC!$BB$4:$BP$23,MATCH($W646,PLANNING_FC!$BA$4:$BA$23,0),FALSE),0),0)</f>
        <v>0</v>
      </c>
      <c r="AX646" s="58">
        <f>IFERROR(IF($V646="BRAND.com",HLOOKUP($X646&amp;$Z646,PLANNING_FC!$T$27:$AH$46,MATCH($W646,PLANNING_FC!$B$27:$B$46,0),FALSE),0),0)</f>
        <v>0</v>
      </c>
      <c r="AY646" s="58">
        <f>IFERROR(IF($V646="BRAND.com",HLOOKUP($X646&amp;$Z646,PLANNING_FC!$T$4:$AH$23,MATCH($W646,PLANNING_FC!$B$4:$B$23,0),FALSE),0),0)</f>
        <v>0</v>
      </c>
      <c r="AZ646" s="58">
        <f>IFERROR(IF($V646="BRAND.com",HLOOKUP($X646&amp;$Z646,PLANNING_FC!$DA$27:$DO$46,MATCH($W646,PLANNING_FC!$CZ$27:$CZ$46,0),FALSE),0),0)</f>
        <v>0</v>
      </c>
      <c r="BA646" s="58">
        <f>IFERROR(IF($V646="BRAND.com",HLOOKUP($X646&amp;$Z646,PLANNING_FC!$DA$4:$DO$23,MATCH($W646,PLANNING_FC!$CZ$4:$CZ$23,0),FALSE),0),0)</f>
        <v>0</v>
      </c>
      <c r="BB646" s="883" t="str">
        <f>IF(V646="BRAND.com",IFERROR(HLOOKUP(X646&amp;Z646,PLANNING_FC!$AK$4:$AY$23,MATCH(W646,PLANNING_FC!$AJ$4:$AJ$23,0),FALSE)*1000,""),"")</f>
        <v/>
      </c>
      <c r="BC646" s="883" t="str">
        <f>IF(V646="BRAND.com",IFERROR(HLOOKUP(X646&amp;Z646,PLANNING_FC!$AK$27:$AY$46,MATCH(W646,PLANNING_FC!$AJ$27:$AJ$46,0),FALSE)*1000,""),"")</f>
        <v/>
      </c>
    </row>
    <row r="647" spans="14:55" x14ac:dyDescent="0.25">
      <c r="N647" s="56">
        <f t="shared" si="250"/>
        <v>0</v>
      </c>
      <c r="O647" s="57">
        <f t="shared" si="251"/>
        <v>0</v>
      </c>
      <c r="P647" s="57">
        <f ca="1">IFERROR(IF(ISBLANK(H647),SUMIFS($AC:$AC,$V:$V,V647,$W:$W,W647,$X:$X,X647,$Y:$Y,Y647)*J647/(1-J647)*VLOOKUP(_xlfn.CONCAT(C647,D647,E647,TIME!$M$12,Z647),HIS_SALES!$B$2:$W$4859,20,FALSE),AC647*J647/(1-J647)),0)</f>
        <v>0</v>
      </c>
      <c r="Q647" s="541" t="str">
        <f t="shared" si="252"/>
        <v/>
      </c>
      <c r="R647" s="346" t="str">
        <f t="shared" si="262"/>
        <v>00000</v>
      </c>
      <c r="S647" s="344">
        <f t="shared" si="253"/>
        <v>0</v>
      </c>
      <c r="T647" s="345" t="str">
        <f t="shared" si="267"/>
        <v>000</v>
      </c>
      <c r="U647" s="345">
        <f t="shared" si="254"/>
        <v>0</v>
      </c>
      <c r="V647" s="345">
        <f t="shared" si="255"/>
        <v>0</v>
      </c>
      <c r="W647" s="345">
        <f t="shared" si="256"/>
        <v>0</v>
      </c>
      <c r="X647" s="345">
        <f t="shared" si="257"/>
        <v>0</v>
      </c>
      <c r="Y647" s="345">
        <f t="shared" si="258"/>
        <v>0</v>
      </c>
      <c r="Z647" s="345">
        <f>IF(Q647&lt;&gt;"",VLOOKUP(Y647,TIME!$R$21:$V$24,MATCH(FC_DATA!Q647,TIME!$R$20:$V$20,0),FALSE),H647)</f>
        <v>0</v>
      </c>
      <c r="AA647" s="345" t="str">
        <f>IFERROR(VLOOKUP(X647&amp;Z647,TIME!$A$12:$D$71,4,FALSE),"")</f>
        <v/>
      </c>
      <c r="AB647" s="592">
        <f t="shared" ca="1" si="263"/>
        <v>0</v>
      </c>
      <c r="AC647" s="593" t="e">
        <f ca="1">IF(ISBLANK(H647)=FALSE,IF(D647="BRAND.com",I647,IF(ISNA(VLOOKUP(_xlfn.CONCAT(X647,Z647),TIME!$M$40:$M$42,1,FALSE)),I647,VLOOKUP(_xlfn.CONCAT(D647,G647,H647),M_BUSAREA_FC!$AF$5:$AJ$10,5,FALSE)*HLOOKUP(_xlfn.CONCAT(F647,H647),ST_OVERVIEW!$G$99:$I$130,MATCH(_xlfn.CONCAT(D647,E647),ST_OVERVIEW!$F$99:$F$130,0),FALSE))),IF(D647="BRAND.com",VLOOKUP(_xlfn.CONCAT(C647,D647,E647,TIME!$F$1,Z647),HIS_SALES!$B$2:$V$4859,19,FALSE)*I647,VLOOKUP(_xlfn.CONCAT(D647,F647,G647),Q_BUSAREA_FC!$AE$5:$AI$12,5,FALSE)*HLOOKUP(_xlfn.CONCAT(FC_DATA!F647,FC_DATA!G647),LT_OVERVIEW!$I$99:$M$130,MATCH(_xlfn.CONCAT(D647,FC_DATA!E647),LT_OVERVIEW!$H$99:$H$130,0),FALSE)*IFERROR(VLOOKUP(_xlfn.CONCAT(C647,D647,E647,TIME!$F$1,Z647),HIS_SALES!$B$2:$V$4859,19,FALSE),0)))</f>
        <v>#N/A</v>
      </c>
      <c r="AD647" s="341">
        <f t="shared" ca="1" si="259"/>
        <v>0</v>
      </c>
      <c r="AE647" s="363" t="str">
        <f t="shared" si="260"/>
        <v/>
      </c>
      <c r="AF647" s="342" t="str">
        <f t="shared" si="261"/>
        <v/>
      </c>
      <c r="AG647" s="411" t="e">
        <f ca="1">VLOOKUP(_xlfn.CONCAT(U647,V647,W647,VLOOKUP(X647&amp;Y647,TIME!$L$27:$O$34,4,FALSE),Y647),HIS_SALES!$A$2:$R$5093,18,FALSE)</f>
        <v>#N/A</v>
      </c>
      <c r="AH647" s="412" t="e">
        <f ca="1">IFERROR(IF(AND(V647=V646,W647=W646),0.5*(AB647+AB646)*AG647,(VLOOKUP(_xlfn.CONCAT(U647,V647,W647,X647,VLOOKUP(Z647,TIME!$S$28:$T$39,2,FALSE)),FC_DATA!$R$2:$AB$5000,MATCH("GS_I_M",FC_DATA!$R$1:$AB$1,0),FALSE)+FC_DATA!AB647)*0.5*FC_DATA!AG647),NA())</f>
        <v>#N/A</v>
      </c>
      <c r="AI647" s="491" t="e">
        <f ca="1">IF(V647="PARTNER.com",AH647,IF(AND(V647=V646,W647=W646),(1-AVERAGE(AD646,AD647))*AH647,(1-AVERAGE(AD647,VLOOKUP(_xlfn.CONCAT(U647,V647,W647,X647,M_BRAND_FC!$F$6),FC_DATA!$R$2:$AD$5000,MATCH("DISCOUNT_%_M",FC_DATA!$R$1:$AD$1,0),FALSE)))*AH647))</f>
        <v>#N/A</v>
      </c>
      <c r="AJ647" s="412" t="str">
        <f t="shared" ca="1" si="264"/>
        <v/>
      </c>
      <c r="AK647" s="413" t="str">
        <f>IFERROR(AE647/(Q_BRAND_FC!$T$24+1),"")</f>
        <v/>
      </c>
      <c r="AL647" s="88" t="str">
        <f t="shared" ca="1" si="265"/>
        <v/>
      </c>
      <c r="AM647" s="414" t="str">
        <f t="shared" ca="1" si="266"/>
        <v/>
      </c>
      <c r="AN647" s="58">
        <f>IFERROR(IF($V647="BRAND.com",HLOOKUP($X647&amp;$Z647,NWC_FC_NOOS!$C$4:$Q$23,MATCH(W647,NWC_FC_NOOS!$B$4:$B$23,0),FALSE),0),0)</f>
        <v>0</v>
      </c>
      <c r="AO647" s="57">
        <f>IFERROR(IF($V647="BRAND.com",HLOOKUP($X647&amp;$Z647,NWC_FC_NOOS!$T$4:$AH$23,MATCH(W647,NWC_FC_NOOS!$S$4:$S$23,0),FALSE),0),0)</f>
        <v>0</v>
      </c>
      <c r="AP647" s="57">
        <f>IFERROR(IF($V647="BRAND.com",HLOOKUP($X647&amp;$Z647,NWC_FC_NOOS!$C$50:$U$69,MATCH(W647,NWC_FC_NOOS!$B$50:$B$69,0),FALSE),0),0)</f>
        <v>0</v>
      </c>
      <c r="AQ647" s="58">
        <f>IFERROR(IF($V647="BRAND.com",HLOOKUP($X647&amp;$Z647,'NWC_FC_NON-NOOS'!$C$4:$Q$23,MATCH(W647,'NWC_FC_NON-NOOS'!$B$4:$B$23,0),FALSE),0),0)</f>
        <v>0</v>
      </c>
      <c r="AR647" s="57">
        <f>IFERROR(IF($V647="BRAND.com",HLOOKUP($X647&amp;$Z647,'NWC_FC_NON-NOOS'!$T$4:$AH$23,MATCH(W647,'NWC_FC_NON-NOOS'!$S$4:$S$23,0),FALSE),0),0)</f>
        <v>0</v>
      </c>
      <c r="AS647" s="57">
        <f>IFERROR(IF($V647="BRAND.com",HLOOKUP($X647&amp;$Z647,'NWC_FC_NON-NOOS'!$C$50:$U$69,MATCH(W647,'NWC_FC_NON-NOOS'!$B$50:$B$69,0),FALSE),0),0)</f>
        <v>0</v>
      </c>
      <c r="AT647" s="57">
        <f t="shared" si="268"/>
        <v>0</v>
      </c>
      <c r="AU647" s="57">
        <f t="shared" si="269"/>
        <v>0</v>
      </c>
      <c r="AV647" s="58">
        <f>IFERROR(IF($V647="BRAND.com",HLOOKUP($X647&amp;$Z647,PLANNING_FC!$BB$27:$BP$46,MATCH($W647,PLANNING_FC!$BA$27:$BA$46,0),FALSE),0),0)</f>
        <v>0</v>
      </c>
      <c r="AW647" s="58">
        <f>IFERROR(IF($V647="BRAND.com",HLOOKUP($X647&amp;$Z647,PLANNING_FC!$BB$4:$BP$23,MATCH($W647,PLANNING_FC!$BA$4:$BA$23,0),FALSE),0),0)</f>
        <v>0</v>
      </c>
      <c r="AX647" s="58">
        <f>IFERROR(IF($V647="BRAND.com",HLOOKUP($X647&amp;$Z647,PLANNING_FC!$T$27:$AH$46,MATCH($W647,PLANNING_FC!$B$27:$B$46,0),FALSE),0),0)</f>
        <v>0</v>
      </c>
      <c r="AY647" s="58">
        <f>IFERROR(IF($V647="BRAND.com",HLOOKUP($X647&amp;$Z647,PLANNING_FC!$T$4:$AH$23,MATCH($W647,PLANNING_FC!$B$4:$B$23,0),FALSE),0),0)</f>
        <v>0</v>
      </c>
      <c r="AZ647" s="58">
        <f>IFERROR(IF($V647="BRAND.com",HLOOKUP($X647&amp;$Z647,PLANNING_FC!$DA$27:$DO$46,MATCH($W647,PLANNING_FC!$CZ$27:$CZ$46,0),FALSE),0),0)</f>
        <v>0</v>
      </c>
      <c r="BA647" s="58">
        <f>IFERROR(IF($V647="BRAND.com",HLOOKUP($X647&amp;$Z647,PLANNING_FC!$DA$4:$DO$23,MATCH($W647,PLANNING_FC!$CZ$4:$CZ$23,0),FALSE),0),0)</f>
        <v>0</v>
      </c>
      <c r="BB647" s="883" t="str">
        <f>IF(V647="BRAND.com",IFERROR(HLOOKUP(X647&amp;Z647,PLANNING_FC!$AK$4:$AY$23,MATCH(W647,PLANNING_FC!$AJ$4:$AJ$23,0),FALSE)*1000,""),"")</f>
        <v/>
      </c>
      <c r="BC647" s="883" t="str">
        <f>IF(V647="BRAND.com",IFERROR(HLOOKUP(X647&amp;Z647,PLANNING_FC!$AK$27:$AY$46,MATCH(W647,PLANNING_FC!$AJ$27:$AJ$46,0),FALSE)*1000,""),"")</f>
        <v/>
      </c>
    </row>
    <row r="648" spans="14:55" x14ac:dyDescent="0.25">
      <c r="N648" s="56">
        <f t="shared" si="250"/>
        <v>0</v>
      </c>
      <c r="O648" s="57">
        <f t="shared" si="251"/>
        <v>0</v>
      </c>
      <c r="P648" s="57">
        <f ca="1">IFERROR(IF(ISBLANK(H648),SUMIFS($AC:$AC,$V:$V,V648,$W:$W,W648,$X:$X,X648,$Y:$Y,Y648)*J648/(1-J648)*VLOOKUP(_xlfn.CONCAT(C648,D648,E648,TIME!$M$12,Z648),HIS_SALES!$B$2:$W$4859,20,FALSE),AC648*J648/(1-J648)),0)</f>
        <v>0</v>
      </c>
      <c r="Q648" s="541" t="str">
        <f t="shared" si="252"/>
        <v/>
      </c>
      <c r="R648" s="346" t="str">
        <f t="shared" si="262"/>
        <v>00000</v>
      </c>
      <c r="S648" s="344">
        <f t="shared" si="253"/>
        <v>0</v>
      </c>
      <c r="T648" s="345" t="str">
        <f t="shared" si="267"/>
        <v>000</v>
      </c>
      <c r="U648" s="345">
        <f t="shared" si="254"/>
        <v>0</v>
      </c>
      <c r="V648" s="345">
        <f t="shared" si="255"/>
        <v>0</v>
      </c>
      <c r="W648" s="345">
        <f t="shared" si="256"/>
        <v>0</v>
      </c>
      <c r="X648" s="345">
        <f t="shared" si="257"/>
        <v>0</v>
      </c>
      <c r="Y648" s="345">
        <f t="shared" si="258"/>
        <v>0</v>
      </c>
      <c r="Z648" s="345">
        <f>IF(Q648&lt;&gt;"",VLOOKUP(Y648,TIME!$R$21:$V$24,MATCH(FC_DATA!Q648,TIME!$R$20:$V$20,0),FALSE),H648)</f>
        <v>0</v>
      </c>
      <c r="AA648" s="345" t="str">
        <f>IFERROR(VLOOKUP(X648&amp;Z648,TIME!$A$12:$D$71,4,FALSE),"")</f>
        <v/>
      </c>
      <c r="AB648" s="592">
        <f t="shared" ca="1" si="263"/>
        <v>0</v>
      </c>
      <c r="AC648" s="593" t="e">
        <f ca="1">IF(ISBLANK(H648)=FALSE,IF(D648="BRAND.com",I648,IF(ISNA(VLOOKUP(_xlfn.CONCAT(X648,Z648),TIME!$M$40:$M$42,1,FALSE)),I648,VLOOKUP(_xlfn.CONCAT(D648,G648,H648),M_BUSAREA_FC!$AF$5:$AJ$10,5,FALSE)*HLOOKUP(_xlfn.CONCAT(F648,H648),ST_OVERVIEW!$G$99:$I$130,MATCH(_xlfn.CONCAT(D648,E648),ST_OVERVIEW!$F$99:$F$130,0),FALSE))),IF(D648="BRAND.com",VLOOKUP(_xlfn.CONCAT(C648,D648,E648,TIME!$F$1,Z648),HIS_SALES!$B$2:$V$4859,19,FALSE)*I648,VLOOKUP(_xlfn.CONCAT(D648,F648,G648),Q_BUSAREA_FC!$AE$5:$AI$12,5,FALSE)*HLOOKUP(_xlfn.CONCAT(FC_DATA!F648,FC_DATA!G648),LT_OVERVIEW!$I$99:$M$130,MATCH(_xlfn.CONCAT(D648,FC_DATA!E648),LT_OVERVIEW!$H$99:$H$130,0),FALSE)*IFERROR(VLOOKUP(_xlfn.CONCAT(C648,D648,E648,TIME!$F$1,Z648),HIS_SALES!$B$2:$V$4859,19,FALSE),0)))</f>
        <v>#N/A</v>
      </c>
      <c r="AD648" s="341">
        <f t="shared" ca="1" si="259"/>
        <v>0</v>
      </c>
      <c r="AE648" s="363" t="str">
        <f t="shared" si="260"/>
        <v/>
      </c>
      <c r="AF648" s="342" t="str">
        <f t="shared" si="261"/>
        <v/>
      </c>
      <c r="AG648" s="411" t="e">
        <f ca="1">VLOOKUP(_xlfn.CONCAT(U648,V648,W648,VLOOKUP(X648&amp;Y648,TIME!$L$27:$O$34,4,FALSE),Y648),HIS_SALES!$A$2:$R$5093,18,FALSE)</f>
        <v>#N/A</v>
      </c>
      <c r="AH648" s="412" t="e">
        <f ca="1">IFERROR(IF(AND(V648=V647,W648=W647),0.5*(AB648+AB647)*AG648,(VLOOKUP(_xlfn.CONCAT(U648,V648,W648,X648,VLOOKUP(Z648,TIME!$S$28:$T$39,2,FALSE)),FC_DATA!$R$2:$AB$5000,MATCH("GS_I_M",FC_DATA!$R$1:$AB$1,0),FALSE)+FC_DATA!AB648)*0.5*FC_DATA!AG648),NA())</f>
        <v>#N/A</v>
      </c>
      <c r="AI648" s="491" t="e">
        <f ca="1">IF(V648="PARTNER.com",AH648,IF(AND(V648=V647,W648=W647),(1-AVERAGE(AD647,AD648))*AH648,(1-AVERAGE(AD648,VLOOKUP(_xlfn.CONCAT(U648,V648,W648,X648,M_BRAND_FC!$F$6),FC_DATA!$R$2:$AD$5000,MATCH("DISCOUNT_%_M",FC_DATA!$R$1:$AD$1,0),FALSE)))*AH648))</f>
        <v>#N/A</v>
      </c>
      <c r="AJ648" s="412" t="str">
        <f t="shared" ca="1" si="264"/>
        <v/>
      </c>
      <c r="AK648" s="413" t="str">
        <f>IFERROR(AE648/(Q_BRAND_FC!$T$24+1),"")</f>
        <v/>
      </c>
      <c r="AL648" s="88" t="str">
        <f t="shared" ca="1" si="265"/>
        <v/>
      </c>
      <c r="AM648" s="414" t="str">
        <f t="shared" ca="1" si="266"/>
        <v/>
      </c>
      <c r="AN648" s="58">
        <f>IFERROR(IF($V648="BRAND.com",HLOOKUP($X648&amp;$Z648,NWC_FC_NOOS!$C$4:$Q$23,MATCH(W648,NWC_FC_NOOS!$B$4:$B$23,0),FALSE),0),0)</f>
        <v>0</v>
      </c>
      <c r="AO648" s="57">
        <f>IFERROR(IF($V648="BRAND.com",HLOOKUP($X648&amp;$Z648,NWC_FC_NOOS!$T$4:$AH$23,MATCH(W648,NWC_FC_NOOS!$S$4:$S$23,0),FALSE),0),0)</f>
        <v>0</v>
      </c>
      <c r="AP648" s="57">
        <f>IFERROR(IF($V648="BRAND.com",HLOOKUP($X648&amp;$Z648,NWC_FC_NOOS!$C$50:$U$69,MATCH(W648,NWC_FC_NOOS!$B$50:$B$69,0),FALSE),0),0)</f>
        <v>0</v>
      </c>
      <c r="AQ648" s="58">
        <f>IFERROR(IF($V648="BRAND.com",HLOOKUP($X648&amp;$Z648,'NWC_FC_NON-NOOS'!$C$4:$Q$23,MATCH(W648,'NWC_FC_NON-NOOS'!$B$4:$B$23,0),FALSE),0),0)</f>
        <v>0</v>
      </c>
      <c r="AR648" s="57">
        <f>IFERROR(IF($V648="BRAND.com",HLOOKUP($X648&amp;$Z648,'NWC_FC_NON-NOOS'!$T$4:$AH$23,MATCH(W648,'NWC_FC_NON-NOOS'!$S$4:$S$23,0),FALSE),0),0)</f>
        <v>0</v>
      </c>
      <c r="AS648" s="57">
        <f>IFERROR(IF($V648="BRAND.com",HLOOKUP($X648&amp;$Z648,'NWC_FC_NON-NOOS'!$C$50:$U$69,MATCH(W648,'NWC_FC_NON-NOOS'!$B$50:$B$69,0),FALSE),0),0)</f>
        <v>0</v>
      </c>
      <c r="AT648" s="57">
        <f t="shared" si="268"/>
        <v>0</v>
      </c>
      <c r="AU648" s="57">
        <f t="shared" si="269"/>
        <v>0</v>
      </c>
      <c r="AV648" s="58">
        <f>IFERROR(IF($V648="BRAND.com",HLOOKUP($X648&amp;$Z648,PLANNING_FC!$BB$27:$BP$46,MATCH($W648,PLANNING_FC!$BA$27:$BA$46,0),FALSE),0),0)</f>
        <v>0</v>
      </c>
      <c r="AW648" s="58">
        <f>IFERROR(IF($V648="BRAND.com",HLOOKUP($X648&amp;$Z648,PLANNING_FC!$BB$4:$BP$23,MATCH($W648,PLANNING_FC!$BA$4:$BA$23,0),FALSE),0),0)</f>
        <v>0</v>
      </c>
      <c r="AX648" s="58">
        <f>IFERROR(IF($V648="BRAND.com",HLOOKUP($X648&amp;$Z648,PLANNING_FC!$T$27:$AH$46,MATCH($W648,PLANNING_FC!$B$27:$B$46,0),FALSE),0),0)</f>
        <v>0</v>
      </c>
      <c r="AY648" s="58">
        <f>IFERROR(IF($V648="BRAND.com",HLOOKUP($X648&amp;$Z648,PLANNING_FC!$T$4:$AH$23,MATCH($W648,PLANNING_FC!$B$4:$B$23,0),FALSE),0),0)</f>
        <v>0</v>
      </c>
      <c r="AZ648" s="58">
        <f>IFERROR(IF($V648="BRAND.com",HLOOKUP($X648&amp;$Z648,PLANNING_FC!$DA$27:$DO$46,MATCH($W648,PLANNING_FC!$CZ$27:$CZ$46,0),FALSE),0),0)</f>
        <v>0</v>
      </c>
      <c r="BA648" s="58">
        <f>IFERROR(IF($V648="BRAND.com",HLOOKUP($X648&amp;$Z648,PLANNING_FC!$DA$4:$DO$23,MATCH($W648,PLANNING_FC!$CZ$4:$CZ$23,0),FALSE),0),0)</f>
        <v>0</v>
      </c>
      <c r="BB648" s="883" t="str">
        <f>IF(V648="BRAND.com",IFERROR(HLOOKUP(X648&amp;Z648,PLANNING_FC!$AK$4:$AY$23,MATCH(W648,PLANNING_FC!$AJ$4:$AJ$23,0),FALSE)*1000,""),"")</f>
        <v/>
      </c>
      <c r="BC648" s="883" t="str">
        <f>IF(V648="BRAND.com",IFERROR(HLOOKUP(X648&amp;Z648,PLANNING_FC!$AK$27:$AY$46,MATCH(W648,PLANNING_FC!$AJ$27:$AJ$46,0),FALSE)*1000,""),"")</f>
        <v/>
      </c>
    </row>
    <row r="649" spans="14:55" x14ac:dyDescent="0.25">
      <c r="N649" s="56">
        <f t="shared" si="250"/>
        <v>0</v>
      </c>
      <c r="O649" s="57">
        <f t="shared" si="251"/>
        <v>0</v>
      </c>
      <c r="P649" s="57">
        <f ca="1">IFERROR(IF(ISBLANK(H649),SUMIFS($AC:$AC,$V:$V,V649,$W:$W,W649,$X:$X,X649,$Y:$Y,Y649)*J649/(1-J649)*VLOOKUP(_xlfn.CONCAT(C649,D649,E649,TIME!$M$12,Z649),HIS_SALES!$B$2:$W$4859,20,FALSE),AC649*J649/(1-J649)),0)</f>
        <v>0</v>
      </c>
      <c r="Q649" s="541" t="str">
        <f t="shared" si="252"/>
        <v/>
      </c>
      <c r="R649" s="346" t="str">
        <f t="shared" si="262"/>
        <v>00000</v>
      </c>
      <c r="S649" s="344">
        <f t="shared" si="253"/>
        <v>0</v>
      </c>
      <c r="T649" s="345" t="str">
        <f t="shared" si="267"/>
        <v>000</v>
      </c>
      <c r="U649" s="345">
        <f t="shared" si="254"/>
        <v>0</v>
      </c>
      <c r="V649" s="345">
        <f t="shared" si="255"/>
        <v>0</v>
      </c>
      <c r="W649" s="345">
        <f t="shared" si="256"/>
        <v>0</v>
      </c>
      <c r="X649" s="345">
        <f t="shared" si="257"/>
        <v>0</v>
      </c>
      <c r="Y649" s="345">
        <f t="shared" si="258"/>
        <v>0</v>
      </c>
      <c r="Z649" s="345">
        <f>IF(Q649&lt;&gt;"",VLOOKUP(Y649,TIME!$R$21:$V$24,MATCH(FC_DATA!Q649,TIME!$R$20:$V$20,0),FALSE),H649)</f>
        <v>0</v>
      </c>
      <c r="AA649" s="345" t="str">
        <f>IFERROR(VLOOKUP(X649&amp;Z649,TIME!$A$12:$D$71,4,FALSE),"")</f>
        <v/>
      </c>
      <c r="AB649" s="592">
        <f t="shared" ca="1" si="263"/>
        <v>0</v>
      </c>
      <c r="AC649" s="593" t="e">
        <f ca="1">IF(ISBLANK(H649)=FALSE,IF(D649="BRAND.com",I649,IF(ISNA(VLOOKUP(_xlfn.CONCAT(X649,Z649),TIME!$M$40:$M$42,1,FALSE)),I649,VLOOKUP(_xlfn.CONCAT(D649,G649,H649),M_BUSAREA_FC!$AF$5:$AJ$10,5,FALSE)*HLOOKUP(_xlfn.CONCAT(F649,H649),ST_OVERVIEW!$G$99:$I$130,MATCH(_xlfn.CONCAT(D649,E649),ST_OVERVIEW!$F$99:$F$130,0),FALSE))),IF(D649="BRAND.com",VLOOKUP(_xlfn.CONCAT(C649,D649,E649,TIME!$F$1,Z649),HIS_SALES!$B$2:$V$4859,19,FALSE)*I649,VLOOKUP(_xlfn.CONCAT(D649,F649,G649),Q_BUSAREA_FC!$AE$5:$AI$12,5,FALSE)*HLOOKUP(_xlfn.CONCAT(FC_DATA!F649,FC_DATA!G649),LT_OVERVIEW!$I$99:$M$130,MATCH(_xlfn.CONCAT(D649,FC_DATA!E649),LT_OVERVIEW!$H$99:$H$130,0),FALSE)*IFERROR(VLOOKUP(_xlfn.CONCAT(C649,D649,E649,TIME!$F$1,Z649),HIS_SALES!$B$2:$V$4859,19,FALSE),0)))</f>
        <v>#N/A</v>
      </c>
      <c r="AD649" s="341">
        <f t="shared" ca="1" si="259"/>
        <v>0</v>
      </c>
      <c r="AE649" s="363" t="str">
        <f t="shared" si="260"/>
        <v/>
      </c>
      <c r="AF649" s="342" t="str">
        <f t="shared" si="261"/>
        <v/>
      </c>
      <c r="AG649" s="411" t="e">
        <f ca="1">VLOOKUP(_xlfn.CONCAT(U649,V649,W649,VLOOKUP(X649&amp;Y649,TIME!$L$27:$O$34,4,FALSE),Y649),HIS_SALES!$A$2:$R$5093,18,FALSE)</f>
        <v>#N/A</v>
      </c>
      <c r="AH649" s="412" t="e">
        <f ca="1">IFERROR(IF(AND(V649=V648,W649=W648),0.5*(AB649+AB648)*AG649,(VLOOKUP(_xlfn.CONCAT(U649,V649,W649,X649,VLOOKUP(Z649,TIME!$S$28:$T$39,2,FALSE)),FC_DATA!$R$2:$AB$5000,MATCH("GS_I_M",FC_DATA!$R$1:$AB$1,0),FALSE)+FC_DATA!AB649)*0.5*FC_DATA!AG649),NA())</f>
        <v>#N/A</v>
      </c>
      <c r="AI649" s="491" t="e">
        <f ca="1">IF(V649="PARTNER.com",AH649,IF(AND(V649=V648,W649=W648),(1-AVERAGE(AD648,AD649))*AH649,(1-AVERAGE(AD649,VLOOKUP(_xlfn.CONCAT(U649,V649,W649,X649,M_BRAND_FC!$F$6),FC_DATA!$R$2:$AD$5000,MATCH("DISCOUNT_%_M",FC_DATA!$R$1:$AD$1,0),FALSE)))*AH649))</f>
        <v>#N/A</v>
      </c>
      <c r="AJ649" s="412" t="str">
        <f t="shared" ca="1" si="264"/>
        <v/>
      </c>
      <c r="AK649" s="413" t="str">
        <f>IFERROR(AE649/(Q_BRAND_FC!$T$24+1),"")</f>
        <v/>
      </c>
      <c r="AL649" s="88" t="str">
        <f t="shared" ca="1" si="265"/>
        <v/>
      </c>
      <c r="AM649" s="414" t="str">
        <f t="shared" ca="1" si="266"/>
        <v/>
      </c>
      <c r="AN649" s="58">
        <f>IFERROR(IF($V649="BRAND.com",HLOOKUP($X649&amp;$Z649,NWC_FC_NOOS!$C$4:$Q$23,MATCH(W649,NWC_FC_NOOS!$B$4:$B$23,0),FALSE),0),0)</f>
        <v>0</v>
      </c>
      <c r="AO649" s="57">
        <f>IFERROR(IF($V649="BRAND.com",HLOOKUP($X649&amp;$Z649,NWC_FC_NOOS!$T$4:$AH$23,MATCH(W649,NWC_FC_NOOS!$S$4:$S$23,0),FALSE),0),0)</f>
        <v>0</v>
      </c>
      <c r="AP649" s="57">
        <f>IFERROR(IF($V649="BRAND.com",HLOOKUP($X649&amp;$Z649,NWC_FC_NOOS!$C$50:$U$69,MATCH(W649,NWC_FC_NOOS!$B$50:$B$69,0),FALSE),0),0)</f>
        <v>0</v>
      </c>
      <c r="AQ649" s="58">
        <f>IFERROR(IF($V649="BRAND.com",HLOOKUP($X649&amp;$Z649,'NWC_FC_NON-NOOS'!$C$4:$Q$23,MATCH(W649,'NWC_FC_NON-NOOS'!$B$4:$B$23,0),FALSE),0),0)</f>
        <v>0</v>
      </c>
      <c r="AR649" s="57">
        <f>IFERROR(IF($V649="BRAND.com",HLOOKUP($X649&amp;$Z649,'NWC_FC_NON-NOOS'!$T$4:$AH$23,MATCH(W649,'NWC_FC_NON-NOOS'!$S$4:$S$23,0),FALSE),0),0)</f>
        <v>0</v>
      </c>
      <c r="AS649" s="57">
        <f>IFERROR(IF($V649="BRAND.com",HLOOKUP($X649&amp;$Z649,'NWC_FC_NON-NOOS'!$C$50:$U$69,MATCH(W649,'NWC_FC_NON-NOOS'!$B$50:$B$69,0),FALSE),0),0)</f>
        <v>0</v>
      </c>
      <c r="AT649" s="57">
        <f t="shared" si="268"/>
        <v>0</v>
      </c>
      <c r="AU649" s="57">
        <f t="shared" si="269"/>
        <v>0</v>
      </c>
      <c r="AV649" s="58">
        <f>IFERROR(IF($V649="BRAND.com",HLOOKUP($X649&amp;$Z649,PLANNING_FC!$BB$27:$BP$46,MATCH($W649,PLANNING_FC!$BA$27:$BA$46,0),FALSE),0),0)</f>
        <v>0</v>
      </c>
      <c r="AW649" s="58">
        <f>IFERROR(IF($V649="BRAND.com",HLOOKUP($X649&amp;$Z649,PLANNING_FC!$BB$4:$BP$23,MATCH($W649,PLANNING_FC!$BA$4:$BA$23,0),FALSE),0),0)</f>
        <v>0</v>
      </c>
      <c r="AX649" s="58">
        <f>IFERROR(IF($V649="BRAND.com",HLOOKUP($X649&amp;$Z649,PLANNING_FC!$T$27:$AH$46,MATCH($W649,PLANNING_FC!$B$27:$B$46,0),FALSE),0),0)</f>
        <v>0</v>
      </c>
      <c r="AY649" s="58">
        <f>IFERROR(IF($V649="BRAND.com",HLOOKUP($X649&amp;$Z649,PLANNING_FC!$T$4:$AH$23,MATCH($W649,PLANNING_FC!$B$4:$B$23,0),FALSE),0),0)</f>
        <v>0</v>
      </c>
      <c r="AZ649" s="58">
        <f>IFERROR(IF($V649="BRAND.com",HLOOKUP($X649&amp;$Z649,PLANNING_FC!$DA$27:$DO$46,MATCH($W649,PLANNING_FC!$CZ$27:$CZ$46,0),FALSE),0),0)</f>
        <v>0</v>
      </c>
      <c r="BA649" s="58">
        <f>IFERROR(IF($V649="BRAND.com",HLOOKUP($X649&amp;$Z649,PLANNING_FC!$DA$4:$DO$23,MATCH($W649,PLANNING_FC!$CZ$4:$CZ$23,0),FALSE),0),0)</f>
        <v>0</v>
      </c>
      <c r="BB649" s="883" t="str">
        <f>IF(V649="BRAND.com",IFERROR(HLOOKUP(X649&amp;Z649,PLANNING_FC!$AK$4:$AY$23,MATCH(W649,PLANNING_FC!$AJ$4:$AJ$23,0),FALSE)*1000,""),"")</f>
        <v/>
      </c>
      <c r="BC649" s="883" t="str">
        <f>IF(V649="BRAND.com",IFERROR(HLOOKUP(X649&amp;Z649,PLANNING_FC!$AK$27:$AY$46,MATCH(W649,PLANNING_FC!$AJ$27:$AJ$46,0),FALSE)*1000,""),"")</f>
        <v/>
      </c>
    </row>
    <row r="650" spans="14:55" x14ac:dyDescent="0.25">
      <c r="N650" s="56">
        <f t="shared" si="250"/>
        <v>0</v>
      </c>
      <c r="O650" s="57">
        <f t="shared" si="251"/>
        <v>0</v>
      </c>
      <c r="P650" s="57">
        <f ca="1">IFERROR(IF(ISBLANK(H650),SUMIFS($AC:$AC,$V:$V,V650,$W:$W,W650,$X:$X,X650,$Y:$Y,Y650)*J650/(1-J650)*VLOOKUP(_xlfn.CONCAT(C650,D650,E650,TIME!$M$12,Z650),HIS_SALES!$B$2:$W$4859,20,FALSE),AC650*J650/(1-J650)),0)</f>
        <v>0</v>
      </c>
      <c r="Q650" s="541" t="str">
        <f t="shared" si="252"/>
        <v/>
      </c>
      <c r="R650" s="346" t="str">
        <f t="shared" si="262"/>
        <v>00000</v>
      </c>
      <c r="S650" s="344">
        <f t="shared" si="253"/>
        <v>0</v>
      </c>
      <c r="T650" s="345" t="str">
        <f t="shared" si="267"/>
        <v>000</v>
      </c>
      <c r="U650" s="345">
        <f t="shared" si="254"/>
        <v>0</v>
      </c>
      <c r="V650" s="345">
        <f t="shared" si="255"/>
        <v>0</v>
      </c>
      <c r="W650" s="345">
        <f t="shared" si="256"/>
        <v>0</v>
      </c>
      <c r="X650" s="345">
        <f t="shared" si="257"/>
        <v>0</v>
      </c>
      <c r="Y650" s="345">
        <f t="shared" si="258"/>
        <v>0</v>
      </c>
      <c r="Z650" s="345">
        <f>IF(Q650&lt;&gt;"",VLOOKUP(Y650,TIME!$R$21:$V$24,MATCH(FC_DATA!Q650,TIME!$R$20:$V$20,0),FALSE),H650)</f>
        <v>0</v>
      </c>
      <c r="AA650" s="345" t="str">
        <f>IFERROR(VLOOKUP(X650&amp;Z650,TIME!$A$12:$D$71,4,FALSE),"")</f>
        <v/>
      </c>
      <c r="AB650" s="592">
        <f t="shared" ca="1" si="263"/>
        <v>0</v>
      </c>
      <c r="AC650" s="593" t="e">
        <f ca="1">IF(ISBLANK(H650)=FALSE,IF(D650="BRAND.com",I650,IF(ISNA(VLOOKUP(_xlfn.CONCAT(X650,Z650),TIME!$M$40:$M$42,1,FALSE)),I650,VLOOKUP(_xlfn.CONCAT(D650,G650,H650),M_BUSAREA_FC!$AF$5:$AJ$10,5,FALSE)*HLOOKUP(_xlfn.CONCAT(F650,H650),ST_OVERVIEW!$G$99:$I$130,MATCH(_xlfn.CONCAT(D650,E650),ST_OVERVIEW!$F$99:$F$130,0),FALSE))),IF(D650="BRAND.com",VLOOKUP(_xlfn.CONCAT(C650,D650,E650,TIME!$F$1,Z650),HIS_SALES!$B$2:$V$4859,19,FALSE)*I650,VLOOKUP(_xlfn.CONCAT(D650,F650,G650),Q_BUSAREA_FC!$AE$5:$AI$12,5,FALSE)*HLOOKUP(_xlfn.CONCAT(FC_DATA!F650,FC_DATA!G650),LT_OVERVIEW!$I$99:$M$130,MATCH(_xlfn.CONCAT(D650,FC_DATA!E650),LT_OVERVIEW!$H$99:$H$130,0),FALSE)*IFERROR(VLOOKUP(_xlfn.CONCAT(C650,D650,E650,TIME!$F$1,Z650),HIS_SALES!$B$2:$V$4859,19,FALSE),0)))</f>
        <v>#N/A</v>
      </c>
      <c r="AD650" s="341">
        <f t="shared" ca="1" si="259"/>
        <v>0</v>
      </c>
      <c r="AE650" s="363" t="str">
        <f t="shared" si="260"/>
        <v/>
      </c>
      <c r="AF650" s="342" t="str">
        <f t="shared" si="261"/>
        <v/>
      </c>
      <c r="AG650" s="411" t="e">
        <f ca="1">VLOOKUP(_xlfn.CONCAT(U650,V650,W650,VLOOKUP(X650&amp;Y650,TIME!$L$27:$O$34,4,FALSE),Y650),HIS_SALES!$A$2:$R$5093,18,FALSE)</f>
        <v>#N/A</v>
      </c>
      <c r="AH650" s="412" t="e">
        <f ca="1">IFERROR(IF(AND(V650=V649,W650=W649),0.5*(AB650+AB649)*AG650,(VLOOKUP(_xlfn.CONCAT(U650,V650,W650,X650,VLOOKUP(Z650,TIME!$S$28:$T$39,2,FALSE)),FC_DATA!$R$2:$AB$5000,MATCH("GS_I_M",FC_DATA!$R$1:$AB$1,0),FALSE)+FC_DATA!AB650)*0.5*FC_DATA!AG650),NA())</f>
        <v>#N/A</v>
      </c>
      <c r="AI650" s="491" t="e">
        <f ca="1">IF(V650="PARTNER.com",AH650,IF(AND(V650=V649,W650=W649),(1-AVERAGE(AD649,AD650))*AH650,(1-AVERAGE(AD650,VLOOKUP(_xlfn.CONCAT(U650,V650,W650,X650,M_BRAND_FC!$F$6),FC_DATA!$R$2:$AD$5000,MATCH("DISCOUNT_%_M",FC_DATA!$R$1:$AD$1,0),FALSE)))*AH650))</f>
        <v>#N/A</v>
      </c>
      <c r="AJ650" s="412" t="str">
        <f t="shared" ca="1" si="264"/>
        <v/>
      </c>
      <c r="AK650" s="413" t="str">
        <f>IFERROR(AE650/(Q_BRAND_FC!$T$24+1),"")</f>
        <v/>
      </c>
      <c r="AL650" s="88" t="str">
        <f t="shared" ca="1" si="265"/>
        <v/>
      </c>
      <c r="AM650" s="414" t="str">
        <f t="shared" ca="1" si="266"/>
        <v/>
      </c>
      <c r="AN650" s="58">
        <f>IFERROR(IF($V650="BRAND.com",HLOOKUP($X650&amp;$Z650,NWC_FC_NOOS!$C$4:$Q$23,MATCH(W650,NWC_FC_NOOS!$B$4:$B$23,0),FALSE),0),0)</f>
        <v>0</v>
      </c>
      <c r="AO650" s="57">
        <f>IFERROR(IF($V650="BRAND.com",HLOOKUP($X650&amp;$Z650,NWC_FC_NOOS!$T$4:$AH$23,MATCH(W650,NWC_FC_NOOS!$S$4:$S$23,0),FALSE),0),0)</f>
        <v>0</v>
      </c>
      <c r="AP650" s="57">
        <f>IFERROR(IF($V650="BRAND.com",HLOOKUP($X650&amp;$Z650,NWC_FC_NOOS!$C$50:$U$69,MATCH(W650,NWC_FC_NOOS!$B$50:$B$69,0),FALSE),0),0)</f>
        <v>0</v>
      </c>
      <c r="AQ650" s="58">
        <f>IFERROR(IF($V650="BRAND.com",HLOOKUP($X650&amp;$Z650,'NWC_FC_NON-NOOS'!$C$4:$Q$23,MATCH(W650,'NWC_FC_NON-NOOS'!$B$4:$B$23,0),FALSE),0),0)</f>
        <v>0</v>
      </c>
      <c r="AR650" s="57">
        <f>IFERROR(IF($V650="BRAND.com",HLOOKUP($X650&amp;$Z650,'NWC_FC_NON-NOOS'!$T$4:$AH$23,MATCH(W650,'NWC_FC_NON-NOOS'!$S$4:$S$23,0),FALSE),0),0)</f>
        <v>0</v>
      </c>
      <c r="AS650" s="57">
        <f>IFERROR(IF($V650="BRAND.com",HLOOKUP($X650&amp;$Z650,'NWC_FC_NON-NOOS'!$C$50:$U$69,MATCH(W650,'NWC_FC_NON-NOOS'!$B$50:$B$69,0),FALSE),0),0)</f>
        <v>0</v>
      </c>
      <c r="AT650" s="57">
        <f t="shared" si="268"/>
        <v>0</v>
      </c>
      <c r="AU650" s="57">
        <f t="shared" si="269"/>
        <v>0</v>
      </c>
      <c r="AV650" s="58">
        <f>IFERROR(IF($V650="BRAND.com",HLOOKUP($X650&amp;$Z650,PLANNING_FC!$BB$27:$BP$46,MATCH($W650,PLANNING_FC!$BA$27:$BA$46,0),FALSE),0),0)</f>
        <v>0</v>
      </c>
      <c r="AW650" s="58">
        <f>IFERROR(IF($V650="BRAND.com",HLOOKUP($X650&amp;$Z650,PLANNING_FC!$BB$4:$BP$23,MATCH($W650,PLANNING_FC!$BA$4:$BA$23,0),FALSE),0),0)</f>
        <v>0</v>
      </c>
      <c r="AX650" s="58">
        <f>IFERROR(IF($V650="BRAND.com",HLOOKUP($X650&amp;$Z650,PLANNING_FC!$T$27:$AH$46,MATCH($W650,PLANNING_FC!$B$27:$B$46,0),FALSE),0),0)</f>
        <v>0</v>
      </c>
      <c r="AY650" s="58">
        <f>IFERROR(IF($V650="BRAND.com",HLOOKUP($X650&amp;$Z650,PLANNING_FC!$T$4:$AH$23,MATCH($W650,PLANNING_FC!$B$4:$B$23,0),FALSE),0),0)</f>
        <v>0</v>
      </c>
      <c r="AZ650" s="58">
        <f>IFERROR(IF($V650="BRAND.com",HLOOKUP($X650&amp;$Z650,PLANNING_FC!$DA$27:$DO$46,MATCH($W650,PLANNING_FC!$CZ$27:$CZ$46,0),FALSE),0),0)</f>
        <v>0</v>
      </c>
      <c r="BA650" s="58">
        <f>IFERROR(IF($V650="BRAND.com",HLOOKUP($X650&amp;$Z650,PLANNING_FC!$DA$4:$DO$23,MATCH($W650,PLANNING_FC!$CZ$4:$CZ$23,0),FALSE),0),0)</f>
        <v>0</v>
      </c>
      <c r="BB650" s="883" t="str">
        <f>IF(V650="BRAND.com",IFERROR(HLOOKUP(X650&amp;Z650,PLANNING_FC!$AK$4:$AY$23,MATCH(W650,PLANNING_FC!$AJ$4:$AJ$23,0),FALSE)*1000,""),"")</f>
        <v/>
      </c>
      <c r="BC650" s="883" t="str">
        <f>IF(V650="BRAND.com",IFERROR(HLOOKUP(X650&amp;Z650,PLANNING_FC!$AK$27:$AY$46,MATCH(W650,PLANNING_FC!$AJ$27:$AJ$46,0),FALSE)*1000,""),"")</f>
        <v/>
      </c>
    </row>
    <row r="651" spans="14:55" x14ac:dyDescent="0.25">
      <c r="N651" s="56">
        <f t="shared" si="250"/>
        <v>0</v>
      </c>
      <c r="O651" s="57">
        <f t="shared" si="251"/>
        <v>0</v>
      </c>
      <c r="P651" s="57">
        <f ca="1">IFERROR(IF(ISBLANK(H651),SUMIFS($AC:$AC,$V:$V,V651,$W:$W,W651,$X:$X,X651,$Y:$Y,Y651)*J651/(1-J651)*VLOOKUP(_xlfn.CONCAT(C651,D651,E651,TIME!$M$12,Z651),HIS_SALES!$B$2:$W$4859,20,FALSE),AC651*J651/(1-J651)),0)</f>
        <v>0</v>
      </c>
      <c r="Q651" s="541" t="str">
        <f t="shared" si="252"/>
        <v/>
      </c>
      <c r="R651" s="346" t="str">
        <f t="shared" si="262"/>
        <v>00000</v>
      </c>
      <c r="S651" s="344">
        <f t="shared" si="253"/>
        <v>0</v>
      </c>
      <c r="T651" s="345" t="str">
        <f t="shared" si="267"/>
        <v>000</v>
      </c>
      <c r="U651" s="345">
        <f t="shared" si="254"/>
        <v>0</v>
      </c>
      <c r="V651" s="345">
        <f t="shared" si="255"/>
        <v>0</v>
      </c>
      <c r="W651" s="345">
        <f t="shared" si="256"/>
        <v>0</v>
      </c>
      <c r="X651" s="345">
        <f t="shared" si="257"/>
        <v>0</v>
      </c>
      <c r="Y651" s="345">
        <f t="shared" si="258"/>
        <v>0</v>
      </c>
      <c r="Z651" s="345">
        <f>IF(Q651&lt;&gt;"",VLOOKUP(Y651,TIME!$R$21:$V$24,MATCH(FC_DATA!Q651,TIME!$R$20:$V$20,0),FALSE),H651)</f>
        <v>0</v>
      </c>
      <c r="AA651" s="345" t="str">
        <f>IFERROR(VLOOKUP(X651&amp;Z651,TIME!$A$12:$D$71,4,FALSE),"")</f>
        <v/>
      </c>
      <c r="AB651" s="592">
        <f t="shared" ca="1" si="263"/>
        <v>0</v>
      </c>
      <c r="AC651" s="593" t="e">
        <f ca="1">IF(ISBLANK(H651)=FALSE,IF(D651="BRAND.com",I651,IF(ISNA(VLOOKUP(_xlfn.CONCAT(X651,Z651),TIME!$M$40:$M$42,1,FALSE)),I651,VLOOKUP(_xlfn.CONCAT(D651,G651,H651),M_BUSAREA_FC!$AF$5:$AJ$10,5,FALSE)*HLOOKUP(_xlfn.CONCAT(F651,H651),ST_OVERVIEW!$G$99:$I$130,MATCH(_xlfn.CONCAT(D651,E651),ST_OVERVIEW!$F$99:$F$130,0),FALSE))),IF(D651="BRAND.com",VLOOKUP(_xlfn.CONCAT(C651,D651,E651,TIME!$F$1,Z651),HIS_SALES!$B$2:$V$4859,19,FALSE)*I651,VLOOKUP(_xlfn.CONCAT(D651,F651,G651),Q_BUSAREA_FC!$AE$5:$AI$12,5,FALSE)*HLOOKUP(_xlfn.CONCAT(FC_DATA!F651,FC_DATA!G651),LT_OVERVIEW!$I$99:$M$130,MATCH(_xlfn.CONCAT(D651,FC_DATA!E651),LT_OVERVIEW!$H$99:$H$130,0),FALSE)*IFERROR(VLOOKUP(_xlfn.CONCAT(C651,D651,E651,TIME!$F$1,Z651),HIS_SALES!$B$2:$V$4859,19,FALSE),0)))</f>
        <v>#N/A</v>
      </c>
      <c r="AD651" s="341">
        <f t="shared" ca="1" si="259"/>
        <v>0</v>
      </c>
      <c r="AE651" s="363" t="str">
        <f t="shared" si="260"/>
        <v/>
      </c>
      <c r="AF651" s="342" t="str">
        <f t="shared" si="261"/>
        <v/>
      </c>
      <c r="AG651" s="411" t="e">
        <f ca="1">VLOOKUP(_xlfn.CONCAT(U651,V651,W651,VLOOKUP(X651&amp;Y651,TIME!$L$27:$O$34,4,FALSE),Y651),HIS_SALES!$A$2:$R$5093,18,FALSE)</f>
        <v>#N/A</v>
      </c>
      <c r="AH651" s="412" t="e">
        <f ca="1">IFERROR(IF(AND(V651=V650,W651=W650),0.5*(AB651+AB650)*AG651,(VLOOKUP(_xlfn.CONCAT(U651,V651,W651,X651,VLOOKUP(Z651,TIME!$S$28:$T$39,2,FALSE)),FC_DATA!$R$2:$AB$5000,MATCH("GS_I_M",FC_DATA!$R$1:$AB$1,0),FALSE)+FC_DATA!AB651)*0.5*FC_DATA!AG651),NA())</f>
        <v>#N/A</v>
      </c>
      <c r="AI651" s="491" t="e">
        <f ca="1">IF(V651="PARTNER.com",AH651,IF(AND(V651=V650,W651=W650),(1-AVERAGE(AD650,AD651))*AH651,(1-AVERAGE(AD651,VLOOKUP(_xlfn.CONCAT(U651,V651,W651,X651,M_BRAND_FC!$F$6),FC_DATA!$R$2:$AD$5000,MATCH("DISCOUNT_%_M",FC_DATA!$R$1:$AD$1,0),FALSE)))*AH651))</f>
        <v>#N/A</v>
      </c>
      <c r="AJ651" s="412" t="str">
        <f t="shared" ca="1" si="264"/>
        <v/>
      </c>
      <c r="AK651" s="413" t="str">
        <f>IFERROR(AE651/(Q_BRAND_FC!$T$24+1),"")</f>
        <v/>
      </c>
      <c r="AL651" s="88" t="str">
        <f t="shared" ca="1" si="265"/>
        <v/>
      </c>
      <c r="AM651" s="414" t="str">
        <f t="shared" ca="1" si="266"/>
        <v/>
      </c>
      <c r="AN651" s="58">
        <f>IFERROR(IF($V651="BRAND.com",HLOOKUP($X651&amp;$Z651,NWC_FC_NOOS!$C$4:$Q$23,MATCH(W651,NWC_FC_NOOS!$B$4:$B$23,0),FALSE),0),0)</f>
        <v>0</v>
      </c>
      <c r="AO651" s="57">
        <f>IFERROR(IF($V651="BRAND.com",HLOOKUP($X651&amp;$Z651,NWC_FC_NOOS!$T$4:$AH$23,MATCH(W651,NWC_FC_NOOS!$S$4:$S$23,0),FALSE),0),0)</f>
        <v>0</v>
      </c>
      <c r="AP651" s="57">
        <f>IFERROR(IF($V651="BRAND.com",HLOOKUP($X651&amp;$Z651,NWC_FC_NOOS!$C$50:$U$69,MATCH(W651,NWC_FC_NOOS!$B$50:$B$69,0),FALSE),0),0)</f>
        <v>0</v>
      </c>
      <c r="AQ651" s="58">
        <f>IFERROR(IF($V651="BRAND.com",HLOOKUP($X651&amp;$Z651,'NWC_FC_NON-NOOS'!$C$4:$Q$23,MATCH(W651,'NWC_FC_NON-NOOS'!$B$4:$B$23,0),FALSE),0),0)</f>
        <v>0</v>
      </c>
      <c r="AR651" s="57">
        <f>IFERROR(IF($V651="BRAND.com",HLOOKUP($X651&amp;$Z651,'NWC_FC_NON-NOOS'!$T$4:$AH$23,MATCH(W651,'NWC_FC_NON-NOOS'!$S$4:$S$23,0),FALSE),0),0)</f>
        <v>0</v>
      </c>
      <c r="AS651" s="57">
        <f>IFERROR(IF($V651="BRAND.com",HLOOKUP($X651&amp;$Z651,'NWC_FC_NON-NOOS'!$C$50:$U$69,MATCH(W651,'NWC_FC_NON-NOOS'!$B$50:$B$69,0),FALSE),0),0)</f>
        <v>0</v>
      </c>
      <c r="AT651" s="57">
        <f t="shared" si="268"/>
        <v>0</v>
      </c>
      <c r="AU651" s="57">
        <f t="shared" si="269"/>
        <v>0</v>
      </c>
      <c r="AV651" s="58">
        <f>IFERROR(IF($V651="BRAND.com",HLOOKUP($X651&amp;$Z651,PLANNING_FC!$BB$27:$BP$46,MATCH($W651,PLANNING_FC!$BA$27:$BA$46,0),FALSE),0),0)</f>
        <v>0</v>
      </c>
      <c r="AW651" s="58">
        <f>IFERROR(IF($V651="BRAND.com",HLOOKUP($X651&amp;$Z651,PLANNING_FC!$BB$4:$BP$23,MATCH($W651,PLANNING_FC!$BA$4:$BA$23,0),FALSE),0),0)</f>
        <v>0</v>
      </c>
      <c r="AX651" s="58">
        <f>IFERROR(IF($V651="BRAND.com",HLOOKUP($X651&amp;$Z651,PLANNING_FC!$T$27:$AH$46,MATCH($W651,PLANNING_FC!$B$27:$B$46,0),FALSE),0),0)</f>
        <v>0</v>
      </c>
      <c r="AY651" s="58">
        <f>IFERROR(IF($V651="BRAND.com",HLOOKUP($X651&amp;$Z651,PLANNING_FC!$T$4:$AH$23,MATCH($W651,PLANNING_FC!$B$4:$B$23,0),FALSE),0),0)</f>
        <v>0</v>
      </c>
      <c r="AZ651" s="58">
        <f>IFERROR(IF($V651="BRAND.com",HLOOKUP($X651&amp;$Z651,PLANNING_FC!$DA$27:$DO$46,MATCH($W651,PLANNING_FC!$CZ$27:$CZ$46,0),FALSE),0),0)</f>
        <v>0</v>
      </c>
      <c r="BA651" s="58">
        <f>IFERROR(IF($V651="BRAND.com",HLOOKUP($X651&amp;$Z651,PLANNING_FC!$DA$4:$DO$23,MATCH($W651,PLANNING_FC!$CZ$4:$CZ$23,0),FALSE),0),0)</f>
        <v>0</v>
      </c>
      <c r="BB651" s="883" t="str">
        <f>IF(V651="BRAND.com",IFERROR(HLOOKUP(X651&amp;Z651,PLANNING_FC!$AK$4:$AY$23,MATCH(W651,PLANNING_FC!$AJ$4:$AJ$23,0),FALSE)*1000,""),"")</f>
        <v/>
      </c>
      <c r="BC651" s="883" t="str">
        <f>IF(V651="BRAND.com",IFERROR(HLOOKUP(X651&amp;Z651,PLANNING_FC!$AK$27:$AY$46,MATCH(W651,PLANNING_FC!$AJ$27:$AJ$46,0),FALSE)*1000,""),"")</f>
        <v/>
      </c>
    </row>
    <row r="652" spans="14:55" x14ac:dyDescent="0.25">
      <c r="N652" s="56">
        <f t="shared" si="250"/>
        <v>0</v>
      </c>
      <c r="O652" s="57">
        <f t="shared" si="251"/>
        <v>0</v>
      </c>
      <c r="P652" s="57">
        <f ca="1">IFERROR(IF(ISBLANK(H652),SUMIFS($AC:$AC,$V:$V,V652,$W:$W,W652,$X:$X,X652,$Y:$Y,Y652)*J652/(1-J652)*VLOOKUP(_xlfn.CONCAT(C652,D652,E652,TIME!$M$12,Z652),HIS_SALES!$B$2:$W$4859,20,FALSE),AC652*J652/(1-J652)),0)</f>
        <v>0</v>
      </c>
      <c r="Q652" s="541" t="str">
        <f t="shared" si="252"/>
        <v/>
      </c>
      <c r="R652" s="346" t="str">
        <f t="shared" si="262"/>
        <v>00000</v>
      </c>
      <c r="S652" s="344">
        <f t="shared" si="253"/>
        <v>0</v>
      </c>
      <c r="T652" s="345" t="str">
        <f t="shared" si="267"/>
        <v>000</v>
      </c>
      <c r="U652" s="345">
        <f t="shared" si="254"/>
        <v>0</v>
      </c>
      <c r="V652" s="345">
        <f t="shared" si="255"/>
        <v>0</v>
      </c>
      <c r="W652" s="345">
        <f t="shared" si="256"/>
        <v>0</v>
      </c>
      <c r="X652" s="345">
        <f t="shared" si="257"/>
        <v>0</v>
      </c>
      <c r="Y652" s="345">
        <f t="shared" si="258"/>
        <v>0</v>
      </c>
      <c r="Z652" s="345">
        <f>IF(Q652&lt;&gt;"",VLOOKUP(Y652,TIME!$R$21:$V$24,MATCH(FC_DATA!Q652,TIME!$R$20:$V$20,0),FALSE),H652)</f>
        <v>0</v>
      </c>
      <c r="AA652" s="345" t="str">
        <f>IFERROR(VLOOKUP(X652&amp;Z652,TIME!$A$12:$D$71,4,FALSE),"")</f>
        <v/>
      </c>
      <c r="AB652" s="592">
        <f t="shared" ca="1" si="263"/>
        <v>0</v>
      </c>
      <c r="AC652" s="593" t="e">
        <f ca="1">IF(ISBLANK(H652)=FALSE,IF(D652="BRAND.com",I652,IF(ISNA(VLOOKUP(_xlfn.CONCAT(X652,Z652),TIME!$M$40:$M$42,1,FALSE)),I652,VLOOKUP(_xlfn.CONCAT(D652,G652,H652),M_BUSAREA_FC!$AF$5:$AJ$10,5,FALSE)*HLOOKUP(_xlfn.CONCAT(F652,H652),ST_OVERVIEW!$G$99:$I$130,MATCH(_xlfn.CONCAT(D652,E652),ST_OVERVIEW!$F$99:$F$130,0),FALSE))),IF(D652="BRAND.com",VLOOKUP(_xlfn.CONCAT(C652,D652,E652,TIME!$F$1,Z652),HIS_SALES!$B$2:$V$4859,19,FALSE)*I652,VLOOKUP(_xlfn.CONCAT(D652,F652,G652),Q_BUSAREA_FC!$AE$5:$AI$12,5,FALSE)*HLOOKUP(_xlfn.CONCAT(FC_DATA!F652,FC_DATA!G652),LT_OVERVIEW!$I$99:$M$130,MATCH(_xlfn.CONCAT(D652,FC_DATA!E652),LT_OVERVIEW!$H$99:$H$130,0),FALSE)*IFERROR(VLOOKUP(_xlfn.CONCAT(C652,D652,E652,TIME!$F$1,Z652),HIS_SALES!$B$2:$V$4859,19,FALSE),0)))</f>
        <v>#N/A</v>
      </c>
      <c r="AD652" s="341">
        <f t="shared" ca="1" si="259"/>
        <v>0</v>
      </c>
      <c r="AE652" s="363" t="str">
        <f t="shared" si="260"/>
        <v/>
      </c>
      <c r="AF652" s="342" t="str">
        <f t="shared" si="261"/>
        <v/>
      </c>
      <c r="AG652" s="411" t="e">
        <f ca="1">VLOOKUP(_xlfn.CONCAT(U652,V652,W652,VLOOKUP(X652&amp;Y652,TIME!$L$27:$O$34,4,FALSE),Y652),HIS_SALES!$A$2:$R$5093,18,FALSE)</f>
        <v>#N/A</v>
      </c>
      <c r="AH652" s="412" t="e">
        <f ca="1">IFERROR(IF(AND(V652=V651,W652=W651),0.5*(AB652+AB651)*AG652,(VLOOKUP(_xlfn.CONCAT(U652,V652,W652,X652,VLOOKUP(Z652,TIME!$S$28:$T$39,2,FALSE)),FC_DATA!$R$2:$AB$5000,MATCH("GS_I_M",FC_DATA!$R$1:$AB$1,0),FALSE)+FC_DATA!AB652)*0.5*FC_DATA!AG652),NA())</f>
        <v>#N/A</v>
      </c>
      <c r="AI652" s="491" t="e">
        <f ca="1">IF(V652="PARTNER.com",AH652,IF(AND(V652=V651,W652=W651),(1-AVERAGE(AD651,AD652))*AH652,(1-AVERAGE(AD652,VLOOKUP(_xlfn.CONCAT(U652,V652,W652,X652,M_BRAND_FC!$F$6),FC_DATA!$R$2:$AD$5000,MATCH("DISCOUNT_%_M",FC_DATA!$R$1:$AD$1,0),FALSE)))*AH652))</f>
        <v>#N/A</v>
      </c>
      <c r="AJ652" s="412" t="str">
        <f t="shared" ca="1" si="264"/>
        <v/>
      </c>
      <c r="AK652" s="413" t="str">
        <f>IFERROR(AE652/(Q_BRAND_FC!$T$24+1),"")</f>
        <v/>
      </c>
      <c r="AL652" s="88" t="str">
        <f t="shared" ca="1" si="265"/>
        <v/>
      </c>
      <c r="AM652" s="414" t="str">
        <f t="shared" ca="1" si="266"/>
        <v/>
      </c>
      <c r="AN652" s="58">
        <f>IFERROR(IF($V652="BRAND.com",HLOOKUP($X652&amp;$Z652,NWC_FC_NOOS!$C$4:$Q$23,MATCH(W652,NWC_FC_NOOS!$B$4:$B$23,0),FALSE),0),0)</f>
        <v>0</v>
      </c>
      <c r="AO652" s="57">
        <f>IFERROR(IF($V652="BRAND.com",HLOOKUP($X652&amp;$Z652,NWC_FC_NOOS!$T$4:$AH$23,MATCH(W652,NWC_FC_NOOS!$S$4:$S$23,0),FALSE),0),0)</f>
        <v>0</v>
      </c>
      <c r="AP652" s="57">
        <f>IFERROR(IF($V652="BRAND.com",HLOOKUP($X652&amp;$Z652,NWC_FC_NOOS!$C$50:$U$69,MATCH(W652,NWC_FC_NOOS!$B$50:$B$69,0),FALSE),0),0)</f>
        <v>0</v>
      </c>
      <c r="AQ652" s="58">
        <f>IFERROR(IF($V652="BRAND.com",HLOOKUP($X652&amp;$Z652,'NWC_FC_NON-NOOS'!$C$4:$Q$23,MATCH(W652,'NWC_FC_NON-NOOS'!$B$4:$B$23,0),FALSE),0),0)</f>
        <v>0</v>
      </c>
      <c r="AR652" s="57">
        <f>IFERROR(IF($V652="BRAND.com",HLOOKUP($X652&amp;$Z652,'NWC_FC_NON-NOOS'!$T$4:$AH$23,MATCH(W652,'NWC_FC_NON-NOOS'!$S$4:$S$23,0),FALSE),0),0)</f>
        <v>0</v>
      </c>
      <c r="AS652" s="57">
        <f>IFERROR(IF($V652="BRAND.com",HLOOKUP($X652&amp;$Z652,'NWC_FC_NON-NOOS'!$C$50:$U$69,MATCH(W652,'NWC_FC_NON-NOOS'!$B$50:$B$69,0),FALSE),0),0)</f>
        <v>0</v>
      </c>
      <c r="AT652" s="57">
        <f t="shared" si="268"/>
        <v>0</v>
      </c>
      <c r="AU652" s="57">
        <f t="shared" si="269"/>
        <v>0</v>
      </c>
      <c r="AV652" s="58">
        <f>IFERROR(IF($V652="BRAND.com",HLOOKUP($X652&amp;$Z652,PLANNING_FC!$BB$27:$BP$46,MATCH($W652,PLANNING_FC!$BA$27:$BA$46,0),FALSE),0),0)</f>
        <v>0</v>
      </c>
      <c r="AW652" s="58">
        <f>IFERROR(IF($V652="BRAND.com",HLOOKUP($X652&amp;$Z652,PLANNING_FC!$BB$4:$BP$23,MATCH($W652,PLANNING_FC!$BA$4:$BA$23,0),FALSE),0),0)</f>
        <v>0</v>
      </c>
      <c r="AX652" s="58">
        <f>IFERROR(IF($V652="BRAND.com",HLOOKUP($X652&amp;$Z652,PLANNING_FC!$T$27:$AH$46,MATCH($W652,PLANNING_FC!$B$27:$B$46,0),FALSE),0),0)</f>
        <v>0</v>
      </c>
      <c r="AY652" s="58">
        <f>IFERROR(IF($V652="BRAND.com",HLOOKUP($X652&amp;$Z652,PLANNING_FC!$T$4:$AH$23,MATCH($W652,PLANNING_FC!$B$4:$B$23,0),FALSE),0),0)</f>
        <v>0</v>
      </c>
      <c r="AZ652" s="58">
        <f>IFERROR(IF($V652="BRAND.com",HLOOKUP($X652&amp;$Z652,PLANNING_FC!$DA$27:$DO$46,MATCH($W652,PLANNING_FC!$CZ$27:$CZ$46,0),FALSE),0),0)</f>
        <v>0</v>
      </c>
      <c r="BA652" s="58">
        <f>IFERROR(IF($V652="BRAND.com",HLOOKUP($X652&amp;$Z652,PLANNING_FC!$DA$4:$DO$23,MATCH($W652,PLANNING_FC!$CZ$4:$CZ$23,0),FALSE),0),0)</f>
        <v>0</v>
      </c>
      <c r="BB652" s="883" t="str">
        <f>IF(V652="BRAND.com",IFERROR(HLOOKUP(X652&amp;Z652,PLANNING_FC!$AK$4:$AY$23,MATCH(W652,PLANNING_FC!$AJ$4:$AJ$23,0),FALSE)*1000,""),"")</f>
        <v/>
      </c>
      <c r="BC652" s="883" t="str">
        <f>IF(V652="BRAND.com",IFERROR(HLOOKUP(X652&amp;Z652,PLANNING_FC!$AK$27:$AY$46,MATCH(W652,PLANNING_FC!$AJ$27:$AJ$46,0),FALSE)*1000,""),"")</f>
        <v/>
      </c>
    </row>
    <row r="653" spans="14:55" x14ac:dyDescent="0.25">
      <c r="N653" s="56">
        <f t="shared" si="250"/>
        <v>0</v>
      </c>
      <c r="O653" s="57">
        <f t="shared" si="251"/>
        <v>0</v>
      </c>
      <c r="P653" s="57">
        <f ca="1">IFERROR(IF(ISBLANK(H653),SUMIFS($AC:$AC,$V:$V,V653,$W:$W,W653,$X:$X,X653,$Y:$Y,Y653)*J653/(1-J653)*VLOOKUP(_xlfn.CONCAT(C653,D653,E653,TIME!$M$12,Z653),HIS_SALES!$B$2:$W$4859,20,FALSE),AC653*J653/(1-J653)),0)</f>
        <v>0</v>
      </c>
      <c r="Q653" s="541" t="str">
        <f t="shared" si="252"/>
        <v/>
      </c>
      <c r="R653" s="346" t="str">
        <f t="shared" si="262"/>
        <v>00000</v>
      </c>
      <c r="S653" s="344">
        <f t="shared" si="253"/>
        <v>0</v>
      </c>
      <c r="T653" s="345" t="str">
        <f t="shared" si="267"/>
        <v>000</v>
      </c>
      <c r="U653" s="345">
        <f t="shared" si="254"/>
        <v>0</v>
      </c>
      <c r="V653" s="345">
        <f t="shared" si="255"/>
        <v>0</v>
      </c>
      <c r="W653" s="345">
        <f t="shared" si="256"/>
        <v>0</v>
      </c>
      <c r="X653" s="345">
        <f t="shared" si="257"/>
        <v>0</v>
      </c>
      <c r="Y653" s="345">
        <f t="shared" si="258"/>
        <v>0</v>
      </c>
      <c r="Z653" s="345">
        <f>IF(Q653&lt;&gt;"",VLOOKUP(Y653,TIME!$R$21:$V$24,MATCH(FC_DATA!Q653,TIME!$R$20:$V$20,0),FALSE),H653)</f>
        <v>0</v>
      </c>
      <c r="AA653" s="345" t="str">
        <f>IFERROR(VLOOKUP(X653&amp;Z653,TIME!$A$12:$D$71,4,FALSE),"")</f>
        <v/>
      </c>
      <c r="AB653" s="592">
        <f t="shared" ca="1" si="263"/>
        <v>0</v>
      </c>
      <c r="AC653" s="593" t="e">
        <f ca="1">IF(ISBLANK(H653)=FALSE,IF(D653="BRAND.com",I653,IF(ISNA(VLOOKUP(_xlfn.CONCAT(X653,Z653),TIME!$M$40:$M$42,1,FALSE)),I653,VLOOKUP(_xlfn.CONCAT(D653,G653,H653),M_BUSAREA_FC!$AF$5:$AJ$10,5,FALSE)*HLOOKUP(_xlfn.CONCAT(F653,H653),ST_OVERVIEW!$G$99:$I$130,MATCH(_xlfn.CONCAT(D653,E653),ST_OVERVIEW!$F$99:$F$130,0),FALSE))),IF(D653="BRAND.com",VLOOKUP(_xlfn.CONCAT(C653,D653,E653,TIME!$F$1,Z653),HIS_SALES!$B$2:$V$4859,19,FALSE)*I653,VLOOKUP(_xlfn.CONCAT(D653,F653,G653),Q_BUSAREA_FC!$AE$5:$AI$12,5,FALSE)*HLOOKUP(_xlfn.CONCAT(FC_DATA!F653,FC_DATA!G653),LT_OVERVIEW!$I$99:$M$130,MATCH(_xlfn.CONCAT(D653,FC_DATA!E653),LT_OVERVIEW!$H$99:$H$130,0),FALSE)*IFERROR(VLOOKUP(_xlfn.CONCAT(C653,D653,E653,TIME!$F$1,Z653),HIS_SALES!$B$2:$V$4859,19,FALSE),0)))</f>
        <v>#N/A</v>
      </c>
      <c r="AD653" s="341">
        <f t="shared" ca="1" si="259"/>
        <v>0</v>
      </c>
      <c r="AE653" s="363" t="str">
        <f t="shared" si="260"/>
        <v/>
      </c>
      <c r="AF653" s="342" t="str">
        <f t="shared" si="261"/>
        <v/>
      </c>
      <c r="AG653" s="411" t="e">
        <f ca="1">VLOOKUP(_xlfn.CONCAT(U653,V653,W653,VLOOKUP(X653&amp;Y653,TIME!$L$27:$O$34,4,FALSE),Y653),HIS_SALES!$A$2:$R$5093,18,FALSE)</f>
        <v>#N/A</v>
      </c>
      <c r="AH653" s="412" t="e">
        <f ca="1">IFERROR(IF(AND(V653=V652,W653=W652),0.5*(AB653+AB652)*AG653,(VLOOKUP(_xlfn.CONCAT(U653,V653,W653,X653,VLOOKUP(Z653,TIME!$S$28:$T$39,2,FALSE)),FC_DATA!$R$2:$AB$5000,MATCH("GS_I_M",FC_DATA!$R$1:$AB$1,0),FALSE)+FC_DATA!AB653)*0.5*FC_DATA!AG653),NA())</f>
        <v>#N/A</v>
      </c>
      <c r="AI653" s="491" t="e">
        <f ca="1">IF(V653="PARTNER.com",AH653,IF(AND(V653=V652,W653=W652),(1-AVERAGE(AD652,AD653))*AH653,(1-AVERAGE(AD653,VLOOKUP(_xlfn.CONCAT(U653,V653,W653,X653,M_BRAND_FC!$F$6),FC_DATA!$R$2:$AD$5000,MATCH("DISCOUNT_%_M",FC_DATA!$R$1:$AD$1,0),FALSE)))*AH653))</f>
        <v>#N/A</v>
      </c>
      <c r="AJ653" s="412" t="str">
        <f t="shared" ca="1" si="264"/>
        <v/>
      </c>
      <c r="AK653" s="413" t="str">
        <f>IFERROR(AE653/(Q_BRAND_FC!$T$24+1),"")</f>
        <v/>
      </c>
      <c r="AL653" s="88" t="str">
        <f t="shared" ca="1" si="265"/>
        <v/>
      </c>
      <c r="AM653" s="414" t="str">
        <f t="shared" ca="1" si="266"/>
        <v/>
      </c>
      <c r="AN653" s="58">
        <f>IFERROR(IF($V653="BRAND.com",HLOOKUP($X653&amp;$Z653,NWC_FC_NOOS!$C$4:$Q$23,MATCH(W653,NWC_FC_NOOS!$B$4:$B$23,0),FALSE),0),0)</f>
        <v>0</v>
      </c>
      <c r="AO653" s="57">
        <f>IFERROR(IF($V653="BRAND.com",HLOOKUP($X653&amp;$Z653,NWC_FC_NOOS!$T$4:$AH$23,MATCH(W653,NWC_FC_NOOS!$S$4:$S$23,0),FALSE),0),0)</f>
        <v>0</v>
      </c>
      <c r="AP653" s="57">
        <f>IFERROR(IF($V653="BRAND.com",HLOOKUP($X653&amp;$Z653,NWC_FC_NOOS!$C$50:$U$69,MATCH(W653,NWC_FC_NOOS!$B$50:$B$69,0),FALSE),0),0)</f>
        <v>0</v>
      </c>
      <c r="AQ653" s="58">
        <f>IFERROR(IF($V653="BRAND.com",HLOOKUP($X653&amp;$Z653,'NWC_FC_NON-NOOS'!$C$4:$Q$23,MATCH(W653,'NWC_FC_NON-NOOS'!$B$4:$B$23,0),FALSE),0),0)</f>
        <v>0</v>
      </c>
      <c r="AR653" s="57">
        <f>IFERROR(IF($V653="BRAND.com",HLOOKUP($X653&amp;$Z653,'NWC_FC_NON-NOOS'!$T$4:$AH$23,MATCH(W653,'NWC_FC_NON-NOOS'!$S$4:$S$23,0),FALSE),0),0)</f>
        <v>0</v>
      </c>
      <c r="AS653" s="57">
        <f>IFERROR(IF($V653="BRAND.com",HLOOKUP($X653&amp;$Z653,'NWC_FC_NON-NOOS'!$C$50:$U$69,MATCH(W653,'NWC_FC_NON-NOOS'!$B$50:$B$69,0),FALSE),0),0)</f>
        <v>0</v>
      </c>
      <c r="AT653" s="57">
        <f t="shared" si="268"/>
        <v>0</v>
      </c>
      <c r="AU653" s="57">
        <f t="shared" si="269"/>
        <v>0</v>
      </c>
      <c r="AV653" s="58">
        <f>IFERROR(IF($V653="BRAND.com",HLOOKUP($X653&amp;$Z653,PLANNING_FC!$BB$27:$BP$46,MATCH($W653,PLANNING_FC!$BA$27:$BA$46,0),FALSE),0),0)</f>
        <v>0</v>
      </c>
      <c r="AW653" s="58">
        <f>IFERROR(IF($V653="BRAND.com",HLOOKUP($X653&amp;$Z653,PLANNING_FC!$BB$4:$BP$23,MATCH($W653,PLANNING_FC!$BA$4:$BA$23,0),FALSE),0),0)</f>
        <v>0</v>
      </c>
      <c r="AX653" s="58">
        <f>IFERROR(IF($V653="BRAND.com",HLOOKUP($X653&amp;$Z653,PLANNING_FC!$T$27:$AH$46,MATCH($W653,PLANNING_FC!$B$27:$B$46,0),FALSE),0),0)</f>
        <v>0</v>
      </c>
      <c r="AY653" s="58">
        <f>IFERROR(IF($V653="BRAND.com",HLOOKUP($X653&amp;$Z653,PLANNING_FC!$T$4:$AH$23,MATCH($W653,PLANNING_FC!$B$4:$B$23,0),FALSE),0),0)</f>
        <v>0</v>
      </c>
      <c r="AZ653" s="58">
        <f>IFERROR(IF($V653="BRAND.com",HLOOKUP($X653&amp;$Z653,PLANNING_FC!$DA$27:$DO$46,MATCH($W653,PLANNING_FC!$CZ$27:$CZ$46,0),FALSE),0),0)</f>
        <v>0</v>
      </c>
      <c r="BA653" s="58">
        <f>IFERROR(IF($V653="BRAND.com",HLOOKUP($X653&amp;$Z653,PLANNING_FC!$DA$4:$DO$23,MATCH($W653,PLANNING_FC!$CZ$4:$CZ$23,0),FALSE),0),0)</f>
        <v>0</v>
      </c>
      <c r="BB653" s="883" t="str">
        <f>IF(V653="BRAND.com",IFERROR(HLOOKUP(X653&amp;Z653,PLANNING_FC!$AK$4:$AY$23,MATCH(W653,PLANNING_FC!$AJ$4:$AJ$23,0),FALSE)*1000,""),"")</f>
        <v/>
      </c>
      <c r="BC653" s="883" t="str">
        <f>IF(V653="BRAND.com",IFERROR(HLOOKUP(X653&amp;Z653,PLANNING_FC!$AK$27:$AY$46,MATCH(W653,PLANNING_FC!$AJ$27:$AJ$46,0),FALSE)*1000,""),"")</f>
        <v/>
      </c>
    </row>
    <row r="654" spans="14:55" x14ac:dyDescent="0.25">
      <c r="N654" s="56">
        <f t="shared" si="250"/>
        <v>0</v>
      </c>
      <c r="O654" s="57">
        <f t="shared" si="251"/>
        <v>0</v>
      </c>
      <c r="P654" s="57">
        <f ca="1">IFERROR(IF(ISBLANK(H654),SUMIFS($AC:$AC,$V:$V,V654,$W:$W,W654,$X:$X,X654,$Y:$Y,Y654)*J654/(1-J654)*VLOOKUP(_xlfn.CONCAT(C654,D654,E654,TIME!$M$12,Z654),HIS_SALES!$B$2:$W$4859,20,FALSE),AC654*J654/(1-J654)),0)</f>
        <v>0</v>
      </c>
      <c r="Q654" s="541" t="str">
        <f t="shared" si="252"/>
        <v/>
      </c>
      <c r="R654" s="346" t="str">
        <f t="shared" si="262"/>
        <v>00000</v>
      </c>
      <c r="S654" s="344">
        <f t="shared" si="253"/>
        <v>0</v>
      </c>
      <c r="T654" s="345" t="str">
        <f t="shared" si="267"/>
        <v>000</v>
      </c>
      <c r="U654" s="345">
        <f t="shared" si="254"/>
        <v>0</v>
      </c>
      <c r="V654" s="345">
        <f t="shared" si="255"/>
        <v>0</v>
      </c>
      <c r="W654" s="345">
        <f t="shared" si="256"/>
        <v>0</v>
      </c>
      <c r="X654" s="345">
        <f t="shared" si="257"/>
        <v>0</v>
      </c>
      <c r="Y654" s="345">
        <f t="shared" si="258"/>
        <v>0</v>
      </c>
      <c r="Z654" s="345">
        <f>IF(Q654&lt;&gt;"",VLOOKUP(Y654,TIME!$R$21:$V$24,MATCH(FC_DATA!Q654,TIME!$R$20:$V$20,0),FALSE),H654)</f>
        <v>0</v>
      </c>
      <c r="AA654" s="345" t="str">
        <f>IFERROR(VLOOKUP(X654&amp;Z654,TIME!$A$12:$D$71,4,FALSE),"")</f>
        <v/>
      </c>
      <c r="AB654" s="592">
        <f t="shared" ca="1" si="263"/>
        <v>0</v>
      </c>
      <c r="AC654" s="593" t="e">
        <f ca="1">IF(ISBLANK(H654)=FALSE,IF(D654="BRAND.com",I654,IF(ISNA(VLOOKUP(_xlfn.CONCAT(X654,Z654),TIME!$M$40:$M$42,1,FALSE)),I654,VLOOKUP(_xlfn.CONCAT(D654,G654,H654),M_BUSAREA_FC!$AF$5:$AJ$10,5,FALSE)*HLOOKUP(_xlfn.CONCAT(F654,H654),ST_OVERVIEW!$G$99:$I$130,MATCH(_xlfn.CONCAT(D654,E654),ST_OVERVIEW!$F$99:$F$130,0),FALSE))),IF(D654="BRAND.com",VLOOKUP(_xlfn.CONCAT(C654,D654,E654,TIME!$F$1,Z654),HIS_SALES!$B$2:$V$4859,19,FALSE)*I654,VLOOKUP(_xlfn.CONCAT(D654,F654,G654),Q_BUSAREA_FC!$AE$5:$AI$12,5,FALSE)*HLOOKUP(_xlfn.CONCAT(FC_DATA!F654,FC_DATA!G654),LT_OVERVIEW!$I$99:$M$130,MATCH(_xlfn.CONCAT(D654,FC_DATA!E654),LT_OVERVIEW!$H$99:$H$130,0),FALSE)*IFERROR(VLOOKUP(_xlfn.CONCAT(C654,D654,E654,TIME!$F$1,Z654),HIS_SALES!$B$2:$V$4859,19,FALSE),0)))</f>
        <v>#N/A</v>
      </c>
      <c r="AD654" s="341">
        <f t="shared" ca="1" si="259"/>
        <v>0</v>
      </c>
      <c r="AE654" s="363" t="str">
        <f t="shared" si="260"/>
        <v/>
      </c>
      <c r="AF654" s="342" t="str">
        <f t="shared" si="261"/>
        <v/>
      </c>
      <c r="AG654" s="411" t="e">
        <f ca="1">VLOOKUP(_xlfn.CONCAT(U654,V654,W654,VLOOKUP(X654&amp;Y654,TIME!$L$27:$O$34,4,FALSE),Y654),HIS_SALES!$A$2:$R$5093,18,FALSE)</f>
        <v>#N/A</v>
      </c>
      <c r="AH654" s="412" t="e">
        <f ca="1">IFERROR(IF(AND(V654=V653,W654=W653),0.5*(AB654+AB653)*AG654,(VLOOKUP(_xlfn.CONCAT(U654,V654,W654,X654,VLOOKUP(Z654,TIME!$S$28:$T$39,2,FALSE)),FC_DATA!$R$2:$AB$5000,MATCH("GS_I_M",FC_DATA!$R$1:$AB$1,0),FALSE)+FC_DATA!AB654)*0.5*FC_DATA!AG654),NA())</f>
        <v>#N/A</v>
      </c>
      <c r="AI654" s="491" t="e">
        <f ca="1">IF(V654="PARTNER.com",AH654,IF(AND(V654=V653,W654=W653),(1-AVERAGE(AD653,AD654))*AH654,(1-AVERAGE(AD654,VLOOKUP(_xlfn.CONCAT(U654,V654,W654,X654,M_BRAND_FC!$F$6),FC_DATA!$R$2:$AD$5000,MATCH("DISCOUNT_%_M",FC_DATA!$R$1:$AD$1,0),FALSE)))*AH654))</f>
        <v>#N/A</v>
      </c>
      <c r="AJ654" s="412" t="str">
        <f t="shared" ca="1" si="264"/>
        <v/>
      </c>
      <c r="AK654" s="413" t="str">
        <f>IFERROR(AE654/(Q_BRAND_FC!$T$24+1),"")</f>
        <v/>
      </c>
      <c r="AL654" s="88" t="str">
        <f t="shared" ca="1" si="265"/>
        <v/>
      </c>
      <c r="AM654" s="414" t="str">
        <f t="shared" ca="1" si="266"/>
        <v/>
      </c>
      <c r="AN654" s="58">
        <f>IFERROR(IF($V654="BRAND.com",HLOOKUP($X654&amp;$Z654,NWC_FC_NOOS!$C$4:$Q$23,MATCH(W654,NWC_FC_NOOS!$B$4:$B$23,0),FALSE),0),0)</f>
        <v>0</v>
      </c>
      <c r="AO654" s="57">
        <f>IFERROR(IF($V654="BRAND.com",HLOOKUP($X654&amp;$Z654,NWC_FC_NOOS!$T$4:$AH$23,MATCH(W654,NWC_FC_NOOS!$S$4:$S$23,0),FALSE),0),0)</f>
        <v>0</v>
      </c>
      <c r="AP654" s="57">
        <f>IFERROR(IF($V654="BRAND.com",HLOOKUP($X654&amp;$Z654,NWC_FC_NOOS!$C$50:$U$69,MATCH(W654,NWC_FC_NOOS!$B$50:$B$69,0),FALSE),0),0)</f>
        <v>0</v>
      </c>
      <c r="AQ654" s="58">
        <f>IFERROR(IF($V654="BRAND.com",HLOOKUP($X654&amp;$Z654,'NWC_FC_NON-NOOS'!$C$4:$Q$23,MATCH(W654,'NWC_FC_NON-NOOS'!$B$4:$B$23,0),FALSE),0),0)</f>
        <v>0</v>
      </c>
      <c r="AR654" s="57">
        <f>IFERROR(IF($V654="BRAND.com",HLOOKUP($X654&amp;$Z654,'NWC_FC_NON-NOOS'!$T$4:$AH$23,MATCH(W654,'NWC_FC_NON-NOOS'!$S$4:$S$23,0),FALSE),0),0)</f>
        <v>0</v>
      </c>
      <c r="AS654" s="57">
        <f>IFERROR(IF($V654="BRAND.com",HLOOKUP($X654&amp;$Z654,'NWC_FC_NON-NOOS'!$C$50:$U$69,MATCH(W654,'NWC_FC_NON-NOOS'!$B$50:$B$69,0),FALSE),0),0)</f>
        <v>0</v>
      </c>
      <c r="AT654" s="57">
        <f t="shared" si="268"/>
        <v>0</v>
      </c>
      <c r="AU654" s="57">
        <f t="shared" si="269"/>
        <v>0</v>
      </c>
      <c r="AV654" s="58">
        <f>IFERROR(IF($V654="BRAND.com",HLOOKUP($X654&amp;$Z654,PLANNING_FC!$BB$27:$BP$46,MATCH($W654,PLANNING_FC!$BA$27:$BA$46,0),FALSE),0),0)</f>
        <v>0</v>
      </c>
      <c r="AW654" s="58">
        <f>IFERROR(IF($V654="BRAND.com",HLOOKUP($X654&amp;$Z654,PLANNING_FC!$BB$4:$BP$23,MATCH($W654,PLANNING_FC!$BA$4:$BA$23,0),FALSE),0),0)</f>
        <v>0</v>
      </c>
      <c r="AX654" s="58">
        <f>IFERROR(IF($V654="BRAND.com",HLOOKUP($X654&amp;$Z654,PLANNING_FC!$T$27:$AH$46,MATCH($W654,PLANNING_FC!$B$27:$B$46,0),FALSE),0),0)</f>
        <v>0</v>
      </c>
      <c r="AY654" s="58">
        <f>IFERROR(IF($V654="BRAND.com",HLOOKUP($X654&amp;$Z654,PLANNING_FC!$T$4:$AH$23,MATCH($W654,PLANNING_FC!$B$4:$B$23,0),FALSE),0),0)</f>
        <v>0</v>
      </c>
      <c r="AZ654" s="58">
        <f>IFERROR(IF($V654="BRAND.com",HLOOKUP($X654&amp;$Z654,PLANNING_FC!$DA$27:$DO$46,MATCH($W654,PLANNING_FC!$CZ$27:$CZ$46,0),FALSE),0),0)</f>
        <v>0</v>
      </c>
      <c r="BA654" s="58">
        <f>IFERROR(IF($V654="BRAND.com",HLOOKUP($X654&amp;$Z654,PLANNING_FC!$DA$4:$DO$23,MATCH($W654,PLANNING_FC!$CZ$4:$CZ$23,0),FALSE),0),0)</f>
        <v>0</v>
      </c>
      <c r="BB654" s="883" t="str">
        <f>IF(V654="BRAND.com",IFERROR(HLOOKUP(X654&amp;Z654,PLANNING_FC!$AK$4:$AY$23,MATCH(W654,PLANNING_FC!$AJ$4:$AJ$23,0),FALSE)*1000,""),"")</f>
        <v/>
      </c>
      <c r="BC654" s="883" t="str">
        <f>IF(V654="BRAND.com",IFERROR(HLOOKUP(X654&amp;Z654,PLANNING_FC!$AK$27:$AY$46,MATCH(W654,PLANNING_FC!$AJ$27:$AJ$46,0),FALSE)*1000,""),"")</f>
        <v/>
      </c>
    </row>
    <row r="655" spans="14:55" x14ac:dyDescent="0.25">
      <c r="N655" s="56">
        <f t="shared" si="250"/>
        <v>0</v>
      </c>
      <c r="O655" s="57">
        <f t="shared" si="251"/>
        <v>0</v>
      </c>
      <c r="P655" s="57">
        <f ca="1">IFERROR(IF(ISBLANK(H655),SUMIFS($AC:$AC,$V:$V,V655,$W:$W,W655,$X:$X,X655,$Y:$Y,Y655)*J655/(1-J655)*VLOOKUP(_xlfn.CONCAT(C655,D655,E655,TIME!$M$12,Z655),HIS_SALES!$B$2:$W$4859,20,FALSE),AC655*J655/(1-J655)),0)</f>
        <v>0</v>
      </c>
      <c r="Q655" s="541" t="str">
        <f t="shared" si="252"/>
        <v/>
      </c>
      <c r="R655" s="346" t="str">
        <f t="shared" si="262"/>
        <v>00000</v>
      </c>
      <c r="S655" s="344">
        <f t="shared" si="253"/>
        <v>0</v>
      </c>
      <c r="T655" s="345" t="str">
        <f t="shared" si="267"/>
        <v>000</v>
      </c>
      <c r="U655" s="345">
        <f t="shared" si="254"/>
        <v>0</v>
      </c>
      <c r="V655" s="345">
        <f t="shared" si="255"/>
        <v>0</v>
      </c>
      <c r="W655" s="345">
        <f t="shared" si="256"/>
        <v>0</v>
      </c>
      <c r="X655" s="345">
        <f t="shared" si="257"/>
        <v>0</v>
      </c>
      <c r="Y655" s="345">
        <f t="shared" si="258"/>
        <v>0</v>
      </c>
      <c r="Z655" s="345">
        <f>IF(Q655&lt;&gt;"",VLOOKUP(Y655,TIME!$R$21:$V$24,MATCH(FC_DATA!Q655,TIME!$R$20:$V$20,0),FALSE),H655)</f>
        <v>0</v>
      </c>
      <c r="AA655" s="345" t="str">
        <f>IFERROR(VLOOKUP(X655&amp;Z655,TIME!$A$12:$D$71,4,FALSE),"")</f>
        <v/>
      </c>
      <c r="AB655" s="592">
        <f t="shared" ca="1" si="263"/>
        <v>0</v>
      </c>
      <c r="AC655" s="593" t="e">
        <f ca="1">IF(ISBLANK(H655)=FALSE,IF(D655="BRAND.com",I655,IF(ISNA(VLOOKUP(_xlfn.CONCAT(X655,Z655),TIME!$M$40:$M$42,1,FALSE)),I655,VLOOKUP(_xlfn.CONCAT(D655,G655,H655),M_BUSAREA_FC!$AF$5:$AJ$10,5,FALSE)*HLOOKUP(_xlfn.CONCAT(F655,H655),ST_OVERVIEW!$G$99:$I$130,MATCH(_xlfn.CONCAT(D655,E655),ST_OVERVIEW!$F$99:$F$130,0),FALSE))),IF(D655="BRAND.com",VLOOKUP(_xlfn.CONCAT(C655,D655,E655,TIME!$F$1,Z655),HIS_SALES!$B$2:$V$4859,19,FALSE)*I655,VLOOKUP(_xlfn.CONCAT(D655,F655,G655),Q_BUSAREA_FC!$AE$5:$AI$12,5,FALSE)*HLOOKUP(_xlfn.CONCAT(FC_DATA!F655,FC_DATA!G655),LT_OVERVIEW!$I$99:$M$130,MATCH(_xlfn.CONCAT(D655,FC_DATA!E655),LT_OVERVIEW!$H$99:$H$130,0),FALSE)*IFERROR(VLOOKUP(_xlfn.CONCAT(C655,D655,E655,TIME!$F$1,Z655),HIS_SALES!$B$2:$V$4859,19,FALSE),0)))</f>
        <v>#N/A</v>
      </c>
      <c r="AD655" s="341">
        <f t="shared" ca="1" si="259"/>
        <v>0</v>
      </c>
      <c r="AE655" s="363" t="str">
        <f t="shared" si="260"/>
        <v/>
      </c>
      <c r="AF655" s="342" t="str">
        <f t="shared" si="261"/>
        <v/>
      </c>
      <c r="AG655" s="411" t="e">
        <f ca="1">VLOOKUP(_xlfn.CONCAT(U655,V655,W655,VLOOKUP(X655&amp;Y655,TIME!$L$27:$O$34,4,FALSE),Y655),HIS_SALES!$A$2:$R$5093,18,FALSE)</f>
        <v>#N/A</v>
      </c>
      <c r="AH655" s="412" t="e">
        <f ca="1">IFERROR(IF(AND(V655=V654,W655=W654),0.5*(AB655+AB654)*AG655,(VLOOKUP(_xlfn.CONCAT(U655,V655,W655,X655,VLOOKUP(Z655,TIME!$S$28:$T$39,2,FALSE)),FC_DATA!$R$2:$AB$5000,MATCH("GS_I_M",FC_DATA!$R$1:$AB$1,0),FALSE)+FC_DATA!AB655)*0.5*FC_DATA!AG655),NA())</f>
        <v>#N/A</v>
      </c>
      <c r="AI655" s="491" t="e">
        <f ca="1">IF(V655="PARTNER.com",AH655,IF(AND(V655=V654,W655=W654),(1-AVERAGE(AD654,AD655))*AH655,(1-AVERAGE(AD655,VLOOKUP(_xlfn.CONCAT(U655,V655,W655,X655,M_BRAND_FC!$F$6),FC_DATA!$R$2:$AD$5000,MATCH("DISCOUNT_%_M",FC_DATA!$R$1:$AD$1,0),FALSE)))*AH655))</f>
        <v>#N/A</v>
      </c>
      <c r="AJ655" s="412" t="str">
        <f t="shared" ca="1" si="264"/>
        <v/>
      </c>
      <c r="AK655" s="413" t="str">
        <f>IFERROR(AE655/(Q_BRAND_FC!$T$24+1),"")</f>
        <v/>
      </c>
      <c r="AL655" s="88" t="str">
        <f t="shared" ca="1" si="265"/>
        <v/>
      </c>
      <c r="AM655" s="414" t="str">
        <f t="shared" ca="1" si="266"/>
        <v/>
      </c>
      <c r="AN655" s="58">
        <f>IFERROR(IF($V655="BRAND.com",HLOOKUP($X655&amp;$Z655,NWC_FC_NOOS!$C$4:$Q$23,MATCH(W655,NWC_FC_NOOS!$B$4:$B$23,0),FALSE),0),0)</f>
        <v>0</v>
      </c>
      <c r="AO655" s="57">
        <f>IFERROR(IF($V655="BRAND.com",HLOOKUP($X655&amp;$Z655,NWC_FC_NOOS!$T$4:$AH$23,MATCH(W655,NWC_FC_NOOS!$S$4:$S$23,0),FALSE),0),0)</f>
        <v>0</v>
      </c>
      <c r="AP655" s="57">
        <f>IFERROR(IF($V655="BRAND.com",HLOOKUP($X655&amp;$Z655,NWC_FC_NOOS!$C$50:$U$69,MATCH(W655,NWC_FC_NOOS!$B$50:$B$69,0),FALSE),0),0)</f>
        <v>0</v>
      </c>
      <c r="AQ655" s="58">
        <f>IFERROR(IF($V655="BRAND.com",HLOOKUP($X655&amp;$Z655,'NWC_FC_NON-NOOS'!$C$4:$Q$23,MATCH(W655,'NWC_FC_NON-NOOS'!$B$4:$B$23,0),FALSE),0),0)</f>
        <v>0</v>
      </c>
      <c r="AR655" s="57">
        <f>IFERROR(IF($V655="BRAND.com",HLOOKUP($X655&amp;$Z655,'NWC_FC_NON-NOOS'!$T$4:$AH$23,MATCH(W655,'NWC_FC_NON-NOOS'!$S$4:$S$23,0),FALSE),0),0)</f>
        <v>0</v>
      </c>
      <c r="AS655" s="57">
        <f>IFERROR(IF($V655="BRAND.com",HLOOKUP($X655&amp;$Z655,'NWC_FC_NON-NOOS'!$C$50:$U$69,MATCH(W655,'NWC_FC_NON-NOOS'!$B$50:$B$69,0),FALSE),0),0)</f>
        <v>0</v>
      </c>
      <c r="AT655" s="57">
        <f t="shared" si="268"/>
        <v>0</v>
      </c>
      <c r="AU655" s="57">
        <f t="shared" si="269"/>
        <v>0</v>
      </c>
      <c r="AV655" s="58">
        <f>IFERROR(IF($V655="BRAND.com",HLOOKUP($X655&amp;$Z655,PLANNING_FC!$BB$27:$BP$46,MATCH($W655,PLANNING_FC!$BA$27:$BA$46,0),FALSE),0),0)</f>
        <v>0</v>
      </c>
      <c r="AW655" s="58">
        <f>IFERROR(IF($V655="BRAND.com",HLOOKUP($X655&amp;$Z655,PLANNING_FC!$BB$4:$BP$23,MATCH($W655,PLANNING_FC!$BA$4:$BA$23,0),FALSE),0),0)</f>
        <v>0</v>
      </c>
      <c r="AX655" s="58">
        <f>IFERROR(IF($V655="BRAND.com",HLOOKUP($X655&amp;$Z655,PLANNING_FC!$T$27:$AH$46,MATCH($W655,PLANNING_FC!$B$27:$B$46,0),FALSE),0),0)</f>
        <v>0</v>
      </c>
      <c r="AY655" s="58">
        <f>IFERROR(IF($V655="BRAND.com",HLOOKUP($X655&amp;$Z655,PLANNING_FC!$T$4:$AH$23,MATCH($W655,PLANNING_FC!$B$4:$B$23,0),FALSE),0),0)</f>
        <v>0</v>
      </c>
      <c r="AZ655" s="58">
        <f>IFERROR(IF($V655="BRAND.com",HLOOKUP($X655&amp;$Z655,PLANNING_FC!$DA$27:$DO$46,MATCH($W655,PLANNING_FC!$CZ$27:$CZ$46,0),FALSE),0),0)</f>
        <v>0</v>
      </c>
      <c r="BA655" s="58">
        <f>IFERROR(IF($V655="BRAND.com",HLOOKUP($X655&amp;$Z655,PLANNING_FC!$DA$4:$DO$23,MATCH($W655,PLANNING_FC!$CZ$4:$CZ$23,0),FALSE),0),0)</f>
        <v>0</v>
      </c>
      <c r="BB655" s="883" t="str">
        <f>IF(V655="BRAND.com",IFERROR(HLOOKUP(X655&amp;Z655,PLANNING_FC!$AK$4:$AY$23,MATCH(W655,PLANNING_FC!$AJ$4:$AJ$23,0),FALSE)*1000,""),"")</f>
        <v/>
      </c>
      <c r="BC655" s="883" t="str">
        <f>IF(V655="BRAND.com",IFERROR(HLOOKUP(X655&amp;Z655,PLANNING_FC!$AK$27:$AY$46,MATCH(W655,PLANNING_FC!$AJ$27:$AJ$46,0),FALSE)*1000,""),"")</f>
        <v/>
      </c>
    </row>
    <row r="656" spans="14:55" x14ac:dyDescent="0.25">
      <c r="N656" s="56">
        <f t="shared" si="250"/>
        <v>0</v>
      </c>
      <c r="O656" s="57">
        <f t="shared" si="251"/>
        <v>0</v>
      </c>
      <c r="P656" s="57">
        <f ca="1">IFERROR(IF(ISBLANK(H656),SUMIFS($AC:$AC,$V:$V,V656,$W:$W,W656,$X:$X,X656,$Y:$Y,Y656)*J656/(1-J656)*VLOOKUP(_xlfn.CONCAT(C656,D656,E656,TIME!$M$12,Z656),HIS_SALES!$B$2:$W$4859,20,FALSE),AC656*J656/(1-J656)),0)</f>
        <v>0</v>
      </c>
      <c r="Q656" s="541" t="str">
        <f t="shared" si="252"/>
        <v/>
      </c>
      <c r="R656" s="346" t="str">
        <f t="shared" si="262"/>
        <v>00000</v>
      </c>
      <c r="S656" s="344">
        <f t="shared" si="253"/>
        <v>0</v>
      </c>
      <c r="T656" s="345" t="str">
        <f t="shared" si="267"/>
        <v>000</v>
      </c>
      <c r="U656" s="345">
        <f t="shared" si="254"/>
        <v>0</v>
      </c>
      <c r="V656" s="345">
        <f t="shared" si="255"/>
        <v>0</v>
      </c>
      <c r="W656" s="345">
        <f t="shared" si="256"/>
        <v>0</v>
      </c>
      <c r="X656" s="345">
        <f t="shared" si="257"/>
        <v>0</v>
      </c>
      <c r="Y656" s="345">
        <f t="shared" si="258"/>
        <v>0</v>
      </c>
      <c r="Z656" s="345">
        <f>IF(Q656&lt;&gt;"",VLOOKUP(Y656,TIME!$R$21:$V$24,MATCH(FC_DATA!Q656,TIME!$R$20:$V$20,0),FALSE),H656)</f>
        <v>0</v>
      </c>
      <c r="AA656" s="345" t="str">
        <f>IFERROR(VLOOKUP(X656&amp;Z656,TIME!$A$12:$D$71,4,FALSE),"")</f>
        <v/>
      </c>
      <c r="AB656" s="592">
        <f t="shared" ca="1" si="263"/>
        <v>0</v>
      </c>
      <c r="AC656" s="593" t="e">
        <f ca="1">IF(ISBLANK(H656)=FALSE,IF(D656="BRAND.com",I656,IF(ISNA(VLOOKUP(_xlfn.CONCAT(X656,Z656),TIME!$M$40:$M$42,1,FALSE)),I656,VLOOKUP(_xlfn.CONCAT(D656,G656,H656),M_BUSAREA_FC!$AF$5:$AJ$10,5,FALSE)*HLOOKUP(_xlfn.CONCAT(F656,H656),ST_OVERVIEW!$G$99:$I$130,MATCH(_xlfn.CONCAT(D656,E656),ST_OVERVIEW!$F$99:$F$130,0),FALSE))),IF(D656="BRAND.com",VLOOKUP(_xlfn.CONCAT(C656,D656,E656,TIME!$F$1,Z656),HIS_SALES!$B$2:$V$4859,19,FALSE)*I656,VLOOKUP(_xlfn.CONCAT(D656,F656,G656),Q_BUSAREA_FC!$AE$5:$AI$12,5,FALSE)*HLOOKUP(_xlfn.CONCAT(FC_DATA!F656,FC_DATA!G656),LT_OVERVIEW!$I$99:$M$130,MATCH(_xlfn.CONCAT(D656,FC_DATA!E656),LT_OVERVIEW!$H$99:$H$130,0),FALSE)*IFERROR(VLOOKUP(_xlfn.CONCAT(C656,D656,E656,TIME!$F$1,Z656),HIS_SALES!$B$2:$V$4859,19,FALSE),0)))</f>
        <v>#N/A</v>
      </c>
      <c r="AD656" s="341">
        <f t="shared" ca="1" si="259"/>
        <v>0</v>
      </c>
      <c r="AE656" s="363" t="str">
        <f t="shared" si="260"/>
        <v/>
      </c>
      <c r="AF656" s="342" t="str">
        <f t="shared" si="261"/>
        <v/>
      </c>
      <c r="AG656" s="411" t="e">
        <f ca="1">VLOOKUP(_xlfn.CONCAT(U656,V656,W656,VLOOKUP(X656&amp;Y656,TIME!$L$27:$O$34,4,FALSE),Y656),HIS_SALES!$A$2:$R$5093,18,FALSE)</f>
        <v>#N/A</v>
      </c>
      <c r="AH656" s="412" t="e">
        <f ca="1">IFERROR(IF(AND(V656=V655,W656=W655),0.5*(AB656+AB655)*AG656,(VLOOKUP(_xlfn.CONCAT(U656,V656,W656,X656,VLOOKUP(Z656,TIME!$S$28:$T$39,2,FALSE)),FC_DATA!$R$2:$AB$5000,MATCH("GS_I_M",FC_DATA!$R$1:$AB$1,0),FALSE)+FC_DATA!AB656)*0.5*FC_DATA!AG656),NA())</f>
        <v>#N/A</v>
      </c>
      <c r="AI656" s="491" t="e">
        <f ca="1">IF(V656="PARTNER.com",AH656,IF(AND(V656=V655,W656=W655),(1-AVERAGE(AD655,AD656))*AH656,(1-AVERAGE(AD656,VLOOKUP(_xlfn.CONCAT(U656,V656,W656,X656,M_BRAND_FC!$F$6),FC_DATA!$R$2:$AD$5000,MATCH("DISCOUNT_%_M",FC_DATA!$R$1:$AD$1,0),FALSE)))*AH656))</f>
        <v>#N/A</v>
      </c>
      <c r="AJ656" s="412" t="str">
        <f t="shared" ca="1" si="264"/>
        <v/>
      </c>
      <c r="AK656" s="413" t="str">
        <f>IFERROR(AE656/(Q_BRAND_FC!$T$24+1),"")</f>
        <v/>
      </c>
      <c r="AL656" s="88" t="str">
        <f t="shared" ca="1" si="265"/>
        <v/>
      </c>
      <c r="AM656" s="414" t="str">
        <f t="shared" ca="1" si="266"/>
        <v/>
      </c>
      <c r="AN656" s="58">
        <f>IFERROR(IF($V656="BRAND.com",HLOOKUP($X656&amp;$Z656,NWC_FC_NOOS!$C$4:$Q$23,MATCH(W656,NWC_FC_NOOS!$B$4:$B$23,0),FALSE),0),0)</f>
        <v>0</v>
      </c>
      <c r="AO656" s="57">
        <f>IFERROR(IF($V656="BRAND.com",HLOOKUP($X656&amp;$Z656,NWC_FC_NOOS!$T$4:$AH$23,MATCH(W656,NWC_FC_NOOS!$S$4:$S$23,0),FALSE),0),0)</f>
        <v>0</v>
      </c>
      <c r="AP656" s="57">
        <f>IFERROR(IF($V656="BRAND.com",HLOOKUP($X656&amp;$Z656,NWC_FC_NOOS!$C$50:$U$69,MATCH(W656,NWC_FC_NOOS!$B$50:$B$69,0),FALSE),0),0)</f>
        <v>0</v>
      </c>
      <c r="AQ656" s="58">
        <f>IFERROR(IF($V656="BRAND.com",HLOOKUP($X656&amp;$Z656,'NWC_FC_NON-NOOS'!$C$4:$Q$23,MATCH(W656,'NWC_FC_NON-NOOS'!$B$4:$B$23,0),FALSE),0),0)</f>
        <v>0</v>
      </c>
      <c r="AR656" s="57">
        <f>IFERROR(IF($V656="BRAND.com",HLOOKUP($X656&amp;$Z656,'NWC_FC_NON-NOOS'!$T$4:$AH$23,MATCH(W656,'NWC_FC_NON-NOOS'!$S$4:$S$23,0),FALSE),0),0)</f>
        <v>0</v>
      </c>
      <c r="AS656" s="57">
        <f>IFERROR(IF($V656="BRAND.com",HLOOKUP($X656&amp;$Z656,'NWC_FC_NON-NOOS'!$C$50:$U$69,MATCH(W656,'NWC_FC_NON-NOOS'!$B$50:$B$69,0),FALSE),0),0)</f>
        <v>0</v>
      </c>
      <c r="AT656" s="57">
        <f t="shared" si="268"/>
        <v>0</v>
      </c>
      <c r="AU656" s="57">
        <f t="shared" si="269"/>
        <v>0</v>
      </c>
      <c r="AV656" s="58">
        <f>IFERROR(IF($V656="BRAND.com",HLOOKUP($X656&amp;$Z656,PLANNING_FC!$BB$27:$BP$46,MATCH($W656,PLANNING_FC!$BA$27:$BA$46,0),FALSE),0),0)</f>
        <v>0</v>
      </c>
      <c r="AW656" s="58">
        <f>IFERROR(IF($V656="BRAND.com",HLOOKUP($X656&amp;$Z656,PLANNING_FC!$BB$4:$BP$23,MATCH($W656,PLANNING_FC!$BA$4:$BA$23,0),FALSE),0),0)</f>
        <v>0</v>
      </c>
      <c r="AX656" s="58">
        <f>IFERROR(IF($V656="BRAND.com",HLOOKUP($X656&amp;$Z656,PLANNING_FC!$T$27:$AH$46,MATCH($W656,PLANNING_FC!$B$27:$B$46,0),FALSE),0),0)</f>
        <v>0</v>
      </c>
      <c r="AY656" s="58">
        <f>IFERROR(IF($V656="BRAND.com",HLOOKUP($X656&amp;$Z656,PLANNING_FC!$T$4:$AH$23,MATCH($W656,PLANNING_FC!$B$4:$B$23,0),FALSE),0),0)</f>
        <v>0</v>
      </c>
      <c r="AZ656" s="58">
        <f>IFERROR(IF($V656="BRAND.com",HLOOKUP($X656&amp;$Z656,PLANNING_FC!$DA$27:$DO$46,MATCH($W656,PLANNING_FC!$CZ$27:$CZ$46,0),FALSE),0),0)</f>
        <v>0</v>
      </c>
      <c r="BA656" s="58">
        <f>IFERROR(IF($V656="BRAND.com",HLOOKUP($X656&amp;$Z656,PLANNING_FC!$DA$4:$DO$23,MATCH($W656,PLANNING_FC!$CZ$4:$CZ$23,0),FALSE),0),0)</f>
        <v>0</v>
      </c>
      <c r="BB656" s="883" t="str">
        <f>IF(V656="BRAND.com",IFERROR(HLOOKUP(X656&amp;Z656,PLANNING_FC!$AK$4:$AY$23,MATCH(W656,PLANNING_FC!$AJ$4:$AJ$23,0),FALSE)*1000,""),"")</f>
        <v/>
      </c>
      <c r="BC656" s="883" t="str">
        <f>IF(V656="BRAND.com",IFERROR(HLOOKUP(X656&amp;Z656,PLANNING_FC!$AK$27:$AY$46,MATCH(W656,PLANNING_FC!$AJ$27:$AJ$46,0),FALSE)*1000,""),"")</f>
        <v/>
      </c>
    </row>
    <row r="657" spans="14:55" x14ac:dyDescent="0.25">
      <c r="N657" s="56">
        <f t="shared" si="250"/>
        <v>0</v>
      </c>
      <c r="O657" s="57">
        <f t="shared" si="251"/>
        <v>0</v>
      </c>
      <c r="P657" s="57">
        <f ca="1">IFERROR(IF(ISBLANK(H657),SUMIFS($AC:$AC,$V:$V,V657,$W:$W,W657,$X:$X,X657,$Y:$Y,Y657)*J657/(1-J657)*VLOOKUP(_xlfn.CONCAT(C657,D657,E657,TIME!$M$12,Z657),HIS_SALES!$B$2:$W$4859,20,FALSE),AC657*J657/(1-J657)),0)</f>
        <v>0</v>
      </c>
      <c r="Q657" s="541" t="str">
        <f t="shared" si="252"/>
        <v/>
      </c>
      <c r="R657" s="346" t="str">
        <f t="shared" si="262"/>
        <v>00000</v>
      </c>
      <c r="S657" s="344">
        <f t="shared" si="253"/>
        <v>0</v>
      </c>
      <c r="T657" s="345" t="str">
        <f t="shared" si="267"/>
        <v>000</v>
      </c>
      <c r="U657" s="345">
        <f t="shared" si="254"/>
        <v>0</v>
      </c>
      <c r="V657" s="345">
        <f t="shared" si="255"/>
        <v>0</v>
      </c>
      <c r="W657" s="345">
        <f t="shared" si="256"/>
        <v>0</v>
      </c>
      <c r="X657" s="345">
        <f t="shared" si="257"/>
        <v>0</v>
      </c>
      <c r="Y657" s="345">
        <f t="shared" si="258"/>
        <v>0</v>
      </c>
      <c r="Z657" s="345">
        <f>IF(Q657&lt;&gt;"",VLOOKUP(Y657,TIME!$R$21:$V$24,MATCH(FC_DATA!Q657,TIME!$R$20:$V$20,0),FALSE),H657)</f>
        <v>0</v>
      </c>
      <c r="AA657" s="345" t="str">
        <f>IFERROR(VLOOKUP(X657&amp;Z657,TIME!$A$12:$D$71,4,FALSE),"")</f>
        <v/>
      </c>
      <c r="AB657" s="592">
        <f t="shared" ca="1" si="263"/>
        <v>0</v>
      </c>
      <c r="AC657" s="593" t="e">
        <f ca="1">IF(ISBLANK(H657)=FALSE,IF(D657="BRAND.com",I657,IF(ISNA(VLOOKUP(_xlfn.CONCAT(X657,Z657),TIME!$M$40:$M$42,1,FALSE)),I657,VLOOKUP(_xlfn.CONCAT(D657,G657,H657),M_BUSAREA_FC!$AF$5:$AJ$10,5,FALSE)*HLOOKUP(_xlfn.CONCAT(F657,H657),ST_OVERVIEW!$G$99:$I$130,MATCH(_xlfn.CONCAT(D657,E657),ST_OVERVIEW!$F$99:$F$130,0),FALSE))),IF(D657="BRAND.com",VLOOKUP(_xlfn.CONCAT(C657,D657,E657,TIME!$F$1,Z657),HIS_SALES!$B$2:$V$4859,19,FALSE)*I657,VLOOKUP(_xlfn.CONCAT(D657,F657,G657),Q_BUSAREA_FC!$AE$5:$AI$12,5,FALSE)*HLOOKUP(_xlfn.CONCAT(FC_DATA!F657,FC_DATA!G657),LT_OVERVIEW!$I$99:$M$130,MATCH(_xlfn.CONCAT(D657,FC_DATA!E657),LT_OVERVIEW!$H$99:$H$130,0),FALSE)*IFERROR(VLOOKUP(_xlfn.CONCAT(C657,D657,E657,TIME!$F$1,Z657),HIS_SALES!$B$2:$V$4859,19,FALSE),0)))</f>
        <v>#N/A</v>
      </c>
      <c r="AD657" s="341">
        <f t="shared" ca="1" si="259"/>
        <v>0</v>
      </c>
      <c r="AE657" s="363" t="str">
        <f t="shared" si="260"/>
        <v/>
      </c>
      <c r="AF657" s="342" t="str">
        <f t="shared" si="261"/>
        <v/>
      </c>
      <c r="AG657" s="411" t="e">
        <f ca="1">VLOOKUP(_xlfn.CONCAT(U657,V657,W657,VLOOKUP(X657&amp;Y657,TIME!$L$27:$O$34,4,FALSE),Y657),HIS_SALES!$A$2:$R$5093,18,FALSE)</f>
        <v>#N/A</v>
      </c>
      <c r="AH657" s="412" t="e">
        <f ca="1">IFERROR(IF(AND(V657=V656,W657=W656),0.5*(AB657+AB656)*AG657,(VLOOKUP(_xlfn.CONCAT(U657,V657,W657,X657,VLOOKUP(Z657,TIME!$S$28:$T$39,2,FALSE)),FC_DATA!$R$2:$AB$5000,MATCH("GS_I_M",FC_DATA!$R$1:$AB$1,0),FALSE)+FC_DATA!AB657)*0.5*FC_DATA!AG657),NA())</f>
        <v>#N/A</v>
      </c>
      <c r="AI657" s="491" t="e">
        <f ca="1">IF(V657="PARTNER.com",AH657,IF(AND(V657=V656,W657=W656),(1-AVERAGE(AD656,AD657))*AH657,(1-AVERAGE(AD657,VLOOKUP(_xlfn.CONCAT(U657,V657,W657,X657,M_BRAND_FC!$F$6),FC_DATA!$R$2:$AD$5000,MATCH("DISCOUNT_%_M",FC_DATA!$R$1:$AD$1,0),FALSE)))*AH657))</f>
        <v>#N/A</v>
      </c>
      <c r="AJ657" s="412" t="str">
        <f t="shared" ca="1" si="264"/>
        <v/>
      </c>
      <c r="AK657" s="413" t="str">
        <f>IFERROR(AE657/(Q_BRAND_FC!$T$24+1),"")</f>
        <v/>
      </c>
      <c r="AL657" s="88" t="str">
        <f t="shared" ca="1" si="265"/>
        <v/>
      </c>
      <c r="AM657" s="414" t="str">
        <f t="shared" ca="1" si="266"/>
        <v/>
      </c>
      <c r="AN657" s="58">
        <f>IFERROR(IF($V657="BRAND.com",HLOOKUP($X657&amp;$Z657,NWC_FC_NOOS!$C$4:$Q$23,MATCH(W657,NWC_FC_NOOS!$B$4:$B$23,0),FALSE),0),0)</f>
        <v>0</v>
      </c>
      <c r="AO657" s="57">
        <f>IFERROR(IF($V657="BRAND.com",HLOOKUP($X657&amp;$Z657,NWC_FC_NOOS!$T$4:$AH$23,MATCH(W657,NWC_FC_NOOS!$S$4:$S$23,0),FALSE),0),0)</f>
        <v>0</v>
      </c>
      <c r="AP657" s="57">
        <f>IFERROR(IF($V657="BRAND.com",HLOOKUP($X657&amp;$Z657,NWC_FC_NOOS!$C$50:$U$69,MATCH(W657,NWC_FC_NOOS!$B$50:$B$69,0),FALSE),0),0)</f>
        <v>0</v>
      </c>
      <c r="AQ657" s="58">
        <f>IFERROR(IF($V657="BRAND.com",HLOOKUP($X657&amp;$Z657,'NWC_FC_NON-NOOS'!$C$4:$Q$23,MATCH(W657,'NWC_FC_NON-NOOS'!$B$4:$B$23,0),FALSE),0),0)</f>
        <v>0</v>
      </c>
      <c r="AR657" s="57">
        <f>IFERROR(IF($V657="BRAND.com",HLOOKUP($X657&amp;$Z657,'NWC_FC_NON-NOOS'!$T$4:$AH$23,MATCH(W657,'NWC_FC_NON-NOOS'!$S$4:$S$23,0),FALSE),0),0)</f>
        <v>0</v>
      </c>
      <c r="AS657" s="57">
        <f>IFERROR(IF($V657="BRAND.com",HLOOKUP($X657&amp;$Z657,'NWC_FC_NON-NOOS'!$C$50:$U$69,MATCH(W657,'NWC_FC_NON-NOOS'!$B$50:$B$69,0),FALSE),0),0)</f>
        <v>0</v>
      </c>
      <c r="AT657" s="57">
        <f t="shared" si="268"/>
        <v>0</v>
      </c>
      <c r="AU657" s="57">
        <f t="shared" si="269"/>
        <v>0</v>
      </c>
      <c r="AV657" s="58">
        <f>IFERROR(IF($V657="BRAND.com",HLOOKUP($X657&amp;$Z657,PLANNING_FC!$BB$27:$BP$46,MATCH($W657,PLANNING_FC!$BA$27:$BA$46,0),FALSE),0),0)</f>
        <v>0</v>
      </c>
      <c r="AW657" s="58">
        <f>IFERROR(IF($V657="BRAND.com",HLOOKUP($X657&amp;$Z657,PLANNING_FC!$BB$4:$BP$23,MATCH($W657,PLANNING_FC!$BA$4:$BA$23,0),FALSE),0),0)</f>
        <v>0</v>
      </c>
      <c r="AX657" s="58">
        <f>IFERROR(IF($V657="BRAND.com",HLOOKUP($X657&amp;$Z657,PLANNING_FC!$T$27:$AH$46,MATCH($W657,PLANNING_FC!$B$27:$B$46,0),FALSE),0),0)</f>
        <v>0</v>
      </c>
      <c r="AY657" s="58">
        <f>IFERROR(IF($V657="BRAND.com",HLOOKUP($X657&amp;$Z657,PLANNING_FC!$T$4:$AH$23,MATCH($W657,PLANNING_FC!$B$4:$B$23,0),FALSE),0),0)</f>
        <v>0</v>
      </c>
      <c r="AZ657" s="58">
        <f>IFERROR(IF($V657="BRAND.com",HLOOKUP($X657&amp;$Z657,PLANNING_FC!$DA$27:$DO$46,MATCH($W657,PLANNING_FC!$CZ$27:$CZ$46,0),FALSE),0),0)</f>
        <v>0</v>
      </c>
      <c r="BA657" s="58">
        <f>IFERROR(IF($V657="BRAND.com",HLOOKUP($X657&amp;$Z657,PLANNING_FC!$DA$4:$DO$23,MATCH($W657,PLANNING_FC!$CZ$4:$CZ$23,0),FALSE),0),0)</f>
        <v>0</v>
      </c>
      <c r="BB657" s="883" t="str">
        <f>IF(V657="BRAND.com",IFERROR(HLOOKUP(X657&amp;Z657,PLANNING_FC!$AK$4:$AY$23,MATCH(W657,PLANNING_FC!$AJ$4:$AJ$23,0),FALSE)*1000,""),"")</f>
        <v/>
      </c>
      <c r="BC657" s="883" t="str">
        <f>IF(V657="BRAND.com",IFERROR(HLOOKUP(X657&amp;Z657,PLANNING_FC!$AK$27:$AY$46,MATCH(W657,PLANNING_FC!$AJ$27:$AJ$46,0),FALSE)*1000,""),"")</f>
        <v/>
      </c>
    </row>
    <row r="658" spans="14:55" x14ac:dyDescent="0.25">
      <c r="N658" s="56">
        <f t="shared" si="250"/>
        <v>0</v>
      </c>
      <c r="O658" s="57">
        <f t="shared" ref="O658:O661" si="270">IFERROR(I658+N658,0)</f>
        <v>0</v>
      </c>
      <c r="P658" s="57">
        <f ca="1">IFERROR(IF(ISBLANK(H658),SUMIFS($AC:$AC,$V:$V,V658,$W:$W,W658,$X:$X,X658,$Y:$Y,Y658)*J658/(1-J658)*VLOOKUP(_xlfn.CONCAT(C658,D658,E658,TIME!$M$12,Z658),HIS_SALES!$B$2:$W$4859,20,FALSE),AC658*J658/(1-J658)),0)</f>
        <v>0</v>
      </c>
      <c r="Q658" s="541" t="str">
        <f t="shared" si="252"/>
        <v/>
      </c>
      <c r="R658" s="346" t="str">
        <f t="shared" si="262"/>
        <v>00000</v>
      </c>
      <c r="S658" s="344">
        <f t="shared" si="253"/>
        <v>0</v>
      </c>
      <c r="T658" s="345" t="str">
        <f t="shared" si="267"/>
        <v>000</v>
      </c>
      <c r="U658" s="345">
        <f t="shared" si="254"/>
        <v>0</v>
      </c>
      <c r="V658" s="345">
        <f t="shared" si="255"/>
        <v>0</v>
      </c>
      <c r="W658" s="345">
        <f t="shared" si="256"/>
        <v>0</v>
      </c>
      <c r="X658" s="345">
        <f t="shared" si="257"/>
        <v>0</v>
      </c>
      <c r="Y658" s="345">
        <f t="shared" si="258"/>
        <v>0</v>
      </c>
      <c r="Z658" s="345">
        <f>IF(Q658&lt;&gt;"",VLOOKUP(Y658,TIME!$R$21:$V$24,MATCH(FC_DATA!Q658,TIME!$R$20:$V$20,0),FALSE),H658)</f>
        <v>0</v>
      </c>
      <c r="AA658" s="345" t="str">
        <f>IFERROR(VLOOKUP(X658&amp;Z658,TIME!$A$12:$D$71,4,FALSE),"")</f>
        <v/>
      </c>
      <c r="AB658" s="592">
        <f t="shared" ca="1" si="263"/>
        <v>0</v>
      </c>
      <c r="AC658" s="593" t="e">
        <f ca="1">IF(ISBLANK(H658)=FALSE,IF(D658="BRAND.com",I658,IF(ISNA(VLOOKUP(_xlfn.CONCAT(X658,Z658),TIME!$M$40:$M$42,1,FALSE)),I658,VLOOKUP(_xlfn.CONCAT(D658,G658,H658),M_BUSAREA_FC!$AF$5:$AJ$10,5,FALSE)*HLOOKUP(_xlfn.CONCAT(F658,H658),ST_OVERVIEW!$G$99:$I$130,MATCH(_xlfn.CONCAT(D658,E658),ST_OVERVIEW!$F$99:$F$130,0),FALSE))),IF(D658="BRAND.com",VLOOKUP(_xlfn.CONCAT(C658,D658,E658,TIME!$F$1,Z658),HIS_SALES!$B$2:$V$4859,19,FALSE)*I658,VLOOKUP(_xlfn.CONCAT(D658,F658,G658),Q_BUSAREA_FC!$AE$5:$AI$12,5,FALSE)*HLOOKUP(_xlfn.CONCAT(FC_DATA!F658,FC_DATA!G658),LT_OVERVIEW!$I$99:$M$130,MATCH(_xlfn.CONCAT(D658,FC_DATA!E658),LT_OVERVIEW!$H$99:$H$130,0),FALSE)*IFERROR(VLOOKUP(_xlfn.CONCAT(C658,D658,E658,TIME!$F$1,Z658),HIS_SALES!$B$2:$V$4859,19,FALSE),0)))</f>
        <v>#N/A</v>
      </c>
      <c r="AD658" s="341">
        <f t="shared" ref="AD658:AD661" ca="1" si="271">IFERROR(IF(D658="PARTNER.com",0,1-AC658/AB658),0)</f>
        <v>0</v>
      </c>
      <c r="AE658" s="363" t="str">
        <f t="shared" si="260"/>
        <v/>
      </c>
      <c r="AF658" s="342" t="str">
        <f t="shared" si="261"/>
        <v/>
      </c>
      <c r="AG658" s="411" t="e">
        <f ca="1">VLOOKUP(_xlfn.CONCAT(U658,V658,W658,VLOOKUP(X658&amp;Y658,TIME!$L$27:$O$34,4,FALSE),Y658),HIS_SALES!$A$2:$R$5093,18,FALSE)</f>
        <v>#N/A</v>
      </c>
      <c r="AH658" s="412" t="e">
        <f ca="1">IFERROR(IF(AND(V658=V657,W658=W657),0.5*(AB658+AB657)*AG658,(VLOOKUP(_xlfn.CONCAT(U658,V658,W658,X658,VLOOKUP(Z658,TIME!$S$28:$T$39,2,FALSE)),FC_DATA!$R$2:$AB$5000,MATCH("GS_I_M",FC_DATA!$R$1:$AB$1,0),FALSE)+FC_DATA!AB658)*0.5*FC_DATA!AG658),NA())</f>
        <v>#N/A</v>
      </c>
      <c r="AI658" s="491" t="e">
        <f ca="1">IF(V658="PARTNER.com",AH658,IF(AND(V658=V657,W658=W657),(1-AVERAGE(AD657,AD658))*AH658,(1-AVERAGE(AD658,VLOOKUP(_xlfn.CONCAT(U658,V658,W658,X658,M_BRAND_FC!$F$6),FC_DATA!$R$2:$AD$5000,MATCH("DISCOUNT_%_M",FC_DATA!$R$1:$AD$1,0),FALSE)))*AH658))</f>
        <v>#N/A</v>
      </c>
      <c r="AJ658" s="412" t="str">
        <f t="shared" ca="1" si="264"/>
        <v/>
      </c>
      <c r="AK658" s="413" t="str">
        <f>IFERROR(AE658/(Q_BRAND_FC!$T$24+1),"")</f>
        <v/>
      </c>
      <c r="AL658" s="88" t="str">
        <f t="shared" ca="1" si="265"/>
        <v/>
      </c>
      <c r="AM658" s="414" t="str">
        <f t="shared" ca="1" si="266"/>
        <v/>
      </c>
      <c r="AN658" s="58">
        <f>IFERROR(IF($V658="BRAND.com",HLOOKUP($X658&amp;$Z658,NWC_FC_NOOS!$C$4:$Q$23,MATCH(W658,NWC_FC_NOOS!$B$4:$B$23,0),FALSE),0),0)</f>
        <v>0</v>
      </c>
      <c r="AO658" s="57">
        <f>IFERROR(IF($V658="BRAND.com",HLOOKUP($X658&amp;$Z658,NWC_FC_NOOS!$T$4:$AH$23,MATCH(W658,NWC_FC_NOOS!$S$4:$S$23,0),FALSE),0),0)</f>
        <v>0</v>
      </c>
      <c r="AP658" s="57">
        <f>IFERROR(IF($V658="BRAND.com",HLOOKUP($X658&amp;$Z658,NWC_FC_NOOS!$C$50:$U$69,MATCH(W658,NWC_FC_NOOS!$B$50:$B$69,0),FALSE),0),0)</f>
        <v>0</v>
      </c>
      <c r="AQ658" s="58">
        <f>IFERROR(IF($V658="BRAND.com",HLOOKUP($X658&amp;$Z658,'NWC_FC_NON-NOOS'!$C$4:$Q$23,MATCH(W658,'NWC_FC_NON-NOOS'!$B$4:$B$23,0),FALSE),0),0)</f>
        <v>0</v>
      </c>
      <c r="AR658" s="57">
        <f>IFERROR(IF($V658="BRAND.com",HLOOKUP($X658&amp;$Z658,'NWC_FC_NON-NOOS'!$T$4:$AH$23,MATCH(W658,'NWC_FC_NON-NOOS'!$S$4:$S$23,0),FALSE),0),0)</f>
        <v>0</v>
      </c>
      <c r="AS658" s="57">
        <f>IFERROR(IF($V658="BRAND.com",HLOOKUP($X658&amp;$Z658,'NWC_FC_NON-NOOS'!$C$50:$U$69,MATCH(W658,'NWC_FC_NON-NOOS'!$B$50:$B$69,0),FALSE),0),0)</f>
        <v>0</v>
      </c>
      <c r="AT658" s="57">
        <f t="shared" si="268"/>
        <v>0</v>
      </c>
      <c r="AU658" s="57">
        <f t="shared" si="269"/>
        <v>0</v>
      </c>
      <c r="AV658" s="58">
        <f>IFERROR(IF($V658="BRAND.com",HLOOKUP($X658&amp;$Z658,PLANNING_FC!$BB$27:$BP$46,MATCH($W658,PLANNING_FC!$BA$27:$BA$46,0),FALSE),0),0)</f>
        <v>0</v>
      </c>
      <c r="AW658" s="58">
        <f>IFERROR(IF($V658="BRAND.com",HLOOKUP($X658&amp;$Z658,PLANNING_FC!$BB$4:$BP$23,MATCH($W658,PLANNING_FC!$BA$4:$BA$23,0),FALSE),0),0)</f>
        <v>0</v>
      </c>
      <c r="AX658" s="58">
        <f>IFERROR(IF($V658="BRAND.com",HLOOKUP($X658&amp;$Z658,PLANNING_FC!$T$27:$AH$46,MATCH($W658,PLANNING_FC!$B$27:$B$46,0),FALSE),0),0)</f>
        <v>0</v>
      </c>
      <c r="AY658" s="58">
        <f>IFERROR(IF($V658="BRAND.com",HLOOKUP($X658&amp;$Z658,PLANNING_FC!$T$4:$AH$23,MATCH($W658,PLANNING_FC!$B$4:$B$23,0),FALSE),0),0)</f>
        <v>0</v>
      </c>
      <c r="AZ658" s="58">
        <f>IFERROR(IF($V658="BRAND.com",HLOOKUP($X658&amp;$Z658,PLANNING_FC!$DA$27:$DO$46,MATCH($W658,PLANNING_FC!$CZ$27:$CZ$46,0),FALSE),0),0)</f>
        <v>0</v>
      </c>
      <c r="BA658" s="58">
        <f>IFERROR(IF($V658="BRAND.com",HLOOKUP($X658&amp;$Z658,PLANNING_FC!$DA$4:$DO$23,MATCH($W658,PLANNING_FC!$CZ$4:$CZ$23,0),FALSE),0),0)</f>
        <v>0</v>
      </c>
      <c r="BB658" s="883" t="str">
        <f>IF(V658="BRAND.com",IFERROR(HLOOKUP(X658&amp;Z658,PLANNING_FC!$AK$4:$AY$23,MATCH(W658,PLANNING_FC!$AJ$4:$AJ$23,0),FALSE)*1000,""),"")</f>
        <v/>
      </c>
      <c r="BC658" s="883" t="str">
        <f>IF(V658="BRAND.com",IFERROR(HLOOKUP(X658&amp;Z658,PLANNING_FC!$AK$27:$AY$46,MATCH(W658,PLANNING_FC!$AJ$27:$AJ$46,0),FALSE)*1000,""),"")</f>
        <v/>
      </c>
    </row>
    <row r="659" spans="14:55" x14ac:dyDescent="0.25">
      <c r="N659" s="56">
        <f t="shared" si="250"/>
        <v>0</v>
      </c>
      <c r="O659" s="57">
        <f t="shared" si="270"/>
        <v>0</v>
      </c>
      <c r="P659" s="57">
        <f ca="1">IFERROR(IF(ISBLANK(H659),SUMIFS($AC:$AC,$V:$V,V659,$W:$W,W659,$X:$X,X659,$Y:$Y,Y659)*J659/(1-J659)*VLOOKUP(_xlfn.CONCAT(C659,D659,E659,TIME!$M$12,Z659),HIS_SALES!$B$2:$W$4859,20,FALSE),AC659*J659/(1-J659)),0)</f>
        <v>0</v>
      </c>
      <c r="Q659" s="541" t="str">
        <f t="shared" si="252"/>
        <v/>
      </c>
      <c r="R659" s="346" t="str">
        <f t="shared" si="262"/>
        <v>00000</v>
      </c>
      <c r="S659" s="344">
        <f t="shared" si="253"/>
        <v>0</v>
      </c>
      <c r="T659" s="345" t="str">
        <f t="shared" si="267"/>
        <v>000</v>
      </c>
      <c r="U659" s="345">
        <f t="shared" si="254"/>
        <v>0</v>
      </c>
      <c r="V659" s="345">
        <f t="shared" si="255"/>
        <v>0</v>
      </c>
      <c r="W659" s="345">
        <f t="shared" si="256"/>
        <v>0</v>
      </c>
      <c r="X659" s="345">
        <f t="shared" si="257"/>
        <v>0</v>
      </c>
      <c r="Y659" s="345">
        <f t="shared" si="258"/>
        <v>0</v>
      </c>
      <c r="Z659" s="345">
        <f>IF(Q659&lt;&gt;"",VLOOKUP(Y659,TIME!$R$21:$V$24,MATCH(FC_DATA!Q659,TIME!$R$20:$V$20,0),FALSE),H659)</f>
        <v>0</v>
      </c>
      <c r="AA659" s="345" t="str">
        <f>IFERROR(VLOOKUP(X659&amp;Z659,TIME!$A$12:$D$71,4,FALSE),"")</f>
        <v/>
      </c>
      <c r="AB659" s="592">
        <f t="shared" ca="1" si="263"/>
        <v>0</v>
      </c>
      <c r="AC659" s="593" t="e">
        <f ca="1">IF(ISBLANK(H659)=FALSE,IF(D659="BRAND.com",I659,IF(ISNA(VLOOKUP(_xlfn.CONCAT(X659,Z659),TIME!$M$40:$M$42,1,FALSE)),I659,VLOOKUP(_xlfn.CONCAT(D659,G659,H659),M_BUSAREA_FC!$AF$5:$AJ$10,5,FALSE)*HLOOKUP(_xlfn.CONCAT(F659,H659),ST_OVERVIEW!$G$99:$I$130,MATCH(_xlfn.CONCAT(D659,E659),ST_OVERVIEW!$F$99:$F$130,0),FALSE))),IF(D659="BRAND.com",VLOOKUP(_xlfn.CONCAT(C659,D659,E659,TIME!$F$1,Z659),HIS_SALES!$B$2:$V$4859,19,FALSE)*I659,VLOOKUP(_xlfn.CONCAT(D659,F659,G659),Q_BUSAREA_FC!$AE$5:$AI$12,5,FALSE)*HLOOKUP(_xlfn.CONCAT(FC_DATA!F659,FC_DATA!G659),LT_OVERVIEW!$I$99:$M$130,MATCH(_xlfn.CONCAT(D659,FC_DATA!E659),LT_OVERVIEW!$H$99:$H$130,0),FALSE)*IFERROR(VLOOKUP(_xlfn.CONCAT(C659,D659,E659,TIME!$F$1,Z659),HIS_SALES!$B$2:$V$4859,19,FALSE),0)))</f>
        <v>#N/A</v>
      </c>
      <c r="AD659" s="341">
        <f t="shared" ca="1" si="271"/>
        <v>0</v>
      </c>
      <c r="AE659" s="363" t="str">
        <f t="shared" si="260"/>
        <v/>
      </c>
      <c r="AF659" s="342" t="str">
        <f t="shared" si="261"/>
        <v/>
      </c>
      <c r="AG659" s="411" t="e">
        <f ca="1">VLOOKUP(_xlfn.CONCAT(U659,V659,W659,VLOOKUP(X659&amp;Y659,TIME!$L$27:$O$34,4,FALSE),Y659),HIS_SALES!$A$2:$R$5093,18,FALSE)</f>
        <v>#N/A</v>
      </c>
      <c r="AH659" s="412" t="e">
        <f ca="1">IFERROR(IF(AND(V659=V658,W659=W658),0.5*(AB659+AB658)*AG659,(VLOOKUP(_xlfn.CONCAT(U659,V659,W659,X659,VLOOKUP(Z659,TIME!$S$28:$T$39,2,FALSE)),FC_DATA!$R$2:$AB$5000,MATCH("GS_I_M",FC_DATA!$R$1:$AB$1,0),FALSE)+FC_DATA!AB659)*0.5*FC_DATA!AG659),NA())</f>
        <v>#N/A</v>
      </c>
      <c r="AI659" s="491" t="e">
        <f ca="1">IF(V659="PARTNER.com",AH659,IF(AND(V659=V658,W659=W658),(1-AVERAGE(AD658,AD659))*AH659,(1-AVERAGE(AD659,VLOOKUP(_xlfn.CONCAT(U659,V659,W659,X659,M_BRAND_FC!$F$6),FC_DATA!$R$2:$AD$5000,MATCH("DISCOUNT_%_M",FC_DATA!$R$1:$AD$1,0),FALSE)))*AH659))</f>
        <v>#N/A</v>
      </c>
      <c r="AJ659" s="412" t="str">
        <f t="shared" ca="1" si="264"/>
        <v/>
      </c>
      <c r="AK659" s="413" t="str">
        <f>IFERROR(AE659/(Q_BRAND_FC!$T$24+1),"")</f>
        <v/>
      </c>
      <c r="AL659" s="88" t="str">
        <f t="shared" ca="1" si="265"/>
        <v/>
      </c>
      <c r="AM659" s="414" t="str">
        <f t="shared" ca="1" si="266"/>
        <v/>
      </c>
      <c r="AN659" s="58">
        <f>IFERROR(IF($V659="BRAND.com",HLOOKUP($X659&amp;$Z659,NWC_FC_NOOS!$C$4:$Q$23,MATCH(W659,NWC_FC_NOOS!$B$4:$B$23,0),FALSE),0),0)</f>
        <v>0</v>
      </c>
      <c r="AO659" s="57">
        <f>IFERROR(IF($V659="BRAND.com",HLOOKUP($X659&amp;$Z659,NWC_FC_NOOS!$T$4:$AH$23,MATCH(W659,NWC_FC_NOOS!$S$4:$S$23,0),FALSE),0),0)</f>
        <v>0</v>
      </c>
      <c r="AP659" s="57">
        <f>IFERROR(IF($V659="BRAND.com",HLOOKUP($X659&amp;$Z659,NWC_FC_NOOS!$C$50:$U$69,MATCH(W659,NWC_FC_NOOS!$B$50:$B$69,0),FALSE),0),0)</f>
        <v>0</v>
      </c>
      <c r="AQ659" s="58">
        <f>IFERROR(IF($V659="BRAND.com",HLOOKUP($X659&amp;$Z659,'NWC_FC_NON-NOOS'!$C$4:$Q$23,MATCH(W659,'NWC_FC_NON-NOOS'!$B$4:$B$23,0),FALSE),0),0)</f>
        <v>0</v>
      </c>
      <c r="AR659" s="57">
        <f>IFERROR(IF($V659="BRAND.com",HLOOKUP($X659&amp;$Z659,'NWC_FC_NON-NOOS'!$T$4:$AH$23,MATCH(W659,'NWC_FC_NON-NOOS'!$S$4:$S$23,0),FALSE),0),0)</f>
        <v>0</v>
      </c>
      <c r="AS659" s="57">
        <f>IFERROR(IF($V659="BRAND.com",HLOOKUP($X659&amp;$Z659,'NWC_FC_NON-NOOS'!$C$50:$U$69,MATCH(W659,'NWC_FC_NON-NOOS'!$B$50:$B$69,0),FALSE),0),0)</f>
        <v>0</v>
      </c>
      <c r="AT659" s="57">
        <f t="shared" si="268"/>
        <v>0</v>
      </c>
      <c r="AU659" s="57">
        <f t="shared" si="269"/>
        <v>0</v>
      </c>
      <c r="AV659" s="58">
        <f>IFERROR(IF($V659="BRAND.com",HLOOKUP($X659&amp;$Z659,PLANNING_FC!$BB$27:$BP$46,MATCH($W659,PLANNING_FC!$BA$27:$BA$46,0),FALSE),0),0)</f>
        <v>0</v>
      </c>
      <c r="AW659" s="58">
        <f>IFERROR(IF($V659="BRAND.com",HLOOKUP($X659&amp;$Z659,PLANNING_FC!$BB$4:$BP$23,MATCH($W659,PLANNING_FC!$BA$4:$BA$23,0),FALSE),0),0)</f>
        <v>0</v>
      </c>
      <c r="AX659" s="58">
        <f>IFERROR(IF($V659="BRAND.com",HLOOKUP($X659&amp;$Z659,PLANNING_FC!$T$27:$AH$46,MATCH($W659,PLANNING_FC!$B$27:$B$46,0),FALSE),0),0)</f>
        <v>0</v>
      </c>
      <c r="AY659" s="58">
        <f>IFERROR(IF($V659="BRAND.com",HLOOKUP($X659&amp;$Z659,PLANNING_FC!$T$4:$AH$23,MATCH($W659,PLANNING_FC!$B$4:$B$23,0),FALSE),0),0)</f>
        <v>0</v>
      </c>
      <c r="AZ659" s="58">
        <f>IFERROR(IF($V659="BRAND.com",HLOOKUP($X659&amp;$Z659,PLANNING_FC!$DA$27:$DO$46,MATCH($W659,PLANNING_FC!$CZ$27:$CZ$46,0),FALSE),0),0)</f>
        <v>0</v>
      </c>
      <c r="BA659" s="58">
        <f>IFERROR(IF($V659="BRAND.com",HLOOKUP($X659&amp;$Z659,PLANNING_FC!$DA$4:$DO$23,MATCH($W659,PLANNING_FC!$CZ$4:$CZ$23,0),FALSE),0),0)</f>
        <v>0</v>
      </c>
      <c r="BB659" s="883" t="str">
        <f>IF(V659="BRAND.com",IFERROR(HLOOKUP(X659&amp;Z659,PLANNING_FC!$AK$4:$AY$23,MATCH(W659,PLANNING_FC!$AJ$4:$AJ$23,0),FALSE)*1000,""),"")</f>
        <v/>
      </c>
      <c r="BC659" s="883" t="str">
        <f>IF(V659="BRAND.com",IFERROR(HLOOKUP(X659&amp;Z659,PLANNING_FC!$AK$27:$AY$46,MATCH(W659,PLANNING_FC!$AJ$27:$AJ$46,0),FALSE)*1000,""),"")</f>
        <v/>
      </c>
    </row>
    <row r="660" spans="14:55" x14ac:dyDescent="0.25">
      <c r="N660" s="56">
        <f t="shared" si="250"/>
        <v>0</v>
      </c>
      <c r="O660" s="57">
        <f t="shared" si="270"/>
        <v>0</v>
      </c>
      <c r="P660" s="57">
        <f ca="1">IFERROR(IF(ISBLANK(H660),SUMIFS($AC:$AC,$V:$V,V660,$W:$W,W660,$X:$X,X660,$Y:$Y,Y660)*J660/(1-J660)*VLOOKUP(_xlfn.CONCAT(C660,D660,E660,TIME!$M$12,Z660),HIS_SALES!$B$2:$W$4859,20,FALSE),AC660*J660/(1-J660)),0)</f>
        <v>0</v>
      </c>
      <c r="Q660" s="541" t="str">
        <f t="shared" si="252"/>
        <v/>
      </c>
      <c r="R660" s="346" t="str">
        <f t="shared" si="262"/>
        <v>00000</v>
      </c>
      <c r="S660" s="344">
        <f t="shared" si="253"/>
        <v>0</v>
      </c>
      <c r="T660" s="345" t="str">
        <f t="shared" si="267"/>
        <v>000</v>
      </c>
      <c r="U660" s="345">
        <f t="shared" si="254"/>
        <v>0</v>
      </c>
      <c r="V660" s="345">
        <f t="shared" si="255"/>
        <v>0</v>
      </c>
      <c r="W660" s="345">
        <f t="shared" si="256"/>
        <v>0</v>
      </c>
      <c r="X660" s="345">
        <f t="shared" si="257"/>
        <v>0</v>
      </c>
      <c r="Y660" s="345">
        <f t="shared" si="258"/>
        <v>0</v>
      </c>
      <c r="Z660" s="345">
        <f>IF(Q660&lt;&gt;"",VLOOKUP(Y660,TIME!$R$21:$V$24,MATCH(FC_DATA!Q660,TIME!$R$20:$V$20,0),FALSE),H660)</f>
        <v>0</v>
      </c>
      <c r="AA660" s="345" t="str">
        <f>IFERROR(VLOOKUP(X660&amp;Z660,TIME!$A$12:$D$71,4,FALSE),"")</f>
        <v/>
      </c>
      <c r="AB660" s="592">
        <f t="shared" ca="1" si="263"/>
        <v>0</v>
      </c>
      <c r="AC660" s="593" t="e">
        <f ca="1">IF(ISBLANK(H660)=FALSE,IF(D660="BRAND.com",I660,IF(ISNA(VLOOKUP(_xlfn.CONCAT(X660,Z660),TIME!$M$40:$M$42,1,FALSE)),I660,VLOOKUP(_xlfn.CONCAT(D660,G660,H660),M_BUSAREA_FC!$AF$5:$AJ$10,5,FALSE)*HLOOKUP(_xlfn.CONCAT(F660,H660),ST_OVERVIEW!$G$99:$I$130,MATCH(_xlfn.CONCAT(D660,E660),ST_OVERVIEW!$F$99:$F$130,0),FALSE))),IF(D660="BRAND.com",VLOOKUP(_xlfn.CONCAT(C660,D660,E660,TIME!$F$1,Z660),HIS_SALES!$B$2:$V$4859,19,FALSE)*I660,VLOOKUP(_xlfn.CONCAT(D660,F660,G660),Q_BUSAREA_FC!$AE$5:$AI$12,5,FALSE)*HLOOKUP(_xlfn.CONCAT(FC_DATA!F660,FC_DATA!G660),LT_OVERVIEW!$I$99:$M$130,MATCH(_xlfn.CONCAT(D660,FC_DATA!E660),LT_OVERVIEW!$H$99:$H$130,0),FALSE)*IFERROR(VLOOKUP(_xlfn.CONCAT(C660,D660,E660,TIME!$F$1,Z660),HIS_SALES!$B$2:$V$4859,19,FALSE),0)))</f>
        <v>#N/A</v>
      </c>
      <c r="AD660" s="341">
        <f t="shared" ca="1" si="271"/>
        <v>0</v>
      </c>
      <c r="AE660" s="363" t="str">
        <f t="shared" si="260"/>
        <v/>
      </c>
      <c r="AF660" s="342" t="str">
        <f t="shared" si="261"/>
        <v/>
      </c>
      <c r="AG660" s="411" t="e">
        <f ca="1">VLOOKUP(_xlfn.CONCAT(U660,V660,W660,VLOOKUP(X660&amp;Y660,TIME!$L$27:$O$34,4,FALSE),Y660),HIS_SALES!$A$2:$R$5093,18,FALSE)</f>
        <v>#N/A</v>
      </c>
      <c r="AH660" s="412" t="e">
        <f ca="1">IFERROR(IF(AND(V660=V659,W660=W659),0.5*(AB660+AB659)*AG660,(VLOOKUP(_xlfn.CONCAT(U660,V660,W660,X660,VLOOKUP(Z660,TIME!$S$28:$T$39,2,FALSE)),FC_DATA!$R$2:$AB$5000,MATCH("GS_I_M",FC_DATA!$R$1:$AB$1,0),FALSE)+FC_DATA!AB660)*0.5*FC_DATA!AG660),NA())</f>
        <v>#N/A</v>
      </c>
      <c r="AI660" s="491" t="e">
        <f ca="1">IF(V660="PARTNER.com",AH660,IF(AND(V660=V659,W660=W659),(1-AVERAGE(AD659,AD660))*AH660,(1-AVERAGE(AD660,VLOOKUP(_xlfn.CONCAT(U660,V660,W660,X660,M_BRAND_FC!$F$6),FC_DATA!$R$2:$AD$5000,MATCH("DISCOUNT_%_M",FC_DATA!$R$1:$AD$1,0),FALSE)))*AH660))</f>
        <v>#N/A</v>
      </c>
      <c r="AJ660" s="412" t="str">
        <f t="shared" ca="1" si="264"/>
        <v/>
      </c>
      <c r="AK660" s="413" t="str">
        <f>IFERROR(AE660/(Q_BRAND_FC!$T$24+1),"")</f>
        <v/>
      </c>
      <c r="AL660" s="88" t="str">
        <f t="shared" ca="1" si="265"/>
        <v/>
      </c>
      <c r="AM660" s="414" t="str">
        <f t="shared" ca="1" si="266"/>
        <v/>
      </c>
      <c r="AN660" s="58">
        <f>IFERROR(IF($V660="BRAND.com",HLOOKUP($X660&amp;$Z660,NWC_FC_NOOS!$C$4:$Q$23,MATCH(W660,NWC_FC_NOOS!$B$4:$B$23,0),FALSE),0),0)</f>
        <v>0</v>
      </c>
      <c r="AO660" s="57">
        <f>IFERROR(IF($V660="BRAND.com",HLOOKUP($X660&amp;$Z660,NWC_FC_NOOS!$T$4:$AH$23,MATCH(W660,NWC_FC_NOOS!$S$4:$S$23,0),FALSE),0),0)</f>
        <v>0</v>
      </c>
      <c r="AP660" s="57">
        <f>IFERROR(IF($V660="BRAND.com",HLOOKUP($X660&amp;$Z660,NWC_FC_NOOS!$C$50:$U$69,MATCH(W660,NWC_FC_NOOS!$B$50:$B$69,0),FALSE),0),0)</f>
        <v>0</v>
      </c>
      <c r="AQ660" s="58">
        <f>IFERROR(IF($V660="BRAND.com",HLOOKUP($X660&amp;$Z660,'NWC_FC_NON-NOOS'!$C$4:$Q$23,MATCH(W660,'NWC_FC_NON-NOOS'!$B$4:$B$23,0),FALSE),0),0)</f>
        <v>0</v>
      </c>
      <c r="AR660" s="57">
        <f>IFERROR(IF($V660="BRAND.com",HLOOKUP($X660&amp;$Z660,'NWC_FC_NON-NOOS'!$T$4:$AH$23,MATCH(W660,'NWC_FC_NON-NOOS'!$S$4:$S$23,0),FALSE),0),0)</f>
        <v>0</v>
      </c>
      <c r="AS660" s="57">
        <f>IFERROR(IF($V660="BRAND.com",HLOOKUP($X660&amp;$Z660,'NWC_FC_NON-NOOS'!$C$50:$U$69,MATCH(W660,'NWC_FC_NON-NOOS'!$B$50:$B$69,0),FALSE),0),0)</f>
        <v>0</v>
      </c>
      <c r="AT660" s="57">
        <f t="shared" si="268"/>
        <v>0</v>
      </c>
      <c r="AU660" s="57">
        <f t="shared" si="269"/>
        <v>0</v>
      </c>
      <c r="AV660" s="58">
        <f>IFERROR(IF($V660="BRAND.com",HLOOKUP($X660&amp;$Z660,PLANNING_FC!$BB$27:$BP$46,MATCH($W660,PLANNING_FC!$BA$27:$BA$46,0),FALSE),0),0)</f>
        <v>0</v>
      </c>
      <c r="AW660" s="58">
        <f>IFERROR(IF($V660="BRAND.com",HLOOKUP($X660&amp;$Z660,PLANNING_FC!$BB$4:$BP$23,MATCH($W660,PLANNING_FC!$BA$4:$BA$23,0),FALSE),0),0)</f>
        <v>0</v>
      </c>
      <c r="AX660" s="58">
        <f>IFERROR(IF($V660="BRAND.com",HLOOKUP($X660&amp;$Z660,PLANNING_FC!$T$27:$AH$46,MATCH($W660,PLANNING_FC!$B$27:$B$46,0),FALSE),0),0)</f>
        <v>0</v>
      </c>
      <c r="AY660" s="58">
        <f>IFERROR(IF($V660="BRAND.com",HLOOKUP($X660&amp;$Z660,PLANNING_FC!$T$4:$AH$23,MATCH($W660,PLANNING_FC!$B$4:$B$23,0),FALSE),0),0)</f>
        <v>0</v>
      </c>
      <c r="AZ660" s="58">
        <f>IFERROR(IF($V660="BRAND.com",HLOOKUP($X660&amp;$Z660,PLANNING_FC!$DA$27:$DO$46,MATCH($W660,PLANNING_FC!$CZ$27:$CZ$46,0),FALSE),0),0)</f>
        <v>0</v>
      </c>
      <c r="BA660" s="58">
        <f>IFERROR(IF($V660="BRAND.com",HLOOKUP($X660&amp;$Z660,PLANNING_FC!$DA$4:$DO$23,MATCH($W660,PLANNING_FC!$CZ$4:$CZ$23,0),FALSE),0),0)</f>
        <v>0</v>
      </c>
      <c r="BB660" s="883" t="str">
        <f>IF(V660="BRAND.com",IFERROR(HLOOKUP(X660&amp;Z660,PLANNING_FC!$AK$4:$AY$23,MATCH(W660,PLANNING_FC!$AJ$4:$AJ$23,0),FALSE)*1000,""),"")</f>
        <v/>
      </c>
      <c r="BC660" s="883" t="str">
        <f>IF(V660="BRAND.com",IFERROR(HLOOKUP(X660&amp;Z660,PLANNING_FC!$AK$27:$AY$46,MATCH(W660,PLANNING_FC!$AJ$27:$AJ$46,0),FALSE)*1000,""),"")</f>
        <v/>
      </c>
    </row>
    <row r="661" spans="14:55" x14ac:dyDescent="0.25">
      <c r="N661" s="56">
        <f t="shared" si="250"/>
        <v>0</v>
      </c>
      <c r="O661" s="57">
        <f t="shared" si="270"/>
        <v>0</v>
      </c>
      <c r="P661" s="57">
        <f ca="1">IFERROR(IF(ISBLANK(H661),SUMIFS($AC:$AC,$V:$V,V661,$W:$W,W661,$X:$X,X661,$Y:$Y,Y661)*J661/(1-J661)*VLOOKUP(_xlfn.CONCAT(C661,D661,E661,TIME!$M$12,Z661),HIS_SALES!$B$2:$W$4859,20,FALSE),AC661*J661/(1-J661)),0)</f>
        <v>0</v>
      </c>
      <c r="Q661" s="541" t="str">
        <f t="shared" si="252"/>
        <v/>
      </c>
      <c r="R661" s="346" t="str">
        <f t="shared" si="262"/>
        <v>00000</v>
      </c>
      <c r="S661" s="344">
        <f t="shared" si="253"/>
        <v>0</v>
      </c>
      <c r="T661" s="345" t="str">
        <f t="shared" si="267"/>
        <v>000</v>
      </c>
      <c r="U661" s="345">
        <f t="shared" si="254"/>
        <v>0</v>
      </c>
      <c r="V661" s="345">
        <f t="shared" si="255"/>
        <v>0</v>
      </c>
      <c r="W661" s="345">
        <f t="shared" si="256"/>
        <v>0</v>
      </c>
      <c r="X661" s="345">
        <f t="shared" si="257"/>
        <v>0</v>
      </c>
      <c r="Y661" s="345">
        <f t="shared" si="258"/>
        <v>0</v>
      </c>
      <c r="Z661" s="345">
        <f>IF(Q661&lt;&gt;"",VLOOKUP(Y661,TIME!$R$21:$V$24,MATCH(FC_DATA!Q661,TIME!$R$20:$V$20,0),FALSE),H661)</f>
        <v>0</v>
      </c>
      <c r="AA661" s="345" t="str">
        <f>IFERROR(VLOOKUP(X661&amp;Z661,TIME!$A$12:$D$71,4,FALSE),"")</f>
        <v/>
      </c>
      <c r="AB661" s="592">
        <f t="shared" ca="1" si="263"/>
        <v>0</v>
      </c>
      <c r="AC661" s="593" t="e">
        <f ca="1">IF(ISBLANK(H661)=FALSE,IF(D661="BRAND.com",I661,IF(ISNA(VLOOKUP(_xlfn.CONCAT(X661,Z661),TIME!$M$40:$M$42,1,FALSE)),I661,VLOOKUP(_xlfn.CONCAT(D661,G661,H661),M_BUSAREA_FC!$AF$5:$AJ$10,5,FALSE)*HLOOKUP(_xlfn.CONCAT(F661,H661),ST_OVERVIEW!$G$99:$I$130,MATCH(_xlfn.CONCAT(D661,E661),ST_OVERVIEW!$F$99:$F$130,0),FALSE))),IF(D661="BRAND.com",VLOOKUP(_xlfn.CONCAT(C661,D661,E661,TIME!$F$1,Z661),HIS_SALES!$B$2:$V$4859,19,FALSE)*I661,VLOOKUP(_xlfn.CONCAT(D661,F661,G661),Q_BUSAREA_FC!$AE$5:$AI$12,5,FALSE)*HLOOKUP(_xlfn.CONCAT(FC_DATA!F661,FC_DATA!G661),LT_OVERVIEW!$I$99:$M$130,MATCH(_xlfn.CONCAT(D661,FC_DATA!E661),LT_OVERVIEW!$H$99:$H$130,0),FALSE)*IFERROR(VLOOKUP(_xlfn.CONCAT(C661,D661,E661,TIME!$F$1,Z661),HIS_SALES!$B$2:$V$4859,19,FALSE),0)))</f>
        <v>#N/A</v>
      </c>
      <c r="AD661" s="341">
        <f t="shared" ca="1" si="271"/>
        <v>0</v>
      </c>
      <c r="AE661" s="363" t="str">
        <f t="shared" si="260"/>
        <v/>
      </c>
      <c r="AF661" s="342" t="str">
        <f t="shared" si="261"/>
        <v/>
      </c>
      <c r="AG661" s="411" t="e">
        <f ca="1">VLOOKUP(_xlfn.CONCAT(U661,V661,W661,VLOOKUP(X661&amp;Y661,TIME!$L$27:$O$34,4,FALSE),Y661),HIS_SALES!$A$2:$R$5093,18,FALSE)</f>
        <v>#N/A</v>
      </c>
      <c r="AH661" s="412" t="e">
        <f ca="1">IFERROR(IF(AND(V661=V660,W661=W660),0.5*(AB661+AB660)*AG661,(VLOOKUP(_xlfn.CONCAT(U661,V661,W661,X661,VLOOKUP(Z661,TIME!$S$28:$T$39,2,FALSE)),FC_DATA!$R$2:$AB$5000,MATCH("GS_I_M",FC_DATA!$R$1:$AB$1,0),FALSE)+FC_DATA!AB661)*0.5*FC_DATA!AG661),NA())</f>
        <v>#N/A</v>
      </c>
      <c r="AI661" s="491" t="e">
        <f ca="1">IF(V661="PARTNER.com",AH661,IF(AND(V661=V660,W661=W660),(1-AVERAGE(AD660,AD661))*AH661,(1-AVERAGE(AD661,VLOOKUP(_xlfn.CONCAT(U661,V661,W661,X661,M_BRAND_FC!$F$6),FC_DATA!$R$2:$AD$5000,MATCH("DISCOUNT_%_M",FC_DATA!$R$1:$AD$1,0),FALSE)))*AH661))</f>
        <v>#N/A</v>
      </c>
      <c r="AJ661" s="412" t="str">
        <f t="shared" ca="1" si="264"/>
        <v/>
      </c>
      <c r="AK661" s="413" t="str">
        <f>IFERROR(AE661/(Q_BRAND_FC!$T$24+1),"")</f>
        <v/>
      </c>
      <c r="AL661" s="88" t="str">
        <f t="shared" ca="1" si="265"/>
        <v/>
      </c>
      <c r="AM661" s="414" t="str">
        <f t="shared" ca="1" si="266"/>
        <v/>
      </c>
      <c r="AN661" s="58">
        <f>IFERROR(IF($V661="BRAND.com",HLOOKUP($X661&amp;$Z661,NWC_FC_NOOS!$C$4:$Q$23,MATCH(W661,NWC_FC_NOOS!$B$4:$B$23,0),FALSE),0),0)</f>
        <v>0</v>
      </c>
      <c r="AO661" s="57">
        <f>IFERROR(IF($V661="BRAND.com",HLOOKUP($X661&amp;$Z661,NWC_FC_NOOS!$T$4:$AH$23,MATCH(W661,NWC_FC_NOOS!$S$4:$S$23,0),FALSE),0),0)</f>
        <v>0</v>
      </c>
      <c r="AP661" s="57">
        <f>IFERROR(IF($V661="BRAND.com",HLOOKUP($X661&amp;$Z661,NWC_FC_NOOS!$C$50:$U$69,MATCH(W661,NWC_FC_NOOS!$B$50:$B$69,0),FALSE),0),0)</f>
        <v>0</v>
      </c>
      <c r="AQ661" s="58">
        <f>IFERROR(IF($V661="BRAND.com",HLOOKUP($X661&amp;$Z661,'NWC_FC_NON-NOOS'!$C$4:$Q$23,MATCH(W661,'NWC_FC_NON-NOOS'!$B$4:$B$23,0),FALSE),0),0)</f>
        <v>0</v>
      </c>
      <c r="AR661" s="57">
        <f>IFERROR(IF($V661="BRAND.com",HLOOKUP($X661&amp;$Z661,'NWC_FC_NON-NOOS'!$T$4:$AH$23,MATCH(W661,'NWC_FC_NON-NOOS'!$S$4:$S$23,0),FALSE),0),0)</f>
        <v>0</v>
      </c>
      <c r="AS661" s="57">
        <f>IFERROR(IF($V661="BRAND.com",HLOOKUP($X661&amp;$Z661,'NWC_FC_NON-NOOS'!$C$50:$U$69,MATCH(W661,'NWC_FC_NON-NOOS'!$B$50:$B$69,0),FALSE),0),0)</f>
        <v>0</v>
      </c>
      <c r="AT661" s="57">
        <f t="shared" si="268"/>
        <v>0</v>
      </c>
      <c r="AU661" s="57">
        <f t="shared" si="269"/>
        <v>0</v>
      </c>
      <c r="AV661" s="58">
        <f>IFERROR(IF($V661="BRAND.com",HLOOKUP($X661&amp;$Z661,PLANNING_FC!$BB$27:$BP$46,MATCH($W661,PLANNING_FC!$BA$27:$BA$46,0),FALSE),0),0)</f>
        <v>0</v>
      </c>
      <c r="AW661" s="58">
        <f>IFERROR(IF($V661="BRAND.com",HLOOKUP($X661&amp;$Z661,PLANNING_FC!$BB$4:$BP$23,MATCH($W661,PLANNING_FC!$BA$4:$BA$23,0),FALSE),0),0)</f>
        <v>0</v>
      </c>
      <c r="AX661" s="58">
        <f>IFERROR(IF($V661="BRAND.com",HLOOKUP($X661&amp;$Z661,PLANNING_FC!$T$27:$AH$46,MATCH($W661,PLANNING_FC!$B$27:$B$46,0),FALSE),0),0)</f>
        <v>0</v>
      </c>
      <c r="AY661" s="58">
        <f>IFERROR(IF($V661="BRAND.com",HLOOKUP($X661&amp;$Z661,PLANNING_FC!$T$4:$AH$23,MATCH($W661,PLANNING_FC!$B$4:$B$23,0),FALSE),0),0)</f>
        <v>0</v>
      </c>
      <c r="AZ661" s="58">
        <f>IFERROR(IF($V661="BRAND.com",HLOOKUP($X661&amp;$Z661,PLANNING_FC!$DA$27:$DO$46,MATCH($W661,PLANNING_FC!$CZ$27:$CZ$46,0),FALSE),0),0)</f>
        <v>0</v>
      </c>
      <c r="BA661" s="58">
        <f>IFERROR(IF($V661="BRAND.com",HLOOKUP($X661&amp;$Z661,PLANNING_FC!$DA$4:$DO$23,MATCH($W661,PLANNING_FC!$CZ$4:$CZ$23,0),FALSE),0),0)</f>
        <v>0</v>
      </c>
      <c r="BB661" s="883" t="str">
        <f>IF(V661="BRAND.com",IFERROR(HLOOKUP(X661&amp;Z661,PLANNING_FC!$AK$4:$AY$23,MATCH(W661,PLANNING_FC!$AJ$4:$AJ$23,0),FALSE)*1000,""),"")</f>
        <v/>
      </c>
      <c r="BC661" s="883" t="str">
        <f>IF(V661="BRAND.com",IFERROR(HLOOKUP(X661&amp;Z661,PLANNING_FC!$AK$27:$AY$46,MATCH(W661,PLANNING_FC!$AJ$27:$AJ$46,0),FALSE)*1000,""),"")</f>
        <v/>
      </c>
    </row>
    <row r="662" spans="14:55" x14ac:dyDescent="0.25">
      <c r="N662" s="56">
        <f t="shared" ref="N662:N705" si="272">IFERROR(I662/(1-J662)*J662,0)</f>
        <v>0</v>
      </c>
      <c r="O662" s="57">
        <f t="shared" ref="O662:O705" si="273">IFERROR(I662+N662,0)</f>
        <v>0</v>
      </c>
      <c r="P662" s="57">
        <f ca="1">IFERROR(IF(ISBLANK(H662),SUMIFS($AC:$AC,$V:$V,V662,$W:$W,W662,$X:$X,X662,$Y:$Y,Y662)*J662/(1-J662)*VLOOKUP(_xlfn.CONCAT(C662,D662,E662,TIME!$M$12,Z662),HIS_SALES!$B$2:$W$4859,20,FALSE),AC662*J662/(1-J662)),0)</f>
        <v>0</v>
      </c>
      <c r="Q662" s="541" t="str">
        <f t="shared" si="252"/>
        <v/>
      </c>
      <c r="R662" s="346" t="str">
        <f t="shared" si="262"/>
        <v>00000</v>
      </c>
      <c r="S662" s="344">
        <f t="shared" ref="S662:S705" si="274">B662</f>
        <v>0</v>
      </c>
      <c r="T662" s="345" t="str">
        <f t="shared" si="267"/>
        <v>000</v>
      </c>
      <c r="U662" s="345">
        <f t="shared" ref="U662:U705" si="275">C662</f>
        <v>0</v>
      </c>
      <c r="V662" s="345">
        <f t="shared" ref="V662:V705" si="276">D662</f>
        <v>0</v>
      </c>
      <c r="W662" s="345">
        <f t="shared" ref="W662:W705" si="277">E662</f>
        <v>0</v>
      </c>
      <c r="X662" s="345">
        <f t="shared" ref="X662:X705" si="278">F662</f>
        <v>0</v>
      </c>
      <c r="Y662" s="345">
        <f t="shared" ref="Y662:Y705" si="279">G662</f>
        <v>0</v>
      </c>
      <c r="Z662" s="345">
        <f>IF(Q662&lt;&gt;"",VLOOKUP(Y662,TIME!$R$21:$V$24,MATCH(FC_DATA!Q662,TIME!$R$20:$V$20,0),FALSE),H662)</f>
        <v>0</v>
      </c>
      <c r="AA662" s="345" t="str">
        <f>IFERROR(VLOOKUP(X662&amp;Z662,TIME!$A$12:$D$71,4,FALSE),"")</f>
        <v/>
      </c>
      <c r="AB662" s="592">
        <f t="shared" ca="1" si="263"/>
        <v>0</v>
      </c>
      <c r="AC662" s="593" t="e">
        <f ca="1">IF(ISBLANK(H662)=FALSE,IF(D662="BRAND.com",I662,IF(ISNA(VLOOKUP(_xlfn.CONCAT(X662,Z662),TIME!$M$40:$M$42,1,FALSE)),I662,VLOOKUP(_xlfn.CONCAT(D662,G662,H662),M_BUSAREA_FC!$AF$5:$AJ$10,5,FALSE)*HLOOKUP(_xlfn.CONCAT(F662,H662),ST_OVERVIEW!$G$99:$I$130,MATCH(_xlfn.CONCAT(D662,E662),ST_OVERVIEW!$F$99:$F$130,0),FALSE))),IF(D662="BRAND.com",VLOOKUP(_xlfn.CONCAT(C662,D662,E662,TIME!$F$1,Z662),HIS_SALES!$B$2:$V$4859,19,FALSE)*I662,VLOOKUP(_xlfn.CONCAT(D662,F662,G662),Q_BUSAREA_FC!$AE$5:$AI$12,5,FALSE)*HLOOKUP(_xlfn.CONCAT(FC_DATA!F662,FC_DATA!G662),LT_OVERVIEW!$I$99:$M$130,MATCH(_xlfn.CONCAT(D662,FC_DATA!E662),LT_OVERVIEW!$H$99:$H$130,0),FALSE)*IFERROR(VLOOKUP(_xlfn.CONCAT(C662,D662,E662,TIME!$F$1,Z662),HIS_SALES!$B$2:$V$4859,19,FALSE),0)))</f>
        <v>#N/A</v>
      </c>
      <c r="AD662" s="341">
        <f t="shared" ref="AD662:AD705" ca="1" si="280">IFERROR(IF(D662="PARTNER.com",0,1-AC662/AB662),0)</f>
        <v>0</v>
      </c>
      <c r="AE662" s="363" t="str">
        <f t="shared" ref="AE662:AE705" si="281">IF(A662&lt;&gt;"",K662,"")</f>
        <v/>
      </c>
      <c r="AF662" s="342" t="str">
        <f t="shared" ref="AF662:AF705" si="282">IF(B662&lt;&gt;"",M662,"")</f>
        <v/>
      </c>
      <c r="AG662" s="411" t="e">
        <f ca="1">VLOOKUP(_xlfn.CONCAT(U662,V662,W662,VLOOKUP(X662&amp;Y662,TIME!$L$27:$O$34,4,FALSE),Y662),HIS_SALES!$A$2:$R$5093,18,FALSE)</f>
        <v>#N/A</v>
      </c>
      <c r="AH662" s="412" t="e">
        <f ca="1">IFERROR(IF(AND(V662=V661,W662=W661),0.5*(AB662+AB661)*AG662,(VLOOKUP(_xlfn.CONCAT(U662,V662,W662,X662,VLOOKUP(Z662,TIME!$S$28:$T$39,2,FALSE)),FC_DATA!$R$2:$AB$5000,MATCH("GS_I_M",FC_DATA!$R$1:$AB$1,0),FALSE)+FC_DATA!AB662)*0.5*FC_DATA!AG662),NA())</f>
        <v>#N/A</v>
      </c>
      <c r="AI662" s="491" t="e">
        <f ca="1">IF(V662="PARTNER.com",AH662,IF(AND(V662=V661,W662=W661),(1-AVERAGE(AD661,AD662))*AH662,(1-AVERAGE(AD662,VLOOKUP(_xlfn.CONCAT(U662,V662,W662,X662,M_BRAND_FC!$F$6),FC_DATA!$R$2:$AD$5000,MATCH("DISCOUNT_%_M",FC_DATA!$R$1:$AD$1,0),FALSE)))*AH662))</f>
        <v>#N/A</v>
      </c>
      <c r="AJ662" s="412" t="str">
        <f t="shared" ca="1" si="264"/>
        <v/>
      </c>
      <c r="AK662" s="413" t="str">
        <f>IFERROR(AE662/(Q_BRAND_FC!$T$24+1),"")</f>
        <v/>
      </c>
      <c r="AL662" s="88" t="str">
        <f t="shared" ca="1" si="265"/>
        <v/>
      </c>
      <c r="AM662" s="414" t="str">
        <f t="shared" ca="1" si="266"/>
        <v/>
      </c>
      <c r="AN662" s="58">
        <f>IFERROR(IF($V662="BRAND.com",HLOOKUP($X662&amp;$Z662,NWC_FC_NOOS!$C$4:$Q$23,MATCH(W662,NWC_FC_NOOS!$B$4:$B$23,0),FALSE),0),0)</f>
        <v>0</v>
      </c>
      <c r="AO662" s="57">
        <f>IFERROR(IF($V662="BRAND.com",HLOOKUP($X662&amp;$Z662,NWC_FC_NOOS!$T$4:$AH$23,MATCH(W662,NWC_FC_NOOS!$S$4:$S$23,0),FALSE),0),0)</f>
        <v>0</v>
      </c>
      <c r="AP662" s="57">
        <f>IFERROR(IF($V662="BRAND.com",HLOOKUP($X662&amp;$Z662,NWC_FC_NOOS!$C$50:$U$69,MATCH(W662,NWC_FC_NOOS!$B$50:$B$69,0),FALSE),0),0)</f>
        <v>0</v>
      </c>
      <c r="AQ662" s="58">
        <f>IFERROR(IF($V662="BRAND.com",HLOOKUP($X662&amp;$Z662,'NWC_FC_NON-NOOS'!$C$4:$Q$23,MATCH(W662,'NWC_FC_NON-NOOS'!$B$4:$B$23,0),FALSE),0),0)</f>
        <v>0</v>
      </c>
      <c r="AR662" s="57">
        <f>IFERROR(IF($V662="BRAND.com",HLOOKUP($X662&amp;$Z662,'NWC_FC_NON-NOOS'!$T$4:$AH$23,MATCH(W662,'NWC_FC_NON-NOOS'!$S$4:$S$23,0),FALSE),0),0)</f>
        <v>0</v>
      </c>
      <c r="AS662" s="57">
        <f>IFERROR(IF($V662="BRAND.com",HLOOKUP($X662&amp;$Z662,'NWC_FC_NON-NOOS'!$C$50:$U$69,MATCH(W662,'NWC_FC_NON-NOOS'!$B$50:$B$69,0),FALSE),0),0)</f>
        <v>0</v>
      </c>
      <c r="AT662" s="57">
        <f t="shared" si="268"/>
        <v>0</v>
      </c>
      <c r="AU662" s="57">
        <f t="shared" si="269"/>
        <v>0</v>
      </c>
      <c r="AV662" s="58">
        <f>IFERROR(IF($V662="BRAND.com",HLOOKUP($X662&amp;$Z662,PLANNING_FC!$BB$27:$BP$46,MATCH($W662,PLANNING_FC!$BA$27:$BA$46,0),FALSE),0),0)</f>
        <v>0</v>
      </c>
      <c r="AW662" s="58">
        <f>IFERROR(IF($V662="BRAND.com",HLOOKUP($X662&amp;$Z662,PLANNING_FC!$BB$4:$BP$23,MATCH($W662,PLANNING_FC!$BA$4:$BA$23,0),FALSE),0),0)</f>
        <v>0</v>
      </c>
      <c r="AX662" s="58">
        <f>IFERROR(IF($V662="BRAND.com",HLOOKUP($X662&amp;$Z662,PLANNING_FC!$T$27:$AH$46,MATCH($W662,PLANNING_FC!$B$27:$B$46,0),FALSE),0),0)</f>
        <v>0</v>
      </c>
      <c r="AY662" s="58">
        <f>IFERROR(IF($V662="BRAND.com",HLOOKUP($X662&amp;$Z662,PLANNING_FC!$T$4:$AH$23,MATCH($W662,PLANNING_FC!$B$4:$B$23,0),FALSE),0),0)</f>
        <v>0</v>
      </c>
      <c r="AZ662" s="58">
        <f>IFERROR(IF($V662="BRAND.com",HLOOKUP($X662&amp;$Z662,PLANNING_FC!$DA$27:$DO$46,MATCH($W662,PLANNING_FC!$CZ$27:$CZ$46,0),FALSE),0),0)</f>
        <v>0</v>
      </c>
      <c r="BA662" s="58">
        <f>IFERROR(IF($V662="BRAND.com",HLOOKUP($X662&amp;$Z662,PLANNING_FC!$DA$4:$DO$23,MATCH($W662,PLANNING_FC!$CZ$4:$CZ$23,0),FALSE),0),0)</f>
        <v>0</v>
      </c>
      <c r="BB662" s="883" t="str">
        <f>IF(V662="BRAND.com",IFERROR(HLOOKUP(X662&amp;Z662,PLANNING_FC!$AK$4:$AY$23,MATCH(W662,PLANNING_FC!$AJ$4:$AJ$23,0),FALSE)*1000,""),"")</f>
        <v/>
      </c>
      <c r="BC662" s="883" t="str">
        <f>IF(V662="BRAND.com",IFERROR(HLOOKUP(X662&amp;Z662,PLANNING_FC!$AK$27:$AY$46,MATCH(W662,PLANNING_FC!$AJ$27:$AJ$46,0),FALSE)*1000,""),"")</f>
        <v/>
      </c>
    </row>
    <row r="663" spans="14:55" x14ac:dyDescent="0.25">
      <c r="N663" s="56">
        <f t="shared" si="272"/>
        <v>0</v>
      </c>
      <c r="O663" s="57">
        <f t="shared" si="273"/>
        <v>0</v>
      </c>
      <c r="P663" s="57">
        <f ca="1">IFERROR(IF(ISBLANK(H663),SUMIFS($AC:$AC,$V:$V,V663,$W:$W,W663,$X:$X,X663,$Y:$Y,Y663)*J663/(1-J663)*VLOOKUP(_xlfn.CONCAT(C663,D663,E663,TIME!$M$12,Z663),HIS_SALES!$B$2:$W$4859,20,FALSE),AC663*J663/(1-J663)),0)</f>
        <v>0</v>
      </c>
      <c r="Q663" s="541" t="str">
        <f t="shared" ref="Q663:Q705" si="283">IF(AND(A663&lt;&gt;"",H663=""),IF(A663=A662,Q662+1,1),"")</f>
        <v/>
      </c>
      <c r="R663" s="346" t="str">
        <f t="shared" si="262"/>
        <v>00000</v>
      </c>
      <c r="S663" s="344">
        <f t="shared" si="274"/>
        <v>0</v>
      </c>
      <c r="T663" s="345" t="str">
        <f t="shared" si="267"/>
        <v>000</v>
      </c>
      <c r="U663" s="345">
        <f t="shared" si="275"/>
        <v>0</v>
      </c>
      <c r="V663" s="345">
        <f t="shared" si="276"/>
        <v>0</v>
      </c>
      <c r="W663" s="345">
        <f t="shared" si="277"/>
        <v>0</v>
      </c>
      <c r="X663" s="345">
        <f t="shared" si="278"/>
        <v>0</v>
      </c>
      <c r="Y663" s="345">
        <f t="shared" si="279"/>
        <v>0</v>
      </c>
      <c r="Z663" s="345">
        <f>IF(Q663&lt;&gt;"",VLOOKUP(Y663,TIME!$R$21:$V$24,MATCH(FC_DATA!Q663,TIME!$R$20:$V$20,0),FALSE),H663)</f>
        <v>0</v>
      </c>
      <c r="AA663" s="345" t="str">
        <f>IFERROR(VLOOKUP(X663&amp;Z663,TIME!$A$12:$D$71,4,FALSE),"")</f>
        <v/>
      </c>
      <c r="AB663" s="592">
        <f t="shared" ca="1" si="263"/>
        <v>0</v>
      </c>
      <c r="AC663" s="593" t="e">
        <f ca="1">IF(ISBLANK(H663)=FALSE,IF(D663="BRAND.com",I663,IF(ISNA(VLOOKUP(_xlfn.CONCAT(X663,Z663),TIME!$M$40:$M$42,1,FALSE)),I663,VLOOKUP(_xlfn.CONCAT(D663,G663,H663),M_BUSAREA_FC!$AF$5:$AJ$10,5,FALSE)*HLOOKUP(_xlfn.CONCAT(F663,H663),ST_OVERVIEW!$G$99:$I$130,MATCH(_xlfn.CONCAT(D663,E663),ST_OVERVIEW!$F$99:$F$130,0),FALSE))),IF(D663="BRAND.com",VLOOKUP(_xlfn.CONCAT(C663,D663,E663,TIME!$F$1,Z663),HIS_SALES!$B$2:$V$4859,19,FALSE)*I663,VLOOKUP(_xlfn.CONCAT(D663,F663,G663),Q_BUSAREA_FC!$AE$5:$AI$12,5,FALSE)*HLOOKUP(_xlfn.CONCAT(FC_DATA!F663,FC_DATA!G663),LT_OVERVIEW!$I$99:$M$130,MATCH(_xlfn.CONCAT(D663,FC_DATA!E663),LT_OVERVIEW!$H$99:$H$130,0),FALSE)*IFERROR(VLOOKUP(_xlfn.CONCAT(C663,D663,E663,TIME!$F$1,Z663),HIS_SALES!$B$2:$V$4859,19,FALSE),0)))</f>
        <v>#N/A</v>
      </c>
      <c r="AD663" s="341">
        <f t="shared" ca="1" si="280"/>
        <v>0</v>
      </c>
      <c r="AE663" s="363" t="str">
        <f t="shared" si="281"/>
        <v/>
      </c>
      <c r="AF663" s="342" t="str">
        <f t="shared" si="282"/>
        <v/>
      </c>
      <c r="AG663" s="411" t="e">
        <f ca="1">VLOOKUP(_xlfn.CONCAT(U663,V663,W663,VLOOKUP(X663&amp;Y663,TIME!$L$27:$O$34,4,FALSE),Y663),HIS_SALES!$A$2:$R$5093,18,FALSE)</f>
        <v>#N/A</v>
      </c>
      <c r="AH663" s="412" t="e">
        <f ca="1">IFERROR(IF(AND(V663=V662,W663=W662),0.5*(AB663+AB662)*AG663,(VLOOKUP(_xlfn.CONCAT(U663,V663,W663,X663,VLOOKUP(Z663,TIME!$S$28:$T$39,2,FALSE)),FC_DATA!$R$2:$AB$5000,MATCH("GS_I_M",FC_DATA!$R$1:$AB$1,0),FALSE)+FC_DATA!AB663)*0.5*FC_DATA!AG663),NA())</f>
        <v>#N/A</v>
      </c>
      <c r="AI663" s="491" t="e">
        <f ca="1">IF(V663="PARTNER.com",AH663,IF(AND(V663=V662,W663=W662),(1-AVERAGE(AD662,AD663))*AH663,(1-AVERAGE(AD663,VLOOKUP(_xlfn.CONCAT(U663,V663,W663,X663,M_BRAND_FC!$F$6),FC_DATA!$R$2:$AD$5000,MATCH("DISCOUNT_%_M",FC_DATA!$R$1:$AD$1,0),FALSE)))*AH663))</f>
        <v>#N/A</v>
      </c>
      <c r="AJ663" s="412" t="str">
        <f t="shared" ca="1" si="264"/>
        <v/>
      </c>
      <c r="AK663" s="413" t="str">
        <f>IFERROR(AE663/(Q_BRAND_FC!$T$24+1),"")</f>
        <v/>
      </c>
      <c r="AL663" s="88" t="str">
        <f t="shared" ca="1" si="265"/>
        <v/>
      </c>
      <c r="AM663" s="414" t="str">
        <f t="shared" ca="1" si="266"/>
        <v/>
      </c>
      <c r="AN663" s="58">
        <f>IFERROR(IF($V663="BRAND.com",HLOOKUP($X663&amp;$Z663,NWC_FC_NOOS!$C$4:$Q$23,MATCH(W663,NWC_FC_NOOS!$B$4:$B$23,0),FALSE),0),0)</f>
        <v>0</v>
      </c>
      <c r="AO663" s="57">
        <f>IFERROR(IF($V663="BRAND.com",HLOOKUP($X663&amp;$Z663,NWC_FC_NOOS!$T$4:$AH$23,MATCH(W663,NWC_FC_NOOS!$S$4:$S$23,0),FALSE),0),0)</f>
        <v>0</v>
      </c>
      <c r="AP663" s="57">
        <f>IFERROR(IF($V663="BRAND.com",HLOOKUP($X663&amp;$Z663,NWC_FC_NOOS!$C$50:$U$69,MATCH(W663,NWC_FC_NOOS!$B$50:$B$69,0),FALSE),0),0)</f>
        <v>0</v>
      </c>
      <c r="AQ663" s="58">
        <f>IFERROR(IF($V663="BRAND.com",HLOOKUP($X663&amp;$Z663,'NWC_FC_NON-NOOS'!$C$4:$Q$23,MATCH(W663,'NWC_FC_NON-NOOS'!$B$4:$B$23,0),FALSE),0),0)</f>
        <v>0</v>
      </c>
      <c r="AR663" s="57">
        <f>IFERROR(IF($V663="BRAND.com",HLOOKUP($X663&amp;$Z663,'NWC_FC_NON-NOOS'!$T$4:$AH$23,MATCH(W663,'NWC_FC_NON-NOOS'!$S$4:$S$23,0),FALSE),0),0)</f>
        <v>0</v>
      </c>
      <c r="AS663" s="57">
        <f>IFERROR(IF($V663="BRAND.com",HLOOKUP($X663&amp;$Z663,'NWC_FC_NON-NOOS'!$C$50:$U$69,MATCH(W663,'NWC_FC_NON-NOOS'!$B$50:$B$69,0),FALSE),0),0)</f>
        <v>0</v>
      </c>
      <c r="AT663" s="57">
        <f t="shared" si="268"/>
        <v>0</v>
      </c>
      <c r="AU663" s="57">
        <f t="shared" si="269"/>
        <v>0</v>
      </c>
      <c r="AV663" s="58">
        <f>IFERROR(IF($V663="BRAND.com",HLOOKUP($X663&amp;$Z663,PLANNING_FC!$BB$27:$BP$46,MATCH($W663,PLANNING_FC!$BA$27:$BA$46,0),FALSE),0),0)</f>
        <v>0</v>
      </c>
      <c r="AW663" s="58">
        <f>IFERROR(IF($V663="BRAND.com",HLOOKUP($X663&amp;$Z663,PLANNING_FC!$BB$4:$BP$23,MATCH($W663,PLANNING_FC!$BA$4:$BA$23,0),FALSE),0),0)</f>
        <v>0</v>
      </c>
      <c r="AX663" s="58">
        <f>IFERROR(IF($V663="BRAND.com",HLOOKUP($X663&amp;$Z663,PLANNING_FC!$T$27:$AH$46,MATCH($W663,PLANNING_FC!$B$27:$B$46,0),FALSE),0),0)</f>
        <v>0</v>
      </c>
      <c r="AY663" s="58">
        <f>IFERROR(IF($V663="BRAND.com",HLOOKUP($X663&amp;$Z663,PLANNING_FC!$T$4:$AH$23,MATCH($W663,PLANNING_FC!$B$4:$B$23,0),FALSE),0),0)</f>
        <v>0</v>
      </c>
      <c r="AZ663" s="58">
        <f>IFERROR(IF($V663="BRAND.com",HLOOKUP($X663&amp;$Z663,PLANNING_FC!$DA$27:$DO$46,MATCH($W663,PLANNING_FC!$CZ$27:$CZ$46,0),FALSE),0),0)</f>
        <v>0</v>
      </c>
      <c r="BA663" s="58">
        <f>IFERROR(IF($V663="BRAND.com",HLOOKUP($X663&amp;$Z663,PLANNING_FC!$DA$4:$DO$23,MATCH($W663,PLANNING_FC!$CZ$4:$CZ$23,0),FALSE),0),0)</f>
        <v>0</v>
      </c>
      <c r="BB663" s="883" t="str">
        <f>IF(V663="BRAND.com",IFERROR(HLOOKUP(X663&amp;Z663,PLANNING_FC!$AK$4:$AY$23,MATCH(W663,PLANNING_FC!$AJ$4:$AJ$23,0),FALSE)*1000,""),"")</f>
        <v/>
      </c>
      <c r="BC663" s="883" t="str">
        <f>IF(V663="BRAND.com",IFERROR(HLOOKUP(X663&amp;Z663,PLANNING_FC!$AK$27:$AY$46,MATCH(W663,PLANNING_FC!$AJ$27:$AJ$46,0),FALSE)*1000,""),"")</f>
        <v/>
      </c>
    </row>
    <row r="664" spans="14:55" x14ac:dyDescent="0.25">
      <c r="N664" s="56">
        <f t="shared" si="272"/>
        <v>0</v>
      </c>
      <c r="O664" s="57">
        <f t="shared" si="273"/>
        <v>0</v>
      </c>
      <c r="P664" s="57">
        <f ca="1">IFERROR(IF(ISBLANK(H664),SUMIFS($AC:$AC,$V:$V,V664,$W:$W,W664,$X:$X,X664,$Y:$Y,Y664)*J664/(1-J664)*VLOOKUP(_xlfn.CONCAT(C664,D664,E664,TIME!$M$12,Z664),HIS_SALES!$B$2:$W$4859,20,FALSE),AC664*J664/(1-J664)),0)</f>
        <v>0</v>
      </c>
      <c r="Q664" s="541" t="str">
        <f t="shared" si="283"/>
        <v/>
      </c>
      <c r="R664" s="346" t="str">
        <f t="shared" si="262"/>
        <v>00000</v>
      </c>
      <c r="S664" s="344">
        <f t="shared" si="274"/>
        <v>0</v>
      </c>
      <c r="T664" s="345" t="str">
        <f t="shared" si="267"/>
        <v>000</v>
      </c>
      <c r="U664" s="345">
        <f t="shared" si="275"/>
        <v>0</v>
      </c>
      <c r="V664" s="345">
        <f t="shared" si="276"/>
        <v>0</v>
      </c>
      <c r="W664" s="345">
        <f t="shared" si="277"/>
        <v>0</v>
      </c>
      <c r="X664" s="345">
        <f t="shared" si="278"/>
        <v>0</v>
      </c>
      <c r="Y664" s="345">
        <f t="shared" si="279"/>
        <v>0</v>
      </c>
      <c r="Z664" s="345">
        <f>IF(Q664&lt;&gt;"",VLOOKUP(Y664,TIME!$R$21:$V$24,MATCH(FC_DATA!Q664,TIME!$R$20:$V$20,0),FALSE),H664)</f>
        <v>0</v>
      </c>
      <c r="AA664" s="345" t="str">
        <f>IFERROR(VLOOKUP(X664&amp;Z664,TIME!$A$12:$D$71,4,FALSE),"")</f>
        <v/>
      </c>
      <c r="AB664" s="592">
        <f t="shared" ca="1" si="263"/>
        <v>0</v>
      </c>
      <c r="AC664" s="593" t="e">
        <f ca="1">IF(ISBLANK(H664)=FALSE,IF(D664="BRAND.com",I664,IF(ISNA(VLOOKUP(_xlfn.CONCAT(X664,Z664),TIME!$M$40:$M$42,1,FALSE)),I664,VLOOKUP(_xlfn.CONCAT(D664,G664,H664),M_BUSAREA_FC!$AF$5:$AJ$10,5,FALSE)*HLOOKUP(_xlfn.CONCAT(F664,H664),ST_OVERVIEW!$G$99:$I$130,MATCH(_xlfn.CONCAT(D664,E664),ST_OVERVIEW!$F$99:$F$130,0),FALSE))),IF(D664="BRAND.com",VLOOKUP(_xlfn.CONCAT(C664,D664,E664,TIME!$F$1,Z664),HIS_SALES!$B$2:$V$4859,19,FALSE)*I664,VLOOKUP(_xlfn.CONCAT(D664,F664,G664),Q_BUSAREA_FC!$AE$5:$AI$12,5,FALSE)*HLOOKUP(_xlfn.CONCAT(FC_DATA!F664,FC_DATA!G664),LT_OVERVIEW!$I$99:$M$130,MATCH(_xlfn.CONCAT(D664,FC_DATA!E664),LT_OVERVIEW!$H$99:$H$130,0),FALSE)*IFERROR(VLOOKUP(_xlfn.CONCAT(C664,D664,E664,TIME!$F$1,Z664),HIS_SALES!$B$2:$V$4859,19,FALSE),0)))</f>
        <v>#N/A</v>
      </c>
      <c r="AD664" s="341">
        <f t="shared" ca="1" si="280"/>
        <v>0</v>
      </c>
      <c r="AE664" s="363" t="str">
        <f t="shared" si="281"/>
        <v/>
      </c>
      <c r="AF664" s="342" t="str">
        <f t="shared" si="282"/>
        <v/>
      </c>
      <c r="AG664" s="411" t="e">
        <f ca="1">VLOOKUP(_xlfn.CONCAT(U664,V664,W664,VLOOKUP(X664&amp;Y664,TIME!$L$27:$O$34,4,FALSE),Y664),HIS_SALES!$A$2:$R$5093,18,FALSE)</f>
        <v>#N/A</v>
      </c>
      <c r="AH664" s="412" t="e">
        <f ca="1">IFERROR(IF(AND(V664=V663,W664=W663),0.5*(AB664+AB663)*AG664,(VLOOKUP(_xlfn.CONCAT(U664,V664,W664,X664,VLOOKUP(Z664,TIME!$S$28:$T$39,2,FALSE)),FC_DATA!$R$2:$AB$5000,MATCH("GS_I_M",FC_DATA!$R$1:$AB$1,0),FALSE)+FC_DATA!AB664)*0.5*FC_DATA!AG664),NA())</f>
        <v>#N/A</v>
      </c>
      <c r="AI664" s="491" t="e">
        <f ca="1">IF(V664="PARTNER.com",AH664,IF(AND(V664=V663,W664=W663),(1-AVERAGE(AD663,AD664))*AH664,(1-AVERAGE(AD664,VLOOKUP(_xlfn.CONCAT(U664,V664,W664,X664,M_BRAND_FC!$F$6),FC_DATA!$R$2:$AD$5000,MATCH("DISCOUNT_%_M",FC_DATA!$R$1:$AD$1,0),FALSE)))*AH664))</f>
        <v>#N/A</v>
      </c>
      <c r="AJ664" s="412" t="str">
        <f t="shared" ca="1" si="264"/>
        <v/>
      </c>
      <c r="AK664" s="413" t="str">
        <f>IFERROR(AE664/(Q_BRAND_FC!$T$24+1),"")</f>
        <v/>
      </c>
      <c r="AL664" s="88" t="str">
        <f t="shared" ca="1" si="265"/>
        <v/>
      </c>
      <c r="AM664" s="414" t="str">
        <f t="shared" ca="1" si="266"/>
        <v/>
      </c>
      <c r="AN664" s="58">
        <f>IFERROR(IF($V664="BRAND.com",HLOOKUP($X664&amp;$Z664,NWC_FC_NOOS!$C$4:$Q$23,MATCH(W664,NWC_FC_NOOS!$B$4:$B$23,0),FALSE),0),0)</f>
        <v>0</v>
      </c>
      <c r="AO664" s="57">
        <f>IFERROR(IF($V664="BRAND.com",HLOOKUP($X664&amp;$Z664,NWC_FC_NOOS!$T$4:$AH$23,MATCH(W664,NWC_FC_NOOS!$S$4:$S$23,0),FALSE),0),0)</f>
        <v>0</v>
      </c>
      <c r="AP664" s="57">
        <f>IFERROR(IF($V664="BRAND.com",HLOOKUP($X664&amp;$Z664,NWC_FC_NOOS!$C$50:$U$69,MATCH(W664,NWC_FC_NOOS!$B$50:$B$69,0),FALSE),0),0)</f>
        <v>0</v>
      </c>
      <c r="AQ664" s="58">
        <f>IFERROR(IF($V664="BRAND.com",HLOOKUP($X664&amp;$Z664,'NWC_FC_NON-NOOS'!$C$4:$Q$23,MATCH(W664,'NWC_FC_NON-NOOS'!$B$4:$B$23,0),FALSE),0),0)</f>
        <v>0</v>
      </c>
      <c r="AR664" s="57">
        <f>IFERROR(IF($V664="BRAND.com",HLOOKUP($X664&amp;$Z664,'NWC_FC_NON-NOOS'!$T$4:$AH$23,MATCH(W664,'NWC_FC_NON-NOOS'!$S$4:$S$23,0),FALSE),0),0)</f>
        <v>0</v>
      </c>
      <c r="AS664" s="57">
        <f>IFERROR(IF($V664="BRAND.com",HLOOKUP($X664&amp;$Z664,'NWC_FC_NON-NOOS'!$C$50:$U$69,MATCH(W664,'NWC_FC_NON-NOOS'!$B$50:$B$69,0),FALSE),0),0)</f>
        <v>0</v>
      </c>
      <c r="AT664" s="57">
        <f t="shared" si="268"/>
        <v>0</v>
      </c>
      <c r="AU664" s="57">
        <f t="shared" si="269"/>
        <v>0</v>
      </c>
      <c r="AV664" s="58">
        <f>IFERROR(IF($V664="BRAND.com",HLOOKUP($X664&amp;$Z664,PLANNING_FC!$BB$27:$BP$46,MATCH($W664,PLANNING_FC!$BA$27:$BA$46,0),FALSE),0),0)</f>
        <v>0</v>
      </c>
      <c r="AW664" s="58">
        <f>IFERROR(IF($V664="BRAND.com",HLOOKUP($X664&amp;$Z664,PLANNING_FC!$BB$4:$BP$23,MATCH($W664,PLANNING_FC!$BA$4:$BA$23,0),FALSE),0),0)</f>
        <v>0</v>
      </c>
      <c r="AX664" s="58">
        <f>IFERROR(IF($V664="BRAND.com",HLOOKUP($X664&amp;$Z664,PLANNING_FC!$T$27:$AH$46,MATCH($W664,PLANNING_FC!$B$27:$B$46,0),FALSE),0),0)</f>
        <v>0</v>
      </c>
      <c r="AY664" s="58">
        <f>IFERROR(IF($V664="BRAND.com",HLOOKUP($X664&amp;$Z664,PLANNING_FC!$T$4:$AH$23,MATCH($W664,PLANNING_FC!$B$4:$B$23,0),FALSE),0),0)</f>
        <v>0</v>
      </c>
      <c r="AZ664" s="58">
        <f>IFERROR(IF($V664="BRAND.com",HLOOKUP($X664&amp;$Z664,PLANNING_FC!$DA$27:$DO$46,MATCH($W664,PLANNING_FC!$CZ$27:$CZ$46,0),FALSE),0),0)</f>
        <v>0</v>
      </c>
      <c r="BA664" s="58">
        <f>IFERROR(IF($V664="BRAND.com",HLOOKUP($X664&amp;$Z664,PLANNING_FC!$DA$4:$DO$23,MATCH($W664,PLANNING_FC!$CZ$4:$CZ$23,0),FALSE),0),0)</f>
        <v>0</v>
      </c>
      <c r="BB664" s="883" t="str">
        <f>IF(V664="BRAND.com",IFERROR(HLOOKUP(X664&amp;Z664,PLANNING_FC!$AK$4:$AY$23,MATCH(W664,PLANNING_FC!$AJ$4:$AJ$23,0),FALSE)*1000,""),"")</f>
        <v/>
      </c>
      <c r="BC664" s="883" t="str">
        <f>IF(V664="BRAND.com",IFERROR(HLOOKUP(X664&amp;Z664,PLANNING_FC!$AK$27:$AY$46,MATCH(W664,PLANNING_FC!$AJ$27:$AJ$46,0),FALSE)*1000,""),"")</f>
        <v/>
      </c>
    </row>
    <row r="665" spans="14:55" x14ac:dyDescent="0.25">
      <c r="N665" s="56">
        <f t="shared" si="272"/>
        <v>0</v>
      </c>
      <c r="O665" s="57">
        <f t="shared" si="273"/>
        <v>0</v>
      </c>
      <c r="P665" s="57">
        <f ca="1">IFERROR(IF(ISBLANK(H665),SUMIFS($AC:$AC,$V:$V,V665,$W:$W,W665,$X:$X,X665,$Y:$Y,Y665)*J665/(1-J665)*VLOOKUP(_xlfn.CONCAT(C665,D665,E665,TIME!$M$12,Z665),HIS_SALES!$B$2:$W$4859,20,FALSE),AC665*J665/(1-J665)),0)</f>
        <v>0</v>
      </c>
      <c r="Q665" s="541" t="str">
        <f t="shared" si="283"/>
        <v/>
      </c>
      <c r="R665" s="346" t="str">
        <f t="shared" si="262"/>
        <v>00000</v>
      </c>
      <c r="S665" s="344">
        <f t="shared" si="274"/>
        <v>0</v>
      </c>
      <c r="T665" s="345" t="str">
        <f t="shared" si="267"/>
        <v>000</v>
      </c>
      <c r="U665" s="345">
        <f t="shared" si="275"/>
        <v>0</v>
      </c>
      <c r="V665" s="345">
        <f t="shared" si="276"/>
        <v>0</v>
      </c>
      <c r="W665" s="345">
        <f t="shared" si="277"/>
        <v>0</v>
      </c>
      <c r="X665" s="345">
        <f t="shared" si="278"/>
        <v>0</v>
      </c>
      <c r="Y665" s="345">
        <f t="shared" si="279"/>
        <v>0</v>
      </c>
      <c r="Z665" s="345">
        <f>IF(Q665&lt;&gt;"",VLOOKUP(Y665,TIME!$R$21:$V$24,MATCH(FC_DATA!Q665,TIME!$R$20:$V$20,0),FALSE),H665)</f>
        <v>0</v>
      </c>
      <c r="AA665" s="345" t="str">
        <f>IFERROR(VLOOKUP(X665&amp;Z665,TIME!$A$12:$D$71,4,FALSE),"")</f>
        <v/>
      </c>
      <c r="AB665" s="592">
        <f t="shared" ca="1" si="263"/>
        <v>0</v>
      </c>
      <c r="AC665" s="593" t="e">
        <f ca="1">IF(ISBLANK(H665)=FALSE,IF(D665="BRAND.com",I665,IF(ISNA(VLOOKUP(_xlfn.CONCAT(X665,Z665),TIME!$M$40:$M$42,1,FALSE)),I665,VLOOKUP(_xlfn.CONCAT(D665,G665,H665),M_BUSAREA_FC!$AF$5:$AJ$10,5,FALSE)*HLOOKUP(_xlfn.CONCAT(F665,H665),ST_OVERVIEW!$G$99:$I$130,MATCH(_xlfn.CONCAT(D665,E665),ST_OVERVIEW!$F$99:$F$130,0),FALSE))),IF(D665="BRAND.com",VLOOKUP(_xlfn.CONCAT(C665,D665,E665,TIME!$F$1,Z665),HIS_SALES!$B$2:$V$4859,19,FALSE)*I665,VLOOKUP(_xlfn.CONCAT(D665,F665,G665),Q_BUSAREA_FC!$AE$5:$AI$12,5,FALSE)*HLOOKUP(_xlfn.CONCAT(FC_DATA!F665,FC_DATA!G665),LT_OVERVIEW!$I$99:$M$130,MATCH(_xlfn.CONCAT(D665,FC_DATA!E665),LT_OVERVIEW!$H$99:$H$130,0),FALSE)*IFERROR(VLOOKUP(_xlfn.CONCAT(C665,D665,E665,TIME!$F$1,Z665),HIS_SALES!$B$2:$V$4859,19,FALSE),0)))</f>
        <v>#N/A</v>
      </c>
      <c r="AD665" s="341">
        <f t="shared" ca="1" si="280"/>
        <v>0</v>
      </c>
      <c r="AE665" s="363" t="str">
        <f t="shared" si="281"/>
        <v/>
      </c>
      <c r="AF665" s="342" t="str">
        <f t="shared" si="282"/>
        <v/>
      </c>
      <c r="AG665" s="411" t="e">
        <f ca="1">VLOOKUP(_xlfn.CONCAT(U665,V665,W665,VLOOKUP(X665&amp;Y665,TIME!$L$27:$O$34,4,FALSE),Y665),HIS_SALES!$A$2:$R$5093,18,FALSE)</f>
        <v>#N/A</v>
      </c>
      <c r="AH665" s="412" t="e">
        <f ca="1">IFERROR(IF(AND(V665=V664,W665=W664),0.5*(AB665+AB664)*AG665,(VLOOKUP(_xlfn.CONCAT(U665,V665,W665,X665,VLOOKUP(Z665,TIME!$S$28:$T$39,2,FALSE)),FC_DATA!$R$2:$AB$5000,MATCH("GS_I_M",FC_DATA!$R$1:$AB$1,0),FALSE)+FC_DATA!AB665)*0.5*FC_DATA!AG665),NA())</f>
        <v>#N/A</v>
      </c>
      <c r="AI665" s="491" t="e">
        <f ca="1">IF(V665="PARTNER.com",AH665,IF(AND(V665=V664,W665=W664),(1-AVERAGE(AD664,AD665))*AH665,(1-AVERAGE(AD665,VLOOKUP(_xlfn.CONCAT(U665,V665,W665,X665,M_BRAND_FC!$F$6),FC_DATA!$R$2:$AD$5000,MATCH("DISCOUNT_%_M",FC_DATA!$R$1:$AD$1,0),FALSE)))*AH665))</f>
        <v>#N/A</v>
      </c>
      <c r="AJ665" s="412" t="str">
        <f t="shared" ca="1" si="264"/>
        <v/>
      </c>
      <c r="AK665" s="413" t="str">
        <f>IFERROR(AE665/(Q_BRAND_FC!$T$24+1),"")</f>
        <v/>
      </c>
      <c r="AL665" s="88" t="str">
        <f t="shared" ca="1" si="265"/>
        <v/>
      </c>
      <c r="AM665" s="414" t="str">
        <f t="shared" ca="1" si="266"/>
        <v/>
      </c>
      <c r="AN665" s="58">
        <f>IFERROR(IF($V665="BRAND.com",HLOOKUP($X665&amp;$Z665,NWC_FC_NOOS!$C$4:$Q$23,MATCH(W665,NWC_FC_NOOS!$B$4:$B$23,0),FALSE),0),0)</f>
        <v>0</v>
      </c>
      <c r="AO665" s="57">
        <f>IFERROR(IF($V665="BRAND.com",HLOOKUP($X665&amp;$Z665,NWC_FC_NOOS!$T$4:$AH$23,MATCH(W665,NWC_FC_NOOS!$S$4:$S$23,0),FALSE),0),0)</f>
        <v>0</v>
      </c>
      <c r="AP665" s="57">
        <f>IFERROR(IF($V665="BRAND.com",HLOOKUP($X665&amp;$Z665,NWC_FC_NOOS!$C$50:$U$69,MATCH(W665,NWC_FC_NOOS!$B$50:$B$69,0),FALSE),0),0)</f>
        <v>0</v>
      </c>
      <c r="AQ665" s="58">
        <f>IFERROR(IF($V665="BRAND.com",HLOOKUP($X665&amp;$Z665,'NWC_FC_NON-NOOS'!$C$4:$Q$23,MATCH(W665,'NWC_FC_NON-NOOS'!$B$4:$B$23,0),FALSE),0),0)</f>
        <v>0</v>
      </c>
      <c r="AR665" s="57">
        <f>IFERROR(IF($V665="BRAND.com",HLOOKUP($X665&amp;$Z665,'NWC_FC_NON-NOOS'!$T$4:$AH$23,MATCH(W665,'NWC_FC_NON-NOOS'!$S$4:$S$23,0),FALSE),0),0)</f>
        <v>0</v>
      </c>
      <c r="AS665" s="57">
        <f>IFERROR(IF($V665="BRAND.com",HLOOKUP($X665&amp;$Z665,'NWC_FC_NON-NOOS'!$C$50:$U$69,MATCH(W665,'NWC_FC_NON-NOOS'!$B$50:$B$69,0),FALSE),0),0)</f>
        <v>0</v>
      </c>
      <c r="AT665" s="57">
        <f t="shared" si="268"/>
        <v>0</v>
      </c>
      <c r="AU665" s="57">
        <f t="shared" si="269"/>
        <v>0</v>
      </c>
      <c r="AV665" s="58">
        <f>IFERROR(IF($V665="BRAND.com",HLOOKUP($X665&amp;$Z665,PLANNING_FC!$BB$27:$BP$46,MATCH($W665,PLANNING_FC!$BA$27:$BA$46,0),FALSE),0),0)</f>
        <v>0</v>
      </c>
      <c r="AW665" s="58">
        <f>IFERROR(IF($V665="BRAND.com",HLOOKUP($X665&amp;$Z665,PLANNING_FC!$BB$4:$BP$23,MATCH($W665,PLANNING_FC!$BA$4:$BA$23,0),FALSE),0),0)</f>
        <v>0</v>
      </c>
      <c r="AX665" s="58">
        <f>IFERROR(IF($V665="BRAND.com",HLOOKUP($X665&amp;$Z665,PLANNING_FC!$T$27:$AH$46,MATCH($W665,PLANNING_FC!$B$27:$B$46,0),FALSE),0),0)</f>
        <v>0</v>
      </c>
      <c r="AY665" s="58">
        <f>IFERROR(IF($V665="BRAND.com",HLOOKUP($X665&amp;$Z665,PLANNING_FC!$T$4:$AH$23,MATCH($W665,PLANNING_FC!$B$4:$B$23,0),FALSE),0),0)</f>
        <v>0</v>
      </c>
      <c r="AZ665" s="58">
        <f>IFERROR(IF($V665="BRAND.com",HLOOKUP($X665&amp;$Z665,PLANNING_FC!$DA$27:$DO$46,MATCH($W665,PLANNING_FC!$CZ$27:$CZ$46,0),FALSE),0),0)</f>
        <v>0</v>
      </c>
      <c r="BA665" s="58">
        <f>IFERROR(IF($V665="BRAND.com",HLOOKUP($X665&amp;$Z665,PLANNING_FC!$DA$4:$DO$23,MATCH($W665,PLANNING_FC!$CZ$4:$CZ$23,0),FALSE),0),0)</f>
        <v>0</v>
      </c>
      <c r="BB665" s="883" t="str">
        <f>IF(V665="BRAND.com",IFERROR(HLOOKUP(X665&amp;Z665,PLANNING_FC!$AK$4:$AY$23,MATCH(W665,PLANNING_FC!$AJ$4:$AJ$23,0),FALSE)*1000,""),"")</f>
        <v/>
      </c>
      <c r="BC665" s="883" t="str">
        <f>IF(V665="BRAND.com",IFERROR(HLOOKUP(X665&amp;Z665,PLANNING_FC!$AK$27:$AY$46,MATCH(W665,PLANNING_FC!$AJ$27:$AJ$46,0),FALSE)*1000,""),"")</f>
        <v/>
      </c>
    </row>
    <row r="666" spans="14:55" x14ac:dyDescent="0.25">
      <c r="N666" s="56">
        <f t="shared" si="272"/>
        <v>0</v>
      </c>
      <c r="O666" s="57">
        <f t="shared" si="273"/>
        <v>0</v>
      </c>
      <c r="P666" s="57">
        <f ca="1">IFERROR(IF(ISBLANK(H666),SUMIFS($AC:$AC,$V:$V,V666,$W:$W,W666,$X:$X,X666,$Y:$Y,Y666)*J666/(1-J666)*VLOOKUP(_xlfn.CONCAT(C666,D666,E666,TIME!$M$12,Z666),HIS_SALES!$B$2:$W$4859,20,FALSE),AC666*J666/(1-J666)),0)</f>
        <v>0</v>
      </c>
      <c r="Q666" s="541" t="str">
        <f t="shared" si="283"/>
        <v/>
      </c>
      <c r="R666" s="346" t="str">
        <f t="shared" si="262"/>
        <v>00000</v>
      </c>
      <c r="S666" s="344">
        <f t="shared" si="274"/>
        <v>0</v>
      </c>
      <c r="T666" s="345" t="str">
        <f t="shared" si="267"/>
        <v>000</v>
      </c>
      <c r="U666" s="345">
        <f t="shared" si="275"/>
        <v>0</v>
      </c>
      <c r="V666" s="345">
        <f t="shared" si="276"/>
        <v>0</v>
      </c>
      <c r="W666" s="345">
        <f t="shared" si="277"/>
        <v>0</v>
      </c>
      <c r="X666" s="345">
        <f t="shared" si="278"/>
        <v>0</v>
      </c>
      <c r="Y666" s="345">
        <f t="shared" si="279"/>
        <v>0</v>
      </c>
      <c r="Z666" s="345">
        <f>IF(Q666&lt;&gt;"",VLOOKUP(Y666,TIME!$R$21:$V$24,MATCH(FC_DATA!Q666,TIME!$R$20:$V$20,0),FALSE),H666)</f>
        <v>0</v>
      </c>
      <c r="AA666" s="345" t="str">
        <f>IFERROR(VLOOKUP(X666&amp;Z666,TIME!$A$12:$D$71,4,FALSE),"")</f>
        <v/>
      </c>
      <c r="AB666" s="592">
        <f t="shared" ca="1" si="263"/>
        <v>0</v>
      </c>
      <c r="AC666" s="593" t="e">
        <f ca="1">IF(ISBLANK(H666)=FALSE,IF(D666="BRAND.com",I666,IF(ISNA(VLOOKUP(_xlfn.CONCAT(X666,Z666),TIME!$M$40:$M$42,1,FALSE)),I666,VLOOKUP(_xlfn.CONCAT(D666,G666,H666),M_BUSAREA_FC!$AF$5:$AJ$10,5,FALSE)*HLOOKUP(_xlfn.CONCAT(F666,H666),ST_OVERVIEW!$G$99:$I$130,MATCH(_xlfn.CONCAT(D666,E666),ST_OVERVIEW!$F$99:$F$130,0),FALSE))),IF(D666="BRAND.com",VLOOKUP(_xlfn.CONCAT(C666,D666,E666,TIME!$F$1,Z666),HIS_SALES!$B$2:$V$4859,19,FALSE)*I666,VLOOKUP(_xlfn.CONCAT(D666,F666,G666),Q_BUSAREA_FC!$AE$5:$AI$12,5,FALSE)*HLOOKUP(_xlfn.CONCAT(FC_DATA!F666,FC_DATA!G666),LT_OVERVIEW!$I$99:$M$130,MATCH(_xlfn.CONCAT(D666,FC_DATA!E666),LT_OVERVIEW!$H$99:$H$130,0),FALSE)*IFERROR(VLOOKUP(_xlfn.CONCAT(C666,D666,E666,TIME!$F$1,Z666),HIS_SALES!$B$2:$V$4859,19,FALSE),0)))</f>
        <v>#N/A</v>
      </c>
      <c r="AD666" s="341">
        <f t="shared" ca="1" si="280"/>
        <v>0</v>
      </c>
      <c r="AE666" s="363" t="str">
        <f t="shared" si="281"/>
        <v/>
      </c>
      <c r="AF666" s="342" t="str">
        <f t="shared" si="282"/>
        <v/>
      </c>
      <c r="AG666" s="411" t="e">
        <f ca="1">VLOOKUP(_xlfn.CONCAT(U666,V666,W666,VLOOKUP(X666&amp;Y666,TIME!$L$27:$O$34,4,FALSE),Y666),HIS_SALES!$A$2:$R$5093,18,FALSE)</f>
        <v>#N/A</v>
      </c>
      <c r="AH666" s="412" t="e">
        <f ca="1">IFERROR(IF(AND(V666=V665,W666=W665),0.5*(AB666+AB665)*AG666,(VLOOKUP(_xlfn.CONCAT(U666,V666,W666,X666,VLOOKUP(Z666,TIME!$S$28:$T$39,2,FALSE)),FC_DATA!$R$2:$AB$5000,MATCH("GS_I_M",FC_DATA!$R$1:$AB$1,0),FALSE)+FC_DATA!AB666)*0.5*FC_DATA!AG666),NA())</f>
        <v>#N/A</v>
      </c>
      <c r="AI666" s="491" t="e">
        <f ca="1">IF(V666="PARTNER.com",AH666,IF(AND(V666=V665,W666=W665),(1-AVERAGE(AD665,AD666))*AH666,(1-AVERAGE(AD666,VLOOKUP(_xlfn.CONCAT(U666,V666,W666,X666,M_BRAND_FC!$F$6),FC_DATA!$R$2:$AD$5000,MATCH("DISCOUNT_%_M",FC_DATA!$R$1:$AD$1,0),FALSE)))*AH666))</f>
        <v>#N/A</v>
      </c>
      <c r="AJ666" s="412" t="str">
        <f t="shared" ca="1" si="264"/>
        <v/>
      </c>
      <c r="AK666" s="413" t="str">
        <f>IFERROR(AE666/(Q_BRAND_FC!$T$24+1),"")</f>
        <v/>
      </c>
      <c r="AL666" s="88" t="str">
        <f t="shared" ca="1" si="265"/>
        <v/>
      </c>
      <c r="AM666" s="414" t="str">
        <f t="shared" ca="1" si="266"/>
        <v/>
      </c>
      <c r="AN666" s="58">
        <f>IFERROR(IF($V666="BRAND.com",HLOOKUP($X666&amp;$Z666,NWC_FC_NOOS!$C$4:$Q$23,MATCH(W666,NWC_FC_NOOS!$B$4:$B$23,0),FALSE),0),0)</f>
        <v>0</v>
      </c>
      <c r="AO666" s="57">
        <f>IFERROR(IF($V666="BRAND.com",HLOOKUP($X666&amp;$Z666,NWC_FC_NOOS!$T$4:$AH$23,MATCH(W666,NWC_FC_NOOS!$S$4:$S$23,0),FALSE),0),0)</f>
        <v>0</v>
      </c>
      <c r="AP666" s="57">
        <f>IFERROR(IF($V666="BRAND.com",HLOOKUP($X666&amp;$Z666,NWC_FC_NOOS!$C$50:$U$69,MATCH(W666,NWC_FC_NOOS!$B$50:$B$69,0),FALSE),0),0)</f>
        <v>0</v>
      </c>
      <c r="AQ666" s="58">
        <f>IFERROR(IF($V666="BRAND.com",HLOOKUP($X666&amp;$Z666,'NWC_FC_NON-NOOS'!$C$4:$Q$23,MATCH(W666,'NWC_FC_NON-NOOS'!$B$4:$B$23,0),FALSE),0),0)</f>
        <v>0</v>
      </c>
      <c r="AR666" s="57">
        <f>IFERROR(IF($V666="BRAND.com",HLOOKUP($X666&amp;$Z666,'NWC_FC_NON-NOOS'!$T$4:$AH$23,MATCH(W666,'NWC_FC_NON-NOOS'!$S$4:$S$23,0),FALSE),0),0)</f>
        <v>0</v>
      </c>
      <c r="AS666" s="57">
        <f>IFERROR(IF($V666="BRAND.com",HLOOKUP($X666&amp;$Z666,'NWC_FC_NON-NOOS'!$C$50:$U$69,MATCH(W666,'NWC_FC_NON-NOOS'!$B$50:$B$69,0),FALSE),0),0)</f>
        <v>0</v>
      </c>
      <c r="AT666" s="57">
        <f t="shared" si="268"/>
        <v>0</v>
      </c>
      <c r="AU666" s="57">
        <f t="shared" si="269"/>
        <v>0</v>
      </c>
      <c r="AV666" s="58">
        <f>IFERROR(IF($V666="BRAND.com",HLOOKUP($X666&amp;$Z666,PLANNING_FC!$BB$27:$BP$46,MATCH($W666,PLANNING_FC!$BA$27:$BA$46,0),FALSE),0),0)</f>
        <v>0</v>
      </c>
      <c r="AW666" s="58">
        <f>IFERROR(IF($V666="BRAND.com",HLOOKUP($X666&amp;$Z666,PLANNING_FC!$BB$4:$BP$23,MATCH($W666,PLANNING_FC!$BA$4:$BA$23,0),FALSE),0),0)</f>
        <v>0</v>
      </c>
      <c r="AX666" s="58">
        <f>IFERROR(IF($V666="BRAND.com",HLOOKUP($X666&amp;$Z666,PLANNING_FC!$T$27:$AH$46,MATCH($W666,PLANNING_FC!$B$27:$B$46,0),FALSE),0),0)</f>
        <v>0</v>
      </c>
      <c r="AY666" s="58">
        <f>IFERROR(IF($V666="BRAND.com",HLOOKUP($X666&amp;$Z666,PLANNING_FC!$T$4:$AH$23,MATCH($W666,PLANNING_FC!$B$4:$B$23,0),FALSE),0),0)</f>
        <v>0</v>
      </c>
      <c r="AZ666" s="58">
        <f>IFERROR(IF($V666="BRAND.com",HLOOKUP($X666&amp;$Z666,PLANNING_FC!$DA$27:$DO$46,MATCH($W666,PLANNING_FC!$CZ$27:$CZ$46,0),FALSE),0),0)</f>
        <v>0</v>
      </c>
      <c r="BA666" s="58">
        <f>IFERROR(IF($V666="BRAND.com",HLOOKUP($X666&amp;$Z666,PLANNING_FC!$DA$4:$DO$23,MATCH($W666,PLANNING_FC!$CZ$4:$CZ$23,0),FALSE),0),0)</f>
        <v>0</v>
      </c>
      <c r="BB666" s="883" t="str">
        <f>IF(V666="BRAND.com",IFERROR(HLOOKUP(X666&amp;Z666,PLANNING_FC!$AK$4:$AY$23,MATCH(W666,PLANNING_FC!$AJ$4:$AJ$23,0),FALSE)*1000,""),"")</f>
        <v/>
      </c>
      <c r="BC666" s="883" t="str">
        <f>IF(V666="BRAND.com",IFERROR(HLOOKUP(X666&amp;Z666,PLANNING_FC!$AK$27:$AY$46,MATCH(W666,PLANNING_FC!$AJ$27:$AJ$46,0),FALSE)*1000,""),"")</f>
        <v/>
      </c>
    </row>
    <row r="667" spans="14:55" x14ac:dyDescent="0.25">
      <c r="N667" s="56">
        <f t="shared" si="272"/>
        <v>0</v>
      </c>
      <c r="O667" s="57">
        <f t="shared" si="273"/>
        <v>0</v>
      </c>
      <c r="P667" s="57">
        <f ca="1">IFERROR(IF(ISBLANK(H667),SUMIFS($AC:$AC,$V:$V,V667,$W:$W,W667,$X:$X,X667,$Y:$Y,Y667)*J667/(1-J667)*VLOOKUP(_xlfn.CONCAT(C667,D667,E667,TIME!$M$12,Z667),HIS_SALES!$B$2:$W$4859,20,FALSE),AC667*J667/(1-J667)),0)</f>
        <v>0</v>
      </c>
      <c r="Q667" s="541" t="str">
        <f t="shared" si="283"/>
        <v/>
      </c>
      <c r="R667" s="346" t="str">
        <f t="shared" si="262"/>
        <v>00000</v>
      </c>
      <c r="S667" s="344">
        <f t="shared" si="274"/>
        <v>0</v>
      </c>
      <c r="T667" s="345" t="str">
        <f t="shared" si="267"/>
        <v>000</v>
      </c>
      <c r="U667" s="345">
        <f t="shared" si="275"/>
        <v>0</v>
      </c>
      <c r="V667" s="345">
        <f t="shared" si="276"/>
        <v>0</v>
      </c>
      <c r="W667" s="345">
        <f t="shared" si="277"/>
        <v>0</v>
      </c>
      <c r="X667" s="345">
        <f t="shared" si="278"/>
        <v>0</v>
      </c>
      <c r="Y667" s="345">
        <f t="shared" si="279"/>
        <v>0</v>
      </c>
      <c r="Z667" s="345">
        <f>IF(Q667&lt;&gt;"",VLOOKUP(Y667,TIME!$R$21:$V$24,MATCH(FC_DATA!Q667,TIME!$R$20:$V$20,0),FALSE),H667)</f>
        <v>0</v>
      </c>
      <c r="AA667" s="345" t="str">
        <f>IFERROR(VLOOKUP(X667&amp;Z667,TIME!$A$12:$D$71,4,FALSE),"")</f>
        <v/>
      </c>
      <c r="AB667" s="592">
        <f t="shared" ca="1" si="263"/>
        <v>0</v>
      </c>
      <c r="AC667" s="593" t="e">
        <f ca="1">IF(ISBLANK(H667)=FALSE,IF(D667="BRAND.com",I667,IF(ISNA(VLOOKUP(_xlfn.CONCAT(X667,Z667),TIME!$M$40:$M$42,1,FALSE)),I667,VLOOKUP(_xlfn.CONCAT(D667,G667,H667),M_BUSAREA_FC!$AF$5:$AJ$10,5,FALSE)*HLOOKUP(_xlfn.CONCAT(F667,H667),ST_OVERVIEW!$G$99:$I$130,MATCH(_xlfn.CONCAT(D667,E667),ST_OVERVIEW!$F$99:$F$130,0),FALSE))),IF(D667="BRAND.com",VLOOKUP(_xlfn.CONCAT(C667,D667,E667,TIME!$F$1,Z667),HIS_SALES!$B$2:$V$4859,19,FALSE)*I667,VLOOKUP(_xlfn.CONCAT(D667,F667,G667),Q_BUSAREA_FC!$AE$5:$AI$12,5,FALSE)*HLOOKUP(_xlfn.CONCAT(FC_DATA!F667,FC_DATA!G667),LT_OVERVIEW!$I$99:$M$130,MATCH(_xlfn.CONCAT(D667,FC_DATA!E667),LT_OVERVIEW!$H$99:$H$130,0),FALSE)*IFERROR(VLOOKUP(_xlfn.CONCAT(C667,D667,E667,TIME!$F$1,Z667),HIS_SALES!$B$2:$V$4859,19,FALSE),0)))</f>
        <v>#N/A</v>
      </c>
      <c r="AD667" s="341">
        <f t="shared" ca="1" si="280"/>
        <v>0</v>
      </c>
      <c r="AE667" s="363" t="str">
        <f t="shared" si="281"/>
        <v/>
      </c>
      <c r="AF667" s="342" t="str">
        <f t="shared" si="282"/>
        <v/>
      </c>
      <c r="AG667" s="411" t="e">
        <f ca="1">VLOOKUP(_xlfn.CONCAT(U667,V667,W667,VLOOKUP(X667&amp;Y667,TIME!$L$27:$O$34,4,FALSE),Y667),HIS_SALES!$A$2:$R$5093,18,FALSE)</f>
        <v>#N/A</v>
      </c>
      <c r="AH667" s="412" t="e">
        <f ca="1">IFERROR(IF(AND(V667=V666,W667=W666),0.5*(AB667+AB666)*AG667,(VLOOKUP(_xlfn.CONCAT(U667,V667,W667,X667,VLOOKUP(Z667,TIME!$S$28:$T$39,2,FALSE)),FC_DATA!$R$2:$AB$5000,MATCH("GS_I_M",FC_DATA!$R$1:$AB$1,0),FALSE)+FC_DATA!AB667)*0.5*FC_DATA!AG667),NA())</f>
        <v>#N/A</v>
      </c>
      <c r="AI667" s="491" t="e">
        <f ca="1">IF(V667="PARTNER.com",AH667,IF(AND(V667=V666,W667=W666),(1-AVERAGE(AD666,AD667))*AH667,(1-AVERAGE(AD667,VLOOKUP(_xlfn.CONCAT(U667,V667,W667,X667,M_BRAND_FC!$F$6),FC_DATA!$R$2:$AD$5000,MATCH("DISCOUNT_%_M",FC_DATA!$R$1:$AD$1,0),FALSE)))*AH667))</f>
        <v>#N/A</v>
      </c>
      <c r="AJ667" s="412" t="str">
        <f t="shared" ca="1" si="264"/>
        <v/>
      </c>
      <c r="AK667" s="413" t="str">
        <f>IFERROR(AE667/(Q_BRAND_FC!$T$24+1),"")</f>
        <v/>
      </c>
      <c r="AL667" s="88" t="str">
        <f t="shared" ca="1" si="265"/>
        <v/>
      </c>
      <c r="AM667" s="414" t="str">
        <f t="shared" ca="1" si="266"/>
        <v/>
      </c>
      <c r="AN667" s="58">
        <f>IFERROR(IF($V667="BRAND.com",HLOOKUP($X667&amp;$Z667,NWC_FC_NOOS!$C$4:$Q$23,MATCH(W667,NWC_FC_NOOS!$B$4:$B$23,0),FALSE),0),0)</f>
        <v>0</v>
      </c>
      <c r="AO667" s="57">
        <f>IFERROR(IF($V667="BRAND.com",HLOOKUP($X667&amp;$Z667,NWC_FC_NOOS!$T$4:$AH$23,MATCH(W667,NWC_FC_NOOS!$S$4:$S$23,0),FALSE),0),0)</f>
        <v>0</v>
      </c>
      <c r="AP667" s="57">
        <f>IFERROR(IF($V667="BRAND.com",HLOOKUP($X667&amp;$Z667,NWC_FC_NOOS!$C$50:$U$69,MATCH(W667,NWC_FC_NOOS!$B$50:$B$69,0),FALSE),0),0)</f>
        <v>0</v>
      </c>
      <c r="AQ667" s="58">
        <f>IFERROR(IF($V667="BRAND.com",HLOOKUP($X667&amp;$Z667,'NWC_FC_NON-NOOS'!$C$4:$Q$23,MATCH(W667,'NWC_FC_NON-NOOS'!$B$4:$B$23,0),FALSE),0),0)</f>
        <v>0</v>
      </c>
      <c r="AR667" s="57">
        <f>IFERROR(IF($V667="BRAND.com",HLOOKUP($X667&amp;$Z667,'NWC_FC_NON-NOOS'!$T$4:$AH$23,MATCH(W667,'NWC_FC_NON-NOOS'!$S$4:$S$23,0),FALSE),0),0)</f>
        <v>0</v>
      </c>
      <c r="AS667" s="57">
        <f>IFERROR(IF($V667="BRAND.com",HLOOKUP($X667&amp;$Z667,'NWC_FC_NON-NOOS'!$C$50:$U$69,MATCH(W667,'NWC_FC_NON-NOOS'!$B$50:$B$69,0),FALSE),0),0)</f>
        <v>0</v>
      </c>
      <c r="AT667" s="57">
        <f t="shared" si="268"/>
        <v>0</v>
      </c>
      <c r="AU667" s="57">
        <f t="shared" si="269"/>
        <v>0</v>
      </c>
      <c r="AV667" s="58">
        <f>IFERROR(IF($V667="BRAND.com",HLOOKUP($X667&amp;$Z667,PLANNING_FC!$BB$27:$BP$46,MATCH($W667,PLANNING_FC!$BA$27:$BA$46,0),FALSE),0),0)</f>
        <v>0</v>
      </c>
      <c r="AW667" s="58">
        <f>IFERROR(IF($V667="BRAND.com",HLOOKUP($X667&amp;$Z667,PLANNING_FC!$BB$4:$BP$23,MATCH($W667,PLANNING_FC!$BA$4:$BA$23,0),FALSE),0),0)</f>
        <v>0</v>
      </c>
      <c r="AX667" s="58">
        <f>IFERROR(IF($V667="BRAND.com",HLOOKUP($X667&amp;$Z667,PLANNING_FC!$T$27:$AH$46,MATCH($W667,PLANNING_FC!$B$27:$B$46,0),FALSE),0),0)</f>
        <v>0</v>
      </c>
      <c r="AY667" s="58">
        <f>IFERROR(IF($V667="BRAND.com",HLOOKUP($X667&amp;$Z667,PLANNING_FC!$T$4:$AH$23,MATCH($W667,PLANNING_FC!$B$4:$B$23,0),FALSE),0),0)</f>
        <v>0</v>
      </c>
      <c r="AZ667" s="58">
        <f>IFERROR(IF($V667="BRAND.com",HLOOKUP($X667&amp;$Z667,PLANNING_FC!$DA$27:$DO$46,MATCH($W667,PLANNING_FC!$CZ$27:$CZ$46,0),FALSE),0),0)</f>
        <v>0</v>
      </c>
      <c r="BA667" s="58">
        <f>IFERROR(IF($V667="BRAND.com",HLOOKUP($X667&amp;$Z667,PLANNING_FC!$DA$4:$DO$23,MATCH($W667,PLANNING_FC!$CZ$4:$CZ$23,0),FALSE),0),0)</f>
        <v>0</v>
      </c>
      <c r="BB667" s="883" t="str">
        <f>IF(V667="BRAND.com",IFERROR(HLOOKUP(X667&amp;Z667,PLANNING_FC!$AK$4:$AY$23,MATCH(W667,PLANNING_FC!$AJ$4:$AJ$23,0),FALSE)*1000,""),"")</f>
        <v/>
      </c>
      <c r="BC667" s="883" t="str">
        <f>IF(V667="BRAND.com",IFERROR(HLOOKUP(X667&amp;Z667,PLANNING_FC!$AK$27:$AY$46,MATCH(W667,PLANNING_FC!$AJ$27:$AJ$46,0),FALSE)*1000,""),"")</f>
        <v/>
      </c>
    </row>
    <row r="668" spans="14:55" x14ac:dyDescent="0.25">
      <c r="N668" s="56">
        <f t="shared" si="272"/>
        <v>0</v>
      </c>
      <c r="O668" s="57">
        <f t="shared" si="273"/>
        <v>0</v>
      </c>
      <c r="P668" s="57">
        <f ca="1">IFERROR(IF(ISBLANK(H668),SUMIFS($AC:$AC,$V:$V,V668,$W:$W,W668,$X:$X,X668,$Y:$Y,Y668)*J668/(1-J668)*VLOOKUP(_xlfn.CONCAT(C668,D668,E668,TIME!$M$12,Z668),HIS_SALES!$B$2:$W$4859,20,FALSE),AC668*J668/(1-J668)),0)</f>
        <v>0</v>
      </c>
      <c r="Q668" s="541" t="str">
        <f t="shared" si="283"/>
        <v/>
      </c>
      <c r="R668" s="346" t="str">
        <f t="shared" si="262"/>
        <v>00000</v>
      </c>
      <c r="S668" s="344">
        <f t="shared" si="274"/>
        <v>0</v>
      </c>
      <c r="T668" s="345" t="str">
        <f t="shared" si="267"/>
        <v>000</v>
      </c>
      <c r="U668" s="345">
        <f t="shared" si="275"/>
        <v>0</v>
      </c>
      <c r="V668" s="345">
        <f t="shared" si="276"/>
        <v>0</v>
      </c>
      <c r="W668" s="345">
        <f t="shared" si="277"/>
        <v>0</v>
      </c>
      <c r="X668" s="345">
        <f t="shared" si="278"/>
        <v>0</v>
      </c>
      <c r="Y668" s="345">
        <f t="shared" si="279"/>
        <v>0</v>
      </c>
      <c r="Z668" s="345">
        <f>IF(Q668&lt;&gt;"",VLOOKUP(Y668,TIME!$R$21:$V$24,MATCH(FC_DATA!Q668,TIME!$R$20:$V$20,0),FALSE),H668)</f>
        <v>0</v>
      </c>
      <c r="AA668" s="345" t="str">
        <f>IFERROR(VLOOKUP(X668&amp;Z668,TIME!$A$12:$D$71,4,FALSE),"")</f>
        <v/>
      </c>
      <c r="AB668" s="592">
        <f t="shared" ca="1" si="263"/>
        <v>0</v>
      </c>
      <c r="AC668" s="593" t="e">
        <f ca="1">IF(ISBLANK(H668)=FALSE,IF(D668="BRAND.com",I668,IF(ISNA(VLOOKUP(_xlfn.CONCAT(X668,Z668),TIME!$M$40:$M$42,1,FALSE)),I668,VLOOKUP(_xlfn.CONCAT(D668,G668,H668),M_BUSAREA_FC!$AF$5:$AJ$10,5,FALSE)*HLOOKUP(_xlfn.CONCAT(F668,H668),ST_OVERVIEW!$G$99:$I$130,MATCH(_xlfn.CONCAT(D668,E668),ST_OVERVIEW!$F$99:$F$130,0),FALSE))),IF(D668="BRAND.com",VLOOKUP(_xlfn.CONCAT(C668,D668,E668,TIME!$F$1,Z668),HIS_SALES!$B$2:$V$4859,19,FALSE)*I668,VLOOKUP(_xlfn.CONCAT(D668,F668,G668),Q_BUSAREA_FC!$AE$5:$AI$12,5,FALSE)*HLOOKUP(_xlfn.CONCAT(FC_DATA!F668,FC_DATA!G668),LT_OVERVIEW!$I$99:$M$130,MATCH(_xlfn.CONCAT(D668,FC_DATA!E668),LT_OVERVIEW!$H$99:$H$130,0),FALSE)*IFERROR(VLOOKUP(_xlfn.CONCAT(C668,D668,E668,TIME!$F$1,Z668),HIS_SALES!$B$2:$V$4859,19,FALSE),0)))</f>
        <v>#N/A</v>
      </c>
      <c r="AD668" s="341">
        <f t="shared" ca="1" si="280"/>
        <v>0</v>
      </c>
      <c r="AE668" s="363" t="str">
        <f t="shared" si="281"/>
        <v/>
      </c>
      <c r="AF668" s="342" t="str">
        <f t="shared" si="282"/>
        <v/>
      </c>
      <c r="AG668" s="411" t="e">
        <f ca="1">VLOOKUP(_xlfn.CONCAT(U668,V668,W668,VLOOKUP(X668&amp;Y668,TIME!$L$27:$O$34,4,FALSE),Y668),HIS_SALES!$A$2:$R$5093,18,FALSE)</f>
        <v>#N/A</v>
      </c>
      <c r="AH668" s="412" t="e">
        <f ca="1">IFERROR(IF(AND(V668=V667,W668=W667),0.5*(AB668+AB667)*AG668,(VLOOKUP(_xlfn.CONCAT(U668,V668,W668,X668,VLOOKUP(Z668,TIME!$S$28:$T$39,2,FALSE)),FC_DATA!$R$2:$AB$5000,MATCH("GS_I_M",FC_DATA!$R$1:$AB$1,0),FALSE)+FC_DATA!AB668)*0.5*FC_DATA!AG668),NA())</f>
        <v>#N/A</v>
      </c>
      <c r="AI668" s="491" t="e">
        <f ca="1">IF(V668="PARTNER.com",AH668,IF(AND(V668=V667,W668=W667),(1-AVERAGE(AD667,AD668))*AH668,(1-AVERAGE(AD668,VLOOKUP(_xlfn.CONCAT(U668,V668,W668,X668,M_BRAND_FC!$F$6),FC_DATA!$R$2:$AD$5000,MATCH("DISCOUNT_%_M",FC_DATA!$R$1:$AD$1,0),FALSE)))*AH668))</f>
        <v>#N/A</v>
      </c>
      <c r="AJ668" s="412" t="str">
        <f t="shared" ca="1" si="264"/>
        <v/>
      </c>
      <c r="AK668" s="413" t="str">
        <f>IFERROR(AE668/(Q_BRAND_FC!$T$24+1),"")</f>
        <v/>
      </c>
      <c r="AL668" s="88" t="str">
        <f t="shared" ca="1" si="265"/>
        <v/>
      </c>
      <c r="AM668" s="414" t="str">
        <f t="shared" ca="1" si="266"/>
        <v/>
      </c>
      <c r="AN668" s="58">
        <f>IFERROR(IF($V668="BRAND.com",HLOOKUP($X668&amp;$Z668,NWC_FC_NOOS!$C$4:$Q$23,MATCH(W668,NWC_FC_NOOS!$B$4:$B$23,0),FALSE),0),0)</f>
        <v>0</v>
      </c>
      <c r="AO668" s="57">
        <f>IFERROR(IF($V668="BRAND.com",HLOOKUP($X668&amp;$Z668,NWC_FC_NOOS!$T$4:$AH$23,MATCH(W668,NWC_FC_NOOS!$S$4:$S$23,0),FALSE),0),0)</f>
        <v>0</v>
      </c>
      <c r="AP668" s="57">
        <f>IFERROR(IF($V668="BRAND.com",HLOOKUP($X668&amp;$Z668,NWC_FC_NOOS!$C$50:$U$69,MATCH(W668,NWC_FC_NOOS!$B$50:$B$69,0),FALSE),0),0)</f>
        <v>0</v>
      </c>
      <c r="AQ668" s="58">
        <f>IFERROR(IF($V668="BRAND.com",HLOOKUP($X668&amp;$Z668,'NWC_FC_NON-NOOS'!$C$4:$Q$23,MATCH(W668,'NWC_FC_NON-NOOS'!$B$4:$B$23,0),FALSE),0),0)</f>
        <v>0</v>
      </c>
      <c r="AR668" s="57">
        <f>IFERROR(IF($V668="BRAND.com",HLOOKUP($X668&amp;$Z668,'NWC_FC_NON-NOOS'!$T$4:$AH$23,MATCH(W668,'NWC_FC_NON-NOOS'!$S$4:$S$23,0),FALSE),0),0)</f>
        <v>0</v>
      </c>
      <c r="AS668" s="57">
        <f>IFERROR(IF($V668="BRAND.com",HLOOKUP($X668&amp;$Z668,'NWC_FC_NON-NOOS'!$C$50:$U$69,MATCH(W668,'NWC_FC_NON-NOOS'!$B$50:$B$69,0),FALSE),0),0)</f>
        <v>0</v>
      </c>
      <c r="AT668" s="57">
        <f t="shared" si="268"/>
        <v>0</v>
      </c>
      <c r="AU668" s="57">
        <f t="shared" si="269"/>
        <v>0</v>
      </c>
      <c r="AV668" s="58">
        <f>IFERROR(IF($V668="BRAND.com",HLOOKUP($X668&amp;$Z668,PLANNING_FC!$BB$27:$BP$46,MATCH($W668,PLANNING_FC!$BA$27:$BA$46,0),FALSE),0),0)</f>
        <v>0</v>
      </c>
      <c r="AW668" s="58">
        <f>IFERROR(IF($V668="BRAND.com",HLOOKUP($X668&amp;$Z668,PLANNING_FC!$BB$4:$BP$23,MATCH($W668,PLANNING_FC!$BA$4:$BA$23,0),FALSE),0),0)</f>
        <v>0</v>
      </c>
      <c r="AX668" s="58">
        <f>IFERROR(IF($V668="BRAND.com",HLOOKUP($X668&amp;$Z668,PLANNING_FC!$T$27:$AH$46,MATCH($W668,PLANNING_FC!$B$27:$B$46,0),FALSE),0),0)</f>
        <v>0</v>
      </c>
      <c r="AY668" s="58">
        <f>IFERROR(IF($V668="BRAND.com",HLOOKUP($X668&amp;$Z668,PLANNING_FC!$T$4:$AH$23,MATCH($W668,PLANNING_FC!$B$4:$B$23,0),FALSE),0),0)</f>
        <v>0</v>
      </c>
      <c r="AZ668" s="58">
        <f>IFERROR(IF($V668="BRAND.com",HLOOKUP($X668&amp;$Z668,PLANNING_FC!$DA$27:$DO$46,MATCH($W668,PLANNING_FC!$CZ$27:$CZ$46,0),FALSE),0),0)</f>
        <v>0</v>
      </c>
      <c r="BA668" s="58">
        <f>IFERROR(IF($V668="BRAND.com",HLOOKUP($X668&amp;$Z668,PLANNING_FC!$DA$4:$DO$23,MATCH($W668,PLANNING_FC!$CZ$4:$CZ$23,0),FALSE),0),0)</f>
        <v>0</v>
      </c>
      <c r="BB668" s="883" t="str">
        <f>IF(V668="BRAND.com",IFERROR(HLOOKUP(X668&amp;Z668,PLANNING_FC!$AK$4:$AY$23,MATCH(W668,PLANNING_FC!$AJ$4:$AJ$23,0),FALSE)*1000,""),"")</f>
        <v/>
      </c>
      <c r="BC668" s="883" t="str">
        <f>IF(V668="BRAND.com",IFERROR(HLOOKUP(X668&amp;Z668,PLANNING_FC!$AK$27:$AY$46,MATCH(W668,PLANNING_FC!$AJ$27:$AJ$46,0),FALSE)*1000,""),"")</f>
        <v/>
      </c>
    </row>
    <row r="669" spans="14:55" x14ac:dyDescent="0.25">
      <c r="N669" s="56">
        <f t="shared" si="272"/>
        <v>0</v>
      </c>
      <c r="O669" s="57">
        <f t="shared" si="273"/>
        <v>0</v>
      </c>
      <c r="P669" s="57">
        <f ca="1">IFERROR(IF(ISBLANK(H669),SUMIFS($AC:$AC,$V:$V,V669,$W:$W,W669,$X:$X,X669,$Y:$Y,Y669)*J669/(1-J669)*VLOOKUP(_xlfn.CONCAT(C669,D669,E669,TIME!$M$12,Z669),HIS_SALES!$B$2:$W$4859,20,FALSE),AC669*J669/(1-J669)),0)</f>
        <v>0</v>
      </c>
      <c r="Q669" s="541" t="str">
        <f t="shared" si="283"/>
        <v/>
      </c>
      <c r="R669" s="346" t="str">
        <f t="shared" si="262"/>
        <v>00000</v>
      </c>
      <c r="S669" s="344">
        <f t="shared" si="274"/>
        <v>0</v>
      </c>
      <c r="T669" s="345" t="str">
        <f t="shared" si="267"/>
        <v>000</v>
      </c>
      <c r="U669" s="345">
        <f t="shared" si="275"/>
        <v>0</v>
      </c>
      <c r="V669" s="345">
        <f t="shared" si="276"/>
        <v>0</v>
      </c>
      <c r="W669" s="345">
        <f t="shared" si="277"/>
        <v>0</v>
      </c>
      <c r="X669" s="345">
        <f t="shared" si="278"/>
        <v>0</v>
      </c>
      <c r="Y669" s="345">
        <f t="shared" si="279"/>
        <v>0</v>
      </c>
      <c r="Z669" s="345">
        <f>IF(Q669&lt;&gt;"",VLOOKUP(Y669,TIME!$R$21:$V$24,MATCH(FC_DATA!Q669,TIME!$R$20:$V$20,0),FALSE),H669)</f>
        <v>0</v>
      </c>
      <c r="AA669" s="345" t="str">
        <f>IFERROR(VLOOKUP(X669&amp;Z669,TIME!$A$12:$D$71,4,FALSE),"")</f>
        <v/>
      </c>
      <c r="AB669" s="592">
        <f t="shared" ca="1" si="263"/>
        <v>0</v>
      </c>
      <c r="AC669" s="593" t="e">
        <f ca="1">IF(ISBLANK(H669)=FALSE,IF(D669="BRAND.com",I669,IF(ISNA(VLOOKUP(_xlfn.CONCAT(X669,Z669),TIME!$M$40:$M$42,1,FALSE)),I669,VLOOKUP(_xlfn.CONCAT(D669,G669,H669),M_BUSAREA_FC!$AF$5:$AJ$10,5,FALSE)*HLOOKUP(_xlfn.CONCAT(F669,H669),ST_OVERVIEW!$G$99:$I$130,MATCH(_xlfn.CONCAT(D669,E669),ST_OVERVIEW!$F$99:$F$130,0),FALSE))),IF(D669="BRAND.com",VLOOKUP(_xlfn.CONCAT(C669,D669,E669,TIME!$F$1,Z669),HIS_SALES!$B$2:$V$4859,19,FALSE)*I669,VLOOKUP(_xlfn.CONCAT(D669,F669,G669),Q_BUSAREA_FC!$AE$5:$AI$12,5,FALSE)*HLOOKUP(_xlfn.CONCAT(FC_DATA!F669,FC_DATA!G669),LT_OVERVIEW!$I$99:$M$130,MATCH(_xlfn.CONCAT(D669,FC_DATA!E669),LT_OVERVIEW!$H$99:$H$130,0),FALSE)*IFERROR(VLOOKUP(_xlfn.CONCAT(C669,D669,E669,TIME!$F$1,Z669),HIS_SALES!$B$2:$V$4859,19,FALSE),0)))</f>
        <v>#N/A</v>
      </c>
      <c r="AD669" s="341">
        <f t="shared" ca="1" si="280"/>
        <v>0</v>
      </c>
      <c r="AE669" s="363" t="str">
        <f t="shared" si="281"/>
        <v/>
      </c>
      <c r="AF669" s="342" t="str">
        <f t="shared" si="282"/>
        <v/>
      </c>
      <c r="AG669" s="411" t="e">
        <f ca="1">VLOOKUP(_xlfn.CONCAT(U669,V669,W669,VLOOKUP(X669&amp;Y669,TIME!$L$27:$O$34,4,FALSE),Y669),HIS_SALES!$A$2:$R$5093,18,FALSE)</f>
        <v>#N/A</v>
      </c>
      <c r="AH669" s="412" t="e">
        <f ca="1">IFERROR(IF(AND(V669=V668,W669=W668),0.5*(AB669+AB668)*AG669,(VLOOKUP(_xlfn.CONCAT(U669,V669,W669,X669,VLOOKUP(Z669,TIME!$S$28:$T$39,2,FALSE)),FC_DATA!$R$2:$AB$5000,MATCH("GS_I_M",FC_DATA!$R$1:$AB$1,0),FALSE)+FC_DATA!AB669)*0.5*FC_DATA!AG669),NA())</f>
        <v>#N/A</v>
      </c>
      <c r="AI669" s="491" t="e">
        <f ca="1">IF(V669="PARTNER.com",AH669,IF(AND(V669=V668,W669=W668),(1-AVERAGE(AD668,AD669))*AH669,(1-AVERAGE(AD669,VLOOKUP(_xlfn.CONCAT(U669,V669,W669,X669,M_BRAND_FC!$F$6),FC_DATA!$R$2:$AD$5000,MATCH("DISCOUNT_%_M",FC_DATA!$R$1:$AD$1,0),FALSE)))*AH669))</f>
        <v>#N/A</v>
      </c>
      <c r="AJ669" s="412" t="str">
        <f t="shared" ca="1" si="264"/>
        <v/>
      </c>
      <c r="AK669" s="413" t="str">
        <f>IFERROR(AE669/(Q_BRAND_FC!$T$24+1),"")</f>
        <v/>
      </c>
      <c r="AL669" s="88" t="str">
        <f t="shared" ca="1" si="265"/>
        <v/>
      </c>
      <c r="AM669" s="414" t="str">
        <f t="shared" ca="1" si="266"/>
        <v/>
      </c>
      <c r="AN669" s="58">
        <f>IFERROR(IF($V669="BRAND.com",HLOOKUP($X669&amp;$Z669,NWC_FC_NOOS!$C$4:$Q$23,MATCH(W669,NWC_FC_NOOS!$B$4:$B$23,0),FALSE),0),0)</f>
        <v>0</v>
      </c>
      <c r="AO669" s="57">
        <f>IFERROR(IF($V669="BRAND.com",HLOOKUP($X669&amp;$Z669,NWC_FC_NOOS!$T$4:$AH$23,MATCH(W669,NWC_FC_NOOS!$S$4:$S$23,0),FALSE),0),0)</f>
        <v>0</v>
      </c>
      <c r="AP669" s="57">
        <f>IFERROR(IF($V669="BRAND.com",HLOOKUP($X669&amp;$Z669,NWC_FC_NOOS!$C$50:$U$69,MATCH(W669,NWC_FC_NOOS!$B$50:$B$69,0),FALSE),0),0)</f>
        <v>0</v>
      </c>
      <c r="AQ669" s="58">
        <f>IFERROR(IF($V669="BRAND.com",HLOOKUP($X669&amp;$Z669,'NWC_FC_NON-NOOS'!$C$4:$Q$23,MATCH(W669,'NWC_FC_NON-NOOS'!$B$4:$B$23,0),FALSE),0),0)</f>
        <v>0</v>
      </c>
      <c r="AR669" s="57">
        <f>IFERROR(IF($V669="BRAND.com",HLOOKUP($X669&amp;$Z669,'NWC_FC_NON-NOOS'!$T$4:$AH$23,MATCH(W669,'NWC_FC_NON-NOOS'!$S$4:$S$23,0),FALSE),0),0)</f>
        <v>0</v>
      </c>
      <c r="AS669" s="57">
        <f>IFERROR(IF($V669="BRAND.com",HLOOKUP($X669&amp;$Z669,'NWC_FC_NON-NOOS'!$C$50:$U$69,MATCH(W669,'NWC_FC_NON-NOOS'!$B$50:$B$69,0),FALSE),0),0)</f>
        <v>0</v>
      </c>
      <c r="AT669" s="57">
        <f t="shared" si="268"/>
        <v>0</v>
      </c>
      <c r="AU669" s="57">
        <f t="shared" si="269"/>
        <v>0</v>
      </c>
      <c r="AV669" s="58">
        <f>IFERROR(IF($V669="BRAND.com",HLOOKUP($X669&amp;$Z669,PLANNING_FC!$BB$27:$BP$46,MATCH($W669,PLANNING_FC!$BA$27:$BA$46,0),FALSE),0),0)</f>
        <v>0</v>
      </c>
      <c r="AW669" s="58">
        <f>IFERROR(IF($V669="BRAND.com",HLOOKUP($X669&amp;$Z669,PLANNING_FC!$BB$4:$BP$23,MATCH($W669,PLANNING_FC!$BA$4:$BA$23,0),FALSE),0),0)</f>
        <v>0</v>
      </c>
      <c r="AX669" s="58">
        <f>IFERROR(IF($V669="BRAND.com",HLOOKUP($X669&amp;$Z669,PLANNING_FC!$T$27:$AH$46,MATCH($W669,PLANNING_FC!$B$27:$B$46,0),FALSE),0),0)</f>
        <v>0</v>
      </c>
      <c r="AY669" s="58">
        <f>IFERROR(IF($V669="BRAND.com",HLOOKUP($X669&amp;$Z669,PLANNING_FC!$T$4:$AH$23,MATCH($W669,PLANNING_FC!$B$4:$B$23,0),FALSE),0),0)</f>
        <v>0</v>
      </c>
      <c r="AZ669" s="58">
        <f>IFERROR(IF($V669="BRAND.com",HLOOKUP($X669&amp;$Z669,PLANNING_FC!$DA$27:$DO$46,MATCH($W669,PLANNING_FC!$CZ$27:$CZ$46,0),FALSE),0),0)</f>
        <v>0</v>
      </c>
      <c r="BA669" s="58">
        <f>IFERROR(IF($V669="BRAND.com",HLOOKUP($X669&amp;$Z669,PLANNING_FC!$DA$4:$DO$23,MATCH($W669,PLANNING_FC!$CZ$4:$CZ$23,0),FALSE),0),0)</f>
        <v>0</v>
      </c>
      <c r="BB669" s="883" t="str">
        <f>IF(V669="BRAND.com",IFERROR(HLOOKUP(X669&amp;Z669,PLANNING_FC!$AK$4:$AY$23,MATCH(W669,PLANNING_FC!$AJ$4:$AJ$23,0),FALSE)*1000,""),"")</f>
        <v/>
      </c>
      <c r="BC669" s="883" t="str">
        <f>IF(V669="BRAND.com",IFERROR(HLOOKUP(X669&amp;Z669,PLANNING_FC!$AK$27:$AY$46,MATCH(W669,PLANNING_FC!$AJ$27:$AJ$46,0),FALSE)*1000,""),"")</f>
        <v/>
      </c>
    </row>
    <row r="670" spans="14:55" x14ac:dyDescent="0.25">
      <c r="N670" s="56">
        <f t="shared" si="272"/>
        <v>0</v>
      </c>
      <c r="O670" s="57">
        <f t="shared" si="273"/>
        <v>0</v>
      </c>
      <c r="P670" s="57">
        <f ca="1">IFERROR(IF(ISBLANK(H670),SUMIFS($AC:$AC,$V:$V,V670,$W:$W,W670,$X:$X,X670,$Y:$Y,Y670)*J670/(1-J670)*VLOOKUP(_xlfn.CONCAT(C670,D670,E670,TIME!$M$12,Z670),HIS_SALES!$B$2:$W$4859,20,FALSE),AC670*J670/(1-J670)),0)</f>
        <v>0</v>
      </c>
      <c r="Q670" s="541" t="str">
        <f t="shared" si="283"/>
        <v/>
      </c>
      <c r="R670" s="346" t="str">
        <f t="shared" si="262"/>
        <v>00000</v>
      </c>
      <c r="S670" s="344">
        <f t="shared" si="274"/>
        <v>0</v>
      </c>
      <c r="T670" s="345" t="str">
        <f t="shared" si="267"/>
        <v>000</v>
      </c>
      <c r="U670" s="345">
        <f t="shared" si="275"/>
        <v>0</v>
      </c>
      <c r="V670" s="345">
        <f t="shared" si="276"/>
        <v>0</v>
      </c>
      <c r="W670" s="345">
        <f t="shared" si="277"/>
        <v>0</v>
      </c>
      <c r="X670" s="345">
        <f t="shared" si="278"/>
        <v>0</v>
      </c>
      <c r="Y670" s="345">
        <f t="shared" si="279"/>
        <v>0</v>
      </c>
      <c r="Z670" s="345">
        <f>IF(Q670&lt;&gt;"",VLOOKUP(Y670,TIME!$R$21:$V$24,MATCH(FC_DATA!Q670,TIME!$R$20:$V$20,0),FALSE),H670)</f>
        <v>0</v>
      </c>
      <c r="AA670" s="345" t="str">
        <f>IFERROR(VLOOKUP(X670&amp;Z670,TIME!$A$12:$D$71,4,FALSE),"")</f>
        <v/>
      </c>
      <c r="AB670" s="592">
        <f t="shared" ca="1" si="263"/>
        <v>0</v>
      </c>
      <c r="AC670" s="593" t="e">
        <f ca="1">IF(ISBLANK(H670)=FALSE,IF(D670="BRAND.com",I670,IF(ISNA(VLOOKUP(_xlfn.CONCAT(X670,Z670),TIME!$M$40:$M$42,1,FALSE)),I670,VLOOKUP(_xlfn.CONCAT(D670,G670,H670),M_BUSAREA_FC!$AF$5:$AJ$10,5,FALSE)*HLOOKUP(_xlfn.CONCAT(F670,H670),ST_OVERVIEW!$G$99:$I$130,MATCH(_xlfn.CONCAT(D670,E670),ST_OVERVIEW!$F$99:$F$130,0),FALSE))),IF(D670="BRAND.com",VLOOKUP(_xlfn.CONCAT(C670,D670,E670,TIME!$F$1,Z670),HIS_SALES!$B$2:$V$4859,19,FALSE)*I670,VLOOKUP(_xlfn.CONCAT(D670,F670,G670),Q_BUSAREA_FC!$AE$5:$AI$12,5,FALSE)*HLOOKUP(_xlfn.CONCAT(FC_DATA!F670,FC_DATA!G670),LT_OVERVIEW!$I$99:$M$130,MATCH(_xlfn.CONCAT(D670,FC_DATA!E670),LT_OVERVIEW!$H$99:$H$130,0),FALSE)*IFERROR(VLOOKUP(_xlfn.CONCAT(C670,D670,E670,TIME!$F$1,Z670),HIS_SALES!$B$2:$V$4859,19,FALSE),0)))</f>
        <v>#N/A</v>
      </c>
      <c r="AD670" s="341">
        <f t="shared" ca="1" si="280"/>
        <v>0</v>
      </c>
      <c r="AE670" s="363" t="str">
        <f t="shared" si="281"/>
        <v/>
      </c>
      <c r="AF670" s="342" t="str">
        <f t="shared" si="282"/>
        <v/>
      </c>
      <c r="AG670" s="411" t="e">
        <f ca="1">VLOOKUP(_xlfn.CONCAT(U670,V670,W670,VLOOKUP(X670&amp;Y670,TIME!$L$27:$O$34,4,FALSE),Y670),HIS_SALES!$A$2:$R$5093,18,FALSE)</f>
        <v>#N/A</v>
      </c>
      <c r="AH670" s="412" t="e">
        <f ca="1">IFERROR(IF(AND(V670=V669,W670=W669),0.5*(AB670+AB669)*AG670,(VLOOKUP(_xlfn.CONCAT(U670,V670,W670,X670,VLOOKUP(Z670,TIME!$S$28:$T$39,2,FALSE)),FC_DATA!$R$2:$AB$5000,MATCH("GS_I_M",FC_DATA!$R$1:$AB$1,0),FALSE)+FC_DATA!AB670)*0.5*FC_DATA!AG670),NA())</f>
        <v>#N/A</v>
      </c>
      <c r="AI670" s="491" t="e">
        <f ca="1">IF(V670="PARTNER.com",AH670,IF(AND(V670=V669,W670=W669),(1-AVERAGE(AD669,AD670))*AH670,(1-AVERAGE(AD670,VLOOKUP(_xlfn.CONCAT(U670,V670,W670,X670,M_BRAND_FC!$F$6),FC_DATA!$R$2:$AD$5000,MATCH("DISCOUNT_%_M",FC_DATA!$R$1:$AD$1,0),FALSE)))*AH670))</f>
        <v>#N/A</v>
      </c>
      <c r="AJ670" s="412" t="str">
        <f t="shared" ca="1" si="264"/>
        <v/>
      </c>
      <c r="AK670" s="413" t="str">
        <f>IFERROR(AE670/(Q_BRAND_FC!$T$24+1),"")</f>
        <v/>
      </c>
      <c r="AL670" s="88" t="str">
        <f t="shared" ca="1" si="265"/>
        <v/>
      </c>
      <c r="AM670" s="414" t="str">
        <f t="shared" ca="1" si="266"/>
        <v/>
      </c>
      <c r="AN670" s="58">
        <f>IFERROR(IF($V670="BRAND.com",HLOOKUP($X670&amp;$Z670,NWC_FC_NOOS!$C$4:$Q$23,MATCH(W670,NWC_FC_NOOS!$B$4:$B$23,0),FALSE),0),0)</f>
        <v>0</v>
      </c>
      <c r="AO670" s="57">
        <f>IFERROR(IF($V670="BRAND.com",HLOOKUP($X670&amp;$Z670,NWC_FC_NOOS!$T$4:$AH$23,MATCH(W670,NWC_FC_NOOS!$S$4:$S$23,0),FALSE),0),0)</f>
        <v>0</v>
      </c>
      <c r="AP670" s="57">
        <f>IFERROR(IF($V670="BRAND.com",HLOOKUP($X670&amp;$Z670,NWC_FC_NOOS!$C$50:$U$69,MATCH(W670,NWC_FC_NOOS!$B$50:$B$69,0),FALSE),0),0)</f>
        <v>0</v>
      </c>
      <c r="AQ670" s="58">
        <f>IFERROR(IF($V670="BRAND.com",HLOOKUP($X670&amp;$Z670,'NWC_FC_NON-NOOS'!$C$4:$Q$23,MATCH(W670,'NWC_FC_NON-NOOS'!$B$4:$B$23,0),FALSE),0),0)</f>
        <v>0</v>
      </c>
      <c r="AR670" s="57">
        <f>IFERROR(IF($V670="BRAND.com",HLOOKUP($X670&amp;$Z670,'NWC_FC_NON-NOOS'!$T$4:$AH$23,MATCH(W670,'NWC_FC_NON-NOOS'!$S$4:$S$23,0),FALSE),0),0)</f>
        <v>0</v>
      </c>
      <c r="AS670" s="57">
        <f>IFERROR(IF($V670="BRAND.com",HLOOKUP($X670&amp;$Z670,'NWC_FC_NON-NOOS'!$C$50:$U$69,MATCH(W670,'NWC_FC_NON-NOOS'!$B$50:$B$69,0),FALSE),0),0)</f>
        <v>0</v>
      </c>
      <c r="AT670" s="57">
        <f t="shared" si="268"/>
        <v>0</v>
      </c>
      <c r="AU670" s="57">
        <f t="shared" si="269"/>
        <v>0</v>
      </c>
      <c r="AV670" s="58">
        <f>IFERROR(IF($V670="BRAND.com",HLOOKUP($X670&amp;$Z670,PLANNING_FC!$BB$27:$BP$46,MATCH($W670,PLANNING_FC!$BA$27:$BA$46,0),FALSE),0),0)</f>
        <v>0</v>
      </c>
      <c r="AW670" s="58">
        <f>IFERROR(IF($V670="BRAND.com",HLOOKUP($X670&amp;$Z670,PLANNING_FC!$BB$4:$BP$23,MATCH($W670,PLANNING_FC!$BA$4:$BA$23,0),FALSE),0),0)</f>
        <v>0</v>
      </c>
      <c r="AX670" s="58">
        <f>IFERROR(IF($V670="BRAND.com",HLOOKUP($X670&amp;$Z670,PLANNING_FC!$T$27:$AH$46,MATCH($W670,PLANNING_FC!$B$27:$B$46,0),FALSE),0),0)</f>
        <v>0</v>
      </c>
      <c r="AY670" s="58">
        <f>IFERROR(IF($V670="BRAND.com",HLOOKUP($X670&amp;$Z670,PLANNING_FC!$T$4:$AH$23,MATCH($W670,PLANNING_FC!$B$4:$B$23,0),FALSE),0),0)</f>
        <v>0</v>
      </c>
      <c r="AZ670" s="58">
        <f>IFERROR(IF($V670="BRAND.com",HLOOKUP($X670&amp;$Z670,PLANNING_FC!$DA$27:$DO$46,MATCH($W670,PLANNING_FC!$CZ$27:$CZ$46,0),FALSE),0),0)</f>
        <v>0</v>
      </c>
      <c r="BA670" s="58">
        <f>IFERROR(IF($V670="BRAND.com",HLOOKUP($X670&amp;$Z670,PLANNING_FC!$DA$4:$DO$23,MATCH($W670,PLANNING_FC!$CZ$4:$CZ$23,0),FALSE),0),0)</f>
        <v>0</v>
      </c>
      <c r="BB670" s="883" t="str">
        <f>IF(V670="BRAND.com",IFERROR(HLOOKUP(X670&amp;Z670,PLANNING_FC!$AK$4:$AY$23,MATCH(W670,PLANNING_FC!$AJ$4:$AJ$23,0),FALSE)*1000,""),"")</f>
        <v/>
      </c>
      <c r="BC670" s="883" t="str">
        <f>IF(V670="BRAND.com",IFERROR(HLOOKUP(X670&amp;Z670,PLANNING_FC!$AK$27:$AY$46,MATCH(W670,PLANNING_FC!$AJ$27:$AJ$46,0),FALSE)*1000,""),"")</f>
        <v/>
      </c>
    </row>
    <row r="671" spans="14:55" x14ac:dyDescent="0.25">
      <c r="N671" s="56">
        <f t="shared" si="272"/>
        <v>0</v>
      </c>
      <c r="O671" s="57">
        <f t="shared" si="273"/>
        <v>0</v>
      </c>
      <c r="P671" s="57">
        <f ca="1">IFERROR(IF(ISBLANK(H671),SUMIFS($AC:$AC,$V:$V,V671,$W:$W,W671,$X:$X,X671,$Y:$Y,Y671)*J671/(1-J671)*VLOOKUP(_xlfn.CONCAT(C671,D671,E671,TIME!$M$12,Z671),HIS_SALES!$B$2:$W$4859,20,FALSE),AC671*J671/(1-J671)),0)</f>
        <v>0</v>
      </c>
      <c r="Q671" s="541" t="str">
        <f t="shared" si="283"/>
        <v/>
      </c>
      <c r="R671" s="346" t="str">
        <f t="shared" si="262"/>
        <v>00000</v>
      </c>
      <c r="S671" s="344">
        <f t="shared" si="274"/>
        <v>0</v>
      </c>
      <c r="T671" s="345" t="str">
        <f t="shared" si="267"/>
        <v>000</v>
      </c>
      <c r="U671" s="345">
        <f t="shared" si="275"/>
        <v>0</v>
      </c>
      <c r="V671" s="345">
        <f t="shared" si="276"/>
        <v>0</v>
      </c>
      <c r="W671" s="345">
        <f t="shared" si="277"/>
        <v>0</v>
      </c>
      <c r="X671" s="345">
        <f t="shared" si="278"/>
        <v>0</v>
      </c>
      <c r="Y671" s="345">
        <f t="shared" si="279"/>
        <v>0</v>
      </c>
      <c r="Z671" s="345">
        <f>IF(Q671&lt;&gt;"",VLOOKUP(Y671,TIME!$R$21:$V$24,MATCH(FC_DATA!Q671,TIME!$R$20:$V$20,0),FALSE),H671)</f>
        <v>0</v>
      </c>
      <c r="AA671" s="345" t="str">
        <f>IFERROR(VLOOKUP(X671&amp;Z671,TIME!$A$12:$D$71,4,FALSE),"")</f>
        <v/>
      </c>
      <c r="AB671" s="592">
        <f t="shared" ca="1" si="263"/>
        <v>0</v>
      </c>
      <c r="AC671" s="593" t="e">
        <f ca="1">IF(ISBLANK(H671)=FALSE,IF(D671="BRAND.com",I671,IF(ISNA(VLOOKUP(_xlfn.CONCAT(X671,Z671),TIME!$M$40:$M$42,1,FALSE)),I671,VLOOKUP(_xlfn.CONCAT(D671,G671,H671),M_BUSAREA_FC!$AF$5:$AJ$10,5,FALSE)*HLOOKUP(_xlfn.CONCAT(F671,H671),ST_OVERVIEW!$G$99:$I$130,MATCH(_xlfn.CONCAT(D671,E671),ST_OVERVIEW!$F$99:$F$130,0),FALSE))),IF(D671="BRAND.com",VLOOKUP(_xlfn.CONCAT(C671,D671,E671,TIME!$F$1,Z671),HIS_SALES!$B$2:$V$4859,19,FALSE)*I671,VLOOKUP(_xlfn.CONCAT(D671,F671,G671),Q_BUSAREA_FC!$AE$5:$AI$12,5,FALSE)*HLOOKUP(_xlfn.CONCAT(FC_DATA!F671,FC_DATA!G671),LT_OVERVIEW!$I$99:$M$130,MATCH(_xlfn.CONCAT(D671,FC_DATA!E671),LT_OVERVIEW!$H$99:$H$130,0),FALSE)*IFERROR(VLOOKUP(_xlfn.CONCAT(C671,D671,E671,TIME!$F$1,Z671),HIS_SALES!$B$2:$V$4859,19,FALSE),0)))</f>
        <v>#N/A</v>
      </c>
      <c r="AD671" s="341">
        <f t="shared" ca="1" si="280"/>
        <v>0</v>
      </c>
      <c r="AE671" s="363" t="str">
        <f t="shared" si="281"/>
        <v/>
      </c>
      <c r="AF671" s="342" t="str">
        <f t="shared" si="282"/>
        <v/>
      </c>
      <c r="AG671" s="411" t="e">
        <f ca="1">VLOOKUP(_xlfn.CONCAT(U671,V671,W671,VLOOKUP(X671&amp;Y671,TIME!$L$27:$O$34,4,FALSE),Y671),HIS_SALES!$A$2:$R$5093,18,FALSE)</f>
        <v>#N/A</v>
      </c>
      <c r="AH671" s="412" t="e">
        <f ca="1">IFERROR(IF(AND(V671=V670,W671=W670),0.5*(AB671+AB670)*AG671,(VLOOKUP(_xlfn.CONCAT(U671,V671,W671,X671,VLOOKUP(Z671,TIME!$S$28:$T$39,2,FALSE)),FC_DATA!$R$2:$AB$5000,MATCH("GS_I_M",FC_DATA!$R$1:$AB$1,0),FALSE)+FC_DATA!AB671)*0.5*FC_DATA!AG671),NA())</f>
        <v>#N/A</v>
      </c>
      <c r="AI671" s="491" t="e">
        <f ca="1">IF(V671="PARTNER.com",AH671,IF(AND(V671=V670,W671=W670),(1-AVERAGE(AD670,AD671))*AH671,(1-AVERAGE(AD671,VLOOKUP(_xlfn.CONCAT(U671,V671,W671,X671,M_BRAND_FC!$F$6),FC_DATA!$R$2:$AD$5000,MATCH("DISCOUNT_%_M",FC_DATA!$R$1:$AD$1,0),FALSE)))*AH671))</f>
        <v>#N/A</v>
      </c>
      <c r="AJ671" s="412" t="str">
        <f t="shared" ca="1" si="264"/>
        <v/>
      </c>
      <c r="AK671" s="413" t="str">
        <f>IFERROR(AE671/(Q_BRAND_FC!$T$24+1),"")</f>
        <v/>
      </c>
      <c r="AL671" s="88" t="str">
        <f t="shared" ca="1" si="265"/>
        <v/>
      </c>
      <c r="AM671" s="414" t="str">
        <f t="shared" ca="1" si="266"/>
        <v/>
      </c>
      <c r="AN671" s="58">
        <f>IFERROR(IF($V671="BRAND.com",HLOOKUP($X671&amp;$Z671,NWC_FC_NOOS!$C$4:$Q$23,MATCH(W671,NWC_FC_NOOS!$B$4:$B$23,0),FALSE),0),0)</f>
        <v>0</v>
      </c>
      <c r="AO671" s="57">
        <f>IFERROR(IF($V671="BRAND.com",HLOOKUP($X671&amp;$Z671,NWC_FC_NOOS!$T$4:$AH$23,MATCH(W671,NWC_FC_NOOS!$S$4:$S$23,0),FALSE),0),0)</f>
        <v>0</v>
      </c>
      <c r="AP671" s="57">
        <f>IFERROR(IF($V671="BRAND.com",HLOOKUP($X671&amp;$Z671,NWC_FC_NOOS!$C$50:$U$69,MATCH(W671,NWC_FC_NOOS!$B$50:$B$69,0),FALSE),0),0)</f>
        <v>0</v>
      </c>
      <c r="AQ671" s="58">
        <f>IFERROR(IF($V671="BRAND.com",HLOOKUP($X671&amp;$Z671,'NWC_FC_NON-NOOS'!$C$4:$Q$23,MATCH(W671,'NWC_FC_NON-NOOS'!$B$4:$B$23,0),FALSE),0),0)</f>
        <v>0</v>
      </c>
      <c r="AR671" s="57">
        <f>IFERROR(IF($V671="BRAND.com",HLOOKUP($X671&amp;$Z671,'NWC_FC_NON-NOOS'!$T$4:$AH$23,MATCH(W671,'NWC_FC_NON-NOOS'!$S$4:$S$23,0),FALSE),0),0)</f>
        <v>0</v>
      </c>
      <c r="AS671" s="57">
        <f>IFERROR(IF($V671="BRAND.com",HLOOKUP($X671&amp;$Z671,'NWC_FC_NON-NOOS'!$C$50:$U$69,MATCH(W671,'NWC_FC_NON-NOOS'!$B$50:$B$69,0),FALSE),0),0)</f>
        <v>0</v>
      </c>
      <c r="AT671" s="57">
        <f t="shared" si="268"/>
        <v>0</v>
      </c>
      <c r="AU671" s="57">
        <f t="shared" si="269"/>
        <v>0</v>
      </c>
      <c r="AV671" s="58">
        <f>IFERROR(IF($V671="BRAND.com",HLOOKUP($X671&amp;$Z671,PLANNING_FC!$BB$27:$BP$46,MATCH($W671,PLANNING_FC!$BA$27:$BA$46,0),FALSE),0),0)</f>
        <v>0</v>
      </c>
      <c r="AW671" s="58">
        <f>IFERROR(IF($V671="BRAND.com",HLOOKUP($X671&amp;$Z671,PLANNING_FC!$BB$4:$BP$23,MATCH($W671,PLANNING_FC!$BA$4:$BA$23,0),FALSE),0),0)</f>
        <v>0</v>
      </c>
      <c r="AX671" s="58">
        <f>IFERROR(IF($V671="BRAND.com",HLOOKUP($X671&amp;$Z671,PLANNING_FC!$T$27:$AH$46,MATCH($W671,PLANNING_FC!$B$27:$B$46,0),FALSE),0),0)</f>
        <v>0</v>
      </c>
      <c r="AY671" s="58">
        <f>IFERROR(IF($V671="BRAND.com",HLOOKUP($X671&amp;$Z671,PLANNING_FC!$T$4:$AH$23,MATCH($W671,PLANNING_FC!$B$4:$B$23,0),FALSE),0),0)</f>
        <v>0</v>
      </c>
      <c r="AZ671" s="58">
        <f>IFERROR(IF($V671="BRAND.com",HLOOKUP($X671&amp;$Z671,PLANNING_FC!$DA$27:$DO$46,MATCH($W671,PLANNING_FC!$CZ$27:$CZ$46,0),FALSE),0),0)</f>
        <v>0</v>
      </c>
      <c r="BA671" s="58">
        <f>IFERROR(IF($V671="BRAND.com",HLOOKUP($X671&amp;$Z671,PLANNING_FC!$DA$4:$DO$23,MATCH($W671,PLANNING_FC!$CZ$4:$CZ$23,0),FALSE),0),0)</f>
        <v>0</v>
      </c>
      <c r="BB671" s="883" t="str">
        <f>IF(V671="BRAND.com",IFERROR(HLOOKUP(X671&amp;Z671,PLANNING_FC!$AK$4:$AY$23,MATCH(W671,PLANNING_FC!$AJ$4:$AJ$23,0),FALSE)*1000,""),"")</f>
        <v/>
      </c>
      <c r="BC671" s="883" t="str">
        <f>IF(V671="BRAND.com",IFERROR(HLOOKUP(X671&amp;Z671,PLANNING_FC!$AK$27:$AY$46,MATCH(W671,PLANNING_FC!$AJ$27:$AJ$46,0),FALSE)*1000,""),"")</f>
        <v/>
      </c>
    </row>
    <row r="672" spans="14:55" x14ac:dyDescent="0.25">
      <c r="N672" s="56">
        <f t="shared" si="272"/>
        <v>0</v>
      </c>
      <c r="O672" s="57">
        <f t="shared" si="273"/>
        <v>0</v>
      </c>
      <c r="P672" s="57">
        <f ca="1">IFERROR(IF(ISBLANK(H672),SUMIFS($AC:$AC,$V:$V,V672,$W:$W,W672,$X:$X,X672,$Y:$Y,Y672)*J672/(1-J672)*VLOOKUP(_xlfn.CONCAT(C672,D672,E672,TIME!$M$12,Z672),HIS_SALES!$B$2:$W$4859,20,FALSE),AC672*J672/(1-J672)),0)</f>
        <v>0</v>
      </c>
      <c r="Q672" s="541" t="str">
        <f t="shared" si="283"/>
        <v/>
      </c>
      <c r="R672" s="346" t="str">
        <f t="shared" si="262"/>
        <v>00000</v>
      </c>
      <c r="S672" s="344">
        <f t="shared" si="274"/>
        <v>0</v>
      </c>
      <c r="T672" s="345" t="str">
        <f t="shared" si="267"/>
        <v>000</v>
      </c>
      <c r="U672" s="345">
        <f t="shared" si="275"/>
        <v>0</v>
      </c>
      <c r="V672" s="345">
        <f t="shared" si="276"/>
        <v>0</v>
      </c>
      <c r="W672" s="345">
        <f t="shared" si="277"/>
        <v>0</v>
      </c>
      <c r="X672" s="345">
        <f t="shared" si="278"/>
        <v>0</v>
      </c>
      <c r="Y672" s="345">
        <f t="shared" si="279"/>
        <v>0</v>
      </c>
      <c r="Z672" s="345">
        <f>IF(Q672&lt;&gt;"",VLOOKUP(Y672,TIME!$R$21:$V$24,MATCH(FC_DATA!Q672,TIME!$R$20:$V$20,0),FALSE),H672)</f>
        <v>0</v>
      </c>
      <c r="AA672" s="345" t="str">
        <f>IFERROR(VLOOKUP(X672&amp;Z672,TIME!$A$12:$D$71,4,FALSE),"")</f>
        <v/>
      </c>
      <c r="AB672" s="592">
        <f t="shared" ca="1" si="263"/>
        <v>0</v>
      </c>
      <c r="AC672" s="593" t="e">
        <f ca="1">IF(ISBLANK(H672)=FALSE,IF(D672="BRAND.com",I672,IF(ISNA(VLOOKUP(_xlfn.CONCAT(X672,Z672),TIME!$M$40:$M$42,1,FALSE)),I672,VLOOKUP(_xlfn.CONCAT(D672,G672,H672),M_BUSAREA_FC!$AF$5:$AJ$10,5,FALSE)*HLOOKUP(_xlfn.CONCAT(F672,H672),ST_OVERVIEW!$G$99:$I$130,MATCH(_xlfn.CONCAT(D672,E672),ST_OVERVIEW!$F$99:$F$130,0),FALSE))),IF(D672="BRAND.com",VLOOKUP(_xlfn.CONCAT(C672,D672,E672,TIME!$F$1,Z672),HIS_SALES!$B$2:$V$4859,19,FALSE)*I672,VLOOKUP(_xlfn.CONCAT(D672,F672,G672),Q_BUSAREA_FC!$AE$5:$AI$12,5,FALSE)*HLOOKUP(_xlfn.CONCAT(FC_DATA!F672,FC_DATA!G672),LT_OVERVIEW!$I$99:$M$130,MATCH(_xlfn.CONCAT(D672,FC_DATA!E672),LT_OVERVIEW!$H$99:$H$130,0),FALSE)*IFERROR(VLOOKUP(_xlfn.CONCAT(C672,D672,E672,TIME!$F$1,Z672),HIS_SALES!$B$2:$V$4859,19,FALSE),0)))</f>
        <v>#N/A</v>
      </c>
      <c r="AD672" s="341">
        <f t="shared" ca="1" si="280"/>
        <v>0</v>
      </c>
      <c r="AE672" s="363" t="str">
        <f t="shared" si="281"/>
        <v/>
      </c>
      <c r="AF672" s="342" t="str">
        <f t="shared" si="282"/>
        <v/>
      </c>
      <c r="AG672" s="411" t="e">
        <f ca="1">VLOOKUP(_xlfn.CONCAT(U672,V672,W672,VLOOKUP(X672&amp;Y672,TIME!$L$27:$O$34,4,FALSE),Y672),HIS_SALES!$A$2:$R$5093,18,FALSE)</f>
        <v>#N/A</v>
      </c>
      <c r="AH672" s="412" t="e">
        <f ca="1">IFERROR(IF(AND(V672=V671,W672=W671),0.5*(AB672+AB671)*AG672,(VLOOKUP(_xlfn.CONCAT(U672,V672,W672,X672,VLOOKUP(Z672,TIME!$S$28:$T$39,2,FALSE)),FC_DATA!$R$2:$AB$5000,MATCH("GS_I_M",FC_DATA!$R$1:$AB$1,0),FALSE)+FC_DATA!AB672)*0.5*FC_DATA!AG672),NA())</f>
        <v>#N/A</v>
      </c>
      <c r="AI672" s="491" t="e">
        <f ca="1">IF(V672="PARTNER.com",AH672,IF(AND(V672=V671,W672=W671),(1-AVERAGE(AD671,AD672))*AH672,(1-AVERAGE(AD672,VLOOKUP(_xlfn.CONCAT(U672,V672,W672,X672,M_BRAND_FC!$F$6),FC_DATA!$R$2:$AD$5000,MATCH("DISCOUNT_%_M",FC_DATA!$R$1:$AD$1,0),FALSE)))*AH672))</f>
        <v>#N/A</v>
      </c>
      <c r="AJ672" s="412" t="str">
        <f t="shared" ca="1" si="264"/>
        <v/>
      </c>
      <c r="AK672" s="413" t="str">
        <f>IFERROR(AE672/(Q_BRAND_FC!$T$24+1),"")</f>
        <v/>
      </c>
      <c r="AL672" s="88" t="str">
        <f t="shared" ca="1" si="265"/>
        <v/>
      </c>
      <c r="AM672" s="414" t="str">
        <f t="shared" ca="1" si="266"/>
        <v/>
      </c>
      <c r="AN672" s="58">
        <f>IFERROR(IF($V672="BRAND.com",HLOOKUP($X672&amp;$Z672,NWC_FC_NOOS!$C$4:$Q$23,MATCH(W672,NWC_FC_NOOS!$B$4:$B$23,0),FALSE),0),0)</f>
        <v>0</v>
      </c>
      <c r="AO672" s="57">
        <f>IFERROR(IF($V672="BRAND.com",HLOOKUP($X672&amp;$Z672,NWC_FC_NOOS!$T$4:$AH$23,MATCH(W672,NWC_FC_NOOS!$S$4:$S$23,0),FALSE),0),0)</f>
        <v>0</v>
      </c>
      <c r="AP672" s="57">
        <f>IFERROR(IF($V672="BRAND.com",HLOOKUP($X672&amp;$Z672,NWC_FC_NOOS!$C$50:$U$69,MATCH(W672,NWC_FC_NOOS!$B$50:$B$69,0),FALSE),0),0)</f>
        <v>0</v>
      </c>
      <c r="AQ672" s="58">
        <f>IFERROR(IF($V672="BRAND.com",HLOOKUP($X672&amp;$Z672,'NWC_FC_NON-NOOS'!$C$4:$Q$23,MATCH(W672,'NWC_FC_NON-NOOS'!$B$4:$B$23,0),FALSE),0),0)</f>
        <v>0</v>
      </c>
      <c r="AR672" s="57">
        <f>IFERROR(IF($V672="BRAND.com",HLOOKUP($X672&amp;$Z672,'NWC_FC_NON-NOOS'!$T$4:$AH$23,MATCH(W672,'NWC_FC_NON-NOOS'!$S$4:$S$23,0),FALSE),0),0)</f>
        <v>0</v>
      </c>
      <c r="AS672" s="57">
        <f>IFERROR(IF($V672="BRAND.com",HLOOKUP($X672&amp;$Z672,'NWC_FC_NON-NOOS'!$C$50:$U$69,MATCH(W672,'NWC_FC_NON-NOOS'!$B$50:$B$69,0),FALSE),0),0)</f>
        <v>0</v>
      </c>
      <c r="AT672" s="57">
        <f t="shared" si="268"/>
        <v>0</v>
      </c>
      <c r="AU672" s="57">
        <f t="shared" si="269"/>
        <v>0</v>
      </c>
      <c r="AV672" s="58">
        <f>IFERROR(IF($V672="BRAND.com",HLOOKUP($X672&amp;$Z672,PLANNING_FC!$BB$27:$BP$46,MATCH($W672,PLANNING_FC!$BA$27:$BA$46,0),FALSE),0),0)</f>
        <v>0</v>
      </c>
      <c r="AW672" s="58">
        <f>IFERROR(IF($V672="BRAND.com",HLOOKUP($X672&amp;$Z672,PLANNING_FC!$BB$4:$BP$23,MATCH($W672,PLANNING_FC!$BA$4:$BA$23,0),FALSE),0),0)</f>
        <v>0</v>
      </c>
      <c r="AX672" s="58">
        <f>IFERROR(IF($V672="BRAND.com",HLOOKUP($X672&amp;$Z672,PLANNING_FC!$T$27:$AH$46,MATCH($W672,PLANNING_FC!$B$27:$B$46,0),FALSE),0),0)</f>
        <v>0</v>
      </c>
      <c r="AY672" s="58">
        <f>IFERROR(IF($V672="BRAND.com",HLOOKUP($X672&amp;$Z672,PLANNING_FC!$T$4:$AH$23,MATCH($W672,PLANNING_FC!$B$4:$B$23,0),FALSE),0),0)</f>
        <v>0</v>
      </c>
      <c r="AZ672" s="58">
        <f>IFERROR(IF($V672="BRAND.com",HLOOKUP($X672&amp;$Z672,PLANNING_FC!$DA$27:$DO$46,MATCH($W672,PLANNING_FC!$CZ$27:$CZ$46,0),FALSE),0),0)</f>
        <v>0</v>
      </c>
      <c r="BA672" s="58">
        <f>IFERROR(IF($V672="BRAND.com",HLOOKUP($X672&amp;$Z672,PLANNING_FC!$DA$4:$DO$23,MATCH($W672,PLANNING_FC!$CZ$4:$CZ$23,0),FALSE),0),0)</f>
        <v>0</v>
      </c>
      <c r="BB672" s="883" t="str">
        <f>IF(V672="BRAND.com",IFERROR(HLOOKUP(X672&amp;Z672,PLANNING_FC!$AK$4:$AY$23,MATCH(W672,PLANNING_FC!$AJ$4:$AJ$23,0),FALSE)*1000,""),"")</f>
        <v/>
      </c>
      <c r="BC672" s="883" t="str">
        <f>IF(V672="BRAND.com",IFERROR(HLOOKUP(X672&amp;Z672,PLANNING_FC!$AK$27:$AY$46,MATCH(W672,PLANNING_FC!$AJ$27:$AJ$46,0),FALSE)*1000,""),"")</f>
        <v/>
      </c>
    </row>
    <row r="673" spans="14:55" x14ac:dyDescent="0.25">
      <c r="N673" s="56">
        <f t="shared" si="272"/>
        <v>0</v>
      </c>
      <c r="O673" s="57">
        <f t="shared" si="273"/>
        <v>0</v>
      </c>
      <c r="P673" s="57">
        <f ca="1">IFERROR(IF(ISBLANK(H673),SUMIFS($AC:$AC,$V:$V,V673,$W:$W,W673,$X:$X,X673,$Y:$Y,Y673)*J673/(1-J673)*VLOOKUP(_xlfn.CONCAT(C673,D673,E673,TIME!$M$12,Z673),HIS_SALES!$B$2:$W$4859,20,FALSE),AC673*J673/(1-J673)),0)</f>
        <v>0</v>
      </c>
      <c r="Q673" s="541" t="str">
        <f t="shared" si="283"/>
        <v/>
      </c>
      <c r="R673" s="346" t="str">
        <f t="shared" si="262"/>
        <v>00000</v>
      </c>
      <c r="S673" s="344">
        <f t="shared" si="274"/>
        <v>0</v>
      </c>
      <c r="T673" s="345" t="str">
        <f t="shared" si="267"/>
        <v>000</v>
      </c>
      <c r="U673" s="345">
        <f t="shared" si="275"/>
        <v>0</v>
      </c>
      <c r="V673" s="345">
        <f t="shared" si="276"/>
        <v>0</v>
      </c>
      <c r="W673" s="345">
        <f t="shared" si="277"/>
        <v>0</v>
      </c>
      <c r="X673" s="345">
        <f t="shared" si="278"/>
        <v>0</v>
      </c>
      <c r="Y673" s="345">
        <f t="shared" si="279"/>
        <v>0</v>
      </c>
      <c r="Z673" s="345">
        <f>IF(Q673&lt;&gt;"",VLOOKUP(Y673,TIME!$R$21:$V$24,MATCH(FC_DATA!Q673,TIME!$R$20:$V$20,0),FALSE),H673)</f>
        <v>0</v>
      </c>
      <c r="AA673" s="345" t="str">
        <f>IFERROR(VLOOKUP(X673&amp;Z673,TIME!$A$12:$D$71,4,FALSE),"")</f>
        <v/>
      </c>
      <c r="AB673" s="592">
        <f t="shared" ca="1" si="263"/>
        <v>0</v>
      </c>
      <c r="AC673" s="593" t="e">
        <f ca="1">IF(ISBLANK(H673)=FALSE,IF(D673="BRAND.com",I673,IF(ISNA(VLOOKUP(_xlfn.CONCAT(X673,Z673),TIME!$M$40:$M$42,1,FALSE)),I673,VLOOKUP(_xlfn.CONCAT(D673,G673,H673),M_BUSAREA_FC!$AF$5:$AJ$10,5,FALSE)*HLOOKUP(_xlfn.CONCAT(F673,H673),ST_OVERVIEW!$G$99:$I$130,MATCH(_xlfn.CONCAT(D673,E673),ST_OVERVIEW!$F$99:$F$130,0),FALSE))),IF(D673="BRAND.com",VLOOKUP(_xlfn.CONCAT(C673,D673,E673,TIME!$F$1,Z673),HIS_SALES!$B$2:$V$4859,19,FALSE)*I673,VLOOKUP(_xlfn.CONCAT(D673,F673,G673),Q_BUSAREA_FC!$AE$5:$AI$12,5,FALSE)*HLOOKUP(_xlfn.CONCAT(FC_DATA!F673,FC_DATA!G673),LT_OVERVIEW!$I$99:$M$130,MATCH(_xlfn.CONCAT(D673,FC_DATA!E673),LT_OVERVIEW!$H$99:$H$130,0),FALSE)*IFERROR(VLOOKUP(_xlfn.CONCAT(C673,D673,E673,TIME!$F$1,Z673),HIS_SALES!$B$2:$V$4859,19,FALSE),0)))</f>
        <v>#N/A</v>
      </c>
      <c r="AD673" s="341">
        <f t="shared" ca="1" si="280"/>
        <v>0</v>
      </c>
      <c r="AE673" s="363" t="str">
        <f t="shared" si="281"/>
        <v/>
      </c>
      <c r="AF673" s="342" t="str">
        <f t="shared" si="282"/>
        <v/>
      </c>
      <c r="AG673" s="411" t="e">
        <f ca="1">VLOOKUP(_xlfn.CONCAT(U673,V673,W673,VLOOKUP(X673&amp;Y673,TIME!$L$27:$O$34,4,FALSE),Y673),HIS_SALES!$A$2:$R$5093,18,FALSE)</f>
        <v>#N/A</v>
      </c>
      <c r="AH673" s="412" t="e">
        <f ca="1">IFERROR(IF(AND(V673=V672,W673=W672),0.5*(AB673+AB672)*AG673,(VLOOKUP(_xlfn.CONCAT(U673,V673,W673,X673,VLOOKUP(Z673,TIME!$S$28:$T$39,2,FALSE)),FC_DATA!$R$2:$AB$5000,MATCH("GS_I_M",FC_DATA!$R$1:$AB$1,0),FALSE)+FC_DATA!AB673)*0.5*FC_DATA!AG673),NA())</f>
        <v>#N/A</v>
      </c>
      <c r="AI673" s="491" t="e">
        <f ca="1">IF(V673="PARTNER.com",AH673,IF(AND(V673=V672,W673=W672),(1-AVERAGE(AD672,AD673))*AH673,(1-AVERAGE(AD673,VLOOKUP(_xlfn.CONCAT(U673,V673,W673,X673,M_BRAND_FC!$F$6),FC_DATA!$R$2:$AD$5000,MATCH("DISCOUNT_%_M",FC_DATA!$R$1:$AD$1,0),FALSE)))*AH673))</f>
        <v>#N/A</v>
      </c>
      <c r="AJ673" s="412" t="str">
        <f t="shared" ca="1" si="264"/>
        <v/>
      </c>
      <c r="AK673" s="413" t="str">
        <f>IFERROR(AE673/(Q_BRAND_FC!$T$24+1),"")</f>
        <v/>
      </c>
      <c r="AL673" s="88" t="str">
        <f t="shared" ca="1" si="265"/>
        <v/>
      </c>
      <c r="AM673" s="414" t="str">
        <f t="shared" ca="1" si="266"/>
        <v/>
      </c>
      <c r="AN673" s="58">
        <f>IFERROR(IF($V673="BRAND.com",HLOOKUP($X673&amp;$Z673,NWC_FC_NOOS!$C$4:$Q$23,MATCH(W673,NWC_FC_NOOS!$B$4:$B$23,0),FALSE),0),0)</f>
        <v>0</v>
      </c>
      <c r="AO673" s="57">
        <f>IFERROR(IF($V673="BRAND.com",HLOOKUP($X673&amp;$Z673,NWC_FC_NOOS!$T$4:$AH$23,MATCH(W673,NWC_FC_NOOS!$S$4:$S$23,0),FALSE),0),0)</f>
        <v>0</v>
      </c>
      <c r="AP673" s="57">
        <f>IFERROR(IF($V673="BRAND.com",HLOOKUP($X673&amp;$Z673,NWC_FC_NOOS!$C$50:$U$69,MATCH(W673,NWC_FC_NOOS!$B$50:$B$69,0),FALSE),0),0)</f>
        <v>0</v>
      </c>
      <c r="AQ673" s="58">
        <f>IFERROR(IF($V673="BRAND.com",HLOOKUP($X673&amp;$Z673,'NWC_FC_NON-NOOS'!$C$4:$Q$23,MATCH(W673,'NWC_FC_NON-NOOS'!$B$4:$B$23,0),FALSE),0),0)</f>
        <v>0</v>
      </c>
      <c r="AR673" s="57">
        <f>IFERROR(IF($V673="BRAND.com",HLOOKUP($X673&amp;$Z673,'NWC_FC_NON-NOOS'!$T$4:$AH$23,MATCH(W673,'NWC_FC_NON-NOOS'!$S$4:$S$23,0),FALSE),0),0)</f>
        <v>0</v>
      </c>
      <c r="AS673" s="57">
        <f>IFERROR(IF($V673="BRAND.com",HLOOKUP($X673&amp;$Z673,'NWC_FC_NON-NOOS'!$C$50:$U$69,MATCH(W673,'NWC_FC_NON-NOOS'!$B$50:$B$69,0),FALSE),0),0)</f>
        <v>0</v>
      </c>
      <c r="AT673" s="57">
        <f t="shared" si="268"/>
        <v>0</v>
      </c>
      <c r="AU673" s="57">
        <f t="shared" si="269"/>
        <v>0</v>
      </c>
      <c r="AV673" s="58">
        <f>IFERROR(IF($V673="BRAND.com",HLOOKUP($X673&amp;$Z673,PLANNING_FC!$BB$27:$BP$46,MATCH($W673,PLANNING_FC!$BA$27:$BA$46,0),FALSE),0),0)</f>
        <v>0</v>
      </c>
      <c r="AW673" s="58">
        <f>IFERROR(IF($V673="BRAND.com",HLOOKUP($X673&amp;$Z673,PLANNING_FC!$BB$4:$BP$23,MATCH($W673,PLANNING_FC!$BA$4:$BA$23,0),FALSE),0),0)</f>
        <v>0</v>
      </c>
      <c r="AX673" s="58">
        <f>IFERROR(IF($V673="BRAND.com",HLOOKUP($X673&amp;$Z673,PLANNING_FC!$T$27:$AH$46,MATCH($W673,PLANNING_FC!$B$27:$B$46,0),FALSE),0),0)</f>
        <v>0</v>
      </c>
      <c r="AY673" s="58">
        <f>IFERROR(IF($V673="BRAND.com",HLOOKUP($X673&amp;$Z673,PLANNING_FC!$T$4:$AH$23,MATCH($W673,PLANNING_FC!$B$4:$B$23,0),FALSE),0),0)</f>
        <v>0</v>
      </c>
      <c r="AZ673" s="58">
        <f>IFERROR(IF($V673="BRAND.com",HLOOKUP($X673&amp;$Z673,PLANNING_FC!$DA$27:$DO$46,MATCH($W673,PLANNING_FC!$CZ$27:$CZ$46,0),FALSE),0),0)</f>
        <v>0</v>
      </c>
      <c r="BA673" s="58">
        <f>IFERROR(IF($V673="BRAND.com",HLOOKUP($X673&amp;$Z673,PLANNING_FC!$DA$4:$DO$23,MATCH($W673,PLANNING_FC!$CZ$4:$CZ$23,0),FALSE),0),0)</f>
        <v>0</v>
      </c>
      <c r="BB673" s="883" t="str">
        <f>IF(V673="BRAND.com",IFERROR(HLOOKUP(X673&amp;Z673,PLANNING_FC!$AK$4:$AY$23,MATCH(W673,PLANNING_FC!$AJ$4:$AJ$23,0),FALSE)*1000,""),"")</f>
        <v/>
      </c>
      <c r="BC673" s="883" t="str">
        <f>IF(V673="BRAND.com",IFERROR(HLOOKUP(X673&amp;Z673,PLANNING_FC!$AK$27:$AY$46,MATCH(W673,PLANNING_FC!$AJ$27:$AJ$46,0),FALSE)*1000,""),"")</f>
        <v/>
      </c>
    </row>
    <row r="674" spans="14:55" x14ac:dyDescent="0.25">
      <c r="N674" s="56">
        <f t="shared" si="272"/>
        <v>0</v>
      </c>
      <c r="O674" s="57">
        <f t="shared" si="273"/>
        <v>0</v>
      </c>
      <c r="P674" s="57">
        <f ca="1">IFERROR(IF(ISBLANK(H674),SUMIFS($AC:$AC,$V:$V,V674,$W:$W,W674,$X:$X,X674,$Y:$Y,Y674)*J674/(1-J674)*VLOOKUP(_xlfn.CONCAT(C674,D674,E674,TIME!$M$12,Z674),HIS_SALES!$B$2:$W$4859,20,FALSE),AC674*J674/(1-J674)),0)</f>
        <v>0</v>
      </c>
      <c r="Q674" s="541" t="str">
        <f t="shared" si="283"/>
        <v/>
      </c>
      <c r="R674" s="346" t="str">
        <f t="shared" si="262"/>
        <v>00000</v>
      </c>
      <c r="S674" s="344">
        <f t="shared" si="274"/>
        <v>0</v>
      </c>
      <c r="T674" s="345" t="str">
        <f t="shared" si="267"/>
        <v>000</v>
      </c>
      <c r="U674" s="345">
        <f t="shared" si="275"/>
        <v>0</v>
      </c>
      <c r="V674" s="345">
        <f t="shared" si="276"/>
        <v>0</v>
      </c>
      <c r="W674" s="345">
        <f t="shared" si="277"/>
        <v>0</v>
      </c>
      <c r="X674" s="345">
        <f t="shared" si="278"/>
        <v>0</v>
      </c>
      <c r="Y674" s="345">
        <f t="shared" si="279"/>
        <v>0</v>
      </c>
      <c r="Z674" s="345">
        <f>IF(Q674&lt;&gt;"",VLOOKUP(Y674,TIME!$R$21:$V$24,MATCH(FC_DATA!Q674,TIME!$R$20:$V$20,0),FALSE),H674)</f>
        <v>0</v>
      </c>
      <c r="AA674" s="345" t="str">
        <f>IFERROR(VLOOKUP(X674&amp;Z674,TIME!$A$12:$D$71,4,FALSE),"")</f>
        <v/>
      </c>
      <c r="AB674" s="592">
        <f t="shared" ca="1" si="263"/>
        <v>0</v>
      </c>
      <c r="AC674" s="593" t="e">
        <f ca="1">IF(ISBLANK(H674)=FALSE,IF(D674="BRAND.com",I674,IF(ISNA(VLOOKUP(_xlfn.CONCAT(X674,Z674),TIME!$M$40:$M$42,1,FALSE)),I674,VLOOKUP(_xlfn.CONCAT(D674,G674,H674),M_BUSAREA_FC!$AF$5:$AJ$10,5,FALSE)*HLOOKUP(_xlfn.CONCAT(F674,H674),ST_OVERVIEW!$G$99:$I$130,MATCH(_xlfn.CONCAT(D674,E674),ST_OVERVIEW!$F$99:$F$130,0),FALSE))),IF(D674="BRAND.com",VLOOKUP(_xlfn.CONCAT(C674,D674,E674,TIME!$F$1,Z674),HIS_SALES!$B$2:$V$4859,19,FALSE)*I674,VLOOKUP(_xlfn.CONCAT(D674,F674,G674),Q_BUSAREA_FC!$AE$5:$AI$12,5,FALSE)*HLOOKUP(_xlfn.CONCAT(FC_DATA!F674,FC_DATA!G674),LT_OVERVIEW!$I$99:$M$130,MATCH(_xlfn.CONCAT(D674,FC_DATA!E674),LT_OVERVIEW!$H$99:$H$130,0),FALSE)*IFERROR(VLOOKUP(_xlfn.CONCAT(C674,D674,E674,TIME!$F$1,Z674),HIS_SALES!$B$2:$V$4859,19,FALSE),0)))</f>
        <v>#N/A</v>
      </c>
      <c r="AD674" s="341">
        <f t="shared" ca="1" si="280"/>
        <v>0</v>
      </c>
      <c r="AE674" s="363" t="str">
        <f t="shared" si="281"/>
        <v/>
      </c>
      <c r="AF674" s="342" t="str">
        <f t="shared" si="282"/>
        <v/>
      </c>
      <c r="AG674" s="411" t="e">
        <f ca="1">VLOOKUP(_xlfn.CONCAT(U674,V674,W674,VLOOKUP(X674&amp;Y674,TIME!$L$27:$O$34,4,FALSE),Y674),HIS_SALES!$A$2:$R$5093,18,FALSE)</f>
        <v>#N/A</v>
      </c>
      <c r="AH674" s="412" t="e">
        <f ca="1">IFERROR(IF(AND(V674=V673,W674=W673),0.5*(AB674+AB673)*AG674,(VLOOKUP(_xlfn.CONCAT(U674,V674,W674,X674,VLOOKUP(Z674,TIME!$S$28:$T$39,2,FALSE)),FC_DATA!$R$2:$AB$5000,MATCH("GS_I_M",FC_DATA!$R$1:$AB$1,0),FALSE)+FC_DATA!AB674)*0.5*FC_DATA!AG674),NA())</f>
        <v>#N/A</v>
      </c>
      <c r="AI674" s="491" t="e">
        <f ca="1">IF(V674="PARTNER.com",AH674,IF(AND(V674=V673,W674=W673),(1-AVERAGE(AD673,AD674))*AH674,(1-AVERAGE(AD674,VLOOKUP(_xlfn.CONCAT(U674,V674,W674,X674,M_BRAND_FC!$F$6),FC_DATA!$R$2:$AD$5000,MATCH("DISCOUNT_%_M",FC_DATA!$R$1:$AD$1,0),FALSE)))*AH674))</f>
        <v>#N/A</v>
      </c>
      <c r="AJ674" s="412" t="str">
        <f t="shared" ca="1" si="264"/>
        <v/>
      </c>
      <c r="AK674" s="413" t="str">
        <f>IFERROR(AE674/(Q_BRAND_FC!$T$24+1),"")</f>
        <v/>
      </c>
      <c r="AL674" s="88" t="str">
        <f t="shared" ca="1" si="265"/>
        <v/>
      </c>
      <c r="AM674" s="414" t="str">
        <f t="shared" ca="1" si="266"/>
        <v/>
      </c>
      <c r="AN674" s="58">
        <f>IFERROR(IF($V674="BRAND.com",HLOOKUP($X674&amp;$Z674,NWC_FC_NOOS!$C$4:$Q$23,MATCH(W674,NWC_FC_NOOS!$B$4:$B$23,0),FALSE),0),0)</f>
        <v>0</v>
      </c>
      <c r="AO674" s="57">
        <f>IFERROR(IF($V674="BRAND.com",HLOOKUP($X674&amp;$Z674,NWC_FC_NOOS!$T$4:$AH$23,MATCH(W674,NWC_FC_NOOS!$S$4:$S$23,0),FALSE),0),0)</f>
        <v>0</v>
      </c>
      <c r="AP674" s="57">
        <f>IFERROR(IF($V674="BRAND.com",HLOOKUP($X674&amp;$Z674,NWC_FC_NOOS!$C$50:$U$69,MATCH(W674,NWC_FC_NOOS!$B$50:$B$69,0),FALSE),0),0)</f>
        <v>0</v>
      </c>
      <c r="AQ674" s="58">
        <f>IFERROR(IF($V674="BRAND.com",HLOOKUP($X674&amp;$Z674,'NWC_FC_NON-NOOS'!$C$4:$Q$23,MATCH(W674,'NWC_FC_NON-NOOS'!$B$4:$B$23,0),FALSE),0),0)</f>
        <v>0</v>
      </c>
      <c r="AR674" s="57">
        <f>IFERROR(IF($V674="BRAND.com",HLOOKUP($X674&amp;$Z674,'NWC_FC_NON-NOOS'!$T$4:$AH$23,MATCH(W674,'NWC_FC_NON-NOOS'!$S$4:$S$23,0),FALSE),0),0)</f>
        <v>0</v>
      </c>
      <c r="AS674" s="57">
        <f>IFERROR(IF($V674="BRAND.com",HLOOKUP($X674&amp;$Z674,'NWC_FC_NON-NOOS'!$C$50:$U$69,MATCH(W674,'NWC_FC_NON-NOOS'!$B$50:$B$69,0),FALSE),0),0)</f>
        <v>0</v>
      </c>
      <c r="AT674" s="57">
        <f t="shared" si="268"/>
        <v>0</v>
      </c>
      <c r="AU674" s="57">
        <f t="shared" si="269"/>
        <v>0</v>
      </c>
      <c r="AV674" s="58">
        <f>IFERROR(IF($V674="BRAND.com",HLOOKUP($X674&amp;$Z674,PLANNING_FC!$BB$27:$BP$46,MATCH($W674,PLANNING_FC!$BA$27:$BA$46,0),FALSE),0),0)</f>
        <v>0</v>
      </c>
      <c r="AW674" s="58">
        <f>IFERROR(IF($V674="BRAND.com",HLOOKUP($X674&amp;$Z674,PLANNING_FC!$BB$4:$BP$23,MATCH($W674,PLANNING_FC!$BA$4:$BA$23,0),FALSE),0),0)</f>
        <v>0</v>
      </c>
      <c r="AX674" s="58">
        <f>IFERROR(IF($V674="BRAND.com",HLOOKUP($X674&amp;$Z674,PLANNING_FC!$T$27:$AH$46,MATCH($W674,PLANNING_FC!$B$27:$B$46,0),FALSE),0),0)</f>
        <v>0</v>
      </c>
      <c r="AY674" s="58">
        <f>IFERROR(IF($V674="BRAND.com",HLOOKUP($X674&amp;$Z674,PLANNING_FC!$T$4:$AH$23,MATCH($W674,PLANNING_FC!$B$4:$B$23,0),FALSE),0),0)</f>
        <v>0</v>
      </c>
      <c r="AZ674" s="58">
        <f>IFERROR(IF($V674="BRAND.com",HLOOKUP($X674&amp;$Z674,PLANNING_FC!$DA$27:$DO$46,MATCH($W674,PLANNING_FC!$CZ$27:$CZ$46,0),FALSE),0),0)</f>
        <v>0</v>
      </c>
      <c r="BA674" s="58">
        <f>IFERROR(IF($V674="BRAND.com",HLOOKUP($X674&amp;$Z674,PLANNING_FC!$DA$4:$DO$23,MATCH($W674,PLANNING_FC!$CZ$4:$CZ$23,0),FALSE),0),0)</f>
        <v>0</v>
      </c>
      <c r="BB674" s="883" t="str">
        <f>IF(V674="BRAND.com",IFERROR(HLOOKUP(X674&amp;Z674,PLANNING_FC!$AK$4:$AY$23,MATCH(W674,PLANNING_FC!$AJ$4:$AJ$23,0),FALSE)*1000,""),"")</f>
        <v/>
      </c>
      <c r="BC674" s="883" t="str">
        <f>IF(V674="BRAND.com",IFERROR(HLOOKUP(X674&amp;Z674,PLANNING_FC!$AK$27:$AY$46,MATCH(W674,PLANNING_FC!$AJ$27:$AJ$46,0),FALSE)*1000,""),"")</f>
        <v/>
      </c>
    </row>
    <row r="675" spans="14:55" x14ac:dyDescent="0.25">
      <c r="N675" s="56">
        <f t="shared" si="272"/>
        <v>0</v>
      </c>
      <c r="O675" s="57">
        <f t="shared" si="273"/>
        <v>0</v>
      </c>
      <c r="P675" s="57">
        <f ca="1">IFERROR(IF(ISBLANK(H675),SUMIFS($AC:$AC,$V:$V,V675,$W:$W,W675,$X:$X,X675,$Y:$Y,Y675)*J675/(1-J675)*VLOOKUP(_xlfn.CONCAT(C675,D675,E675,TIME!$M$12,Z675),HIS_SALES!$B$2:$W$4859,20,FALSE),AC675*J675/(1-J675)),0)</f>
        <v>0</v>
      </c>
      <c r="Q675" s="541" t="str">
        <f t="shared" si="283"/>
        <v/>
      </c>
      <c r="R675" s="346" t="str">
        <f t="shared" si="262"/>
        <v>00000</v>
      </c>
      <c r="S675" s="344">
        <f t="shared" si="274"/>
        <v>0</v>
      </c>
      <c r="T675" s="345" t="str">
        <f t="shared" si="267"/>
        <v>000</v>
      </c>
      <c r="U675" s="345">
        <f t="shared" si="275"/>
        <v>0</v>
      </c>
      <c r="V675" s="345">
        <f t="shared" si="276"/>
        <v>0</v>
      </c>
      <c r="W675" s="345">
        <f t="shared" si="277"/>
        <v>0</v>
      </c>
      <c r="X675" s="345">
        <f t="shared" si="278"/>
        <v>0</v>
      </c>
      <c r="Y675" s="345">
        <f t="shared" si="279"/>
        <v>0</v>
      </c>
      <c r="Z675" s="345">
        <f>IF(Q675&lt;&gt;"",VLOOKUP(Y675,TIME!$R$21:$V$24,MATCH(FC_DATA!Q675,TIME!$R$20:$V$20,0),FALSE),H675)</f>
        <v>0</v>
      </c>
      <c r="AA675" s="345" t="str">
        <f>IFERROR(VLOOKUP(X675&amp;Z675,TIME!$A$12:$D$71,4,FALSE),"")</f>
        <v/>
      </c>
      <c r="AB675" s="592">
        <f t="shared" ca="1" si="263"/>
        <v>0</v>
      </c>
      <c r="AC675" s="593" t="e">
        <f ca="1">IF(ISBLANK(H675)=FALSE,IF(D675="BRAND.com",I675,IF(ISNA(VLOOKUP(_xlfn.CONCAT(X675,Z675),TIME!$M$40:$M$42,1,FALSE)),I675,VLOOKUP(_xlfn.CONCAT(D675,G675,H675),M_BUSAREA_FC!$AF$5:$AJ$10,5,FALSE)*HLOOKUP(_xlfn.CONCAT(F675,H675),ST_OVERVIEW!$G$99:$I$130,MATCH(_xlfn.CONCAT(D675,E675),ST_OVERVIEW!$F$99:$F$130,0),FALSE))),IF(D675="BRAND.com",VLOOKUP(_xlfn.CONCAT(C675,D675,E675,TIME!$F$1,Z675),HIS_SALES!$B$2:$V$4859,19,FALSE)*I675,VLOOKUP(_xlfn.CONCAT(D675,F675,G675),Q_BUSAREA_FC!$AE$5:$AI$12,5,FALSE)*HLOOKUP(_xlfn.CONCAT(FC_DATA!F675,FC_DATA!G675),LT_OVERVIEW!$I$99:$M$130,MATCH(_xlfn.CONCAT(D675,FC_DATA!E675),LT_OVERVIEW!$H$99:$H$130,0),FALSE)*IFERROR(VLOOKUP(_xlfn.CONCAT(C675,D675,E675,TIME!$F$1,Z675),HIS_SALES!$B$2:$V$4859,19,FALSE),0)))</f>
        <v>#N/A</v>
      </c>
      <c r="AD675" s="341">
        <f t="shared" ca="1" si="280"/>
        <v>0</v>
      </c>
      <c r="AE675" s="363" t="str">
        <f t="shared" si="281"/>
        <v/>
      </c>
      <c r="AF675" s="342" t="str">
        <f t="shared" si="282"/>
        <v/>
      </c>
      <c r="AG675" s="411" t="e">
        <f ca="1">VLOOKUP(_xlfn.CONCAT(U675,V675,W675,VLOOKUP(X675&amp;Y675,TIME!$L$27:$O$34,4,FALSE),Y675),HIS_SALES!$A$2:$R$5093,18,FALSE)</f>
        <v>#N/A</v>
      </c>
      <c r="AH675" s="412" t="e">
        <f ca="1">IFERROR(IF(AND(V675=V674,W675=W674),0.5*(AB675+AB674)*AG675,(VLOOKUP(_xlfn.CONCAT(U675,V675,W675,X675,VLOOKUP(Z675,TIME!$S$28:$T$39,2,FALSE)),FC_DATA!$R$2:$AB$5000,MATCH("GS_I_M",FC_DATA!$R$1:$AB$1,0),FALSE)+FC_DATA!AB675)*0.5*FC_DATA!AG675),NA())</f>
        <v>#N/A</v>
      </c>
      <c r="AI675" s="491" t="e">
        <f ca="1">IF(V675="PARTNER.com",AH675,IF(AND(V675=V674,W675=W674),(1-AVERAGE(AD674,AD675))*AH675,(1-AVERAGE(AD675,VLOOKUP(_xlfn.CONCAT(U675,V675,W675,X675,M_BRAND_FC!$F$6),FC_DATA!$R$2:$AD$5000,MATCH("DISCOUNT_%_M",FC_DATA!$R$1:$AD$1,0),FALSE)))*AH675))</f>
        <v>#N/A</v>
      </c>
      <c r="AJ675" s="412" t="str">
        <f t="shared" ca="1" si="264"/>
        <v/>
      </c>
      <c r="AK675" s="413" t="str">
        <f>IFERROR(AE675/(Q_BRAND_FC!$T$24+1),"")</f>
        <v/>
      </c>
      <c r="AL675" s="88" t="str">
        <f t="shared" ca="1" si="265"/>
        <v/>
      </c>
      <c r="AM675" s="414" t="str">
        <f t="shared" ca="1" si="266"/>
        <v/>
      </c>
      <c r="AN675" s="58">
        <f>IFERROR(IF($V675="BRAND.com",HLOOKUP($X675&amp;$Z675,NWC_FC_NOOS!$C$4:$Q$23,MATCH(W675,NWC_FC_NOOS!$B$4:$B$23,0),FALSE),0),0)</f>
        <v>0</v>
      </c>
      <c r="AO675" s="57">
        <f>IFERROR(IF($V675="BRAND.com",HLOOKUP($X675&amp;$Z675,NWC_FC_NOOS!$T$4:$AH$23,MATCH(W675,NWC_FC_NOOS!$S$4:$S$23,0),FALSE),0),0)</f>
        <v>0</v>
      </c>
      <c r="AP675" s="57">
        <f>IFERROR(IF($V675="BRAND.com",HLOOKUP($X675&amp;$Z675,NWC_FC_NOOS!$C$50:$U$69,MATCH(W675,NWC_FC_NOOS!$B$50:$B$69,0),FALSE),0),0)</f>
        <v>0</v>
      </c>
      <c r="AQ675" s="58">
        <f>IFERROR(IF($V675="BRAND.com",HLOOKUP($X675&amp;$Z675,'NWC_FC_NON-NOOS'!$C$4:$Q$23,MATCH(W675,'NWC_FC_NON-NOOS'!$B$4:$B$23,0),FALSE),0),0)</f>
        <v>0</v>
      </c>
      <c r="AR675" s="57">
        <f>IFERROR(IF($V675="BRAND.com",HLOOKUP($X675&amp;$Z675,'NWC_FC_NON-NOOS'!$T$4:$AH$23,MATCH(W675,'NWC_FC_NON-NOOS'!$S$4:$S$23,0),FALSE),0),0)</f>
        <v>0</v>
      </c>
      <c r="AS675" s="57">
        <f>IFERROR(IF($V675="BRAND.com",HLOOKUP($X675&amp;$Z675,'NWC_FC_NON-NOOS'!$C$50:$U$69,MATCH(W675,'NWC_FC_NON-NOOS'!$B$50:$B$69,0),FALSE),0),0)</f>
        <v>0</v>
      </c>
      <c r="AT675" s="57">
        <f t="shared" si="268"/>
        <v>0</v>
      </c>
      <c r="AU675" s="57">
        <f t="shared" si="269"/>
        <v>0</v>
      </c>
      <c r="AV675" s="58">
        <f>IFERROR(IF($V675="BRAND.com",HLOOKUP($X675&amp;$Z675,PLANNING_FC!$BB$27:$BP$46,MATCH($W675,PLANNING_FC!$BA$27:$BA$46,0),FALSE),0),0)</f>
        <v>0</v>
      </c>
      <c r="AW675" s="58">
        <f>IFERROR(IF($V675="BRAND.com",HLOOKUP($X675&amp;$Z675,PLANNING_FC!$BB$4:$BP$23,MATCH($W675,PLANNING_FC!$BA$4:$BA$23,0),FALSE),0),0)</f>
        <v>0</v>
      </c>
      <c r="AX675" s="58">
        <f>IFERROR(IF($V675="BRAND.com",HLOOKUP($X675&amp;$Z675,PLANNING_FC!$T$27:$AH$46,MATCH($W675,PLANNING_FC!$B$27:$B$46,0),FALSE),0),0)</f>
        <v>0</v>
      </c>
      <c r="AY675" s="58">
        <f>IFERROR(IF($V675="BRAND.com",HLOOKUP($X675&amp;$Z675,PLANNING_FC!$T$4:$AH$23,MATCH($W675,PLANNING_FC!$B$4:$B$23,0),FALSE),0),0)</f>
        <v>0</v>
      </c>
      <c r="AZ675" s="58">
        <f>IFERROR(IF($V675="BRAND.com",HLOOKUP($X675&amp;$Z675,PLANNING_FC!$DA$27:$DO$46,MATCH($W675,PLANNING_FC!$CZ$27:$CZ$46,0),FALSE),0),0)</f>
        <v>0</v>
      </c>
      <c r="BA675" s="58">
        <f>IFERROR(IF($V675="BRAND.com",HLOOKUP($X675&amp;$Z675,PLANNING_FC!$DA$4:$DO$23,MATCH($W675,PLANNING_FC!$CZ$4:$CZ$23,0),FALSE),0),0)</f>
        <v>0</v>
      </c>
      <c r="BB675" s="883" t="str">
        <f>IF(V675="BRAND.com",IFERROR(HLOOKUP(X675&amp;Z675,PLANNING_FC!$AK$4:$AY$23,MATCH(W675,PLANNING_FC!$AJ$4:$AJ$23,0),FALSE)*1000,""),"")</f>
        <v/>
      </c>
      <c r="BC675" s="883" t="str">
        <f>IF(V675="BRAND.com",IFERROR(HLOOKUP(X675&amp;Z675,PLANNING_FC!$AK$27:$AY$46,MATCH(W675,PLANNING_FC!$AJ$27:$AJ$46,0),FALSE)*1000,""),"")</f>
        <v/>
      </c>
    </row>
    <row r="676" spans="14:55" x14ac:dyDescent="0.25">
      <c r="N676" s="56">
        <f t="shared" si="272"/>
        <v>0</v>
      </c>
      <c r="O676" s="57">
        <f t="shared" si="273"/>
        <v>0</v>
      </c>
      <c r="P676" s="57">
        <f ca="1">IFERROR(IF(ISBLANK(H676),SUMIFS($AC:$AC,$V:$V,V676,$W:$W,W676,$X:$X,X676,$Y:$Y,Y676)*J676/(1-J676)*VLOOKUP(_xlfn.CONCAT(C676,D676,E676,TIME!$M$12,Z676),HIS_SALES!$B$2:$W$4859,20,FALSE),AC676*J676/(1-J676)),0)</f>
        <v>0</v>
      </c>
      <c r="Q676" s="541" t="str">
        <f t="shared" si="283"/>
        <v/>
      </c>
      <c r="R676" s="346" t="str">
        <f t="shared" si="262"/>
        <v>00000</v>
      </c>
      <c r="S676" s="344">
        <f t="shared" si="274"/>
        <v>0</v>
      </c>
      <c r="T676" s="345" t="str">
        <f t="shared" si="267"/>
        <v>000</v>
      </c>
      <c r="U676" s="345">
        <f t="shared" si="275"/>
        <v>0</v>
      </c>
      <c r="V676" s="345">
        <f t="shared" si="276"/>
        <v>0</v>
      </c>
      <c r="W676" s="345">
        <f t="shared" si="277"/>
        <v>0</v>
      </c>
      <c r="X676" s="345">
        <f t="shared" si="278"/>
        <v>0</v>
      </c>
      <c r="Y676" s="345">
        <f t="shared" si="279"/>
        <v>0</v>
      </c>
      <c r="Z676" s="345">
        <f>IF(Q676&lt;&gt;"",VLOOKUP(Y676,TIME!$R$21:$V$24,MATCH(FC_DATA!Q676,TIME!$R$20:$V$20,0),FALSE),H676)</f>
        <v>0</v>
      </c>
      <c r="AA676" s="345" t="str">
        <f>IFERROR(VLOOKUP(X676&amp;Z676,TIME!$A$12:$D$71,4,FALSE),"")</f>
        <v/>
      </c>
      <c r="AB676" s="592">
        <f t="shared" ca="1" si="263"/>
        <v>0</v>
      </c>
      <c r="AC676" s="593" t="e">
        <f ca="1">IF(ISBLANK(H676)=FALSE,IF(D676="BRAND.com",I676,IF(ISNA(VLOOKUP(_xlfn.CONCAT(X676,Z676),TIME!$M$40:$M$42,1,FALSE)),I676,VLOOKUP(_xlfn.CONCAT(D676,G676,H676),M_BUSAREA_FC!$AF$5:$AJ$10,5,FALSE)*HLOOKUP(_xlfn.CONCAT(F676,H676),ST_OVERVIEW!$G$99:$I$130,MATCH(_xlfn.CONCAT(D676,E676),ST_OVERVIEW!$F$99:$F$130,0),FALSE))),IF(D676="BRAND.com",VLOOKUP(_xlfn.CONCAT(C676,D676,E676,TIME!$F$1,Z676),HIS_SALES!$B$2:$V$4859,19,FALSE)*I676,VLOOKUP(_xlfn.CONCAT(D676,F676,G676),Q_BUSAREA_FC!$AE$5:$AI$12,5,FALSE)*HLOOKUP(_xlfn.CONCAT(FC_DATA!F676,FC_DATA!G676),LT_OVERVIEW!$I$99:$M$130,MATCH(_xlfn.CONCAT(D676,FC_DATA!E676),LT_OVERVIEW!$H$99:$H$130,0),FALSE)*IFERROR(VLOOKUP(_xlfn.CONCAT(C676,D676,E676,TIME!$F$1,Z676),HIS_SALES!$B$2:$V$4859,19,FALSE),0)))</f>
        <v>#N/A</v>
      </c>
      <c r="AD676" s="341">
        <f t="shared" ca="1" si="280"/>
        <v>0</v>
      </c>
      <c r="AE676" s="363" t="str">
        <f t="shared" si="281"/>
        <v/>
      </c>
      <c r="AF676" s="342" t="str">
        <f t="shared" si="282"/>
        <v/>
      </c>
      <c r="AG676" s="411" t="e">
        <f ca="1">VLOOKUP(_xlfn.CONCAT(U676,V676,W676,VLOOKUP(X676&amp;Y676,TIME!$L$27:$O$34,4,FALSE),Y676),HIS_SALES!$A$2:$R$5093,18,FALSE)</f>
        <v>#N/A</v>
      </c>
      <c r="AH676" s="412" t="e">
        <f ca="1">IFERROR(IF(AND(V676=V675,W676=W675),0.5*(AB676+AB675)*AG676,(VLOOKUP(_xlfn.CONCAT(U676,V676,W676,X676,VLOOKUP(Z676,TIME!$S$28:$T$39,2,FALSE)),FC_DATA!$R$2:$AB$5000,MATCH("GS_I_M",FC_DATA!$R$1:$AB$1,0),FALSE)+FC_DATA!AB676)*0.5*FC_DATA!AG676),NA())</f>
        <v>#N/A</v>
      </c>
      <c r="AI676" s="491" t="e">
        <f ca="1">IF(V676="PARTNER.com",AH676,IF(AND(V676=V675,W676=W675),(1-AVERAGE(AD675,AD676))*AH676,(1-AVERAGE(AD676,VLOOKUP(_xlfn.CONCAT(U676,V676,W676,X676,M_BRAND_FC!$F$6),FC_DATA!$R$2:$AD$5000,MATCH("DISCOUNT_%_M",FC_DATA!$R$1:$AD$1,0),FALSE)))*AH676))</f>
        <v>#N/A</v>
      </c>
      <c r="AJ676" s="412" t="str">
        <f t="shared" ca="1" si="264"/>
        <v/>
      </c>
      <c r="AK676" s="413" t="str">
        <f>IFERROR(AE676/(Q_BRAND_FC!$T$24+1),"")</f>
        <v/>
      </c>
      <c r="AL676" s="88" t="str">
        <f t="shared" ca="1" si="265"/>
        <v/>
      </c>
      <c r="AM676" s="414" t="str">
        <f t="shared" ca="1" si="266"/>
        <v/>
      </c>
      <c r="AN676" s="58">
        <f>IFERROR(IF($V676="BRAND.com",HLOOKUP($X676&amp;$Z676,NWC_FC_NOOS!$C$4:$Q$23,MATCH(W676,NWC_FC_NOOS!$B$4:$B$23,0),FALSE),0),0)</f>
        <v>0</v>
      </c>
      <c r="AO676" s="57">
        <f>IFERROR(IF($V676="BRAND.com",HLOOKUP($X676&amp;$Z676,NWC_FC_NOOS!$T$4:$AH$23,MATCH(W676,NWC_FC_NOOS!$S$4:$S$23,0),FALSE),0),0)</f>
        <v>0</v>
      </c>
      <c r="AP676" s="57">
        <f>IFERROR(IF($V676="BRAND.com",HLOOKUP($X676&amp;$Z676,NWC_FC_NOOS!$C$50:$U$69,MATCH(W676,NWC_FC_NOOS!$B$50:$B$69,0),FALSE),0),0)</f>
        <v>0</v>
      </c>
      <c r="AQ676" s="58">
        <f>IFERROR(IF($V676="BRAND.com",HLOOKUP($X676&amp;$Z676,'NWC_FC_NON-NOOS'!$C$4:$Q$23,MATCH(W676,'NWC_FC_NON-NOOS'!$B$4:$B$23,0),FALSE),0),0)</f>
        <v>0</v>
      </c>
      <c r="AR676" s="57">
        <f>IFERROR(IF($V676="BRAND.com",HLOOKUP($X676&amp;$Z676,'NWC_FC_NON-NOOS'!$T$4:$AH$23,MATCH(W676,'NWC_FC_NON-NOOS'!$S$4:$S$23,0),FALSE),0),0)</f>
        <v>0</v>
      </c>
      <c r="AS676" s="57">
        <f>IFERROR(IF($V676="BRAND.com",HLOOKUP($X676&amp;$Z676,'NWC_FC_NON-NOOS'!$C$50:$U$69,MATCH(W676,'NWC_FC_NON-NOOS'!$B$50:$B$69,0),FALSE),0),0)</f>
        <v>0</v>
      </c>
      <c r="AT676" s="57">
        <f t="shared" si="268"/>
        <v>0</v>
      </c>
      <c r="AU676" s="57">
        <f t="shared" si="269"/>
        <v>0</v>
      </c>
      <c r="AV676" s="58">
        <f>IFERROR(IF($V676="BRAND.com",HLOOKUP($X676&amp;$Z676,PLANNING_FC!$BB$27:$BP$46,MATCH($W676,PLANNING_FC!$BA$27:$BA$46,0),FALSE),0),0)</f>
        <v>0</v>
      </c>
      <c r="AW676" s="58">
        <f>IFERROR(IF($V676="BRAND.com",HLOOKUP($X676&amp;$Z676,PLANNING_FC!$BB$4:$BP$23,MATCH($W676,PLANNING_FC!$BA$4:$BA$23,0),FALSE),0),0)</f>
        <v>0</v>
      </c>
      <c r="AX676" s="58">
        <f>IFERROR(IF($V676="BRAND.com",HLOOKUP($X676&amp;$Z676,PLANNING_FC!$T$27:$AH$46,MATCH($W676,PLANNING_FC!$B$27:$B$46,0),FALSE),0),0)</f>
        <v>0</v>
      </c>
      <c r="AY676" s="58">
        <f>IFERROR(IF($V676="BRAND.com",HLOOKUP($X676&amp;$Z676,PLANNING_FC!$T$4:$AH$23,MATCH($W676,PLANNING_FC!$B$4:$B$23,0),FALSE),0),0)</f>
        <v>0</v>
      </c>
      <c r="AZ676" s="58">
        <f>IFERROR(IF($V676="BRAND.com",HLOOKUP($X676&amp;$Z676,PLANNING_FC!$DA$27:$DO$46,MATCH($W676,PLANNING_FC!$CZ$27:$CZ$46,0),FALSE),0),0)</f>
        <v>0</v>
      </c>
      <c r="BA676" s="58">
        <f>IFERROR(IF($V676="BRAND.com",HLOOKUP($X676&amp;$Z676,PLANNING_FC!$DA$4:$DO$23,MATCH($W676,PLANNING_FC!$CZ$4:$CZ$23,0),FALSE),0),0)</f>
        <v>0</v>
      </c>
      <c r="BB676" s="883" t="str">
        <f>IF(V676="BRAND.com",IFERROR(HLOOKUP(X676&amp;Z676,PLANNING_FC!$AK$4:$AY$23,MATCH(W676,PLANNING_FC!$AJ$4:$AJ$23,0),FALSE)*1000,""),"")</f>
        <v/>
      </c>
      <c r="BC676" s="883" t="str">
        <f>IF(V676="BRAND.com",IFERROR(HLOOKUP(X676&amp;Z676,PLANNING_FC!$AK$27:$AY$46,MATCH(W676,PLANNING_FC!$AJ$27:$AJ$46,0),FALSE)*1000,""),"")</f>
        <v/>
      </c>
    </row>
    <row r="677" spans="14:55" x14ac:dyDescent="0.25">
      <c r="N677" s="56">
        <f t="shared" si="272"/>
        <v>0</v>
      </c>
      <c r="O677" s="57">
        <f t="shared" si="273"/>
        <v>0</v>
      </c>
      <c r="P677" s="57">
        <f ca="1">IFERROR(IF(ISBLANK(H677),SUMIFS($AC:$AC,$V:$V,V677,$W:$W,W677,$X:$X,X677,$Y:$Y,Y677)*J677/(1-J677)*VLOOKUP(_xlfn.CONCAT(C677,D677,E677,TIME!$M$12,Z677),HIS_SALES!$B$2:$W$4859,20,FALSE),AC677*J677/(1-J677)),0)</f>
        <v>0</v>
      </c>
      <c r="Q677" s="541" t="str">
        <f t="shared" si="283"/>
        <v/>
      </c>
      <c r="R677" s="346" t="str">
        <f t="shared" si="262"/>
        <v>00000</v>
      </c>
      <c r="S677" s="344">
        <f t="shared" si="274"/>
        <v>0</v>
      </c>
      <c r="T677" s="345" t="str">
        <f t="shared" si="267"/>
        <v>000</v>
      </c>
      <c r="U677" s="345">
        <f t="shared" si="275"/>
        <v>0</v>
      </c>
      <c r="V677" s="345">
        <f t="shared" si="276"/>
        <v>0</v>
      </c>
      <c r="W677" s="345">
        <f t="shared" si="277"/>
        <v>0</v>
      </c>
      <c r="X677" s="345">
        <f t="shared" si="278"/>
        <v>0</v>
      </c>
      <c r="Y677" s="345">
        <f t="shared" si="279"/>
        <v>0</v>
      </c>
      <c r="Z677" s="345">
        <f>IF(Q677&lt;&gt;"",VLOOKUP(Y677,TIME!$R$21:$V$24,MATCH(FC_DATA!Q677,TIME!$R$20:$V$20,0),FALSE),H677)</f>
        <v>0</v>
      </c>
      <c r="AA677" s="345" t="str">
        <f>IFERROR(VLOOKUP(X677&amp;Z677,TIME!$A$12:$D$71,4,FALSE),"")</f>
        <v/>
      </c>
      <c r="AB677" s="592">
        <f t="shared" ca="1" si="263"/>
        <v>0</v>
      </c>
      <c r="AC677" s="593" t="e">
        <f ca="1">IF(ISBLANK(H677)=FALSE,IF(D677="BRAND.com",I677,IF(ISNA(VLOOKUP(_xlfn.CONCAT(X677,Z677),TIME!$M$40:$M$42,1,FALSE)),I677,VLOOKUP(_xlfn.CONCAT(D677,G677,H677),M_BUSAREA_FC!$AF$5:$AJ$10,5,FALSE)*HLOOKUP(_xlfn.CONCAT(F677,H677),ST_OVERVIEW!$G$99:$I$130,MATCH(_xlfn.CONCAT(D677,E677),ST_OVERVIEW!$F$99:$F$130,0),FALSE))),IF(D677="BRAND.com",VLOOKUP(_xlfn.CONCAT(C677,D677,E677,TIME!$F$1,Z677),HIS_SALES!$B$2:$V$4859,19,FALSE)*I677,VLOOKUP(_xlfn.CONCAT(D677,F677,G677),Q_BUSAREA_FC!$AE$5:$AI$12,5,FALSE)*HLOOKUP(_xlfn.CONCAT(FC_DATA!F677,FC_DATA!G677),LT_OVERVIEW!$I$99:$M$130,MATCH(_xlfn.CONCAT(D677,FC_DATA!E677),LT_OVERVIEW!$H$99:$H$130,0),FALSE)*IFERROR(VLOOKUP(_xlfn.CONCAT(C677,D677,E677,TIME!$F$1,Z677),HIS_SALES!$B$2:$V$4859,19,FALSE),0)))</f>
        <v>#N/A</v>
      </c>
      <c r="AD677" s="341">
        <f t="shared" ca="1" si="280"/>
        <v>0</v>
      </c>
      <c r="AE677" s="363" t="str">
        <f t="shared" si="281"/>
        <v/>
      </c>
      <c r="AF677" s="342" t="str">
        <f t="shared" si="282"/>
        <v/>
      </c>
      <c r="AG677" s="411" t="e">
        <f ca="1">VLOOKUP(_xlfn.CONCAT(U677,V677,W677,VLOOKUP(X677&amp;Y677,TIME!$L$27:$O$34,4,FALSE),Y677),HIS_SALES!$A$2:$R$5093,18,FALSE)</f>
        <v>#N/A</v>
      </c>
      <c r="AH677" s="412" t="e">
        <f ca="1">IFERROR(IF(AND(V677=V676,W677=W676),0.5*(AB677+AB676)*AG677,(VLOOKUP(_xlfn.CONCAT(U677,V677,W677,X677,VLOOKUP(Z677,TIME!$S$28:$T$39,2,FALSE)),FC_DATA!$R$2:$AB$5000,MATCH("GS_I_M",FC_DATA!$R$1:$AB$1,0),FALSE)+FC_DATA!AB677)*0.5*FC_DATA!AG677),NA())</f>
        <v>#N/A</v>
      </c>
      <c r="AI677" s="491" t="e">
        <f ca="1">IF(V677="PARTNER.com",AH677,IF(AND(V677=V676,W677=W676),(1-AVERAGE(AD676,AD677))*AH677,(1-AVERAGE(AD677,VLOOKUP(_xlfn.CONCAT(U677,V677,W677,X677,M_BRAND_FC!$F$6),FC_DATA!$R$2:$AD$5000,MATCH("DISCOUNT_%_M",FC_DATA!$R$1:$AD$1,0),FALSE)))*AH677))</f>
        <v>#N/A</v>
      </c>
      <c r="AJ677" s="412" t="str">
        <f t="shared" ca="1" si="264"/>
        <v/>
      </c>
      <c r="AK677" s="413" t="str">
        <f>IFERROR(AE677/(Q_BRAND_FC!$T$24+1),"")</f>
        <v/>
      </c>
      <c r="AL677" s="88" t="str">
        <f t="shared" ca="1" si="265"/>
        <v/>
      </c>
      <c r="AM677" s="414" t="str">
        <f t="shared" ca="1" si="266"/>
        <v/>
      </c>
      <c r="AN677" s="58">
        <f>IFERROR(IF($V677="BRAND.com",HLOOKUP($X677&amp;$Z677,NWC_FC_NOOS!$C$4:$Q$23,MATCH(W677,NWC_FC_NOOS!$B$4:$B$23,0),FALSE),0),0)</f>
        <v>0</v>
      </c>
      <c r="AO677" s="57">
        <f>IFERROR(IF($V677="BRAND.com",HLOOKUP($X677&amp;$Z677,NWC_FC_NOOS!$T$4:$AH$23,MATCH(W677,NWC_FC_NOOS!$S$4:$S$23,0),FALSE),0),0)</f>
        <v>0</v>
      </c>
      <c r="AP677" s="57">
        <f>IFERROR(IF($V677="BRAND.com",HLOOKUP($X677&amp;$Z677,NWC_FC_NOOS!$C$50:$U$69,MATCH(W677,NWC_FC_NOOS!$B$50:$B$69,0),FALSE),0),0)</f>
        <v>0</v>
      </c>
      <c r="AQ677" s="58">
        <f>IFERROR(IF($V677="BRAND.com",HLOOKUP($X677&amp;$Z677,'NWC_FC_NON-NOOS'!$C$4:$Q$23,MATCH(W677,'NWC_FC_NON-NOOS'!$B$4:$B$23,0),FALSE),0),0)</f>
        <v>0</v>
      </c>
      <c r="AR677" s="57">
        <f>IFERROR(IF($V677="BRAND.com",HLOOKUP($X677&amp;$Z677,'NWC_FC_NON-NOOS'!$T$4:$AH$23,MATCH(W677,'NWC_FC_NON-NOOS'!$S$4:$S$23,0),FALSE),0),0)</f>
        <v>0</v>
      </c>
      <c r="AS677" s="57">
        <f>IFERROR(IF($V677="BRAND.com",HLOOKUP($X677&amp;$Z677,'NWC_FC_NON-NOOS'!$C$50:$U$69,MATCH(W677,'NWC_FC_NON-NOOS'!$B$50:$B$69,0),FALSE),0),0)</f>
        <v>0</v>
      </c>
      <c r="AT677" s="57">
        <f t="shared" si="268"/>
        <v>0</v>
      </c>
      <c r="AU677" s="57">
        <f t="shared" si="269"/>
        <v>0</v>
      </c>
      <c r="AV677" s="58">
        <f>IFERROR(IF($V677="BRAND.com",HLOOKUP($X677&amp;$Z677,PLANNING_FC!$BB$27:$BP$46,MATCH($W677,PLANNING_FC!$BA$27:$BA$46,0),FALSE),0),0)</f>
        <v>0</v>
      </c>
      <c r="AW677" s="58">
        <f>IFERROR(IF($V677="BRAND.com",HLOOKUP($X677&amp;$Z677,PLANNING_FC!$BB$4:$BP$23,MATCH($W677,PLANNING_FC!$BA$4:$BA$23,0),FALSE),0),0)</f>
        <v>0</v>
      </c>
      <c r="AX677" s="58">
        <f>IFERROR(IF($V677="BRAND.com",HLOOKUP($X677&amp;$Z677,PLANNING_FC!$T$27:$AH$46,MATCH($W677,PLANNING_FC!$B$27:$B$46,0),FALSE),0),0)</f>
        <v>0</v>
      </c>
      <c r="AY677" s="58">
        <f>IFERROR(IF($V677="BRAND.com",HLOOKUP($X677&amp;$Z677,PLANNING_FC!$T$4:$AH$23,MATCH($W677,PLANNING_FC!$B$4:$B$23,0),FALSE),0),0)</f>
        <v>0</v>
      </c>
      <c r="AZ677" s="58">
        <f>IFERROR(IF($V677="BRAND.com",HLOOKUP($X677&amp;$Z677,PLANNING_FC!$DA$27:$DO$46,MATCH($W677,PLANNING_FC!$CZ$27:$CZ$46,0),FALSE),0),0)</f>
        <v>0</v>
      </c>
      <c r="BA677" s="58">
        <f>IFERROR(IF($V677="BRAND.com",HLOOKUP($X677&amp;$Z677,PLANNING_FC!$DA$4:$DO$23,MATCH($W677,PLANNING_FC!$CZ$4:$CZ$23,0),FALSE),0),0)</f>
        <v>0</v>
      </c>
      <c r="BB677" s="883" t="str">
        <f>IF(V677="BRAND.com",IFERROR(HLOOKUP(X677&amp;Z677,PLANNING_FC!$AK$4:$AY$23,MATCH(W677,PLANNING_FC!$AJ$4:$AJ$23,0),FALSE)*1000,""),"")</f>
        <v/>
      </c>
      <c r="BC677" s="883" t="str">
        <f>IF(V677="BRAND.com",IFERROR(HLOOKUP(X677&amp;Z677,PLANNING_FC!$AK$27:$AY$46,MATCH(W677,PLANNING_FC!$AJ$27:$AJ$46,0),FALSE)*1000,""),"")</f>
        <v/>
      </c>
    </row>
    <row r="678" spans="14:55" x14ac:dyDescent="0.25">
      <c r="N678" s="56">
        <f t="shared" si="272"/>
        <v>0</v>
      </c>
      <c r="O678" s="57">
        <f t="shared" si="273"/>
        <v>0</v>
      </c>
      <c r="P678" s="57">
        <f ca="1">IFERROR(IF(ISBLANK(H678),SUMIFS($AC:$AC,$V:$V,V678,$W:$W,W678,$X:$X,X678,$Y:$Y,Y678)*J678/(1-J678)*VLOOKUP(_xlfn.CONCAT(C678,D678,E678,TIME!$M$12,Z678),HIS_SALES!$B$2:$W$4859,20,FALSE),AC678*J678/(1-J678)),0)</f>
        <v>0</v>
      </c>
      <c r="Q678" s="541" t="str">
        <f t="shared" si="283"/>
        <v/>
      </c>
      <c r="R678" s="346" t="str">
        <f t="shared" si="262"/>
        <v>00000</v>
      </c>
      <c r="S678" s="344">
        <f t="shared" si="274"/>
        <v>0</v>
      </c>
      <c r="T678" s="345" t="str">
        <f t="shared" si="267"/>
        <v>000</v>
      </c>
      <c r="U678" s="345">
        <f t="shared" si="275"/>
        <v>0</v>
      </c>
      <c r="V678" s="345">
        <f t="shared" si="276"/>
        <v>0</v>
      </c>
      <c r="W678" s="345">
        <f t="shared" si="277"/>
        <v>0</v>
      </c>
      <c r="X678" s="345">
        <f t="shared" si="278"/>
        <v>0</v>
      </c>
      <c r="Y678" s="345">
        <f t="shared" si="279"/>
        <v>0</v>
      </c>
      <c r="Z678" s="345">
        <f>IF(Q678&lt;&gt;"",VLOOKUP(Y678,TIME!$R$21:$V$24,MATCH(FC_DATA!Q678,TIME!$R$20:$V$20,0),FALSE),H678)</f>
        <v>0</v>
      </c>
      <c r="AA678" s="345" t="str">
        <f>IFERROR(VLOOKUP(X678&amp;Z678,TIME!$A$12:$D$71,4,FALSE),"")</f>
        <v/>
      </c>
      <c r="AB678" s="592">
        <f t="shared" ca="1" si="263"/>
        <v>0</v>
      </c>
      <c r="AC678" s="593" t="e">
        <f ca="1">IF(ISBLANK(H678)=FALSE,IF(D678="BRAND.com",I678,IF(ISNA(VLOOKUP(_xlfn.CONCAT(X678,Z678),TIME!$M$40:$M$42,1,FALSE)),I678,VLOOKUP(_xlfn.CONCAT(D678,G678,H678),M_BUSAREA_FC!$AF$5:$AJ$10,5,FALSE)*HLOOKUP(_xlfn.CONCAT(F678,H678),ST_OVERVIEW!$G$99:$I$130,MATCH(_xlfn.CONCAT(D678,E678),ST_OVERVIEW!$F$99:$F$130,0),FALSE))),IF(D678="BRAND.com",VLOOKUP(_xlfn.CONCAT(C678,D678,E678,TIME!$F$1,Z678),HIS_SALES!$B$2:$V$4859,19,FALSE)*I678,VLOOKUP(_xlfn.CONCAT(D678,F678,G678),Q_BUSAREA_FC!$AE$5:$AI$12,5,FALSE)*HLOOKUP(_xlfn.CONCAT(FC_DATA!F678,FC_DATA!G678),LT_OVERVIEW!$I$99:$M$130,MATCH(_xlfn.CONCAT(D678,FC_DATA!E678),LT_OVERVIEW!$H$99:$H$130,0),FALSE)*IFERROR(VLOOKUP(_xlfn.CONCAT(C678,D678,E678,TIME!$F$1,Z678),HIS_SALES!$B$2:$V$4859,19,FALSE),0)))</f>
        <v>#N/A</v>
      </c>
      <c r="AD678" s="341">
        <f t="shared" ca="1" si="280"/>
        <v>0</v>
      </c>
      <c r="AE678" s="363" t="str">
        <f t="shared" si="281"/>
        <v/>
      </c>
      <c r="AF678" s="342" t="str">
        <f t="shared" si="282"/>
        <v/>
      </c>
      <c r="AG678" s="411" t="e">
        <f ca="1">VLOOKUP(_xlfn.CONCAT(U678,V678,W678,VLOOKUP(X678&amp;Y678,TIME!$L$27:$O$34,4,FALSE),Y678),HIS_SALES!$A$2:$R$5093,18,FALSE)</f>
        <v>#N/A</v>
      </c>
      <c r="AH678" s="412" t="e">
        <f ca="1">IFERROR(IF(AND(V678=V677,W678=W677),0.5*(AB678+AB677)*AG678,(VLOOKUP(_xlfn.CONCAT(U678,V678,W678,X678,VLOOKUP(Z678,TIME!$S$28:$T$39,2,FALSE)),FC_DATA!$R$2:$AB$5000,MATCH("GS_I_M",FC_DATA!$R$1:$AB$1,0),FALSE)+FC_DATA!AB678)*0.5*FC_DATA!AG678),NA())</f>
        <v>#N/A</v>
      </c>
      <c r="AI678" s="491" t="e">
        <f ca="1">IF(V678="PARTNER.com",AH678,IF(AND(V678=V677,W678=W677),(1-AVERAGE(AD677,AD678))*AH678,(1-AVERAGE(AD678,VLOOKUP(_xlfn.CONCAT(U678,V678,W678,X678,M_BRAND_FC!$F$6),FC_DATA!$R$2:$AD$5000,MATCH("DISCOUNT_%_M",FC_DATA!$R$1:$AD$1,0),FALSE)))*AH678))</f>
        <v>#N/A</v>
      </c>
      <c r="AJ678" s="412" t="str">
        <f t="shared" ca="1" si="264"/>
        <v/>
      </c>
      <c r="AK678" s="413" t="str">
        <f>IFERROR(AE678/(Q_BRAND_FC!$T$24+1),"")</f>
        <v/>
      </c>
      <c r="AL678" s="88" t="str">
        <f t="shared" ca="1" si="265"/>
        <v/>
      </c>
      <c r="AM678" s="414" t="str">
        <f t="shared" ca="1" si="266"/>
        <v/>
      </c>
      <c r="AN678" s="58">
        <f>IFERROR(IF($V678="BRAND.com",HLOOKUP($X678&amp;$Z678,NWC_FC_NOOS!$C$4:$Q$23,MATCH(W678,NWC_FC_NOOS!$B$4:$B$23,0),FALSE),0),0)</f>
        <v>0</v>
      </c>
      <c r="AO678" s="57">
        <f>IFERROR(IF($V678="BRAND.com",HLOOKUP($X678&amp;$Z678,NWC_FC_NOOS!$T$4:$AH$23,MATCH(W678,NWC_FC_NOOS!$S$4:$S$23,0),FALSE),0),0)</f>
        <v>0</v>
      </c>
      <c r="AP678" s="57">
        <f>IFERROR(IF($V678="BRAND.com",HLOOKUP($X678&amp;$Z678,NWC_FC_NOOS!$C$50:$U$69,MATCH(W678,NWC_FC_NOOS!$B$50:$B$69,0),FALSE),0),0)</f>
        <v>0</v>
      </c>
      <c r="AQ678" s="58">
        <f>IFERROR(IF($V678="BRAND.com",HLOOKUP($X678&amp;$Z678,'NWC_FC_NON-NOOS'!$C$4:$Q$23,MATCH(W678,'NWC_FC_NON-NOOS'!$B$4:$B$23,0),FALSE),0),0)</f>
        <v>0</v>
      </c>
      <c r="AR678" s="57">
        <f>IFERROR(IF($V678="BRAND.com",HLOOKUP($X678&amp;$Z678,'NWC_FC_NON-NOOS'!$T$4:$AH$23,MATCH(W678,'NWC_FC_NON-NOOS'!$S$4:$S$23,0),FALSE),0),0)</f>
        <v>0</v>
      </c>
      <c r="AS678" s="57">
        <f>IFERROR(IF($V678="BRAND.com",HLOOKUP($X678&amp;$Z678,'NWC_FC_NON-NOOS'!$C$50:$U$69,MATCH(W678,'NWC_FC_NON-NOOS'!$B$50:$B$69,0),FALSE),0),0)</f>
        <v>0</v>
      </c>
      <c r="AT678" s="57">
        <f t="shared" si="268"/>
        <v>0</v>
      </c>
      <c r="AU678" s="57">
        <f t="shared" si="269"/>
        <v>0</v>
      </c>
      <c r="AV678" s="58">
        <f>IFERROR(IF($V678="BRAND.com",HLOOKUP($X678&amp;$Z678,PLANNING_FC!$BB$27:$BP$46,MATCH($W678,PLANNING_FC!$BA$27:$BA$46,0),FALSE),0),0)</f>
        <v>0</v>
      </c>
      <c r="AW678" s="58">
        <f>IFERROR(IF($V678="BRAND.com",HLOOKUP($X678&amp;$Z678,PLANNING_FC!$BB$4:$BP$23,MATCH($W678,PLANNING_FC!$BA$4:$BA$23,0),FALSE),0),0)</f>
        <v>0</v>
      </c>
      <c r="AX678" s="58">
        <f>IFERROR(IF($V678="BRAND.com",HLOOKUP($X678&amp;$Z678,PLANNING_FC!$T$27:$AH$46,MATCH($W678,PLANNING_FC!$B$27:$B$46,0),FALSE),0),0)</f>
        <v>0</v>
      </c>
      <c r="AY678" s="58">
        <f>IFERROR(IF($V678="BRAND.com",HLOOKUP($X678&amp;$Z678,PLANNING_FC!$T$4:$AH$23,MATCH($W678,PLANNING_FC!$B$4:$B$23,0),FALSE),0),0)</f>
        <v>0</v>
      </c>
      <c r="AZ678" s="58">
        <f>IFERROR(IF($V678="BRAND.com",HLOOKUP($X678&amp;$Z678,PLANNING_FC!$DA$27:$DO$46,MATCH($W678,PLANNING_FC!$CZ$27:$CZ$46,0),FALSE),0),0)</f>
        <v>0</v>
      </c>
      <c r="BA678" s="58">
        <f>IFERROR(IF($V678="BRAND.com",HLOOKUP($X678&amp;$Z678,PLANNING_FC!$DA$4:$DO$23,MATCH($W678,PLANNING_FC!$CZ$4:$CZ$23,0),FALSE),0),0)</f>
        <v>0</v>
      </c>
      <c r="BB678" s="883" t="str">
        <f>IF(V678="BRAND.com",IFERROR(HLOOKUP(X678&amp;Z678,PLANNING_FC!$AK$4:$AY$23,MATCH(W678,PLANNING_FC!$AJ$4:$AJ$23,0),FALSE)*1000,""),"")</f>
        <v/>
      </c>
      <c r="BC678" s="883" t="str">
        <f>IF(V678="BRAND.com",IFERROR(HLOOKUP(X678&amp;Z678,PLANNING_FC!$AK$27:$AY$46,MATCH(W678,PLANNING_FC!$AJ$27:$AJ$46,0),FALSE)*1000,""),"")</f>
        <v/>
      </c>
    </row>
    <row r="679" spans="14:55" x14ac:dyDescent="0.25">
      <c r="N679" s="56">
        <f t="shared" si="272"/>
        <v>0</v>
      </c>
      <c r="O679" s="57">
        <f t="shared" si="273"/>
        <v>0</v>
      </c>
      <c r="P679" s="57">
        <f ca="1">IFERROR(IF(ISBLANK(H679),SUMIFS($AC:$AC,$V:$V,V679,$W:$W,W679,$X:$X,X679,$Y:$Y,Y679)*J679/(1-J679)*VLOOKUP(_xlfn.CONCAT(C679,D679,E679,TIME!$M$12,Z679),HIS_SALES!$B$2:$W$4859,20,FALSE),AC679*J679/(1-J679)),0)</f>
        <v>0</v>
      </c>
      <c r="Q679" s="541" t="str">
        <f t="shared" si="283"/>
        <v/>
      </c>
      <c r="R679" s="346" t="str">
        <f t="shared" si="262"/>
        <v>00000</v>
      </c>
      <c r="S679" s="344">
        <f t="shared" si="274"/>
        <v>0</v>
      </c>
      <c r="T679" s="345" t="str">
        <f t="shared" si="267"/>
        <v>000</v>
      </c>
      <c r="U679" s="345">
        <f t="shared" si="275"/>
        <v>0</v>
      </c>
      <c r="V679" s="345">
        <f t="shared" si="276"/>
        <v>0</v>
      </c>
      <c r="W679" s="345">
        <f t="shared" si="277"/>
        <v>0</v>
      </c>
      <c r="X679" s="345">
        <f t="shared" si="278"/>
        <v>0</v>
      </c>
      <c r="Y679" s="345">
        <f t="shared" si="279"/>
        <v>0</v>
      </c>
      <c r="Z679" s="345">
        <f>IF(Q679&lt;&gt;"",VLOOKUP(Y679,TIME!$R$21:$V$24,MATCH(FC_DATA!Q679,TIME!$R$20:$V$20,0),FALSE),H679)</f>
        <v>0</v>
      </c>
      <c r="AA679" s="345" t="str">
        <f>IFERROR(VLOOKUP(X679&amp;Z679,TIME!$A$12:$D$71,4,FALSE),"")</f>
        <v/>
      </c>
      <c r="AB679" s="592">
        <f t="shared" ca="1" si="263"/>
        <v>0</v>
      </c>
      <c r="AC679" s="593" t="e">
        <f ca="1">IF(ISBLANK(H679)=FALSE,IF(D679="BRAND.com",I679,IF(ISNA(VLOOKUP(_xlfn.CONCAT(X679,Z679),TIME!$M$40:$M$42,1,FALSE)),I679,VLOOKUP(_xlfn.CONCAT(D679,G679,H679),M_BUSAREA_FC!$AF$5:$AJ$10,5,FALSE)*HLOOKUP(_xlfn.CONCAT(F679,H679),ST_OVERVIEW!$G$99:$I$130,MATCH(_xlfn.CONCAT(D679,E679),ST_OVERVIEW!$F$99:$F$130,0),FALSE))),IF(D679="BRAND.com",VLOOKUP(_xlfn.CONCAT(C679,D679,E679,TIME!$F$1,Z679),HIS_SALES!$B$2:$V$4859,19,FALSE)*I679,VLOOKUP(_xlfn.CONCAT(D679,F679,G679),Q_BUSAREA_FC!$AE$5:$AI$12,5,FALSE)*HLOOKUP(_xlfn.CONCAT(FC_DATA!F679,FC_DATA!G679),LT_OVERVIEW!$I$99:$M$130,MATCH(_xlfn.CONCAT(D679,FC_DATA!E679),LT_OVERVIEW!$H$99:$H$130,0),FALSE)*IFERROR(VLOOKUP(_xlfn.CONCAT(C679,D679,E679,TIME!$F$1,Z679),HIS_SALES!$B$2:$V$4859,19,FALSE),0)))</f>
        <v>#N/A</v>
      </c>
      <c r="AD679" s="341">
        <f t="shared" ca="1" si="280"/>
        <v>0</v>
      </c>
      <c r="AE679" s="363" t="str">
        <f t="shared" si="281"/>
        <v/>
      </c>
      <c r="AF679" s="342" t="str">
        <f t="shared" si="282"/>
        <v/>
      </c>
      <c r="AG679" s="411" t="e">
        <f ca="1">VLOOKUP(_xlfn.CONCAT(U679,V679,W679,VLOOKUP(X679&amp;Y679,TIME!$L$27:$O$34,4,FALSE),Y679),HIS_SALES!$A$2:$R$5093,18,FALSE)</f>
        <v>#N/A</v>
      </c>
      <c r="AH679" s="412" t="e">
        <f ca="1">IFERROR(IF(AND(V679=V678,W679=W678),0.5*(AB679+AB678)*AG679,(VLOOKUP(_xlfn.CONCAT(U679,V679,W679,X679,VLOOKUP(Z679,TIME!$S$28:$T$39,2,FALSE)),FC_DATA!$R$2:$AB$5000,MATCH("GS_I_M",FC_DATA!$R$1:$AB$1,0),FALSE)+FC_DATA!AB679)*0.5*FC_DATA!AG679),NA())</f>
        <v>#N/A</v>
      </c>
      <c r="AI679" s="491" t="e">
        <f ca="1">IF(V679="PARTNER.com",AH679,IF(AND(V679=V678,W679=W678),(1-AVERAGE(AD678,AD679))*AH679,(1-AVERAGE(AD679,VLOOKUP(_xlfn.CONCAT(U679,V679,W679,X679,M_BRAND_FC!$F$6),FC_DATA!$R$2:$AD$5000,MATCH("DISCOUNT_%_M",FC_DATA!$R$1:$AD$1,0),FALSE)))*AH679))</f>
        <v>#N/A</v>
      </c>
      <c r="AJ679" s="412" t="str">
        <f t="shared" ca="1" si="264"/>
        <v/>
      </c>
      <c r="AK679" s="413" t="str">
        <f>IFERROR(AE679/(Q_BRAND_FC!$T$24+1),"")</f>
        <v/>
      </c>
      <c r="AL679" s="88" t="str">
        <f t="shared" ca="1" si="265"/>
        <v/>
      </c>
      <c r="AM679" s="414" t="str">
        <f t="shared" ca="1" si="266"/>
        <v/>
      </c>
      <c r="AN679" s="58">
        <f>IFERROR(IF($V679="BRAND.com",HLOOKUP($X679&amp;$Z679,NWC_FC_NOOS!$C$4:$Q$23,MATCH(W679,NWC_FC_NOOS!$B$4:$B$23,0),FALSE),0),0)</f>
        <v>0</v>
      </c>
      <c r="AO679" s="57">
        <f>IFERROR(IF($V679="BRAND.com",HLOOKUP($X679&amp;$Z679,NWC_FC_NOOS!$T$4:$AH$23,MATCH(W679,NWC_FC_NOOS!$S$4:$S$23,0),FALSE),0),0)</f>
        <v>0</v>
      </c>
      <c r="AP679" s="57">
        <f>IFERROR(IF($V679="BRAND.com",HLOOKUP($X679&amp;$Z679,NWC_FC_NOOS!$C$50:$U$69,MATCH(W679,NWC_FC_NOOS!$B$50:$B$69,0),FALSE),0),0)</f>
        <v>0</v>
      </c>
      <c r="AQ679" s="58">
        <f>IFERROR(IF($V679="BRAND.com",HLOOKUP($X679&amp;$Z679,'NWC_FC_NON-NOOS'!$C$4:$Q$23,MATCH(W679,'NWC_FC_NON-NOOS'!$B$4:$B$23,0),FALSE),0),0)</f>
        <v>0</v>
      </c>
      <c r="AR679" s="57">
        <f>IFERROR(IF($V679="BRAND.com",HLOOKUP($X679&amp;$Z679,'NWC_FC_NON-NOOS'!$T$4:$AH$23,MATCH(W679,'NWC_FC_NON-NOOS'!$S$4:$S$23,0),FALSE),0),0)</f>
        <v>0</v>
      </c>
      <c r="AS679" s="57">
        <f>IFERROR(IF($V679="BRAND.com",HLOOKUP($X679&amp;$Z679,'NWC_FC_NON-NOOS'!$C$50:$U$69,MATCH(W679,'NWC_FC_NON-NOOS'!$B$50:$B$69,0),FALSE),0),0)</f>
        <v>0</v>
      </c>
      <c r="AT679" s="57">
        <f t="shared" si="268"/>
        <v>0</v>
      </c>
      <c r="AU679" s="57">
        <f t="shared" si="269"/>
        <v>0</v>
      </c>
      <c r="AV679" s="58">
        <f>IFERROR(IF($V679="BRAND.com",HLOOKUP($X679&amp;$Z679,PLANNING_FC!$BB$27:$BP$46,MATCH($W679,PLANNING_FC!$BA$27:$BA$46,0),FALSE),0),0)</f>
        <v>0</v>
      </c>
      <c r="AW679" s="58">
        <f>IFERROR(IF($V679="BRAND.com",HLOOKUP($X679&amp;$Z679,PLANNING_FC!$BB$4:$BP$23,MATCH($W679,PLANNING_FC!$BA$4:$BA$23,0),FALSE),0),0)</f>
        <v>0</v>
      </c>
      <c r="AX679" s="58">
        <f>IFERROR(IF($V679="BRAND.com",HLOOKUP($X679&amp;$Z679,PLANNING_FC!$T$27:$AH$46,MATCH($W679,PLANNING_FC!$B$27:$B$46,0),FALSE),0),0)</f>
        <v>0</v>
      </c>
      <c r="AY679" s="58">
        <f>IFERROR(IF($V679="BRAND.com",HLOOKUP($X679&amp;$Z679,PLANNING_FC!$T$4:$AH$23,MATCH($W679,PLANNING_FC!$B$4:$B$23,0),FALSE),0),0)</f>
        <v>0</v>
      </c>
      <c r="AZ679" s="58">
        <f>IFERROR(IF($V679="BRAND.com",HLOOKUP($X679&amp;$Z679,PLANNING_FC!$DA$27:$DO$46,MATCH($W679,PLANNING_FC!$CZ$27:$CZ$46,0),FALSE),0),0)</f>
        <v>0</v>
      </c>
      <c r="BA679" s="58">
        <f>IFERROR(IF($V679="BRAND.com",HLOOKUP($X679&amp;$Z679,PLANNING_FC!$DA$4:$DO$23,MATCH($W679,PLANNING_FC!$CZ$4:$CZ$23,0),FALSE),0),0)</f>
        <v>0</v>
      </c>
      <c r="BB679" s="883" t="str">
        <f>IF(V679="BRAND.com",IFERROR(HLOOKUP(X679&amp;Z679,PLANNING_FC!$AK$4:$AY$23,MATCH(W679,PLANNING_FC!$AJ$4:$AJ$23,0),FALSE)*1000,""),"")</f>
        <v/>
      </c>
      <c r="BC679" s="883" t="str">
        <f>IF(V679="BRAND.com",IFERROR(HLOOKUP(X679&amp;Z679,PLANNING_FC!$AK$27:$AY$46,MATCH(W679,PLANNING_FC!$AJ$27:$AJ$46,0),FALSE)*1000,""),"")</f>
        <v/>
      </c>
    </row>
    <row r="680" spans="14:55" x14ac:dyDescent="0.25">
      <c r="N680" s="56">
        <f t="shared" si="272"/>
        <v>0</v>
      </c>
      <c r="O680" s="57">
        <f t="shared" si="273"/>
        <v>0</v>
      </c>
      <c r="P680" s="57">
        <f ca="1">IFERROR(IF(ISBLANK(H680),SUMIFS($AC:$AC,$V:$V,V680,$W:$W,W680,$X:$X,X680,$Y:$Y,Y680)*J680/(1-J680)*VLOOKUP(_xlfn.CONCAT(C680,D680,E680,TIME!$M$12,Z680),HIS_SALES!$B$2:$W$4859,20,FALSE),AC680*J680/(1-J680)),0)</f>
        <v>0</v>
      </c>
      <c r="Q680" s="541" t="str">
        <f t="shared" si="283"/>
        <v/>
      </c>
      <c r="R680" s="346" t="str">
        <f t="shared" si="262"/>
        <v>00000</v>
      </c>
      <c r="S680" s="344">
        <f t="shared" si="274"/>
        <v>0</v>
      </c>
      <c r="T680" s="345" t="str">
        <f t="shared" si="267"/>
        <v>000</v>
      </c>
      <c r="U680" s="345">
        <f t="shared" si="275"/>
        <v>0</v>
      </c>
      <c r="V680" s="345">
        <f t="shared" si="276"/>
        <v>0</v>
      </c>
      <c r="W680" s="345">
        <f t="shared" si="277"/>
        <v>0</v>
      </c>
      <c r="X680" s="345">
        <f t="shared" si="278"/>
        <v>0</v>
      </c>
      <c r="Y680" s="345">
        <f t="shared" si="279"/>
        <v>0</v>
      </c>
      <c r="Z680" s="345">
        <f>IF(Q680&lt;&gt;"",VLOOKUP(Y680,TIME!$R$21:$V$24,MATCH(FC_DATA!Q680,TIME!$R$20:$V$20,0),FALSE),H680)</f>
        <v>0</v>
      </c>
      <c r="AA680" s="345" t="str">
        <f>IFERROR(VLOOKUP(X680&amp;Z680,TIME!$A$12:$D$71,4,FALSE),"")</f>
        <v/>
      </c>
      <c r="AB680" s="592">
        <f t="shared" ca="1" si="263"/>
        <v>0</v>
      </c>
      <c r="AC680" s="593" t="e">
        <f ca="1">IF(ISBLANK(H680)=FALSE,IF(D680="BRAND.com",I680,IF(ISNA(VLOOKUP(_xlfn.CONCAT(X680,Z680),TIME!$M$40:$M$42,1,FALSE)),I680,VLOOKUP(_xlfn.CONCAT(D680,G680,H680),M_BUSAREA_FC!$AF$5:$AJ$10,5,FALSE)*HLOOKUP(_xlfn.CONCAT(F680,H680),ST_OVERVIEW!$G$99:$I$130,MATCH(_xlfn.CONCAT(D680,E680),ST_OVERVIEW!$F$99:$F$130,0),FALSE))),IF(D680="BRAND.com",VLOOKUP(_xlfn.CONCAT(C680,D680,E680,TIME!$F$1,Z680),HIS_SALES!$B$2:$V$4859,19,FALSE)*I680,VLOOKUP(_xlfn.CONCAT(D680,F680,G680),Q_BUSAREA_FC!$AE$5:$AI$12,5,FALSE)*HLOOKUP(_xlfn.CONCAT(FC_DATA!F680,FC_DATA!G680),LT_OVERVIEW!$I$99:$M$130,MATCH(_xlfn.CONCAT(D680,FC_DATA!E680),LT_OVERVIEW!$H$99:$H$130,0),FALSE)*IFERROR(VLOOKUP(_xlfn.CONCAT(C680,D680,E680,TIME!$F$1,Z680),HIS_SALES!$B$2:$V$4859,19,FALSE),0)))</f>
        <v>#N/A</v>
      </c>
      <c r="AD680" s="341">
        <f t="shared" ca="1" si="280"/>
        <v>0</v>
      </c>
      <c r="AE680" s="363" t="str">
        <f t="shared" si="281"/>
        <v/>
      </c>
      <c r="AF680" s="342" t="str">
        <f t="shared" si="282"/>
        <v/>
      </c>
      <c r="AG680" s="411" t="e">
        <f ca="1">VLOOKUP(_xlfn.CONCAT(U680,V680,W680,VLOOKUP(X680&amp;Y680,TIME!$L$27:$O$34,4,FALSE),Y680),HIS_SALES!$A$2:$R$5093,18,FALSE)</f>
        <v>#N/A</v>
      </c>
      <c r="AH680" s="412" t="e">
        <f ca="1">IFERROR(IF(AND(V680=V679,W680=W679),0.5*(AB680+AB679)*AG680,(VLOOKUP(_xlfn.CONCAT(U680,V680,W680,X680,VLOOKUP(Z680,TIME!$S$28:$T$39,2,FALSE)),FC_DATA!$R$2:$AB$5000,MATCH("GS_I_M",FC_DATA!$R$1:$AB$1,0),FALSE)+FC_DATA!AB680)*0.5*FC_DATA!AG680),NA())</f>
        <v>#N/A</v>
      </c>
      <c r="AI680" s="491" t="e">
        <f ca="1">IF(V680="PARTNER.com",AH680,IF(AND(V680=V679,W680=W679),(1-AVERAGE(AD679,AD680))*AH680,(1-AVERAGE(AD680,VLOOKUP(_xlfn.CONCAT(U680,V680,W680,X680,M_BRAND_FC!$F$6),FC_DATA!$R$2:$AD$5000,MATCH("DISCOUNT_%_M",FC_DATA!$R$1:$AD$1,0),FALSE)))*AH680))</f>
        <v>#N/A</v>
      </c>
      <c r="AJ680" s="412" t="str">
        <f t="shared" ca="1" si="264"/>
        <v/>
      </c>
      <c r="AK680" s="413" t="str">
        <f>IFERROR(AE680/(Q_BRAND_FC!$T$24+1),"")</f>
        <v/>
      </c>
      <c r="AL680" s="88" t="str">
        <f t="shared" ca="1" si="265"/>
        <v/>
      </c>
      <c r="AM680" s="414" t="str">
        <f t="shared" ca="1" si="266"/>
        <v/>
      </c>
      <c r="AN680" s="58">
        <f>IFERROR(IF($V680="BRAND.com",HLOOKUP($X680&amp;$Z680,NWC_FC_NOOS!$C$4:$Q$23,MATCH(W680,NWC_FC_NOOS!$B$4:$B$23,0),FALSE),0),0)</f>
        <v>0</v>
      </c>
      <c r="AO680" s="57">
        <f>IFERROR(IF($V680="BRAND.com",HLOOKUP($X680&amp;$Z680,NWC_FC_NOOS!$T$4:$AH$23,MATCH(W680,NWC_FC_NOOS!$S$4:$S$23,0),FALSE),0),0)</f>
        <v>0</v>
      </c>
      <c r="AP680" s="57">
        <f>IFERROR(IF($V680="BRAND.com",HLOOKUP($X680&amp;$Z680,NWC_FC_NOOS!$C$50:$U$69,MATCH(W680,NWC_FC_NOOS!$B$50:$B$69,0),FALSE),0),0)</f>
        <v>0</v>
      </c>
      <c r="AQ680" s="58">
        <f>IFERROR(IF($V680="BRAND.com",HLOOKUP($X680&amp;$Z680,'NWC_FC_NON-NOOS'!$C$4:$Q$23,MATCH(W680,'NWC_FC_NON-NOOS'!$B$4:$B$23,0),FALSE),0),0)</f>
        <v>0</v>
      </c>
      <c r="AR680" s="57">
        <f>IFERROR(IF($V680="BRAND.com",HLOOKUP($X680&amp;$Z680,'NWC_FC_NON-NOOS'!$T$4:$AH$23,MATCH(W680,'NWC_FC_NON-NOOS'!$S$4:$S$23,0),FALSE),0),0)</f>
        <v>0</v>
      </c>
      <c r="AS680" s="57">
        <f>IFERROR(IF($V680="BRAND.com",HLOOKUP($X680&amp;$Z680,'NWC_FC_NON-NOOS'!$C$50:$U$69,MATCH(W680,'NWC_FC_NON-NOOS'!$B$50:$B$69,0),FALSE),0),0)</f>
        <v>0</v>
      </c>
      <c r="AT680" s="57">
        <f t="shared" si="268"/>
        <v>0</v>
      </c>
      <c r="AU680" s="57">
        <f t="shared" si="269"/>
        <v>0</v>
      </c>
      <c r="AV680" s="58">
        <f>IFERROR(IF($V680="BRAND.com",HLOOKUP($X680&amp;$Z680,PLANNING_FC!$BB$27:$BP$46,MATCH($W680,PLANNING_FC!$BA$27:$BA$46,0),FALSE),0),0)</f>
        <v>0</v>
      </c>
      <c r="AW680" s="58">
        <f>IFERROR(IF($V680="BRAND.com",HLOOKUP($X680&amp;$Z680,PLANNING_FC!$BB$4:$BP$23,MATCH($W680,PLANNING_FC!$BA$4:$BA$23,0),FALSE),0),0)</f>
        <v>0</v>
      </c>
      <c r="AX680" s="58">
        <f>IFERROR(IF($V680="BRAND.com",HLOOKUP($X680&amp;$Z680,PLANNING_FC!$T$27:$AH$46,MATCH($W680,PLANNING_FC!$B$27:$B$46,0),FALSE),0),0)</f>
        <v>0</v>
      </c>
      <c r="AY680" s="58">
        <f>IFERROR(IF($V680="BRAND.com",HLOOKUP($X680&amp;$Z680,PLANNING_FC!$T$4:$AH$23,MATCH($W680,PLANNING_FC!$B$4:$B$23,0),FALSE),0),0)</f>
        <v>0</v>
      </c>
      <c r="AZ680" s="58">
        <f>IFERROR(IF($V680="BRAND.com",HLOOKUP($X680&amp;$Z680,PLANNING_FC!$DA$27:$DO$46,MATCH($W680,PLANNING_FC!$CZ$27:$CZ$46,0),FALSE),0),0)</f>
        <v>0</v>
      </c>
      <c r="BA680" s="58">
        <f>IFERROR(IF($V680="BRAND.com",HLOOKUP($X680&amp;$Z680,PLANNING_FC!$DA$4:$DO$23,MATCH($W680,PLANNING_FC!$CZ$4:$CZ$23,0),FALSE),0),0)</f>
        <v>0</v>
      </c>
      <c r="BB680" s="883" t="str">
        <f>IF(V680="BRAND.com",IFERROR(HLOOKUP(X680&amp;Z680,PLANNING_FC!$AK$4:$AY$23,MATCH(W680,PLANNING_FC!$AJ$4:$AJ$23,0),FALSE)*1000,""),"")</f>
        <v/>
      </c>
      <c r="BC680" s="883" t="str">
        <f>IF(V680="BRAND.com",IFERROR(HLOOKUP(X680&amp;Z680,PLANNING_FC!$AK$27:$AY$46,MATCH(W680,PLANNING_FC!$AJ$27:$AJ$46,0),FALSE)*1000,""),"")</f>
        <v/>
      </c>
    </row>
    <row r="681" spans="14:55" x14ac:dyDescent="0.25">
      <c r="N681" s="56">
        <f t="shared" si="272"/>
        <v>0</v>
      </c>
      <c r="O681" s="57">
        <f t="shared" si="273"/>
        <v>0</v>
      </c>
      <c r="P681" s="57">
        <f ca="1">IFERROR(IF(ISBLANK(H681),SUMIFS($AC:$AC,$V:$V,V681,$W:$W,W681,$X:$X,X681,$Y:$Y,Y681)*J681/(1-J681)*VLOOKUP(_xlfn.CONCAT(C681,D681,E681,TIME!$M$12,Z681),HIS_SALES!$B$2:$W$4859,20,FALSE),AC681*J681/(1-J681)),0)</f>
        <v>0</v>
      </c>
      <c r="Q681" s="541" t="str">
        <f t="shared" si="283"/>
        <v/>
      </c>
      <c r="R681" s="346" t="str">
        <f t="shared" si="262"/>
        <v>00000</v>
      </c>
      <c r="S681" s="344">
        <f t="shared" si="274"/>
        <v>0</v>
      </c>
      <c r="T681" s="345" t="str">
        <f t="shared" si="267"/>
        <v>000</v>
      </c>
      <c r="U681" s="345">
        <f t="shared" si="275"/>
        <v>0</v>
      </c>
      <c r="V681" s="345">
        <f t="shared" si="276"/>
        <v>0</v>
      </c>
      <c r="W681" s="345">
        <f t="shared" si="277"/>
        <v>0</v>
      </c>
      <c r="X681" s="345">
        <f t="shared" si="278"/>
        <v>0</v>
      </c>
      <c r="Y681" s="345">
        <f t="shared" si="279"/>
        <v>0</v>
      </c>
      <c r="Z681" s="345">
        <f>IF(Q681&lt;&gt;"",VLOOKUP(Y681,TIME!$R$21:$V$24,MATCH(FC_DATA!Q681,TIME!$R$20:$V$20,0),FALSE),H681)</f>
        <v>0</v>
      </c>
      <c r="AA681" s="345" t="str">
        <f>IFERROR(VLOOKUP(X681&amp;Z681,TIME!$A$12:$D$71,4,FALSE),"")</f>
        <v/>
      </c>
      <c r="AB681" s="592">
        <f t="shared" ca="1" si="263"/>
        <v>0</v>
      </c>
      <c r="AC681" s="593" t="e">
        <f ca="1">IF(ISBLANK(H681)=FALSE,IF(D681="BRAND.com",I681,IF(ISNA(VLOOKUP(_xlfn.CONCAT(X681,Z681),TIME!$M$40:$M$42,1,FALSE)),I681,VLOOKUP(_xlfn.CONCAT(D681,G681,H681),M_BUSAREA_FC!$AF$5:$AJ$10,5,FALSE)*HLOOKUP(_xlfn.CONCAT(F681,H681),ST_OVERVIEW!$G$99:$I$130,MATCH(_xlfn.CONCAT(D681,E681),ST_OVERVIEW!$F$99:$F$130,0),FALSE))),IF(D681="BRAND.com",VLOOKUP(_xlfn.CONCAT(C681,D681,E681,TIME!$F$1,Z681),HIS_SALES!$B$2:$V$4859,19,FALSE)*I681,VLOOKUP(_xlfn.CONCAT(D681,F681,G681),Q_BUSAREA_FC!$AE$5:$AI$12,5,FALSE)*HLOOKUP(_xlfn.CONCAT(FC_DATA!F681,FC_DATA!G681),LT_OVERVIEW!$I$99:$M$130,MATCH(_xlfn.CONCAT(D681,FC_DATA!E681),LT_OVERVIEW!$H$99:$H$130,0),FALSE)*IFERROR(VLOOKUP(_xlfn.CONCAT(C681,D681,E681,TIME!$F$1,Z681),HIS_SALES!$B$2:$V$4859,19,FALSE),0)))</f>
        <v>#N/A</v>
      </c>
      <c r="AD681" s="341">
        <f t="shared" ca="1" si="280"/>
        <v>0</v>
      </c>
      <c r="AE681" s="363" t="str">
        <f t="shared" si="281"/>
        <v/>
      </c>
      <c r="AF681" s="342" t="str">
        <f t="shared" si="282"/>
        <v/>
      </c>
      <c r="AG681" s="411" t="e">
        <f ca="1">VLOOKUP(_xlfn.CONCAT(U681,V681,W681,VLOOKUP(X681&amp;Y681,TIME!$L$27:$O$34,4,FALSE),Y681),HIS_SALES!$A$2:$R$5093,18,FALSE)</f>
        <v>#N/A</v>
      </c>
      <c r="AH681" s="412" t="e">
        <f ca="1">IFERROR(IF(AND(V681=V680,W681=W680),0.5*(AB681+AB680)*AG681,(VLOOKUP(_xlfn.CONCAT(U681,V681,W681,X681,VLOOKUP(Z681,TIME!$S$28:$T$39,2,FALSE)),FC_DATA!$R$2:$AB$5000,MATCH("GS_I_M",FC_DATA!$R$1:$AB$1,0),FALSE)+FC_DATA!AB681)*0.5*FC_DATA!AG681),NA())</f>
        <v>#N/A</v>
      </c>
      <c r="AI681" s="491" t="e">
        <f ca="1">IF(V681="PARTNER.com",AH681,IF(AND(V681=V680,W681=W680),(1-AVERAGE(AD680,AD681))*AH681,(1-AVERAGE(AD681,VLOOKUP(_xlfn.CONCAT(U681,V681,W681,X681,M_BRAND_FC!$F$6),FC_DATA!$R$2:$AD$5000,MATCH("DISCOUNT_%_M",FC_DATA!$R$1:$AD$1,0),FALSE)))*AH681))</f>
        <v>#N/A</v>
      </c>
      <c r="AJ681" s="412" t="str">
        <f t="shared" ca="1" si="264"/>
        <v/>
      </c>
      <c r="AK681" s="413" t="str">
        <f>IFERROR(AE681/(Q_BRAND_FC!$T$24+1),"")</f>
        <v/>
      </c>
      <c r="AL681" s="88" t="str">
        <f t="shared" ca="1" si="265"/>
        <v/>
      </c>
      <c r="AM681" s="414" t="str">
        <f t="shared" ca="1" si="266"/>
        <v/>
      </c>
      <c r="AN681" s="58">
        <f>IFERROR(IF($V681="BRAND.com",HLOOKUP($X681&amp;$Z681,NWC_FC_NOOS!$C$4:$Q$23,MATCH(W681,NWC_FC_NOOS!$B$4:$B$23,0),FALSE),0),0)</f>
        <v>0</v>
      </c>
      <c r="AO681" s="57">
        <f>IFERROR(IF($V681="BRAND.com",HLOOKUP($X681&amp;$Z681,NWC_FC_NOOS!$T$4:$AH$23,MATCH(W681,NWC_FC_NOOS!$S$4:$S$23,0),FALSE),0),0)</f>
        <v>0</v>
      </c>
      <c r="AP681" s="57">
        <f>IFERROR(IF($V681="BRAND.com",HLOOKUP($X681&amp;$Z681,NWC_FC_NOOS!$C$50:$U$69,MATCH(W681,NWC_FC_NOOS!$B$50:$B$69,0),FALSE),0),0)</f>
        <v>0</v>
      </c>
      <c r="AQ681" s="58">
        <f>IFERROR(IF($V681="BRAND.com",HLOOKUP($X681&amp;$Z681,'NWC_FC_NON-NOOS'!$C$4:$Q$23,MATCH(W681,'NWC_FC_NON-NOOS'!$B$4:$B$23,0),FALSE),0),0)</f>
        <v>0</v>
      </c>
      <c r="AR681" s="57">
        <f>IFERROR(IF($V681="BRAND.com",HLOOKUP($X681&amp;$Z681,'NWC_FC_NON-NOOS'!$T$4:$AH$23,MATCH(W681,'NWC_FC_NON-NOOS'!$S$4:$S$23,0),FALSE),0),0)</f>
        <v>0</v>
      </c>
      <c r="AS681" s="57">
        <f>IFERROR(IF($V681="BRAND.com",HLOOKUP($X681&amp;$Z681,'NWC_FC_NON-NOOS'!$C$50:$U$69,MATCH(W681,'NWC_FC_NON-NOOS'!$B$50:$B$69,0),FALSE),0),0)</f>
        <v>0</v>
      </c>
      <c r="AT681" s="57">
        <f t="shared" si="268"/>
        <v>0</v>
      </c>
      <c r="AU681" s="57">
        <f t="shared" si="269"/>
        <v>0</v>
      </c>
      <c r="AV681" s="58">
        <f>IFERROR(IF($V681="BRAND.com",HLOOKUP($X681&amp;$Z681,PLANNING_FC!$BB$27:$BP$46,MATCH($W681,PLANNING_FC!$BA$27:$BA$46,0),FALSE),0),0)</f>
        <v>0</v>
      </c>
      <c r="AW681" s="58">
        <f>IFERROR(IF($V681="BRAND.com",HLOOKUP($X681&amp;$Z681,PLANNING_FC!$BB$4:$BP$23,MATCH($W681,PLANNING_FC!$BA$4:$BA$23,0),FALSE),0),0)</f>
        <v>0</v>
      </c>
      <c r="AX681" s="58">
        <f>IFERROR(IF($V681="BRAND.com",HLOOKUP($X681&amp;$Z681,PLANNING_FC!$T$27:$AH$46,MATCH($W681,PLANNING_FC!$B$27:$B$46,0),FALSE),0),0)</f>
        <v>0</v>
      </c>
      <c r="AY681" s="58">
        <f>IFERROR(IF($V681="BRAND.com",HLOOKUP($X681&amp;$Z681,PLANNING_FC!$T$4:$AH$23,MATCH($W681,PLANNING_FC!$B$4:$B$23,0),FALSE),0),0)</f>
        <v>0</v>
      </c>
      <c r="AZ681" s="58">
        <f>IFERROR(IF($V681="BRAND.com",HLOOKUP($X681&amp;$Z681,PLANNING_FC!$DA$27:$DO$46,MATCH($W681,PLANNING_FC!$CZ$27:$CZ$46,0),FALSE),0),0)</f>
        <v>0</v>
      </c>
      <c r="BA681" s="58">
        <f>IFERROR(IF($V681="BRAND.com",HLOOKUP($X681&amp;$Z681,PLANNING_FC!$DA$4:$DO$23,MATCH($W681,PLANNING_FC!$CZ$4:$CZ$23,0),FALSE),0),0)</f>
        <v>0</v>
      </c>
      <c r="BB681" s="883" t="str">
        <f>IF(V681="BRAND.com",IFERROR(HLOOKUP(X681&amp;Z681,PLANNING_FC!$AK$4:$AY$23,MATCH(W681,PLANNING_FC!$AJ$4:$AJ$23,0),FALSE)*1000,""),"")</f>
        <v/>
      </c>
      <c r="BC681" s="883" t="str">
        <f>IF(V681="BRAND.com",IFERROR(HLOOKUP(X681&amp;Z681,PLANNING_FC!$AK$27:$AY$46,MATCH(W681,PLANNING_FC!$AJ$27:$AJ$46,0),FALSE)*1000,""),"")</f>
        <v/>
      </c>
    </row>
    <row r="682" spans="14:55" x14ac:dyDescent="0.25">
      <c r="N682" s="56">
        <f t="shared" si="272"/>
        <v>0</v>
      </c>
      <c r="O682" s="57">
        <f t="shared" si="273"/>
        <v>0</v>
      </c>
      <c r="P682" s="57">
        <f ca="1">IFERROR(IF(ISBLANK(H682),SUMIFS($AC:$AC,$V:$V,V682,$W:$W,W682,$X:$X,X682,$Y:$Y,Y682)*J682/(1-J682)*VLOOKUP(_xlfn.CONCAT(C682,D682,E682,TIME!$M$12,Z682),HIS_SALES!$B$2:$W$4859,20,FALSE),AC682*J682/(1-J682)),0)</f>
        <v>0</v>
      </c>
      <c r="Q682" s="541" t="str">
        <f t="shared" si="283"/>
        <v/>
      </c>
      <c r="R682" s="346" t="str">
        <f t="shared" si="262"/>
        <v>00000</v>
      </c>
      <c r="S682" s="344">
        <f t="shared" si="274"/>
        <v>0</v>
      </c>
      <c r="T682" s="345" t="str">
        <f t="shared" si="267"/>
        <v>000</v>
      </c>
      <c r="U682" s="345">
        <f t="shared" si="275"/>
        <v>0</v>
      </c>
      <c r="V682" s="345">
        <f t="shared" si="276"/>
        <v>0</v>
      </c>
      <c r="W682" s="345">
        <f t="shared" si="277"/>
        <v>0</v>
      </c>
      <c r="X682" s="345">
        <f t="shared" si="278"/>
        <v>0</v>
      </c>
      <c r="Y682" s="345">
        <f t="shared" si="279"/>
        <v>0</v>
      </c>
      <c r="Z682" s="345">
        <f>IF(Q682&lt;&gt;"",VLOOKUP(Y682,TIME!$R$21:$V$24,MATCH(FC_DATA!Q682,TIME!$R$20:$V$20,0),FALSE),H682)</f>
        <v>0</v>
      </c>
      <c r="AA682" s="345" t="str">
        <f>IFERROR(VLOOKUP(X682&amp;Z682,TIME!$A$12:$D$71,4,FALSE),"")</f>
        <v/>
      </c>
      <c r="AB682" s="592">
        <f t="shared" ca="1" si="263"/>
        <v>0</v>
      </c>
      <c r="AC682" s="593" t="e">
        <f ca="1">IF(ISBLANK(H682)=FALSE,IF(D682="BRAND.com",I682,IF(ISNA(VLOOKUP(_xlfn.CONCAT(X682,Z682),TIME!$M$40:$M$42,1,FALSE)),I682,VLOOKUP(_xlfn.CONCAT(D682,G682,H682),M_BUSAREA_FC!$AF$5:$AJ$10,5,FALSE)*HLOOKUP(_xlfn.CONCAT(F682,H682),ST_OVERVIEW!$G$99:$I$130,MATCH(_xlfn.CONCAT(D682,E682),ST_OVERVIEW!$F$99:$F$130,0),FALSE))),IF(D682="BRAND.com",VLOOKUP(_xlfn.CONCAT(C682,D682,E682,TIME!$F$1,Z682),HIS_SALES!$B$2:$V$4859,19,FALSE)*I682,VLOOKUP(_xlfn.CONCAT(D682,F682,G682),Q_BUSAREA_FC!$AE$5:$AI$12,5,FALSE)*HLOOKUP(_xlfn.CONCAT(FC_DATA!F682,FC_DATA!G682),LT_OVERVIEW!$I$99:$M$130,MATCH(_xlfn.CONCAT(D682,FC_DATA!E682),LT_OVERVIEW!$H$99:$H$130,0),FALSE)*IFERROR(VLOOKUP(_xlfn.CONCAT(C682,D682,E682,TIME!$F$1,Z682),HIS_SALES!$B$2:$V$4859,19,FALSE),0)))</f>
        <v>#N/A</v>
      </c>
      <c r="AD682" s="341">
        <f t="shared" ca="1" si="280"/>
        <v>0</v>
      </c>
      <c r="AE682" s="363" t="str">
        <f t="shared" si="281"/>
        <v/>
      </c>
      <c r="AF682" s="342" t="str">
        <f t="shared" si="282"/>
        <v/>
      </c>
      <c r="AG682" s="411" t="e">
        <f ca="1">VLOOKUP(_xlfn.CONCAT(U682,V682,W682,VLOOKUP(X682&amp;Y682,TIME!$L$27:$O$34,4,FALSE),Y682),HIS_SALES!$A$2:$R$5093,18,FALSE)</f>
        <v>#N/A</v>
      </c>
      <c r="AH682" s="412" t="e">
        <f ca="1">IFERROR(IF(AND(V682=V681,W682=W681),0.5*(AB682+AB681)*AG682,(VLOOKUP(_xlfn.CONCAT(U682,V682,W682,X682,VLOOKUP(Z682,TIME!$S$28:$T$39,2,FALSE)),FC_DATA!$R$2:$AB$5000,MATCH("GS_I_M",FC_DATA!$R$1:$AB$1,0),FALSE)+FC_DATA!AB682)*0.5*FC_DATA!AG682),NA())</f>
        <v>#N/A</v>
      </c>
      <c r="AI682" s="491" t="e">
        <f ca="1">IF(V682="PARTNER.com",AH682,IF(AND(V682=V681,W682=W681),(1-AVERAGE(AD681,AD682))*AH682,(1-AVERAGE(AD682,VLOOKUP(_xlfn.CONCAT(U682,V682,W682,X682,M_BRAND_FC!$F$6),FC_DATA!$R$2:$AD$5000,MATCH("DISCOUNT_%_M",FC_DATA!$R$1:$AD$1,0),FALSE)))*AH682))</f>
        <v>#N/A</v>
      </c>
      <c r="AJ682" s="412" t="str">
        <f t="shared" ca="1" si="264"/>
        <v/>
      </c>
      <c r="AK682" s="413" t="str">
        <f>IFERROR(AE682/(Q_BRAND_FC!$T$24+1),"")</f>
        <v/>
      </c>
      <c r="AL682" s="88" t="str">
        <f t="shared" ca="1" si="265"/>
        <v/>
      </c>
      <c r="AM682" s="414" t="str">
        <f t="shared" ca="1" si="266"/>
        <v/>
      </c>
      <c r="AN682" s="58">
        <f>IFERROR(IF($V682="BRAND.com",HLOOKUP($X682&amp;$Z682,NWC_FC_NOOS!$C$4:$Q$23,MATCH(W682,NWC_FC_NOOS!$B$4:$B$23,0),FALSE),0),0)</f>
        <v>0</v>
      </c>
      <c r="AO682" s="57">
        <f>IFERROR(IF($V682="BRAND.com",HLOOKUP($X682&amp;$Z682,NWC_FC_NOOS!$T$4:$AH$23,MATCH(W682,NWC_FC_NOOS!$S$4:$S$23,0),FALSE),0),0)</f>
        <v>0</v>
      </c>
      <c r="AP682" s="57">
        <f>IFERROR(IF($V682="BRAND.com",HLOOKUP($X682&amp;$Z682,NWC_FC_NOOS!$C$50:$U$69,MATCH(W682,NWC_FC_NOOS!$B$50:$B$69,0),FALSE),0),0)</f>
        <v>0</v>
      </c>
      <c r="AQ682" s="58">
        <f>IFERROR(IF($V682="BRAND.com",HLOOKUP($X682&amp;$Z682,'NWC_FC_NON-NOOS'!$C$4:$Q$23,MATCH(W682,'NWC_FC_NON-NOOS'!$B$4:$B$23,0),FALSE),0),0)</f>
        <v>0</v>
      </c>
      <c r="AR682" s="57">
        <f>IFERROR(IF($V682="BRAND.com",HLOOKUP($X682&amp;$Z682,'NWC_FC_NON-NOOS'!$T$4:$AH$23,MATCH(W682,'NWC_FC_NON-NOOS'!$S$4:$S$23,0),FALSE),0),0)</f>
        <v>0</v>
      </c>
      <c r="AS682" s="57">
        <f>IFERROR(IF($V682="BRAND.com",HLOOKUP($X682&amp;$Z682,'NWC_FC_NON-NOOS'!$C$50:$U$69,MATCH(W682,'NWC_FC_NON-NOOS'!$B$50:$B$69,0),FALSE),0),0)</f>
        <v>0</v>
      </c>
      <c r="AT682" s="57">
        <f t="shared" si="268"/>
        <v>0</v>
      </c>
      <c r="AU682" s="57">
        <f t="shared" si="269"/>
        <v>0</v>
      </c>
      <c r="AV682" s="58">
        <f>IFERROR(IF($V682="BRAND.com",HLOOKUP($X682&amp;$Z682,PLANNING_FC!$BB$27:$BP$46,MATCH($W682,PLANNING_FC!$BA$27:$BA$46,0),FALSE),0),0)</f>
        <v>0</v>
      </c>
      <c r="AW682" s="58">
        <f>IFERROR(IF($V682="BRAND.com",HLOOKUP($X682&amp;$Z682,PLANNING_FC!$BB$4:$BP$23,MATCH($W682,PLANNING_FC!$BA$4:$BA$23,0),FALSE),0),0)</f>
        <v>0</v>
      </c>
      <c r="AX682" s="58">
        <f>IFERROR(IF($V682="BRAND.com",HLOOKUP($X682&amp;$Z682,PLANNING_FC!$T$27:$AH$46,MATCH($W682,PLANNING_FC!$B$27:$B$46,0),FALSE),0),0)</f>
        <v>0</v>
      </c>
      <c r="AY682" s="58">
        <f>IFERROR(IF($V682="BRAND.com",HLOOKUP($X682&amp;$Z682,PLANNING_FC!$T$4:$AH$23,MATCH($W682,PLANNING_FC!$B$4:$B$23,0),FALSE),0),0)</f>
        <v>0</v>
      </c>
      <c r="AZ682" s="58">
        <f>IFERROR(IF($V682="BRAND.com",HLOOKUP($X682&amp;$Z682,PLANNING_FC!$DA$27:$DO$46,MATCH($W682,PLANNING_FC!$CZ$27:$CZ$46,0),FALSE),0),0)</f>
        <v>0</v>
      </c>
      <c r="BA682" s="58">
        <f>IFERROR(IF($V682="BRAND.com",HLOOKUP($X682&amp;$Z682,PLANNING_FC!$DA$4:$DO$23,MATCH($W682,PLANNING_FC!$CZ$4:$CZ$23,0),FALSE),0),0)</f>
        <v>0</v>
      </c>
      <c r="BB682" s="883" t="str">
        <f>IF(V682="BRAND.com",IFERROR(HLOOKUP(X682&amp;Z682,PLANNING_FC!$AK$4:$AY$23,MATCH(W682,PLANNING_FC!$AJ$4:$AJ$23,0),FALSE)*1000,""),"")</f>
        <v/>
      </c>
      <c r="BC682" s="883" t="str">
        <f>IF(V682="BRAND.com",IFERROR(HLOOKUP(X682&amp;Z682,PLANNING_FC!$AK$27:$AY$46,MATCH(W682,PLANNING_FC!$AJ$27:$AJ$46,0),FALSE)*1000,""),"")</f>
        <v/>
      </c>
    </row>
    <row r="683" spans="14:55" x14ac:dyDescent="0.25">
      <c r="N683" s="56">
        <f t="shared" si="272"/>
        <v>0</v>
      </c>
      <c r="O683" s="57">
        <f t="shared" si="273"/>
        <v>0</v>
      </c>
      <c r="P683" s="57">
        <f ca="1">IFERROR(IF(ISBLANK(H683),SUMIFS($AC:$AC,$V:$V,V683,$W:$W,W683,$X:$X,X683,$Y:$Y,Y683)*J683/(1-J683)*VLOOKUP(_xlfn.CONCAT(C683,D683,E683,TIME!$M$12,Z683),HIS_SALES!$B$2:$W$4859,20,FALSE),AC683*J683/(1-J683)),0)</f>
        <v>0</v>
      </c>
      <c r="Q683" s="541" t="str">
        <f t="shared" si="283"/>
        <v/>
      </c>
      <c r="R683" s="346" t="str">
        <f t="shared" si="262"/>
        <v>00000</v>
      </c>
      <c r="S683" s="344">
        <f t="shared" si="274"/>
        <v>0</v>
      </c>
      <c r="T683" s="345" t="str">
        <f t="shared" si="267"/>
        <v>000</v>
      </c>
      <c r="U683" s="345">
        <f t="shared" si="275"/>
        <v>0</v>
      </c>
      <c r="V683" s="345">
        <f t="shared" si="276"/>
        <v>0</v>
      </c>
      <c r="W683" s="345">
        <f t="shared" si="277"/>
        <v>0</v>
      </c>
      <c r="X683" s="345">
        <f t="shared" si="278"/>
        <v>0</v>
      </c>
      <c r="Y683" s="345">
        <f t="shared" si="279"/>
        <v>0</v>
      </c>
      <c r="Z683" s="345">
        <f>IF(Q683&lt;&gt;"",VLOOKUP(Y683,TIME!$R$21:$V$24,MATCH(FC_DATA!Q683,TIME!$R$20:$V$20,0),FALSE),H683)</f>
        <v>0</v>
      </c>
      <c r="AA683" s="345" t="str">
        <f>IFERROR(VLOOKUP(X683&amp;Z683,TIME!$A$12:$D$71,4,FALSE),"")</f>
        <v/>
      </c>
      <c r="AB683" s="592">
        <f t="shared" ca="1" si="263"/>
        <v>0</v>
      </c>
      <c r="AC683" s="593" t="e">
        <f ca="1">IF(ISBLANK(H683)=FALSE,IF(D683="BRAND.com",I683,IF(ISNA(VLOOKUP(_xlfn.CONCAT(X683,Z683),TIME!$M$40:$M$42,1,FALSE)),I683,VLOOKUP(_xlfn.CONCAT(D683,G683,H683),M_BUSAREA_FC!$AF$5:$AJ$10,5,FALSE)*HLOOKUP(_xlfn.CONCAT(F683,H683),ST_OVERVIEW!$G$99:$I$130,MATCH(_xlfn.CONCAT(D683,E683),ST_OVERVIEW!$F$99:$F$130,0),FALSE))),IF(D683="BRAND.com",VLOOKUP(_xlfn.CONCAT(C683,D683,E683,TIME!$F$1,Z683),HIS_SALES!$B$2:$V$4859,19,FALSE)*I683,VLOOKUP(_xlfn.CONCAT(D683,F683,G683),Q_BUSAREA_FC!$AE$5:$AI$12,5,FALSE)*HLOOKUP(_xlfn.CONCAT(FC_DATA!F683,FC_DATA!G683),LT_OVERVIEW!$I$99:$M$130,MATCH(_xlfn.CONCAT(D683,FC_DATA!E683),LT_OVERVIEW!$H$99:$H$130,0),FALSE)*IFERROR(VLOOKUP(_xlfn.CONCAT(C683,D683,E683,TIME!$F$1,Z683),HIS_SALES!$B$2:$V$4859,19,FALSE),0)))</f>
        <v>#N/A</v>
      </c>
      <c r="AD683" s="341">
        <f t="shared" ca="1" si="280"/>
        <v>0</v>
      </c>
      <c r="AE683" s="363" t="str">
        <f t="shared" si="281"/>
        <v/>
      </c>
      <c r="AF683" s="342" t="str">
        <f t="shared" si="282"/>
        <v/>
      </c>
      <c r="AG683" s="411" t="e">
        <f ca="1">VLOOKUP(_xlfn.CONCAT(U683,V683,W683,VLOOKUP(X683&amp;Y683,TIME!$L$27:$O$34,4,FALSE),Y683),HIS_SALES!$A$2:$R$5093,18,FALSE)</f>
        <v>#N/A</v>
      </c>
      <c r="AH683" s="412" t="e">
        <f ca="1">IFERROR(IF(AND(V683=V682,W683=W682),0.5*(AB683+AB682)*AG683,(VLOOKUP(_xlfn.CONCAT(U683,V683,W683,X683,VLOOKUP(Z683,TIME!$S$28:$T$39,2,FALSE)),FC_DATA!$R$2:$AB$5000,MATCH("GS_I_M",FC_DATA!$R$1:$AB$1,0),FALSE)+FC_DATA!AB683)*0.5*FC_DATA!AG683),NA())</f>
        <v>#N/A</v>
      </c>
      <c r="AI683" s="491" t="e">
        <f ca="1">IF(V683="PARTNER.com",AH683,IF(AND(V683=V682,W683=W682),(1-AVERAGE(AD682,AD683))*AH683,(1-AVERAGE(AD683,VLOOKUP(_xlfn.CONCAT(U683,V683,W683,X683,M_BRAND_FC!$F$6),FC_DATA!$R$2:$AD$5000,MATCH("DISCOUNT_%_M",FC_DATA!$R$1:$AD$1,0),FALSE)))*AH683))</f>
        <v>#N/A</v>
      </c>
      <c r="AJ683" s="412" t="str">
        <f t="shared" ca="1" si="264"/>
        <v/>
      </c>
      <c r="AK683" s="413" t="str">
        <f>IFERROR(AE683/(Q_BRAND_FC!$T$24+1),"")</f>
        <v/>
      </c>
      <c r="AL683" s="88" t="str">
        <f t="shared" ca="1" si="265"/>
        <v/>
      </c>
      <c r="AM683" s="414" t="str">
        <f t="shared" ca="1" si="266"/>
        <v/>
      </c>
      <c r="AN683" s="58">
        <f>IFERROR(IF($V683="BRAND.com",HLOOKUP($X683&amp;$Z683,NWC_FC_NOOS!$C$4:$Q$23,MATCH(W683,NWC_FC_NOOS!$B$4:$B$23,0),FALSE),0),0)</f>
        <v>0</v>
      </c>
      <c r="AO683" s="57">
        <f>IFERROR(IF($V683="BRAND.com",HLOOKUP($X683&amp;$Z683,NWC_FC_NOOS!$T$4:$AH$23,MATCH(W683,NWC_FC_NOOS!$S$4:$S$23,0),FALSE),0),0)</f>
        <v>0</v>
      </c>
      <c r="AP683" s="57">
        <f>IFERROR(IF($V683="BRAND.com",HLOOKUP($X683&amp;$Z683,NWC_FC_NOOS!$C$50:$U$69,MATCH(W683,NWC_FC_NOOS!$B$50:$B$69,0),FALSE),0),0)</f>
        <v>0</v>
      </c>
      <c r="AQ683" s="58">
        <f>IFERROR(IF($V683="BRAND.com",HLOOKUP($X683&amp;$Z683,'NWC_FC_NON-NOOS'!$C$4:$Q$23,MATCH(W683,'NWC_FC_NON-NOOS'!$B$4:$B$23,0),FALSE),0),0)</f>
        <v>0</v>
      </c>
      <c r="AR683" s="57">
        <f>IFERROR(IF($V683="BRAND.com",HLOOKUP($X683&amp;$Z683,'NWC_FC_NON-NOOS'!$T$4:$AH$23,MATCH(W683,'NWC_FC_NON-NOOS'!$S$4:$S$23,0),FALSE),0),0)</f>
        <v>0</v>
      </c>
      <c r="AS683" s="57">
        <f>IFERROR(IF($V683="BRAND.com",HLOOKUP($X683&amp;$Z683,'NWC_FC_NON-NOOS'!$C$50:$U$69,MATCH(W683,'NWC_FC_NON-NOOS'!$B$50:$B$69,0),FALSE),0),0)</f>
        <v>0</v>
      </c>
      <c r="AT683" s="57">
        <f t="shared" si="268"/>
        <v>0</v>
      </c>
      <c r="AU683" s="57">
        <f t="shared" si="269"/>
        <v>0</v>
      </c>
      <c r="AV683" s="58">
        <f>IFERROR(IF($V683="BRAND.com",HLOOKUP($X683&amp;$Z683,PLANNING_FC!$BB$27:$BP$46,MATCH($W683,PLANNING_FC!$BA$27:$BA$46,0),FALSE),0),0)</f>
        <v>0</v>
      </c>
      <c r="AW683" s="58">
        <f>IFERROR(IF($V683="BRAND.com",HLOOKUP($X683&amp;$Z683,PLANNING_FC!$BB$4:$BP$23,MATCH($W683,PLANNING_FC!$BA$4:$BA$23,0),FALSE),0),0)</f>
        <v>0</v>
      </c>
      <c r="AX683" s="58">
        <f>IFERROR(IF($V683="BRAND.com",HLOOKUP($X683&amp;$Z683,PLANNING_FC!$T$27:$AH$46,MATCH($W683,PLANNING_FC!$B$27:$B$46,0),FALSE),0),0)</f>
        <v>0</v>
      </c>
      <c r="AY683" s="58">
        <f>IFERROR(IF($V683="BRAND.com",HLOOKUP($X683&amp;$Z683,PLANNING_FC!$T$4:$AH$23,MATCH($W683,PLANNING_FC!$B$4:$B$23,0),FALSE),0),0)</f>
        <v>0</v>
      </c>
      <c r="AZ683" s="58">
        <f>IFERROR(IF($V683="BRAND.com",HLOOKUP($X683&amp;$Z683,PLANNING_FC!$DA$27:$DO$46,MATCH($W683,PLANNING_FC!$CZ$27:$CZ$46,0),FALSE),0),0)</f>
        <v>0</v>
      </c>
      <c r="BA683" s="58">
        <f>IFERROR(IF($V683="BRAND.com",HLOOKUP($X683&amp;$Z683,PLANNING_FC!$DA$4:$DO$23,MATCH($W683,PLANNING_FC!$CZ$4:$CZ$23,0),FALSE),0),0)</f>
        <v>0</v>
      </c>
      <c r="BB683" s="883" t="str">
        <f>IF(V683="BRAND.com",IFERROR(HLOOKUP(X683&amp;Z683,PLANNING_FC!$AK$4:$AY$23,MATCH(W683,PLANNING_FC!$AJ$4:$AJ$23,0),FALSE)*1000,""),"")</f>
        <v/>
      </c>
      <c r="BC683" s="883" t="str">
        <f>IF(V683="BRAND.com",IFERROR(HLOOKUP(X683&amp;Z683,PLANNING_FC!$AK$27:$AY$46,MATCH(W683,PLANNING_FC!$AJ$27:$AJ$46,0),FALSE)*1000,""),"")</f>
        <v/>
      </c>
    </row>
    <row r="684" spans="14:55" x14ac:dyDescent="0.25">
      <c r="N684" s="56">
        <f t="shared" si="272"/>
        <v>0</v>
      </c>
      <c r="O684" s="57">
        <f t="shared" si="273"/>
        <v>0</v>
      </c>
      <c r="P684" s="57">
        <f ca="1">IFERROR(IF(ISBLANK(H684),SUMIFS($AC:$AC,$V:$V,V684,$W:$W,W684,$X:$X,X684,$Y:$Y,Y684)*J684/(1-J684)*VLOOKUP(_xlfn.CONCAT(C684,D684,E684,TIME!$M$12,Z684),HIS_SALES!$B$2:$W$4859,20,FALSE),AC684*J684/(1-J684)),0)</f>
        <v>0</v>
      </c>
      <c r="Q684" s="541" t="str">
        <f t="shared" si="283"/>
        <v/>
      </c>
      <c r="R684" s="346" t="str">
        <f t="shared" si="262"/>
        <v>00000</v>
      </c>
      <c r="S684" s="344">
        <f t="shared" si="274"/>
        <v>0</v>
      </c>
      <c r="T684" s="345" t="str">
        <f t="shared" si="267"/>
        <v>000</v>
      </c>
      <c r="U684" s="345">
        <f t="shared" si="275"/>
        <v>0</v>
      </c>
      <c r="V684" s="345">
        <f t="shared" si="276"/>
        <v>0</v>
      </c>
      <c r="W684" s="345">
        <f t="shared" si="277"/>
        <v>0</v>
      </c>
      <c r="X684" s="345">
        <f t="shared" si="278"/>
        <v>0</v>
      </c>
      <c r="Y684" s="345">
        <f t="shared" si="279"/>
        <v>0</v>
      </c>
      <c r="Z684" s="345">
        <f>IF(Q684&lt;&gt;"",VLOOKUP(Y684,TIME!$R$21:$V$24,MATCH(FC_DATA!Q684,TIME!$R$20:$V$20,0),FALSE),H684)</f>
        <v>0</v>
      </c>
      <c r="AA684" s="345" t="str">
        <f>IFERROR(VLOOKUP(X684&amp;Z684,TIME!$A$12:$D$71,4,FALSE),"")</f>
        <v/>
      </c>
      <c r="AB684" s="592">
        <f t="shared" ca="1" si="263"/>
        <v>0</v>
      </c>
      <c r="AC684" s="593" t="e">
        <f ca="1">IF(ISBLANK(H684)=FALSE,IF(D684="BRAND.com",I684,IF(ISNA(VLOOKUP(_xlfn.CONCAT(X684,Z684),TIME!$M$40:$M$42,1,FALSE)),I684,VLOOKUP(_xlfn.CONCAT(D684,G684,H684),M_BUSAREA_FC!$AF$5:$AJ$10,5,FALSE)*HLOOKUP(_xlfn.CONCAT(F684,H684),ST_OVERVIEW!$G$99:$I$130,MATCH(_xlfn.CONCAT(D684,E684),ST_OVERVIEW!$F$99:$F$130,0),FALSE))),IF(D684="BRAND.com",VLOOKUP(_xlfn.CONCAT(C684,D684,E684,TIME!$F$1,Z684),HIS_SALES!$B$2:$V$4859,19,FALSE)*I684,VLOOKUP(_xlfn.CONCAT(D684,F684,G684),Q_BUSAREA_FC!$AE$5:$AI$12,5,FALSE)*HLOOKUP(_xlfn.CONCAT(FC_DATA!F684,FC_DATA!G684),LT_OVERVIEW!$I$99:$M$130,MATCH(_xlfn.CONCAT(D684,FC_DATA!E684),LT_OVERVIEW!$H$99:$H$130,0),FALSE)*IFERROR(VLOOKUP(_xlfn.CONCAT(C684,D684,E684,TIME!$F$1,Z684),HIS_SALES!$B$2:$V$4859,19,FALSE),0)))</f>
        <v>#N/A</v>
      </c>
      <c r="AD684" s="341">
        <f t="shared" ca="1" si="280"/>
        <v>0</v>
      </c>
      <c r="AE684" s="363" t="str">
        <f t="shared" si="281"/>
        <v/>
      </c>
      <c r="AF684" s="342" t="str">
        <f t="shared" si="282"/>
        <v/>
      </c>
      <c r="AG684" s="411" t="e">
        <f ca="1">VLOOKUP(_xlfn.CONCAT(U684,V684,W684,VLOOKUP(X684&amp;Y684,TIME!$L$27:$O$34,4,FALSE),Y684),HIS_SALES!$A$2:$R$5093,18,FALSE)</f>
        <v>#N/A</v>
      </c>
      <c r="AH684" s="412" t="e">
        <f ca="1">IFERROR(IF(AND(V684=V683,W684=W683),0.5*(AB684+AB683)*AG684,(VLOOKUP(_xlfn.CONCAT(U684,V684,W684,X684,VLOOKUP(Z684,TIME!$S$28:$T$39,2,FALSE)),FC_DATA!$R$2:$AB$5000,MATCH("GS_I_M",FC_DATA!$R$1:$AB$1,0),FALSE)+FC_DATA!AB684)*0.5*FC_DATA!AG684),NA())</f>
        <v>#N/A</v>
      </c>
      <c r="AI684" s="491" t="e">
        <f ca="1">IF(V684="PARTNER.com",AH684,IF(AND(V684=V683,W684=W683),(1-AVERAGE(AD683,AD684))*AH684,(1-AVERAGE(AD684,VLOOKUP(_xlfn.CONCAT(U684,V684,W684,X684,M_BRAND_FC!$F$6),FC_DATA!$R$2:$AD$5000,MATCH("DISCOUNT_%_M",FC_DATA!$R$1:$AD$1,0),FALSE)))*AH684))</f>
        <v>#N/A</v>
      </c>
      <c r="AJ684" s="412" t="str">
        <f t="shared" ca="1" si="264"/>
        <v/>
      </c>
      <c r="AK684" s="413" t="str">
        <f>IFERROR(AE684/(Q_BRAND_FC!$T$24+1),"")</f>
        <v/>
      </c>
      <c r="AL684" s="88" t="str">
        <f t="shared" ca="1" si="265"/>
        <v/>
      </c>
      <c r="AM684" s="414" t="str">
        <f t="shared" ca="1" si="266"/>
        <v/>
      </c>
      <c r="AN684" s="58">
        <f>IFERROR(IF($V684="BRAND.com",HLOOKUP($X684&amp;$Z684,NWC_FC_NOOS!$C$4:$Q$23,MATCH(W684,NWC_FC_NOOS!$B$4:$B$23,0),FALSE),0),0)</f>
        <v>0</v>
      </c>
      <c r="AO684" s="57">
        <f>IFERROR(IF($V684="BRAND.com",HLOOKUP($X684&amp;$Z684,NWC_FC_NOOS!$T$4:$AH$23,MATCH(W684,NWC_FC_NOOS!$S$4:$S$23,0),FALSE),0),0)</f>
        <v>0</v>
      </c>
      <c r="AP684" s="57">
        <f>IFERROR(IF($V684="BRAND.com",HLOOKUP($X684&amp;$Z684,NWC_FC_NOOS!$C$50:$U$69,MATCH(W684,NWC_FC_NOOS!$B$50:$B$69,0),FALSE),0),0)</f>
        <v>0</v>
      </c>
      <c r="AQ684" s="58">
        <f>IFERROR(IF($V684="BRAND.com",HLOOKUP($X684&amp;$Z684,'NWC_FC_NON-NOOS'!$C$4:$Q$23,MATCH(W684,'NWC_FC_NON-NOOS'!$B$4:$B$23,0),FALSE),0),0)</f>
        <v>0</v>
      </c>
      <c r="AR684" s="57">
        <f>IFERROR(IF($V684="BRAND.com",HLOOKUP($X684&amp;$Z684,'NWC_FC_NON-NOOS'!$T$4:$AH$23,MATCH(W684,'NWC_FC_NON-NOOS'!$S$4:$S$23,0),FALSE),0),0)</f>
        <v>0</v>
      </c>
      <c r="AS684" s="57">
        <f>IFERROR(IF($V684="BRAND.com",HLOOKUP($X684&amp;$Z684,'NWC_FC_NON-NOOS'!$C$50:$U$69,MATCH(W684,'NWC_FC_NON-NOOS'!$B$50:$B$69,0),FALSE),0),0)</f>
        <v>0</v>
      </c>
      <c r="AT684" s="57">
        <f t="shared" si="268"/>
        <v>0</v>
      </c>
      <c r="AU684" s="57">
        <f t="shared" si="269"/>
        <v>0</v>
      </c>
      <c r="AV684" s="58">
        <f>IFERROR(IF($V684="BRAND.com",HLOOKUP($X684&amp;$Z684,PLANNING_FC!$BB$27:$BP$46,MATCH($W684,PLANNING_FC!$BA$27:$BA$46,0),FALSE),0),0)</f>
        <v>0</v>
      </c>
      <c r="AW684" s="58">
        <f>IFERROR(IF($V684="BRAND.com",HLOOKUP($X684&amp;$Z684,PLANNING_FC!$BB$4:$BP$23,MATCH($W684,PLANNING_FC!$BA$4:$BA$23,0),FALSE),0),0)</f>
        <v>0</v>
      </c>
      <c r="AX684" s="58">
        <f>IFERROR(IF($V684="BRAND.com",HLOOKUP($X684&amp;$Z684,PLANNING_FC!$T$27:$AH$46,MATCH($W684,PLANNING_FC!$B$27:$B$46,0),FALSE),0),0)</f>
        <v>0</v>
      </c>
      <c r="AY684" s="58">
        <f>IFERROR(IF($V684="BRAND.com",HLOOKUP($X684&amp;$Z684,PLANNING_FC!$T$4:$AH$23,MATCH($W684,PLANNING_FC!$B$4:$B$23,0),FALSE),0),0)</f>
        <v>0</v>
      </c>
      <c r="AZ684" s="58">
        <f>IFERROR(IF($V684="BRAND.com",HLOOKUP($X684&amp;$Z684,PLANNING_FC!$DA$27:$DO$46,MATCH($W684,PLANNING_FC!$CZ$27:$CZ$46,0),FALSE),0),0)</f>
        <v>0</v>
      </c>
      <c r="BA684" s="58">
        <f>IFERROR(IF($V684="BRAND.com",HLOOKUP($X684&amp;$Z684,PLANNING_FC!$DA$4:$DO$23,MATCH($W684,PLANNING_FC!$CZ$4:$CZ$23,0),FALSE),0),0)</f>
        <v>0</v>
      </c>
      <c r="BB684" s="883" t="str">
        <f>IF(V684="BRAND.com",IFERROR(HLOOKUP(X684&amp;Z684,PLANNING_FC!$AK$4:$AY$23,MATCH(W684,PLANNING_FC!$AJ$4:$AJ$23,0),FALSE)*1000,""),"")</f>
        <v/>
      </c>
      <c r="BC684" s="883" t="str">
        <f>IF(V684="BRAND.com",IFERROR(HLOOKUP(X684&amp;Z684,PLANNING_FC!$AK$27:$AY$46,MATCH(W684,PLANNING_FC!$AJ$27:$AJ$46,0),FALSE)*1000,""),"")</f>
        <v/>
      </c>
    </row>
    <row r="685" spans="14:55" x14ac:dyDescent="0.25">
      <c r="N685" s="56">
        <f t="shared" si="272"/>
        <v>0</v>
      </c>
      <c r="O685" s="57">
        <f t="shared" si="273"/>
        <v>0</v>
      </c>
      <c r="P685" s="57">
        <f ca="1">IFERROR(IF(ISBLANK(H685),SUMIFS($AC:$AC,$V:$V,V685,$W:$W,W685,$X:$X,X685,$Y:$Y,Y685)*J685/(1-J685)*VLOOKUP(_xlfn.CONCAT(C685,D685,E685,TIME!$M$12,Z685),HIS_SALES!$B$2:$W$4859,20,FALSE),AC685*J685/(1-J685)),0)</f>
        <v>0</v>
      </c>
      <c r="Q685" s="541" t="str">
        <f t="shared" si="283"/>
        <v/>
      </c>
      <c r="R685" s="346" t="str">
        <f t="shared" si="262"/>
        <v>00000</v>
      </c>
      <c r="S685" s="344">
        <f t="shared" si="274"/>
        <v>0</v>
      </c>
      <c r="T685" s="345" t="str">
        <f t="shared" si="267"/>
        <v>000</v>
      </c>
      <c r="U685" s="345">
        <f t="shared" si="275"/>
        <v>0</v>
      </c>
      <c r="V685" s="345">
        <f t="shared" si="276"/>
        <v>0</v>
      </c>
      <c r="W685" s="345">
        <f t="shared" si="277"/>
        <v>0</v>
      </c>
      <c r="X685" s="345">
        <f t="shared" si="278"/>
        <v>0</v>
      </c>
      <c r="Y685" s="345">
        <f t="shared" si="279"/>
        <v>0</v>
      </c>
      <c r="Z685" s="345">
        <f>IF(Q685&lt;&gt;"",VLOOKUP(Y685,TIME!$R$21:$V$24,MATCH(FC_DATA!Q685,TIME!$R$20:$V$20,0),FALSE),H685)</f>
        <v>0</v>
      </c>
      <c r="AA685" s="345" t="str">
        <f>IFERROR(VLOOKUP(X685&amp;Z685,TIME!$A$12:$D$71,4,FALSE),"")</f>
        <v/>
      </c>
      <c r="AB685" s="592">
        <f t="shared" ca="1" si="263"/>
        <v>0</v>
      </c>
      <c r="AC685" s="593" t="e">
        <f ca="1">IF(ISBLANK(H685)=FALSE,IF(D685="BRAND.com",I685,IF(ISNA(VLOOKUP(_xlfn.CONCAT(X685,Z685),TIME!$M$40:$M$42,1,FALSE)),I685,VLOOKUP(_xlfn.CONCAT(D685,G685,H685),M_BUSAREA_FC!$AF$5:$AJ$10,5,FALSE)*HLOOKUP(_xlfn.CONCAT(F685,H685),ST_OVERVIEW!$G$99:$I$130,MATCH(_xlfn.CONCAT(D685,E685),ST_OVERVIEW!$F$99:$F$130,0),FALSE))),IF(D685="BRAND.com",VLOOKUP(_xlfn.CONCAT(C685,D685,E685,TIME!$F$1,Z685),HIS_SALES!$B$2:$V$4859,19,FALSE)*I685,VLOOKUP(_xlfn.CONCAT(D685,F685,G685),Q_BUSAREA_FC!$AE$5:$AI$12,5,FALSE)*HLOOKUP(_xlfn.CONCAT(FC_DATA!F685,FC_DATA!G685),LT_OVERVIEW!$I$99:$M$130,MATCH(_xlfn.CONCAT(D685,FC_DATA!E685),LT_OVERVIEW!$H$99:$H$130,0),FALSE)*IFERROR(VLOOKUP(_xlfn.CONCAT(C685,D685,E685,TIME!$F$1,Z685),HIS_SALES!$B$2:$V$4859,19,FALSE),0)))</f>
        <v>#N/A</v>
      </c>
      <c r="AD685" s="341">
        <f t="shared" ca="1" si="280"/>
        <v>0</v>
      </c>
      <c r="AE685" s="363" t="str">
        <f t="shared" si="281"/>
        <v/>
      </c>
      <c r="AF685" s="342" t="str">
        <f t="shared" si="282"/>
        <v/>
      </c>
      <c r="AG685" s="411" t="e">
        <f ca="1">VLOOKUP(_xlfn.CONCAT(U685,V685,W685,VLOOKUP(X685&amp;Y685,TIME!$L$27:$O$34,4,FALSE),Y685),HIS_SALES!$A$2:$R$5093,18,FALSE)</f>
        <v>#N/A</v>
      </c>
      <c r="AH685" s="412" t="e">
        <f ca="1">IFERROR(IF(AND(V685=V684,W685=W684),0.5*(AB685+AB684)*AG685,(VLOOKUP(_xlfn.CONCAT(U685,V685,W685,X685,VLOOKUP(Z685,TIME!$S$28:$T$39,2,FALSE)),FC_DATA!$R$2:$AB$5000,MATCH("GS_I_M",FC_DATA!$R$1:$AB$1,0),FALSE)+FC_DATA!AB685)*0.5*FC_DATA!AG685),NA())</f>
        <v>#N/A</v>
      </c>
      <c r="AI685" s="491" t="e">
        <f ca="1">IF(V685="PARTNER.com",AH685,IF(AND(V685=V684,W685=W684),(1-AVERAGE(AD684,AD685))*AH685,(1-AVERAGE(AD685,VLOOKUP(_xlfn.CONCAT(U685,V685,W685,X685,M_BRAND_FC!$F$6),FC_DATA!$R$2:$AD$5000,MATCH("DISCOUNT_%_M",FC_DATA!$R$1:$AD$1,0),FALSE)))*AH685))</f>
        <v>#N/A</v>
      </c>
      <c r="AJ685" s="412" t="str">
        <f t="shared" ca="1" si="264"/>
        <v/>
      </c>
      <c r="AK685" s="413" t="str">
        <f>IFERROR(AE685/(Q_BRAND_FC!$T$24+1),"")</f>
        <v/>
      </c>
      <c r="AL685" s="88" t="str">
        <f t="shared" ca="1" si="265"/>
        <v/>
      </c>
      <c r="AM685" s="414" t="str">
        <f t="shared" ca="1" si="266"/>
        <v/>
      </c>
      <c r="AN685" s="58">
        <f>IFERROR(IF($V685="BRAND.com",HLOOKUP($X685&amp;$Z685,NWC_FC_NOOS!$C$4:$Q$23,MATCH(W685,NWC_FC_NOOS!$B$4:$B$23,0),FALSE),0),0)</f>
        <v>0</v>
      </c>
      <c r="AO685" s="57">
        <f>IFERROR(IF($V685="BRAND.com",HLOOKUP($X685&amp;$Z685,NWC_FC_NOOS!$T$4:$AH$23,MATCH(W685,NWC_FC_NOOS!$S$4:$S$23,0),FALSE),0),0)</f>
        <v>0</v>
      </c>
      <c r="AP685" s="57">
        <f>IFERROR(IF($V685="BRAND.com",HLOOKUP($X685&amp;$Z685,NWC_FC_NOOS!$C$50:$U$69,MATCH(W685,NWC_FC_NOOS!$B$50:$B$69,0),FALSE),0),0)</f>
        <v>0</v>
      </c>
      <c r="AQ685" s="58">
        <f>IFERROR(IF($V685="BRAND.com",HLOOKUP($X685&amp;$Z685,'NWC_FC_NON-NOOS'!$C$4:$Q$23,MATCH(W685,'NWC_FC_NON-NOOS'!$B$4:$B$23,0),FALSE),0),0)</f>
        <v>0</v>
      </c>
      <c r="AR685" s="57">
        <f>IFERROR(IF($V685="BRAND.com",HLOOKUP($X685&amp;$Z685,'NWC_FC_NON-NOOS'!$T$4:$AH$23,MATCH(W685,'NWC_FC_NON-NOOS'!$S$4:$S$23,0),FALSE),0),0)</f>
        <v>0</v>
      </c>
      <c r="AS685" s="57">
        <f>IFERROR(IF($V685="BRAND.com",HLOOKUP($X685&amp;$Z685,'NWC_FC_NON-NOOS'!$C$50:$U$69,MATCH(W685,'NWC_FC_NON-NOOS'!$B$50:$B$69,0),FALSE),0),0)</f>
        <v>0</v>
      </c>
      <c r="AT685" s="57">
        <f t="shared" si="268"/>
        <v>0</v>
      </c>
      <c r="AU685" s="57">
        <f t="shared" si="269"/>
        <v>0</v>
      </c>
      <c r="AV685" s="58">
        <f>IFERROR(IF($V685="BRAND.com",HLOOKUP($X685&amp;$Z685,PLANNING_FC!$BB$27:$BP$46,MATCH($W685,PLANNING_FC!$BA$27:$BA$46,0),FALSE),0),0)</f>
        <v>0</v>
      </c>
      <c r="AW685" s="58">
        <f>IFERROR(IF($V685="BRAND.com",HLOOKUP($X685&amp;$Z685,PLANNING_FC!$BB$4:$BP$23,MATCH($W685,PLANNING_FC!$BA$4:$BA$23,0),FALSE),0),0)</f>
        <v>0</v>
      </c>
      <c r="AX685" s="58">
        <f>IFERROR(IF($V685="BRAND.com",HLOOKUP($X685&amp;$Z685,PLANNING_FC!$T$27:$AH$46,MATCH($W685,PLANNING_FC!$B$27:$B$46,0),FALSE),0),0)</f>
        <v>0</v>
      </c>
      <c r="AY685" s="58">
        <f>IFERROR(IF($V685="BRAND.com",HLOOKUP($X685&amp;$Z685,PLANNING_FC!$T$4:$AH$23,MATCH($W685,PLANNING_FC!$B$4:$B$23,0),FALSE),0),0)</f>
        <v>0</v>
      </c>
      <c r="AZ685" s="58">
        <f>IFERROR(IF($V685="BRAND.com",HLOOKUP($X685&amp;$Z685,PLANNING_FC!$DA$27:$DO$46,MATCH($W685,PLANNING_FC!$CZ$27:$CZ$46,0),FALSE),0),0)</f>
        <v>0</v>
      </c>
      <c r="BA685" s="58">
        <f>IFERROR(IF($V685="BRAND.com",HLOOKUP($X685&amp;$Z685,PLANNING_FC!$DA$4:$DO$23,MATCH($W685,PLANNING_FC!$CZ$4:$CZ$23,0),FALSE),0),0)</f>
        <v>0</v>
      </c>
      <c r="BB685" s="883" t="str">
        <f>IF(V685="BRAND.com",IFERROR(HLOOKUP(X685&amp;Z685,PLANNING_FC!$AK$4:$AY$23,MATCH(W685,PLANNING_FC!$AJ$4:$AJ$23,0),FALSE)*1000,""),"")</f>
        <v/>
      </c>
      <c r="BC685" s="883" t="str">
        <f>IF(V685="BRAND.com",IFERROR(HLOOKUP(X685&amp;Z685,PLANNING_FC!$AK$27:$AY$46,MATCH(W685,PLANNING_FC!$AJ$27:$AJ$46,0),FALSE)*1000,""),"")</f>
        <v/>
      </c>
    </row>
    <row r="686" spans="14:55" x14ac:dyDescent="0.25">
      <c r="N686" s="56">
        <f t="shared" si="272"/>
        <v>0</v>
      </c>
      <c r="O686" s="57">
        <f t="shared" si="273"/>
        <v>0</v>
      </c>
      <c r="P686" s="57">
        <f ca="1">IFERROR(IF(ISBLANK(H686),SUMIFS($AC:$AC,$V:$V,V686,$W:$W,W686,$X:$X,X686,$Y:$Y,Y686)*J686/(1-J686)*VLOOKUP(_xlfn.CONCAT(C686,D686,E686,TIME!$M$12,Z686),HIS_SALES!$B$2:$W$4859,20,FALSE),AC686*J686/(1-J686)),0)</f>
        <v>0</v>
      </c>
      <c r="Q686" s="541" t="str">
        <f t="shared" si="283"/>
        <v/>
      </c>
      <c r="R686" s="346" t="str">
        <f t="shared" si="262"/>
        <v>00000</v>
      </c>
      <c r="S686" s="344">
        <f t="shared" si="274"/>
        <v>0</v>
      </c>
      <c r="T686" s="345" t="str">
        <f t="shared" si="267"/>
        <v>000</v>
      </c>
      <c r="U686" s="345">
        <f t="shared" si="275"/>
        <v>0</v>
      </c>
      <c r="V686" s="345">
        <f t="shared" si="276"/>
        <v>0</v>
      </c>
      <c r="W686" s="345">
        <f t="shared" si="277"/>
        <v>0</v>
      </c>
      <c r="X686" s="345">
        <f t="shared" si="278"/>
        <v>0</v>
      </c>
      <c r="Y686" s="345">
        <f t="shared" si="279"/>
        <v>0</v>
      </c>
      <c r="Z686" s="345">
        <f>IF(Q686&lt;&gt;"",VLOOKUP(Y686,TIME!$R$21:$V$24,MATCH(FC_DATA!Q686,TIME!$R$20:$V$20,0),FALSE),H686)</f>
        <v>0</v>
      </c>
      <c r="AA686" s="345" t="str">
        <f>IFERROR(VLOOKUP(X686&amp;Z686,TIME!$A$12:$D$71,4,FALSE),"")</f>
        <v/>
      </c>
      <c r="AB686" s="592">
        <f t="shared" ca="1" si="263"/>
        <v>0</v>
      </c>
      <c r="AC686" s="593" t="e">
        <f ca="1">IF(ISBLANK(H686)=FALSE,IF(D686="BRAND.com",I686,IF(ISNA(VLOOKUP(_xlfn.CONCAT(X686,Z686),TIME!$M$40:$M$42,1,FALSE)),I686,VLOOKUP(_xlfn.CONCAT(D686,G686,H686),M_BUSAREA_FC!$AF$5:$AJ$10,5,FALSE)*HLOOKUP(_xlfn.CONCAT(F686,H686),ST_OVERVIEW!$G$99:$I$130,MATCH(_xlfn.CONCAT(D686,E686),ST_OVERVIEW!$F$99:$F$130,0),FALSE))),IF(D686="BRAND.com",VLOOKUP(_xlfn.CONCAT(C686,D686,E686,TIME!$F$1,Z686),HIS_SALES!$B$2:$V$4859,19,FALSE)*I686,VLOOKUP(_xlfn.CONCAT(D686,F686,G686),Q_BUSAREA_FC!$AE$5:$AI$12,5,FALSE)*HLOOKUP(_xlfn.CONCAT(FC_DATA!F686,FC_DATA!G686),LT_OVERVIEW!$I$99:$M$130,MATCH(_xlfn.CONCAT(D686,FC_DATA!E686),LT_OVERVIEW!$H$99:$H$130,0),FALSE)*IFERROR(VLOOKUP(_xlfn.CONCAT(C686,D686,E686,TIME!$F$1,Z686),HIS_SALES!$B$2:$V$4859,19,FALSE),0)))</f>
        <v>#N/A</v>
      </c>
      <c r="AD686" s="341">
        <f t="shared" ca="1" si="280"/>
        <v>0</v>
      </c>
      <c r="AE686" s="363" t="str">
        <f t="shared" si="281"/>
        <v/>
      </c>
      <c r="AF686" s="342" t="str">
        <f t="shared" si="282"/>
        <v/>
      </c>
      <c r="AG686" s="411" t="e">
        <f ca="1">VLOOKUP(_xlfn.CONCAT(U686,V686,W686,VLOOKUP(X686&amp;Y686,TIME!$L$27:$O$34,4,FALSE),Y686),HIS_SALES!$A$2:$R$5093,18,FALSE)</f>
        <v>#N/A</v>
      </c>
      <c r="AH686" s="412" t="e">
        <f ca="1">IFERROR(IF(AND(V686=V685,W686=W685),0.5*(AB686+AB685)*AG686,(VLOOKUP(_xlfn.CONCAT(U686,V686,W686,X686,VLOOKUP(Z686,TIME!$S$28:$T$39,2,FALSE)),FC_DATA!$R$2:$AB$5000,MATCH("GS_I_M",FC_DATA!$R$1:$AB$1,0),FALSE)+FC_DATA!AB686)*0.5*FC_DATA!AG686),NA())</f>
        <v>#N/A</v>
      </c>
      <c r="AI686" s="491" t="e">
        <f ca="1">IF(V686="PARTNER.com",AH686,IF(AND(V686=V685,W686=W685),(1-AVERAGE(AD685,AD686))*AH686,(1-AVERAGE(AD686,VLOOKUP(_xlfn.CONCAT(U686,V686,W686,X686,M_BRAND_FC!$F$6),FC_DATA!$R$2:$AD$5000,MATCH("DISCOUNT_%_M",FC_DATA!$R$1:$AD$1,0),FALSE)))*AH686))</f>
        <v>#N/A</v>
      </c>
      <c r="AJ686" s="412" t="str">
        <f t="shared" ca="1" si="264"/>
        <v/>
      </c>
      <c r="AK686" s="413" t="str">
        <f>IFERROR(AE686/(Q_BRAND_FC!$T$24+1),"")</f>
        <v/>
      </c>
      <c r="AL686" s="88" t="str">
        <f t="shared" ca="1" si="265"/>
        <v/>
      </c>
      <c r="AM686" s="414" t="str">
        <f t="shared" ca="1" si="266"/>
        <v/>
      </c>
      <c r="AN686" s="58">
        <f>IFERROR(IF($V686="BRAND.com",HLOOKUP($X686&amp;$Z686,NWC_FC_NOOS!$C$4:$Q$23,MATCH(W686,NWC_FC_NOOS!$B$4:$B$23,0),FALSE),0),0)</f>
        <v>0</v>
      </c>
      <c r="AO686" s="57">
        <f>IFERROR(IF($V686="BRAND.com",HLOOKUP($X686&amp;$Z686,NWC_FC_NOOS!$T$4:$AH$23,MATCH(W686,NWC_FC_NOOS!$S$4:$S$23,0),FALSE),0),0)</f>
        <v>0</v>
      </c>
      <c r="AP686" s="57">
        <f>IFERROR(IF($V686="BRAND.com",HLOOKUP($X686&amp;$Z686,NWC_FC_NOOS!$C$50:$U$69,MATCH(W686,NWC_FC_NOOS!$B$50:$B$69,0),FALSE),0),0)</f>
        <v>0</v>
      </c>
      <c r="AQ686" s="58">
        <f>IFERROR(IF($V686="BRAND.com",HLOOKUP($X686&amp;$Z686,'NWC_FC_NON-NOOS'!$C$4:$Q$23,MATCH(W686,'NWC_FC_NON-NOOS'!$B$4:$B$23,0),FALSE),0),0)</f>
        <v>0</v>
      </c>
      <c r="AR686" s="57">
        <f>IFERROR(IF($V686="BRAND.com",HLOOKUP($X686&amp;$Z686,'NWC_FC_NON-NOOS'!$T$4:$AH$23,MATCH(W686,'NWC_FC_NON-NOOS'!$S$4:$S$23,0),FALSE),0),0)</f>
        <v>0</v>
      </c>
      <c r="AS686" s="57">
        <f>IFERROR(IF($V686="BRAND.com",HLOOKUP($X686&amp;$Z686,'NWC_FC_NON-NOOS'!$C$50:$U$69,MATCH(W686,'NWC_FC_NON-NOOS'!$B$50:$B$69,0),FALSE),0),0)</f>
        <v>0</v>
      </c>
      <c r="AT686" s="57">
        <f t="shared" si="268"/>
        <v>0</v>
      </c>
      <c r="AU686" s="57">
        <f t="shared" si="269"/>
        <v>0</v>
      </c>
      <c r="AV686" s="58">
        <f>IFERROR(IF($V686="BRAND.com",HLOOKUP($X686&amp;$Z686,PLANNING_FC!$BB$27:$BP$46,MATCH($W686,PLANNING_FC!$BA$27:$BA$46,0),FALSE),0),0)</f>
        <v>0</v>
      </c>
      <c r="AW686" s="58">
        <f>IFERROR(IF($V686="BRAND.com",HLOOKUP($X686&amp;$Z686,PLANNING_FC!$BB$4:$BP$23,MATCH($W686,PLANNING_FC!$BA$4:$BA$23,0),FALSE),0),0)</f>
        <v>0</v>
      </c>
      <c r="AX686" s="58">
        <f>IFERROR(IF($V686="BRAND.com",HLOOKUP($X686&amp;$Z686,PLANNING_FC!$T$27:$AH$46,MATCH($W686,PLANNING_FC!$B$27:$B$46,0),FALSE),0),0)</f>
        <v>0</v>
      </c>
      <c r="AY686" s="58">
        <f>IFERROR(IF($V686="BRAND.com",HLOOKUP($X686&amp;$Z686,PLANNING_FC!$T$4:$AH$23,MATCH($W686,PLANNING_FC!$B$4:$B$23,0),FALSE),0),0)</f>
        <v>0</v>
      </c>
      <c r="AZ686" s="58">
        <f>IFERROR(IF($V686="BRAND.com",HLOOKUP($X686&amp;$Z686,PLANNING_FC!$DA$27:$DO$46,MATCH($W686,PLANNING_FC!$CZ$27:$CZ$46,0),FALSE),0),0)</f>
        <v>0</v>
      </c>
      <c r="BA686" s="58">
        <f>IFERROR(IF($V686="BRAND.com",HLOOKUP($X686&amp;$Z686,PLANNING_FC!$DA$4:$DO$23,MATCH($W686,PLANNING_FC!$CZ$4:$CZ$23,0),FALSE),0),0)</f>
        <v>0</v>
      </c>
      <c r="BB686" s="883" t="str">
        <f>IF(V686="BRAND.com",IFERROR(HLOOKUP(X686&amp;Z686,PLANNING_FC!$AK$4:$AY$23,MATCH(W686,PLANNING_FC!$AJ$4:$AJ$23,0),FALSE)*1000,""),"")</f>
        <v/>
      </c>
      <c r="BC686" s="883" t="str">
        <f>IF(V686="BRAND.com",IFERROR(HLOOKUP(X686&amp;Z686,PLANNING_FC!$AK$27:$AY$46,MATCH(W686,PLANNING_FC!$AJ$27:$AJ$46,0),FALSE)*1000,""),"")</f>
        <v/>
      </c>
    </row>
    <row r="687" spans="14:55" x14ac:dyDescent="0.25">
      <c r="N687" s="56">
        <f t="shared" si="272"/>
        <v>0</v>
      </c>
      <c r="O687" s="57">
        <f t="shared" si="273"/>
        <v>0</v>
      </c>
      <c r="P687" s="57">
        <f ca="1">IFERROR(IF(ISBLANK(H687),SUMIFS($AC:$AC,$V:$V,V687,$W:$W,W687,$X:$X,X687,$Y:$Y,Y687)*J687/(1-J687)*VLOOKUP(_xlfn.CONCAT(C687,D687,E687,TIME!$M$12,Z687),HIS_SALES!$B$2:$W$4859,20,FALSE),AC687*J687/(1-J687)),0)</f>
        <v>0</v>
      </c>
      <c r="Q687" s="541" t="str">
        <f t="shared" si="283"/>
        <v/>
      </c>
      <c r="R687" s="346" t="str">
        <f t="shared" si="262"/>
        <v>00000</v>
      </c>
      <c r="S687" s="344">
        <f t="shared" si="274"/>
        <v>0</v>
      </c>
      <c r="T687" s="345" t="str">
        <f t="shared" si="267"/>
        <v>000</v>
      </c>
      <c r="U687" s="345">
        <f t="shared" si="275"/>
        <v>0</v>
      </c>
      <c r="V687" s="345">
        <f t="shared" si="276"/>
        <v>0</v>
      </c>
      <c r="W687" s="345">
        <f t="shared" si="277"/>
        <v>0</v>
      </c>
      <c r="X687" s="345">
        <f t="shared" si="278"/>
        <v>0</v>
      </c>
      <c r="Y687" s="345">
        <f t="shared" si="279"/>
        <v>0</v>
      </c>
      <c r="Z687" s="345">
        <f>IF(Q687&lt;&gt;"",VLOOKUP(Y687,TIME!$R$21:$V$24,MATCH(FC_DATA!Q687,TIME!$R$20:$V$20,0),FALSE),H687)</f>
        <v>0</v>
      </c>
      <c r="AA687" s="345" t="str">
        <f>IFERROR(VLOOKUP(X687&amp;Z687,TIME!$A$12:$D$71,4,FALSE),"")</f>
        <v/>
      </c>
      <c r="AB687" s="592">
        <f t="shared" ca="1" si="263"/>
        <v>0</v>
      </c>
      <c r="AC687" s="593" t="e">
        <f ca="1">IF(ISBLANK(H687)=FALSE,IF(D687="BRAND.com",I687,IF(ISNA(VLOOKUP(_xlfn.CONCAT(X687,Z687),TIME!$M$40:$M$42,1,FALSE)),I687,VLOOKUP(_xlfn.CONCAT(D687,G687,H687),M_BUSAREA_FC!$AF$5:$AJ$10,5,FALSE)*HLOOKUP(_xlfn.CONCAT(F687,H687),ST_OVERVIEW!$G$99:$I$130,MATCH(_xlfn.CONCAT(D687,E687),ST_OVERVIEW!$F$99:$F$130,0),FALSE))),IF(D687="BRAND.com",VLOOKUP(_xlfn.CONCAT(C687,D687,E687,TIME!$F$1,Z687),HIS_SALES!$B$2:$V$4859,19,FALSE)*I687,VLOOKUP(_xlfn.CONCAT(D687,F687,G687),Q_BUSAREA_FC!$AE$5:$AI$12,5,FALSE)*HLOOKUP(_xlfn.CONCAT(FC_DATA!F687,FC_DATA!G687),LT_OVERVIEW!$I$99:$M$130,MATCH(_xlfn.CONCAT(D687,FC_DATA!E687),LT_OVERVIEW!$H$99:$H$130,0),FALSE)*IFERROR(VLOOKUP(_xlfn.CONCAT(C687,D687,E687,TIME!$F$1,Z687),HIS_SALES!$B$2:$V$4859,19,FALSE),0)))</f>
        <v>#N/A</v>
      </c>
      <c r="AD687" s="341">
        <f t="shared" ca="1" si="280"/>
        <v>0</v>
      </c>
      <c r="AE687" s="363" t="str">
        <f t="shared" si="281"/>
        <v/>
      </c>
      <c r="AF687" s="342" t="str">
        <f t="shared" si="282"/>
        <v/>
      </c>
      <c r="AG687" s="411" t="e">
        <f ca="1">VLOOKUP(_xlfn.CONCAT(U687,V687,W687,VLOOKUP(X687&amp;Y687,TIME!$L$27:$O$34,4,FALSE),Y687),HIS_SALES!$A$2:$R$5093,18,FALSE)</f>
        <v>#N/A</v>
      </c>
      <c r="AH687" s="412" t="e">
        <f ca="1">IFERROR(IF(AND(V687=V686,W687=W686),0.5*(AB687+AB686)*AG687,(VLOOKUP(_xlfn.CONCAT(U687,V687,W687,X687,VLOOKUP(Z687,TIME!$S$28:$T$39,2,FALSE)),FC_DATA!$R$2:$AB$5000,MATCH("GS_I_M",FC_DATA!$R$1:$AB$1,0),FALSE)+FC_DATA!AB687)*0.5*FC_DATA!AG687),NA())</f>
        <v>#N/A</v>
      </c>
      <c r="AI687" s="491" t="e">
        <f ca="1">IF(V687="PARTNER.com",AH687,IF(AND(V687=V686,W687=W686),(1-AVERAGE(AD686,AD687))*AH687,(1-AVERAGE(AD687,VLOOKUP(_xlfn.CONCAT(U687,V687,W687,X687,M_BRAND_FC!$F$6),FC_DATA!$R$2:$AD$5000,MATCH("DISCOUNT_%_M",FC_DATA!$R$1:$AD$1,0),FALSE)))*AH687))</f>
        <v>#N/A</v>
      </c>
      <c r="AJ687" s="412" t="str">
        <f t="shared" ca="1" si="264"/>
        <v/>
      </c>
      <c r="AK687" s="413" t="str">
        <f>IFERROR(AE687/(Q_BRAND_FC!$T$24+1),"")</f>
        <v/>
      </c>
      <c r="AL687" s="88" t="str">
        <f t="shared" ca="1" si="265"/>
        <v/>
      </c>
      <c r="AM687" s="414" t="str">
        <f t="shared" ca="1" si="266"/>
        <v/>
      </c>
      <c r="AN687" s="58">
        <f>IFERROR(IF($V687="BRAND.com",HLOOKUP($X687&amp;$Z687,NWC_FC_NOOS!$C$4:$Q$23,MATCH(W687,NWC_FC_NOOS!$B$4:$B$23,0),FALSE),0),0)</f>
        <v>0</v>
      </c>
      <c r="AO687" s="57">
        <f>IFERROR(IF($V687="BRAND.com",HLOOKUP($X687&amp;$Z687,NWC_FC_NOOS!$T$4:$AH$23,MATCH(W687,NWC_FC_NOOS!$S$4:$S$23,0),FALSE),0),0)</f>
        <v>0</v>
      </c>
      <c r="AP687" s="57">
        <f>IFERROR(IF($V687="BRAND.com",HLOOKUP($X687&amp;$Z687,NWC_FC_NOOS!$C$50:$U$69,MATCH(W687,NWC_FC_NOOS!$B$50:$B$69,0),FALSE),0),0)</f>
        <v>0</v>
      </c>
      <c r="AQ687" s="58">
        <f>IFERROR(IF($V687="BRAND.com",HLOOKUP($X687&amp;$Z687,'NWC_FC_NON-NOOS'!$C$4:$Q$23,MATCH(W687,'NWC_FC_NON-NOOS'!$B$4:$B$23,0),FALSE),0),0)</f>
        <v>0</v>
      </c>
      <c r="AR687" s="57">
        <f>IFERROR(IF($V687="BRAND.com",HLOOKUP($X687&amp;$Z687,'NWC_FC_NON-NOOS'!$T$4:$AH$23,MATCH(W687,'NWC_FC_NON-NOOS'!$S$4:$S$23,0),FALSE),0),0)</f>
        <v>0</v>
      </c>
      <c r="AS687" s="57">
        <f>IFERROR(IF($V687="BRAND.com",HLOOKUP($X687&amp;$Z687,'NWC_FC_NON-NOOS'!$C$50:$U$69,MATCH(W687,'NWC_FC_NON-NOOS'!$B$50:$B$69,0),FALSE),0),0)</f>
        <v>0</v>
      </c>
      <c r="AT687" s="57">
        <f t="shared" si="268"/>
        <v>0</v>
      </c>
      <c r="AU687" s="57">
        <f t="shared" si="269"/>
        <v>0</v>
      </c>
      <c r="AV687" s="58">
        <f>IFERROR(IF($V687="BRAND.com",HLOOKUP($X687&amp;$Z687,PLANNING_FC!$BB$27:$BP$46,MATCH($W687,PLANNING_FC!$BA$27:$BA$46,0),FALSE),0),0)</f>
        <v>0</v>
      </c>
      <c r="AW687" s="58">
        <f>IFERROR(IF($V687="BRAND.com",HLOOKUP($X687&amp;$Z687,PLANNING_FC!$BB$4:$BP$23,MATCH($W687,PLANNING_FC!$BA$4:$BA$23,0),FALSE),0),0)</f>
        <v>0</v>
      </c>
      <c r="AX687" s="58">
        <f>IFERROR(IF($V687="BRAND.com",HLOOKUP($X687&amp;$Z687,PLANNING_FC!$T$27:$AH$46,MATCH($W687,PLANNING_FC!$B$27:$B$46,0),FALSE),0),0)</f>
        <v>0</v>
      </c>
      <c r="AY687" s="58">
        <f>IFERROR(IF($V687="BRAND.com",HLOOKUP($X687&amp;$Z687,PLANNING_FC!$T$4:$AH$23,MATCH($W687,PLANNING_FC!$B$4:$B$23,0),FALSE),0),0)</f>
        <v>0</v>
      </c>
      <c r="AZ687" s="58">
        <f>IFERROR(IF($V687="BRAND.com",HLOOKUP($X687&amp;$Z687,PLANNING_FC!$DA$27:$DO$46,MATCH($W687,PLANNING_FC!$CZ$27:$CZ$46,0),FALSE),0),0)</f>
        <v>0</v>
      </c>
      <c r="BA687" s="58">
        <f>IFERROR(IF($V687="BRAND.com",HLOOKUP($X687&amp;$Z687,PLANNING_FC!$DA$4:$DO$23,MATCH($W687,PLANNING_FC!$CZ$4:$CZ$23,0),FALSE),0),0)</f>
        <v>0</v>
      </c>
      <c r="BB687" s="883" t="str">
        <f>IF(V687="BRAND.com",IFERROR(HLOOKUP(X687&amp;Z687,PLANNING_FC!$AK$4:$AY$23,MATCH(W687,PLANNING_FC!$AJ$4:$AJ$23,0),FALSE)*1000,""),"")</f>
        <v/>
      </c>
      <c r="BC687" s="883" t="str">
        <f>IF(V687="BRAND.com",IFERROR(HLOOKUP(X687&amp;Z687,PLANNING_FC!$AK$27:$AY$46,MATCH(W687,PLANNING_FC!$AJ$27:$AJ$46,0),FALSE)*1000,""),"")</f>
        <v/>
      </c>
    </row>
    <row r="688" spans="14:55" x14ac:dyDescent="0.25">
      <c r="N688" s="56">
        <f t="shared" si="272"/>
        <v>0</v>
      </c>
      <c r="O688" s="57">
        <f t="shared" si="273"/>
        <v>0</v>
      </c>
      <c r="P688" s="57">
        <f ca="1">IFERROR(IF(ISBLANK(H688),SUMIFS($AC:$AC,$V:$V,V688,$W:$W,W688,$X:$X,X688,$Y:$Y,Y688)*J688/(1-J688)*VLOOKUP(_xlfn.CONCAT(C688,D688,E688,TIME!$M$12,Z688),HIS_SALES!$B$2:$W$4859,20,FALSE),AC688*J688/(1-J688)),0)</f>
        <v>0</v>
      </c>
      <c r="Q688" s="541" t="str">
        <f t="shared" si="283"/>
        <v/>
      </c>
      <c r="R688" s="346" t="str">
        <f t="shared" si="262"/>
        <v>00000</v>
      </c>
      <c r="S688" s="344">
        <f t="shared" si="274"/>
        <v>0</v>
      </c>
      <c r="T688" s="345" t="str">
        <f t="shared" si="267"/>
        <v>000</v>
      </c>
      <c r="U688" s="345">
        <f t="shared" si="275"/>
        <v>0</v>
      </c>
      <c r="V688" s="345">
        <f t="shared" si="276"/>
        <v>0</v>
      </c>
      <c r="W688" s="345">
        <f t="shared" si="277"/>
        <v>0</v>
      </c>
      <c r="X688" s="345">
        <f t="shared" si="278"/>
        <v>0</v>
      </c>
      <c r="Y688" s="345">
        <f t="shared" si="279"/>
        <v>0</v>
      </c>
      <c r="Z688" s="345">
        <f>IF(Q688&lt;&gt;"",VLOOKUP(Y688,TIME!$R$21:$V$24,MATCH(FC_DATA!Q688,TIME!$R$20:$V$20,0),FALSE),H688)</f>
        <v>0</v>
      </c>
      <c r="AA688" s="345" t="str">
        <f>IFERROR(VLOOKUP(X688&amp;Z688,TIME!$A$12:$D$71,4,FALSE),"")</f>
        <v/>
      </c>
      <c r="AB688" s="592">
        <f t="shared" ca="1" si="263"/>
        <v>0</v>
      </c>
      <c r="AC688" s="593" t="e">
        <f ca="1">IF(ISBLANK(H688)=FALSE,IF(D688="BRAND.com",I688,IF(ISNA(VLOOKUP(_xlfn.CONCAT(X688,Z688),TIME!$M$40:$M$42,1,FALSE)),I688,VLOOKUP(_xlfn.CONCAT(D688,G688,H688),M_BUSAREA_FC!$AF$5:$AJ$10,5,FALSE)*HLOOKUP(_xlfn.CONCAT(F688,H688),ST_OVERVIEW!$G$99:$I$130,MATCH(_xlfn.CONCAT(D688,E688),ST_OVERVIEW!$F$99:$F$130,0),FALSE))),IF(D688="BRAND.com",VLOOKUP(_xlfn.CONCAT(C688,D688,E688,TIME!$F$1,Z688),HIS_SALES!$B$2:$V$4859,19,FALSE)*I688,VLOOKUP(_xlfn.CONCAT(D688,F688,G688),Q_BUSAREA_FC!$AE$5:$AI$12,5,FALSE)*HLOOKUP(_xlfn.CONCAT(FC_DATA!F688,FC_DATA!G688),LT_OVERVIEW!$I$99:$M$130,MATCH(_xlfn.CONCAT(D688,FC_DATA!E688),LT_OVERVIEW!$H$99:$H$130,0),FALSE)*IFERROR(VLOOKUP(_xlfn.CONCAT(C688,D688,E688,TIME!$F$1,Z688),HIS_SALES!$B$2:$V$4859,19,FALSE),0)))</f>
        <v>#N/A</v>
      </c>
      <c r="AD688" s="341">
        <f t="shared" ca="1" si="280"/>
        <v>0</v>
      </c>
      <c r="AE688" s="363" t="str">
        <f t="shared" si="281"/>
        <v/>
      </c>
      <c r="AF688" s="342" t="str">
        <f t="shared" si="282"/>
        <v/>
      </c>
      <c r="AG688" s="411" t="e">
        <f ca="1">VLOOKUP(_xlfn.CONCAT(U688,V688,W688,VLOOKUP(X688&amp;Y688,TIME!$L$27:$O$34,4,FALSE),Y688),HIS_SALES!$A$2:$R$5093,18,FALSE)</f>
        <v>#N/A</v>
      </c>
      <c r="AH688" s="412" t="e">
        <f ca="1">IFERROR(IF(AND(V688=V687,W688=W687),0.5*(AB688+AB687)*AG688,(VLOOKUP(_xlfn.CONCAT(U688,V688,W688,X688,VLOOKUP(Z688,TIME!$S$28:$T$39,2,FALSE)),FC_DATA!$R$2:$AB$5000,MATCH("GS_I_M",FC_DATA!$R$1:$AB$1,0),FALSE)+FC_DATA!AB688)*0.5*FC_DATA!AG688),NA())</f>
        <v>#N/A</v>
      </c>
      <c r="AI688" s="491" t="e">
        <f ca="1">IF(V688="PARTNER.com",AH688,IF(AND(V688=V687,W688=W687),(1-AVERAGE(AD687,AD688))*AH688,(1-AVERAGE(AD688,VLOOKUP(_xlfn.CONCAT(U688,V688,W688,X688,M_BRAND_FC!$F$6),FC_DATA!$R$2:$AD$5000,MATCH("DISCOUNT_%_M",FC_DATA!$R$1:$AD$1,0),FALSE)))*AH688))</f>
        <v>#N/A</v>
      </c>
      <c r="AJ688" s="412" t="str">
        <f t="shared" ca="1" si="264"/>
        <v/>
      </c>
      <c r="AK688" s="413" t="str">
        <f>IFERROR(AE688/(Q_BRAND_FC!$T$24+1),"")</f>
        <v/>
      </c>
      <c r="AL688" s="88" t="str">
        <f t="shared" ca="1" si="265"/>
        <v/>
      </c>
      <c r="AM688" s="414" t="str">
        <f t="shared" ca="1" si="266"/>
        <v/>
      </c>
      <c r="AN688" s="58">
        <f>IFERROR(IF($V688="BRAND.com",HLOOKUP($X688&amp;$Z688,NWC_FC_NOOS!$C$4:$Q$23,MATCH(W688,NWC_FC_NOOS!$B$4:$B$23,0),FALSE),0),0)</f>
        <v>0</v>
      </c>
      <c r="AO688" s="57">
        <f>IFERROR(IF($V688="BRAND.com",HLOOKUP($X688&amp;$Z688,NWC_FC_NOOS!$T$4:$AH$23,MATCH(W688,NWC_FC_NOOS!$S$4:$S$23,0),FALSE),0),0)</f>
        <v>0</v>
      </c>
      <c r="AP688" s="57">
        <f>IFERROR(IF($V688="BRAND.com",HLOOKUP($X688&amp;$Z688,NWC_FC_NOOS!$C$50:$U$69,MATCH(W688,NWC_FC_NOOS!$B$50:$B$69,0),FALSE),0),0)</f>
        <v>0</v>
      </c>
      <c r="AQ688" s="58">
        <f>IFERROR(IF($V688="BRAND.com",HLOOKUP($X688&amp;$Z688,'NWC_FC_NON-NOOS'!$C$4:$Q$23,MATCH(W688,'NWC_FC_NON-NOOS'!$B$4:$B$23,0),FALSE),0),0)</f>
        <v>0</v>
      </c>
      <c r="AR688" s="57">
        <f>IFERROR(IF($V688="BRAND.com",HLOOKUP($X688&amp;$Z688,'NWC_FC_NON-NOOS'!$T$4:$AH$23,MATCH(W688,'NWC_FC_NON-NOOS'!$S$4:$S$23,0),FALSE),0),0)</f>
        <v>0</v>
      </c>
      <c r="AS688" s="57">
        <f>IFERROR(IF($V688="BRAND.com",HLOOKUP($X688&amp;$Z688,'NWC_FC_NON-NOOS'!$C$50:$U$69,MATCH(W688,'NWC_FC_NON-NOOS'!$B$50:$B$69,0),FALSE),0),0)</f>
        <v>0</v>
      </c>
      <c r="AT688" s="57">
        <f t="shared" si="268"/>
        <v>0</v>
      </c>
      <c r="AU688" s="57">
        <f t="shared" si="269"/>
        <v>0</v>
      </c>
      <c r="AV688" s="58">
        <f>IFERROR(IF($V688="BRAND.com",HLOOKUP($X688&amp;$Z688,PLANNING_FC!$BB$27:$BP$46,MATCH($W688,PLANNING_FC!$BA$27:$BA$46,0),FALSE),0),0)</f>
        <v>0</v>
      </c>
      <c r="AW688" s="58">
        <f>IFERROR(IF($V688="BRAND.com",HLOOKUP($X688&amp;$Z688,PLANNING_FC!$BB$4:$BP$23,MATCH($W688,PLANNING_FC!$BA$4:$BA$23,0),FALSE),0),0)</f>
        <v>0</v>
      </c>
      <c r="AX688" s="58">
        <f>IFERROR(IF($V688="BRAND.com",HLOOKUP($X688&amp;$Z688,PLANNING_FC!$T$27:$AH$46,MATCH($W688,PLANNING_FC!$B$27:$B$46,0),FALSE),0),0)</f>
        <v>0</v>
      </c>
      <c r="AY688" s="58">
        <f>IFERROR(IF($V688="BRAND.com",HLOOKUP($X688&amp;$Z688,PLANNING_FC!$T$4:$AH$23,MATCH($W688,PLANNING_FC!$B$4:$B$23,0),FALSE),0),0)</f>
        <v>0</v>
      </c>
      <c r="AZ688" s="58">
        <f>IFERROR(IF($V688="BRAND.com",HLOOKUP($X688&amp;$Z688,PLANNING_FC!$DA$27:$DO$46,MATCH($W688,PLANNING_FC!$CZ$27:$CZ$46,0),FALSE),0),0)</f>
        <v>0</v>
      </c>
      <c r="BA688" s="58">
        <f>IFERROR(IF($V688="BRAND.com",HLOOKUP($X688&amp;$Z688,PLANNING_FC!$DA$4:$DO$23,MATCH($W688,PLANNING_FC!$CZ$4:$CZ$23,0),FALSE),0),0)</f>
        <v>0</v>
      </c>
      <c r="BB688" s="883" t="str">
        <f>IF(V688="BRAND.com",IFERROR(HLOOKUP(X688&amp;Z688,PLANNING_FC!$AK$4:$AY$23,MATCH(W688,PLANNING_FC!$AJ$4:$AJ$23,0),FALSE)*1000,""),"")</f>
        <v/>
      </c>
      <c r="BC688" s="883" t="str">
        <f>IF(V688="BRAND.com",IFERROR(HLOOKUP(X688&amp;Z688,PLANNING_FC!$AK$27:$AY$46,MATCH(W688,PLANNING_FC!$AJ$27:$AJ$46,0),FALSE)*1000,""),"")</f>
        <v/>
      </c>
    </row>
    <row r="689" spans="14:55" x14ac:dyDescent="0.25">
      <c r="N689" s="56">
        <f t="shared" si="272"/>
        <v>0</v>
      </c>
      <c r="O689" s="57">
        <f t="shared" si="273"/>
        <v>0</v>
      </c>
      <c r="P689" s="57">
        <f ca="1">IFERROR(IF(ISBLANK(H689),SUMIFS($AC:$AC,$V:$V,V689,$W:$W,W689,$X:$X,X689,$Y:$Y,Y689)*J689/(1-J689)*VLOOKUP(_xlfn.CONCAT(C689,D689,E689,TIME!$M$12,Z689),HIS_SALES!$B$2:$W$4859,20,FALSE),AC689*J689/(1-J689)),0)</f>
        <v>0</v>
      </c>
      <c r="Q689" s="541" t="str">
        <f t="shared" si="283"/>
        <v/>
      </c>
      <c r="R689" s="346" t="str">
        <f t="shared" si="262"/>
        <v>00000</v>
      </c>
      <c r="S689" s="344">
        <f t="shared" si="274"/>
        <v>0</v>
      </c>
      <c r="T689" s="345" t="str">
        <f t="shared" si="267"/>
        <v>000</v>
      </c>
      <c r="U689" s="345">
        <f t="shared" si="275"/>
        <v>0</v>
      </c>
      <c r="V689" s="345">
        <f t="shared" si="276"/>
        <v>0</v>
      </c>
      <c r="W689" s="345">
        <f t="shared" si="277"/>
        <v>0</v>
      </c>
      <c r="X689" s="345">
        <f t="shared" si="278"/>
        <v>0</v>
      </c>
      <c r="Y689" s="345">
        <f t="shared" si="279"/>
        <v>0</v>
      </c>
      <c r="Z689" s="345">
        <f>IF(Q689&lt;&gt;"",VLOOKUP(Y689,TIME!$R$21:$V$24,MATCH(FC_DATA!Q689,TIME!$R$20:$V$20,0),FALSE),H689)</f>
        <v>0</v>
      </c>
      <c r="AA689" s="345" t="str">
        <f>IFERROR(VLOOKUP(X689&amp;Z689,TIME!$A$12:$D$71,4,FALSE),"")</f>
        <v/>
      </c>
      <c r="AB689" s="592">
        <f t="shared" ca="1" si="263"/>
        <v>0</v>
      </c>
      <c r="AC689" s="593" t="e">
        <f ca="1">IF(ISBLANK(H689)=FALSE,IF(D689="BRAND.com",I689,IF(ISNA(VLOOKUP(_xlfn.CONCAT(X689,Z689),TIME!$M$40:$M$42,1,FALSE)),I689,VLOOKUP(_xlfn.CONCAT(D689,G689,H689),M_BUSAREA_FC!$AF$5:$AJ$10,5,FALSE)*HLOOKUP(_xlfn.CONCAT(F689,H689),ST_OVERVIEW!$G$99:$I$130,MATCH(_xlfn.CONCAT(D689,E689),ST_OVERVIEW!$F$99:$F$130,0),FALSE))),IF(D689="BRAND.com",VLOOKUP(_xlfn.CONCAT(C689,D689,E689,TIME!$F$1,Z689),HIS_SALES!$B$2:$V$4859,19,FALSE)*I689,VLOOKUP(_xlfn.CONCAT(D689,F689,G689),Q_BUSAREA_FC!$AE$5:$AI$12,5,FALSE)*HLOOKUP(_xlfn.CONCAT(FC_DATA!F689,FC_DATA!G689),LT_OVERVIEW!$I$99:$M$130,MATCH(_xlfn.CONCAT(D689,FC_DATA!E689),LT_OVERVIEW!$H$99:$H$130,0),FALSE)*IFERROR(VLOOKUP(_xlfn.CONCAT(C689,D689,E689,TIME!$F$1,Z689),HIS_SALES!$B$2:$V$4859,19,FALSE),0)))</f>
        <v>#N/A</v>
      </c>
      <c r="AD689" s="341">
        <f t="shared" ca="1" si="280"/>
        <v>0</v>
      </c>
      <c r="AE689" s="363" t="str">
        <f t="shared" si="281"/>
        <v/>
      </c>
      <c r="AF689" s="342" t="str">
        <f t="shared" si="282"/>
        <v/>
      </c>
      <c r="AG689" s="411" t="e">
        <f ca="1">VLOOKUP(_xlfn.CONCAT(U689,V689,W689,VLOOKUP(X689&amp;Y689,TIME!$L$27:$O$34,4,FALSE),Y689),HIS_SALES!$A$2:$R$5093,18,FALSE)</f>
        <v>#N/A</v>
      </c>
      <c r="AH689" s="412" t="e">
        <f ca="1">IFERROR(IF(AND(V689=V688,W689=W688),0.5*(AB689+AB688)*AG689,(VLOOKUP(_xlfn.CONCAT(U689,V689,W689,X689,VLOOKUP(Z689,TIME!$S$28:$T$39,2,FALSE)),FC_DATA!$R$2:$AB$5000,MATCH("GS_I_M",FC_DATA!$R$1:$AB$1,0),FALSE)+FC_DATA!AB689)*0.5*FC_DATA!AG689),NA())</f>
        <v>#N/A</v>
      </c>
      <c r="AI689" s="491" t="e">
        <f ca="1">IF(V689="PARTNER.com",AH689,IF(AND(V689=V688,W689=W688),(1-AVERAGE(AD688,AD689))*AH689,(1-AVERAGE(AD689,VLOOKUP(_xlfn.CONCAT(U689,V689,W689,X689,M_BRAND_FC!$F$6),FC_DATA!$R$2:$AD$5000,MATCH("DISCOUNT_%_M",FC_DATA!$R$1:$AD$1,0),FALSE)))*AH689))</f>
        <v>#N/A</v>
      </c>
      <c r="AJ689" s="412" t="str">
        <f t="shared" ca="1" si="264"/>
        <v/>
      </c>
      <c r="AK689" s="413" t="str">
        <f>IFERROR(AE689/(Q_BRAND_FC!$T$24+1),"")</f>
        <v/>
      </c>
      <c r="AL689" s="88" t="str">
        <f t="shared" ca="1" si="265"/>
        <v/>
      </c>
      <c r="AM689" s="414" t="str">
        <f t="shared" ca="1" si="266"/>
        <v/>
      </c>
      <c r="AN689" s="58">
        <f>IFERROR(IF($V689="BRAND.com",HLOOKUP($X689&amp;$Z689,NWC_FC_NOOS!$C$4:$Q$23,MATCH(W689,NWC_FC_NOOS!$B$4:$B$23,0),FALSE),0),0)</f>
        <v>0</v>
      </c>
      <c r="AO689" s="57">
        <f>IFERROR(IF($V689="BRAND.com",HLOOKUP($X689&amp;$Z689,NWC_FC_NOOS!$T$4:$AH$23,MATCH(W689,NWC_FC_NOOS!$S$4:$S$23,0),FALSE),0),0)</f>
        <v>0</v>
      </c>
      <c r="AP689" s="57">
        <f>IFERROR(IF($V689="BRAND.com",HLOOKUP($X689&amp;$Z689,NWC_FC_NOOS!$C$50:$U$69,MATCH(W689,NWC_FC_NOOS!$B$50:$B$69,0),FALSE),0),0)</f>
        <v>0</v>
      </c>
      <c r="AQ689" s="58">
        <f>IFERROR(IF($V689="BRAND.com",HLOOKUP($X689&amp;$Z689,'NWC_FC_NON-NOOS'!$C$4:$Q$23,MATCH(W689,'NWC_FC_NON-NOOS'!$B$4:$B$23,0),FALSE),0),0)</f>
        <v>0</v>
      </c>
      <c r="AR689" s="57">
        <f>IFERROR(IF($V689="BRAND.com",HLOOKUP($X689&amp;$Z689,'NWC_FC_NON-NOOS'!$T$4:$AH$23,MATCH(W689,'NWC_FC_NON-NOOS'!$S$4:$S$23,0),FALSE),0),0)</f>
        <v>0</v>
      </c>
      <c r="AS689" s="57">
        <f>IFERROR(IF($V689="BRAND.com",HLOOKUP($X689&amp;$Z689,'NWC_FC_NON-NOOS'!$C$50:$U$69,MATCH(W689,'NWC_FC_NON-NOOS'!$B$50:$B$69,0),FALSE),0),0)</f>
        <v>0</v>
      </c>
      <c r="AT689" s="57">
        <f t="shared" si="268"/>
        <v>0</v>
      </c>
      <c r="AU689" s="57">
        <f t="shared" si="269"/>
        <v>0</v>
      </c>
      <c r="AV689" s="58">
        <f>IFERROR(IF($V689="BRAND.com",HLOOKUP($X689&amp;$Z689,PLANNING_FC!$BB$27:$BP$46,MATCH($W689,PLANNING_FC!$BA$27:$BA$46,0),FALSE),0),0)</f>
        <v>0</v>
      </c>
      <c r="AW689" s="58">
        <f>IFERROR(IF($V689="BRAND.com",HLOOKUP($X689&amp;$Z689,PLANNING_FC!$BB$4:$BP$23,MATCH($W689,PLANNING_FC!$BA$4:$BA$23,0),FALSE),0),0)</f>
        <v>0</v>
      </c>
      <c r="AX689" s="58">
        <f>IFERROR(IF($V689="BRAND.com",HLOOKUP($X689&amp;$Z689,PLANNING_FC!$T$27:$AH$46,MATCH($W689,PLANNING_FC!$B$27:$B$46,0),FALSE),0),0)</f>
        <v>0</v>
      </c>
      <c r="AY689" s="58">
        <f>IFERROR(IF($V689="BRAND.com",HLOOKUP($X689&amp;$Z689,PLANNING_FC!$T$4:$AH$23,MATCH($W689,PLANNING_FC!$B$4:$B$23,0),FALSE),0),0)</f>
        <v>0</v>
      </c>
      <c r="AZ689" s="58">
        <f>IFERROR(IF($V689="BRAND.com",HLOOKUP($X689&amp;$Z689,PLANNING_FC!$DA$27:$DO$46,MATCH($W689,PLANNING_FC!$CZ$27:$CZ$46,0),FALSE),0),0)</f>
        <v>0</v>
      </c>
      <c r="BA689" s="58">
        <f>IFERROR(IF($V689="BRAND.com",HLOOKUP($X689&amp;$Z689,PLANNING_FC!$DA$4:$DO$23,MATCH($W689,PLANNING_FC!$CZ$4:$CZ$23,0),FALSE),0),0)</f>
        <v>0</v>
      </c>
      <c r="BB689" s="883" t="str">
        <f>IF(V689="BRAND.com",IFERROR(HLOOKUP(X689&amp;Z689,PLANNING_FC!$AK$4:$AY$23,MATCH(W689,PLANNING_FC!$AJ$4:$AJ$23,0),FALSE)*1000,""),"")</f>
        <v/>
      </c>
      <c r="BC689" s="883" t="str">
        <f>IF(V689="BRAND.com",IFERROR(HLOOKUP(X689&amp;Z689,PLANNING_FC!$AK$27:$AY$46,MATCH(W689,PLANNING_FC!$AJ$27:$AJ$46,0),FALSE)*1000,""),"")</f>
        <v/>
      </c>
    </row>
    <row r="690" spans="14:55" x14ac:dyDescent="0.25">
      <c r="N690" s="56">
        <f t="shared" si="272"/>
        <v>0</v>
      </c>
      <c r="O690" s="57">
        <f t="shared" si="273"/>
        <v>0</v>
      </c>
      <c r="P690" s="57">
        <f ca="1">IFERROR(IF(ISBLANK(H690),SUMIFS($AC:$AC,$V:$V,V690,$W:$W,W690,$X:$X,X690,$Y:$Y,Y690)*J690/(1-J690)*VLOOKUP(_xlfn.CONCAT(C690,D690,E690,TIME!$M$12,Z690),HIS_SALES!$B$2:$W$4859,20,FALSE),AC690*J690/(1-J690)),0)</f>
        <v>0</v>
      </c>
      <c r="Q690" s="541" t="str">
        <f t="shared" si="283"/>
        <v/>
      </c>
      <c r="R690" s="346" t="str">
        <f t="shared" si="262"/>
        <v>00000</v>
      </c>
      <c r="S690" s="344">
        <f t="shared" si="274"/>
        <v>0</v>
      </c>
      <c r="T690" s="345" t="str">
        <f t="shared" si="267"/>
        <v>000</v>
      </c>
      <c r="U690" s="345">
        <f t="shared" si="275"/>
        <v>0</v>
      </c>
      <c r="V690" s="345">
        <f t="shared" si="276"/>
        <v>0</v>
      </c>
      <c r="W690" s="345">
        <f t="shared" si="277"/>
        <v>0</v>
      </c>
      <c r="X690" s="345">
        <f t="shared" si="278"/>
        <v>0</v>
      </c>
      <c r="Y690" s="345">
        <f t="shared" si="279"/>
        <v>0</v>
      </c>
      <c r="Z690" s="345">
        <f>IF(Q690&lt;&gt;"",VLOOKUP(Y690,TIME!$R$21:$V$24,MATCH(FC_DATA!Q690,TIME!$R$20:$V$20,0),FALSE),H690)</f>
        <v>0</v>
      </c>
      <c r="AA690" s="345" t="str">
        <f>IFERROR(VLOOKUP(X690&amp;Z690,TIME!$A$12:$D$71,4,FALSE),"")</f>
        <v/>
      </c>
      <c r="AB690" s="592">
        <f t="shared" ca="1" si="263"/>
        <v>0</v>
      </c>
      <c r="AC690" s="593" t="e">
        <f ca="1">IF(ISBLANK(H690)=FALSE,IF(D690="BRAND.com",I690,IF(ISNA(VLOOKUP(_xlfn.CONCAT(X690,Z690),TIME!$M$40:$M$42,1,FALSE)),I690,VLOOKUP(_xlfn.CONCAT(D690,G690,H690),M_BUSAREA_FC!$AF$5:$AJ$10,5,FALSE)*HLOOKUP(_xlfn.CONCAT(F690,H690),ST_OVERVIEW!$G$99:$I$130,MATCH(_xlfn.CONCAT(D690,E690),ST_OVERVIEW!$F$99:$F$130,0),FALSE))),IF(D690="BRAND.com",VLOOKUP(_xlfn.CONCAT(C690,D690,E690,TIME!$F$1,Z690),HIS_SALES!$B$2:$V$4859,19,FALSE)*I690,VLOOKUP(_xlfn.CONCAT(D690,F690,G690),Q_BUSAREA_FC!$AE$5:$AI$12,5,FALSE)*HLOOKUP(_xlfn.CONCAT(FC_DATA!F690,FC_DATA!G690),LT_OVERVIEW!$I$99:$M$130,MATCH(_xlfn.CONCAT(D690,FC_DATA!E690),LT_OVERVIEW!$H$99:$H$130,0),FALSE)*IFERROR(VLOOKUP(_xlfn.CONCAT(C690,D690,E690,TIME!$F$1,Z690),HIS_SALES!$B$2:$V$4859,19,FALSE),0)))</f>
        <v>#N/A</v>
      </c>
      <c r="AD690" s="341">
        <f t="shared" ca="1" si="280"/>
        <v>0</v>
      </c>
      <c r="AE690" s="363" t="str">
        <f t="shared" si="281"/>
        <v/>
      </c>
      <c r="AF690" s="342" t="str">
        <f t="shared" si="282"/>
        <v/>
      </c>
      <c r="AG690" s="411" t="e">
        <f ca="1">VLOOKUP(_xlfn.CONCAT(U690,V690,W690,VLOOKUP(X690&amp;Y690,TIME!$L$27:$O$34,4,FALSE),Y690),HIS_SALES!$A$2:$R$5093,18,FALSE)</f>
        <v>#N/A</v>
      </c>
      <c r="AH690" s="412" t="e">
        <f ca="1">IFERROR(IF(AND(V690=V689,W690=W689),0.5*(AB690+AB689)*AG690,(VLOOKUP(_xlfn.CONCAT(U690,V690,W690,X690,VLOOKUP(Z690,TIME!$S$28:$T$39,2,FALSE)),FC_DATA!$R$2:$AB$5000,MATCH("GS_I_M",FC_DATA!$R$1:$AB$1,0),FALSE)+FC_DATA!AB690)*0.5*FC_DATA!AG690),NA())</f>
        <v>#N/A</v>
      </c>
      <c r="AI690" s="491" t="e">
        <f ca="1">IF(V690="PARTNER.com",AH690,IF(AND(V690=V689,W690=W689),(1-AVERAGE(AD689,AD690))*AH690,(1-AVERAGE(AD690,VLOOKUP(_xlfn.CONCAT(U690,V690,W690,X690,M_BRAND_FC!$F$6),FC_DATA!$R$2:$AD$5000,MATCH("DISCOUNT_%_M",FC_DATA!$R$1:$AD$1,0),FALSE)))*AH690))</f>
        <v>#N/A</v>
      </c>
      <c r="AJ690" s="412" t="str">
        <f t="shared" ca="1" si="264"/>
        <v/>
      </c>
      <c r="AK690" s="413" t="str">
        <f>IFERROR(AE690/(Q_BRAND_FC!$T$24+1),"")</f>
        <v/>
      </c>
      <c r="AL690" s="88" t="str">
        <f t="shared" ca="1" si="265"/>
        <v/>
      </c>
      <c r="AM690" s="414" t="str">
        <f t="shared" ca="1" si="266"/>
        <v/>
      </c>
      <c r="AN690" s="58">
        <f>IFERROR(IF($V690="BRAND.com",HLOOKUP($X690&amp;$Z690,NWC_FC_NOOS!$C$4:$Q$23,MATCH(W690,NWC_FC_NOOS!$B$4:$B$23,0),FALSE),0),0)</f>
        <v>0</v>
      </c>
      <c r="AO690" s="57">
        <f>IFERROR(IF($V690="BRAND.com",HLOOKUP($X690&amp;$Z690,NWC_FC_NOOS!$T$4:$AH$23,MATCH(W690,NWC_FC_NOOS!$S$4:$S$23,0),FALSE),0),0)</f>
        <v>0</v>
      </c>
      <c r="AP690" s="57">
        <f>IFERROR(IF($V690="BRAND.com",HLOOKUP($X690&amp;$Z690,NWC_FC_NOOS!$C$50:$U$69,MATCH(W690,NWC_FC_NOOS!$B$50:$B$69,0),FALSE),0),0)</f>
        <v>0</v>
      </c>
      <c r="AQ690" s="58">
        <f>IFERROR(IF($V690="BRAND.com",HLOOKUP($X690&amp;$Z690,'NWC_FC_NON-NOOS'!$C$4:$Q$23,MATCH(W690,'NWC_FC_NON-NOOS'!$B$4:$B$23,0),FALSE),0),0)</f>
        <v>0</v>
      </c>
      <c r="AR690" s="57">
        <f>IFERROR(IF($V690="BRAND.com",HLOOKUP($X690&amp;$Z690,'NWC_FC_NON-NOOS'!$T$4:$AH$23,MATCH(W690,'NWC_FC_NON-NOOS'!$S$4:$S$23,0),FALSE),0),0)</f>
        <v>0</v>
      </c>
      <c r="AS690" s="57">
        <f>IFERROR(IF($V690="BRAND.com",HLOOKUP($X690&amp;$Z690,'NWC_FC_NON-NOOS'!$C$50:$U$69,MATCH(W690,'NWC_FC_NON-NOOS'!$B$50:$B$69,0),FALSE),0),0)</f>
        <v>0</v>
      </c>
      <c r="AT690" s="57">
        <f t="shared" si="268"/>
        <v>0</v>
      </c>
      <c r="AU690" s="57">
        <f t="shared" si="269"/>
        <v>0</v>
      </c>
      <c r="AV690" s="58">
        <f>IFERROR(IF($V690="BRAND.com",HLOOKUP($X690&amp;$Z690,PLANNING_FC!$BB$27:$BP$46,MATCH($W690,PLANNING_FC!$BA$27:$BA$46,0),FALSE),0),0)</f>
        <v>0</v>
      </c>
      <c r="AW690" s="58">
        <f>IFERROR(IF($V690="BRAND.com",HLOOKUP($X690&amp;$Z690,PLANNING_FC!$BB$4:$BP$23,MATCH($W690,PLANNING_FC!$BA$4:$BA$23,0),FALSE),0),0)</f>
        <v>0</v>
      </c>
      <c r="AX690" s="58">
        <f>IFERROR(IF($V690="BRAND.com",HLOOKUP($X690&amp;$Z690,PLANNING_FC!$T$27:$AH$46,MATCH($W690,PLANNING_FC!$B$27:$B$46,0),FALSE),0),0)</f>
        <v>0</v>
      </c>
      <c r="AY690" s="58">
        <f>IFERROR(IF($V690="BRAND.com",HLOOKUP($X690&amp;$Z690,PLANNING_FC!$T$4:$AH$23,MATCH($W690,PLANNING_FC!$B$4:$B$23,0),FALSE),0),0)</f>
        <v>0</v>
      </c>
      <c r="AZ690" s="58">
        <f>IFERROR(IF($V690="BRAND.com",HLOOKUP($X690&amp;$Z690,PLANNING_FC!$DA$27:$DO$46,MATCH($W690,PLANNING_FC!$CZ$27:$CZ$46,0),FALSE),0),0)</f>
        <v>0</v>
      </c>
      <c r="BA690" s="58">
        <f>IFERROR(IF($V690="BRAND.com",HLOOKUP($X690&amp;$Z690,PLANNING_FC!$DA$4:$DO$23,MATCH($W690,PLANNING_FC!$CZ$4:$CZ$23,0),FALSE),0),0)</f>
        <v>0</v>
      </c>
      <c r="BB690" s="883" t="str">
        <f>IF(V690="BRAND.com",IFERROR(HLOOKUP(X690&amp;Z690,PLANNING_FC!$AK$4:$AY$23,MATCH(W690,PLANNING_FC!$AJ$4:$AJ$23,0),FALSE)*1000,""),"")</f>
        <v/>
      </c>
      <c r="BC690" s="883" t="str">
        <f>IF(V690="BRAND.com",IFERROR(HLOOKUP(X690&amp;Z690,PLANNING_FC!$AK$27:$AY$46,MATCH(W690,PLANNING_FC!$AJ$27:$AJ$46,0),FALSE)*1000,""),"")</f>
        <v/>
      </c>
    </row>
    <row r="691" spans="14:55" x14ac:dyDescent="0.25">
      <c r="N691" s="56">
        <f t="shared" si="272"/>
        <v>0</v>
      </c>
      <c r="O691" s="57">
        <f t="shared" si="273"/>
        <v>0</v>
      </c>
      <c r="P691" s="57">
        <f ca="1">IFERROR(IF(ISBLANK(H691),SUMIFS($AC:$AC,$V:$V,V691,$W:$W,W691,$X:$X,X691,$Y:$Y,Y691)*J691/(1-J691)*VLOOKUP(_xlfn.CONCAT(C691,D691,E691,TIME!$M$12,Z691),HIS_SALES!$B$2:$W$4859,20,FALSE),AC691*J691/(1-J691)),0)</f>
        <v>0</v>
      </c>
      <c r="Q691" s="541" t="str">
        <f t="shared" si="283"/>
        <v/>
      </c>
      <c r="R691" s="346" t="str">
        <f t="shared" si="262"/>
        <v>00000</v>
      </c>
      <c r="S691" s="344">
        <f t="shared" si="274"/>
        <v>0</v>
      </c>
      <c r="T691" s="345" t="str">
        <f t="shared" si="267"/>
        <v>000</v>
      </c>
      <c r="U691" s="345">
        <f t="shared" si="275"/>
        <v>0</v>
      </c>
      <c r="V691" s="345">
        <f t="shared" si="276"/>
        <v>0</v>
      </c>
      <c r="W691" s="345">
        <f t="shared" si="277"/>
        <v>0</v>
      </c>
      <c r="X691" s="345">
        <f t="shared" si="278"/>
        <v>0</v>
      </c>
      <c r="Y691" s="345">
        <f t="shared" si="279"/>
        <v>0</v>
      </c>
      <c r="Z691" s="345">
        <f>IF(Q691&lt;&gt;"",VLOOKUP(Y691,TIME!$R$21:$V$24,MATCH(FC_DATA!Q691,TIME!$R$20:$V$20,0),FALSE),H691)</f>
        <v>0</v>
      </c>
      <c r="AA691" s="345" t="str">
        <f>IFERROR(VLOOKUP(X691&amp;Z691,TIME!$A$12:$D$71,4,FALSE),"")</f>
        <v/>
      </c>
      <c r="AB691" s="592">
        <f t="shared" ca="1" si="263"/>
        <v>0</v>
      </c>
      <c r="AC691" s="593" t="e">
        <f ca="1">IF(ISBLANK(H691)=FALSE,IF(D691="BRAND.com",I691,IF(ISNA(VLOOKUP(_xlfn.CONCAT(X691,Z691),TIME!$M$40:$M$42,1,FALSE)),I691,VLOOKUP(_xlfn.CONCAT(D691,G691,H691),M_BUSAREA_FC!$AF$5:$AJ$10,5,FALSE)*HLOOKUP(_xlfn.CONCAT(F691,H691),ST_OVERVIEW!$G$99:$I$130,MATCH(_xlfn.CONCAT(D691,E691),ST_OVERVIEW!$F$99:$F$130,0),FALSE))),IF(D691="BRAND.com",VLOOKUP(_xlfn.CONCAT(C691,D691,E691,TIME!$F$1,Z691),HIS_SALES!$B$2:$V$4859,19,FALSE)*I691,VLOOKUP(_xlfn.CONCAT(D691,F691,G691),Q_BUSAREA_FC!$AE$5:$AI$12,5,FALSE)*HLOOKUP(_xlfn.CONCAT(FC_DATA!F691,FC_DATA!G691),LT_OVERVIEW!$I$99:$M$130,MATCH(_xlfn.CONCAT(D691,FC_DATA!E691),LT_OVERVIEW!$H$99:$H$130,0),FALSE)*IFERROR(VLOOKUP(_xlfn.CONCAT(C691,D691,E691,TIME!$F$1,Z691),HIS_SALES!$B$2:$V$4859,19,FALSE),0)))</f>
        <v>#N/A</v>
      </c>
      <c r="AD691" s="341">
        <f t="shared" ca="1" si="280"/>
        <v>0</v>
      </c>
      <c r="AE691" s="363" t="str">
        <f t="shared" si="281"/>
        <v/>
      </c>
      <c r="AF691" s="342" t="str">
        <f t="shared" si="282"/>
        <v/>
      </c>
      <c r="AG691" s="411" t="e">
        <f ca="1">VLOOKUP(_xlfn.CONCAT(U691,V691,W691,VLOOKUP(X691&amp;Y691,TIME!$L$27:$O$34,4,FALSE),Y691),HIS_SALES!$A$2:$R$5093,18,FALSE)</f>
        <v>#N/A</v>
      </c>
      <c r="AH691" s="412" t="e">
        <f ca="1">IFERROR(IF(AND(V691=V690,W691=W690),0.5*(AB691+AB690)*AG691,(VLOOKUP(_xlfn.CONCAT(U691,V691,W691,X691,VLOOKUP(Z691,TIME!$S$28:$T$39,2,FALSE)),FC_DATA!$R$2:$AB$5000,MATCH("GS_I_M",FC_DATA!$R$1:$AB$1,0),FALSE)+FC_DATA!AB691)*0.5*FC_DATA!AG691),NA())</f>
        <v>#N/A</v>
      </c>
      <c r="AI691" s="491" t="e">
        <f ca="1">IF(V691="PARTNER.com",AH691,IF(AND(V691=V690,W691=W690),(1-AVERAGE(AD690,AD691))*AH691,(1-AVERAGE(AD691,VLOOKUP(_xlfn.CONCAT(U691,V691,W691,X691,M_BRAND_FC!$F$6),FC_DATA!$R$2:$AD$5000,MATCH("DISCOUNT_%_M",FC_DATA!$R$1:$AD$1,0),FALSE)))*AH691))</f>
        <v>#N/A</v>
      </c>
      <c r="AJ691" s="412" t="str">
        <f t="shared" ca="1" si="264"/>
        <v/>
      </c>
      <c r="AK691" s="413" t="str">
        <f>IFERROR(AE691/(Q_BRAND_FC!$T$24+1),"")</f>
        <v/>
      </c>
      <c r="AL691" s="88" t="str">
        <f t="shared" ca="1" si="265"/>
        <v/>
      </c>
      <c r="AM691" s="414" t="str">
        <f t="shared" ca="1" si="266"/>
        <v/>
      </c>
      <c r="AN691" s="58">
        <f>IFERROR(IF($V691="BRAND.com",HLOOKUP($X691&amp;$Z691,NWC_FC_NOOS!$C$4:$Q$23,MATCH(W691,NWC_FC_NOOS!$B$4:$B$23,0),FALSE),0),0)</f>
        <v>0</v>
      </c>
      <c r="AO691" s="57">
        <f>IFERROR(IF($V691="BRAND.com",HLOOKUP($X691&amp;$Z691,NWC_FC_NOOS!$T$4:$AH$23,MATCH(W691,NWC_FC_NOOS!$S$4:$S$23,0),FALSE),0),0)</f>
        <v>0</v>
      </c>
      <c r="AP691" s="57">
        <f>IFERROR(IF($V691="BRAND.com",HLOOKUP($X691&amp;$Z691,NWC_FC_NOOS!$C$50:$U$69,MATCH(W691,NWC_FC_NOOS!$B$50:$B$69,0),FALSE),0),0)</f>
        <v>0</v>
      </c>
      <c r="AQ691" s="58">
        <f>IFERROR(IF($V691="BRAND.com",HLOOKUP($X691&amp;$Z691,'NWC_FC_NON-NOOS'!$C$4:$Q$23,MATCH(W691,'NWC_FC_NON-NOOS'!$B$4:$B$23,0),FALSE),0),0)</f>
        <v>0</v>
      </c>
      <c r="AR691" s="57">
        <f>IFERROR(IF($V691="BRAND.com",HLOOKUP($X691&amp;$Z691,'NWC_FC_NON-NOOS'!$T$4:$AH$23,MATCH(W691,'NWC_FC_NON-NOOS'!$S$4:$S$23,0),FALSE),0),0)</f>
        <v>0</v>
      </c>
      <c r="AS691" s="57">
        <f>IFERROR(IF($V691="BRAND.com",HLOOKUP($X691&amp;$Z691,'NWC_FC_NON-NOOS'!$C$50:$U$69,MATCH(W691,'NWC_FC_NON-NOOS'!$B$50:$B$69,0),FALSE),0),0)</f>
        <v>0</v>
      </c>
      <c r="AT691" s="57">
        <f t="shared" si="268"/>
        <v>0</v>
      </c>
      <c r="AU691" s="57">
        <f t="shared" si="269"/>
        <v>0</v>
      </c>
      <c r="AV691" s="58">
        <f>IFERROR(IF($V691="BRAND.com",HLOOKUP($X691&amp;$Z691,PLANNING_FC!$BB$27:$BP$46,MATCH($W691,PLANNING_FC!$BA$27:$BA$46,0),FALSE),0),0)</f>
        <v>0</v>
      </c>
      <c r="AW691" s="58">
        <f>IFERROR(IF($V691="BRAND.com",HLOOKUP($X691&amp;$Z691,PLANNING_FC!$BB$4:$BP$23,MATCH($W691,PLANNING_FC!$BA$4:$BA$23,0),FALSE),0),0)</f>
        <v>0</v>
      </c>
      <c r="AX691" s="58">
        <f>IFERROR(IF($V691="BRAND.com",HLOOKUP($X691&amp;$Z691,PLANNING_FC!$T$27:$AH$46,MATCH($W691,PLANNING_FC!$B$27:$B$46,0),FALSE),0),0)</f>
        <v>0</v>
      </c>
      <c r="AY691" s="58">
        <f>IFERROR(IF($V691="BRAND.com",HLOOKUP($X691&amp;$Z691,PLANNING_FC!$T$4:$AH$23,MATCH($W691,PLANNING_FC!$B$4:$B$23,0),FALSE),0),0)</f>
        <v>0</v>
      </c>
      <c r="AZ691" s="58">
        <f>IFERROR(IF($V691="BRAND.com",HLOOKUP($X691&amp;$Z691,PLANNING_FC!$DA$27:$DO$46,MATCH($W691,PLANNING_FC!$CZ$27:$CZ$46,0),FALSE),0),0)</f>
        <v>0</v>
      </c>
      <c r="BA691" s="58">
        <f>IFERROR(IF($V691="BRAND.com",HLOOKUP($X691&amp;$Z691,PLANNING_FC!$DA$4:$DO$23,MATCH($W691,PLANNING_FC!$CZ$4:$CZ$23,0),FALSE),0),0)</f>
        <v>0</v>
      </c>
      <c r="BB691" s="883" t="str">
        <f>IF(V691="BRAND.com",IFERROR(HLOOKUP(X691&amp;Z691,PLANNING_FC!$AK$4:$AY$23,MATCH(W691,PLANNING_FC!$AJ$4:$AJ$23,0),FALSE)*1000,""),"")</f>
        <v/>
      </c>
      <c r="BC691" s="883" t="str">
        <f>IF(V691="BRAND.com",IFERROR(HLOOKUP(X691&amp;Z691,PLANNING_FC!$AK$27:$AY$46,MATCH(W691,PLANNING_FC!$AJ$27:$AJ$46,0),FALSE)*1000,""),"")</f>
        <v/>
      </c>
    </row>
    <row r="692" spans="14:55" x14ac:dyDescent="0.25">
      <c r="N692" s="56">
        <f t="shared" si="272"/>
        <v>0</v>
      </c>
      <c r="O692" s="57">
        <f t="shared" si="273"/>
        <v>0</v>
      </c>
      <c r="P692" s="57">
        <f ca="1">IFERROR(IF(ISBLANK(H692),SUMIFS($AC:$AC,$V:$V,V692,$W:$W,W692,$X:$X,X692,$Y:$Y,Y692)*J692/(1-J692)*VLOOKUP(_xlfn.CONCAT(C692,D692,E692,TIME!$M$12,Z692),HIS_SALES!$B$2:$W$4859,20,FALSE),AC692*J692/(1-J692)),0)</f>
        <v>0</v>
      </c>
      <c r="Q692" s="541" t="str">
        <f t="shared" si="283"/>
        <v/>
      </c>
      <c r="R692" s="346" t="str">
        <f t="shared" si="262"/>
        <v>00000</v>
      </c>
      <c r="S692" s="344">
        <f t="shared" si="274"/>
        <v>0</v>
      </c>
      <c r="T692" s="345" t="str">
        <f t="shared" si="267"/>
        <v>000</v>
      </c>
      <c r="U692" s="345">
        <f t="shared" si="275"/>
        <v>0</v>
      </c>
      <c r="V692" s="345">
        <f t="shared" si="276"/>
        <v>0</v>
      </c>
      <c r="W692" s="345">
        <f t="shared" si="277"/>
        <v>0</v>
      </c>
      <c r="X692" s="345">
        <f t="shared" si="278"/>
        <v>0</v>
      </c>
      <c r="Y692" s="345">
        <f t="shared" si="279"/>
        <v>0</v>
      </c>
      <c r="Z692" s="345">
        <f>IF(Q692&lt;&gt;"",VLOOKUP(Y692,TIME!$R$21:$V$24,MATCH(FC_DATA!Q692,TIME!$R$20:$V$20,0),FALSE),H692)</f>
        <v>0</v>
      </c>
      <c r="AA692" s="345" t="str">
        <f>IFERROR(VLOOKUP(X692&amp;Z692,TIME!$A$12:$D$71,4,FALSE),"")</f>
        <v/>
      </c>
      <c r="AB692" s="592">
        <f t="shared" ca="1" si="263"/>
        <v>0</v>
      </c>
      <c r="AC692" s="593" t="e">
        <f ca="1">IF(ISBLANK(H692)=FALSE,IF(D692="BRAND.com",I692,IF(ISNA(VLOOKUP(_xlfn.CONCAT(X692,Z692),TIME!$M$40:$M$42,1,FALSE)),I692,VLOOKUP(_xlfn.CONCAT(D692,G692,H692),M_BUSAREA_FC!$AF$5:$AJ$10,5,FALSE)*HLOOKUP(_xlfn.CONCAT(F692,H692),ST_OVERVIEW!$G$99:$I$130,MATCH(_xlfn.CONCAT(D692,E692),ST_OVERVIEW!$F$99:$F$130,0),FALSE))),IF(D692="BRAND.com",VLOOKUP(_xlfn.CONCAT(C692,D692,E692,TIME!$F$1,Z692),HIS_SALES!$B$2:$V$4859,19,FALSE)*I692,VLOOKUP(_xlfn.CONCAT(D692,F692,G692),Q_BUSAREA_FC!$AE$5:$AI$12,5,FALSE)*HLOOKUP(_xlfn.CONCAT(FC_DATA!F692,FC_DATA!G692),LT_OVERVIEW!$I$99:$M$130,MATCH(_xlfn.CONCAT(D692,FC_DATA!E692),LT_OVERVIEW!$H$99:$H$130,0),FALSE)*IFERROR(VLOOKUP(_xlfn.CONCAT(C692,D692,E692,TIME!$F$1,Z692),HIS_SALES!$B$2:$V$4859,19,FALSE),0)))</f>
        <v>#N/A</v>
      </c>
      <c r="AD692" s="341">
        <f t="shared" ca="1" si="280"/>
        <v>0</v>
      </c>
      <c r="AE692" s="363" t="str">
        <f t="shared" si="281"/>
        <v/>
      </c>
      <c r="AF692" s="342" t="str">
        <f t="shared" si="282"/>
        <v/>
      </c>
      <c r="AG692" s="411" t="e">
        <f ca="1">VLOOKUP(_xlfn.CONCAT(U692,V692,W692,VLOOKUP(X692&amp;Y692,TIME!$L$27:$O$34,4,FALSE),Y692),HIS_SALES!$A$2:$R$5093,18,FALSE)</f>
        <v>#N/A</v>
      </c>
      <c r="AH692" s="412" t="e">
        <f ca="1">IFERROR(IF(AND(V692=V691,W692=W691),0.5*(AB692+AB691)*AG692,(VLOOKUP(_xlfn.CONCAT(U692,V692,W692,X692,VLOOKUP(Z692,TIME!$S$28:$T$39,2,FALSE)),FC_DATA!$R$2:$AB$5000,MATCH("GS_I_M",FC_DATA!$R$1:$AB$1,0),FALSE)+FC_DATA!AB692)*0.5*FC_DATA!AG692),NA())</f>
        <v>#N/A</v>
      </c>
      <c r="AI692" s="491" t="e">
        <f ca="1">IF(V692="PARTNER.com",AH692,IF(AND(V692=V691,W692=W691),(1-AVERAGE(AD691,AD692))*AH692,(1-AVERAGE(AD692,VLOOKUP(_xlfn.CONCAT(U692,V692,W692,X692,M_BRAND_FC!$F$6),FC_DATA!$R$2:$AD$5000,MATCH("DISCOUNT_%_M",FC_DATA!$R$1:$AD$1,0),FALSE)))*AH692))</f>
        <v>#N/A</v>
      </c>
      <c r="AJ692" s="412" t="str">
        <f t="shared" ca="1" si="264"/>
        <v/>
      </c>
      <c r="AK692" s="413" t="str">
        <f>IFERROR(AE692/(Q_BRAND_FC!$T$24+1),"")</f>
        <v/>
      </c>
      <c r="AL692" s="88" t="str">
        <f t="shared" ca="1" si="265"/>
        <v/>
      </c>
      <c r="AM692" s="414" t="str">
        <f t="shared" ca="1" si="266"/>
        <v/>
      </c>
      <c r="AN692" s="58">
        <f>IFERROR(IF($V692="BRAND.com",HLOOKUP($X692&amp;$Z692,NWC_FC_NOOS!$C$4:$Q$23,MATCH(W692,NWC_FC_NOOS!$B$4:$B$23,0),FALSE),0),0)</f>
        <v>0</v>
      </c>
      <c r="AO692" s="57">
        <f>IFERROR(IF($V692="BRAND.com",HLOOKUP($X692&amp;$Z692,NWC_FC_NOOS!$T$4:$AH$23,MATCH(W692,NWC_FC_NOOS!$S$4:$S$23,0),FALSE),0),0)</f>
        <v>0</v>
      </c>
      <c r="AP692" s="57">
        <f>IFERROR(IF($V692="BRAND.com",HLOOKUP($X692&amp;$Z692,NWC_FC_NOOS!$C$50:$U$69,MATCH(W692,NWC_FC_NOOS!$B$50:$B$69,0),FALSE),0),0)</f>
        <v>0</v>
      </c>
      <c r="AQ692" s="58">
        <f>IFERROR(IF($V692="BRAND.com",HLOOKUP($X692&amp;$Z692,'NWC_FC_NON-NOOS'!$C$4:$Q$23,MATCH(W692,'NWC_FC_NON-NOOS'!$B$4:$B$23,0),FALSE),0),0)</f>
        <v>0</v>
      </c>
      <c r="AR692" s="57">
        <f>IFERROR(IF($V692="BRAND.com",HLOOKUP($X692&amp;$Z692,'NWC_FC_NON-NOOS'!$T$4:$AH$23,MATCH(W692,'NWC_FC_NON-NOOS'!$S$4:$S$23,0),FALSE),0),0)</f>
        <v>0</v>
      </c>
      <c r="AS692" s="57">
        <f>IFERROR(IF($V692="BRAND.com",HLOOKUP($X692&amp;$Z692,'NWC_FC_NON-NOOS'!$C$50:$U$69,MATCH(W692,'NWC_FC_NON-NOOS'!$B$50:$B$69,0),FALSE),0),0)</f>
        <v>0</v>
      </c>
      <c r="AT692" s="57">
        <f t="shared" si="268"/>
        <v>0</v>
      </c>
      <c r="AU692" s="57">
        <f t="shared" si="269"/>
        <v>0</v>
      </c>
      <c r="AV692" s="58">
        <f>IFERROR(IF($V692="BRAND.com",HLOOKUP($X692&amp;$Z692,PLANNING_FC!$BB$27:$BP$46,MATCH($W692,PLANNING_FC!$BA$27:$BA$46,0),FALSE),0),0)</f>
        <v>0</v>
      </c>
      <c r="AW692" s="58">
        <f>IFERROR(IF($V692="BRAND.com",HLOOKUP($X692&amp;$Z692,PLANNING_FC!$BB$4:$BP$23,MATCH($W692,PLANNING_FC!$BA$4:$BA$23,0),FALSE),0),0)</f>
        <v>0</v>
      </c>
      <c r="AX692" s="58">
        <f>IFERROR(IF($V692="BRAND.com",HLOOKUP($X692&amp;$Z692,PLANNING_FC!$T$27:$AH$46,MATCH($W692,PLANNING_FC!$B$27:$B$46,0),FALSE),0),0)</f>
        <v>0</v>
      </c>
      <c r="AY692" s="58">
        <f>IFERROR(IF($V692="BRAND.com",HLOOKUP($X692&amp;$Z692,PLANNING_FC!$T$4:$AH$23,MATCH($W692,PLANNING_FC!$B$4:$B$23,0),FALSE),0),0)</f>
        <v>0</v>
      </c>
      <c r="AZ692" s="58">
        <f>IFERROR(IF($V692="BRAND.com",HLOOKUP($X692&amp;$Z692,PLANNING_FC!$DA$27:$DO$46,MATCH($W692,PLANNING_FC!$CZ$27:$CZ$46,0),FALSE),0),0)</f>
        <v>0</v>
      </c>
      <c r="BA692" s="58">
        <f>IFERROR(IF($V692="BRAND.com",HLOOKUP($X692&amp;$Z692,PLANNING_FC!$DA$4:$DO$23,MATCH($W692,PLANNING_FC!$CZ$4:$CZ$23,0),FALSE),0),0)</f>
        <v>0</v>
      </c>
      <c r="BB692" s="883" t="str">
        <f>IF(V692="BRAND.com",IFERROR(HLOOKUP(X692&amp;Z692,PLANNING_FC!$AK$4:$AY$23,MATCH(W692,PLANNING_FC!$AJ$4:$AJ$23,0),FALSE)*1000,""),"")</f>
        <v/>
      </c>
      <c r="BC692" s="883" t="str">
        <f>IF(V692="BRAND.com",IFERROR(HLOOKUP(X692&amp;Z692,PLANNING_FC!$AK$27:$AY$46,MATCH(W692,PLANNING_FC!$AJ$27:$AJ$46,0),FALSE)*1000,""),"")</f>
        <v/>
      </c>
    </row>
    <row r="693" spans="14:55" x14ac:dyDescent="0.25">
      <c r="N693" s="56">
        <f t="shared" si="272"/>
        <v>0</v>
      </c>
      <c r="O693" s="57">
        <f t="shared" si="273"/>
        <v>0</v>
      </c>
      <c r="P693" s="57">
        <f ca="1">IFERROR(IF(ISBLANK(H693),SUMIFS($AC:$AC,$V:$V,V693,$W:$W,W693,$X:$X,X693,$Y:$Y,Y693)*J693/(1-J693)*VLOOKUP(_xlfn.CONCAT(C693,D693,E693,TIME!$M$12,Z693),HIS_SALES!$B$2:$W$4859,20,FALSE),AC693*J693/(1-J693)),0)</f>
        <v>0</v>
      </c>
      <c r="Q693" s="541" t="str">
        <f t="shared" si="283"/>
        <v/>
      </c>
      <c r="R693" s="346" t="str">
        <f t="shared" si="262"/>
        <v>00000</v>
      </c>
      <c r="S693" s="344">
        <f t="shared" si="274"/>
        <v>0</v>
      </c>
      <c r="T693" s="345" t="str">
        <f t="shared" si="267"/>
        <v>000</v>
      </c>
      <c r="U693" s="345">
        <f t="shared" si="275"/>
        <v>0</v>
      </c>
      <c r="V693" s="345">
        <f t="shared" si="276"/>
        <v>0</v>
      </c>
      <c r="W693" s="345">
        <f t="shared" si="277"/>
        <v>0</v>
      </c>
      <c r="X693" s="345">
        <f t="shared" si="278"/>
        <v>0</v>
      </c>
      <c r="Y693" s="345">
        <f t="shared" si="279"/>
        <v>0</v>
      </c>
      <c r="Z693" s="345">
        <f>IF(Q693&lt;&gt;"",VLOOKUP(Y693,TIME!$R$21:$V$24,MATCH(FC_DATA!Q693,TIME!$R$20:$V$20,0),FALSE),H693)</f>
        <v>0</v>
      </c>
      <c r="AA693" s="345" t="str">
        <f>IFERROR(VLOOKUP(X693&amp;Z693,TIME!$A$12:$D$71,4,FALSE),"")</f>
        <v/>
      </c>
      <c r="AB693" s="592">
        <f t="shared" ca="1" si="263"/>
        <v>0</v>
      </c>
      <c r="AC693" s="593" t="e">
        <f ca="1">IF(ISBLANK(H693)=FALSE,IF(D693="BRAND.com",I693,IF(ISNA(VLOOKUP(_xlfn.CONCAT(X693,Z693),TIME!$M$40:$M$42,1,FALSE)),I693,VLOOKUP(_xlfn.CONCAT(D693,G693,H693),M_BUSAREA_FC!$AF$5:$AJ$10,5,FALSE)*HLOOKUP(_xlfn.CONCAT(F693,H693),ST_OVERVIEW!$G$99:$I$130,MATCH(_xlfn.CONCAT(D693,E693),ST_OVERVIEW!$F$99:$F$130,0),FALSE))),IF(D693="BRAND.com",VLOOKUP(_xlfn.CONCAT(C693,D693,E693,TIME!$F$1,Z693),HIS_SALES!$B$2:$V$4859,19,FALSE)*I693,VLOOKUP(_xlfn.CONCAT(D693,F693,G693),Q_BUSAREA_FC!$AE$5:$AI$12,5,FALSE)*HLOOKUP(_xlfn.CONCAT(FC_DATA!F693,FC_DATA!G693),LT_OVERVIEW!$I$99:$M$130,MATCH(_xlfn.CONCAT(D693,FC_DATA!E693),LT_OVERVIEW!$H$99:$H$130,0),FALSE)*IFERROR(VLOOKUP(_xlfn.CONCAT(C693,D693,E693,TIME!$F$1,Z693),HIS_SALES!$B$2:$V$4859,19,FALSE),0)))</f>
        <v>#N/A</v>
      </c>
      <c r="AD693" s="341">
        <f t="shared" ca="1" si="280"/>
        <v>0</v>
      </c>
      <c r="AE693" s="363" t="str">
        <f t="shared" si="281"/>
        <v/>
      </c>
      <c r="AF693" s="342" t="str">
        <f t="shared" si="282"/>
        <v/>
      </c>
      <c r="AG693" s="411" t="e">
        <f ca="1">VLOOKUP(_xlfn.CONCAT(U693,V693,W693,VLOOKUP(X693&amp;Y693,TIME!$L$27:$O$34,4,FALSE),Y693),HIS_SALES!$A$2:$R$5093,18,FALSE)</f>
        <v>#N/A</v>
      </c>
      <c r="AH693" s="412" t="e">
        <f ca="1">IFERROR(IF(AND(V693=V692,W693=W692),0.5*(AB693+AB692)*AG693,(VLOOKUP(_xlfn.CONCAT(U693,V693,W693,X693,VLOOKUP(Z693,TIME!$S$28:$T$39,2,FALSE)),FC_DATA!$R$2:$AB$5000,MATCH("GS_I_M",FC_DATA!$R$1:$AB$1,0),FALSE)+FC_DATA!AB693)*0.5*FC_DATA!AG693),NA())</f>
        <v>#N/A</v>
      </c>
      <c r="AI693" s="491" t="e">
        <f ca="1">IF(V693="PARTNER.com",AH693,IF(AND(V693=V692,W693=W692),(1-AVERAGE(AD692,AD693))*AH693,(1-AVERAGE(AD693,VLOOKUP(_xlfn.CONCAT(U693,V693,W693,X693,M_BRAND_FC!$F$6),FC_DATA!$R$2:$AD$5000,MATCH("DISCOUNT_%_M",FC_DATA!$R$1:$AD$1,0),FALSE)))*AH693))</f>
        <v>#N/A</v>
      </c>
      <c r="AJ693" s="412" t="str">
        <f t="shared" ca="1" si="264"/>
        <v/>
      </c>
      <c r="AK693" s="413" t="str">
        <f>IFERROR(AE693/(Q_BRAND_FC!$T$24+1),"")</f>
        <v/>
      </c>
      <c r="AL693" s="88" t="str">
        <f t="shared" ca="1" si="265"/>
        <v/>
      </c>
      <c r="AM693" s="414" t="str">
        <f t="shared" ca="1" si="266"/>
        <v/>
      </c>
      <c r="AN693" s="58">
        <f>IFERROR(IF($V693="BRAND.com",HLOOKUP($X693&amp;$Z693,NWC_FC_NOOS!$C$4:$Q$23,MATCH(W693,NWC_FC_NOOS!$B$4:$B$23,0),FALSE),0),0)</f>
        <v>0</v>
      </c>
      <c r="AO693" s="57">
        <f>IFERROR(IF($V693="BRAND.com",HLOOKUP($X693&amp;$Z693,NWC_FC_NOOS!$T$4:$AH$23,MATCH(W693,NWC_FC_NOOS!$S$4:$S$23,0),FALSE),0),0)</f>
        <v>0</v>
      </c>
      <c r="AP693" s="57">
        <f>IFERROR(IF($V693="BRAND.com",HLOOKUP($X693&amp;$Z693,NWC_FC_NOOS!$C$50:$U$69,MATCH(W693,NWC_FC_NOOS!$B$50:$B$69,0),FALSE),0),0)</f>
        <v>0</v>
      </c>
      <c r="AQ693" s="58">
        <f>IFERROR(IF($V693="BRAND.com",HLOOKUP($X693&amp;$Z693,'NWC_FC_NON-NOOS'!$C$4:$Q$23,MATCH(W693,'NWC_FC_NON-NOOS'!$B$4:$B$23,0),FALSE),0),0)</f>
        <v>0</v>
      </c>
      <c r="AR693" s="57">
        <f>IFERROR(IF($V693="BRAND.com",HLOOKUP($X693&amp;$Z693,'NWC_FC_NON-NOOS'!$T$4:$AH$23,MATCH(W693,'NWC_FC_NON-NOOS'!$S$4:$S$23,0),FALSE),0),0)</f>
        <v>0</v>
      </c>
      <c r="AS693" s="57">
        <f>IFERROR(IF($V693="BRAND.com",HLOOKUP($X693&amp;$Z693,'NWC_FC_NON-NOOS'!$C$50:$U$69,MATCH(W693,'NWC_FC_NON-NOOS'!$B$50:$B$69,0),FALSE),0),0)</f>
        <v>0</v>
      </c>
      <c r="AT693" s="57">
        <f t="shared" si="268"/>
        <v>0</v>
      </c>
      <c r="AU693" s="57">
        <f t="shared" si="269"/>
        <v>0</v>
      </c>
      <c r="AV693" s="58">
        <f>IFERROR(IF($V693="BRAND.com",HLOOKUP($X693&amp;$Z693,PLANNING_FC!$BB$27:$BP$46,MATCH($W693,PLANNING_FC!$BA$27:$BA$46,0),FALSE),0),0)</f>
        <v>0</v>
      </c>
      <c r="AW693" s="58">
        <f>IFERROR(IF($V693="BRAND.com",HLOOKUP($X693&amp;$Z693,PLANNING_FC!$BB$4:$BP$23,MATCH($W693,PLANNING_FC!$BA$4:$BA$23,0),FALSE),0),0)</f>
        <v>0</v>
      </c>
      <c r="AX693" s="58">
        <f>IFERROR(IF($V693="BRAND.com",HLOOKUP($X693&amp;$Z693,PLANNING_FC!$T$27:$AH$46,MATCH($W693,PLANNING_FC!$B$27:$B$46,0),FALSE),0),0)</f>
        <v>0</v>
      </c>
      <c r="AY693" s="58">
        <f>IFERROR(IF($V693="BRAND.com",HLOOKUP($X693&amp;$Z693,PLANNING_FC!$T$4:$AH$23,MATCH($W693,PLANNING_FC!$B$4:$B$23,0),FALSE),0),0)</f>
        <v>0</v>
      </c>
      <c r="AZ693" s="58">
        <f>IFERROR(IF($V693="BRAND.com",HLOOKUP($X693&amp;$Z693,PLANNING_FC!$DA$27:$DO$46,MATCH($W693,PLANNING_FC!$CZ$27:$CZ$46,0),FALSE),0),0)</f>
        <v>0</v>
      </c>
      <c r="BA693" s="58">
        <f>IFERROR(IF($V693="BRAND.com",HLOOKUP($X693&amp;$Z693,PLANNING_FC!$DA$4:$DO$23,MATCH($W693,PLANNING_FC!$CZ$4:$CZ$23,0),FALSE),0),0)</f>
        <v>0</v>
      </c>
      <c r="BB693" s="883" t="str">
        <f>IF(V693="BRAND.com",IFERROR(HLOOKUP(X693&amp;Z693,PLANNING_FC!$AK$4:$AY$23,MATCH(W693,PLANNING_FC!$AJ$4:$AJ$23,0),FALSE)*1000,""),"")</f>
        <v/>
      </c>
      <c r="BC693" s="883" t="str">
        <f>IF(V693="BRAND.com",IFERROR(HLOOKUP(X693&amp;Z693,PLANNING_FC!$AK$27:$AY$46,MATCH(W693,PLANNING_FC!$AJ$27:$AJ$46,0),FALSE)*1000,""),"")</f>
        <v/>
      </c>
    </row>
    <row r="694" spans="14:55" x14ac:dyDescent="0.25">
      <c r="N694" s="56">
        <f t="shared" si="272"/>
        <v>0</v>
      </c>
      <c r="O694" s="57">
        <f t="shared" si="273"/>
        <v>0</v>
      </c>
      <c r="P694" s="57">
        <f ca="1">IFERROR(IF(ISBLANK(H694),SUMIFS($AC:$AC,$V:$V,V694,$W:$W,W694,$X:$X,X694,$Y:$Y,Y694)*J694/(1-J694)*VLOOKUP(_xlfn.CONCAT(C694,D694,E694,TIME!$M$12,Z694),HIS_SALES!$B$2:$W$4859,20,FALSE),AC694*J694/(1-J694)),0)</f>
        <v>0</v>
      </c>
      <c r="Q694" s="541" t="str">
        <f t="shared" si="283"/>
        <v/>
      </c>
      <c r="R694" s="346" t="str">
        <f t="shared" si="262"/>
        <v>00000</v>
      </c>
      <c r="S694" s="344">
        <f t="shared" si="274"/>
        <v>0</v>
      </c>
      <c r="T694" s="345" t="str">
        <f t="shared" si="267"/>
        <v>000</v>
      </c>
      <c r="U694" s="345">
        <f t="shared" si="275"/>
        <v>0</v>
      </c>
      <c r="V694" s="345">
        <f t="shared" si="276"/>
        <v>0</v>
      </c>
      <c r="W694" s="345">
        <f t="shared" si="277"/>
        <v>0</v>
      </c>
      <c r="X694" s="345">
        <f t="shared" si="278"/>
        <v>0</v>
      </c>
      <c r="Y694" s="345">
        <f t="shared" si="279"/>
        <v>0</v>
      </c>
      <c r="Z694" s="345">
        <f>IF(Q694&lt;&gt;"",VLOOKUP(Y694,TIME!$R$21:$V$24,MATCH(FC_DATA!Q694,TIME!$R$20:$V$20,0),FALSE),H694)</f>
        <v>0</v>
      </c>
      <c r="AA694" s="345" t="str">
        <f>IFERROR(VLOOKUP(X694&amp;Z694,TIME!$A$12:$D$71,4,FALSE),"")</f>
        <v/>
      </c>
      <c r="AB694" s="592">
        <f t="shared" ca="1" si="263"/>
        <v>0</v>
      </c>
      <c r="AC694" s="593" t="e">
        <f ca="1">IF(ISBLANK(H694)=FALSE,IF(D694="BRAND.com",I694,IF(ISNA(VLOOKUP(_xlfn.CONCAT(X694,Z694),TIME!$M$40:$M$42,1,FALSE)),I694,VLOOKUP(_xlfn.CONCAT(D694,G694,H694),M_BUSAREA_FC!$AF$5:$AJ$10,5,FALSE)*HLOOKUP(_xlfn.CONCAT(F694,H694),ST_OVERVIEW!$G$99:$I$130,MATCH(_xlfn.CONCAT(D694,E694),ST_OVERVIEW!$F$99:$F$130,0),FALSE))),IF(D694="BRAND.com",VLOOKUP(_xlfn.CONCAT(C694,D694,E694,TIME!$F$1,Z694),HIS_SALES!$B$2:$V$4859,19,FALSE)*I694,VLOOKUP(_xlfn.CONCAT(D694,F694,G694),Q_BUSAREA_FC!$AE$5:$AI$12,5,FALSE)*HLOOKUP(_xlfn.CONCAT(FC_DATA!F694,FC_DATA!G694),LT_OVERVIEW!$I$99:$M$130,MATCH(_xlfn.CONCAT(D694,FC_DATA!E694),LT_OVERVIEW!$H$99:$H$130,0),FALSE)*IFERROR(VLOOKUP(_xlfn.CONCAT(C694,D694,E694,TIME!$F$1,Z694),HIS_SALES!$B$2:$V$4859,19,FALSE),0)))</f>
        <v>#N/A</v>
      </c>
      <c r="AD694" s="341">
        <f t="shared" ca="1" si="280"/>
        <v>0</v>
      </c>
      <c r="AE694" s="363" t="str">
        <f t="shared" si="281"/>
        <v/>
      </c>
      <c r="AF694" s="342" t="str">
        <f t="shared" si="282"/>
        <v/>
      </c>
      <c r="AG694" s="411" t="e">
        <f ca="1">VLOOKUP(_xlfn.CONCAT(U694,V694,W694,VLOOKUP(X694&amp;Y694,TIME!$L$27:$O$34,4,FALSE),Y694),HIS_SALES!$A$2:$R$5093,18,FALSE)</f>
        <v>#N/A</v>
      </c>
      <c r="AH694" s="412" t="e">
        <f ca="1">IFERROR(IF(AND(V694=V693,W694=W693),0.5*(AB694+AB693)*AG694,(VLOOKUP(_xlfn.CONCAT(U694,V694,W694,X694,VLOOKUP(Z694,TIME!$S$28:$T$39,2,FALSE)),FC_DATA!$R$2:$AB$5000,MATCH("GS_I_M",FC_DATA!$R$1:$AB$1,0),FALSE)+FC_DATA!AB694)*0.5*FC_DATA!AG694),NA())</f>
        <v>#N/A</v>
      </c>
      <c r="AI694" s="491" t="e">
        <f ca="1">IF(V694="PARTNER.com",AH694,IF(AND(V694=V693,W694=W693),(1-AVERAGE(AD693,AD694))*AH694,(1-AVERAGE(AD694,VLOOKUP(_xlfn.CONCAT(U694,V694,W694,X694,M_BRAND_FC!$F$6),FC_DATA!$R$2:$AD$5000,MATCH("DISCOUNT_%_M",FC_DATA!$R$1:$AD$1,0),FALSE)))*AH694))</f>
        <v>#N/A</v>
      </c>
      <c r="AJ694" s="412" t="str">
        <f t="shared" ca="1" si="264"/>
        <v/>
      </c>
      <c r="AK694" s="413" t="str">
        <f>IFERROR(AE694/(Q_BRAND_FC!$T$24+1),"")</f>
        <v/>
      </c>
      <c r="AL694" s="88" t="str">
        <f t="shared" ca="1" si="265"/>
        <v/>
      </c>
      <c r="AM694" s="414" t="str">
        <f t="shared" ca="1" si="266"/>
        <v/>
      </c>
      <c r="AN694" s="58">
        <f>IFERROR(IF($V694="BRAND.com",HLOOKUP($X694&amp;$Z694,NWC_FC_NOOS!$C$4:$Q$23,MATCH(W694,NWC_FC_NOOS!$B$4:$B$23,0),FALSE),0),0)</f>
        <v>0</v>
      </c>
      <c r="AO694" s="57">
        <f>IFERROR(IF($V694="BRAND.com",HLOOKUP($X694&amp;$Z694,NWC_FC_NOOS!$T$4:$AH$23,MATCH(W694,NWC_FC_NOOS!$S$4:$S$23,0),FALSE),0),0)</f>
        <v>0</v>
      </c>
      <c r="AP694" s="57">
        <f>IFERROR(IF($V694="BRAND.com",HLOOKUP($X694&amp;$Z694,NWC_FC_NOOS!$C$50:$U$69,MATCH(W694,NWC_FC_NOOS!$B$50:$B$69,0),FALSE),0),0)</f>
        <v>0</v>
      </c>
      <c r="AQ694" s="58">
        <f>IFERROR(IF($V694="BRAND.com",HLOOKUP($X694&amp;$Z694,'NWC_FC_NON-NOOS'!$C$4:$Q$23,MATCH(W694,'NWC_FC_NON-NOOS'!$B$4:$B$23,0),FALSE),0),0)</f>
        <v>0</v>
      </c>
      <c r="AR694" s="57">
        <f>IFERROR(IF($V694="BRAND.com",HLOOKUP($X694&amp;$Z694,'NWC_FC_NON-NOOS'!$T$4:$AH$23,MATCH(W694,'NWC_FC_NON-NOOS'!$S$4:$S$23,0),FALSE),0),0)</f>
        <v>0</v>
      </c>
      <c r="AS694" s="57">
        <f>IFERROR(IF($V694="BRAND.com",HLOOKUP($X694&amp;$Z694,'NWC_FC_NON-NOOS'!$C$50:$U$69,MATCH(W694,'NWC_FC_NON-NOOS'!$B$50:$B$69,0),FALSE),0),0)</f>
        <v>0</v>
      </c>
      <c r="AT694" s="57">
        <f t="shared" si="268"/>
        <v>0</v>
      </c>
      <c r="AU694" s="57">
        <f t="shared" si="269"/>
        <v>0</v>
      </c>
      <c r="AV694" s="58">
        <f>IFERROR(IF($V694="BRAND.com",HLOOKUP($X694&amp;$Z694,PLANNING_FC!$BB$27:$BP$46,MATCH($W694,PLANNING_FC!$BA$27:$BA$46,0),FALSE),0),0)</f>
        <v>0</v>
      </c>
      <c r="AW694" s="58">
        <f>IFERROR(IF($V694="BRAND.com",HLOOKUP($X694&amp;$Z694,PLANNING_FC!$BB$4:$BP$23,MATCH($W694,PLANNING_FC!$BA$4:$BA$23,0),FALSE),0),0)</f>
        <v>0</v>
      </c>
      <c r="AX694" s="58">
        <f>IFERROR(IF($V694="BRAND.com",HLOOKUP($X694&amp;$Z694,PLANNING_FC!$T$27:$AH$46,MATCH($W694,PLANNING_FC!$B$27:$B$46,0),FALSE),0),0)</f>
        <v>0</v>
      </c>
      <c r="AY694" s="58">
        <f>IFERROR(IF($V694="BRAND.com",HLOOKUP($X694&amp;$Z694,PLANNING_FC!$T$4:$AH$23,MATCH($W694,PLANNING_FC!$B$4:$B$23,0),FALSE),0),0)</f>
        <v>0</v>
      </c>
      <c r="AZ694" s="58">
        <f>IFERROR(IF($V694="BRAND.com",HLOOKUP($X694&amp;$Z694,PLANNING_FC!$DA$27:$DO$46,MATCH($W694,PLANNING_FC!$CZ$27:$CZ$46,0),FALSE),0),0)</f>
        <v>0</v>
      </c>
      <c r="BA694" s="58">
        <f>IFERROR(IF($V694="BRAND.com",HLOOKUP($X694&amp;$Z694,PLANNING_FC!$DA$4:$DO$23,MATCH($W694,PLANNING_FC!$CZ$4:$CZ$23,0),FALSE),0),0)</f>
        <v>0</v>
      </c>
      <c r="BB694" s="883" t="str">
        <f>IF(V694="BRAND.com",IFERROR(HLOOKUP(X694&amp;Z694,PLANNING_FC!$AK$4:$AY$23,MATCH(W694,PLANNING_FC!$AJ$4:$AJ$23,0),FALSE)*1000,""),"")</f>
        <v/>
      </c>
      <c r="BC694" s="883" t="str">
        <f>IF(V694="BRAND.com",IFERROR(HLOOKUP(X694&amp;Z694,PLANNING_FC!$AK$27:$AY$46,MATCH(W694,PLANNING_FC!$AJ$27:$AJ$46,0),FALSE)*1000,""),"")</f>
        <v/>
      </c>
    </row>
    <row r="695" spans="14:55" x14ac:dyDescent="0.25">
      <c r="N695" s="56">
        <f t="shared" si="272"/>
        <v>0</v>
      </c>
      <c r="O695" s="57">
        <f t="shared" si="273"/>
        <v>0</v>
      </c>
      <c r="P695" s="57">
        <f ca="1">IFERROR(IF(ISBLANK(H695),SUMIFS($AC:$AC,$V:$V,V695,$W:$W,W695,$X:$X,X695,$Y:$Y,Y695)*J695/(1-J695)*VLOOKUP(_xlfn.CONCAT(C695,D695,E695,TIME!$M$12,Z695),HIS_SALES!$B$2:$W$4859,20,FALSE),AC695*J695/(1-J695)),0)</f>
        <v>0</v>
      </c>
      <c r="Q695" s="541" t="str">
        <f t="shared" si="283"/>
        <v/>
      </c>
      <c r="R695" s="346" t="str">
        <f t="shared" si="262"/>
        <v>00000</v>
      </c>
      <c r="S695" s="344">
        <f t="shared" si="274"/>
        <v>0</v>
      </c>
      <c r="T695" s="345" t="str">
        <f t="shared" si="267"/>
        <v>000</v>
      </c>
      <c r="U695" s="345">
        <f t="shared" si="275"/>
        <v>0</v>
      </c>
      <c r="V695" s="345">
        <f t="shared" si="276"/>
        <v>0</v>
      </c>
      <c r="W695" s="345">
        <f t="shared" si="277"/>
        <v>0</v>
      </c>
      <c r="X695" s="345">
        <f t="shared" si="278"/>
        <v>0</v>
      </c>
      <c r="Y695" s="345">
        <f t="shared" si="279"/>
        <v>0</v>
      </c>
      <c r="Z695" s="345">
        <f>IF(Q695&lt;&gt;"",VLOOKUP(Y695,TIME!$R$21:$V$24,MATCH(FC_DATA!Q695,TIME!$R$20:$V$20,0),FALSE),H695)</f>
        <v>0</v>
      </c>
      <c r="AA695" s="345" t="str">
        <f>IFERROR(VLOOKUP(X695&amp;Z695,TIME!$A$12:$D$71,4,FALSE),"")</f>
        <v/>
      </c>
      <c r="AB695" s="592">
        <f t="shared" ca="1" si="263"/>
        <v>0</v>
      </c>
      <c r="AC695" s="593" t="e">
        <f ca="1">IF(ISBLANK(H695)=FALSE,IF(D695="BRAND.com",I695,IF(ISNA(VLOOKUP(_xlfn.CONCAT(X695,Z695),TIME!$M$40:$M$42,1,FALSE)),I695,VLOOKUP(_xlfn.CONCAT(D695,G695,H695),M_BUSAREA_FC!$AF$5:$AJ$10,5,FALSE)*HLOOKUP(_xlfn.CONCAT(F695,H695),ST_OVERVIEW!$G$99:$I$130,MATCH(_xlfn.CONCAT(D695,E695),ST_OVERVIEW!$F$99:$F$130,0),FALSE))),IF(D695="BRAND.com",VLOOKUP(_xlfn.CONCAT(C695,D695,E695,TIME!$F$1,Z695),HIS_SALES!$B$2:$V$4859,19,FALSE)*I695,VLOOKUP(_xlfn.CONCAT(D695,F695,G695),Q_BUSAREA_FC!$AE$5:$AI$12,5,FALSE)*HLOOKUP(_xlfn.CONCAT(FC_DATA!F695,FC_DATA!G695),LT_OVERVIEW!$I$99:$M$130,MATCH(_xlfn.CONCAT(D695,FC_DATA!E695),LT_OVERVIEW!$H$99:$H$130,0),FALSE)*IFERROR(VLOOKUP(_xlfn.CONCAT(C695,D695,E695,TIME!$F$1,Z695),HIS_SALES!$B$2:$V$4859,19,FALSE),0)))</f>
        <v>#N/A</v>
      </c>
      <c r="AD695" s="341">
        <f t="shared" ca="1" si="280"/>
        <v>0</v>
      </c>
      <c r="AE695" s="363" t="str">
        <f t="shared" si="281"/>
        <v/>
      </c>
      <c r="AF695" s="342" t="str">
        <f t="shared" si="282"/>
        <v/>
      </c>
      <c r="AG695" s="411" t="e">
        <f ca="1">VLOOKUP(_xlfn.CONCAT(U695,V695,W695,VLOOKUP(X695&amp;Y695,TIME!$L$27:$O$34,4,FALSE),Y695),HIS_SALES!$A$2:$R$5093,18,FALSE)</f>
        <v>#N/A</v>
      </c>
      <c r="AH695" s="412" t="e">
        <f ca="1">IFERROR(IF(AND(V695=V694,W695=W694),0.5*(AB695+AB694)*AG695,(VLOOKUP(_xlfn.CONCAT(U695,V695,W695,X695,VLOOKUP(Z695,TIME!$S$28:$T$39,2,FALSE)),FC_DATA!$R$2:$AB$5000,MATCH("GS_I_M",FC_DATA!$R$1:$AB$1,0),FALSE)+FC_DATA!AB695)*0.5*FC_DATA!AG695),NA())</f>
        <v>#N/A</v>
      </c>
      <c r="AI695" s="491" t="e">
        <f ca="1">IF(V695="PARTNER.com",AH695,IF(AND(V695=V694,W695=W694),(1-AVERAGE(AD694,AD695))*AH695,(1-AVERAGE(AD695,VLOOKUP(_xlfn.CONCAT(U695,V695,W695,X695,M_BRAND_FC!$F$6),FC_DATA!$R$2:$AD$5000,MATCH("DISCOUNT_%_M",FC_DATA!$R$1:$AD$1,0),FALSE)))*AH695))</f>
        <v>#N/A</v>
      </c>
      <c r="AJ695" s="412" t="str">
        <f t="shared" ca="1" si="264"/>
        <v/>
      </c>
      <c r="AK695" s="413" t="str">
        <f>IFERROR(AE695/(Q_BRAND_FC!$T$24+1),"")</f>
        <v/>
      </c>
      <c r="AL695" s="88" t="str">
        <f t="shared" ca="1" si="265"/>
        <v/>
      </c>
      <c r="AM695" s="414" t="str">
        <f t="shared" ca="1" si="266"/>
        <v/>
      </c>
      <c r="AN695" s="58">
        <f>IFERROR(IF($V695="BRAND.com",HLOOKUP($X695&amp;$Z695,NWC_FC_NOOS!$C$4:$Q$23,MATCH(W695,NWC_FC_NOOS!$B$4:$B$23,0),FALSE),0),0)</f>
        <v>0</v>
      </c>
      <c r="AO695" s="57">
        <f>IFERROR(IF($V695="BRAND.com",HLOOKUP($X695&amp;$Z695,NWC_FC_NOOS!$T$4:$AH$23,MATCH(W695,NWC_FC_NOOS!$S$4:$S$23,0),FALSE),0),0)</f>
        <v>0</v>
      </c>
      <c r="AP695" s="57">
        <f>IFERROR(IF($V695="BRAND.com",HLOOKUP($X695&amp;$Z695,NWC_FC_NOOS!$C$50:$U$69,MATCH(W695,NWC_FC_NOOS!$B$50:$B$69,0),FALSE),0),0)</f>
        <v>0</v>
      </c>
      <c r="AQ695" s="58">
        <f>IFERROR(IF($V695="BRAND.com",HLOOKUP($X695&amp;$Z695,'NWC_FC_NON-NOOS'!$C$4:$Q$23,MATCH(W695,'NWC_FC_NON-NOOS'!$B$4:$B$23,0),FALSE),0),0)</f>
        <v>0</v>
      </c>
      <c r="AR695" s="57">
        <f>IFERROR(IF($V695="BRAND.com",HLOOKUP($X695&amp;$Z695,'NWC_FC_NON-NOOS'!$T$4:$AH$23,MATCH(W695,'NWC_FC_NON-NOOS'!$S$4:$S$23,0),FALSE),0),0)</f>
        <v>0</v>
      </c>
      <c r="AS695" s="57">
        <f>IFERROR(IF($V695="BRAND.com",HLOOKUP($X695&amp;$Z695,'NWC_FC_NON-NOOS'!$C$50:$U$69,MATCH(W695,'NWC_FC_NON-NOOS'!$B$50:$B$69,0),FALSE),0),0)</f>
        <v>0</v>
      </c>
      <c r="AT695" s="57">
        <f t="shared" si="268"/>
        <v>0</v>
      </c>
      <c r="AU695" s="57">
        <f t="shared" si="269"/>
        <v>0</v>
      </c>
      <c r="AV695" s="58">
        <f>IFERROR(IF($V695="BRAND.com",HLOOKUP($X695&amp;$Z695,PLANNING_FC!$BB$27:$BP$46,MATCH($W695,PLANNING_FC!$BA$27:$BA$46,0),FALSE),0),0)</f>
        <v>0</v>
      </c>
      <c r="AW695" s="58">
        <f>IFERROR(IF($V695="BRAND.com",HLOOKUP($X695&amp;$Z695,PLANNING_FC!$BB$4:$BP$23,MATCH($W695,PLANNING_FC!$BA$4:$BA$23,0),FALSE),0),0)</f>
        <v>0</v>
      </c>
      <c r="AX695" s="58">
        <f>IFERROR(IF($V695="BRAND.com",HLOOKUP($X695&amp;$Z695,PLANNING_FC!$T$27:$AH$46,MATCH($W695,PLANNING_FC!$B$27:$B$46,0),FALSE),0),0)</f>
        <v>0</v>
      </c>
      <c r="AY695" s="58">
        <f>IFERROR(IF($V695="BRAND.com",HLOOKUP($X695&amp;$Z695,PLANNING_FC!$T$4:$AH$23,MATCH($W695,PLANNING_FC!$B$4:$B$23,0),FALSE),0),0)</f>
        <v>0</v>
      </c>
      <c r="AZ695" s="58">
        <f>IFERROR(IF($V695="BRAND.com",HLOOKUP($X695&amp;$Z695,PLANNING_FC!$DA$27:$DO$46,MATCH($W695,PLANNING_FC!$CZ$27:$CZ$46,0),FALSE),0),0)</f>
        <v>0</v>
      </c>
      <c r="BA695" s="58">
        <f>IFERROR(IF($V695="BRAND.com",HLOOKUP($X695&amp;$Z695,PLANNING_FC!$DA$4:$DO$23,MATCH($W695,PLANNING_FC!$CZ$4:$CZ$23,0),FALSE),0),0)</f>
        <v>0</v>
      </c>
      <c r="BB695" s="883" t="str">
        <f>IF(V695="BRAND.com",IFERROR(HLOOKUP(X695&amp;Z695,PLANNING_FC!$AK$4:$AY$23,MATCH(W695,PLANNING_FC!$AJ$4:$AJ$23,0),FALSE)*1000,""),"")</f>
        <v/>
      </c>
      <c r="BC695" s="883" t="str">
        <f>IF(V695="BRAND.com",IFERROR(HLOOKUP(X695&amp;Z695,PLANNING_FC!$AK$27:$AY$46,MATCH(W695,PLANNING_FC!$AJ$27:$AJ$46,0),FALSE)*1000,""),"")</f>
        <v/>
      </c>
    </row>
    <row r="696" spans="14:55" x14ac:dyDescent="0.25">
      <c r="N696" s="56">
        <f t="shared" si="272"/>
        <v>0</v>
      </c>
      <c r="O696" s="57">
        <f t="shared" si="273"/>
        <v>0</v>
      </c>
      <c r="P696" s="57">
        <f ca="1">IFERROR(IF(ISBLANK(H696),SUMIFS($AC:$AC,$V:$V,V696,$W:$W,W696,$X:$X,X696,$Y:$Y,Y696)*J696/(1-J696)*VLOOKUP(_xlfn.CONCAT(C696,D696,E696,TIME!$M$12,Z696),HIS_SALES!$B$2:$W$4859,20,FALSE),AC696*J696/(1-J696)),0)</f>
        <v>0</v>
      </c>
      <c r="Q696" s="541" t="str">
        <f t="shared" si="283"/>
        <v/>
      </c>
      <c r="R696" s="346" t="str">
        <f t="shared" si="262"/>
        <v>00000</v>
      </c>
      <c r="S696" s="344">
        <f t="shared" si="274"/>
        <v>0</v>
      </c>
      <c r="T696" s="345" t="str">
        <f t="shared" si="267"/>
        <v>000</v>
      </c>
      <c r="U696" s="345">
        <f t="shared" si="275"/>
        <v>0</v>
      </c>
      <c r="V696" s="345">
        <f t="shared" si="276"/>
        <v>0</v>
      </c>
      <c r="W696" s="345">
        <f t="shared" si="277"/>
        <v>0</v>
      </c>
      <c r="X696" s="345">
        <f t="shared" si="278"/>
        <v>0</v>
      </c>
      <c r="Y696" s="345">
        <f t="shared" si="279"/>
        <v>0</v>
      </c>
      <c r="Z696" s="345">
        <f>IF(Q696&lt;&gt;"",VLOOKUP(Y696,TIME!$R$21:$V$24,MATCH(FC_DATA!Q696,TIME!$R$20:$V$20,0),FALSE),H696)</f>
        <v>0</v>
      </c>
      <c r="AA696" s="345" t="str">
        <f>IFERROR(VLOOKUP(X696&amp;Z696,TIME!$A$12:$D$71,4,FALSE),"")</f>
        <v/>
      </c>
      <c r="AB696" s="592">
        <f t="shared" ca="1" si="263"/>
        <v>0</v>
      </c>
      <c r="AC696" s="593" t="e">
        <f ca="1">IF(ISBLANK(H696)=FALSE,IF(D696="BRAND.com",I696,IF(ISNA(VLOOKUP(_xlfn.CONCAT(X696,Z696),TIME!$M$40:$M$42,1,FALSE)),I696,VLOOKUP(_xlfn.CONCAT(D696,G696,H696),M_BUSAREA_FC!$AF$5:$AJ$10,5,FALSE)*HLOOKUP(_xlfn.CONCAT(F696,H696),ST_OVERVIEW!$G$99:$I$130,MATCH(_xlfn.CONCAT(D696,E696),ST_OVERVIEW!$F$99:$F$130,0),FALSE))),IF(D696="BRAND.com",VLOOKUP(_xlfn.CONCAT(C696,D696,E696,TIME!$F$1,Z696),HIS_SALES!$B$2:$V$4859,19,FALSE)*I696,VLOOKUP(_xlfn.CONCAT(D696,F696,G696),Q_BUSAREA_FC!$AE$5:$AI$12,5,FALSE)*HLOOKUP(_xlfn.CONCAT(FC_DATA!F696,FC_DATA!G696),LT_OVERVIEW!$I$99:$M$130,MATCH(_xlfn.CONCAT(D696,FC_DATA!E696),LT_OVERVIEW!$H$99:$H$130,0),FALSE)*IFERROR(VLOOKUP(_xlfn.CONCAT(C696,D696,E696,TIME!$F$1,Z696),HIS_SALES!$B$2:$V$4859,19,FALSE),0)))</f>
        <v>#N/A</v>
      </c>
      <c r="AD696" s="341">
        <f t="shared" ca="1" si="280"/>
        <v>0</v>
      </c>
      <c r="AE696" s="363" t="str">
        <f t="shared" si="281"/>
        <v/>
      </c>
      <c r="AF696" s="342" t="str">
        <f t="shared" si="282"/>
        <v/>
      </c>
      <c r="AG696" s="411" t="e">
        <f ca="1">VLOOKUP(_xlfn.CONCAT(U696,V696,W696,VLOOKUP(X696&amp;Y696,TIME!$L$27:$O$34,4,FALSE),Y696),HIS_SALES!$A$2:$R$5093,18,FALSE)</f>
        <v>#N/A</v>
      </c>
      <c r="AH696" s="412" t="e">
        <f ca="1">IFERROR(IF(AND(V696=V695,W696=W695),0.5*(AB696+AB695)*AG696,(VLOOKUP(_xlfn.CONCAT(U696,V696,W696,X696,VLOOKUP(Z696,TIME!$S$28:$T$39,2,FALSE)),FC_DATA!$R$2:$AB$5000,MATCH("GS_I_M",FC_DATA!$R$1:$AB$1,0),FALSE)+FC_DATA!AB696)*0.5*FC_DATA!AG696),NA())</f>
        <v>#N/A</v>
      </c>
      <c r="AI696" s="491" t="e">
        <f ca="1">IF(V696="PARTNER.com",AH696,IF(AND(V696=V695,W696=W695),(1-AVERAGE(AD695,AD696))*AH696,(1-AVERAGE(AD696,VLOOKUP(_xlfn.CONCAT(U696,V696,W696,X696,M_BRAND_FC!$F$6),FC_DATA!$R$2:$AD$5000,MATCH("DISCOUNT_%_M",FC_DATA!$R$1:$AD$1,0),FALSE)))*AH696))</f>
        <v>#N/A</v>
      </c>
      <c r="AJ696" s="412" t="str">
        <f t="shared" ca="1" si="264"/>
        <v/>
      </c>
      <c r="AK696" s="413" t="str">
        <f>IFERROR(AE696/(Q_BRAND_FC!$T$24+1),"")</f>
        <v/>
      </c>
      <c r="AL696" s="88" t="str">
        <f t="shared" ca="1" si="265"/>
        <v/>
      </c>
      <c r="AM696" s="414" t="str">
        <f t="shared" ca="1" si="266"/>
        <v/>
      </c>
      <c r="AN696" s="58">
        <f>IFERROR(IF($V696="BRAND.com",HLOOKUP($X696&amp;$Z696,NWC_FC_NOOS!$C$4:$Q$23,MATCH(W696,NWC_FC_NOOS!$B$4:$B$23,0),FALSE),0),0)</f>
        <v>0</v>
      </c>
      <c r="AO696" s="57">
        <f>IFERROR(IF($V696="BRAND.com",HLOOKUP($X696&amp;$Z696,NWC_FC_NOOS!$T$4:$AH$23,MATCH(W696,NWC_FC_NOOS!$S$4:$S$23,0),FALSE),0),0)</f>
        <v>0</v>
      </c>
      <c r="AP696" s="57">
        <f>IFERROR(IF($V696="BRAND.com",HLOOKUP($X696&amp;$Z696,NWC_FC_NOOS!$C$50:$U$69,MATCH(W696,NWC_FC_NOOS!$B$50:$B$69,0),FALSE),0),0)</f>
        <v>0</v>
      </c>
      <c r="AQ696" s="58">
        <f>IFERROR(IF($V696="BRAND.com",HLOOKUP($X696&amp;$Z696,'NWC_FC_NON-NOOS'!$C$4:$Q$23,MATCH(W696,'NWC_FC_NON-NOOS'!$B$4:$B$23,0),FALSE),0),0)</f>
        <v>0</v>
      </c>
      <c r="AR696" s="57">
        <f>IFERROR(IF($V696="BRAND.com",HLOOKUP($X696&amp;$Z696,'NWC_FC_NON-NOOS'!$T$4:$AH$23,MATCH(W696,'NWC_FC_NON-NOOS'!$S$4:$S$23,0),FALSE),0),0)</f>
        <v>0</v>
      </c>
      <c r="AS696" s="57">
        <f>IFERROR(IF($V696="BRAND.com",HLOOKUP($X696&amp;$Z696,'NWC_FC_NON-NOOS'!$C$50:$U$69,MATCH(W696,'NWC_FC_NON-NOOS'!$B$50:$B$69,0),FALSE),0),0)</f>
        <v>0</v>
      </c>
      <c r="AT696" s="57">
        <f t="shared" si="268"/>
        <v>0</v>
      </c>
      <c r="AU696" s="57">
        <f t="shared" si="269"/>
        <v>0</v>
      </c>
      <c r="AV696" s="58">
        <f>IFERROR(IF($V696="BRAND.com",HLOOKUP($X696&amp;$Z696,PLANNING_FC!$BB$27:$BP$46,MATCH($W696,PLANNING_FC!$BA$27:$BA$46,0),FALSE),0),0)</f>
        <v>0</v>
      </c>
      <c r="AW696" s="58">
        <f>IFERROR(IF($V696="BRAND.com",HLOOKUP($X696&amp;$Z696,PLANNING_FC!$BB$4:$BP$23,MATCH($W696,PLANNING_FC!$BA$4:$BA$23,0),FALSE),0),0)</f>
        <v>0</v>
      </c>
      <c r="AX696" s="58">
        <f>IFERROR(IF($V696="BRAND.com",HLOOKUP($X696&amp;$Z696,PLANNING_FC!$T$27:$AH$46,MATCH($W696,PLANNING_FC!$B$27:$B$46,0),FALSE),0),0)</f>
        <v>0</v>
      </c>
      <c r="AY696" s="58">
        <f>IFERROR(IF($V696="BRAND.com",HLOOKUP($X696&amp;$Z696,PLANNING_FC!$T$4:$AH$23,MATCH($W696,PLANNING_FC!$B$4:$B$23,0),FALSE),0),0)</f>
        <v>0</v>
      </c>
      <c r="AZ696" s="58">
        <f>IFERROR(IF($V696="BRAND.com",HLOOKUP($X696&amp;$Z696,PLANNING_FC!$DA$27:$DO$46,MATCH($W696,PLANNING_FC!$CZ$27:$CZ$46,0),FALSE),0),0)</f>
        <v>0</v>
      </c>
      <c r="BA696" s="58">
        <f>IFERROR(IF($V696="BRAND.com",HLOOKUP($X696&amp;$Z696,PLANNING_FC!$DA$4:$DO$23,MATCH($W696,PLANNING_FC!$CZ$4:$CZ$23,0),FALSE),0),0)</f>
        <v>0</v>
      </c>
      <c r="BB696" s="883" t="str">
        <f>IF(V696="BRAND.com",IFERROR(HLOOKUP(X696&amp;Z696,PLANNING_FC!$AK$4:$AY$23,MATCH(W696,PLANNING_FC!$AJ$4:$AJ$23,0),FALSE)*1000,""),"")</f>
        <v/>
      </c>
      <c r="BC696" s="883" t="str">
        <f>IF(V696="BRAND.com",IFERROR(HLOOKUP(X696&amp;Z696,PLANNING_FC!$AK$27:$AY$46,MATCH(W696,PLANNING_FC!$AJ$27:$AJ$46,0),FALSE)*1000,""),"")</f>
        <v/>
      </c>
    </row>
    <row r="697" spans="14:55" x14ac:dyDescent="0.25">
      <c r="N697" s="56">
        <f t="shared" si="272"/>
        <v>0</v>
      </c>
      <c r="O697" s="57">
        <f t="shared" si="273"/>
        <v>0</v>
      </c>
      <c r="P697" s="57">
        <f ca="1">IFERROR(IF(ISBLANK(H697),SUMIFS($AC:$AC,$V:$V,V697,$W:$W,W697,$X:$X,X697,$Y:$Y,Y697)*J697/(1-J697)*VLOOKUP(_xlfn.CONCAT(C697,D697,E697,TIME!$M$12,Z697),HIS_SALES!$B$2:$W$4859,20,FALSE),AC697*J697/(1-J697)),0)</f>
        <v>0</v>
      </c>
      <c r="Q697" s="541" t="str">
        <f t="shared" si="283"/>
        <v/>
      </c>
      <c r="R697" s="346" t="str">
        <f t="shared" si="262"/>
        <v>00000</v>
      </c>
      <c r="S697" s="344">
        <f t="shared" si="274"/>
        <v>0</v>
      </c>
      <c r="T697" s="345" t="str">
        <f t="shared" si="267"/>
        <v>000</v>
      </c>
      <c r="U697" s="345">
        <f t="shared" si="275"/>
        <v>0</v>
      </c>
      <c r="V697" s="345">
        <f t="shared" si="276"/>
        <v>0</v>
      </c>
      <c r="W697" s="345">
        <f t="shared" si="277"/>
        <v>0</v>
      </c>
      <c r="X697" s="345">
        <f t="shared" si="278"/>
        <v>0</v>
      </c>
      <c r="Y697" s="345">
        <f t="shared" si="279"/>
        <v>0</v>
      </c>
      <c r="Z697" s="345">
        <f>IF(Q697&lt;&gt;"",VLOOKUP(Y697,TIME!$R$21:$V$24,MATCH(FC_DATA!Q697,TIME!$R$20:$V$20,0),FALSE),H697)</f>
        <v>0</v>
      </c>
      <c r="AA697" s="345" t="str">
        <f>IFERROR(VLOOKUP(X697&amp;Z697,TIME!$A$12:$D$71,4,FALSE),"")</f>
        <v/>
      </c>
      <c r="AB697" s="592">
        <f t="shared" ca="1" si="263"/>
        <v>0</v>
      </c>
      <c r="AC697" s="593" t="e">
        <f ca="1">IF(ISBLANK(H697)=FALSE,IF(D697="BRAND.com",I697,IF(ISNA(VLOOKUP(_xlfn.CONCAT(X697,Z697),TIME!$M$40:$M$42,1,FALSE)),I697,VLOOKUP(_xlfn.CONCAT(D697,G697,H697),M_BUSAREA_FC!$AF$5:$AJ$10,5,FALSE)*HLOOKUP(_xlfn.CONCAT(F697,H697),ST_OVERVIEW!$G$99:$I$130,MATCH(_xlfn.CONCAT(D697,E697),ST_OVERVIEW!$F$99:$F$130,0),FALSE))),IF(D697="BRAND.com",VLOOKUP(_xlfn.CONCAT(C697,D697,E697,TIME!$F$1,Z697),HIS_SALES!$B$2:$V$4859,19,FALSE)*I697,VLOOKUP(_xlfn.CONCAT(D697,F697,G697),Q_BUSAREA_FC!$AE$5:$AI$12,5,FALSE)*HLOOKUP(_xlfn.CONCAT(FC_DATA!F697,FC_DATA!G697),LT_OVERVIEW!$I$99:$M$130,MATCH(_xlfn.CONCAT(D697,FC_DATA!E697),LT_OVERVIEW!$H$99:$H$130,0),FALSE)*IFERROR(VLOOKUP(_xlfn.CONCAT(C697,D697,E697,TIME!$F$1,Z697),HIS_SALES!$B$2:$V$4859,19,FALSE),0)))</f>
        <v>#N/A</v>
      </c>
      <c r="AD697" s="341">
        <f t="shared" ca="1" si="280"/>
        <v>0</v>
      </c>
      <c r="AE697" s="363" t="str">
        <f t="shared" si="281"/>
        <v/>
      </c>
      <c r="AF697" s="342" t="str">
        <f t="shared" si="282"/>
        <v/>
      </c>
      <c r="AG697" s="411" t="e">
        <f ca="1">VLOOKUP(_xlfn.CONCAT(U697,V697,W697,VLOOKUP(X697&amp;Y697,TIME!$L$27:$O$34,4,FALSE),Y697),HIS_SALES!$A$2:$R$5093,18,FALSE)</f>
        <v>#N/A</v>
      </c>
      <c r="AH697" s="412" t="e">
        <f ca="1">IFERROR(IF(AND(V697=V696,W697=W696),0.5*(AB697+AB696)*AG697,(VLOOKUP(_xlfn.CONCAT(U697,V697,W697,X697,VLOOKUP(Z697,TIME!$S$28:$T$39,2,FALSE)),FC_DATA!$R$2:$AB$5000,MATCH("GS_I_M",FC_DATA!$R$1:$AB$1,0),FALSE)+FC_DATA!AB697)*0.5*FC_DATA!AG697),NA())</f>
        <v>#N/A</v>
      </c>
      <c r="AI697" s="491" t="e">
        <f ca="1">IF(V697="PARTNER.com",AH697,IF(AND(V697=V696,W697=W696),(1-AVERAGE(AD696,AD697))*AH697,(1-AVERAGE(AD697,VLOOKUP(_xlfn.CONCAT(U697,V697,W697,X697,M_BRAND_FC!$F$6),FC_DATA!$R$2:$AD$5000,MATCH("DISCOUNT_%_M",FC_DATA!$R$1:$AD$1,0),FALSE)))*AH697))</f>
        <v>#N/A</v>
      </c>
      <c r="AJ697" s="412" t="str">
        <f t="shared" ca="1" si="264"/>
        <v/>
      </c>
      <c r="AK697" s="413" t="str">
        <f>IFERROR(AE697/(Q_BRAND_FC!$T$24+1),"")</f>
        <v/>
      </c>
      <c r="AL697" s="88" t="str">
        <f t="shared" ca="1" si="265"/>
        <v/>
      </c>
      <c r="AM697" s="414" t="str">
        <f t="shared" ca="1" si="266"/>
        <v/>
      </c>
      <c r="AN697" s="58">
        <f>IFERROR(IF($V697="BRAND.com",HLOOKUP($X697&amp;$Z697,NWC_FC_NOOS!$C$4:$Q$23,MATCH(W697,NWC_FC_NOOS!$B$4:$B$23,0),FALSE),0),0)</f>
        <v>0</v>
      </c>
      <c r="AO697" s="57">
        <f>IFERROR(IF($V697="BRAND.com",HLOOKUP($X697&amp;$Z697,NWC_FC_NOOS!$T$4:$AH$23,MATCH(W697,NWC_FC_NOOS!$S$4:$S$23,0),FALSE),0),0)</f>
        <v>0</v>
      </c>
      <c r="AP697" s="57">
        <f>IFERROR(IF($V697="BRAND.com",HLOOKUP($X697&amp;$Z697,NWC_FC_NOOS!$C$50:$U$69,MATCH(W697,NWC_FC_NOOS!$B$50:$B$69,0),FALSE),0),0)</f>
        <v>0</v>
      </c>
      <c r="AQ697" s="58">
        <f>IFERROR(IF($V697="BRAND.com",HLOOKUP($X697&amp;$Z697,'NWC_FC_NON-NOOS'!$C$4:$Q$23,MATCH(W697,'NWC_FC_NON-NOOS'!$B$4:$B$23,0),FALSE),0),0)</f>
        <v>0</v>
      </c>
      <c r="AR697" s="57">
        <f>IFERROR(IF($V697="BRAND.com",HLOOKUP($X697&amp;$Z697,'NWC_FC_NON-NOOS'!$T$4:$AH$23,MATCH(W697,'NWC_FC_NON-NOOS'!$S$4:$S$23,0),FALSE),0),0)</f>
        <v>0</v>
      </c>
      <c r="AS697" s="57">
        <f>IFERROR(IF($V697="BRAND.com",HLOOKUP($X697&amp;$Z697,'NWC_FC_NON-NOOS'!$C$50:$U$69,MATCH(W697,'NWC_FC_NON-NOOS'!$B$50:$B$69,0),FALSE),0),0)</f>
        <v>0</v>
      </c>
      <c r="AT697" s="57">
        <f t="shared" si="268"/>
        <v>0</v>
      </c>
      <c r="AU697" s="57">
        <f t="shared" si="269"/>
        <v>0</v>
      </c>
      <c r="AV697" s="58">
        <f>IFERROR(IF($V697="BRAND.com",HLOOKUP($X697&amp;$Z697,PLANNING_FC!$BB$27:$BP$46,MATCH($W697,PLANNING_FC!$BA$27:$BA$46,0),FALSE),0),0)</f>
        <v>0</v>
      </c>
      <c r="AW697" s="58">
        <f>IFERROR(IF($V697="BRAND.com",HLOOKUP($X697&amp;$Z697,PLANNING_FC!$BB$4:$BP$23,MATCH($W697,PLANNING_FC!$BA$4:$BA$23,0),FALSE),0),0)</f>
        <v>0</v>
      </c>
      <c r="AX697" s="58">
        <f>IFERROR(IF($V697="BRAND.com",HLOOKUP($X697&amp;$Z697,PLANNING_FC!$T$27:$AH$46,MATCH($W697,PLANNING_FC!$B$27:$B$46,0),FALSE),0),0)</f>
        <v>0</v>
      </c>
      <c r="AY697" s="58">
        <f>IFERROR(IF($V697="BRAND.com",HLOOKUP($X697&amp;$Z697,PLANNING_FC!$T$4:$AH$23,MATCH($W697,PLANNING_FC!$B$4:$B$23,0),FALSE),0),0)</f>
        <v>0</v>
      </c>
      <c r="AZ697" s="58">
        <f>IFERROR(IF($V697="BRAND.com",HLOOKUP($X697&amp;$Z697,PLANNING_FC!$DA$27:$DO$46,MATCH($W697,PLANNING_FC!$CZ$27:$CZ$46,0),FALSE),0),0)</f>
        <v>0</v>
      </c>
      <c r="BA697" s="58">
        <f>IFERROR(IF($V697="BRAND.com",HLOOKUP($X697&amp;$Z697,PLANNING_FC!$DA$4:$DO$23,MATCH($W697,PLANNING_FC!$CZ$4:$CZ$23,0),FALSE),0),0)</f>
        <v>0</v>
      </c>
      <c r="BB697" s="883" t="str">
        <f>IF(V697="BRAND.com",IFERROR(HLOOKUP(X697&amp;Z697,PLANNING_FC!$AK$4:$AY$23,MATCH(W697,PLANNING_FC!$AJ$4:$AJ$23,0),FALSE)*1000,""),"")</f>
        <v/>
      </c>
      <c r="BC697" s="883" t="str">
        <f>IF(V697="BRAND.com",IFERROR(HLOOKUP(X697&amp;Z697,PLANNING_FC!$AK$27:$AY$46,MATCH(W697,PLANNING_FC!$AJ$27:$AJ$46,0),FALSE)*1000,""),"")</f>
        <v/>
      </c>
    </row>
    <row r="698" spans="14:55" x14ac:dyDescent="0.25">
      <c r="N698" s="56">
        <f t="shared" si="272"/>
        <v>0</v>
      </c>
      <c r="O698" s="57">
        <f t="shared" si="273"/>
        <v>0</v>
      </c>
      <c r="P698" s="57">
        <f ca="1">IFERROR(IF(ISBLANK(H698),SUMIFS($AC:$AC,$V:$V,V698,$W:$W,W698,$X:$X,X698,$Y:$Y,Y698)*J698/(1-J698)*VLOOKUP(_xlfn.CONCAT(C698,D698,E698,TIME!$M$12,Z698),HIS_SALES!$B$2:$W$4859,20,FALSE),AC698*J698/(1-J698)),0)</f>
        <v>0</v>
      </c>
      <c r="Q698" s="541" t="str">
        <f t="shared" si="283"/>
        <v/>
      </c>
      <c r="R698" s="346" t="str">
        <f t="shared" si="262"/>
        <v>00000</v>
      </c>
      <c r="S698" s="344">
        <f t="shared" si="274"/>
        <v>0</v>
      </c>
      <c r="T698" s="345" t="str">
        <f t="shared" si="267"/>
        <v>000</v>
      </c>
      <c r="U698" s="345">
        <f t="shared" si="275"/>
        <v>0</v>
      </c>
      <c r="V698" s="345">
        <f t="shared" si="276"/>
        <v>0</v>
      </c>
      <c r="W698" s="345">
        <f t="shared" si="277"/>
        <v>0</v>
      </c>
      <c r="X698" s="345">
        <f t="shared" si="278"/>
        <v>0</v>
      </c>
      <c r="Y698" s="345">
        <f t="shared" si="279"/>
        <v>0</v>
      </c>
      <c r="Z698" s="345">
        <f>IF(Q698&lt;&gt;"",VLOOKUP(Y698,TIME!$R$21:$V$24,MATCH(FC_DATA!Q698,TIME!$R$20:$V$20,0),FALSE),H698)</f>
        <v>0</v>
      </c>
      <c r="AA698" s="345" t="str">
        <f>IFERROR(VLOOKUP(X698&amp;Z698,TIME!$A$12:$D$71,4,FALSE),"")</f>
        <v/>
      </c>
      <c r="AB698" s="592">
        <f t="shared" ca="1" si="263"/>
        <v>0</v>
      </c>
      <c r="AC698" s="593" t="e">
        <f ca="1">IF(ISBLANK(H698)=FALSE,IF(D698="BRAND.com",I698,IF(ISNA(VLOOKUP(_xlfn.CONCAT(X698,Z698),TIME!$M$40:$M$42,1,FALSE)),I698,VLOOKUP(_xlfn.CONCAT(D698,G698,H698),M_BUSAREA_FC!$AF$5:$AJ$10,5,FALSE)*HLOOKUP(_xlfn.CONCAT(F698,H698),ST_OVERVIEW!$G$99:$I$130,MATCH(_xlfn.CONCAT(D698,E698),ST_OVERVIEW!$F$99:$F$130,0),FALSE))),IF(D698="BRAND.com",VLOOKUP(_xlfn.CONCAT(C698,D698,E698,TIME!$F$1,Z698),HIS_SALES!$B$2:$V$4859,19,FALSE)*I698,VLOOKUP(_xlfn.CONCAT(D698,F698,G698),Q_BUSAREA_FC!$AE$5:$AI$12,5,FALSE)*HLOOKUP(_xlfn.CONCAT(FC_DATA!F698,FC_DATA!G698),LT_OVERVIEW!$I$99:$M$130,MATCH(_xlfn.CONCAT(D698,FC_DATA!E698),LT_OVERVIEW!$H$99:$H$130,0),FALSE)*IFERROR(VLOOKUP(_xlfn.CONCAT(C698,D698,E698,TIME!$F$1,Z698),HIS_SALES!$B$2:$V$4859,19,FALSE),0)))</f>
        <v>#N/A</v>
      </c>
      <c r="AD698" s="341">
        <f t="shared" ca="1" si="280"/>
        <v>0</v>
      </c>
      <c r="AE698" s="363" t="str">
        <f t="shared" si="281"/>
        <v/>
      </c>
      <c r="AF698" s="342" t="str">
        <f t="shared" si="282"/>
        <v/>
      </c>
      <c r="AG698" s="411" t="e">
        <f ca="1">VLOOKUP(_xlfn.CONCAT(U698,V698,W698,VLOOKUP(X698&amp;Y698,TIME!$L$27:$O$34,4,FALSE),Y698),HIS_SALES!$A$2:$R$5093,18,FALSE)</f>
        <v>#N/A</v>
      </c>
      <c r="AH698" s="412" t="e">
        <f ca="1">IFERROR(IF(AND(V698=V697,W698=W697),0.5*(AB698+AB697)*AG698,(VLOOKUP(_xlfn.CONCAT(U698,V698,W698,X698,VLOOKUP(Z698,TIME!$S$28:$T$39,2,FALSE)),FC_DATA!$R$2:$AB$5000,MATCH("GS_I_M",FC_DATA!$R$1:$AB$1,0),FALSE)+FC_DATA!AB698)*0.5*FC_DATA!AG698),NA())</f>
        <v>#N/A</v>
      </c>
      <c r="AI698" s="491" t="e">
        <f ca="1">IF(V698="PARTNER.com",AH698,IF(AND(V698=V697,W698=W697),(1-AVERAGE(AD697,AD698))*AH698,(1-AVERAGE(AD698,VLOOKUP(_xlfn.CONCAT(U698,V698,W698,X698,M_BRAND_FC!$F$6),FC_DATA!$R$2:$AD$5000,MATCH("DISCOUNT_%_M",FC_DATA!$R$1:$AD$1,0),FALSE)))*AH698))</f>
        <v>#N/A</v>
      </c>
      <c r="AJ698" s="412" t="str">
        <f t="shared" ca="1" si="264"/>
        <v/>
      </c>
      <c r="AK698" s="413" t="str">
        <f>IFERROR(AE698/(Q_BRAND_FC!$T$24+1),"")</f>
        <v/>
      </c>
      <c r="AL698" s="88" t="str">
        <f t="shared" ca="1" si="265"/>
        <v/>
      </c>
      <c r="AM698" s="414" t="str">
        <f t="shared" ca="1" si="266"/>
        <v/>
      </c>
      <c r="AN698" s="58">
        <f>IFERROR(IF($V698="BRAND.com",HLOOKUP($X698&amp;$Z698,NWC_FC_NOOS!$C$4:$Q$23,MATCH(W698,NWC_FC_NOOS!$B$4:$B$23,0),FALSE),0),0)</f>
        <v>0</v>
      </c>
      <c r="AO698" s="57">
        <f>IFERROR(IF($V698="BRAND.com",HLOOKUP($X698&amp;$Z698,NWC_FC_NOOS!$T$4:$AH$23,MATCH(W698,NWC_FC_NOOS!$S$4:$S$23,0),FALSE),0),0)</f>
        <v>0</v>
      </c>
      <c r="AP698" s="57">
        <f>IFERROR(IF($V698="BRAND.com",HLOOKUP($X698&amp;$Z698,NWC_FC_NOOS!$C$50:$U$69,MATCH(W698,NWC_FC_NOOS!$B$50:$B$69,0),FALSE),0),0)</f>
        <v>0</v>
      </c>
      <c r="AQ698" s="58">
        <f>IFERROR(IF($V698="BRAND.com",HLOOKUP($X698&amp;$Z698,'NWC_FC_NON-NOOS'!$C$4:$Q$23,MATCH(W698,'NWC_FC_NON-NOOS'!$B$4:$B$23,0),FALSE),0),0)</f>
        <v>0</v>
      </c>
      <c r="AR698" s="57">
        <f>IFERROR(IF($V698="BRAND.com",HLOOKUP($X698&amp;$Z698,'NWC_FC_NON-NOOS'!$T$4:$AH$23,MATCH(W698,'NWC_FC_NON-NOOS'!$S$4:$S$23,0),FALSE),0),0)</f>
        <v>0</v>
      </c>
      <c r="AS698" s="57">
        <f>IFERROR(IF($V698="BRAND.com",HLOOKUP($X698&amp;$Z698,'NWC_FC_NON-NOOS'!$C$50:$U$69,MATCH(W698,'NWC_FC_NON-NOOS'!$B$50:$B$69,0),FALSE),0),0)</f>
        <v>0</v>
      </c>
      <c r="AT698" s="57">
        <f t="shared" si="268"/>
        <v>0</v>
      </c>
      <c r="AU698" s="57">
        <f t="shared" si="269"/>
        <v>0</v>
      </c>
      <c r="AV698" s="58">
        <f>IFERROR(IF($V698="BRAND.com",HLOOKUP($X698&amp;$Z698,PLANNING_FC!$BB$27:$BP$46,MATCH($W698,PLANNING_FC!$BA$27:$BA$46,0),FALSE),0),0)</f>
        <v>0</v>
      </c>
      <c r="AW698" s="58">
        <f>IFERROR(IF($V698="BRAND.com",HLOOKUP($X698&amp;$Z698,PLANNING_FC!$BB$4:$BP$23,MATCH($W698,PLANNING_FC!$BA$4:$BA$23,0),FALSE),0),0)</f>
        <v>0</v>
      </c>
      <c r="AX698" s="58">
        <f>IFERROR(IF($V698="BRAND.com",HLOOKUP($X698&amp;$Z698,PLANNING_FC!$T$27:$AH$46,MATCH($W698,PLANNING_FC!$B$27:$B$46,0),FALSE),0),0)</f>
        <v>0</v>
      </c>
      <c r="AY698" s="58">
        <f>IFERROR(IF($V698="BRAND.com",HLOOKUP($X698&amp;$Z698,PLANNING_FC!$T$4:$AH$23,MATCH($W698,PLANNING_FC!$B$4:$B$23,0),FALSE),0),0)</f>
        <v>0</v>
      </c>
      <c r="AZ698" s="58">
        <f>IFERROR(IF($V698="BRAND.com",HLOOKUP($X698&amp;$Z698,PLANNING_FC!$DA$27:$DO$46,MATCH($W698,PLANNING_FC!$CZ$27:$CZ$46,0),FALSE),0),0)</f>
        <v>0</v>
      </c>
      <c r="BA698" s="58">
        <f>IFERROR(IF($V698="BRAND.com",HLOOKUP($X698&amp;$Z698,PLANNING_FC!$DA$4:$DO$23,MATCH($W698,PLANNING_FC!$CZ$4:$CZ$23,0),FALSE),0),0)</f>
        <v>0</v>
      </c>
      <c r="BB698" s="883" t="str">
        <f>IF(V698="BRAND.com",IFERROR(HLOOKUP(X698&amp;Z698,PLANNING_FC!$AK$4:$AY$23,MATCH(W698,PLANNING_FC!$AJ$4:$AJ$23,0),FALSE)*1000,""),"")</f>
        <v/>
      </c>
      <c r="BC698" s="883" t="str">
        <f>IF(V698="BRAND.com",IFERROR(HLOOKUP(X698&amp;Z698,PLANNING_FC!$AK$27:$AY$46,MATCH(W698,PLANNING_FC!$AJ$27:$AJ$46,0),FALSE)*1000,""),"")</f>
        <v/>
      </c>
    </row>
    <row r="699" spans="14:55" x14ac:dyDescent="0.25">
      <c r="N699" s="56">
        <f t="shared" si="272"/>
        <v>0</v>
      </c>
      <c r="O699" s="57">
        <f t="shared" si="273"/>
        <v>0</v>
      </c>
      <c r="P699" s="57">
        <f ca="1">IFERROR(IF(ISBLANK(H699),SUMIFS($AC:$AC,$V:$V,V699,$W:$W,W699,$X:$X,X699,$Y:$Y,Y699)*J699/(1-J699)*VLOOKUP(_xlfn.CONCAT(C699,D699,E699,TIME!$M$12,Z699),HIS_SALES!$B$2:$W$4859,20,FALSE),AC699*J699/(1-J699)),0)</f>
        <v>0</v>
      </c>
      <c r="Q699" s="541" t="str">
        <f t="shared" si="283"/>
        <v/>
      </c>
      <c r="R699" s="346" t="str">
        <f t="shared" si="262"/>
        <v>00000</v>
      </c>
      <c r="S699" s="344">
        <f t="shared" si="274"/>
        <v>0</v>
      </c>
      <c r="T699" s="345" t="str">
        <f t="shared" si="267"/>
        <v>000</v>
      </c>
      <c r="U699" s="345">
        <f t="shared" si="275"/>
        <v>0</v>
      </c>
      <c r="V699" s="345">
        <f t="shared" si="276"/>
        <v>0</v>
      </c>
      <c r="W699" s="345">
        <f t="shared" si="277"/>
        <v>0</v>
      </c>
      <c r="X699" s="345">
        <f t="shared" si="278"/>
        <v>0</v>
      </c>
      <c r="Y699" s="345">
        <f t="shared" si="279"/>
        <v>0</v>
      </c>
      <c r="Z699" s="345">
        <f>IF(Q699&lt;&gt;"",VLOOKUP(Y699,TIME!$R$21:$V$24,MATCH(FC_DATA!Q699,TIME!$R$20:$V$20,0),FALSE),H699)</f>
        <v>0</v>
      </c>
      <c r="AA699" s="345" t="str">
        <f>IFERROR(VLOOKUP(X699&amp;Z699,TIME!$A$12:$D$71,4,FALSE),"")</f>
        <v/>
      </c>
      <c r="AB699" s="592">
        <f t="shared" ca="1" si="263"/>
        <v>0</v>
      </c>
      <c r="AC699" s="593" t="e">
        <f ca="1">IF(ISBLANK(H699)=FALSE,IF(D699="BRAND.com",I699,IF(ISNA(VLOOKUP(_xlfn.CONCAT(X699,Z699),TIME!$M$40:$M$42,1,FALSE)),I699,VLOOKUP(_xlfn.CONCAT(D699,G699,H699),M_BUSAREA_FC!$AF$5:$AJ$10,5,FALSE)*HLOOKUP(_xlfn.CONCAT(F699,H699),ST_OVERVIEW!$G$99:$I$130,MATCH(_xlfn.CONCAT(D699,E699),ST_OVERVIEW!$F$99:$F$130,0),FALSE))),IF(D699="BRAND.com",VLOOKUP(_xlfn.CONCAT(C699,D699,E699,TIME!$F$1,Z699),HIS_SALES!$B$2:$V$4859,19,FALSE)*I699,VLOOKUP(_xlfn.CONCAT(D699,F699,G699),Q_BUSAREA_FC!$AE$5:$AI$12,5,FALSE)*HLOOKUP(_xlfn.CONCAT(FC_DATA!F699,FC_DATA!G699),LT_OVERVIEW!$I$99:$M$130,MATCH(_xlfn.CONCAT(D699,FC_DATA!E699),LT_OVERVIEW!$H$99:$H$130,0),FALSE)*IFERROR(VLOOKUP(_xlfn.CONCAT(C699,D699,E699,TIME!$F$1,Z699),HIS_SALES!$B$2:$V$4859,19,FALSE),0)))</f>
        <v>#N/A</v>
      </c>
      <c r="AD699" s="341">
        <f t="shared" ca="1" si="280"/>
        <v>0</v>
      </c>
      <c r="AE699" s="363" t="str">
        <f t="shared" si="281"/>
        <v/>
      </c>
      <c r="AF699" s="342" t="str">
        <f t="shared" si="282"/>
        <v/>
      </c>
      <c r="AG699" s="411" t="e">
        <f ca="1">VLOOKUP(_xlfn.CONCAT(U699,V699,W699,VLOOKUP(X699&amp;Y699,TIME!$L$27:$O$34,4,FALSE),Y699),HIS_SALES!$A$2:$R$5093,18,FALSE)</f>
        <v>#N/A</v>
      </c>
      <c r="AH699" s="412" t="e">
        <f ca="1">IFERROR(IF(AND(V699=V698,W699=W698),0.5*(AB699+AB698)*AG699,(VLOOKUP(_xlfn.CONCAT(U699,V699,W699,X699,VLOOKUP(Z699,TIME!$S$28:$T$39,2,FALSE)),FC_DATA!$R$2:$AB$5000,MATCH("GS_I_M",FC_DATA!$R$1:$AB$1,0),FALSE)+FC_DATA!AB699)*0.5*FC_DATA!AG699),NA())</f>
        <v>#N/A</v>
      </c>
      <c r="AI699" s="491" t="e">
        <f ca="1">IF(V699="PARTNER.com",AH699,IF(AND(V699=V698,W699=W698),(1-AVERAGE(AD698,AD699))*AH699,(1-AVERAGE(AD699,VLOOKUP(_xlfn.CONCAT(U699,V699,W699,X699,M_BRAND_FC!$F$6),FC_DATA!$R$2:$AD$5000,MATCH("DISCOUNT_%_M",FC_DATA!$R$1:$AD$1,0),FALSE)))*AH699))</f>
        <v>#N/A</v>
      </c>
      <c r="AJ699" s="412" t="str">
        <f t="shared" ca="1" si="264"/>
        <v/>
      </c>
      <c r="AK699" s="413" t="str">
        <f>IFERROR(AE699/(Q_BRAND_FC!$T$24+1),"")</f>
        <v/>
      </c>
      <c r="AL699" s="88" t="str">
        <f t="shared" ca="1" si="265"/>
        <v/>
      </c>
      <c r="AM699" s="414" t="str">
        <f t="shared" ca="1" si="266"/>
        <v/>
      </c>
      <c r="AN699" s="58">
        <f>IFERROR(IF($V699="BRAND.com",HLOOKUP($X699&amp;$Z699,NWC_FC_NOOS!$C$4:$Q$23,MATCH(W699,NWC_FC_NOOS!$B$4:$B$23,0),FALSE),0),0)</f>
        <v>0</v>
      </c>
      <c r="AO699" s="57">
        <f>IFERROR(IF($V699="BRAND.com",HLOOKUP($X699&amp;$Z699,NWC_FC_NOOS!$T$4:$AH$23,MATCH(W699,NWC_FC_NOOS!$S$4:$S$23,0),FALSE),0),0)</f>
        <v>0</v>
      </c>
      <c r="AP699" s="57">
        <f>IFERROR(IF($V699="BRAND.com",HLOOKUP($X699&amp;$Z699,NWC_FC_NOOS!$C$50:$U$69,MATCH(W699,NWC_FC_NOOS!$B$50:$B$69,0),FALSE),0),0)</f>
        <v>0</v>
      </c>
      <c r="AQ699" s="58">
        <f>IFERROR(IF($V699="BRAND.com",HLOOKUP($X699&amp;$Z699,'NWC_FC_NON-NOOS'!$C$4:$Q$23,MATCH(W699,'NWC_FC_NON-NOOS'!$B$4:$B$23,0),FALSE),0),0)</f>
        <v>0</v>
      </c>
      <c r="AR699" s="57">
        <f>IFERROR(IF($V699="BRAND.com",HLOOKUP($X699&amp;$Z699,'NWC_FC_NON-NOOS'!$T$4:$AH$23,MATCH(W699,'NWC_FC_NON-NOOS'!$S$4:$S$23,0),FALSE),0),0)</f>
        <v>0</v>
      </c>
      <c r="AS699" s="57">
        <f>IFERROR(IF($V699="BRAND.com",HLOOKUP($X699&amp;$Z699,'NWC_FC_NON-NOOS'!$C$50:$U$69,MATCH(W699,'NWC_FC_NON-NOOS'!$B$50:$B$69,0),FALSE),0),0)</f>
        <v>0</v>
      </c>
      <c r="AT699" s="57">
        <f t="shared" si="268"/>
        <v>0</v>
      </c>
      <c r="AU699" s="57">
        <f t="shared" si="269"/>
        <v>0</v>
      </c>
      <c r="AV699" s="58">
        <f>IFERROR(IF($V699="BRAND.com",HLOOKUP($X699&amp;$Z699,PLANNING_FC!$BB$27:$BP$46,MATCH($W699,PLANNING_FC!$BA$27:$BA$46,0),FALSE),0),0)</f>
        <v>0</v>
      </c>
      <c r="AW699" s="58">
        <f>IFERROR(IF($V699="BRAND.com",HLOOKUP($X699&amp;$Z699,PLANNING_FC!$BB$4:$BP$23,MATCH($W699,PLANNING_FC!$BA$4:$BA$23,0),FALSE),0),0)</f>
        <v>0</v>
      </c>
      <c r="AX699" s="58">
        <f>IFERROR(IF($V699="BRAND.com",HLOOKUP($X699&amp;$Z699,PLANNING_FC!$T$27:$AH$46,MATCH($W699,PLANNING_FC!$B$27:$B$46,0),FALSE),0),0)</f>
        <v>0</v>
      </c>
      <c r="AY699" s="58">
        <f>IFERROR(IF($V699="BRAND.com",HLOOKUP($X699&amp;$Z699,PLANNING_FC!$T$4:$AH$23,MATCH($W699,PLANNING_FC!$B$4:$B$23,0),FALSE),0),0)</f>
        <v>0</v>
      </c>
      <c r="AZ699" s="58">
        <f>IFERROR(IF($V699="BRAND.com",HLOOKUP($X699&amp;$Z699,PLANNING_FC!$DA$27:$DO$46,MATCH($W699,PLANNING_FC!$CZ$27:$CZ$46,0),FALSE),0),0)</f>
        <v>0</v>
      </c>
      <c r="BA699" s="58">
        <f>IFERROR(IF($V699="BRAND.com",HLOOKUP($X699&amp;$Z699,PLANNING_FC!$DA$4:$DO$23,MATCH($W699,PLANNING_FC!$CZ$4:$CZ$23,0),FALSE),0),0)</f>
        <v>0</v>
      </c>
      <c r="BB699" s="883" t="str">
        <f>IF(V699="BRAND.com",IFERROR(HLOOKUP(X699&amp;Z699,PLANNING_FC!$AK$4:$AY$23,MATCH(W699,PLANNING_FC!$AJ$4:$AJ$23,0),FALSE)*1000,""),"")</f>
        <v/>
      </c>
      <c r="BC699" s="883" t="str">
        <f>IF(V699="BRAND.com",IFERROR(HLOOKUP(X699&amp;Z699,PLANNING_FC!$AK$27:$AY$46,MATCH(W699,PLANNING_FC!$AJ$27:$AJ$46,0),FALSE)*1000,""),"")</f>
        <v/>
      </c>
    </row>
    <row r="700" spans="14:55" x14ac:dyDescent="0.25">
      <c r="N700" s="56">
        <f t="shared" si="272"/>
        <v>0</v>
      </c>
      <c r="O700" s="57">
        <f t="shared" si="273"/>
        <v>0</v>
      </c>
      <c r="P700" s="57">
        <f ca="1">IFERROR(IF(ISBLANK(H700),SUMIFS($AC:$AC,$V:$V,V700,$W:$W,W700,$X:$X,X700,$Y:$Y,Y700)*J700/(1-J700)*VLOOKUP(_xlfn.CONCAT(C700,D700,E700,TIME!$M$12,Z700),HIS_SALES!$B$2:$W$4859,20,FALSE),AC700*J700/(1-J700)),0)</f>
        <v>0</v>
      </c>
      <c r="Q700" s="541" t="str">
        <f t="shared" si="283"/>
        <v/>
      </c>
      <c r="R700" s="346" t="str">
        <f t="shared" si="262"/>
        <v>00000</v>
      </c>
      <c r="S700" s="344">
        <f t="shared" si="274"/>
        <v>0</v>
      </c>
      <c r="T700" s="345" t="str">
        <f t="shared" si="267"/>
        <v>000</v>
      </c>
      <c r="U700" s="345">
        <f t="shared" si="275"/>
        <v>0</v>
      </c>
      <c r="V700" s="345">
        <f t="shared" si="276"/>
        <v>0</v>
      </c>
      <c r="W700" s="345">
        <f t="shared" si="277"/>
        <v>0</v>
      </c>
      <c r="X700" s="345">
        <f t="shared" si="278"/>
        <v>0</v>
      </c>
      <c r="Y700" s="345">
        <f t="shared" si="279"/>
        <v>0</v>
      </c>
      <c r="Z700" s="345">
        <f>IF(Q700&lt;&gt;"",VLOOKUP(Y700,TIME!$R$21:$V$24,MATCH(FC_DATA!Q700,TIME!$R$20:$V$20,0),FALSE),H700)</f>
        <v>0</v>
      </c>
      <c r="AA700" s="345" t="str">
        <f>IFERROR(VLOOKUP(X700&amp;Z700,TIME!$A$12:$D$71,4,FALSE),"")</f>
        <v/>
      </c>
      <c r="AB700" s="592">
        <f t="shared" ca="1" si="263"/>
        <v>0</v>
      </c>
      <c r="AC700" s="593" t="e">
        <f ca="1">IF(ISBLANK(H700)=FALSE,IF(D700="BRAND.com",I700,IF(ISNA(VLOOKUP(_xlfn.CONCAT(X700,Z700),TIME!$M$40:$M$42,1,FALSE)),I700,VLOOKUP(_xlfn.CONCAT(D700,G700,H700),M_BUSAREA_FC!$AF$5:$AJ$10,5,FALSE)*HLOOKUP(_xlfn.CONCAT(F700,H700),ST_OVERVIEW!$G$99:$I$130,MATCH(_xlfn.CONCAT(D700,E700),ST_OVERVIEW!$F$99:$F$130,0),FALSE))),IF(D700="BRAND.com",VLOOKUP(_xlfn.CONCAT(C700,D700,E700,TIME!$F$1,Z700),HIS_SALES!$B$2:$V$4859,19,FALSE)*I700,VLOOKUP(_xlfn.CONCAT(D700,F700,G700),Q_BUSAREA_FC!$AE$5:$AI$12,5,FALSE)*HLOOKUP(_xlfn.CONCAT(FC_DATA!F700,FC_DATA!G700),LT_OVERVIEW!$I$99:$M$130,MATCH(_xlfn.CONCAT(D700,FC_DATA!E700),LT_OVERVIEW!$H$99:$H$130,0),FALSE)*IFERROR(VLOOKUP(_xlfn.CONCAT(C700,D700,E700,TIME!$F$1,Z700),HIS_SALES!$B$2:$V$4859,19,FALSE),0)))</f>
        <v>#N/A</v>
      </c>
      <c r="AD700" s="341">
        <f t="shared" ca="1" si="280"/>
        <v>0</v>
      </c>
      <c r="AE700" s="363" t="str">
        <f t="shared" si="281"/>
        <v/>
      </c>
      <c r="AF700" s="342" t="str">
        <f t="shared" si="282"/>
        <v/>
      </c>
      <c r="AG700" s="411" t="e">
        <f ca="1">VLOOKUP(_xlfn.CONCAT(U700,V700,W700,VLOOKUP(X700&amp;Y700,TIME!$L$27:$O$34,4,FALSE),Y700),HIS_SALES!$A$2:$R$5093,18,FALSE)</f>
        <v>#N/A</v>
      </c>
      <c r="AH700" s="412" t="e">
        <f ca="1">IFERROR(IF(AND(V700=V699,W700=W699),0.5*(AB700+AB699)*AG700,(VLOOKUP(_xlfn.CONCAT(U700,V700,W700,X700,VLOOKUP(Z700,TIME!$S$28:$T$39,2,FALSE)),FC_DATA!$R$2:$AB$5000,MATCH("GS_I_M",FC_DATA!$R$1:$AB$1,0),FALSE)+FC_DATA!AB700)*0.5*FC_DATA!AG700),NA())</f>
        <v>#N/A</v>
      </c>
      <c r="AI700" s="491" t="e">
        <f ca="1">IF(V700="PARTNER.com",AH700,IF(AND(V700=V699,W700=W699),(1-AVERAGE(AD699,AD700))*AH700,(1-AVERAGE(AD700,VLOOKUP(_xlfn.CONCAT(U700,V700,W700,X700,M_BRAND_FC!$F$6),FC_DATA!$R$2:$AD$5000,MATCH("DISCOUNT_%_M",FC_DATA!$R$1:$AD$1,0),FALSE)))*AH700))</f>
        <v>#N/A</v>
      </c>
      <c r="AJ700" s="412" t="str">
        <f t="shared" ca="1" si="264"/>
        <v/>
      </c>
      <c r="AK700" s="413" t="str">
        <f>IFERROR(AE700/(Q_BRAND_FC!$T$24+1),"")</f>
        <v/>
      </c>
      <c r="AL700" s="88" t="str">
        <f t="shared" ca="1" si="265"/>
        <v/>
      </c>
      <c r="AM700" s="414" t="str">
        <f t="shared" ca="1" si="266"/>
        <v/>
      </c>
      <c r="AN700" s="58">
        <f>IFERROR(IF($V700="BRAND.com",HLOOKUP($X700&amp;$Z700,NWC_FC_NOOS!$C$4:$Q$23,MATCH(W700,NWC_FC_NOOS!$B$4:$B$23,0),FALSE),0),0)</f>
        <v>0</v>
      </c>
      <c r="AO700" s="57">
        <f>IFERROR(IF($V700="BRAND.com",HLOOKUP($X700&amp;$Z700,NWC_FC_NOOS!$T$4:$AH$23,MATCH(W700,NWC_FC_NOOS!$S$4:$S$23,0),FALSE),0),0)</f>
        <v>0</v>
      </c>
      <c r="AP700" s="57">
        <f>IFERROR(IF($V700="BRAND.com",HLOOKUP($X700&amp;$Z700,NWC_FC_NOOS!$C$50:$U$69,MATCH(W700,NWC_FC_NOOS!$B$50:$B$69,0),FALSE),0),0)</f>
        <v>0</v>
      </c>
      <c r="AQ700" s="58">
        <f>IFERROR(IF($V700="BRAND.com",HLOOKUP($X700&amp;$Z700,'NWC_FC_NON-NOOS'!$C$4:$Q$23,MATCH(W700,'NWC_FC_NON-NOOS'!$B$4:$B$23,0),FALSE),0),0)</f>
        <v>0</v>
      </c>
      <c r="AR700" s="57">
        <f>IFERROR(IF($V700="BRAND.com",HLOOKUP($X700&amp;$Z700,'NWC_FC_NON-NOOS'!$T$4:$AH$23,MATCH(W700,'NWC_FC_NON-NOOS'!$S$4:$S$23,0),FALSE),0),0)</f>
        <v>0</v>
      </c>
      <c r="AS700" s="57">
        <f>IFERROR(IF($V700="BRAND.com",HLOOKUP($X700&amp;$Z700,'NWC_FC_NON-NOOS'!$C$50:$U$69,MATCH(W700,'NWC_FC_NON-NOOS'!$B$50:$B$69,0),FALSE),0),0)</f>
        <v>0</v>
      </c>
      <c r="AT700" s="57">
        <f t="shared" si="268"/>
        <v>0</v>
      </c>
      <c r="AU700" s="57">
        <f t="shared" si="269"/>
        <v>0</v>
      </c>
      <c r="AV700" s="58">
        <f>IFERROR(IF($V700="BRAND.com",HLOOKUP($X700&amp;$Z700,PLANNING_FC!$BB$27:$BP$46,MATCH($W700,PLANNING_FC!$BA$27:$BA$46,0),FALSE),0),0)</f>
        <v>0</v>
      </c>
      <c r="AW700" s="58">
        <f>IFERROR(IF($V700="BRAND.com",HLOOKUP($X700&amp;$Z700,PLANNING_FC!$BB$4:$BP$23,MATCH($W700,PLANNING_FC!$BA$4:$BA$23,0),FALSE),0),0)</f>
        <v>0</v>
      </c>
      <c r="AX700" s="58">
        <f>IFERROR(IF($V700="BRAND.com",HLOOKUP($X700&amp;$Z700,PLANNING_FC!$T$27:$AH$46,MATCH($W700,PLANNING_FC!$B$27:$B$46,0),FALSE),0),0)</f>
        <v>0</v>
      </c>
      <c r="AY700" s="58">
        <f>IFERROR(IF($V700="BRAND.com",HLOOKUP($X700&amp;$Z700,PLANNING_FC!$T$4:$AH$23,MATCH($W700,PLANNING_FC!$B$4:$B$23,0),FALSE),0),0)</f>
        <v>0</v>
      </c>
      <c r="AZ700" s="58">
        <f>IFERROR(IF($V700="BRAND.com",HLOOKUP($X700&amp;$Z700,PLANNING_FC!$DA$27:$DO$46,MATCH($W700,PLANNING_FC!$CZ$27:$CZ$46,0),FALSE),0),0)</f>
        <v>0</v>
      </c>
      <c r="BA700" s="58">
        <f>IFERROR(IF($V700="BRAND.com",HLOOKUP($X700&amp;$Z700,PLANNING_FC!$DA$4:$DO$23,MATCH($W700,PLANNING_FC!$CZ$4:$CZ$23,0),FALSE),0),0)</f>
        <v>0</v>
      </c>
      <c r="BB700" s="883" t="str">
        <f>IF(V700="BRAND.com",IFERROR(HLOOKUP(X700&amp;Z700,PLANNING_FC!$AK$4:$AY$23,MATCH(W700,PLANNING_FC!$AJ$4:$AJ$23,0),FALSE)*1000,""),"")</f>
        <v/>
      </c>
      <c r="BC700" s="883" t="str">
        <f>IF(V700="BRAND.com",IFERROR(HLOOKUP(X700&amp;Z700,PLANNING_FC!$AK$27:$AY$46,MATCH(W700,PLANNING_FC!$AJ$27:$AJ$46,0),FALSE)*1000,""),"")</f>
        <v/>
      </c>
    </row>
    <row r="701" spans="14:55" x14ac:dyDescent="0.25">
      <c r="N701" s="56">
        <f t="shared" si="272"/>
        <v>0</v>
      </c>
      <c r="O701" s="57">
        <f t="shared" si="273"/>
        <v>0</v>
      </c>
      <c r="P701" s="57">
        <f ca="1">IFERROR(IF(ISBLANK(H701),SUMIFS($AC:$AC,$V:$V,V701,$W:$W,W701,$X:$X,X701,$Y:$Y,Y701)*J701/(1-J701)*VLOOKUP(_xlfn.CONCAT(C701,D701,E701,TIME!$M$12,Z701),HIS_SALES!$B$2:$W$4859,20,FALSE),AC701*J701/(1-J701)),0)</f>
        <v>0</v>
      </c>
      <c r="Q701" s="541" t="str">
        <f t="shared" si="283"/>
        <v/>
      </c>
      <c r="R701" s="346" t="str">
        <f t="shared" si="262"/>
        <v>00000</v>
      </c>
      <c r="S701" s="344">
        <f t="shared" si="274"/>
        <v>0</v>
      </c>
      <c r="T701" s="345" t="str">
        <f t="shared" si="267"/>
        <v>000</v>
      </c>
      <c r="U701" s="345">
        <f t="shared" si="275"/>
        <v>0</v>
      </c>
      <c r="V701" s="345">
        <f t="shared" si="276"/>
        <v>0</v>
      </c>
      <c r="W701" s="345">
        <f t="shared" si="277"/>
        <v>0</v>
      </c>
      <c r="X701" s="345">
        <f t="shared" si="278"/>
        <v>0</v>
      </c>
      <c r="Y701" s="345">
        <f t="shared" si="279"/>
        <v>0</v>
      </c>
      <c r="Z701" s="345">
        <f>IF(Q701&lt;&gt;"",VLOOKUP(Y701,TIME!$R$21:$V$24,MATCH(FC_DATA!Q701,TIME!$R$20:$V$20,0),FALSE),H701)</f>
        <v>0</v>
      </c>
      <c r="AA701" s="345" t="str">
        <f>IFERROR(VLOOKUP(X701&amp;Z701,TIME!$A$12:$D$71,4,FALSE),"")</f>
        <v/>
      </c>
      <c r="AB701" s="592">
        <f t="shared" ca="1" si="263"/>
        <v>0</v>
      </c>
      <c r="AC701" s="593" t="e">
        <f ca="1">IF(ISBLANK(H701)=FALSE,IF(D701="BRAND.com",I701,IF(ISNA(VLOOKUP(_xlfn.CONCAT(X701,Z701),TIME!$M$40:$M$42,1,FALSE)),I701,VLOOKUP(_xlfn.CONCAT(D701,G701,H701),M_BUSAREA_FC!$AF$5:$AJ$10,5,FALSE)*HLOOKUP(_xlfn.CONCAT(F701,H701),ST_OVERVIEW!$G$99:$I$130,MATCH(_xlfn.CONCAT(D701,E701),ST_OVERVIEW!$F$99:$F$130,0),FALSE))),IF(D701="BRAND.com",VLOOKUP(_xlfn.CONCAT(C701,D701,E701,TIME!$F$1,Z701),HIS_SALES!$B$2:$V$4859,19,FALSE)*I701,VLOOKUP(_xlfn.CONCAT(D701,F701,G701),Q_BUSAREA_FC!$AE$5:$AI$12,5,FALSE)*HLOOKUP(_xlfn.CONCAT(FC_DATA!F701,FC_DATA!G701),LT_OVERVIEW!$I$99:$M$130,MATCH(_xlfn.CONCAT(D701,FC_DATA!E701),LT_OVERVIEW!$H$99:$H$130,0),FALSE)*IFERROR(VLOOKUP(_xlfn.CONCAT(C701,D701,E701,TIME!$F$1,Z701),HIS_SALES!$B$2:$V$4859,19,FALSE),0)))</f>
        <v>#N/A</v>
      </c>
      <c r="AD701" s="341">
        <f t="shared" ca="1" si="280"/>
        <v>0</v>
      </c>
      <c r="AE701" s="363" t="str">
        <f t="shared" si="281"/>
        <v/>
      </c>
      <c r="AF701" s="342" t="str">
        <f t="shared" si="282"/>
        <v/>
      </c>
      <c r="AG701" s="411" t="e">
        <f ca="1">VLOOKUP(_xlfn.CONCAT(U701,V701,W701,VLOOKUP(X701&amp;Y701,TIME!$L$27:$O$34,4,FALSE),Y701),HIS_SALES!$A$2:$R$5093,18,FALSE)</f>
        <v>#N/A</v>
      </c>
      <c r="AH701" s="412" t="e">
        <f ca="1">IFERROR(IF(AND(V701=V700,W701=W700),0.5*(AB701+AB700)*AG701,(VLOOKUP(_xlfn.CONCAT(U701,V701,W701,X701,VLOOKUP(Z701,TIME!$S$28:$T$39,2,FALSE)),FC_DATA!$R$2:$AB$5000,MATCH("GS_I_M",FC_DATA!$R$1:$AB$1,0),FALSE)+FC_DATA!AB701)*0.5*FC_DATA!AG701),NA())</f>
        <v>#N/A</v>
      </c>
      <c r="AI701" s="491" t="e">
        <f ca="1">IF(V701="PARTNER.com",AH701,IF(AND(V701=V700,W701=W700),(1-AVERAGE(AD700,AD701))*AH701,(1-AVERAGE(AD701,VLOOKUP(_xlfn.CONCAT(U701,V701,W701,X701,M_BRAND_FC!$F$6),FC_DATA!$R$2:$AD$5000,MATCH("DISCOUNT_%_M",FC_DATA!$R$1:$AD$1,0),FALSE)))*AH701))</f>
        <v>#N/A</v>
      </c>
      <c r="AJ701" s="412" t="str">
        <f t="shared" ca="1" si="264"/>
        <v/>
      </c>
      <c r="AK701" s="413" t="str">
        <f>IFERROR(AE701/(Q_BRAND_FC!$T$24+1),"")</f>
        <v/>
      </c>
      <c r="AL701" s="88" t="str">
        <f t="shared" ca="1" si="265"/>
        <v/>
      </c>
      <c r="AM701" s="414" t="str">
        <f t="shared" ca="1" si="266"/>
        <v/>
      </c>
      <c r="AN701" s="58">
        <f>IFERROR(IF($V701="BRAND.com",HLOOKUP($X701&amp;$Z701,NWC_FC_NOOS!$C$4:$Q$23,MATCH(W701,NWC_FC_NOOS!$B$4:$B$23,0),FALSE),0),0)</f>
        <v>0</v>
      </c>
      <c r="AO701" s="57">
        <f>IFERROR(IF($V701="BRAND.com",HLOOKUP($X701&amp;$Z701,NWC_FC_NOOS!$T$4:$AH$23,MATCH(W701,NWC_FC_NOOS!$S$4:$S$23,0),FALSE),0),0)</f>
        <v>0</v>
      </c>
      <c r="AP701" s="57">
        <f>IFERROR(IF($V701="BRAND.com",HLOOKUP($X701&amp;$Z701,NWC_FC_NOOS!$C$50:$U$69,MATCH(W701,NWC_FC_NOOS!$B$50:$B$69,0),FALSE),0),0)</f>
        <v>0</v>
      </c>
      <c r="AQ701" s="58">
        <f>IFERROR(IF($V701="BRAND.com",HLOOKUP($X701&amp;$Z701,'NWC_FC_NON-NOOS'!$C$4:$Q$23,MATCH(W701,'NWC_FC_NON-NOOS'!$B$4:$B$23,0),FALSE),0),0)</f>
        <v>0</v>
      </c>
      <c r="AR701" s="57">
        <f>IFERROR(IF($V701="BRAND.com",HLOOKUP($X701&amp;$Z701,'NWC_FC_NON-NOOS'!$T$4:$AH$23,MATCH(W701,'NWC_FC_NON-NOOS'!$S$4:$S$23,0),FALSE),0),0)</f>
        <v>0</v>
      </c>
      <c r="AS701" s="57">
        <f>IFERROR(IF($V701="BRAND.com",HLOOKUP($X701&amp;$Z701,'NWC_FC_NON-NOOS'!$C$50:$U$69,MATCH(W701,'NWC_FC_NON-NOOS'!$B$50:$B$69,0),FALSE),0),0)</f>
        <v>0</v>
      </c>
      <c r="AT701" s="57">
        <f t="shared" si="268"/>
        <v>0</v>
      </c>
      <c r="AU701" s="57">
        <f t="shared" si="269"/>
        <v>0</v>
      </c>
      <c r="AV701" s="58">
        <f>IFERROR(IF($V701="BRAND.com",HLOOKUP($X701&amp;$Z701,PLANNING_FC!$BB$27:$BP$46,MATCH($W701,PLANNING_FC!$BA$27:$BA$46,0),FALSE),0),0)</f>
        <v>0</v>
      </c>
      <c r="AW701" s="58">
        <f>IFERROR(IF($V701="BRAND.com",HLOOKUP($X701&amp;$Z701,PLANNING_FC!$BB$4:$BP$23,MATCH($W701,PLANNING_FC!$BA$4:$BA$23,0),FALSE),0),0)</f>
        <v>0</v>
      </c>
      <c r="AX701" s="58">
        <f>IFERROR(IF($V701="BRAND.com",HLOOKUP($X701&amp;$Z701,PLANNING_FC!$T$27:$AH$46,MATCH($W701,PLANNING_FC!$B$27:$B$46,0),FALSE),0),0)</f>
        <v>0</v>
      </c>
      <c r="AY701" s="58">
        <f>IFERROR(IF($V701="BRAND.com",HLOOKUP($X701&amp;$Z701,PLANNING_FC!$T$4:$AH$23,MATCH($W701,PLANNING_FC!$B$4:$B$23,0),FALSE),0),0)</f>
        <v>0</v>
      </c>
      <c r="AZ701" s="58">
        <f>IFERROR(IF($V701="BRAND.com",HLOOKUP($X701&amp;$Z701,PLANNING_FC!$DA$27:$DO$46,MATCH($W701,PLANNING_FC!$CZ$27:$CZ$46,0),FALSE),0),0)</f>
        <v>0</v>
      </c>
      <c r="BA701" s="58">
        <f>IFERROR(IF($V701="BRAND.com",HLOOKUP($X701&amp;$Z701,PLANNING_FC!$DA$4:$DO$23,MATCH($W701,PLANNING_FC!$CZ$4:$CZ$23,0),FALSE),0),0)</f>
        <v>0</v>
      </c>
      <c r="BB701" s="883" t="str">
        <f>IF(V701="BRAND.com",IFERROR(HLOOKUP(X701&amp;Z701,PLANNING_FC!$AK$4:$AY$23,MATCH(W701,PLANNING_FC!$AJ$4:$AJ$23,0),FALSE)*1000,""),"")</f>
        <v/>
      </c>
      <c r="BC701" s="883" t="str">
        <f>IF(V701="BRAND.com",IFERROR(HLOOKUP(X701&amp;Z701,PLANNING_FC!$AK$27:$AY$46,MATCH(W701,PLANNING_FC!$AJ$27:$AJ$46,0),FALSE)*1000,""),"")</f>
        <v/>
      </c>
    </row>
    <row r="702" spans="14:55" x14ac:dyDescent="0.25">
      <c r="N702" s="56">
        <f t="shared" si="272"/>
        <v>0</v>
      </c>
      <c r="O702" s="57">
        <f t="shared" si="273"/>
        <v>0</v>
      </c>
      <c r="P702" s="57">
        <f ca="1">IFERROR(IF(ISBLANK(H702),SUMIFS($AC:$AC,$V:$V,V702,$W:$W,W702,$X:$X,X702,$Y:$Y,Y702)*J702/(1-J702)*VLOOKUP(_xlfn.CONCAT(C702,D702,E702,TIME!$M$12,Z702),HIS_SALES!$B$2:$W$4859,20,FALSE),AC702*J702/(1-J702)),0)</f>
        <v>0</v>
      </c>
      <c r="Q702" s="541" t="str">
        <f t="shared" si="283"/>
        <v/>
      </c>
      <c r="R702" s="346" t="str">
        <f t="shared" si="262"/>
        <v>00000</v>
      </c>
      <c r="S702" s="344">
        <f t="shared" si="274"/>
        <v>0</v>
      </c>
      <c r="T702" s="345" t="str">
        <f t="shared" si="267"/>
        <v>000</v>
      </c>
      <c r="U702" s="345">
        <f t="shared" si="275"/>
        <v>0</v>
      </c>
      <c r="V702" s="345">
        <f t="shared" si="276"/>
        <v>0</v>
      </c>
      <c r="W702" s="345">
        <f t="shared" si="277"/>
        <v>0</v>
      </c>
      <c r="X702" s="345">
        <f t="shared" si="278"/>
        <v>0</v>
      </c>
      <c r="Y702" s="345">
        <f t="shared" si="279"/>
        <v>0</v>
      </c>
      <c r="Z702" s="345">
        <f>IF(Q702&lt;&gt;"",VLOOKUP(Y702,TIME!$R$21:$V$24,MATCH(FC_DATA!Q702,TIME!$R$20:$V$20,0),FALSE),H702)</f>
        <v>0</v>
      </c>
      <c r="AA702" s="345" t="str">
        <f>IFERROR(VLOOKUP(X702&amp;Z702,TIME!$A$12:$D$71,4,FALSE),"")</f>
        <v/>
      </c>
      <c r="AB702" s="592">
        <f t="shared" ca="1" si="263"/>
        <v>0</v>
      </c>
      <c r="AC702" s="593" t="e">
        <f ca="1">IF(ISBLANK(H702)=FALSE,IF(D702="BRAND.com",I702,IF(ISNA(VLOOKUP(_xlfn.CONCAT(X702,Z702),TIME!$M$40:$M$42,1,FALSE)),I702,VLOOKUP(_xlfn.CONCAT(D702,G702,H702),M_BUSAREA_FC!$AF$5:$AJ$10,5,FALSE)*HLOOKUP(_xlfn.CONCAT(F702,H702),ST_OVERVIEW!$G$99:$I$130,MATCH(_xlfn.CONCAT(D702,E702),ST_OVERVIEW!$F$99:$F$130,0),FALSE))),IF(D702="BRAND.com",VLOOKUP(_xlfn.CONCAT(C702,D702,E702,TIME!$F$1,Z702),HIS_SALES!$B$2:$V$4859,19,FALSE)*I702,VLOOKUP(_xlfn.CONCAT(D702,F702,G702),Q_BUSAREA_FC!$AE$5:$AI$12,5,FALSE)*HLOOKUP(_xlfn.CONCAT(FC_DATA!F702,FC_DATA!G702),LT_OVERVIEW!$I$99:$M$130,MATCH(_xlfn.CONCAT(D702,FC_DATA!E702),LT_OVERVIEW!$H$99:$H$130,0),FALSE)*IFERROR(VLOOKUP(_xlfn.CONCAT(C702,D702,E702,TIME!$F$1,Z702),HIS_SALES!$B$2:$V$4859,19,FALSE),0)))</f>
        <v>#N/A</v>
      </c>
      <c r="AD702" s="341">
        <f t="shared" ca="1" si="280"/>
        <v>0</v>
      </c>
      <c r="AE702" s="363" t="str">
        <f t="shared" si="281"/>
        <v/>
      </c>
      <c r="AF702" s="342" t="str">
        <f t="shared" si="282"/>
        <v/>
      </c>
      <c r="AG702" s="411" t="e">
        <f ca="1">VLOOKUP(_xlfn.CONCAT(U702,V702,W702,VLOOKUP(X702&amp;Y702,TIME!$L$27:$O$34,4,FALSE),Y702),HIS_SALES!$A$2:$R$5093,18,FALSE)</f>
        <v>#N/A</v>
      </c>
      <c r="AH702" s="412" t="e">
        <f ca="1">IFERROR(IF(AND(V702=V701,W702=W701),0.5*(AB702+AB701)*AG702,(VLOOKUP(_xlfn.CONCAT(U702,V702,W702,X702,VLOOKUP(Z702,TIME!$S$28:$T$39,2,FALSE)),FC_DATA!$R$2:$AB$5000,MATCH("GS_I_M",FC_DATA!$R$1:$AB$1,0),FALSE)+FC_DATA!AB702)*0.5*FC_DATA!AG702),NA())</f>
        <v>#N/A</v>
      </c>
      <c r="AI702" s="491" t="e">
        <f ca="1">IF(V702="PARTNER.com",AH702,IF(AND(V702=V701,W702=W701),(1-AVERAGE(AD701,AD702))*AH702,(1-AVERAGE(AD702,VLOOKUP(_xlfn.CONCAT(U702,V702,W702,X702,M_BRAND_FC!$F$6),FC_DATA!$R$2:$AD$5000,MATCH("DISCOUNT_%_M",FC_DATA!$R$1:$AD$1,0),FALSE)))*AH702))</f>
        <v>#N/A</v>
      </c>
      <c r="AJ702" s="412" t="str">
        <f t="shared" ca="1" si="264"/>
        <v/>
      </c>
      <c r="AK702" s="413" t="str">
        <f>IFERROR(AE702/(Q_BRAND_FC!$T$24+1),"")</f>
        <v/>
      </c>
      <c r="AL702" s="88" t="str">
        <f t="shared" ca="1" si="265"/>
        <v/>
      </c>
      <c r="AM702" s="414" t="str">
        <f t="shared" ca="1" si="266"/>
        <v/>
      </c>
      <c r="AN702" s="58">
        <f>IFERROR(IF($V702="BRAND.com",HLOOKUP($X702&amp;$Z702,NWC_FC_NOOS!$C$4:$Q$23,MATCH(W702,NWC_FC_NOOS!$B$4:$B$23,0),FALSE),0),0)</f>
        <v>0</v>
      </c>
      <c r="AO702" s="57">
        <f>IFERROR(IF($V702="BRAND.com",HLOOKUP($X702&amp;$Z702,NWC_FC_NOOS!$T$4:$AH$23,MATCH(W702,NWC_FC_NOOS!$S$4:$S$23,0),FALSE),0),0)</f>
        <v>0</v>
      </c>
      <c r="AP702" s="57">
        <f>IFERROR(IF($V702="BRAND.com",HLOOKUP($X702&amp;$Z702,NWC_FC_NOOS!$C$50:$U$69,MATCH(W702,NWC_FC_NOOS!$B$50:$B$69,0),FALSE),0),0)</f>
        <v>0</v>
      </c>
      <c r="AQ702" s="58">
        <f>IFERROR(IF($V702="BRAND.com",HLOOKUP($X702&amp;$Z702,'NWC_FC_NON-NOOS'!$C$4:$Q$23,MATCH(W702,'NWC_FC_NON-NOOS'!$B$4:$B$23,0),FALSE),0),0)</f>
        <v>0</v>
      </c>
      <c r="AR702" s="57">
        <f>IFERROR(IF($V702="BRAND.com",HLOOKUP($X702&amp;$Z702,'NWC_FC_NON-NOOS'!$T$4:$AH$23,MATCH(W702,'NWC_FC_NON-NOOS'!$S$4:$S$23,0),FALSE),0),0)</f>
        <v>0</v>
      </c>
      <c r="AS702" s="57">
        <f>IFERROR(IF($V702="BRAND.com",HLOOKUP($X702&amp;$Z702,'NWC_FC_NON-NOOS'!$C$50:$U$69,MATCH(W702,'NWC_FC_NON-NOOS'!$B$50:$B$69,0),FALSE),0),0)</f>
        <v>0</v>
      </c>
      <c r="AT702" s="57">
        <f t="shared" si="268"/>
        <v>0</v>
      </c>
      <c r="AU702" s="57">
        <f t="shared" si="269"/>
        <v>0</v>
      </c>
      <c r="AV702" s="58">
        <f>IFERROR(IF($V702="BRAND.com",HLOOKUP($X702&amp;$Z702,PLANNING_FC!$BB$27:$BP$46,MATCH($W702,PLANNING_FC!$BA$27:$BA$46,0),FALSE),0),0)</f>
        <v>0</v>
      </c>
      <c r="AW702" s="58">
        <f>IFERROR(IF($V702="BRAND.com",HLOOKUP($X702&amp;$Z702,PLANNING_FC!$BB$4:$BP$23,MATCH($W702,PLANNING_FC!$BA$4:$BA$23,0),FALSE),0),0)</f>
        <v>0</v>
      </c>
      <c r="AX702" s="58">
        <f>IFERROR(IF($V702="BRAND.com",HLOOKUP($X702&amp;$Z702,PLANNING_FC!$T$27:$AH$46,MATCH($W702,PLANNING_FC!$B$27:$B$46,0),FALSE),0),0)</f>
        <v>0</v>
      </c>
      <c r="AY702" s="58">
        <f>IFERROR(IF($V702="BRAND.com",HLOOKUP($X702&amp;$Z702,PLANNING_FC!$T$4:$AH$23,MATCH($W702,PLANNING_FC!$B$4:$B$23,0),FALSE),0),0)</f>
        <v>0</v>
      </c>
      <c r="AZ702" s="58">
        <f>IFERROR(IF($V702="BRAND.com",HLOOKUP($X702&amp;$Z702,PLANNING_FC!$DA$27:$DO$46,MATCH($W702,PLANNING_FC!$CZ$27:$CZ$46,0),FALSE),0),0)</f>
        <v>0</v>
      </c>
      <c r="BA702" s="58">
        <f>IFERROR(IF($V702="BRAND.com",HLOOKUP($X702&amp;$Z702,PLANNING_FC!$DA$4:$DO$23,MATCH($W702,PLANNING_FC!$CZ$4:$CZ$23,0),FALSE),0),0)</f>
        <v>0</v>
      </c>
      <c r="BB702" s="883" t="str">
        <f>IF(V702="BRAND.com",IFERROR(HLOOKUP(X702&amp;Z702,PLANNING_FC!$AK$4:$AY$23,MATCH(W702,PLANNING_FC!$AJ$4:$AJ$23,0),FALSE)*1000,""),"")</f>
        <v/>
      </c>
      <c r="BC702" s="883" t="str">
        <f>IF(V702="BRAND.com",IFERROR(HLOOKUP(X702&amp;Z702,PLANNING_FC!$AK$27:$AY$46,MATCH(W702,PLANNING_FC!$AJ$27:$AJ$46,0),FALSE)*1000,""),"")</f>
        <v/>
      </c>
    </row>
    <row r="703" spans="14:55" x14ac:dyDescent="0.25">
      <c r="N703" s="56">
        <f t="shared" si="272"/>
        <v>0</v>
      </c>
      <c r="O703" s="57">
        <f t="shared" si="273"/>
        <v>0</v>
      </c>
      <c r="P703" s="57">
        <f ca="1">IFERROR(IF(ISBLANK(H703),SUMIFS($AC:$AC,$V:$V,V703,$W:$W,W703,$X:$X,X703,$Y:$Y,Y703)*J703/(1-J703)*VLOOKUP(_xlfn.CONCAT(C703,D703,E703,TIME!$M$12,Z703),HIS_SALES!$B$2:$W$4859,20,FALSE),AC703*J703/(1-J703)),0)</f>
        <v>0</v>
      </c>
      <c r="Q703" s="541" t="str">
        <f t="shared" si="283"/>
        <v/>
      </c>
      <c r="R703" s="346" t="str">
        <f t="shared" si="262"/>
        <v>00000</v>
      </c>
      <c r="S703" s="344">
        <f t="shared" si="274"/>
        <v>0</v>
      </c>
      <c r="T703" s="345" t="str">
        <f t="shared" si="267"/>
        <v>000</v>
      </c>
      <c r="U703" s="345">
        <f t="shared" si="275"/>
        <v>0</v>
      </c>
      <c r="V703" s="345">
        <f t="shared" si="276"/>
        <v>0</v>
      </c>
      <c r="W703" s="345">
        <f t="shared" si="277"/>
        <v>0</v>
      </c>
      <c r="X703" s="345">
        <f t="shared" si="278"/>
        <v>0</v>
      </c>
      <c r="Y703" s="345">
        <f t="shared" si="279"/>
        <v>0</v>
      </c>
      <c r="Z703" s="345">
        <f>IF(Q703&lt;&gt;"",VLOOKUP(Y703,TIME!$R$21:$V$24,MATCH(FC_DATA!Q703,TIME!$R$20:$V$20,0),FALSE),H703)</f>
        <v>0</v>
      </c>
      <c r="AA703" s="345" t="str">
        <f>IFERROR(VLOOKUP(X703&amp;Z703,TIME!$A$12:$D$71,4,FALSE),"")</f>
        <v/>
      </c>
      <c r="AB703" s="592">
        <f t="shared" ca="1" si="263"/>
        <v>0</v>
      </c>
      <c r="AC703" s="593" t="e">
        <f ca="1">IF(ISBLANK(H703)=FALSE,IF(D703="BRAND.com",I703,IF(ISNA(VLOOKUP(_xlfn.CONCAT(X703,Z703),TIME!$M$40:$M$42,1,FALSE)),I703,VLOOKUP(_xlfn.CONCAT(D703,G703,H703),M_BUSAREA_FC!$AF$5:$AJ$10,5,FALSE)*HLOOKUP(_xlfn.CONCAT(F703,H703),ST_OVERVIEW!$G$99:$I$130,MATCH(_xlfn.CONCAT(D703,E703),ST_OVERVIEW!$F$99:$F$130,0),FALSE))),IF(D703="BRAND.com",VLOOKUP(_xlfn.CONCAT(C703,D703,E703,TIME!$F$1,Z703),HIS_SALES!$B$2:$V$4859,19,FALSE)*I703,VLOOKUP(_xlfn.CONCAT(D703,F703,G703),Q_BUSAREA_FC!$AE$5:$AI$12,5,FALSE)*HLOOKUP(_xlfn.CONCAT(FC_DATA!F703,FC_DATA!G703),LT_OVERVIEW!$I$99:$M$130,MATCH(_xlfn.CONCAT(D703,FC_DATA!E703),LT_OVERVIEW!$H$99:$H$130,0),FALSE)*IFERROR(VLOOKUP(_xlfn.CONCAT(C703,D703,E703,TIME!$F$1,Z703),HIS_SALES!$B$2:$V$4859,19,FALSE),0)))</f>
        <v>#N/A</v>
      </c>
      <c r="AD703" s="341">
        <f t="shared" ca="1" si="280"/>
        <v>0</v>
      </c>
      <c r="AE703" s="363" t="str">
        <f t="shared" si="281"/>
        <v/>
      </c>
      <c r="AF703" s="342" t="str">
        <f t="shared" si="282"/>
        <v/>
      </c>
      <c r="AG703" s="411" t="e">
        <f ca="1">VLOOKUP(_xlfn.CONCAT(U703,V703,W703,VLOOKUP(X703&amp;Y703,TIME!$L$27:$O$34,4,FALSE),Y703),HIS_SALES!$A$2:$R$5093,18,FALSE)</f>
        <v>#N/A</v>
      </c>
      <c r="AH703" s="412" t="e">
        <f ca="1">IFERROR(IF(AND(V703=V702,W703=W702),0.5*(AB703+AB702)*AG703,(VLOOKUP(_xlfn.CONCAT(U703,V703,W703,X703,VLOOKUP(Z703,TIME!$S$28:$T$39,2,FALSE)),FC_DATA!$R$2:$AB$5000,MATCH("GS_I_M",FC_DATA!$R$1:$AB$1,0),FALSE)+FC_DATA!AB703)*0.5*FC_DATA!AG703),NA())</f>
        <v>#N/A</v>
      </c>
      <c r="AI703" s="491" t="e">
        <f ca="1">IF(V703="PARTNER.com",AH703,IF(AND(V703=V702,W703=W702),(1-AVERAGE(AD702,AD703))*AH703,(1-AVERAGE(AD703,VLOOKUP(_xlfn.CONCAT(U703,V703,W703,X703,M_BRAND_FC!$F$6),FC_DATA!$R$2:$AD$5000,MATCH("DISCOUNT_%_M",FC_DATA!$R$1:$AD$1,0),FALSE)))*AH703))</f>
        <v>#N/A</v>
      </c>
      <c r="AJ703" s="412" t="str">
        <f t="shared" ca="1" si="264"/>
        <v/>
      </c>
      <c r="AK703" s="413" t="str">
        <f>IFERROR(AE703/(Q_BRAND_FC!$T$24+1),"")</f>
        <v/>
      </c>
      <c r="AL703" s="88" t="str">
        <f t="shared" ca="1" si="265"/>
        <v/>
      </c>
      <c r="AM703" s="414" t="str">
        <f t="shared" ca="1" si="266"/>
        <v/>
      </c>
      <c r="AN703" s="58">
        <f>IFERROR(IF($V703="BRAND.com",HLOOKUP($X703&amp;$Z703,NWC_FC_NOOS!$C$4:$Q$23,MATCH(W703,NWC_FC_NOOS!$B$4:$B$23,0),FALSE),0),0)</f>
        <v>0</v>
      </c>
      <c r="AO703" s="57">
        <f>IFERROR(IF($V703="BRAND.com",HLOOKUP($X703&amp;$Z703,NWC_FC_NOOS!$T$4:$AH$23,MATCH(W703,NWC_FC_NOOS!$S$4:$S$23,0),FALSE),0),0)</f>
        <v>0</v>
      </c>
      <c r="AP703" s="57">
        <f>IFERROR(IF($V703="BRAND.com",HLOOKUP($X703&amp;$Z703,NWC_FC_NOOS!$C$50:$U$69,MATCH(W703,NWC_FC_NOOS!$B$50:$B$69,0),FALSE),0),0)</f>
        <v>0</v>
      </c>
      <c r="AQ703" s="58">
        <f>IFERROR(IF($V703="BRAND.com",HLOOKUP($X703&amp;$Z703,'NWC_FC_NON-NOOS'!$C$4:$Q$23,MATCH(W703,'NWC_FC_NON-NOOS'!$B$4:$B$23,0),FALSE),0),0)</f>
        <v>0</v>
      </c>
      <c r="AR703" s="57">
        <f>IFERROR(IF($V703="BRAND.com",HLOOKUP($X703&amp;$Z703,'NWC_FC_NON-NOOS'!$T$4:$AH$23,MATCH(W703,'NWC_FC_NON-NOOS'!$S$4:$S$23,0),FALSE),0),0)</f>
        <v>0</v>
      </c>
      <c r="AS703" s="57">
        <f>IFERROR(IF($V703="BRAND.com",HLOOKUP($X703&amp;$Z703,'NWC_FC_NON-NOOS'!$C$50:$U$69,MATCH(W703,'NWC_FC_NON-NOOS'!$B$50:$B$69,0),FALSE),0),0)</f>
        <v>0</v>
      </c>
      <c r="AT703" s="57">
        <f t="shared" si="268"/>
        <v>0</v>
      </c>
      <c r="AU703" s="57">
        <f t="shared" si="269"/>
        <v>0</v>
      </c>
      <c r="AV703" s="58">
        <f>IFERROR(IF($V703="BRAND.com",HLOOKUP($X703&amp;$Z703,PLANNING_FC!$BB$27:$BP$46,MATCH($W703,PLANNING_FC!$BA$27:$BA$46,0),FALSE),0),0)</f>
        <v>0</v>
      </c>
      <c r="AW703" s="58">
        <f>IFERROR(IF($V703="BRAND.com",HLOOKUP($X703&amp;$Z703,PLANNING_FC!$BB$4:$BP$23,MATCH($W703,PLANNING_FC!$BA$4:$BA$23,0),FALSE),0),0)</f>
        <v>0</v>
      </c>
      <c r="AX703" s="58">
        <f>IFERROR(IF($V703="BRAND.com",HLOOKUP($X703&amp;$Z703,PLANNING_FC!$T$27:$AH$46,MATCH($W703,PLANNING_FC!$B$27:$B$46,0),FALSE),0),0)</f>
        <v>0</v>
      </c>
      <c r="AY703" s="58">
        <f>IFERROR(IF($V703="BRAND.com",HLOOKUP($X703&amp;$Z703,PLANNING_FC!$T$4:$AH$23,MATCH($W703,PLANNING_FC!$B$4:$B$23,0),FALSE),0),0)</f>
        <v>0</v>
      </c>
      <c r="AZ703" s="58">
        <f>IFERROR(IF($V703="BRAND.com",HLOOKUP($X703&amp;$Z703,PLANNING_FC!$DA$27:$DO$46,MATCH($W703,PLANNING_FC!$CZ$27:$CZ$46,0),FALSE),0),0)</f>
        <v>0</v>
      </c>
      <c r="BA703" s="58">
        <f>IFERROR(IF($V703="BRAND.com",HLOOKUP($X703&amp;$Z703,PLANNING_FC!$DA$4:$DO$23,MATCH($W703,PLANNING_FC!$CZ$4:$CZ$23,0),FALSE),0),0)</f>
        <v>0</v>
      </c>
      <c r="BB703" s="883" t="str">
        <f>IF(V703="BRAND.com",IFERROR(HLOOKUP(X703&amp;Z703,PLANNING_FC!$AK$4:$AY$23,MATCH(W703,PLANNING_FC!$AJ$4:$AJ$23,0),FALSE)*1000,""),"")</f>
        <v/>
      </c>
      <c r="BC703" s="883" t="str">
        <f>IF(V703="BRAND.com",IFERROR(HLOOKUP(X703&amp;Z703,PLANNING_FC!$AK$27:$AY$46,MATCH(W703,PLANNING_FC!$AJ$27:$AJ$46,0),FALSE)*1000,""),"")</f>
        <v/>
      </c>
    </row>
    <row r="704" spans="14:55" x14ac:dyDescent="0.25">
      <c r="N704" s="56">
        <f t="shared" si="272"/>
        <v>0</v>
      </c>
      <c r="O704" s="57">
        <f t="shared" si="273"/>
        <v>0</v>
      </c>
      <c r="P704" s="57">
        <f ca="1">IFERROR(IF(ISBLANK(H704),SUMIFS($AC:$AC,$V:$V,V704,$W:$W,W704,$X:$X,X704,$Y:$Y,Y704)*J704/(1-J704)*VLOOKUP(_xlfn.CONCAT(C704,D704,E704,TIME!$M$12,Z704),HIS_SALES!$B$2:$W$4859,20,FALSE),AC704*J704/(1-J704)),0)</f>
        <v>0</v>
      </c>
      <c r="Q704" s="541" t="str">
        <f t="shared" si="283"/>
        <v/>
      </c>
      <c r="R704" s="346" t="str">
        <f t="shared" si="262"/>
        <v>00000</v>
      </c>
      <c r="S704" s="344">
        <f t="shared" si="274"/>
        <v>0</v>
      </c>
      <c r="T704" s="345" t="str">
        <f t="shared" si="267"/>
        <v>000</v>
      </c>
      <c r="U704" s="345">
        <f t="shared" si="275"/>
        <v>0</v>
      </c>
      <c r="V704" s="345">
        <f t="shared" si="276"/>
        <v>0</v>
      </c>
      <c r="W704" s="345">
        <f t="shared" si="277"/>
        <v>0</v>
      </c>
      <c r="X704" s="345">
        <f t="shared" si="278"/>
        <v>0</v>
      </c>
      <c r="Y704" s="345">
        <f t="shared" si="279"/>
        <v>0</v>
      </c>
      <c r="Z704" s="345">
        <f>IF(Q704&lt;&gt;"",VLOOKUP(Y704,TIME!$R$21:$V$24,MATCH(FC_DATA!Q704,TIME!$R$20:$V$20,0),FALSE),H704)</f>
        <v>0</v>
      </c>
      <c r="AA704" s="345" t="str">
        <f>IFERROR(VLOOKUP(X704&amp;Z704,TIME!$A$12:$D$71,4,FALSE),"")</f>
        <v/>
      </c>
      <c r="AB704" s="592">
        <f t="shared" ca="1" si="263"/>
        <v>0</v>
      </c>
      <c r="AC704" s="593" t="e">
        <f ca="1">IF(ISBLANK(H704)=FALSE,IF(D704="BRAND.com",I704,IF(ISNA(VLOOKUP(_xlfn.CONCAT(X704,Z704),TIME!$M$40:$M$42,1,FALSE)),I704,VLOOKUP(_xlfn.CONCAT(D704,G704,H704),M_BUSAREA_FC!$AF$5:$AJ$10,5,FALSE)*HLOOKUP(_xlfn.CONCAT(F704,H704),ST_OVERVIEW!$G$99:$I$130,MATCH(_xlfn.CONCAT(D704,E704),ST_OVERVIEW!$F$99:$F$130,0),FALSE))),IF(D704="BRAND.com",VLOOKUP(_xlfn.CONCAT(C704,D704,E704,TIME!$F$1,Z704),HIS_SALES!$B$2:$V$4859,19,FALSE)*I704,VLOOKUP(_xlfn.CONCAT(D704,F704,G704),Q_BUSAREA_FC!$AE$5:$AI$12,5,FALSE)*HLOOKUP(_xlfn.CONCAT(FC_DATA!F704,FC_DATA!G704),LT_OVERVIEW!$I$99:$M$130,MATCH(_xlfn.CONCAT(D704,FC_DATA!E704),LT_OVERVIEW!$H$99:$H$130,0),FALSE)*IFERROR(VLOOKUP(_xlfn.CONCAT(C704,D704,E704,TIME!$F$1,Z704),HIS_SALES!$B$2:$V$4859,19,FALSE),0)))</f>
        <v>#N/A</v>
      </c>
      <c r="AD704" s="341">
        <f t="shared" ca="1" si="280"/>
        <v>0</v>
      </c>
      <c r="AE704" s="363" t="str">
        <f t="shared" si="281"/>
        <v/>
      </c>
      <c r="AF704" s="342" t="str">
        <f t="shared" si="282"/>
        <v/>
      </c>
      <c r="AG704" s="411" t="e">
        <f ca="1">VLOOKUP(_xlfn.CONCAT(U704,V704,W704,VLOOKUP(X704&amp;Y704,TIME!$L$27:$O$34,4,FALSE),Y704),HIS_SALES!$A$2:$R$5093,18,FALSE)</f>
        <v>#N/A</v>
      </c>
      <c r="AH704" s="412" t="e">
        <f ca="1">IFERROR(IF(AND(V704=V703,W704=W703),0.5*(AB704+AB703)*AG704,(VLOOKUP(_xlfn.CONCAT(U704,V704,W704,X704,VLOOKUP(Z704,TIME!$S$28:$T$39,2,FALSE)),FC_DATA!$R$2:$AB$5000,MATCH("GS_I_M",FC_DATA!$R$1:$AB$1,0),FALSE)+FC_DATA!AB704)*0.5*FC_DATA!AG704),NA())</f>
        <v>#N/A</v>
      </c>
      <c r="AI704" s="491" t="e">
        <f ca="1">IF(V704="PARTNER.com",AH704,IF(AND(V704=V703,W704=W703),(1-AVERAGE(AD703,AD704))*AH704,(1-AVERAGE(AD704,VLOOKUP(_xlfn.CONCAT(U704,V704,W704,X704,M_BRAND_FC!$F$6),FC_DATA!$R$2:$AD$5000,MATCH("DISCOUNT_%_M",FC_DATA!$R$1:$AD$1,0),FALSE)))*AH704))</f>
        <v>#N/A</v>
      </c>
      <c r="AJ704" s="412" t="str">
        <f t="shared" ca="1" si="264"/>
        <v/>
      </c>
      <c r="AK704" s="413" t="str">
        <f>IFERROR(AE704/(Q_BRAND_FC!$T$24+1),"")</f>
        <v/>
      </c>
      <c r="AL704" s="88" t="str">
        <f t="shared" ca="1" si="265"/>
        <v/>
      </c>
      <c r="AM704" s="414" t="str">
        <f t="shared" ca="1" si="266"/>
        <v/>
      </c>
      <c r="AN704" s="58">
        <f>IFERROR(IF($V704="BRAND.com",HLOOKUP($X704&amp;$Z704,NWC_FC_NOOS!$C$4:$Q$23,MATCH(W704,NWC_FC_NOOS!$B$4:$B$23,0),FALSE),0),0)</f>
        <v>0</v>
      </c>
      <c r="AO704" s="57">
        <f>IFERROR(IF($V704="BRAND.com",HLOOKUP($X704&amp;$Z704,NWC_FC_NOOS!$T$4:$AH$23,MATCH(W704,NWC_FC_NOOS!$S$4:$S$23,0),FALSE),0),0)</f>
        <v>0</v>
      </c>
      <c r="AP704" s="57">
        <f>IFERROR(IF($V704="BRAND.com",HLOOKUP($X704&amp;$Z704,NWC_FC_NOOS!$C$50:$U$69,MATCH(W704,NWC_FC_NOOS!$B$50:$B$69,0),FALSE),0),0)</f>
        <v>0</v>
      </c>
      <c r="AQ704" s="58">
        <f>IFERROR(IF($V704="BRAND.com",HLOOKUP($X704&amp;$Z704,'NWC_FC_NON-NOOS'!$C$4:$Q$23,MATCH(W704,'NWC_FC_NON-NOOS'!$B$4:$B$23,0),FALSE),0),0)</f>
        <v>0</v>
      </c>
      <c r="AR704" s="57">
        <f>IFERROR(IF($V704="BRAND.com",HLOOKUP($X704&amp;$Z704,'NWC_FC_NON-NOOS'!$T$4:$AH$23,MATCH(W704,'NWC_FC_NON-NOOS'!$S$4:$S$23,0),FALSE),0),0)</f>
        <v>0</v>
      </c>
      <c r="AS704" s="57">
        <f>IFERROR(IF($V704="BRAND.com",HLOOKUP($X704&amp;$Z704,'NWC_FC_NON-NOOS'!$C$50:$U$69,MATCH(W704,'NWC_FC_NON-NOOS'!$B$50:$B$69,0),FALSE),0),0)</f>
        <v>0</v>
      </c>
      <c r="AT704" s="57">
        <f t="shared" si="268"/>
        <v>0</v>
      </c>
      <c r="AU704" s="57">
        <f t="shared" si="269"/>
        <v>0</v>
      </c>
      <c r="AV704" s="58">
        <f>IFERROR(IF($V704="BRAND.com",HLOOKUP($X704&amp;$Z704,PLANNING_FC!$BB$27:$BP$46,MATCH($W704,PLANNING_FC!$BA$27:$BA$46,0),FALSE),0),0)</f>
        <v>0</v>
      </c>
      <c r="AW704" s="58">
        <f>IFERROR(IF($V704="BRAND.com",HLOOKUP($X704&amp;$Z704,PLANNING_FC!$BB$4:$BP$23,MATCH($W704,PLANNING_FC!$BA$4:$BA$23,0),FALSE),0),0)</f>
        <v>0</v>
      </c>
      <c r="AX704" s="58">
        <f>IFERROR(IF($V704="BRAND.com",HLOOKUP($X704&amp;$Z704,PLANNING_FC!$T$27:$AH$46,MATCH($W704,PLANNING_FC!$B$27:$B$46,0),FALSE),0),0)</f>
        <v>0</v>
      </c>
      <c r="AY704" s="58">
        <f>IFERROR(IF($V704="BRAND.com",HLOOKUP($X704&amp;$Z704,PLANNING_FC!$T$4:$AH$23,MATCH($W704,PLANNING_FC!$B$4:$B$23,0),FALSE),0),0)</f>
        <v>0</v>
      </c>
      <c r="AZ704" s="58">
        <f>IFERROR(IF($V704="BRAND.com",HLOOKUP($X704&amp;$Z704,PLANNING_FC!$DA$27:$DO$46,MATCH($W704,PLANNING_FC!$CZ$27:$CZ$46,0),FALSE),0),0)</f>
        <v>0</v>
      </c>
      <c r="BA704" s="58">
        <f>IFERROR(IF($V704="BRAND.com",HLOOKUP($X704&amp;$Z704,PLANNING_FC!$DA$4:$DO$23,MATCH($W704,PLANNING_FC!$CZ$4:$CZ$23,0),FALSE),0),0)</f>
        <v>0</v>
      </c>
      <c r="BB704" s="883" t="str">
        <f>IF(V704="BRAND.com",IFERROR(HLOOKUP(X704&amp;Z704,PLANNING_FC!$AK$4:$AY$23,MATCH(W704,PLANNING_FC!$AJ$4:$AJ$23,0),FALSE)*1000,""),"")</f>
        <v/>
      </c>
      <c r="BC704" s="883" t="str">
        <f>IF(V704="BRAND.com",IFERROR(HLOOKUP(X704&amp;Z704,PLANNING_FC!$AK$27:$AY$46,MATCH(W704,PLANNING_FC!$AJ$27:$AJ$46,0),FALSE)*1000,""),"")</f>
        <v/>
      </c>
    </row>
    <row r="705" spans="14:55" x14ac:dyDescent="0.25">
      <c r="N705" s="56">
        <f t="shared" si="272"/>
        <v>0</v>
      </c>
      <c r="O705" s="57">
        <f t="shared" si="273"/>
        <v>0</v>
      </c>
      <c r="P705" s="57">
        <f ca="1">IFERROR(IF(ISBLANK(H705),SUMIFS($AC:$AC,$V:$V,V705,$W:$W,W705,$X:$X,X705,$Y:$Y,Y705)*J705/(1-J705)*VLOOKUP(_xlfn.CONCAT(C705,D705,E705,TIME!$M$12,Z705),HIS_SALES!$B$2:$W$4859,20,FALSE),AC705*J705/(1-J705)),0)</f>
        <v>0</v>
      </c>
      <c r="Q705" s="541" t="str">
        <f t="shared" si="283"/>
        <v/>
      </c>
      <c r="R705" s="346" t="str">
        <f t="shared" si="262"/>
        <v>00000</v>
      </c>
      <c r="S705" s="344">
        <f t="shared" si="274"/>
        <v>0</v>
      </c>
      <c r="T705" s="345" t="str">
        <f t="shared" si="267"/>
        <v>000</v>
      </c>
      <c r="U705" s="345">
        <f t="shared" si="275"/>
        <v>0</v>
      </c>
      <c r="V705" s="345">
        <f t="shared" si="276"/>
        <v>0</v>
      </c>
      <c r="W705" s="345">
        <f t="shared" si="277"/>
        <v>0</v>
      </c>
      <c r="X705" s="345">
        <f t="shared" si="278"/>
        <v>0</v>
      </c>
      <c r="Y705" s="345">
        <f t="shared" si="279"/>
        <v>0</v>
      </c>
      <c r="Z705" s="345">
        <f>IF(Q705&lt;&gt;"",VLOOKUP(Y705,TIME!$R$21:$V$24,MATCH(FC_DATA!Q705,TIME!$R$20:$V$20,0),FALSE),H705)</f>
        <v>0</v>
      </c>
      <c r="AA705" s="345" t="str">
        <f>IFERROR(VLOOKUP(X705&amp;Z705,TIME!$A$12:$D$71,4,FALSE),"")</f>
        <v/>
      </c>
      <c r="AB705" s="592">
        <f t="shared" ca="1" si="263"/>
        <v>0</v>
      </c>
      <c r="AC705" s="593" t="e">
        <f ca="1">IF(ISBLANK(H705)=FALSE,IF(D705="BRAND.com",I705,IF(ISNA(VLOOKUP(_xlfn.CONCAT(X705,Z705),TIME!$M$40:$M$42,1,FALSE)),I705,VLOOKUP(_xlfn.CONCAT(D705,G705,H705),M_BUSAREA_FC!$AF$5:$AJ$10,5,FALSE)*HLOOKUP(_xlfn.CONCAT(F705,H705),ST_OVERVIEW!$G$99:$I$130,MATCH(_xlfn.CONCAT(D705,E705),ST_OVERVIEW!$F$99:$F$130,0),FALSE))),IF(D705="BRAND.com",VLOOKUP(_xlfn.CONCAT(C705,D705,E705,TIME!$F$1,Z705),HIS_SALES!$B$2:$V$4859,19,FALSE)*I705,VLOOKUP(_xlfn.CONCAT(D705,F705,G705),Q_BUSAREA_FC!$AE$5:$AI$12,5,FALSE)*HLOOKUP(_xlfn.CONCAT(FC_DATA!F705,FC_DATA!G705),LT_OVERVIEW!$I$99:$M$130,MATCH(_xlfn.CONCAT(D705,FC_DATA!E705),LT_OVERVIEW!$H$99:$H$130,0),FALSE)*IFERROR(VLOOKUP(_xlfn.CONCAT(C705,D705,E705,TIME!$F$1,Z705),HIS_SALES!$B$2:$V$4859,19,FALSE),0)))</f>
        <v>#N/A</v>
      </c>
      <c r="AD705" s="341">
        <f t="shared" ca="1" si="280"/>
        <v>0</v>
      </c>
      <c r="AE705" s="363" t="str">
        <f t="shared" si="281"/>
        <v/>
      </c>
      <c r="AF705" s="342" t="str">
        <f t="shared" si="282"/>
        <v/>
      </c>
      <c r="AG705" s="411" t="e">
        <f ca="1">VLOOKUP(_xlfn.CONCAT(U705,V705,W705,VLOOKUP(X705&amp;Y705,TIME!$L$27:$O$34,4,FALSE),Y705),HIS_SALES!$A$2:$R$5093,18,FALSE)</f>
        <v>#N/A</v>
      </c>
      <c r="AH705" s="412" t="e">
        <f ca="1">IFERROR(IF(AND(V705=V704,W705=W704),0.5*(AB705+AB704)*AG705,(VLOOKUP(_xlfn.CONCAT(U705,V705,W705,X705,VLOOKUP(Z705,TIME!$S$28:$T$39,2,FALSE)),FC_DATA!$R$2:$AB$5000,MATCH("GS_I_M",FC_DATA!$R$1:$AB$1,0),FALSE)+FC_DATA!AB705)*0.5*FC_DATA!AG705),NA())</f>
        <v>#N/A</v>
      </c>
      <c r="AI705" s="491" t="e">
        <f ca="1">IF(V705="PARTNER.com",AH705,IF(AND(V705=V704,W705=W704),(1-AVERAGE(AD704,AD705))*AH705,(1-AVERAGE(AD705,VLOOKUP(_xlfn.CONCAT(U705,V705,W705,X705,M_BRAND_FC!$F$6),FC_DATA!$R$2:$AD$5000,MATCH("DISCOUNT_%_M",FC_DATA!$R$1:$AD$1,0),FALSE)))*AH705))</f>
        <v>#N/A</v>
      </c>
      <c r="AJ705" s="412" t="str">
        <f t="shared" ca="1" si="264"/>
        <v/>
      </c>
      <c r="AK705" s="413" t="str">
        <f>IFERROR(AE705/(Q_BRAND_FC!$T$24+1),"")</f>
        <v/>
      </c>
      <c r="AL705" s="88" t="str">
        <f t="shared" ca="1" si="265"/>
        <v/>
      </c>
      <c r="AM705" s="414" t="str">
        <f t="shared" ca="1" si="266"/>
        <v/>
      </c>
      <c r="AN705" s="58">
        <f>IFERROR(IF($V705="BRAND.com",HLOOKUP($X705&amp;$Z705,NWC_FC_NOOS!$C$4:$Q$23,MATCH(W705,NWC_FC_NOOS!$B$4:$B$23,0),FALSE),0),0)</f>
        <v>0</v>
      </c>
      <c r="AO705" s="57">
        <f>IFERROR(IF($V705="BRAND.com",HLOOKUP($X705&amp;$Z705,NWC_FC_NOOS!$T$4:$AH$23,MATCH(W705,NWC_FC_NOOS!$S$4:$S$23,0),FALSE),0),0)</f>
        <v>0</v>
      </c>
      <c r="AP705" s="57">
        <f>IFERROR(IF($V705="BRAND.com",HLOOKUP($X705&amp;$Z705,NWC_FC_NOOS!$C$50:$U$69,MATCH(W705,NWC_FC_NOOS!$B$50:$B$69,0),FALSE),0),0)</f>
        <v>0</v>
      </c>
      <c r="AQ705" s="58">
        <f>IFERROR(IF($V705="BRAND.com",HLOOKUP($X705&amp;$Z705,'NWC_FC_NON-NOOS'!$C$4:$Q$23,MATCH(W705,'NWC_FC_NON-NOOS'!$B$4:$B$23,0),FALSE),0),0)</f>
        <v>0</v>
      </c>
      <c r="AR705" s="57">
        <f>IFERROR(IF($V705="BRAND.com",HLOOKUP($X705&amp;$Z705,'NWC_FC_NON-NOOS'!$T$4:$AH$23,MATCH(W705,'NWC_FC_NON-NOOS'!$S$4:$S$23,0),FALSE),0),0)</f>
        <v>0</v>
      </c>
      <c r="AS705" s="57">
        <f>IFERROR(IF($V705="BRAND.com",HLOOKUP($X705&amp;$Z705,'NWC_FC_NON-NOOS'!$C$50:$U$69,MATCH(W705,'NWC_FC_NON-NOOS'!$B$50:$B$69,0),FALSE),0),0)</f>
        <v>0</v>
      </c>
      <c r="AT705" s="57">
        <f t="shared" si="268"/>
        <v>0</v>
      </c>
      <c r="AU705" s="57">
        <f t="shared" si="269"/>
        <v>0</v>
      </c>
      <c r="AV705" s="58">
        <f>IFERROR(IF($V705="BRAND.com",HLOOKUP($X705&amp;$Z705,PLANNING_FC!$BB$27:$BP$46,MATCH($W705,PLANNING_FC!$BA$27:$BA$46,0),FALSE),0),0)</f>
        <v>0</v>
      </c>
      <c r="AW705" s="58">
        <f>IFERROR(IF($V705="BRAND.com",HLOOKUP($X705&amp;$Z705,PLANNING_FC!$BB$4:$BP$23,MATCH($W705,PLANNING_FC!$BA$4:$BA$23,0),FALSE),0),0)</f>
        <v>0</v>
      </c>
      <c r="AX705" s="58">
        <f>IFERROR(IF($V705="BRAND.com",HLOOKUP($X705&amp;$Z705,PLANNING_FC!$T$27:$AH$46,MATCH($W705,PLANNING_FC!$B$27:$B$46,0),FALSE),0),0)</f>
        <v>0</v>
      </c>
      <c r="AY705" s="58">
        <f>IFERROR(IF($V705="BRAND.com",HLOOKUP($X705&amp;$Z705,PLANNING_FC!$T$4:$AH$23,MATCH($W705,PLANNING_FC!$B$4:$B$23,0),FALSE),0),0)</f>
        <v>0</v>
      </c>
      <c r="AZ705" s="58">
        <f>IFERROR(IF($V705="BRAND.com",HLOOKUP($X705&amp;$Z705,PLANNING_FC!$DA$27:$DO$46,MATCH($W705,PLANNING_FC!$CZ$27:$CZ$46,0),FALSE),0),0)</f>
        <v>0</v>
      </c>
      <c r="BA705" s="58">
        <f>IFERROR(IF($V705="BRAND.com",HLOOKUP($X705&amp;$Z705,PLANNING_FC!$DA$4:$DO$23,MATCH($W705,PLANNING_FC!$CZ$4:$CZ$23,0),FALSE),0),0)</f>
        <v>0</v>
      </c>
      <c r="BB705" s="883" t="str">
        <f>IF(V705="BRAND.com",IFERROR(HLOOKUP(X705&amp;Z705,PLANNING_FC!$AK$4:$AY$23,MATCH(W705,PLANNING_FC!$AJ$4:$AJ$23,0),FALSE)*1000,""),"")</f>
        <v/>
      </c>
      <c r="BC705" s="883" t="str">
        <f>IF(V705="BRAND.com",IFERROR(HLOOKUP(X705&amp;Z705,PLANNING_FC!$AK$27:$AY$46,MATCH(W705,PLANNING_FC!$AJ$27:$AJ$46,0),FALSE)*1000,""),"")</f>
        <v/>
      </c>
    </row>
    <row r="706" spans="14:55" x14ac:dyDescent="0.25">
      <c r="N706" s="56">
        <f t="shared" ref="N706:N769" si="284">IFERROR(I706/(1-J706)*J706,0)</f>
        <v>0</v>
      </c>
      <c r="O706" s="57">
        <f t="shared" ref="O706:O769" si="285">IFERROR(I706+N706,0)</f>
        <v>0</v>
      </c>
      <c r="P706" s="57">
        <f ca="1">IFERROR(IF(ISBLANK(H706),SUMIFS($AC:$AC,$V:$V,V706,$W:$W,W706,$X:$X,X706,$Y:$Y,Y706)*J706/(1-J706)*VLOOKUP(_xlfn.CONCAT(C706,D706,E706,TIME!$M$12,Z706),HIS_SALES!$B$2:$W$4859,20,FALSE),AC706*J706/(1-J706)),0)</f>
        <v>0</v>
      </c>
      <c r="Q706" s="541" t="str">
        <f t="shared" ref="Q706:Q769" si="286">IF(AND(A706&lt;&gt;"",H706=""),IF(A706=A705,Q705+1,1),"")</f>
        <v/>
      </c>
      <c r="R706" s="346" t="str">
        <f t="shared" ref="R706:R769" si="287">U706&amp;V706&amp;W706&amp;X706&amp;Z706</f>
        <v>00000</v>
      </c>
      <c r="S706" s="344">
        <f t="shared" ref="S706:S769" si="288">B706</f>
        <v>0</v>
      </c>
      <c r="T706" s="345" t="str">
        <f t="shared" si="267"/>
        <v>000</v>
      </c>
      <c r="U706" s="345">
        <f t="shared" ref="U706:U769" si="289">C706</f>
        <v>0</v>
      </c>
      <c r="V706" s="345">
        <f t="shared" ref="V706:V769" si="290">D706</f>
        <v>0</v>
      </c>
      <c r="W706" s="345">
        <f t="shared" ref="W706:W769" si="291">E706</f>
        <v>0</v>
      </c>
      <c r="X706" s="345">
        <f t="shared" ref="X706:X769" si="292">F706</f>
        <v>0</v>
      </c>
      <c r="Y706" s="345">
        <f t="shared" ref="Y706:Y769" si="293">G706</f>
        <v>0</v>
      </c>
      <c r="Z706" s="345">
        <f>IF(Q706&lt;&gt;"",VLOOKUP(Y706,TIME!$R$21:$V$24,MATCH(FC_DATA!Q706,TIME!$R$20:$V$20,0),FALSE),H706)</f>
        <v>0</v>
      </c>
      <c r="AA706" s="345" t="str">
        <f>IFERROR(VLOOKUP(X706&amp;Z706,TIME!$A$12:$D$71,4,FALSE),"")</f>
        <v/>
      </c>
      <c r="AB706" s="592">
        <f t="shared" ref="AB706:AB769" ca="1" si="294">IFERROR(AC706+P706,0)</f>
        <v>0</v>
      </c>
      <c r="AC706" s="593" t="e">
        <f ca="1">IF(ISBLANK(H706)=FALSE,IF(D706="BRAND.com",I706,IF(ISNA(VLOOKUP(_xlfn.CONCAT(X706,Z706),TIME!$M$40:$M$42,1,FALSE)),I706,VLOOKUP(_xlfn.CONCAT(D706,G706,H706),M_BUSAREA_FC!$AF$5:$AJ$10,5,FALSE)*HLOOKUP(_xlfn.CONCAT(F706,H706),ST_OVERVIEW!$G$99:$I$130,MATCH(_xlfn.CONCAT(D706,E706),ST_OVERVIEW!$F$99:$F$130,0),FALSE))),IF(D706="BRAND.com",VLOOKUP(_xlfn.CONCAT(C706,D706,E706,TIME!$F$1,Z706),HIS_SALES!$B$2:$V$4859,19,FALSE)*I706,VLOOKUP(_xlfn.CONCAT(D706,F706,G706),Q_BUSAREA_FC!$AE$5:$AI$12,5,FALSE)*HLOOKUP(_xlfn.CONCAT(FC_DATA!F706,FC_DATA!G706),LT_OVERVIEW!$I$99:$M$130,MATCH(_xlfn.CONCAT(D706,FC_DATA!E706),LT_OVERVIEW!$H$99:$H$130,0),FALSE)*IFERROR(VLOOKUP(_xlfn.CONCAT(C706,D706,E706,TIME!$F$1,Z706),HIS_SALES!$B$2:$V$4859,19,FALSE),0)))</f>
        <v>#N/A</v>
      </c>
      <c r="AD706" s="341">
        <f t="shared" ref="AD706:AD769" ca="1" si="295">IFERROR(IF(D706="PARTNER.com",0,1-AC706/AB706),0)</f>
        <v>0</v>
      </c>
      <c r="AE706" s="363" t="str">
        <f t="shared" ref="AE706:AE769" si="296">IF(A706&lt;&gt;"",K706,"")</f>
        <v/>
      </c>
      <c r="AF706" s="342" t="str">
        <f t="shared" ref="AF706:AF769" si="297">IF(B706&lt;&gt;"",M706,"")</f>
        <v/>
      </c>
      <c r="AG706" s="411" t="e">
        <f ca="1">VLOOKUP(_xlfn.CONCAT(U706,V706,W706,VLOOKUP(X706&amp;Y706,TIME!$L$27:$O$34,4,FALSE),Y706),HIS_SALES!$A$2:$R$5093,18,FALSE)</f>
        <v>#N/A</v>
      </c>
      <c r="AH706" s="412" t="e">
        <f ca="1">IFERROR(IF(AND(V706=V705,W706=W705),0.5*(AB706+AB705)*AG706,(VLOOKUP(_xlfn.CONCAT(U706,V706,W706,X706,VLOOKUP(Z706,TIME!$S$28:$T$39,2,FALSE)),FC_DATA!$R$2:$AB$5000,MATCH("GS_I_M",FC_DATA!$R$1:$AB$1,0),FALSE)+FC_DATA!AB706)*0.5*FC_DATA!AG706),NA())</f>
        <v>#N/A</v>
      </c>
      <c r="AI706" s="491" t="e">
        <f ca="1">IF(V706="PARTNER.com",AH706,IF(AND(V706=V705,W706=W705),(1-AVERAGE(AD705,AD706))*AH706,(1-AVERAGE(AD706,VLOOKUP(_xlfn.CONCAT(U706,V706,W706,X706,M_BRAND_FC!$F$6),FC_DATA!$R$2:$AD$5000,MATCH("DISCOUNT_%_M",FC_DATA!$R$1:$AD$1,0),FALSE)))*AH706))</f>
        <v>#N/A</v>
      </c>
      <c r="AJ706" s="412" t="str">
        <f t="shared" ref="AJ706:AJ769" ca="1" si="298">IFERROR(AC706-AI706,"")</f>
        <v/>
      </c>
      <c r="AK706" s="413" t="str">
        <f>IFERROR(AE706/(Q_BRAND_FC!$T$24+1),"")</f>
        <v/>
      </c>
      <c r="AL706" s="88" t="str">
        <f t="shared" ref="AL706:AL769" ca="1" si="299">IFERROR((AB706-AH706)/AK706*AF706,"")</f>
        <v/>
      </c>
      <c r="AM706" s="414" t="str">
        <f t="shared" ref="AM706:AM769" ca="1" si="300">IFERROR((AB706-AH706)/AK706*(1-AF706),"")</f>
        <v/>
      </c>
      <c r="AN706" s="58">
        <f>IFERROR(IF($V706="BRAND.com",HLOOKUP($X706&amp;$Z706,NWC_FC_NOOS!$C$4:$Q$23,MATCH(W706,NWC_FC_NOOS!$B$4:$B$23,0),FALSE),0),0)</f>
        <v>0</v>
      </c>
      <c r="AO706" s="57">
        <f>IFERROR(IF($V706="BRAND.com",HLOOKUP($X706&amp;$Z706,NWC_FC_NOOS!$T$4:$AH$23,MATCH(W706,NWC_FC_NOOS!$S$4:$S$23,0),FALSE),0),0)</f>
        <v>0</v>
      </c>
      <c r="AP706" s="57">
        <f>IFERROR(IF($V706="BRAND.com",HLOOKUP($X706&amp;$Z706,NWC_FC_NOOS!$C$50:$U$69,MATCH(W706,NWC_FC_NOOS!$B$50:$B$69,0),FALSE),0),0)</f>
        <v>0</v>
      </c>
      <c r="AQ706" s="58">
        <f>IFERROR(IF($V706="BRAND.com",HLOOKUP($X706&amp;$Z706,'NWC_FC_NON-NOOS'!$C$4:$Q$23,MATCH(W706,'NWC_FC_NON-NOOS'!$B$4:$B$23,0),FALSE),0),0)</f>
        <v>0</v>
      </c>
      <c r="AR706" s="57">
        <f>IFERROR(IF($V706="BRAND.com",HLOOKUP($X706&amp;$Z706,'NWC_FC_NON-NOOS'!$T$4:$AH$23,MATCH(W706,'NWC_FC_NON-NOOS'!$S$4:$S$23,0),FALSE),0),0)</f>
        <v>0</v>
      </c>
      <c r="AS706" s="57">
        <f>IFERROR(IF($V706="BRAND.com",HLOOKUP($X706&amp;$Z706,'NWC_FC_NON-NOOS'!$C$50:$U$69,MATCH(W706,'NWC_FC_NON-NOOS'!$B$50:$B$69,0),FALSE),0),0)</f>
        <v>0</v>
      </c>
      <c r="AT706" s="57">
        <f t="shared" si="268"/>
        <v>0</v>
      </c>
      <c r="AU706" s="57">
        <f t="shared" si="269"/>
        <v>0</v>
      </c>
      <c r="AV706" s="58">
        <f>IFERROR(IF($V706="BRAND.com",HLOOKUP($X706&amp;$Z706,PLANNING_FC!$BB$27:$BP$46,MATCH($W706,PLANNING_FC!$BA$27:$BA$46,0),FALSE),0),0)</f>
        <v>0</v>
      </c>
      <c r="AW706" s="58">
        <f>IFERROR(IF($V706="BRAND.com",HLOOKUP($X706&amp;$Z706,PLANNING_FC!$BB$4:$BP$23,MATCH($W706,PLANNING_FC!$BA$4:$BA$23,0),FALSE),0),0)</f>
        <v>0</v>
      </c>
      <c r="AX706" s="58">
        <f>IFERROR(IF($V706="BRAND.com",HLOOKUP($X706&amp;$Z706,PLANNING_FC!$T$27:$AH$46,MATCH($W706,PLANNING_FC!$B$27:$B$46,0),FALSE),0),0)</f>
        <v>0</v>
      </c>
      <c r="AY706" s="58">
        <f>IFERROR(IF($V706="BRAND.com",HLOOKUP($X706&amp;$Z706,PLANNING_FC!$T$4:$AH$23,MATCH($W706,PLANNING_FC!$B$4:$B$23,0),FALSE),0),0)</f>
        <v>0</v>
      </c>
      <c r="AZ706" s="58">
        <f>IFERROR(IF($V706="BRAND.com",HLOOKUP($X706&amp;$Z706,PLANNING_FC!$DA$27:$DO$46,MATCH($W706,PLANNING_FC!$CZ$27:$CZ$46,0),FALSE),0),0)</f>
        <v>0</v>
      </c>
      <c r="BA706" s="58">
        <f>IFERROR(IF($V706="BRAND.com",HLOOKUP($X706&amp;$Z706,PLANNING_FC!$DA$4:$DO$23,MATCH($W706,PLANNING_FC!$CZ$4:$CZ$23,0),FALSE),0),0)</f>
        <v>0</v>
      </c>
      <c r="BB706" s="883" t="str">
        <f>IF(V706="BRAND.com",IFERROR(HLOOKUP(X706&amp;Z706,PLANNING_FC!$AK$4:$AY$23,MATCH(W706,PLANNING_FC!$AJ$4:$AJ$23,0),FALSE)*1000,""),"")</f>
        <v/>
      </c>
      <c r="BC706" s="883" t="str">
        <f>IF(V706="BRAND.com",IFERROR(HLOOKUP(X706&amp;Z706,PLANNING_FC!$AK$27:$AY$46,MATCH(W706,PLANNING_FC!$AJ$27:$AJ$46,0),FALSE)*1000,""),"")</f>
        <v/>
      </c>
    </row>
    <row r="707" spans="14:55" x14ac:dyDescent="0.25">
      <c r="N707" s="56">
        <f t="shared" si="284"/>
        <v>0</v>
      </c>
      <c r="O707" s="57">
        <f t="shared" si="285"/>
        <v>0</v>
      </c>
      <c r="P707" s="57">
        <f ca="1">IFERROR(IF(ISBLANK(H707),SUMIFS($AC:$AC,$V:$V,V707,$W:$W,W707,$X:$X,X707,$Y:$Y,Y707)*J707/(1-J707)*VLOOKUP(_xlfn.CONCAT(C707,D707,E707,TIME!$M$12,Z707),HIS_SALES!$B$2:$W$4859,20,FALSE),AC707*J707/(1-J707)),0)</f>
        <v>0</v>
      </c>
      <c r="Q707" s="541" t="str">
        <f t="shared" si="286"/>
        <v/>
      </c>
      <c r="R707" s="346" t="str">
        <f t="shared" si="287"/>
        <v>00000</v>
      </c>
      <c r="S707" s="344">
        <f t="shared" si="288"/>
        <v>0</v>
      </c>
      <c r="T707" s="345" t="str">
        <f t="shared" ref="T707:T770" si="301">U707&amp;V707&amp;W707&amp;AA707</f>
        <v>000</v>
      </c>
      <c r="U707" s="345">
        <f t="shared" si="289"/>
        <v>0</v>
      </c>
      <c r="V707" s="345">
        <f t="shared" si="290"/>
        <v>0</v>
      </c>
      <c r="W707" s="345">
        <f t="shared" si="291"/>
        <v>0</v>
      </c>
      <c r="X707" s="345">
        <f t="shared" si="292"/>
        <v>0</v>
      </c>
      <c r="Y707" s="345">
        <f t="shared" si="293"/>
        <v>0</v>
      </c>
      <c r="Z707" s="345">
        <f>IF(Q707&lt;&gt;"",VLOOKUP(Y707,TIME!$R$21:$V$24,MATCH(FC_DATA!Q707,TIME!$R$20:$V$20,0),FALSE),H707)</f>
        <v>0</v>
      </c>
      <c r="AA707" s="345" t="str">
        <f>IFERROR(VLOOKUP(X707&amp;Z707,TIME!$A$12:$D$71,4,FALSE),"")</f>
        <v/>
      </c>
      <c r="AB707" s="592">
        <f t="shared" ca="1" si="294"/>
        <v>0</v>
      </c>
      <c r="AC707" s="593" t="e">
        <f ca="1">IF(ISBLANK(H707)=FALSE,IF(D707="BRAND.com",I707,IF(ISNA(VLOOKUP(_xlfn.CONCAT(X707,Z707),TIME!$M$40:$M$42,1,FALSE)),I707,VLOOKUP(_xlfn.CONCAT(D707,G707,H707),M_BUSAREA_FC!$AF$5:$AJ$10,5,FALSE)*HLOOKUP(_xlfn.CONCAT(F707,H707),ST_OVERVIEW!$G$99:$I$130,MATCH(_xlfn.CONCAT(D707,E707),ST_OVERVIEW!$F$99:$F$130,0),FALSE))),IF(D707="BRAND.com",VLOOKUP(_xlfn.CONCAT(C707,D707,E707,TIME!$F$1,Z707),HIS_SALES!$B$2:$V$4859,19,FALSE)*I707,VLOOKUP(_xlfn.CONCAT(D707,F707,G707),Q_BUSAREA_FC!$AE$5:$AI$12,5,FALSE)*HLOOKUP(_xlfn.CONCAT(FC_DATA!F707,FC_DATA!G707),LT_OVERVIEW!$I$99:$M$130,MATCH(_xlfn.CONCAT(D707,FC_DATA!E707),LT_OVERVIEW!$H$99:$H$130,0),FALSE)*IFERROR(VLOOKUP(_xlfn.CONCAT(C707,D707,E707,TIME!$F$1,Z707),HIS_SALES!$B$2:$V$4859,19,FALSE),0)))</f>
        <v>#N/A</v>
      </c>
      <c r="AD707" s="341">
        <f t="shared" ca="1" si="295"/>
        <v>0</v>
      </c>
      <c r="AE707" s="363" t="str">
        <f t="shared" si="296"/>
        <v/>
      </c>
      <c r="AF707" s="342" t="str">
        <f t="shared" si="297"/>
        <v/>
      </c>
      <c r="AG707" s="411" t="e">
        <f ca="1">VLOOKUP(_xlfn.CONCAT(U707,V707,W707,VLOOKUP(X707&amp;Y707,TIME!$L$27:$O$34,4,FALSE),Y707),HIS_SALES!$A$2:$R$5093,18,FALSE)</f>
        <v>#N/A</v>
      </c>
      <c r="AH707" s="412" t="e">
        <f ca="1">IFERROR(IF(AND(V707=V706,W707=W706),0.5*(AB707+AB706)*AG707,(VLOOKUP(_xlfn.CONCAT(U707,V707,W707,X707,VLOOKUP(Z707,TIME!$S$28:$T$39,2,FALSE)),FC_DATA!$R$2:$AB$5000,MATCH("GS_I_M",FC_DATA!$R$1:$AB$1,0),FALSE)+FC_DATA!AB707)*0.5*FC_DATA!AG707),NA())</f>
        <v>#N/A</v>
      </c>
      <c r="AI707" s="491" t="e">
        <f ca="1">IF(V707="PARTNER.com",AH707,IF(AND(V707=V706,W707=W706),(1-AVERAGE(AD706,AD707))*AH707,(1-AVERAGE(AD707,VLOOKUP(_xlfn.CONCAT(U707,V707,W707,X707,M_BRAND_FC!$F$6),FC_DATA!$R$2:$AD$5000,MATCH("DISCOUNT_%_M",FC_DATA!$R$1:$AD$1,0),FALSE)))*AH707))</f>
        <v>#N/A</v>
      </c>
      <c r="AJ707" s="412" t="str">
        <f t="shared" ca="1" si="298"/>
        <v/>
      </c>
      <c r="AK707" s="413" t="str">
        <f>IFERROR(AE707/(Q_BRAND_FC!$T$24+1),"")</f>
        <v/>
      </c>
      <c r="AL707" s="88" t="str">
        <f t="shared" ca="1" si="299"/>
        <v/>
      </c>
      <c r="AM707" s="414" t="str">
        <f t="shared" ca="1" si="300"/>
        <v/>
      </c>
      <c r="AN707" s="58">
        <f>IFERROR(IF($V707="BRAND.com",HLOOKUP($X707&amp;$Z707,NWC_FC_NOOS!$C$4:$Q$23,MATCH(W707,NWC_FC_NOOS!$B$4:$B$23,0),FALSE),0),0)</f>
        <v>0</v>
      </c>
      <c r="AO707" s="57">
        <f>IFERROR(IF($V707="BRAND.com",HLOOKUP($X707&amp;$Z707,NWC_FC_NOOS!$T$4:$AH$23,MATCH(W707,NWC_FC_NOOS!$S$4:$S$23,0),FALSE),0),0)</f>
        <v>0</v>
      </c>
      <c r="AP707" s="57">
        <f>IFERROR(IF($V707="BRAND.com",HLOOKUP($X707&amp;$Z707,NWC_FC_NOOS!$C$50:$U$69,MATCH(W707,NWC_FC_NOOS!$B$50:$B$69,0),FALSE),0),0)</f>
        <v>0</v>
      </c>
      <c r="AQ707" s="58">
        <f>IFERROR(IF($V707="BRAND.com",HLOOKUP($X707&amp;$Z707,'NWC_FC_NON-NOOS'!$C$4:$Q$23,MATCH(W707,'NWC_FC_NON-NOOS'!$B$4:$B$23,0),FALSE),0),0)</f>
        <v>0</v>
      </c>
      <c r="AR707" s="57">
        <f>IFERROR(IF($V707="BRAND.com",HLOOKUP($X707&amp;$Z707,'NWC_FC_NON-NOOS'!$T$4:$AH$23,MATCH(W707,'NWC_FC_NON-NOOS'!$S$4:$S$23,0),FALSE),0),0)</f>
        <v>0</v>
      </c>
      <c r="AS707" s="57">
        <f>IFERROR(IF($V707="BRAND.com",HLOOKUP($X707&amp;$Z707,'NWC_FC_NON-NOOS'!$C$50:$U$69,MATCH(W707,'NWC_FC_NON-NOOS'!$B$50:$B$69,0),FALSE),0),0)</f>
        <v>0</v>
      </c>
      <c r="AT707" s="57">
        <f t="shared" ref="AT707:AT770" si="302">AO707+AR707</f>
        <v>0</v>
      </c>
      <c r="AU707" s="57">
        <f t="shared" ref="AU707:AU770" si="303">AP707+AS707</f>
        <v>0</v>
      </c>
      <c r="AV707" s="58">
        <f>IFERROR(IF($V707="BRAND.com",HLOOKUP($X707&amp;$Z707,PLANNING_FC!$BB$27:$BP$46,MATCH($W707,PLANNING_FC!$BA$27:$BA$46,0),FALSE),0),0)</f>
        <v>0</v>
      </c>
      <c r="AW707" s="58">
        <f>IFERROR(IF($V707="BRAND.com",HLOOKUP($X707&amp;$Z707,PLANNING_FC!$BB$4:$BP$23,MATCH($W707,PLANNING_FC!$BA$4:$BA$23,0),FALSE),0),0)</f>
        <v>0</v>
      </c>
      <c r="AX707" s="58">
        <f>IFERROR(IF($V707="BRAND.com",HLOOKUP($X707&amp;$Z707,PLANNING_FC!$T$27:$AH$46,MATCH($W707,PLANNING_FC!$B$27:$B$46,0),FALSE),0),0)</f>
        <v>0</v>
      </c>
      <c r="AY707" s="58">
        <f>IFERROR(IF($V707="BRAND.com",HLOOKUP($X707&amp;$Z707,PLANNING_FC!$T$4:$AH$23,MATCH($W707,PLANNING_FC!$B$4:$B$23,0),FALSE),0),0)</f>
        <v>0</v>
      </c>
      <c r="AZ707" s="58">
        <f>IFERROR(IF($V707="BRAND.com",HLOOKUP($X707&amp;$Z707,PLANNING_FC!$DA$27:$DO$46,MATCH($W707,PLANNING_FC!$CZ$27:$CZ$46,0),FALSE),0),0)</f>
        <v>0</v>
      </c>
      <c r="BA707" s="58">
        <f>IFERROR(IF($V707="BRAND.com",HLOOKUP($X707&amp;$Z707,PLANNING_FC!$DA$4:$DO$23,MATCH($W707,PLANNING_FC!$CZ$4:$CZ$23,0),FALSE),0),0)</f>
        <v>0</v>
      </c>
      <c r="BB707" s="883" t="str">
        <f>IF(V707="BRAND.com",IFERROR(HLOOKUP(X707&amp;Z707,PLANNING_FC!$AK$4:$AY$23,MATCH(W707,PLANNING_FC!$AJ$4:$AJ$23,0),FALSE)*1000,""),"")</f>
        <v/>
      </c>
      <c r="BC707" s="883" t="str">
        <f>IF(V707="BRAND.com",IFERROR(HLOOKUP(X707&amp;Z707,PLANNING_FC!$AK$27:$AY$46,MATCH(W707,PLANNING_FC!$AJ$27:$AJ$46,0),FALSE)*1000,""),"")</f>
        <v/>
      </c>
    </row>
    <row r="708" spans="14:55" x14ac:dyDescent="0.25">
      <c r="N708" s="56">
        <f t="shared" si="284"/>
        <v>0</v>
      </c>
      <c r="O708" s="57">
        <f t="shared" si="285"/>
        <v>0</v>
      </c>
      <c r="P708" s="57">
        <f ca="1">IFERROR(IF(ISBLANK(H708),SUMIFS($AC:$AC,$V:$V,V708,$W:$W,W708,$X:$X,X708,$Y:$Y,Y708)*J708/(1-J708)*VLOOKUP(_xlfn.CONCAT(C708,D708,E708,TIME!$M$12,Z708),HIS_SALES!$B$2:$W$4859,20,FALSE),AC708*J708/(1-J708)),0)</f>
        <v>0</v>
      </c>
      <c r="Q708" s="541" t="str">
        <f t="shared" si="286"/>
        <v/>
      </c>
      <c r="R708" s="346" t="str">
        <f t="shared" si="287"/>
        <v>00000</v>
      </c>
      <c r="S708" s="344">
        <f t="shared" si="288"/>
        <v>0</v>
      </c>
      <c r="T708" s="345" t="str">
        <f t="shared" si="301"/>
        <v>000</v>
      </c>
      <c r="U708" s="345">
        <f t="shared" si="289"/>
        <v>0</v>
      </c>
      <c r="V708" s="345">
        <f t="shared" si="290"/>
        <v>0</v>
      </c>
      <c r="W708" s="345">
        <f t="shared" si="291"/>
        <v>0</v>
      </c>
      <c r="X708" s="345">
        <f t="shared" si="292"/>
        <v>0</v>
      </c>
      <c r="Y708" s="345">
        <f t="shared" si="293"/>
        <v>0</v>
      </c>
      <c r="Z708" s="345">
        <f>IF(Q708&lt;&gt;"",VLOOKUP(Y708,TIME!$R$21:$V$24,MATCH(FC_DATA!Q708,TIME!$R$20:$V$20,0),FALSE),H708)</f>
        <v>0</v>
      </c>
      <c r="AA708" s="345" t="str">
        <f>IFERROR(VLOOKUP(X708&amp;Z708,TIME!$A$12:$D$71,4,FALSE),"")</f>
        <v/>
      </c>
      <c r="AB708" s="592">
        <f t="shared" ca="1" si="294"/>
        <v>0</v>
      </c>
      <c r="AC708" s="593" t="e">
        <f ca="1">IF(ISBLANK(H708)=FALSE,IF(D708="BRAND.com",I708,IF(ISNA(VLOOKUP(_xlfn.CONCAT(X708,Z708),TIME!$M$40:$M$42,1,FALSE)),I708,VLOOKUP(_xlfn.CONCAT(D708,G708,H708),M_BUSAREA_FC!$AF$5:$AJ$10,5,FALSE)*HLOOKUP(_xlfn.CONCAT(F708,H708),ST_OVERVIEW!$G$99:$I$130,MATCH(_xlfn.CONCAT(D708,E708),ST_OVERVIEW!$F$99:$F$130,0),FALSE))),IF(D708="BRAND.com",VLOOKUP(_xlfn.CONCAT(C708,D708,E708,TIME!$F$1,Z708),HIS_SALES!$B$2:$V$4859,19,FALSE)*I708,VLOOKUP(_xlfn.CONCAT(D708,F708,G708),Q_BUSAREA_FC!$AE$5:$AI$12,5,FALSE)*HLOOKUP(_xlfn.CONCAT(FC_DATA!F708,FC_DATA!G708),LT_OVERVIEW!$I$99:$M$130,MATCH(_xlfn.CONCAT(D708,FC_DATA!E708),LT_OVERVIEW!$H$99:$H$130,0),FALSE)*IFERROR(VLOOKUP(_xlfn.CONCAT(C708,D708,E708,TIME!$F$1,Z708),HIS_SALES!$B$2:$V$4859,19,FALSE),0)))</f>
        <v>#N/A</v>
      </c>
      <c r="AD708" s="341">
        <f t="shared" ca="1" si="295"/>
        <v>0</v>
      </c>
      <c r="AE708" s="363" t="str">
        <f t="shared" si="296"/>
        <v/>
      </c>
      <c r="AF708" s="342" t="str">
        <f t="shared" si="297"/>
        <v/>
      </c>
      <c r="AG708" s="411" t="e">
        <f ca="1">VLOOKUP(_xlfn.CONCAT(U708,V708,W708,VLOOKUP(X708&amp;Y708,TIME!$L$27:$O$34,4,FALSE),Y708),HIS_SALES!$A$2:$R$5093,18,FALSE)</f>
        <v>#N/A</v>
      </c>
      <c r="AH708" s="412" t="e">
        <f ca="1">IFERROR(IF(AND(V708=V707,W708=W707),0.5*(AB708+AB707)*AG708,(VLOOKUP(_xlfn.CONCAT(U708,V708,W708,X708,VLOOKUP(Z708,TIME!$S$28:$T$39,2,FALSE)),FC_DATA!$R$2:$AB$5000,MATCH("GS_I_M",FC_DATA!$R$1:$AB$1,0),FALSE)+FC_DATA!AB708)*0.5*FC_DATA!AG708),NA())</f>
        <v>#N/A</v>
      </c>
      <c r="AI708" s="491" t="e">
        <f ca="1">IF(V708="PARTNER.com",AH708,IF(AND(V708=V707,W708=W707),(1-AVERAGE(AD707,AD708))*AH708,(1-AVERAGE(AD708,VLOOKUP(_xlfn.CONCAT(U708,V708,W708,X708,M_BRAND_FC!$F$6),FC_DATA!$R$2:$AD$5000,MATCH("DISCOUNT_%_M",FC_DATA!$R$1:$AD$1,0),FALSE)))*AH708))</f>
        <v>#N/A</v>
      </c>
      <c r="AJ708" s="412" t="str">
        <f t="shared" ca="1" si="298"/>
        <v/>
      </c>
      <c r="AK708" s="413" t="str">
        <f>IFERROR(AE708/(Q_BRAND_FC!$T$24+1),"")</f>
        <v/>
      </c>
      <c r="AL708" s="88" t="str">
        <f t="shared" ca="1" si="299"/>
        <v/>
      </c>
      <c r="AM708" s="414" t="str">
        <f t="shared" ca="1" si="300"/>
        <v/>
      </c>
      <c r="AN708" s="58">
        <f>IFERROR(IF($V708="BRAND.com",HLOOKUP($X708&amp;$Z708,NWC_FC_NOOS!$C$4:$Q$23,MATCH(W708,NWC_FC_NOOS!$B$4:$B$23,0),FALSE),0),0)</f>
        <v>0</v>
      </c>
      <c r="AO708" s="57">
        <f>IFERROR(IF($V708="BRAND.com",HLOOKUP($X708&amp;$Z708,NWC_FC_NOOS!$T$4:$AH$23,MATCH(W708,NWC_FC_NOOS!$S$4:$S$23,0),FALSE),0),0)</f>
        <v>0</v>
      </c>
      <c r="AP708" s="57">
        <f>IFERROR(IF($V708="BRAND.com",HLOOKUP($X708&amp;$Z708,NWC_FC_NOOS!$C$50:$U$69,MATCH(W708,NWC_FC_NOOS!$B$50:$B$69,0),FALSE),0),0)</f>
        <v>0</v>
      </c>
      <c r="AQ708" s="58">
        <f>IFERROR(IF($V708="BRAND.com",HLOOKUP($X708&amp;$Z708,'NWC_FC_NON-NOOS'!$C$4:$Q$23,MATCH(W708,'NWC_FC_NON-NOOS'!$B$4:$B$23,0),FALSE),0),0)</f>
        <v>0</v>
      </c>
      <c r="AR708" s="57">
        <f>IFERROR(IF($V708="BRAND.com",HLOOKUP($X708&amp;$Z708,'NWC_FC_NON-NOOS'!$T$4:$AH$23,MATCH(W708,'NWC_FC_NON-NOOS'!$S$4:$S$23,0),FALSE),0),0)</f>
        <v>0</v>
      </c>
      <c r="AS708" s="57">
        <f>IFERROR(IF($V708="BRAND.com",HLOOKUP($X708&amp;$Z708,'NWC_FC_NON-NOOS'!$C$50:$U$69,MATCH(W708,'NWC_FC_NON-NOOS'!$B$50:$B$69,0),FALSE),0),0)</f>
        <v>0</v>
      </c>
      <c r="AT708" s="57">
        <f t="shared" si="302"/>
        <v>0</v>
      </c>
      <c r="AU708" s="57">
        <f t="shared" si="303"/>
        <v>0</v>
      </c>
      <c r="AV708" s="58">
        <f>IFERROR(IF($V708="BRAND.com",HLOOKUP($X708&amp;$Z708,PLANNING_FC!$BB$27:$BP$46,MATCH($W708,PLANNING_FC!$BA$27:$BA$46,0),FALSE),0),0)</f>
        <v>0</v>
      </c>
      <c r="AW708" s="58">
        <f>IFERROR(IF($V708="BRAND.com",HLOOKUP($X708&amp;$Z708,PLANNING_FC!$BB$4:$BP$23,MATCH($W708,PLANNING_FC!$BA$4:$BA$23,0),FALSE),0),0)</f>
        <v>0</v>
      </c>
      <c r="AX708" s="58">
        <f>IFERROR(IF($V708="BRAND.com",HLOOKUP($X708&amp;$Z708,PLANNING_FC!$T$27:$AH$46,MATCH($W708,PLANNING_FC!$B$27:$B$46,0),FALSE),0),0)</f>
        <v>0</v>
      </c>
      <c r="AY708" s="58">
        <f>IFERROR(IF($V708="BRAND.com",HLOOKUP($X708&amp;$Z708,PLANNING_FC!$T$4:$AH$23,MATCH($W708,PLANNING_FC!$B$4:$B$23,0),FALSE),0),0)</f>
        <v>0</v>
      </c>
      <c r="AZ708" s="58">
        <f>IFERROR(IF($V708="BRAND.com",HLOOKUP($X708&amp;$Z708,PLANNING_FC!$DA$27:$DO$46,MATCH($W708,PLANNING_FC!$CZ$27:$CZ$46,0),FALSE),0),0)</f>
        <v>0</v>
      </c>
      <c r="BA708" s="58">
        <f>IFERROR(IF($V708="BRAND.com",HLOOKUP($X708&amp;$Z708,PLANNING_FC!$DA$4:$DO$23,MATCH($W708,PLANNING_FC!$CZ$4:$CZ$23,0),FALSE),0),0)</f>
        <v>0</v>
      </c>
      <c r="BB708" s="883" t="str">
        <f>IF(V708="BRAND.com",IFERROR(HLOOKUP(X708&amp;Z708,PLANNING_FC!$AK$4:$AY$23,MATCH(W708,PLANNING_FC!$AJ$4:$AJ$23,0),FALSE)*1000,""),"")</f>
        <v/>
      </c>
      <c r="BC708" s="883" t="str">
        <f>IF(V708="BRAND.com",IFERROR(HLOOKUP(X708&amp;Z708,PLANNING_FC!$AK$27:$AY$46,MATCH(W708,PLANNING_FC!$AJ$27:$AJ$46,0),FALSE)*1000,""),"")</f>
        <v/>
      </c>
    </row>
    <row r="709" spans="14:55" x14ac:dyDescent="0.25">
      <c r="N709" s="56">
        <f t="shared" si="284"/>
        <v>0</v>
      </c>
      <c r="O709" s="57">
        <f t="shared" si="285"/>
        <v>0</v>
      </c>
      <c r="P709" s="57">
        <f ca="1">IFERROR(IF(ISBLANK(H709),SUMIFS($AC:$AC,$V:$V,V709,$W:$W,W709,$X:$X,X709,$Y:$Y,Y709)*J709/(1-J709)*VLOOKUP(_xlfn.CONCAT(C709,D709,E709,TIME!$M$12,Z709),HIS_SALES!$B$2:$W$4859,20,FALSE),AC709*J709/(1-J709)),0)</f>
        <v>0</v>
      </c>
      <c r="Q709" s="541" t="str">
        <f t="shared" si="286"/>
        <v/>
      </c>
      <c r="R709" s="346" t="str">
        <f t="shared" si="287"/>
        <v>00000</v>
      </c>
      <c r="S709" s="344">
        <f t="shared" si="288"/>
        <v>0</v>
      </c>
      <c r="T709" s="345" t="str">
        <f t="shared" si="301"/>
        <v>000</v>
      </c>
      <c r="U709" s="345">
        <f t="shared" si="289"/>
        <v>0</v>
      </c>
      <c r="V709" s="345">
        <f t="shared" si="290"/>
        <v>0</v>
      </c>
      <c r="W709" s="345">
        <f t="shared" si="291"/>
        <v>0</v>
      </c>
      <c r="X709" s="345">
        <f t="shared" si="292"/>
        <v>0</v>
      </c>
      <c r="Y709" s="345">
        <f t="shared" si="293"/>
        <v>0</v>
      </c>
      <c r="Z709" s="345">
        <f>IF(Q709&lt;&gt;"",VLOOKUP(Y709,TIME!$R$21:$V$24,MATCH(FC_DATA!Q709,TIME!$R$20:$V$20,0),FALSE),H709)</f>
        <v>0</v>
      </c>
      <c r="AA709" s="345" t="str">
        <f>IFERROR(VLOOKUP(X709&amp;Z709,TIME!$A$12:$D$71,4,FALSE),"")</f>
        <v/>
      </c>
      <c r="AB709" s="592">
        <f t="shared" ca="1" si="294"/>
        <v>0</v>
      </c>
      <c r="AC709" s="593" t="e">
        <f ca="1">IF(ISBLANK(H709)=FALSE,IF(D709="BRAND.com",I709,IF(ISNA(VLOOKUP(_xlfn.CONCAT(X709,Z709),TIME!$M$40:$M$42,1,FALSE)),I709,VLOOKUP(_xlfn.CONCAT(D709,G709,H709),M_BUSAREA_FC!$AF$5:$AJ$10,5,FALSE)*HLOOKUP(_xlfn.CONCAT(F709,H709),ST_OVERVIEW!$G$99:$I$130,MATCH(_xlfn.CONCAT(D709,E709),ST_OVERVIEW!$F$99:$F$130,0),FALSE))),IF(D709="BRAND.com",VLOOKUP(_xlfn.CONCAT(C709,D709,E709,TIME!$F$1,Z709),HIS_SALES!$B$2:$V$4859,19,FALSE)*I709,VLOOKUP(_xlfn.CONCAT(D709,F709,G709),Q_BUSAREA_FC!$AE$5:$AI$12,5,FALSE)*HLOOKUP(_xlfn.CONCAT(FC_DATA!F709,FC_DATA!G709),LT_OVERVIEW!$I$99:$M$130,MATCH(_xlfn.CONCAT(D709,FC_DATA!E709),LT_OVERVIEW!$H$99:$H$130,0),FALSE)*IFERROR(VLOOKUP(_xlfn.CONCAT(C709,D709,E709,TIME!$F$1,Z709),HIS_SALES!$B$2:$V$4859,19,FALSE),0)))</f>
        <v>#N/A</v>
      </c>
      <c r="AD709" s="341">
        <f t="shared" ca="1" si="295"/>
        <v>0</v>
      </c>
      <c r="AE709" s="363" t="str">
        <f t="shared" si="296"/>
        <v/>
      </c>
      <c r="AF709" s="342" t="str">
        <f t="shared" si="297"/>
        <v/>
      </c>
      <c r="AG709" s="411" t="e">
        <f ca="1">VLOOKUP(_xlfn.CONCAT(U709,V709,W709,VLOOKUP(X709&amp;Y709,TIME!$L$27:$O$34,4,FALSE),Y709),HIS_SALES!$A$2:$R$5093,18,FALSE)</f>
        <v>#N/A</v>
      </c>
      <c r="AH709" s="412" t="e">
        <f ca="1">IFERROR(IF(AND(V709=V708,W709=W708),0.5*(AB709+AB708)*AG709,(VLOOKUP(_xlfn.CONCAT(U709,V709,W709,X709,VLOOKUP(Z709,TIME!$S$28:$T$39,2,FALSE)),FC_DATA!$R$2:$AB$5000,MATCH("GS_I_M",FC_DATA!$R$1:$AB$1,0),FALSE)+FC_DATA!AB709)*0.5*FC_DATA!AG709),NA())</f>
        <v>#N/A</v>
      </c>
      <c r="AI709" s="491" t="e">
        <f ca="1">IF(V709="PARTNER.com",AH709,IF(AND(V709=V708,W709=W708),(1-AVERAGE(AD708,AD709))*AH709,(1-AVERAGE(AD709,VLOOKUP(_xlfn.CONCAT(U709,V709,W709,X709,M_BRAND_FC!$F$6),FC_DATA!$R$2:$AD$5000,MATCH("DISCOUNT_%_M",FC_DATA!$R$1:$AD$1,0),FALSE)))*AH709))</f>
        <v>#N/A</v>
      </c>
      <c r="AJ709" s="412" t="str">
        <f t="shared" ca="1" si="298"/>
        <v/>
      </c>
      <c r="AK709" s="413" t="str">
        <f>IFERROR(AE709/(Q_BRAND_FC!$T$24+1),"")</f>
        <v/>
      </c>
      <c r="AL709" s="88" t="str">
        <f t="shared" ca="1" si="299"/>
        <v/>
      </c>
      <c r="AM709" s="414" t="str">
        <f t="shared" ca="1" si="300"/>
        <v/>
      </c>
      <c r="AN709" s="58">
        <f>IFERROR(IF($V709="BRAND.com",HLOOKUP($X709&amp;$Z709,NWC_FC_NOOS!$C$4:$Q$23,MATCH(W709,NWC_FC_NOOS!$B$4:$B$23,0),FALSE),0),0)</f>
        <v>0</v>
      </c>
      <c r="AO709" s="57">
        <f>IFERROR(IF($V709="BRAND.com",HLOOKUP($X709&amp;$Z709,NWC_FC_NOOS!$T$4:$AH$23,MATCH(W709,NWC_FC_NOOS!$S$4:$S$23,0),FALSE),0),0)</f>
        <v>0</v>
      </c>
      <c r="AP709" s="57">
        <f>IFERROR(IF($V709="BRAND.com",HLOOKUP($X709&amp;$Z709,NWC_FC_NOOS!$C$50:$U$69,MATCH(W709,NWC_FC_NOOS!$B$50:$B$69,0),FALSE),0),0)</f>
        <v>0</v>
      </c>
      <c r="AQ709" s="58">
        <f>IFERROR(IF($V709="BRAND.com",HLOOKUP($X709&amp;$Z709,'NWC_FC_NON-NOOS'!$C$4:$Q$23,MATCH(W709,'NWC_FC_NON-NOOS'!$B$4:$B$23,0),FALSE),0),0)</f>
        <v>0</v>
      </c>
      <c r="AR709" s="57">
        <f>IFERROR(IF($V709="BRAND.com",HLOOKUP($X709&amp;$Z709,'NWC_FC_NON-NOOS'!$T$4:$AH$23,MATCH(W709,'NWC_FC_NON-NOOS'!$S$4:$S$23,0),FALSE),0),0)</f>
        <v>0</v>
      </c>
      <c r="AS709" s="57">
        <f>IFERROR(IF($V709="BRAND.com",HLOOKUP($X709&amp;$Z709,'NWC_FC_NON-NOOS'!$C$50:$U$69,MATCH(W709,'NWC_FC_NON-NOOS'!$B$50:$B$69,0),FALSE),0),0)</f>
        <v>0</v>
      </c>
      <c r="AT709" s="57">
        <f t="shared" si="302"/>
        <v>0</v>
      </c>
      <c r="AU709" s="57">
        <f t="shared" si="303"/>
        <v>0</v>
      </c>
      <c r="AV709" s="58">
        <f>IFERROR(IF($V709="BRAND.com",HLOOKUP($X709&amp;$Z709,PLANNING_FC!$BB$27:$BP$46,MATCH($W709,PLANNING_FC!$BA$27:$BA$46,0),FALSE),0),0)</f>
        <v>0</v>
      </c>
      <c r="AW709" s="58">
        <f>IFERROR(IF($V709="BRAND.com",HLOOKUP($X709&amp;$Z709,PLANNING_FC!$BB$4:$BP$23,MATCH($W709,PLANNING_FC!$BA$4:$BA$23,0),FALSE),0),0)</f>
        <v>0</v>
      </c>
      <c r="AX709" s="58">
        <f>IFERROR(IF($V709="BRAND.com",HLOOKUP($X709&amp;$Z709,PLANNING_FC!$T$27:$AH$46,MATCH($W709,PLANNING_FC!$B$27:$B$46,0),FALSE),0),0)</f>
        <v>0</v>
      </c>
      <c r="AY709" s="58">
        <f>IFERROR(IF($V709="BRAND.com",HLOOKUP($X709&amp;$Z709,PLANNING_FC!$T$4:$AH$23,MATCH($W709,PLANNING_FC!$B$4:$B$23,0),FALSE),0),0)</f>
        <v>0</v>
      </c>
      <c r="AZ709" s="58">
        <f>IFERROR(IF($V709="BRAND.com",HLOOKUP($X709&amp;$Z709,PLANNING_FC!$DA$27:$DO$46,MATCH($W709,PLANNING_FC!$CZ$27:$CZ$46,0),FALSE),0),0)</f>
        <v>0</v>
      </c>
      <c r="BA709" s="58">
        <f>IFERROR(IF($V709="BRAND.com",HLOOKUP($X709&amp;$Z709,PLANNING_FC!$DA$4:$DO$23,MATCH($W709,PLANNING_FC!$CZ$4:$CZ$23,0),FALSE),0),0)</f>
        <v>0</v>
      </c>
      <c r="BB709" s="883" t="str">
        <f>IF(V709="BRAND.com",IFERROR(HLOOKUP(X709&amp;Z709,PLANNING_FC!$AK$4:$AY$23,MATCH(W709,PLANNING_FC!$AJ$4:$AJ$23,0),FALSE)*1000,""),"")</f>
        <v/>
      </c>
      <c r="BC709" s="883" t="str">
        <f>IF(V709="BRAND.com",IFERROR(HLOOKUP(X709&amp;Z709,PLANNING_FC!$AK$27:$AY$46,MATCH(W709,PLANNING_FC!$AJ$27:$AJ$46,0),FALSE)*1000,""),"")</f>
        <v/>
      </c>
    </row>
    <row r="710" spans="14:55" x14ac:dyDescent="0.25">
      <c r="N710" s="56">
        <f t="shared" si="284"/>
        <v>0</v>
      </c>
      <c r="O710" s="57">
        <f t="shared" si="285"/>
        <v>0</v>
      </c>
      <c r="P710" s="57">
        <f ca="1">IFERROR(IF(ISBLANK(H710),SUMIFS($AC:$AC,$V:$V,V710,$W:$W,W710,$X:$X,X710,$Y:$Y,Y710)*J710/(1-J710)*VLOOKUP(_xlfn.CONCAT(C710,D710,E710,TIME!$M$12,Z710),HIS_SALES!$B$2:$W$4859,20,FALSE),AC710*J710/(1-J710)),0)</f>
        <v>0</v>
      </c>
      <c r="Q710" s="541" t="str">
        <f t="shared" si="286"/>
        <v/>
      </c>
      <c r="R710" s="346" t="str">
        <f t="shared" si="287"/>
        <v>00000</v>
      </c>
      <c r="S710" s="344">
        <f t="shared" si="288"/>
        <v>0</v>
      </c>
      <c r="T710" s="345" t="str">
        <f t="shared" si="301"/>
        <v>000</v>
      </c>
      <c r="U710" s="345">
        <f t="shared" si="289"/>
        <v>0</v>
      </c>
      <c r="V710" s="345">
        <f t="shared" si="290"/>
        <v>0</v>
      </c>
      <c r="W710" s="345">
        <f t="shared" si="291"/>
        <v>0</v>
      </c>
      <c r="X710" s="345">
        <f t="shared" si="292"/>
        <v>0</v>
      </c>
      <c r="Y710" s="345">
        <f t="shared" si="293"/>
        <v>0</v>
      </c>
      <c r="Z710" s="345">
        <f>IF(Q710&lt;&gt;"",VLOOKUP(Y710,TIME!$R$21:$V$24,MATCH(FC_DATA!Q710,TIME!$R$20:$V$20,0),FALSE),H710)</f>
        <v>0</v>
      </c>
      <c r="AA710" s="345" t="str">
        <f>IFERROR(VLOOKUP(X710&amp;Z710,TIME!$A$12:$D$71,4,FALSE),"")</f>
        <v/>
      </c>
      <c r="AB710" s="592">
        <f t="shared" ca="1" si="294"/>
        <v>0</v>
      </c>
      <c r="AC710" s="593" t="e">
        <f ca="1">IF(ISBLANK(H710)=FALSE,IF(D710="BRAND.com",I710,IF(ISNA(VLOOKUP(_xlfn.CONCAT(X710,Z710),TIME!$M$40:$M$42,1,FALSE)),I710,VLOOKUP(_xlfn.CONCAT(D710,G710,H710),M_BUSAREA_FC!$AF$5:$AJ$10,5,FALSE)*HLOOKUP(_xlfn.CONCAT(F710,H710),ST_OVERVIEW!$G$99:$I$130,MATCH(_xlfn.CONCAT(D710,E710),ST_OVERVIEW!$F$99:$F$130,0),FALSE))),IF(D710="BRAND.com",VLOOKUP(_xlfn.CONCAT(C710,D710,E710,TIME!$F$1,Z710),HIS_SALES!$B$2:$V$4859,19,FALSE)*I710,VLOOKUP(_xlfn.CONCAT(D710,F710,G710),Q_BUSAREA_FC!$AE$5:$AI$12,5,FALSE)*HLOOKUP(_xlfn.CONCAT(FC_DATA!F710,FC_DATA!G710),LT_OVERVIEW!$I$99:$M$130,MATCH(_xlfn.CONCAT(D710,FC_DATA!E710),LT_OVERVIEW!$H$99:$H$130,0),FALSE)*IFERROR(VLOOKUP(_xlfn.CONCAT(C710,D710,E710,TIME!$F$1,Z710),HIS_SALES!$B$2:$V$4859,19,FALSE),0)))</f>
        <v>#N/A</v>
      </c>
      <c r="AD710" s="341">
        <f t="shared" ca="1" si="295"/>
        <v>0</v>
      </c>
      <c r="AE710" s="363" t="str">
        <f t="shared" si="296"/>
        <v/>
      </c>
      <c r="AF710" s="342" t="str">
        <f t="shared" si="297"/>
        <v/>
      </c>
      <c r="AG710" s="411" t="e">
        <f ca="1">VLOOKUP(_xlfn.CONCAT(U710,V710,W710,VLOOKUP(X710&amp;Y710,TIME!$L$27:$O$34,4,FALSE),Y710),HIS_SALES!$A$2:$R$5093,18,FALSE)</f>
        <v>#N/A</v>
      </c>
      <c r="AH710" s="412" t="e">
        <f ca="1">IFERROR(IF(AND(V710=V709,W710=W709),0.5*(AB710+AB709)*AG710,(VLOOKUP(_xlfn.CONCAT(U710,V710,W710,X710,VLOOKUP(Z710,TIME!$S$28:$T$39,2,FALSE)),FC_DATA!$R$2:$AB$5000,MATCH("GS_I_M",FC_DATA!$R$1:$AB$1,0),FALSE)+FC_DATA!AB710)*0.5*FC_DATA!AG710),NA())</f>
        <v>#N/A</v>
      </c>
      <c r="AI710" s="491" t="e">
        <f ca="1">IF(V710="PARTNER.com",AH710,IF(AND(V710=V709,W710=W709),(1-AVERAGE(AD709,AD710))*AH710,(1-AVERAGE(AD710,VLOOKUP(_xlfn.CONCAT(U710,V710,W710,X710,M_BRAND_FC!$F$6),FC_DATA!$R$2:$AD$5000,MATCH("DISCOUNT_%_M",FC_DATA!$R$1:$AD$1,0),FALSE)))*AH710))</f>
        <v>#N/A</v>
      </c>
      <c r="AJ710" s="412" t="str">
        <f t="shared" ca="1" si="298"/>
        <v/>
      </c>
      <c r="AK710" s="413" t="str">
        <f>IFERROR(AE710/(Q_BRAND_FC!$T$24+1),"")</f>
        <v/>
      </c>
      <c r="AL710" s="88" t="str">
        <f t="shared" ca="1" si="299"/>
        <v/>
      </c>
      <c r="AM710" s="414" t="str">
        <f t="shared" ca="1" si="300"/>
        <v/>
      </c>
      <c r="AN710" s="58">
        <f>IFERROR(IF($V710="BRAND.com",HLOOKUP($X710&amp;$Z710,NWC_FC_NOOS!$C$4:$Q$23,MATCH(W710,NWC_FC_NOOS!$B$4:$B$23,0),FALSE),0),0)</f>
        <v>0</v>
      </c>
      <c r="AO710" s="57">
        <f>IFERROR(IF($V710="BRAND.com",HLOOKUP($X710&amp;$Z710,NWC_FC_NOOS!$T$4:$AH$23,MATCH(W710,NWC_FC_NOOS!$S$4:$S$23,0),FALSE),0),0)</f>
        <v>0</v>
      </c>
      <c r="AP710" s="57">
        <f>IFERROR(IF($V710="BRAND.com",HLOOKUP($X710&amp;$Z710,NWC_FC_NOOS!$C$50:$U$69,MATCH(W710,NWC_FC_NOOS!$B$50:$B$69,0),FALSE),0),0)</f>
        <v>0</v>
      </c>
      <c r="AQ710" s="58">
        <f>IFERROR(IF($V710="BRAND.com",HLOOKUP($X710&amp;$Z710,'NWC_FC_NON-NOOS'!$C$4:$Q$23,MATCH(W710,'NWC_FC_NON-NOOS'!$B$4:$B$23,0),FALSE),0),0)</f>
        <v>0</v>
      </c>
      <c r="AR710" s="57">
        <f>IFERROR(IF($V710="BRAND.com",HLOOKUP($X710&amp;$Z710,'NWC_FC_NON-NOOS'!$T$4:$AH$23,MATCH(W710,'NWC_FC_NON-NOOS'!$S$4:$S$23,0),FALSE),0),0)</f>
        <v>0</v>
      </c>
      <c r="AS710" s="57">
        <f>IFERROR(IF($V710="BRAND.com",HLOOKUP($X710&amp;$Z710,'NWC_FC_NON-NOOS'!$C$50:$U$69,MATCH(W710,'NWC_FC_NON-NOOS'!$B$50:$B$69,0),FALSE),0),0)</f>
        <v>0</v>
      </c>
      <c r="AT710" s="57">
        <f t="shared" si="302"/>
        <v>0</v>
      </c>
      <c r="AU710" s="57">
        <f t="shared" si="303"/>
        <v>0</v>
      </c>
      <c r="AV710" s="58">
        <f>IFERROR(IF($V710="BRAND.com",HLOOKUP($X710&amp;$Z710,PLANNING_FC!$BB$27:$BP$46,MATCH($W710,PLANNING_FC!$BA$27:$BA$46,0),FALSE),0),0)</f>
        <v>0</v>
      </c>
      <c r="AW710" s="58">
        <f>IFERROR(IF($V710="BRAND.com",HLOOKUP($X710&amp;$Z710,PLANNING_FC!$BB$4:$BP$23,MATCH($W710,PLANNING_FC!$BA$4:$BA$23,0),FALSE),0),0)</f>
        <v>0</v>
      </c>
      <c r="AX710" s="58">
        <f>IFERROR(IF($V710="BRAND.com",HLOOKUP($X710&amp;$Z710,PLANNING_FC!$T$27:$AH$46,MATCH($W710,PLANNING_FC!$B$27:$B$46,0),FALSE),0),0)</f>
        <v>0</v>
      </c>
      <c r="AY710" s="58">
        <f>IFERROR(IF($V710="BRAND.com",HLOOKUP($X710&amp;$Z710,PLANNING_FC!$T$4:$AH$23,MATCH($W710,PLANNING_FC!$B$4:$B$23,0),FALSE),0),0)</f>
        <v>0</v>
      </c>
      <c r="AZ710" s="58">
        <f>IFERROR(IF($V710="BRAND.com",HLOOKUP($X710&amp;$Z710,PLANNING_FC!$DA$27:$DO$46,MATCH($W710,PLANNING_FC!$CZ$27:$CZ$46,0),FALSE),0),0)</f>
        <v>0</v>
      </c>
      <c r="BA710" s="58">
        <f>IFERROR(IF($V710="BRAND.com",HLOOKUP($X710&amp;$Z710,PLANNING_FC!$DA$4:$DO$23,MATCH($W710,PLANNING_FC!$CZ$4:$CZ$23,0),FALSE),0),0)</f>
        <v>0</v>
      </c>
      <c r="BB710" s="883" t="str">
        <f>IF(V710="BRAND.com",IFERROR(HLOOKUP(X710&amp;Z710,PLANNING_FC!$AK$4:$AY$23,MATCH(W710,PLANNING_FC!$AJ$4:$AJ$23,0),FALSE)*1000,""),"")</f>
        <v/>
      </c>
      <c r="BC710" s="883" t="str">
        <f>IF(V710="BRAND.com",IFERROR(HLOOKUP(X710&amp;Z710,PLANNING_FC!$AK$27:$AY$46,MATCH(W710,PLANNING_FC!$AJ$27:$AJ$46,0),FALSE)*1000,""),"")</f>
        <v/>
      </c>
    </row>
    <row r="711" spans="14:55" x14ac:dyDescent="0.25">
      <c r="N711" s="56">
        <f t="shared" si="284"/>
        <v>0</v>
      </c>
      <c r="O711" s="57">
        <f t="shared" si="285"/>
        <v>0</v>
      </c>
      <c r="P711" s="57">
        <f ca="1">IFERROR(IF(ISBLANK(H711),SUMIFS($AC:$AC,$V:$V,V711,$W:$W,W711,$X:$X,X711,$Y:$Y,Y711)*J711/(1-J711)*VLOOKUP(_xlfn.CONCAT(C711,D711,E711,TIME!$M$12,Z711),HIS_SALES!$B$2:$W$4859,20,FALSE),AC711*J711/(1-J711)),0)</f>
        <v>0</v>
      </c>
      <c r="Q711" s="541" t="str">
        <f t="shared" si="286"/>
        <v/>
      </c>
      <c r="R711" s="346" t="str">
        <f t="shared" si="287"/>
        <v>00000</v>
      </c>
      <c r="S711" s="344">
        <f t="shared" si="288"/>
        <v>0</v>
      </c>
      <c r="T711" s="345" t="str">
        <f t="shared" si="301"/>
        <v>000</v>
      </c>
      <c r="U711" s="345">
        <f t="shared" si="289"/>
        <v>0</v>
      </c>
      <c r="V711" s="345">
        <f t="shared" si="290"/>
        <v>0</v>
      </c>
      <c r="W711" s="345">
        <f t="shared" si="291"/>
        <v>0</v>
      </c>
      <c r="X711" s="345">
        <f t="shared" si="292"/>
        <v>0</v>
      </c>
      <c r="Y711" s="345">
        <f t="shared" si="293"/>
        <v>0</v>
      </c>
      <c r="Z711" s="345">
        <f>IF(Q711&lt;&gt;"",VLOOKUP(Y711,TIME!$R$21:$V$24,MATCH(FC_DATA!Q711,TIME!$R$20:$V$20,0),FALSE),H711)</f>
        <v>0</v>
      </c>
      <c r="AA711" s="345" t="str">
        <f>IFERROR(VLOOKUP(X711&amp;Z711,TIME!$A$12:$D$71,4,FALSE),"")</f>
        <v/>
      </c>
      <c r="AB711" s="592">
        <f t="shared" ca="1" si="294"/>
        <v>0</v>
      </c>
      <c r="AC711" s="593" t="e">
        <f ca="1">IF(ISBLANK(H711)=FALSE,IF(D711="BRAND.com",I711,IF(ISNA(VLOOKUP(_xlfn.CONCAT(X711,Z711),TIME!$M$40:$M$42,1,FALSE)),I711,VLOOKUP(_xlfn.CONCAT(D711,G711,H711),M_BUSAREA_FC!$AF$5:$AJ$10,5,FALSE)*HLOOKUP(_xlfn.CONCAT(F711,H711),ST_OVERVIEW!$G$99:$I$130,MATCH(_xlfn.CONCAT(D711,E711),ST_OVERVIEW!$F$99:$F$130,0),FALSE))),IF(D711="BRAND.com",VLOOKUP(_xlfn.CONCAT(C711,D711,E711,TIME!$F$1,Z711),HIS_SALES!$B$2:$V$4859,19,FALSE)*I711,VLOOKUP(_xlfn.CONCAT(D711,F711,G711),Q_BUSAREA_FC!$AE$5:$AI$12,5,FALSE)*HLOOKUP(_xlfn.CONCAT(FC_DATA!F711,FC_DATA!G711),LT_OVERVIEW!$I$99:$M$130,MATCH(_xlfn.CONCAT(D711,FC_DATA!E711),LT_OVERVIEW!$H$99:$H$130,0),FALSE)*IFERROR(VLOOKUP(_xlfn.CONCAT(C711,D711,E711,TIME!$F$1,Z711),HIS_SALES!$B$2:$V$4859,19,FALSE),0)))</f>
        <v>#N/A</v>
      </c>
      <c r="AD711" s="341">
        <f t="shared" ca="1" si="295"/>
        <v>0</v>
      </c>
      <c r="AE711" s="363" t="str">
        <f t="shared" si="296"/>
        <v/>
      </c>
      <c r="AF711" s="342" t="str">
        <f t="shared" si="297"/>
        <v/>
      </c>
      <c r="AG711" s="411" t="e">
        <f ca="1">VLOOKUP(_xlfn.CONCAT(U711,V711,W711,VLOOKUP(X711&amp;Y711,TIME!$L$27:$O$34,4,FALSE),Y711),HIS_SALES!$A$2:$R$5093,18,FALSE)</f>
        <v>#N/A</v>
      </c>
      <c r="AH711" s="412" t="e">
        <f ca="1">IFERROR(IF(AND(V711=V710,W711=W710),0.5*(AB711+AB710)*AG711,(VLOOKUP(_xlfn.CONCAT(U711,V711,W711,X711,VLOOKUP(Z711,TIME!$S$28:$T$39,2,FALSE)),FC_DATA!$R$2:$AB$5000,MATCH("GS_I_M",FC_DATA!$R$1:$AB$1,0),FALSE)+FC_DATA!AB711)*0.5*FC_DATA!AG711),NA())</f>
        <v>#N/A</v>
      </c>
      <c r="AI711" s="491" t="e">
        <f ca="1">IF(V711="PARTNER.com",AH711,IF(AND(V711=V710,W711=W710),(1-AVERAGE(AD710,AD711))*AH711,(1-AVERAGE(AD711,VLOOKUP(_xlfn.CONCAT(U711,V711,W711,X711,M_BRAND_FC!$F$6),FC_DATA!$R$2:$AD$5000,MATCH("DISCOUNT_%_M",FC_DATA!$R$1:$AD$1,0),FALSE)))*AH711))</f>
        <v>#N/A</v>
      </c>
      <c r="AJ711" s="412" t="str">
        <f t="shared" ca="1" si="298"/>
        <v/>
      </c>
      <c r="AK711" s="413" t="str">
        <f>IFERROR(AE711/(Q_BRAND_FC!$T$24+1),"")</f>
        <v/>
      </c>
      <c r="AL711" s="88" t="str">
        <f t="shared" ca="1" si="299"/>
        <v/>
      </c>
      <c r="AM711" s="414" t="str">
        <f t="shared" ca="1" si="300"/>
        <v/>
      </c>
      <c r="AN711" s="58">
        <f>IFERROR(IF($V711="BRAND.com",HLOOKUP($X711&amp;$Z711,NWC_FC_NOOS!$C$4:$Q$23,MATCH(W711,NWC_FC_NOOS!$B$4:$B$23,0),FALSE),0),0)</f>
        <v>0</v>
      </c>
      <c r="AO711" s="57">
        <f>IFERROR(IF($V711="BRAND.com",HLOOKUP($X711&amp;$Z711,NWC_FC_NOOS!$T$4:$AH$23,MATCH(W711,NWC_FC_NOOS!$S$4:$S$23,0),FALSE),0),0)</f>
        <v>0</v>
      </c>
      <c r="AP711" s="57">
        <f>IFERROR(IF($V711="BRAND.com",HLOOKUP($X711&amp;$Z711,NWC_FC_NOOS!$C$50:$U$69,MATCH(W711,NWC_FC_NOOS!$B$50:$B$69,0),FALSE),0),0)</f>
        <v>0</v>
      </c>
      <c r="AQ711" s="58">
        <f>IFERROR(IF($V711="BRAND.com",HLOOKUP($X711&amp;$Z711,'NWC_FC_NON-NOOS'!$C$4:$Q$23,MATCH(W711,'NWC_FC_NON-NOOS'!$B$4:$B$23,0),FALSE),0),0)</f>
        <v>0</v>
      </c>
      <c r="AR711" s="57">
        <f>IFERROR(IF($V711="BRAND.com",HLOOKUP($X711&amp;$Z711,'NWC_FC_NON-NOOS'!$T$4:$AH$23,MATCH(W711,'NWC_FC_NON-NOOS'!$S$4:$S$23,0),FALSE),0),0)</f>
        <v>0</v>
      </c>
      <c r="AS711" s="57">
        <f>IFERROR(IF($V711="BRAND.com",HLOOKUP($X711&amp;$Z711,'NWC_FC_NON-NOOS'!$C$50:$U$69,MATCH(W711,'NWC_FC_NON-NOOS'!$B$50:$B$69,0),FALSE),0),0)</f>
        <v>0</v>
      </c>
      <c r="AT711" s="57">
        <f t="shared" si="302"/>
        <v>0</v>
      </c>
      <c r="AU711" s="57">
        <f t="shared" si="303"/>
        <v>0</v>
      </c>
      <c r="AV711" s="58">
        <f>IFERROR(IF($V711="BRAND.com",HLOOKUP($X711&amp;$Z711,PLANNING_FC!$BB$27:$BP$46,MATCH($W711,PLANNING_FC!$BA$27:$BA$46,0),FALSE),0),0)</f>
        <v>0</v>
      </c>
      <c r="AW711" s="58">
        <f>IFERROR(IF($V711="BRAND.com",HLOOKUP($X711&amp;$Z711,PLANNING_FC!$BB$4:$BP$23,MATCH($W711,PLANNING_FC!$BA$4:$BA$23,0),FALSE),0),0)</f>
        <v>0</v>
      </c>
      <c r="AX711" s="58">
        <f>IFERROR(IF($V711="BRAND.com",HLOOKUP($X711&amp;$Z711,PLANNING_FC!$T$27:$AH$46,MATCH($W711,PLANNING_FC!$B$27:$B$46,0),FALSE),0),0)</f>
        <v>0</v>
      </c>
      <c r="AY711" s="58">
        <f>IFERROR(IF($V711="BRAND.com",HLOOKUP($X711&amp;$Z711,PLANNING_FC!$T$4:$AH$23,MATCH($W711,PLANNING_FC!$B$4:$B$23,0),FALSE),0),0)</f>
        <v>0</v>
      </c>
      <c r="AZ711" s="58">
        <f>IFERROR(IF($V711="BRAND.com",HLOOKUP($X711&amp;$Z711,PLANNING_FC!$DA$27:$DO$46,MATCH($W711,PLANNING_FC!$CZ$27:$CZ$46,0),FALSE),0),0)</f>
        <v>0</v>
      </c>
      <c r="BA711" s="58">
        <f>IFERROR(IF($V711="BRAND.com",HLOOKUP($X711&amp;$Z711,PLANNING_FC!$DA$4:$DO$23,MATCH($W711,PLANNING_FC!$CZ$4:$CZ$23,0),FALSE),0),0)</f>
        <v>0</v>
      </c>
      <c r="BB711" s="883" t="str">
        <f>IF(V711="BRAND.com",IFERROR(HLOOKUP(X711&amp;Z711,PLANNING_FC!$AK$4:$AY$23,MATCH(W711,PLANNING_FC!$AJ$4:$AJ$23,0),FALSE)*1000,""),"")</f>
        <v/>
      </c>
      <c r="BC711" s="883" t="str">
        <f>IF(V711="BRAND.com",IFERROR(HLOOKUP(X711&amp;Z711,PLANNING_FC!$AK$27:$AY$46,MATCH(W711,PLANNING_FC!$AJ$27:$AJ$46,0),FALSE)*1000,""),"")</f>
        <v/>
      </c>
    </row>
    <row r="712" spans="14:55" x14ac:dyDescent="0.25">
      <c r="N712" s="56">
        <f t="shared" si="284"/>
        <v>0</v>
      </c>
      <c r="O712" s="57">
        <f t="shared" si="285"/>
        <v>0</v>
      </c>
      <c r="P712" s="57">
        <f ca="1">IFERROR(IF(ISBLANK(H712),SUMIFS($AC:$AC,$V:$V,V712,$W:$W,W712,$X:$X,X712,$Y:$Y,Y712)*J712/(1-J712)*VLOOKUP(_xlfn.CONCAT(C712,D712,E712,TIME!$M$12,Z712),HIS_SALES!$B$2:$W$4859,20,FALSE),AC712*J712/(1-J712)),0)</f>
        <v>0</v>
      </c>
      <c r="Q712" s="541" t="str">
        <f t="shared" si="286"/>
        <v/>
      </c>
      <c r="R712" s="346" t="str">
        <f t="shared" si="287"/>
        <v>00000</v>
      </c>
      <c r="S712" s="344">
        <f t="shared" si="288"/>
        <v>0</v>
      </c>
      <c r="T712" s="345" t="str">
        <f t="shared" si="301"/>
        <v>000</v>
      </c>
      <c r="U712" s="345">
        <f t="shared" si="289"/>
        <v>0</v>
      </c>
      <c r="V712" s="345">
        <f t="shared" si="290"/>
        <v>0</v>
      </c>
      <c r="W712" s="345">
        <f t="shared" si="291"/>
        <v>0</v>
      </c>
      <c r="X712" s="345">
        <f t="shared" si="292"/>
        <v>0</v>
      </c>
      <c r="Y712" s="345">
        <f t="shared" si="293"/>
        <v>0</v>
      </c>
      <c r="Z712" s="345">
        <f>IF(Q712&lt;&gt;"",VLOOKUP(Y712,TIME!$R$21:$V$24,MATCH(FC_DATA!Q712,TIME!$R$20:$V$20,0),FALSE),H712)</f>
        <v>0</v>
      </c>
      <c r="AA712" s="345" t="str">
        <f>IFERROR(VLOOKUP(X712&amp;Z712,TIME!$A$12:$D$71,4,FALSE),"")</f>
        <v/>
      </c>
      <c r="AB712" s="592">
        <f t="shared" ca="1" si="294"/>
        <v>0</v>
      </c>
      <c r="AC712" s="593" t="e">
        <f ca="1">IF(ISBLANK(H712)=FALSE,IF(D712="BRAND.com",I712,IF(ISNA(VLOOKUP(_xlfn.CONCAT(X712,Z712),TIME!$M$40:$M$42,1,FALSE)),I712,VLOOKUP(_xlfn.CONCAT(D712,G712,H712),M_BUSAREA_FC!$AF$5:$AJ$10,5,FALSE)*HLOOKUP(_xlfn.CONCAT(F712,H712),ST_OVERVIEW!$G$99:$I$130,MATCH(_xlfn.CONCAT(D712,E712),ST_OVERVIEW!$F$99:$F$130,0),FALSE))),IF(D712="BRAND.com",VLOOKUP(_xlfn.CONCAT(C712,D712,E712,TIME!$F$1,Z712),HIS_SALES!$B$2:$V$4859,19,FALSE)*I712,VLOOKUP(_xlfn.CONCAT(D712,F712,G712),Q_BUSAREA_FC!$AE$5:$AI$12,5,FALSE)*HLOOKUP(_xlfn.CONCAT(FC_DATA!F712,FC_DATA!G712),LT_OVERVIEW!$I$99:$M$130,MATCH(_xlfn.CONCAT(D712,FC_DATA!E712),LT_OVERVIEW!$H$99:$H$130,0),FALSE)*IFERROR(VLOOKUP(_xlfn.CONCAT(C712,D712,E712,TIME!$F$1,Z712),HIS_SALES!$B$2:$V$4859,19,FALSE),0)))</f>
        <v>#N/A</v>
      </c>
      <c r="AD712" s="341">
        <f t="shared" ca="1" si="295"/>
        <v>0</v>
      </c>
      <c r="AE712" s="363" t="str">
        <f t="shared" si="296"/>
        <v/>
      </c>
      <c r="AF712" s="342" t="str">
        <f t="shared" si="297"/>
        <v/>
      </c>
      <c r="AG712" s="411" t="e">
        <f ca="1">VLOOKUP(_xlfn.CONCAT(U712,V712,W712,VLOOKUP(X712&amp;Y712,TIME!$L$27:$O$34,4,FALSE),Y712),HIS_SALES!$A$2:$R$5093,18,FALSE)</f>
        <v>#N/A</v>
      </c>
      <c r="AH712" s="412" t="e">
        <f ca="1">IFERROR(IF(AND(V712=V711,W712=W711),0.5*(AB712+AB711)*AG712,(VLOOKUP(_xlfn.CONCAT(U712,V712,W712,X712,VLOOKUP(Z712,TIME!$S$28:$T$39,2,FALSE)),FC_DATA!$R$2:$AB$5000,MATCH("GS_I_M",FC_DATA!$R$1:$AB$1,0),FALSE)+FC_DATA!AB712)*0.5*FC_DATA!AG712),NA())</f>
        <v>#N/A</v>
      </c>
      <c r="AI712" s="491" t="e">
        <f ca="1">IF(V712="PARTNER.com",AH712,IF(AND(V712=V711,W712=W711),(1-AVERAGE(AD711,AD712))*AH712,(1-AVERAGE(AD712,VLOOKUP(_xlfn.CONCAT(U712,V712,W712,X712,M_BRAND_FC!$F$6),FC_DATA!$R$2:$AD$5000,MATCH("DISCOUNT_%_M",FC_DATA!$R$1:$AD$1,0),FALSE)))*AH712))</f>
        <v>#N/A</v>
      </c>
      <c r="AJ712" s="412" t="str">
        <f t="shared" ca="1" si="298"/>
        <v/>
      </c>
      <c r="AK712" s="413" t="str">
        <f>IFERROR(AE712/(Q_BRAND_FC!$T$24+1),"")</f>
        <v/>
      </c>
      <c r="AL712" s="88" t="str">
        <f t="shared" ca="1" si="299"/>
        <v/>
      </c>
      <c r="AM712" s="414" t="str">
        <f t="shared" ca="1" si="300"/>
        <v/>
      </c>
      <c r="AN712" s="58">
        <f>IFERROR(IF($V712="BRAND.com",HLOOKUP($X712&amp;$Z712,NWC_FC_NOOS!$C$4:$Q$23,MATCH(W712,NWC_FC_NOOS!$B$4:$B$23,0),FALSE),0),0)</f>
        <v>0</v>
      </c>
      <c r="AO712" s="57">
        <f>IFERROR(IF($V712="BRAND.com",HLOOKUP($X712&amp;$Z712,NWC_FC_NOOS!$T$4:$AH$23,MATCH(W712,NWC_FC_NOOS!$S$4:$S$23,0),FALSE),0),0)</f>
        <v>0</v>
      </c>
      <c r="AP712" s="57">
        <f>IFERROR(IF($V712="BRAND.com",HLOOKUP($X712&amp;$Z712,NWC_FC_NOOS!$C$50:$U$69,MATCH(W712,NWC_FC_NOOS!$B$50:$B$69,0),FALSE),0),0)</f>
        <v>0</v>
      </c>
      <c r="AQ712" s="58">
        <f>IFERROR(IF($V712="BRAND.com",HLOOKUP($X712&amp;$Z712,'NWC_FC_NON-NOOS'!$C$4:$Q$23,MATCH(W712,'NWC_FC_NON-NOOS'!$B$4:$B$23,0),FALSE),0),0)</f>
        <v>0</v>
      </c>
      <c r="AR712" s="57">
        <f>IFERROR(IF($V712="BRAND.com",HLOOKUP($X712&amp;$Z712,'NWC_FC_NON-NOOS'!$T$4:$AH$23,MATCH(W712,'NWC_FC_NON-NOOS'!$S$4:$S$23,0),FALSE),0),0)</f>
        <v>0</v>
      </c>
      <c r="AS712" s="57">
        <f>IFERROR(IF($V712="BRAND.com",HLOOKUP($X712&amp;$Z712,'NWC_FC_NON-NOOS'!$C$50:$U$69,MATCH(W712,'NWC_FC_NON-NOOS'!$B$50:$B$69,0),FALSE),0),0)</f>
        <v>0</v>
      </c>
      <c r="AT712" s="57">
        <f t="shared" si="302"/>
        <v>0</v>
      </c>
      <c r="AU712" s="57">
        <f t="shared" si="303"/>
        <v>0</v>
      </c>
      <c r="AV712" s="58">
        <f>IFERROR(IF($V712="BRAND.com",HLOOKUP($X712&amp;$Z712,PLANNING_FC!$BB$27:$BP$46,MATCH($W712,PLANNING_FC!$BA$27:$BA$46,0),FALSE),0),0)</f>
        <v>0</v>
      </c>
      <c r="AW712" s="58">
        <f>IFERROR(IF($V712="BRAND.com",HLOOKUP($X712&amp;$Z712,PLANNING_FC!$BB$4:$BP$23,MATCH($W712,PLANNING_FC!$BA$4:$BA$23,0),FALSE),0),0)</f>
        <v>0</v>
      </c>
      <c r="AX712" s="58">
        <f>IFERROR(IF($V712="BRAND.com",HLOOKUP($X712&amp;$Z712,PLANNING_FC!$T$27:$AH$46,MATCH($W712,PLANNING_FC!$B$27:$B$46,0),FALSE),0),0)</f>
        <v>0</v>
      </c>
      <c r="AY712" s="58">
        <f>IFERROR(IF($V712="BRAND.com",HLOOKUP($X712&amp;$Z712,PLANNING_FC!$T$4:$AH$23,MATCH($W712,PLANNING_FC!$B$4:$B$23,0),FALSE),0),0)</f>
        <v>0</v>
      </c>
      <c r="AZ712" s="58">
        <f>IFERROR(IF($V712="BRAND.com",HLOOKUP($X712&amp;$Z712,PLANNING_FC!$DA$27:$DO$46,MATCH($W712,PLANNING_FC!$CZ$27:$CZ$46,0),FALSE),0),0)</f>
        <v>0</v>
      </c>
      <c r="BA712" s="58">
        <f>IFERROR(IF($V712="BRAND.com",HLOOKUP($X712&amp;$Z712,PLANNING_FC!$DA$4:$DO$23,MATCH($W712,PLANNING_FC!$CZ$4:$CZ$23,0),FALSE),0),0)</f>
        <v>0</v>
      </c>
      <c r="BB712" s="883" t="str">
        <f>IF(V712="BRAND.com",IFERROR(HLOOKUP(X712&amp;Z712,PLANNING_FC!$AK$4:$AY$23,MATCH(W712,PLANNING_FC!$AJ$4:$AJ$23,0),FALSE)*1000,""),"")</f>
        <v/>
      </c>
      <c r="BC712" s="883" t="str">
        <f>IF(V712="BRAND.com",IFERROR(HLOOKUP(X712&amp;Z712,PLANNING_FC!$AK$27:$AY$46,MATCH(W712,PLANNING_FC!$AJ$27:$AJ$46,0),FALSE)*1000,""),"")</f>
        <v/>
      </c>
    </row>
    <row r="713" spans="14:55" x14ac:dyDescent="0.25">
      <c r="N713" s="56">
        <f t="shared" si="284"/>
        <v>0</v>
      </c>
      <c r="O713" s="57">
        <f t="shared" si="285"/>
        <v>0</v>
      </c>
      <c r="P713" s="57">
        <f ca="1">IFERROR(IF(ISBLANK(H713),SUMIFS($AC:$AC,$V:$V,V713,$W:$W,W713,$X:$X,X713,$Y:$Y,Y713)*J713/(1-J713)*VLOOKUP(_xlfn.CONCAT(C713,D713,E713,TIME!$M$12,Z713),HIS_SALES!$B$2:$W$4859,20,FALSE),AC713*J713/(1-J713)),0)</f>
        <v>0</v>
      </c>
      <c r="Q713" s="541" t="str">
        <f t="shared" si="286"/>
        <v/>
      </c>
      <c r="R713" s="346" t="str">
        <f t="shared" si="287"/>
        <v>00000</v>
      </c>
      <c r="S713" s="344">
        <f t="shared" si="288"/>
        <v>0</v>
      </c>
      <c r="T713" s="345" t="str">
        <f t="shared" si="301"/>
        <v>000</v>
      </c>
      <c r="U713" s="345">
        <f t="shared" si="289"/>
        <v>0</v>
      </c>
      <c r="V713" s="345">
        <f t="shared" si="290"/>
        <v>0</v>
      </c>
      <c r="W713" s="345">
        <f t="shared" si="291"/>
        <v>0</v>
      </c>
      <c r="X713" s="345">
        <f t="shared" si="292"/>
        <v>0</v>
      </c>
      <c r="Y713" s="345">
        <f t="shared" si="293"/>
        <v>0</v>
      </c>
      <c r="Z713" s="345">
        <f>IF(Q713&lt;&gt;"",VLOOKUP(Y713,TIME!$R$21:$V$24,MATCH(FC_DATA!Q713,TIME!$R$20:$V$20,0),FALSE),H713)</f>
        <v>0</v>
      </c>
      <c r="AA713" s="345" t="str">
        <f>IFERROR(VLOOKUP(X713&amp;Z713,TIME!$A$12:$D$71,4,FALSE),"")</f>
        <v/>
      </c>
      <c r="AB713" s="592">
        <f t="shared" ca="1" si="294"/>
        <v>0</v>
      </c>
      <c r="AC713" s="593" t="e">
        <f ca="1">IF(ISBLANK(H713)=FALSE,IF(D713="BRAND.com",I713,IF(ISNA(VLOOKUP(_xlfn.CONCAT(X713,Z713),TIME!$M$40:$M$42,1,FALSE)),I713,VLOOKUP(_xlfn.CONCAT(D713,G713,H713),M_BUSAREA_FC!$AF$5:$AJ$10,5,FALSE)*HLOOKUP(_xlfn.CONCAT(F713,H713),ST_OVERVIEW!$G$99:$I$130,MATCH(_xlfn.CONCAT(D713,E713),ST_OVERVIEW!$F$99:$F$130,0),FALSE))),IF(D713="BRAND.com",VLOOKUP(_xlfn.CONCAT(C713,D713,E713,TIME!$F$1,Z713),HIS_SALES!$B$2:$V$4859,19,FALSE)*I713,VLOOKUP(_xlfn.CONCAT(D713,F713,G713),Q_BUSAREA_FC!$AE$5:$AI$12,5,FALSE)*HLOOKUP(_xlfn.CONCAT(FC_DATA!F713,FC_DATA!G713),LT_OVERVIEW!$I$99:$M$130,MATCH(_xlfn.CONCAT(D713,FC_DATA!E713),LT_OVERVIEW!$H$99:$H$130,0),FALSE)*IFERROR(VLOOKUP(_xlfn.CONCAT(C713,D713,E713,TIME!$F$1,Z713),HIS_SALES!$B$2:$V$4859,19,FALSE),0)))</f>
        <v>#N/A</v>
      </c>
      <c r="AD713" s="341">
        <f t="shared" ca="1" si="295"/>
        <v>0</v>
      </c>
      <c r="AE713" s="363" t="str">
        <f t="shared" si="296"/>
        <v/>
      </c>
      <c r="AF713" s="342" t="str">
        <f t="shared" si="297"/>
        <v/>
      </c>
      <c r="AG713" s="411" t="e">
        <f ca="1">VLOOKUP(_xlfn.CONCAT(U713,V713,W713,VLOOKUP(X713&amp;Y713,TIME!$L$27:$O$34,4,FALSE),Y713),HIS_SALES!$A$2:$R$5093,18,FALSE)</f>
        <v>#N/A</v>
      </c>
      <c r="AH713" s="412" t="e">
        <f ca="1">IFERROR(IF(AND(V713=V712,W713=W712),0.5*(AB713+AB712)*AG713,(VLOOKUP(_xlfn.CONCAT(U713,V713,W713,X713,VLOOKUP(Z713,TIME!$S$28:$T$39,2,FALSE)),FC_DATA!$R$2:$AB$5000,MATCH("GS_I_M",FC_DATA!$R$1:$AB$1,0),FALSE)+FC_DATA!AB713)*0.5*FC_DATA!AG713),NA())</f>
        <v>#N/A</v>
      </c>
      <c r="AI713" s="491" t="e">
        <f ca="1">IF(V713="PARTNER.com",AH713,IF(AND(V713=V712,W713=W712),(1-AVERAGE(AD712,AD713))*AH713,(1-AVERAGE(AD713,VLOOKUP(_xlfn.CONCAT(U713,V713,W713,X713,M_BRAND_FC!$F$6),FC_DATA!$R$2:$AD$5000,MATCH("DISCOUNT_%_M",FC_DATA!$R$1:$AD$1,0),FALSE)))*AH713))</f>
        <v>#N/A</v>
      </c>
      <c r="AJ713" s="412" t="str">
        <f t="shared" ca="1" si="298"/>
        <v/>
      </c>
      <c r="AK713" s="413" t="str">
        <f>IFERROR(AE713/(Q_BRAND_FC!$T$24+1),"")</f>
        <v/>
      </c>
      <c r="AL713" s="88" t="str">
        <f t="shared" ca="1" si="299"/>
        <v/>
      </c>
      <c r="AM713" s="414" t="str">
        <f t="shared" ca="1" si="300"/>
        <v/>
      </c>
      <c r="AN713" s="58">
        <f>IFERROR(IF($V713="BRAND.com",HLOOKUP($X713&amp;$Z713,NWC_FC_NOOS!$C$4:$Q$23,MATCH(W713,NWC_FC_NOOS!$B$4:$B$23,0),FALSE),0),0)</f>
        <v>0</v>
      </c>
      <c r="AO713" s="57">
        <f>IFERROR(IF($V713="BRAND.com",HLOOKUP($X713&amp;$Z713,NWC_FC_NOOS!$T$4:$AH$23,MATCH(W713,NWC_FC_NOOS!$S$4:$S$23,0),FALSE),0),0)</f>
        <v>0</v>
      </c>
      <c r="AP713" s="57">
        <f>IFERROR(IF($V713="BRAND.com",HLOOKUP($X713&amp;$Z713,NWC_FC_NOOS!$C$50:$U$69,MATCH(W713,NWC_FC_NOOS!$B$50:$B$69,0),FALSE),0),0)</f>
        <v>0</v>
      </c>
      <c r="AQ713" s="58">
        <f>IFERROR(IF($V713="BRAND.com",HLOOKUP($X713&amp;$Z713,'NWC_FC_NON-NOOS'!$C$4:$Q$23,MATCH(W713,'NWC_FC_NON-NOOS'!$B$4:$B$23,0),FALSE),0),0)</f>
        <v>0</v>
      </c>
      <c r="AR713" s="57">
        <f>IFERROR(IF($V713="BRAND.com",HLOOKUP($X713&amp;$Z713,'NWC_FC_NON-NOOS'!$T$4:$AH$23,MATCH(W713,'NWC_FC_NON-NOOS'!$S$4:$S$23,0),FALSE),0),0)</f>
        <v>0</v>
      </c>
      <c r="AS713" s="57">
        <f>IFERROR(IF($V713="BRAND.com",HLOOKUP($X713&amp;$Z713,'NWC_FC_NON-NOOS'!$C$50:$U$69,MATCH(W713,'NWC_FC_NON-NOOS'!$B$50:$B$69,0),FALSE),0),0)</f>
        <v>0</v>
      </c>
      <c r="AT713" s="57">
        <f t="shared" si="302"/>
        <v>0</v>
      </c>
      <c r="AU713" s="57">
        <f t="shared" si="303"/>
        <v>0</v>
      </c>
      <c r="AV713" s="58">
        <f>IFERROR(IF($V713="BRAND.com",HLOOKUP($X713&amp;$Z713,PLANNING_FC!$BB$27:$BP$46,MATCH($W713,PLANNING_FC!$BA$27:$BA$46,0),FALSE),0),0)</f>
        <v>0</v>
      </c>
      <c r="AW713" s="58">
        <f>IFERROR(IF($V713="BRAND.com",HLOOKUP($X713&amp;$Z713,PLANNING_FC!$BB$4:$BP$23,MATCH($W713,PLANNING_FC!$BA$4:$BA$23,0),FALSE),0),0)</f>
        <v>0</v>
      </c>
      <c r="AX713" s="58">
        <f>IFERROR(IF($V713="BRAND.com",HLOOKUP($X713&amp;$Z713,PLANNING_FC!$T$27:$AH$46,MATCH($W713,PLANNING_FC!$B$27:$B$46,0),FALSE),0),0)</f>
        <v>0</v>
      </c>
      <c r="AY713" s="58">
        <f>IFERROR(IF($V713="BRAND.com",HLOOKUP($X713&amp;$Z713,PLANNING_FC!$T$4:$AH$23,MATCH($W713,PLANNING_FC!$B$4:$B$23,0),FALSE),0),0)</f>
        <v>0</v>
      </c>
      <c r="AZ713" s="58">
        <f>IFERROR(IF($V713="BRAND.com",HLOOKUP($X713&amp;$Z713,PLANNING_FC!$DA$27:$DO$46,MATCH($W713,PLANNING_FC!$CZ$27:$CZ$46,0),FALSE),0),0)</f>
        <v>0</v>
      </c>
      <c r="BA713" s="58">
        <f>IFERROR(IF($V713="BRAND.com",HLOOKUP($X713&amp;$Z713,PLANNING_FC!$DA$4:$DO$23,MATCH($W713,PLANNING_FC!$CZ$4:$CZ$23,0),FALSE),0),0)</f>
        <v>0</v>
      </c>
      <c r="BB713" s="883" t="str">
        <f>IF(V713="BRAND.com",IFERROR(HLOOKUP(X713&amp;Z713,PLANNING_FC!$AK$4:$AY$23,MATCH(W713,PLANNING_FC!$AJ$4:$AJ$23,0),FALSE)*1000,""),"")</f>
        <v/>
      </c>
      <c r="BC713" s="883" t="str">
        <f>IF(V713="BRAND.com",IFERROR(HLOOKUP(X713&amp;Z713,PLANNING_FC!$AK$27:$AY$46,MATCH(W713,PLANNING_FC!$AJ$27:$AJ$46,0),FALSE)*1000,""),"")</f>
        <v/>
      </c>
    </row>
    <row r="714" spans="14:55" x14ac:dyDescent="0.25">
      <c r="N714" s="56">
        <f t="shared" si="284"/>
        <v>0</v>
      </c>
      <c r="O714" s="57">
        <f t="shared" si="285"/>
        <v>0</v>
      </c>
      <c r="P714" s="57">
        <f ca="1">IFERROR(IF(ISBLANK(H714),SUMIFS($AC:$AC,$V:$V,V714,$W:$W,W714,$X:$X,X714,$Y:$Y,Y714)*J714/(1-J714)*VLOOKUP(_xlfn.CONCAT(C714,D714,E714,TIME!$M$12,Z714),HIS_SALES!$B$2:$W$4859,20,FALSE),AC714*J714/(1-J714)),0)</f>
        <v>0</v>
      </c>
      <c r="Q714" s="541" t="str">
        <f t="shared" si="286"/>
        <v/>
      </c>
      <c r="R714" s="346" t="str">
        <f t="shared" si="287"/>
        <v>00000</v>
      </c>
      <c r="S714" s="344">
        <f t="shared" si="288"/>
        <v>0</v>
      </c>
      <c r="T714" s="345" t="str">
        <f t="shared" si="301"/>
        <v>000</v>
      </c>
      <c r="U714" s="345">
        <f t="shared" si="289"/>
        <v>0</v>
      </c>
      <c r="V714" s="345">
        <f t="shared" si="290"/>
        <v>0</v>
      </c>
      <c r="W714" s="345">
        <f t="shared" si="291"/>
        <v>0</v>
      </c>
      <c r="X714" s="345">
        <f t="shared" si="292"/>
        <v>0</v>
      </c>
      <c r="Y714" s="345">
        <f t="shared" si="293"/>
        <v>0</v>
      </c>
      <c r="Z714" s="345">
        <f>IF(Q714&lt;&gt;"",VLOOKUP(Y714,TIME!$R$21:$V$24,MATCH(FC_DATA!Q714,TIME!$R$20:$V$20,0),FALSE),H714)</f>
        <v>0</v>
      </c>
      <c r="AA714" s="345" t="str">
        <f>IFERROR(VLOOKUP(X714&amp;Z714,TIME!$A$12:$D$71,4,FALSE),"")</f>
        <v/>
      </c>
      <c r="AB714" s="592">
        <f t="shared" ca="1" si="294"/>
        <v>0</v>
      </c>
      <c r="AC714" s="593" t="e">
        <f ca="1">IF(ISBLANK(H714)=FALSE,IF(D714="BRAND.com",I714,IF(ISNA(VLOOKUP(_xlfn.CONCAT(X714,Z714),TIME!$M$40:$M$42,1,FALSE)),I714,VLOOKUP(_xlfn.CONCAT(D714,G714,H714),M_BUSAREA_FC!$AF$5:$AJ$10,5,FALSE)*HLOOKUP(_xlfn.CONCAT(F714,H714),ST_OVERVIEW!$G$99:$I$130,MATCH(_xlfn.CONCAT(D714,E714),ST_OVERVIEW!$F$99:$F$130,0),FALSE))),IF(D714="BRAND.com",VLOOKUP(_xlfn.CONCAT(C714,D714,E714,TIME!$F$1,Z714),HIS_SALES!$B$2:$V$4859,19,FALSE)*I714,VLOOKUP(_xlfn.CONCAT(D714,F714,G714),Q_BUSAREA_FC!$AE$5:$AI$12,5,FALSE)*HLOOKUP(_xlfn.CONCAT(FC_DATA!F714,FC_DATA!G714),LT_OVERVIEW!$I$99:$M$130,MATCH(_xlfn.CONCAT(D714,FC_DATA!E714),LT_OVERVIEW!$H$99:$H$130,0),FALSE)*IFERROR(VLOOKUP(_xlfn.CONCAT(C714,D714,E714,TIME!$F$1,Z714),HIS_SALES!$B$2:$V$4859,19,FALSE),0)))</f>
        <v>#N/A</v>
      </c>
      <c r="AD714" s="341">
        <f t="shared" ca="1" si="295"/>
        <v>0</v>
      </c>
      <c r="AE714" s="363" t="str">
        <f t="shared" si="296"/>
        <v/>
      </c>
      <c r="AF714" s="342" t="str">
        <f t="shared" si="297"/>
        <v/>
      </c>
      <c r="AG714" s="411" t="e">
        <f ca="1">VLOOKUP(_xlfn.CONCAT(U714,V714,W714,VLOOKUP(X714&amp;Y714,TIME!$L$27:$O$34,4,FALSE),Y714),HIS_SALES!$A$2:$R$5093,18,FALSE)</f>
        <v>#N/A</v>
      </c>
      <c r="AH714" s="412" t="e">
        <f ca="1">IFERROR(IF(AND(V714=V713,W714=W713),0.5*(AB714+AB713)*AG714,(VLOOKUP(_xlfn.CONCAT(U714,V714,W714,X714,VLOOKUP(Z714,TIME!$S$28:$T$39,2,FALSE)),FC_DATA!$R$2:$AB$5000,MATCH("GS_I_M",FC_DATA!$R$1:$AB$1,0),FALSE)+FC_DATA!AB714)*0.5*FC_DATA!AG714),NA())</f>
        <v>#N/A</v>
      </c>
      <c r="AI714" s="491" t="e">
        <f ca="1">IF(V714="PARTNER.com",AH714,IF(AND(V714=V713,W714=W713),(1-AVERAGE(AD713,AD714))*AH714,(1-AVERAGE(AD714,VLOOKUP(_xlfn.CONCAT(U714,V714,W714,X714,M_BRAND_FC!$F$6),FC_DATA!$R$2:$AD$5000,MATCH("DISCOUNT_%_M",FC_DATA!$R$1:$AD$1,0),FALSE)))*AH714))</f>
        <v>#N/A</v>
      </c>
      <c r="AJ714" s="412" t="str">
        <f t="shared" ca="1" si="298"/>
        <v/>
      </c>
      <c r="AK714" s="413" t="str">
        <f>IFERROR(AE714/(Q_BRAND_FC!$T$24+1),"")</f>
        <v/>
      </c>
      <c r="AL714" s="88" t="str">
        <f t="shared" ca="1" si="299"/>
        <v/>
      </c>
      <c r="AM714" s="414" t="str">
        <f t="shared" ca="1" si="300"/>
        <v/>
      </c>
      <c r="AN714" s="58">
        <f>IFERROR(IF($V714="BRAND.com",HLOOKUP($X714&amp;$Z714,NWC_FC_NOOS!$C$4:$Q$23,MATCH(W714,NWC_FC_NOOS!$B$4:$B$23,0),FALSE),0),0)</f>
        <v>0</v>
      </c>
      <c r="AO714" s="57">
        <f>IFERROR(IF($V714="BRAND.com",HLOOKUP($X714&amp;$Z714,NWC_FC_NOOS!$T$4:$AH$23,MATCH(W714,NWC_FC_NOOS!$S$4:$S$23,0),FALSE),0),0)</f>
        <v>0</v>
      </c>
      <c r="AP714" s="57">
        <f>IFERROR(IF($V714="BRAND.com",HLOOKUP($X714&amp;$Z714,NWC_FC_NOOS!$C$50:$U$69,MATCH(W714,NWC_FC_NOOS!$B$50:$B$69,0),FALSE),0),0)</f>
        <v>0</v>
      </c>
      <c r="AQ714" s="58">
        <f>IFERROR(IF($V714="BRAND.com",HLOOKUP($X714&amp;$Z714,'NWC_FC_NON-NOOS'!$C$4:$Q$23,MATCH(W714,'NWC_FC_NON-NOOS'!$B$4:$B$23,0),FALSE),0),0)</f>
        <v>0</v>
      </c>
      <c r="AR714" s="57">
        <f>IFERROR(IF($V714="BRAND.com",HLOOKUP($X714&amp;$Z714,'NWC_FC_NON-NOOS'!$T$4:$AH$23,MATCH(W714,'NWC_FC_NON-NOOS'!$S$4:$S$23,0),FALSE),0),0)</f>
        <v>0</v>
      </c>
      <c r="AS714" s="57">
        <f>IFERROR(IF($V714="BRAND.com",HLOOKUP($X714&amp;$Z714,'NWC_FC_NON-NOOS'!$C$50:$U$69,MATCH(W714,'NWC_FC_NON-NOOS'!$B$50:$B$69,0),FALSE),0),0)</f>
        <v>0</v>
      </c>
      <c r="AT714" s="57">
        <f t="shared" si="302"/>
        <v>0</v>
      </c>
      <c r="AU714" s="57">
        <f t="shared" si="303"/>
        <v>0</v>
      </c>
      <c r="AV714" s="58">
        <f>IFERROR(IF($V714="BRAND.com",HLOOKUP($X714&amp;$Z714,PLANNING_FC!$BB$27:$BP$46,MATCH($W714,PLANNING_FC!$BA$27:$BA$46,0),FALSE),0),0)</f>
        <v>0</v>
      </c>
      <c r="AW714" s="58">
        <f>IFERROR(IF($V714="BRAND.com",HLOOKUP($X714&amp;$Z714,PLANNING_FC!$BB$4:$BP$23,MATCH($W714,PLANNING_FC!$BA$4:$BA$23,0),FALSE),0),0)</f>
        <v>0</v>
      </c>
      <c r="AX714" s="58">
        <f>IFERROR(IF($V714="BRAND.com",HLOOKUP($X714&amp;$Z714,PLANNING_FC!$T$27:$AH$46,MATCH($W714,PLANNING_FC!$B$27:$B$46,0),FALSE),0),0)</f>
        <v>0</v>
      </c>
      <c r="AY714" s="58">
        <f>IFERROR(IF($V714="BRAND.com",HLOOKUP($X714&amp;$Z714,PLANNING_FC!$T$4:$AH$23,MATCH($W714,PLANNING_FC!$B$4:$B$23,0),FALSE),0),0)</f>
        <v>0</v>
      </c>
      <c r="AZ714" s="58">
        <f>IFERROR(IF($V714="BRAND.com",HLOOKUP($X714&amp;$Z714,PLANNING_FC!$DA$27:$DO$46,MATCH($W714,PLANNING_FC!$CZ$27:$CZ$46,0),FALSE),0),0)</f>
        <v>0</v>
      </c>
      <c r="BA714" s="58">
        <f>IFERROR(IF($V714="BRAND.com",HLOOKUP($X714&amp;$Z714,PLANNING_FC!$DA$4:$DO$23,MATCH($W714,PLANNING_FC!$CZ$4:$CZ$23,0),FALSE),0),0)</f>
        <v>0</v>
      </c>
      <c r="BB714" s="883" t="str">
        <f>IF(V714="BRAND.com",IFERROR(HLOOKUP(X714&amp;Z714,PLANNING_FC!$AK$4:$AY$23,MATCH(W714,PLANNING_FC!$AJ$4:$AJ$23,0),FALSE)*1000,""),"")</f>
        <v/>
      </c>
      <c r="BC714" s="883" t="str">
        <f>IF(V714="BRAND.com",IFERROR(HLOOKUP(X714&amp;Z714,PLANNING_FC!$AK$27:$AY$46,MATCH(W714,PLANNING_FC!$AJ$27:$AJ$46,0),FALSE)*1000,""),"")</f>
        <v/>
      </c>
    </row>
    <row r="715" spans="14:55" x14ac:dyDescent="0.25">
      <c r="N715" s="56">
        <f t="shared" si="284"/>
        <v>0</v>
      </c>
      <c r="O715" s="57">
        <f t="shared" si="285"/>
        <v>0</v>
      </c>
      <c r="P715" s="57">
        <f ca="1">IFERROR(IF(ISBLANK(H715),SUMIFS($AC:$AC,$V:$V,V715,$W:$W,W715,$X:$X,X715,$Y:$Y,Y715)*J715/(1-J715)*VLOOKUP(_xlfn.CONCAT(C715,D715,E715,TIME!$M$12,Z715),HIS_SALES!$B$2:$W$4859,20,FALSE),AC715*J715/(1-J715)),0)</f>
        <v>0</v>
      </c>
      <c r="Q715" s="541" t="str">
        <f t="shared" si="286"/>
        <v/>
      </c>
      <c r="R715" s="346" t="str">
        <f t="shared" si="287"/>
        <v>00000</v>
      </c>
      <c r="S715" s="344">
        <f t="shared" si="288"/>
        <v>0</v>
      </c>
      <c r="T715" s="345" t="str">
        <f t="shared" si="301"/>
        <v>000</v>
      </c>
      <c r="U715" s="345">
        <f t="shared" si="289"/>
        <v>0</v>
      </c>
      <c r="V715" s="345">
        <f t="shared" si="290"/>
        <v>0</v>
      </c>
      <c r="W715" s="345">
        <f t="shared" si="291"/>
        <v>0</v>
      </c>
      <c r="X715" s="345">
        <f t="shared" si="292"/>
        <v>0</v>
      </c>
      <c r="Y715" s="345">
        <f t="shared" si="293"/>
        <v>0</v>
      </c>
      <c r="Z715" s="345">
        <f>IF(Q715&lt;&gt;"",VLOOKUP(Y715,TIME!$R$21:$V$24,MATCH(FC_DATA!Q715,TIME!$R$20:$V$20,0),FALSE),H715)</f>
        <v>0</v>
      </c>
      <c r="AA715" s="345" t="str">
        <f>IFERROR(VLOOKUP(X715&amp;Z715,TIME!$A$12:$D$71,4,FALSE),"")</f>
        <v/>
      </c>
      <c r="AB715" s="592">
        <f t="shared" ca="1" si="294"/>
        <v>0</v>
      </c>
      <c r="AC715" s="593" t="e">
        <f ca="1">IF(ISBLANK(H715)=FALSE,IF(D715="BRAND.com",I715,IF(ISNA(VLOOKUP(_xlfn.CONCAT(X715,Z715),TIME!$M$40:$M$42,1,FALSE)),I715,VLOOKUP(_xlfn.CONCAT(D715,G715,H715),M_BUSAREA_FC!$AF$5:$AJ$10,5,FALSE)*HLOOKUP(_xlfn.CONCAT(F715,H715),ST_OVERVIEW!$G$99:$I$130,MATCH(_xlfn.CONCAT(D715,E715),ST_OVERVIEW!$F$99:$F$130,0),FALSE))),IF(D715="BRAND.com",VLOOKUP(_xlfn.CONCAT(C715,D715,E715,TIME!$F$1,Z715),HIS_SALES!$B$2:$V$4859,19,FALSE)*I715,VLOOKUP(_xlfn.CONCAT(D715,F715,G715),Q_BUSAREA_FC!$AE$5:$AI$12,5,FALSE)*HLOOKUP(_xlfn.CONCAT(FC_DATA!F715,FC_DATA!G715),LT_OVERVIEW!$I$99:$M$130,MATCH(_xlfn.CONCAT(D715,FC_DATA!E715),LT_OVERVIEW!$H$99:$H$130,0),FALSE)*IFERROR(VLOOKUP(_xlfn.CONCAT(C715,D715,E715,TIME!$F$1,Z715),HIS_SALES!$B$2:$V$4859,19,FALSE),0)))</f>
        <v>#N/A</v>
      </c>
      <c r="AD715" s="341">
        <f t="shared" ca="1" si="295"/>
        <v>0</v>
      </c>
      <c r="AE715" s="363" t="str">
        <f t="shared" si="296"/>
        <v/>
      </c>
      <c r="AF715" s="342" t="str">
        <f t="shared" si="297"/>
        <v/>
      </c>
      <c r="AG715" s="411" t="e">
        <f ca="1">VLOOKUP(_xlfn.CONCAT(U715,V715,W715,VLOOKUP(X715&amp;Y715,TIME!$L$27:$O$34,4,FALSE),Y715),HIS_SALES!$A$2:$R$5093,18,FALSE)</f>
        <v>#N/A</v>
      </c>
      <c r="AH715" s="412" t="e">
        <f ca="1">IFERROR(IF(AND(V715=V714,W715=W714),0.5*(AB715+AB714)*AG715,(VLOOKUP(_xlfn.CONCAT(U715,V715,W715,X715,VLOOKUP(Z715,TIME!$S$28:$T$39,2,FALSE)),FC_DATA!$R$2:$AB$5000,MATCH("GS_I_M",FC_DATA!$R$1:$AB$1,0),FALSE)+FC_DATA!AB715)*0.5*FC_DATA!AG715),NA())</f>
        <v>#N/A</v>
      </c>
      <c r="AI715" s="491" t="e">
        <f ca="1">IF(V715="PARTNER.com",AH715,IF(AND(V715=V714,W715=W714),(1-AVERAGE(AD714,AD715))*AH715,(1-AVERAGE(AD715,VLOOKUP(_xlfn.CONCAT(U715,V715,W715,X715,M_BRAND_FC!$F$6),FC_DATA!$R$2:$AD$5000,MATCH("DISCOUNT_%_M",FC_DATA!$R$1:$AD$1,0),FALSE)))*AH715))</f>
        <v>#N/A</v>
      </c>
      <c r="AJ715" s="412" t="str">
        <f t="shared" ca="1" si="298"/>
        <v/>
      </c>
      <c r="AK715" s="413" t="str">
        <f>IFERROR(AE715/(Q_BRAND_FC!$T$24+1),"")</f>
        <v/>
      </c>
      <c r="AL715" s="88" t="str">
        <f t="shared" ca="1" si="299"/>
        <v/>
      </c>
      <c r="AM715" s="414" t="str">
        <f t="shared" ca="1" si="300"/>
        <v/>
      </c>
      <c r="AN715" s="58">
        <f>IFERROR(IF($V715="BRAND.com",HLOOKUP($X715&amp;$Z715,NWC_FC_NOOS!$C$4:$Q$23,MATCH(W715,NWC_FC_NOOS!$B$4:$B$23,0),FALSE),0),0)</f>
        <v>0</v>
      </c>
      <c r="AO715" s="57">
        <f>IFERROR(IF($V715="BRAND.com",HLOOKUP($X715&amp;$Z715,NWC_FC_NOOS!$T$4:$AH$23,MATCH(W715,NWC_FC_NOOS!$S$4:$S$23,0),FALSE),0),0)</f>
        <v>0</v>
      </c>
      <c r="AP715" s="57">
        <f>IFERROR(IF($V715="BRAND.com",HLOOKUP($X715&amp;$Z715,NWC_FC_NOOS!$C$50:$U$69,MATCH(W715,NWC_FC_NOOS!$B$50:$B$69,0),FALSE),0),0)</f>
        <v>0</v>
      </c>
      <c r="AQ715" s="58">
        <f>IFERROR(IF($V715="BRAND.com",HLOOKUP($X715&amp;$Z715,'NWC_FC_NON-NOOS'!$C$4:$Q$23,MATCH(W715,'NWC_FC_NON-NOOS'!$B$4:$B$23,0),FALSE),0),0)</f>
        <v>0</v>
      </c>
      <c r="AR715" s="57">
        <f>IFERROR(IF($V715="BRAND.com",HLOOKUP($X715&amp;$Z715,'NWC_FC_NON-NOOS'!$T$4:$AH$23,MATCH(W715,'NWC_FC_NON-NOOS'!$S$4:$S$23,0),FALSE),0),0)</f>
        <v>0</v>
      </c>
      <c r="AS715" s="57">
        <f>IFERROR(IF($V715="BRAND.com",HLOOKUP($X715&amp;$Z715,'NWC_FC_NON-NOOS'!$C$50:$U$69,MATCH(W715,'NWC_FC_NON-NOOS'!$B$50:$B$69,0),FALSE),0),0)</f>
        <v>0</v>
      </c>
      <c r="AT715" s="57">
        <f t="shared" si="302"/>
        <v>0</v>
      </c>
      <c r="AU715" s="57">
        <f t="shared" si="303"/>
        <v>0</v>
      </c>
      <c r="AV715" s="58">
        <f>IFERROR(IF($V715="BRAND.com",HLOOKUP($X715&amp;$Z715,PLANNING_FC!$BB$27:$BP$46,MATCH($W715,PLANNING_FC!$BA$27:$BA$46,0),FALSE),0),0)</f>
        <v>0</v>
      </c>
      <c r="AW715" s="58">
        <f>IFERROR(IF($V715="BRAND.com",HLOOKUP($X715&amp;$Z715,PLANNING_FC!$BB$4:$BP$23,MATCH($W715,PLANNING_FC!$BA$4:$BA$23,0),FALSE),0),0)</f>
        <v>0</v>
      </c>
      <c r="AX715" s="58">
        <f>IFERROR(IF($V715="BRAND.com",HLOOKUP($X715&amp;$Z715,PLANNING_FC!$T$27:$AH$46,MATCH($W715,PLANNING_FC!$B$27:$B$46,0),FALSE),0),0)</f>
        <v>0</v>
      </c>
      <c r="AY715" s="58">
        <f>IFERROR(IF($V715="BRAND.com",HLOOKUP($X715&amp;$Z715,PLANNING_FC!$T$4:$AH$23,MATCH($W715,PLANNING_FC!$B$4:$B$23,0),FALSE),0),0)</f>
        <v>0</v>
      </c>
      <c r="AZ715" s="58">
        <f>IFERROR(IF($V715="BRAND.com",HLOOKUP($X715&amp;$Z715,PLANNING_FC!$DA$27:$DO$46,MATCH($W715,PLANNING_FC!$CZ$27:$CZ$46,0),FALSE),0),0)</f>
        <v>0</v>
      </c>
      <c r="BA715" s="58">
        <f>IFERROR(IF($V715="BRAND.com",HLOOKUP($X715&amp;$Z715,PLANNING_FC!$DA$4:$DO$23,MATCH($W715,PLANNING_FC!$CZ$4:$CZ$23,0),FALSE),0),0)</f>
        <v>0</v>
      </c>
      <c r="BB715" s="883" t="str">
        <f>IF(V715="BRAND.com",IFERROR(HLOOKUP(X715&amp;Z715,PLANNING_FC!$AK$4:$AY$23,MATCH(W715,PLANNING_FC!$AJ$4:$AJ$23,0),FALSE)*1000,""),"")</f>
        <v/>
      </c>
      <c r="BC715" s="883" t="str">
        <f>IF(V715="BRAND.com",IFERROR(HLOOKUP(X715&amp;Z715,PLANNING_FC!$AK$27:$AY$46,MATCH(W715,PLANNING_FC!$AJ$27:$AJ$46,0),FALSE)*1000,""),"")</f>
        <v/>
      </c>
    </row>
    <row r="716" spans="14:55" x14ac:dyDescent="0.25">
      <c r="N716" s="56">
        <f t="shared" si="284"/>
        <v>0</v>
      </c>
      <c r="O716" s="57">
        <f t="shared" si="285"/>
        <v>0</v>
      </c>
      <c r="P716" s="57">
        <f ca="1">IFERROR(IF(ISBLANK(H716),SUMIFS($AC:$AC,$V:$V,V716,$W:$W,W716,$X:$X,X716,$Y:$Y,Y716)*J716/(1-J716)*VLOOKUP(_xlfn.CONCAT(C716,D716,E716,TIME!$M$12,Z716),HIS_SALES!$B$2:$W$4859,20,FALSE),AC716*J716/(1-J716)),0)</f>
        <v>0</v>
      </c>
      <c r="Q716" s="541" t="str">
        <f t="shared" si="286"/>
        <v/>
      </c>
      <c r="R716" s="346" t="str">
        <f t="shared" si="287"/>
        <v>00000</v>
      </c>
      <c r="S716" s="344">
        <f t="shared" si="288"/>
        <v>0</v>
      </c>
      <c r="T716" s="345" t="str">
        <f t="shared" si="301"/>
        <v>000</v>
      </c>
      <c r="U716" s="345">
        <f t="shared" si="289"/>
        <v>0</v>
      </c>
      <c r="V716" s="345">
        <f t="shared" si="290"/>
        <v>0</v>
      </c>
      <c r="W716" s="345">
        <f t="shared" si="291"/>
        <v>0</v>
      </c>
      <c r="X716" s="345">
        <f t="shared" si="292"/>
        <v>0</v>
      </c>
      <c r="Y716" s="345">
        <f t="shared" si="293"/>
        <v>0</v>
      </c>
      <c r="Z716" s="345">
        <f>IF(Q716&lt;&gt;"",VLOOKUP(Y716,TIME!$R$21:$V$24,MATCH(FC_DATA!Q716,TIME!$R$20:$V$20,0),FALSE),H716)</f>
        <v>0</v>
      </c>
      <c r="AA716" s="345" t="str">
        <f>IFERROR(VLOOKUP(X716&amp;Z716,TIME!$A$12:$D$71,4,FALSE),"")</f>
        <v/>
      </c>
      <c r="AB716" s="592">
        <f t="shared" ca="1" si="294"/>
        <v>0</v>
      </c>
      <c r="AC716" s="593" t="e">
        <f ca="1">IF(ISBLANK(H716)=FALSE,IF(D716="BRAND.com",I716,IF(ISNA(VLOOKUP(_xlfn.CONCAT(X716,Z716),TIME!$M$40:$M$42,1,FALSE)),I716,VLOOKUP(_xlfn.CONCAT(D716,G716,H716),M_BUSAREA_FC!$AF$5:$AJ$10,5,FALSE)*HLOOKUP(_xlfn.CONCAT(F716,H716),ST_OVERVIEW!$G$99:$I$130,MATCH(_xlfn.CONCAT(D716,E716),ST_OVERVIEW!$F$99:$F$130,0),FALSE))),IF(D716="BRAND.com",VLOOKUP(_xlfn.CONCAT(C716,D716,E716,TIME!$F$1,Z716),HIS_SALES!$B$2:$V$4859,19,FALSE)*I716,VLOOKUP(_xlfn.CONCAT(D716,F716,G716),Q_BUSAREA_FC!$AE$5:$AI$12,5,FALSE)*HLOOKUP(_xlfn.CONCAT(FC_DATA!F716,FC_DATA!G716),LT_OVERVIEW!$I$99:$M$130,MATCH(_xlfn.CONCAT(D716,FC_DATA!E716),LT_OVERVIEW!$H$99:$H$130,0),FALSE)*IFERROR(VLOOKUP(_xlfn.CONCAT(C716,D716,E716,TIME!$F$1,Z716),HIS_SALES!$B$2:$V$4859,19,FALSE),0)))</f>
        <v>#N/A</v>
      </c>
      <c r="AD716" s="341">
        <f t="shared" ca="1" si="295"/>
        <v>0</v>
      </c>
      <c r="AE716" s="363" t="str">
        <f t="shared" si="296"/>
        <v/>
      </c>
      <c r="AF716" s="342" t="str">
        <f t="shared" si="297"/>
        <v/>
      </c>
      <c r="AG716" s="411" t="e">
        <f ca="1">VLOOKUP(_xlfn.CONCAT(U716,V716,W716,VLOOKUP(X716&amp;Y716,TIME!$L$27:$O$34,4,FALSE),Y716),HIS_SALES!$A$2:$R$5093,18,FALSE)</f>
        <v>#N/A</v>
      </c>
      <c r="AH716" s="412" t="e">
        <f ca="1">IFERROR(IF(AND(V716=V715,W716=W715),0.5*(AB716+AB715)*AG716,(VLOOKUP(_xlfn.CONCAT(U716,V716,W716,X716,VLOOKUP(Z716,TIME!$S$28:$T$39,2,FALSE)),FC_DATA!$R$2:$AB$5000,MATCH("GS_I_M",FC_DATA!$R$1:$AB$1,0),FALSE)+FC_DATA!AB716)*0.5*FC_DATA!AG716),NA())</f>
        <v>#N/A</v>
      </c>
      <c r="AI716" s="491" t="e">
        <f ca="1">IF(V716="PARTNER.com",AH716,IF(AND(V716=V715,W716=W715),(1-AVERAGE(AD715,AD716))*AH716,(1-AVERAGE(AD716,VLOOKUP(_xlfn.CONCAT(U716,V716,W716,X716,M_BRAND_FC!$F$6),FC_DATA!$R$2:$AD$5000,MATCH("DISCOUNT_%_M",FC_DATA!$R$1:$AD$1,0),FALSE)))*AH716))</f>
        <v>#N/A</v>
      </c>
      <c r="AJ716" s="412" t="str">
        <f t="shared" ca="1" si="298"/>
        <v/>
      </c>
      <c r="AK716" s="413" t="str">
        <f>IFERROR(AE716/(Q_BRAND_FC!$T$24+1),"")</f>
        <v/>
      </c>
      <c r="AL716" s="88" t="str">
        <f t="shared" ca="1" si="299"/>
        <v/>
      </c>
      <c r="AM716" s="414" t="str">
        <f t="shared" ca="1" si="300"/>
        <v/>
      </c>
      <c r="AN716" s="58">
        <f>IFERROR(IF($V716="BRAND.com",HLOOKUP($X716&amp;$Z716,NWC_FC_NOOS!$C$4:$Q$23,MATCH(W716,NWC_FC_NOOS!$B$4:$B$23,0),FALSE),0),0)</f>
        <v>0</v>
      </c>
      <c r="AO716" s="57">
        <f>IFERROR(IF($V716="BRAND.com",HLOOKUP($X716&amp;$Z716,NWC_FC_NOOS!$T$4:$AH$23,MATCH(W716,NWC_FC_NOOS!$S$4:$S$23,0),FALSE),0),0)</f>
        <v>0</v>
      </c>
      <c r="AP716" s="57">
        <f>IFERROR(IF($V716="BRAND.com",HLOOKUP($X716&amp;$Z716,NWC_FC_NOOS!$C$50:$U$69,MATCH(W716,NWC_FC_NOOS!$B$50:$B$69,0),FALSE),0),0)</f>
        <v>0</v>
      </c>
      <c r="AQ716" s="58">
        <f>IFERROR(IF($V716="BRAND.com",HLOOKUP($X716&amp;$Z716,'NWC_FC_NON-NOOS'!$C$4:$Q$23,MATCH(W716,'NWC_FC_NON-NOOS'!$B$4:$B$23,0),FALSE),0),0)</f>
        <v>0</v>
      </c>
      <c r="AR716" s="57">
        <f>IFERROR(IF($V716="BRAND.com",HLOOKUP($X716&amp;$Z716,'NWC_FC_NON-NOOS'!$T$4:$AH$23,MATCH(W716,'NWC_FC_NON-NOOS'!$S$4:$S$23,0),FALSE),0),0)</f>
        <v>0</v>
      </c>
      <c r="AS716" s="57">
        <f>IFERROR(IF($V716="BRAND.com",HLOOKUP($X716&amp;$Z716,'NWC_FC_NON-NOOS'!$C$50:$U$69,MATCH(W716,'NWC_FC_NON-NOOS'!$B$50:$B$69,0),FALSE),0),0)</f>
        <v>0</v>
      </c>
      <c r="AT716" s="57">
        <f t="shared" si="302"/>
        <v>0</v>
      </c>
      <c r="AU716" s="57">
        <f t="shared" si="303"/>
        <v>0</v>
      </c>
      <c r="AV716" s="58">
        <f>IFERROR(IF($V716="BRAND.com",HLOOKUP($X716&amp;$Z716,PLANNING_FC!$BB$27:$BP$46,MATCH($W716,PLANNING_FC!$BA$27:$BA$46,0),FALSE),0),0)</f>
        <v>0</v>
      </c>
      <c r="AW716" s="58">
        <f>IFERROR(IF($V716="BRAND.com",HLOOKUP($X716&amp;$Z716,PLANNING_FC!$BB$4:$BP$23,MATCH($W716,PLANNING_FC!$BA$4:$BA$23,0),FALSE),0),0)</f>
        <v>0</v>
      </c>
      <c r="AX716" s="58">
        <f>IFERROR(IF($V716="BRAND.com",HLOOKUP($X716&amp;$Z716,PLANNING_FC!$T$27:$AH$46,MATCH($W716,PLANNING_FC!$B$27:$B$46,0),FALSE),0),0)</f>
        <v>0</v>
      </c>
      <c r="AY716" s="58">
        <f>IFERROR(IF($V716="BRAND.com",HLOOKUP($X716&amp;$Z716,PLANNING_FC!$T$4:$AH$23,MATCH($W716,PLANNING_FC!$B$4:$B$23,0),FALSE),0),0)</f>
        <v>0</v>
      </c>
      <c r="AZ716" s="58">
        <f>IFERROR(IF($V716="BRAND.com",HLOOKUP($X716&amp;$Z716,PLANNING_FC!$DA$27:$DO$46,MATCH($W716,PLANNING_FC!$CZ$27:$CZ$46,0),FALSE),0),0)</f>
        <v>0</v>
      </c>
      <c r="BA716" s="58">
        <f>IFERROR(IF($V716="BRAND.com",HLOOKUP($X716&amp;$Z716,PLANNING_FC!$DA$4:$DO$23,MATCH($W716,PLANNING_FC!$CZ$4:$CZ$23,0),FALSE),0),0)</f>
        <v>0</v>
      </c>
      <c r="BB716" s="883" t="str">
        <f>IF(V716="BRAND.com",IFERROR(HLOOKUP(X716&amp;Z716,PLANNING_FC!$AK$4:$AY$23,MATCH(W716,PLANNING_FC!$AJ$4:$AJ$23,0),FALSE)*1000,""),"")</f>
        <v/>
      </c>
      <c r="BC716" s="883" t="str">
        <f>IF(V716="BRAND.com",IFERROR(HLOOKUP(X716&amp;Z716,PLANNING_FC!$AK$27:$AY$46,MATCH(W716,PLANNING_FC!$AJ$27:$AJ$46,0),FALSE)*1000,""),"")</f>
        <v/>
      </c>
    </row>
    <row r="717" spans="14:55" x14ac:dyDescent="0.25">
      <c r="N717" s="56">
        <f t="shared" si="284"/>
        <v>0</v>
      </c>
      <c r="O717" s="57">
        <f t="shared" si="285"/>
        <v>0</v>
      </c>
      <c r="P717" s="57">
        <f ca="1">IFERROR(IF(ISBLANK(H717),SUMIFS($AC:$AC,$V:$V,V717,$W:$W,W717,$X:$X,X717,$Y:$Y,Y717)*J717/(1-J717)*VLOOKUP(_xlfn.CONCAT(C717,D717,E717,TIME!$M$12,Z717),HIS_SALES!$B$2:$W$4859,20,FALSE),AC717*J717/(1-J717)),0)</f>
        <v>0</v>
      </c>
      <c r="Q717" s="541" t="str">
        <f t="shared" si="286"/>
        <v/>
      </c>
      <c r="R717" s="346" t="str">
        <f t="shared" si="287"/>
        <v>00000</v>
      </c>
      <c r="S717" s="344">
        <f t="shared" si="288"/>
        <v>0</v>
      </c>
      <c r="T717" s="345" t="str">
        <f t="shared" si="301"/>
        <v>000</v>
      </c>
      <c r="U717" s="345">
        <f t="shared" si="289"/>
        <v>0</v>
      </c>
      <c r="V717" s="345">
        <f t="shared" si="290"/>
        <v>0</v>
      </c>
      <c r="W717" s="345">
        <f t="shared" si="291"/>
        <v>0</v>
      </c>
      <c r="X717" s="345">
        <f t="shared" si="292"/>
        <v>0</v>
      </c>
      <c r="Y717" s="345">
        <f t="shared" si="293"/>
        <v>0</v>
      </c>
      <c r="Z717" s="345">
        <f>IF(Q717&lt;&gt;"",VLOOKUP(Y717,TIME!$R$21:$V$24,MATCH(FC_DATA!Q717,TIME!$R$20:$V$20,0),FALSE),H717)</f>
        <v>0</v>
      </c>
      <c r="AA717" s="345" t="str">
        <f>IFERROR(VLOOKUP(X717&amp;Z717,TIME!$A$12:$D$71,4,FALSE),"")</f>
        <v/>
      </c>
      <c r="AB717" s="592">
        <f t="shared" ca="1" si="294"/>
        <v>0</v>
      </c>
      <c r="AC717" s="593" t="e">
        <f ca="1">IF(ISBLANK(H717)=FALSE,IF(D717="BRAND.com",I717,IF(ISNA(VLOOKUP(_xlfn.CONCAT(X717,Z717),TIME!$M$40:$M$42,1,FALSE)),I717,VLOOKUP(_xlfn.CONCAT(D717,G717,H717),M_BUSAREA_FC!$AF$5:$AJ$10,5,FALSE)*HLOOKUP(_xlfn.CONCAT(F717,H717),ST_OVERVIEW!$G$99:$I$130,MATCH(_xlfn.CONCAT(D717,E717),ST_OVERVIEW!$F$99:$F$130,0),FALSE))),IF(D717="BRAND.com",VLOOKUP(_xlfn.CONCAT(C717,D717,E717,TIME!$F$1,Z717),HIS_SALES!$B$2:$V$4859,19,FALSE)*I717,VLOOKUP(_xlfn.CONCAT(D717,F717,G717),Q_BUSAREA_FC!$AE$5:$AI$12,5,FALSE)*HLOOKUP(_xlfn.CONCAT(FC_DATA!F717,FC_DATA!G717),LT_OVERVIEW!$I$99:$M$130,MATCH(_xlfn.CONCAT(D717,FC_DATA!E717),LT_OVERVIEW!$H$99:$H$130,0),FALSE)*IFERROR(VLOOKUP(_xlfn.CONCAT(C717,D717,E717,TIME!$F$1,Z717),HIS_SALES!$B$2:$V$4859,19,FALSE),0)))</f>
        <v>#N/A</v>
      </c>
      <c r="AD717" s="341">
        <f t="shared" ca="1" si="295"/>
        <v>0</v>
      </c>
      <c r="AE717" s="363" t="str">
        <f t="shared" si="296"/>
        <v/>
      </c>
      <c r="AF717" s="342" t="str">
        <f t="shared" si="297"/>
        <v/>
      </c>
      <c r="AG717" s="411" t="e">
        <f ca="1">VLOOKUP(_xlfn.CONCAT(U717,V717,W717,VLOOKUP(X717&amp;Y717,TIME!$L$27:$O$34,4,FALSE),Y717),HIS_SALES!$A$2:$R$5093,18,FALSE)</f>
        <v>#N/A</v>
      </c>
      <c r="AH717" s="412" t="e">
        <f ca="1">IFERROR(IF(AND(V717=V716,W717=W716),0.5*(AB717+AB716)*AG717,(VLOOKUP(_xlfn.CONCAT(U717,V717,W717,X717,VLOOKUP(Z717,TIME!$S$28:$T$39,2,FALSE)),FC_DATA!$R$2:$AB$5000,MATCH("GS_I_M",FC_DATA!$R$1:$AB$1,0),FALSE)+FC_DATA!AB717)*0.5*FC_DATA!AG717),NA())</f>
        <v>#N/A</v>
      </c>
      <c r="AI717" s="491" t="e">
        <f ca="1">IF(V717="PARTNER.com",AH717,IF(AND(V717=V716,W717=W716),(1-AVERAGE(AD716,AD717))*AH717,(1-AVERAGE(AD717,VLOOKUP(_xlfn.CONCAT(U717,V717,W717,X717,M_BRAND_FC!$F$6),FC_DATA!$R$2:$AD$5000,MATCH("DISCOUNT_%_M",FC_DATA!$R$1:$AD$1,0),FALSE)))*AH717))</f>
        <v>#N/A</v>
      </c>
      <c r="AJ717" s="412" t="str">
        <f t="shared" ca="1" si="298"/>
        <v/>
      </c>
      <c r="AK717" s="413" t="str">
        <f>IFERROR(AE717/(Q_BRAND_FC!$T$24+1),"")</f>
        <v/>
      </c>
      <c r="AL717" s="88" t="str">
        <f t="shared" ca="1" si="299"/>
        <v/>
      </c>
      <c r="AM717" s="414" t="str">
        <f t="shared" ca="1" si="300"/>
        <v/>
      </c>
      <c r="AN717" s="58">
        <f>IFERROR(IF($V717="BRAND.com",HLOOKUP($X717&amp;$Z717,NWC_FC_NOOS!$C$4:$Q$23,MATCH(W717,NWC_FC_NOOS!$B$4:$B$23,0),FALSE),0),0)</f>
        <v>0</v>
      </c>
      <c r="AO717" s="57">
        <f>IFERROR(IF($V717="BRAND.com",HLOOKUP($X717&amp;$Z717,NWC_FC_NOOS!$T$4:$AH$23,MATCH(W717,NWC_FC_NOOS!$S$4:$S$23,0),FALSE),0),0)</f>
        <v>0</v>
      </c>
      <c r="AP717" s="57">
        <f>IFERROR(IF($V717="BRAND.com",HLOOKUP($X717&amp;$Z717,NWC_FC_NOOS!$C$50:$U$69,MATCH(W717,NWC_FC_NOOS!$B$50:$B$69,0),FALSE),0),0)</f>
        <v>0</v>
      </c>
      <c r="AQ717" s="58">
        <f>IFERROR(IF($V717="BRAND.com",HLOOKUP($X717&amp;$Z717,'NWC_FC_NON-NOOS'!$C$4:$Q$23,MATCH(W717,'NWC_FC_NON-NOOS'!$B$4:$B$23,0),FALSE),0),0)</f>
        <v>0</v>
      </c>
      <c r="AR717" s="57">
        <f>IFERROR(IF($V717="BRAND.com",HLOOKUP($X717&amp;$Z717,'NWC_FC_NON-NOOS'!$T$4:$AH$23,MATCH(W717,'NWC_FC_NON-NOOS'!$S$4:$S$23,0),FALSE),0),0)</f>
        <v>0</v>
      </c>
      <c r="AS717" s="57">
        <f>IFERROR(IF($V717="BRAND.com",HLOOKUP($X717&amp;$Z717,'NWC_FC_NON-NOOS'!$C$50:$U$69,MATCH(W717,'NWC_FC_NON-NOOS'!$B$50:$B$69,0),FALSE),0),0)</f>
        <v>0</v>
      </c>
      <c r="AT717" s="57">
        <f t="shared" si="302"/>
        <v>0</v>
      </c>
      <c r="AU717" s="57">
        <f t="shared" si="303"/>
        <v>0</v>
      </c>
      <c r="AV717" s="58">
        <f>IFERROR(IF($V717="BRAND.com",HLOOKUP($X717&amp;$Z717,PLANNING_FC!$BB$27:$BP$46,MATCH($W717,PLANNING_FC!$BA$27:$BA$46,0),FALSE),0),0)</f>
        <v>0</v>
      </c>
      <c r="AW717" s="58">
        <f>IFERROR(IF($V717="BRAND.com",HLOOKUP($X717&amp;$Z717,PLANNING_FC!$BB$4:$BP$23,MATCH($W717,PLANNING_FC!$BA$4:$BA$23,0),FALSE),0),0)</f>
        <v>0</v>
      </c>
      <c r="AX717" s="58">
        <f>IFERROR(IF($V717="BRAND.com",HLOOKUP($X717&amp;$Z717,PLANNING_FC!$T$27:$AH$46,MATCH($W717,PLANNING_FC!$B$27:$B$46,0),FALSE),0),0)</f>
        <v>0</v>
      </c>
      <c r="AY717" s="58">
        <f>IFERROR(IF($V717="BRAND.com",HLOOKUP($X717&amp;$Z717,PLANNING_FC!$T$4:$AH$23,MATCH($W717,PLANNING_FC!$B$4:$B$23,0),FALSE),0),0)</f>
        <v>0</v>
      </c>
      <c r="AZ717" s="58">
        <f>IFERROR(IF($V717="BRAND.com",HLOOKUP($X717&amp;$Z717,PLANNING_FC!$DA$27:$DO$46,MATCH($W717,PLANNING_FC!$CZ$27:$CZ$46,0),FALSE),0),0)</f>
        <v>0</v>
      </c>
      <c r="BA717" s="58">
        <f>IFERROR(IF($V717="BRAND.com",HLOOKUP($X717&amp;$Z717,PLANNING_FC!$DA$4:$DO$23,MATCH($W717,PLANNING_FC!$CZ$4:$CZ$23,0),FALSE),0),0)</f>
        <v>0</v>
      </c>
      <c r="BB717" s="883" t="str">
        <f>IF(V717="BRAND.com",IFERROR(HLOOKUP(X717&amp;Z717,PLANNING_FC!$AK$4:$AY$23,MATCH(W717,PLANNING_FC!$AJ$4:$AJ$23,0),FALSE)*1000,""),"")</f>
        <v/>
      </c>
      <c r="BC717" s="883" t="str">
        <f>IF(V717="BRAND.com",IFERROR(HLOOKUP(X717&amp;Z717,PLANNING_FC!$AK$27:$AY$46,MATCH(W717,PLANNING_FC!$AJ$27:$AJ$46,0),FALSE)*1000,""),"")</f>
        <v/>
      </c>
    </row>
    <row r="718" spans="14:55" x14ac:dyDescent="0.25">
      <c r="N718" s="56">
        <f t="shared" si="284"/>
        <v>0</v>
      </c>
      <c r="O718" s="57">
        <f t="shared" si="285"/>
        <v>0</v>
      </c>
      <c r="P718" s="57">
        <f ca="1">IFERROR(IF(ISBLANK(H718),SUMIFS($AC:$AC,$V:$V,V718,$W:$W,W718,$X:$X,X718,$Y:$Y,Y718)*J718/(1-J718)*VLOOKUP(_xlfn.CONCAT(C718,D718,E718,TIME!$M$12,Z718),HIS_SALES!$B$2:$W$4859,20,FALSE),AC718*J718/(1-J718)),0)</f>
        <v>0</v>
      </c>
      <c r="Q718" s="541" t="str">
        <f t="shared" si="286"/>
        <v/>
      </c>
      <c r="R718" s="346" t="str">
        <f t="shared" si="287"/>
        <v>00000</v>
      </c>
      <c r="S718" s="344">
        <f t="shared" si="288"/>
        <v>0</v>
      </c>
      <c r="T718" s="345" t="str">
        <f t="shared" si="301"/>
        <v>000</v>
      </c>
      <c r="U718" s="345">
        <f t="shared" si="289"/>
        <v>0</v>
      </c>
      <c r="V718" s="345">
        <f t="shared" si="290"/>
        <v>0</v>
      </c>
      <c r="W718" s="345">
        <f t="shared" si="291"/>
        <v>0</v>
      </c>
      <c r="X718" s="345">
        <f t="shared" si="292"/>
        <v>0</v>
      </c>
      <c r="Y718" s="345">
        <f t="shared" si="293"/>
        <v>0</v>
      </c>
      <c r="Z718" s="345">
        <f>IF(Q718&lt;&gt;"",VLOOKUP(Y718,TIME!$R$21:$V$24,MATCH(FC_DATA!Q718,TIME!$R$20:$V$20,0),FALSE),H718)</f>
        <v>0</v>
      </c>
      <c r="AA718" s="345" t="str">
        <f>IFERROR(VLOOKUP(X718&amp;Z718,TIME!$A$12:$D$71,4,FALSE),"")</f>
        <v/>
      </c>
      <c r="AB718" s="592">
        <f t="shared" ca="1" si="294"/>
        <v>0</v>
      </c>
      <c r="AC718" s="593" t="e">
        <f ca="1">IF(ISBLANK(H718)=FALSE,IF(D718="BRAND.com",I718,IF(ISNA(VLOOKUP(_xlfn.CONCAT(X718,Z718),TIME!$M$40:$M$42,1,FALSE)),I718,VLOOKUP(_xlfn.CONCAT(D718,G718,H718),M_BUSAREA_FC!$AF$5:$AJ$10,5,FALSE)*HLOOKUP(_xlfn.CONCAT(F718,H718),ST_OVERVIEW!$G$99:$I$130,MATCH(_xlfn.CONCAT(D718,E718),ST_OVERVIEW!$F$99:$F$130,0),FALSE))),IF(D718="BRAND.com",VLOOKUP(_xlfn.CONCAT(C718,D718,E718,TIME!$F$1,Z718),HIS_SALES!$B$2:$V$4859,19,FALSE)*I718,VLOOKUP(_xlfn.CONCAT(D718,F718,G718),Q_BUSAREA_FC!$AE$5:$AI$12,5,FALSE)*HLOOKUP(_xlfn.CONCAT(FC_DATA!F718,FC_DATA!G718),LT_OVERVIEW!$I$99:$M$130,MATCH(_xlfn.CONCAT(D718,FC_DATA!E718),LT_OVERVIEW!$H$99:$H$130,0),FALSE)*IFERROR(VLOOKUP(_xlfn.CONCAT(C718,D718,E718,TIME!$F$1,Z718),HIS_SALES!$B$2:$V$4859,19,FALSE),0)))</f>
        <v>#N/A</v>
      </c>
      <c r="AD718" s="341">
        <f t="shared" ca="1" si="295"/>
        <v>0</v>
      </c>
      <c r="AE718" s="363" t="str">
        <f t="shared" si="296"/>
        <v/>
      </c>
      <c r="AF718" s="342" t="str">
        <f t="shared" si="297"/>
        <v/>
      </c>
      <c r="AG718" s="411" t="e">
        <f ca="1">VLOOKUP(_xlfn.CONCAT(U718,V718,W718,VLOOKUP(X718&amp;Y718,TIME!$L$27:$O$34,4,FALSE),Y718),HIS_SALES!$A$2:$R$5093,18,FALSE)</f>
        <v>#N/A</v>
      </c>
      <c r="AH718" s="412" t="e">
        <f ca="1">IFERROR(IF(AND(V718=V717,W718=W717),0.5*(AB718+AB717)*AG718,(VLOOKUP(_xlfn.CONCAT(U718,V718,W718,X718,VLOOKUP(Z718,TIME!$S$28:$T$39,2,FALSE)),FC_DATA!$R$2:$AB$5000,MATCH("GS_I_M",FC_DATA!$R$1:$AB$1,0),FALSE)+FC_DATA!AB718)*0.5*FC_DATA!AG718),NA())</f>
        <v>#N/A</v>
      </c>
      <c r="AI718" s="491" t="e">
        <f ca="1">IF(V718="PARTNER.com",AH718,IF(AND(V718=V717,W718=W717),(1-AVERAGE(AD717,AD718))*AH718,(1-AVERAGE(AD718,VLOOKUP(_xlfn.CONCAT(U718,V718,W718,X718,M_BRAND_FC!$F$6),FC_DATA!$R$2:$AD$5000,MATCH("DISCOUNT_%_M",FC_DATA!$R$1:$AD$1,0),FALSE)))*AH718))</f>
        <v>#N/A</v>
      </c>
      <c r="AJ718" s="412" t="str">
        <f t="shared" ca="1" si="298"/>
        <v/>
      </c>
      <c r="AK718" s="413" t="str">
        <f>IFERROR(AE718/(Q_BRAND_FC!$T$24+1),"")</f>
        <v/>
      </c>
      <c r="AL718" s="88" t="str">
        <f t="shared" ca="1" si="299"/>
        <v/>
      </c>
      <c r="AM718" s="414" t="str">
        <f t="shared" ca="1" si="300"/>
        <v/>
      </c>
      <c r="AN718" s="58">
        <f>IFERROR(IF($V718="BRAND.com",HLOOKUP($X718&amp;$Z718,NWC_FC_NOOS!$C$4:$Q$23,MATCH(W718,NWC_FC_NOOS!$B$4:$B$23,0),FALSE),0),0)</f>
        <v>0</v>
      </c>
      <c r="AO718" s="57">
        <f>IFERROR(IF($V718="BRAND.com",HLOOKUP($X718&amp;$Z718,NWC_FC_NOOS!$T$4:$AH$23,MATCH(W718,NWC_FC_NOOS!$S$4:$S$23,0),FALSE),0),0)</f>
        <v>0</v>
      </c>
      <c r="AP718" s="57">
        <f>IFERROR(IF($V718="BRAND.com",HLOOKUP($X718&amp;$Z718,NWC_FC_NOOS!$C$50:$U$69,MATCH(W718,NWC_FC_NOOS!$B$50:$B$69,0),FALSE),0),0)</f>
        <v>0</v>
      </c>
      <c r="AQ718" s="58">
        <f>IFERROR(IF($V718="BRAND.com",HLOOKUP($X718&amp;$Z718,'NWC_FC_NON-NOOS'!$C$4:$Q$23,MATCH(W718,'NWC_FC_NON-NOOS'!$B$4:$B$23,0),FALSE),0),0)</f>
        <v>0</v>
      </c>
      <c r="AR718" s="57">
        <f>IFERROR(IF($V718="BRAND.com",HLOOKUP($X718&amp;$Z718,'NWC_FC_NON-NOOS'!$T$4:$AH$23,MATCH(W718,'NWC_FC_NON-NOOS'!$S$4:$S$23,0),FALSE),0),0)</f>
        <v>0</v>
      </c>
      <c r="AS718" s="57">
        <f>IFERROR(IF($V718="BRAND.com",HLOOKUP($X718&amp;$Z718,'NWC_FC_NON-NOOS'!$C$50:$U$69,MATCH(W718,'NWC_FC_NON-NOOS'!$B$50:$B$69,0),FALSE),0),0)</f>
        <v>0</v>
      </c>
      <c r="AT718" s="57">
        <f t="shared" si="302"/>
        <v>0</v>
      </c>
      <c r="AU718" s="57">
        <f t="shared" si="303"/>
        <v>0</v>
      </c>
      <c r="AV718" s="58">
        <f>IFERROR(IF($V718="BRAND.com",HLOOKUP($X718&amp;$Z718,PLANNING_FC!$BB$27:$BP$46,MATCH($W718,PLANNING_FC!$BA$27:$BA$46,0),FALSE),0),0)</f>
        <v>0</v>
      </c>
      <c r="AW718" s="58">
        <f>IFERROR(IF($V718="BRAND.com",HLOOKUP($X718&amp;$Z718,PLANNING_FC!$BB$4:$BP$23,MATCH($W718,PLANNING_FC!$BA$4:$BA$23,0),FALSE),0),0)</f>
        <v>0</v>
      </c>
      <c r="AX718" s="58">
        <f>IFERROR(IF($V718="BRAND.com",HLOOKUP($X718&amp;$Z718,PLANNING_FC!$T$27:$AH$46,MATCH($W718,PLANNING_FC!$B$27:$B$46,0),FALSE),0),0)</f>
        <v>0</v>
      </c>
      <c r="AY718" s="58">
        <f>IFERROR(IF($V718="BRAND.com",HLOOKUP($X718&amp;$Z718,PLANNING_FC!$T$4:$AH$23,MATCH($W718,PLANNING_FC!$B$4:$B$23,0),FALSE),0),0)</f>
        <v>0</v>
      </c>
      <c r="AZ718" s="58">
        <f>IFERROR(IF($V718="BRAND.com",HLOOKUP($X718&amp;$Z718,PLANNING_FC!$DA$27:$DO$46,MATCH($W718,PLANNING_FC!$CZ$27:$CZ$46,0),FALSE),0),0)</f>
        <v>0</v>
      </c>
      <c r="BA718" s="58">
        <f>IFERROR(IF($V718="BRAND.com",HLOOKUP($X718&amp;$Z718,PLANNING_FC!$DA$4:$DO$23,MATCH($W718,PLANNING_FC!$CZ$4:$CZ$23,0),FALSE),0),0)</f>
        <v>0</v>
      </c>
      <c r="BB718" s="883" t="str">
        <f>IF(V718="BRAND.com",IFERROR(HLOOKUP(X718&amp;Z718,PLANNING_FC!$AK$4:$AY$23,MATCH(W718,PLANNING_FC!$AJ$4:$AJ$23,0),FALSE)*1000,""),"")</f>
        <v/>
      </c>
      <c r="BC718" s="883" t="str">
        <f>IF(V718="BRAND.com",IFERROR(HLOOKUP(X718&amp;Z718,PLANNING_FC!$AK$27:$AY$46,MATCH(W718,PLANNING_FC!$AJ$27:$AJ$46,0),FALSE)*1000,""),"")</f>
        <v/>
      </c>
    </row>
    <row r="719" spans="14:55" x14ac:dyDescent="0.25">
      <c r="N719" s="56">
        <f t="shared" si="284"/>
        <v>0</v>
      </c>
      <c r="O719" s="57">
        <f t="shared" si="285"/>
        <v>0</v>
      </c>
      <c r="P719" s="57">
        <f ca="1">IFERROR(IF(ISBLANK(H719),SUMIFS($AC:$AC,$V:$V,V719,$W:$W,W719,$X:$X,X719,$Y:$Y,Y719)*J719/(1-J719)*VLOOKUP(_xlfn.CONCAT(C719,D719,E719,TIME!$M$12,Z719),HIS_SALES!$B$2:$W$4859,20,FALSE),AC719*J719/(1-J719)),0)</f>
        <v>0</v>
      </c>
      <c r="Q719" s="541" t="str">
        <f t="shared" si="286"/>
        <v/>
      </c>
      <c r="R719" s="346" t="str">
        <f t="shared" si="287"/>
        <v>00000</v>
      </c>
      <c r="S719" s="344">
        <f t="shared" si="288"/>
        <v>0</v>
      </c>
      <c r="T719" s="345" t="str">
        <f t="shared" si="301"/>
        <v>000</v>
      </c>
      <c r="U719" s="345">
        <f t="shared" si="289"/>
        <v>0</v>
      </c>
      <c r="V719" s="345">
        <f t="shared" si="290"/>
        <v>0</v>
      </c>
      <c r="W719" s="345">
        <f t="shared" si="291"/>
        <v>0</v>
      </c>
      <c r="X719" s="345">
        <f t="shared" si="292"/>
        <v>0</v>
      </c>
      <c r="Y719" s="345">
        <f t="shared" si="293"/>
        <v>0</v>
      </c>
      <c r="Z719" s="345">
        <f>IF(Q719&lt;&gt;"",VLOOKUP(Y719,TIME!$R$21:$V$24,MATCH(FC_DATA!Q719,TIME!$R$20:$V$20,0),FALSE),H719)</f>
        <v>0</v>
      </c>
      <c r="AA719" s="345" t="str">
        <f>IFERROR(VLOOKUP(X719&amp;Z719,TIME!$A$12:$D$71,4,FALSE),"")</f>
        <v/>
      </c>
      <c r="AB719" s="592">
        <f t="shared" ca="1" si="294"/>
        <v>0</v>
      </c>
      <c r="AC719" s="593" t="e">
        <f ca="1">IF(ISBLANK(H719)=FALSE,IF(D719="BRAND.com",I719,IF(ISNA(VLOOKUP(_xlfn.CONCAT(X719,Z719),TIME!$M$40:$M$42,1,FALSE)),I719,VLOOKUP(_xlfn.CONCAT(D719,G719,H719),M_BUSAREA_FC!$AF$5:$AJ$10,5,FALSE)*HLOOKUP(_xlfn.CONCAT(F719,H719),ST_OVERVIEW!$G$99:$I$130,MATCH(_xlfn.CONCAT(D719,E719),ST_OVERVIEW!$F$99:$F$130,0),FALSE))),IF(D719="BRAND.com",VLOOKUP(_xlfn.CONCAT(C719,D719,E719,TIME!$F$1,Z719),HIS_SALES!$B$2:$V$4859,19,FALSE)*I719,VLOOKUP(_xlfn.CONCAT(D719,F719,G719),Q_BUSAREA_FC!$AE$5:$AI$12,5,FALSE)*HLOOKUP(_xlfn.CONCAT(FC_DATA!F719,FC_DATA!G719),LT_OVERVIEW!$I$99:$M$130,MATCH(_xlfn.CONCAT(D719,FC_DATA!E719),LT_OVERVIEW!$H$99:$H$130,0),FALSE)*IFERROR(VLOOKUP(_xlfn.CONCAT(C719,D719,E719,TIME!$F$1,Z719),HIS_SALES!$B$2:$V$4859,19,FALSE),0)))</f>
        <v>#N/A</v>
      </c>
      <c r="AD719" s="341">
        <f t="shared" ca="1" si="295"/>
        <v>0</v>
      </c>
      <c r="AE719" s="363" t="str">
        <f t="shared" si="296"/>
        <v/>
      </c>
      <c r="AF719" s="342" t="str">
        <f t="shared" si="297"/>
        <v/>
      </c>
      <c r="AG719" s="411" t="e">
        <f ca="1">VLOOKUP(_xlfn.CONCAT(U719,V719,W719,VLOOKUP(X719&amp;Y719,TIME!$L$27:$O$34,4,FALSE),Y719),HIS_SALES!$A$2:$R$5093,18,FALSE)</f>
        <v>#N/A</v>
      </c>
      <c r="AH719" s="412" t="e">
        <f ca="1">IFERROR(IF(AND(V719=V718,W719=W718),0.5*(AB719+AB718)*AG719,(VLOOKUP(_xlfn.CONCAT(U719,V719,W719,X719,VLOOKUP(Z719,TIME!$S$28:$T$39,2,FALSE)),FC_DATA!$R$2:$AB$5000,MATCH("GS_I_M",FC_DATA!$R$1:$AB$1,0),FALSE)+FC_DATA!AB719)*0.5*FC_DATA!AG719),NA())</f>
        <v>#N/A</v>
      </c>
      <c r="AI719" s="491" t="e">
        <f ca="1">IF(V719="PARTNER.com",AH719,IF(AND(V719=V718,W719=W718),(1-AVERAGE(AD718,AD719))*AH719,(1-AVERAGE(AD719,VLOOKUP(_xlfn.CONCAT(U719,V719,W719,X719,M_BRAND_FC!$F$6),FC_DATA!$R$2:$AD$5000,MATCH("DISCOUNT_%_M",FC_DATA!$R$1:$AD$1,0),FALSE)))*AH719))</f>
        <v>#N/A</v>
      </c>
      <c r="AJ719" s="412" t="str">
        <f t="shared" ca="1" si="298"/>
        <v/>
      </c>
      <c r="AK719" s="413" t="str">
        <f>IFERROR(AE719/(Q_BRAND_FC!$T$24+1),"")</f>
        <v/>
      </c>
      <c r="AL719" s="88" t="str">
        <f t="shared" ca="1" si="299"/>
        <v/>
      </c>
      <c r="AM719" s="414" t="str">
        <f t="shared" ca="1" si="300"/>
        <v/>
      </c>
      <c r="AN719" s="58">
        <f>IFERROR(IF($V719="BRAND.com",HLOOKUP($X719&amp;$Z719,NWC_FC_NOOS!$C$4:$Q$23,MATCH(W719,NWC_FC_NOOS!$B$4:$B$23,0),FALSE),0),0)</f>
        <v>0</v>
      </c>
      <c r="AO719" s="57">
        <f>IFERROR(IF($V719="BRAND.com",HLOOKUP($X719&amp;$Z719,NWC_FC_NOOS!$T$4:$AH$23,MATCH(W719,NWC_FC_NOOS!$S$4:$S$23,0),FALSE),0),0)</f>
        <v>0</v>
      </c>
      <c r="AP719" s="57">
        <f>IFERROR(IF($V719="BRAND.com",HLOOKUP($X719&amp;$Z719,NWC_FC_NOOS!$C$50:$U$69,MATCH(W719,NWC_FC_NOOS!$B$50:$B$69,0),FALSE),0),0)</f>
        <v>0</v>
      </c>
      <c r="AQ719" s="58">
        <f>IFERROR(IF($V719="BRAND.com",HLOOKUP($X719&amp;$Z719,'NWC_FC_NON-NOOS'!$C$4:$Q$23,MATCH(W719,'NWC_FC_NON-NOOS'!$B$4:$B$23,0),FALSE),0),0)</f>
        <v>0</v>
      </c>
      <c r="AR719" s="57">
        <f>IFERROR(IF($V719="BRAND.com",HLOOKUP($X719&amp;$Z719,'NWC_FC_NON-NOOS'!$T$4:$AH$23,MATCH(W719,'NWC_FC_NON-NOOS'!$S$4:$S$23,0),FALSE),0),0)</f>
        <v>0</v>
      </c>
      <c r="AS719" s="57">
        <f>IFERROR(IF($V719="BRAND.com",HLOOKUP($X719&amp;$Z719,'NWC_FC_NON-NOOS'!$C$50:$U$69,MATCH(W719,'NWC_FC_NON-NOOS'!$B$50:$B$69,0),FALSE),0),0)</f>
        <v>0</v>
      </c>
      <c r="AT719" s="57">
        <f t="shared" si="302"/>
        <v>0</v>
      </c>
      <c r="AU719" s="57">
        <f t="shared" si="303"/>
        <v>0</v>
      </c>
      <c r="AV719" s="58">
        <f>IFERROR(IF($V719="BRAND.com",HLOOKUP($X719&amp;$Z719,PLANNING_FC!$BB$27:$BP$46,MATCH($W719,PLANNING_FC!$BA$27:$BA$46,0),FALSE),0),0)</f>
        <v>0</v>
      </c>
      <c r="AW719" s="58">
        <f>IFERROR(IF($V719="BRAND.com",HLOOKUP($X719&amp;$Z719,PLANNING_FC!$BB$4:$BP$23,MATCH($W719,PLANNING_FC!$BA$4:$BA$23,0),FALSE),0),0)</f>
        <v>0</v>
      </c>
      <c r="AX719" s="58">
        <f>IFERROR(IF($V719="BRAND.com",HLOOKUP($X719&amp;$Z719,PLANNING_FC!$T$27:$AH$46,MATCH($W719,PLANNING_FC!$B$27:$B$46,0),FALSE),0),0)</f>
        <v>0</v>
      </c>
      <c r="AY719" s="58">
        <f>IFERROR(IF($V719="BRAND.com",HLOOKUP($X719&amp;$Z719,PLANNING_FC!$T$4:$AH$23,MATCH($W719,PLANNING_FC!$B$4:$B$23,0),FALSE),0),0)</f>
        <v>0</v>
      </c>
      <c r="AZ719" s="58">
        <f>IFERROR(IF($V719="BRAND.com",HLOOKUP($X719&amp;$Z719,PLANNING_FC!$DA$27:$DO$46,MATCH($W719,PLANNING_FC!$CZ$27:$CZ$46,0),FALSE),0),0)</f>
        <v>0</v>
      </c>
      <c r="BA719" s="58">
        <f>IFERROR(IF($V719="BRAND.com",HLOOKUP($X719&amp;$Z719,PLANNING_FC!$DA$4:$DO$23,MATCH($W719,PLANNING_FC!$CZ$4:$CZ$23,0),FALSE),0),0)</f>
        <v>0</v>
      </c>
      <c r="BB719" s="883" t="str">
        <f>IF(V719="BRAND.com",IFERROR(HLOOKUP(X719&amp;Z719,PLANNING_FC!$AK$4:$AY$23,MATCH(W719,PLANNING_FC!$AJ$4:$AJ$23,0),FALSE)*1000,""),"")</f>
        <v/>
      </c>
      <c r="BC719" s="883" t="str">
        <f>IF(V719="BRAND.com",IFERROR(HLOOKUP(X719&amp;Z719,PLANNING_FC!$AK$27:$AY$46,MATCH(W719,PLANNING_FC!$AJ$27:$AJ$46,0),FALSE)*1000,""),"")</f>
        <v/>
      </c>
    </row>
    <row r="720" spans="14:55" x14ac:dyDescent="0.25">
      <c r="N720" s="56">
        <f t="shared" si="284"/>
        <v>0</v>
      </c>
      <c r="O720" s="57">
        <f t="shared" si="285"/>
        <v>0</v>
      </c>
      <c r="P720" s="57">
        <f ca="1">IFERROR(IF(ISBLANK(H720),SUMIFS($AC:$AC,$V:$V,V720,$W:$W,W720,$X:$X,X720,$Y:$Y,Y720)*J720/(1-J720)*VLOOKUP(_xlfn.CONCAT(C720,D720,E720,TIME!$M$12,Z720),HIS_SALES!$B$2:$W$4859,20,FALSE),AC720*J720/(1-J720)),0)</f>
        <v>0</v>
      </c>
      <c r="Q720" s="541" t="str">
        <f t="shared" si="286"/>
        <v/>
      </c>
      <c r="R720" s="346" t="str">
        <f t="shared" si="287"/>
        <v>00000</v>
      </c>
      <c r="S720" s="344">
        <f t="shared" si="288"/>
        <v>0</v>
      </c>
      <c r="T720" s="345" t="str">
        <f t="shared" si="301"/>
        <v>000</v>
      </c>
      <c r="U720" s="345">
        <f t="shared" si="289"/>
        <v>0</v>
      </c>
      <c r="V720" s="345">
        <f t="shared" si="290"/>
        <v>0</v>
      </c>
      <c r="W720" s="345">
        <f t="shared" si="291"/>
        <v>0</v>
      </c>
      <c r="X720" s="345">
        <f t="shared" si="292"/>
        <v>0</v>
      </c>
      <c r="Y720" s="345">
        <f t="shared" si="293"/>
        <v>0</v>
      </c>
      <c r="Z720" s="345">
        <f>IF(Q720&lt;&gt;"",VLOOKUP(Y720,TIME!$R$21:$V$24,MATCH(FC_DATA!Q720,TIME!$R$20:$V$20,0),FALSE),H720)</f>
        <v>0</v>
      </c>
      <c r="AA720" s="345" t="str">
        <f>IFERROR(VLOOKUP(X720&amp;Z720,TIME!$A$12:$D$71,4,FALSE),"")</f>
        <v/>
      </c>
      <c r="AB720" s="592">
        <f t="shared" ca="1" si="294"/>
        <v>0</v>
      </c>
      <c r="AC720" s="593" t="e">
        <f ca="1">IF(ISBLANK(H720)=FALSE,IF(D720="BRAND.com",I720,IF(ISNA(VLOOKUP(_xlfn.CONCAT(X720,Z720),TIME!$M$40:$M$42,1,FALSE)),I720,VLOOKUP(_xlfn.CONCAT(D720,G720,H720),M_BUSAREA_FC!$AF$5:$AJ$10,5,FALSE)*HLOOKUP(_xlfn.CONCAT(F720,H720),ST_OVERVIEW!$G$99:$I$130,MATCH(_xlfn.CONCAT(D720,E720),ST_OVERVIEW!$F$99:$F$130,0),FALSE))),IF(D720="BRAND.com",VLOOKUP(_xlfn.CONCAT(C720,D720,E720,TIME!$F$1,Z720),HIS_SALES!$B$2:$V$4859,19,FALSE)*I720,VLOOKUP(_xlfn.CONCAT(D720,F720,G720),Q_BUSAREA_FC!$AE$5:$AI$12,5,FALSE)*HLOOKUP(_xlfn.CONCAT(FC_DATA!F720,FC_DATA!G720),LT_OVERVIEW!$I$99:$M$130,MATCH(_xlfn.CONCAT(D720,FC_DATA!E720),LT_OVERVIEW!$H$99:$H$130,0),FALSE)*IFERROR(VLOOKUP(_xlfn.CONCAT(C720,D720,E720,TIME!$F$1,Z720),HIS_SALES!$B$2:$V$4859,19,FALSE),0)))</f>
        <v>#N/A</v>
      </c>
      <c r="AD720" s="341">
        <f t="shared" ca="1" si="295"/>
        <v>0</v>
      </c>
      <c r="AE720" s="363" t="str">
        <f t="shared" si="296"/>
        <v/>
      </c>
      <c r="AF720" s="342" t="str">
        <f t="shared" si="297"/>
        <v/>
      </c>
      <c r="AG720" s="411" t="e">
        <f ca="1">VLOOKUP(_xlfn.CONCAT(U720,V720,W720,VLOOKUP(X720&amp;Y720,TIME!$L$27:$O$34,4,FALSE),Y720),HIS_SALES!$A$2:$R$5093,18,FALSE)</f>
        <v>#N/A</v>
      </c>
      <c r="AH720" s="412" t="e">
        <f ca="1">IFERROR(IF(AND(V720=V719,W720=W719),0.5*(AB720+AB719)*AG720,(VLOOKUP(_xlfn.CONCAT(U720,V720,W720,X720,VLOOKUP(Z720,TIME!$S$28:$T$39,2,FALSE)),FC_DATA!$R$2:$AB$5000,MATCH("GS_I_M",FC_DATA!$R$1:$AB$1,0),FALSE)+FC_DATA!AB720)*0.5*FC_DATA!AG720),NA())</f>
        <v>#N/A</v>
      </c>
      <c r="AI720" s="491" t="e">
        <f ca="1">IF(V720="PARTNER.com",AH720,IF(AND(V720=V719,W720=W719),(1-AVERAGE(AD719,AD720))*AH720,(1-AVERAGE(AD720,VLOOKUP(_xlfn.CONCAT(U720,V720,W720,X720,M_BRAND_FC!$F$6),FC_DATA!$R$2:$AD$5000,MATCH("DISCOUNT_%_M",FC_DATA!$R$1:$AD$1,0),FALSE)))*AH720))</f>
        <v>#N/A</v>
      </c>
      <c r="AJ720" s="412" t="str">
        <f t="shared" ca="1" si="298"/>
        <v/>
      </c>
      <c r="AK720" s="413" t="str">
        <f>IFERROR(AE720/(Q_BRAND_FC!$T$24+1),"")</f>
        <v/>
      </c>
      <c r="AL720" s="88" t="str">
        <f t="shared" ca="1" si="299"/>
        <v/>
      </c>
      <c r="AM720" s="414" t="str">
        <f t="shared" ca="1" si="300"/>
        <v/>
      </c>
      <c r="AN720" s="58">
        <f>IFERROR(IF($V720="BRAND.com",HLOOKUP($X720&amp;$Z720,NWC_FC_NOOS!$C$4:$Q$23,MATCH(W720,NWC_FC_NOOS!$B$4:$B$23,0),FALSE),0),0)</f>
        <v>0</v>
      </c>
      <c r="AO720" s="57">
        <f>IFERROR(IF($V720="BRAND.com",HLOOKUP($X720&amp;$Z720,NWC_FC_NOOS!$T$4:$AH$23,MATCH(W720,NWC_FC_NOOS!$S$4:$S$23,0),FALSE),0),0)</f>
        <v>0</v>
      </c>
      <c r="AP720" s="57">
        <f>IFERROR(IF($V720="BRAND.com",HLOOKUP($X720&amp;$Z720,NWC_FC_NOOS!$C$50:$U$69,MATCH(W720,NWC_FC_NOOS!$B$50:$B$69,0),FALSE),0),0)</f>
        <v>0</v>
      </c>
      <c r="AQ720" s="58">
        <f>IFERROR(IF($V720="BRAND.com",HLOOKUP($X720&amp;$Z720,'NWC_FC_NON-NOOS'!$C$4:$Q$23,MATCH(W720,'NWC_FC_NON-NOOS'!$B$4:$B$23,0),FALSE),0),0)</f>
        <v>0</v>
      </c>
      <c r="AR720" s="57">
        <f>IFERROR(IF($V720="BRAND.com",HLOOKUP($X720&amp;$Z720,'NWC_FC_NON-NOOS'!$T$4:$AH$23,MATCH(W720,'NWC_FC_NON-NOOS'!$S$4:$S$23,0),FALSE),0),0)</f>
        <v>0</v>
      </c>
      <c r="AS720" s="57">
        <f>IFERROR(IF($V720="BRAND.com",HLOOKUP($X720&amp;$Z720,'NWC_FC_NON-NOOS'!$C$50:$U$69,MATCH(W720,'NWC_FC_NON-NOOS'!$B$50:$B$69,0),FALSE),0),0)</f>
        <v>0</v>
      </c>
      <c r="AT720" s="57">
        <f t="shared" si="302"/>
        <v>0</v>
      </c>
      <c r="AU720" s="57">
        <f t="shared" si="303"/>
        <v>0</v>
      </c>
      <c r="AV720" s="58">
        <f>IFERROR(IF($V720="BRAND.com",HLOOKUP($X720&amp;$Z720,PLANNING_FC!$BB$27:$BP$46,MATCH($W720,PLANNING_FC!$BA$27:$BA$46,0),FALSE),0),0)</f>
        <v>0</v>
      </c>
      <c r="AW720" s="58">
        <f>IFERROR(IF($V720="BRAND.com",HLOOKUP($X720&amp;$Z720,PLANNING_FC!$BB$4:$BP$23,MATCH($W720,PLANNING_FC!$BA$4:$BA$23,0),FALSE),0),0)</f>
        <v>0</v>
      </c>
      <c r="AX720" s="58">
        <f>IFERROR(IF($V720="BRAND.com",HLOOKUP($X720&amp;$Z720,PLANNING_FC!$T$27:$AH$46,MATCH($W720,PLANNING_FC!$B$27:$B$46,0),FALSE),0),0)</f>
        <v>0</v>
      </c>
      <c r="AY720" s="58">
        <f>IFERROR(IF($V720="BRAND.com",HLOOKUP($X720&amp;$Z720,PLANNING_FC!$T$4:$AH$23,MATCH($W720,PLANNING_FC!$B$4:$B$23,0),FALSE),0),0)</f>
        <v>0</v>
      </c>
      <c r="AZ720" s="58">
        <f>IFERROR(IF($V720="BRAND.com",HLOOKUP($X720&amp;$Z720,PLANNING_FC!$DA$27:$DO$46,MATCH($W720,PLANNING_FC!$CZ$27:$CZ$46,0),FALSE),0),0)</f>
        <v>0</v>
      </c>
      <c r="BA720" s="58">
        <f>IFERROR(IF($V720="BRAND.com",HLOOKUP($X720&amp;$Z720,PLANNING_FC!$DA$4:$DO$23,MATCH($W720,PLANNING_FC!$CZ$4:$CZ$23,0),FALSE),0),0)</f>
        <v>0</v>
      </c>
      <c r="BB720" s="883" t="str">
        <f>IF(V720="BRAND.com",IFERROR(HLOOKUP(X720&amp;Z720,PLANNING_FC!$AK$4:$AY$23,MATCH(W720,PLANNING_FC!$AJ$4:$AJ$23,0),FALSE)*1000,""),"")</f>
        <v/>
      </c>
      <c r="BC720" s="883" t="str">
        <f>IF(V720="BRAND.com",IFERROR(HLOOKUP(X720&amp;Z720,PLANNING_FC!$AK$27:$AY$46,MATCH(W720,PLANNING_FC!$AJ$27:$AJ$46,0),FALSE)*1000,""),"")</f>
        <v/>
      </c>
    </row>
    <row r="721" spans="14:55" x14ac:dyDescent="0.25">
      <c r="N721" s="56">
        <f t="shared" si="284"/>
        <v>0</v>
      </c>
      <c r="O721" s="57">
        <f t="shared" si="285"/>
        <v>0</v>
      </c>
      <c r="P721" s="57">
        <f ca="1">IFERROR(IF(ISBLANK(H721),SUMIFS($AC:$AC,$V:$V,V721,$W:$W,W721,$X:$X,X721,$Y:$Y,Y721)*J721/(1-J721)*VLOOKUP(_xlfn.CONCAT(C721,D721,E721,TIME!$M$12,Z721),HIS_SALES!$B$2:$W$4859,20,FALSE),AC721*J721/(1-J721)),0)</f>
        <v>0</v>
      </c>
      <c r="Q721" s="541" t="str">
        <f t="shared" si="286"/>
        <v/>
      </c>
      <c r="R721" s="346" t="str">
        <f t="shared" si="287"/>
        <v>00000</v>
      </c>
      <c r="S721" s="344">
        <f t="shared" si="288"/>
        <v>0</v>
      </c>
      <c r="T721" s="345" t="str">
        <f t="shared" si="301"/>
        <v>000</v>
      </c>
      <c r="U721" s="345">
        <f t="shared" si="289"/>
        <v>0</v>
      </c>
      <c r="V721" s="345">
        <f t="shared" si="290"/>
        <v>0</v>
      </c>
      <c r="W721" s="345">
        <f t="shared" si="291"/>
        <v>0</v>
      </c>
      <c r="X721" s="345">
        <f t="shared" si="292"/>
        <v>0</v>
      </c>
      <c r="Y721" s="345">
        <f t="shared" si="293"/>
        <v>0</v>
      </c>
      <c r="Z721" s="345">
        <f>IF(Q721&lt;&gt;"",VLOOKUP(Y721,TIME!$R$21:$V$24,MATCH(FC_DATA!Q721,TIME!$R$20:$V$20,0),FALSE),H721)</f>
        <v>0</v>
      </c>
      <c r="AA721" s="345" t="str">
        <f>IFERROR(VLOOKUP(X721&amp;Z721,TIME!$A$12:$D$71,4,FALSE),"")</f>
        <v/>
      </c>
      <c r="AB721" s="592">
        <f t="shared" ca="1" si="294"/>
        <v>0</v>
      </c>
      <c r="AC721" s="593" t="e">
        <f ca="1">IF(ISBLANK(H721)=FALSE,IF(D721="BRAND.com",I721,IF(ISNA(VLOOKUP(_xlfn.CONCAT(X721,Z721),TIME!$M$40:$M$42,1,FALSE)),I721,VLOOKUP(_xlfn.CONCAT(D721,G721,H721),M_BUSAREA_FC!$AF$5:$AJ$10,5,FALSE)*HLOOKUP(_xlfn.CONCAT(F721,H721),ST_OVERVIEW!$G$99:$I$130,MATCH(_xlfn.CONCAT(D721,E721),ST_OVERVIEW!$F$99:$F$130,0),FALSE))),IF(D721="BRAND.com",VLOOKUP(_xlfn.CONCAT(C721,D721,E721,TIME!$F$1,Z721),HIS_SALES!$B$2:$V$4859,19,FALSE)*I721,VLOOKUP(_xlfn.CONCAT(D721,F721,G721),Q_BUSAREA_FC!$AE$5:$AI$12,5,FALSE)*HLOOKUP(_xlfn.CONCAT(FC_DATA!F721,FC_DATA!G721),LT_OVERVIEW!$I$99:$M$130,MATCH(_xlfn.CONCAT(D721,FC_DATA!E721),LT_OVERVIEW!$H$99:$H$130,0),FALSE)*IFERROR(VLOOKUP(_xlfn.CONCAT(C721,D721,E721,TIME!$F$1,Z721),HIS_SALES!$B$2:$V$4859,19,FALSE),0)))</f>
        <v>#N/A</v>
      </c>
      <c r="AD721" s="341">
        <f t="shared" ca="1" si="295"/>
        <v>0</v>
      </c>
      <c r="AE721" s="363" t="str">
        <f t="shared" si="296"/>
        <v/>
      </c>
      <c r="AF721" s="342" t="str">
        <f t="shared" si="297"/>
        <v/>
      </c>
      <c r="AG721" s="411" t="e">
        <f ca="1">VLOOKUP(_xlfn.CONCAT(U721,V721,W721,VLOOKUP(X721&amp;Y721,TIME!$L$27:$O$34,4,FALSE),Y721),HIS_SALES!$A$2:$R$5093,18,FALSE)</f>
        <v>#N/A</v>
      </c>
      <c r="AH721" s="412" t="e">
        <f ca="1">IFERROR(IF(AND(V721=V720,W721=W720),0.5*(AB721+AB720)*AG721,(VLOOKUP(_xlfn.CONCAT(U721,V721,W721,X721,VLOOKUP(Z721,TIME!$S$28:$T$39,2,FALSE)),FC_DATA!$R$2:$AB$5000,MATCH("GS_I_M",FC_DATA!$R$1:$AB$1,0),FALSE)+FC_DATA!AB721)*0.5*FC_DATA!AG721),NA())</f>
        <v>#N/A</v>
      </c>
      <c r="AI721" s="491" t="e">
        <f ca="1">IF(V721="PARTNER.com",AH721,IF(AND(V721=V720,W721=W720),(1-AVERAGE(AD720,AD721))*AH721,(1-AVERAGE(AD721,VLOOKUP(_xlfn.CONCAT(U721,V721,W721,X721,M_BRAND_FC!$F$6),FC_DATA!$R$2:$AD$5000,MATCH("DISCOUNT_%_M",FC_DATA!$R$1:$AD$1,0),FALSE)))*AH721))</f>
        <v>#N/A</v>
      </c>
      <c r="AJ721" s="412" t="str">
        <f t="shared" ca="1" si="298"/>
        <v/>
      </c>
      <c r="AK721" s="413" t="str">
        <f>IFERROR(AE721/(Q_BRAND_FC!$T$24+1),"")</f>
        <v/>
      </c>
      <c r="AL721" s="88" t="str">
        <f t="shared" ca="1" si="299"/>
        <v/>
      </c>
      <c r="AM721" s="414" t="str">
        <f t="shared" ca="1" si="300"/>
        <v/>
      </c>
      <c r="AN721" s="58">
        <f>IFERROR(IF($V721="BRAND.com",HLOOKUP($X721&amp;$Z721,NWC_FC_NOOS!$C$4:$Q$23,MATCH(W721,NWC_FC_NOOS!$B$4:$B$23,0),FALSE),0),0)</f>
        <v>0</v>
      </c>
      <c r="AO721" s="57">
        <f>IFERROR(IF($V721="BRAND.com",HLOOKUP($X721&amp;$Z721,NWC_FC_NOOS!$T$4:$AH$23,MATCH(W721,NWC_FC_NOOS!$S$4:$S$23,0),FALSE),0),0)</f>
        <v>0</v>
      </c>
      <c r="AP721" s="57">
        <f>IFERROR(IF($V721="BRAND.com",HLOOKUP($X721&amp;$Z721,NWC_FC_NOOS!$C$50:$U$69,MATCH(W721,NWC_FC_NOOS!$B$50:$B$69,0),FALSE),0),0)</f>
        <v>0</v>
      </c>
      <c r="AQ721" s="58">
        <f>IFERROR(IF($V721="BRAND.com",HLOOKUP($X721&amp;$Z721,'NWC_FC_NON-NOOS'!$C$4:$Q$23,MATCH(W721,'NWC_FC_NON-NOOS'!$B$4:$B$23,0),FALSE),0),0)</f>
        <v>0</v>
      </c>
      <c r="AR721" s="57">
        <f>IFERROR(IF($V721="BRAND.com",HLOOKUP($X721&amp;$Z721,'NWC_FC_NON-NOOS'!$T$4:$AH$23,MATCH(W721,'NWC_FC_NON-NOOS'!$S$4:$S$23,0),FALSE),0),0)</f>
        <v>0</v>
      </c>
      <c r="AS721" s="57">
        <f>IFERROR(IF($V721="BRAND.com",HLOOKUP($X721&amp;$Z721,'NWC_FC_NON-NOOS'!$C$50:$U$69,MATCH(W721,'NWC_FC_NON-NOOS'!$B$50:$B$69,0),FALSE),0),0)</f>
        <v>0</v>
      </c>
      <c r="AT721" s="57">
        <f t="shared" si="302"/>
        <v>0</v>
      </c>
      <c r="AU721" s="57">
        <f t="shared" si="303"/>
        <v>0</v>
      </c>
      <c r="AV721" s="58">
        <f>IFERROR(IF($V721="BRAND.com",HLOOKUP($X721&amp;$Z721,PLANNING_FC!$BB$27:$BP$46,MATCH($W721,PLANNING_FC!$BA$27:$BA$46,0),FALSE),0),0)</f>
        <v>0</v>
      </c>
      <c r="AW721" s="58">
        <f>IFERROR(IF($V721="BRAND.com",HLOOKUP($X721&amp;$Z721,PLANNING_FC!$BB$4:$BP$23,MATCH($W721,PLANNING_FC!$BA$4:$BA$23,0),FALSE),0),0)</f>
        <v>0</v>
      </c>
      <c r="AX721" s="58">
        <f>IFERROR(IF($V721="BRAND.com",HLOOKUP($X721&amp;$Z721,PLANNING_FC!$T$27:$AH$46,MATCH($W721,PLANNING_FC!$B$27:$B$46,0),FALSE),0),0)</f>
        <v>0</v>
      </c>
      <c r="AY721" s="58">
        <f>IFERROR(IF($V721="BRAND.com",HLOOKUP($X721&amp;$Z721,PLANNING_FC!$T$4:$AH$23,MATCH($W721,PLANNING_FC!$B$4:$B$23,0),FALSE),0),0)</f>
        <v>0</v>
      </c>
      <c r="AZ721" s="58">
        <f>IFERROR(IF($V721="BRAND.com",HLOOKUP($X721&amp;$Z721,PLANNING_FC!$DA$27:$DO$46,MATCH($W721,PLANNING_FC!$CZ$27:$CZ$46,0),FALSE),0),0)</f>
        <v>0</v>
      </c>
      <c r="BA721" s="58">
        <f>IFERROR(IF($V721="BRAND.com",HLOOKUP($X721&amp;$Z721,PLANNING_FC!$DA$4:$DO$23,MATCH($W721,PLANNING_FC!$CZ$4:$CZ$23,0),FALSE),0),0)</f>
        <v>0</v>
      </c>
      <c r="BB721" s="883" t="str">
        <f>IF(V721="BRAND.com",IFERROR(HLOOKUP(X721&amp;Z721,PLANNING_FC!$AK$4:$AY$23,MATCH(W721,PLANNING_FC!$AJ$4:$AJ$23,0),FALSE)*1000,""),"")</f>
        <v/>
      </c>
      <c r="BC721" s="883" t="str">
        <f>IF(V721="BRAND.com",IFERROR(HLOOKUP(X721&amp;Z721,PLANNING_FC!$AK$27:$AY$46,MATCH(W721,PLANNING_FC!$AJ$27:$AJ$46,0),FALSE)*1000,""),"")</f>
        <v/>
      </c>
    </row>
    <row r="722" spans="14:55" x14ac:dyDescent="0.25">
      <c r="N722" s="56">
        <f t="shared" si="284"/>
        <v>0</v>
      </c>
      <c r="O722" s="57">
        <f t="shared" si="285"/>
        <v>0</v>
      </c>
      <c r="P722" s="57">
        <f ca="1">IFERROR(IF(ISBLANK(H722),SUMIFS($AC:$AC,$V:$V,V722,$W:$W,W722,$X:$X,X722,$Y:$Y,Y722)*J722/(1-J722)*VLOOKUP(_xlfn.CONCAT(C722,D722,E722,TIME!$M$12,Z722),HIS_SALES!$B$2:$W$4859,20,FALSE),AC722*J722/(1-J722)),0)</f>
        <v>0</v>
      </c>
      <c r="Q722" s="541" t="str">
        <f t="shared" si="286"/>
        <v/>
      </c>
      <c r="R722" s="346" t="str">
        <f t="shared" si="287"/>
        <v>00000</v>
      </c>
      <c r="S722" s="344">
        <f t="shared" si="288"/>
        <v>0</v>
      </c>
      <c r="T722" s="345" t="str">
        <f t="shared" si="301"/>
        <v>000</v>
      </c>
      <c r="U722" s="345">
        <f t="shared" si="289"/>
        <v>0</v>
      </c>
      <c r="V722" s="345">
        <f t="shared" si="290"/>
        <v>0</v>
      </c>
      <c r="W722" s="345">
        <f t="shared" si="291"/>
        <v>0</v>
      </c>
      <c r="X722" s="345">
        <f t="shared" si="292"/>
        <v>0</v>
      </c>
      <c r="Y722" s="345">
        <f t="shared" si="293"/>
        <v>0</v>
      </c>
      <c r="Z722" s="345">
        <f>IF(Q722&lt;&gt;"",VLOOKUP(Y722,TIME!$R$21:$V$24,MATCH(FC_DATA!Q722,TIME!$R$20:$V$20,0),FALSE),H722)</f>
        <v>0</v>
      </c>
      <c r="AA722" s="345" t="str">
        <f>IFERROR(VLOOKUP(X722&amp;Z722,TIME!$A$12:$D$71,4,FALSE),"")</f>
        <v/>
      </c>
      <c r="AB722" s="592">
        <f t="shared" ca="1" si="294"/>
        <v>0</v>
      </c>
      <c r="AC722" s="593" t="e">
        <f ca="1">IF(ISBLANK(H722)=FALSE,IF(D722="BRAND.com",I722,IF(ISNA(VLOOKUP(_xlfn.CONCAT(X722,Z722),TIME!$M$40:$M$42,1,FALSE)),I722,VLOOKUP(_xlfn.CONCAT(D722,G722,H722),M_BUSAREA_FC!$AF$5:$AJ$10,5,FALSE)*HLOOKUP(_xlfn.CONCAT(F722,H722),ST_OVERVIEW!$G$99:$I$130,MATCH(_xlfn.CONCAT(D722,E722),ST_OVERVIEW!$F$99:$F$130,0),FALSE))),IF(D722="BRAND.com",VLOOKUP(_xlfn.CONCAT(C722,D722,E722,TIME!$F$1,Z722),HIS_SALES!$B$2:$V$4859,19,FALSE)*I722,VLOOKUP(_xlfn.CONCAT(D722,F722,G722),Q_BUSAREA_FC!$AE$5:$AI$12,5,FALSE)*HLOOKUP(_xlfn.CONCAT(FC_DATA!F722,FC_DATA!G722),LT_OVERVIEW!$I$99:$M$130,MATCH(_xlfn.CONCAT(D722,FC_DATA!E722),LT_OVERVIEW!$H$99:$H$130,0),FALSE)*IFERROR(VLOOKUP(_xlfn.CONCAT(C722,D722,E722,TIME!$F$1,Z722),HIS_SALES!$B$2:$V$4859,19,FALSE),0)))</f>
        <v>#N/A</v>
      </c>
      <c r="AD722" s="341">
        <f t="shared" ca="1" si="295"/>
        <v>0</v>
      </c>
      <c r="AE722" s="363" t="str">
        <f t="shared" si="296"/>
        <v/>
      </c>
      <c r="AF722" s="342" t="str">
        <f t="shared" si="297"/>
        <v/>
      </c>
      <c r="AG722" s="411" t="e">
        <f ca="1">VLOOKUP(_xlfn.CONCAT(U722,V722,W722,VLOOKUP(X722&amp;Y722,TIME!$L$27:$O$34,4,FALSE),Y722),HIS_SALES!$A$2:$R$5093,18,FALSE)</f>
        <v>#N/A</v>
      </c>
      <c r="AH722" s="412" t="e">
        <f ca="1">IFERROR(IF(AND(V722=V721,W722=W721),0.5*(AB722+AB721)*AG722,(VLOOKUP(_xlfn.CONCAT(U722,V722,W722,X722,VLOOKUP(Z722,TIME!$S$28:$T$39,2,FALSE)),FC_DATA!$R$2:$AB$5000,MATCH("GS_I_M",FC_DATA!$R$1:$AB$1,0),FALSE)+FC_DATA!AB722)*0.5*FC_DATA!AG722),NA())</f>
        <v>#N/A</v>
      </c>
      <c r="AI722" s="491" t="e">
        <f ca="1">IF(V722="PARTNER.com",AH722,IF(AND(V722=V721,W722=W721),(1-AVERAGE(AD721,AD722))*AH722,(1-AVERAGE(AD722,VLOOKUP(_xlfn.CONCAT(U722,V722,W722,X722,M_BRAND_FC!$F$6),FC_DATA!$R$2:$AD$5000,MATCH("DISCOUNT_%_M",FC_DATA!$R$1:$AD$1,0),FALSE)))*AH722))</f>
        <v>#N/A</v>
      </c>
      <c r="AJ722" s="412" t="str">
        <f t="shared" ca="1" si="298"/>
        <v/>
      </c>
      <c r="AK722" s="413" t="str">
        <f>IFERROR(AE722/(Q_BRAND_FC!$T$24+1),"")</f>
        <v/>
      </c>
      <c r="AL722" s="88" t="str">
        <f t="shared" ca="1" si="299"/>
        <v/>
      </c>
      <c r="AM722" s="414" t="str">
        <f t="shared" ca="1" si="300"/>
        <v/>
      </c>
      <c r="AN722" s="58">
        <f>IFERROR(IF($V722="BRAND.com",HLOOKUP($X722&amp;$Z722,NWC_FC_NOOS!$C$4:$Q$23,MATCH(W722,NWC_FC_NOOS!$B$4:$B$23,0),FALSE),0),0)</f>
        <v>0</v>
      </c>
      <c r="AO722" s="57">
        <f>IFERROR(IF($V722="BRAND.com",HLOOKUP($X722&amp;$Z722,NWC_FC_NOOS!$T$4:$AH$23,MATCH(W722,NWC_FC_NOOS!$S$4:$S$23,0),FALSE),0),0)</f>
        <v>0</v>
      </c>
      <c r="AP722" s="57">
        <f>IFERROR(IF($V722="BRAND.com",HLOOKUP($X722&amp;$Z722,NWC_FC_NOOS!$C$50:$U$69,MATCH(W722,NWC_FC_NOOS!$B$50:$B$69,0),FALSE),0),0)</f>
        <v>0</v>
      </c>
      <c r="AQ722" s="58">
        <f>IFERROR(IF($V722="BRAND.com",HLOOKUP($X722&amp;$Z722,'NWC_FC_NON-NOOS'!$C$4:$Q$23,MATCH(W722,'NWC_FC_NON-NOOS'!$B$4:$B$23,0),FALSE),0),0)</f>
        <v>0</v>
      </c>
      <c r="AR722" s="57">
        <f>IFERROR(IF($V722="BRAND.com",HLOOKUP($X722&amp;$Z722,'NWC_FC_NON-NOOS'!$T$4:$AH$23,MATCH(W722,'NWC_FC_NON-NOOS'!$S$4:$S$23,0),FALSE),0),0)</f>
        <v>0</v>
      </c>
      <c r="AS722" s="57">
        <f>IFERROR(IF($V722="BRAND.com",HLOOKUP($X722&amp;$Z722,'NWC_FC_NON-NOOS'!$C$50:$U$69,MATCH(W722,'NWC_FC_NON-NOOS'!$B$50:$B$69,0),FALSE),0),0)</f>
        <v>0</v>
      </c>
      <c r="AT722" s="57">
        <f t="shared" si="302"/>
        <v>0</v>
      </c>
      <c r="AU722" s="57">
        <f t="shared" si="303"/>
        <v>0</v>
      </c>
      <c r="AV722" s="58">
        <f>IFERROR(IF($V722="BRAND.com",HLOOKUP($X722&amp;$Z722,PLANNING_FC!$BB$27:$BP$46,MATCH($W722,PLANNING_FC!$BA$27:$BA$46,0),FALSE),0),0)</f>
        <v>0</v>
      </c>
      <c r="AW722" s="58">
        <f>IFERROR(IF($V722="BRAND.com",HLOOKUP($X722&amp;$Z722,PLANNING_FC!$BB$4:$BP$23,MATCH($W722,PLANNING_FC!$BA$4:$BA$23,0),FALSE),0),0)</f>
        <v>0</v>
      </c>
      <c r="AX722" s="58">
        <f>IFERROR(IF($V722="BRAND.com",HLOOKUP($X722&amp;$Z722,PLANNING_FC!$T$27:$AH$46,MATCH($W722,PLANNING_FC!$B$27:$B$46,0),FALSE),0),0)</f>
        <v>0</v>
      </c>
      <c r="AY722" s="58">
        <f>IFERROR(IF($V722="BRAND.com",HLOOKUP($X722&amp;$Z722,PLANNING_FC!$T$4:$AH$23,MATCH($W722,PLANNING_FC!$B$4:$B$23,0),FALSE),0),0)</f>
        <v>0</v>
      </c>
      <c r="AZ722" s="58">
        <f>IFERROR(IF($V722="BRAND.com",HLOOKUP($X722&amp;$Z722,PLANNING_FC!$DA$27:$DO$46,MATCH($W722,PLANNING_FC!$CZ$27:$CZ$46,0),FALSE),0),0)</f>
        <v>0</v>
      </c>
      <c r="BA722" s="58">
        <f>IFERROR(IF($V722="BRAND.com",HLOOKUP($X722&amp;$Z722,PLANNING_FC!$DA$4:$DO$23,MATCH($W722,PLANNING_FC!$CZ$4:$CZ$23,0),FALSE),0),0)</f>
        <v>0</v>
      </c>
      <c r="BB722" s="883" t="str">
        <f>IF(V722="BRAND.com",IFERROR(HLOOKUP(X722&amp;Z722,PLANNING_FC!$AK$4:$AY$23,MATCH(W722,PLANNING_FC!$AJ$4:$AJ$23,0),FALSE)*1000,""),"")</f>
        <v/>
      </c>
      <c r="BC722" s="883" t="str">
        <f>IF(V722="BRAND.com",IFERROR(HLOOKUP(X722&amp;Z722,PLANNING_FC!$AK$27:$AY$46,MATCH(W722,PLANNING_FC!$AJ$27:$AJ$46,0),FALSE)*1000,""),"")</f>
        <v/>
      </c>
    </row>
    <row r="723" spans="14:55" x14ac:dyDescent="0.25">
      <c r="N723" s="56">
        <f t="shared" si="284"/>
        <v>0</v>
      </c>
      <c r="O723" s="57">
        <f t="shared" si="285"/>
        <v>0</v>
      </c>
      <c r="P723" s="57">
        <f ca="1">IFERROR(IF(ISBLANK(H723),SUMIFS($AC:$AC,$V:$V,V723,$W:$W,W723,$X:$X,X723,$Y:$Y,Y723)*J723/(1-J723)*VLOOKUP(_xlfn.CONCAT(C723,D723,E723,TIME!$M$12,Z723),HIS_SALES!$B$2:$W$4859,20,FALSE),AC723*J723/(1-J723)),0)</f>
        <v>0</v>
      </c>
      <c r="Q723" s="541" t="str">
        <f t="shared" si="286"/>
        <v/>
      </c>
      <c r="R723" s="346" t="str">
        <f t="shared" si="287"/>
        <v>00000</v>
      </c>
      <c r="S723" s="344">
        <f t="shared" si="288"/>
        <v>0</v>
      </c>
      <c r="T723" s="345" t="str">
        <f t="shared" si="301"/>
        <v>000</v>
      </c>
      <c r="U723" s="345">
        <f t="shared" si="289"/>
        <v>0</v>
      </c>
      <c r="V723" s="345">
        <f t="shared" si="290"/>
        <v>0</v>
      </c>
      <c r="W723" s="345">
        <f t="shared" si="291"/>
        <v>0</v>
      </c>
      <c r="X723" s="345">
        <f t="shared" si="292"/>
        <v>0</v>
      </c>
      <c r="Y723" s="345">
        <f t="shared" si="293"/>
        <v>0</v>
      </c>
      <c r="Z723" s="345">
        <f>IF(Q723&lt;&gt;"",VLOOKUP(Y723,TIME!$R$21:$V$24,MATCH(FC_DATA!Q723,TIME!$R$20:$V$20,0),FALSE),H723)</f>
        <v>0</v>
      </c>
      <c r="AA723" s="345" t="str">
        <f>IFERROR(VLOOKUP(X723&amp;Z723,TIME!$A$12:$D$71,4,FALSE),"")</f>
        <v/>
      </c>
      <c r="AB723" s="592">
        <f t="shared" ca="1" si="294"/>
        <v>0</v>
      </c>
      <c r="AC723" s="593" t="e">
        <f ca="1">IF(ISBLANK(H723)=FALSE,IF(D723="BRAND.com",I723,IF(ISNA(VLOOKUP(_xlfn.CONCAT(X723,Z723),TIME!$M$40:$M$42,1,FALSE)),I723,VLOOKUP(_xlfn.CONCAT(D723,G723,H723),M_BUSAREA_FC!$AF$5:$AJ$10,5,FALSE)*HLOOKUP(_xlfn.CONCAT(F723,H723),ST_OVERVIEW!$G$99:$I$130,MATCH(_xlfn.CONCAT(D723,E723),ST_OVERVIEW!$F$99:$F$130,0),FALSE))),IF(D723="BRAND.com",VLOOKUP(_xlfn.CONCAT(C723,D723,E723,TIME!$F$1,Z723),HIS_SALES!$B$2:$V$4859,19,FALSE)*I723,VLOOKUP(_xlfn.CONCAT(D723,F723,G723),Q_BUSAREA_FC!$AE$5:$AI$12,5,FALSE)*HLOOKUP(_xlfn.CONCAT(FC_DATA!F723,FC_DATA!G723),LT_OVERVIEW!$I$99:$M$130,MATCH(_xlfn.CONCAT(D723,FC_DATA!E723),LT_OVERVIEW!$H$99:$H$130,0),FALSE)*IFERROR(VLOOKUP(_xlfn.CONCAT(C723,D723,E723,TIME!$F$1,Z723),HIS_SALES!$B$2:$V$4859,19,FALSE),0)))</f>
        <v>#N/A</v>
      </c>
      <c r="AD723" s="341">
        <f t="shared" ca="1" si="295"/>
        <v>0</v>
      </c>
      <c r="AE723" s="363" t="str">
        <f t="shared" si="296"/>
        <v/>
      </c>
      <c r="AF723" s="342" t="str">
        <f t="shared" si="297"/>
        <v/>
      </c>
      <c r="AG723" s="411" t="e">
        <f ca="1">VLOOKUP(_xlfn.CONCAT(U723,V723,W723,VLOOKUP(X723&amp;Y723,TIME!$L$27:$O$34,4,FALSE),Y723),HIS_SALES!$A$2:$R$5093,18,FALSE)</f>
        <v>#N/A</v>
      </c>
      <c r="AH723" s="412" t="e">
        <f ca="1">IFERROR(IF(AND(V723=V722,W723=W722),0.5*(AB723+AB722)*AG723,(VLOOKUP(_xlfn.CONCAT(U723,V723,W723,X723,VLOOKUP(Z723,TIME!$S$28:$T$39,2,FALSE)),FC_DATA!$R$2:$AB$5000,MATCH("GS_I_M",FC_DATA!$R$1:$AB$1,0),FALSE)+FC_DATA!AB723)*0.5*FC_DATA!AG723),NA())</f>
        <v>#N/A</v>
      </c>
      <c r="AI723" s="491" t="e">
        <f ca="1">IF(V723="PARTNER.com",AH723,IF(AND(V723=V722,W723=W722),(1-AVERAGE(AD722,AD723))*AH723,(1-AVERAGE(AD723,VLOOKUP(_xlfn.CONCAT(U723,V723,W723,X723,M_BRAND_FC!$F$6),FC_DATA!$R$2:$AD$5000,MATCH("DISCOUNT_%_M",FC_DATA!$R$1:$AD$1,0),FALSE)))*AH723))</f>
        <v>#N/A</v>
      </c>
      <c r="AJ723" s="412" t="str">
        <f t="shared" ca="1" si="298"/>
        <v/>
      </c>
      <c r="AK723" s="413" t="str">
        <f>IFERROR(AE723/(Q_BRAND_FC!$T$24+1),"")</f>
        <v/>
      </c>
      <c r="AL723" s="88" t="str">
        <f t="shared" ca="1" si="299"/>
        <v/>
      </c>
      <c r="AM723" s="414" t="str">
        <f t="shared" ca="1" si="300"/>
        <v/>
      </c>
      <c r="AN723" s="58">
        <f>IFERROR(IF($V723="BRAND.com",HLOOKUP($X723&amp;$Z723,NWC_FC_NOOS!$C$4:$Q$23,MATCH(W723,NWC_FC_NOOS!$B$4:$B$23,0),FALSE),0),0)</f>
        <v>0</v>
      </c>
      <c r="AO723" s="57">
        <f>IFERROR(IF($V723="BRAND.com",HLOOKUP($X723&amp;$Z723,NWC_FC_NOOS!$T$4:$AH$23,MATCH(W723,NWC_FC_NOOS!$S$4:$S$23,0),FALSE),0),0)</f>
        <v>0</v>
      </c>
      <c r="AP723" s="57">
        <f>IFERROR(IF($V723="BRAND.com",HLOOKUP($X723&amp;$Z723,NWC_FC_NOOS!$C$50:$U$69,MATCH(W723,NWC_FC_NOOS!$B$50:$B$69,0),FALSE),0),0)</f>
        <v>0</v>
      </c>
      <c r="AQ723" s="58">
        <f>IFERROR(IF($V723="BRAND.com",HLOOKUP($X723&amp;$Z723,'NWC_FC_NON-NOOS'!$C$4:$Q$23,MATCH(W723,'NWC_FC_NON-NOOS'!$B$4:$B$23,0),FALSE),0),0)</f>
        <v>0</v>
      </c>
      <c r="AR723" s="57">
        <f>IFERROR(IF($V723="BRAND.com",HLOOKUP($X723&amp;$Z723,'NWC_FC_NON-NOOS'!$T$4:$AH$23,MATCH(W723,'NWC_FC_NON-NOOS'!$S$4:$S$23,0),FALSE),0),0)</f>
        <v>0</v>
      </c>
      <c r="AS723" s="57">
        <f>IFERROR(IF($V723="BRAND.com",HLOOKUP($X723&amp;$Z723,'NWC_FC_NON-NOOS'!$C$50:$U$69,MATCH(W723,'NWC_FC_NON-NOOS'!$B$50:$B$69,0),FALSE),0),0)</f>
        <v>0</v>
      </c>
      <c r="AT723" s="57">
        <f t="shared" si="302"/>
        <v>0</v>
      </c>
      <c r="AU723" s="57">
        <f t="shared" si="303"/>
        <v>0</v>
      </c>
      <c r="AV723" s="58">
        <f>IFERROR(IF($V723="BRAND.com",HLOOKUP($X723&amp;$Z723,PLANNING_FC!$BB$27:$BP$46,MATCH($W723,PLANNING_FC!$BA$27:$BA$46,0),FALSE),0),0)</f>
        <v>0</v>
      </c>
      <c r="AW723" s="58">
        <f>IFERROR(IF($V723="BRAND.com",HLOOKUP($X723&amp;$Z723,PLANNING_FC!$BB$4:$BP$23,MATCH($W723,PLANNING_FC!$BA$4:$BA$23,0),FALSE),0),0)</f>
        <v>0</v>
      </c>
      <c r="AX723" s="58">
        <f>IFERROR(IF($V723="BRAND.com",HLOOKUP($X723&amp;$Z723,PLANNING_FC!$T$27:$AH$46,MATCH($W723,PLANNING_FC!$B$27:$B$46,0),FALSE),0),0)</f>
        <v>0</v>
      </c>
      <c r="AY723" s="58">
        <f>IFERROR(IF($V723="BRAND.com",HLOOKUP($X723&amp;$Z723,PLANNING_FC!$T$4:$AH$23,MATCH($W723,PLANNING_FC!$B$4:$B$23,0),FALSE),0),0)</f>
        <v>0</v>
      </c>
      <c r="AZ723" s="58">
        <f>IFERROR(IF($V723="BRAND.com",HLOOKUP($X723&amp;$Z723,PLANNING_FC!$DA$27:$DO$46,MATCH($W723,PLANNING_FC!$CZ$27:$CZ$46,0),FALSE),0),0)</f>
        <v>0</v>
      </c>
      <c r="BA723" s="58">
        <f>IFERROR(IF($V723="BRAND.com",HLOOKUP($X723&amp;$Z723,PLANNING_FC!$DA$4:$DO$23,MATCH($W723,PLANNING_FC!$CZ$4:$CZ$23,0),FALSE),0),0)</f>
        <v>0</v>
      </c>
      <c r="BB723" s="883" t="str">
        <f>IF(V723="BRAND.com",IFERROR(HLOOKUP(X723&amp;Z723,PLANNING_FC!$AK$4:$AY$23,MATCH(W723,PLANNING_FC!$AJ$4:$AJ$23,0),FALSE)*1000,""),"")</f>
        <v/>
      </c>
      <c r="BC723" s="883" t="str">
        <f>IF(V723="BRAND.com",IFERROR(HLOOKUP(X723&amp;Z723,PLANNING_FC!$AK$27:$AY$46,MATCH(W723,PLANNING_FC!$AJ$27:$AJ$46,0),FALSE)*1000,""),"")</f>
        <v/>
      </c>
    </row>
    <row r="724" spans="14:55" x14ac:dyDescent="0.25">
      <c r="N724" s="56">
        <f t="shared" si="284"/>
        <v>0</v>
      </c>
      <c r="O724" s="57">
        <f t="shared" si="285"/>
        <v>0</v>
      </c>
      <c r="P724" s="57">
        <f ca="1">IFERROR(IF(ISBLANK(H724),SUMIFS($AC:$AC,$V:$V,V724,$W:$W,W724,$X:$X,X724,$Y:$Y,Y724)*J724/(1-J724)*VLOOKUP(_xlfn.CONCAT(C724,D724,E724,TIME!$M$12,Z724),HIS_SALES!$B$2:$W$4859,20,FALSE),AC724*J724/(1-J724)),0)</f>
        <v>0</v>
      </c>
      <c r="Q724" s="541" t="str">
        <f t="shared" si="286"/>
        <v/>
      </c>
      <c r="R724" s="346" t="str">
        <f t="shared" si="287"/>
        <v>00000</v>
      </c>
      <c r="S724" s="344">
        <f t="shared" si="288"/>
        <v>0</v>
      </c>
      <c r="T724" s="345" t="str">
        <f t="shared" si="301"/>
        <v>000</v>
      </c>
      <c r="U724" s="345">
        <f t="shared" si="289"/>
        <v>0</v>
      </c>
      <c r="V724" s="345">
        <f t="shared" si="290"/>
        <v>0</v>
      </c>
      <c r="W724" s="345">
        <f t="shared" si="291"/>
        <v>0</v>
      </c>
      <c r="X724" s="345">
        <f t="shared" si="292"/>
        <v>0</v>
      </c>
      <c r="Y724" s="345">
        <f t="shared" si="293"/>
        <v>0</v>
      </c>
      <c r="Z724" s="345">
        <f>IF(Q724&lt;&gt;"",VLOOKUP(Y724,TIME!$R$21:$V$24,MATCH(FC_DATA!Q724,TIME!$R$20:$V$20,0),FALSE),H724)</f>
        <v>0</v>
      </c>
      <c r="AA724" s="345" t="str">
        <f>IFERROR(VLOOKUP(X724&amp;Z724,TIME!$A$12:$D$71,4,FALSE),"")</f>
        <v/>
      </c>
      <c r="AB724" s="592">
        <f t="shared" ca="1" si="294"/>
        <v>0</v>
      </c>
      <c r="AC724" s="593" t="e">
        <f ca="1">IF(ISBLANK(H724)=FALSE,IF(D724="BRAND.com",I724,IF(ISNA(VLOOKUP(_xlfn.CONCAT(X724,Z724),TIME!$M$40:$M$42,1,FALSE)),I724,VLOOKUP(_xlfn.CONCAT(D724,G724,H724),M_BUSAREA_FC!$AF$5:$AJ$10,5,FALSE)*HLOOKUP(_xlfn.CONCAT(F724,H724),ST_OVERVIEW!$G$99:$I$130,MATCH(_xlfn.CONCAT(D724,E724),ST_OVERVIEW!$F$99:$F$130,0),FALSE))),IF(D724="BRAND.com",VLOOKUP(_xlfn.CONCAT(C724,D724,E724,TIME!$F$1,Z724),HIS_SALES!$B$2:$V$4859,19,FALSE)*I724,VLOOKUP(_xlfn.CONCAT(D724,F724,G724),Q_BUSAREA_FC!$AE$5:$AI$12,5,FALSE)*HLOOKUP(_xlfn.CONCAT(FC_DATA!F724,FC_DATA!G724),LT_OVERVIEW!$I$99:$M$130,MATCH(_xlfn.CONCAT(D724,FC_DATA!E724),LT_OVERVIEW!$H$99:$H$130,0),FALSE)*IFERROR(VLOOKUP(_xlfn.CONCAT(C724,D724,E724,TIME!$F$1,Z724),HIS_SALES!$B$2:$V$4859,19,FALSE),0)))</f>
        <v>#N/A</v>
      </c>
      <c r="AD724" s="341">
        <f t="shared" ca="1" si="295"/>
        <v>0</v>
      </c>
      <c r="AE724" s="363" t="str">
        <f t="shared" si="296"/>
        <v/>
      </c>
      <c r="AF724" s="342" t="str">
        <f t="shared" si="297"/>
        <v/>
      </c>
      <c r="AG724" s="411" t="e">
        <f ca="1">VLOOKUP(_xlfn.CONCAT(U724,V724,W724,VLOOKUP(X724&amp;Y724,TIME!$L$27:$O$34,4,FALSE),Y724),HIS_SALES!$A$2:$R$5093,18,FALSE)</f>
        <v>#N/A</v>
      </c>
      <c r="AH724" s="412" t="e">
        <f ca="1">IFERROR(IF(AND(V724=V723,W724=W723),0.5*(AB724+AB723)*AG724,(VLOOKUP(_xlfn.CONCAT(U724,V724,W724,X724,VLOOKUP(Z724,TIME!$S$28:$T$39,2,FALSE)),FC_DATA!$R$2:$AB$5000,MATCH("GS_I_M",FC_DATA!$R$1:$AB$1,0),FALSE)+FC_DATA!AB724)*0.5*FC_DATA!AG724),NA())</f>
        <v>#N/A</v>
      </c>
      <c r="AI724" s="491" t="e">
        <f ca="1">IF(V724="PARTNER.com",AH724,IF(AND(V724=V723,W724=W723),(1-AVERAGE(AD723,AD724))*AH724,(1-AVERAGE(AD724,VLOOKUP(_xlfn.CONCAT(U724,V724,W724,X724,M_BRAND_FC!$F$6),FC_DATA!$R$2:$AD$5000,MATCH("DISCOUNT_%_M",FC_DATA!$R$1:$AD$1,0),FALSE)))*AH724))</f>
        <v>#N/A</v>
      </c>
      <c r="AJ724" s="412" t="str">
        <f t="shared" ca="1" si="298"/>
        <v/>
      </c>
      <c r="AK724" s="413" t="str">
        <f>IFERROR(AE724/(Q_BRAND_FC!$T$24+1),"")</f>
        <v/>
      </c>
      <c r="AL724" s="88" t="str">
        <f t="shared" ca="1" si="299"/>
        <v/>
      </c>
      <c r="AM724" s="414" t="str">
        <f t="shared" ca="1" si="300"/>
        <v/>
      </c>
      <c r="AN724" s="58">
        <f>IFERROR(IF($V724="BRAND.com",HLOOKUP($X724&amp;$Z724,NWC_FC_NOOS!$C$4:$Q$23,MATCH(W724,NWC_FC_NOOS!$B$4:$B$23,0),FALSE),0),0)</f>
        <v>0</v>
      </c>
      <c r="AO724" s="57">
        <f>IFERROR(IF($V724="BRAND.com",HLOOKUP($X724&amp;$Z724,NWC_FC_NOOS!$T$4:$AH$23,MATCH(W724,NWC_FC_NOOS!$S$4:$S$23,0),FALSE),0),0)</f>
        <v>0</v>
      </c>
      <c r="AP724" s="57">
        <f>IFERROR(IF($V724="BRAND.com",HLOOKUP($X724&amp;$Z724,NWC_FC_NOOS!$C$50:$U$69,MATCH(W724,NWC_FC_NOOS!$B$50:$B$69,0),FALSE),0),0)</f>
        <v>0</v>
      </c>
      <c r="AQ724" s="58">
        <f>IFERROR(IF($V724="BRAND.com",HLOOKUP($X724&amp;$Z724,'NWC_FC_NON-NOOS'!$C$4:$Q$23,MATCH(W724,'NWC_FC_NON-NOOS'!$B$4:$B$23,0),FALSE),0),0)</f>
        <v>0</v>
      </c>
      <c r="AR724" s="57">
        <f>IFERROR(IF($V724="BRAND.com",HLOOKUP($X724&amp;$Z724,'NWC_FC_NON-NOOS'!$T$4:$AH$23,MATCH(W724,'NWC_FC_NON-NOOS'!$S$4:$S$23,0),FALSE),0),0)</f>
        <v>0</v>
      </c>
      <c r="AS724" s="57">
        <f>IFERROR(IF($V724="BRAND.com",HLOOKUP($X724&amp;$Z724,'NWC_FC_NON-NOOS'!$C$50:$U$69,MATCH(W724,'NWC_FC_NON-NOOS'!$B$50:$B$69,0),FALSE),0),0)</f>
        <v>0</v>
      </c>
      <c r="AT724" s="57">
        <f t="shared" si="302"/>
        <v>0</v>
      </c>
      <c r="AU724" s="57">
        <f t="shared" si="303"/>
        <v>0</v>
      </c>
      <c r="AV724" s="58">
        <f>IFERROR(IF($V724="BRAND.com",HLOOKUP($X724&amp;$Z724,PLANNING_FC!$BB$27:$BP$46,MATCH($W724,PLANNING_FC!$BA$27:$BA$46,0),FALSE),0),0)</f>
        <v>0</v>
      </c>
      <c r="AW724" s="58">
        <f>IFERROR(IF($V724="BRAND.com",HLOOKUP($X724&amp;$Z724,PLANNING_FC!$BB$4:$BP$23,MATCH($W724,PLANNING_FC!$BA$4:$BA$23,0),FALSE),0),0)</f>
        <v>0</v>
      </c>
      <c r="AX724" s="58">
        <f>IFERROR(IF($V724="BRAND.com",HLOOKUP($X724&amp;$Z724,PLANNING_FC!$T$27:$AH$46,MATCH($W724,PLANNING_FC!$B$27:$B$46,0),FALSE),0),0)</f>
        <v>0</v>
      </c>
      <c r="AY724" s="58">
        <f>IFERROR(IF($V724="BRAND.com",HLOOKUP($X724&amp;$Z724,PLANNING_FC!$T$4:$AH$23,MATCH($W724,PLANNING_FC!$B$4:$B$23,0),FALSE),0),0)</f>
        <v>0</v>
      </c>
      <c r="AZ724" s="58">
        <f>IFERROR(IF($V724="BRAND.com",HLOOKUP($X724&amp;$Z724,PLANNING_FC!$DA$27:$DO$46,MATCH($W724,PLANNING_FC!$CZ$27:$CZ$46,0),FALSE),0),0)</f>
        <v>0</v>
      </c>
      <c r="BA724" s="58">
        <f>IFERROR(IF($V724="BRAND.com",HLOOKUP($X724&amp;$Z724,PLANNING_FC!$DA$4:$DO$23,MATCH($W724,PLANNING_FC!$CZ$4:$CZ$23,0),FALSE),0),0)</f>
        <v>0</v>
      </c>
      <c r="BB724" s="883" t="str">
        <f>IF(V724="BRAND.com",IFERROR(HLOOKUP(X724&amp;Z724,PLANNING_FC!$AK$4:$AY$23,MATCH(W724,PLANNING_FC!$AJ$4:$AJ$23,0),FALSE)*1000,""),"")</f>
        <v/>
      </c>
      <c r="BC724" s="883" t="str">
        <f>IF(V724="BRAND.com",IFERROR(HLOOKUP(X724&amp;Z724,PLANNING_FC!$AK$27:$AY$46,MATCH(W724,PLANNING_FC!$AJ$27:$AJ$46,0),FALSE)*1000,""),"")</f>
        <v/>
      </c>
    </row>
    <row r="725" spans="14:55" x14ac:dyDescent="0.25">
      <c r="N725" s="56">
        <f t="shared" si="284"/>
        <v>0</v>
      </c>
      <c r="O725" s="57">
        <f t="shared" si="285"/>
        <v>0</v>
      </c>
      <c r="P725" s="57">
        <f ca="1">IFERROR(IF(ISBLANK(H725),SUMIFS($AC:$AC,$V:$V,V725,$W:$W,W725,$X:$X,X725,$Y:$Y,Y725)*J725/(1-J725)*VLOOKUP(_xlfn.CONCAT(C725,D725,E725,TIME!$M$12,Z725),HIS_SALES!$B$2:$W$4859,20,FALSE),AC725*J725/(1-J725)),0)</f>
        <v>0</v>
      </c>
      <c r="Q725" s="541" t="str">
        <f t="shared" si="286"/>
        <v/>
      </c>
      <c r="R725" s="346" t="str">
        <f t="shared" si="287"/>
        <v>00000</v>
      </c>
      <c r="S725" s="344">
        <f t="shared" si="288"/>
        <v>0</v>
      </c>
      <c r="T725" s="345" t="str">
        <f t="shared" si="301"/>
        <v>000</v>
      </c>
      <c r="U725" s="345">
        <f t="shared" si="289"/>
        <v>0</v>
      </c>
      <c r="V725" s="345">
        <f t="shared" si="290"/>
        <v>0</v>
      </c>
      <c r="W725" s="345">
        <f t="shared" si="291"/>
        <v>0</v>
      </c>
      <c r="X725" s="345">
        <f t="shared" si="292"/>
        <v>0</v>
      </c>
      <c r="Y725" s="345">
        <f t="shared" si="293"/>
        <v>0</v>
      </c>
      <c r="Z725" s="345">
        <f>IF(Q725&lt;&gt;"",VLOOKUP(Y725,TIME!$R$21:$V$24,MATCH(FC_DATA!Q725,TIME!$R$20:$V$20,0),FALSE),H725)</f>
        <v>0</v>
      </c>
      <c r="AA725" s="345" t="str">
        <f>IFERROR(VLOOKUP(X725&amp;Z725,TIME!$A$12:$D$71,4,FALSE),"")</f>
        <v/>
      </c>
      <c r="AB725" s="592">
        <f t="shared" ca="1" si="294"/>
        <v>0</v>
      </c>
      <c r="AC725" s="593" t="e">
        <f ca="1">IF(ISBLANK(H725)=FALSE,IF(D725="BRAND.com",I725,IF(ISNA(VLOOKUP(_xlfn.CONCAT(X725,Z725),TIME!$M$40:$M$42,1,FALSE)),I725,VLOOKUP(_xlfn.CONCAT(D725,G725,H725),M_BUSAREA_FC!$AF$5:$AJ$10,5,FALSE)*HLOOKUP(_xlfn.CONCAT(F725,H725),ST_OVERVIEW!$G$99:$I$130,MATCH(_xlfn.CONCAT(D725,E725),ST_OVERVIEW!$F$99:$F$130,0),FALSE))),IF(D725="BRAND.com",VLOOKUP(_xlfn.CONCAT(C725,D725,E725,TIME!$F$1,Z725),HIS_SALES!$B$2:$V$4859,19,FALSE)*I725,VLOOKUP(_xlfn.CONCAT(D725,F725,G725),Q_BUSAREA_FC!$AE$5:$AI$12,5,FALSE)*HLOOKUP(_xlfn.CONCAT(FC_DATA!F725,FC_DATA!G725),LT_OVERVIEW!$I$99:$M$130,MATCH(_xlfn.CONCAT(D725,FC_DATA!E725),LT_OVERVIEW!$H$99:$H$130,0),FALSE)*IFERROR(VLOOKUP(_xlfn.CONCAT(C725,D725,E725,TIME!$F$1,Z725),HIS_SALES!$B$2:$V$4859,19,FALSE),0)))</f>
        <v>#N/A</v>
      </c>
      <c r="AD725" s="341">
        <f t="shared" ca="1" si="295"/>
        <v>0</v>
      </c>
      <c r="AE725" s="363" t="str">
        <f t="shared" si="296"/>
        <v/>
      </c>
      <c r="AF725" s="342" t="str">
        <f t="shared" si="297"/>
        <v/>
      </c>
      <c r="AG725" s="411" t="e">
        <f ca="1">VLOOKUP(_xlfn.CONCAT(U725,V725,W725,VLOOKUP(X725&amp;Y725,TIME!$L$27:$O$34,4,FALSE),Y725),HIS_SALES!$A$2:$R$5093,18,FALSE)</f>
        <v>#N/A</v>
      </c>
      <c r="AH725" s="412" t="e">
        <f ca="1">IFERROR(IF(AND(V725=V724,W725=W724),0.5*(AB725+AB724)*AG725,(VLOOKUP(_xlfn.CONCAT(U725,V725,W725,X725,VLOOKUP(Z725,TIME!$S$28:$T$39,2,FALSE)),FC_DATA!$R$2:$AB$5000,MATCH("GS_I_M",FC_DATA!$R$1:$AB$1,0),FALSE)+FC_DATA!AB725)*0.5*FC_DATA!AG725),NA())</f>
        <v>#N/A</v>
      </c>
      <c r="AI725" s="491" t="e">
        <f ca="1">IF(V725="PARTNER.com",AH725,IF(AND(V725=V724,W725=W724),(1-AVERAGE(AD724,AD725))*AH725,(1-AVERAGE(AD725,VLOOKUP(_xlfn.CONCAT(U725,V725,W725,X725,M_BRAND_FC!$F$6),FC_DATA!$R$2:$AD$5000,MATCH("DISCOUNT_%_M",FC_DATA!$R$1:$AD$1,0),FALSE)))*AH725))</f>
        <v>#N/A</v>
      </c>
      <c r="AJ725" s="412" t="str">
        <f t="shared" ca="1" si="298"/>
        <v/>
      </c>
      <c r="AK725" s="413" t="str">
        <f>IFERROR(AE725/(Q_BRAND_FC!$T$24+1),"")</f>
        <v/>
      </c>
      <c r="AL725" s="88" t="str">
        <f t="shared" ca="1" si="299"/>
        <v/>
      </c>
      <c r="AM725" s="414" t="str">
        <f t="shared" ca="1" si="300"/>
        <v/>
      </c>
      <c r="AN725" s="58">
        <f>IFERROR(IF($V725="BRAND.com",HLOOKUP($X725&amp;$Z725,NWC_FC_NOOS!$C$4:$Q$23,MATCH(W725,NWC_FC_NOOS!$B$4:$B$23,0),FALSE),0),0)</f>
        <v>0</v>
      </c>
      <c r="AO725" s="57">
        <f>IFERROR(IF($V725="BRAND.com",HLOOKUP($X725&amp;$Z725,NWC_FC_NOOS!$T$4:$AH$23,MATCH(W725,NWC_FC_NOOS!$S$4:$S$23,0),FALSE),0),0)</f>
        <v>0</v>
      </c>
      <c r="AP725" s="57">
        <f>IFERROR(IF($V725="BRAND.com",HLOOKUP($X725&amp;$Z725,NWC_FC_NOOS!$C$50:$U$69,MATCH(W725,NWC_FC_NOOS!$B$50:$B$69,0),FALSE),0),0)</f>
        <v>0</v>
      </c>
      <c r="AQ725" s="58">
        <f>IFERROR(IF($V725="BRAND.com",HLOOKUP($X725&amp;$Z725,'NWC_FC_NON-NOOS'!$C$4:$Q$23,MATCH(W725,'NWC_FC_NON-NOOS'!$B$4:$B$23,0),FALSE),0),0)</f>
        <v>0</v>
      </c>
      <c r="AR725" s="57">
        <f>IFERROR(IF($V725="BRAND.com",HLOOKUP($X725&amp;$Z725,'NWC_FC_NON-NOOS'!$T$4:$AH$23,MATCH(W725,'NWC_FC_NON-NOOS'!$S$4:$S$23,0),FALSE),0),0)</f>
        <v>0</v>
      </c>
      <c r="AS725" s="57">
        <f>IFERROR(IF($V725="BRAND.com",HLOOKUP($X725&amp;$Z725,'NWC_FC_NON-NOOS'!$C$50:$U$69,MATCH(W725,'NWC_FC_NON-NOOS'!$B$50:$B$69,0),FALSE),0),0)</f>
        <v>0</v>
      </c>
      <c r="AT725" s="57">
        <f t="shared" si="302"/>
        <v>0</v>
      </c>
      <c r="AU725" s="57">
        <f t="shared" si="303"/>
        <v>0</v>
      </c>
      <c r="AV725" s="58">
        <f>IFERROR(IF($V725="BRAND.com",HLOOKUP($X725&amp;$Z725,PLANNING_FC!$BB$27:$BP$46,MATCH($W725,PLANNING_FC!$BA$27:$BA$46,0),FALSE),0),0)</f>
        <v>0</v>
      </c>
      <c r="AW725" s="58">
        <f>IFERROR(IF($V725="BRAND.com",HLOOKUP($X725&amp;$Z725,PLANNING_FC!$BB$4:$BP$23,MATCH($W725,PLANNING_FC!$BA$4:$BA$23,0),FALSE),0),0)</f>
        <v>0</v>
      </c>
      <c r="AX725" s="58">
        <f>IFERROR(IF($V725="BRAND.com",HLOOKUP($X725&amp;$Z725,PLANNING_FC!$T$27:$AH$46,MATCH($W725,PLANNING_FC!$B$27:$B$46,0),FALSE),0),0)</f>
        <v>0</v>
      </c>
      <c r="AY725" s="58">
        <f>IFERROR(IF($V725="BRAND.com",HLOOKUP($X725&amp;$Z725,PLANNING_FC!$T$4:$AH$23,MATCH($W725,PLANNING_FC!$B$4:$B$23,0),FALSE),0),0)</f>
        <v>0</v>
      </c>
      <c r="AZ725" s="58">
        <f>IFERROR(IF($V725="BRAND.com",HLOOKUP($X725&amp;$Z725,PLANNING_FC!$DA$27:$DO$46,MATCH($W725,PLANNING_FC!$CZ$27:$CZ$46,0),FALSE),0),0)</f>
        <v>0</v>
      </c>
      <c r="BA725" s="58">
        <f>IFERROR(IF($V725="BRAND.com",HLOOKUP($X725&amp;$Z725,PLANNING_FC!$DA$4:$DO$23,MATCH($W725,PLANNING_FC!$CZ$4:$CZ$23,0),FALSE),0),0)</f>
        <v>0</v>
      </c>
      <c r="BB725" s="883" t="str">
        <f>IF(V725="BRAND.com",IFERROR(HLOOKUP(X725&amp;Z725,PLANNING_FC!$AK$4:$AY$23,MATCH(W725,PLANNING_FC!$AJ$4:$AJ$23,0),FALSE)*1000,""),"")</f>
        <v/>
      </c>
      <c r="BC725" s="883" t="str">
        <f>IF(V725="BRAND.com",IFERROR(HLOOKUP(X725&amp;Z725,PLANNING_FC!$AK$27:$AY$46,MATCH(W725,PLANNING_FC!$AJ$27:$AJ$46,0),FALSE)*1000,""),"")</f>
        <v/>
      </c>
    </row>
    <row r="726" spans="14:55" x14ac:dyDescent="0.25">
      <c r="N726" s="56">
        <f t="shared" si="284"/>
        <v>0</v>
      </c>
      <c r="O726" s="57">
        <f t="shared" si="285"/>
        <v>0</v>
      </c>
      <c r="P726" s="57">
        <f ca="1">IFERROR(IF(ISBLANK(H726),SUMIFS($AC:$AC,$V:$V,V726,$W:$W,W726,$X:$X,X726,$Y:$Y,Y726)*J726/(1-J726)*VLOOKUP(_xlfn.CONCAT(C726,D726,E726,TIME!$M$12,Z726),HIS_SALES!$B$2:$W$4859,20,FALSE),AC726*J726/(1-J726)),0)</f>
        <v>0</v>
      </c>
      <c r="Q726" s="541" t="str">
        <f t="shared" si="286"/>
        <v/>
      </c>
      <c r="R726" s="346" t="str">
        <f t="shared" si="287"/>
        <v>00000</v>
      </c>
      <c r="S726" s="344">
        <f t="shared" si="288"/>
        <v>0</v>
      </c>
      <c r="T726" s="345" t="str">
        <f t="shared" si="301"/>
        <v>000</v>
      </c>
      <c r="U726" s="345">
        <f t="shared" si="289"/>
        <v>0</v>
      </c>
      <c r="V726" s="345">
        <f t="shared" si="290"/>
        <v>0</v>
      </c>
      <c r="W726" s="345">
        <f t="shared" si="291"/>
        <v>0</v>
      </c>
      <c r="X726" s="345">
        <f t="shared" si="292"/>
        <v>0</v>
      </c>
      <c r="Y726" s="345">
        <f t="shared" si="293"/>
        <v>0</v>
      </c>
      <c r="Z726" s="345">
        <f>IF(Q726&lt;&gt;"",VLOOKUP(Y726,TIME!$R$21:$V$24,MATCH(FC_DATA!Q726,TIME!$R$20:$V$20,0),FALSE),H726)</f>
        <v>0</v>
      </c>
      <c r="AA726" s="345" t="str">
        <f>IFERROR(VLOOKUP(X726&amp;Z726,TIME!$A$12:$D$71,4,FALSE),"")</f>
        <v/>
      </c>
      <c r="AB726" s="592">
        <f t="shared" ca="1" si="294"/>
        <v>0</v>
      </c>
      <c r="AC726" s="593" t="e">
        <f ca="1">IF(ISBLANK(H726)=FALSE,IF(D726="BRAND.com",I726,IF(ISNA(VLOOKUP(_xlfn.CONCAT(X726,Z726),TIME!$M$40:$M$42,1,FALSE)),I726,VLOOKUP(_xlfn.CONCAT(D726,G726,H726),M_BUSAREA_FC!$AF$5:$AJ$10,5,FALSE)*HLOOKUP(_xlfn.CONCAT(F726,H726),ST_OVERVIEW!$G$99:$I$130,MATCH(_xlfn.CONCAT(D726,E726),ST_OVERVIEW!$F$99:$F$130,0),FALSE))),IF(D726="BRAND.com",VLOOKUP(_xlfn.CONCAT(C726,D726,E726,TIME!$F$1,Z726),HIS_SALES!$B$2:$V$4859,19,FALSE)*I726,VLOOKUP(_xlfn.CONCAT(D726,F726,G726),Q_BUSAREA_FC!$AE$5:$AI$12,5,FALSE)*HLOOKUP(_xlfn.CONCAT(FC_DATA!F726,FC_DATA!G726),LT_OVERVIEW!$I$99:$M$130,MATCH(_xlfn.CONCAT(D726,FC_DATA!E726),LT_OVERVIEW!$H$99:$H$130,0),FALSE)*IFERROR(VLOOKUP(_xlfn.CONCAT(C726,D726,E726,TIME!$F$1,Z726),HIS_SALES!$B$2:$V$4859,19,FALSE),0)))</f>
        <v>#N/A</v>
      </c>
      <c r="AD726" s="341">
        <f t="shared" ca="1" si="295"/>
        <v>0</v>
      </c>
      <c r="AE726" s="363" t="str">
        <f t="shared" si="296"/>
        <v/>
      </c>
      <c r="AF726" s="342" t="str">
        <f t="shared" si="297"/>
        <v/>
      </c>
      <c r="AG726" s="411" t="e">
        <f ca="1">VLOOKUP(_xlfn.CONCAT(U726,V726,W726,VLOOKUP(X726&amp;Y726,TIME!$L$27:$O$34,4,FALSE),Y726),HIS_SALES!$A$2:$R$5093,18,FALSE)</f>
        <v>#N/A</v>
      </c>
      <c r="AH726" s="412" t="e">
        <f ca="1">IFERROR(IF(AND(V726=V725,W726=W725),0.5*(AB726+AB725)*AG726,(VLOOKUP(_xlfn.CONCAT(U726,V726,W726,X726,VLOOKUP(Z726,TIME!$S$28:$T$39,2,FALSE)),FC_DATA!$R$2:$AB$5000,MATCH("GS_I_M",FC_DATA!$R$1:$AB$1,0),FALSE)+FC_DATA!AB726)*0.5*FC_DATA!AG726),NA())</f>
        <v>#N/A</v>
      </c>
      <c r="AI726" s="491" t="e">
        <f ca="1">IF(V726="PARTNER.com",AH726,IF(AND(V726=V725,W726=W725),(1-AVERAGE(AD725,AD726))*AH726,(1-AVERAGE(AD726,VLOOKUP(_xlfn.CONCAT(U726,V726,W726,X726,M_BRAND_FC!$F$6),FC_DATA!$R$2:$AD$5000,MATCH("DISCOUNT_%_M",FC_DATA!$R$1:$AD$1,0),FALSE)))*AH726))</f>
        <v>#N/A</v>
      </c>
      <c r="AJ726" s="412" t="str">
        <f t="shared" ca="1" si="298"/>
        <v/>
      </c>
      <c r="AK726" s="413" t="str">
        <f>IFERROR(AE726/(Q_BRAND_FC!$T$24+1),"")</f>
        <v/>
      </c>
      <c r="AL726" s="88" t="str">
        <f t="shared" ca="1" si="299"/>
        <v/>
      </c>
      <c r="AM726" s="414" t="str">
        <f t="shared" ca="1" si="300"/>
        <v/>
      </c>
      <c r="AN726" s="58">
        <f>IFERROR(IF($V726="BRAND.com",HLOOKUP($X726&amp;$Z726,NWC_FC_NOOS!$C$4:$Q$23,MATCH(W726,NWC_FC_NOOS!$B$4:$B$23,0),FALSE),0),0)</f>
        <v>0</v>
      </c>
      <c r="AO726" s="57">
        <f>IFERROR(IF($V726="BRAND.com",HLOOKUP($X726&amp;$Z726,NWC_FC_NOOS!$T$4:$AH$23,MATCH(W726,NWC_FC_NOOS!$S$4:$S$23,0),FALSE),0),0)</f>
        <v>0</v>
      </c>
      <c r="AP726" s="57">
        <f>IFERROR(IF($V726="BRAND.com",HLOOKUP($X726&amp;$Z726,NWC_FC_NOOS!$C$50:$U$69,MATCH(W726,NWC_FC_NOOS!$B$50:$B$69,0),FALSE),0),0)</f>
        <v>0</v>
      </c>
      <c r="AQ726" s="58">
        <f>IFERROR(IF($V726="BRAND.com",HLOOKUP($X726&amp;$Z726,'NWC_FC_NON-NOOS'!$C$4:$Q$23,MATCH(W726,'NWC_FC_NON-NOOS'!$B$4:$B$23,0),FALSE),0),0)</f>
        <v>0</v>
      </c>
      <c r="AR726" s="57">
        <f>IFERROR(IF($V726="BRAND.com",HLOOKUP($X726&amp;$Z726,'NWC_FC_NON-NOOS'!$T$4:$AH$23,MATCH(W726,'NWC_FC_NON-NOOS'!$S$4:$S$23,0),FALSE),0),0)</f>
        <v>0</v>
      </c>
      <c r="AS726" s="57">
        <f>IFERROR(IF($V726="BRAND.com",HLOOKUP($X726&amp;$Z726,'NWC_FC_NON-NOOS'!$C$50:$U$69,MATCH(W726,'NWC_FC_NON-NOOS'!$B$50:$B$69,0),FALSE),0),0)</f>
        <v>0</v>
      </c>
      <c r="AT726" s="57">
        <f t="shared" si="302"/>
        <v>0</v>
      </c>
      <c r="AU726" s="57">
        <f t="shared" si="303"/>
        <v>0</v>
      </c>
      <c r="AV726" s="58">
        <f>IFERROR(IF($V726="BRAND.com",HLOOKUP($X726&amp;$Z726,PLANNING_FC!$BB$27:$BP$46,MATCH($W726,PLANNING_FC!$BA$27:$BA$46,0),FALSE),0),0)</f>
        <v>0</v>
      </c>
      <c r="AW726" s="58">
        <f>IFERROR(IF($V726="BRAND.com",HLOOKUP($X726&amp;$Z726,PLANNING_FC!$BB$4:$BP$23,MATCH($W726,PLANNING_FC!$BA$4:$BA$23,0),FALSE),0),0)</f>
        <v>0</v>
      </c>
      <c r="AX726" s="58">
        <f>IFERROR(IF($V726="BRAND.com",HLOOKUP($X726&amp;$Z726,PLANNING_FC!$T$27:$AH$46,MATCH($W726,PLANNING_FC!$B$27:$B$46,0),FALSE),0),0)</f>
        <v>0</v>
      </c>
      <c r="AY726" s="58">
        <f>IFERROR(IF($V726="BRAND.com",HLOOKUP($X726&amp;$Z726,PLANNING_FC!$T$4:$AH$23,MATCH($W726,PLANNING_FC!$B$4:$B$23,0),FALSE),0),0)</f>
        <v>0</v>
      </c>
      <c r="AZ726" s="58">
        <f>IFERROR(IF($V726="BRAND.com",HLOOKUP($X726&amp;$Z726,PLANNING_FC!$DA$27:$DO$46,MATCH($W726,PLANNING_FC!$CZ$27:$CZ$46,0),FALSE),0),0)</f>
        <v>0</v>
      </c>
      <c r="BA726" s="58">
        <f>IFERROR(IF($V726="BRAND.com",HLOOKUP($X726&amp;$Z726,PLANNING_FC!$DA$4:$DO$23,MATCH($W726,PLANNING_FC!$CZ$4:$CZ$23,0),FALSE),0),0)</f>
        <v>0</v>
      </c>
      <c r="BB726" s="883" t="str">
        <f>IF(V726="BRAND.com",IFERROR(HLOOKUP(X726&amp;Z726,PLANNING_FC!$AK$4:$AY$23,MATCH(W726,PLANNING_FC!$AJ$4:$AJ$23,0),FALSE)*1000,""),"")</f>
        <v/>
      </c>
      <c r="BC726" s="883" t="str">
        <f>IF(V726="BRAND.com",IFERROR(HLOOKUP(X726&amp;Z726,PLANNING_FC!$AK$27:$AY$46,MATCH(W726,PLANNING_FC!$AJ$27:$AJ$46,0),FALSE)*1000,""),"")</f>
        <v/>
      </c>
    </row>
    <row r="727" spans="14:55" x14ac:dyDescent="0.25">
      <c r="N727" s="56">
        <f t="shared" si="284"/>
        <v>0</v>
      </c>
      <c r="O727" s="57">
        <f t="shared" si="285"/>
        <v>0</v>
      </c>
      <c r="P727" s="57">
        <f ca="1">IFERROR(IF(ISBLANK(H727),SUMIFS($AC:$AC,$V:$V,V727,$W:$W,W727,$X:$X,X727,$Y:$Y,Y727)*J727/(1-J727)*VLOOKUP(_xlfn.CONCAT(C727,D727,E727,TIME!$M$12,Z727),HIS_SALES!$B$2:$W$4859,20,FALSE),AC727*J727/(1-J727)),0)</f>
        <v>0</v>
      </c>
      <c r="Q727" s="541" t="str">
        <f t="shared" si="286"/>
        <v/>
      </c>
      <c r="R727" s="346" t="str">
        <f t="shared" si="287"/>
        <v>00000</v>
      </c>
      <c r="S727" s="344">
        <f t="shared" si="288"/>
        <v>0</v>
      </c>
      <c r="T727" s="345" t="str">
        <f t="shared" si="301"/>
        <v>000</v>
      </c>
      <c r="U727" s="345">
        <f t="shared" si="289"/>
        <v>0</v>
      </c>
      <c r="V727" s="345">
        <f t="shared" si="290"/>
        <v>0</v>
      </c>
      <c r="W727" s="345">
        <f t="shared" si="291"/>
        <v>0</v>
      </c>
      <c r="X727" s="345">
        <f t="shared" si="292"/>
        <v>0</v>
      </c>
      <c r="Y727" s="345">
        <f t="shared" si="293"/>
        <v>0</v>
      </c>
      <c r="Z727" s="345">
        <f>IF(Q727&lt;&gt;"",VLOOKUP(Y727,TIME!$R$21:$V$24,MATCH(FC_DATA!Q727,TIME!$R$20:$V$20,0),FALSE),H727)</f>
        <v>0</v>
      </c>
      <c r="AA727" s="345" t="str">
        <f>IFERROR(VLOOKUP(X727&amp;Z727,TIME!$A$12:$D$71,4,FALSE),"")</f>
        <v/>
      </c>
      <c r="AB727" s="592">
        <f t="shared" ca="1" si="294"/>
        <v>0</v>
      </c>
      <c r="AC727" s="593" t="e">
        <f ca="1">IF(ISBLANK(H727)=FALSE,IF(D727="BRAND.com",I727,IF(ISNA(VLOOKUP(_xlfn.CONCAT(X727,Z727),TIME!$M$40:$M$42,1,FALSE)),I727,VLOOKUP(_xlfn.CONCAT(D727,G727,H727),M_BUSAREA_FC!$AF$5:$AJ$10,5,FALSE)*HLOOKUP(_xlfn.CONCAT(F727,H727),ST_OVERVIEW!$G$99:$I$130,MATCH(_xlfn.CONCAT(D727,E727),ST_OVERVIEW!$F$99:$F$130,0),FALSE))),IF(D727="BRAND.com",VLOOKUP(_xlfn.CONCAT(C727,D727,E727,TIME!$F$1,Z727),HIS_SALES!$B$2:$V$4859,19,FALSE)*I727,VLOOKUP(_xlfn.CONCAT(D727,F727,G727),Q_BUSAREA_FC!$AE$5:$AI$12,5,FALSE)*HLOOKUP(_xlfn.CONCAT(FC_DATA!F727,FC_DATA!G727),LT_OVERVIEW!$I$99:$M$130,MATCH(_xlfn.CONCAT(D727,FC_DATA!E727),LT_OVERVIEW!$H$99:$H$130,0),FALSE)*IFERROR(VLOOKUP(_xlfn.CONCAT(C727,D727,E727,TIME!$F$1,Z727),HIS_SALES!$B$2:$V$4859,19,FALSE),0)))</f>
        <v>#N/A</v>
      </c>
      <c r="AD727" s="341">
        <f t="shared" ca="1" si="295"/>
        <v>0</v>
      </c>
      <c r="AE727" s="363" t="str">
        <f t="shared" si="296"/>
        <v/>
      </c>
      <c r="AF727" s="342" t="str">
        <f t="shared" si="297"/>
        <v/>
      </c>
      <c r="AG727" s="411" t="e">
        <f ca="1">VLOOKUP(_xlfn.CONCAT(U727,V727,W727,VLOOKUP(X727&amp;Y727,TIME!$L$27:$O$34,4,FALSE),Y727),HIS_SALES!$A$2:$R$5093,18,FALSE)</f>
        <v>#N/A</v>
      </c>
      <c r="AH727" s="412" t="e">
        <f ca="1">IFERROR(IF(AND(V727=V726,W727=W726),0.5*(AB727+AB726)*AG727,(VLOOKUP(_xlfn.CONCAT(U727,V727,W727,X727,VLOOKUP(Z727,TIME!$S$28:$T$39,2,FALSE)),FC_DATA!$R$2:$AB$5000,MATCH("GS_I_M",FC_DATA!$R$1:$AB$1,0),FALSE)+FC_DATA!AB727)*0.5*FC_DATA!AG727),NA())</f>
        <v>#N/A</v>
      </c>
      <c r="AI727" s="491" t="e">
        <f ca="1">IF(V727="PARTNER.com",AH727,IF(AND(V727=V726,W727=W726),(1-AVERAGE(AD726,AD727))*AH727,(1-AVERAGE(AD727,VLOOKUP(_xlfn.CONCAT(U727,V727,W727,X727,M_BRAND_FC!$F$6),FC_DATA!$R$2:$AD$5000,MATCH("DISCOUNT_%_M",FC_DATA!$R$1:$AD$1,0),FALSE)))*AH727))</f>
        <v>#N/A</v>
      </c>
      <c r="AJ727" s="412" t="str">
        <f t="shared" ca="1" si="298"/>
        <v/>
      </c>
      <c r="AK727" s="413" t="str">
        <f>IFERROR(AE727/(Q_BRAND_FC!$T$24+1),"")</f>
        <v/>
      </c>
      <c r="AL727" s="88" t="str">
        <f t="shared" ca="1" si="299"/>
        <v/>
      </c>
      <c r="AM727" s="414" t="str">
        <f t="shared" ca="1" si="300"/>
        <v/>
      </c>
      <c r="AN727" s="58">
        <f>IFERROR(IF($V727="BRAND.com",HLOOKUP($X727&amp;$Z727,NWC_FC_NOOS!$C$4:$Q$23,MATCH(W727,NWC_FC_NOOS!$B$4:$B$23,0),FALSE),0),0)</f>
        <v>0</v>
      </c>
      <c r="AO727" s="57">
        <f>IFERROR(IF($V727="BRAND.com",HLOOKUP($X727&amp;$Z727,NWC_FC_NOOS!$T$4:$AH$23,MATCH(W727,NWC_FC_NOOS!$S$4:$S$23,0),FALSE),0),0)</f>
        <v>0</v>
      </c>
      <c r="AP727" s="57">
        <f>IFERROR(IF($V727="BRAND.com",HLOOKUP($X727&amp;$Z727,NWC_FC_NOOS!$C$50:$U$69,MATCH(W727,NWC_FC_NOOS!$B$50:$B$69,0),FALSE),0),0)</f>
        <v>0</v>
      </c>
      <c r="AQ727" s="58">
        <f>IFERROR(IF($V727="BRAND.com",HLOOKUP($X727&amp;$Z727,'NWC_FC_NON-NOOS'!$C$4:$Q$23,MATCH(W727,'NWC_FC_NON-NOOS'!$B$4:$B$23,0),FALSE),0),0)</f>
        <v>0</v>
      </c>
      <c r="AR727" s="57">
        <f>IFERROR(IF($V727="BRAND.com",HLOOKUP($X727&amp;$Z727,'NWC_FC_NON-NOOS'!$T$4:$AH$23,MATCH(W727,'NWC_FC_NON-NOOS'!$S$4:$S$23,0),FALSE),0),0)</f>
        <v>0</v>
      </c>
      <c r="AS727" s="57">
        <f>IFERROR(IF($V727="BRAND.com",HLOOKUP($X727&amp;$Z727,'NWC_FC_NON-NOOS'!$C$50:$U$69,MATCH(W727,'NWC_FC_NON-NOOS'!$B$50:$B$69,0),FALSE),0),0)</f>
        <v>0</v>
      </c>
      <c r="AT727" s="57">
        <f t="shared" si="302"/>
        <v>0</v>
      </c>
      <c r="AU727" s="57">
        <f t="shared" si="303"/>
        <v>0</v>
      </c>
      <c r="AV727" s="58">
        <f>IFERROR(IF($V727="BRAND.com",HLOOKUP($X727&amp;$Z727,PLANNING_FC!$BB$27:$BP$46,MATCH($W727,PLANNING_FC!$BA$27:$BA$46,0),FALSE),0),0)</f>
        <v>0</v>
      </c>
      <c r="AW727" s="58">
        <f>IFERROR(IF($V727="BRAND.com",HLOOKUP($X727&amp;$Z727,PLANNING_FC!$BB$4:$BP$23,MATCH($W727,PLANNING_FC!$BA$4:$BA$23,0),FALSE),0),0)</f>
        <v>0</v>
      </c>
      <c r="AX727" s="58">
        <f>IFERROR(IF($V727="BRAND.com",HLOOKUP($X727&amp;$Z727,PLANNING_FC!$T$27:$AH$46,MATCH($W727,PLANNING_FC!$B$27:$B$46,0),FALSE),0),0)</f>
        <v>0</v>
      </c>
      <c r="AY727" s="58">
        <f>IFERROR(IF($V727="BRAND.com",HLOOKUP($X727&amp;$Z727,PLANNING_FC!$T$4:$AH$23,MATCH($W727,PLANNING_FC!$B$4:$B$23,0),FALSE),0),0)</f>
        <v>0</v>
      </c>
      <c r="AZ727" s="58">
        <f>IFERROR(IF($V727="BRAND.com",HLOOKUP($X727&amp;$Z727,PLANNING_FC!$DA$27:$DO$46,MATCH($W727,PLANNING_FC!$CZ$27:$CZ$46,0),FALSE),0),0)</f>
        <v>0</v>
      </c>
      <c r="BA727" s="58">
        <f>IFERROR(IF($V727="BRAND.com",HLOOKUP($X727&amp;$Z727,PLANNING_FC!$DA$4:$DO$23,MATCH($W727,PLANNING_FC!$CZ$4:$CZ$23,0),FALSE),0),0)</f>
        <v>0</v>
      </c>
      <c r="BB727" s="883" t="str">
        <f>IF(V727="BRAND.com",IFERROR(HLOOKUP(X727&amp;Z727,PLANNING_FC!$AK$4:$AY$23,MATCH(W727,PLANNING_FC!$AJ$4:$AJ$23,0),FALSE)*1000,""),"")</f>
        <v/>
      </c>
      <c r="BC727" s="883" t="str">
        <f>IF(V727="BRAND.com",IFERROR(HLOOKUP(X727&amp;Z727,PLANNING_FC!$AK$27:$AY$46,MATCH(W727,PLANNING_FC!$AJ$27:$AJ$46,0),FALSE)*1000,""),"")</f>
        <v/>
      </c>
    </row>
    <row r="728" spans="14:55" x14ac:dyDescent="0.25">
      <c r="N728" s="56">
        <f t="shared" si="284"/>
        <v>0</v>
      </c>
      <c r="O728" s="57">
        <f t="shared" si="285"/>
        <v>0</v>
      </c>
      <c r="P728" s="57">
        <f ca="1">IFERROR(IF(ISBLANK(H728),SUMIFS($AC:$AC,$V:$V,V728,$W:$W,W728,$X:$X,X728,$Y:$Y,Y728)*J728/(1-J728)*VLOOKUP(_xlfn.CONCAT(C728,D728,E728,TIME!$M$12,Z728),HIS_SALES!$B$2:$W$4859,20,FALSE),AC728*J728/(1-J728)),0)</f>
        <v>0</v>
      </c>
      <c r="Q728" s="541" t="str">
        <f t="shared" si="286"/>
        <v/>
      </c>
      <c r="R728" s="346" t="str">
        <f t="shared" si="287"/>
        <v>00000</v>
      </c>
      <c r="S728" s="344">
        <f t="shared" si="288"/>
        <v>0</v>
      </c>
      <c r="T728" s="345" t="str">
        <f t="shared" si="301"/>
        <v>000</v>
      </c>
      <c r="U728" s="345">
        <f t="shared" si="289"/>
        <v>0</v>
      </c>
      <c r="V728" s="345">
        <f t="shared" si="290"/>
        <v>0</v>
      </c>
      <c r="W728" s="345">
        <f t="shared" si="291"/>
        <v>0</v>
      </c>
      <c r="X728" s="345">
        <f t="shared" si="292"/>
        <v>0</v>
      </c>
      <c r="Y728" s="345">
        <f t="shared" si="293"/>
        <v>0</v>
      </c>
      <c r="Z728" s="345">
        <f>IF(Q728&lt;&gt;"",VLOOKUP(Y728,TIME!$R$21:$V$24,MATCH(FC_DATA!Q728,TIME!$R$20:$V$20,0),FALSE),H728)</f>
        <v>0</v>
      </c>
      <c r="AA728" s="345" t="str">
        <f>IFERROR(VLOOKUP(X728&amp;Z728,TIME!$A$12:$D$71,4,FALSE),"")</f>
        <v/>
      </c>
      <c r="AB728" s="592">
        <f t="shared" ca="1" si="294"/>
        <v>0</v>
      </c>
      <c r="AC728" s="593" t="e">
        <f ca="1">IF(ISBLANK(H728)=FALSE,IF(D728="BRAND.com",I728,IF(ISNA(VLOOKUP(_xlfn.CONCAT(X728,Z728),TIME!$M$40:$M$42,1,FALSE)),I728,VLOOKUP(_xlfn.CONCAT(D728,G728,H728),M_BUSAREA_FC!$AF$5:$AJ$10,5,FALSE)*HLOOKUP(_xlfn.CONCAT(F728,H728),ST_OVERVIEW!$G$99:$I$130,MATCH(_xlfn.CONCAT(D728,E728),ST_OVERVIEW!$F$99:$F$130,0),FALSE))),IF(D728="BRAND.com",VLOOKUP(_xlfn.CONCAT(C728,D728,E728,TIME!$F$1,Z728),HIS_SALES!$B$2:$V$4859,19,FALSE)*I728,VLOOKUP(_xlfn.CONCAT(D728,F728,G728),Q_BUSAREA_FC!$AE$5:$AI$12,5,FALSE)*HLOOKUP(_xlfn.CONCAT(FC_DATA!F728,FC_DATA!G728),LT_OVERVIEW!$I$99:$M$130,MATCH(_xlfn.CONCAT(D728,FC_DATA!E728),LT_OVERVIEW!$H$99:$H$130,0),FALSE)*IFERROR(VLOOKUP(_xlfn.CONCAT(C728,D728,E728,TIME!$F$1,Z728),HIS_SALES!$B$2:$V$4859,19,FALSE),0)))</f>
        <v>#N/A</v>
      </c>
      <c r="AD728" s="341">
        <f t="shared" ca="1" si="295"/>
        <v>0</v>
      </c>
      <c r="AE728" s="363" t="str">
        <f t="shared" si="296"/>
        <v/>
      </c>
      <c r="AF728" s="342" t="str">
        <f t="shared" si="297"/>
        <v/>
      </c>
      <c r="AG728" s="411" t="e">
        <f ca="1">VLOOKUP(_xlfn.CONCAT(U728,V728,W728,VLOOKUP(X728&amp;Y728,TIME!$L$27:$O$34,4,FALSE),Y728),HIS_SALES!$A$2:$R$5093,18,FALSE)</f>
        <v>#N/A</v>
      </c>
      <c r="AH728" s="412" t="e">
        <f ca="1">IFERROR(IF(AND(V728=V727,W728=W727),0.5*(AB728+AB727)*AG728,(VLOOKUP(_xlfn.CONCAT(U728,V728,W728,X728,VLOOKUP(Z728,TIME!$S$28:$T$39,2,FALSE)),FC_DATA!$R$2:$AB$5000,MATCH("GS_I_M",FC_DATA!$R$1:$AB$1,0),FALSE)+FC_DATA!AB728)*0.5*FC_DATA!AG728),NA())</f>
        <v>#N/A</v>
      </c>
      <c r="AI728" s="491" t="e">
        <f ca="1">IF(V728="PARTNER.com",AH728,IF(AND(V728=V727,W728=W727),(1-AVERAGE(AD727,AD728))*AH728,(1-AVERAGE(AD728,VLOOKUP(_xlfn.CONCAT(U728,V728,W728,X728,M_BRAND_FC!$F$6),FC_DATA!$R$2:$AD$5000,MATCH("DISCOUNT_%_M",FC_DATA!$R$1:$AD$1,0),FALSE)))*AH728))</f>
        <v>#N/A</v>
      </c>
      <c r="AJ728" s="412" t="str">
        <f t="shared" ca="1" si="298"/>
        <v/>
      </c>
      <c r="AK728" s="413" t="str">
        <f>IFERROR(AE728/(Q_BRAND_FC!$T$24+1),"")</f>
        <v/>
      </c>
      <c r="AL728" s="88" t="str">
        <f t="shared" ca="1" si="299"/>
        <v/>
      </c>
      <c r="AM728" s="414" t="str">
        <f t="shared" ca="1" si="300"/>
        <v/>
      </c>
      <c r="AN728" s="58">
        <f>IFERROR(IF($V728="BRAND.com",HLOOKUP($X728&amp;$Z728,NWC_FC_NOOS!$C$4:$Q$23,MATCH(W728,NWC_FC_NOOS!$B$4:$B$23,0),FALSE),0),0)</f>
        <v>0</v>
      </c>
      <c r="AO728" s="57">
        <f>IFERROR(IF($V728="BRAND.com",HLOOKUP($X728&amp;$Z728,NWC_FC_NOOS!$T$4:$AH$23,MATCH(W728,NWC_FC_NOOS!$S$4:$S$23,0),FALSE),0),0)</f>
        <v>0</v>
      </c>
      <c r="AP728" s="57">
        <f>IFERROR(IF($V728="BRAND.com",HLOOKUP($X728&amp;$Z728,NWC_FC_NOOS!$C$50:$U$69,MATCH(W728,NWC_FC_NOOS!$B$50:$B$69,0),FALSE),0),0)</f>
        <v>0</v>
      </c>
      <c r="AQ728" s="58">
        <f>IFERROR(IF($V728="BRAND.com",HLOOKUP($X728&amp;$Z728,'NWC_FC_NON-NOOS'!$C$4:$Q$23,MATCH(W728,'NWC_FC_NON-NOOS'!$B$4:$B$23,0),FALSE),0),0)</f>
        <v>0</v>
      </c>
      <c r="AR728" s="57">
        <f>IFERROR(IF($V728="BRAND.com",HLOOKUP($X728&amp;$Z728,'NWC_FC_NON-NOOS'!$T$4:$AH$23,MATCH(W728,'NWC_FC_NON-NOOS'!$S$4:$S$23,0),FALSE),0),0)</f>
        <v>0</v>
      </c>
      <c r="AS728" s="57">
        <f>IFERROR(IF($V728="BRAND.com",HLOOKUP($X728&amp;$Z728,'NWC_FC_NON-NOOS'!$C$50:$U$69,MATCH(W728,'NWC_FC_NON-NOOS'!$B$50:$B$69,0),FALSE),0),0)</f>
        <v>0</v>
      </c>
      <c r="AT728" s="57">
        <f t="shared" si="302"/>
        <v>0</v>
      </c>
      <c r="AU728" s="57">
        <f t="shared" si="303"/>
        <v>0</v>
      </c>
      <c r="AV728" s="58">
        <f>IFERROR(IF($V728="BRAND.com",HLOOKUP($X728&amp;$Z728,PLANNING_FC!$BB$27:$BP$46,MATCH($W728,PLANNING_FC!$BA$27:$BA$46,0),FALSE),0),0)</f>
        <v>0</v>
      </c>
      <c r="AW728" s="58">
        <f>IFERROR(IF($V728="BRAND.com",HLOOKUP($X728&amp;$Z728,PLANNING_FC!$BB$4:$BP$23,MATCH($W728,PLANNING_FC!$BA$4:$BA$23,0),FALSE),0),0)</f>
        <v>0</v>
      </c>
      <c r="AX728" s="58">
        <f>IFERROR(IF($V728="BRAND.com",HLOOKUP($X728&amp;$Z728,PLANNING_FC!$T$27:$AH$46,MATCH($W728,PLANNING_FC!$B$27:$B$46,0),FALSE),0),0)</f>
        <v>0</v>
      </c>
      <c r="AY728" s="58">
        <f>IFERROR(IF($V728="BRAND.com",HLOOKUP($X728&amp;$Z728,PLANNING_FC!$T$4:$AH$23,MATCH($W728,PLANNING_FC!$B$4:$B$23,0),FALSE),0),0)</f>
        <v>0</v>
      </c>
      <c r="AZ728" s="58">
        <f>IFERROR(IF($V728="BRAND.com",HLOOKUP($X728&amp;$Z728,PLANNING_FC!$DA$27:$DO$46,MATCH($W728,PLANNING_FC!$CZ$27:$CZ$46,0),FALSE),0),0)</f>
        <v>0</v>
      </c>
      <c r="BA728" s="58">
        <f>IFERROR(IF($V728="BRAND.com",HLOOKUP($X728&amp;$Z728,PLANNING_FC!$DA$4:$DO$23,MATCH($W728,PLANNING_FC!$CZ$4:$CZ$23,0),FALSE),0),0)</f>
        <v>0</v>
      </c>
      <c r="BB728" s="883" t="str">
        <f>IF(V728="BRAND.com",IFERROR(HLOOKUP(X728&amp;Z728,PLANNING_FC!$AK$4:$AY$23,MATCH(W728,PLANNING_FC!$AJ$4:$AJ$23,0),FALSE)*1000,""),"")</f>
        <v/>
      </c>
      <c r="BC728" s="883" t="str">
        <f>IF(V728="BRAND.com",IFERROR(HLOOKUP(X728&amp;Z728,PLANNING_FC!$AK$27:$AY$46,MATCH(W728,PLANNING_FC!$AJ$27:$AJ$46,0),FALSE)*1000,""),"")</f>
        <v/>
      </c>
    </row>
    <row r="729" spans="14:55" x14ac:dyDescent="0.25">
      <c r="N729" s="56">
        <f t="shared" si="284"/>
        <v>0</v>
      </c>
      <c r="O729" s="57">
        <f t="shared" si="285"/>
        <v>0</v>
      </c>
      <c r="P729" s="57">
        <f ca="1">IFERROR(IF(ISBLANK(H729),SUMIFS($AC:$AC,$V:$V,V729,$W:$W,W729,$X:$X,X729,$Y:$Y,Y729)*J729/(1-J729)*VLOOKUP(_xlfn.CONCAT(C729,D729,E729,TIME!$M$12,Z729),HIS_SALES!$B$2:$W$4859,20,FALSE),AC729*J729/(1-J729)),0)</f>
        <v>0</v>
      </c>
      <c r="Q729" s="541" t="str">
        <f t="shared" si="286"/>
        <v/>
      </c>
      <c r="R729" s="346" t="str">
        <f t="shared" si="287"/>
        <v>00000</v>
      </c>
      <c r="S729" s="344">
        <f t="shared" si="288"/>
        <v>0</v>
      </c>
      <c r="T729" s="345" t="str">
        <f t="shared" si="301"/>
        <v>000</v>
      </c>
      <c r="U729" s="345">
        <f t="shared" si="289"/>
        <v>0</v>
      </c>
      <c r="V729" s="345">
        <f t="shared" si="290"/>
        <v>0</v>
      </c>
      <c r="W729" s="345">
        <f t="shared" si="291"/>
        <v>0</v>
      </c>
      <c r="X729" s="345">
        <f t="shared" si="292"/>
        <v>0</v>
      </c>
      <c r="Y729" s="345">
        <f t="shared" si="293"/>
        <v>0</v>
      </c>
      <c r="Z729" s="345">
        <f>IF(Q729&lt;&gt;"",VLOOKUP(Y729,TIME!$R$21:$V$24,MATCH(FC_DATA!Q729,TIME!$R$20:$V$20,0),FALSE),H729)</f>
        <v>0</v>
      </c>
      <c r="AA729" s="345" t="str">
        <f>IFERROR(VLOOKUP(X729&amp;Z729,TIME!$A$12:$D$71,4,FALSE),"")</f>
        <v/>
      </c>
      <c r="AB729" s="592">
        <f t="shared" ca="1" si="294"/>
        <v>0</v>
      </c>
      <c r="AC729" s="593" t="e">
        <f ca="1">IF(ISBLANK(H729)=FALSE,IF(D729="BRAND.com",I729,IF(ISNA(VLOOKUP(_xlfn.CONCAT(X729,Z729),TIME!$M$40:$M$42,1,FALSE)),I729,VLOOKUP(_xlfn.CONCAT(D729,G729,H729),M_BUSAREA_FC!$AF$5:$AJ$10,5,FALSE)*HLOOKUP(_xlfn.CONCAT(F729,H729),ST_OVERVIEW!$G$99:$I$130,MATCH(_xlfn.CONCAT(D729,E729),ST_OVERVIEW!$F$99:$F$130,0),FALSE))),IF(D729="BRAND.com",VLOOKUP(_xlfn.CONCAT(C729,D729,E729,TIME!$F$1,Z729),HIS_SALES!$B$2:$V$4859,19,FALSE)*I729,VLOOKUP(_xlfn.CONCAT(D729,F729,G729),Q_BUSAREA_FC!$AE$5:$AI$12,5,FALSE)*HLOOKUP(_xlfn.CONCAT(FC_DATA!F729,FC_DATA!G729),LT_OVERVIEW!$I$99:$M$130,MATCH(_xlfn.CONCAT(D729,FC_DATA!E729),LT_OVERVIEW!$H$99:$H$130,0),FALSE)*IFERROR(VLOOKUP(_xlfn.CONCAT(C729,D729,E729,TIME!$F$1,Z729),HIS_SALES!$B$2:$V$4859,19,FALSE),0)))</f>
        <v>#N/A</v>
      </c>
      <c r="AD729" s="341">
        <f t="shared" ca="1" si="295"/>
        <v>0</v>
      </c>
      <c r="AE729" s="363" t="str">
        <f t="shared" si="296"/>
        <v/>
      </c>
      <c r="AF729" s="342" t="str">
        <f t="shared" si="297"/>
        <v/>
      </c>
      <c r="AG729" s="411" t="e">
        <f ca="1">VLOOKUP(_xlfn.CONCAT(U729,V729,W729,VLOOKUP(X729&amp;Y729,TIME!$L$27:$O$34,4,FALSE),Y729),HIS_SALES!$A$2:$R$5093,18,FALSE)</f>
        <v>#N/A</v>
      </c>
      <c r="AH729" s="412" t="e">
        <f ca="1">IFERROR(IF(AND(V729=V728,W729=W728),0.5*(AB729+AB728)*AG729,(VLOOKUP(_xlfn.CONCAT(U729,V729,W729,X729,VLOOKUP(Z729,TIME!$S$28:$T$39,2,FALSE)),FC_DATA!$R$2:$AB$5000,MATCH("GS_I_M",FC_DATA!$R$1:$AB$1,0),FALSE)+FC_DATA!AB729)*0.5*FC_DATA!AG729),NA())</f>
        <v>#N/A</v>
      </c>
      <c r="AI729" s="491" t="e">
        <f ca="1">IF(V729="PARTNER.com",AH729,IF(AND(V729=V728,W729=W728),(1-AVERAGE(AD728,AD729))*AH729,(1-AVERAGE(AD729,VLOOKUP(_xlfn.CONCAT(U729,V729,W729,X729,M_BRAND_FC!$F$6),FC_DATA!$R$2:$AD$5000,MATCH("DISCOUNT_%_M",FC_DATA!$R$1:$AD$1,0),FALSE)))*AH729))</f>
        <v>#N/A</v>
      </c>
      <c r="AJ729" s="412" t="str">
        <f t="shared" ca="1" si="298"/>
        <v/>
      </c>
      <c r="AK729" s="413" t="str">
        <f>IFERROR(AE729/(Q_BRAND_FC!$T$24+1),"")</f>
        <v/>
      </c>
      <c r="AL729" s="88" t="str">
        <f t="shared" ca="1" si="299"/>
        <v/>
      </c>
      <c r="AM729" s="414" t="str">
        <f t="shared" ca="1" si="300"/>
        <v/>
      </c>
      <c r="AN729" s="58">
        <f>IFERROR(IF($V729="BRAND.com",HLOOKUP($X729&amp;$Z729,NWC_FC_NOOS!$C$4:$Q$23,MATCH(W729,NWC_FC_NOOS!$B$4:$B$23,0),FALSE),0),0)</f>
        <v>0</v>
      </c>
      <c r="AO729" s="57">
        <f>IFERROR(IF($V729="BRAND.com",HLOOKUP($X729&amp;$Z729,NWC_FC_NOOS!$T$4:$AH$23,MATCH(W729,NWC_FC_NOOS!$S$4:$S$23,0),FALSE),0),0)</f>
        <v>0</v>
      </c>
      <c r="AP729" s="57">
        <f>IFERROR(IF($V729="BRAND.com",HLOOKUP($X729&amp;$Z729,NWC_FC_NOOS!$C$50:$U$69,MATCH(W729,NWC_FC_NOOS!$B$50:$B$69,0),FALSE),0),0)</f>
        <v>0</v>
      </c>
      <c r="AQ729" s="58">
        <f>IFERROR(IF($V729="BRAND.com",HLOOKUP($X729&amp;$Z729,'NWC_FC_NON-NOOS'!$C$4:$Q$23,MATCH(W729,'NWC_FC_NON-NOOS'!$B$4:$B$23,0),FALSE),0),0)</f>
        <v>0</v>
      </c>
      <c r="AR729" s="57">
        <f>IFERROR(IF($V729="BRAND.com",HLOOKUP($X729&amp;$Z729,'NWC_FC_NON-NOOS'!$T$4:$AH$23,MATCH(W729,'NWC_FC_NON-NOOS'!$S$4:$S$23,0),FALSE),0),0)</f>
        <v>0</v>
      </c>
      <c r="AS729" s="57">
        <f>IFERROR(IF($V729="BRAND.com",HLOOKUP($X729&amp;$Z729,'NWC_FC_NON-NOOS'!$C$50:$U$69,MATCH(W729,'NWC_FC_NON-NOOS'!$B$50:$B$69,0),FALSE),0),0)</f>
        <v>0</v>
      </c>
      <c r="AT729" s="57">
        <f t="shared" si="302"/>
        <v>0</v>
      </c>
      <c r="AU729" s="57">
        <f t="shared" si="303"/>
        <v>0</v>
      </c>
      <c r="AV729" s="58">
        <f>IFERROR(IF($V729="BRAND.com",HLOOKUP($X729&amp;$Z729,PLANNING_FC!$BB$27:$BP$46,MATCH($W729,PLANNING_FC!$BA$27:$BA$46,0),FALSE),0),0)</f>
        <v>0</v>
      </c>
      <c r="AW729" s="58">
        <f>IFERROR(IF($V729="BRAND.com",HLOOKUP($X729&amp;$Z729,PLANNING_FC!$BB$4:$BP$23,MATCH($W729,PLANNING_FC!$BA$4:$BA$23,0),FALSE),0),0)</f>
        <v>0</v>
      </c>
      <c r="AX729" s="58">
        <f>IFERROR(IF($V729="BRAND.com",HLOOKUP($X729&amp;$Z729,PLANNING_FC!$T$27:$AH$46,MATCH($W729,PLANNING_FC!$B$27:$B$46,0),FALSE),0),0)</f>
        <v>0</v>
      </c>
      <c r="AY729" s="58">
        <f>IFERROR(IF($V729="BRAND.com",HLOOKUP($X729&amp;$Z729,PLANNING_FC!$T$4:$AH$23,MATCH($W729,PLANNING_FC!$B$4:$B$23,0),FALSE),0),0)</f>
        <v>0</v>
      </c>
      <c r="AZ729" s="58">
        <f>IFERROR(IF($V729="BRAND.com",HLOOKUP($X729&amp;$Z729,PLANNING_FC!$DA$27:$DO$46,MATCH($W729,PLANNING_FC!$CZ$27:$CZ$46,0),FALSE),0),0)</f>
        <v>0</v>
      </c>
      <c r="BA729" s="58">
        <f>IFERROR(IF($V729="BRAND.com",HLOOKUP($X729&amp;$Z729,PLANNING_FC!$DA$4:$DO$23,MATCH($W729,PLANNING_FC!$CZ$4:$CZ$23,0),FALSE),0),0)</f>
        <v>0</v>
      </c>
      <c r="BB729" s="883" t="str">
        <f>IF(V729="BRAND.com",IFERROR(HLOOKUP(X729&amp;Z729,PLANNING_FC!$AK$4:$AY$23,MATCH(W729,PLANNING_FC!$AJ$4:$AJ$23,0),FALSE)*1000,""),"")</f>
        <v/>
      </c>
      <c r="BC729" s="883" t="str">
        <f>IF(V729="BRAND.com",IFERROR(HLOOKUP(X729&amp;Z729,PLANNING_FC!$AK$27:$AY$46,MATCH(W729,PLANNING_FC!$AJ$27:$AJ$46,0),FALSE)*1000,""),"")</f>
        <v/>
      </c>
    </row>
    <row r="730" spans="14:55" x14ac:dyDescent="0.25">
      <c r="N730" s="56">
        <f t="shared" si="284"/>
        <v>0</v>
      </c>
      <c r="O730" s="57">
        <f t="shared" si="285"/>
        <v>0</v>
      </c>
      <c r="P730" s="57">
        <f ca="1">IFERROR(IF(ISBLANK(H730),SUMIFS($AC:$AC,$V:$V,V730,$W:$W,W730,$X:$X,X730,$Y:$Y,Y730)*J730/(1-J730)*VLOOKUP(_xlfn.CONCAT(C730,D730,E730,TIME!$M$12,Z730),HIS_SALES!$B$2:$W$4859,20,FALSE),AC730*J730/(1-J730)),0)</f>
        <v>0</v>
      </c>
      <c r="Q730" s="541" t="str">
        <f t="shared" si="286"/>
        <v/>
      </c>
      <c r="R730" s="346" t="str">
        <f t="shared" si="287"/>
        <v>00000</v>
      </c>
      <c r="S730" s="344">
        <f t="shared" si="288"/>
        <v>0</v>
      </c>
      <c r="T730" s="345" t="str">
        <f t="shared" si="301"/>
        <v>000</v>
      </c>
      <c r="U730" s="345">
        <f t="shared" si="289"/>
        <v>0</v>
      </c>
      <c r="V730" s="345">
        <f t="shared" si="290"/>
        <v>0</v>
      </c>
      <c r="W730" s="345">
        <f t="shared" si="291"/>
        <v>0</v>
      </c>
      <c r="X730" s="345">
        <f t="shared" si="292"/>
        <v>0</v>
      </c>
      <c r="Y730" s="345">
        <f t="shared" si="293"/>
        <v>0</v>
      </c>
      <c r="Z730" s="345">
        <f>IF(Q730&lt;&gt;"",VLOOKUP(Y730,TIME!$R$21:$V$24,MATCH(FC_DATA!Q730,TIME!$R$20:$V$20,0),FALSE),H730)</f>
        <v>0</v>
      </c>
      <c r="AA730" s="345" t="str">
        <f>IFERROR(VLOOKUP(X730&amp;Z730,TIME!$A$12:$D$71,4,FALSE),"")</f>
        <v/>
      </c>
      <c r="AB730" s="592">
        <f t="shared" ca="1" si="294"/>
        <v>0</v>
      </c>
      <c r="AC730" s="593" t="e">
        <f ca="1">IF(ISBLANK(H730)=FALSE,IF(D730="BRAND.com",I730,IF(ISNA(VLOOKUP(_xlfn.CONCAT(X730,Z730),TIME!$M$40:$M$42,1,FALSE)),I730,VLOOKUP(_xlfn.CONCAT(D730,G730,H730),M_BUSAREA_FC!$AF$5:$AJ$10,5,FALSE)*HLOOKUP(_xlfn.CONCAT(F730,H730),ST_OVERVIEW!$G$99:$I$130,MATCH(_xlfn.CONCAT(D730,E730),ST_OVERVIEW!$F$99:$F$130,0),FALSE))),IF(D730="BRAND.com",VLOOKUP(_xlfn.CONCAT(C730,D730,E730,TIME!$F$1,Z730),HIS_SALES!$B$2:$V$4859,19,FALSE)*I730,VLOOKUP(_xlfn.CONCAT(D730,F730,G730),Q_BUSAREA_FC!$AE$5:$AI$12,5,FALSE)*HLOOKUP(_xlfn.CONCAT(FC_DATA!F730,FC_DATA!G730),LT_OVERVIEW!$I$99:$M$130,MATCH(_xlfn.CONCAT(D730,FC_DATA!E730),LT_OVERVIEW!$H$99:$H$130,0),FALSE)*IFERROR(VLOOKUP(_xlfn.CONCAT(C730,D730,E730,TIME!$F$1,Z730),HIS_SALES!$B$2:$V$4859,19,FALSE),0)))</f>
        <v>#N/A</v>
      </c>
      <c r="AD730" s="341">
        <f t="shared" ca="1" si="295"/>
        <v>0</v>
      </c>
      <c r="AE730" s="363" t="str">
        <f t="shared" si="296"/>
        <v/>
      </c>
      <c r="AF730" s="342" t="str">
        <f t="shared" si="297"/>
        <v/>
      </c>
      <c r="AG730" s="411" t="e">
        <f ca="1">VLOOKUP(_xlfn.CONCAT(U730,V730,W730,VLOOKUP(X730&amp;Y730,TIME!$L$27:$O$34,4,FALSE),Y730),HIS_SALES!$A$2:$R$5093,18,FALSE)</f>
        <v>#N/A</v>
      </c>
      <c r="AH730" s="412" t="e">
        <f ca="1">IFERROR(IF(AND(V730=V729,W730=W729),0.5*(AB730+AB729)*AG730,(VLOOKUP(_xlfn.CONCAT(U730,V730,W730,X730,VLOOKUP(Z730,TIME!$S$28:$T$39,2,FALSE)),FC_DATA!$R$2:$AB$5000,MATCH("GS_I_M",FC_DATA!$R$1:$AB$1,0),FALSE)+FC_DATA!AB730)*0.5*FC_DATA!AG730),NA())</f>
        <v>#N/A</v>
      </c>
      <c r="AI730" s="491" t="e">
        <f ca="1">IF(V730="PARTNER.com",AH730,IF(AND(V730=V729,W730=W729),(1-AVERAGE(AD729,AD730))*AH730,(1-AVERAGE(AD730,VLOOKUP(_xlfn.CONCAT(U730,V730,W730,X730,M_BRAND_FC!$F$6),FC_DATA!$R$2:$AD$5000,MATCH("DISCOUNT_%_M",FC_DATA!$R$1:$AD$1,0),FALSE)))*AH730))</f>
        <v>#N/A</v>
      </c>
      <c r="AJ730" s="412" t="str">
        <f t="shared" ca="1" si="298"/>
        <v/>
      </c>
      <c r="AK730" s="413" t="str">
        <f>IFERROR(AE730/(Q_BRAND_FC!$T$24+1),"")</f>
        <v/>
      </c>
      <c r="AL730" s="88" t="str">
        <f t="shared" ca="1" si="299"/>
        <v/>
      </c>
      <c r="AM730" s="414" t="str">
        <f t="shared" ca="1" si="300"/>
        <v/>
      </c>
      <c r="AN730" s="58">
        <f>IFERROR(IF($V730="BRAND.com",HLOOKUP($X730&amp;$Z730,NWC_FC_NOOS!$C$4:$Q$23,MATCH(W730,NWC_FC_NOOS!$B$4:$B$23,0),FALSE),0),0)</f>
        <v>0</v>
      </c>
      <c r="AO730" s="57">
        <f>IFERROR(IF($V730="BRAND.com",HLOOKUP($X730&amp;$Z730,NWC_FC_NOOS!$T$4:$AH$23,MATCH(W730,NWC_FC_NOOS!$S$4:$S$23,0),FALSE),0),0)</f>
        <v>0</v>
      </c>
      <c r="AP730" s="57">
        <f>IFERROR(IF($V730="BRAND.com",HLOOKUP($X730&amp;$Z730,NWC_FC_NOOS!$C$50:$U$69,MATCH(W730,NWC_FC_NOOS!$B$50:$B$69,0),FALSE),0),0)</f>
        <v>0</v>
      </c>
      <c r="AQ730" s="58">
        <f>IFERROR(IF($V730="BRAND.com",HLOOKUP($X730&amp;$Z730,'NWC_FC_NON-NOOS'!$C$4:$Q$23,MATCH(W730,'NWC_FC_NON-NOOS'!$B$4:$B$23,0),FALSE),0),0)</f>
        <v>0</v>
      </c>
      <c r="AR730" s="57">
        <f>IFERROR(IF($V730="BRAND.com",HLOOKUP($X730&amp;$Z730,'NWC_FC_NON-NOOS'!$T$4:$AH$23,MATCH(W730,'NWC_FC_NON-NOOS'!$S$4:$S$23,0),FALSE),0),0)</f>
        <v>0</v>
      </c>
      <c r="AS730" s="57">
        <f>IFERROR(IF($V730="BRAND.com",HLOOKUP($X730&amp;$Z730,'NWC_FC_NON-NOOS'!$C$50:$U$69,MATCH(W730,'NWC_FC_NON-NOOS'!$B$50:$B$69,0),FALSE),0),0)</f>
        <v>0</v>
      </c>
      <c r="AT730" s="57">
        <f t="shared" si="302"/>
        <v>0</v>
      </c>
      <c r="AU730" s="57">
        <f t="shared" si="303"/>
        <v>0</v>
      </c>
      <c r="AV730" s="58">
        <f>IFERROR(IF($V730="BRAND.com",HLOOKUP($X730&amp;$Z730,PLANNING_FC!$BB$27:$BP$46,MATCH($W730,PLANNING_FC!$BA$27:$BA$46,0),FALSE),0),0)</f>
        <v>0</v>
      </c>
      <c r="AW730" s="58">
        <f>IFERROR(IF($V730="BRAND.com",HLOOKUP($X730&amp;$Z730,PLANNING_FC!$BB$4:$BP$23,MATCH($W730,PLANNING_FC!$BA$4:$BA$23,0),FALSE),0),0)</f>
        <v>0</v>
      </c>
      <c r="AX730" s="58">
        <f>IFERROR(IF($V730="BRAND.com",HLOOKUP($X730&amp;$Z730,PLANNING_FC!$T$27:$AH$46,MATCH($W730,PLANNING_FC!$B$27:$B$46,0),FALSE),0),0)</f>
        <v>0</v>
      </c>
      <c r="AY730" s="58">
        <f>IFERROR(IF($V730="BRAND.com",HLOOKUP($X730&amp;$Z730,PLANNING_FC!$T$4:$AH$23,MATCH($W730,PLANNING_FC!$B$4:$B$23,0),FALSE),0),0)</f>
        <v>0</v>
      </c>
      <c r="AZ730" s="58">
        <f>IFERROR(IF($V730="BRAND.com",HLOOKUP($X730&amp;$Z730,PLANNING_FC!$DA$27:$DO$46,MATCH($W730,PLANNING_FC!$CZ$27:$CZ$46,0),FALSE),0),0)</f>
        <v>0</v>
      </c>
      <c r="BA730" s="58">
        <f>IFERROR(IF($V730="BRAND.com",HLOOKUP($X730&amp;$Z730,PLANNING_FC!$DA$4:$DO$23,MATCH($W730,PLANNING_FC!$CZ$4:$CZ$23,0),FALSE),0),0)</f>
        <v>0</v>
      </c>
      <c r="BB730" s="883" t="str">
        <f>IF(V730="BRAND.com",IFERROR(HLOOKUP(X730&amp;Z730,PLANNING_FC!$AK$4:$AY$23,MATCH(W730,PLANNING_FC!$AJ$4:$AJ$23,0),FALSE)*1000,""),"")</f>
        <v/>
      </c>
      <c r="BC730" s="883" t="str">
        <f>IF(V730="BRAND.com",IFERROR(HLOOKUP(X730&amp;Z730,PLANNING_FC!$AK$27:$AY$46,MATCH(W730,PLANNING_FC!$AJ$27:$AJ$46,0),FALSE)*1000,""),"")</f>
        <v/>
      </c>
    </row>
    <row r="731" spans="14:55" x14ac:dyDescent="0.25">
      <c r="N731" s="56">
        <f t="shared" si="284"/>
        <v>0</v>
      </c>
      <c r="O731" s="57">
        <f t="shared" si="285"/>
        <v>0</v>
      </c>
      <c r="P731" s="57">
        <f ca="1">IFERROR(IF(ISBLANK(H731),SUMIFS($AC:$AC,$V:$V,V731,$W:$W,W731,$X:$X,X731,$Y:$Y,Y731)*J731/(1-J731)*VLOOKUP(_xlfn.CONCAT(C731,D731,E731,TIME!$M$12,Z731),HIS_SALES!$B$2:$W$4859,20,FALSE),AC731*J731/(1-J731)),0)</f>
        <v>0</v>
      </c>
      <c r="Q731" s="541" t="str">
        <f t="shared" si="286"/>
        <v/>
      </c>
      <c r="R731" s="346" t="str">
        <f t="shared" si="287"/>
        <v>00000</v>
      </c>
      <c r="S731" s="344">
        <f t="shared" si="288"/>
        <v>0</v>
      </c>
      <c r="T731" s="345" t="str">
        <f t="shared" si="301"/>
        <v>000</v>
      </c>
      <c r="U731" s="345">
        <f t="shared" si="289"/>
        <v>0</v>
      </c>
      <c r="V731" s="345">
        <f t="shared" si="290"/>
        <v>0</v>
      </c>
      <c r="W731" s="345">
        <f t="shared" si="291"/>
        <v>0</v>
      </c>
      <c r="X731" s="345">
        <f t="shared" si="292"/>
        <v>0</v>
      </c>
      <c r="Y731" s="345">
        <f t="shared" si="293"/>
        <v>0</v>
      </c>
      <c r="Z731" s="345">
        <f>IF(Q731&lt;&gt;"",VLOOKUP(Y731,TIME!$R$21:$V$24,MATCH(FC_DATA!Q731,TIME!$R$20:$V$20,0),FALSE),H731)</f>
        <v>0</v>
      </c>
      <c r="AA731" s="345" t="str">
        <f>IFERROR(VLOOKUP(X731&amp;Z731,TIME!$A$12:$D$71,4,FALSE),"")</f>
        <v/>
      </c>
      <c r="AB731" s="592">
        <f t="shared" ca="1" si="294"/>
        <v>0</v>
      </c>
      <c r="AC731" s="593" t="e">
        <f ca="1">IF(ISBLANK(H731)=FALSE,IF(D731="BRAND.com",I731,IF(ISNA(VLOOKUP(_xlfn.CONCAT(X731,Z731),TIME!$M$40:$M$42,1,FALSE)),I731,VLOOKUP(_xlfn.CONCAT(D731,G731,H731),M_BUSAREA_FC!$AF$5:$AJ$10,5,FALSE)*HLOOKUP(_xlfn.CONCAT(F731,H731),ST_OVERVIEW!$G$99:$I$130,MATCH(_xlfn.CONCAT(D731,E731),ST_OVERVIEW!$F$99:$F$130,0),FALSE))),IF(D731="BRAND.com",VLOOKUP(_xlfn.CONCAT(C731,D731,E731,TIME!$F$1,Z731),HIS_SALES!$B$2:$V$4859,19,FALSE)*I731,VLOOKUP(_xlfn.CONCAT(D731,F731,G731),Q_BUSAREA_FC!$AE$5:$AI$12,5,FALSE)*HLOOKUP(_xlfn.CONCAT(FC_DATA!F731,FC_DATA!G731),LT_OVERVIEW!$I$99:$M$130,MATCH(_xlfn.CONCAT(D731,FC_DATA!E731),LT_OVERVIEW!$H$99:$H$130,0),FALSE)*IFERROR(VLOOKUP(_xlfn.CONCAT(C731,D731,E731,TIME!$F$1,Z731),HIS_SALES!$B$2:$V$4859,19,FALSE),0)))</f>
        <v>#N/A</v>
      </c>
      <c r="AD731" s="341">
        <f t="shared" ca="1" si="295"/>
        <v>0</v>
      </c>
      <c r="AE731" s="363" t="str">
        <f t="shared" si="296"/>
        <v/>
      </c>
      <c r="AF731" s="342" t="str">
        <f t="shared" si="297"/>
        <v/>
      </c>
      <c r="AG731" s="411" t="e">
        <f ca="1">VLOOKUP(_xlfn.CONCAT(U731,V731,W731,VLOOKUP(X731&amp;Y731,TIME!$L$27:$O$34,4,FALSE),Y731),HIS_SALES!$A$2:$R$5093,18,FALSE)</f>
        <v>#N/A</v>
      </c>
      <c r="AH731" s="412" t="e">
        <f ca="1">IFERROR(IF(AND(V731=V730,W731=W730),0.5*(AB731+AB730)*AG731,(VLOOKUP(_xlfn.CONCAT(U731,V731,W731,X731,VLOOKUP(Z731,TIME!$S$28:$T$39,2,FALSE)),FC_DATA!$R$2:$AB$5000,MATCH("GS_I_M",FC_DATA!$R$1:$AB$1,0),FALSE)+FC_DATA!AB731)*0.5*FC_DATA!AG731),NA())</f>
        <v>#N/A</v>
      </c>
      <c r="AI731" s="491" t="e">
        <f ca="1">IF(V731="PARTNER.com",AH731,IF(AND(V731=V730,W731=W730),(1-AVERAGE(AD730,AD731))*AH731,(1-AVERAGE(AD731,VLOOKUP(_xlfn.CONCAT(U731,V731,W731,X731,M_BRAND_FC!$F$6),FC_DATA!$R$2:$AD$5000,MATCH("DISCOUNT_%_M",FC_DATA!$R$1:$AD$1,0),FALSE)))*AH731))</f>
        <v>#N/A</v>
      </c>
      <c r="AJ731" s="412" t="str">
        <f t="shared" ca="1" si="298"/>
        <v/>
      </c>
      <c r="AK731" s="413" t="str">
        <f>IFERROR(AE731/(Q_BRAND_FC!$T$24+1),"")</f>
        <v/>
      </c>
      <c r="AL731" s="88" t="str">
        <f t="shared" ca="1" si="299"/>
        <v/>
      </c>
      <c r="AM731" s="414" t="str">
        <f t="shared" ca="1" si="300"/>
        <v/>
      </c>
      <c r="AN731" s="58">
        <f>IFERROR(IF($V731="BRAND.com",HLOOKUP($X731&amp;$Z731,NWC_FC_NOOS!$C$4:$Q$23,MATCH(W731,NWC_FC_NOOS!$B$4:$B$23,0),FALSE),0),0)</f>
        <v>0</v>
      </c>
      <c r="AO731" s="57">
        <f>IFERROR(IF($V731="BRAND.com",HLOOKUP($X731&amp;$Z731,NWC_FC_NOOS!$T$4:$AH$23,MATCH(W731,NWC_FC_NOOS!$S$4:$S$23,0),FALSE),0),0)</f>
        <v>0</v>
      </c>
      <c r="AP731" s="57">
        <f>IFERROR(IF($V731="BRAND.com",HLOOKUP($X731&amp;$Z731,NWC_FC_NOOS!$C$50:$U$69,MATCH(W731,NWC_FC_NOOS!$B$50:$B$69,0),FALSE),0),0)</f>
        <v>0</v>
      </c>
      <c r="AQ731" s="58">
        <f>IFERROR(IF($V731="BRAND.com",HLOOKUP($X731&amp;$Z731,'NWC_FC_NON-NOOS'!$C$4:$Q$23,MATCH(W731,'NWC_FC_NON-NOOS'!$B$4:$B$23,0),FALSE),0),0)</f>
        <v>0</v>
      </c>
      <c r="AR731" s="57">
        <f>IFERROR(IF($V731="BRAND.com",HLOOKUP($X731&amp;$Z731,'NWC_FC_NON-NOOS'!$T$4:$AH$23,MATCH(W731,'NWC_FC_NON-NOOS'!$S$4:$S$23,0),FALSE),0),0)</f>
        <v>0</v>
      </c>
      <c r="AS731" s="57">
        <f>IFERROR(IF($V731="BRAND.com",HLOOKUP($X731&amp;$Z731,'NWC_FC_NON-NOOS'!$C$50:$U$69,MATCH(W731,'NWC_FC_NON-NOOS'!$B$50:$B$69,0),FALSE),0),0)</f>
        <v>0</v>
      </c>
      <c r="AT731" s="57">
        <f t="shared" si="302"/>
        <v>0</v>
      </c>
      <c r="AU731" s="57">
        <f t="shared" si="303"/>
        <v>0</v>
      </c>
      <c r="AV731" s="58">
        <f>IFERROR(IF($V731="BRAND.com",HLOOKUP($X731&amp;$Z731,PLANNING_FC!$BB$27:$BP$46,MATCH($W731,PLANNING_FC!$BA$27:$BA$46,0),FALSE),0),0)</f>
        <v>0</v>
      </c>
      <c r="AW731" s="58">
        <f>IFERROR(IF($V731="BRAND.com",HLOOKUP($X731&amp;$Z731,PLANNING_FC!$BB$4:$BP$23,MATCH($W731,PLANNING_FC!$BA$4:$BA$23,0),FALSE),0),0)</f>
        <v>0</v>
      </c>
      <c r="AX731" s="58">
        <f>IFERROR(IF($V731="BRAND.com",HLOOKUP($X731&amp;$Z731,PLANNING_FC!$T$27:$AH$46,MATCH($W731,PLANNING_FC!$B$27:$B$46,0),FALSE),0),0)</f>
        <v>0</v>
      </c>
      <c r="AY731" s="58">
        <f>IFERROR(IF($V731="BRAND.com",HLOOKUP($X731&amp;$Z731,PLANNING_FC!$T$4:$AH$23,MATCH($W731,PLANNING_FC!$B$4:$B$23,0),FALSE),0),0)</f>
        <v>0</v>
      </c>
      <c r="AZ731" s="58">
        <f>IFERROR(IF($V731="BRAND.com",HLOOKUP($X731&amp;$Z731,PLANNING_FC!$DA$27:$DO$46,MATCH($W731,PLANNING_FC!$CZ$27:$CZ$46,0),FALSE),0),0)</f>
        <v>0</v>
      </c>
      <c r="BA731" s="58">
        <f>IFERROR(IF($V731="BRAND.com",HLOOKUP($X731&amp;$Z731,PLANNING_FC!$DA$4:$DO$23,MATCH($W731,PLANNING_FC!$CZ$4:$CZ$23,0),FALSE),0),0)</f>
        <v>0</v>
      </c>
      <c r="BB731" s="883" t="str">
        <f>IF(V731="BRAND.com",IFERROR(HLOOKUP(X731&amp;Z731,PLANNING_FC!$AK$4:$AY$23,MATCH(W731,PLANNING_FC!$AJ$4:$AJ$23,0),FALSE)*1000,""),"")</f>
        <v/>
      </c>
      <c r="BC731" s="883" t="str">
        <f>IF(V731="BRAND.com",IFERROR(HLOOKUP(X731&amp;Z731,PLANNING_FC!$AK$27:$AY$46,MATCH(W731,PLANNING_FC!$AJ$27:$AJ$46,0),FALSE)*1000,""),"")</f>
        <v/>
      </c>
    </row>
    <row r="732" spans="14:55" x14ac:dyDescent="0.25">
      <c r="N732" s="56">
        <f t="shared" si="284"/>
        <v>0</v>
      </c>
      <c r="O732" s="57">
        <f t="shared" si="285"/>
        <v>0</v>
      </c>
      <c r="P732" s="57">
        <f ca="1">IFERROR(IF(ISBLANK(H732),SUMIFS($AC:$AC,$V:$V,V732,$W:$W,W732,$X:$X,X732,$Y:$Y,Y732)*J732/(1-J732)*VLOOKUP(_xlfn.CONCAT(C732,D732,E732,TIME!$M$12,Z732),HIS_SALES!$B$2:$W$4859,20,FALSE),AC732*J732/(1-J732)),0)</f>
        <v>0</v>
      </c>
      <c r="Q732" s="541" t="str">
        <f t="shared" si="286"/>
        <v/>
      </c>
      <c r="R732" s="346" t="str">
        <f t="shared" si="287"/>
        <v>00000</v>
      </c>
      <c r="S732" s="344">
        <f t="shared" si="288"/>
        <v>0</v>
      </c>
      <c r="T732" s="345" t="str">
        <f t="shared" si="301"/>
        <v>000</v>
      </c>
      <c r="U732" s="345">
        <f t="shared" si="289"/>
        <v>0</v>
      </c>
      <c r="V732" s="345">
        <f t="shared" si="290"/>
        <v>0</v>
      </c>
      <c r="W732" s="345">
        <f t="shared" si="291"/>
        <v>0</v>
      </c>
      <c r="X732" s="345">
        <f t="shared" si="292"/>
        <v>0</v>
      </c>
      <c r="Y732" s="345">
        <f t="shared" si="293"/>
        <v>0</v>
      </c>
      <c r="Z732" s="345">
        <f>IF(Q732&lt;&gt;"",VLOOKUP(Y732,TIME!$R$21:$V$24,MATCH(FC_DATA!Q732,TIME!$R$20:$V$20,0),FALSE),H732)</f>
        <v>0</v>
      </c>
      <c r="AA732" s="345" t="str">
        <f>IFERROR(VLOOKUP(X732&amp;Z732,TIME!$A$12:$D$71,4,FALSE),"")</f>
        <v/>
      </c>
      <c r="AB732" s="592">
        <f t="shared" ca="1" si="294"/>
        <v>0</v>
      </c>
      <c r="AC732" s="593" t="e">
        <f ca="1">IF(ISBLANK(H732)=FALSE,IF(D732="BRAND.com",I732,IF(ISNA(VLOOKUP(_xlfn.CONCAT(X732,Z732),TIME!$M$40:$M$42,1,FALSE)),I732,VLOOKUP(_xlfn.CONCAT(D732,G732,H732),M_BUSAREA_FC!$AF$5:$AJ$10,5,FALSE)*HLOOKUP(_xlfn.CONCAT(F732,H732),ST_OVERVIEW!$G$99:$I$130,MATCH(_xlfn.CONCAT(D732,E732),ST_OVERVIEW!$F$99:$F$130,0),FALSE))),IF(D732="BRAND.com",VLOOKUP(_xlfn.CONCAT(C732,D732,E732,TIME!$F$1,Z732),HIS_SALES!$B$2:$V$4859,19,FALSE)*I732,VLOOKUP(_xlfn.CONCAT(D732,F732,G732),Q_BUSAREA_FC!$AE$5:$AI$12,5,FALSE)*HLOOKUP(_xlfn.CONCAT(FC_DATA!F732,FC_DATA!G732),LT_OVERVIEW!$I$99:$M$130,MATCH(_xlfn.CONCAT(D732,FC_DATA!E732),LT_OVERVIEW!$H$99:$H$130,0),FALSE)*IFERROR(VLOOKUP(_xlfn.CONCAT(C732,D732,E732,TIME!$F$1,Z732),HIS_SALES!$B$2:$V$4859,19,FALSE),0)))</f>
        <v>#N/A</v>
      </c>
      <c r="AD732" s="341">
        <f t="shared" ca="1" si="295"/>
        <v>0</v>
      </c>
      <c r="AE732" s="363" t="str">
        <f t="shared" si="296"/>
        <v/>
      </c>
      <c r="AF732" s="342" t="str">
        <f t="shared" si="297"/>
        <v/>
      </c>
      <c r="AG732" s="411" t="e">
        <f ca="1">VLOOKUP(_xlfn.CONCAT(U732,V732,W732,VLOOKUP(X732&amp;Y732,TIME!$L$27:$O$34,4,FALSE),Y732),HIS_SALES!$A$2:$R$5093,18,FALSE)</f>
        <v>#N/A</v>
      </c>
      <c r="AH732" s="412" t="e">
        <f ca="1">IFERROR(IF(AND(V732=V731,W732=W731),0.5*(AB732+AB731)*AG732,(VLOOKUP(_xlfn.CONCAT(U732,V732,W732,X732,VLOOKUP(Z732,TIME!$S$28:$T$39,2,FALSE)),FC_DATA!$R$2:$AB$5000,MATCH("GS_I_M",FC_DATA!$R$1:$AB$1,0),FALSE)+FC_DATA!AB732)*0.5*FC_DATA!AG732),NA())</f>
        <v>#N/A</v>
      </c>
      <c r="AI732" s="491" t="e">
        <f ca="1">IF(V732="PARTNER.com",AH732,IF(AND(V732=V731,W732=W731),(1-AVERAGE(AD731,AD732))*AH732,(1-AVERAGE(AD732,VLOOKUP(_xlfn.CONCAT(U732,V732,W732,X732,M_BRAND_FC!$F$6),FC_DATA!$R$2:$AD$5000,MATCH("DISCOUNT_%_M",FC_DATA!$R$1:$AD$1,0),FALSE)))*AH732))</f>
        <v>#N/A</v>
      </c>
      <c r="AJ732" s="412" t="str">
        <f t="shared" ca="1" si="298"/>
        <v/>
      </c>
      <c r="AK732" s="413" t="str">
        <f>IFERROR(AE732/(Q_BRAND_FC!$T$24+1),"")</f>
        <v/>
      </c>
      <c r="AL732" s="88" t="str">
        <f t="shared" ca="1" si="299"/>
        <v/>
      </c>
      <c r="AM732" s="414" t="str">
        <f t="shared" ca="1" si="300"/>
        <v/>
      </c>
      <c r="AN732" s="58">
        <f>IFERROR(IF($V732="BRAND.com",HLOOKUP($X732&amp;$Z732,NWC_FC_NOOS!$C$4:$Q$23,MATCH(W732,NWC_FC_NOOS!$B$4:$B$23,0),FALSE),0),0)</f>
        <v>0</v>
      </c>
      <c r="AO732" s="57">
        <f>IFERROR(IF($V732="BRAND.com",HLOOKUP($X732&amp;$Z732,NWC_FC_NOOS!$T$4:$AH$23,MATCH(W732,NWC_FC_NOOS!$S$4:$S$23,0),FALSE),0),0)</f>
        <v>0</v>
      </c>
      <c r="AP732" s="57">
        <f>IFERROR(IF($V732="BRAND.com",HLOOKUP($X732&amp;$Z732,NWC_FC_NOOS!$C$50:$U$69,MATCH(W732,NWC_FC_NOOS!$B$50:$B$69,0),FALSE),0),0)</f>
        <v>0</v>
      </c>
      <c r="AQ732" s="58">
        <f>IFERROR(IF($V732="BRAND.com",HLOOKUP($X732&amp;$Z732,'NWC_FC_NON-NOOS'!$C$4:$Q$23,MATCH(W732,'NWC_FC_NON-NOOS'!$B$4:$B$23,0),FALSE),0),0)</f>
        <v>0</v>
      </c>
      <c r="AR732" s="57">
        <f>IFERROR(IF($V732="BRAND.com",HLOOKUP($X732&amp;$Z732,'NWC_FC_NON-NOOS'!$T$4:$AH$23,MATCH(W732,'NWC_FC_NON-NOOS'!$S$4:$S$23,0),FALSE),0),0)</f>
        <v>0</v>
      </c>
      <c r="AS732" s="57">
        <f>IFERROR(IF($V732="BRAND.com",HLOOKUP($X732&amp;$Z732,'NWC_FC_NON-NOOS'!$C$50:$U$69,MATCH(W732,'NWC_FC_NON-NOOS'!$B$50:$B$69,0),FALSE),0),0)</f>
        <v>0</v>
      </c>
      <c r="AT732" s="57">
        <f t="shared" si="302"/>
        <v>0</v>
      </c>
      <c r="AU732" s="57">
        <f t="shared" si="303"/>
        <v>0</v>
      </c>
      <c r="AV732" s="58">
        <f>IFERROR(IF($V732="BRAND.com",HLOOKUP($X732&amp;$Z732,PLANNING_FC!$BB$27:$BP$46,MATCH($W732,PLANNING_FC!$BA$27:$BA$46,0),FALSE),0),0)</f>
        <v>0</v>
      </c>
      <c r="AW732" s="58">
        <f>IFERROR(IF($V732="BRAND.com",HLOOKUP($X732&amp;$Z732,PLANNING_FC!$BB$4:$BP$23,MATCH($W732,PLANNING_FC!$BA$4:$BA$23,0),FALSE),0),0)</f>
        <v>0</v>
      </c>
      <c r="AX732" s="58">
        <f>IFERROR(IF($V732="BRAND.com",HLOOKUP($X732&amp;$Z732,PLANNING_FC!$T$27:$AH$46,MATCH($W732,PLANNING_FC!$B$27:$B$46,0),FALSE),0),0)</f>
        <v>0</v>
      </c>
      <c r="AY732" s="58">
        <f>IFERROR(IF($V732="BRAND.com",HLOOKUP($X732&amp;$Z732,PLANNING_FC!$T$4:$AH$23,MATCH($W732,PLANNING_FC!$B$4:$B$23,0),FALSE),0),0)</f>
        <v>0</v>
      </c>
      <c r="AZ732" s="58">
        <f>IFERROR(IF($V732="BRAND.com",HLOOKUP($X732&amp;$Z732,PLANNING_FC!$DA$27:$DO$46,MATCH($W732,PLANNING_FC!$CZ$27:$CZ$46,0),FALSE),0),0)</f>
        <v>0</v>
      </c>
      <c r="BA732" s="58">
        <f>IFERROR(IF($V732="BRAND.com",HLOOKUP($X732&amp;$Z732,PLANNING_FC!$DA$4:$DO$23,MATCH($W732,PLANNING_FC!$CZ$4:$CZ$23,0),FALSE),0),0)</f>
        <v>0</v>
      </c>
      <c r="BB732" s="883" t="str">
        <f>IF(V732="BRAND.com",IFERROR(HLOOKUP(X732&amp;Z732,PLANNING_FC!$AK$4:$AY$23,MATCH(W732,PLANNING_FC!$AJ$4:$AJ$23,0),FALSE)*1000,""),"")</f>
        <v/>
      </c>
      <c r="BC732" s="883" t="str">
        <f>IF(V732="BRAND.com",IFERROR(HLOOKUP(X732&amp;Z732,PLANNING_FC!$AK$27:$AY$46,MATCH(W732,PLANNING_FC!$AJ$27:$AJ$46,0),FALSE)*1000,""),"")</f>
        <v/>
      </c>
    </row>
    <row r="733" spans="14:55" x14ac:dyDescent="0.25">
      <c r="N733" s="56">
        <f t="shared" si="284"/>
        <v>0</v>
      </c>
      <c r="O733" s="57">
        <f t="shared" si="285"/>
        <v>0</v>
      </c>
      <c r="P733" s="57">
        <f ca="1">IFERROR(IF(ISBLANK(H733),SUMIFS($AC:$AC,$V:$V,V733,$W:$W,W733,$X:$X,X733,$Y:$Y,Y733)*J733/(1-J733)*VLOOKUP(_xlfn.CONCAT(C733,D733,E733,TIME!$M$12,Z733),HIS_SALES!$B$2:$W$4859,20,FALSE),AC733*J733/(1-J733)),0)</f>
        <v>0</v>
      </c>
      <c r="Q733" s="541" t="str">
        <f t="shared" si="286"/>
        <v/>
      </c>
      <c r="R733" s="346" t="str">
        <f t="shared" si="287"/>
        <v>00000</v>
      </c>
      <c r="S733" s="344">
        <f t="shared" si="288"/>
        <v>0</v>
      </c>
      <c r="T733" s="345" t="str">
        <f t="shared" si="301"/>
        <v>000</v>
      </c>
      <c r="U733" s="345">
        <f t="shared" si="289"/>
        <v>0</v>
      </c>
      <c r="V733" s="345">
        <f t="shared" si="290"/>
        <v>0</v>
      </c>
      <c r="W733" s="345">
        <f t="shared" si="291"/>
        <v>0</v>
      </c>
      <c r="X733" s="345">
        <f t="shared" si="292"/>
        <v>0</v>
      </c>
      <c r="Y733" s="345">
        <f t="shared" si="293"/>
        <v>0</v>
      </c>
      <c r="Z733" s="345">
        <f>IF(Q733&lt;&gt;"",VLOOKUP(Y733,TIME!$R$21:$V$24,MATCH(FC_DATA!Q733,TIME!$R$20:$V$20,0),FALSE),H733)</f>
        <v>0</v>
      </c>
      <c r="AA733" s="345" t="str">
        <f>IFERROR(VLOOKUP(X733&amp;Z733,TIME!$A$12:$D$71,4,FALSE),"")</f>
        <v/>
      </c>
      <c r="AB733" s="592">
        <f t="shared" ca="1" si="294"/>
        <v>0</v>
      </c>
      <c r="AC733" s="593" t="e">
        <f ca="1">IF(ISBLANK(H733)=FALSE,IF(D733="BRAND.com",I733,IF(ISNA(VLOOKUP(_xlfn.CONCAT(X733,Z733),TIME!$M$40:$M$42,1,FALSE)),I733,VLOOKUP(_xlfn.CONCAT(D733,G733,H733),M_BUSAREA_FC!$AF$5:$AJ$10,5,FALSE)*HLOOKUP(_xlfn.CONCAT(F733,H733),ST_OVERVIEW!$G$99:$I$130,MATCH(_xlfn.CONCAT(D733,E733),ST_OVERVIEW!$F$99:$F$130,0),FALSE))),IF(D733="BRAND.com",VLOOKUP(_xlfn.CONCAT(C733,D733,E733,TIME!$F$1,Z733),HIS_SALES!$B$2:$V$4859,19,FALSE)*I733,VLOOKUP(_xlfn.CONCAT(D733,F733,G733),Q_BUSAREA_FC!$AE$5:$AI$12,5,FALSE)*HLOOKUP(_xlfn.CONCAT(FC_DATA!F733,FC_DATA!G733),LT_OVERVIEW!$I$99:$M$130,MATCH(_xlfn.CONCAT(D733,FC_DATA!E733),LT_OVERVIEW!$H$99:$H$130,0),FALSE)*IFERROR(VLOOKUP(_xlfn.CONCAT(C733,D733,E733,TIME!$F$1,Z733),HIS_SALES!$B$2:$V$4859,19,FALSE),0)))</f>
        <v>#N/A</v>
      </c>
      <c r="AD733" s="341">
        <f t="shared" ca="1" si="295"/>
        <v>0</v>
      </c>
      <c r="AE733" s="363" t="str">
        <f t="shared" si="296"/>
        <v/>
      </c>
      <c r="AF733" s="342" t="str">
        <f t="shared" si="297"/>
        <v/>
      </c>
      <c r="AG733" s="411" t="e">
        <f ca="1">VLOOKUP(_xlfn.CONCAT(U733,V733,W733,VLOOKUP(X733&amp;Y733,TIME!$L$27:$O$34,4,FALSE),Y733),HIS_SALES!$A$2:$R$5093,18,FALSE)</f>
        <v>#N/A</v>
      </c>
      <c r="AH733" s="412" t="e">
        <f ca="1">IFERROR(IF(AND(V733=V732,W733=W732),0.5*(AB733+AB732)*AG733,(VLOOKUP(_xlfn.CONCAT(U733,V733,W733,X733,VLOOKUP(Z733,TIME!$S$28:$T$39,2,FALSE)),FC_DATA!$R$2:$AB$5000,MATCH("GS_I_M",FC_DATA!$R$1:$AB$1,0),FALSE)+FC_DATA!AB733)*0.5*FC_DATA!AG733),NA())</f>
        <v>#N/A</v>
      </c>
      <c r="AI733" s="491" t="e">
        <f ca="1">IF(V733="PARTNER.com",AH733,IF(AND(V733=V732,W733=W732),(1-AVERAGE(AD732,AD733))*AH733,(1-AVERAGE(AD733,VLOOKUP(_xlfn.CONCAT(U733,V733,W733,X733,M_BRAND_FC!$F$6),FC_DATA!$R$2:$AD$5000,MATCH("DISCOUNT_%_M",FC_DATA!$R$1:$AD$1,0),FALSE)))*AH733))</f>
        <v>#N/A</v>
      </c>
      <c r="AJ733" s="412" t="str">
        <f t="shared" ca="1" si="298"/>
        <v/>
      </c>
      <c r="AK733" s="413" t="str">
        <f>IFERROR(AE733/(Q_BRAND_FC!$T$24+1),"")</f>
        <v/>
      </c>
      <c r="AL733" s="88" t="str">
        <f t="shared" ca="1" si="299"/>
        <v/>
      </c>
      <c r="AM733" s="414" t="str">
        <f t="shared" ca="1" si="300"/>
        <v/>
      </c>
      <c r="AN733" s="58">
        <f>IFERROR(IF($V733="BRAND.com",HLOOKUP($X733&amp;$Z733,NWC_FC_NOOS!$C$4:$Q$23,MATCH(W733,NWC_FC_NOOS!$B$4:$B$23,0),FALSE),0),0)</f>
        <v>0</v>
      </c>
      <c r="AO733" s="57">
        <f>IFERROR(IF($V733="BRAND.com",HLOOKUP($X733&amp;$Z733,NWC_FC_NOOS!$T$4:$AH$23,MATCH(W733,NWC_FC_NOOS!$S$4:$S$23,0),FALSE),0),0)</f>
        <v>0</v>
      </c>
      <c r="AP733" s="57">
        <f>IFERROR(IF($V733="BRAND.com",HLOOKUP($X733&amp;$Z733,NWC_FC_NOOS!$C$50:$U$69,MATCH(W733,NWC_FC_NOOS!$B$50:$B$69,0),FALSE),0),0)</f>
        <v>0</v>
      </c>
      <c r="AQ733" s="58">
        <f>IFERROR(IF($V733="BRAND.com",HLOOKUP($X733&amp;$Z733,'NWC_FC_NON-NOOS'!$C$4:$Q$23,MATCH(W733,'NWC_FC_NON-NOOS'!$B$4:$B$23,0),FALSE),0),0)</f>
        <v>0</v>
      </c>
      <c r="AR733" s="57">
        <f>IFERROR(IF($V733="BRAND.com",HLOOKUP($X733&amp;$Z733,'NWC_FC_NON-NOOS'!$T$4:$AH$23,MATCH(W733,'NWC_FC_NON-NOOS'!$S$4:$S$23,0),FALSE),0),0)</f>
        <v>0</v>
      </c>
      <c r="AS733" s="57">
        <f>IFERROR(IF($V733="BRAND.com",HLOOKUP($X733&amp;$Z733,'NWC_FC_NON-NOOS'!$C$50:$U$69,MATCH(W733,'NWC_FC_NON-NOOS'!$B$50:$B$69,0),FALSE),0),0)</f>
        <v>0</v>
      </c>
      <c r="AT733" s="57">
        <f t="shared" si="302"/>
        <v>0</v>
      </c>
      <c r="AU733" s="57">
        <f t="shared" si="303"/>
        <v>0</v>
      </c>
      <c r="AV733" s="58">
        <f>IFERROR(IF($V733="BRAND.com",HLOOKUP($X733&amp;$Z733,PLANNING_FC!$BB$27:$BP$46,MATCH($W733,PLANNING_FC!$BA$27:$BA$46,0),FALSE),0),0)</f>
        <v>0</v>
      </c>
      <c r="AW733" s="58">
        <f>IFERROR(IF($V733="BRAND.com",HLOOKUP($X733&amp;$Z733,PLANNING_FC!$BB$4:$BP$23,MATCH($W733,PLANNING_FC!$BA$4:$BA$23,0),FALSE),0),0)</f>
        <v>0</v>
      </c>
      <c r="AX733" s="58">
        <f>IFERROR(IF($V733="BRAND.com",HLOOKUP($X733&amp;$Z733,PLANNING_FC!$T$27:$AH$46,MATCH($W733,PLANNING_FC!$B$27:$B$46,0),FALSE),0),0)</f>
        <v>0</v>
      </c>
      <c r="AY733" s="58">
        <f>IFERROR(IF($V733="BRAND.com",HLOOKUP($X733&amp;$Z733,PLANNING_FC!$T$4:$AH$23,MATCH($W733,PLANNING_FC!$B$4:$B$23,0),FALSE),0),0)</f>
        <v>0</v>
      </c>
      <c r="AZ733" s="58">
        <f>IFERROR(IF($V733="BRAND.com",HLOOKUP($X733&amp;$Z733,PLANNING_FC!$DA$27:$DO$46,MATCH($W733,PLANNING_FC!$CZ$27:$CZ$46,0),FALSE),0),0)</f>
        <v>0</v>
      </c>
      <c r="BA733" s="58">
        <f>IFERROR(IF($V733="BRAND.com",HLOOKUP($X733&amp;$Z733,PLANNING_FC!$DA$4:$DO$23,MATCH($W733,PLANNING_FC!$CZ$4:$CZ$23,0),FALSE),0),0)</f>
        <v>0</v>
      </c>
      <c r="BB733" s="883" t="str">
        <f>IF(V733="BRAND.com",IFERROR(HLOOKUP(X733&amp;Z733,PLANNING_FC!$AK$4:$AY$23,MATCH(W733,PLANNING_FC!$AJ$4:$AJ$23,0),FALSE)*1000,""),"")</f>
        <v/>
      </c>
      <c r="BC733" s="883" t="str">
        <f>IF(V733="BRAND.com",IFERROR(HLOOKUP(X733&amp;Z733,PLANNING_FC!$AK$27:$AY$46,MATCH(W733,PLANNING_FC!$AJ$27:$AJ$46,0),FALSE)*1000,""),"")</f>
        <v/>
      </c>
    </row>
    <row r="734" spans="14:55" x14ac:dyDescent="0.25">
      <c r="N734" s="56">
        <f t="shared" si="284"/>
        <v>0</v>
      </c>
      <c r="O734" s="57">
        <f t="shared" si="285"/>
        <v>0</v>
      </c>
      <c r="P734" s="57">
        <f ca="1">IFERROR(IF(ISBLANK(H734),SUMIFS($AC:$AC,$V:$V,V734,$W:$W,W734,$X:$X,X734,$Y:$Y,Y734)*J734/(1-J734)*VLOOKUP(_xlfn.CONCAT(C734,D734,E734,TIME!$M$12,Z734),HIS_SALES!$B$2:$W$4859,20,FALSE),AC734*J734/(1-J734)),0)</f>
        <v>0</v>
      </c>
      <c r="Q734" s="541" t="str">
        <f t="shared" si="286"/>
        <v/>
      </c>
      <c r="R734" s="346" t="str">
        <f t="shared" si="287"/>
        <v>00000</v>
      </c>
      <c r="S734" s="344">
        <f t="shared" si="288"/>
        <v>0</v>
      </c>
      <c r="T734" s="345" t="str">
        <f t="shared" si="301"/>
        <v>000</v>
      </c>
      <c r="U734" s="345">
        <f t="shared" si="289"/>
        <v>0</v>
      </c>
      <c r="V734" s="345">
        <f t="shared" si="290"/>
        <v>0</v>
      </c>
      <c r="W734" s="345">
        <f t="shared" si="291"/>
        <v>0</v>
      </c>
      <c r="X734" s="345">
        <f t="shared" si="292"/>
        <v>0</v>
      </c>
      <c r="Y734" s="345">
        <f t="shared" si="293"/>
        <v>0</v>
      </c>
      <c r="Z734" s="345">
        <f>IF(Q734&lt;&gt;"",VLOOKUP(Y734,TIME!$R$21:$V$24,MATCH(FC_DATA!Q734,TIME!$R$20:$V$20,0),FALSE),H734)</f>
        <v>0</v>
      </c>
      <c r="AA734" s="345" t="str">
        <f>IFERROR(VLOOKUP(X734&amp;Z734,TIME!$A$12:$D$71,4,FALSE),"")</f>
        <v/>
      </c>
      <c r="AB734" s="592">
        <f t="shared" ca="1" si="294"/>
        <v>0</v>
      </c>
      <c r="AC734" s="593" t="e">
        <f ca="1">IF(ISBLANK(H734)=FALSE,IF(D734="BRAND.com",I734,IF(ISNA(VLOOKUP(_xlfn.CONCAT(X734,Z734),TIME!$M$40:$M$42,1,FALSE)),I734,VLOOKUP(_xlfn.CONCAT(D734,G734,H734),M_BUSAREA_FC!$AF$5:$AJ$10,5,FALSE)*HLOOKUP(_xlfn.CONCAT(F734,H734),ST_OVERVIEW!$G$99:$I$130,MATCH(_xlfn.CONCAT(D734,E734),ST_OVERVIEW!$F$99:$F$130,0),FALSE))),IF(D734="BRAND.com",VLOOKUP(_xlfn.CONCAT(C734,D734,E734,TIME!$F$1,Z734),HIS_SALES!$B$2:$V$4859,19,FALSE)*I734,VLOOKUP(_xlfn.CONCAT(D734,F734,G734),Q_BUSAREA_FC!$AE$5:$AI$12,5,FALSE)*HLOOKUP(_xlfn.CONCAT(FC_DATA!F734,FC_DATA!G734),LT_OVERVIEW!$I$99:$M$130,MATCH(_xlfn.CONCAT(D734,FC_DATA!E734),LT_OVERVIEW!$H$99:$H$130,0),FALSE)*IFERROR(VLOOKUP(_xlfn.CONCAT(C734,D734,E734,TIME!$F$1,Z734),HIS_SALES!$B$2:$V$4859,19,FALSE),0)))</f>
        <v>#N/A</v>
      </c>
      <c r="AD734" s="341">
        <f t="shared" ca="1" si="295"/>
        <v>0</v>
      </c>
      <c r="AE734" s="363" t="str">
        <f t="shared" si="296"/>
        <v/>
      </c>
      <c r="AF734" s="342" t="str">
        <f t="shared" si="297"/>
        <v/>
      </c>
      <c r="AG734" s="411" t="e">
        <f ca="1">VLOOKUP(_xlfn.CONCAT(U734,V734,W734,VLOOKUP(X734&amp;Y734,TIME!$L$27:$O$34,4,FALSE),Y734),HIS_SALES!$A$2:$R$5093,18,FALSE)</f>
        <v>#N/A</v>
      </c>
      <c r="AH734" s="412" t="e">
        <f ca="1">IFERROR(IF(AND(V734=V733,W734=W733),0.5*(AB734+AB733)*AG734,(VLOOKUP(_xlfn.CONCAT(U734,V734,W734,X734,VLOOKUP(Z734,TIME!$S$28:$T$39,2,FALSE)),FC_DATA!$R$2:$AB$5000,MATCH("GS_I_M",FC_DATA!$R$1:$AB$1,0),FALSE)+FC_DATA!AB734)*0.5*FC_DATA!AG734),NA())</f>
        <v>#N/A</v>
      </c>
      <c r="AI734" s="491" t="e">
        <f ca="1">IF(V734="PARTNER.com",AH734,IF(AND(V734=V733,W734=W733),(1-AVERAGE(AD733,AD734))*AH734,(1-AVERAGE(AD734,VLOOKUP(_xlfn.CONCAT(U734,V734,W734,X734,M_BRAND_FC!$F$6),FC_DATA!$R$2:$AD$5000,MATCH("DISCOUNT_%_M",FC_DATA!$R$1:$AD$1,0),FALSE)))*AH734))</f>
        <v>#N/A</v>
      </c>
      <c r="AJ734" s="412" t="str">
        <f t="shared" ca="1" si="298"/>
        <v/>
      </c>
      <c r="AK734" s="413" t="str">
        <f>IFERROR(AE734/(Q_BRAND_FC!$T$24+1),"")</f>
        <v/>
      </c>
      <c r="AL734" s="88" t="str">
        <f t="shared" ca="1" si="299"/>
        <v/>
      </c>
      <c r="AM734" s="414" t="str">
        <f t="shared" ca="1" si="300"/>
        <v/>
      </c>
      <c r="AN734" s="58">
        <f>IFERROR(IF($V734="BRAND.com",HLOOKUP($X734&amp;$Z734,NWC_FC_NOOS!$C$4:$Q$23,MATCH(W734,NWC_FC_NOOS!$B$4:$B$23,0),FALSE),0),0)</f>
        <v>0</v>
      </c>
      <c r="AO734" s="57">
        <f>IFERROR(IF($V734="BRAND.com",HLOOKUP($X734&amp;$Z734,NWC_FC_NOOS!$T$4:$AH$23,MATCH(W734,NWC_FC_NOOS!$S$4:$S$23,0),FALSE),0),0)</f>
        <v>0</v>
      </c>
      <c r="AP734" s="57">
        <f>IFERROR(IF($V734="BRAND.com",HLOOKUP($X734&amp;$Z734,NWC_FC_NOOS!$C$50:$U$69,MATCH(W734,NWC_FC_NOOS!$B$50:$B$69,0),FALSE),0),0)</f>
        <v>0</v>
      </c>
      <c r="AQ734" s="58">
        <f>IFERROR(IF($V734="BRAND.com",HLOOKUP($X734&amp;$Z734,'NWC_FC_NON-NOOS'!$C$4:$Q$23,MATCH(W734,'NWC_FC_NON-NOOS'!$B$4:$B$23,0),FALSE),0),0)</f>
        <v>0</v>
      </c>
      <c r="AR734" s="57">
        <f>IFERROR(IF($V734="BRAND.com",HLOOKUP($X734&amp;$Z734,'NWC_FC_NON-NOOS'!$T$4:$AH$23,MATCH(W734,'NWC_FC_NON-NOOS'!$S$4:$S$23,0),FALSE),0),0)</f>
        <v>0</v>
      </c>
      <c r="AS734" s="57">
        <f>IFERROR(IF($V734="BRAND.com",HLOOKUP($X734&amp;$Z734,'NWC_FC_NON-NOOS'!$C$50:$U$69,MATCH(W734,'NWC_FC_NON-NOOS'!$B$50:$B$69,0),FALSE),0),0)</f>
        <v>0</v>
      </c>
      <c r="AT734" s="57">
        <f t="shared" si="302"/>
        <v>0</v>
      </c>
      <c r="AU734" s="57">
        <f t="shared" si="303"/>
        <v>0</v>
      </c>
      <c r="AV734" s="58">
        <f>IFERROR(IF($V734="BRAND.com",HLOOKUP($X734&amp;$Z734,PLANNING_FC!$BB$27:$BP$46,MATCH($W734,PLANNING_FC!$BA$27:$BA$46,0),FALSE),0),0)</f>
        <v>0</v>
      </c>
      <c r="AW734" s="58">
        <f>IFERROR(IF($V734="BRAND.com",HLOOKUP($X734&amp;$Z734,PLANNING_FC!$BB$4:$BP$23,MATCH($W734,PLANNING_FC!$BA$4:$BA$23,0),FALSE),0),0)</f>
        <v>0</v>
      </c>
      <c r="AX734" s="58">
        <f>IFERROR(IF($V734="BRAND.com",HLOOKUP($X734&amp;$Z734,PLANNING_FC!$T$27:$AH$46,MATCH($W734,PLANNING_FC!$B$27:$B$46,0),FALSE),0),0)</f>
        <v>0</v>
      </c>
      <c r="AY734" s="58">
        <f>IFERROR(IF($V734="BRAND.com",HLOOKUP($X734&amp;$Z734,PLANNING_FC!$T$4:$AH$23,MATCH($W734,PLANNING_FC!$B$4:$B$23,0),FALSE),0),0)</f>
        <v>0</v>
      </c>
      <c r="AZ734" s="58">
        <f>IFERROR(IF($V734="BRAND.com",HLOOKUP($X734&amp;$Z734,PLANNING_FC!$DA$27:$DO$46,MATCH($W734,PLANNING_FC!$CZ$27:$CZ$46,0),FALSE),0),0)</f>
        <v>0</v>
      </c>
      <c r="BA734" s="58">
        <f>IFERROR(IF($V734="BRAND.com",HLOOKUP($X734&amp;$Z734,PLANNING_FC!$DA$4:$DO$23,MATCH($W734,PLANNING_FC!$CZ$4:$CZ$23,0),FALSE),0),0)</f>
        <v>0</v>
      </c>
      <c r="BB734" s="883" t="str">
        <f>IF(V734="BRAND.com",IFERROR(HLOOKUP(X734&amp;Z734,PLANNING_FC!$AK$4:$AY$23,MATCH(W734,PLANNING_FC!$AJ$4:$AJ$23,0),FALSE)*1000,""),"")</f>
        <v/>
      </c>
      <c r="BC734" s="883" t="str">
        <f>IF(V734="BRAND.com",IFERROR(HLOOKUP(X734&amp;Z734,PLANNING_FC!$AK$27:$AY$46,MATCH(W734,PLANNING_FC!$AJ$27:$AJ$46,0),FALSE)*1000,""),"")</f>
        <v/>
      </c>
    </row>
    <row r="735" spans="14:55" x14ac:dyDescent="0.25">
      <c r="N735" s="56">
        <f t="shared" si="284"/>
        <v>0</v>
      </c>
      <c r="O735" s="57">
        <f t="shared" si="285"/>
        <v>0</v>
      </c>
      <c r="P735" s="57">
        <f ca="1">IFERROR(IF(ISBLANK(H735),SUMIFS($AC:$AC,$V:$V,V735,$W:$W,W735,$X:$X,X735,$Y:$Y,Y735)*J735/(1-J735)*VLOOKUP(_xlfn.CONCAT(C735,D735,E735,TIME!$M$12,Z735),HIS_SALES!$B$2:$W$4859,20,FALSE),AC735*J735/(1-J735)),0)</f>
        <v>0</v>
      </c>
      <c r="Q735" s="541" t="str">
        <f t="shared" si="286"/>
        <v/>
      </c>
      <c r="R735" s="346" t="str">
        <f t="shared" si="287"/>
        <v>00000</v>
      </c>
      <c r="S735" s="344">
        <f t="shared" si="288"/>
        <v>0</v>
      </c>
      <c r="T735" s="345" t="str">
        <f t="shared" si="301"/>
        <v>000</v>
      </c>
      <c r="U735" s="345">
        <f t="shared" si="289"/>
        <v>0</v>
      </c>
      <c r="V735" s="345">
        <f t="shared" si="290"/>
        <v>0</v>
      </c>
      <c r="W735" s="345">
        <f t="shared" si="291"/>
        <v>0</v>
      </c>
      <c r="X735" s="345">
        <f t="shared" si="292"/>
        <v>0</v>
      </c>
      <c r="Y735" s="345">
        <f t="shared" si="293"/>
        <v>0</v>
      </c>
      <c r="Z735" s="345">
        <f>IF(Q735&lt;&gt;"",VLOOKUP(Y735,TIME!$R$21:$V$24,MATCH(FC_DATA!Q735,TIME!$R$20:$V$20,0),FALSE),H735)</f>
        <v>0</v>
      </c>
      <c r="AA735" s="345" t="str">
        <f>IFERROR(VLOOKUP(X735&amp;Z735,TIME!$A$12:$D$71,4,FALSE),"")</f>
        <v/>
      </c>
      <c r="AB735" s="592">
        <f t="shared" ca="1" si="294"/>
        <v>0</v>
      </c>
      <c r="AC735" s="593" t="e">
        <f ca="1">IF(ISBLANK(H735)=FALSE,IF(D735="BRAND.com",I735,IF(ISNA(VLOOKUP(_xlfn.CONCAT(X735,Z735),TIME!$M$40:$M$42,1,FALSE)),I735,VLOOKUP(_xlfn.CONCAT(D735,G735,H735),M_BUSAREA_FC!$AF$5:$AJ$10,5,FALSE)*HLOOKUP(_xlfn.CONCAT(F735,H735),ST_OVERVIEW!$G$99:$I$130,MATCH(_xlfn.CONCAT(D735,E735),ST_OVERVIEW!$F$99:$F$130,0),FALSE))),IF(D735="BRAND.com",VLOOKUP(_xlfn.CONCAT(C735,D735,E735,TIME!$F$1,Z735),HIS_SALES!$B$2:$V$4859,19,FALSE)*I735,VLOOKUP(_xlfn.CONCAT(D735,F735,G735),Q_BUSAREA_FC!$AE$5:$AI$12,5,FALSE)*HLOOKUP(_xlfn.CONCAT(FC_DATA!F735,FC_DATA!G735),LT_OVERVIEW!$I$99:$M$130,MATCH(_xlfn.CONCAT(D735,FC_DATA!E735),LT_OVERVIEW!$H$99:$H$130,0),FALSE)*IFERROR(VLOOKUP(_xlfn.CONCAT(C735,D735,E735,TIME!$F$1,Z735),HIS_SALES!$B$2:$V$4859,19,FALSE),0)))</f>
        <v>#N/A</v>
      </c>
      <c r="AD735" s="341">
        <f t="shared" ca="1" si="295"/>
        <v>0</v>
      </c>
      <c r="AE735" s="363" t="str">
        <f t="shared" si="296"/>
        <v/>
      </c>
      <c r="AF735" s="342" t="str">
        <f t="shared" si="297"/>
        <v/>
      </c>
      <c r="AG735" s="411" t="e">
        <f ca="1">VLOOKUP(_xlfn.CONCAT(U735,V735,W735,VLOOKUP(X735&amp;Y735,TIME!$L$27:$O$34,4,FALSE),Y735),HIS_SALES!$A$2:$R$5093,18,FALSE)</f>
        <v>#N/A</v>
      </c>
      <c r="AH735" s="412" t="e">
        <f ca="1">IFERROR(IF(AND(V735=V734,W735=W734),0.5*(AB735+AB734)*AG735,(VLOOKUP(_xlfn.CONCAT(U735,V735,W735,X735,VLOOKUP(Z735,TIME!$S$28:$T$39,2,FALSE)),FC_DATA!$R$2:$AB$5000,MATCH("GS_I_M",FC_DATA!$R$1:$AB$1,0),FALSE)+FC_DATA!AB735)*0.5*FC_DATA!AG735),NA())</f>
        <v>#N/A</v>
      </c>
      <c r="AI735" s="491" t="e">
        <f ca="1">IF(V735="PARTNER.com",AH735,IF(AND(V735=V734,W735=W734),(1-AVERAGE(AD734,AD735))*AH735,(1-AVERAGE(AD735,VLOOKUP(_xlfn.CONCAT(U735,V735,W735,X735,M_BRAND_FC!$F$6),FC_DATA!$R$2:$AD$5000,MATCH("DISCOUNT_%_M",FC_DATA!$R$1:$AD$1,0),FALSE)))*AH735))</f>
        <v>#N/A</v>
      </c>
      <c r="AJ735" s="412" t="str">
        <f t="shared" ca="1" si="298"/>
        <v/>
      </c>
      <c r="AK735" s="413" t="str">
        <f>IFERROR(AE735/(Q_BRAND_FC!$T$24+1),"")</f>
        <v/>
      </c>
      <c r="AL735" s="88" t="str">
        <f t="shared" ca="1" si="299"/>
        <v/>
      </c>
      <c r="AM735" s="414" t="str">
        <f t="shared" ca="1" si="300"/>
        <v/>
      </c>
      <c r="AN735" s="58">
        <f>IFERROR(IF($V735="BRAND.com",HLOOKUP($X735&amp;$Z735,NWC_FC_NOOS!$C$4:$Q$23,MATCH(W735,NWC_FC_NOOS!$B$4:$B$23,0),FALSE),0),0)</f>
        <v>0</v>
      </c>
      <c r="AO735" s="57">
        <f>IFERROR(IF($V735="BRAND.com",HLOOKUP($X735&amp;$Z735,NWC_FC_NOOS!$T$4:$AH$23,MATCH(W735,NWC_FC_NOOS!$S$4:$S$23,0),FALSE),0),0)</f>
        <v>0</v>
      </c>
      <c r="AP735" s="57">
        <f>IFERROR(IF($V735="BRAND.com",HLOOKUP($X735&amp;$Z735,NWC_FC_NOOS!$C$50:$U$69,MATCH(W735,NWC_FC_NOOS!$B$50:$B$69,0),FALSE),0),0)</f>
        <v>0</v>
      </c>
      <c r="AQ735" s="58">
        <f>IFERROR(IF($V735="BRAND.com",HLOOKUP($X735&amp;$Z735,'NWC_FC_NON-NOOS'!$C$4:$Q$23,MATCH(W735,'NWC_FC_NON-NOOS'!$B$4:$B$23,0),FALSE),0),0)</f>
        <v>0</v>
      </c>
      <c r="AR735" s="57">
        <f>IFERROR(IF($V735="BRAND.com",HLOOKUP($X735&amp;$Z735,'NWC_FC_NON-NOOS'!$T$4:$AH$23,MATCH(W735,'NWC_FC_NON-NOOS'!$S$4:$S$23,0),FALSE),0),0)</f>
        <v>0</v>
      </c>
      <c r="AS735" s="57">
        <f>IFERROR(IF($V735="BRAND.com",HLOOKUP($X735&amp;$Z735,'NWC_FC_NON-NOOS'!$C$50:$U$69,MATCH(W735,'NWC_FC_NON-NOOS'!$B$50:$B$69,0),FALSE),0),0)</f>
        <v>0</v>
      </c>
      <c r="AT735" s="57">
        <f t="shared" si="302"/>
        <v>0</v>
      </c>
      <c r="AU735" s="57">
        <f t="shared" si="303"/>
        <v>0</v>
      </c>
      <c r="AV735" s="58">
        <f>IFERROR(IF($V735="BRAND.com",HLOOKUP($X735&amp;$Z735,PLANNING_FC!$BB$27:$BP$46,MATCH($W735,PLANNING_FC!$BA$27:$BA$46,0),FALSE),0),0)</f>
        <v>0</v>
      </c>
      <c r="AW735" s="58">
        <f>IFERROR(IF($V735="BRAND.com",HLOOKUP($X735&amp;$Z735,PLANNING_FC!$BB$4:$BP$23,MATCH($W735,PLANNING_FC!$BA$4:$BA$23,0),FALSE),0),0)</f>
        <v>0</v>
      </c>
      <c r="AX735" s="58">
        <f>IFERROR(IF($V735="BRAND.com",HLOOKUP($X735&amp;$Z735,PLANNING_FC!$T$27:$AH$46,MATCH($W735,PLANNING_FC!$B$27:$B$46,0),FALSE),0),0)</f>
        <v>0</v>
      </c>
      <c r="AY735" s="58">
        <f>IFERROR(IF($V735="BRAND.com",HLOOKUP($X735&amp;$Z735,PLANNING_FC!$T$4:$AH$23,MATCH($W735,PLANNING_FC!$B$4:$B$23,0),FALSE),0),0)</f>
        <v>0</v>
      </c>
      <c r="AZ735" s="58">
        <f>IFERROR(IF($V735="BRAND.com",HLOOKUP($X735&amp;$Z735,PLANNING_FC!$DA$27:$DO$46,MATCH($W735,PLANNING_FC!$CZ$27:$CZ$46,0),FALSE),0),0)</f>
        <v>0</v>
      </c>
      <c r="BA735" s="58">
        <f>IFERROR(IF($V735="BRAND.com",HLOOKUP($X735&amp;$Z735,PLANNING_FC!$DA$4:$DO$23,MATCH($W735,PLANNING_FC!$CZ$4:$CZ$23,0),FALSE),0),0)</f>
        <v>0</v>
      </c>
      <c r="BB735" s="883" t="str">
        <f>IF(V735="BRAND.com",IFERROR(HLOOKUP(X735&amp;Z735,PLANNING_FC!$AK$4:$AY$23,MATCH(W735,PLANNING_FC!$AJ$4:$AJ$23,0),FALSE)*1000,""),"")</f>
        <v/>
      </c>
      <c r="BC735" s="883" t="str">
        <f>IF(V735="BRAND.com",IFERROR(HLOOKUP(X735&amp;Z735,PLANNING_FC!$AK$27:$AY$46,MATCH(W735,PLANNING_FC!$AJ$27:$AJ$46,0),FALSE)*1000,""),"")</f>
        <v/>
      </c>
    </row>
    <row r="736" spans="14:55" x14ac:dyDescent="0.25">
      <c r="N736" s="56">
        <f t="shared" si="284"/>
        <v>0</v>
      </c>
      <c r="O736" s="57">
        <f t="shared" si="285"/>
        <v>0</v>
      </c>
      <c r="P736" s="57">
        <f ca="1">IFERROR(IF(ISBLANK(H736),SUMIFS($AC:$AC,$V:$V,V736,$W:$W,W736,$X:$X,X736,$Y:$Y,Y736)*J736/(1-J736)*VLOOKUP(_xlfn.CONCAT(C736,D736,E736,TIME!$M$12,Z736),HIS_SALES!$B$2:$W$4859,20,FALSE),AC736*J736/(1-J736)),0)</f>
        <v>0</v>
      </c>
      <c r="Q736" s="541" t="str">
        <f t="shared" si="286"/>
        <v/>
      </c>
      <c r="R736" s="346" t="str">
        <f t="shared" si="287"/>
        <v>00000</v>
      </c>
      <c r="S736" s="344">
        <f t="shared" si="288"/>
        <v>0</v>
      </c>
      <c r="T736" s="345" t="str">
        <f t="shared" si="301"/>
        <v>000</v>
      </c>
      <c r="U736" s="345">
        <f t="shared" si="289"/>
        <v>0</v>
      </c>
      <c r="V736" s="345">
        <f t="shared" si="290"/>
        <v>0</v>
      </c>
      <c r="W736" s="345">
        <f t="shared" si="291"/>
        <v>0</v>
      </c>
      <c r="X736" s="345">
        <f t="shared" si="292"/>
        <v>0</v>
      </c>
      <c r="Y736" s="345">
        <f t="shared" si="293"/>
        <v>0</v>
      </c>
      <c r="Z736" s="345">
        <f>IF(Q736&lt;&gt;"",VLOOKUP(Y736,TIME!$R$21:$V$24,MATCH(FC_DATA!Q736,TIME!$R$20:$V$20,0),FALSE),H736)</f>
        <v>0</v>
      </c>
      <c r="AA736" s="345" t="str">
        <f>IFERROR(VLOOKUP(X736&amp;Z736,TIME!$A$12:$D$71,4,FALSE),"")</f>
        <v/>
      </c>
      <c r="AB736" s="592">
        <f t="shared" ca="1" si="294"/>
        <v>0</v>
      </c>
      <c r="AC736" s="593" t="e">
        <f ca="1">IF(ISBLANK(H736)=FALSE,IF(D736="BRAND.com",I736,IF(ISNA(VLOOKUP(_xlfn.CONCAT(X736,Z736),TIME!$M$40:$M$42,1,FALSE)),I736,VLOOKUP(_xlfn.CONCAT(D736,G736,H736),M_BUSAREA_FC!$AF$5:$AJ$10,5,FALSE)*HLOOKUP(_xlfn.CONCAT(F736,H736),ST_OVERVIEW!$G$99:$I$130,MATCH(_xlfn.CONCAT(D736,E736),ST_OVERVIEW!$F$99:$F$130,0),FALSE))),IF(D736="BRAND.com",VLOOKUP(_xlfn.CONCAT(C736,D736,E736,TIME!$F$1,Z736),HIS_SALES!$B$2:$V$4859,19,FALSE)*I736,VLOOKUP(_xlfn.CONCAT(D736,F736,G736),Q_BUSAREA_FC!$AE$5:$AI$12,5,FALSE)*HLOOKUP(_xlfn.CONCAT(FC_DATA!F736,FC_DATA!G736),LT_OVERVIEW!$I$99:$M$130,MATCH(_xlfn.CONCAT(D736,FC_DATA!E736),LT_OVERVIEW!$H$99:$H$130,0),FALSE)*IFERROR(VLOOKUP(_xlfn.CONCAT(C736,D736,E736,TIME!$F$1,Z736),HIS_SALES!$B$2:$V$4859,19,FALSE),0)))</f>
        <v>#N/A</v>
      </c>
      <c r="AD736" s="341">
        <f t="shared" ca="1" si="295"/>
        <v>0</v>
      </c>
      <c r="AE736" s="363" t="str">
        <f t="shared" si="296"/>
        <v/>
      </c>
      <c r="AF736" s="342" t="str">
        <f t="shared" si="297"/>
        <v/>
      </c>
      <c r="AG736" s="411" t="e">
        <f ca="1">VLOOKUP(_xlfn.CONCAT(U736,V736,W736,VLOOKUP(X736&amp;Y736,TIME!$L$27:$O$34,4,FALSE),Y736),HIS_SALES!$A$2:$R$5093,18,FALSE)</f>
        <v>#N/A</v>
      </c>
      <c r="AH736" s="412" t="e">
        <f ca="1">IFERROR(IF(AND(V736=V735,W736=W735),0.5*(AB736+AB735)*AG736,(VLOOKUP(_xlfn.CONCAT(U736,V736,W736,X736,VLOOKUP(Z736,TIME!$S$28:$T$39,2,FALSE)),FC_DATA!$R$2:$AB$5000,MATCH("GS_I_M",FC_DATA!$R$1:$AB$1,0),FALSE)+FC_DATA!AB736)*0.5*FC_DATA!AG736),NA())</f>
        <v>#N/A</v>
      </c>
      <c r="AI736" s="491" t="e">
        <f ca="1">IF(V736="PARTNER.com",AH736,IF(AND(V736=V735,W736=W735),(1-AVERAGE(AD735,AD736))*AH736,(1-AVERAGE(AD736,VLOOKUP(_xlfn.CONCAT(U736,V736,W736,X736,M_BRAND_FC!$F$6),FC_DATA!$R$2:$AD$5000,MATCH("DISCOUNT_%_M",FC_DATA!$R$1:$AD$1,0),FALSE)))*AH736))</f>
        <v>#N/A</v>
      </c>
      <c r="AJ736" s="412" t="str">
        <f t="shared" ca="1" si="298"/>
        <v/>
      </c>
      <c r="AK736" s="413" t="str">
        <f>IFERROR(AE736/(Q_BRAND_FC!$T$24+1),"")</f>
        <v/>
      </c>
      <c r="AL736" s="88" t="str">
        <f t="shared" ca="1" si="299"/>
        <v/>
      </c>
      <c r="AM736" s="414" t="str">
        <f t="shared" ca="1" si="300"/>
        <v/>
      </c>
      <c r="AN736" s="58">
        <f>IFERROR(IF($V736="BRAND.com",HLOOKUP($X736&amp;$Z736,NWC_FC_NOOS!$C$4:$Q$23,MATCH(W736,NWC_FC_NOOS!$B$4:$B$23,0),FALSE),0),0)</f>
        <v>0</v>
      </c>
      <c r="AO736" s="57">
        <f>IFERROR(IF($V736="BRAND.com",HLOOKUP($X736&amp;$Z736,NWC_FC_NOOS!$T$4:$AH$23,MATCH(W736,NWC_FC_NOOS!$S$4:$S$23,0),FALSE),0),0)</f>
        <v>0</v>
      </c>
      <c r="AP736" s="57">
        <f>IFERROR(IF($V736="BRAND.com",HLOOKUP($X736&amp;$Z736,NWC_FC_NOOS!$C$50:$U$69,MATCH(W736,NWC_FC_NOOS!$B$50:$B$69,0),FALSE),0),0)</f>
        <v>0</v>
      </c>
      <c r="AQ736" s="58">
        <f>IFERROR(IF($V736="BRAND.com",HLOOKUP($X736&amp;$Z736,'NWC_FC_NON-NOOS'!$C$4:$Q$23,MATCH(W736,'NWC_FC_NON-NOOS'!$B$4:$B$23,0),FALSE),0),0)</f>
        <v>0</v>
      </c>
      <c r="AR736" s="57">
        <f>IFERROR(IF($V736="BRAND.com",HLOOKUP($X736&amp;$Z736,'NWC_FC_NON-NOOS'!$T$4:$AH$23,MATCH(W736,'NWC_FC_NON-NOOS'!$S$4:$S$23,0),FALSE),0),0)</f>
        <v>0</v>
      </c>
      <c r="AS736" s="57">
        <f>IFERROR(IF($V736="BRAND.com",HLOOKUP($X736&amp;$Z736,'NWC_FC_NON-NOOS'!$C$50:$U$69,MATCH(W736,'NWC_FC_NON-NOOS'!$B$50:$B$69,0),FALSE),0),0)</f>
        <v>0</v>
      </c>
      <c r="AT736" s="57">
        <f t="shared" si="302"/>
        <v>0</v>
      </c>
      <c r="AU736" s="57">
        <f t="shared" si="303"/>
        <v>0</v>
      </c>
      <c r="AV736" s="58">
        <f>IFERROR(IF($V736="BRAND.com",HLOOKUP($X736&amp;$Z736,PLANNING_FC!$BB$27:$BP$46,MATCH($W736,PLANNING_FC!$BA$27:$BA$46,0),FALSE),0),0)</f>
        <v>0</v>
      </c>
      <c r="AW736" s="58">
        <f>IFERROR(IF($V736="BRAND.com",HLOOKUP($X736&amp;$Z736,PLANNING_FC!$BB$4:$BP$23,MATCH($W736,PLANNING_FC!$BA$4:$BA$23,0),FALSE),0),0)</f>
        <v>0</v>
      </c>
      <c r="AX736" s="58">
        <f>IFERROR(IF($V736="BRAND.com",HLOOKUP($X736&amp;$Z736,PLANNING_FC!$T$27:$AH$46,MATCH($W736,PLANNING_FC!$B$27:$B$46,0),FALSE),0),0)</f>
        <v>0</v>
      </c>
      <c r="AY736" s="58">
        <f>IFERROR(IF($V736="BRAND.com",HLOOKUP($X736&amp;$Z736,PLANNING_FC!$T$4:$AH$23,MATCH($W736,PLANNING_FC!$B$4:$B$23,0),FALSE),0),0)</f>
        <v>0</v>
      </c>
      <c r="AZ736" s="58">
        <f>IFERROR(IF($V736="BRAND.com",HLOOKUP($X736&amp;$Z736,PLANNING_FC!$DA$27:$DO$46,MATCH($W736,PLANNING_FC!$CZ$27:$CZ$46,0),FALSE),0),0)</f>
        <v>0</v>
      </c>
      <c r="BA736" s="58">
        <f>IFERROR(IF($V736="BRAND.com",HLOOKUP($X736&amp;$Z736,PLANNING_FC!$DA$4:$DO$23,MATCH($W736,PLANNING_FC!$CZ$4:$CZ$23,0),FALSE),0),0)</f>
        <v>0</v>
      </c>
      <c r="BB736" s="883" t="str">
        <f>IF(V736="BRAND.com",IFERROR(HLOOKUP(X736&amp;Z736,PLANNING_FC!$AK$4:$AY$23,MATCH(W736,PLANNING_FC!$AJ$4:$AJ$23,0),FALSE)*1000,""),"")</f>
        <v/>
      </c>
      <c r="BC736" s="883" t="str">
        <f>IF(V736="BRAND.com",IFERROR(HLOOKUP(X736&amp;Z736,PLANNING_FC!$AK$27:$AY$46,MATCH(W736,PLANNING_FC!$AJ$27:$AJ$46,0),FALSE)*1000,""),"")</f>
        <v/>
      </c>
    </row>
    <row r="737" spans="14:55" x14ac:dyDescent="0.25">
      <c r="N737" s="56">
        <f t="shared" si="284"/>
        <v>0</v>
      </c>
      <c r="O737" s="57">
        <f t="shared" si="285"/>
        <v>0</v>
      </c>
      <c r="P737" s="57">
        <f ca="1">IFERROR(IF(ISBLANK(H737),SUMIFS($AC:$AC,$V:$V,V737,$W:$W,W737,$X:$X,X737,$Y:$Y,Y737)*J737/(1-J737)*VLOOKUP(_xlfn.CONCAT(C737,D737,E737,TIME!$M$12,Z737),HIS_SALES!$B$2:$W$4859,20,FALSE),AC737*J737/(1-J737)),0)</f>
        <v>0</v>
      </c>
      <c r="Q737" s="541" t="str">
        <f t="shared" si="286"/>
        <v/>
      </c>
      <c r="R737" s="346" t="str">
        <f t="shared" si="287"/>
        <v>00000</v>
      </c>
      <c r="S737" s="344">
        <f t="shared" si="288"/>
        <v>0</v>
      </c>
      <c r="T737" s="345" t="str">
        <f t="shared" si="301"/>
        <v>000</v>
      </c>
      <c r="U737" s="345">
        <f t="shared" si="289"/>
        <v>0</v>
      </c>
      <c r="V737" s="345">
        <f t="shared" si="290"/>
        <v>0</v>
      </c>
      <c r="W737" s="345">
        <f t="shared" si="291"/>
        <v>0</v>
      </c>
      <c r="X737" s="345">
        <f t="shared" si="292"/>
        <v>0</v>
      </c>
      <c r="Y737" s="345">
        <f t="shared" si="293"/>
        <v>0</v>
      </c>
      <c r="Z737" s="345">
        <f>IF(Q737&lt;&gt;"",VLOOKUP(Y737,TIME!$R$21:$V$24,MATCH(FC_DATA!Q737,TIME!$R$20:$V$20,0),FALSE),H737)</f>
        <v>0</v>
      </c>
      <c r="AA737" s="345" t="str">
        <f>IFERROR(VLOOKUP(X737&amp;Z737,TIME!$A$12:$D$71,4,FALSE),"")</f>
        <v/>
      </c>
      <c r="AB737" s="592">
        <f t="shared" ca="1" si="294"/>
        <v>0</v>
      </c>
      <c r="AC737" s="593" t="e">
        <f ca="1">IF(ISBLANK(H737)=FALSE,IF(D737="BRAND.com",I737,IF(ISNA(VLOOKUP(_xlfn.CONCAT(X737,Z737),TIME!$M$40:$M$42,1,FALSE)),I737,VLOOKUP(_xlfn.CONCAT(D737,G737,H737),M_BUSAREA_FC!$AF$5:$AJ$10,5,FALSE)*HLOOKUP(_xlfn.CONCAT(F737,H737),ST_OVERVIEW!$G$99:$I$130,MATCH(_xlfn.CONCAT(D737,E737),ST_OVERVIEW!$F$99:$F$130,0),FALSE))),IF(D737="BRAND.com",VLOOKUP(_xlfn.CONCAT(C737,D737,E737,TIME!$F$1,Z737),HIS_SALES!$B$2:$V$4859,19,FALSE)*I737,VLOOKUP(_xlfn.CONCAT(D737,F737,G737),Q_BUSAREA_FC!$AE$5:$AI$12,5,FALSE)*HLOOKUP(_xlfn.CONCAT(FC_DATA!F737,FC_DATA!G737),LT_OVERVIEW!$I$99:$M$130,MATCH(_xlfn.CONCAT(D737,FC_DATA!E737),LT_OVERVIEW!$H$99:$H$130,0),FALSE)*IFERROR(VLOOKUP(_xlfn.CONCAT(C737,D737,E737,TIME!$F$1,Z737),HIS_SALES!$B$2:$V$4859,19,FALSE),0)))</f>
        <v>#N/A</v>
      </c>
      <c r="AD737" s="341">
        <f t="shared" ca="1" si="295"/>
        <v>0</v>
      </c>
      <c r="AE737" s="363" t="str">
        <f t="shared" si="296"/>
        <v/>
      </c>
      <c r="AF737" s="342" t="str">
        <f t="shared" si="297"/>
        <v/>
      </c>
      <c r="AG737" s="411" t="e">
        <f ca="1">VLOOKUP(_xlfn.CONCAT(U737,V737,W737,VLOOKUP(X737&amp;Y737,TIME!$L$27:$O$34,4,FALSE),Y737),HIS_SALES!$A$2:$R$5093,18,FALSE)</f>
        <v>#N/A</v>
      </c>
      <c r="AH737" s="412" t="e">
        <f ca="1">IFERROR(IF(AND(V737=V736,W737=W736),0.5*(AB737+AB736)*AG737,(VLOOKUP(_xlfn.CONCAT(U737,V737,W737,X737,VLOOKUP(Z737,TIME!$S$28:$T$39,2,FALSE)),FC_DATA!$R$2:$AB$5000,MATCH("GS_I_M",FC_DATA!$R$1:$AB$1,0),FALSE)+FC_DATA!AB737)*0.5*FC_DATA!AG737),NA())</f>
        <v>#N/A</v>
      </c>
      <c r="AI737" s="491" t="e">
        <f ca="1">IF(V737="PARTNER.com",AH737,IF(AND(V737=V736,W737=W736),(1-AVERAGE(AD736,AD737))*AH737,(1-AVERAGE(AD737,VLOOKUP(_xlfn.CONCAT(U737,V737,W737,X737,M_BRAND_FC!$F$6),FC_DATA!$R$2:$AD$5000,MATCH("DISCOUNT_%_M",FC_DATA!$R$1:$AD$1,0),FALSE)))*AH737))</f>
        <v>#N/A</v>
      </c>
      <c r="AJ737" s="412" t="str">
        <f t="shared" ca="1" si="298"/>
        <v/>
      </c>
      <c r="AK737" s="413" t="str">
        <f>IFERROR(AE737/(Q_BRAND_FC!$T$24+1),"")</f>
        <v/>
      </c>
      <c r="AL737" s="88" t="str">
        <f t="shared" ca="1" si="299"/>
        <v/>
      </c>
      <c r="AM737" s="414" t="str">
        <f t="shared" ca="1" si="300"/>
        <v/>
      </c>
      <c r="AN737" s="58">
        <f>IFERROR(IF($V737="BRAND.com",HLOOKUP($X737&amp;$Z737,NWC_FC_NOOS!$C$4:$Q$23,MATCH(W737,NWC_FC_NOOS!$B$4:$B$23,0),FALSE),0),0)</f>
        <v>0</v>
      </c>
      <c r="AO737" s="57">
        <f>IFERROR(IF($V737="BRAND.com",HLOOKUP($X737&amp;$Z737,NWC_FC_NOOS!$T$4:$AH$23,MATCH(W737,NWC_FC_NOOS!$S$4:$S$23,0),FALSE),0),0)</f>
        <v>0</v>
      </c>
      <c r="AP737" s="57">
        <f>IFERROR(IF($V737="BRAND.com",HLOOKUP($X737&amp;$Z737,NWC_FC_NOOS!$C$50:$U$69,MATCH(W737,NWC_FC_NOOS!$B$50:$B$69,0),FALSE),0),0)</f>
        <v>0</v>
      </c>
      <c r="AQ737" s="58">
        <f>IFERROR(IF($V737="BRAND.com",HLOOKUP($X737&amp;$Z737,'NWC_FC_NON-NOOS'!$C$4:$Q$23,MATCH(W737,'NWC_FC_NON-NOOS'!$B$4:$B$23,0),FALSE),0),0)</f>
        <v>0</v>
      </c>
      <c r="AR737" s="57">
        <f>IFERROR(IF($V737="BRAND.com",HLOOKUP($X737&amp;$Z737,'NWC_FC_NON-NOOS'!$T$4:$AH$23,MATCH(W737,'NWC_FC_NON-NOOS'!$S$4:$S$23,0),FALSE),0),0)</f>
        <v>0</v>
      </c>
      <c r="AS737" s="57">
        <f>IFERROR(IF($V737="BRAND.com",HLOOKUP($X737&amp;$Z737,'NWC_FC_NON-NOOS'!$C$50:$U$69,MATCH(W737,'NWC_FC_NON-NOOS'!$B$50:$B$69,0),FALSE),0),0)</f>
        <v>0</v>
      </c>
      <c r="AT737" s="57">
        <f t="shared" si="302"/>
        <v>0</v>
      </c>
      <c r="AU737" s="57">
        <f t="shared" si="303"/>
        <v>0</v>
      </c>
      <c r="AV737" s="58">
        <f>IFERROR(IF($V737="BRAND.com",HLOOKUP($X737&amp;$Z737,PLANNING_FC!$BB$27:$BP$46,MATCH($W737,PLANNING_FC!$BA$27:$BA$46,0),FALSE),0),0)</f>
        <v>0</v>
      </c>
      <c r="AW737" s="58">
        <f>IFERROR(IF($V737="BRAND.com",HLOOKUP($X737&amp;$Z737,PLANNING_FC!$BB$4:$BP$23,MATCH($W737,PLANNING_FC!$BA$4:$BA$23,0),FALSE),0),0)</f>
        <v>0</v>
      </c>
      <c r="AX737" s="58">
        <f>IFERROR(IF($V737="BRAND.com",HLOOKUP($X737&amp;$Z737,PLANNING_FC!$T$27:$AH$46,MATCH($W737,PLANNING_FC!$B$27:$B$46,0),FALSE),0),0)</f>
        <v>0</v>
      </c>
      <c r="AY737" s="58">
        <f>IFERROR(IF($V737="BRAND.com",HLOOKUP($X737&amp;$Z737,PLANNING_FC!$T$4:$AH$23,MATCH($W737,PLANNING_FC!$B$4:$B$23,0),FALSE),0),0)</f>
        <v>0</v>
      </c>
      <c r="AZ737" s="58">
        <f>IFERROR(IF($V737="BRAND.com",HLOOKUP($X737&amp;$Z737,PLANNING_FC!$DA$27:$DO$46,MATCH($W737,PLANNING_FC!$CZ$27:$CZ$46,0),FALSE),0),0)</f>
        <v>0</v>
      </c>
      <c r="BA737" s="58">
        <f>IFERROR(IF($V737="BRAND.com",HLOOKUP($X737&amp;$Z737,PLANNING_FC!$DA$4:$DO$23,MATCH($W737,PLANNING_FC!$CZ$4:$CZ$23,0),FALSE),0),0)</f>
        <v>0</v>
      </c>
      <c r="BB737" s="883" t="str">
        <f>IF(V737="BRAND.com",IFERROR(HLOOKUP(X737&amp;Z737,PLANNING_FC!$AK$4:$AY$23,MATCH(W737,PLANNING_FC!$AJ$4:$AJ$23,0),FALSE)*1000,""),"")</f>
        <v/>
      </c>
      <c r="BC737" s="883" t="str">
        <f>IF(V737="BRAND.com",IFERROR(HLOOKUP(X737&amp;Z737,PLANNING_FC!$AK$27:$AY$46,MATCH(W737,PLANNING_FC!$AJ$27:$AJ$46,0),FALSE)*1000,""),"")</f>
        <v/>
      </c>
    </row>
    <row r="738" spans="14:55" x14ac:dyDescent="0.25">
      <c r="N738" s="56">
        <f t="shared" si="284"/>
        <v>0</v>
      </c>
      <c r="O738" s="57">
        <f t="shared" si="285"/>
        <v>0</v>
      </c>
      <c r="P738" s="57">
        <f ca="1">IFERROR(IF(ISBLANK(H738),SUMIFS($AC:$AC,$V:$V,V738,$W:$W,W738,$X:$X,X738,$Y:$Y,Y738)*J738/(1-J738)*VLOOKUP(_xlfn.CONCAT(C738,D738,E738,TIME!$M$12,Z738),HIS_SALES!$B$2:$W$4859,20,FALSE),AC738*J738/(1-J738)),0)</f>
        <v>0</v>
      </c>
      <c r="Q738" s="541" t="str">
        <f t="shared" si="286"/>
        <v/>
      </c>
      <c r="R738" s="346" t="str">
        <f t="shared" si="287"/>
        <v>00000</v>
      </c>
      <c r="S738" s="344">
        <f t="shared" si="288"/>
        <v>0</v>
      </c>
      <c r="T738" s="345" t="str">
        <f t="shared" si="301"/>
        <v>000</v>
      </c>
      <c r="U738" s="345">
        <f t="shared" si="289"/>
        <v>0</v>
      </c>
      <c r="V738" s="345">
        <f t="shared" si="290"/>
        <v>0</v>
      </c>
      <c r="W738" s="345">
        <f t="shared" si="291"/>
        <v>0</v>
      </c>
      <c r="X738" s="345">
        <f t="shared" si="292"/>
        <v>0</v>
      </c>
      <c r="Y738" s="345">
        <f t="shared" si="293"/>
        <v>0</v>
      </c>
      <c r="Z738" s="345">
        <f>IF(Q738&lt;&gt;"",VLOOKUP(Y738,TIME!$R$21:$V$24,MATCH(FC_DATA!Q738,TIME!$R$20:$V$20,0),FALSE),H738)</f>
        <v>0</v>
      </c>
      <c r="AA738" s="345" t="str">
        <f>IFERROR(VLOOKUP(X738&amp;Z738,TIME!$A$12:$D$71,4,FALSE),"")</f>
        <v/>
      </c>
      <c r="AB738" s="592">
        <f t="shared" ca="1" si="294"/>
        <v>0</v>
      </c>
      <c r="AC738" s="593" t="e">
        <f ca="1">IF(ISBLANK(H738)=FALSE,IF(D738="BRAND.com",I738,IF(ISNA(VLOOKUP(_xlfn.CONCAT(X738,Z738),TIME!$M$40:$M$42,1,FALSE)),I738,VLOOKUP(_xlfn.CONCAT(D738,G738,H738),M_BUSAREA_FC!$AF$5:$AJ$10,5,FALSE)*HLOOKUP(_xlfn.CONCAT(F738,H738),ST_OVERVIEW!$G$99:$I$130,MATCH(_xlfn.CONCAT(D738,E738),ST_OVERVIEW!$F$99:$F$130,0),FALSE))),IF(D738="BRAND.com",VLOOKUP(_xlfn.CONCAT(C738,D738,E738,TIME!$F$1,Z738),HIS_SALES!$B$2:$V$4859,19,FALSE)*I738,VLOOKUP(_xlfn.CONCAT(D738,F738,G738),Q_BUSAREA_FC!$AE$5:$AI$12,5,FALSE)*HLOOKUP(_xlfn.CONCAT(FC_DATA!F738,FC_DATA!G738),LT_OVERVIEW!$I$99:$M$130,MATCH(_xlfn.CONCAT(D738,FC_DATA!E738),LT_OVERVIEW!$H$99:$H$130,0),FALSE)*IFERROR(VLOOKUP(_xlfn.CONCAT(C738,D738,E738,TIME!$F$1,Z738),HIS_SALES!$B$2:$V$4859,19,FALSE),0)))</f>
        <v>#N/A</v>
      </c>
      <c r="AD738" s="341">
        <f t="shared" ca="1" si="295"/>
        <v>0</v>
      </c>
      <c r="AE738" s="363" t="str">
        <f t="shared" si="296"/>
        <v/>
      </c>
      <c r="AF738" s="342" t="str">
        <f t="shared" si="297"/>
        <v/>
      </c>
      <c r="AG738" s="411" t="e">
        <f ca="1">VLOOKUP(_xlfn.CONCAT(U738,V738,W738,VLOOKUP(X738&amp;Y738,TIME!$L$27:$O$34,4,FALSE),Y738),HIS_SALES!$A$2:$R$5093,18,FALSE)</f>
        <v>#N/A</v>
      </c>
      <c r="AH738" s="412" t="e">
        <f ca="1">IFERROR(IF(AND(V738=V737,W738=W737),0.5*(AB738+AB737)*AG738,(VLOOKUP(_xlfn.CONCAT(U738,V738,W738,X738,VLOOKUP(Z738,TIME!$S$28:$T$39,2,FALSE)),FC_DATA!$R$2:$AB$5000,MATCH("GS_I_M",FC_DATA!$R$1:$AB$1,0),FALSE)+FC_DATA!AB738)*0.5*FC_DATA!AG738),NA())</f>
        <v>#N/A</v>
      </c>
      <c r="AI738" s="491" t="e">
        <f ca="1">IF(V738="PARTNER.com",AH738,IF(AND(V738=V737,W738=W737),(1-AVERAGE(AD737,AD738))*AH738,(1-AVERAGE(AD738,VLOOKUP(_xlfn.CONCAT(U738,V738,W738,X738,M_BRAND_FC!$F$6),FC_DATA!$R$2:$AD$5000,MATCH("DISCOUNT_%_M",FC_DATA!$R$1:$AD$1,0),FALSE)))*AH738))</f>
        <v>#N/A</v>
      </c>
      <c r="AJ738" s="412" t="str">
        <f t="shared" ca="1" si="298"/>
        <v/>
      </c>
      <c r="AK738" s="413" t="str">
        <f>IFERROR(AE738/(Q_BRAND_FC!$T$24+1),"")</f>
        <v/>
      </c>
      <c r="AL738" s="88" t="str">
        <f t="shared" ca="1" si="299"/>
        <v/>
      </c>
      <c r="AM738" s="414" t="str">
        <f t="shared" ca="1" si="300"/>
        <v/>
      </c>
      <c r="AN738" s="58">
        <f>IFERROR(IF($V738="BRAND.com",HLOOKUP($X738&amp;$Z738,NWC_FC_NOOS!$C$4:$Q$23,MATCH(W738,NWC_FC_NOOS!$B$4:$B$23,0),FALSE),0),0)</f>
        <v>0</v>
      </c>
      <c r="AO738" s="57">
        <f>IFERROR(IF($V738="BRAND.com",HLOOKUP($X738&amp;$Z738,NWC_FC_NOOS!$T$4:$AH$23,MATCH(W738,NWC_FC_NOOS!$S$4:$S$23,0),FALSE),0),0)</f>
        <v>0</v>
      </c>
      <c r="AP738" s="57">
        <f>IFERROR(IF($V738="BRAND.com",HLOOKUP($X738&amp;$Z738,NWC_FC_NOOS!$C$50:$U$69,MATCH(W738,NWC_FC_NOOS!$B$50:$B$69,0),FALSE),0),0)</f>
        <v>0</v>
      </c>
      <c r="AQ738" s="58">
        <f>IFERROR(IF($V738="BRAND.com",HLOOKUP($X738&amp;$Z738,'NWC_FC_NON-NOOS'!$C$4:$Q$23,MATCH(W738,'NWC_FC_NON-NOOS'!$B$4:$B$23,0),FALSE),0),0)</f>
        <v>0</v>
      </c>
      <c r="AR738" s="57">
        <f>IFERROR(IF($V738="BRAND.com",HLOOKUP($X738&amp;$Z738,'NWC_FC_NON-NOOS'!$T$4:$AH$23,MATCH(W738,'NWC_FC_NON-NOOS'!$S$4:$S$23,0),FALSE),0),0)</f>
        <v>0</v>
      </c>
      <c r="AS738" s="57">
        <f>IFERROR(IF($V738="BRAND.com",HLOOKUP($X738&amp;$Z738,'NWC_FC_NON-NOOS'!$C$50:$U$69,MATCH(W738,'NWC_FC_NON-NOOS'!$B$50:$B$69,0),FALSE),0),0)</f>
        <v>0</v>
      </c>
      <c r="AT738" s="57">
        <f t="shared" si="302"/>
        <v>0</v>
      </c>
      <c r="AU738" s="57">
        <f t="shared" si="303"/>
        <v>0</v>
      </c>
      <c r="AV738" s="58">
        <f>IFERROR(IF($V738="BRAND.com",HLOOKUP($X738&amp;$Z738,PLANNING_FC!$BB$27:$BP$46,MATCH($W738,PLANNING_FC!$BA$27:$BA$46,0),FALSE),0),0)</f>
        <v>0</v>
      </c>
      <c r="AW738" s="58">
        <f>IFERROR(IF($V738="BRAND.com",HLOOKUP($X738&amp;$Z738,PLANNING_FC!$BB$4:$BP$23,MATCH($W738,PLANNING_FC!$BA$4:$BA$23,0),FALSE),0),0)</f>
        <v>0</v>
      </c>
      <c r="AX738" s="58">
        <f>IFERROR(IF($V738="BRAND.com",HLOOKUP($X738&amp;$Z738,PLANNING_FC!$T$27:$AH$46,MATCH($W738,PLANNING_FC!$B$27:$B$46,0),FALSE),0),0)</f>
        <v>0</v>
      </c>
      <c r="AY738" s="58">
        <f>IFERROR(IF($V738="BRAND.com",HLOOKUP($X738&amp;$Z738,PLANNING_FC!$T$4:$AH$23,MATCH($W738,PLANNING_FC!$B$4:$B$23,0),FALSE),0),0)</f>
        <v>0</v>
      </c>
      <c r="AZ738" s="58">
        <f>IFERROR(IF($V738="BRAND.com",HLOOKUP($X738&amp;$Z738,PLANNING_FC!$DA$27:$DO$46,MATCH($W738,PLANNING_FC!$CZ$27:$CZ$46,0),FALSE),0),0)</f>
        <v>0</v>
      </c>
      <c r="BA738" s="58">
        <f>IFERROR(IF($V738="BRAND.com",HLOOKUP($X738&amp;$Z738,PLANNING_FC!$DA$4:$DO$23,MATCH($W738,PLANNING_FC!$CZ$4:$CZ$23,0),FALSE),0),0)</f>
        <v>0</v>
      </c>
      <c r="BB738" s="883" t="str">
        <f>IF(V738="BRAND.com",IFERROR(HLOOKUP(X738&amp;Z738,PLANNING_FC!$AK$4:$AY$23,MATCH(W738,PLANNING_FC!$AJ$4:$AJ$23,0),FALSE)*1000,""),"")</f>
        <v/>
      </c>
      <c r="BC738" s="883" t="str">
        <f>IF(V738="BRAND.com",IFERROR(HLOOKUP(X738&amp;Z738,PLANNING_FC!$AK$27:$AY$46,MATCH(W738,PLANNING_FC!$AJ$27:$AJ$46,0),FALSE)*1000,""),"")</f>
        <v/>
      </c>
    </row>
    <row r="739" spans="14:55" x14ac:dyDescent="0.25">
      <c r="N739" s="56">
        <f t="shared" si="284"/>
        <v>0</v>
      </c>
      <c r="O739" s="57">
        <f t="shared" si="285"/>
        <v>0</v>
      </c>
      <c r="P739" s="57">
        <f ca="1">IFERROR(IF(ISBLANK(H739),SUMIFS($AC:$AC,$V:$V,V739,$W:$W,W739,$X:$X,X739,$Y:$Y,Y739)*J739/(1-J739)*VLOOKUP(_xlfn.CONCAT(C739,D739,E739,TIME!$M$12,Z739),HIS_SALES!$B$2:$W$4859,20,FALSE),AC739*J739/(1-J739)),0)</f>
        <v>0</v>
      </c>
      <c r="Q739" s="541" t="str">
        <f t="shared" si="286"/>
        <v/>
      </c>
      <c r="R739" s="346" t="str">
        <f t="shared" si="287"/>
        <v>00000</v>
      </c>
      <c r="S739" s="344">
        <f t="shared" si="288"/>
        <v>0</v>
      </c>
      <c r="T739" s="345" t="str">
        <f t="shared" si="301"/>
        <v>000</v>
      </c>
      <c r="U739" s="345">
        <f t="shared" si="289"/>
        <v>0</v>
      </c>
      <c r="V739" s="345">
        <f t="shared" si="290"/>
        <v>0</v>
      </c>
      <c r="W739" s="345">
        <f t="shared" si="291"/>
        <v>0</v>
      </c>
      <c r="X739" s="345">
        <f t="shared" si="292"/>
        <v>0</v>
      </c>
      <c r="Y739" s="345">
        <f t="shared" si="293"/>
        <v>0</v>
      </c>
      <c r="Z739" s="345">
        <f>IF(Q739&lt;&gt;"",VLOOKUP(Y739,TIME!$R$21:$V$24,MATCH(FC_DATA!Q739,TIME!$R$20:$V$20,0),FALSE),H739)</f>
        <v>0</v>
      </c>
      <c r="AA739" s="345" t="str">
        <f>IFERROR(VLOOKUP(X739&amp;Z739,TIME!$A$12:$D$71,4,FALSE),"")</f>
        <v/>
      </c>
      <c r="AB739" s="592">
        <f t="shared" ca="1" si="294"/>
        <v>0</v>
      </c>
      <c r="AC739" s="593" t="e">
        <f ca="1">IF(ISBLANK(H739)=FALSE,IF(D739="BRAND.com",I739,IF(ISNA(VLOOKUP(_xlfn.CONCAT(X739,Z739),TIME!$M$40:$M$42,1,FALSE)),I739,VLOOKUP(_xlfn.CONCAT(D739,G739,H739),M_BUSAREA_FC!$AF$5:$AJ$10,5,FALSE)*HLOOKUP(_xlfn.CONCAT(F739,H739),ST_OVERVIEW!$G$99:$I$130,MATCH(_xlfn.CONCAT(D739,E739),ST_OVERVIEW!$F$99:$F$130,0),FALSE))),IF(D739="BRAND.com",VLOOKUP(_xlfn.CONCAT(C739,D739,E739,TIME!$F$1,Z739),HIS_SALES!$B$2:$V$4859,19,FALSE)*I739,VLOOKUP(_xlfn.CONCAT(D739,F739,G739),Q_BUSAREA_FC!$AE$5:$AI$12,5,FALSE)*HLOOKUP(_xlfn.CONCAT(FC_DATA!F739,FC_DATA!G739),LT_OVERVIEW!$I$99:$M$130,MATCH(_xlfn.CONCAT(D739,FC_DATA!E739),LT_OVERVIEW!$H$99:$H$130,0),FALSE)*IFERROR(VLOOKUP(_xlfn.CONCAT(C739,D739,E739,TIME!$F$1,Z739),HIS_SALES!$B$2:$V$4859,19,FALSE),0)))</f>
        <v>#N/A</v>
      </c>
      <c r="AD739" s="341">
        <f t="shared" ca="1" si="295"/>
        <v>0</v>
      </c>
      <c r="AE739" s="363" t="str">
        <f t="shared" si="296"/>
        <v/>
      </c>
      <c r="AF739" s="342" t="str">
        <f t="shared" si="297"/>
        <v/>
      </c>
      <c r="AG739" s="411" t="e">
        <f ca="1">VLOOKUP(_xlfn.CONCAT(U739,V739,W739,VLOOKUP(X739&amp;Y739,TIME!$L$27:$O$34,4,FALSE),Y739),HIS_SALES!$A$2:$R$5093,18,FALSE)</f>
        <v>#N/A</v>
      </c>
      <c r="AH739" s="412" t="e">
        <f ca="1">IFERROR(IF(AND(V739=V738,W739=W738),0.5*(AB739+AB738)*AG739,(VLOOKUP(_xlfn.CONCAT(U739,V739,W739,X739,VLOOKUP(Z739,TIME!$S$28:$T$39,2,FALSE)),FC_DATA!$R$2:$AB$5000,MATCH("GS_I_M",FC_DATA!$R$1:$AB$1,0),FALSE)+FC_DATA!AB739)*0.5*FC_DATA!AG739),NA())</f>
        <v>#N/A</v>
      </c>
      <c r="AI739" s="491" t="e">
        <f ca="1">IF(V739="PARTNER.com",AH739,IF(AND(V739=V738,W739=W738),(1-AVERAGE(AD738,AD739))*AH739,(1-AVERAGE(AD739,VLOOKUP(_xlfn.CONCAT(U739,V739,W739,X739,M_BRAND_FC!$F$6),FC_DATA!$R$2:$AD$5000,MATCH("DISCOUNT_%_M",FC_DATA!$R$1:$AD$1,0),FALSE)))*AH739))</f>
        <v>#N/A</v>
      </c>
      <c r="AJ739" s="412" t="str">
        <f t="shared" ca="1" si="298"/>
        <v/>
      </c>
      <c r="AK739" s="413" t="str">
        <f>IFERROR(AE739/(Q_BRAND_FC!$T$24+1),"")</f>
        <v/>
      </c>
      <c r="AL739" s="88" t="str">
        <f t="shared" ca="1" si="299"/>
        <v/>
      </c>
      <c r="AM739" s="414" t="str">
        <f t="shared" ca="1" si="300"/>
        <v/>
      </c>
      <c r="AN739" s="58">
        <f>IFERROR(IF($V739="BRAND.com",HLOOKUP($X739&amp;$Z739,NWC_FC_NOOS!$C$4:$Q$23,MATCH(W739,NWC_FC_NOOS!$B$4:$B$23,0),FALSE),0),0)</f>
        <v>0</v>
      </c>
      <c r="AO739" s="57">
        <f>IFERROR(IF($V739="BRAND.com",HLOOKUP($X739&amp;$Z739,NWC_FC_NOOS!$T$4:$AH$23,MATCH(W739,NWC_FC_NOOS!$S$4:$S$23,0),FALSE),0),0)</f>
        <v>0</v>
      </c>
      <c r="AP739" s="57">
        <f>IFERROR(IF($V739="BRAND.com",HLOOKUP($X739&amp;$Z739,NWC_FC_NOOS!$C$50:$U$69,MATCH(W739,NWC_FC_NOOS!$B$50:$B$69,0),FALSE),0),0)</f>
        <v>0</v>
      </c>
      <c r="AQ739" s="58">
        <f>IFERROR(IF($V739="BRAND.com",HLOOKUP($X739&amp;$Z739,'NWC_FC_NON-NOOS'!$C$4:$Q$23,MATCH(W739,'NWC_FC_NON-NOOS'!$B$4:$B$23,0),FALSE),0),0)</f>
        <v>0</v>
      </c>
      <c r="AR739" s="57">
        <f>IFERROR(IF($V739="BRAND.com",HLOOKUP($X739&amp;$Z739,'NWC_FC_NON-NOOS'!$T$4:$AH$23,MATCH(W739,'NWC_FC_NON-NOOS'!$S$4:$S$23,0),FALSE),0),0)</f>
        <v>0</v>
      </c>
      <c r="AS739" s="57">
        <f>IFERROR(IF($V739="BRAND.com",HLOOKUP($X739&amp;$Z739,'NWC_FC_NON-NOOS'!$C$50:$U$69,MATCH(W739,'NWC_FC_NON-NOOS'!$B$50:$B$69,0),FALSE),0),0)</f>
        <v>0</v>
      </c>
      <c r="AT739" s="57">
        <f t="shared" si="302"/>
        <v>0</v>
      </c>
      <c r="AU739" s="57">
        <f t="shared" si="303"/>
        <v>0</v>
      </c>
      <c r="AV739" s="58">
        <f>IFERROR(IF($V739="BRAND.com",HLOOKUP($X739&amp;$Z739,PLANNING_FC!$BB$27:$BP$46,MATCH($W739,PLANNING_FC!$BA$27:$BA$46,0),FALSE),0),0)</f>
        <v>0</v>
      </c>
      <c r="AW739" s="58">
        <f>IFERROR(IF($V739="BRAND.com",HLOOKUP($X739&amp;$Z739,PLANNING_FC!$BB$4:$BP$23,MATCH($W739,PLANNING_FC!$BA$4:$BA$23,0),FALSE),0),0)</f>
        <v>0</v>
      </c>
      <c r="AX739" s="58">
        <f>IFERROR(IF($V739="BRAND.com",HLOOKUP($X739&amp;$Z739,PLANNING_FC!$T$27:$AH$46,MATCH($W739,PLANNING_FC!$B$27:$B$46,0),FALSE),0),0)</f>
        <v>0</v>
      </c>
      <c r="AY739" s="58">
        <f>IFERROR(IF($V739="BRAND.com",HLOOKUP($X739&amp;$Z739,PLANNING_FC!$T$4:$AH$23,MATCH($W739,PLANNING_FC!$B$4:$B$23,0),FALSE),0),0)</f>
        <v>0</v>
      </c>
      <c r="AZ739" s="58">
        <f>IFERROR(IF($V739="BRAND.com",HLOOKUP($X739&amp;$Z739,PLANNING_FC!$DA$27:$DO$46,MATCH($W739,PLANNING_FC!$CZ$27:$CZ$46,0),FALSE),0),0)</f>
        <v>0</v>
      </c>
      <c r="BA739" s="58">
        <f>IFERROR(IF($V739="BRAND.com",HLOOKUP($X739&amp;$Z739,PLANNING_FC!$DA$4:$DO$23,MATCH($W739,PLANNING_FC!$CZ$4:$CZ$23,0),FALSE),0),0)</f>
        <v>0</v>
      </c>
      <c r="BB739" s="883" t="str">
        <f>IF(V739="BRAND.com",IFERROR(HLOOKUP(X739&amp;Z739,PLANNING_FC!$AK$4:$AY$23,MATCH(W739,PLANNING_FC!$AJ$4:$AJ$23,0),FALSE)*1000,""),"")</f>
        <v/>
      </c>
      <c r="BC739" s="883" t="str">
        <f>IF(V739="BRAND.com",IFERROR(HLOOKUP(X739&amp;Z739,PLANNING_FC!$AK$27:$AY$46,MATCH(W739,PLANNING_FC!$AJ$27:$AJ$46,0),FALSE)*1000,""),"")</f>
        <v/>
      </c>
    </row>
    <row r="740" spans="14:55" x14ac:dyDescent="0.25">
      <c r="N740" s="56">
        <f t="shared" si="284"/>
        <v>0</v>
      </c>
      <c r="O740" s="57">
        <f t="shared" si="285"/>
        <v>0</v>
      </c>
      <c r="P740" s="57">
        <f ca="1">IFERROR(IF(ISBLANK(H740),SUMIFS($AC:$AC,$V:$V,V740,$W:$W,W740,$X:$X,X740,$Y:$Y,Y740)*J740/(1-J740)*VLOOKUP(_xlfn.CONCAT(C740,D740,E740,TIME!$M$12,Z740),HIS_SALES!$B$2:$W$4859,20,FALSE),AC740*J740/(1-J740)),0)</f>
        <v>0</v>
      </c>
      <c r="Q740" s="541" t="str">
        <f t="shared" si="286"/>
        <v/>
      </c>
      <c r="R740" s="346" t="str">
        <f t="shared" si="287"/>
        <v>00000</v>
      </c>
      <c r="S740" s="344">
        <f t="shared" si="288"/>
        <v>0</v>
      </c>
      <c r="T740" s="345" t="str">
        <f t="shared" si="301"/>
        <v>000</v>
      </c>
      <c r="U740" s="345">
        <f t="shared" si="289"/>
        <v>0</v>
      </c>
      <c r="V740" s="345">
        <f t="shared" si="290"/>
        <v>0</v>
      </c>
      <c r="W740" s="345">
        <f t="shared" si="291"/>
        <v>0</v>
      </c>
      <c r="X740" s="345">
        <f t="shared" si="292"/>
        <v>0</v>
      </c>
      <c r="Y740" s="345">
        <f t="shared" si="293"/>
        <v>0</v>
      </c>
      <c r="Z740" s="345">
        <f>IF(Q740&lt;&gt;"",VLOOKUP(Y740,TIME!$R$21:$V$24,MATCH(FC_DATA!Q740,TIME!$R$20:$V$20,0),FALSE),H740)</f>
        <v>0</v>
      </c>
      <c r="AA740" s="345" t="str">
        <f>IFERROR(VLOOKUP(X740&amp;Z740,TIME!$A$12:$D$71,4,FALSE),"")</f>
        <v/>
      </c>
      <c r="AB740" s="592">
        <f t="shared" ca="1" si="294"/>
        <v>0</v>
      </c>
      <c r="AC740" s="593" t="e">
        <f ca="1">IF(ISBLANK(H740)=FALSE,IF(D740="BRAND.com",I740,IF(ISNA(VLOOKUP(_xlfn.CONCAT(X740,Z740),TIME!$M$40:$M$42,1,FALSE)),I740,VLOOKUP(_xlfn.CONCAT(D740,G740,H740),M_BUSAREA_FC!$AF$5:$AJ$10,5,FALSE)*HLOOKUP(_xlfn.CONCAT(F740,H740),ST_OVERVIEW!$G$99:$I$130,MATCH(_xlfn.CONCAT(D740,E740),ST_OVERVIEW!$F$99:$F$130,0),FALSE))),IF(D740="BRAND.com",VLOOKUP(_xlfn.CONCAT(C740,D740,E740,TIME!$F$1,Z740),HIS_SALES!$B$2:$V$4859,19,FALSE)*I740,VLOOKUP(_xlfn.CONCAT(D740,F740,G740),Q_BUSAREA_FC!$AE$5:$AI$12,5,FALSE)*HLOOKUP(_xlfn.CONCAT(FC_DATA!F740,FC_DATA!G740),LT_OVERVIEW!$I$99:$M$130,MATCH(_xlfn.CONCAT(D740,FC_DATA!E740),LT_OVERVIEW!$H$99:$H$130,0),FALSE)*IFERROR(VLOOKUP(_xlfn.CONCAT(C740,D740,E740,TIME!$F$1,Z740),HIS_SALES!$B$2:$V$4859,19,FALSE),0)))</f>
        <v>#N/A</v>
      </c>
      <c r="AD740" s="341">
        <f t="shared" ca="1" si="295"/>
        <v>0</v>
      </c>
      <c r="AE740" s="363" t="str">
        <f t="shared" si="296"/>
        <v/>
      </c>
      <c r="AF740" s="342" t="str">
        <f t="shared" si="297"/>
        <v/>
      </c>
      <c r="AG740" s="411" t="e">
        <f ca="1">VLOOKUP(_xlfn.CONCAT(U740,V740,W740,VLOOKUP(X740&amp;Y740,TIME!$L$27:$O$34,4,FALSE),Y740),HIS_SALES!$A$2:$R$5093,18,FALSE)</f>
        <v>#N/A</v>
      </c>
      <c r="AH740" s="412" t="e">
        <f ca="1">IFERROR(IF(AND(V740=V739,W740=W739),0.5*(AB740+AB739)*AG740,(VLOOKUP(_xlfn.CONCAT(U740,V740,W740,X740,VLOOKUP(Z740,TIME!$S$28:$T$39,2,FALSE)),FC_DATA!$R$2:$AB$5000,MATCH("GS_I_M",FC_DATA!$R$1:$AB$1,0),FALSE)+FC_DATA!AB740)*0.5*FC_DATA!AG740),NA())</f>
        <v>#N/A</v>
      </c>
      <c r="AI740" s="491" t="e">
        <f ca="1">IF(V740="PARTNER.com",AH740,IF(AND(V740=V739,W740=W739),(1-AVERAGE(AD739,AD740))*AH740,(1-AVERAGE(AD740,VLOOKUP(_xlfn.CONCAT(U740,V740,W740,X740,M_BRAND_FC!$F$6),FC_DATA!$R$2:$AD$5000,MATCH("DISCOUNT_%_M",FC_DATA!$R$1:$AD$1,0),FALSE)))*AH740))</f>
        <v>#N/A</v>
      </c>
      <c r="AJ740" s="412" t="str">
        <f t="shared" ca="1" si="298"/>
        <v/>
      </c>
      <c r="AK740" s="413" t="str">
        <f>IFERROR(AE740/(Q_BRAND_FC!$T$24+1),"")</f>
        <v/>
      </c>
      <c r="AL740" s="88" t="str">
        <f t="shared" ca="1" si="299"/>
        <v/>
      </c>
      <c r="AM740" s="414" t="str">
        <f t="shared" ca="1" si="300"/>
        <v/>
      </c>
      <c r="AN740" s="58">
        <f>IFERROR(IF($V740="BRAND.com",HLOOKUP($X740&amp;$Z740,NWC_FC_NOOS!$C$4:$Q$23,MATCH(W740,NWC_FC_NOOS!$B$4:$B$23,0),FALSE),0),0)</f>
        <v>0</v>
      </c>
      <c r="AO740" s="57">
        <f>IFERROR(IF($V740="BRAND.com",HLOOKUP($X740&amp;$Z740,NWC_FC_NOOS!$T$4:$AH$23,MATCH(W740,NWC_FC_NOOS!$S$4:$S$23,0),FALSE),0),0)</f>
        <v>0</v>
      </c>
      <c r="AP740" s="57">
        <f>IFERROR(IF($V740="BRAND.com",HLOOKUP($X740&amp;$Z740,NWC_FC_NOOS!$C$50:$U$69,MATCH(W740,NWC_FC_NOOS!$B$50:$B$69,0),FALSE),0),0)</f>
        <v>0</v>
      </c>
      <c r="AQ740" s="58">
        <f>IFERROR(IF($V740="BRAND.com",HLOOKUP($X740&amp;$Z740,'NWC_FC_NON-NOOS'!$C$4:$Q$23,MATCH(W740,'NWC_FC_NON-NOOS'!$B$4:$B$23,0),FALSE),0),0)</f>
        <v>0</v>
      </c>
      <c r="AR740" s="57">
        <f>IFERROR(IF($V740="BRAND.com",HLOOKUP($X740&amp;$Z740,'NWC_FC_NON-NOOS'!$T$4:$AH$23,MATCH(W740,'NWC_FC_NON-NOOS'!$S$4:$S$23,0),FALSE),0),0)</f>
        <v>0</v>
      </c>
      <c r="AS740" s="57">
        <f>IFERROR(IF($V740="BRAND.com",HLOOKUP($X740&amp;$Z740,'NWC_FC_NON-NOOS'!$C$50:$U$69,MATCH(W740,'NWC_FC_NON-NOOS'!$B$50:$B$69,0),FALSE),0),0)</f>
        <v>0</v>
      </c>
      <c r="AT740" s="57">
        <f t="shared" si="302"/>
        <v>0</v>
      </c>
      <c r="AU740" s="57">
        <f t="shared" si="303"/>
        <v>0</v>
      </c>
      <c r="AV740" s="58">
        <f>IFERROR(IF($V740="BRAND.com",HLOOKUP($X740&amp;$Z740,PLANNING_FC!$BB$27:$BP$46,MATCH($W740,PLANNING_FC!$BA$27:$BA$46,0),FALSE),0),0)</f>
        <v>0</v>
      </c>
      <c r="AW740" s="58">
        <f>IFERROR(IF($V740="BRAND.com",HLOOKUP($X740&amp;$Z740,PLANNING_FC!$BB$4:$BP$23,MATCH($W740,PLANNING_FC!$BA$4:$BA$23,0),FALSE),0),0)</f>
        <v>0</v>
      </c>
      <c r="AX740" s="58">
        <f>IFERROR(IF($V740="BRAND.com",HLOOKUP($X740&amp;$Z740,PLANNING_FC!$T$27:$AH$46,MATCH($W740,PLANNING_FC!$B$27:$B$46,0),FALSE),0),0)</f>
        <v>0</v>
      </c>
      <c r="AY740" s="58">
        <f>IFERROR(IF($V740="BRAND.com",HLOOKUP($X740&amp;$Z740,PLANNING_FC!$T$4:$AH$23,MATCH($W740,PLANNING_FC!$B$4:$B$23,0),FALSE),0),0)</f>
        <v>0</v>
      </c>
      <c r="AZ740" s="58">
        <f>IFERROR(IF($V740="BRAND.com",HLOOKUP($X740&amp;$Z740,PLANNING_FC!$DA$27:$DO$46,MATCH($W740,PLANNING_FC!$CZ$27:$CZ$46,0),FALSE),0),0)</f>
        <v>0</v>
      </c>
      <c r="BA740" s="58">
        <f>IFERROR(IF($V740="BRAND.com",HLOOKUP($X740&amp;$Z740,PLANNING_FC!$DA$4:$DO$23,MATCH($W740,PLANNING_FC!$CZ$4:$CZ$23,0),FALSE),0),0)</f>
        <v>0</v>
      </c>
      <c r="BB740" s="883" t="str">
        <f>IF(V740="BRAND.com",IFERROR(HLOOKUP(X740&amp;Z740,PLANNING_FC!$AK$4:$AY$23,MATCH(W740,PLANNING_FC!$AJ$4:$AJ$23,0),FALSE)*1000,""),"")</f>
        <v/>
      </c>
      <c r="BC740" s="883" t="str">
        <f>IF(V740="BRAND.com",IFERROR(HLOOKUP(X740&amp;Z740,PLANNING_FC!$AK$27:$AY$46,MATCH(W740,PLANNING_FC!$AJ$27:$AJ$46,0),FALSE)*1000,""),"")</f>
        <v/>
      </c>
    </row>
    <row r="741" spans="14:55" x14ac:dyDescent="0.25">
      <c r="N741" s="56">
        <f t="shared" si="284"/>
        <v>0</v>
      </c>
      <c r="O741" s="57">
        <f t="shared" si="285"/>
        <v>0</v>
      </c>
      <c r="P741" s="57">
        <f ca="1">IFERROR(IF(ISBLANK(H741),SUMIFS($AC:$AC,$V:$V,V741,$W:$W,W741,$X:$X,X741,$Y:$Y,Y741)*J741/(1-J741)*VLOOKUP(_xlfn.CONCAT(C741,D741,E741,TIME!$M$12,Z741),HIS_SALES!$B$2:$W$4859,20,FALSE),AC741*J741/(1-J741)),0)</f>
        <v>0</v>
      </c>
      <c r="Q741" s="541" t="str">
        <f t="shared" si="286"/>
        <v/>
      </c>
      <c r="R741" s="346" t="str">
        <f t="shared" si="287"/>
        <v>00000</v>
      </c>
      <c r="S741" s="344">
        <f t="shared" si="288"/>
        <v>0</v>
      </c>
      <c r="T741" s="345" t="str">
        <f t="shared" si="301"/>
        <v>000</v>
      </c>
      <c r="U741" s="345">
        <f t="shared" si="289"/>
        <v>0</v>
      </c>
      <c r="V741" s="345">
        <f t="shared" si="290"/>
        <v>0</v>
      </c>
      <c r="W741" s="345">
        <f t="shared" si="291"/>
        <v>0</v>
      </c>
      <c r="X741" s="345">
        <f t="shared" si="292"/>
        <v>0</v>
      </c>
      <c r="Y741" s="345">
        <f t="shared" si="293"/>
        <v>0</v>
      </c>
      <c r="Z741" s="345">
        <f>IF(Q741&lt;&gt;"",VLOOKUP(Y741,TIME!$R$21:$V$24,MATCH(FC_DATA!Q741,TIME!$R$20:$V$20,0),FALSE),H741)</f>
        <v>0</v>
      </c>
      <c r="AA741" s="345" t="str">
        <f>IFERROR(VLOOKUP(X741&amp;Z741,TIME!$A$12:$D$71,4,FALSE),"")</f>
        <v/>
      </c>
      <c r="AB741" s="592">
        <f t="shared" ca="1" si="294"/>
        <v>0</v>
      </c>
      <c r="AC741" s="593" t="e">
        <f ca="1">IF(ISBLANK(H741)=FALSE,IF(D741="BRAND.com",I741,IF(ISNA(VLOOKUP(_xlfn.CONCAT(X741,Z741),TIME!$M$40:$M$42,1,FALSE)),I741,VLOOKUP(_xlfn.CONCAT(D741,G741,H741),M_BUSAREA_FC!$AF$5:$AJ$10,5,FALSE)*HLOOKUP(_xlfn.CONCAT(F741,H741),ST_OVERVIEW!$G$99:$I$130,MATCH(_xlfn.CONCAT(D741,E741),ST_OVERVIEW!$F$99:$F$130,0),FALSE))),IF(D741="BRAND.com",VLOOKUP(_xlfn.CONCAT(C741,D741,E741,TIME!$F$1,Z741),HIS_SALES!$B$2:$V$4859,19,FALSE)*I741,VLOOKUP(_xlfn.CONCAT(D741,F741,G741),Q_BUSAREA_FC!$AE$5:$AI$12,5,FALSE)*HLOOKUP(_xlfn.CONCAT(FC_DATA!F741,FC_DATA!G741),LT_OVERVIEW!$I$99:$M$130,MATCH(_xlfn.CONCAT(D741,FC_DATA!E741),LT_OVERVIEW!$H$99:$H$130,0),FALSE)*IFERROR(VLOOKUP(_xlfn.CONCAT(C741,D741,E741,TIME!$F$1,Z741),HIS_SALES!$B$2:$V$4859,19,FALSE),0)))</f>
        <v>#N/A</v>
      </c>
      <c r="AD741" s="341">
        <f t="shared" ca="1" si="295"/>
        <v>0</v>
      </c>
      <c r="AE741" s="363" t="str">
        <f t="shared" si="296"/>
        <v/>
      </c>
      <c r="AF741" s="342" t="str">
        <f t="shared" si="297"/>
        <v/>
      </c>
      <c r="AG741" s="411" t="e">
        <f ca="1">VLOOKUP(_xlfn.CONCAT(U741,V741,W741,VLOOKUP(X741&amp;Y741,TIME!$L$27:$O$34,4,FALSE),Y741),HIS_SALES!$A$2:$R$5093,18,FALSE)</f>
        <v>#N/A</v>
      </c>
      <c r="AH741" s="412" t="e">
        <f ca="1">IFERROR(IF(AND(V741=V740,W741=W740),0.5*(AB741+AB740)*AG741,(VLOOKUP(_xlfn.CONCAT(U741,V741,W741,X741,VLOOKUP(Z741,TIME!$S$28:$T$39,2,FALSE)),FC_DATA!$R$2:$AB$5000,MATCH("GS_I_M",FC_DATA!$R$1:$AB$1,0),FALSE)+FC_DATA!AB741)*0.5*FC_DATA!AG741),NA())</f>
        <v>#N/A</v>
      </c>
      <c r="AI741" s="491" t="e">
        <f ca="1">IF(V741="PARTNER.com",AH741,IF(AND(V741=V740,W741=W740),(1-AVERAGE(AD740,AD741))*AH741,(1-AVERAGE(AD741,VLOOKUP(_xlfn.CONCAT(U741,V741,W741,X741,M_BRAND_FC!$F$6),FC_DATA!$R$2:$AD$5000,MATCH("DISCOUNT_%_M",FC_DATA!$R$1:$AD$1,0),FALSE)))*AH741))</f>
        <v>#N/A</v>
      </c>
      <c r="AJ741" s="412" t="str">
        <f t="shared" ca="1" si="298"/>
        <v/>
      </c>
      <c r="AK741" s="413" t="str">
        <f>IFERROR(AE741/(Q_BRAND_FC!$T$24+1),"")</f>
        <v/>
      </c>
      <c r="AL741" s="88" t="str">
        <f t="shared" ca="1" si="299"/>
        <v/>
      </c>
      <c r="AM741" s="414" t="str">
        <f t="shared" ca="1" si="300"/>
        <v/>
      </c>
      <c r="AN741" s="58">
        <f>IFERROR(IF($V741="BRAND.com",HLOOKUP($X741&amp;$Z741,NWC_FC_NOOS!$C$4:$Q$23,MATCH(W741,NWC_FC_NOOS!$B$4:$B$23,0),FALSE),0),0)</f>
        <v>0</v>
      </c>
      <c r="AO741" s="57">
        <f>IFERROR(IF($V741="BRAND.com",HLOOKUP($X741&amp;$Z741,NWC_FC_NOOS!$T$4:$AH$23,MATCH(W741,NWC_FC_NOOS!$S$4:$S$23,0),FALSE),0),0)</f>
        <v>0</v>
      </c>
      <c r="AP741" s="57">
        <f>IFERROR(IF($V741="BRAND.com",HLOOKUP($X741&amp;$Z741,NWC_FC_NOOS!$C$50:$U$69,MATCH(W741,NWC_FC_NOOS!$B$50:$B$69,0),FALSE),0),0)</f>
        <v>0</v>
      </c>
      <c r="AQ741" s="58">
        <f>IFERROR(IF($V741="BRAND.com",HLOOKUP($X741&amp;$Z741,'NWC_FC_NON-NOOS'!$C$4:$Q$23,MATCH(W741,'NWC_FC_NON-NOOS'!$B$4:$B$23,0),FALSE),0),0)</f>
        <v>0</v>
      </c>
      <c r="AR741" s="57">
        <f>IFERROR(IF($V741="BRAND.com",HLOOKUP($X741&amp;$Z741,'NWC_FC_NON-NOOS'!$T$4:$AH$23,MATCH(W741,'NWC_FC_NON-NOOS'!$S$4:$S$23,0),FALSE),0),0)</f>
        <v>0</v>
      </c>
      <c r="AS741" s="57">
        <f>IFERROR(IF($V741="BRAND.com",HLOOKUP($X741&amp;$Z741,'NWC_FC_NON-NOOS'!$C$50:$U$69,MATCH(W741,'NWC_FC_NON-NOOS'!$B$50:$B$69,0),FALSE),0),0)</f>
        <v>0</v>
      </c>
      <c r="AT741" s="57">
        <f t="shared" si="302"/>
        <v>0</v>
      </c>
      <c r="AU741" s="57">
        <f t="shared" si="303"/>
        <v>0</v>
      </c>
      <c r="AV741" s="58">
        <f>IFERROR(IF($V741="BRAND.com",HLOOKUP($X741&amp;$Z741,PLANNING_FC!$BB$27:$BP$46,MATCH($W741,PLANNING_FC!$BA$27:$BA$46,0),FALSE),0),0)</f>
        <v>0</v>
      </c>
      <c r="AW741" s="58">
        <f>IFERROR(IF($V741="BRAND.com",HLOOKUP($X741&amp;$Z741,PLANNING_FC!$BB$4:$BP$23,MATCH($W741,PLANNING_FC!$BA$4:$BA$23,0),FALSE),0),0)</f>
        <v>0</v>
      </c>
      <c r="AX741" s="58">
        <f>IFERROR(IF($V741="BRAND.com",HLOOKUP($X741&amp;$Z741,PLANNING_FC!$T$27:$AH$46,MATCH($W741,PLANNING_FC!$B$27:$B$46,0),FALSE),0),0)</f>
        <v>0</v>
      </c>
      <c r="AY741" s="58">
        <f>IFERROR(IF($V741="BRAND.com",HLOOKUP($X741&amp;$Z741,PLANNING_FC!$T$4:$AH$23,MATCH($W741,PLANNING_FC!$B$4:$B$23,0),FALSE),0),0)</f>
        <v>0</v>
      </c>
      <c r="AZ741" s="58">
        <f>IFERROR(IF($V741="BRAND.com",HLOOKUP($X741&amp;$Z741,PLANNING_FC!$DA$27:$DO$46,MATCH($W741,PLANNING_FC!$CZ$27:$CZ$46,0),FALSE),0),0)</f>
        <v>0</v>
      </c>
      <c r="BA741" s="58">
        <f>IFERROR(IF($V741="BRAND.com",HLOOKUP($X741&amp;$Z741,PLANNING_FC!$DA$4:$DO$23,MATCH($W741,PLANNING_FC!$CZ$4:$CZ$23,0),FALSE),0),0)</f>
        <v>0</v>
      </c>
      <c r="BB741" s="883" t="str">
        <f>IF(V741="BRAND.com",IFERROR(HLOOKUP(X741&amp;Z741,PLANNING_FC!$AK$4:$AY$23,MATCH(W741,PLANNING_FC!$AJ$4:$AJ$23,0),FALSE)*1000,""),"")</f>
        <v/>
      </c>
      <c r="BC741" s="883" t="str">
        <f>IF(V741="BRAND.com",IFERROR(HLOOKUP(X741&amp;Z741,PLANNING_FC!$AK$27:$AY$46,MATCH(W741,PLANNING_FC!$AJ$27:$AJ$46,0),FALSE)*1000,""),"")</f>
        <v/>
      </c>
    </row>
    <row r="742" spans="14:55" x14ac:dyDescent="0.25">
      <c r="N742" s="56">
        <f t="shared" si="284"/>
        <v>0</v>
      </c>
      <c r="O742" s="57">
        <f t="shared" si="285"/>
        <v>0</v>
      </c>
      <c r="P742" s="57">
        <f ca="1">IFERROR(IF(ISBLANK(H742),SUMIFS($AC:$AC,$V:$V,V742,$W:$W,W742,$X:$X,X742,$Y:$Y,Y742)*J742/(1-J742)*VLOOKUP(_xlfn.CONCAT(C742,D742,E742,TIME!$M$12,Z742),HIS_SALES!$B$2:$W$4859,20,FALSE),AC742*J742/(1-J742)),0)</f>
        <v>0</v>
      </c>
      <c r="Q742" s="541" t="str">
        <f t="shared" si="286"/>
        <v/>
      </c>
      <c r="R742" s="346" t="str">
        <f t="shared" si="287"/>
        <v>00000</v>
      </c>
      <c r="S742" s="344">
        <f t="shared" si="288"/>
        <v>0</v>
      </c>
      <c r="T742" s="345" t="str">
        <f t="shared" si="301"/>
        <v>000</v>
      </c>
      <c r="U742" s="345">
        <f t="shared" si="289"/>
        <v>0</v>
      </c>
      <c r="V742" s="345">
        <f t="shared" si="290"/>
        <v>0</v>
      </c>
      <c r="W742" s="345">
        <f t="shared" si="291"/>
        <v>0</v>
      </c>
      <c r="X742" s="345">
        <f t="shared" si="292"/>
        <v>0</v>
      </c>
      <c r="Y742" s="345">
        <f t="shared" si="293"/>
        <v>0</v>
      </c>
      <c r="Z742" s="345">
        <f>IF(Q742&lt;&gt;"",VLOOKUP(Y742,TIME!$R$21:$V$24,MATCH(FC_DATA!Q742,TIME!$R$20:$V$20,0),FALSE),H742)</f>
        <v>0</v>
      </c>
      <c r="AA742" s="345" t="str">
        <f>IFERROR(VLOOKUP(X742&amp;Z742,TIME!$A$12:$D$71,4,FALSE),"")</f>
        <v/>
      </c>
      <c r="AB742" s="592">
        <f t="shared" ca="1" si="294"/>
        <v>0</v>
      </c>
      <c r="AC742" s="593" t="e">
        <f ca="1">IF(ISBLANK(H742)=FALSE,IF(D742="BRAND.com",I742,IF(ISNA(VLOOKUP(_xlfn.CONCAT(X742,Z742),TIME!$M$40:$M$42,1,FALSE)),I742,VLOOKUP(_xlfn.CONCAT(D742,G742,H742),M_BUSAREA_FC!$AF$5:$AJ$10,5,FALSE)*HLOOKUP(_xlfn.CONCAT(F742,H742),ST_OVERVIEW!$G$99:$I$130,MATCH(_xlfn.CONCAT(D742,E742),ST_OVERVIEW!$F$99:$F$130,0),FALSE))),IF(D742="BRAND.com",VLOOKUP(_xlfn.CONCAT(C742,D742,E742,TIME!$F$1,Z742),HIS_SALES!$B$2:$V$4859,19,FALSE)*I742,VLOOKUP(_xlfn.CONCAT(D742,F742,G742),Q_BUSAREA_FC!$AE$5:$AI$12,5,FALSE)*HLOOKUP(_xlfn.CONCAT(FC_DATA!F742,FC_DATA!G742),LT_OVERVIEW!$I$99:$M$130,MATCH(_xlfn.CONCAT(D742,FC_DATA!E742),LT_OVERVIEW!$H$99:$H$130,0),FALSE)*IFERROR(VLOOKUP(_xlfn.CONCAT(C742,D742,E742,TIME!$F$1,Z742),HIS_SALES!$B$2:$V$4859,19,FALSE),0)))</f>
        <v>#N/A</v>
      </c>
      <c r="AD742" s="341">
        <f t="shared" ca="1" si="295"/>
        <v>0</v>
      </c>
      <c r="AE742" s="363" t="str">
        <f t="shared" si="296"/>
        <v/>
      </c>
      <c r="AF742" s="342" t="str">
        <f t="shared" si="297"/>
        <v/>
      </c>
      <c r="AG742" s="411" t="e">
        <f ca="1">VLOOKUP(_xlfn.CONCAT(U742,V742,W742,VLOOKUP(X742&amp;Y742,TIME!$L$27:$O$34,4,FALSE),Y742),HIS_SALES!$A$2:$R$5093,18,FALSE)</f>
        <v>#N/A</v>
      </c>
      <c r="AH742" s="412" t="e">
        <f ca="1">IFERROR(IF(AND(V742=V741,W742=W741),0.5*(AB742+AB741)*AG742,(VLOOKUP(_xlfn.CONCAT(U742,V742,W742,X742,VLOOKUP(Z742,TIME!$S$28:$T$39,2,FALSE)),FC_DATA!$R$2:$AB$5000,MATCH("GS_I_M",FC_DATA!$R$1:$AB$1,0),FALSE)+FC_DATA!AB742)*0.5*FC_DATA!AG742),NA())</f>
        <v>#N/A</v>
      </c>
      <c r="AI742" s="491" t="e">
        <f ca="1">IF(V742="PARTNER.com",AH742,IF(AND(V742=V741,W742=W741),(1-AVERAGE(AD741,AD742))*AH742,(1-AVERAGE(AD742,VLOOKUP(_xlfn.CONCAT(U742,V742,W742,X742,M_BRAND_FC!$F$6),FC_DATA!$R$2:$AD$5000,MATCH("DISCOUNT_%_M",FC_DATA!$R$1:$AD$1,0),FALSE)))*AH742))</f>
        <v>#N/A</v>
      </c>
      <c r="AJ742" s="412" t="str">
        <f t="shared" ca="1" si="298"/>
        <v/>
      </c>
      <c r="AK742" s="413" t="str">
        <f>IFERROR(AE742/(Q_BRAND_FC!$T$24+1),"")</f>
        <v/>
      </c>
      <c r="AL742" s="88" t="str">
        <f t="shared" ca="1" si="299"/>
        <v/>
      </c>
      <c r="AM742" s="414" t="str">
        <f t="shared" ca="1" si="300"/>
        <v/>
      </c>
      <c r="AN742" s="58">
        <f>IFERROR(IF($V742="BRAND.com",HLOOKUP($X742&amp;$Z742,NWC_FC_NOOS!$C$4:$Q$23,MATCH(W742,NWC_FC_NOOS!$B$4:$B$23,0),FALSE),0),0)</f>
        <v>0</v>
      </c>
      <c r="AO742" s="57">
        <f>IFERROR(IF($V742="BRAND.com",HLOOKUP($X742&amp;$Z742,NWC_FC_NOOS!$T$4:$AH$23,MATCH(W742,NWC_FC_NOOS!$S$4:$S$23,0),FALSE),0),0)</f>
        <v>0</v>
      </c>
      <c r="AP742" s="57">
        <f>IFERROR(IF($V742="BRAND.com",HLOOKUP($X742&amp;$Z742,NWC_FC_NOOS!$C$50:$U$69,MATCH(W742,NWC_FC_NOOS!$B$50:$B$69,0),FALSE),0),0)</f>
        <v>0</v>
      </c>
      <c r="AQ742" s="58">
        <f>IFERROR(IF($V742="BRAND.com",HLOOKUP($X742&amp;$Z742,'NWC_FC_NON-NOOS'!$C$4:$Q$23,MATCH(W742,'NWC_FC_NON-NOOS'!$B$4:$B$23,0),FALSE),0),0)</f>
        <v>0</v>
      </c>
      <c r="AR742" s="57">
        <f>IFERROR(IF($V742="BRAND.com",HLOOKUP($X742&amp;$Z742,'NWC_FC_NON-NOOS'!$T$4:$AH$23,MATCH(W742,'NWC_FC_NON-NOOS'!$S$4:$S$23,0),FALSE),0),0)</f>
        <v>0</v>
      </c>
      <c r="AS742" s="57">
        <f>IFERROR(IF($V742="BRAND.com",HLOOKUP($X742&amp;$Z742,'NWC_FC_NON-NOOS'!$C$50:$U$69,MATCH(W742,'NWC_FC_NON-NOOS'!$B$50:$B$69,0),FALSE),0),0)</f>
        <v>0</v>
      </c>
      <c r="AT742" s="57">
        <f t="shared" si="302"/>
        <v>0</v>
      </c>
      <c r="AU742" s="57">
        <f t="shared" si="303"/>
        <v>0</v>
      </c>
      <c r="AV742" s="58">
        <f>IFERROR(IF($V742="BRAND.com",HLOOKUP($X742&amp;$Z742,PLANNING_FC!$BB$27:$BP$46,MATCH($W742,PLANNING_FC!$BA$27:$BA$46,0),FALSE),0),0)</f>
        <v>0</v>
      </c>
      <c r="AW742" s="58">
        <f>IFERROR(IF($V742="BRAND.com",HLOOKUP($X742&amp;$Z742,PLANNING_FC!$BB$4:$BP$23,MATCH($W742,PLANNING_FC!$BA$4:$BA$23,0),FALSE),0),0)</f>
        <v>0</v>
      </c>
      <c r="AX742" s="58">
        <f>IFERROR(IF($V742="BRAND.com",HLOOKUP($X742&amp;$Z742,PLANNING_FC!$T$27:$AH$46,MATCH($W742,PLANNING_FC!$B$27:$B$46,0),FALSE),0),0)</f>
        <v>0</v>
      </c>
      <c r="AY742" s="58">
        <f>IFERROR(IF($V742="BRAND.com",HLOOKUP($X742&amp;$Z742,PLANNING_FC!$T$4:$AH$23,MATCH($W742,PLANNING_FC!$B$4:$B$23,0),FALSE),0),0)</f>
        <v>0</v>
      </c>
      <c r="AZ742" s="58">
        <f>IFERROR(IF($V742="BRAND.com",HLOOKUP($X742&amp;$Z742,PLANNING_FC!$DA$27:$DO$46,MATCH($W742,PLANNING_FC!$CZ$27:$CZ$46,0),FALSE),0),0)</f>
        <v>0</v>
      </c>
      <c r="BA742" s="58">
        <f>IFERROR(IF($V742="BRAND.com",HLOOKUP($X742&amp;$Z742,PLANNING_FC!$DA$4:$DO$23,MATCH($W742,PLANNING_FC!$CZ$4:$CZ$23,0),FALSE),0),0)</f>
        <v>0</v>
      </c>
      <c r="BB742" s="883" t="str">
        <f>IF(V742="BRAND.com",IFERROR(HLOOKUP(X742&amp;Z742,PLANNING_FC!$AK$4:$AY$23,MATCH(W742,PLANNING_FC!$AJ$4:$AJ$23,0),FALSE)*1000,""),"")</f>
        <v/>
      </c>
      <c r="BC742" s="883" t="str">
        <f>IF(V742="BRAND.com",IFERROR(HLOOKUP(X742&amp;Z742,PLANNING_FC!$AK$27:$AY$46,MATCH(W742,PLANNING_FC!$AJ$27:$AJ$46,0),FALSE)*1000,""),"")</f>
        <v/>
      </c>
    </row>
    <row r="743" spans="14:55" x14ac:dyDescent="0.25">
      <c r="N743" s="56">
        <f t="shared" si="284"/>
        <v>0</v>
      </c>
      <c r="O743" s="57">
        <f t="shared" si="285"/>
        <v>0</v>
      </c>
      <c r="P743" s="57">
        <f ca="1">IFERROR(IF(ISBLANK(H743),SUMIFS($AC:$AC,$V:$V,V743,$W:$W,W743,$X:$X,X743,$Y:$Y,Y743)*J743/(1-J743)*VLOOKUP(_xlfn.CONCAT(C743,D743,E743,TIME!$M$12,Z743),HIS_SALES!$B$2:$W$4859,20,FALSE),AC743*J743/(1-J743)),0)</f>
        <v>0</v>
      </c>
      <c r="Q743" s="541" t="str">
        <f t="shared" si="286"/>
        <v/>
      </c>
      <c r="R743" s="346" t="str">
        <f t="shared" si="287"/>
        <v>00000</v>
      </c>
      <c r="S743" s="344">
        <f t="shared" si="288"/>
        <v>0</v>
      </c>
      <c r="T743" s="345" t="str">
        <f t="shared" si="301"/>
        <v>000</v>
      </c>
      <c r="U743" s="345">
        <f t="shared" si="289"/>
        <v>0</v>
      </c>
      <c r="V743" s="345">
        <f t="shared" si="290"/>
        <v>0</v>
      </c>
      <c r="W743" s="345">
        <f t="shared" si="291"/>
        <v>0</v>
      </c>
      <c r="X743" s="345">
        <f t="shared" si="292"/>
        <v>0</v>
      </c>
      <c r="Y743" s="345">
        <f t="shared" si="293"/>
        <v>0</v>
      </c>
      <c r="Z743" s="345">
        <f>IF(Q743&lt;&gt;"",VLOOKUP(Y743,TIME!$R$21:$V$24,MATCH(FC_DATA!Q743,TIME!$R$20:$V$20,0),FALSE),H743)</f>
        <v>0</v>
      </c>
      <c r="AA743" s="345" t="str">
        <f>IFERROR(VLOOKUP(X743&amp;Z743,TIME!$A$12:$D$71,4,FALSE),"")</f>
        <v/>
      </c>
      <c r="AB743" s="592">
        <f t="shared" ca="1" si="294"/>
        <v>0</v>
      </c>
      <c r="AC743" s="593" t="e">
        <f ca="1">IF(ISBLANK(H743)=FALSE,IF(D743="BRAND.com",I743,IF(ISNA(VLOOKUP(_xlfn.CONCAT(X743,Z743),TIME!$M$40:$M$42,1,FALSE)),I743,VLOOKUP(_xlfn.CONCAT(D743,G743,H743),M_BUSAREA_FC!$AF$5:$AJ$10,5,FALSE)*HLOOKUP(_xlfn.CONCAT(F743,H743),ST_OVERVIEW!$G$99:$I$130,MATCH(_xlfn.CONCAT(D743,E743),ST_OVERVIEW!$F$99:$F$130,0),FALSE))),IF(D743="BRAND.com",VLOOKUP(_xlfn.CONCAT(C743,D743,E743,TIME!$F$1,Z743),HIS_SALES!$B$2:$V$4859,19,FALSE)*I743,VLOOKUP(_xlfn.CONCAT(D743,F743,G743),Q_BUSAREA_FC!$AE$5:$AI$12,5,FALSE)*HLOOKUP(_xlfn.CONCAT(FC_DATA!F743,FC_DATA!G743),LT_OVERVIEW!$I$99:$M$130,MATCH(_xlfn.CONCAT(D743,FC_DATA!E743),LT_OVERVIEW!$H$99:$H$130,0),FALSE)*IFERROR(VLOOKUP(_xlfn.CONCAT(C743,D743,E743,TIME!$F$1,Z743),HIS_SALES!$B$2:$V$4859,19,FALSE),0)))</f>
        <v>#N/A</v>
      </c>
      <c r="AD743" s="341">
        <f t="shared" ca="1" si="295"/>
        <v>0</v>
      </c>
      <c r="AE743" s="363" t="str">
        <f t="shared" si="296"/>
        <v/>
      </c>
      <c r="AF743" s="342" t="str">
        <f t="shared" si="297"/>
        <v/>
      </c>
      <c r="AG743" s="411" t="e">
        <f ca="1">VLOOKUP(_xlfn.CONCAT(U743,V743,W743,VLOOKUP(X743&amp;Y743,TIME!$L$27:$O$34,4,FALSE),Y743),HIS_SALES!$A$2:$R$5093,18,FALSE)</f>
        <v>#N/A</v>
      </c>
      <c r="AH743" s="412" t="e">
        <f ca="1">IFERROR(IF(AND(V743=V742,W743=W742),0.5*(AB743+AB742)*AG743,(VLOOKUP(_xlfn.CONCAT(U743,V743,W743,X743,VLOOKUP(Z743,TIME!$S$28:$T$39,2,FALSE)),FC_DATA!$R$2:$AB$5000,MATCH("GS_I_M",FC_DATA!$R$1:$AB$1,0),FALSE)+FC_DATA!AB743)*0.5*FC_DATA!AG743),NA())</f>
        <v>#N/A</v>
      </c>
      <c r="AI743" s="491" t="e">
        <f ca="1">IF(V743="PARTNER.com",AH743,IF(AND(V743=V742,W743=W742),(1-AVERAGE(AD742,AD743))*AH743,(1-AVERAGE(AD743,VLOOKUP(_xlfn.CONCAT(U743,V743,W743,X743,M_BRAND_FC!$F$6),FC_DATA!$R$2:$AD$5000,MATCH("DISCOUNT_%_M",FC_DATA!$R$1:$AD$1,0),FALSE)))*AH743))</f>
        <v>#N/A</v>
      </c>
      <c r="AJ743" s="412" t="str">
        <f t="shared" ca="1" si="298"/>
        <v/>
      </c>
      <c r="AK743" s="413" t="str">
        <f>IFERROR(AE743/(Q_BRAND_FC!$T$24+1),"")</f>
        <v/>
      </c>
      <c r="AL743" s="88" t="str">
        <f t="shared" ca="1" si="299"/>
        <v/>
      </c>
      <c r="AM743" s="414" t="str">
        <f t="shared" ca="1" si="300"/>
        <v/>
      </c>
      <c r="AN743" s="58">
        <f>IFERROR(IF($V743="BRAND.com",HLOOKUP($X743&amp;$Z743,NWC_FC_NOOS!$C$4:$Q$23,MATCH(W743,NWC_FC_NOOS!$B$4:$B$23,0),FALSE),0),0)</f>
        <v>0</v>
      </c>
      <c r="AO743" s="57">
        <f>IFERROR(IF($V743="BRAND.com",HLOOKUP($X743&amp;$Z743,NWC_FC_NOOS!$T$4:$AH$23,MATCH(W743,NWC_FC_NOOS!$S$4:$S$23,0),FALSE),0),0)</f>
        <v>0</v>
      </c>
      <c r="AP743" s="57">
        <f>IFERROR(IF($V743="BRAND.com",HLOOKUP($X743&amp;$Z743,NWC_FC_NOOS!$C$50:$U$69,MATCH(W743,NWC_FC_NOOS!$B$50:$B$69,0),FALSE),0),0)</f>
        <v>0</v>
      </c>
      <c r="AQ743" s="58">
        <f>IFERROR(IF($V743="BRAND.com",HLOOKUP($X743&amp;$Z743,'NWC_FC_NON-NOOS'!$C$4:$Q$23,MATCH(W743,'NWC_FC_NON-NOOS'!$B$4:$B$23,0),FALSE),0),0)</f>
        <v>0</v>
      </c>
      <c r="AR743" s="57">
        <f>IFERROR(IF($V743="BRAND.com",HLOOKUP($X743&amp;$Z743,'NWC_FC_NON-NOOS'!$T$4:$AH$23,MATCH(W743,'NWC_FC_NON-NOOS'!$S$4:$S$23,0),FALSE),0),0)</f>
        <v>0</v>
      </c>
      <c r="AS743" s="57">
        <f>IFERROR(IF($V743="BRAND.com",HLOOKUP($X743&amp;$Z743,'NWC_FC_NON-NOOS'!$C$50:$U$69,MATCH(W743,'NWC_FC_NON-NOOS'!$B$50:$B$69,0),FALSE),0),0)</f>
        <v>0</v>
      </c>
      <c r="AT743" s="57">
        <f t="shared" si="302"/>
        <v>0</v>
      </c>
      <c r="AU743" s="57">
        <f t="shared" si="303"/>
        <v>0</v>
      </c>
      <c r="AV743" s="58">
        <f>IFERROR(IF($V743="BRAND.com",HLOOKUP($X743&amp;$Z743,PLANNING_FC!$BB$27:$BP$46,MATCH($W743,PLANNING_FC!$BA$27:$BA$46,0),FALSE),0),0)</f>
        <v>0</v>
      </c>
      <c r="AW743" s="58">
        <f>IFERROR(IF($V743="BRAND.com",HLOOKUP($X743&amp;$Z743,PLANNING_FC!$BB$4:$BP$23,MATCH($W743,PLANNING_FC!$BA$4:$BA$23,0),FALSE),0),0)</f>
        <v>0</v>
      </c>
      <c r="AX743" s="58">
        <f>IFERROR(IF($V743="BRAND.com",HLOOKUP($X743&amp;$Z743,PLANNING_FC!$T$27:$AH$46,MATCH($W743,PLANNING_FC!$B$27:$B$46,0),FALSE),0),0)</f>
        <v>0</v>
      </c>
      <c r="AY743" s="58">
        <f>IFERROR(IF($V743="BRAND.com",HLOOKUP($X743&amp;$Z743,PLANNING_FC!$T$4:$AH$23,MATCH($W743,PLANNING_FC!$B$4:$B$23,0),FALSE),0),0)</f>
        <v>0</v>
      </c>
      <c r="AZ743" s="58">
        <f>IFERROR(IF($V743="BRAND.com",HLOOKUP($X743&amp;$Z743,PLANNING_FC!$DA$27:$DO$46,MATCH($W743,PLANNING_FC!$CZ$27:$CZ$46,0),FALSE),0),0)</f>
        <v>0</v>
      </c>
      <c r="BA743" s="58">
        <f>IFERROR(IF($V743="BRAND.com",HLOOKUP($X743&amp;$Z743,PLANNING_FC!$DA$4:$DO$23,MATCH($W743,PLANNING_FC!$CZ$4:$CZ$23,0),FALSE),0),0)</f>
        <v>0</v>
      </c>
      <c r="BB743" s="883" t="str">
        <f>IF(V743="BRAND.com",IFERROR(HLOOKUP(X743&amp;Z743,PLANNING_FC!$AK$4:$AY$23,MATCH(W743,PLANNING_FC!$AJ$4:$AJ$23,0),FALSE)*1000,""),"")</f>
        <v/>
      </c>
      <c r="BC743" s="883" t="str">
        <f>IF(V743="BRAND.com",IFERROR(HLOOKUP(X743&amp;Z743,PLANNING_FC!$AK$27:$AY$46,MATCH(W743,PLANNING_FC!$AJ$27:$AJ$46,0),FALSE)*1000,""),"")</f>
        <v/>
      </c>
    </row>
    <row r="744" spans="14:55" x14ac:dyDescent="0.25">
      <c r="N744" s="56">
        <f t="shared" si="284"/>
        <v>0</v>
      </c>
      <c r="O744" s="57">
        <f t="shared" si="285"/>
        <v>0</v>
      </c>
      <c r="P744" s="57">
        <f ca="1">IFERROR(IF(ISBLANK(H744),SUMIFS($AC:$AC,$V:$V,V744,$W:$W,W744,$X:$X,X744,$Y:$Y,Y744)*J744/(1-J744)*VLOOKUP(_xlfn.CONCAT(C744,D744,E744,TIME!$M$12,Z744),HIS_SALES!$B$2:$W$4859,20,FALSE),AC744*J744/(1-J744)),0)</f>
        <v>0</v>
      </c>
      <c r="Q744" s="541" t="str">
        <f t="shared" si="286"/>
        <v/>
      </c>
      <c r="R744" s="346" t="str">
        <f t="shared" si="287"/>
        <v>00000</v>
      </c>
      <c r="S744" s="344">
        <f t="shared" si="288"/>
        <v>0</v>
      </c>
      <c r="T744" s="345" t="str">
        <f t="shared" si="301"/>
        <v>000</v>
      </c>
      <c r="U744" s="345">
        <f t="shared" si="289"/>
        <v>0</v>
      </c>
      <c r="V744" s="345">
        <f t="shared" si="290"/>
        <v>0</v>
      </c>
      <c r="W744" s="345">
        <f t="shared" si="291"/>
        <v>0</v>
      </c>
      <c r="X744" s="345">
        <f t="shared" si="292"/>
        <v>0</v>
      </c>
      <c r="Y744" s="345">
        <f t="shared" si="293"/>
        <v>0</v>
      </c>
      <c r="Z744" s="345">
        <f>IF(Q744&lt;&gt;"",VLOOKUP(Y744,TIME!$R$21:$V$24,MATCH(FC_DATA!Q744,TIME!$R$20:$V$20,0),FALSE),H744)</f>
        <v>0</v>
      </c>
      <c r="AA744" s="345" t="str">
        <f>IFERROR(VLOOKUP(X744&amp;Z744,TIME!$A$12:$D$71,4,FALSE),"")</f>
        <v/>
      </c>
      <c r="AB744" s="592">
        <f t="shared" ca="1" si="294"/>
        <v>0</v>
      </c>
      <c r="AC744" s="593" t="e">
        <f ca="1">IF(ISBLANK(H744)=FALSE,IF(D744="BRAND.com",I744,IF(ISNA(VLOOKUP(_xlfn.CONCAT(X744,Z744),TIME!$M$40:$M$42,1,FALSE)),I744,VLOOKUP(_xlfn.CONCAT(D744,G744,H744),M_BUSAREA_FC!$AF$5:$AJ$10,5,FALSE)*HLOOKUP(_xlfn.CONCAT(F744,H744),ST_OVERVIEW!$G$99:$I$130,MATCH(_xlfn.CONCAT(D744,E744),ST_OVERVIEW!$F$99:$F$130,0),FALSE))),IF(D744="BRAND.com",VLOOKUP(_xlfn.CONCAT(C744,D744,E744,TIME!$F$1,Z744),HIS_SALES!$B$2:$V$4859,19,FALSE)*I744,VLOOKUP(_xlfn.CONCAT(D744,F744,G744),Q_BUSAREA_FC!$AE$5:$AI$12,5,FALSE)*HLOOKUP(_xlfn.CONCAT(FC_DATA!F744,FC_DATA!G744),LT_OVERVIEW!$I$99:$M$130,MATCH(_xlfn.CONCAT(D744,FC_DATA!E744),LT_OVERVIEW!$H$99:$H$130,0),FALSE)*IFERROR(VLOOKUP(_xlfn.CONCAT(C744,D744,E744,TIME!$F$1,Z744),HIS_SALES!$B$2:$V$4859,19,FALSE),0)))</f>
        <v>#N/A</v>
      </c>
      <c r="AD744" s="341">
        <f t="shared" ca="1" si="295"/>
        <v>0</v>
      </c>
      <c r="AE744" s="363" t="str">
        <f t="shared" si="296"/>
        <v/>
      </c>
      <c r="AF744" s="342" t="str">
        <f t="shared" si="297"/>
        <v/>
      </c>
      <c r="AG744" s="411" t="e">
        <f ca="1">VLOOKUP(_xlfn.CONCAT(U744,V744,W744,VLOOKUP(X744&amp;Y744,TIME!$L$27:$O$34,4,FALSE),Y744),HIS_SALES!$A$2:$R$5093,18,FALSE)</f>
        <v>#N/A</v>
      </c>
      <c r="AH744" s="412" t="e">
        <f ca="1">IFERROR(IF(AND(V744=V743,W744=W743),0.5*(AB744+AB743)*AG744,(VLOOKUP(_xlfn.CONCAT(U744,V744,W744,X744,VLOOKUP(Z744,TIME!$S$28:$T$39,2,FALSE)),FC_DATA!$R$2:$AB$5000,MATCH("GS_I_M",FC_DATA!$R$1:$AB$1,0),FALSE)+FC_DATA!AB744)*0.5*FC_DATA!AG744),NA())</f>
        <v>#N/A</v>
      </c>
      <c r="AI744" s="491" t="e">
        <f ca="1">IF(V744="PARTNER.com",AH744,IF(AND(V744=V743,W744=W743),(1-AVERAGE(AD743,AD744))*AH744,(1-AVERAGE(AD744,VLOOKUP(_xlfn.CONCAT(U744,V744,W744,X744,M_BRAND_FC!$F$6),FC_DATA!$R$2:$AD$5000,MATCH("DISCOUNT_%_M",FC_DATA!$R$1:$AD$1,0),FALSE)))*AH744))</f>
        <v>#N/A</v>
      </c>
      <c r="AJ744" s="412" t="str">
        <f t="shared" ca="1" si="298"/>
        <v/>
      </c>
      <c r="AK744" s="413" t="str">
        <f>IFERROR(AE744/(Q_BRAND_FC!$T$24+1),"")</f>
        <v/>
      </c>
      <c r="AL744" s="88" t="str">
        <f t="shared" ca="1" si="299"/>
        <v/>
      </c>
      <c r="AM744" s="414" t="str">
        <f t="shared" ca="1" si="300"/>
        <v/>
      </c>
      <c r="AN744" s="58">
        <f>IFERROR(IF($V744="BRAND.com",HLOOKUP($X744&amp;$Z744,NWC_FC_NOOS!$C$4:$Q$23,MATCH(W744,NWC_FC_NOOS!$B$4:$B$23,0),FALSE),0),0)</f>
        <v>0</v>
      </c>
      <c r="AO744" s="57">
        <f>IFERROR(IF($V744="BRAND.com",HLOOKUP($X744&amp;$Z744,NWC_FC_NOOS!$T$4:$AH$23,MATCH(W744,NWC_FC_NOOS!$S$4:$S$23,0),FALSE),0),0)</f>
        <v>0</v>
      </c>
      <c r="AP744" s="57">
        <f>IFERROR(IF($V744="BRAND.com",HLOOKUP($X744&amp;$Z744,NWC_FC_NOOS!$C$50:$U$69,MATCH(W744,NWC_FC_NOOS!$B$50:$B$69,0),FALSE),0),0)</f>
        <v>0</v>
      </c>
      <c r="AQ744" s="58">
        <f>IFERROR(IF($V744="BRAND.com",HLOOKUP($X744&amp;$Z744,'NWC_FC_NON-NOOS'!$C$4:$Q$23,MATCH(W744,'NWC_FC_NON-NOOS'!$B$4:$B$23,0),FALSE),0),0)</f>
        <v>0</v>
      </c>
      <c r="AR744" s="57">
        <f>IFERROR(IF($V744="BRAND.com",HLOOKUP($X744&amp;$Z744,'NWC_FC_NON-NOOS'!$T$4:$AH$23,MATCH(W744,'NWC_FC_NON-NOOS'!$S$4:$S$23,0),FALSE),0),0)</f>
        <v>0</v>
      </c>
      <c r="AS744" s="57">
        <f>IFERROR(IF($V744="BRAND.com",HLOOKUP($X744&amp;$Z744,'NWC_FC_NON-NOOS'!$C$50:$U$69,MATCH(W744,'NWC_FC_NON-NOOS'!$B$50:$B$69,0),FALSE),0),0)</f>
        <v>0</v>
      </c>
      <c r="AT744" s="57">
        <f t="shared" si="302"/>
        <v>0</v>
      </c>
      <c r="AU744" s="57">
        <f t="shared" si="303"/>
        <v>0</v>
      </c>
      <c r="AV744" s="58">
        <f>IFERROR(IF($V744="BRAND.com",HLOOKUP($X744&amp;$Z744,PLANNING_FC!$BB$27:$BP$46,MATCH($W744,PLANNING_FC!$BA$27:$BA$46,0),FALSE),0),0)</f>
        <v>0</v>
      </c>
      <c r="AW744" s="58">
        <f>IFERROR(IF($V744="BRAND.com",HLOOKUP($X744&amp;$Z744,PLANNING_FC!$BB$4:$BP$23,MATCH($W744,PLANNING_FC!$BA$4:$BA$23,0),FALSE),0),0)</f>
        <v>0</v>
      </c>
      <c r="AX744" s="58">
        <f>IFERROR(IF($V744="BRAND.com",HLOOKUP($X744&amp;$Z744,PLANNING_FC!$T$27:$AH$46,MATCH($W744,PLANNING_FC!$B$27:$B$46,0),FALSE),0),0)</f>
        <v>0</v>
      </c>
      <c r="AY744" s="58">
        <f>IFERROR(IF($V744="BRAND.com",HLOOKUP($X744&amp;$Z744,PLANNING_FC!$T$4:$AH$23,MATCH($W744,PLANNING_FC!$B$4:$B$23,0),FALSE),0),0)</f>
        <v>0</v>
      </c>
      <c r="AZ744" s="58">
        <f>IFERROR(IF($V744="BRAND.com",HLOOKUP($X744&amp;$Z744,PLANNING_FC!$DA$27:$DO$46,MATCH($W744,PLANNING_FC!$CZ$27:$CZ$46,0),FALSE),0),0)</f>
        <v>0</v>
      </c>
      <c r="BA744" s="58">
        <f>IFERROR(IF($V744="BRAND.com",HLOOKUP($X744&amp;$Z744,PLANNING_FC!$DA$4:$DO$23,MATCH($W744,PLANNING_FC!$CZ$4:$CZ$23,0),FALSE),0),0)</f>
        <v>0</v>
      </c>
      <c r="BB744" s="883" t="str">
        <f>IF(V744="BRAND.com",IFERROR(HLOOKUP(X744&amp;Z744,PLANNING_FC!$AK$4:$AY$23,MATCH(W744,PLANNING_FC!$AJ$4:$AJ$23,0),FALSE)*1000,""),"")</f>
        <v/>
      </c>
      <c r="BC744" s="883" t="str">
        <f>IF(V744="BRAND.com",IFERROR(HLOOKUP(X744&amp;Z744,PLANNING_FC!$AK$27:$AY$46,MATCH(W744,PLANNING_FC!$AJ$27:$AJ$46,0),FALSE)*1000,""),"")</f>
        <v/>
      </c>
    </row>
    <row r="745" spans="14:55" x14ac:dyDescent="0.25">
      <c r="N745" s="56">
        <f t="shared" si="284"/>
        <v>0</v>
      </c>
      <c r="O745" s="57">
        <f t="shared" si="285"/>
        <v>0</v>
      </c>
      <c r="P745" s="57">
        <f ca="1">IFERROR(IF(ISBLANK(H745),SUMIFS($AC:$AC,$V:$V,V745,$W:$W,W745,$X:$X,X745,$Y:$Y,Y745)*J745/(1-J745)*VLOOKUP(_xlfn.CONCAT(C745,D745,E745,TIME!$M$12,Z745),HIS_SALES!$B$2:$W$4859,20,FALSE),AC745*J745/(1-J745)),0)</f>
        <v>0</v>
      </c>
      <c r="Q745" s="541" t="str">
        <f t="shared" si="286"/>
        <v/>
      </c>
      <c r="R745" s="346" t="str">
        <f t="shared" si="287"/>
        <v>00000</v>
      </c>
      <c r="S745" s="344">
        <f t="shared" si="288"/>
        <v>0</v>
      </c>
      <c r="T745" s="345" t="str">
        <f t="shared" si="301"/>
        <v>000</v>
      </c>
      <c r="U745" s="345">
        <f t="shared" si="289"/>
        <v>0</v>
      </c>
      <c r="V745" s="345">
        <f t="shared" si="290"/>
        <v>0</v>
      </c>
      <c r="W745" s="345">
        <f t="shared" si="291"/>
        <v>0</v>
      </c>
      <c r="X745" s="345">
        <f t="shared" si="292"/>
        <v>0</v>
      </c>
      <c r="Y745" s="345">
        <f t="shared" si="293"/>
        <v>0</v>
      </c>
      <c r="Z745" s="345">
        <f>IF(Q745&lt;&gt;"",VLOOKUP(Y745,TIME!$R$21:$V$24,MATCH(FC_DATA!Q745,TIME!$R$20:$V$20,0),FALSE),H745)</f>
        <v>0</v>
      </c>
      <c r="AA745" s="345" t="str">
        <f>IFERROR(VLOOKUP(X745&amp;Z745,TIME!$A$12:$D$71,4,FALSE),"")</f>
        <v/>
      </c>
      <c r="AB745" s="592">
        <f t="shared" ca="1" si="294"/>
        <v>0</v>
      </c>
      <c r="AC745" s="593" t="e">
        <f ca="1">IF(ISBLANK(H745)=FALSE,IF(D745="BRAND.com",I745,IF(ISNA(VLOOKUP(_xlfn.CONCAT(X745,Z745),TIME!$M$40:$M$42,1,FALSE)),I745,VLOOKUP(_xlfn.CONCAT(D745,G745,H745),M_BUSAREA_FC!$AF$5:$AJ$10,5,FALSE)*HLOOKUP(_xlfn.CONCAT(F745,H745),ST_OVERVIEW!$G$99:$I$130,MATCH(_xlfn.CONCAT(D745,E745),ST_OVERVIEW!$F$99:$F$130,0),FALSE))),IF(D745="BRAND.com",VLOOKUP(_xlfn.CONCAT(C745,D745,E745,TIME!$F$1,Z745),HIS_SALES!$B$2:$V$4859,19,FALSE)*I745,VLOOKUP(_xlfn.CONCAT(D745,F745,G745),Q_BUSAREA_FC!$AE$5:$AI$12,5,FALSE)*HLOOKUP(_xlfn.CONCAT(FC_DATA!F745,FC_DATA!G745),LT_OVERVIEW!$I$99:$M$130,MATCH(_xlfn.CONCAT(D745,FC_DATA!E745),LT_OVERVIEW!$H$99:$H$130,0),FALSE)*IFERROR(VLOOKUP(_xlfn.CONCAT(C745,D745,E745,TIME!$F$1,Z745),HIS_SALES!$B$2:$V$4859,19,FALSE),0)))</f>
        <v>#N/A</v>
      </c>
      <c r="AD745" s="341">
        <f t="shared" ca="1" si="295"/>
        <v>0</v>
      </c>
      <c r="AE745" s="363" t="str">
        <f t="shared" si="296"/>
        <v/>
      </c>
      <c r="AF745" s="342" t="str">
        <f t="shared" si="297"/>
        <v/>
      </c>
      <c r="AG745" s="411" t="e">
        <f ca="1">VLOOKUP(_xlfn.CONCAT(U745,V745,W745,VLOOKUP(X745&amp;Y745,TIME!$L$27:$O$34,4,FALSE),Y745),HIS_SALES!$A$2:$R$5093,18,FALSE)</f>
        <v>#N/A</v>
      </c>
      <c r="AH745" s="412" t="e">
        <f ca="1">IFERROR(IF(AND(V745=V744,W745=W744),0.5*(AB745+AB744)*AG745,(VLOOKUP(_xlfn.CONCAT(U745,V745,W745,X745,VLOOKUP(Z745,TIME!$S$28:$T$39,2,FALSE)),FC_DATA!$R$2:$AB$5000,MATCH("GS_I_M",FC_DATA!$R$1:$AB$1,0),FALSE)+FC_DATA!AB745)*0.5*FC_DATA!AG745),NA())</f>
        <v>#N/A</v>
      </c>
      <c r="AI745" s="491" t="e">
        <f ca="1">IF(V745="PARTNER.com",AH745,IF(AND(V745=V744,W745=W744),(1-AVERAGE(AD744,AD745))*AH745,(1-AVERAGE(AD745,VLOOKUP(_xlfn.CONCAT(U745,V745,W745,X745,M_BRAND_FC!$F$6),FC_DATA!$R$2:$AD$5000,MATCH("DISCOUNT_%_M",FC_DATA!$R$1:$AD$1,0),FALSE)))*AH745))</f>
        <v>#N/A</v>
      </c>
      <c r="AJ745" s="412" t="str">
        <f t="shared" ca="1" si="298"/>
        <v/>
      </c>
      <c r="AK745" s="413" t="str">
        <f>IFERROR(AE745/(Q_BRAND_FC!$T$24+1),"")</f>
        <v/>
      </c>
      <c r="AL745" s="88" t="str">
        <f t="shared" ca="1" si="299"/>
        <v/>
      </c>
      <c r="AM745" s="414" t="str">
        <f t="shared" ca="1" si="300"/>
        <v/>
      </c>
      <c r="AN745" s="58">
        <f>IFERROR(IF($V745="BRAND.com",HLOOKUP($X745&amp;$Z745,NWC_FC_NOOS!$C$4:$Q$23,MATCH(W745,NWC_FC_NOOS!$B$4:$B$23,0),FALSE),0),0)</f>
        <v>0</v>
      </c>
      <c r="AO745" s="57">
        <f>IFERROR(IF($V745="BRAND.com",HLOOKUP($X745&amp;$Z745,NWC_FC_NOOS!$T$4:$AH$23,MATCH(W745,NWC_FC_NOOS!$S$4:$S$23,0),FALSE),0),0)</f>
        <v>0</v>
      </c>
      <c r="AP745" s="57">
        <f>IFERROR(IF($V745="BRAND.com",HLOOKUP($X745&amp;$Z745,NWC_FC_NOOS!$C$50:$U$69,MATCH(W745,NWC_FC_NOOS!$B$50:$B$69,0),FALSE),0),0)</f>
        <v>0</v>
      </c>
      <c r="AQ745" s="58">
        <f>IFERROR(IF($V745="BRAND.com",HLOOKUP($X745&amp;$Z745,'NWC_FC_NON-NOOS'!$C$4:$Q$23,MATCH(W745,'NWC_FC_NON-NOOS'!$B$4:$B$23,0),FALSE),0),0)</f>
        <v>0</v>
      </c>
      <c r="AR745" s="57">
        <f>IFERROR(IF($V745="BRAND.com",HLOOKUP($X745&amp;$Z745,'NWC_FC_NON-NOOS'!$T$4:$AH$23,MATCH(W745,'NWC_FC_NON-NOOS'!$S$4:$S$23,0),FALSE),0),0)</f>
        <v>0</v>
      </c>
      <c r="AS745" s="57">
        <f>IFERROR(IF($V745="BRAND.com",HLOOKUP($X745&amp;$Z745,'NWC_FC_NON-NOOS'!$C$50:$U$69,MATCH(W745,'NWC_FC_NON-NOOS'!$B$50:$B$69,0),FALSE),0),0)</f>
        <v>0</v>
      </c>
      <c r="AT745" s="57">
        <f t="shared" si="302"/>
        <v>0</v>
      </c>
      <c r="AU745" s="57">
        <f t="shared" si="303"/>
        <v>0</v>
      </c>
      <c r="AV745" s="58">
        <f>IFERROR(IF($V745="BRAND.com",HLOOKUP($X745&amp;$Z745,PLANNING_FC!$BB$27:$BP$46,MATCH($W745,PLANNING_FC!$BA$27:$BA$46,0),FALSE),0),0)</f>
        <v>0</v>
      </c>
      <c r="AW745" s="58">
        <f>IFERROR(IF($V745="BRAND.com",HLOOKUP($X745&amp;$Z745,PLANNING_FC!$BB$4:$BP$23,MATCH($W745,PLANNING_FC!$BA$4:$BA$23,0),FALSE),0),0)</f>
        <v>0</v>
      </c>
      <c r="AX745" s="58">
        <f>IFERROR(IF($V745="BRAND.com",HLOOKUP($X745&amp;$Z745,PLANNING_FC!$T$27:$AH$46,MATCH($W745,PLANNING_FC!$B$27:$B$46,0),FALSE),0),0)</f>
        <v>0</v>
      </c>
      <c r="AY745" s="58">
        <f>IFERROR(IF($V745="BRAND.com",HLOOKUP($X745&amp;$Z745,PLANNING_FC!$T$4:$AH$23,MATCH($W745,PLANNING_FC!$B$4:$B$23,0),FALSE),0),0)</f>
        <v>0</v>
      </c>
      <c r="AZ745" s="58">
        <f>IFERROR(IF($V745="BRAND.com",HLOOKUP($X745&amp;$Z745,PLANNING_FC!$DA$27:$DO$46,MATCH($W745,PLANNING_FC!$CZ$27:$CZ$46,0),FALSE),0),0)</f>
        <v>0</v>
      </c>
      <c r="BA745" s="58">
        <f>IFERROR(IF($V745="BRAND.com",HLOOKUP($X745&amp;$Z745,PLANNING_FC!$DA$4:$DO$23,MATCH($W745,PLANNING_FC!$CZ$4:$CZ$23,0),FALSE),0),0)</f>
        <v>0</v>
      </c>
      <c r="BB745" s="883" t="str">
        <f>IF(V745="BRAND.com",IFERROR(HLOOKUP(X745&amp;Z745,PLANNING_FC!$AK$4:$AY$23,MATCH(W745,PLANNING_FC!$AJ$4:$AJ$23,0),FALSE)*1000,""),"")</f>
        <v/>
      </c>
      <c r="BC745" s="883" t="str">
        <f>IF(V745="BRAND.com",IFERROR(HLOOKUP(X745&amp;Z745,PLANNING_FC!$AK$27:$AY$46,MATCH(W745,PLANNING_FC!$AJ$27:$AJ$46,0),FALSE)*1000,""),"")</f>
        <v/>
      </c>
    </row>
    <row r="746" spans="14:55" x14ac:dyDescent="0.25">
      <c r="N746" s="56">
        <f t="shared" si="284"/>
        <v>0</v>
      </c>
      <c r="O746" s="57">
        <f t="shared" si="285"/>
        <v>0</v>
      </c>
      <c r="P746" s="57">
        <f ca="1">IFERROR(IF(ISBLANK(H746),SUMIFS($AC:$AC,$V:$V,V746,$W:$W,W746,$X:$X,X746,$Y:$Y,Y746)*J746/(1-J746)*VLOOKUP(_xlfn.CONCAT(C746,D746,E746,TIME!$M$12,Z746),HIS_SALES!$B$2:$W$4859,20,FALSE),AC746*J746/(1-J746)),0)</f>
        <v>0</v>
      </c>
      <c r="Q746" s="541" t="str">
        <f t="shared" si="286"/>
        <v/>
      </c>
      <c r="R746" s="346" t="str">
        <f t="shared" si="287"/>
        <v>00000</v>
      </c>
      <c r="S746" s="344">
        <f t="shared" si="288"/>
        <v>0</v>
      </c>
      <c r="T746" s="345" t="str">
        <f t="shared" si="301"/>
        <v>000</v>
      </c>
      <c r="U746" s="345">
        <f t="shared" si="289"/>
        <v>0</v>
      </c>
      <c r="V746" s="345">
        <f t="shared" si="290"/>
        <v>0</v>
      </c>
      <c r="W746" s="345">
        <f t="shared" si="291"/>
        <v>0</v>
      </c>
      <c r="X746" s="345">
        <f t="shared" si="292"/>
        <v>0</v>
      </c>
      <c r="Y746" s="345">
        <f t="shared" si="293"/>
        <v>0</v>
      </c>
      <c r="Z746" s="345">
        <f>IF(Q746&lt;&gt;"",VLOOKUP(Y746,TIME!$R$21:$V$24,MATCH(FC_DATA!Q746,TIME!$R$20:$V$20,0),FALSE),H746)</f>
        <v>0</v>
      </c>
      <c r="AA746" s="345" t="str">
        <f>IFERROR(VLOOKUP(X746&amp;Z746,TIME!$A$12:$D$71,4,FALSE),"")</f>
        <v/>
      </c>
      <c r="AB746" s="592">
        <f t="shared" ca="1" si="294"/>
        <v>0</v>
      </c>
      <c r="AC746" s="593" t="e">
        <f ca="1">IF(ISBLANK(H746)=FALSE,IF(D746="BRAND.com",I746,IF(ISNA(VLOOKUP(_xlfn.CONCAT(X746,Z746),TIME!$M$40:$M$42,1,FALSE)),I746,VLOOKUP(_xlfn.CONCAT(D746,G746,H746),M_BUSAREA_FC!$AF$5:$AJ$10,5,FALSE)*HLOOKUP(_xlfn.CONCAT(F746,H746),ST_OVERVIEW!$G$99:$I$130,MATCH(_xlfn.CONCAT(D746,E746),ST_OVERVIEW!$F$99:$F$130,0),FALSE))),IF(D746="BRAND.com",VLOOKUP(_xlfn.CONCAT(C746,D746,E746,TIME!$F$1,Z746),HIS_SALES!$B$2:$V$4859,19,FALSE)*I746,VLOOKUP(_xlfn.CONCAT(D746,F746,G746),Q_BUSAREA_FC!$AE$5:$AI$12,5,FALSE)*HLOOKUP(_xlfn.CONCAT(FC_DATA!F746,FC_DATA!G746),LT_OVERVIEW!$I$99:$M$130,MATCH(_xlfn.CONCAT(D746,FC_DATA!E746),LT_OVERVIEW!$H$99:$H$130,0),FALSE)*IFERROR(VLOOKUP(_xlfn.CONCAT(C746,D746,E746,TIME!$F$1,Z746),HIS_SALES!$B$2:$V$4859,19,FALSE),0)))</f>
        <v>#N/A</v>
      </c>
      <c r="AD746" s="341">
        <f t="shared" ca="1" si="295"/>
        <v>0</v>
      </c>
      <c r="AE746" s="363" t="str">
        <f t="shared" si="296"/>
        <v/>
      </c>
      <c r="AF746" s="342" t="str">
        <f t="shared" si="297"/>
        <v/>
      </c>
      <c r="AG746" s="411" t="e">
        <f ca="1">VLOOKUP(_xlfn.CONCAT(U746,V746,W746,VLOOKUP(X746&amp;Y746,TIME!$L$27:$O$34,4,FALSE),Y746),HIS_SALES!$A$2:$R$5093,18,FALSE)</f>
        <v>#N/A</v>
      </c>
      <c r="AH746" s="412" t="e">
        <f ca="1">IFERROR(IF(AND(V746=V745,W746=W745),0.5*(AB746+AB745)*AG746,(VLOOKUP(_xlfn.CONCAT(U746,V746,W746,X746,VLOOKUP(Z746,TIME!$S$28:$T$39,2,FALSE)),FC_DATA!$R$2:$AB$5000,MATCH("GS_I_M",FC_DATA!$R$1:$AB$1,0),FALSE)+FC_DATA!AB746)*0.5*FC_DATA!AG746),NA())</f>
        <v>#N/A</v>
      </c>
      <c r="AI746" s="491" t="e">
        <f ca="1">IF(V746="PARTNER.com",AH746,IF(AND(V746=V745,W746=W745),(1-AVERAGE(AD745,AD746))*AH746,(1-AVERAGE(AD746,VLOOKUP(_xlfn.CONCAT(U746,V746,W746,X746,M_BRAND_FC!$F$6),FC_DATA!$R$2:$AD$5000,MATCH("DISCOUNT_%_M",FC_DATA!$R$1:$AD$1,0),FALSE)))*AH746))</f>
        <v>#N/A</v>
      </c>
      <c r="AJ746" s="412" t="str">
        <f t="shared" ca="1" si="298"/>
        <v/>
      </c>
      <c r="AK746" s="413" t="str">
        <f>IFERROR(AE746/(Q_BRAND_FC!$T$24+1),"")</f>
        <v/>
      </c>
      <c r="AL746" s="88" t="str">
        <f t="shared" ca="1" si="299"/>
        <v/>
      </c>
      <c r="AM746" s="414" t="str">
        <f t="shared" ca="1" si="300"/>
        <v/>
      </c>
      <c r="AN746" s="58">
        <f>IFERROR(IF($V746="BRAND.com",HLOOKUP($X746&amp;$Z746,NWC_FC_NOOS!$C$4:$Q$23,MATCH(W746,NWC_FC_NOOS!$B$4:$B$23,0),FALSE),0),0)</f>
        <v>0</v>
      </c>
      <c r="AO746" s="57">
        <f>IFERROR(IF($V746="BRAND.com",HLOOKUP($X746&amp;$Z746,NWC_FC_NOOS!$T$4:$AH$23,MATCH(W746,NWC_FC_NOOS!$S$4:$S$23,0),FALSE),0),0)</f>
        <v>0</v>
      </c>
      <c r="AP746" s="57">
        <f>IFERROR(IF($V746="BRAND.com",HLOOKUP($X746&amp;$Z746,NWC_FC_NOOS!$C$50:$U$69,MATCH(W746,NWC_FC_NOOS!$B$50:$B$69,0),FALSE),0),0)</f>
        <v>0</v>
      </c>
      <c r="AQ746" s="58">
        <f>IFERROR(IF($V746="BRAND.com",HLOOKUP($X746&amp;$Z746,'NWC_FC_NON-NOOS'!$C$4:$Q$23,MATCH(W746,'NWC_FC_NON-NOOS'!$B$4:$B$23,0),FALSE),0),0)</f>
        <v>0</v>
      </c>
      <c r="AR746" s="57">
        <f>IFERROR(IF($V746="BRAND.com",HLOOKUP($X746&amp;$Z746,'NWC_FC_NON-NOOS'!$T$4:$AH$23,MATCH(W746,'NWC_FC_NON-NOOS'!$S$4:$S$23,0),FALSE),0),0)</f>
        <v>0</v>
      </c>
      <c r="AS746" s="57">
        <f>IFERROR(IF($V746="BRAND.com",HLOOKUP($X746&amp;$Z746,'NWC_FC_NON-NOOS'!$C$50:$U$69,MATCH(W746,'NWC_FC_NON-NOOS'!$B$50:$B$69,0),FALSE),0),0)</f>
        <v>0</v>
      </c>
      <c r="AT746" s="57">
        <f t="shared" si="302"/>
        <v>0</v>
      </c>
      <c r="AU746" s="57">
        <f t="shared" si="303"/>
        <v>0</v>
      </c>
      <c r="AV746" s="58">
        <f>IFERROR(IF($V746="BRAND.com",HLOOKUP($X746&amp;$Z746,PLANNING_FC!$BB$27:$BP$46,MATCH($W746,PLANNING_FC!$BA$27:$BA$46,0),FALSE),0),0)</f>
        <v>0</v>
      </c>
      <c r="AW746" s="58">
        <f>IFERROR(IF($V746="BRAND.com",HLOOKUP($X746&amp;$Z746,PLANNING_FC!$BB$4:$BP$23,MATCH($W746,PLANNING_FC!$BA$4:$BA$23,0),FALSE),0),0)</f>
        <v>0</v>
      </c>
      <c r="AX746" s="58">
        <f>IFERROR(IF($V746="BRAND.com",HLOOKUP($X746&amp;$Z746,PLANNING_FC!$T$27:$AH$46,MATCH($W746,PLANNING_FC!$B$27:$B$46,0),FALSE),0),0)</f>
        <v>0</v>
      </c>
      <c r="AY746" s="58">
        <f>IFERROR(IF($V746="BRAND.com",HLOOKUP($X746&amp;$Z746,PLANNING_FC!$T$4:$AH$23,MATCH($W746,PLANNING_FC!$B$4:$B$23,0),FALSE),0),0)</f>
        <v>0</v>
      </c>
      <c r="AZ746" s="58">
        <f>IFERROR(IF($V746="BRAND.com",HLOOKUP($X746&amp;$Z746,PLANNING_FC!$DA$27:$DO$46,MATCH($W746,PLANNING_FC!$CZ$27:$CZ$46,0),FALSE),0),0)</f>
        <v>0</v>
      </c>
      <c r="BA746" s="58">
        <f>IFERROR(IF($V746="BRAND.com",HLOOKUP($X746&amp;$Z746,PLANNING_FC!$DA$4:$DO$23,MATCH($W746,PLANNING_FC!$CZ$4:$CZ$23,0),FALSE),0),0)</f>
        <v>0</v>
      </c>
      <c r="BB746" s="883" t="str">
        <f>IF(V746="BRAND.com",IFERROR(HLOOKUP(X746&amp;Z746,PLANNING_FC!$AK$4:$AY$23,MATCH(W746,PLANNING_FC!$AJ$4:$AJ$23,0),FALSE)*1000,""),"")</f>
        <v/>
      </c>
      <c r="BC746" s="883" t="str">
        <f>IF(V746="BRAND.com",IFERROR(HLOOKUP(X746&amp;Z746,PLANNING_FC!$AK$27:$AY$46,MATCH(W746,PLANNING_FC!$AJ$27:$AJ$46,0),FALSE)*1000,""),"")</f>
        <v/>
      </c>
    </row>
    <row r="747" spans="14:55" x14ac:dyDescent="0.25">
      <c r="N747" s="56">
        <f t="shared" si="284"/>
        <v>0</v>
      </c>
      <c r="O747" s="57">
        <f t="shared" si="285"/>
        <v>0</v>
      </c>
      <c r="P747" s="57">
        <f ca="1">IFERROR(IF(ISBLANK(H747),SUMIFS($AC:$AC,$V:$V,V747,$W:$W,W747,$X:$X,X747,$Y:$Y,Y747)*J747/(1-J747)*VLOOKUP(_xlfn.CONCAT(C747,D747,E747,TIME!$M$12,Z747),HIS_SALES!$B$2:$W$4859,20,FALSE),AC747*J747/(1-J747)),0)</f>
        <v>0</v>
      </c>
      <c r="Q747" s="541" t="str">
        <f t="shared" si="286"/>
        <v/>
      </c>
      <c r="R747" s="346" t="str">
        <f t="shared" si="287"/>
        <v>00000</v>
      </c>
      <c r="S747" s="344">
        <f t="shared" si="288"/>
        <v>0</v>
      </c>
      <c r="T747" s="345" t="str">
        <f t="shared" si="301"/>
        <v>000</v>
      </c>
      <c r="U747" s="345">
        <f t="shared" si="289"/>
        <v>0</v>
      </c>
      <c r="V747" s="345">
        <f t="shared" si="290"/>
        <v>0</v>
      </c>
      <c r="W747" s="345">
        <f t="shared" si="291"/>
        <v>0</v>
      </c>
      <c r="X747" s="345">
        <f t="shared" si="292"/>
        <v>0</v>
      </c>
      <c r="Y747" s="345">
        <f t="shared" si="293"/>
        <v>0</v>
      </c>
      <c r="Z747" s="345">
        <f>IF(Q747&lt;&gt;"",VLOOKUP(Y747,TIME!$R$21:$V$24,MATCH(FC_DATA!Q747,TIME!$R$20:$V$20,0),FALSE),H747)</f>
        <v>0</v>
      </c>
      <c r="AA747" s="345" t="str">
        <f>IFERROR(VLOOKUP(X747&amp;Z747,TIME!$A$12:$D$71,4,FALSE),"")</f>
        <v/>
      </c>
      <c r="AB747" s="592">
        <f t="shared" ca="1" si="294"/>
        <v>0</v>
      </c>
      <c r="AC747" s="593" t="e">
        <f ca="1">IF(ISBLANK(H747)=FALSE,IF(D747="BRAND.com",I747,IF(ISNA(VLOOKUP(_xlfn.CONCAT(X747,Z747),TIME!$M$40:$M$42,1,FALSE)),I747,VLOOKUP(_xlfn.CONCAT(D747,G747,H747),M_BUSAREA_FC!$AF$5:$AJ$10,5,FALSE)*HLOOKUP(_xlfn.CONCAT(F747,H747),ST_OVERVIEW!$G$99:$I$130,MATCH(_xlfn.CONCAT(D747,E747),ST_OVERVIEW!$F$99:$F$130,0),FALSE))),IF(D747="BRAND.com",VLOOKUP(_xlfn.CONCAT(C747,D747,E747,TIME!$F$1,Z747),HIS_SALES!$B$2:$V$4859,19,FALSE)*I747,VLOOKUP(_xlfn.CONCAT(D747,F747,G747),Q_BUSAREA_FC!$AE$5:$AI$12,5,FALSE)*HLOOKUP(_xlfn.CONCAT(FC_DATA!F747,FC_DATA!G747),LT_OVERVIEW!$I$99:$M$130,MATCH(_xlfn.CONCAT(D747,FC_DATA!E747),LT_OVERVIEW!$H$99:$H$130,0),FALSE)*IFERROR(VLOOKUP(_xlfn.CONCAT(C747,D747,E747,TIME!$F$1,Z747),HIS_SALES!$B$2:$V$4859,19,FALSE),0)))</f>
        <v>#N/A</v>
      </c>
      <c r="AD747" s="341">
        <f t="shared" ca="1" si="295"/>
        <v>0</v>
      </c>
      <c r="AE747" s="363" t="str">
        <f t="shared" si="296"/>
        <v/>
      </c>
      <c r="AF747" s="342" t="str">
        <f t="shared" si="297"/>
        <v/>
      </c>
      <c r="AG747" s="411" t="e">
        <f ca="1">VLOOKUP(_xlfn.CONCAT(U747,V747,W747,VLOOKUP(X747&amp;Y747,TIME!$L$27:$O$34,4,FALSE),Y747),HIS_SALES!$A$2:$R$5093,18,FALSE)</f>
        <v>#N/A</v>
      </c>
      <c r="AH747" s="412" t="e">
        <f ca="1">IFERROR(IF(AND(V747=V746,W747=W746),0.5*(AB747+AB746)*AG747,(VLOOKUP(_xlfn.CONCAT(U747,V747,W747,X747,VLOOKUP(Z747,TIME!$S$28:$T$39,2,FALSE)),FC_DATA!$R$2:$AB$5000,MATCH("GS_I_M",FC_DATA!$R$1:$AB$1,0),FALSE)+FC_DATA!AB747)*0.5*FC_DATA!AG747),NA())</f>
        <v>#N/A</v>
      </c>
      <c r="AI747" s="491" t="e">
        <f ca="1">IF(V747="PARTNER.com",AH747,IF(AND(V747=V746,W747=W746),(1-AVERAGE(AD746,AD747))*AH747,(1-AVERAGE(AD747,VLOOKUP(_xlfn.CONCAT(U747,V747,W747,X747,M_BRAND_FC!$F$6),FC_DATA!$R$2:$AD$5000,MATCH("DISCOUNT_%_M",FC_DATA!$R$1:$AD$1,0),FALSE)))*AH747))</f>
        <v>#N/A</v>
      </c>
      <c r="AJ747" s="412" t="str">
        <f t="shared" ca="1" si="298"/>
        <v/>
      </c>
      <c r="AK747" s="413" t="str">
        <f>IFERROR(AE747/(Q_BRAND_FC!$T$24+1),"")</f>
        <v/>
      </c>
      <c r="AL747" s="88" t="str">
        <f t="shared" ca="1" si="299"/>
        <v/>
      </c>
      <c r="AM747" s="414" t="str">
        <f t="shared" ca="1" si="300"/>
        <v/>
      </c>
      <c r="AN747" s="58">
        <f>IFERROR(IF($V747="BRAND.com",HLOOKUP($X747&amp;$Z747,NWC_FC_NOOS!$C$4:$Q$23,MATCH(W747,NWC_FC_NOOS!$B$4:$B$23,0),FALSE),0),0)</f>
        <v>0</v>
      </c>
      <c r="AO747" s="57">
        <f>IFERROR(IF($V747="BRAND.com",HLOOKUP($X747&amp;$Z747,NWC_FC_NOOS!$T$4:$AH$23,MATCH(W747,NWC_FC_NOOS!$S$4:$S$23,0),FALSE),0),0)</f>
        <v>0</v>
      </c>
      <c r="AP747" s="57">
        <f>IFERROR(IF($V747="BRAND.com",HLOOKUP($X747&amp;$Z747,NWC_FC_NOOS!$C$50:$U$69,MATCH(W747,NWC_FC_NOOS!$B$50:$B$69,0),FALSE),0),0)</f>
        <v>0</v>
      </c>
      <c r="AQ747" s="58">
        <f>IFERROR(IF($V747="BRAND.com",HLOOKUP($X747&amp;$Z747,'NWC_FC_NON-NOOS'!$C$4:$Q$23,MATCH(W747,'NWC_FC_NON-NOOS'!$B$4:$B$23,0),FALSE),0),0)</f>
        <v>0</v>
      </c>
      <c r="AR747" s="57">
        <f>IFERROR(IF($V747="BRAND.com",HLOOKUP($X747&amp;$Z747,'NWC_FC_NON-NOOS'!$T$4:$AH$23,MATCH(W747,'NWC_FC_NON-NOOS'!$S$4:$S$23,0),FALSE),0),0)</f>
        <v>0</v>
      </c>
      <c r="AS747" s="57">
        <f>IFERROR(IF($V747="BRAND.com",HLOOKUP($X747&amp;$Z747,'NWC_FC_NON-NOOS'!$C$50:$U$69,MATCH(W747,'NWC_FC_NON-NOOS'!$B$50:$B$69,0),FALSE),0),0)</f>
        <v>0</v>
      </c>
      <c r="AT747" s="57">
        <f t="shared" si="302"/>
        <v>0</v>
      </c>
      <c r="AU747" s="57">
        <f t="shared" si="303"/>
        <v>0</v>
      </c>
      <c r="AV747" s="58">
        <f>IFERROR(IF($V747="BRAND.com",HLOOKUP($X747&amp;$Z747,PLANNING_FC!$BB$27:$BP$46,MATCH($W747,PLANNING_FC!$BA$27:$BA$46,0),FALSE),0),0)</f>
        <v>0</v>
      </c>
      <c r="AW747" s="58">
        <f>IFERROR(IF($V747="BRAND.com",HLOOKUP($X747&amp;$Z747,PLANNING_FC!$BB$4:$BP$23,MATCH($W747,PLANNING_FC!$BA$4:$BA$23,0),FALSE),0),0)</f>
        <v>0</v>
      </c>
      <c r="AX747" s="58">
        <f>IFERROR(IF($V747="BRAND.com",HLOOKUP($X747&amp;$Z747,PLANNING_FC!$T$27:$AH$46,MATCH($W747,PLANNING_FC!$B$27:$B$46,0),FALSE),0),0)</f>
        <v>0</v>
      </c>
      <c r="AY747" s="58">
        <f>IFERROR(IF($V747="BRAND.com",HLOOKUP($X747&amp;$Z747,PLANNING_FC!$T$4:$AH$23,MATCH($W747,PLANNING_FC!$B$4:$B$23,0),FALSE),0),0)</f>
        <v>0</v>
      </c>
      <c r="AZ747" s="58">
        <f>IFERROR(IF($V747="BRAND.com",HLOOKUP($X747&amp;$Z747,PLANNING_FC!$DA$27:$DO$46,MATCH($W747,PLANNING_FC!$CZ$27:$CZ$46,0),FALSE),0),0)</f>
        <v>0</v>
      </c>
      <c r="BA747" s="58">
        <f>IFERROR(IF($V747="BRAND.com",HLOOKUP($X747&amp;$Z747,PLANNING_FC!$DA$4:$DO$23,MATCH($W747,PLANNING_FC!$CZ$4:$CZ$23,0),FALSE),0),0)</f>
        <v>0</v>
      </c>
      <c r="BB747" s="883" t="str">
        <f>IF(V747="BRAND.com",IFERROR(HLOOKUP(X747&amp;Z747,PLANNING_FC!$AK$4:$AY$23,MATCH(W747,PLANNING_FC!$AJ$4:$AJ$23,0),FALSE)*1000,""),"")</f>
        <v/>
      </c>
      <c r="BC747" s="883" t="str">
        <f>IF(V747="BRAND.com",IFERROR(HLOOKUP(X747&amp;Z747,PLANNING_FC!$AK$27:$AY$46,MATCH(W747,PLANNING_FC!$AJ$27:$AJ$46,0),FALSE)*1000,""),"")</f>
        <v/>
      </c>
    </row>
    <row r="748" spans="14:55" x14ac:dyDescent="0.25">
      <c r="N748" s="56">
        <f t="shared" si="284"/>
        <v>0</v>
      </c>
      <c r="O748" s="57">
        <f t="shared" si="285"/>
        <v>0</v>
      </c>
      <c r="P748" s="57">
        <f ca="1">IFERROR(IF(ISBLANK(H748),SUMIFS($AC:$AC,$V:$V,V748,$W:$W,W748,$X:$X,X748,$Y:$Y,Y748)*J748/(1-J748)*VLOOKUP(_xlfn.CONCAT(C748,D748,E748,TIME!$M$12,Z748),HIS_SALES!$B$2:$W$4859,20,FALSE),AC748*J748/(1-J748)),0)</f>
        <v>0</v>
      </c>
      <c r="Q748" s="541" t="str">
        <f t="shared" si="286"/>
        <v/>
      </c>
      <c r="R748" s="346" t="str">
        <f t="shared" si="287"/>
        <v>00000</v>
      </c>
      <c r="S748" s="344">
        <f t="shared" si="288"/>
        <v>0</v>
      </c>
      <c r="T748" s="345" t="str">
        <f t="shared" si="301"/>
        <v>000</v>
      </c>
      <c r="U748" s="345">
        <f t="shared" si="289"/>
        <v>0</v>
      </c>
      <c r="V748" s="345">
        <f t="shared" si="290"/>
        <v>0</v>
      </c>
      <c r="W748" s="345">
        <f t="shared" si="291"/>
        <v>0</v>
      </c>
      <c r="X748" s="345">
        <f t="shared" si="292"/>
        <v>0</v>
      </c>
      <c r="Y748" s="345">
        <f t="shared" si="293"/>
        <v>0</v>
      </c>
      <c r="Z748" s="345">
        <f>IF(Q748&lt;&gt;"",VLOOKUP(Y748,TIME!$R$21:$V$24,MATCH(FC_DATA!Q748,TIME!$R$20:$V$20,0),FALSE),H748)</f>
        <v>0</v>
      </c>
      <c r="AA748" s="345" t="str">
        <f>IFERROR(VLOOKUP(X748&amp;Z748,TIME!$A$12:$D$71,4,FALSE),"")</f>
        <v/>
      </c>
      <c r="AB748" s="592">
        <f t="shared" ca="1" si="294"/>
        <v>0</v>
      </c>
      <c r="AC748" s="593" t="e">
        <f ca="1">IF(ISBLANK(H748)=FALSE,IF(D748="BRAND.com",I748,IF(ISNA(VLOOKUP(_xlfn.CONCAT(X748,Z748),TIME!$M$40:$M$42,1,FALSE)),I748,VLOOKUP(_xlfn.CONCAT(D748,G748,H748),M_BUSAREA_FC!$AF$5:$AJ$10,5,FALSE)*HLOOKUP(_xlfn.CONCAT(F748,H748),ST_OVERVIEW!$G$99:$I$130,MATCH(_xlfn.CONCAT(D748,E748),ST_OVERVIEW!$F$99:$F$130,0),FALSE))),IF(D748="BRAND.com",VLOOKUP(_xlfn.CONCAT(C748,D748,E748,TIME!$F$1,Z748),HIS_SALES!$B$2:$V$4859,19,FALSE)*I748,VLOOKUP(_xlfn.CONCAT(D748,F748,G748),Q_BUSAREA_FC!$AE$5:$AI$12,5,FALSE)*HLOOKUP(_xlfn.CONCAT(FC_DATA!F748,FC_DATA!G748),LT_OVERVIEW!$I$99:$M$130,MATCH(_xlfn.CONCAT(D748,FC_DATA!E748),LT_OVERVIEW!$H$99:$H$130,0),FALSE)*IFERROR(VLOOKUP(_xlfn.CONCAT(C748,D748,E748,TIME!$F$1,Z748),HIS_SALES!$B$2:$V$4859,19,FALSE),0)))</f>
        <v>#N/A</v>
      </c>
      <c r="AD748" s="341">
        <f t="shared" ca="1" si="295"/>
        <v>0</v>
      </c>
      <c r="AE748" s="363" t="str">
        <f t="shared" si="296"/>
        <v/>
      </c>
      <c r="AF748" s="342" t="str">
        <f t="shared" si="297"/>
        <v/>
      </c>
      <c r="AG748" s="411" t="e">
        <f ca="1">VLOOKUP(_xlfn.CONCAT(U748,V748,W748,VLOOKUP(X748&amp;Y748,TIME!$L$27:$O$34,4,FALSE),Y748),HIS_SALES!$A$2:$R$5093,18,FALSE)</f>
        <v>#N/A</v>
      </c>
      <c r="AH748" s="412" t="e">
        <f ca="1">IFERROR(IF(AND(V748=V747,W748=W747),0.5*(AB748+AB747)*AG748,(VLOOKUP(_xlfn.CONCAT(U748,V748,W748,X748,VLOOKUP(Z748,TIME!$S$28:$T$39,2,FALSE)),FC_DATA!$R$2:$AB$5000,MATCH("GS_I_M",FC_DATA!$R$1:$AB$1,0),FALSE)+FC_DATA!AB748)*0.5*FC_DATA!AG748),NA())</f>
        <v>#N/A</v>
      </c>
      <c r="AI748" s="491" t="e">
        <f ca="1">IF(V748="PARTNER.com",AH748,IF(AND(V748=V747,W748=W747),(1-AVERAGE(AD747,AD748))*AH748,(1-AVERAGE(AD748,VLOOKUP(_xlfn.CONCAT(U748,V748,W748,X748,M_BRAND_FC!$F$6),FC_DATA!$R$2:$AD$5000,MATCH("DISCOUNT_%_M",FC_DATA!$R$1:$AD$1,0),FALSE)))*AH748))</f>
        <v>#N/A</v>
      </c>
      <c r="AJ748" s="412" t="str">
        <f t="shared" ca="1" si="298"/>
        <v/>
      </c>
      <c r="AK748" s="413" t="str">
        <f>IFERROR(AE748/(Q_BRAND_FC!$T$24+1),"")</f>
        <v/>
      </c>
      <c r="AL748" s="88" t="str">
        <f t="shared" ca="1" si="299"/>
        <v/>
      </c>
      <c r="AM748" s="414" t="str">
        <f t="shared" ca="1" si="300"/>
        <v/>
      </c>
      <c r="AN748" s="58">
        <f>IFERROR(IF($V748="BRAND.com",HLOOKUP($X748&amp;$Z748,NWC_FC_NOOS!$C$4:$Q$23,MATCH(W748,NWC_FC_NOOS!$B$4:$B$23,0),FALSE),0),0)</f>
        <v>0</v>
      </c>
      <c r="AO748" s="57">
        <f>IFERROR(IF($V748="BRAND.com",HLOOKUP($X748&amp;$Z748,NWC_FC_NOOS!$T$4:$AH$23,MATCH(W748,NWC_FC_NOOS!$S$4:$S$23,0),FALSE),0),0)</f>
        <v>0</v>
      </c>
      <c r="AP748" s="57">
        <f>IFERROR(IF($V748="BRAND.com",HLOOKUP($X748&amp;$Z748,NWC_FC_NOOS!$C$50:$U$69,MATCH(W748,NWC_FC_NOOS!$B$50:$B$69,0),FALSE),0),0)</f>
        <v>0</v>
      </c>
      <c r="AQ748" s="58">
        <f>IFERROR(IF($V748="BRAND.com",HLOOKUP($X748&amp;$Z748,'NWC_FC_NON-NOOS'!$C$4:$Q$23,MATCH(W748,'NWC_FC_NON-NOOS'!$B$4:$B$23,0),FALSE),0),0)</f>
        <v>0</v>
      </c>
      <c r="AR748" s="57">
        <f>IFERROR(IF($V748="BRAND.com",HLOOKUP($X748&amp;$Z748,'NWC_FC_NON-NOOS'!$T$4:$AH$23,MATCH(W748,'NWC_FC_NON-NOOS'!$S$4:$S$23,0),FALSE),0),0)</f>
        <v>0</v>
      </c>
      <c r="AS748" s="57">
        <f>IFERROR(IF($V748="BRAND.com",HLOOKUP($X748&amp;$Z748,'NWC_FC_NON-NOOS'!$C$50:$U$69,MATCH(W748,'NWC_FC_NON-NOOS'!$B$50:$B$69,0),FALSE),0),0)</f>
        <v>0</v>
      </c>
      <c r="AT748" s="57">
        <f t="shared" si="302"/>
        <v>0</v>
      </c>
      <c r="AU748" s="57">
        <f t="shared" si="303"/>
        <v>0</v>
      </c>
      <c r="AV748" s="58">
        <f>IFERROR(IF($V748="BRAND.com",HLOOKUP($X748&amp;$Z748,PLANNING_FC!$BB$27:$BP$46,MATCH($W748,PLANNING_FC!$BA$27:$BA$46,0),FALSE),0),0)</f>
        <v>0</v>
      </c>
      <c r="AW748" s="58">
        <f>IFERROR(IF($V748="BRAND.com",HLOOKUP($X748&amp;$Z748,PLANNING_FC!$BB$4:$BP$23,MATCH($W748,PLANNING_FC!$BA$4:$BA$23,0),FALSE),0),0)</f>
        <v>0</v>
      </c>
      <c r="AX748" s="58">
        <f>IFERROR(IF($V748="BRAND.com",HLOOKUP($X748&amp;$Z748,PLANNING_FC!$T$27:$AH$46,MATCH($W748,PLANNING_FC!$B$27:$B$46,0),FALSE),0),0)</f>
        <v>0</v>
      </c>
      <c r="AY748" s="58">
        <f>IFERROR(IF($V748="BRAND.com",HLOOKUP($X748&amp;$Z748,PLANNING_FC!$T$4:$AH$23,MATCH($W748,PLANNING_FC!$B$4:$B$23,0),FALSE),0),0)</f>
        <v>0</v>
      </c>
      <c r="AZ748" s="58">
        <f>IFERROR(IF($V748="BRAND.com",HLOOKUP($X748&amp;$Z748,PLANNING_FC!$DA$27:$DO$46,MATCH($W748,PLANNING_FC!$CZ$27:$CZ$46,0),FALSE),0),0)</f>
        <v>0</v>
      </c>
      <c r="BA748" s="58">
        <f>IFERROR(IF($V748="BRAND.com",HLOOKUP($X748&amp;$Z748,PLANNING_FC!$DA$4:$DO$23,MATCH($W748,PLANNING_FC!$CZ$4:$CZ$23,0),FALSE),0),0)</f>
        <v>0</v>
      </c>
      <c r="BB748" s="883" t="str">
        <f>IF(V748="BRAND.com",IFERROR(HLOOKUP(X748&amp;Z748,PLANNING_FC!$AK$4:$AY$23,MATCH(W748,PLANNING_FC!$AJ$4:$AJ$23,0),FALSE)*1000,""),"")</f>
        <v/>
      </c>
      <c r="BC748" s="883" t="str">
        <f>IF(V748="BRAND.com",IFERROR(HLOOKUP(X748&amp;Z748,PLANNING_FC!$AK$27:$AY$46,MATCH(W748,PLANNING_FC!$AJ$27:$AJ$46,0),FALSE)*1000,""),"")</f>
        <v/>
      </c>
    </row>
    <row r="749" spans="14:55" x14ac:dyDescent="0.25">
      <c r="N749" s="56">
        <f t="shared" si="284"/>
        <v>0</v>
      </c>
      <c r="O749" s="57">
        <f t="shared" si="285"/>
        <v>0</v>
      </c>
      <c r="P749" s="57">
        <f ca="1">IFERROR(IF(ISBLANK(H749),SUMIFS($AC:$AC,$V:$V,V749,$W:$W,W749,$X:$X,X749,$Y:$Y,Y749)*J749/(1-J749)*VLOOKUP(_xlfn.CONCAT(C749,D749,E749,TIME!$M$12,Z749),HIS_SALES!$B$2:$W$4859,20,FALSE),AC749*J749/(1-J749)),0)</f>
        <v>0</v>
      </c>
      <c r="Q749" s="541" t="str">
        <f t="shared" si="286"/>
        <v/>
      </c>
      <c r="R749" s="346" t="str">
        <f t="shared" si="287"/>
        <v>00000</v>
      </c>
      <c r="S749" s="344">
        <f t="shared" si="288"/>
        <v>0</v>
      </c>
      <c r="T749" s="345" t="str">
        <f t="shared" si="301"/>
        <v>000</v>
      </c>
      <c r="U749" s="345">
        <f t="shared" si="289"/>
        <v>0</v>
      </c>
      <c r="V749" s="345">
        <f t="shared" si="290"/>
        <v>0</v>
      </c>
      <c r="W749" s="345">
        <f t="shared" si="291"/>
        <v>0</v>
      </c>
      <c r="X749" s="345">
        <f t="shared" si="292"/>
        <v>0</v>
      </c>
      <c r="Y749" s="345">
        <f t="shared" si="293"/>
        <v>0</v>
      </c>
      <c r="Z749" s="345">
        <f>IF(Q749&lt;&gt;"",VLOOKUP(Y749,TIME!$R$21:$V$24,MATCH(FC_DATA!Q749,TIME!$R$20:$V$20,0),FALSE),H749)</f>
        <v>0</v>
      </c>
      <c r="AA749" s="345" t="str">
        <f>IFERROR(VLOOKUP(X749&amp;Z749,TIME!$A$12:$D$71,4,FALSE),"")</f>
        <v/>
      </c>
      <c r="AB749" s="592">
        <f t="shared" ca="1" si="294"/>
        <v>0</v>
      </c>
      <c r="AC749" s="593" t="e">
        <f ca="1">IF(ISBLANK(H749)=FALSE,IF(D749="BRAND.com",I749,IF(ISNA(VLOOKUP(_xlfn.CONCAT(X749,Z749),TIME!$M$40:$M$42,1,FALSE)),I749,VLOOKUP(_xlfn.CONCAT(D749,G749,H749),M_BUSAREA_FC!$AF$5:$AJ$10,5,FALSE)*HLOOKUP(_xlfn.CONCAT(F749,H749),ST_OVERVIEW!$G$99:$I$130,MATCH(_xlfn.CONCAT(D749,E749),ST_OVERVIEW!$F$99:$F$130,0),FALSE))),IF(D749="BRAND.com",VLOOKUP(_xlfn.CONCAT(C749,D749,E749,TIME!$F$1,Z749),HIS_SALES!$B$2:$V$4859,19,FALSE)*I749,VLOOKUP(_xlfn.CONCAT(D749,F749,G749),Q_BUSAREA_FC!$AE$5:$AI$12,5,FALSE)*HLOOKUP(_xlfn.CONCAT(FC_DATA!F749,FC_DATA!G749),LT_OVERVIEW!$I$99:$M$130,MATCH(_xlfn.CONCAT(D749,FC_DATA!E749),LT_OVERVIEW!$H$99:$H$130,0),FALSE)*IFERROR(VLOOKUP(_xlfn.CONCAT(C749,D749,E749,TIME!$F$1,Z749),HIS_SALES!$B$2:$V$4859,19,FALSE),0)))</f>
        <v>#N/A</v>
      </c>
      <c r="AD749" s="341">
        <f t="shared" ca="1" si="295"/>
        <v>0</v>
      </c>
      <c r="AE749" s="363" t="str">
        <f t="shared" si="296"/>
        <v/>
      </c>
      <c r="AF749" s="342" t="str">
        <f t="shared" si="297"/>
        <v/>
      </c>
      <c r="AG749" s="411" t="e">
        <f ca="1">VLOOKUP(_xlfn.CONCAT(U749,V749,W749,VLOOKUP(X749&amp;Y749,TIME!$L$27:$O$34,4,FALSE),Y749),HIS_SALES!$A$2:$R$5093,18,FALSE)</f>
        <v>#N/A</v>
      </c>
      <c r="AH749" s="412" t="e">
        <f ca="1">IFERROR(IF(AND(V749=V748,W749=W748),0.5*(AB749+AB748)*AG749,(VLOOKUP(_xlfn.CONCAT(U749,V749,W749,X749,VLOOKUP(Z749,TIME!$S$28:$T$39,2,FALSE)),FC_DATA!$R$2:$AB$5000,MATCH("GS_I_M",FC_DATA!$R$1:$AB$1,0),FALSE)+FC_DATA!AB749)*0.5*FC_DATA!AG749),NA())</f>
        <v>#N/A</v>
      </c>
      <c r="AI749" s="491" t="e">
        <f ca="1">IF(V749="PARTNER.com",AH749,IF(AND(V749=V748,W749=W748),(1-AVERAGE(AD748,AD749))*AH749,(1-AVERAGE(AD749,VLOOKUP(_xlfn.CONCAT(U749,V749,W749,X749,M_BRAND_FC!$F$6),FC_DATA!$R$2:$AD$5000,MATCH("DISCOUNT_%_M",FC_DATA!$R$1:$AD$1,0),FALSE)))*AH749))</f>
        <v>#N/A</v>
      </c>
      <c r="AJ749" s="412" t="str">
        <f t="shared" ca="1" si="298"/>
        <v/>
      </c>
      <c r="AK749" s="413" t="str">
        <f>IFERROR(AE749/(Q_BRAND_FC!$T$24+1),"")</f>
        <v/>
      </c>
      <c r="AL749" s="88" t="str">
        <f t="shared" ca="1" si="299"/>
        <v/>
      </c>
      <c r="AM749" s="414" t="str">
        <f t="shared" ca="1" si="300"/>
        <v/>
      </c>
      <c r="AN749" s="58">
        <f>IFERROR(IF($V749="BRAND.com",HLOOKUP($X749&amp;$Z749,NWC_FC_NOOS!$C$4:$Q$23,MATCH(W749,NWC_FC_NOOS!$B$4:$B$23,0),FALSE),0),0)</f>
        <v>0</v>
      </c>
      <c r="AO749" s="57">
        <f>IFERROR(IF($V749="BRAND.com",HLOOKUP($X749&amp;$Z749,NWC_FC_NOOS!$T$4:$AH$23,MATCH(W749,NWC_FC_NOOS!$S$4:$S$23,0),FALSE),0),0)</f>
        <v>0</v>
      </c>
      <c r="AP749" s="57">
        <f>IFERROR(IF($V749="BRAND.com",HLOOKUP($X749&amp;$Z749,NWC_FC_NOOS!$C$50:$U$69,MATCH(W749,NWC_FC_NOOS!$B$50:$B$69,0),FALSE),0),0)</f>
        <v>0</v>
      </c>
      <c r="AQ749" s="58">
        <f>IFERROR(IF($V749="BRAND.com",HLOOKUP($X749&amp;$Z749,'NWC_FC_NON-NOOS'!$C$4:$Q$23,MATCH(W749,'NWC_FC_NON-NOOS'!$B$4:$B$23,0),FALSE),0),0)</f>
        <v>0</v>
      </c>
      <c r="AR749" s="57">
        <f>IFERROR(IF($V749="BRAND.com",HLOOKUP($X749&amp;$Z749,'NWC_FC_NON-NOOS'!$T$4:$AH$23,MATCH(W749,'NWC_FC_NON-NOOS'!$S$4:$S$23,0),FALSE),0),0)</f>
        <v>0</v>
      </c>
      <c r="AS749" s="57">
        <f>IFERROR(IF($V749="BRAND.com",HLOOKUP($X749&amp;$Z749,'NWC_FC_NON-NOOS'!$C$50:$U$69,MATCH(W749,'NWC_FC_NON-NOOS'!$B$50:$B$69,0),FALSE),0),0)</f>
        <v>0</v>
      </c>
      <c r="AT749" s="57">
        <f t="shared" si="302"/>
        <v>0</v>
      </c>
      <c r="AU749" s="57">
        <f t="shared" si="303"/>
        <v>0</v>
      </c>
      <c r="AV749" s="58">
        <f>IFERROR(IF($V749="BRAND.com",HLOOKUP($X749&amp;$Z749,PLANNING_FC!$BB$27:$BP$46,MATCH($W749,PLANNING_FC!$BA$27:$BA$46,0),FALSE),0),0)</f>
        <v>0</v>
      </c>
      <c r="AW749" s="58">
        <f>IFERROR(IF($V749="BRAND.com",HLOOKUP($X749&amp;$Z749,PLANNING_FC!$BB$4:$BP$23,MATCH($W749,PLANNING_FC!$BA$4:$BA$23,0),FALSE),0),0)</f>
        <v>0</v>
      </c>
      <c r="AX749" s="58">
        <f>IFERROR(IF($V749="BRAND.com",HLOOKUP($X749&amp;$Z749,PLANNING_FC!$T$27:$AH$46,MATCH($W749,PLANNING_FC!$B$27:$B$46,0),FALSE),0),0)</f>
        <v>0</v>
      </c>
      <c r="AY749" s="58">
        <f>IFERROR(IF($V749="BRAND.com",HLOOKUP($X749&amp;$Z749,PLANNING_FC!$T$4:$AH$23,MATCH($W749,PLANNING_FC!$B$4:$B$23,0),FALSE),0),0)</f>
        <v>0</v>
      </c>
      <c r="AZ749" s="58">
        <f>IFERROR(IF($V749="BRAND.com",HLOOKUP($X749&amp;$Z749,PLANNING_FC!$DA$27:$DO$46,MATCH($W749,PLANNING_FC!$CZ$27:$CZ$46,0),FALSE),0),0)</f>
        <v>0</v>
      </c>
      <c r="BA749" s="58">
        <f>IFERROR(IF($V749="BRAND.com",HLOOKUP($X749&amp;$Z749,PLANNING_FC!$DA$4:$DO$23,MATCH($W749,PLANNING_FC!$CZ$4:$CZ$23,0),FALSE),0),0)</f>
        <v>0</v>
      </c>
      <c r="BB749" s="883" t="str">
        <f>IF(V749="BRAND.com",IFERROR(HLOOKUP(X749&amp;Z749,PLANNING_FC!$AK$4:$AY$23,MATCH(W749,PLANNING_FC!$AJ$4:$AJ$23,0),FALSE)*1000,""),"")</f>
        <v/>
      </c>
      <c r="BC749" s="883" t="str">
        <f>IF(V749="BRAND.com",IFERROR(HLOOKUP(X749&amp;Z749,PLANNING_FC!$AK$27:$AY$46,MATCH(W749,PLANNING_FC!$AJ$27:$AJ$46,0),FALSE)*1000,""),"")</f>
        <v/>
      </c>
    </row>
    <row r="750" spans="14:55" x14ac:dyDescent="0.25">
      <c r="N750" s="56">
        <f t="shared" si="284"/>
        <v>0</v>
      </c>
      <c r="O750" s="57">
        <f t="shared" si="285"/>
        <v>0</v>
      </c>
      <c r="P750" s="57">
        <f ca="1">IFERROR(IF(ISBLANK(H750),SUMIFS($AC:$AC,$V:$V,V750,$W:$W,W750,$X:$X,X750,$Y:$Y,Y750)*J750/(1-J750)*VLOOKUP(_xlfn.CONCAT(C750,D750,E750,TIME!$M$12,Z750),HIS_SALES!$B$2:$W$4859,20,FALSE),AC750*J750/(1-J750)),0)</f>
        <v>0</v>
      </c>
      <c r="Q750" s="541" t="str">
        <f t="shared" si="286"/>
        <v/>
      </c>
      <c r="R750" s="346" t="str">
        <f t="shared" si="287"/>
        <v>00000</v>
      </c>
      <c r="S750" s="344">
        <f t="shared" si="288"/>
        <v>0</v>
      </c>
      <c r="T750" s="345" t="str">
        <f t="shared" si="301"/>
        <v>000</v>
      </c>
      <c r="U750" s="345">
        <f t="shared" si="289"/>
        <v>0</v>
      </c>
      <c r="V750" s="345">
        <f t="shared" si="290"/>
        <v>0</v>
      </c>
      <c r="W750" s="345">
        <f t="shared" si="291"/>
        <v>0</v>
      </c>
      <c r="X750" s="345">
        <f t="shared" si="292"/>
        <v>0</v>
      </c>
      <c r="Y750" s="345">
        <f t="shared" si="293"/>
        <v>0</v>
      </c>
      <c r="Z750" s="345">
        <f>IF(Q750&lt;&gt;"",VLOOKUP(Y750,TIME!$R$21:$V$24,MATCH(FC_DATA!Q750,TIME!$R$20:$V$20,0),FALSE),H750)</f>
        <v>0</v>
      </c>
      <c r="AA750" s="345" t="str">
        <f>IFERROR(VLOOKUP(X750&amp;Z750,TIME!$A$12:$D$71,4,FALSE),"")</f>
        <v/>
      </c>
      <c r="AB750" s="592">
        <f t="shared" ca="1" si="294"/>
        <v>0</v>
      </c>
      <c r="AC750" s="593" t="e">
        <f ca="1">IF(ISBLANK(H750)=FALSE,IF(D750="BRAND.com",I750,IF(ISNA(VLOOKUP(_xlfn.CONCAT(X750,Z750),TIME!$M$40:$M$42,1,FALSE)),I750,VLOOKUP(_xlfn.CONCAT(D750,G750,H750),M_BUSAREA_FC!$AF$5:$AJ$10,5,FALSE)*HLOOKUP(_xlfn.CONCAT(F750,H750),ST_OVERVIEW!$G$99:$I$130,MATCH(_xlfn.CONCAT(D750,E750),ST_OVERVIEW!$F$99:$F$130,0),FALSE))),IF(D750="BRAND.com",VLOOKUP(_xlfn.CONCAT(C750,D750,E750,TIME!$F$1,Z750),HIS_SALES!$B$2:$V$4859,19,FALSE)*I750,VLOOKUP(_xlfn.CONCAT(D750,F750,G750),Q_BUSAREA_FC!$AE$5:$AI$12,5,FALSE)*HLOOKUP(_xlfn.CONCAT(FC_DATA!F750,FC_DATA!G750),LT_OVERVIEW!$I$99:$M$130,MATCH(_xlfn.CONCAT(D750,FC_DATA!E750),LT_OVERVIEW!$H$99:$H$130,0),FALSE)*IFERROR(VLOOKUP(_xlfn.CONCAT(C750,D750,E750,TIME!$F$1,Z750),HIS_SALES!$B$2:$V$4859,19,FALSE),0)))</f>
        <v>#N/A</v>
      </c>
      <c r="AD750" s="341">
        <f t="shared" ca="1" si="295"/>
        <v>0</v>
      </c>
      <c r="AE750" s="363" t="str">
        <f t="shared" si="296"/>
        <v/>
      </c>
      <c r="AF750" s="342" t="str">
        <f t="shared" si="297"/>
        <v/>
      </c>
      <c r="AG750" s="411" t="e">
        <f ca="1">VLOOKUP(_xlfn.CONCAT(U750,V750,W750,VLOOKUP(X750&amp;Y750,TIME!$L$27:$O$34,4,FALSE),Y750),HIS_SALES!$A$2:$R$5093,18,FALSE)</f>
        <v>#N/A</v>
      </c>
      <c r="AH750" s="412" t="e">
        <f ca="1">IFERROR(IF(AND(V750=V749,W750=W749),0.5*(AB750+AB749)*AG750,(VLOOKUP(_xlfn.CONCAT(U750,V750,W750,X750,VLOOKUP(Z750,TIME!$S$28:$T$39,2,FALSE)),FC_DATA!$R$2:$AB$5000,MATCH("GS_I_M",FC_DATA!$R$1:$AB$1,0),FALSE)+FC_DATA!AB750)*0.5*FC_DATA!AG750),NA())</f>
        <v>#N/A</v>
      </c>
      <c r="AI750" s="491" t="e">
        <f ca="1">IF(V750="PARTNER.com",AH750,IF(AND(V750=V749,W750=W749),(1-AVERAGE(AD749,AD750))*AH750,(1-AVERAGE(AD750,VLOOKUP(_xlfn.CONCAT(U750,V750,W750,X750,M_BRAND_FC!$F$6),FC_DATA!$R$2:$AD$5000,MATCH("DISCOUNT_%_M",FC_DATA!$R$1:$AD$1,0),FALSE)))*AH750))</f>
        <v>#N/A</v>
      </c>
      <c r="AJ750" s="412" t="str">
        <f t="shared" ca="1" si="298"/>
        <v/>
      </c>
      <c r="AK750" s="413" t="str">
        <f>IFERROR(AE750/(Q_BRAND_FC!$T$24+1),"")</f>
        <v/>
      </c>
      <c r="AL750" s="88" t="str">
        <f t="shared" ca="1" si="299"/>
        <v/>
      </c>
      <c r="AM750" s="414" t="str">
        <f t="shared" ca="1" si="300"/>
        <v/>
      </c>
      <c r="AN750" s="58">
        <f>IFERROR(IF($V750="BRAND.com",HLOOKUP($X750&amp;$Z750,NWC_FC_NOOS!$C$4:$Q$23,MATCH(W750,NWC_FC_NOOS!$B$4:$B$23,0),FALSE),0),0)</f>
        <v>0</v>
      </c>
      <c r="AO750" s="57">
        <f>IFERROR(IF($V750="BRAND.com",HLOOKUP($X750&amp;$Z750,NWC_FC_NOOS!$T$4:$AH$23,MATCH(W750,NWC_FC_NOOS!$S$4:$S$23,0),FALSE),0),0)</f>
        <v>0</v>
      </c>
      <c r="AP750" s="57">
        <f>IFERROR(IF($V750="BRAND.com",HLOOKUP($X750&amp;$Z750,NWC_FC_NOOS!$C$50:$U$69,MATCH(W750,NWC_FC_NOOS!$B$50:$B$69,0),FALSE),0),0)</f>
        <v>0</v>
      </c>
      <c r="AQ750" s="58">
        <f>IFERROR(IF($V750="BRAND.com",HLOOKUP($X750&amp;$Z750,'NWC_FC_NON-NOOS'!$C$4:$Q$23,MATCH(W750,'NWC_FC_NON-NOOS'!$B$4:$B$23,0),FALSE),0),0)</f>
        <v>0</v>
      </c>
      <c r="AR750" s="57">
        <f>IFERROR(IF($V750="BRAND.com",HLOOKUP($X750&amp;$Z750,'NWC_FC_NON-NOOS'!$T$4:$AH$23,MATCH(W750,'NWC_FC_NON-NOOS'!$S$4:$S$23,0),FALSE),0),0)</f>
        <v>0</v>
      </c>
      <c r="AS750" s="57">
        <f>IFERROR(IF($V750="BRAND.com",HLOOKUP($X750&amp;$Z750,'NWC_FC_NON-NOOS'!$C$50:$U$69,MATCH(W750,'NWC_FC_NON-NOOS'!$B$50:$B$69,0),FALSE),0),0)</f>
        <v>0</v>
      </c>
      <c r="AT750" s="57">
        <f t="shared" si="302"/>
        <v>0</v>
      </c>
      <c r="AU750" s="57">
        <f t="shared" si="303"/>
        <v>0</v>
      </c>
      <c r="AV750" s="58">
        <f>IFERROR(IF($V750="BRAND.com",HLOOKUP($X750&amp;$Z750,PLANNING_FC!$BB$27:$BP$46,MATCH($W750,PLANNING_FC!$BA$27:$BA$46,0),FALSE),0),0)</f>
        <v>0</v>
      </c>
      <c r="AW750" s="58">
        <f>IFERROR(IF($V750="BRAND.com",HLOOKUP($X750&amp;$Z750,PLANNING_FC!$BB$4:$BP$23,MATCH($W750,PLANNING_FC!$BA$4:$BA$23,0),FALSE),0),0)</f>
        <v>0</v>
      </c>
      <c r="AX750" s="58">
        <f>IFERROR(IF($V750="BRAND.com",HLOOKUP($X750&amp;$Z750,PLANNING_FC!$T$27:$AH$46,MATCH($W750,PLANNING_FC!$B$27:$B$46,0),FALSE),0),0)</f>
        <v>0</v>
      </c>
      <c r="AY750" s="58">
        <f>IFERROR(IF($V750="BRAND.com",HLOOKUP($X750&amp;$Z750,PLANNING_FC!$T$4:$AH$23,MATCH($W750,PLANNING_FC!$B$4:$B$23,0),FALSE),0),0)</f>
        <v>0</v>
      </c>
      <c r="AZ750" s="58">
        <f>IFERROR(IF($V750="BRAND.com",HLOOKUP($X750&amp;$Z750,PLANNING_FC!$DA$27:$DO$46,MATCH($W750,PLANNING_FC!$CZ$27:$CZ$46,0),FALSE),0),0)</f>
        <v>0</v>
      </c>
      <c r="BA750" s="58">
        <f>IFERROR(IF($V750="BRAND.com",HLOOKUP($X750&amp;$Z750,PLANNING_FC!$DA$4:$DO$23,MATCH($W750,PLANNING_FC!$CZ$4:$CZ$23,0),FALSE),0),0)</f>
        <v>0</v>
      </c>
      <c r="BB750" s="883" t="str">
        <f>IF(V750="BRAND.com",IFERROR(HLOOKUP(X750&amp;Z750,PLANNING_FC!$AK$4:$AY$23,MATCH(W750,PLANNING_FC!$AJ$4:$AJ$23,0),FALSE)*1000,""),"")</f>
        <v/>
      </c>
      <c r="BC750" s="883" t="str">
        <f>IF(V750="BRAND.com",IFERROR(HLOOKUP(X750&amp;Z750,PLANNING_FC!$AK$27:$AY$46,MATCH(W750,PLANNING_FC!$AJ$27:$AJ$46,0),FALSE)*1000,""),"")</f>
        <v/>
      </c>
    </row>
    <row r="751" spans="14:55" x14ac:dyDescent="0.25">
      <c r="N751" s="56">
        <f t="shared" si="284"/>
        <v>0</v>
      </c>
      <c r="O751" s="57">
        <f t="shared" si="285"/>
        <v>0</v>
      </c>
      <c r="P751" s="57">
        <f ca="1">IFERROR(IF(ISBLANK(H751),SUMIFS($AC:$AC,$V:$V,V751,$W:$W,W751,$X:$X,X751,$Y:$Y,Y751)*J751/(1-J751)*VLOOKUP(_xlfn.CONCAT(C751,D751,E751,TIME!$M$12,Z751),HIS_SALES!$B$2:$W$4859,20,FALSE),AC751*J751/(1-J751)),0)</f>
        <v>0</v>
      </c>
      <c r="Q751" s="541" t="str">
        <f t="shared" si="286"/>
        <v/>
      </c>
      <c r="R751" s="346" t="str">
        <f t="shared" si="287"/>
        <v>00000</v>
      </c>
      <c r="S751" s="344">
        <f t="shared" si="288"/>
        <v>0</v>
      </c>
      <c r="T751" s="345" t="str">
        <f t="shared" si="301"/>
        <v>000</v>
      </c>
      <c r="U751" s="345">
        <f t="shared" si="289"/>
        <v>0</v>
      </c>
      <c r="V751" s="345">
        <f t="shared" si="290"/>
        <v>0</v>
      </c>
      <c r="W751" s="345">
        <f t="shared" si="291"/>
        <v>0</v>
      </c>
      <c r="X751" s="345">
        <f t="shared" si="292"/>
        <v>0</v>
      </c>
      <c r="Y751" s="345">
        <f t="shared" si="293"/>
        <v>0</v>
      </c>
      <c r="Z751" s="345">
        <f>IF(Q751&lt;&gt;"",VLOOKUP(Y751,TIME!$R$21:$V$24,MATCH(FC_DATA!Q751,TIME!$R$20:$V$20,0),FALSE),H751)</f>
        <v>0</v>
      </c>
      <c r="AA751" s="345" t="str">
        <f>IFERROR(VLOOKUP(X751&amp;Z751,TIME!$A$12:$D$71,4,FALSE),"")</f>
        <v/>
      </c>
      <c r="AB751" s="592">
        <f t="shared" ca="1" si="294"/>
        <v>0</v>
      </c>
      <c r="AC751" s="593" t="e">
        <f ca="1">IF(ISBLANK(H751)=FALSE,IF(D751="BRAND.com",I751,IF(ISNA(VLOOKUP(_xlfn.CONCAT(X751,Z751),TIME!$M$40:$M$42,1,FALSE)),I751,VLOOKUP(_xlfn.CONCAT(D751,G751,H751),M_BUSAREA_FC!$AF$5:$AJ$10,5,FALSE)*HLOOKUP(_xlfn.CONCAT(F751,H751),ST_OVERVIEW!$G$99:$I$130,MATCH(_xlfn.CONCAT(D751,E751),ST_OVERVIEW!$F$99:$F$130,0),FALSE))),IF(D751="BRAND.com",VLOOKUP(_xlfn.CONCAT(C751,D751,E751,TIME!$F$1,Z751),HIS_SALES!$B$2:$V$4859,19,FALSE)*I751,VLOOKUP(_xlfn.CONCAT(D751,F751,G751),Q_BUSAREA_FC!$AE$5:$AI$12,5,FALSE)*HLOOKUP(_xlfn.CONCAT(FC_DATA!F751,FC_DATA!G751),LT_OVERVIEW!$I$99:$M$130,MATCH(_xlfn.CONCAT(D751,FC_DATA!E751),LT_OVERVIEW!$H$99:$H$130,0),FALSE)*IFERROR(VLOOKUP(_xlfn.CONCAT(C751,D751,E751,TIME!$F$1,Z751),HIS_SALES!$B$2:$V$4859,19,FALSE),0)))</f>
        <v>#N/A</v>
      </c>
      <c r="AD751" s="341">
        <f t="shared" ca="1" si="295"/>
        <v>0</v>
      </c>
      <c r="AE751" s="363" t="str">
        <f t="shared" si="296"/>
        <v/>
      </c>
      <c r="AF751" s="342" t="str">
        <f t="shared" si="297"/>
        <v/>
      </c>
      <c r="AG751" s="411" t="e">
        <f ca="1">VLOOKUP(_xlfn.CONCAT(U751,V751,W751,VLOOKUP(X751&amp;Y751,TIME!$L$27:$O$34,4,FALSE),Y751),HIS_SALES!$A$2:$R$5093,18,FALSE)</f>
        <v>#N/A</v>
      </c>
      <c r="AH751" s="412" t="e">
        <f ca="1">IFERROR(IF(AND(V751=V750,W751=W750),0.5*(AB751+AB750)*AG751,(VLOOKUP(_xlfn.CONCAT(U751,V751,W751,X751,VLOOKUP(Z751,TIME!$S$28:$T$39,2,FALSE)),FC_DATA!$R$2:$AB$5000,MATCH("GS_I_M",FC_DATA!$R$1:$AB$1,0),FALSE)+FC_DATA!AB751)*0.5*FC_DATA!AG751),NA())</f>
        <v>#N/A</v>
      </c>
      <c r="AI751" s="491" t="e">
        <f ca="1">IF(V751="PARTNER.com",AH751,IF(AND(V751=V750,W751=W750),(1-AVERAGE(AD750,AD751))*AH751,(1-AVERAGE(AD751,VLOOKUP(_xlfn.CONCAT(U751,V751,W751,X751,M_BRAND_FC!$F$6),FC_DATA!$R$2:$AD$5000,MATCH("DISCOUNT_%_M",FC_DATA!$R$1:$AD$1,0),FALSE)))*AH751))</f>
        <v>#N/A</v>
      </c>
      <c r="AJ751" s="412" t="str">
        <f t="shared" ca="1" si="298"/>
        <v/>
      </c>
      <c r="AK751" s="413" t="str">
        <f>IFERROR(AE751/(Q_BRAND_FC!$T$24+1),"")</f>
        <v/>
      </c>
      <c r="AL751" s="88" t="str">
        <f t="shared" ca="1" si="299"/>
        <v/>
      </c>
      <c r="AM751" s="414" t="str">
        <f t="shared" ca="1" si="300"/>
        <v/>
      </c>
      <c r="AN751" s="58">
        <f>IFERROR(IF($V751="BRAND.com",HLOOKUP($X751&amp;$Z751,NWC_FC_NOOS!$C$4:$Q$23,MATCH(W751,NWC_FC_NOOS!$B$4:$B$23,0),FALSE),0),0)</f>
        <v>0</v>
      </c>
      <c r="AO751" s="57">
        <f>IFERROR(IF($V751="BRAND.com",HLOOKUP($X751&amp;$Z751,NWC_FC_NOOS!$T$4:$AH$23,MATCH(W751,NWC_FC_NOOS!$S$4:$S$23,0),FALSE),0),0)</f>
        <v>0</v>
      </c>
      <c r="AP751" s="57">
        <f>IFERROR(IF($V751="BRAND.com",HLOOKUP($X751&amp;$Z751,NWC_FC_NOOS!$C$50:$U$69,MATCH(W751,NWC_FC_NOOS!$B$50:$B$69,0),FALSE),0),0)</f>
        <v>0</v>
      </c>
      <c r="AQ751" s="58">
        <f>IFERROR(IF($V751="BRAND.com",HLOOKUP($X751&amp;$Z751,'NWC_FC_NON-NOOS'!$C$4:$Q$23,MATCH(W751,'NWC_FC_NON-NOOS'!$B$4:$B$23,0),FALSE),0),0)</f>
        <v>0</v>
      </c>
      <c r="AR751" s="57">
        <f>IFERROR(IF($V751="BRAND.com",HLOOKUP($X751&amp;$Z751,'NWC_FC_NON-NOOS'!$T$4:$AH$23,MATCH(W751,'NWC_FC_NON-NOOS'!$S$4:$S$23,0),FALSE),0),0)</f>
        <v>0</v>
      </c>
      <c r="AS751" s="57">
        <f>IFERROR(IF($V751="BRAND.com",HLOOKUP($X751&amp;$Z751,'NWC_FC_NON-NOOS'!$C$50:$U$69,MATCH(W751,'NWC_FC_NON-NOOS'!$B$50:$B$69,0),FALSE),0),0)</f>
        <v>0</v>
      </c>
      <c r="AT751" s="57">
        <f t="shared" si="302"/>
        <v>0</v>
      </c>
      <c r="AU751" s="57">
        <f t="shared" si="303"/>
        <v>0</v>
      </c>
      <c r="AV751" s="58">
        <f>IFERROR(IF($V751="BRAND.com",HLOOKUP($X751&amp;$Z751,PLANNING_FC!$BB$27:$BP$46,MATCH($W751,PLANNING_FC!$BA$27:$BA$46,0),FALSE),0),0)</f>
        <v>0</v>
      </c>
      <c r="AW751" s="58">
        <f>IFERROR(IF($V751="BRAND.com",HLOOKUP($X751&amp;$Z751,PLANNING_FC!$BB$4:$BP$23,MATCH($W751,PLANNING_FC!$BA$4:$BA$23,0),FALSE),0),0)</f>
        <v>0</v>
      </c>
      <c r="AX751" s="58">
        <f>IFERROR(IF($V751="BRAND.com",HLOOKUP($X751&amp;$Z751,PLANNING_FC!$T$27:$AH$46,MATCH($W751,PLANNING_FC!$B$27:$B$46,0),FALSE),0),0)</f>
        <v>0</v>
      </c>
      <c r="AY751" s="58">
        <f>IFERROR(IF($V751="BRAND.com",HLOOKUP($X751&amp;$Z751,PLANNING_FC!$T$4:$AH$23,MATCH($W751,PLANNING_FC!$B$4:$B$23,0),FALSE),0),0)</f>
        <v>0</v>
      </c>
      <c r="AZ751" s="58">
        <f>IFERROR(IF($V751="BRAND.com",HLOOKUP($X751&amp;$Z751,PLANNING_FC!$DA$27:$DO$46,MATCH($W751,PLANNING_FC!$CZ$27:$CZ$46,0),FALSE),0),0)</f>
        <v>0</v>
      </c>
      <c r="BA751" s="58">
        <f>IFERROR(IF($V751="BRAND.com",HLOOKUP($X751&amp;$Z751,PLANNING_FC!$DA$4:$DO$23,MATCH($W751,PLANNING_FC!$CZ$4:$CZ$23,0),FALSE),0),0)</f>
        <v>0</v>
      </c>
      <c r="BB751" s="883" t="str">
        <f>IF(V751="BRAND.com",IFERROR(HLOOKUP(X751&amp;Z751,PLANNING_FC!$AK$4:$AY$23,MATCH(W751,PLANNING_FC!$AJ$4:$AJ$23,0),FALSE)*1000,""),"")</f>
        <v/>
      </c>
      <c r="BC751" s="883" t="str">
        <f>IF(V751="BRAND.com",IFERROR(HLOOKUP(X751&amp;Z751,PLANNING_FC!$AK$27:$AY$46,MATCH(W751,PLANNING_FC!$AJ$27:$AJ$46,0),FALSE)*1000,""),"")</f>
        <v/>
      </c>
    </row>
    <row r="752" spans="14:55" x14ac:dyDescent="0.25">
      <c r="N752" s="56">
        <f t="shared" si="284"/>
        <v>0</v>
      </c>
      <c r="O752" s="57">
        <f t="shared" si="285"/>
        <v>0</v>
      </c>
      <c r="P752" s="57">
        <f ca="1">IFERROR(IF(ISBLANK(H752),SUMIFS($AC:$AC,$V:$V,V752,$W:$W,W752,$X:$X,X752,$Y:$Y,Y752)*J752/(1-J752)*VLOOKUP(_xlfn.CONCAT(C752,D752,E752,TIME!$M$12,Z752),HIS_SALES!$B$2:$W$4859,20,FALSE),AC752*J752/(1-J752)),0)</f>
        <v>0</v>
      </c>
      <c r="Q752" s="541" t="str">
        <f t="shared" si="286"/>
        <v/>
      </c>
      <c r="R752" s="346" t="str">
        <f t="shared" si="287"/>
        <v>00000</v>
      </c>
      <c r="S752" s="344">
        <f t="shared" si="288"/>
        <v>0</v>
      </c>
      <c r="T752" s="345" t="str">
        <f t="shared" si="301"/>
        <v>000</v>
      </c>
      <c r="U752" s="345">
        <f t="shared" si="289"/>
        <v>0</v>
      </c>
      <c r="V752" s="345">
        <f t="shared" si="290"/>
        <v>0</v>
      </c>
      <c r="W752" s="345">
        <f t="shared" si="291"/>
        <v>0</v>
      </c>
      <c r="X752" s="345">
        <f t="shared" si="292"/>
        <v>0</v>
      </c>
      <c r="Y752" s="345">
        <f t="shared" si="293"/>
        <v>0</v>
      </c>
      <c r="Z752" s="345">
        <f>IF(Q752&lt;&gt;"",VLOOKUP(Y752,TIME!$R$21:$V$24,MATCH(FC_DATA!Q752,TIME!$R$20:$V$20,0),FALSE),H752)</f>
        <v>0</v>
      </c>
      <c r="AA752" s="345" t="str">
        <f>IFERROR(VLOOKUP(X752&amp;Z752,TIME!$A$12:$D$71,4,FALSE),"")</f>
        <v/>
      </c>
      <c r="AB752" s="592">
        <f t="shared" ca="1" si="294"/>
        <v>0</v>
      </c>
      <c r="AC752" s="593" t="e">
        <f ca="1">IF(ISBLANK(H752)=FALSE,IF(D752="BRAND.com",I752,IF(ISNA(VLOOKUP(_xlfn.CONCAT(X752,Z752),TIME!$M$40:$M$42,1,FALSE)),I752,VLOOKUP(_xlfn.CONCAT(D752,G752,H752),M_BUSAREA_FC!$AF$5:$AJ$10,5,FALSE)*HLOOKUP(_xlfn.CONCAT(F752,H752),ST_OVERVIEW!$G$99:$I$130,MATCH(_xlfn.CONCAT(D752,E752),ST_OVERVIEW!$F$99:$F$130,0),FALSE))),IF(D752="BRAND.com",VLOOKUP(_xlfn.CONCAT(C752,D752,E752,TIME!$F$1,Z752),HIS_SALES!$B$2:$V$4859,19,FALSE)*I752,VLOOKUP(_xlfn.CONCAT(D752,F752,G752),Q_BUSAREA_FC!$AE$5:$AI$12,5,FALSE)*HLOOKUP(_xlfn.CONCAT(FC_DATA!F752,FC_DATA!G752),LT_OVERVIEW!$I$99:$M$130,MATCH(_xlfn.CONCAT(D752,FC_DATA!E752),LT_OVERVIEW!$H$99:$H$130,0),FALSE)*IFERROR(VLOOKUP(_xlfn.CONCAT(C752,D752,E752,TIME!$F$1,Z752),HIS_SALES!$B$2:$V$4859,19,FALSE),0)))</f>
        <v>#N/A</v>
      </c>
      <c r="AD752" s="341">
        <f t="shared" ca="1" si="295"/>
        <v>0</v>
      </c>
      <c r="AE752" s="363" t="str">
        <f t="shared" si="296"/>
        <v/>
      </c>
      <c r="AF752" s="342" t="str">
        <f t="shared" si="297"/>
        <v/>
      </c>
      <c r="AG752" s="411" t="e">
        <f ca="1">VLOOKUP(_xlfn.CONCAT(U752,V752,W752,VLOOKUP(X752&amp;Y752,TIME!$L$27:$O$34,4,FALSE),Y752),HIS_SALES!$A$2:$R$5093,18,FALSE)</f>
        <v>#N/A</v>
      </c>
      <c r="AH752" s="412" t="e">
        <f ca="1">IFERROR(IF(AND(V752=V751,W752=W751),0.5*(AB752+AB751)*AG752,(VLOOKUP(_xlfn.CONCAT(U752,V752,W752,X752,VLOOKUP(Z752,TIME!$S$28:$T$39,2,FALSE)),FC_DATA!$R$2:$AB$5000,MATCH("GS_I_M",FC_DATA!$R$1:$AB$1,0),FALSE)+FC_DATA!AB752)*0.5*FC_DATA!AG752),NA())</f>
        <v>#N/A</v>
      </c>
      <c r="AI752" s="491" t="e">
        <f ca="1">IF(V752="PARTNER.com",AH752,IF(AND(V752=V751,W752=W751),(1-AVERAGE(AD751,AD752))*AH752,(1-AVERAGE(AD752,VLOOKUP(_xlfn.CONCAT(U752,V752,W752,X752,M_BRAND_FC!$F$6),FC_DATA!$R$2:$AD$5000,MATCH("DISCOUNT_%_M",FC_DATA!$R$1:$AD$1,0),FALSE)))*AH752))</f>
        <v>#N/A</v>
      </c>
      <c r="AJ752" s="412" t="str">
        <f t="shared" ca="1" si="298"/>
        <v/>
      </c>
      <c r="AK752" s="413" t="str">
        <f>IFERROR(AE752/(Q_BRAND_FC!$T$24+1),"")</f>
        <v/>
      </c>
      <c r="AL752" s="88" t="str">
        <f t="shared" ca="1" si="299"/>
        <v/>
      </c>
      <c r="AM752" s="414" t="str">
        <f t="shared" ca="1" si="300"/>
        <v/>
      </c>
      <c r="AN752" s="58">
        <f>IFERROR(IF($V752="BRAND.com",HLOOKUP($X752&amp;$Z752,NWC_FC_NOOS!$C$4:$Q$23,MATCH(W752,NWC_FC_NOOS!$B$4:$B$23,0),FALSE),0),0)</f>
        <v>0</v>
      </c>
      <c r="AO752" s="57">
        <f>IFERROR(IF($V752="BRAND.com",HLOOKUP($X752&amp;$Z752,NWC_FC_NOOS!$T$4:$AH$23,MATCH(W752,NWC_FC_NOOS!$S$4:$S$23,0),FALSE),0),0)</f>
        <v>0</v>
      </c>
      <c r="AP752" s="57">
        <f>IFERROR(IF($V752="BRAND.com",HLOOKUP($X752&amp;$Z752,NWC_FC_NOOS!$C$50:$U$69,MATCH(W752,NWC_FC_NOOS!$B$50:$B$69,0),FALSE),0),0)</f>
        <v>0</v>
      </c>
      <c r="AQ752" s="58">
        <f>IFERROR(IF($V752="BRAND.com",HLOOKUP($X752&amp;$Z752,'NWC_FC_NON-NOOS'!$C$4:$Q$23,MATCH(W752,'NWC_FC_NON-NOOS'!$B$4:$B$23,0),FALSE),0),0)</f>
        <v>0</v>
      </c>
      <c r="AR752" s="57">
        <f>IFERROR(IF($V752="BRAND.com",HLOOKUP($X752&amp;$Z752,'NWC_FC_NON-NOOS'!$T$4:$AH$23,MATCH(W752,'NWC_FC_NON-NOOS'!$S$4:$S$23,0),FALSE),0),0)</f>
        <v>0</v>
      </c>
      <c r="AS752" s="57">
        <f>IFERROR(IF($V752="BRAND.com",HLOOKUP($X752&amp;$Z752,'NWC_FC_NON-NOOS'!$C$50:$U$69,MATCH(W752,'NWC_FC_NON-NOOS'!$B$50:$B$69,0),FALSE),0),0)</f>
        <v>0</v>
      </c>
      <c r="AT752" s="57">
        <f t="shared" si="302"/>
        <v>0</v>
      </c>
      <c r="AU752" s="57">
        <f t="shared" si="303"/>
        <v>0</v>
      </c>
      <c r="AV752" s="58">
        <f>IFERROR(IF($V752="BRAND.com",HLOOKUP($X752&amp;$Z752,PLANNING_FC!$BB$27:$BP$46,MATCH($W752,PLANNING_FC!$BA$27:$BA$46,0),FALSE),0),0)</f>
        <v>0</v>
      </c>
      <c r="AW752" s="58">
        <f>IFERROR(IF($V752="BRAND.com",HLOOKUP($X752&amp;$Z752,PLANNING_FC!$BB$4:$BP$23,MATCH($W752,PLANNING_FC!$BA$4:$BA$23,0),FALSE),0),0)</f>
        <v>0</v>
      </c>
      <c r="AX752" s="58">
        <f>IFERROR(IF($V752="BRAND.com",HLOOKUP($X752&amp;$Z752,PLANNING_FC!$T$27:$AH$46,MATCH($W752,PLANNING_FC!$B$27:$B$46,0),FALSE),0),0)</f>
        <v>0</v>
      </c>
      <c r="AY752" s="58">
        <f>IFERROR(IF($V752="BRAND.com",HLOOKUP($X752&amp;$Z752,PLANNING_FC!$T$4:$AH$23,MATCH($W752,PLANNING_FC!$B$4:$B$23,0),FALSE),0),0)</f>
        <v>0</v>
      </c>
      <c r="AZ752" s="58">
        <f>IFERROR(IF($V752="BRAND.com",HLOOKUP($X752&amp;$Z752,PLANNING_FC!$DA$27:$DO$46,MATCH($W752,PLANNING_FC!$CZ$27:$CZ$46,0),FALSE),0),0)</f>
        <v>0</v>
      </c>
      <c r="BA752" s="58">
        <f>IFERROR(IF($V752="BRAND.com",HLOOKUP($X752&amp;$Z752,PLANNING_FC!$DA$4:$DO$23,MATCH($W752,PLANNING_FC!$CZ$4:$CZ$23,0),FALSE),0),0)</f>
        <v>0</v>
      </c>
      <c r="BB752" s="883" t="str">
        <f>IF(V752="BRAND.com",IFERROR(HLOOKUP(X752&amp;Z752,PLANNING_FC!$AK$4:$AY$23,MATCH(W752,PLANNING_FC!$AJ$4:$AJ$23,0),FALSE)*1000,""),"")</f>
        <v/>
      </c>
      <c r="BC752" s="883" t="str">
        <f>IF(V752="BRAND.com",IFERROR(HLOOKUP(X752&amp;Z752,PLANNING_FC!$AK$27:$AY$46,MATCH(W752,PLANNING_FC!$AJ$27:$AJ$46,0),FALSE)*1000,""),"")</f>
        <v/>
      </c>
    </row>
    <row r="753" spans="14:55" x14ac:dyDescent="0.25">
      <c r="N753" s="56">
        <f t="shared" si="284"/>
        <v>0</v>
      </c>
      <c r="O753" s="57">
        <f t="shared" si="285"/>
        <v>0</v>
      </c>
      <c r="P753" s="57">
        <f ca="1">IFERROR(IF(ISBLANK(H753),SUMIFS($AC:$AC,$V:$V,V753,$W:$W,W753,$X:$X,X753,$Y:$Y,Y753)*J753/(1-J753)*VLOOKUP(_xlfn.CONCAT(C753,D753,E753,TIME!$M$12,Z753),HIS_SALES!$B$2:$W$4859,20,FALSE),AC753*J753/(1-J753)),0)</f>
        <v>0</v>
      </c>
      <c r="Q753" s="541" t="str">
        <f t="shared" si="286"/>
        <v/>
      </c>
      <c r="R753" s="346" t="str">
        <f t="shared" si="287"/>
        <v>00000</v>
      </c>
      <c r="S753" s="344">
        <f t="shared" si="288"/>
        <v>0</v>
      </c>
      <c r="T753" s="345" t="str">
        <f t="shared" si="301"/>
        <v>000</v>
      </c>
      <c r="U753" s="345">
        <f t="shared" si="289"/>
        <v>0</v>
      </c>
      <c r="V753" s="345">
        <f t="shared" si="290"/>
        <v>0</v>
      </c>
      <c r="W753" s="345">
        <f t="shared" si="291"/>
        <v>0</v>
      </c>
      <c r="X753" s="345">
        <f t="shared" si="292"/>
        <v>0</v>
      </c>
      <c r="Y753" s="345">
        <f t="shared" si="293"/>
        <v>0</v>
      </c>
      <c r="Z753" s="345">
        <f>IF(Q753&lt;&gt;"",VLOOKUP(Y753,TIME!$R$21:$V$24,MATCH(FC_DATA!Q753,TIME!$R$20:$V$20,0),FALSE),H753)</f>
        <v>0</v>
      </c>
      <c r="AA753" s="345" t="str">
        <f>IFERROR(VLOOKUP(X753&amp;Z753,TIME!$A$12:$D$71,4,FALSE),"")</f>
        <v/>
      </c>
      <c r="AB753" s="592">
        <f t="shared" ca="1" si="294"/>
        <v>0</v>
      </c>
      <c r="AC753" s="593" t="e">
        <f ca="1">IF(ISBLANK(H753)=FALSE,IF(D753="BRAND.com",I753,IF(ISNA(VLOOKUP(_xlfn.CONCAT(X753,Z753),TIME!$M$40:$M$42,1,FALSE)),I753,VLOOKUP(_xlfn.CONCAT(D753,G753,H753),M_BUSAREA_FC!$AF$5:$AJ$10,5,FALSE)*HLOOKUP(_xlfn.CONCAT(F753,H753),ST_OVERVIEW!$G$99:$I$130,MATCH(_xlfn.CONCAT(D753,E753),ST_OVERVIEW!$F$99:$F$130,0),FALSE))),IF(D753="BRAND.com",VLOOKUP(_xlfn.CONCAT(C753,D753,E753,TIME!$F$1,Z753),HIS_SALES!$B$2:$V$4859,19,FALSE)*I753,VLOOKUP(_xlfn.CONCAT(D753,F753,G753),Q_BUSAREA_FC!$AE$5:$AI$12,5,FALSE)*HLOOKUP(_xlfn.CONCAT(FC_DATA!F753,FC_DATA!G753),LT_OVERVIEW!$I$99:$M$130,MATCH(_xlfn.CONCAT(D753,FC_DATA!E753),LT_OVERVIEW!$H$99:$H$130,0),FALSE)*IFERROR(VLOOKUP(_xlfn.CONCAT(C753,D753,E753,TIME!$F$1,Z753),HIS_SALES!$B$2:$V$4859,19,FALSE),0)))</f>
        <v>#N/A</v>
      </c>
      <c r="AD753" s="341">
        <f t="shared" ca="1" si="295"/>
        <v>0</v>
      </c>
      <c r="AE753" s="363" t="str">
        <f t="shared" si="296"/>
        <v/>
      </c>
      <c r="AF753" s="342" t="str">
        <f t="shared" si="297"/>
        <v/>
      </c>
      <c r="AG753" s="411" t="e">
        <f ca="1">VLOOKUP(_xlfn.CONCAT(U753,V753,W753,VLOOKUP(X753&amp;Y753,TIME!$L$27:$O$34,4,FALSE),Y753),HIS_SALES!$A$2:$R$5093,18,FALSE)</f>
        <v>#N/A</v>
      </c>
      <c r="AH753" s="412" t="e">
        <f ca="1">IFERROR(IF(AND(V753=V752,W753=W752),0.5*(AB753+AB752)*AG753,(VLOOKUP(_xlfn.CONCAT(U753,V753,W753,X753,VLOOKUP(Z753,TIME!$S$28:$T$39,2,FALSE)),FC_DATA!$R$2:$AB$5000,MATCH("GS_I_M",FC_DATA!$R$1:$AB$1,0),FALSE)+FC_DATA!AB753)*0.5*FC_DATA!AG753),NA())</f>
        <v>#N/A</v>
      </c>
      <c r="AI753" s="491" t="e">
        <f ca="1">IF(V753="PARTNER.com",AH753,IF(AND(V753=V752,W753=W752),(1-AVERAGE(AD752,AD753))*AH753,(1-AVERAGE(AD753,VLOOKUP(_xlfn.CONCAT(U753,V753,W753,X753,M_BRAND_FC!$F$6),FC_DATA!$R$2:$AD$5000,MATCH("DISCOUNT_%_M",FC_DATA!$R$1:$AD$1,0),FALSE)))*AH753))</f>
        <v>#N/A</v>
      </c>
      <c r="AJ753" s="412" t="str">
        <f t="shared" ca="1" si="298"/>
        <v/>
      </c>
      <c r="AK753" s="413" t="str">
        <f>IFERROR(AE753/(Q_BRAND_FC!$T$24+1),"")</f>
        <v/>
      </c>
      <c r="AL753" s="88" t="str">
        <f t="shared" ca="1" si="299"/>
        <v/>
      </c>
      <c r="AM753" s="414" t="str">
        <f t="shared" ca="1" si="300"/>
        <v/>
      </c>
      <c r="AN753" s="58">
        <f>IFERROR(IF($V753="BRAND.com",HLOOKUP($X753&amp;$Z753,NWC_FC_NOOS!$C$4:$Q$23,MATCH(W753,NWC_FC_NOOS!$B$4:$B$23,0),FALSE),0),0)</f>
        <v>0</v>
      </c>
      <c r="AO753" s="57">
        <f>IFERROR(IF($V753="BRAND.com",HLOOKUP($X753&amp;$Z753,NWC_FC_NOOS!$T$4:$AH$23,MATCH(W753,NWC_FC_NOOS!$S$4:$S$23,0),FALSE),0),0)</f>
        <v>0</v>
      </c>
      <c r="AP753" s="57">
        <f>IFERROR(IF($V753="BRAND.com",HLOOKUP($X753&amp;$Z753,NWC_FC_NOOS!$C$50:$U$69,MATCH(W753,NWC_FC_NOOS!$B$50:$B$69,0),FALSE),0),0)</f>
        <v>0</v>
      </c>
      <c r="AQ753" s="58">
        <f>IFERROR(IF($V753="BRAND.com",HLOOKUP($X753&amp;$Z753,'NWC_FC_NON-NOOS'!$C$4:$Q$23,MATCH(W753,'NWC_FC_NON-NOOS'!$B$4:$B$23,0),FALSE),0),0)</f>
        <v>0</v>
      </c>
      <c r="AR753" s="57">
        <f>IFERROR(IF($V753="BRAND.com",HLOOKUP($X753&amp;$Z753,'NWC_FC_NON-NOOS'!$T$4:$AH$23,MATCH(W753,'NWC_FC_NON-NOOS'!$S$4:$S$23,0),FALSE),0),0)</f>
        <v>0</v>
      </c>
      <c r="AS753" s="57">
        <f>IFERROR(IF($V753="BRAND.com",HLOOKUP($X753&amp;$Z753,'NWC_FC_NON-NOOS'!$C$50:$U$69,MATCH(W753,'NWC_FC_NON-NOOS'!$B$50:$B$69,0),FALSE),0),0)</f>
        <v>0</v>
      </c>
      <c r="AT753" s="57">
        <f t="shared" si="302"/>
        <v>0</v>
      </c>
      <c r="AU753" s="57">
        <f t="shared" si="303"/>
        <v>0</v>
      </c>
      <c r="AV753" s="58">
        <f>IFERROR(IF($V753="BRAND.com",HLOOKUP($X753&amp;$Z753,PLANNING_FC!$BB$27:$BP$46,MATCH($W753,PLANNING_FC!$BA$27:$BA$46,0),FALSE),0),0)</f>
        <v>0</v>
      </c>
      <c r="AW753" s="58">
        <f>IFERROR(IF($V753="BRAND.com",HLOOKUP($X753&amp;$Z753,PLANNING_FC!$BB$4:$BP$23,MATCH($W753,PLANNING_FC!$BA$4:$BA$23,0),FALSE),0),0)</f>
        <v>0</v>
      </c>
      <c r="AX753" s="58">
        <f>IFERROR(IF($V753="BRAND.com",HLOOKUP($X753&amp;$Z753,PLANNING_FC!$T$27:$AH$46,MATCH($W753,PLANNING_FC!$B$27:$B$46,0),FALSE),0),0)</f>
        <v>0</v>
      </c>
      <c r="AY753" s="58">
        <f>IFERROR(IF($V753="BRAND.com",HLOOKUP($X753&amp;$Z753,PLANNING_FC!$T$4:$AH$23,MATCH($W753,PLANNING_FC!$B$4:$B$23,0),FALSE),0),0)</f>
        <v>0</v>
      </c>
      <c r="AZ753" s="58">
        <f>IFERROR(IF($V753="BRAND.com",HLOOKUP($X753&amp;$Z753,PLANNING_FC!$DA$27:$DO$46,MATCH($W753,PLANNING_FC!$CZ$27:$CZ$46,0),FALSE),0),0)</f>
        <v>0</v>
      </c>
      <c r="BA753" s="58">
        <f>IFERROR(IF($V753="BRAND.com",HLOOKUP($X753&amp;$Z753,PLANNING_FC!$DA$4:$DO$23,MATCH($W753,PLANNING_FC!$CZ$4:$CZ$23,0),FALSE),0),0)</f>
        <v>0</v>
      </c>
      <c r="BB753" s="883" t="str">
        <f>IF(V753="BRAND.com",IFERROR(HLOOKUP(X753&amp;Z753,PLANNING_FC!$AK$4:$AY$23,MATCH(W753,PLANNING_FC!$AJ$4:$AJ$23,0),FALSE)*1000,""),"")</f>
        <v/>
      </c>
      <c r="BC753" s="883" t="str">
        <f>IF(V753="BRAND.com",IFERROR(HLOOKUP(X753&amp;Z753,PLANNING_FC!$AK$27:$AY$46,MATCH(W753,PLANNING_FC!$AJ$27:$AJ$46,0),FALSE)*1000,""),"")</f>
        <v/>
      </c>
    </row>
    <row r="754" spans="14:55" x14ac:dyDescent="0.25">
      <c r="N754" s="56">
        <f t="shared" si="284"/>
        <v>0</v>
      </c>
      <c r="O754" s="57">
        <f t="shared" si="285"/>
        <v>0</v>
      </c>
      <c r="P754" s="57">
        <f ca="1">IFERROR(IF(ISBLANK(H754),SUMIFS($AC:$AC,$V:$V,V754,$W:$W,W754,$X:$X,X754,$Y:$Y,Y754)*J754/(1-J754)*VLOOKUP(_xlfn.CONCAT(C754,D754,E754,TIME!$M$12,Z754),HIS_SALES!$B$2:$W$4859,20,FALSE),AC754*J754/(1-J754)),0)</f>
        <v>0</v>
      </c>
      <c r="Q754" s="541" t="str">
        <f t="shared" si="286"/>
        <v/>
      </c>
      <c r="R754" s="346" t="str">
        <f t="shared" si="287"/>
        <v>00000</v>
      </c>
      <c r="S754" s="344">
        <f t="shared" si="288"/>
        <v>0</v>
      </c>
      <c r="T754" s="345" t="str">
        <f t="shared" si="301"/>
        <v>000</v>
      </c>
      <c r="U754" s="345">
        <f t="shared" si="289"/>
        <v>0</v>
      </c>
      <c r="V754" s="345">
        <f t="shared" si="290"/>
        <v>0</v>
      </c>
      <c r="W754" s="345">
        <f t="shared" si="291"/>
        <v>0</v>
      </c>
      <c r="X754" s="345">
        <f t="shared" si="292"/>
        <v>0</v>
      </c>
      <c r="Y754" s="345">
        <f t="shared" si="293"/>
        <v>0</v>
      </c>
      <c r="Z754" s="345">
        <f>IF(Q754&lt;&gt;"",VLOOKUP(Y754,TIME!$R$21:$V$24,MATCH(FC_DATA!Q754,TIME!$R$20:$V$20,0),FALSE),H754)</f>
        <v>0</v>
      </c>
      <c r="AA754" s="345" t="str">
        <f>IFERROR(VLOOKUP(X754&amp;Z754,TIME!$A$12:$D$71,4,FALSE),"")</f>
        <v/>
      </c>
      <c r="AB754" s="592">
        <f t="shared" ca="1" si="294"/>
        <v>0</v>
      </c>
      <c r="AC754" s="593" t="e">
        <f ca="1">IF(ISBLANK(H754)=FALSE,IF(D754="BRAND.com",I754,IF(ISNA(VLOOKUP(_xlfn.CONCAT(X754,Z754),TIME!$M$40:$M$42,1,FALSE)),I754,VLOOKUP(_xlfn.CONCAT(D754,G754,H754),M_BUSAREA_FC!$AF$5:$AJ$10,5,FALSE)*HLOOKUP(_xlfn.CONCAT(F754,H754),ST_OVERVIEW!$G$99:$I$130,MATCH(_xlfn.CONCAT(D754,E754),ST_OVERVIEW!$F$99:$F$130,0),FALSE))),IF(D754="BRAND.com",VLOOKUP(_xlfn.CONCAT(C754,D754,E754,TIME!$F$1,Z754),HIS_SALES!$B$2:$V$4859,19,FALSE)*I754,VLOOKUP(_xlfn.CONCAT(D754,F754,G754),Q_BUSAREA_FC!$AE$5:$AI$12,5,FALSE)*HLOOKUP(_xlfn.CONCAT(FC_DATA!F754,FC_DATA!G754),LT_OVERVIEW!$I$99:$M$130,MATCH(_xlfn.CONCAT(D754,FC_DATA!E754),LT_OVERVIEW!$H$99:$H$130,0),FALSE)*IFERROR(VLOOKUP(_xlfn.CONCAT(C754,D754,E754,TIME!$F$1,Z754),HIS_SALES!$B$2:$V$4859,19,FALSE),0)))</f>
        <v>#N/A</v>
      </c>
      <c r="AD754" s="341">
        <f t="shared" ca="1" si="295"/>
        <v>0</v>
      </c>
      <c r="AE754" s="363" t="str">
        <f t="shared" si="296"/>
        <v/>
      </c>
      <c r="AF754" s="342" t="str">
        <f t="shared" si="297"/>
        <v/>
      </c>
      <c r="AG754" s="411" t="e">
        <f ca="1">VLOOKUP(_xlfn.CONCAT(U754,V754,W754,VLOOKUP(X754&amp;Y754,TIME!$L$27:$O$34,4,FALSE),Y754),HIS_SALES!$A$2:$R$5093,18,FALSE)</f>
        <v>#N/A</v>
      </c>
      <c r="AH754" s="412" t="e">
        <f ca="1">IFERROR(IF(AND(V754=V753,W754=W753),0.5*(AB754+AB753)*AG754,(VLOOKUP(_xlfn.CONCAT(U754,V754,W754,X754,VLOOKUP(Z754,TIME!$S$28:$T$39,2,FALSE)),FC_DATA!$R$2:$AB$5000,MATCH("GS_I_M",FC_DATA!$R$1:$AB$1,0),FALSE)+FC_DATA!AB754)*0.5*FC_DATA!AG754),NA())</f>
        <v>#N/A</v>
      </c>
      <c r="AI754" s="491" t="e">
        <f ca="1">IF(V754="PARTNER.com",AH754,IF(AND(V754=V753,W754=W753),(1-AVERAGE(AD753,AD754))*AH754,(1-AVERAGE(AD754,VLOOKUP(_xlfn.CONCAT(U754,V754,W754,X754,M_BRAND_FC!$F$6),FC_DATA!$R$2:$AD$5000,MATCH("DISCOUNT_%_M",FC_DATA!$R$1:$AD$1,0),FALSE)))*AH754))</f>
        <v>#N/A</v>
      </c>
      <c r="AJ754" s="412" t="str">
        <f t="shared" ca="1" si="298"/>
        <v/>
      </c>
      <c r="AK754" s="413" t="str">
        <f>IFERROR(AE754/(Q_BRAND_FC!$T$24+1),"")</f>
        <v/>
      </c>
      <c r="AL754" s="88" t="str">
        <f t="shared" ca="1" si="299"/>
        <v/>
      </c>
      <c r="AM754" s="414" t="str">
        <f t="shared" ca="1" si="300"/>
        <v/>
      </c>
      <c r="AN754" s="58">
        <f>IFERROR(IF($V754="BRAND.com",HLOOKUP($X754&amp;$Z754,NWC_FC_NOOS!$C$4:$Q$23,MATCH(W754,NWC_FC_NOOS!$B$4:$B$23,0),FALSE),0),0)</f>
        <v>0</v>
      </c>
      <c r="AO754" s="57">
        <f>IFERROR(IF($V754="BRAND.com",HLOOKUP($X754&amp;$Z754,NWC_FC_NOOS!$T$4:$AH$23,MATCH(W754,NWC_FC_NOOS!$S$4:$S$23,0),FALSE),0),0)</f>
        <v>0</v>
      </c>
      <c r="AP754" s="57">
        <f>IFERROR(IF($V754="BRAND.com",HLOOKUP($X754&amp;$Z754,NWC_FC_NOOS!$C$50:$U$69,MATCH(W754,NWC_FC_NOOS!$B$50:$B$69,0),FALSE),0),0)</f>
        <v>0</v>
      </c>
      <c r="AQ754" s="58">
        <f>IFERROR(IF($V754="BRAND.com",HLOOKUP($X754&amp;$Z754,'NWC_FC_NON-NOOS'!$C$4:$Q$23,MATCH(W754,'NWC_FC_NON-NOOS'!$B$4:$B$23,0),FALSE),0),0)</f>
        <v>0</v>
      </c>
      <c r="AR754" s="57">
        <f>IFERROR(IF($V754="BRAND.com",HLOOKUP($X754&amp;$Z754,'NWC_FC_NON-NOOS'!$T$4:$AH$23,MATCH(W754,'NWC_FC_NON-NOOS'!$S$4:$S$23,0),FALSE),0),0)</f>
        <v>0</v>
      </c>
      <c r="AS754" s="57">
        <f>IFERROR(IF($V754="BRAND.com",HLOOKUP($X754&amp;$Z754,'NWC_FC_NON-NOOS'!$C$50:$U$69,MATCH(W754,'NWC_FC_NON-NOOS'!$B$50:$B$69,0),FALSE),0),0)</f>
        <v>0</v>
      </c>
      <c r="AT754" s="57">
        <f t="shared" si="302"/>
        <v>0</v>
      </c>
      <c r="AU754" s="57">
        <f t="shared" si="303"/>
        <v>0</v>
      </c>
      <c r="AV754" s="58">
        <f>IFERROR(IF($V754="BRAND.com",HLOOKUP($X754&amp;$Z754,PLANNING_FC!$BB$27:$BP$46,MATCH($W754,PLANNING_FC!$BA$27:$BA$46,0),FALSE),0),0)</f>
        <v>0</v>
      </c>
      <c r="AW754" s="58">
        <f>IFERROR(IF($V754="BRAND.com",HLOOKUP($X754&amp;$Z754,PLANNING_FC!$BB$4:$BP$23,MATCH($W754,PLANNING_FC!$BA$4:$BA$23,0),FALSE),0),0)</f>
        <v>0</v>
      </c>
      <c r="AX754" s="58">
        <f>IFERROR(IF($V754="BRAND.com",HLOOKUP($X754&amp;$Z754,PLANNING_FC!$T$27:$AH$46,MATCH($W754,PLANNING_FC!$B$27:$B$46,0),FALSE),0),0)</f>
        <v>0</v>
      </c>
      <c r="AY754" s="58">
        <f>IFERROR(IF($V754="BRAND.com",HLOOKUP($X754&amp;$Z754,PLANNING_FC!$T$4:$AH$23,MATCH($W754,PLANNING_FC!$B$4:$B$23,0),FALSE),0),0)</f>
        <v>0</v>
      </c>
      <c r="AZ754" s="58">
        <f>IFERROR(IF($V754="BRAND.com",HLOOKUP($X754&amp;$Z754,PLANNING_FC!$DA$27:$DO$46,MATCH($W754,PLANNING_FC!$CZ$27:$CZ$46,0),FALSE),0),0)</f>
        <v>0</v>
      </c>
      <c r="BA754" s="58">
        <f>IFERROR(IF($V754="BRAND.com",HLOOKUP($X754&amp;$Z754,PLANNING_FC!$DA$4:$DO$23,MATCH($W754,PLANNING_FC!$CZ$4:$CZ$23,0),FALSE),0),0)</f>
        <v>0</v>
      </c>
      <c r="BB754" s="883" t="str">
        <f>IF(V754="BRAND.com",IFERROR(HLOOKUP(X754&amp;Z754,PLANNING_FC!$AK$4:$AY$23,MATCH(W754,PLANNING_FC!$AJ$4:$AJ$23,0),FALSE)*1000,""),"")</f>
        <v/>
      </c>
      <c r="BC754" s="883" t="str">
        <f>IF(V754="BRAND.com",IFERROR(HLOOKUP(X754&amp;Z754,PLANNING_FC!$AK$27:$AY$46,MATCH(W754,PLANNING_FC!$AJ$27:$AJ$46,0),FALSE)*1000,""),"")</f>
        <v/>
      </c>
    </row>
    <row r="755" spans="14:55" x14ac:dyDescent="0.25">
      <c r="N755" s="56">
        <f t="shared" si="284"/>
        <v>0</v>
      </c>
      <c r="O755" s="57">
        <f t="shared" si="285"/>
        <v>0</v>
      </c>
      <c r="P755" s="57">
        <f ca="1">IFERROR(IF(ISBLANK(H755),SUMIFS($AC:$AC,$V:$V,V755,$W:$W,W755,$X:$X,X755,$Y:$Y,Y755)*J755/(1-J755)*VLOOKUP(_xlfn.CONCAT(C755,D755,E755,TIME!$M$12,Z755),HIS_SALES!$B$2:$W$4859,20,FALSE),AC755*J755/(1-J755)),0)</f>
        <v>0</v>
      </c>
      <c r="Q755" s="541" t="str">
        <f t="shared" si="286"/>
        <v/>
      </c>
      <c r="R755" s="346" t="str">
        <f t="shared" si="287"/>
        <v>00000</v>
      </c>
      <c r="S755" s="344">
        <f t="shared" si="288"/>
        <v>0</v>
      </c>
      <c r="T755" s="345" t="str">
        <f t="shared" si="301"/>
        <v>000</v>
      </c>
      <c r="U755" s="345">
        <f t="shared" si="289"/>
        <v>0</v>
      </c>
      <c r="V755" s="345">
        <f t="shared" si="290"/>
        <v>0</v>
      </c>
      <c r="W755" s="345">
        <f t="shared" si="291"/>
        <v>0</v>
      </c>
      <c r="X755" s="345">
        <f t="shared" si="292"/>
        <v>0</v>
      </c>
      <c r="Y755" s="345">
        <f t="shared" si="293"/>
        <v>0</v>
      </c>
      <c r="Z755" s="345">
        <f>IF(Q755&lt;&gt;"",VLOOKUP(Y755,TIME!$R$21:$V$24,MATCH(FC_DATA!Q755,TIME!$R$20:$V$20,0),FALSE),H755)</f>
        <v>0</v>
      </c>
      <c r="AA755" s="345" t="str">
        <f>IFERROR(VLOOKUP(X755&amp;Z755,TIME!$A$12:$D$71,4,FALSE),"")</f>
        <v/>
      </c>
      <c r="AB755" s="592">
        <f t="shared" ca="1" si="294"/>
        <v>0</v>
      </c>
      <c r="AC755" s="593" t="e">
        <f ca="1">IF(ISBLANK(H755)=FALSE,IF(D755="BRAND.com",I755,IF(ISNA(VLOOKUP(_xlfn.CONCAT(X755,Z755),TIME!$M$40:$M$42,1,FALSE)),I755,VLOOKUP(_xlfn.CONCAT(D755,G755,H755),M_BUSAREA_FC!$AF$5:$AJ$10,5,FALSE)*HLOOKUP(_xlfn.CONCAT(F755,H755),ST_OVERVIEW!$G$99:$I$130,MATCH(_xlfn.CONCAT(D755,E755),ST_OVERVIEW!$F$99:$F$130,0),FALSE))),IF(D755="BRAND.com",VLOOKUP(_xlfn.CONCAT(C755,D755,E755,TIME!$F$1,Z755),HIS_SALES!$B$2:$V$4859,19,FALSE)*I755,VLOOKUP(_xlfn.CONCAT(D755,F755,G755),Q_BUSAREA_FC!$AE$5:$AI$12,5,FALSE)*HLOOKUP(_xlfn.CONCAT(FC_DATA!F755,FC_DATA!G755),LT_OVERVIEW!$I$99:$M$130,MATCH(_xlfn.CONCAT(D755,FC_DATA!E755),LT_OVERVIEW!$H$99:$H$130,0),FALSE)*IFERROR(VLOOKUP(_xlfn.CONCAT(C755,D755,E755,TIME!$F$1,Z755),HIS_SALES!$B$2:$V$4859,19,FALSE),0)))</f>
        <v>#N/A</v>
      </c>
      <c r="AD755" s="341">
        <f t="shared" ca="1" si="295"/>
        <v>0</v>
      </c>
      <c r="AE755" s="363" t="str">
        <f t="shared" si="296"/>
        <v/>
      </c>
      <c r="AF755" s="342" t="str">
        <f t="shared" si="297"/>
        <v/>
      </c>
      <c r="AG755" s="411" t="e">
        <f ca="1">VLOOKUP(_xlfn.CONCAT(U755,V755,W755,VLOOKUP(X755&amp;Y755,TIME!$L$27:$O$34,4,FALSE),Y755),HIS_SALES!$A$2:$R$5093,18,FALSE)</f>
        <v>#N/A</v>
      </c>
      <c r="AH755" s="412" t="e">
        <f ca="1">IFERROR(IF(AND(V755=V754,W755=W754),0.5*(AB755+AB754)*AG755,(VLOOKUP(_xlfn.CONCAT(U755,V755,W755,X755,VLOOKUP(Z755,TIME!$S$28:$T$39,2,FALSE)),FC_DATA!$R$2:$AB$5000,MATCH("GS_I_M",FC_DATA!$R$1:$AB$1,0),FALSE)+FC_DATA!AB755)*0.5*FC_DATA!AG755),NA())</f>
        <v>#N/A</v>
      </c>
      <c r="AI755" s="491" t="e">
        <f ca="1">IF(V755="PARTNER.com",AH755,IF(AND(V755=V754,W755=W754),(1-AVERAGE(AD754,AD755))*AH755,(1-AVERAGE(AD755,VLOOKUP(_xlfn.CONCAT(U755,V755,W755,X755,M_BRAND_FC!$F$6),FC_DATA!$R$2:$AD$5000,MATCH("DISCOUNT_%_M",FC_DATA!$R$1:$AD$1,0),FALSE)))*AH755))</f>
        <v>#N/A</v>
      </c>
      <c r="AJ755" s="412" t="str">
        <f t="shared" ca="1" si="298"/>
        <v/>
      </c>
      <c r="AK755" s="413" t="str">
        <f>IFERROR(AE755/(Q_BRAND_FC!$T$24+1),"")</f>
        <v/>
      </c>
      <c r="AL755" s="88" t="str">
        <f t="shared" ca="1" si="299"/>
        <v/>
      </c>
      <c r="AM755" s="414" t="str">
        <f t="shared" ca="1" si="300"/>
        <v/>
      </c>
      <c r="AN755" s="58">
        <f>IFERROR(IF($V755="BRAND.com",HLOOKUP($X755&amp;$Z755,NWC_FC_NOOS!$C$4:$Q$23,MATCH(W755,NWC_FC_NOOS!$B$4:$B$23,0),FALSE),0),0)</f>
        <v>0</v>
      </c>
      <c r="AO755" s="57">
        <f>IFERROR(IF($V755="BRAND.com",HLOOKUP($X755&amp;$Z755,NWC_FC_NOOS!$T$4:$AH$23,MATCH(W755,NWC_FC_NOOS!$S$4:$S$23,0),FALSE),0),0)</f>
        <v>0</v>
      </c>
      <c r="AP755" s="57">
        <f>IFERROR(IF($V755="BRAND.com",HLOOKUP($X755&amp;$Z755,NWC_FC_NOOS!$C$50:$U$69,MATCH(W755,NWC_FC_NOOS!$B$50:$B$69,0),FALSE),0),0)</f>
        <v>0</v>
      </c>
      <c r="AQ755" s="58">
        <f>IFERROR(IF($V755="BRAND.com",HLOOKUP($X755&amp;$Z755,'NWC_FC_NON-NOOS'!$C$4:$Q$23,MATCH(W755,'NWC_FC_NON-NOOS'!$B$4:$B$23,0),FALSE),0),0)</f>
        <v>0</v>
      </c>
      <c r="AR755" s="57">
        <f>IFERROR(IF($V755="BRAND.com",HLOOKUP($X755&amp;$Z755,'NWC_FC_NON-NOOS'!$T$4:$AH$23,MATCH(W755,'NWC_FC_NON-NOOS'!$S$4:$S$23,0),FALSE),0),0)</f>
        <v>0</v>
      </c>
      <c r="AS755" s="57">
        <f>IFERROR(IF($V755="BRAND.com",HLOOKUP($X755&amp;$Z755,'NWC_FC_NON-NOOS'!$C$50:$U$69,MATCH(W755,'NWC_FC_NON-NOOS'!$B$50:$B$69,0),FALSE),0),0)</f>
        <v>0</v>
      </c>
      <c r="AT755" s="57">
        <f t="shared" si="302"/>
        <v>0</v>
      </c>
      <c r="AU755" s="57">
        <f t="shared" si="303"/>
        <v>0</v>
      </c>
      <c r="AV755" s="58">
        <f>IFERROR(IF($V755="BRAND.com",HLOOKUP($X755&amp;$Z755,PLANNING_FC!$BB$27:$BP$46,MATCH($W755,PLANNING_FC!$BA$27:$BA$46,0),FALSE),0),0)</f>
        <v>0</v>
      </c>
      <c r="AW755" s="58">
        <f>IFERROR(IF($V755="BRAND.com",HLOOKUP($X755&amp;$Z755,PLANNING_FC!$BB$4:$BP$23,MATCH($W755,PLANNING_FC!$BA$4:$BA$23,0),FALSE),0),0)</f>
        <v>0</v>
      </c>
      <c r="AX755" s="58">
        <f>IFERROR(IF($V755="BRAND.com",HLOOKUP($X755&amp;$Z755,PLANNING_FC!$T$27:$AH$46,MATCH($W755,PLANNING_FC!$B$27:$B$46,0),FALSE),0),0)</f>
        <v>0</v>
      </c>
      <c r="AY755" s="58">
        <f>IFERROR(IF($V755="BRAND.com",HLOOKUP($X755&amp;$Z755,PLANNING_FC!$T$4:$AH$23,MATCH($W755,PLANNING_FC!$B$4:$B$23,0),FALSE),0),0)</f>
        <v>0</v>
      </c>
      <c r="AZ755" s="58">
        <f>IFERROR(IF($V755="BRAND.com",HLOOKUP($X755&amp;$Z755,PLANNING_FC!$DA$27:$DO$46,MATCH($W755,PLANNING_FC!$CZ$27:$CZ$46,0),FALSE),0),0)</f>
        <v>0</v>
      </c>
      <c r="BA755" s="58">
        <f>IFERROR(IF($V755="BRAND.com",HLOOKUP($X755&amp;$Z755,PLANNING_FC!$DA$4:$DO$23,MATCH($W755,PLANNING_FC!$CZ$4:$CZ$23,0),FALSE),0),0)</f>
        <v>0</v>
      </c>
      <c r="BB755" s="883" t="str">
        <f>IF(V755="BRAND.com",IFERROR(HLOOKUP(X755&amp;Z755,PLANNING_FC!$AK$4:$AY$23,MATCH(W755,PLANNING_FC!$AJ$4:$AJ$23,0),FALSE)*1000,""),"")</f>
        <v/>
      </c>
      <c r="BC755" s="883" t="str">
        <f>IF(V755="BRAND.com",IFERROR(HLOOKUP(X755&amp;Z755,PLANNING_FC!$AK$27:$AY$46,MATCH(W755,PLANNING_FC!$AJ$27:$AJ$46,0),FALSE)*1000,""),"")</f>
        <v/>
      </c>
    </row>
    <row r="756" spans="14:55" x14ac:dyDescent="0.25">
      <c r="N756" s="56">
        <f t="shared" si="284"/>
        <v>0</v>
      </c>
      <c r="O756" s="57">
        <f t="shared" si="285"/>
        <v>0</v>
      </c>
      <c r="P756" s="57">
        <f ca="1">IFERROR(IF(ISBLANK(H756),SUMIFS($AC:$AC,$V:$V,V756,$W:$W,W756,$X:$X,X756,$Y:$Y,Y756)*J756/(1-J756)*VLOOKUP(_xlfn.CONCAT(C756,D756,E756,TIME!$M$12,Z756),HIS_SALES!$B$2:$W$4859,20,FALSE),AC756*J756/(1-J756)),0)</f>
        <v>0</v>
      </c>
      <c r="Q756" s="541" t="str">
        <f t="shared" si="286"/>
        <v/>
      </c>
      <c r="R756" s="346" t="str">
        <f t="shared" si="287"/>
        <v>00000</v>
      </c>
      <c r="S756" s="344">
        <f t="shared" si="288"/>
        <v>0</v>
      </c>
      <c r="T756" s="345" t="str">
        <f t="shared" si="301"/>
        <v>000</v>
      </c>
      <c r="U756" s="345">
        <f t="shared" si="289"/>
        <v>0</v>
      </c>
      <c r="V756" s="345">
        <f t="shared" si="290"/>
        <v>0</v>
      </c>
      <c r="W756" s="345">
        <f t="shared" si="291"/>
        <v>0</v>
      </c>
      <c r="X756" s="345">
        <f t="shared" si="292"/>
        <v>0</v>
      </c>
      <c r="Y756" s="345">
        <f t="shared" si="293"/>
        <v>0</v>
      </c>
      <c r="Z756" s="345">
        <f>IF(Q756&lt;&gt;"",VLOOKUP(Y756,TIME!$R$21:$V$24,MATCH(FC_DATA!Q756,TIME!$R$20:$V$20,0),FALSE),H756)</f>
        <v>0</v>
      </c>
      <c r="AA756" s="345" t="str">
        <f>IFERROR(VLOOKUP(X756&amp;Z756,TIME!$A$12:$D$71,4,FALSE),"")</f>
        <v/>
      </c>
      <c r="AB756" s="592">
        <f t="shared" ca="1" si="294"/>
        <v>0</v>
      </c>
      <c r="AC756" s="593" t="e">
        <f ca="1">IF(ISBLANK(H756)=FALSE,IF(D756="BRAND.com",I756,IF(ISNA(VLOOKUP(_xlfn.CONCAT(X756,Z756),TIME!$M$40:$M$42,1,FALSE)),I756,VLOOKUP(_xlfn.CONCAT(D756,G756,H756),M_BUSAREA_FC!$AF$5:$AJ$10,5,FALSE)*HLOOKUP(_xlfn.CONCAT(F756,H756),ST_OVERVIEW!$G$99:$I$130,MATCH(_xlfn.CONCAT(D756,E756),ST_OVERVIEW!$F$99:$F$130,0),FALSE))),IF(D756="BRAND.com",VLOOKUP(_xlfn.CONCAT(C756,D756,E756,TIME!$F$1,Z756),HIS_SALES!$B$2:$V$4859,19,FALSE)*I756,VLOOKUP(_xlfn.CONCAT(D756,F756,G756),Q_BUSAREA_FC!$AE$5:$AI$12,5,FALSE)*HLOOKUP(_xlfn.CONCAT(FC_DATA!F756,FC_DATA!G756),LT_OVERVIEW!$I$99:$M$130,MATCH(_xlfn.CONCAT(D756,FC_DATA!E756),LT_OVERVIEW!$H$99:$H$130,0),FALSE)*IFERROR(VLOOKUP(_xlfn.CONCAT(C756,D756,E756,TIME!$F$1,Z756),HIS_SALES!$B$2:$V$4859,19,FALSE),0)))</f>
        <v>#N/A</v>
      </c>
      <c r="AD756" s="341">
        <f t="shared" ca="1" si="295"/>
        <v>0</v>
      </c>
      <c r="AE756" s="363" t="str">
        <f t="shared" si="296"/>
        <v/>
      </c>
      <c r="AF756" s="342" t="str">
        <f t="shared" si="297"/>
        <v/>
      </c>
      <c r="AG756" s="411" t="e">
        <f ca="1">VLOOKUP(_xlfn.CONCAT(U756,V756,W756,VLOOKUP(X756&amp;Y756,TIME!$L$27:$O$34,4,FALSE),Y756),HIS_SALES!$A$2:$R$5093,18,FALSE)</f>
        <v>#N/A</v>
      </c>
      <c r="AH756" s="412" t="e">
        <f ca="1">IFERROR(IF(AND(V756=V755,W756=W755),0.5*(AB756+AB755)*AG756,(VLOOKUP(_xlfn.CONCAT(U756,V756,W756,X756,VLOOKUP(Z756,TIME!$S$28:$T$39,2,FALSE)),FC_DATA!$R$2:$AB$5000,MATCH("GS_I_M",FC_DATA!$R$1:$AB$1,0),FALSE)+FC_DATA!AB756)*0.5*FC_DATA!AG756),NA())</f>
        <v>#N/A</v>
      </c>
      <c r="AI756" s="491" t="e">
        <f ca="1">IF(V756="PARTNER.com",AH756,IF(AND(V756=V755,W756=W755),(1-AVERAGE(AD755,AD756))*AH756,(1-AVERAGE(AD756,VLOOKUP(_xlfn.CONCAT(U756,V756,W756,X756,M_BRAND_FC!$F$6),FC_DATA!$R$2:$AD$5000,MATCH("DISCOUNT_%_M",FC_DATA!$R$1:$AD$1,0),FALSE)))*AH756))</f>
        <v>#N/A</v>
      </c>
      <c r="AJ756" s="412" t="str">
        <f t="shared" ca="1" si="298"/>
        <v/>
      </c>
      <c r="AK756" s="413" t="str">
        <f>IFERROR(AE756/(Q_BRAND_FC!$T$24+1),"")</f>
        <v/>
      </c>
      <c r="AL756" s="88" t="str">
        <f t="shared" ca="1" si="299"/>
        <v/>
      </c>
      <c r="AM756" s="414" t="str">
        <f t="shared" ca="1" si="300"/>
        <v/>
      </c>
      <c r="AN756" s="58">
        <f>IFERROR(IF($V756="BRAND.com",HLOOKUP($X756&amp;$Z756,NWC_FC_NOOS!$C$4:$Q$23,MATCH(W756,NWC_FC_NOOS!$B$4:$B$23,0),FALSE),0),0)</f>
        <v>0</v>
      </c>
      <c r="AO756" s="57">
        <f>IFERROR(IF($V756="BRAND.com",HLOOKUP($X756&amp;$Z756,NWC_FC_NOOS!$T$4:$AH$23,MATCH(W756,NWC_FC_NOOS!$S$4:$S$23,0),FALSE),0),0)</f>
        <v>0</v>
      </c>
      <c r="AP756" s="57">
        <f>IFERROR(IF($V756="BRAND.com",HLOOKUP($X756&amp;$Z756,NWC_FC_NOOS!$C$50:$U$69,MATCH(W756,NWC_FC_NOOS!$B$50:$B$69,0),FALSE),0),0)</f>
        <v>0</v>
      </c>
      <c r="AQ756" s="58">
        <f>IFERROR(IF($V756="BRAND.com",HLOOKUP($X756&amp;$Z756,'NWC_FC_NON-NOOS'!$C$4:$Q$23,MATCH(W756,'NWC_FC_NON-NOOS'!$B$4:$B$23,0),FALSE),0),0)</f>
        <v>0</v>
      </c>
      <c r="AR756" s="57">
        <f>IFERROR(IF($V756="BRAND.com",HLOOKUP($X756&amp;$Z756,'NWC_FC_NON-NOOS'!$T$4:$AH$23,MATCH(W756,'NWC_FC_NON-NOOS'!$S$4:$S$23,0),FALSE),0),0)</f>
        <v>0</v>
      </c>
      <c r="AS756" s="57">
        <f>IFERROR(IF($V756="BRAND.com",HLOOKUP($X756&amp;$Z756,'NWC_FC_NON-NOOS'!$C$50:$U$69,MATCH(W756,'NWC_FC_NON-NOOS'!$B$50:$B$69,0),FALSE),0),0)</f>
        <v>0</v>
      </c>
      <c r="AT756" s="57">
        <f t="shared" si="302"/>
        <v>0</v>
      </c>
      <c r="AU756" s="57">
        <f t="shared" si="303"/>
        <v>0</v>
      </c>
      <c r="AV756" s="58">
        <f>IFERROR(IF($V756="BRAND.com",HLOOKUP($X756&amp;$Z756,PLANNING_FC!$BB$27:$BP$46,MATCH($W756,PLANNING_FC!$BA$27:$BA$46,0),FALSE),0),0)</f>
        <v>0</v>
      </c>
      <c r="AW756" s="58">
        <f>IFERROR(IF($V756="BRAND.com",HLOOKUP($X756&amp;$Z756,PLANNING_FC!$BB$4:$BP$23,MATCH($W756,PLANNING_FC!$BA$4:$BA$23,0),FALSE),0),0)</f>
        <v>0</v>
      </c>
      <c r="AX756" s="58">
        <f>IFERROR(IF($V756="BRAND.com",HLOOKUP($X756&amp;$Z756,PLANNING_FC!$T$27:$AH$46,MATCH($W756,PLANNING_FC!$B$27:$B$46,0),FALSE),0),0)</f>
        <v>0</v>
      </c>
      <c r="AY756" s="58">
        <f>IFERROR(IF($V756="BRAND.com",HLOOKUP($X756&amp;$Z756,PLANNING_FC!$T$4:$AH$23,MATCH($W756,PLANNING_FC!$B$4:$B$23,0),FALSE),0),0)</f>
        <v>0</v>
      </c>
      <c r="AZ756" s="58">
        <f>IFERROR(IF($V756="BRAND.com",HLOOKUP($X756&amp;$Z756,PLANNING_FC!$DA$27:$DO$46,MATCH($W756,PLANNING_FC!$CZ$27:$CZ$46,0),FALSE),0),0)</f>
        <v>0</v>
      </c>
      <c r="BA756" s="58">
        <f>IFERROR(IF($V756="BRAND.com",HLOOKUP($X756&amp;$Z756,PLANNING_FC!$DA$4:$DO$23,MATCH($W756,PLANNING_FC!$CZ$4:$CZ$23,0),FALSE),0),0)</f>
        <v>0</v>
      </c>
      <c r="BB756" s="883" t="str">
        <f>IF(V756="BRAND.com",IFERROR(HLOOKUP(X756&amp;Z756,PLANNING_FC!$AK$4:$AY$23,MATCH(W756,PLANNING_FC!$AJ$4:$AJ$23,0),FALSE)*1000,""),"")</f>
        <v/>
      </c>
      <c r="BC756" s="883" t="str">
        <f>IF(V756="BRAND.com",IFERROR(HLOOKUP(X756&amp;Z756,PLANNING_FC!$AK$27:$AY$46,MATCH(W756,PLANNING_FC!$AJ$27:$AJ$46,0),FALSE)*1000,""),"")</f>
        <v/>
      </c>
    </row>
    <row r="757" spans="14:55" x14ac:dyDescent="0.25">
      <c r="N757" s="56">
        <f t="shared" si="284"/>
        <v>0</v>
      </c>
      <c r="O757" s="57">
        <f t="shared" si="285"/>
        <v>0</v>
      </c>
      <c r="P757" s="57">
        <f ca="1">IFERROR(IF(ISBLANK(H757),SUMIFS($AC:$AC,$V:$V,V757,$W:$W,W757,$X:$X,X757,$Y:$Y,Y757)*J757/(1-J757)*VLOOKUP(_xlfn.CONCAT(C757,D757,E757,TIME!$M$12,Z757),HIS_SALES!$B$2:$W$4859,20,FALSE),AC757*J757/(1-J757)),0)</f>
        <v>0</v>
      </c>
      <c r="Q757" s="541" t="str">
        <f t="shared" si="286"/>
        <v/>
      </c>
      <c r="R757" s="346" t="str">
        <f t="shared" si="287"/>
        <v>00000</v>
      </c>
      <c r="S757" s="344">
        <f t="shared" si="288"/>
        <v>0</v>
      </c>
      <c r="T757" s="345" t="str">
        <f t="shared" si="301"/>
        <v>000</v>
      </c>
      <c r="U757" s="345">
        <f t="shared" si="289"/>
        <v>0</v>
      </c>
      <c r="V757" s="345">
        <f t="shared" si="290"/>
        <v>0</v>
      </c>
      <c r="W757" s="345">
        <f t="shared" si="291"/>
        <v>0</v>
      </c>
      <c r="X757" s="345">
        <f t="shared" si="292"/>
        <v>0</v>
      </c>
      <c r="Y757" s="345">
        <f t="shared" si="293"/>
        <v>0</v>
      </c>
      <c r="Z757" s="345">
        <f>IF(Q757&lt;&gt;"",VLOOKUP(Y757,TIME!$R$21:$V$24,MATCH(FC_DATA!Q757,TIME!$R$20:$V$20,0),FALSE),H757)</f>
        <v>0</v>
      </c>
      <c r="AA757" s="345" t="str">
        <f>IFERROR(VLOOKUP(X757&amp;Z757,TIME!$A$12:$D$71,4,FALSE),"")</f>
        <v/>
      </c>
      <c r="AB757" s="592">
        <f t="shared" ca="1" si="294"/>
        <v>0</v>
      </c>
      <c r="AC757" s="593" t="e">
        <f ca="1">IF(ISBLANK(H757)=FALSE,IF(D757="BRAND.com",I757,IF(ISNA(VLOOKUP(_xlfn.CONCAT(X757,Z757),TIME!$M$40:$M$42,1,FALSE)),I757,VLOOKUP(_xlfn.CONCAT(D757,G757,H757),M_BUSAREA_FC!$AF$5:$AJ$10,5,FALSE)*HLOOKUP(_xlfn.CONCAT(F757,H757),ST_OVERVIEW!$G$99:$I$130,MATCH(_xlfn.CONCAT(D757,E757),ST_OVERVIEW!$F$99:$F$130,0),FALSE))),IF(D757="BRAND.com",VLOOKUP(_xlfn.CONCAT(C757,D757,E757,TIME!$F$1,Z757),HIS_SALES!$B$2:$V$4859,19,FALSE)*I757,VLOOKUP(_xlfn.CONCAT(D757,F757,G757),Q_BUSAREA_FC!$AE$5:$AI$12,5,FALSE)*HLOOKUP(_xlfn.CONCAT(FC_DATA!F757,FC_DATA!G757),LT_OVERVIEW!$I$99:$M$130,MATCH(_xlfn.CONCAT(D757,FC_DATA!E757),LT_OVERVIEW!$H$99:$H$130,0),FALSE)*IFERROR(VLOOKUP(_xlfn.CONCAT(C757,D757,E757,TIME!$F$1,Z757),HIS_SALES!$B$2:$V$4859,19,FALSE),0)))</f>
        <v>#N/A</v>
      </c>
      <c r="AD757" s="341">
        <f t="shared" ca="1" si="295"/>
        <v>0</v>
      </c>
      <c r="AE757" s="363" t="str">
        <f t="shared" si="296"/>
        <v/>
      </c>
      <c r="AF757" s="342" t="str">
        <f t="shared" si="297"/>
        <v/>
      </c>
      <c r="AG757" s="411" t="e">
        <f ca="1">VLOOKUP(_xlfn.CONCAT(U757,V757,W757,VLOOKUP(X757&amp;Y757,TIME!$L$27:$O$34,4,FALSE),Y757),HIS_SALES!$A$2:$R$5093,18,FALSE)</f>
        <v>#N/A</v>
      </c>
      <c r="AH757" s="412" t="e">
        <f ca="1">IFERROR(IF(AND(V757=V756,W757=W756),0.5*(AB757+AB756)*AG757,(VLOOKUP(_xlfn.CONCAT(U757,V757,W757,X757,VLOOKUP(Z757,TIME!$S$28:$T$39,2,FALSE)),FC_DATA!$R$2:$AB$5000,MATCH("GS_I_M",FC_DATA!$R$1:$AB$1,0),FALSE)+FC_DATA!AB757)*0.5*FC_DATA!AG757),NA())</f>
        <v>#N/A</v>
      </c>
      <c r="AI757" s="491" t="e">
        <f ca="1">IF(V757="PARTNER.com",AH757,IF(AND(V757=V756,W757=W756),(1-AVERAGE(AD756,AD757))*AH757,(1-AVERAGE(AD757,VLOOKUP(_xlfn.CONCAT(U757,V757,W757,X757,M_BRAND_FC!$F$6),FC_DATA!$R$2:$AD$5000,MATCH("DISCOUNT_%_M",FC_DATA!$R$1:$AD$1,0),FALSE)))*AH757))</f>
        <v>#N/A</v>
      </c>
      <c r="AJ757" s="412" t="str">
        <f t="shared" ca="1" si="298"/>
        <v/>
      </c>
      <c r="AK757" s="413" t="str">
        <f>IFERROR(AE757/(Q_BRAND_FC!$T$24+1),"")</f>
        <v/>
      </c>
      <c r="AL757" s="88" t="str">
        <f t="shared" ca="1" si="299"/>
        <v/>
      </c>
      <c r="AM757" s="414" t="str">
        <f t="shared" ca="1" si="300"/>
        <v/>
      </c>
      <c r="AN757" s="58">
        <f>IFERROR(IF($V757="BRAND.com",HLOOKUP($X757&amp;$Z757,NWC_FC_NOOS!$C$4:$Q$23,MATCH(W757,NWC_FC_NOOS!$B$4:$B$23,0),FALSE),0),0)</f>
        <v>0</v>
      </c>
      <c r="AO757" s="57">
        <f>IFERROR(IF($V757="BRAND.com",HLOOKUP($X757&amp;$Z757,NWC_FC_NOOS!$T$4:$AH$23,MATCH(W757,NWC_FC_NOOS!$S$4:$S$23,0),FALSE),0),0)</f>
        <v>0</v>
      </c>
      <c r="AP757" s="57">
        <f>IFERROR(IF($V757="BRAND.com",HLOOKUP($X757&amp;$Z757,NWC_FC_NOOS!$C$50:$U$69,MATCH(W757,NWC_FC_NOOS!$B$50:$B$69,0),FALSE),0),0)</f>
        <v>0</v>
      </c>
      <c r="AQ757" s="58">
        <f>IFERROR(IF($V757="BRAND.com",HLOOKUP($X757&amp;$Z757,'NWC_FC_NON-NOOS'!$C$4:$Q$23,MATCH(W757,'NWC_FC_NON-NOOS'!$B$4:$B$23,0),FALSE),0),0)</f>
        <v>0</v>
      </c>
      <c r="AR757" s="57">
        <f>IFERROR(IF($V757="BRAND.com",HLOOKUP($X757&amp;$Z757,'NWC_FC_NON-NOOS'!$T$4:$AH$23,MATCH(W757,'NWC_FC_NON-NOOS'!$S$4:$S$23,0),FALSE),0),0)</f>
        <v>0</v>
      </c>
      <c r="AS757" s="57">
        <f>IFERROR(IF($V757="BRAND.com",HLOOKUP($X757&amp;$Z757,'NWC_FC_NON-NOOS'!$C$50:$U$69,MATCH(W757,'NWC_FC_NON-NOOS'!$B$50:$B$69,0),FALSE),0),0)</f>
        <v>0</v>
      </c>
      <c r="AT757" s="57">
        <f t="shared" si="302"/>
        <v>0</v>
      </c>
      <c r="AU757" s="57">
        <f t="shared" si="303"/>
        <v>0</v>
      </c>
      <c r="AV757" s="58">
        <f>IFERROR(IF($V757="BRAND.com",HLOOKUP($X757&amp;$Z757,PLANNING_FC!$BB$27:$BP$46,MATCH($W757,PLANNING_FC!$BA$27:$BA$46,0),FALSE),0),0)</f>
        <v>0</v>
      </c>
      <c r="AW757" s="58">
        <f>IFERROR(IF($V757="BRAND.com",HLOOKUP($X757&amp;$Z757,PLANNING_FC!$BB$4:$BP$23,MATCH($W757,PLANNING_FC!$BA$4:$BA$23,0),FALSE),0),0)</f>
        <v>0</v>
      </c>
      <c r="AX757" s="58">
        <f>IFERROR(IF($V757="BRAND.com",HLOOKUP($X757&amp;$Z757,PLANNING_FC!$T$27:$AH$46,MATCH($W757,PLANNING_FC!$B$27:$B$46,0),FALSE),0),0)</f>
        <v>0</v>
      </c>
      <c r="AY757" s="58">
        <f>IFERROR(IF($V757="BRAND.com",HLOOKUP($X757&amp;$Z757,PLANNING_FC!$T$4:$AH$23,MATCH($W757,PLANNING_FC!$B$4:$B$23,0),FALSE),0),0)</f>
        <v>0</v>
      </c>
      <c r="AZ757" s="58">
        <f>IFERROR(IF($V757="BRAND.com",HLOOKUP($X757&amp;$Z757,PLANNING_FC!$DA$27:$DO$46,MATCH($W757,PLANNING_FC!$CZ$27:$CZ$46,0),FALSE),0),0)</f>
        <v>0</v>
      </c>
      <c r="BA757" s="58">
        <f>IFERROR(IF($V757="BRAND.com",HLOOKUP($X757&amp;$Z757,PLANNING_FC!$DA$4:$DO$23,MATCH($W757,PLANNING_FC!$CZ$4:$CZ$23,0),FALSE),0),0)</f>
        <v>0</v>
      </c>
      <c r="BB757" s="883" t="str">
        <f>IF(V757="BRAND.com",IFERROR(HLOOKUP(X757&amp;Z757,PLANNING_FC!$AK$4:$AY$23,MATCH(W757,PLANNING_FC!$AJ$4:$AJ$23,0),FALSE)*1000,""),"")</f>
        <v/>
      </c>
      <c r="BC757" s="883" t="str">
        <f>IF(V757="BRAND.com",IFERROR(HLOOKUP(X757&amp;Z757,PLANNING_FC!$AK$27:$AY$46,MATCH(W757,PLANNING_FC!$AJ$27:$AJ$46,0),FALSE)*1000,""),"")</f>
        <v/>
      </c>
    </row>
    <row r="758" spans="14:55" x14ac:dyDescent="0.25">
      <c r="N758" s="56">
        <f t="shared" si="284"/>
        <v>0</v>
      </c>
      <c r="O758" s="57">
        <f t="shared" si="285"/>
        <v>0</v>
      </c>
      <c r="P758" s="57">
        <f ca="1">IFERROR(IF(ISBLANK(H758),SUMIFS($AC:$AC,$V:$V,V758,$W:$W,W758,$X:$X,X758,$Y:$Y,Y758)*J758/(1-J758)*VLOOKUP(_xlfn.CONCAT(C758,D758,E758,TIME!$M$12,Z758),HIS_SALES!$B$2:$W$4859,20,FALSE),AC758*J758/(1-J758)),0)</f>
        <v>0</v>
      </c>
      <c r="Q758" s="541" t="str">
        <f t="shared" si="286"/>
        <v/>
      </c>
      <c r="R758" s="346" t="str">
        <f t="shared" si="287"/>
        <v>00000</v>
      </c>
      <c r="S758" s="344">
        <f t="shared" si="288"/>
        <v>0</v>
      </c>
      <c r="T758" s="345" t="str">
        <f t="shared" si="301"/>
        <v>000</v>
      </c>
      <c r="U758" s="345">
        <f t="shared" si="289"/>
        <v>0</v>
      </c>
      <c r="V758" s="345">
        <f t="shared" si="290"/>
        <v>0</v>
      </c>
      <c r="W758" s="345">
        <f t="shared" si="291"/>
        <v>0</v>
      </c>
      <c r="X758" s="345">
        <f t="shared" si="292"/>
        <v>0</v>
      </c>
      <c r="Y758" s="345">
        <f t="shared" si="293"/>
        <v>0</v>
      </c>
      <c r="Z758" s="345">
        <f>IF(Q758&lt;&gt;"",VLOOKUP(Y758,TIME!$R$21:$V$24,MATCH(FC_DATA!Q758,TIME!$R$20:$V$20,0),FALSE),H758)</f>
        <v>0</v>
      </c>
      <c r="AA758" s="345" t="str">
        <f>IFERROR(VLOOKUP(X758&amp;Z758,TIME!$A$12:$D$71,4,FALSE),"")</f>
        <v/>
      </c>
      <c r="AB758" s="592">
        <f t="shared" ca="1" si="294"/>
        <v>0</v>
      </c>
      <c r="AC758" s="593" t="e">
        <f ca="1">IF(ISBLANK(H758)=FALSE,IF(D758="BRAND.com",I758,IF(ISNA(VLOOKUP(_xlfn.CONCAT(X758,Z758),TIME!$M$40:$M$42,1,FALSE)),I758,VLOOKUP(_xlfn.CONCAT(D758,G758,H758),M_BUSAREA_FC!$AF$5:$AJ$10,5,FALSE)*HLOOKUP(_xlfn.CONCAT(F758,H758),ST_OVERVIEW!$G$99:$I$130,MATCH(_xlfn.CONCAT(D758,E758),ST_OVERVIEW!$F$99:$F$130,0),FALSE))),IF(D758="BRAND.com",VLOOKUP(_xlfn.CONCAT(C758,D758,E758,TIME!$F$1,Z758),HIS_SALES!$B$2:$V$4859,19,FALSE)*I758,VLOOKUP(_xlfn.CONCAT(D758,F758,G758),Q_BUSAREA_FC!$AE$5:$AI$12,5,FALSE)*HLOOKUP(_xlfn.CONCAT(FC_DATA!F758,FC_DATA!G758),LT_OVERVIEW!$I$99:$M$130,MATCH(_xlfn.CONCAT(D758,FC_DATA!E758),LT_OVERVIEW!$H$99:$H$130,0),FALSE)*IFERROR(VLOOKUP(_xlfn.CONCAT(C758,D758,E758,TIME!$F$1,Z758),HIS_SALES!$B$2:$V$4859,19,FALSE),0)))</f>
        <v>#N/A</v>
      </c>
      <c r="AD758" s="341">
        <f t="shared" ca="1" si="295"/>
        <v>0</v>
      </c>
      <c r="AE758" s="363" t="str">
        <f t="shared" si="296"/>
        <v/>
      </c>
      <c r="AF758" s="342" t="str">
        <f t="shared" si="297"/>
        <v/>
      </c>
      <c r="AG758" s="411" t="e">
        <f ca="1">VLOOKUP(_xlfn.CONCAT(U758,V758,W758,VLOOKUP(X758&amp;Y758,TIME!$L$27:$O$34,4,FALSE),Y758),HIS_SALES!$A$2:$R$5093,18,FALSE)</f>
        <v>#N/A</v>
      </c>
      <c r="AH758" s="412" t="e">
        <f ca="1">IFERROR(IF(AND(V758=V757,W758=W757),0.5*(AB758+AB757)*AG758,(VLOOKUP(_xlfn.CONCAT(U758,V758,W758,X758,VLOOKUP(Z758,TIME!$S$28:$T$39,2,FALSE)),FC_DATA!$R$2:$AB$5000,MATCH("GS_I_M",FC_DATA!$R$1:$AB$1,0),FALSE)+FC_DATA!AB758)*0.5*FC_DATA!AG758),NA())</f>
        <v>#N/A</v>
      </c>
      <c r="AI758" s="491" t="e">
        <f ca="1">IF(V758="PARTNER.com",AH758,IF(AND(V758=V757,W758=W757),(1-AVERAGE(AD757,AD758))*AH758,(1-AVERAGE(AD758,VLOOKUP(_xlfn.CONCAT(U758,V758,W758,X758,M_BRAND_FC!$F$6),FC_DATA!$R$2:$AD$5000,MATCH("DISCOUNT_%_M",FC_DATA!$R$1:$AD$1,0),FALSE)))*AH758))</f>
        <v>#N/A</v>
      </c>
      <c r="AJ758" s="412" t="str">
        <f t="shared" ca="1" si="298"/>
        <v/>
      </c>
      <c r="AK758" s="413" t="str">
        <f>IFERROR(AE758/(Q_BRAND_FC!$T$24+1),"")</f>
        <v/>
      </c>
      <c r="AL758" s="88" t="str">
        <f t="shared" ca="1" si="299"/>
        <v/>
      </c>
      <c r="AM758" s="414" t="str">
        <f t="shared" ca="1" si="300"/>
        <v/>
      </c>
      <c r="AN758" s="58">
        <f>IFERROR(IF($V758="BRAND.com",HLOOKUP($X758&amp;$Z758,NWC_FC_NOOS!$C$4:$Q$23,MATCH(W758,NWC_FC_NOOS!$B$4:$B$23,0),FALSE),0),0)</f>
        <v>0</v>
      </c>
      <c r="AO758" s="57">
        <f>IFERROR(IF($V758="BRAND.com",HLOOKUP($X758&amp;$Z758,NWC_FC_NOOS!$T$4:$AH$23,MATCH(W758,NWC_FC_NOOS!$S$4:$S$23,0),FALSE),0),0)</f>
        <v>0</v>
      </c>
      <c r="AP758" s="57">
        <f>IFERROR(IF($V758="BRAND.com",HLOOKUP($X758&amp;$Z758,NWC_FC_NOOS!$C$50:$U$69,MATCH(W758,NWC_FC_NOOS!$B$50:$B$69,0),FALSE),0),0)</f>
        <v>0</v>
      </c>
      <c r="AQ758" s="58">
        <f>IFERROR(IF($V758="BRAND.com",HLOOKUP($X758&amp;$Z758,'NWC_FC_NON-NOOS'!$C$4:$Q$23,MATCH(W758,'NWC_FC_NON-NOOS'!$B$4:$B$23,0),FALSE),0),0)</f>
        <v>0</v>
      </c>
      <c r="AR758" s="57">
        <f>IFERROR(IF($V758="BRAND.com",HLOOKUP($X758&amp;$Z758,'NWC_FC_NON-NOOS'!$T$4:$AH$23,MATCH(W758,'NWC_FC_NON-NOOS'!$S$4:$S$23,0),FALSE),0),0)</f>
        <v>0</v>
      </c>
      <c r="AS758" s="57">
        <f>IFERROR(IF($V758="BRAND.com",HLOOKUP($X758&amp;$Z758,'NWC_FC_NON-NOOS'!$C$50:$U$69,MATCH(W758,'NWC_FC_NON-NOOS'!$B$50:$B$69,0),FALSE),0),0)</f>
        <v>0</v>
      </c>
      <c r="AT758" s="57">
        <f t="shared" si="302"/>
        <v>0</v>
      </c>
      <c r="AU758" s="57">
        <f t="shared" si="303"/>
        <v>0</v>
      </c>
      <c r="AV758" s="58">
        <f>IFERROR(IF($V758="BRAND.com",HLOOKUP($X758&amp;$Z758,PLANNING_FC!$BB$27:$BP$46,MATCH($W758,PLANNING_FC!$BA$27:$BA$46,0),FALSE),0),0)</f>
        <v>0</v>
      </c>
      <c r="AW758" s="58">
        <f>IFERROR(IF($V758="BRAND.com",HLOOKUP($X758&amp;$Z758,PLANNING_FC!$BB$4:$BP$23,MATCH($W758,PLANNING_FC!$BA$4:$BA$23,0),FALSE),0),0)</f>
        <v>0</v>
      </c>
      <c r="AX758" s="58">
        <f>IFERROR(IF($V758="BRAND.com",HLOOKUP($X758&amp;$Z758,PLANNING_FC!$T$27:$AH$46,MATCH($W758,PLANNING_FC!$B$27:$B$46,0),FALSE),0),0)</f>
        <v>0</v>
      </c>
      <c r="AY758" s="58">
        <f>IFERROR(IF($V758="BRAND.com",HLOOKUP($X758&amp;$Z758,PLANNING_FC!$T$4:$AH$23,MATCH($W758,PLANNING_FC!$B$4:$B$23,0),FALSE),0),0)</f>
        <v>0</v>
      </c>
      <c r="AZ758" s="58">
        <f>IFERROR(IF($V758="BRAND.com",HLOOKUP($X758&amp;$Z758,PLANNING_FC!$DA$27:$DO$46,MATCH($W758,PLANNING_FC!$CZ$27:$CZ$46,0),FALSE),0),0)</f>
        <v>0</v>
      </c>
      <c r="BA758" s="58">
        <f>IFERROR(IF($V758="BRAND.com",HLOOKUP($X758&amp;$Z758,PLANNING_FC!$DA$4:$DO$23,MATCH($W758,PLANNING_FC!$CZ$4:$CZ$23,0),FALSE),0),0)</f>
        <v>0</v>
      </c>
      <c r="BB758" s="883" t="str">
        <f>IF(V758="BRAND.com",IFERROR(HLOOKUP(X758&amp;Z758,PLANNING_FC!$AK$4:$AY$23,MATCH(W758,PLANNING_FC!$AJ$4:$AJ$23,0),FALSE)*1000,""),"")</f>
        <v/>
      </c>
      <c r="BC758" s="883" t="str">
        <f>IF(V758="BRAND.com",IFERROR(HLOOKUP(X758&amp;Z758,PLANNING_FC!$AK$27:$AY$46,MATCH(W758,PLANNING_FC!$AJ$27:$AJ$46,0),FALSE)*1000,""),"")</f>
        <v/>
      </c>
    </row>
    <row r="759" spans="14:55" x14ac:dyDescent="0.25">
      <c r="N759" s="56">
        <f t="shared" si="284"/>
        <v>0</v>
      </c>
      <c r="O759" s="57">
        <f t="shared" si="285"/>
        <v>0</v>
      </c>
      <c r="P759" s="57">
        <f ca="1">IFERROR(IF(ISBLANK(H759),SUMIFS($AC:$AC,$V:$V,V759,$W:$W,W759,$X:$X,X759,$Y:$Y,Y759)*J759/(1-J759)*VLOOKUP(_xlfn.CONCAT(C759,D759,E759,TIME!$M$12,Z759),HIS_SALES!$B$2:$W$4859,20,FALSE),AC759*J759/(1-J759)),0)</f>
        <v>0</v>
      </c>
      <c r="Q759" s="541" t="str">
        <f t="shared" si="286"/>
        <v/>
      </c>
      <c r="R759" s="346" t="str">
        <f t="shared" si="287"/>
        <v>00000</v>
      </c>
      <c r="S759" s="344">
        <f t="shared" si="288"/>
        <v>0</v>
      </c>
      <c r="T759" s="345" t="str">
        <f t="shared" si="301"/>
        <v>000</v>
      </c>
      <c r="U759" s="345">
        <f t="shared" si="289"/>
        <v>0</v>
      </c>
      <c r="V759" s="345">
        <f t="shared" si="290"/>
        <v>0</v>
      </c>
      <c r="W759" s="345">
        <f t="shared" si="291"/>
        <v>0</v>
      </c>
      <c r="X759" s="345">
        <f t="shared" si="292"/>
        <v>0</v>
      </c>
      <c r="Y759" s="345">
        <f t="shared" si="293"/>
        <v>0</v>
      </c>
      <c r="Z759" s="345">
        <f>IF(Q759&lt;&gt;"",VLOOKUP(Y759,TIME!$R$21:$V$24,MATCH(FC_DATA!Q759,TIME!$R$20:$V$20,0),FALSE),H759)</f>
        <v>0</v>
      </c>
      <c r="AA759" s="345" t="str">
        <f>IFERROR(VLOOKUP(X759&amp;Z759,TIME!$A$12:$D$71,4,FALSE),"")</f>
        <v/>
      </c>
      <c r="AB759" s="592">
        <f t="shared" ca="1" si="294"/>
        <v>0</v>
      </c>
      <c r="AC759" s="593" t="e">
        <f ca="1">IF(ISBLANK(H759)=FALSE,IF(D759="BRAND.com",I759,IF(ISNA(VLOOKUP(_xlfn.CONCAT(X759,Z759),TIME!$M$40:$M$42,1,FALSE)),I759,VLOOKUP(_xlfn.CONCAT(D759,G759,H759),M_BUSAREA_FC!$AF$5:$AJ$10,5,FALSE)*HLOOKUP(_xlfn.CONCAT(F759,H759),ST_OVERVIEW!$G$99:$I$130,MATCH(_xlfn.CONCAT(D759,E759),ST_OVERVIEW!$F$99:$F$130,0),FALSE))),IF(D759="BRAND.com",VLOOKUP(_xlfn.CONCAT(C759,D759,E759,TIME!$F$1,Z759),HIS_SALES!$B$2:$V$4859,19,FALSE)*I759,VLOOKUP(_xlfn.CONCAT(D759,F759,G759),Q_BUSAREA_FC!$AE$5:$AI$12,5,FALSE)*HLOOKUP(_xlfn.CONCAT(FC_DATA!F759,FC_DATA!G759),LT_OVERVIEW!$I$99:$M$130,MATCH(_xlfn.CONCAT(D759,FC_DATA!E759),LT_OVERVIEW!$H$99:$H$130,0),FALSE)*IFERROR(VLOOKUP(_xlfn.CONCAT(C759,D759,E759,TIME!$F$1,Z759),HIS_SALES!$B$2:$V$4859,19,FALSE),0)))</f>
        <v>#N/A</v>
      </c>
      <c r="AD759" s="341">
        <f t="shared" ca="1" si="295"/>
        <v>0</v>
      </c>
      <c r="AE759" s="363" t="str">
        <f t="shared" si="296"/>
        <v/>
      </c>
      <c r="AF759" s="342" t="str">
        <f t="shared" si="297"/>
        <v/>
      </c>
      <c r="AG759" s="411" t="e">
        <f ca="1">VLOOKUP(_xlfn.CONCAT(U759,V759,W759,VLOOKUP(X759&amp;Y759,TIME!$L$27:$O$34,4,FALSE),Y759),HIS_SALES!$A$2:$R$5093,18,FALSE)</f>
        <v>#N/A</v>
      </c>
      <c r="AH759" s="412" t="e">
        <f ca="1">IFERROR(IF(AND(V759=V758,W759=W758),0.5*(AB759+AB758)*AG759,(VLOOKUP(_xlfn.CONCAT(U759,V759,W759,X759,VLOOKUP(Z759,TIME!$S$28:$T$39,2,FALSE)),FC_DATA!$R$2:$AB$5000,MATCH("GS_I_M",FC_DATA!$R$1:$AB$1,0),FALSE)+FC_DATA!AB759)*0.5*FC_DATA!AG759),NA())</f>
        <v>#N/A</v>
      </c>
      <c r="AI759" s="491" t="e">
        <f ca="1">IF(V759="PARTNER.com",AH759,IF(AND(V759=V758,W759=W758),(1-AVERAGE(AD758,AD759))*AH759,(1-AVERAGE(AD759,VLOOKUP(_xlfn.CONCAT(U759,V759,W759,X759,M_BRAND_FC!$F$6),FC_DATA!$R$2:$AD$5000,MATCH("DISCOUNT_%_M",FC_DATA!$R$1:$AD$1,0),FALSE)))*AH759))</f>
        <v>#N/A</v>
      </c>
      <c r="AJ759" s="412" t="str">
        <f t="shared" ca="1" si="298"/>
        <v/>
      </c>
      <c r="AK759" s="413" t="str">
        <f>IFERROR(AE759/(Q_BRAND_FC!$T$24+1),"")</f>
        <v/>
      </c>
      <c r="AL759" s="88" t="str">
        <f t="shared" ca="1" si="299"/>
        <v/>
      </c>
      <c r="AM759" s="414" t="str">
        <f t="shared" ca="1" si="300"/>
        <v/>
      </c>
      <c r="AN759" s="58">
        <f>IFERROR(IF($V759="BRAND.com",HLOOKUP($X759&amp;$Z759,NWC_FC_NOOS!$C$4:$Q$23,MATCH(W759,NWC_FC_NOOS!$B$4:$B$23,0),FALSE),0),0)</f>
        <v>0</v>
      </c>
      <c r="AO759" s="57">
        <f>IFERROR(IF($V759="BRAND.com",HLOOKUP($X759&amp;$Z759,NWC_FC_NOOS!$T$4:$AH$23,MATCH(W759,NWC_FC_NOOS!$S$4:$S$23,0),FALSE),0),0)</f>
        <v>0</v>
      </c>
      <c r="AP759" s="57">
        <f>IFERROR(IF($V759="BRAND.com",HLOOKUP($X759&amp;$Z759,NWC_FC_NOOS!$C$50:$U$69,MATCH(W759,NWC_FC_NOOS!$B$50:$B$69,0),FALSE),0),0)</f>
        <v>0</v>
      </c>
      <c r="AQ759" s="58">
        <f>IFERROR(IF($V759="BRAND.com",HLOOKUP($X759&amp;$Z759,'NWC_FC_NON-NOOS'!$C$4:$Q$23,MATCH(W759,'NWC_FC_NON-NOOS'!$B$4:$B$23,0),FALSE),0),0)</f>
        <v>0</v>
      </c>
      <c r="AR759" s="57">
        <f>IFERROR(IF($V759="BRAND.com",HLOOKUP($X759&amp;$Z759,'NWC_FC_NON-NOOS'!$T$4:$AH$23,MATCH(W759,'NWC_FC_NON-NOOS'!$S$4:$S$23,0),FALSE),0),0)</f>
        <v>0</v>
      </c>
      <c r="AS759" s="57">
        <f>IFERROR(IF($V759="BRAND.com",HLOOKUP($X759&amp;$Z759,'NWC_FC_NON-NOOS'!$C$50:$U$69,MATCH(W759,'NWC_FC_NON-NOOS'!$B$50:$B$69,0),FALSE),0),0)</f>
        <v>0</v>
      </c>
      <c r="AT759" s="57">
        <f t="shared" si="302"/>
        <v>0</v>
      </c>
      <c r="AU759" s="57">
        <f t="shared" si="303"/>
        <v>0</v>
      </c>
      <c r="AV759" s="58">
        <f>IFERROR(IF($V759="BRAND.com",HLOOKUP($X759&amp;$Z759,PLANNING_FC!$BB$27:$BP$46,MATCH($W759,PLANNING_FC!$BA$27:$BA$46,0),FALSE),0),0)</f>
        <v>0</v>
      </c>
      <c r="AW759" s="58">
        <f>IFERROR(IF($V759="BRAND.com",HLOOKUP($X759&amp;$Z759,PLANNING_FC!$BB$4:$BP$23,MATCH($W759,PLANNING_FC!$BA$4:$BA$23,0),FALSE),0),0)</f>
        <v>0</v>
      </c>
      <c r="AX759" s="58">
        <f>IFERROR(IF($V759="BRAND.com",HLOOKUP($X759&amp;$Z759,PLANNING_FC!$T$27:$AH$46,MATCH($W759,PLANNING_FC!$B$27:$B$46,0),FALSE),0),0)</f>
        <v>0</v>
      </c>
      <c r="AY759" s="58">
        <f>IFERROR(IF($V759="BRAND.com",HLOOKUP($X759&amp;$Z759,PLANNING_FC!$T$4:$AH$23,MATCH($W759,PLANNING_FC!$B$4:$B$23,0),FALSE),0),0)</f>
        <v>0</v>
      </c>
      <c r="AZ759" s="58">
        <f>IFERROR(IF($V759="BRAND.com",HLOOKUP($X759&amp;$Z759,PLANNING_FC!$DA$27:$DO$46,MATCH($W759,PLANNING_FC!$CZ$27:$CZ$46,0),FALSE),0),0)</f>
        <v>0</v>
      </c>
      <c r="BA759" s="58">
        <f>IFERROR(IF($V759="BRAND.com",HLOOKUP($X759&amp;$Z759,PLANNING_FC!$DA$4:$DO$23,MATCH($W759,PLANNING_FC!$CZ$4:$CZ$23,0),FALSE),0),0)</f>
        <v>0</v>
      </c>
      <c r="BB759" s="883" t="str">
        <f>IF(V759="BRAND.com",IFERROR(HLOOKUP(X759&amp;Z759,PLANNING_FC!$AK$4:$AY$23,MATCH(W759,PLANNING_FC!$AJ$4:$AJ$23,0),FALSE)*1000,""),"")</f>
        <v/>
      </c>
      <c r="BC759" s="883" t="str">
        <f>IF(V759="BRAND.com",IFERROR(HLOOKUP(X759&amp;Z759,PLANNING_FC!$AK$27:$AY$46,MATCH(W759,PLANNING_FC!$AJ$27:$AJ$46,0),FALSE)*1000,""),"")</f>
        <v/>
      </c>
    </row>
    <row r="760" spans="14:55" x14ac:dyDescent="0.25">
      <c r="N760" s="56">
        <f t="shared" si="284"/>
        <v>0</v>
      </c>
      <c r="O760" s="57">
        <f t="shared" si="285"/>
        <v>0</v>
      </c>
      <c r="P760" s="57">
        <f ca="1">IFERROR(IF(ISBLANK(H760),SUMIFS($AC:$AC,$V:$V,V760,$W:$W,W760,$X:$X,X760,$Y:$Y,Y760)*J760/(1-J760)*VLOOKUP(_xlfn.CONCAT(C760,D760,E760,TIME!$M$12,Z760),HIS_SALES!$B$2:$W$4859,20,FALSE),AC760*J760/(1-J760)),0)</f>
        <v>0</v>
      </c>
      <c r="Q760" s="541" t="str">
        <f t="shared" si="286"/>
        <v/>
      </c>
      <c r="R760" s="346" t="str">
        <f t="shared" si="287"/>
        <v>00000</v>
      </c>
      <c r="S760" s="344">
        <f t="shared" si="288"/>
        <v>0</v>
      </c>
      <c r="T760" s="345" t="str">
        <f t="shared" si="301"/>
        <v>000</v>
      </c>
      <c r="U760" s="345">
        <f t="shared" si="289"/>
        <v>0</v>
      </c>
      <c r="V760" s="345">
        <f t="shared" si="290"/>
        <v>0</v>
      </c>
      <c r="W760" s="345">
        <f t="shared" si="291"/>
        <v>0</v>
      </c>
      <c r="X760" s="345">
        <f t="shared" si="292"/>
        <v>0</v>
      </c>
      <c r="Y760" s="345">
        <f t="shared" si="293"/>
        <v>0</v>
      </c>
      <c r="Z760" s="345">
        <f>IF(Q760&lt;&gt;"",VLOOKUP(Y760,TIME!$R$21:$V$24,MATCH(FC_DATA!Q760,TIME!$R$20:$V$20,0),FALSE),H760)</f>
        <v>0</v>
      </c>
      <c r="AA760" s="345" t="str">
        <f>IFERROR(VLOOKUP(X760&amp;Z760,TIME!$A$12:$D$71,4,FALSE),"")</f>
        <v/>
      </c>
      <c r="AB760" s="592">
        <f t="shared" ca="1" si="294"/>
        <v>0</v>
      </c>
      <c r="AC760" s="593" t="e">
        <f ca="1">IF(ISBLANK(H760)=FALSE,IF(D760="BRAND.com",I760,IF(ISNA(VLOOKUP(_xlfn.CONCAT(X760,Z760),TIME!$M$40:$M$42,1,FALSE)),I760,VLOOKUP(_xlfn.CONCAT(D760,G760,H760),M_BUSAREA_FC!$AF$5:$AJ$10,5,FALSE)*HLOOKUP(_xlfn.CONCAT(F760,H760),ST_OVERVIEW!$G$99:$I$130,MATCH(_xlfn.CONCAT(D760,E760),ST_OVERVIEW!$F$99:$F$130,0),FALSE))),IF(D760="BRAND.com",VLOOKUP(_xlfn.CONCAT(C760,D760,E760,TIME!$F$1,Z760),HIS_SALES!$B$2:$V$4859,19,FALSE)*I760,VLOOKUP(_xlfn.CONCAT(D760,F760,G760),Q_BUSAREA_FC!$AE$5:$AI$12,5,FALSE)*HLOOKUP(_xlfn.CONCAT(FC_DATA!F760,FC_DATA!G760),LT_OVERVIEW!$I$99:$M$130,MATCH(_xlfn.CONCAT(D760,FC_DATA!E760),LT_OVERVIEW!$H$99:$H$130,0),FALSE)*IFERROR(VLOOKUP(_xlfn.CONCAT(C760,D760,E760,TIME!$F$1,Z760),HIS_SALES!$B$2:$V$4859,19,FALSE),0)))</f>
        <v>#N/A</v>
      </c>
      <c r="AD760" s="341">
        <f t="shared" ca="1" si="295"/>
        <v>0</v>
      </c>
      <c r="AE760" s="363" t="str">
        <f t="shared" si="296"/>
        <v/>
      </c>
      <c r="AF760" s="342" t="str">
        <f t="shared" si="297"/>
        <v/>
      </c>
      <c r="AG760" s="411" t="e">
        <f ca="1">VLOOKUP(_xlfn.CONCAT(U760,V760,W760,VLOOKUP(X760&amp;Y760,TIME!$L$27:$O$34,4,FALSE),Y760),HIS_SALES!$A$2:$R$5093,18,FALSE)</f>
        <v>#N/A</v>
      </c>
      <c r="AH760" s="412" t="e">
        <f ca="1">IFERROR(IF(AND(V760=V759,W760=W759),0.5*(AB760+AB759)*AG760,(VLOOKUP(_xlfn.CONCAT(U760,V760,W760,X760,VLOOKUP(Z760,TIME!$S$28:$T$39,2,FALSE)),FC_DATA!$R$2:$AB$5000,MATCH("GS_I_M",FC_DATA!$R$1:$AB$1,0),FALSE)+FC_DATA!AB760)*0.5*FC_DATA!AG760),NA())</f>
        <v>#N/A</v>
      </c>
      <c r="AI760" s="491" t="e">
        <f ca="1">IF(V760="PARTNER.com",AH760,IF(AND(V760=V759,W760=W759),(1-AVERAGE(AD759,AD760))*AH760,(1-AVERAGE(AD760,VLOOKUP(_xlfn.CONCAT(U760,V760,W760,X760,M_BRAND_FC!$F$6),FC_DATA!$R$2:$AD$5000,MATCH("DISCOUNT_%_M",FC_DATA!$R$1:$AD$1,0),FALSE)))*AH760))</f>
        <v>#N/A</v>
      </c>
      <c r="AJ760" s="412" t="str">
        <f t="shared" ca="1" si="298"/>
        <v/>
      </c>
      <c r="AK760" s="413" t="str">
        <f>IFERROR(AE760/(Q_BRAND_FC!$T$24+1),"")</f>
        <v/>
      </c>
      <c r="AL760" s="88" t="str">
        <f t="shared" ca="1" si="299"/>
        <v/>
      </c>
      <c r="AM760" s="414" t="str">
        <f t="shared" ca="1" si="300"/>
        <v/>
      </c>
      <c r="AN760" s="58">
        <f>IFERROR(IF($V760="BRAND.com",HLOOKUP($X760&amp;$Z760,NWC_FC_NOOS!$C$4:$Q$23,MATCH(W760,NWC_FC_NOOS!$B$4:$B$23,0),FALSE),0),0)</f>
        <v>0</v>
      </c>
      <c r="AO760" s="57">
        <f>IFERROR(IF($V760="BRAND.com",HLOOKUP($X760&amp;$Z760,NWC_FC_NOOS!$T$4:$AH$23,MATCH(W760,NWC_FC_NOOS!$S$4:$S$23,0),FALSE),0),0)</f>
        <v>0</v>
      </c>
      <c r="AP760" s="57">
        <f>IFERROR(IF($V760="BRAND.com",HLOOKUP($X760&amp;$Z760,NWC_FC_NOOS!$C$50:$U$69,MATCH(W760,NWC_FC_NOOS!$B$50:$B$69,0),FALSE),0),0)</f>
        <v>0</v>
      </c>
      <c r="AQ760" s="58">
        <f>IFERROR(IF($V760="BRAND.com",HLOOKUP($X760&amp;$Z760,'NWC_FC_NON-NOOS'!$C$4:$Q$23,MATCH(W760,'NWC_FC_NON-NOOS'!$B$4:$B$23,0),FALSE),0),0)</f>
        <v>0</v>
      </c>
      <c r="AR760" s="57">
        <f>IFERROR(IF($V760="BRAND.com",HLOOKUP($X760&amp;$Z760,'NWC_FC_NON-NOOS'!$T$4:$AH$23,MATCH(W760,'NWC_FC_NON-NOOS'!$S$4:$S$23,0),FALSE),0),0)</f>
        <v>0</v>
      </c>
      <c r="AS760" s="57">
        <f>IFERROR(IF($V760="BRAND.com",HLOOKUP($X760&amp;$Z760,'NWC_FC_NON-NOOS'!$C$50:$U$69,MATCH(W760,'NWC_FC_NON-NOOS'!$B$50:$B$69,0),FALSE),0),0)</f>
        <v>0</v>
      </c>
      <c r="AT760" s="57">
        <f t="shared" si="302"/>
        <v>0</v>
      </c>
      <c r="AU760" s="57">
        <f t="shared" si="303"/>
        <v>0</v>
      </c>
      <c r="AV760" s="58">
        <f>IFERROR(IF($V760="BRAND.com",HLOOKUP($X760&amp;$Z760,PLANNING_FC!$BB$27:$BP$46,MATCH($W760,PLANNING_FC!$BA$27:$BA$46,0),FALSE),0),0)</f>
        <v>0</v>
      </c>
      <c r="AW760" s="58">
        <f>IFERROR(IF($V760="BRAND.com",HLOOKUP($X760&amp;$Z760,PLANNING_FC!$BB$4:$BP$23,MATCH($W760,PLANNING_FC!$BA$4:$BA$23,0),FALSE),0),0)</f>
        <v>0</v>
      </c>
      <c r="AX760" s="58">
        <f>IFERROR(IF($V760="BRAND.com",HLOOKUP($X760&amp;$Z760,PLANNING_FC!$T$27:$AH$46,MATCH($W760,PLANNING_FC!$B$27:$B$46,0),FALSE),0),0)</f>
        <v>0</v>
      </c>
      <c r="AY760" s="58">
        <f>IFERROR(IF($V760="BRAND.com",HLOOKUP($X760&amp;$Z760,PLANNING_FC!$T$4:$AH$23,MATCH($W760,PLANNING_FC!$B$4:$B$23,0),FALSE),0),0)</f>
        <v>0</v>
      </c>
      <c r="AZ760" s="58">
        <f>IFERROR(IF($V760="BRAND.com",HLOOKUP($X760&amp;$Z760,PLANNING_FC!$DA$27:$DO$46,MATCH($W760,PLANNING_FC!$CZ$27:$CZ$46,0),FALSE),0),0)</f>
        <v>0</v>
      </c>
      <c r="BA760" s="58">
        <f>IFERROR(IF($V760="BRAND.com",HLOOKUP($X760&amp;$Z760,PLANNING_FC!$DA$4:$DO$23,MATCH($W760,PLANNING_FC!$CZ$4:$CZ$23,0),FALSE),0),0)</f>
        <v>0</v>
      </c>
      <c r="BB760" s="883" t="str">
        <f>IF(V760="BRAND.com",IFERROR(HLOOKUP(X760&amp;Z760,PLANNING_FC!$AK$4:$AY$23,MATCH(W760,PLANNING_FC!$AJ$4:$AJ$23,0),FALSE)*1000,""),"")</f>
        <v/>
      </c>
      <c r="BC760" s="883" t="str">
        <f>IF(V760="BRAND.com",IFERROR(HLOOKUP(X760&amp;Z760,PLANNING_FC!$AK$27:$AY$46,MATCH(W760,PLANNING_FC!$AJ$27:$AJ$46,0),FALSE)*1000,""),"")</f>
        <v/>
      </c>
    </row>
    <row r="761" spans="14:55" x14ac:dyDescent="0.25">
      <c r="N761" s="56">
        <f t="shared" si="284"/>
        <v>0</v>
      </c>
      <c r="O761" s="57">
        <f t="shared" si="285"/>
        <v>0</v>
      </c>
      <c r="P761" s="57">
        <f ca="1">IFERROR(IF(ISBLANK(H761),SUMIFS($AC:$AC,$V:$V,V761,$W:$W,W761,$X:$X,X761,$Y:$Y,Y761)*J761/(1-J761)*VLOOKUP(_xlfn.CONCAT(C761,D761,E761,TIME!$M$12,Z761),HIS_SALES!$B$2:$W$4859,20,FALSE),AC761*J761/(1-J761)),0)</f>
        <v>0</v>
      </c>
      <c r="Q761" s="541" t="str">
        <f t="shared" si="286"/>
        <v/>
      </c>
      <c r="R761" s="346" t="str">
        <f t="shared" si="287"/>
        <v>00000</v>
      </c>
      <c r="S761" s="344">
        <f t="shared" si="288"/>
        <v>0</v>
      </c>
      <c r="T761" s="345" t="str">
        <f t="shared" si="301"/>
        <v>000</v>
      </c>
      <c r="U761" s="345">
        <f t="shared" si="289"/>
        <v>0</v>
      </c>
      <c r="V761" s="345">
        <f t="shared" si="290"/>
        <v>0</v>
      </c>
      <c r="W761" s="345">
        <f t="shared" si="291"/>
        <v>0</v>
      </c>
      <c r="X761" s="345">
        <f t="shared" si="292"/>
        <v>0</v>
      </c>
      <c r="Y761" s="345">
        <f t="shared" si="293"/>
        <v>0</v>
      </c>
      <c r="Z761" s="345">
        <f>IF(Q761&lt;&gt;"",VLOOKUP(Y761,TIME!$R$21:$V$24,MATCH(FC_DATA!Q761,TIME!$R$20:$V$20,0),FALSE),H761)</f>
        <v>0</v>
      </c>
      <c r="AA761" s="345" t="str">
        <f>IFERROR(VLOOKUP(X761&amp;Z761,TIME!$A$12:$D$71,4,FALSE),"")</f>
        <v/>
      </c>
      <c r="AB761" s="592">
        <f t="shared" ca="1" si="294"/>
        <v>0</v>
      </c>
      <c r="AC761" s="593" t="e">
        <f ca="1">IF(ISBLANK(H761)=FALSE,IF(D761="BRAND.com",I761,IF(ISNA(VLOOKUP(_xlfn.CONCAT(X761,Z761),TIME!$M$40:$M$42,1,FALSE)),I761,VLOOKUP(_xlfn.CONCAT(D761,G761,H761),M_BUSAREA_FC!$AF$5:$AJ$10,5,FALSE)*HLOOKUP(_xlfn.CONCAT(F761,H761),ST_OVERVIEW!$G$99:$I$130,MATCH(_xlfn.CONCAT(D761,E761),ST_OVERVIEW!$F$99:$F$130,0),FALSE))),IF(D761="BRAND.com",VLOOKUP(_xlfn.CONCAT(C761,D761,E761,TIME!$F$1,Z761),HIS_SALES!$B$2:$V$4859,19,FALSE)*I761,VLOOKUP(_xlfn.CONCAT(D761,F761,G761),Q_BUSAREA_FC!$AE$5:$AI$12,5,FALSE)*HLOOKUP(_xlfn.CONCAT(FC_DATA!F761,FC_DATA!G761),LT_OVERVIEW!$I$99:$M$130,MATCH(_xlfn.CONCAT(D761,FC_DATA!E761),LT_OVERVIEW!$H$99:$H$130,0),FALSE)*IFERROR(VLOOKUP(_xlfn.CONCAT(C761,D761,E761,TIME!$F$1,Z761),HIS_SALES!$B$2:$V$4859,19,FALSE),0)))</f>
        <v>#N/A</v>
      </c>
      <c r="AD761" s="341">
        <f t="shared" ca="1" si="295"/>
        <v>0</v>
      </c>
      <c r="AE761" s="363" t="str">
        <f t="shared" si="296"/>
        <v/>
      </c>
      <c r="AF761" s="342" t="str">
        <f t="shared" si="297"/>
        <v/>
      </c>
      <c r="AG761" s="411" t="e">
        <f ca="1">VLOOKUP(_xlfn.CONCAT(U761,V761,W761,VLOOKUP(X761&amp;Y761,TIME!$L$27:$O$34,4,FALSE),Y761),HIS_SALES!$A$2:$R$5093,18,FALSE)</f>
        <v>#N/A</v>
      </c>
      <c r="AH761" s="412" t="e">
        <f ca="1">IFERROR(IF(AND(V761=V760,W761=W760),0.5*(AB761+AB760)*AG761,(VLOOKUP(_xlfn.CONCAT(U761,V761,W761,X761,VLOOKUP(Z761,TIME!$S$28:$T$39,2,FALSE)),FC_DATA!$R$2:$AB$5000,MATCH("GS_I_M",FC_DATA!$R$1:$AB$1,0),FALSE)+FC_DATA!AB761)*0.5*FC_DATA!AG761),NA())</f>
        <v>#N/A</v>
      </c>
      <c r="AI761" s="491" t="e">
        <f ca="1">IF(V761="PARTNER.com",AH761,IF(AND(V761=V760,W761=W760),(1-AVERAGE(AD760,AD761))*AH761,(1-AVERAGE(AD761,VLOOKUP(_xlfn.CONCAT(U761,V761,W761,X761,M_BRAND_FC!$F$6),FC_DATA!$R$2:$AD$5000,MATCH("DISCOUNT_%_M",FC_DATA!$R$1:$AD$1,0),FALSE)))*AH761))</f>
        <v>#N/A</v>
      </c>
      <c r="AJ761" s="412" t="str">
        <f t="shared" ca="1" si="298"/>
        <v/>
      </c>
      <c r="AK761" s="413" t="str">
        <f>IFERROR(AE761/(Q_BRAND_FC!$T$24+1),"")</f>
        <v/>
      </c>
      <c r="AL761" s="88" t="str">
        <f t="shared" ca="1" si="299"/>
        <v/>
      </c>
      <c r="AM761" s="414" t="str">
        <f t="shared" ca="1" si="300"/>
        <v/>
      </c>
      <c r="AN761" s="58">
        <f>IFERROR(IF($V761="BRAND.com",HLOOKUP($X761&amp;$Z761,NWC_FC_NOOS!$C$4:$Q$23,MATCH(W761,NWC_FC_NOOS!$B$4:$B$23,0),FALSE),0),0)</f>
        <v>0</v>
      </c>
      <c r="AO761" s="57">
        <f>IFERROR(IF($V761="BRAND.com",HLOOKUP($X761&amp;$Z761,NWC_FC_NOOS!$T$4:$AH$23,MATCH(W761,NWC_FC_NOOS!$S$4:$S$23,0),FALSE),0),0)</f>
        <v>0</v>
      </c>
      <c r="AP761" s="57">
        <f>IFERROR(IF($V761="BRAND.com",HLOOKUP($X761&amp;$Z761,NWC_FC_NOOS!$C$50:$U$69,MATCH(W761,NWC_FC_NOOS!$B$50:$B$69,0),FALSE),0),0)</f>
        <v>0</v>
      </c>
      <c r="AQ761" s="58">
        <f>IFERROR(IF($V761="BRAND.com",HLOOKUP($X761&amp;$Z761,'NWC_FC_NON-NOOS'!$C$4:$Q$23,MATCH(W761,'NWC_FC_NON-NOOS'!$B$4:$B$23,0),FALSE),0),0)</f>
        <v>0</v>
      </c>
      <c r="AR761" s="57">
        <f>IFERROR(IF($V761="BRAND.com",HLOOKUP($X761&amp;$Z761,'NWC_FC_NON-NOOS'!$T$4:$AH$23,MATCH(W761,'NWC_FC_NON-NOOS'!$S$4:$S$23,0),FALSE),0),0)</f>
        <v>0</v>
      </c>
      <c r="AS761" s="57">
        <f>IFERROR(IF($V761="BRAND.com",HLOOKUP($X761&amp;$Z761,'NWC_FC_NON-NOOS'!$C$50:$U$69,MATCH(W761,'NWC_FC_NON-NOOS'!$B$50:$B$69,0),FALSE),0),0)</f>
        <v>0</v>
      </c>
      <c r="AT761" s="57">
        <f t="shared" si="302"/>
        <v>0</v>
      </c>
      <c r="AU761" s="57">
        <f t="shared" si="303"/>
        <v>0</v>
      </c>
      <c r="AV761" s="58">
        <f>IFERROR(IF($V761="BRAND.com",HLOOKUP($X761&amp;$Z761,PLANNING_FC!$BB$27:$BP$46,MATCH($W761,PLANNING_FC!$BA$27:$BA$46,0),FALSE),0),0)</f>
        <v>0</v>
      </c>
      <c r="AW761" s="58">
        <f>IFERROR(IF($V761="BRAND.com",HLOOKUP($X761&amp;$Z761,PLANNING_FC!$BB$4:$BP$23,MATCH($W761,PLANNING_FC!$BA$4:$BA$23,0),FALSE),0),0)</f>
        <v>0</v>
      </c>
      <c r="AX761" s="58">
        <f>IFERROR(IF($V761="BRAND.com",HLOOKUP($X761&amp;$Z761,PLANNING_FC!$T$27:$AH$46,MATCH($W761,PLANNING_FC!$B$27:$B$46,0),FALSE),0),0)</f>
        <v>0</v>
      </c>
      <c r="AY761" s="58">
        <f>IFERROR(IF($V761="BRAND.com",HLOOKUP($X761&amp;$Z761,PLANNING_FC!$T$4:$AH$23,MATCH($W761,PLANNING_FC!$B$4:$B$23,0),FALSE),0),0)</f>
        <v>0</v>
      </c>
      <c r="AZ761" s="58">
        <f>IFERROR(IF($V761="BRAND.com",HLOOKUP($X761&amp;$Z761,PLANNING_FC!$DA$27:$DO$46,MATCH($W761,PLANNING_FC!$CZ$27:$CZ$46,0),FALSE),0),0)</f>
        <v>0</v>
      </c>
      <c r="BA761" s="58">
        <f>IFERROR(IF($V761="BRAND.com",HLOOKUP($X761&amp;$Z761,PLANNING_FC!$DA$4:$DO$23,MATCH($W761,PLANNING_FC!$CZ$4:$CZ$23,0),FALSE),0),0)</f>
        <v>0</v>
      </c>
      <c r="BB761" s="883" t="str">
        <f>IF(V761="BRAND.com",IFERROR(HLOOKUP(X761&amp;Z761,PLANNING_FC!$AK$4:$AY$23,MATCH(W761,PLANNING_FC!$AJ$4:$AJ$23,0),FALSE)*1000,""),"")</f>
        <v/>
      </c>
      <c r="BC761" s="883" t="str">
        <f>IF(V761="BRAND.com",IFERROR(HLOOKUP(X761&amp;Z761,PLANNING_FC!$AK$27:$AY$46,MATCH(W761,PLANNING_FC!$AJ$27:$AJ$46,0),FALSE)*1000,""),"")</f>
        <v/>
      </c>
    </row>
    <row r="762" spans="14:55" x14ac:dyDescent="0.25">
      <c r="N762" s="56">
        <f t="shared" si="284"/>
        <v>0</v>
      </c>
      <c r="O762" s="57">
        <f t="shared" si="285"/>
        <v>0</v>
      </c>
      <c r="P762" s="57">
        <f ca="1">IFERROR(IF(ISBLANK(H762),SUMIFS($AC:$AC,$V:$V,V762,$W:$W,W762,$X:$X,X762,$Y:$Y,Y762)*J762/(1-J762)*VLOOKUP(_xlfn.CONCAT(C762,D762,E762,TIME!$M$12,Z762),HIS_SALES!$B$2:$W$4859,20,FALSE),AC762*J762/(1-J762)),0)</f>
        <v>0</v>
      </c>
      <c r="Q762" s="541" t="str">
        <f t="shared" si="286"/>
        <v/>
      </c>
      <c r="R762" s="346" t="str">
        <f t="shared" si="287"/>
        <v>00000</v>
      </c>
      <c r="S762" s="344">
        <f t="shared" si="288"/>
        <v>0</v>
      </c>
      <c r="T762" s="345" t="str">
        <f t="shared" si="301"/>
        <v>000</v>
      </c>
      <c r="U762" s="345">
        <f t="shared" si="289"/>
        <v>0</v>
      </c>
      <c r="V762" s="345">
        <f t="shared" si="290"/>
        <v>0</v>
      </c>
      <c r="W762" s="345">
        <f t="shared" si="291"/>
        <v>0</v>
      </c>
      <c r="X762" s="345">
        <f t="shared" si="292"/>
        <v>0</v>
      </c>
      <c r="Y762" s="345">
        <f t="shared" si="293"/>
        <v>0</v>
      </c>
      <c r="Z762" s="345">
        <f>IF(Q762&lt;&gt;"",VLOOKUP(Y762,TIME!$R$21:$V$24,MATCH(FC_DATA!Q762,TIME!$R$20:$V$20,0),FALSE),H762)</f>
        <v>0</v>
      </c>
      <c r="AA762" s="345" t="str">
        <f>IFERROR(VLOOKUP(X762&amp;Z762,TIME!$A$12:$D$71,4,FALSE),"")</f>
        <v/>
      </c>
      <c r="AB762" s="592">
        <f t="shared" ca="1" si="294"/>
        <v>0</v>
      </c>
      <c r="AC762" s="593" t="e">
        <f ca="1">IF(ISBLANK(H762)=FALSE,IF(D762="BRAND.com",I762,IF(ISNA(VLOOKUP(_xlfn.CONCAT(X762,Z762),TIME!$M$40:$M$42,1,FALSE)),I762,VLOOKUP(_xlfn.CONCAT(D762,G762,H762),M_BUSAREA_FC!$AF$5:$AJ$10,5,FALSE)*HLOOKUP(_xlfn.CONCAT(F762,H762),ST_OVERVIEW!$G$99:$I$130,MATCH(_xlfn.CONCAT(D762,E762),ST_OVERVIEW!$F$99:$F$130,0),FALSE))),IF(D762="BRAND.com",VLOOKUP(_xlfn.CONCAT(C762,D762,E762,TIME!$F$1,Z762),HIS_SALES!$B$2:$V$4859,19,FALSE)*I762,VLOOKUP(_xlfn.CONCAT(D762,F762,G762),Q_BUSAREA_FC!$AE$5:$AI$12,5,FALSE)*HLOOKUP(_xlfn.CONCAT(FC_DATA!F762,FC_DATA!G762),LT_OVERVIEW!$I$99:$M$130,MATCH(_xlfn.CONCAT(D762,FC_DATA!E762),LT_OVERVIEW!$H$99:$H$130,0),FALSE)*IFERROR(VLOOKUP(_xlfn.CONCAT(C762,D762,E762,TIME!$F$1,Z762),HIS_SALES!$B$2:$V$4859,19,FALSE),0)))</f>
        <v>#N/A</v>
      </c>
      <c r="AD762" s="341">
        <f t="shared" ca="1" si="295"/>
        <v>0</v>
      </c>
      <c r="AE762" s="363" t="str">
        <f t="shared" si="296"/>
        <v/>
      </c>
      <c r="AF762" s="342" t="str">
        <f t="shared" si="297"/>
        <v/>
      </c>
      <c r="AG762" s="411" t="e">
        <f ca="1">VLOOKUP(_xlfn.CONCAT(U762,V762,W762,VLOOKUP(X762&amp;Y762,TIME!$L$27:$O$34,4,FALSE),Y762),HIS_SALES!$A$2:$R$5093,18,FALSE)</f>
        <v>#N/A</v>
      </c>
      <c r="AH762" s="412" t="e">
        <f ca="1">IFERROR(IF(AND(V762=V761,W762=W761),0.5*(AB762+AB761)*AG762,(VLOOKUP(_xlfn.CONCAT(U762,V762,W762,X762,VLOOKUP(Z762,TIME!$S$28:$T$39,2,FALSE)),FC_DATA!$R$2:$AB$5000,MATCH("GS_I_M",FC_DATA!$R$1:$AB$1,0),FALSE)+FC_DATA!AB762)*0.5*FC_DATA!AG762),NA())</f>
        <v>#N/A</v>
      </c>
      <c r="AI762" s="491" t="e">
        <f ca="1">IF(V762="PARTNER.com",AH762,IF(AND(V762=V761,W762=W761),(1-AVERAGE(AD761,AD762))*AH762,(1-AVERAGE(AD762,VLOOKUP(_xlfn.CONCAT(U762,V762,W762,X762,M_BRAND_FC!$F$6),FC_DATA!$R$2:$AD$5000,MATCH("DISCOUNT_%_M",FC_DATA!$R$1:$AD$1,0),FALSE)))*AH762))</f>
        <v>#N/A</v>
      </c>
      <c r="AJ762" s="412" t="str">
        <f t="shared" ca="1" si="298"/>
        <v/>
      </c>
      <c r="AK762" s="413" t="str">
        <f>IFERROR(AE762/(Q_BRAND_FC!$T$24+1),"")</f>
        <v/>
      </c>
      <c r="AL762" s="88" t="str">
        <f t="shared" ca="1" si="299"/>
        <v/>
      </c>
      <c r="AM762" s="414" t="str">
        <f t="shared" ca="1" si="300"/>
        <v/>
      </c>
      <c r="AN762" s="58">
        <f>IFERROR(IF($V762="BRAND.com",HLOOKUP($X762&amp;$Z762,NWC_FC_NOOS!$C$4:$Q$23,MATCH(W762,NWC_FC_NOOS!$B$4:$B$23,0),FALSE),0),0)</f>
        <v>0</v>
      </c>
      <c r="AO762" s="57">
        <f>IFERROR(IF($V762="BRAND.com",HLOOKUP($X762&amp;$Z762,NWC_FC_NOOS!$T$4:$AH$23,MATCH(W762,NWC_FC_NOOS!$S$4:$S$23,0),FALSE),0),0)</f>
        <v>0</v>
      </c>
      <c r="AP762" s="57">
        <f>IFERROR(IF($V762="BRAND.com",HLOOKUP($X762&amp;$Z762,NWC_FC_NOOS!$C$50:$U$69,MATCH(W762,NWC_FC_NOOS!$B$50:$B$69,0),FALSE),0),0)</f>
        <v>0</v>
      </c>
      <c r="AQ762" s="58">
        <f>IFERROR(IF($V762="BRAND.com",HLOOKUP($X762&amp;$Z762,'NWC_FC_NON-NOOS'!$C$4:$Q$23,MATCH(W762,'NWC_FC_NON-NOOS'!$B$4:$B$23,0),FALSE),0),0)</f>
        <v>0</v>
      </c>
      <c r="AR762" s="57">
        <f>IFERROR(IF($V762="BRAND.com",HLOOKUP($X762&amp;$Z762,'NWC_FC_NON-NOOS'!$T$4:$AH$23,MATCH(W762,'NWC_FC_NON-NOOS'!$S$4:$S$23,0),FALSE),0),0)</f>
        <v>0</v>
      </c>
      <c r="AS762" s="57">
        <f>IFERROR(IF($V762="BRAND.com",HLOOKUP($X762&amp;$Z762,'NWC_FC_NON-NOOS'!$C$50:$U$69,MATCH(W762,'NWC_FC_NON-NOOS'!$B$50:$B$69,0),FALSE),0),0)</f>
        <v>0</v>
      </c>
      <c r="AT762" s="57">
        <f t="shared" si="302"/>
        <v>0</v>
      </c>
      <c r="AU762" s="57">
        <f t="shared" si="303"/>
        <v>0</v>
      </c>
      <c r="AV762" s="58">
        <f>IFERROR(IF($V762="BRAND.com",HLOOKUP($X762&amp;$Z762,PLANNING_FC!$BB$27:$BP$46,MATCH($W762,PLANNING_FC!$BA$27:$BA$46,0),FALSE),0),0)</f>
        <v>0</v>
      </c>
      <c r="AW762" s="58">
        <f>IFERROR(IF($V762="BRAND.com",HLOOKUP($X762&amp;$Z762,PLANNING_FC!$BB$4:$BP$23,MATCH($W762,PLANNING_FC!$BA$4:$BA$23,0),FALSE),0),0)</f>
        <v>0</v>
      </c>
      <c r="AX762" s="58">
        <f>IFERROR(IF($V762="BRAND.com",HLOOKUP($X762&amp;$Z762,PLANNING_FC!$T$27:$AH$46,MATCH($W762,PLANNING_FC!$B$27:$B$46,0),FALSE),0),0)</f>
        <v>0</v>
      </c>
      <c r="AY762" s="58">
        <f>IFERROR(IF($V762="BRAND.com",HLOOKUP($X762&amp;$Z762,PLANNING_FC!$T$4:$AH$23,MATCH($W762,PLANNING_FC!$B$4:$B$23,0),FALSE),0),0)</f>
        <v>0</v>
      </c>
      <c r="AZ762" s="58">
        <f>IFERROR(IF($V762="BRAND.com",HLOOKUP($X762&amp;$Z762,PLANNING_FC!$DA$27:$DO$46,MATCH($W762,PLANNING_FC!$CZ$27:$CZ$46,0),FALSE),0),0)</f>
        <v>0</v>
      </c>
      <c r="BA762" s="58">
        <f>IFERROR(IF($V762="BRAND.com",HLOOKUP($X762&amp;$Z762,PLANNING_FC!$DA$4:$DO$23,MATCH($W762,PLANNING_FC!$CZ$4:$CZ$23,0),FALSE),0),0)</f>
        <v>0</v>
      </c>
      <c r="BB762" s="883" t="str">
        <f>IF(V762="BRAND.com",IFERROR(HLOOKUP(X762&amp;Z762,PLANNING_FC!$AK$4:$AY$23,MATCH(W762,PLANNING_FC!$AJ$4:$AJ$23,0),FALSE)*1000,""),"")</f>
        <v/>
      </c>
      <c r="BC762" s="883" t="str">
        <f>IF(V762="BRAND.com",IFERROR(HLOOKUP(X762&amp;Z762,PLANNING_FC!$AK$27:$AY$46,MATCH(W762,PLANNING_FC!$AJ$27:$AJ$46,0),FALSE)*1000,""),"")</f>
        <v/>
      </c>
    </row>
    <row r="763" spans="14:55" x14ac:dyDescent="0.25">
      <c r="N763" s="56">
        <f t="shared" si="284"/>
        <v>0</v>
      </c>
      <c r="O763" s="57">
        <f t="shared" si="285"/>
        <v>0</v>
      </c>
      <c r="P763" s="57">
        <f ca="1">IFERROR(IF(ISBLANK(H763),SUMIFS($AC:$AC,$V:$V,V763,$W:$W,W763,$X:$X,X763,$Y:$Y,Y763)*J763/(1-J763)*VLOOKUP(_xlfn.CONCAT(C763,D763,E763,TIME!$M$12,Z763),HIS_SALES!$B$2:$W$4859,20,FALSE),AC763*J763/(1-J763)),0)</f>
        <v>0</v>
      </c>
      <c r="Q763" s="541" t="str">
        <f t="shared" si="286"/>
        <v/>
      </c>
      <c r="R763" s="346" t="str">
        <f t="shared" si="287"/>
        <v>00000</v>
      </c>
      <c r="S763" s="344">
        <f t="shared" si="288"/>
        <v>0</v>
      </c>
      <c r="T763" s="345" t="str">
        <f t="shared" si="301"/>
        <v>000</v>
      </c>
      <c r="U763" s="345">
        <f t="shared" si="289"/>
        <v>0</v>
      </c>
      <c r="V763" s="345">
        <f t="shared" si="290"/>
        <v>0</v>
      </c>
      <c r="W763" s="345">
        <f t="shared" si="291"/>
        <v>0</v>
      </c>
      <c r="X763" s="345">
        <f t="shared" si="292"/>
        <v>0</v>
      </c>
      <c r="Y763" s="345">
        <f t="shared" si="293"/>
        <v>0</v>
      </c>
      <c r="Z763" s="345">
        <f>IF(Q763&lt;&gt;"",VLOOKUP(Y763,TIME!$R$21:$V$24,MATCH(FC_DATA!Q763,TIME!$R$20:$V$20,0),FALSE),H763)</f>
        <v>0</v>
      </c>
      <c r="AA763" s="345" t="str">
        <f>IFERROR(VLOOKUP(X763&amp;Z763,TIME!$A$12:$D$71,4,FALSE),"")</f>
        <v/>
      </c>
      <c r="AB763" s="592">
        <f t="shared" ca="1" si="294"/>
        <v>0</v>
      </c>
      <c r="AC763" s="593" t="e">
        <f ca="1">IF(ISBLANK(H763)=FALSE,IF(D763="BRAND.com",I763,IF(ISNA(VLOOKUP(_xlfn.CONCAT(X763,Z763),TIME!$M$40:$M$42,1,FALSE)),I763,VLOOKUP(_xlfn.CONCAT(D763,G763,H763),M_BUSAREA_FC!$AF$5:$AJ$10,5,FALSE)*HLOOKUP(_xlfn.CONCAT(F763,H763),ST_OVERVIEW!$G$99:$I$130,MATCH(_xlfn.CONCAT(D763,E763),ST_OVERVIEW!$F$99:$F$130,0),FALSE))),IF(D763="BRAND.com",VLOOKUP(_xlfn.CONCAT(C763,D763,E763,TIME!$F$1,Z763),HIS_SALES!$B$2:$V$4859,19,FALSE)*I763,VLOOKUP(_xlfn.CONCAT(D763,F763,G763),Q_BUSAREA_FC!$AE$5:$AI$12,5,FALSE)*HLOOKUP(_xlfn.CONCAT(FC_DATA!F763,FC_DATA!G763),LT_OVERVIEW!$I$99:$M$130,MATCH(_xlfn.CONCAT(D763,FC_DATA!E763),LT_OVERVIEW!$H$99:$H$130,0),FALSE)*IFERROR(VLOOKUP(_xlfn.CONCAT(C763,D763,E763,TIME!$F$1,Z763),HIS_SALES!$B$2:$V$4859,19,FALSE),0)))</f>
        <v>#N/A</v>
      </c>
      <c r="AD763" s="341">
        <f t="shared" ca="1" si="295"/>
        <v>0</v>
      </c>
      <c r="AE763" s="363" t="str">
        <f t="shared" si="296"/>
        <v/>
      </c>
      <c r="AF763" s="342" t="str">
        <f t="shared" si="297"/>
        <v/>
      </c>
      <c r="AG763" s="411" t="e">
        <f ca="1">VLOOKUP(_xlfn.CONCAT(U763,V763,W763,VLOOKUP(X763&amp;Y763,TIME!$L$27:$O$34,4,FALSE),Y763),HIS_SALES!$A$2:$R$5093,18,FALSE)</f>
        <v>#N/A</v>
      </c>
      <c r="AH763" s="412" t="e">
        <f ca="1">IFERROR(IF(AND(V763=V762,W763=W762),0.5*(AB763+AB762)*AG763,(VLOOKUP(_xlfn.CONCAT(U763,V763,W763,X763,VLOOKUP(Z763,TIME!$S$28:$T$39,2,FALSE)),FC_DATA!$R$2:$AB$5000,MATCH("GS_I_M",FC_DATA!$R$1:$AB$1,0),FALSE)+FC_DATA!AB763)*0.5*FC_DATA!AG763),NA())</f>
        <v>#N/A</v>
      </c>
      <c r="AI763" s="491" t="e">
        <f ca="1">IF(V763="PARTNER.com",AH763,IF(AND(V763=V762,W763=W762),(1-AVERAGE(AD762,AD763))*AH763,(1-AVERAGE(AD763,VLOOKUP(_xlfn.CONCAT(U763,V763,W763,X763,M_BRAND_FC!$F$6),FC_DATA!$R$2:$AD$5000,MATCH("DISCOUNT_%_M",FC_DATA!$R$1:$AD$1,0),FALSE)))*AH763))</f>
        <v>#N/A</v>
      </c>
      <c r="AJ763" s="412" t="str">
        <f t="shared" ca="1" si="298"/>
        <v/>
      </c>
      <c r="AK763" s="413" t="str">
        <f>IFERROR(AE763/(Q_BRAND_FC!$T$24+1),"")</f>
        <v/>
      </c>
      <c r="AL763" s="88" t="str">
        <f t="shared" ca="1" si="299"/>
        <v/>
      </c>
      <c r="AM763" s="414" t="str">
        <f t="shared" ca="1" si="300"/>
        <v/>
      </c>
      <c r="AN763" s="58">
        <f>IFERROR(IF($V763="BRAND.com",HLOOKUP($X763&amp;$Z763,NWC_FC_NOOS!$C$4:$Q$23,MATCH(W763,NWC_FC_NOOS!$B$4:$B$23,0),FALSE),0),0)</f>
        <v>0</v>
      </c>
      <c r="AO763" s="57">
        <f>IFERROR(IF($V763="BRAND.com",HLOOKUP($X763&amp;$Z763,NWC_FC_NOOS!$T$4:$AH$23,MATCH(W763,NWC_FC_NOOS!$S$4:$S$23,0),FALSE),0),0)</f>
        <v>0</v>
      </c>
      <c r="AP763" s="57">
        <f>IFERROR(IF($V763="BRAND.com",HLOOKUP($X763&amp;$Z763,NWC_FC_NOOS!$C$50:$U$69,MATCH(W763,NWC_FC_NOOS!$B$50:$B$69,0),FALSE),0),0)</f>
        <v>0</v>
      </c>
      <c r="AQ763" s="58">
        <f>IFERROR(IF($V763="BRAND.com",HLOOKUP($X763&amp;$Z763,'NWC_FC_NON-NOOS'!$C$4:$Q$23,MATCH(W763,'NWC_FC_NON-NOOS'!$B$4:$B$23,0),FALSE),0),0)</f>
        <v>0</v>
      </c>
      <c r="AR763" s="57">
        <f>IFERROR(IF($V763="BRAND.com",HLOOKUP($X763&amp;$Z763,'NWC_FC_NON-NOOS'!$T$4:$AH$23,MATCH(W763,'NWC_FC_NON-NOOS'!$S$4:$S$23,0),FALSE),0),0)</f>
        <v>0</v>
      </c>
      <c r="AS763" s="57">
        <f>IFERROR(IF($V763="BRAND.com",HLOOKUP($X763&amp;$Z763,'NWC_FC_NON-NOOS'!$C$50:$U$69,MATCH(W763,'NWC_FC_NON-NOOS'!$B$50:$B$69,0),FALSE),0),0)</f>
        <v>0</v>
      </c>
      <c r="AT763" s="57">
        <f t="shared" si="302"/>
        <v>0</v>
      </c>
      <c r="AU763" s="57">
        <f t="shared" si="303"/>
        <v>0</v>
      </c>
      <c r="AV763" s="58">
        <f>IFERROR(IF($V763="BRAND.com",HLOOKUP($X763&amp;$Z763,PLANNING_FC!$BB$27:$BP$46,MATCH($W763,PLANNING_FC!$BA$27:$BA$46,0),FALSE),0),0)</f>
        <v>0</v>
      </c>
      <c r="AW763" s="58">
        <f>IFERROR(IF($V763="BRAND.com",HLOOKUP($X763&amp;$Z763,PLANNING_FC!$BB$4:$BP$23,MATCH($W763,PLANNING_FC!$BA$4:$BA$23,0),FALSE),0),0)</f>
        <v>0</v>
      </c>
      <c r="AX763" s="58">
        <f>IFERROR(IF($V763="BRAND.com",HLOOKUP($X763&amp;$Z763,PLANNING_FC!$T$27:$AH$46,MATCH($W763,PLANNING_FC!$B$27:$B$46,0),FALSE),0),0)</f>
        <v>0</v>
      </c>
      <c r="AY763" s="58">
        <f>IFERROR(IF($V763="BRAND.com",HLOOKUP($X763&amp;$Z763,PLANNING_FC!$T$4:$AH$23,MATCH($W763,PLANNING_FC!$B$4:$B$23,0),FALSE),0),0)</f>
        <v>0</v>
      </c>
      <c r="AZ763" s="58">
        <f>IFERROR(IF($V763="BRAND.com",HLOOKUP($X763&amp;$Z763,PLANNING_FC!$DA$27:$DO$46,MATCH($W763,PLANNING_FC!$CZ$27:$CZ$46,0),FALSE),0),0)</f>
        <v>0</v>
      </c>
      <c r="BA763" s="58">
        <f>IFERROR(IF($V763="BRAND.com",HLOOKUP($X763&amp;$Z763,PLANNING_FC!$DA$4:$DO$23,MATCH($W763,PLANNING_FC!$CZ$4:$CZ$23,0),FALSE),0),0)</f>
        <v>0</v>
      </c>
      <c r="BB763" s="883" t="str">
        <f>IF(V763="BRAND.com",IFERROR(HLOOKUP(X763&amp;Z763,PLANNING_FC!$AK$4:$AY$23,MATCH(W763,PLANNING_FC!$AJ$4:$AJ$23,0),FALSE)*1000,""),"")</f>
        <v/>
      </c>
      <c r="BC763" s="883" t="str">
        <f>IF(V763="BRAND.com",IFERROR(HLOOKUP(X763&amp;Z763,PLANNING_FC!$AK$27:$AY$46,MATCH(W763,PLANNING_FC!$AJ$27:$AJ$46,0),FALSE)*1000,""),"")</f>
        <v/>
      </c>
    </row>
    <row r="764" spans="14:55" x14ac:dyDescent="0.25">
      <c r="N764" s="56">
        <f t="shared" si="284"/>
        <v>0</v>
      </c>
      <c r="O764" s="57">
        <f t="shared" si="285"/>
        <v>0</v>
      </c>
      <c r="P764" s="57">
        <f ca="1">IFERROR(IF(ISBLANK(H764),SUMIFS($AC:$AC,$V:$V,V764,$W:$W,W764,$X:$X,X764,$Y:$Y,Y764)*J764/(1-J764)*VLOOKUP(_xlfn.CONCAT(C764,D764,E764,TIME!$M$12,Z764),HIS_SALES!$B$2:$W$4859,20,FALSE),AC764*J764/(1-J764)),0)</f>
        <v>0</v>
      </c>
      <c r="Q764" s="541" t="str">
        <f t="shared" si="286"/>
        <v/>
      </c>
      <c r="R764" s="346" t="str">
        <f t="shared" si="287"/>
        <v>00000</v>
      </c>
      <c r="S764" s="344">
        <f t="shared" si="288"/>
        <v>0</v>
      </c>
      <c r="T764" s="345" t="str">
        <f t="shared" si="301"/>
        <v>000</v>
      </c>
      <c r="U764" s="345">
        <f t="shared" si="289"/>
        <v>0</v>
      </c>
      <c r="V764" s="345">
        <f t="shared" si="290"/>
        <v>0</v>
      </c>
      <c r="W764" s="345">
        <f t="shared" si="291"/>
        <v>0</v>
      </c>
      <c r="X764" s="345">
        <f t="shared" si="292"/>
        <v>0</v>
      </c>
      <c r="Y764" s="345">
        <f t="shared" si="293"/>
        <v>0</v>
      </c>
      <c r="Z764" s="345">
        <f>IF(Q764&lt;&gt;"",VLOOKUP(Y764,TIME!$R$21:$V$24,MATCH(FC_DATA!Q764,TIME!$R$20:$V$20,0),FALSE),H764)</f>
        <v>0</v>
      </c>
      <c r="AA764" s="345" t="str">
        <f>IFERROR(VLOOKUP(X764&amp;Z764,TIME!$A$12:$D$71,4,FALSE),"")</f>
        <v/>
      </c>
      <c r="AB764" s="592">
        <f t="shared" ca="1" si="294"/>
        <v>0</v>
      </c>
      <c r="AC764" s="593" t="e">
        <f ca="1">IF(ISBLANK(H764)=FALSE,IF(D764="BRAND.com",I764,IF(ISNA(VLOOKUP(_xlfn.CONCAT(X764,Z764),TIME!$M$40:$M$42,1,FALSE)),I764,VLOOKUP(_xlfn.CONCAT(D764,G764,H764),M_BUSAREA_FC!$AF$5:$AJ$10,5,FALSE)*HLOOKUP(_xlfn.CONCAT(F764,H764),ST_OVERVIEW!$G$99:$I$130,MATCH(_xlfn.CONCAT(D764,E764),ST_OVERVIEW!$F$99:$F$130,0),FALSE))),IF(D764="BRAND.com",VLOOKUP(_xlfn.CONCAT(C764,D764,E764,TIME!$F$1,Z764),HIS_SALES!$B$2:$V$4859,19,FALSE)*I764,VLOOKUP(_xlfn.CONCAT(D764,F764,G764),Q_BUSAREA_FC!$AE$5:$AI$12,5,FALSE)*HLOOKUP(_xlfn.CONCAT(FC_DATA!F764,FC_DATA!G764),LT_OVERVIEW!$I$99:$M$130,MATCH(_xlfn.CONCAT(D764,FC_DATA!E764),LT_OVERVIEW!$H$99:$H$130,0),FALSE)*IFERROR(VLOOKUP(_xlfn.CONCAT(C764,D764,E764,TIME!$F$1,Z764),HIS_SALES!$B$2:$V$4859,19,FALSE),0)))</f>
        <v>#N/A</v>
      </c>
      <c r="AD764" s="341">
        <f t="shared" ca="1" si="295"/>
        <v>0</v>
      </c>
      <c r="AE764" s="363" t="str">
        <f t="shared" si="296"/>
        <v/>
      </c>
      <c r="AF764" s="342" t="str">
        <f t="shared" si="297"/>
        <v/>
      </c>
      <c r="AG764" s="411" t="e">
        <f ca="1">VLOOKUP(_xlfn.CONCAT(U764,V764,W764,VLOOKUP(X764&amp;Y764,TIME!$L$27:$O$34,4,FALSE),Y764),HIS_SALES!$A$2:$R$5093,18,FALSE)</f>
        <v>#N/A</v>
      </c>
      <c r="AH764" s="412" t="e">
        <f ca="1">IFERROR(IF(AND(V764=V763,W764=W763),0.5*(AB764+AB763)*AG764,(VLOOKUP(_xlfn.CONCAT(U764,V764,W764,X764,VLOOKUP(Z764,TIME!$S$28:$T$39,2,FALSE)),FC_DATA!$R$2:$AB$5000,MATCH("GS_I_M",FC_DATA!$R$1:$AB$1,0),FALSE)+FC_DATA!AB764)*0.5*FC_DATA!AG764),NA())</f>
        <v>#N/A</v>
      </c>
      <c r="AI764" s="491" t="e">
        <f ca="1">IF(V764="PARTNER.com",AH764,IF(AND(V764=V763,W764=W763),(1-AVERAGE(AD763,AD764))*AH764,(1-AVERAGE(AD764,VLOOKUP(_xlfn.CONCAT(U764,V764,W764,X764,M_BRAND_FC!$F$6),FC_DATA!$R$2:$AD$5000,MATCH("DISCOUNT_%_M",FC_DATA!$R$1:$AD$1,0),FALSE)))*AH764))</f>
        <v>#N/A</v>
      </c>
      <c r="AJ764" s="412" t="str">
        <f t="shared" ca="1" si="298"/>
        <v/>
      </c>
      <c r="AK764" s="413" t="str">
        <f>IFERROR(AE764/(Q_BRAND_FC!$T$24+1),"")</f>
        <v/>
      </c>
      <c r="AL764" s="88" t="str">
        <f t="shared" ca="1" si="299"/>
        <v/>
      </c>
      <c r="AM764" s="414" t="str">
        <f t="shared" ca="1" si="300"/>
        <v/>
      </c>
      <c r="AN764" s="58">
        <f>IFERROR(IF($V764="BRAND.com",HLOOKUP($X764&amp;$Z764,NWC_FC_NOOS!$C$4:$Q$23,MATCH(W764,NWC_FC_NOOS!$B$4:$B$23,0),FALSE),0),0)</f>
        <v>0</v>
      </c>
      <c r="AO764" s="57">
        <f>IFERROR(IF($V764="BRAND.com",HLOOKUP($X764&amp;$Z764,NWC_FC_NOOS!$T$4:$AH$23,MATCH(W764,NWC_FC_NOOS!$S$4:$S$23,0),FALSE),0),0)</f>
        <v>0</v>
      </c>
      <c r="AP764" s="57">
        <f>IFERROR(IF($V764="BRAND.com",HLOOKUP($X764&amp;$Z764,NWC_FC_NOOS!$C$50:$U$69,MATCH(W764,NWC_FC_NOOS!$B$50:$B$69,0),FALSE),0),0)</f>
        <v>0</v>
      </c>
      <c r="AQ764" s="58">
        <f>IFERROR(IF($V764="BRAND.com",HLOOKUP($X764&amp;$Z764,'NWC_FC_NON-NOOS'!$C$4:$Q$23,MATCH(W764,'NWC_FC_NON-NOOS'!$B$4:$B$23,0),FALSE),0),0)</f>
        <v>0</v>
      </c>
      <c r="AR764" s="57">
        <f>IFERROR(IF($V764="BRAND.com",HLOOKUP($X764&amp;$Z764,'NWC_FC_NON-NOOS'!$T$4:$AH$23,MATCH(W764,'NWC_FC_NON-NOOS'!$S$4:$S$23,0),FALSE),0),0)</f>
        <v>0</v>
      </c>
      <c r="AS764" s="57">
        <f>IFERROR(IF($V764="BRAND.com",HLOOKUP($X764&amp;$Z764,'NWC_FC_NON-NOOS'!$C$50:$U$69,MATCH(W764,'NWC_FC_NON-NOOS'!$B$50:$B$69,0),FALSE),0),0)</f>
        <v>0</v>
      </c>
      <c r="AT764" s="57">
        <f t="shared" si="302"/>
        <v>0</v>
      </c>
      <c r="AU764" s="57">
        <f t="shared" si="303"/>
        <v>0</v>
      </c>
      <c r="AV764" s="58">
        <f>IFERROR(IF($V764="BRAND.com",HLOOKUP($X764&amp;$Z764,PLANNING_FC!$BB$27:$BP$46,MATCH($W764,PLANNING_FC!$BA$27:$BA$46,0),FALSE),0),0)</f>
        <v>0</v>
      </c>
      <c r="AW764" s="58">
        <f>IFERROR(IF($V764="BRAND.com",HLOOKUP($X764&amp;$Z764,PLANNING_FC!$BB$4:$BP$23,MATCH($W764,PLANNING_FC!$BA$4:$BA$23,0),FALSE),0),0)</f>
        <v>0</v>
      </c>
      <c r="AX764" s="58">
        <f>IFERROR(IF($V764="BRAND.com",HLOOKUP($X764&amp;$Z764,PLANNING_FC!$T$27:$AH$46,MATCH($W764,PLANNING_FC!$B$27:$B$46,0),FALSE),0),0)</f>
        <v>0</v>
      </c>
      <c r="AY764" s="58">
        <f>IFERROR(IF($V764="BRAND.com",HLOOKUP($X764&amp;$Z764,PLANNING_FC!$T$4:$AH$23,MATCH($W764,PLANNING_FC!$B$4:$B$23,0),FALSE),0),0)</f>
        <v>0</v>
      </c>
      <c r="AZ764" s="58">
        <f>IFERROR(IF($V764="BRAND.com",HLOOKUP($X764&amp;$Z764,PLANNING_FC!$DA$27:$DO$46,MATCH($W764,PLANNING_FC!$CZ$27:$CZ$46,0),FALSE),0),0)</f>
        <v>0</v>
      </c>
      <c r="BA764" s="58">
        <f>IFERROR(IF($V764="BRAND.com",HLOOKUP($X764&amp;$Z764,PLANNING_FC!$DA$4:$DO$23,MATCH($W764,PLANNING_FC!$CZ$4:$CZ$23,0),FALSE),0),0)</f>
        <v>0</v>
      </c>
      <c r="BB764" s="883" t="str">
        <f>IF(V764="BRAND.com",IFERROR(HLOOKUP(X764&amp;Z764,PLANNING_FC!$AK$4:$AY$23,MATCH(W764,PLANNING_FC!$AJ$4:$AJ$23,0),FALSE)*1000,""),"")</f>
        <v/>
      </c>
      <c r="BC764" s="883" t="str">
        <f>IF(V764="BRAND.com",IFERROR(HLOOKUP(X764&amp;Z764,PLANNING_FC!$AK$27:$AY$46,MATCH(W764,PLANNING_FC!$AJ$27:$AJ$46,0),FALSE)*1000,""),"")</f>
        <v/>
      </c>
    </row>
    <row r="765" spans="14:55" x14ac:dyDescent="0.25">
      <c r="N765" s="56">
        <f t="shared" si="284"/>
        <v>0</v>
      </c>
      <c r="O765" s="57">
        <f t="shared" si="285"/>
        <v>0</v>
      </c>
      <c r="P765" s="57">
        <f ca="1">IFERROR(IF(ISBLANK(H765),SUMIFS($AC:$AC,$V:$V,V765,$W:$W,W765,$X:$X,X765,$Y:$Y,Y765)*J765/(1-J765)*VLOOKUP(_xlfn.CONCAT(C765,D765,E765,TIME!$M$12,Z765),HIS_SALES!$B$2:$W$4859,20,FALSE),AC765*J765/(1-J765)),0)</f>
        <v>0</v>
      </c>
      <c r="Q765" s="541" t="str">
        <f t="shared" si="286"/>
        <v/>
      </c>
      <c r="R765" s="346" t="str">
        <f t="shared" si="287"/>
        <v>00000</v>
      </c>
      <c r="S765" s="344">
        <f t="shared" si="288"/>
        <v>0</v>
      </c>
      <c r="T765" s="345" t="str">
        <f t="shared" si="301"/>
        <v>000</v>
      </c>
      <c r="U765" s="345">
        <f t="shared" si="289"/>
        <v>0</v>
      </c>
      <c r="V765" s="345">
        <f t="shared" si="290"/>
        <v>0</v>
      </c>
      <c r="W765" s="345">
        <f t="shared" si="291"/>
        <v>0</v>
      </c>
      <c r="X765" s="345">
        <f t="shared" si="292"/>
        <v>0</v>
      </c>
      <c r="Y765" s="345">
        <f t="shared" si="293"/>
        <v>0</v>
      </c>
      <c r="Z765" s="345">
        <f>IF(Q765&lt;&gt;"",VLOOKUP(Y765,TIME!$R$21:$V$24,MATCH(FC_DATA!Q765,TIME!$R$20:$V$20,0),FALSE),H765)</f>
        <v>0</v>
      </c>
      <c r="AA765" s="345" t="str">
        <f>IFERROR(VLOOKUP(X765&amp;Z765,TIME!$A$12:$D$71,4,FALSE),"")</f>
        <v/>
      </c>
      <c r="AB765" s="592">
        <f t="shared" ca="1" si="294"/>
        <v>0</v>
      </c>
      <c r="AC765" s="593" t="e">
        <f ca="1">IF(ISBLANK(H765)=FALSE,IF(D765="BRAND.com",I765,IF(ISNA(VLOOKUP(_xlfn.CONCAT(X765,Z765),TIME!$M$40:$M$42,1,FALSE)),I765,VLOOKUP(_xlfn.CONCAT(D765,G765,H765),M_BUSAREA_FC!$AF$5:$AJ$10,5,FALSE)*HLOOKUP(_xlfn.CONCAT(F765,H765),ST_OVERVIEW!$G$99:$I$130,MATCH(_xlfn.CONCAT(D765,E765),ST_OVERVIEW!$F$99:$F$130,0),FALSE))),IF(D765="BRAND.com",VLOOKUP(_xlfn.CONCAT(C765,D765,E765,TIME!$F$1,Z765),HIS_SALES!$B$2:$V$4859,19,FALSE)*I765,VLOOKUP(_xlfn.CONCAT(D765,F765,G765),Q_BUSAREA_FC!$AE$5:$AI$12,5,FALSE)*HLOOKUP(_xlfn.CONCAT(FC_DATA!F765,FC_DATA!G765),LT_OVERVIEW!$I$99:$M$130,MATCH(_xlfn.CONCAT(D765,FC_DATA!E765),LT_OVERVIEW!$H$99:$H$130,0),FALSE)*IFERROR(VLOOKUP(_xlfn.CONCAT(C765,D765,E765,TIME!$F$1,Z765),HIS_SALES!$B$2:$V$4859,19,FALSE),0)))</f>
        <v>#N/A</v>
      </c>
      <c r="AD765" s="341">
        <f t="shared" ca="1" si="295"/>
        <v>0</v>
      </c>
      <c r="AE765" s="363" t="str">
        <f t="shared" si="296"/>
        <v/>
      </c>
      <c r="AF765" s="342" t="str">
        <f t="shared" si="297"/>
        <v/>
      </c>
      <c r="AG765" s="411" t="e">
        <f ca="1">VLOOKUP(_xlfn.CONCAT(U765,V765,W765,VLOOKUP(X765&amp;Y765,TIME!$L$27:$O$34,4,FALSE),Y765),HIS_SALES!$A$2:$R$5093,18,FALSE)</f>
        <v>#N/A</v>
      </c>
      <c r="AH765" s="412" t="e">
        <f ca="1">IFERROR(IF(AND(V765=V764,W765=W764),0.5*(AB765+AB764)*AG765,(VLOOKUP(_xlfn.CONCAT(U765,V765,W765,X765,VLOOKUP(Z765,TIME!$S$28:$T$39,2,FALSE)),FC_DATA!$R$2:$AB$5000,MATCH("GS_I_M",FC_DATA!$R$1:$AB$1,0),FALSE)+FC_DATA!AB765)*0.5*FC_DATA!AG765),NA())</f>
        <v>#N/A</v>
      </c>
      <c r="AI765" s="491" t="e">
        <f ca="1">IF(V765="PARTNER.com",AH765,IF(AND(V765=V764,W765=W764),(1-AVERAGE(AD764,AD765))*AH765,(1-AVERAGE(AD765,VLOOKUP(_xlfn.CONCAT(U765,V765,W765,X765,M_BRAND_FC!$F$6),FC_DATA!$R$2:$AD$5000,MATCH("DISCOUNT_%_M",FC_DATA!$R$1:$AD$1,0),FALSE)))*AH765))</f>
        <v>#N/A</v>
      </c>
      <c r="AJ765" s="412" t="str">
        <f t="shared" ca="1" si="298"/>
        <v/>
      </c>
      <c r="AK765" s="413" t="str">
        <f>IFERROR(AE765/(Q_BRAND_FC!$T$24+1),"")</f>
        <v/>
      </c>
      <c r="AL765" s="88" t="str">
        <f t="shared" ca="1" si="299"/>
        <v/>
      </c>
      <c r="AM765" s="414" t="str">
        <f t="shared" ca="1" si="300"/>
        <v/>
      </c>
      <c r="AN765" s="58">
        <f>IFERROR(IF($V765="BRAND.com",HLOOKUP($X765&amp;$Z765,NWC_FC_NOOS!$C$4:$Q$23,MATCH(W765,NWC_FC_NOOS!$B$4:$B$23,0),FALSE),0),0)</f>
        <v>0</v>
      </c>
      <c r="AO765" s="57">
        <f>IFERROR(IF($V765="BRAND.com",HLOOKUP($X765&amp;$Z765,NWC_FC_NOOS!$T$4:$AH$23,MATCH(W765,NWC_FC_NOOS!$S$4:$S$23,0),FALSE),0),0)</f>
        <v>0</v>
      </c>
      <c r="AP765" s="57">
        <f>IFERROR(IF($V765="BRAND.com",HLOOKUP($X765&amp;$Z765,NWC_FC_NOOS!$C$50:$U$69,MATCH(W765,NWC_FC_NOOS!$B$50:$B$69,0),FALSE),0),0)</f>
        <v>0</v>
      </c>
      <c r="AQ765" s="58">
        <f>IFERROR(IF($V765="BRAND.com",HLOOKUP($X765&amp;$Z765,'NWC_FC_NON-NOOS'!$C$4:$Q$23,MATCH(W765,'NWC_FC_NON-NOOS'!$B$4:$B$23,0),FALSE),0),0)</f>
        <v>0</v>
      </c>
      <c r="AR765" s="57">
        <f>IFERROR(IF($V765="BRAND.com",HLOOKUP($X765&amp;$Z765,'NWC_FC_NON-NOOS'!$T$4:$AH$23,MATCH(W765,'NWC_FC_NON-NOOS'!$S$4:$S$23,0),FALSE),0),0)</f>
        <v>0</v>
      </c>
      <c r="AS765" s="57">
        <f>IFERROR(IF($V765="BRAND.com",HLOOKUP($X765&amp;$Z765,'NWC_FC_NON-NOOS'!$C$50:$U$69,MATCH(W765,'NWC_FC_NON-NOOS'!$B$50:$B$69,0),FALSE),0),0)</f>
        <v>0</v>
      </c>
      <c r="AT765" s="57">
        <f t="shared" si="302"/>
        <v>0</v>
      </c>
      <c r="AU765" s="57">
        <f t="shared" si="303"/>
        <v>0</v>
      </c>
      <c r="AV765" s="58">
        <f>IFERROR(IF($V765="BRAND.com",HLOOKUP($X765&amp;$Z765,PLANNING_FC!$BB$27:$BP$46,MATCH($W765,PLANNING_FC!$BA$27:$BA$46,0),FALSE),0),0)</f>
        <v>0</v>
      </c>
      <c r="AW765" s="58">
        <f>IFERROR(IF($V765="BRAND.com",HLOOKUP($X765&amp;$Z765,PLANNING_FC!$BB$4:$BP$23,MATCH($W765,PLANNING_FC!$BA$4:$BA$23,0),FALSE),0),0)</f>
        <v>0</v>
      </c>
      <c r="AX765" s="58">
        <f>IFERROR(IF($V765="BRAND.com",HLOOKUP($X765&amp;$Z765,PLANNING_FC!$T$27:$AH$46,MATCH($W765,PLANNING_FC!$B$27:$B$46,0),FALSE),0),0)</f>
        <v>0</v>
      </c>
      <c r="AY765" s="58">
        <f>IFERROR(IF($V765="BRAND.com",HLOOKUP($X765&amp;$Z765,PLANNING_FC!$T$4:$AH$23,MATCH($W765,PLANNING_FC!$B$4:$B$23,0),FALSE),0),0)</f>
        <v>0</v>
      </c>
      <c r="AZ765" s="58">
        <f>IFERROR(IF($V765="BRAND.com",HLOOKUP($X765&amp;$Z765,PLANNING_FC!$DA$27:$DO$46,MATCH($W765,PLANNING_FC!$CZ$27:$CZ$46,0),FALSE),0),0)</f>
        <v>0</v>
      </c>
      <c r="BA765" s="58">
        <f>IFERROR(IF($V765="BRAND.com",HLOOKUP($X765&amp;$Z765,PLANNING_FC!$DA$4:$DO$23,MATCH($W765,PLANNING_FC!$CZ$4:$CZ$23,0),FALSE),0),0)</f>
        <v>0</v>
      </c>
      <c r="BB765" s="883" t="str">
        <f>IF(V765="BRAND.com",IFERROR(HLOOKUP(X765&amp;Z765,PLANNING_FC!$AK$4:$AY$23,MATCH(W765,PLANNING_FC!$AJ$4:$AJ$23,0),FALSE)*1000,""),"")</f>
        <v/>
      </c>
      <c r="BC765" s="883" t="str">
        <f>IF(V765="BRAND.com",IFERROR(HLOOKUP(X765&amp;Z765,PLANNING_FC!$AK$27:$AY$46,MATCH(W765,PLANNING_FC!$AJ$27:$AJ$46,0),FALSE)*1000,""),"")</f>
        <v/>
      </c>
    </row>
    <row r="766" spans="14:55" x14ac:dyDescent="0.25">
      <c r="N766" s="56">
        <f t="shared" si="284"/>
        <v>0</v>
      </c>
      <c r="O766" s="57">
        <f t="shared" si="285"/>
        <v>0</v>
      </c>
      <c r="P766" s="57">
        <f ca="1">IFERROR(IF(ISBLANK(H766),SUMIFS($AC:$AC,$V:$V,V766,$W:$W,W766,$X:$X,X766,$Y:$Y,Y766)*J766/(1-J766)*VLOOKUP(_xlfn.CONCAT(C766,D766,E766,TIME!$M$12,Z766),HIS_SALES!$B$2:$W$4859,20,FALSE),AC766*J766/(1-J766)),0)</f>
        <v>0</v>
      </c>
      <c r="Q766" s="541" t="str">
        <f t="shared" si="286"/>
        <v/>
      </c>
      <c r="R766" s="346" t="str">
        <f t="shared" si="287"/>
        <v>00000</v>
      </c>
      <c r="S766" s="344">
        <f t="shared" si="288"/>
        <v>0</v>
      </c>
      <c r="T766" s="345" t="str">
        <f t="shared" si="301"/>
        <v>000</v>
      </c>
      <c r="U766" s="345">
        <f t="shared" si="289"/>
        <v>0</v>
      </c>
      <c r="V766" s="345">
        <f t="shared" si="290"/>
        <v>0</v>
      </c>
      <c r="W766" s="345">
        <f t="shared" si="291"/>
        <v>0</v>
      </c>
      <c r="X766" s="345">
        <f t="shared" si="292"/>
        <v>0</v>
      </c>
      <c r="Y766" s="345">
        <f t="shared" si="293"/>
        <v>0</v>
      </c>
      <c r="Z766" s="345">
        <f>IF(Q766&lt;&gt;"",VLOOKUP(Y766,TIME!$R$21:$V$24,MATCH(FC_DATA!Q766,TIME!$R$20:$V$20,0),FALSE),H766)</f>
        <v>0</v>
      </c>
      <c r="AA766" s="345" t="str">
        <f>IFERROR(VLOOKUP(X766&amp;Z766,TIME!$A$12:$D$71,4,FALSE),"")</f>
        <v/>
      </c>
      <c r="AB766" s="592">
        <f t="shared" ca="1" si="294"/>
        <v>0</v>
      </c>
      <c r="AC766" s="593" t="e">
        <f ca="1">IF(ISBLANK(H766)=FALSE,IF(D766="BRAND.com",I766,IF(ISNA(VLOOKUP(_xlfn.CONCAT(X766,Z766),TIME!$M$40:$M$42,1,FALSE)),I766,VLOOKUP(_xlfn.CONCAT(D766,G766,H766),M_BUSAREA_FC!$AF$5:$AJ$10,5,FALSE)*HLOOKUP(_xlfn.CONCAT(F766,H766),ST_OVERVIEW!$G$99:$I$130,MATCH(_xlfn.CONCAT(D766,E766),ST_OVERVIEW!$F$99:$F$130,0),FALSE))),IF(D766="BRAND.com",VLOOKUP(_xlfn.CONCAT(C766,D766,E766,TIME!$F$1,Z766),HIS_SALES!$B$2:$V$4859,19,FALSE)*I766,VLOOKUP(_xlfn.CONCAT(D766,F766,G766),Q_BUSAREA_FC!$AE$5:$AI$12,5,FALSE)*HLOOKUP(_xlfn.CONCAT(FC_DATA!F766,FC_DATA!G766),LT_OVERVIEW!$I$99:$M$130,MATCH(_xlfn.CONCAT(D766,FC_DATA!E766),LT_OVERVIEW!$H$99:$H$130,0),FALSE)*IFERROR(VLOOKUP(_xlfn.CONCAT(C766,D766,E766,TIME!$F$1,Z766),HIS_SALES!$B$2:$V$4859,19,FALSE),0)))</f>
        <v>#N/A</v>
      </c>
      <c r="AD766" s="341">
        <f t="shared" ca="1" si="295"/>
        <v>0</v>
      </c>
      <c r="AE766" s="363" t="str">
        <f t="shared" si="296"/>
        <v/>
      </c>
      <c r="AF766" s="342" t="str">
        <f t="shared" si="297"/>
        <v/>
      </c>
      <c r="AG766" s="411" t="e">
        <f ca="1">VLOOKUP(_xlfn.CONCAT(U766,V766,W766,VLOOKUP(X766&amp;Y766,TIME!$L$27:$O$34,4,FALSE),Y766),HIS_SALES!$A$2:$R$5093,18,FALSE)</f>
        <v>#N/A</v>
      </c>
      <c r="AH766" s="412" t="e">
        <f ca="1">IFERROR(IF(AND(V766=V765,W766=W765),0.5*(AB766+AB765)*AG766,(VLOOKUP(_xlfn.CONCAT(U766,V766,W766,X766,VLOOKUP(Z766,TIME!$S$28:$T$39,2,FALSE)),FC_DATA!$R$2:$AB$5000,MATCH("GS_I_M",FC_DATA!$R$1:$AB$1,0),FALSE)+FC_DATA!AB766)*0.5*FC_DATA!AG766),NA())</f>
        <v>#N/A</v>
      </c>
      <c r="AI766" s="491" t="e">
        <f ca="1">IF(V766="PARTNER.com",AH766,IF(AND(V766=V765,W766=W765),(1-AVERAGE(AD765,AD766))*AH766,(1-AVERAGE(AD766,VLOOKUP(_xlfn.CONCAT(U766,V766,W766,X766,M_BRAND_FC!$F$6),FC_DATA!$R$2:$AD$5000,MATCH("DISCOUNT_%_M",FC_DATA!$R$1:$AD$1,0),FALSE)))*AH766))</f>
        <v>#N/A</v>
      </c>
      <c r="AJ766" s="412" t="str">
        <f t="shared" ca="1" si="298"/>
        <v/>
      </c>
      <c r="AK766" s="413" t="str">
        <f>IFERROR(AE766/(Q_BRAND_FC!$T$24+1),"")</f>
        <v/>
      </c>
      <c r="AL766" s="88" t="str">
        <f t="shared" ca="1" si="299"/>
        <v/>
      </c>
      <c r="AM766" s="414" t="str">
        <f t="shared" ca="1" si="300"/>
        <v/>
      </c>
      <c r="AN766" s="58">
        <f>IFERROR(IF($V766="BRAND.com",HLOOKUP($X766&amp;$Z766,NWC_FC_NOOS!$C$4:$Q$23,MATCH(W766,NWC_FC_NOOS!$B$4:$B$23,0),FALSE),0),0)</f>
        <v>0</v>
      </c>
      <c r="AO766" s="57">
        <f>IFERROR(IF($V766="BRAND.com",HLOOKUP($X766&amp;$Z766,NWC_FC_NOOS!$T$4:$AH$23,MATCH(W766,NWC_FC_NOOS!$S$4:$S$23,0),FALSE),0),0)</f>
        <v>0</v>
      </c>
      <c r="AP766" s="57">
        <f>IFERROR(IF($V766="BRAND.com",HLOOKUP($X766&amp;$Z766,NWC_FC_NOOS!$C$50:$U$69,MATCH(W766,NWC_FC_NOOS!$B$50:$B$69,0),FALSE),0),0)</f>
        <v>0</v>
      </c>
      <c r="AQ766" s="58">
        <f>IFERROR(IF($V766="BRAND.com",HLOOKUP($X766&amp;$Z766,'NWC_FC_NON-NOOS'!$C$4:$Q$23,MATCH(W766,'NWC_FC_NON-NOOS'!$B$4:$B$23,0),FALSE),0),0)</f>
        <v>0</v>
      </c>
      <c r="AR766" s="57">
        <f>IFERROR(IF($V766="BRAND.com",HLOOKUP($X766&amp;$Z766,'NWC_FC_NON-NOOS'!$T$4:$AH$23,MATCH(W766,'NWC_FC_NON-NOOS'!$S$4:$S$23,0),FALSE),0),0)</f>
        <v>0</v>
      </c>
      <c r="AS766" s="57">
        <f>IFERROR(IF($V766="BRAND.com",HLOOKUP($X766&amp;$Z766,'NWC_FC_NON-NOOS'!$C$50:$U$69,MATCH(W766,'NWC_FC_NON-NOOS'!$B$50:$B$69,0),FALSE),0),0)</f>
        <v>0</v>
      </c>
      <c r="AT766" s="57">
        <f t="shared" si="302"/>
        <v>0</v>
      </c>
      <c r="AU766" s="57">
        <f t="shared" si="303"/>
        <v>0</v>
      </c>
      <c r="AV766" s="58">
        <f>IFERROR(IF($V766="BRAND.com",HLOOKUP($X766&amp;$Z766,PLANNING_FC!$BB$27:$BP$46,MATCH($W766,PLANNING_FC!$BA$27:$BA$46,0),FALSE),0),0)</f>
        <v>0</v>
      </c>
      <c r="AW766" s="58">
        <f>IFERROR(IF($V766="BRAND.com",HLOOKUP($X766&amp;$Z766,PLANNING_FC!$BB$4:$BP$23,MATCH($W766,PLANNING_FC!$BA$4:$BA$23,0),FALSE),0),0)</f>
        <v>0</v>
      </c>
      <c r="AX766" s="58">
        <f>IFERROR(IF($V766="BRAND.com",HLOOKUP($X766&amp;$Z766,PLANNING_FC!$T$27:$AH$46,MATCH($W766,PLANNING_FC!$B$27:$B$46,0),FALSE),0),0)</f>
        <v>0</v>
      </c>
      <c r="AY766" s="58">
        <f>IFERROR(IF($V766="BRAND.com",HLOOKUP($X766&amp;$Z766,PLANNING_FC!$T$4:$AH$23,MATCH($W766,PLANNING_FC!$B$4:$B$23,0),FALSE),0),0)</f>
        <v>0</v>
      </c>
      <c r="AZ766" s="58">
        <f>IFERROR(IF($V766="BRAND.com",HLOOKUP($X766&amp;$Z766,PLANNING_FC!$DA$27:$DO$46,MATCH($W766,PLANNING_FC!$CZ$27:$CZ$46,0),FALSE),0),0)</f>
        <v>0</v>
      </c>
      <c r="BA766" s="58">
        <f>IFERROR(IF($V766="BRAND.com",HLOOKUP($X766&amp;$Z766,PLANNING_FC!$DA$4:$DO$23,MATCH($W766,PLANNING_FC!$CZ$4:$CZ$23,0),FALSE),0),0)</f>
        <v>0</v>
      </c>
      <c r="BB766" s="883" t="str">
        <f>IF(V766="BRAND.com",IFERROR(HLOOKUP(X766&amp;Z766,PLANNING_FC!$AK$4:$AY$23,MATCH(W766,PLANNING_FC!$AJ$4:$AJ$23,0),FALSE)*1000,""),"")</f>
        <v/>
      </c>
      <c r="BC766" s="883" t="str">
        <f>IF(V766="BRAND.com",IFERROR(HLOOKUP(X766&amp;Z766,PLANNING_FC!$AK$27:$AY$46,MATCH(W766,PLANNING_FC!$AJ$27:$AJ$46,0),FALSE)*1000,""),"")</f>
        <v/>
      </c>
    </row>
    <row r="767" spans="14:55" x14ac:dyDescent="0.25">
      <c r="N767" s="56">
        <f t="shared" si="284"/>
        <v>0</v>
      </c>
      <c r="O767" s="57">
        <f t="shared" si="285"/>
        <v>0</v>
      </c>
      <c r="P767" s="57">
        <f ca="1">IFERROR(IF(ISBLANK(H767),SUMIFS($AC:$AC,$V:$V,V767,$W:$W,W767,$X:$X,X767,$Y:$Y,Y767)*J767/(1-J767)*VLOOKUP(_xlfn.CONCAT(C767,D767,E767,TIME!$M$12,Z767),HIS_SALES!$B$2:$W$4859,20,FALSE),AC767*J767/(1-J767)),0)</f>
        <v>0</v>
      </c>
      <c r="Q767" s="541" t="str">
        <f t="shared" si="286"/>
        <v/>
      </c>
      <c r="R767" s="346" t="str">
        <f t="shared" si="287"/>
        <v>00000</v>
      </c>
      <c r="S767" s="344">
        <f t="shared" si="288"/>
        <v>0</v>
      </c>
      <c r="T767" s="345" t="str">
        <f t="shared" si="301"/>
        <v>000</v>
      </c>
      <c r="U767" s="345">
        <f t="shared" si="289"/>
        <v>0</v>
      </c>
      <c r="V767" s="345">
        <f t="shared" si="290"/>
        <v>0</v>
      </c>
      <c r="W767" s="345">
        <f t="shared" si="291"/>
        <v>0</v>
      </c>
      <c r="X767" s="345">
        <f t="shared" si="292"/>
        <v>0</v>
      </c>
      <c r="Y767" s="345">
        <f t="shared" si="293"/>
        <v>0</v>
      </c>
      <c r="Z767" s="345">
        <f>IF(Q767&lt;&gt;"",VLOOKUP(Y767,TIME!$R$21:$V$24,MATCH(FC_DATA!Q767,TIME!$R$20:$V$20,0),FALSE),H767)</f>
        <v>0</v>
      </c>
      <c r="AA767" s="345" t="str">
        <f>IFERROR(VLOOKUP(X767&amp;Z767,TIME!$A$12:$D$71,4,FALSE),"")</f>
        <v/>
      </c>
      <c r="AB767" s="592">
        <f t="shared" ca="1" si="294"/>
        <v>0</v>
      </c>
      <c r="AC767" s="593" t="e">
        <f ca="1">IF(ISBLANK(H767)=FALSE,IF(D767="BRAND.com",I767,IF(ISNA(VLOOKUP(_xlfn.CONCAT(X767,Z767),TIME!$M$40:$M$42,1,FALSE)),I767,VLOOKUP(_xlfn.CONCAT(D767,G767,H767),M_BUSAREA_FC!$AF$5:$AJ$10,5,FALSE)*HLOOKUP(_xlfn.CONCAT(F767,H767),ST_OVERVIEW!$G$99:$I$130,MATCH(_xlfn.CONCAT(D767,E767),ST_OVERVIEW!$F$99:$F$130,0),FALSE))),IF(D767="BRAND.com",VLOOKUP(_xlfn.CONCAT(C767,D767,E767,TIME!$F$1,Z767),HIS_SALES!$B$2:$V$4859,19,FALSE)*I767,VLOOKUP(_xlfn.CONCAT(D767,F767,G767),Q_BUSAREA_FC!$AE$5:$AI$12,5,FALSE)*HLOOKUP(_xlfn.CONCAT(FC_DATA!F767,FC_DATA!G767),LT_OVERVIEW!$I$99:$M$130,MATCH(_xlfn.CONCAT(D767,FC_DATA!E767),LT_OVERVIEW!$H$99:$H$130,0),FALSE)*IFERROR(VLOOKUP(_xlfn.CONCAT(C767,D767,E767,TIME!$F$1,Z767),HIS_SALES!$B$2:$V$4859,19,FALSE),0)))</f>
        <v>#N/A</v>
      </c>
      <c r="AD767" s="341">
        <f t="shared" ca="1" si="295"/>
        <v>0</v>
      </c>
      <c r="AE767" s="363" t="str">
        <f t="shared" si="296"/>
        <v/>
      </c>
      <c r="AF767" s="342" t="str">
        <f t="shared" si="297"/>
        <v/>
      </c>
      <c r="AG767" s="411" t="e">
        <f ca="1">VLOOKUP(_xlfn.CONCAT(U767,V767,W767,VLOOKUP(X767&amp;Y767,TIME!$L$27:$O$34,4,FALSE),Y767),HIS_SALES!$A$2:$R$5093,18,FALSE)</f>
        <v>#N/A</v>
      </c>
      <c r="AH767" s="412" t="e">
        <f ca="1">IFERROR(IF(AND(V767=V766,W767=W766),0.5*(AB767+AB766)*AG767,(VLOOKUP(_xlfn.CONCAT(U767,V767,W767,X767,VLOOKUP(Z767,TIME!$S$28:$T$39,2,FALSE)),FC_DATA!$R$2:$AB$5000,MATCH("GS_I_M",FC_DATA!$R$1:$AB$1,0),FALSE)+FC_DATA!AB767)*0.5*FC_DATA!AG767),NA())</f>
        <v>#N/A</v>
      </c>
      <c r="AI767" s="491" t="e">
        <f ca="1">IF(V767="PARTNER.com",AH767,IF(AND(V767=V766,W767=W766),(1-AVERAGE(AD766,AD767))*AH767,(1-AVERAGE(AD767,VLOOKUP(_xlfn.CONCAT(U767,V767,W767,X767,M_BRAND_FC!$F$6),FC_DATA!$R$2:$AD$5000,MATCH("DISCOUNT_%_M",FC_DATA!$R$1:$AD$1,0),FALSE)))*AH767))</f>
        <v>#N/A</v>
      </c>
      <c r="AJ767" s="412" t="str">
        <f t="shared" ca="1" si="298"/>
        <v/>
      </c>
      <c r="AK767" s="413" t="str">
        <f>IFERROR(AE767/(Q_BRAND_FC!$T$24+1),"")</f>
        <v/>
      </c>
      <c r="AL767" s="88" t="str">
        <f t="shared" ca="1" si="299"/>
        <v/>
      </c>
      <c r="AM767" s="414" t="str">
        <f t="shared" ca="1" si="300"/>
        <v/>
      </c>
      <c r="AN767" s="58">
        <f>IFERROR(IF($V767="BRAND.com",HLOOKUP($X767&amp;$Z767,NWC_FC_NOOS!$C$4:$Q$23,MATCH(W767,NWC_FC_NOOS!$B$4:$B$23,0),FALSE),0),0)</f>
        <v>0</v>
      </c>
      <c r="AO767" s="57">
        <f>IFERROR(IF($V767="BRAND.com",HLOOKUP($X767&amp;$Z767,NWC_FC_NOOS!$T$4:$AH$23,MATCH(W767,NWC_FC_NOOS!$S$4:$S$23,0),FALSE),0),0)</f>
        <v>0</v>
      </c>
      <c r="AP767" s="57">
        <f>IFERROR(IF($V767="BRAND.com",HLOOKUP($X767&amp;$Z767,NWC_FC_NOOS!$C$50:$U$69,MATCH(W767,NWC_FC_NOOS!$B$50:$B$69,0),FALSE),0),0)</f>
        <v>0</v>
      </c>
      <c r="AQ767" s="58">
        <f>IFERROR(IF($V767="BRAND.com",HLOOKUP($X767&amp;$Z767,'NWC_FC_NON-NOOS'!$C$4:$Q$23,MATCH(W767,'NWC_FC_NON-NOOS'!$B$4:$B$23,0),FALSE),0),0)</f>
        <v>0</v>
      </c>
      <c r="AR767" s="57">
        <f>IFERROR(IF($V767="BRAND.com",HLOOKUP($X767&amp;$Z767,'NWC_FC_NON-NOOS'!$T$4:$AH$23,MATCH(W767,'NWC_FC_NON-NOOS'!$S$4:$S$23,0),FALSE),0),0)</f>
        <v>0</v>
      </c>
      <c r="AS767" s="57">
        <f>IFERROR(IF($V767="BRAND.com",HLOOKUP($X767&amp;$Z767,'NWC_FC_NON-NOOS'!$C$50:$U$69,MATCH(W767,'NWC_FC_NON-NOOS'!$B$50:$B$69,0),FALSE),0),0)</f>
        <v>0</v>
      </c>
      <c r="AT767" s="57">
        <f t="shared" si="302"/>
        <v>0</v>
      </c>
      <c r="AU767" s="57">
        <f t="shared" si="303"/>
        <v>0</v>
      </c>
      <c r="AV767" s="58">
        <f>IFERROR(IF($V767="BRAND.com",HLOOKUP($X767&amp;$Z767,PLANNING_FC!$BB$27:$BP$46,MATCH($W767,PLANNING_FC!$BA$27:$BA$46,0),FALSE),0),0)</f>
        <v>0</v>
      </c>
      <c r="AW767" s="58">
        <f>IFERROR(IF($V767="BRAND.com",HLOOKUP($X767&amp;$Z767,PLANNING_FC!$BB$4:$BP$23,MATCH($W767,PLANNING_FC!$BA$4:$BA$23,0),FALSE),0),0)</f>
        <v>0</v>
      </c>
      <c r="AX767" s="58">
        <f>IFERROR(IF($V767="BRAND.com",HLOOKUP($X767&amp;$Z767,PLANNING_FC!$T$27:$AH$46,MATCH($W767,PLANNING_FC!$B$27:$B$46,0),FALSE),0),0)</f>
        <v>0</v>
      </c>
      <c r="AY767" s="58">
        <f>IFERROR(IF($V767="BRAND.com",HLOOKUP($X767&amp;$Z767,PLANNING_FC!$T$4:$AH$23,MATCH($W767,PLANNING_FC!$B$4:$B$23,0),FALSE),0),0)</f>
        <v>0</v>
      </c>
      <c r="AZ767" s="58">
        <f>IFERROR(IF($V767="BRAND.com",HLOOKUP($X767&amp;$Z767,PLANNING_FC!$DA$27:$DO$46,MATCH($W767,PLANNING_FC!$CZ$27:$CZ$46,0),FALSE),0),0)</f>
        <v>0</v>
      </c>
      <c r="BA767" s="58">
        <f>IFERROR(IF($V767="BRAND.com",HLOOKUP($X767&amp;$Z767,PLANNING_FC!$DA$4:$DO$23,MATCH($W767,PLANNING_FC!$CZ$4:$CZ$23,0),FALSE),0),0)</f>
        <v>0</v>
      </c>
      <c r="BB767" s="883" t="str">
        <f>IF(V767="BRAND.com",IFERROR(HLOOKUP(X767&amp;Z767,PLANNING_FC!$AK$4:$AY$23,MATCH(W767,PLANNING_FC!$AJ$4:$AJ$23,0),FALSE)*1000,""),"")</f>
        <v/>
      </c>
      <c r="BC767" s="883" t="str">
        <f>IF(V767="BRAND.com",IFERROR(HLOOKUP(X767&amp;Z767,PLANNING_FC!$AK$27:$AY$46,MATCH(W767,PLANNING_FC!$AJ$27:$AJ$46,0),FALSE)*1000,""),"")</f>
        <v/>
      </c>
    </row>
    <row r="768" spans="14:55" x14ac:dyDescent="0.25">
      <c r="N768" s="56">
        <f t="shared" si="284"/>
        <v>0</v>
      </c>
      <c r="O768" s="57">
        <f t="shared" si="285"/>
        <v>0</v>
      </c>
      <c r="P768" s="57">
        <f ca="1">IFERROR(IF(ISBLANK(H768),SUMIFS($AC:$AC,$V:$V,V768,$W:$W,W768,$X:$X,X768,$Y:$Y,Y768)*J768/(1-J768)*VLOOKUP(_xlfn.CONCAT(C768,D768,E768,TIME!$M$12,Z768),HIS_SALES!$B$2:$W$4859,20,FALSE),AC768*J768/(1-J768)),0)</f>
        <v>0</v>
      </c>
      <c r="Q768" s="541" t="str">
        <f t="shared" si="286"/>
        <v/>
      </c>
      <c r="R768" s="346" t="str">
        <f t="shared" si="287"/>
        <v>00000</v>
      </c>
      <c r="S768" s="344">
        <f t="shared" si="288"/>
        <v>0</v>
      </c>
      <c r="T768" s="345" t="str">
        <f t="shared" si="301"/>
        <v>000</v>
      </c>
      <c r="U768" s="345">
        <f t="shared" si="289"/>
        <v>0</v>
      </c>
      <c r="V768" s="345">
        <f t="shared" si="290"/>
        <v>0</v>
      </c>
      <c r="W768" s="345">
        <f t="shared" si="291"/>
        <v>0</v>
      </c>
      <c r="X768" s="345">
        <f t="shared" si="292"/>
        <v>0</v>
      </c>
      <c r="Y768" s="345">
        <f t="shared" si="293"/>
        <v>0</v>
      </c>
      <c r="Z768" s="345">
        <f>IF(Q768&lt;&gt;"",VLOOKUP(Y768,TIME!$R$21:$V$24,MATCH(FC_DATA!Q768,TIME!$R$20:$V$20,0),FALSE),H768)</f>
        <v>0</v>
      </c>
      <c r="AA768" s="345" t="str">
        <f>IFERROR(VLOOKUP(X768&amp;Z768,TIME!$A$12:$D$71,4,FALSE),"")</f>
        <v/>
      </c>
      <c r="AB768" s="592">
        <f t="shared" ca="1" si="294"/>
        <v>0</v>
      </c>
      <c r="AC768" s="593" t="e">
        <f ca="1">IF(ISBLANK(H768)=FALSE,IF(D768="BRAND.com",I768,IF(ISNA(VLOOKUP(_xlfn.CONCAT(X768,Z768),TIME!$M$40:$M$42,1,FALSE)),I768,VLOOKUP(_xlfn.CONCAT(D768,G768,H768),M_BUSAREA_FC!$AF$5:$AJ$10,5,FALSE)*HLOOKUP(_xlfn.CONCAT(F768,H768),ST_OVERVIEW!$G$99:$I$130,MATCH(_xlfn.CONCAT(D768,E768),ST_OVERVIEW!$F$99:$F$130,0),FALSE))),IF(D768="BRAND.com",VLOOKUP(_xlfn.CONCAT(C768,D768,E768,TIME!$F$1,Z768),HIS_SALES!$B$2:$V$4859,19,FALSE)*I768,VLOOKUP(_xlfn.CONCAT(D768,F768,G768),Q_BUSAREA_FC!$AE$5:$AI$12,5,FALSE)*HLOOKUP(_xlfn.CONCAT(FC_DATA!F768,FC_DATA!G768),LT_OVERVIEW!$I$99:$M$130,MATCH(_xlfn.CONCAT(D768,FC_DATA!E768),LT_OVERVIEW!$H$99:$H$130,0),FALSE)*IFERROR(VLOOKUP(_xlfn.CONCAT(C768,D768,E768,TIME!$F$1,Z768),HIS_SALES!$B$2:$V$4859,19,FALSE),0)))</f>
        <v>#N/A</v>
      </c>
      <c r="AD768" s="341">
        <f t="shared" ca="1" si="295"/>
        <v>0</v>
      </c>
      <c r="AE768" s="363" t="str">
        <f t="shared" si="296"/>
        <v/>
      </c>
      <c r="AF768" s="342" t="str">
        <f t="shared" si="297"/>
        <v/>
      </c>
      <c r="AG768" s="411" t="e">
        <f ca="1">VLOOKUP(_xlfn.CONCAT(U768,V768,W768,VLOOKUP(X768&amp;Y768,TIME!$L$27:$O$34,4,FALSE),Y768),HIS_SALES!$A$2:$R$5093,18,FALSE)</f>
        <v>#N/A</v>
      </c>
      <c r="AH768" s="412" t="e">
        <f ca="1">IFERROR(IF(AND(V768=V767,W768=W767),0.5*(AB768+AB767)*AG768,(VLOOKUP(_xlfn.CONCAT(U768,V768,W768,X768,VLOOKUP(Z768,TIME!$S$28:$T$39,2,FALSE)),FC_DATA!$R$2:$AB$5000,MATCH("GS_I_M",FC_DATA!$R$1:$AB$1,0),FALSE)+FC_DATA!AB768)*0.5*FC_DATA!AG768),NA())</f>
        <v>#N/A</v>
      </c>
      <c r="AI768" s="491" t="e">
        <f ca="1">IF(V768="PARTNER.com",AH768,IF(AND(V768=V767,W768=W767),(1-AVERAGE(AD767,AD768))*AH768,(1-AVERAGE(AD768,VLOOKUP(_xlfn.CONCAT(U768,V768,W768,X768,M_BRAND_FC!$F$6),FC_DATA!$R$2:$AD$5000,MATCH("DISCOUNT_%_M",FC_DATA!$R$1:$AD$1,0),FALSE)))*AH768))</f>
        <v>#N/A</v>
      </c>
      <c r="AJ768" s="412" t="str">
        <f t="shared" ca="1" si="298"/>
        <v/>
      </c>
      <c r="AK768" s="413" t="str">
        <f>IFERROR(AE768/(Q_BRAND_FC!$T$24+1),"")</f>
        <v/>
      </c>
      <c r="AL768" s="88" t="str">
        <f t="shared" ca="1" si="299"/>
        <v/>
      </c>
      <c r="AM768" s="414" t="str">
        <f t="shared" ca="1" si="300"/>
        <v/>
      </c>
      <c r="AN768" s="58">
        <f>IFERROR(IF($V768="BRAND.com",HLOOKUP($X768&amp;$Z768,NWC_FC_NOOS!$C$4:$Q$23,MATCH(W768,NWC_FC_NOOS!$B$4:$B$23,0),FALSE),0),0)</f>
        <v>0</v>
      </c>
      <c r="AO768" s="57">
        <f>IFERROR(IF($V768="BRAND.com",HLOOKUP($X768&amp;$Z768,NWC_FC_NOOS!$T$4:$AH$23,MATCH(W768,NWC_FC_NOOS!$S$4:$S$23,0),FALSE),0),0)</f>
        <v>0</v>
      </c>
      <c r="AP768" s="57">
        <f>IFERROR(IF($V768="BRAND.com",HLOOKUP($X768&amp;$Z768,NWC_FC_NOOS!$C$50:$U$69,MATCH(W768,NWC_FC_NOOS!$B$50:$B$69,0),FALSE),0),0)</f>
        <v>0</v>
      </c>
      <c r="AQ768" s="58">
        <f>IFERROR(IF($V768="BRAND.com",HLOOKUP($X768&amp;$Z768,'NWC_FC_NON-NOOS'!$C$4:$Q$23,MATCH(W768,'NWC_FC_NON-NOOS'!$B$4:$B$23,0),FALSE),0),0)</f>
        <v>0</v>
      </c>
      <c r="AR768" s="57">
        <f>IFERROR(IF($V768="BRAND.com",HLOOKUP($X768&amp;$Z768,'NWC_FC_NON-NOOS'!$T$4:$AH$23,MATCH(W768,'NWC_FC_NON-NOOS'!$S$4:$S$23,0),FALSE),0),0)</f>
        <v>0</v>
      </c>
      <c r="AS768" s="57">
        <f>IFERROR(IF($V768="BRAND.com",HLOOKUP($X768&amp;$Z768,'NWC_FC_NON-NOOS'!$C$50:$U$69,MATCH(W768,'NWC_FC_NON-NOOS'!$B$50:$B$69,0),FALSE),0),0)</f>
        <v>0</v>
      </c>
      <c r="AT768" s="57">
        <f t="shared" si="302"/>
        <v>0</v>
      </c>
      <c r="AU768" s="57">
        <f t="shared" si="303"/>
        <v>0</v>
      </c>
      <c r="AV768" s="58">
        <f>IFERROR(IF($V768="BRAND.com",HLOOKUP($X768&amp;$Z768,PLANNING_FC!$BB$27:$BP$46,MATCH($W768,PLANNING_FC!$BA$27:$BA$46,0),FALSE),0),0)</f>
        <v>0</v>
      </c>
      <c r="AW768" s="58">
        <f>IFERROR(IF($V768="BRAND.com",HLOOKUP($X768&amp;$Z768,PLANNING_FC!$BB$4:$BP$23,MATCH($W768,PLANNING_FC!$BA$4:$BA$23,0),FALSE),0),0)</f>
        <v>0</v>
      </c>
      <c r="AX768" s="58">
        <f>IFERROR(IF($V768="BRAND.com",HLOOKUP($X768&amp;$Z768,PLANNING_FC!$T$27:$AH$46,MATCH($W768,PLANNING_FC!$B$27:$B$46,0),FALSE),0),0)</f>
        <v>0</v>
      </c>
      <c r="AY768" s="58">
        <f>IFERROR(IF($V768="BRAND.com",HLOOKUP($X768&amp;$Z768,PLANNING_FC!$T$4:$AH$23,MATCH($W768,PLANNING_FC!$B$4:$B$23,0),FALSE),0),0)</f>
        <v>0</v>
      </c>
      <c r="AZ768" s="58">
        <f>IFERROR(IF($V768="BRAND.com",HLOOKUP($X768&amp;$Z768,PLANNING_FC!$DA$27:$DO$46,MATCH($W768,PLANNING_FC!$CZ$27:$CZ$46,0),FALSE),0),0)</f>
        <v>0</v>
      </c>
      <c r="BA768" s="58">
        <f>IFERROR(IF($V768="BRAND.com",HLOOKUP($X768&amp;$Z768,PLANNING_FC!$DA$4:$DO$23,MATCH($W768,PLANNING_FC!$CZ$4:$CZ$23,0),FALSE),0),0)</f>
        <v>0</v>
      </c>
      <c r="BB768" s="883" t="str">
        <f>IF(V768="BRAND.com",IFERROR(HLOOKUP(X768&amp;Z768,PLANNING_FC!$AK$4:$AY$23,MATCH(W768,PLANNING_FC!$AJ$4:$AJ$23,0),FALSE)*1000,""),"")</f>
        <v/>
      </c>
      <c r="BC768" s="883" t="str">
        <f>IF(V768="BRAND.com",IFERROR(HLOOKUP(X768&amp;Z768,PLANNING_FC!$AK$27:$AY$46,MATCH(W768,PLANNING_FC!$AJ$27:$AJ$46,0),FALSE)*1000,""),"")</f>
        <v/>
      </c>
    </row>
    <row r="769" spans="14:55" x14ac:dyDescent="0.25">
      <c r="N769" s="56">
        <f t="shared" si="284"/>
        <v>0</v>
      </c>
      <c r="O769" s="57">
        <f t="shared" si="285"/>
        <v>0</v>
      </c>
      <c r="P769" s="57">
        <f ca="1">IFERROR(IF(ISBLANK(H769),SUMIFS($AC:$AC,$V:$V,V769,$W:$W,W769,$X:$X,X769,$Y:$Y,Y769)*J769/(1-J769)*VLOOKUP(_xlfn.CONCAT(C769,D769,E769,TIME!$M$12,Z769),HIS_SALES!$B$2:$W$4859,20,FALSE),AC769*J769/(1-J769)),0)</f>
        <v>0</v>
      </c>
      <c r="Q769" s="541" t="str">
        <f t="shared" si="286"/>
        <v/>
      </c>
      <c r="R769" s="346" t="str">
        <f t="shared" si="287"/>
        <v>00000</v>
      </c>
      <c r="S769" s="344">
        <f t="shared" si="288"/>
        <v>0</v>
      </c>
      <c r="T769" s="345" t="str">
        <f t="shared" si="301"/>
        <v>000</v>
      </c>
      <c r="U769" s="345">
        <f t="shared" si="289"/>
        <v>0</v>
      </c>
      <c r="V769" s="345">
        <f t="shared" si="290"/>
        <v>0</v>
      </c>
      <c r="W769" s="345">
        <f t="shared" si="291"/>
        <v>0</v>
      </c>
      <c r="X769" s="345">
        <f t="shared" si="292"/>
        <v>0</v>
      </c>
      <c r="Y769" s="345">
        <f t="shared" si="293"/>
        <v>0</v>
      </c>
      <c r="Z769" s="345">
        <f>IF(Q769&lt;&gt;"",VLOOKUP(Y769,TIME!$R$21:$V$24,MATCH(FC_DATA!Q769,TIME!$R$20:$V$20,0),FALSE),H769)</f>
        <v>0</v>
      </c>
      <c r="AA769" s="345" t="str">
        <f>IFERROR(VLOOKUP(X769&amp;Z769,TIME!$A$12:$D$71,4,FALSE),"")</f>
        <v/>
      </c>
      <c r="AB769" s="592">
        <f t="shared" ca="1" si="294"/>
        <v>0</v>
      </c>
      <c r="AC769" s="593" t="e">
        <f ca="1">IF(ISBLANK(H769)=FALSE,IF(D769="BRAND.com",I769,IF(ISNA(VLOOKUP(_xlfn.CONCAT(X769,Z769),TIME!$M$40:$M$42,1,FALSE)),I769,VLOOKUP(_xlfn.CONCAT(D769,G769,H769),M_BUSAREA_FC!$AF$5:$AJ$10,5,FALSE)*HLOOKUP(_xlfn.CONCAT(F769,H769),ST_OVERVIEW!$G$99:$I$130,MATCH(_xlfn.CONCAT(D769,E769),ST_OVERVIEW!$F$99:$F$130,0),FALSE))),IF(D769="BRAND.com",VLOOKUP(_xlfn.CONCAT(C769,D769,E769,TIME!$F$1,Z769),HIS_SALES!$B$2:$V$4859,19,FALSE)*I769,VLOOKUP(_xlfn.CONCAT(D769,F769,G769),Q_BUSAREA_FC!$AE$5:$AI$12,5,FALSE)*HLOOKUP(_xlfn.CONCAT(FC_DATA!F769,FC_DATA!G769),LT_OVERVIEW!$I$99:$M$130,MATCH(_xlfn.CONCAT(D769,FC_DATA!E769),LT_OVERVIEW!$H$99:$H$130,0),FALSE)*IFERROR(VLOOKUP(_xlfn.CONCAT(C769,D769,E769,TIME!$F$1,Z769),HIS_SALES!$B$2:$V$4859,19,FALSE),0)))</f>
        <v>#N/A</v>
      </c>
      <c r="AD769" s="341">
        <f t="shared" ca="1" si="295"/>
        <v>0</v>
      </c>
      <c r="AE769" s="363" t="str">
        <f t="shared" si="296"/>
        <v/>
      </c>
      <c r="AF769" s="342" t="str">
        <f t="shared" si="297"/>
        <v/>
      </c>
      <c r="AG769" s="411" t="e">
        <f ca="1">VLOOKUP(_xlfn.CONCAT(U769,V769,W769,VLOOKUP(X769&amp;Y769,TIME!$L$27:$O$34,4,FALSE),Y769),HIS_SALES!$A$2:$R$5093,18,FALSE)</f>
        <v>#N/A</v>
      </c>
      <c r="AH769" s="412" t="e">
        <f ca="1">IFERROR(IF(AND(V769=V768,W769=W768),0.5*(AB769+AB768)*AG769,(VLOOKUP(_xlfn.CONCAT(U769,V769,W769,X769,VLOOKUP(Z769,TIME!$S$28:$T$39,2,FALSE)),FC_DATA!$R$2:$AB$5000,MATCH("GS_I_M",FC_DATA!$R$1:$AB$1,0),FALSE)+FC_DATA!AB769)*0.5*FC_DATA!AG769),NA())</f>
        <v>#N/A</v>
      </c>
      <c r="AI769" s="491" t="e">
        <f ca="1">IF(V769="PARTNER.com",AH769,IF(AND(V769=V768,W769=W768),(1-AVERAGE(AD768,AD769))*AH769,(1-AVERAGE(AD769,VLOOKUP(_xlfn.CONCAT(U769,V769,W769,X769,M_BRAND_FC!$F$6),FC_DATA!$R$2:$AD$5000,MATCH("DISCOUNT_%_M",FC_DATA!$R$1:$AD$1,0),FALSE)))*AH769))</f>
        <v>#N/A</v>
      </c>
      <c r="AJ769" s="412" t="str">
        <f t="shared" ca="1" si="298"/>
        <v/>
      </c>
      <c r="AK769" s="413" t="str">
        <f>IFERROR(AE769/(Q_BRAND_FC!$T$24+1),"")</f>
        <v/>
      </c>
      <c r="AL769" s="88" t="str">
        <f t="shared" ca="1" si="299"/>
        <v/>
      </c>
      <c r="AM769" s="414" t="str">
        <f t="shared" ca="1" si="300"/>
        <v/>
      </c>
      <c r="AN769" s="58">
        <f>IFERROR(IF($V769="BRAND.com",HLOOKUP($X769&amp;$Z769,NWC_FC_NOOS!$C$4:$Q$23,MATCH(W769,NWC_FC_NOOS!$B$4:$B$23,0),FALSE),0),0)</f>
        <v>0</v>
      </c>
      <c r="AO769" s="57">
        <f>IFERROR(IF($V769="BRAND.com",HLOOKUP($X769&amp;$Z769,NWC_FC_NOOS!$T$4:$AH$23,MATCH(W769,NWC_FC_NOOS!$S$4:$S$23,0),FALSE),0),0)</f>
        <v>0</v>
      </c>
      <c r="AP769" s="57">
        <f>IFERROR(IF($V769="BRAND.com",HLOOKUP($X769&amp;$Z769,NWC_FC_NOOS!$C$50:$U$69,MATCH(W769,NWC_FC_NOOS!$B$50:$B$69,0),FALSE),0),0)</f>
        <v>0</v>
      </c>
      <c r="AQ769" s="58">
        <f>IFERROR(IF($V769="BRAND.com",HLOOKUP($X769&amp;$Z769,'NWC_FC_NON-NOOS'!$C$4:$Q$23,MATCH(W769,'NWC_FC_NON-NOOS'!$B$4:$B$23,0),FALSE),0),0)</f>
        <v>0</v>
      </c>
      <c r="AR769" s="57">
        <f>IFERROR(IF($V769="BRAND.com",HLOOKUP($X769&amp;$Z769,'NWC_FC_NON-NOOS'!$T$4:$AH$23,MATCH(W769,'NWC_FC_NON-NOOS'!$S$4:$S$23,0),FALSE),0),0)</f>
        <v>0</v>
      </c>
      <c r="AS769" s="57">
        <f>IFERROR(IF($V769="BRAND.com",HLOOKUP($X769&amp;$Z769,'NWC_FC_NON-NOOS'!$C$50:$U$69,MATCH(W769,'NWC_FC_NON-NOOS'!$B$50:$B$69,0),FALSE),0),0)</f>
        <v>0</v>
      </c>
      <c r="AT769" s="57">
        <f t="shared" si="302"/>
        <v>0</v>
      </c>
      <c r="AU769" s="57">
        <f t="shared" si="303"/>
        <v>0</v>
      </c>
      <c r="AV769" s="58">
        <f>IFERROR(IF($V769="BRAND.com",HLOOKUP($X769&amp;$Z769,PLANNING_FC!$BB$27:$BP$46,MATCH($W769,PLANNING_FC!$BA$27:$BA$46,0),FALSE),0),0)</f>
        <v>0</v>
      </c>
      <c r="AW769" s="58">
        <f>IFERROR(IF($V769="BRAND.com",HLOOKUP($X769&amp;$Z769,PLANNING_FC!$BB$4:$BP$23,MATCH($W769,PLANNING_FC!$BA$4:$BA$23,0),FALSE),0),0)</f>
        <v>0</v>
      </c>
      <c r="AX769" s="58">
        <f>IFERROR(IF($V769="BRAND.com",HLOOKUP($X769&amp;$Z769,PLANNING_FC!$T$27:$AH$46,MATCH($W769,PLANNING_FC!$B$27:$B$46,0),FALSE),0),0)</f>
        <v>0</v>
      </c>
      <c r="AY769" s="58">
        <f>IFERROR(IF($V769="BRAND.com",HLOOKUP($X769&amp;$Z769,PLANNING_FC!$T$4:$AH$23,MATCH($W769,PLANNING_FC!$B$4:$B$23,0),FALSE),0),0)</f>
        <v>0</v>
      </c>
      <c r="AZ769" s="58">
        <f>IFERROR(IF($V769="BRAND.com",HLOOKUP($X769&amp;$Z769,PLANNING_FC!$DA$27:$DO$46,MATCH($W769,PLANNING_FC!$CZ$27:$CZ$46,0),FALSE),0),0)</f>
        <v>0</v>
      </c>
      <c r="BA769" s="58">
        <f>IFERROR(IF($V769="BRAND.com",HLOOKUP($X769&amp;$Z769,PLANNING_FC!$DA$4:$DO$23,MATCH($W769,PLANNING_FC!$CZ$4:$CZ$23,0),FALSE),0),0)</f>
        <v>0</v>
      </c>
      <c r="BB769" s="883" t="str">
        <f>IF(V769="BRAND.com",IFERROR(HLOOKUP(X769&amp;Z769,PLANNING_FC!$AK$4:$AY$23,MATCH(W769,PLANNING_FC!$AJ$4:$AJ$23,0),FALSE)*1000,""),"")</f>
        <v/>
      </c>
      <c r="BC769" s="883" t="str">
        <f>IF(V769="BRAND.com",IFERROR(HLOOKUP(X769&amp;Z769,PLANNING_FC!$AK$27:$AY$46,MATCH(W769,PLANNING_FC!$AJ$27:$AJ$46,0),FALSE)*1000,""),"")</f>
        <v/>
      </c>
    </row>
    <row r="770" spans="14:55" x14ac:dyDescent="0.25">
      <c r="N770" s="56">
        <f t="shared" ref="N770:N833" si="304">IFERROR(I770/(1-J770)*J770,0)</f>
        <v>0</v>
      </c>
      <c r="O770" s="57">
        <f t="shared" ref="O770:O833" si="305">IFERROR(I770+N770,0)</f>
        <v>0</v>
      </c>
      <c r="P770" s="57">
        <f ca="1">IFERROR(IF(ISBLANK(H770),SUMIFS($AC:$AC,$V:$V,V770,$W:$W,W770,$X:$X,X770,$Y:$Y,Y770)*J770/(1-J770)*VLOOKUP(_xlfn.CONCAT(C770,D770,E770,TIME!$M$12,Z770),HIS_SALES!$B$2:$W$4859,20,FALSE),AC770*J770/(1-J770)),0)</f>
        <v>0</v>
      </c>
      <c r="Q770" s="541" t="str">
        <f t="shared" ref="Q770:Q833" si="306">IF(AND(A770&lt;&gt;"",H770=""),IF(A770=A769,Q769+1,1),"")</f>
        <v/>
      </c>
      <c r="R770" s="346" t="str">
        <f t="shared" ref="R770:R833" si="307">U770&amp;V770&amp;W770&amp;X770&amp;Z770</f>
        <v>00000</v>
      </c>
      <c r="S770" s="344">
        <f t="shared" ref="S770:S833" si="308">B770</f>
        <v>0</v>
      </c>
      <c r="T770" s="345" t="str">
        <f t="shared" si="301"/>
        <v>000</v>
      </c>
      <c r="U770" s="345">
        <f t="shared" ref="U770:U833" si="309">C770</f>
        <v>0</v>
      </c>
      <c r="V770" s="345">
        <f t="shared" ref="V770:V833" si="310">D770</f>
        <v>0</v>
      </c>
      <c r="W770" s="345">
        <f t="shared" ref="W770:W833" si="311">E770</f>
        <v>0</v>
      </c>
      <c r="X770" s="345">
        <f t="shared" ref="X770:X833" si="312">F770</f>
        <v>0</v>
      </c>
      <c r="Y770" s="345">
        <f t="shared" ref="Y770:Y833" si="313">G770</f>
        <v>0</v>
      </c>
      <c r="Z770" s="345">
        <f>IF(Q770&lt;&gt;"",VLOOKUP(Y770,TIME!$R$21:$V$24,MATCH(FC_DATA!Q770,TIME!$R$20:$V$20,0),FALSE),H770)</f>
        <v>0</v>
      </c>
      <c r="AA770" s="345" t="str">
        <f>IFERROR(VLOOKUP(X770&amp;Z770,TIME!$A$12:$D$71,4,FALSE),"")</f>
        <v/>
      </c>
      <c r="AB770" s="592">
        <f t="shared" ref="AB770:AB833" ca="1" si="314">IFERROR(AC770+P770,0)</f>
        <v>0</v>
      </c>
      <c r="AC770" s="593" t="e">
        <f ca="1">IF(ISBLANK(H770)=FALSE,IF(D770="BRAND.com",I770,IF(ISNA(VLOOKUP(_xlfn.CONCAT(X770,Z770),TIME!$M$40:$M$42,1,FALSE)),I770,VLOOKUP(_xlfn.CONCAT(D770,G770,H770),M_BUSAREA_FC!$AF$5:$AJ$10,5,FALSE)*HLOOKUP(_xlfn.CONCAT(F770,H770),ST_OVERVIEW!$G$99:$I$130,MATCH(_xlfn.CONCAT(D770,E770),ST_OVERVIEW!$F$99:$F$130,0),FALSE))),IF(D770="BRAND.com",VLOOKUP(_xlfn.CONCAT(C770,D770,E770,TIME!$F$1,Z770),HIS_SALES!$B$2:$V$4859,19,FALSE)*I770,VLOOKUP(_xlfn.CONCAT(D770,F770,G770),Q_BUSAREA_FC!$AE$5:$AI$12,5,FALSE)*HLOOKUP(_xlfn.CONCAT(FC_DATA!F770,FC_DATA!G770),LT_OVERVIEW!$I$99:$M$130,MATCH(_xlfn.CONCAT(D770,FC_DATA!E770),LT_OVERVIEW!$H$99:$H$130,0),FALSE)*IFERROR(VLOOKUP(_xlfn.CONCAT(C770,D770,E770,TIME!$F$1,Z770),HIS_SALES!$B$2:$V$4859,19,FALSE),0)))</f>
        <v>#N/A</v>
      </c>
      <c r="AD770" s="341">
        <f t="shared" ref="AD770:AD833" ca="1" si="315">IFERROR(IF(D770="PARTNER.com",0,1-AC770/AB770),0)</f>
        <v>0</v>
      </c>
      <c r="AE770" s="363" t="str">
        <f t="shared" ref="AE770:AE833" si="316">IF(A770&lt;&gt;"",K770,"")</f>
        <v/>
      </c>
      <c r="AF770" s="342" t="str">
        <f t="shared" ref="AF770:AF833" si="317">IF(B770&lt;&gt;"",M770,"")</f>
        <v/>
      </c>
      <c r="AG770" s="411" t="e">
        <f ca="1">VLOOKUP(_xlfn.CONCAT(U770,V770,W770,VLOOKUP(X770&amp;Y770,TIME!$L$27:$O$34,4,FALSE),Y770),HIS_SALES!$A$2:$R$5093,18,FALSE)</f>
        <v>#N/A</v>
      </c>
      <c r="AH770" s="412" t="e">
        <f ca="1">IFERROR(IF(AND(V770=V769,W770=W769),0.5*(AB770+AB769)*AG770,(VLOOKUP(_xlfn.CONCAT(U770,V770,W770,X770,VLOOKUP(Z770,TIME!$S$28:$T$39,2,FALSE)),FC_DATA!$R$2:$AB$5000,MATCH("GS_I_M",FC_DATA!$R$1:$AB$1,0),FALSE)+FC_DATA!AB770)*0.5*FC_DATA!AG770),NA())</f>
        <v>#N/A</v>
      </c>
      <c r="AI770" s="491" t="e">
        <f ca="1">IF(V770="PARTNER.com",AH770,IF(AND(V770=V769,W770=W769),(1-AVERAGE(AD769,AD770))*AH770,(1-AVERAGE(AD770,VLOOKUP(_xlfn.CONCAT(U770,V770,W770,X770,M_BRAND_FC!$F$6),FC_DATA!$R$2:$AD$5000,MATCH("DISCOUNT_%_M",FC_DATA!$R$1:$AD$1,0),FALSE)))*AH770))</f>
        <v>#N/A</v>
      </c>
      <c r="AJ770" s="412" t="str">
        <f t="shared" ref="AJ770:AJ833" ca="1" si="318">IFERROR(AC770-AI770,"")</f>
        <v/>
      </c>
      <c r="AK770" s="413" t="str">
        <f>IFERROR(AE770/(Q_BRAND_FC!$T$24+1),"")</f>
        <v/>
      </c>
      <c r="AL770" s="88" t="str">
        <f t="shared" ref="AL770:AL833" ca="1" si="319">IFERROR((AB770-AH770)/AK770*AF770,"")</f>
        <v/>
      </c>
      <c r="AM770" s="414" t="str">
        <f t="shared" ref="AM770:AM833" ca="1" si="320">IFERROR((AB770-AH770)/AK770*(1-AF770),"")</f>
        <v/>
      </c>
      <c r="AN770" s="58">
        <f>IFERROR(IF($V770="BRAND.com",HLOOKUP($X770&amp;$Z770,NWC_FC_NOOS!$C$4:$Q$23,MATCH(W770,NWC_FC_NOOS!$B$4:$B$23,0),FALSE),0),0)</f>
        <v>0</v>
      </c>
      <c r="AO770" s="57">
        <f>IFERROR(IF($V770="BRAND.com",HLOOKUP($X770&amp;$Z770,NWC_FC_NOOS!$T$4:$AH$23,MATCH(W770,NWC_FC_NOOS!$S$4:$S$23,0),FALSE),0),0)</f>
        <v>0</v>
      </c>
      <c r="AP770" s="57">
        <f>IFERROR(IF($V770="BRAND.com",HLOOKUP($X770&amp;$Z770,NWC_FC_NOOS!$C$50:$U$69,MATCH(W770,NWC_FC_NOOS!$B$50:$B$69,0),FALSE),0),0)</f>
        <v>0</v>
      </c>
      <c r="AQ770" s="58">
        <f>IFERROR(IF($V770="BRAND.com",HLOOKUP($X770&amp;$Z770,'NWC_FC_NON-NOOS'!$C$4:$Q$23,MATCH(W770,'NWC_FC_NON-NOOS'!$B$4:$B$23,0),FALSE),0),0)</f>
        <v>0</v>
      </c>
      <c r="AR770" s="57">
        <f>IFERROR(IF($V770="BRAND.com",HLOOKUP($X770&amp;$Z770,'NWC_FC_NON-NOOS'!$T$4:$AH$23,MATCH(W770,'NWC_FC_NON-NOOS'!$S$4:$S$23,0),FALSE),0),0)</f>
        <v>0</v>
      </c>
      <c r="AS770" s="57">
        <f>IFERROR(IF($V770="BRAND.com",HLOOKUP($X770&amp;$Z770,'NWC_FC_NON-NOOS'!$C$50:$U$69,MATCH(W770,'NWC_FC_NON-NOOS'!$B$50:$B$69,0),FALSE),0),0)</f>
        <v>0</v>
      </c>
      <c r="AT770" s="57">
        <f t="shared" si="302"/>
        <v>0</v>
      </c>
      <c r="AU770" s="57">
        <f t="shared" si="303"/>
        <v>0</v>
      </c>
      <c r="AV770" s="58">
        <f>IFERROR(IF($V770="BRAND.com",HLOOKUP($X770&amp;$Z770,PLANNING_FC!$BB$27:$BP$46,MATCH($W770,PLANNING_FC!$BA$27:$BA$46,0),FALSE),0),0)</f>
        <v>0</v>
      </c>
      <c r="AW770" s="58">
        <f>IFERROR(IF($V770="BRAND.com",HLOOKUP($X770&amp;$Z770,PLANNING_FC!$BB$4:$BP$23,MATCH($W770,PLANNING_FC!$BA$4:$BA$23,0),FALSE),0),0)</f>
        <v>0</v>
      </c>
      <c r="AX770" s="58">
        <f>IFERROR(IF($V770="BRAND.com",HLOOKUP($X770&amp;$Z770,PLANNING_FC!$T$27:$AH$46,MATCH($W770,PLANNING_FC!$B$27:$B$46,0),FALSE),0),0)</f>
        <v>0</v>
      </c>
      <c r="AY770" s="58">
        <f>IFERROR(IF($V770="BRAND.com",HLOOKUP($X770&amp;$Z770,PLANNING_FC!$T$4:$AH$23,MATCH($W770,PLANNING_FC!$B$4:$B$23,0),FALSE),0),0)</f>
        <v>0</v>
      </c>
      <c r="AZ770" s="58">
        <f>IFERROR(IF($V770="BRAND.com",HLOOKUP($X770&amp;$Z770,PLANNING_FC!$DA$27:$DO$46,MATCH($W770,PLANNING_FC!$CZ$27:$CZ$46,0),FALSE),0),0)</f>
        <v>0</v>
      </c>
      <c r="BA770" s="58">
        <f>IFERROR(IF($V770="BRAND.com",HLOOKUP($X770&amp;$Z770,PLANNING_FC!$DA$4:$DO$23,MATCH($W770,PLANNING_FC!$CZ$4:$CZ$23,0),FALSE),0),0)</f>
        <v>0</v>
      </c>
      <c r="BB770" s="883" t="str">
        <f>IF(V770="BRAND.com",IFERROR(HLOOKUP(X770&amp;Z770,PLANNING_FC!$AK$4:$AY$23,MATCH(W770,PLANNING_FC!$AJ$4:$AJ$23,0),FALSE)*1000,""),"")</f>
        <v/>
      </c>
      <c r="BC770" s="883" t="str">
        <f>IF(V770="BRAND.com",IFERROR(HLOOKUP(X770&amp;Z770,PLANNING_FC!$AK$27:$AY$46,MATCH(W770,PLANNING_FC!$AJ$27:$AJ$46,0),FALSE)*1000,""),"")</f>
        <v/>
      </c>
    </row>
    <row r="771" spans="14:55" x14ac:dyDescent="0.25">
      <c r="N771" s="56">
        <f t="shared" si="304"/>
        <v>0</v>
      </c>
      <c r="O771" s="57">
        <f t="shared" si="305"/>
        <v>0</v>
      </c>
      <c r="P771" s="57">
        <f ca="1">IFERROR(IF(ISBLANK(H771),SUMIFS($AC:$AC,$V:$V,V771,$W:$W,W771,$X:$X,X771,$Y:$Y,Y771)*J771/(1-J771)*VLOOKUP(_xlfn.CONCAT(C771,D771,E771,TIME!$M$12,Z771),HIS_SALES!$B$2:$W$4859,20,FALSE),AC771*J771/(1-J771)),0)</f>
        <v>0</v>
      </c>
      <c r="Q771" s="541" t="str">
        <f t="shared" si="306"/>
        <v/>
      </c>
      <c r="R771" s="346" t="str">
        <f t="shared" si="307"/>
        <v>00000</v>
      </c>
      <c r="S771" s="344">
        <f t="shared" si="308"/>
        <v>0</v>
      </c>
      <c r="T771" s="345" t="str">
        <f t="shared" ref="T771:T834" si="321">U771&amp;V771&amp;W771&amp;AA771</f>
        <v>000</v>
      </c>
      <c r="U771" s="345">
        <f t="shared" si="309"/>
        <v>0</v>
      </c>
      <c r="V771" s="345">
        <f t="shared" si="310"/>
        <v>0</v>
      </c>
      <c r="W771" s="345">
        <f t="shared" si="311"/>
        <v>0</v>
      </c>
      <c r="X771" s="345">
        <f t="shared" si="312"/>
        <v>0</v>
      </c>
      <c r="Y771" s="345">
        <f t="shared" si="313"/>
        <v>0</v>
      </c>
      <c r="Z771" s="345">
        <f>IF(Q771&lt;&gt;"",VLOOKUP(Y771,TIME!$R$21:$V$24,MATCH(FC_DATA!Q771,TIME!$R$20:$V$20,0),FALSE),H771)</f>
        <v>0</v>
      </c>
      <c r="AA771" s="345" t="str">
        <f>IFERROR(VLOOKUP(X771&amp;Z771,TIME!$A$12:$D$71,4,FALSE),"")</f>
        <v/>
      </c>
      <c r="AB771" s="592">
        <f t="shared" ca="1" si="314"/>
        <v>0</v>
      </c>
      <c r="AC771" s="593" t="e">
        <f ca="1">IF(ISBLANK(H771)=FALSE,IF(D771="BRAND.com",I771,IF(ISNA(VLOOKUP(_xlfn.CONCAT(X771,Z771),TIME!$M$40:$M$42,1,FALSE)),I771,VLOOKUP(_xlfn.CONCAT(D771,G771,H771),M_BUSAREA_FC!$AF$5:$AJ$10,5,FALSE)*HLOOKUP(_xlfn.CONCAT(F771,H771),ST_OVERVIEW!$G$99:$I$130,MATCH(_xlfn.CONCAT(D771,E771),ST_OVERVIEW!$F$99:$F$130,0),FALSE))),IF(D771="BRAND.com",VLOOKUP(_xlfn.CONCAT(C771,D771,E771,TIME!$F$1,Z771),HIS_SALES!$B$2:$V$4859,19,FALSE)*I771,VLOOKUP(_xlfn.CONCAT(D771,F771,G771),Q_BUSAREA_FC!$AE$5:$AI$12,5,FALSE)*HLOOKUP(_xlfn.CONCAT(FC_DATA!F771,FC_DATA!G771),LT_OVERVIEW!$I$99:$M$130,MATCH(_xlfn.CONCAT(D771,FC_DATA!E771),LT_OVERVIEW!$H$99:$H$130,0),FALSE)*IFERROR(VLOOKUP(_xlfn.CONCAT(C771,D771,E771,TIME!$F$1,Z771),HIS_SALES!$B$2:$V$4859,19,FALSE),0)))</f>
        <v>#N/A</v>
      </c>
      <c r="AD771" s="341">
        <f t="shared" ca="1" si="315"/>
        <v>0</v>
      </c>
      <c r="AE771" s="363" t="str">
        <f t="shared" si="316"/>
        <v/>
      </c>
      <c r="AF771" s="342" t="str">
        <f t="shared" si="317"/>
        <v/>
      </c>
      <c r="AG771" s="411" t="e">
        <f ca="1">VLOOKUP(_xlfn.CONCAT(U771,V771,W771,VLOOKUP(X771&amp;Y771,TIME!$L$27:$O$34,4,FALSE),Y771),HIS_SALES!$A$2:$R$5093,18,FALSE)</f>
        <v>#N/A</v>
      </c>
      <c r="AH771" s="412" t="e">
        <f ca="1">IFERROR(IF(AND(V771=V770,W771=W770),0.5*(AB771+AB770)*AG771,(VLOOKUP(_xlfn.CONCAT(U771,V771,W771,X771,VLOOKUP(Z771,TIME!$S$28:$T$39,2,FALSE)),FC_DATA!$R$2:$AB$5000,MATCH("GS_I_M",FC_DATA!$R$1:$AB$1,0),FALSE)+FC_DATA!AB771)*0.5*FC_DATA!AG771),NA())</f>
        <v>#N/A</v>
      </c>
      <c r="AI771" s="491" t="e">
        <f ca="1">IF(V771="PARTNER.com",AH771,IF(AND(V771=V770,W771=W770),(1-AVERAGE(AD770,AD771))*AH771,(1-AVERAGE(AD771,VLOOKUP(_xlfn.CONCAT(U771,V771,W771,X771,M_BRAND_FC!$F$6),FC_DATA!$R$2:$AD$5000,MATCH("DISCOUNT_%_M",FC_DATA!$R$1:$AD$1,0),FALSE)))*AH771))</f>
        <v>#N/A</v>
      </c>
      <c r="AJ771" s="412" t="str">
        <f t="shared" ca="1" si="318"/>
        <v/>
      </c>
      <c r="AK771" s="413" t="str">
        <f>IFERROR(AE771/(Q_BRAND_FC!$T$24+1),"")</f>
        <v/>
      </c>
      <c r="AL771" s="88" t="str">
        <f t="shared" ca="1" si="319"/>
        <v/>
      </c>
      <c r="AM771" s="414" t="str">
        <f t="shared" ca="1" si="320"/>
        <v/>
      </c>
      <c r="AN771" s="58">
        <f>IFERROR(IF($V771="BRAND.com",HLOOKUP($X771&amp;$Z771,NWC_FC_NOOS!$C$4:$Q$23,MATCH(W771,NWC_FC_NOOS!$B$4:$B$23,0),FALSE),0),0)</f>
        <v>0</v>
      </c>
      <c r="AO771" s="57">
        <f>IFERROR(IF($V771="BRAND.com",HLOOKUP($X771&amp;$Z771,NWC_FC_NOOS!$T$4:$AH$23,MATCH(W771,NWC_FC_NOOS!$S$4:$S$23,0),FALSE),0),0)</f>
        <v>0</v>
      </c>
      <c r="AP771" s="57">
        <f>IFERROR(IF($V771="BRAND.com",HLOOKUP($X771&amp;$Z771,NWC_FC_NOOS!$C$50:$U$69,MATCH(W771,NWC_FC_NOOS!$B$50:$B$69,0),FALSE),0),0)</f>
        <v>0</v>
      </c>
      <c r="AQ771" s="58">
        <f>IFERROR(IF($V771="BRAND.com",HLOOKUP($X771&amp;$Z771,'NWC_FC_NON-NOOS'!$C$4:$Q$23,MATCH(W771,'NWC_FC_NON-NOOS'!$B$4:$B$23,0),FALSE),0),0)</f>
        <v>0</v>
      </c>
      <c r="AR771" s="57">
        <f>IFERROR(IF($V771="BRAND.com",HLOOKUP($X771&amp;$Z771,'NWC_FC_NON-NOOS'!$T$4:$AH$23,MATCH(W771,'NWC_FC_NON-NOOS'!$S$4:$S$23,0),FALSE),0),0)</f>
        <v>0</v>
      </c>
      <c r="AS771" s="57">
        <f>IFERROR(IF($V771="BRAND.com",HLOOKUP($X771&amp;$Z771,'NWC_FC_NON-NOOS'!$C$50:$U$69,MATCH(W771,'NWC_FC_NON-NOOS'!$B$50:$B$69,0),FALSE),0),0)</f>
        <v>0</v>
      </c>
      <c r="AT771" s="57">
        <f t="shared" ref="AT771:AT834" si="322">AO771+AR771</f>
        <v>0</v>
      </c>
      <c r="AU771" s="57">
        <f t="shared" ref="AU771:AU834" si="323">AP771+AS771</f>
        <v>0</v>
      </c>
      <c r="AV771" s="58">
        <f>IFERROR(IF($V771="BRAND.com",HLOOKUP($X771&amp;$Z771,PLANNING_FC!$BB$27:$BP$46,MATCH($W771,PLANNING_FC!$BA$27:$BA$46,0),FALSE),0),0)</f>
        <v>0</v>
      </c>
      <c r="AW771" s="58">
        <f>IFERROR(IF($V771="BRAND.com",HLOOKUP($X771&amp;$Z771,PLANNING_FC!$BB$4:$BP$23,MATCH($W771,PLANNING_FC!$BA$4:$BA$23,0),FALSE),0),0)</f>
        <v>0</v>
      </c>
      <c r="AX771" s="58">
        <f>IFERROR(IF($V771="BRAND.com",HLOOKUP($X771&amp;$Z771,PLANNING_FC!$T$27:$AH$46,MATCH($W771,PLANNING_FC!$B$27:$B$46,0),FALSE),0),0)</f>
        <v>0</v>
      </c>
      <c r="AY771" s="58">
        <f>IFERROR(IF($V771="BRAND.com",HLOOKUP($X771&amp;$Z771,PLANNING_FC!$T$4:$AH$23,MATCH($W771,PLANNING_FC!$B$4:$B$23,0),FALSE),0),0)</f>
        <v>0</v>
      </c>
      <c r="AZ771" s="58">
        <f>IFERROR(IF($V771="BRAND.com",HLOOKUP($X771&amp;$Z771,PLANNING_FC!$DA$27:$DO$46,MATCH($W771,PLANNING_FC!$CZ$27:$CZ$46,0),FALSE),0),0)</f>
        <v>0</v>
      </c>
      <c r="BA771" s="58">
        <f>IFERROR(IF($V771="BRAND.com",HLOOKUP($X771&amp;$Z771,PLANNING_FC!$DA$4:$DO$23,MATCH($W771,PLANNING_FC!$CZ$4:$CZ$23,0),FALSE),0),0)</f>
        <v>0</v>
      </c>
      <c r="BB771" s="883" t="str">
        <f>IF(V771="BRAND.com",IFERROR(HLOOKUP(X771&amp;Z771,PLANNING_FC!$AK$4:$AY$23,MATCH(W771,PLANNING_FC!$AJ$4:$AJ$23,0),FALSE)*1000,""),"")</f>
        <v/>
      </c>
      <c r="BC771" s="883" t="str">
        <f>IF(V771="BRAND.com",IFERROR(HLOOKUP(X771&amp;Z771,PLANNING_FC!$AK$27:$AY$46,MATCH(W771,PLANNING_FC!$AJ$27:$AJ$46,0),FALSE)*1000,""),"")</f>
        <v/>
      </c>
    </row>
    <row r="772" spans="14:55" x14ac:dyDescent="0.25">
      <c r="N772" s="56">
        <f t="shared" si="304"/>
        <v>0</v>
      </c>
      <c r="O772" s="57">
        <f t="shared" si="305"/>
        <v>0</v>
      </c>
      <c r="P772" s="57">
        <f ca="1">IFERROR(IF(ISBLANK(H772),SUMIFS($AC:$AC,$V:$V,V772,$W:$W,W772,$X:$X,X772,$Y:$Y,Y772)*J772/(1-J772)*VLOOKUP(_xlfn.CONCAT(C772,D772,E772,TIME!$M$12,Z772),HIS_SALES!$B$2:$W$4859,20,FALSE),AC772*J772/(1-J772)),0)</f>
        <v>0</v>
      </c>
      <c r="Q772" s="541" t="str">
        <f t="shared" si="306"/>
        <v/>
      </c>
      <c r="R772" s="346" t="str">
        <f t="shared" si="307"/>
        <v>00000</v>
      </c>
      <c r="S772" s="344">
        <f t="shared" si="308"/>
        <v>0</v>
      </c>
      <c r="T772" s="345" t="str">
        <f t="shared" si="321"/>
        <v>000</v>
      </c>
      <c r="U772" s="345">
        <f t="shared" si="309"/>
        <v>0</v>
      </c>
      <c r="V772" s="345">
        <f t="shared" si="310"/>
        <v>0</v>
      </c>
      <c r="W772" s="345">
        <f t="shared" si="311"/>
        <v>0</v>
      </c>
      <c r="X772" s="345">
        <f t="shared" si="312"/>
        <v>0</v>
      </c>
      <c r="Y772" s="345">
        <f t="shared" si="313"/>
        <v>0</v>
      </c>
      <c r="Z772" s="345">
        <f>IF(Q772&lt;&gt;"",VLOOKUP(Y772,TIME!$R$21:$V$24,MATCH(FC_DATA!Q772,TIME!$R$20:$V$20,0),FALSE),H772)</f>
        <v>0</v>
      </c>
      <c r="AA772" s="345" t="str">
        <f>IFERROR(VLOOKUP(X772&amp;Z772,TIME!$A$12:$D$71,4,FALSE),"")</f>
        <v/>
      </c>
      <c r="AB772" s="592">
        <f t="shared" ca="1" si="314"/>
        <v>0</v>
      </c>
      <c r="AC772" s="593" t="e">
        <f ca="1">IF(ISBLANK(H772)=FALSE,IF(D772="BRAND.com",I772,IF(ISNA(VLOOKUP(_xlfn.CONCAT(X772,Z772),TIME!$M$40:$M$42,1,FALSE)),I772,VLOOKUP(_xlfn.CONCAT(D772,G772,H772),M_BUSAREA_FC!$AF$5:$AJ$10,5,FALSE)*HLOOKUP(_xlfn.CONCAT(F772,H772),ST_OVERVIEW!$G$99:$I$130,MATCH(_xlfn.CONCAT(D772,E772),ST_OVERVIEW!$F$99:$F$130,0),FALSE))),IF(D772="BRAND.com",VLOOKUP(_xlfn.CONCAT(C772,D772,E772,TIME!$F$1,Z772),HIS_SALES!$B$2:$V$4859,19,FALSE)*I772,VLOOKUP(_xlfn.CONCAT(D772,F772,G772),Q_BUSAREA_FC!$AE$5:$AI$12,5,FALSE)*HLOOKUP(_xlfn.CONCAT(FC_DATA!F772,FC_DATA!G772),LT_OVERVIEW!$I$99:$M$130,MATCH(_xlfn.CONCAT(D772,FC_DATA!E772),LT_OVERVIEW!$H$99:$H$130,0),FALSE)*IFERROR(VLOOKUP(_xlfn.CONCAT(C772,D772,E772,TIME!$F$1,Z772),HIS_SALES!$B$2:$V$4859,19,FALSE),0)))</f>
        <v>#N/A</v>
      </c>
      <c r="AD772" s="341">
        <f t="shared" ca="1" si="315"/>
        <v>0</v>
      </c>
      <c r="AE772" s="363" t="str">
        <f t="shared" si="316"/>
        <v/>
      </c>
      <c r="AF772" s="342" t="str">
        <f t="shared" si="317"/>
        <v/>
      </c>
      <c r="AG772" s="411" t="e">
        <f ca="1">VLOOKUP(_xlfn.CONCAT(U772,V772,W772,VLOOKUP(X772&amp;Y772,TIME!$L$27:$O$34,4,FALSE),Y772),HIS_SALES!$A$2:$R$5093,18,FALSE)</f>
        <v>#N/A</v>
      </c>
      <c r="AH772" s="412" t="e">
        <f ca="1">IFERROR(IF(AND(V772=V771,W772=W771),0.5*(AB772+AB771)*AG772,(VLOOKUP(_xlfn.CONCAT(U772,V772,W772,X772,VLOOKUP(Z772,TIME!$S$28:$T$39,2,FALSE)),FC_DATA!$R$2:$AB$5000,MATCH("GS_I_M",FC_DATA!$R$1:$AB$1,0),FALSE)+FC_DATA!AB772)*0.5*FC_DATA!AG772),NA())</f>
        <v>#N/A</v>
      </c>
      <c r="AI772" s="491" t="e">
        <f ca="1">IF(V772="PARTNER.com",AH772,IF(AND(V772=V771,W772=W771),(1-AVERAGE(AD771,AD772))*AH772,(1-AVERAGE(AD772,VLOOKUP(_xlfn.CONCAT(U772,V772,W772,X772,M_BRAND_FC!$F$6),FC_DATA!$R$2:$AD$5000,MATCH("DISCOUNT_%_M",FC_DATA!$R$1:$AD$1,0),FALSE)))*AH772))</f>
        <v>#N/A</v>
      </c>
      <c r="AJ772" s="412" t="str">
        <f t="shared" ca="1" si="318"/>
        <v/>
      </c>
      <c r="AK772" s="413" t="str">
        <f>IFERROR(AE772/(Q_BRAND_FC!$T$24+1),"")</f>
        <v/>
      </c>
      <c r="AL772" s="88" t="str">
        <f t="shared" ca="1" si="319"/>
        <v/>
      </c>
      <c r="AM772" s="414" t="str">
        <f t="shared" ca="1" si="320"/>
        <v/>
      </c>
      <c r="AN772" s="58">
        <f>IFERROR(IF($V772="BRAND.com",HLOOKUP($X772&amp;$Z772,NWC_FC_NOOS!$C$4:$Q$23,MATCH(W772,NWC_FC_NOOS!$B$4:$B$23,0),FALSE),0),0)</f>
        <v>0</v>
      </c>
      <c r="AO772" s="57">
        <f>IFERROR(IF($V772="BRAND.com",HLOOKUP($X772&amp;$Z772,NWC_FC_NOOS!$T$4:$AH$23,MATCH(W772,NWC_FC_NOOS!$S$4:$S$23,0),FALSE),0),0)</f>
        <v>0</v>
      </c>
      <c r="AP772" s="57">
        <f>IFERROR(IF($V772="BRAND.com",HLOOKUP($X772&amp;$Z772,NWC_FC_NOOS!$C$50:$U$69,MATCH(W772,NWC_FC_NOOS!$B$50:$B$69,0),FALSE),0),0)</f>
        <v>0</v>
      </c>
      <c r="AQ772" s="58">
        <f>IFERROR(IF($V772="BRAND.com",HLOOKUP($X772&amp;$Z772,'NWC_FC_NON-NOOS'!$C$4:$Q$23,MATCH(W772,'NWC_FC_NON-NOOS'!$B$4:$B$23,0),FALSE),0),0)</f>
        <v>0</v>
      </c>
      <c r="AR772" s="57">
        <f>IFERROR(IF($V772="BRAND.com",HLOOKUP($X772&amp;$Z772,'NWC_FC_NON-NOOS'!$T$4:$AH$23,MATCH(W772,'NWC_FC_NON-NOOS'!$S$4:$S$23,0),FALSE),0),0)</f>
        <v>0</v>
      </c>
      <c r="AS772" s="57">
        <f>IFERROR(IF($V772="BRAND.com",HLOOKUP($X772&amp;$Z772,'NWC_FC_NON-NOOS'!$C$50:$U$69,MATCH(W772,'NWC_FC_NON-NOOS'!$B$50:$B$69,0),FALSE),0),0)</f>
        <v>0</v>
      </c>
      <c r="AT772" s="57">
        <f t="shared" si="322"/>
        <v>0</v>
      </c>
      <c r="AU772" s="57">
        <f t="shared" si="323"/>
        <v>0</v>
      </c>
      <c r="AV772" s="58">
        <f>IFERROR(IF($V772="BRAND.com",HLOOKUP($X772&amp;$Z772,PLANNING_FC!$BB$27:$BP$46,MATCH($W772,PLANNING_FC!$BA$27:$BA$46,0),FALSE),0),0)</f>
        <v>0</v>
      </c>
      <c r="AW772" s="58">
        <f>IFERROR(IF($V772="BRAND.com",HLOOKUP($X772&amp;$Z772,PLANNING_FC!$BB$4:$BP$23,MATCH($W772,PLANNING_FC!$BA$4:$BA$23,0),FALSE),0),0)</f>
        <v>0</v>
      </c>
      <c r="AX772" s="58">
        <f>IFERROR(IF($V772="BRAND.com",HLOOKUP($X772&amp;$Z772,PLANNING_FC!$T$27:$AH$46,MATCH($W772,PLANNING_FC!$B$27:$B$46,0),FALSE),0),0)</f>
        <v>0</v>
      </c>
      <c r="AY772" s="58">
        <f>IFERROR(IF($V772="BRAND.com",HLOOKUP($X772&amp;$Z772,PLANNING_FC!$T$4:$AH$23,MATCH($W772,PLANNING_FC!$B$4:$B$23,0),FALSE),0),0)</f>
        <v>0</v>
      </c>
      <c r="AZ772" s="58">
        <f>IFERROR(IF($V772="BRAND.com",HLOOKUP($X772&amp;$Z772,PLANNING_FC!$DA$27:$DO$46,MATCH($W772,PLANNING_FC!$CZ$27:$CZ$46,0),FALSE),0),0)</f>
        <v>0</v>
      </c>
      <c r="BA772" s="58">
        <f>IFERROR(IF($V772="BRAND.com",HLOOKUP($X772&amp;$Z772,PLANNING_FC!$DA$4:$DO$23,MATCH($W772,PLANNING_FC!$CZ$4:$CZ$23,0),FALSE),0),0)</f>
        <v>0</v>
      </c>
      <c r="BB772" s="883" t="str">
        <f>IF(V772="BRAND.com",IFERROR(HLOOKUP(X772&amp;Z772,PLANNING_FC!$AK$4:$AY$23,MATCH(W772,PLANNING_FC!$AJ$4:$AJ$23,0),FALSE)*1000,""),"")</f>
        <v/>
      </c>
      <c r="BC772" s="883" t="str">
        <f>IF(V772="BRAND.com",IFERROR(HLOOKUP(X772&amp;Z772,PLANNING_FC!$AK$27:$AY$46,MATCH(W772,PLANNING_FC!$AJ$27:$AJ$46,0),FALSE)*1000,""),"")</f>
        <v/>
      </c>
    </row>
    <row r="773" spans="14:55" x14ac:dyDescent="0.25">
      <c r="N773" s="56">
        <f t="shared" si="304"/>
        <v>0</v>
      </c>
      <c r="O773" s="57">
        <f t="shared" si="305"/>
        <v>0</v>
      </c>
      <c r="P773" s="57">
        <f ca="1">IFERROR(IF(ISBLANK(H773),SUMIFS($AC:$AC,$V:$V,V773,$W:$W,W773,$X:$X,X773,$Y:$Y,Y773)*J773/(1-J773)*VLOOKUP(_xlfn.CONCAT(C773,D773,E773,TIME!$M$12,Z773),HIS_SALES!$B$2:$W$4859,20,FALSE),AC773*J773/(1-J773)),0)</f>
        <v>0</v>
      </c>
      <c r="Q773" s="541" t="str">
        <f t="shared" si="306"/>
        <v/>
      </c>
      <c r="R773" s="346" t="str">
        <f t="shared" si="307"/>
        <v>00000</v>
      </c>
      <c r="S773" s="344">
        <f t="shared" si="308"/>
        <v>0</v>
      </c>
      <c r="T773" s="345" t="str">
        <f t="shared" si="321"/>
        <v>000</v>
      </c>
      <c r="U773" s="345">
        <f t="shared" si="309"/>
        <v>0</v>
      </c>
      <c r="V773" s="345">
        <f t="shared" si="310"/>
        <v>0</v>
      </c>
      <c r="W773" s="345">
        <f t="shared" si="311"/>
        <v>0</v>
      </c>
      <c r="X773" s="345">
        <f t="shared" si="312"/>
        <v>0</v>
      </c>
      <c r="Y773" s="345">
        <f t="shared" si="313"/>
        <v>0</v>
      </c>
      <c r="Z773" s="345">
        <f>IF(Q773&lt;&gt;"",VLOOKUP(Y773,TIME!$R$21:$V$24,MATCH(FC_DATA!Q773,TIME!$R$20:$V$20,0),FALSE),H773)</f>
        <v>0</v>
      </c>
      <c r="AA773" s="345" t="str">
        <f>IFERROR(VLOOKUP(X773&amp;Z773,TIME!$A$12:$D$71,4,FALSE),"")</f>
        <v/>
      </c>
      <c r="AB773" s="592">
        <f t="shared" ca="1" si="314"/>
        <v>0</v>
      </c>
      <c r="AC773" s="593" t="e">
        <f ca="1">IF(ISBLANK(H773)=FALSE,IF(D773="BRAND.com",I773,IF(ISNA(VLOOKUP(_xlfn.CONCAT(X773,Z773),TIME!$M$40:$M$42,1,FALSE)),I773,VLOOKUP(_xlfn.CONCAT(D773,G773,H773),M_BUSAREA_FC!$AF$5:$AJ$10,5,FALSE)*HLOOKUP(_xlfn.CONCAT(F773,H773),ST_OVERVIEW!$G$99:$I$130,MATCH(_xlfn.CONCAT(D773,E773),ST_OVERVIEW!$F$99:$F$130,0),FALSE))),IF(D773="BRAND.com",VLOOKUP(_xlfn.CONCAT(C773,D773,E773,TIME!$F$1,Z773),HIS_SALES!$B$2:$V$4859,19,FALSE)*I773,VLOOKUP(_xlfn.CONCAT(D773,F773,G773),Q_BUSAREA_FC!$AE$5:$AI$12,5,FALSE)*HLOOKUP(_xlfn.CONCAT(FC_DATA!F773,FC_DATA!G773),LT_OVERVIEW!$I$99:$M$130,MATCH(_xlfn.CONCAT(D773,FC_DATA!E773),LT_OVERVIEW!$H$99:$H$130,0),FALSE)*IFERROR(VLOOKUP(_xlfn.CONCAT(C773,D773,E773,TIME!$F$1,Z773),HIS_SALES!$B$2:$V$4859,19,FALSE),0)))</f>
        <v>#N/A</v>
      </c>
      <c r="AD773" s="341">
        <f t="shared" ca="1" si="315"/>
        <v>0</v>
      </c>
      <c r="AE773" s="363" t="str">
        <f t="shared" si="316"/>
        <v/>
      </c>
      <c r="AF773" s="342" t="str">
        <f t="shared" si="317"/>
        <v/>
      </c>
      <c r="AG773" s="411" t="e">
        <f ca="1">VLOOKUP(_xlfn.CONCAT(U773,V773,W773,VLOOKUP(X773&amp;Y773,TIME!$L$27:$O$34,4,FALSE),Y773),HIS_SALES!$A$2:$R$5093,18,FALSE)</f>
        <v>#N/A</v>
      </c>
      <c r="AH773" s="412" t="e">
        <f ca="1">IFERROR(IF(AND(V773=V772,W773=W772),0.5*(AB773+AB772)*AG773,(VLOOKUP(_xlfn.CONCAT(U773,V773,W773,X773,VLOOKUP(Z773,TIME!$S$28:$T$39,2,FALSE)),FC_DATA!$R$2:$AB$5000,MATCH("GS_I_M",FC_DATA!$R$1:$AB$1,0),FALSE)+FC_DATA!AB773)*0.5*FC_DATA!AG773),NA())</f>
        <v>#N/A</v>
      </c>
      <c r="AI773" s="491" t="e">
        <f ca="1">IF(V773="PARTNER.com",AH773,IF(AND(V773=V772,W773=W772),(1-AVERAGE(AD772,AD773))*AH773,(1-AVERAGE(AD773,VLOOKUP(_xlfn.CONCAT(U773,V773,W773,X773,M_BRAND_FC!$F$6),FC_DATA!$R$2:$AD$5000,MATCH("DISCOUNT_%_M",FC_DATA!$R$1:$AD$1,0),FALSE)))*AH773))</f>
        <v>#N/A</v>
      </c>
      <c r="AJ773" s="412" t="str">
        <f t="shared" ca="1" si="318"/>
        <v/>
      </c>
      <c r="AK773" s="413" t="str">
        <f>IFERROR(AE773/(Q_BRAND_FC!$T$24+1),"")</f>
        <v/>
      </c>
      <c r="AL773" s="88" t="str">
        <f t="shared" ca="1" si="319"/>
        <v/>
      </c>
      <c r="AM773" s="414" t="str">
        <f t="shared" ca="1" si="320"/>
        <v/>
      </c>
      <c r="AN773" s="58">
        <f>IFERROR(IF($V773="BRAND.com",HLOOKUP($X773&amp;$Z773,NWC_FC_NOOS!$C$4:$Q$23,MATCH(W773,NWC_FC_NOOS!$B$4:$B$23,0),FALSE),0),0)</f>
        <v>0</v>
      </c>
      <c r="AO773" s="57">
        <f>IFERROR(IF($V773="BRAND.com",HLOOKUP($X773&amp;$Z773,NWC_FC_NOOS!$T$4:$AH$23,MATCH(W773,NWC_FC_NOOS!$S$4:$S$23,0),FALSE),0),0)</f>
        <v>0</v>
      </c>
      <c r="AP773" s="57">
        <f>IFERROR(IF($V773="BRAND.com",HLOOKUP($X773&amp;$Z773,NWC_FC_NOOS!$C$50:$U$69,MATCH(W773,NWC_FC_NOOS!$B$50:$B$69,0),FALSE),0),0)</f>
        <v>0</v>
      </c>
      <c r="AQ773" s="58">
        <f>IFERROR(IF($V773="BRAND.com",HLOOKUP($X773&amp;$Z773,'NWC_FC_NON-NOOS'!$C$4:$Q$23,MATCH(W773,'NWC_FC_NON-NOOS'!$B$4:$B$23,0),FALSE),0),0)</f>
        <v>0</v>
      </c>
      <c r="AR773" s="57">
        <f>IFERROR(IF($V773="BRAND.com",HLOOKUP($X773&amp;$Z773,'NWC_FC_NON-NOOS'!$T$4:$AH$23,MATCH(W773,'NWC_FC_NON-NOOS'!$S$4:$S$23,0),FALSE),0),0)</f>
        <v>0</v>
      </c>
      <c r="AS773" s="57">
        <f>IFERROR(IF($V773="BRAND.com",HLOOKUP($X773&amp;$Z773,'NWC_FC_NON-NOOS'!$C$50:$U$69,MATCH(W773,'NWC_FC_NON-NOOS'!$B$50:$B$69,0),FALSE),0),0)</f>
        <v>0</v>
      </c>
      <c r="AT773" s="57">
        <f t="shared" si="322"/>
        <v>0</v>
      </c>
      <c r="AU773" s="57">
        <f t="shared" si="323"/>
        <v>0</v>
      </c>
      <c r="AV773" s="58">
        <f>IFERROR(IF($V773="BRAND.com",HLOOKUP($X773&amp;$Z773,PLANNING_FC!$BB$27:$BP$46,MATCH($W773,PLANNING_FC!$BA$27:$BA$46,0),FALSE),0),0)</f>
        <v>0</v>
      </c>
      <c r="AW773" s="58">
        <f>IFERROR(IF($V773="BRAND.com",HLOOKUP($X773&amp;$Z773,PLANNING_FC!$BB$4:$BP$23,MATCH($W773,PLANNING_FC!$BA$4:$BA$23,0),FALSE),0),0)</f>
        <v>0</v>
      </c>
      <c r="AX773" s="58">
        <f>IFERROR(IF($V773="BRAND.com",HLOOKUP($X773&amp;$Z773,PLANNING_FC!$T$27:$AH$46,MATCH($W773,PLANNING_FC!$B$27:$B$46,0),FALSE),0),0)</f>
        <v>0</v>
      </c>
      <c r="AY773" s="58">
        <f>IFERROR(IF($V773="BRAND.com",HLOOKUP($X773&amp;$Z773,PLANNING_FC!$T$4:$AH$23,MATCH($W773,PLANNING_FC!$B$4:$B$23,0),FALSE),0),0)</f>
        <v>0</v>
      </c>
      <c r="AZ773" s="58">
        <f>IFERROR(IF($V773="BRAND.com",HLOOKUP($X773&amp;$Z773,PLANNING_FC!$DA$27:$DO$46,MATCH($W773,PLANNING_FC!$CZ$27:$CZ$46,0),FALSE),0),0)</f>
        <v>0</v>
      </c>
      <c r="BA773" s="58">
        <f>IFERROR(IF($V773="BRAND.com",HLOOKUP($X773&amp;$Z773,PLANNING_FC!$DA$4:$DO$23,MATCH($W773,PLANNING_FC!$CZ$4:$CZ$23,0),FALSE),0),0)</f>
        <v>0</v>
      </c>
      <c r="BB773" s="883" t="str">
        <f>IF(V773="BRAND.com",IFERROR(HLOOKUP(X773&amp;Z773,PLANNING_FC!$AK$4:$AY$23,MATCH(W773,PLANNING_FC!$AJ$4:$AJ$23,0),FALSE)*1000,""),"")</f>
        <v/>
      </c>
      <c r="BC773" s="883" t="str">
        <f>IF(V773="BRAND.com",IFERROR(HLOOKUP(X773&amp;Z773,PLANNING_FC!$AK$27:$AY$46,MATCH(W773,PLANNING_FC!$AJ$27:$AJ$46,0),FALSE)*1000,""),"")</f>
        <v/>
      </c>
    </row>
    <row r="774" spans="14:55" x14ac:dyDescent="0.25">
      <c r="N774" s="56">
        <f t="shared" si="304"/>
        <v>0</v>
      </c>
      <c r="O774" s="57">
        <f t="shared" si="305"/>
        <v>0</v>
      </c>
      <c r="P774" s="57">
        <f ca="1">IFERROR(IF(ISBLANK(H774),SUMIFS($AC:$AC,$V:$V,V774,$W:$W,W774,$X:$X,X774,$Y:$Y,Y774)*J774/(1-J774)*VLOOKUP(_xlfn.CONCAT(C774,D774,E774,TIME!$M$12,Z774),HIS_SALES!$B$2:$W$4859,20,FALSE),AC774*J774/(1-J774)),0)</f>
        <v>0</v>
      </c>
      <c r="Q774" s="541" t="str">
        <f t="shared" si="306"/>
        <v/>
      </c>
      <c r="R774" s="346" t="str">
        <f t="shared" si="307"/>
        <v>00000</v>
      </c>
      <c r="S774" s="344">
        <f t="shared" si="308"/>
        <v>0</v>
      </c>
      <c r="T774" s="345" t="str">
        <f t="shared" si="321"/>
        <v>000</v>
      </c>
      <c r="U774" s="345">
        <f t="shared" si="309"/>
        <v>0</v>
      </c>
      <c r="V774" s="345">
        <f t="shared" si="310"/>
        <v>0</v>
      </c>
      <c r="W774" s="345">
        <f t="shared" si="311"/>
        <v>0</v>
      </c>
      <c r="X774" s="345">
        <f t="shared" si="312"/>
        <v>0</v>
      </c>
      <c r="Y774" s="345">
        <f t="shared" si="313"/>
        <v>0</v>
      </c>
      <c r="Z774" s="345">
        <f>IF(Q774&lt;&gt;"",VLOOKUP(Y774,TIME!$R$21:$V$24,MATCH(FC_DATA!Q774,TIME!$R$20:$V$20,0),FALSE),H774)</f>
        <v>0</v>
      </c>
      <c r="AA774" s="345" t="str">
        <f>IFERROR(VLOOKUP(X774&amp;Z774,TIME!$A$12:$D$71,4,FALSE),"")</f>
        <v/>
      </c>
      <c r="AB774" s="592">
        <f t="shared" ca="1" si="314"/>
        <v>0</v>
      </c>
      <c r="AC774" s="593" t="e">
        <f ca="1">IF(ISBLANK(H774)=FALSE,IF(D774="BRAND.com",I774,IF(ISNA(VLOOKUP(_xlfn.CONCAT(X774,Z774),TIME!$M$40:$M$42,1,FALSE)),I774,VLOOKUP(_xlfn.CONCAT(D774,G774,H774),M_BUSAREA_FC!$AF$5:$AJ$10,5,FALSE)*HLOOKUP(_xlfn.CONCAT(F774,H774),ST_OVERVIEW!$G$99:$I$130,MATCH(_xlfn.CONCAT(D774,E774),ST_OVERVIEW!$F$99:$F$130,0),FALSE))),IF(D774="BRAND.com",VLOOKUP(_xlfn.CONCAT(C774,D774,E774,TIME!$F$1,Z774),HIS_SALES!$B$2:$V$4859,19,FALSE)*I774,VLOOKUP(_xlfn.CONCAT(D774,F774,G774),Q_BUSAREA_FC!$AE$5:$AI$12,5,FALSE)*HLOOKUP(_xlfn.CONCAT(FC_DATA!F774,FC_DATA!G774),LT_OVERVIEW!$I$99:$M$130,MATCH(_xlfn.CONCAT(D774,FC_DATA!E774),LT_OVERVIEW!$H$99:$H$130,0),FALSE)*IFERROR(VLOOKUP(_xlfn.CONCAT(C774,D774,E774,TIME!$F$1,Z774),HIS_SALES!$B$2:$V$4859,19,FALSE),0)))</f>
        <v>#N/A</v>
      </c>
      <c r="AD774" s="341">
        <f t="shared" ca="1" si="315"/>
        <v>0</v>
      </c>
      <c r="AE774" s="363" t="str">
        <f t="shared" si="316"/>
        <v/>
      </c>
      <c r="AF774" s="342" t="str">
        <f t="shared" si="317"/>
        <v/>
      </c>
      <c r="AG774" s="411" t="e">
        <f ca="1">VLOOKUP(_xlfn.CONCAT(U774,V774,W774,VLOOKUP(X774&amp;Y774,TIME!$L$27:$O$34,4,FALSE),Y774),HIS_SALES!$A$2:$R$5093,18,FALSE)</f>
        <v>#N/A</v>
      </c>
      <c r="AH774" s="412" t="e">
        <f ca="1">IFERROR(IF(AND(V774=V773,W774=W773),0.5*(AB774+AB773)*AG774,(VLOOKUP(_xlfn.CONCAT(U774,V774,W774,X774,VLOOKUP(Z774,TIME!$S$28:$T$39,2,FALSE)),FC_DATA!$R$2:$AB$5000,MATCH("GS_I_M",FC_DATA!$R$1:$AB$1,0),FALSE)+FC_DATA!AB774)*0.5*FC_DATA!AG774),NA())</f>
        <v>#N/A</v>
      </c>
      <c r="AI774" s="491" t="e">
        <f ca="1">IF(V774="PARTNER.com",AH774,IF(AND(V774=V773,W774=W773),(1-AVERAGE(AD773,AD774))*AH774,(1-AVERAGE(AD774,VLOOKUP(_xlfn.CONCAT(U774,V774,W774,X774,M_BRAND_FC!$F$6),FC_DATA!$R$2:$AD$5000,MATCH("DISCOUNT_%_M",FC_DATA!$R$1:$AD$1,0),FALSE)))*AH774))</f>
        <v>#N/A</v>
      </c>
      <c r="AJ774" s="412" t="str">
        <f t="shared" ca="1" si="318"/>
        <v/>
      </c>
      <c r="AK774" s="413" t="str">
        <f>IFERROR(AE774/(Q_BRAND_FC!$T$24+1),"")</f>
        <v/>
      </c>
      <c r="AL774" s="88" t="str">
        <f t="shared" ca="1" si="319"/>
        <v/>
      </c>
      <c r="AM774" s="414" t="str">
        <f t="shared" ca="1" si="320"/>
        <v/>
      </c>
      <c r="AN774" s="58">
        <f>IFERROR(IF($V774="BRAND.com",HLOOKUP($X774&amp;$Z774,NWC_FC_NOOS!$C$4:$Q$23,MATCH(W774,NWC_FC_NOOS!$B$4:$B$23,0),FALSE),0),0)</f>
        <v>0</v>
      </c>
      <c r="AO774" s="57">
        <f>IFERROR(IF($V774="BRAND.com",HLOOKUP($X774&amp;$Z774,NWC_FC_NOOS!$T$4:$AH$23,MATCH(W774,NWC_FC_NOOS!$S$4:$S$23,0),FALSE),0),0)</f>
        <v>0</v>
      </c>
      <c r="AP774" s="57">
        <f>IFERROR(IF($V774="BRAND.com",HLOOKUP($X774&amp;$Z774,NWC_FC_NOOS!$C$50:$U$69,MATCH(W774,NWC_FC_NOOS!$B$50:$B$69,0),FALSE),0),0)</f>
        <v>0</v>
      </c>
      <c r="AQ774" s="58">
        <f>IFERROR(IF($V774="BRAND.com",HLOOKUP($X774&amp;$Z774,'NWC_FC_NON-NOOS'!$C$4:$Q$23,MATCH(W774,'NWC_FC_NON-NOOS'!$B$4:$B$23,0),FALSE),0),0)</f>
        <v>0</v>
      </c>
      <c r="AR774" s="57">
        <f>IFERROR(IF($V774="BRAND.com",HLOOKUP($X774&amp;$Z774,'NWC_FC_NON-NOOS'!$T$4:$AH$23,MATCH(W774,'NWC_FC_NON-NOOS'!$S$4:$S$23,0),FALSE),0),0)</f>
        <v>0</v>
      </c>
      <c r="AS774" s="57">
        <f>IFERROR(IF($V774="BRAND.com",HLOOKUP($X774&amp;$Z774,'NWC_FC_NON-NOOS'!$C$50:$U$69,MATCH(W774,'NWC_FC_NON-NOOS'!$B$50:$B$69,0),FALSE),0),0)</f>
        <v>0</v>
      </c>
      <c r="AT774" s="57">
        <f t="shared" si="322"/>
        <v>0</v>
      </c>
      <c r="AU774" s="57">
        <f t="shared" si="323"/>
        <v>0</v>
      </c>
      <c r="AV774" s="58">
        <f>IFERROR(IF($V774="BRAND.com",HLOOKUP($X774&amp;$Z774,PLANNING_FC!$BB$27:$BP$46,MATCH($W774,PLANNING_FC!$BA$27:$BA$46,0),FALSE),0),0)</f>
        <v>0</v>
      </c>
      <c r="AW774" s="58">
        <f>IFERROR(IF($V774="BRAND.com",HLOOKUP($X774&amp;$Z774,PLANNING_FC!$BB$4:$BP$23,MATCH($W774,PLANNING_FC!$BA$4:$BA$23,0),FALSE),0),0)</f>
        <v>0</v>
      </c>
      <c r="AX774" s="58">
        <f>IFERROR(IF($V774="BRAND.com",HLOOKUP($X774&amp;$Z774,PLANNING_FC!$T$27:$AH$46,MATCH($W774,PLANNING_FC!$B$27:$B$46,0),FALSE),0),0)</f>
        <v>0</v>
      </c>
      <c r="AY774" s="58">
        <f>IFERROR(IF($V774="BRAND.com",HLOOKUP($X774&amp;$Z774,PLANNING_FC!$T$4:$AH$23,MATCH($W774,PLANNING_FC!$B$4:$B$23,0),FALSE),0),0)</f>
        <v>0</v>
      </c>
      <c r="AZ774" s="58">
        <f>IFERROR(IF($V774="BRAND.com",HLOOKUP($X774&amp;$Z774,PLANNING_FC!$DA$27:$DO$46,MATCH($W774,PLANNING_FC!$CZ$27:$CZ$46,0),FALSE),0),0)</f>
        <v>0</v>
      </c>
      <c r="BA774" s="58">
        <f>IFERROR(IF($V774="BRAND.com",HLOOKUP($X774&amp;$Z774,PLANNING_FC!$DA$4:$DO$23,MATCH($W774,PLANNING_FC!$CZ$4:$CZ$23,0),FALSE),0),0)</f>
        <v>0</v>
      </c>
      <c r="BB774" s="883" t="str">
        <f>IF(V774="BRAND.com",IFERROR(HLOOKUP(X774&amp;Z774,PLANNING_FC!$AK$4:$AY$23,MATCH(W774,PLANNING_FC!$AJ$4:$AJ$23,0),FALSE)*1000,""),"")</f>
        <v/>
      </c>
      <c r="BC774" s="883" t="str">
        <f>IF(V774="BRAND.com",IFERROR(HLOOKUP(X774&amp;Z774,PLANNING_FC!$AK$27:$AY$46,MATCH(W774,PLANNING_FC!$AJ$27:$AJ$46,0),FALSE)*1000,""),"")</f>
        <v/>
      </c>
    </row>
    <row r="775" spans="14:55" x14ac:dyDescent="0.25">
      <c r="N775" s="56">
        <f t="shared" si="304"/>
        <v>0</v>
      </c>
      <c r="O775" s="57">
        <f t="shared" si="305"/>
        <v>0</v>
      </c>
      <c r="P775" s="57">
        <f ca="1">IFERROR(IF(ISBLANK(H775),SUMIFS($AC:$AC,$V:$V,V775,$W:$W,W775,$X:$X,X775,$Y:$Y,Y775)*J775/(1-J775)*VLOOKUP(_xlfn.CONCAT(C775,D775,E775,TIME!$M$12,Z775),HIS_SALES!$B$2:$W$4859,20,FALSE),AC775*J775/(1-J775)),0)</f>
        <v>0</v>
      </c>
      <c r="Q775" s="541" t="str">
        <f t="shared" si="306"/>
        <v/>
      </c>
      <c r="R775" s="346" t="str">
        <f t="shared" si="307"/>
        <v>00000</v>
      </c>
      <c r="S775" s="344">
        <f t="shared" si="308"/>
        <v>0</v>
      </c>
      <c r="T775" s="345" t="str">
        <f t="shared" si="321"/>
        <v>000</v>
      </c>
      <c r="U775" s="345">
        <f t="shared" si="309"/>
        <v>0</v>
      </c>
      <c r="V775" s="345">
        <f t="shared" si="310"/>
        <v>0</v>
      </c>
      <c r="W775" s="345">
        <f t="shared" si="311"/>
        <v>0</v>
      </c>
      <c r="X775" s="345">
        <f t="shared" si="312"/>
        <v>0</v>
      </c>
      <c r="Y775" s="345">
        <f t="shared" si="313"/>
        <v>0</v>
      </c>
      <c r="Z775" s="345">
        <f>IF(Q775&lt;&gt;"",VLOOKUP(Y775,TIME!$R$21:$V$24,MATCH(FC_DATA!Q775,TIME!$R$20:$V$20,0),FALSE),H775)</f>
        <v>0</v>
      </c>
      <c r="AA775" s="345" t="str">
        <f>IFERROR(VLOOKUP(X775&amp;Z775,TIME!$A$12:$D$71,4,FALSE),"")</f>
        <v/>
      </c>
      <c r="AB775" s="592">
        <f t="shared" ca="1" si="314"/>
        <v>0</v>
      </c>
      <c r="AC775" s="593" t="e">
        <f ca="1">IF(ISBLANK(H775)=FALSE,IF(D775="BRAND.com",I775,IF(ISNA(VLOOKUP(_xlfn.CONCAT(X775,Z775),TIME!$M$40:$M$42,1,FALSE)),I775,VLOOKUP(_xlfn.CONCAT(D775,G775,H775),M_BUSAREA_FC!$AF$5:$AJ$10,5,FALSE)*HLOOKUP(_xlfn.CONCAT(F775,H775),ST_OVERVIEW!$G$99:$I$130,MATCH(_xlfn.CONCAT(D775,E775),ST_OVERVIEW!$F$99:$F$130,0),FALSE))),IF(D775="BRAND.com",VLOOKUP(_xlfn.CONCAT(C775,D775,E775,TIME!$F$1,Z775),HIS_SALES!$B$2:$V$4859,19,FALSE)*I775,VLOOKUP(_xlfn.CONCAT(D775,F775,G775),Q_BUSAREA_FC!$AE$5:$AI$12,5,FALSE)*HLOOKUP(_xlfn.CONCAT(FC_DATA!F775,FC_DATA!G775),LT_OVERVIEW!$I$99:$M$130,MATCH(_xlfn.CONCAT(D775,FC_DATA!E775),LT_OVERVIEW!$H$99:$H$130,0),FALSE)*IFERROR(VLOOKUP(_xlfn.CONCAT(C775,D775,E775,TIME!$F$1,Z775),HIS_SALES!$B$2:$V$4859,19,FALSE),0)))</f>
        <v>#N/A</v>
      </c>
      <c r="AD775" s="341">
        <f t="shared" ca="1" si="315"/>
        <v>0</v>
      </c>
      <c r="AE775" s="363" t="str">
        <f t="shared" si="316"/>
        <v/>
      </c>
      <c r="AF775" s="342" t="str">
        <f t="shared" si="317"/>
        <v/>
      </c>
      <c r="AG775" s="411" t="e">
        <f ca="1">VLOOKUP(_xlfn.CONCAT(U775,V775,W775,VLOOKUP(X775&amp;Y775,TIME!$L$27:$O$34,4,FALSE),Y775),HIS_SALES!$A$2:$R$5093,18,FALSE)</f>
        <v>#N/A</v>
      </c>
      <c r="AH775" s="412" t="e">
        <f ca="1">IFERROR(IF(AND(V775=V774,W775=W774),0.5*(AB775+AB774)*AG775,(VLOOKUP(_xlfn.CONCAT(U775,V775,W775,X775,VLOOKUP(Z775,TIME!$S$28:$T$39,2,FALSE)),FC_DATA!$R$2:$AB$5000,MATCH("GS_I_M",FC_DATA!$R$1:$AB$1,0),FALSE)+FC_DATA!AB775)*0.5*FC_DATA!AG775),NA())</f>
        <v>#N/A</v>
      </c>
      <c r="AI775" s="491" t="e">
        <f ca="1">IF(V775="PARTNER.com",AH775,IF(AND(V775=V774,W775=W774),(1-AVERAGE(AD774,AD775))*AH775,(1-AVERAGE(AD775,VLOOKUP(_xlfn.CONCAT(U775,V775,W775,X775,M_BRAND_FC!$F$6),FC_DATA!$R$2:$AD$5000,MATCH("DISCOUNT_%_M",FC_DATA!$R$1:$AD$1,0),FALSE)))*AH775))</f>
        <v>#N/A</v>
      </c>
      <c r="AJ775" s="412" t="str">
        <f t="shared" ca="1" si="318"/>
        <v/>
      </c>
      <c r="AK775" s="413" t="str">
        <f>IFERROR(AE775/(Q_BRAND_FC!$T$24+1),"")</f>
        <v/>
      </c>
      <c r="AL775" s="88" t="str">
        <f t="shared" ca="1" si="319"/>
        <v/>
      </c>
      <c r="AM775" s="414" t="str">
        <f t="shared" ca="1" si="320"/>
        <v/>
      </c>
      <c r="AN775" s="58">
        <f>IFERROR(IF($V775="BRAND.com",HLOOKUP($X775&amp;$Z775,NWC_FC_NOOS!$C$4:$Q$23,MATCH(W775,NWC_FC_NOOS!$B$4:$B$23,0),FALSE),0),0)</f>
        <v>0</v>
      </c>
      <c r="AO775" s="57">
        <f>IFERROR(IF($V775="BRAND.com",HLOOKUP($X775&amp;$Z775,NWC_FC_NOOS!$T$4:$AH$23,MATCH(W775,NWC_FC_NOOS!$S$4:$S$23,0),FALSE),0),0)</f>
        <v>0</v>
      </c>
      <c r="AP775" s="57">
        <f>IFERROR(IF($V775="BRAND.com",HLOOKUP($X775&amp;$Z775,NWC_FC_NOOS!$C$50:$U$69,MATCH(W775,NWC_FC_NOOS!$B$50:$B$69,0),FALSE),0),0)</f>
        <v>0</v>
      </c>
      <c r="AQ775" s="58">
        <f>IFERROR(IF($V775="BRAND.com",HLOOKUP($X775&amp;$Z775,'NWC_FC_NON-NOOS'!$C$4:$Q$23,MATCH(W775,'NWC_FC_NON-NOOS'!$B$4:$B$23,0),FALSE),0),0)</f>
        <v>0</v>
      </c>
      <c r="AR775" s="57">
        <f>IFERROR(IF($V775="BRAND.com",HLOOKUP($X775&amp;$Z775,'NWC_FC_NON-NOOS'!$T$4:$AH$23,MATCH(W775,'NWC_FC_NON-NOOS'!$S$4:$S$23,0),FALSE),0),0)</f>
        <v>0</v>
      </c>
      <c r="AS775" s="57">
        <f>IFERROR(IF($V775="BRAND.com",HLOOKUP($X775&amp;$Z775,'NWC_FC_NON-NOOS'!$C$50:$U$69,MATCH(W775,'NWC_FC_NON-NOOS'!$B$50:$B$69,0),FALSE),0),0)</f>
        <v>0</v>
      </c>
      <c r="AT775" s="57">
        <f t="shared" si="322"/>
        <v>0</v>
      </c>
      <c r="AU775" s="57">
        <f t="shared" si="323"/>
        <v>0</v>
      </c>
      <c r="AV775" s="58">
        <f>IFERROR(IF($V775="BRAND.com",HLOOKUP($X775&amp;$Z775,PLANNING_FC!$BB$27:$BP$46,MATCH($W775,PLANNING_FC!$BA$27:$BA$46,0),FALSE),0),0)</f>
        <v>0</v>
      </c>
      <c r="AW775" s="58">
        <f>IFERROR(IF($V775="BRAND.com",HLOOKUP($X775&amp;$Z775,PLANNING_FC!$BB$4:$BP$23,MATCH($W775,PLANNING_FC!$BA$4:$BA$23,0),FALSE),0),0)</f>
        <v>0</v>
      </c>
      <c r="AX775" s="58">
        <f>IFERROR(IF($V775="BRAND.com",HLOOKUP($X775&amp;$Z775,PLANNING_FC!$T$27:$AH$46,MATCH($W775,PLANNING_FC!$B$27:$B$46,0),FALSE),0),0)</f>
        <v>0</v>
      </c>
      <c r="AY775" s="58">
        <f>IFERROR(IF($V775="BRAND.com",HLOOKUP($X775&amp;$Z775,PLANNING_FC!$T$4:$AH$23,MATCH($W775,PLANNING_FC!$B$4:$B$23,0),FALSE),0),0)</f>
        <v>0</v>
      </c>
      <c r="AZ775" s="58">
        <f>IFERROR(IF($V775="BRAND.com",HLOOKUP($X775&amp;$Z775,PLANNING_FC!$DA$27:$DO$46,MATCH($W775,PLANNING_FC!$CZ$27:$CZ$46,0),FALSE),0),0)</f>
        <v>0</v>
      </c>
      <c r="BA775" s="58">
        <f>IFERROR(IF($V775="BRAND.com",HLOOKUP($X775&amp;$Z775,PLANNING_FC!$DA$4:$DO$23,MATCH($W775,PLANNING_FC!$CZ$4:$CZ$23,0),FALSE),0),0)</f>
        <v>0</v>
      </c>
      <c r="BB775" s="883" t="str">
        <f>IF(V775="BRAND.com",IFERROR(HLOOKUP(X775&amp;Z775,PLANNING_FC!$AK$4:$AY$23,MATCH(W775,PLANNING_FC!$AJ$4:$AJ$23,0),FALSE)*1000,""),"")</f>
        <v/>
      </c>
      <c r="BC775" s="883" t="str">
        <f>IF(V775="BRAND.com",IFERROR(HLOOKUP(X775&amp;Z775,PLANNING_FC!$AK$27:$AY$46,MATCH(W775,PLANNING_FC!$AJ$27:$AJ$46,0),FALSE)*1000,""),"")</f>
        <v/>
      </c>
    </row>
    <row r="776" spans="14:55" x14ac:dyDescent="0.25">
      <c r="N776" s="56">
        <f t="shared" si="304"/>
        <v>0</v>
      </c>
      <c r="O776" s="57">
        <f t="shared" si="305"/>
        <v>0</v>
      </c>
      <c r="P776" s="57">
        <f ca="1">IFERROR(IF(ISBLANK(H776),SUMIFS($AC:$AC,$V:$V,V776,$W:$W,W776,$X:$X,X776,$Y:$Y,Y776)*J776/(1-J776)*VLOOKUP(_xlfn.CONCAT(C776,D776,E776,TIME!$M$12,Z776),HIS_SALES!$B$2:$W$4859,20,FALSE),AC776*J776/(1-J776)),0)</f>
        <v>0</v>
      </c>
      <c r="Q776" s="541" t="str">
        <f t="shared" si="306"/>
        <v/>
      </c>
      <c r="R776" s="346" t="str">
        <f t="shared" si="307"/>
        <v>00000</v>
      </c>
      <c r="S776" s="344">
        <f t="shared" si="308"/>
        <v>0</v>
      </c>
      <c r="T776" s="345" t="str">
        <f t="shared" si="321"/>
        <v>000</v>
      </c>
      <c r="U776" s="345">
        <f t="shared" si="309"/>
        <v>0</v>
      </c>
      <c r="V776" s="345">
        <f t="shared" si="310"/>
        <v>0</v>
      </c>
      <c r="W776" s="345">
        <f t="shared" si="311"/>
        <v>0</v>
      </c>
      <c r="X776" s="345">
        <f t="shared" si="312"/>
        <v>0</v>
      </c>
      <c r="Y776" s="345">
        <f t="shared" si="313"/>
        <v>0</v>
      </c>
      <c r="Z776" s="345">
        <f>IF(Q776&lt;&gt;"",VLOOKUP(Y776,TIME!$R$21:$V$24,MATCH(FC_DATA!Q776,TIME!$R$20:$V$20,0),FALSE),H776)</f>
        <v>0</v>
      </c>
      <c r="AA776" s="345" t="str">
        <f>IFERROR(VLOOKUP(X776&amp;Z776,TIME!$A$12:$D$71,4,FALSE),"")</f>
        <v/>
      </c>
      <c r="AB776" s="592">
        <f t="shared" ca="1" si="314"/>
        <v>0</v>
      </c>
      <c r="AC776" s="593" t="e">
        <f ca="1">IF(ISBLANK(H776)=FALSE,IF(D776="BRAND.com",I776,IF(ISNA(VLOOKUP(_xlfn.CONCAT(X776,Z776),TIME!$M$40:$M$42,1,FALSE)),I776,VLOOKUP(_xlfn.CONCAT(D776,G776,H776),M_BUSAREA_FC!$AF$5:$AJ$10,5,FALSE)*HLOOKUP(_xlfn.CONCAT(F776,H776),ST_OVERVIEW!$G$99:$I$130,MATCH(_xlfn.CONCAT(D776,E776),ST_OVERVIEW!$F$99:$F$130,0),FALSE))),IF(D776="BRAND.com",VLOOKUP(_xlfn.CONCAT(C776,D776,E776,TIME!$F$1,Z776),HIS_SALES!$B$2:$V$4859,19,FALSE)*I776,VLOOKUP(_xlfn.CONCAT(D776,F776,G776),Q_BUSAREA_FC!$AE$5:$AI$12,5,FALSE)*HLOOKUP(_xlfn.CONCAT(FC_DATA!F776,FC_DATA!G776),LT_OVERVIEW!$I$99:$M$130,MATCH(_xlfn.CONCAT(D776,FC_DATA!E776),LT_OVERVIEW!$H$99:$H$130,0),FALSE)*IFERROR(VLOOKUP(_xlfn.CONCAT(C776,D776,E776,TIME!$F$1,Z776),HIS_SALES!$B$2:$V$4859,19,FALSE),0)))</f>
        <v>#N/A</v>
      </c>
      <c r="AD776" s="341">
        <f t="shared" ca="1" si="315"/>
        <v>0</v>
      </c>
      <c r="AE776" s="363" t="str">
        <f t="shared" si="316"/>
        <v/>
      </c>
      <c r="AF776" s="342" t="str">
        <f t="shared" si="317"/>
        <v/>
      </c>
      <c r="AG776" s="411" t="e">
        <f ca="1">VLOOKUP(_xlfn.CONCAT(U776,V776,W776,VLOOKUP(X776&amp;Y776,TIME!$L$27:$O$34,4,FALSE),Y776),HIS_SALES!$A$2:$R$5093,18,FALSE)</f>
        <v>#N/A</v>
      </c>
      <c r="AH776" s="412" t="e">
        <f ca="1">IFERROR(IF(AND(V776=V775,W776=W775),0.5*(AB776+AB775)*AG776,(VLOOKUP(_xlfn.CONCAT(U776,V776,W776,X776,VLOOKUP(Z776,TIME!$S$28:$T$39,2,FALSE)),FC_DATA!$R$2:$AB$5000,MATCH("GS_I_M",FC_DATA!$R$1:$AB$1,0),FALSE)+FC_DATA!AB776)*0.5*FC_DATA!AG776),NA())</f>
        <v>#N/A</v>
      </c>
      <c r="AI776" s="491" t="e">
        <f ca="1">IF(V776="PARTNER.com",AH776,IF(AND(V776=V775,W776=W775),(1-AVERAGE(AD775,AD776))*AH776,(1-AVERAGE(AD776,VLOOKUP(_xlfn.CONCAT(U776,V776,W776,X776,M_BRAND_FC!$F$6),FC_DATA!$R$2:$AD$5000,MATCH("DISCOUNT_%_M",FC_DATA!$R$1:$AD$1,0),FALSE)))*AH776))</f>
        <v>#N/A</v>
      </c>
      <c r="AJ776" s="412" t="str">
        <f t="shared" ca="1" si="318"/>
        <v/>
      </c>
      <c r="AK776" s="413" t="str">
        <f>IFERROR(AE776/(Q_BRAND_FC!$T$24+1),"")</f>
        <v/>
      </c>
      <c r="AL776" s="88" t="str">
        <f t="shared" ca="1" si="319"/>
        <v/>
      </c>
      <c r="AM776" s="414" t="str">
        <f t="shared" ca="1" si="320"/>
        <v/>
      </c>
      <c r="AN776" s="58">
        <f>IFERROR(IF($V776="BRAND.com",HLOOKUP($X776&amp;$Z776,NWC_FC_NOOS!$C$4:$Q$23,MATCH(W776,NWC_FC_NOOS!$B$4:$B$23,0),FALSE),0),0)</f>
        <v>0</v>
      </c>
      <c r="AO776" s="57">
        <f>IFERROR(IF($V776="BRAND.com",HLOOKUP($X776&amp;$Z776,NWC_FC_NOOS!$T$4:$AH$23,MATCH(W776,NWC_FC_NOOS!$S$4:$S$23,0),FALSE),0),0)</f>
        <v>0</v>
      </c>
      <c r="AP776" s="57">
        <f>IFERROR(IF($V776="BRAND.com",HLOOKUP($X776&amp;$Z776,NWC_FC_NOOS!$C$50:$U$69,MATCH(W776,NWC_FC_NOOS!$B$50:$B$69,0),FALSE),0),0)</f>
        <v>0</v>
      </c>
      <c r="AQ776" s="58">
        <f>IFERROR(IF($V776="BRAND.com",HLOOKUP($X776&amp;$Z776,'NWC_FC_NON-NOOS'!$C$4:$Q$23,MATCH(W776,'NWC_FC_NON-NOOS'!$B$4:$B$23,0),FALSE),0),0)</f>
        <v>0</v>
      </c>
      <c r="AR776" s="57">
        <f>IFERROR(IF($V776="BRAND.com",HLOOKUP($X776&amp;$Z776,'NWC_FC_NON-NOOS'!$T$4:$AH$23,MATCH(W776,'NWC_FC_NON-NOOS'!$S$4:$S$23,0),FALSE),0),0)</f>
        <v>0</v>
      </c>
      <c r="AS776" s="57">
        <f>IFERROR(IF($V776="BRAND.com",HLOOKUP($X776&amp;$Z776,'NWC_FC_NON-NOOS'!$C$50:$U$69,MATCH(W776,'NWC_FC_NON-NOOS'!$B$50:$B$69,0),FALSE),0),0)</f>
        <v>0</v>
      </c>
      <c r="AT776" s="57">
        <f t="shared" si="322"/>
        <v>0</v>
      </c>
      <c r="AU776" s="57">
        <f t="shared" si="323"/>
        <v>0</v>
      </c>
      <c r="AV776" s="58">
        <f>IFERROR(IF($V776="BRAND.com",HLOOKUP($X776&amp;$Z776,PLANNING_FC!$BB$27:$BP$46,MATCH($W776,PLANNING_FC!$BA$27:$BA$46,0),FALSE),0),0)</f>
        <v>0</v>
      </c>
      <c r="AW776" s="58">
        <f>IFERROR(IF($V776="BRAND.com",HLOOKUP($X776&amp;$Z776,PLANNING_FC!$BB$4:$BP$23,MATCH($W776,PLANNING_FC!$BA$4:$BA$23,0),FALSE),0),0)</f>
        <v>0</v>
      </c>
      <c r="AX776" s="58">
        <f>IFERROR(IF($V776="BRAND.com",HLOOKUP($X776&amp;$Z776,PLANNING_FC!$T$27:$AH$46,MATCH($W776,PLANNING_FC!$B$27:$B$46,0),FALSE),0),0)</f>
        <v>0</v>
      </c>
      <c r="AY776" s="58">
        <f>IFERROR(IF($V776="BRAND.com",HLOOKUP($X776&amp;$Z776,PLANNING_FC!$T$4:$AH$23,MATCH($W776,PLANNING_FC!$B$4:$B$23,0),FALSE),0),0)</f>
        <v>0</v>
      </c>
      <c r="AZ776" s="58">
        <f>IFERROR(IF($V776="BRAND.com",HLOOKUP($X776&amp;$Z776,PLANNING_FC!$DA$27:$DO$46,MATCH($W776,PLANNING_FC!$CZ$27:$CZ$46,0),FALSE),0),0)</f>
        <v>0</v>
      </c>
      <c r="BA776" s="58">
        <f>IFERROR(IF($V776="BRAND.com",HLOOKUP($X776&amp;$Z776,PLANNING_FC!$DA$4:$DO$23,MATCH($W776,PLANNING_FC!$CZ$4:$CZ$23,0),FALSE),0),0)</f>
        <v>0</v>
      </c>
      <c r="BB776" s="883" t="str">
        <f>IF(V776="BRAND.com",IFERROR(HLOOKUP(X776&amp;Z776,PLANNING_FC!$AK$4:$AY$23,MATCH(W776,PLANNING_FC!$AJ$4:$AJ$23,0),FALSE)*1000,""),"")</f>
        <v/>
      </c>
      <c r="BC776" s="883" t="str">
        <f>IF(V776="BRAND.com",IFERROR(HLOOKUP(X776&amp;Z776,PLANNING_FC!$AK$27:$AY$46,MATCH(W776,PLANNING_FC!$AJ$27:$AJ$46,0),FALSE)*1000,""),"")</f>
        <v/>
      </c>
    </row>
    <row r="777" spans="14:55" x14ac:dyDescent="0.25">
      <c r="N777" s="56">
        <f t="shared" si="304"/>
        <v>0</v>
      </c>
      <c r="O777" s="57">
        <f t="shared" si="305"/>
        <v>0</v>
      </c>
      <c r="P777" s="57">
        <f ca="1">IFERROR(IF(ISBLANK(H777),SUMIFS($AC:$AC,$V:$V,V777,$W:$W,W777,$X:$X,X777,$Y:$Y,Y777)*J777/(1-J777)*VLOOKUP(_xlfn.CONCAT(C777,D777,E777,TIME!$M$12,Z777),HIS_SALES!$B$2:$W$4859,20,FALSE),AC777*J777/(1-J777)),0)</f>
        <v>0</v>
      </c>
      <c r="Q777" s="541" t="str">
        <f t="shared" si="306"/>
        <v/>
      </c>
      <c r="R777" s="346" t="str">
        <f t="shared" si="307"/>
        <v>00000</v>
      </c>
      <c r="S777" s="344">
        <f t="shared" si="308"/>
        <v>0</v>
      </c>
      <c r="T777" s="345" t="str">
        <f t="shared" si="321"/>
        <v>000</v>
      </c>
      <c r="U777" s="345">
        <f t="shared" si="309"/>
        <v>0</v>
      </c>
      <c r="V777" s="345">
        <f t="shared" si="310"/>
        <v>0</v>
      </c>
      <c r="W777" s="345">
        <f t="shared" si="311"/>
        <v>0</v>
      </c>
      <c r="X777" s="345">
        <f t="shared" si="312"/>
        <v>0</v>
      </c>
      <c r="Y777" s="345">
        <f t="shared" si="313"/>
        <v>0</v>
      </c>
      <c r="Z777" s="345">
        <f>IF(Q777&lt;&gt;"",VLOOKUP(Y777,TIME!$R$21:$V$24,MATCH(FC_DATA!Q777,TIME!$R$20:$V$20,0),FALSE),H777)</f>
        <v>0</v>
      </c>
      <c r="AA777" s="345" t="str">
        <f>IFERROR(VLOOKUP(X777&amp;Z777,TIME!$A$12:$D$71,4,FALSE),"")</f>
        <v/>
      </c>
      <c r="AB777" s="592">
        <f t="shared" ca="1" si="314"/>
        <v>0</v>
      </c>
      <c r="AC777" s="593" t="e">
        <f ca="1">IF(ISBLANK(H777)=FALSE,IF(D777="BRAND.com",I777,IF(ISNA(VLOOKUP(_xlfn.CONCAT(X777,Z777),TIME!$M$40:$M$42,1,FALSE)),I777,VLOOKUP(_xlfn.CONCAT(D777,G777,H777),M_BUSAREA_FC!$AF$5:$AJ$10,5,FALSE)*HLOOKUP(_xlfn.CONCAT(F777,H777),ST_OVERVIEW!$G$99:$I$130,MATCH(_xlfn.CONCAT(D777,E777),ST_OVERVIEW!$F$99:$F$130,0),FALSE))),IF(D777="BRAND.com",VLOOKUP(_xlfn.CONCAT(C777,D777,E777,TIME!$F$1,Z777),HIS_SALES!$B$2:$V$4859,19,FALSE)*I777,VLOOKUP(_xlfn.CONCAT(D777,F777,G777),Q_BUSAREA_FC!$AE$5:$AI$12,5,FALSE)*HLOOKUP(_xlfn.CONCAT(FC_DATA!F777,FC_DATA!G777),LT_OVERVIEW!$I$99:$M$130,MATCH(_xlfn.CONCAT(D777,FC_DATA!E777),LT_OVERVIEW!$H$99:$H$130,0),FALSE)*IFERROR(VLOOKUP(_xlfn.CONCAT(C777,D777,E777,TIME!$F$1,Z777),HIS_SALES!$B$2:$V$4859,19,FALSE),0)))</f>
        <v>#N/A</v>
      </c>
      <c r="AD777" s="341">
        <f t="shared" ca="1" si="315"/>
        <v>0</v>
      </c>
      <c r="AE777" s="363" t="str">
        <f t="shared" si="316"/>
        <v/>
      </c>
      <c r="AF777" s="342" t="str">
        <f t="shared" si="317"/>
        <v/>
      </c>
      <c r="AG777" s="411" t="e">
        <f ca="1">VLOOKUP(_xlfn.CONCAT(U777,V777,W777,VLOOKUP(X777&amp;Y777,TIME!$L$27:$O$34,4,FALSE),Y777),HIS_SALES!$A$2:$R$5093,18,FALSE)</f>
        <v>#N/A</v>
      </c>
      <c r="AH777" s="412" t="e">
        <f ca="1">IFERROR(IF(AND(V777=V776,W777=W776),0.5*(AB777+AB776)*AG777,(VLOOKUP(_xlfn.CONCAT(U777,V777,W777,X777,VLOOKUP(Z777,TIME!$S$28:$T$39,2,FALSE)),FC_DATA!$R$2:$AB$5000,MATCH("GS_I_M",FC_DATA!$R$1:$AB$1,0),FALSE)+FC_DATA!AB777)*0.5*FC_DATA!AG777),NA())</f>
        <v>#N/A</v>
      </c>
      <c r="AI777" s="491" t="e">
        <f ca="1">IF(V777="PARTNER.com",AH777,IF(AND(V777=V776,W777=W776),(1-AVERAGE(AD776,AD777))*AH777,(1-AVERAGE(AD777,VLOOKUP(_xlfn.CONCAT(U777,V777,W777,X777,M_BRAND_FC!$F$6),FC_DATA!$R$2:$AD$5000,MATCH("DISCOUNT_%_M",FC_DATA!$R$1:$AD$1,0),FALSE)))*AH777))</f>
        <v>#N/A</v>
      </c>
      <c r="AJ777" s="412" t="str">
        <f t="shared" ca="1" si="318"/>
        <v/>
      </c>
      <c r="AK777" s="413" t="str">
        <f>IFERROR(AE777/(Q_BRAND_FC!$T$24+1),"")</f>
        <v/>
      </c>
      <c r="AL777" s="88" t="str">
        <f t="shared" ca="1" si="319"/>
        <v/>
      </c>
      <c r="AM777" s="414" t="str">
        <f t="shared" ca="1" si="320"/>
        <v/>
      </c>
      <c r="AN777" s="58">
        <f>IFERROR(IF($V777="BRAND.com",HLOOKUP($X777&amp;$Z777,NWC_FC_NOOS!$C$4:$Q$23,MATCH(W777,NWC_FC_NOOS!$B$4:$B$23,0),FALSE),0),0)</f>
        <v>0</v>
      </c>
      <c r="AO777" s="57">
        <f>IFERROR(IF($V777="BRAND.com",HLOOKUP($X777&amp;$Z777,NWC_FC_NOOS!$T$4:$AH$23,MATCH(W777,NWC_FC_NOOS!$S$4:$S$23,0),FALSE),0),0)</f>
        <v>0</v>
      </c>
      <c r="AP777" s="57">
        <f>IFERROR(IF($V777="BRAND.com",HLOOKUP($X777&amp;$Z777,NWC_FC_NOOS!$C$50:$U$69,MATCH(W777,NWC_FC_NOOS!$B$50:$B$69,0),FALSE),0),0)</f>
        <v>0</v>
      </c>
      <c r="AQ777" s="58">
        <f>IFERROR(IF($V777="BRAND.com",HLOOKUP($X777&amp;$Z777,'NWC_FC_NON-NOOS'!$C$4:$Q$23,MATCH(W777,'NWC_FC_NON-NOOS'!$B$4:$B$23,0),FALSE),0),0)</f>
        <v>0</v>
      </c>
      <c r="AR777" s="57">
        <f>IFERROR(IF($V777="BRAND.com",HLOOKUP($X777&amp;$Z777,'NWC_FC_NON-NOOS'!$T$4:$AH$23,MATCH(W777,'NWC_FC_NON-NOOS'!$S$4:$S$23,0),FALSE),0),0)</f>
        <v>0</v>
      </c>
      <c r="AS777" s="57">
        <f>IFERROR(IF($V777="BRAND.com",HLOOKUP($X777&amp;$Z777,'NWC_FC_NON-NOOS'!$C$50:$U$69,MATCH(W777,'NWC_FC_NON-NOOS'!$B$50:$B$69,0),FALSE),0),0)</f>
        <v>0</v>
      </c>
      <c r="AT777" s="57">
        <f t="shared" si="322"/>
        <v>0</v>
      </c>
      <c r="AU777" s="57">
        <f t="shared" si="323"/>
        <v>0</v>
      </c>
      <c r="AV777" s="58">
        <f>IFERROR(IF($V777="BRAND.com",HLOOKUP($X777&amp;$Z777,PLANNING_FC!$BB$27:$BP$46,MATCH($W777,PLANNING_FC!$BA$27:$BA$46,0),FALSE),0),0)</f>
        <v>0</v>
      </c>
      <c r="AW777" s="58">
        <f>IFERROR(IF($V777="BRAND.com",HLOOKUP($X777&amp;$Z777,PLANNING_FC!$BB$4:$BP$23,MATCH($W777,PLANNING_FC!$BA$4:$BA$23,0),FALSE),0),0)</f>
        <v>0</v>
      </c>
      <c r="AX777" s="58">
        <f>IFERROR(IF($V777="BRAND.com",HLOOKUP($X777&amp;$Z777,PLANNING_FC!$T$27:$AH$46,MATCH($W777,PLANNING_FC!$B$27:$B$46,0),FALSE),0),0)</f>
        <v>0</v>
      </c>
      <c r="AY777" s="58">
        <f>IFERROR(IF($V777="BRAND.com",HLOOKUP($X777&amp;$Z777,PLANNING_FC!$T$4:$AH$23,MATCH($W777,PLANNING_FC!$B$4:$B$23,0),FALSE),0),0)</f>
        <v>0</v>
      </c>
      <c r="AZ777" s="58">
        <f>IFERROR(IF($V777="BRAND.com",HLOOKUP($X777&amp;$Z777,PLANNING_FC!$DA$27:$DO$46,MATCH($W777,PLANNING_FC!$CZ$27:$CZ$46,0),FALSE),0),0)</f>
        <v>0</v>
      </c>
      <c r="BA777" s="58">
        <f>IFERROR(IF($V777="BRAND.com",HLOOKUP($X777&amp;$Z777,PLANNING_FC!$DA$4:$DO$23,MATCH($W777,PLANNING_FC!$CZ$4:$CZ$23,0),FALSE),0),0)</f>
        <v>0</v>
      </c>
      <c r="BB777" s="883" t="str">
        <f>IF(V777="BRAND.com",IFERROR(HLOOKUP(X777&amp;Z777,PLANNING_FC!$AK$4:$AY$23,MATCH(W777,PLANNING_FC!$AJ$4:$AJ$23,0),FALSE)*1000,""),"")</f>
        <v/>
      </c>
      <c r="BC777" s="883" t="str">
        <f>IF(V777="BRAND.com",IFERROR(HLOOKUP(X777&amp;Z777,PLANNING_FC!$AK$27:$AY$46,MATCH(W777,PLANNING_FC!$AJ$27:$AJ$46,0),FALSE)*1000,""),"")</f>
        <v/>
      </c>
    </row>
    <row r="778" spans="14:55" x14ac:dyDescent="0.25">
      <c r="N778" s="56">
        <f t="shared" si="304"/>
        <v>0</v>
      </c>
      <c r="O778" s="57">
        <f t="shared" si="305"/>
        <v>0</v>
      </c>
      <c r="P778" s="57">
        <f ca="1">IFERROR(IF(ISBLANK(H778),SUMIFS($AC:$AC,$V:$V,V778,$W:$W,W778,$X:$X,X778,$Y:$Y,Y778)*J778/(1-J778)*VLOOKUP(_xlfn.CONCAT(C778,D778,E778,TIME!$M$12,Z778),HIS_SALES!$B$2:$W$4859,20,FALSE),AC778*J778/(1-J778)),0)</f>
        <v>0</v>
      </c>
      <c r="Q778" s="541" t="str">
        <f t="shared" si="306"/>
        <v/>
      </c>
      <c r="R778" s="346" t="str">
        <f t="shared" si="307"/>
        <v>00000</v>
      </c>
      <c r="S778" s="344">
        <f t="shared" si="308"/>
        <v>0</v>
      </c>
      <c r="T778" s="345" t="str">
        <f t="shared" si="321"/>
        <v>000</v>
      </c>
      <c r="U778" s="345">
        <f t="shared" si="309"/>
        <v>0</v>
      </c>
      <c r="V778" s="345">
        <f t="shared" si="310"/>
        <v>0</v>
      </c>
      <c r="W778" s="345">
        <f t="shared" si="311"/>
        <v>0</v>
      </c>
      <c r="X778" s="345">
        <f t="shared" si="312"/>
        <v>0</v>
      </c>
      <c r="Y778" s="345">
        <f t="shared" si="313"/>
        <v>0</v>
      </c>
      <c r="Z778" s="345">
        <f>IF(Q778&lt;&gt;"",VLOOKUP(Y778,TIME!$R$21:$V$24,MATCH(FC_DATA!Q778,TIME!$R$20:$V$20,0),FALSE),H778)</f>
        <v>0</v>
      </c>
      <c r="AA778" s="345" t="str">
        <f>IFERROR(VLOOKUP(X778&amp;Z778,TIME!$A$12:$D$71,4,FALSE),"")</f>
        <v/>
      </c>
      <c r="AB778" s="592">
        <f t="shared" ca="1" si="314"/>
        <v>0</v>
      </c>
      <c r="AC778" s="593" t="e">
        <f ca="1">IF(ISBLANK(H778)=FALSE,IF(D778="BRAND.com",I778,IF(ISNA(VLOOKUP(_xlfn.CONCAT(X778,Z778),TIME!$M$40:$M$42,1,FALSE)),I778,VLOOKUP(_xlfn.CONCAT(D778,G778,H778),M_BUSAREA_FC!$AF$5:$AJ$10,5,FALSE)*HLOOKUP(_xlfn.CONCAT(F778,H778),ST_OVERVIEW!$G$99:$I$130,MATCH(_xlfn.CONCAT(D778,E778),ST_OVERVIEW!$F$99:$F$130,0),FALSE))),IF(D778="BRAND.com",VLOOKUP(_xlfn.CONCAT(C778,D778,E778,TIME!$F$1,Z778),HIS_SALES!$B$2:$V$4859,19,FALSE)*I778,VLOOKUP(_xlfn.CONCAT(D778,F778,G778),Q_BUSAREA_FC!$AE$5:$AI$12,5,FALSE)*HLOOKUP(_xlfn.CONCAT(FC_DATA!F778,FC_DATA!G778),LT_OVERVIEW!$I$99:$M$130,MATCH(_xlfn.CONCAT(D778,FC_DATA!E778),LT_OVERVIEW!$H$99:$H$130,0),FALSE)*IFERROR(VLOOKUP(_xlfn.CONCAT(C778,D778,E778,TIME!$F$1,Z778),HIS_SALES!$B$2:$V$4859,19,FALSE),0)))</f>
        <v>#N/A</v>
      </c>
      <c r="AD778" s="341">
        <f t="shared" ca="1" si="315"/>
        <v>0</v>
      </c>
      <c r="AE778" s="363" t="str">
        <f t="shared" si="316"/>
        <v/>
      </c>
      <c r="AF778" s="342" t="str">
        <f t="shared" si="317"/>
        <v/>
      </c>
      <c r="AG778" s="411" t="e">
        <f ca="1">VLOOKUP(_xlfn.CONCAT(U778,V778,W778,VLOOKUP(X778&amp;Y778,TIME!$L$27:$O$34,4,FALSE),Y778),HIS_SALES!$A$2:$R$5093,18,FALSE)</f>
        <v>#N/A</v>
      </c>
      <c r="AH778" s="412" t="e">
        <f ca="1">IFERROR(IF(AND(V778=V777,W778=W777),0.5*(AB778+AB777)*AG778,(VLOOKUP(_xlfn.CONCAT(U778,V778,W778,X778,VLOOKUP(Z778,TIME!$S$28:$T$39,2,FALSE)),FC_DATA!$R$2:$AB$5000,MATCH("GS_I_M",FC_DATA!$R$1:$AB$1,0),FALSE)+FC_DATA!AB778)*0.5*FC_DATA!AG778),NA())</f>
        <v>#N/A</v>
      </c>
      <c r="AI778" s="491" t="e">
        <f ca="1">IF(V778="PARTNER.com",AH778,IF(AND(V778=V777,W778=W777),(1-AVERAGE(AD777,AD778))*AH778,(1-AVERAGE(AD778,VLOOKUP(_xlfn.CONCAT(U778,V778,W778,X778,M_BRAND_FC!$F$6),FC_DATA!$R$2:$AD$5000,MATCH("DISCOUNT_%_M",FC_DATA!$R$1:$AD$1,0),FALSE)))*AH778))</f>
        <v>#N/A</v>
      </c>
      <c r="AJ778" s="412" t="str">
        <f t="shared" ca="1" si="318"/>
        <v/>
      </c>
      <c r="AK778" s="413" t="str">
        <f>IFERROR(AE778/(Q_BRAND_FC!$T$24+1),"")</f>
        <v/>
      </c>
      <c r="AL778" s="88" t="str">
        <f t="shared" ca="1" si="319"/>
        <v/>
      </c>
      <c r="AM778" s="414" t="str">
        <f t="shared" ca="1" si="320"/>
        <v/>
      </c>
      <c r="AN778" s="58">
        <f>IFERROR(IF($V778="BRAND.com",HLOOKUP($X778&amp;$Z778,NWC_FC_NOOS!$C$4:$Q$23,MATCH(W778,NWC_FC_NOOS!$B$4:$B$23,0),FALSE),0),0)</f>
        <v>0</v>
      </c>
      <c r="AO778" s="57">
        <f>IFERROR(IF($V778="BRAND.com",HLOOKUP($X778&amp;$Z778,NWC_FC_NOOS!$T$4:$AH$23,MATCH(W778,NWC_FC_NOOS!$S$4:$S$23,0),FALSE),0),0)</f>
        <v>0</v>
      </c>
      <c r="AP778" s="57">
        <f>IFERROR(IF($V778="BRAND.com",HLOOKUP($X778&amp;$Z778,NWC_FC_NOOS!$C$50:$U$69,MATCH(W778,NWC_FC_NOOS!$B$50:$B$69,0),FALSE),0),0)</f>
        <v>0</v>
      </c>
      <c r="AQ778" s="58">
        <f>IFERROR(IF($V778="BRAND.com",HLOOKUP($X778&amp;$Z778,'NWC_FC_NON-NOOS'!$C$4:$Q$23,MATCH(W778,'NWC_FC_NON-NOOS'!$B$4:$B$23,0),FALSE),0),0)</f>
        <v>0</v>
      </c>
      <c r="AR778" s="57">
        <f>IFERROR(IF($V778="BRAND.com",HLOOKUP($X778&amp;$Z778,'NWC_FC_NON-NOOS'!$T$4:$AH$23,MATCH(W778,'NWC_FC_NON-NOOS'!$S$4:$S$23,0),FALSE),0),0)</f>
        <v>0</v>
      </c>
      <c r="AS778" s="57">
        <f>IFERROR(IF($V778="BRAND.com",HLOOKUP($X778&amp;$Z778,'NWC_FC_NON-NOOS'!$C$50:$U$69,MATCH(W778,'NWC_FC_NON-NOOS'!$B$50:$B$69,0),FALSE),0),0)</f>
        <v>0</v>
      </c>
      <c r="AT778" s="57">
        <f t="shared" si="322"/>
        <v>0</v>
      </c>
      <c r="AU778" s="57">
        <f t="shared" si="323"/>
        <v>0</v>
      </c>
      <c r="AV778" s="58">
        <f>IFERROR(IF($V778="BRAND.com",HLOOKUP($X778&amp;$Z778,PLANNING_FC!$BB$27:$BP$46,MATCH($W778,PLANNING_FC!$BA$27:$BA$46,0),FALSE),0),0)</f>
        <v>0</v>
      </c>
      <c r="AW778" s="58">
        <f>IFERROR(IF($V778="BRAND.com",HLOOKUP($X778&amp;$Z778,PLANNING_FC!$BB$4:$BP$23,MATCH($W778,PLANNING_FC!$BA$4:$BA$23,0),FALSE),0),0)</f>
        <v>0</v>
      </c>
      <c r="AX778" s="58">
        <f>IFERROR(IF($V778="BRAND.com",HLOOKUP($X778&amp;$Z778,PLANNING_FC!$T$27:$AH$46,MATCH($W778,PLANNING_FC!$B$27:$B$46,0),FALSE),0),0)</f>
        <v>0</v>
      </c>
      <c r="AY778" s="58">
        <f>IFERROR(IF($V778="BRAND.com",HLOOKUP($X778&amp;$Z778,PLANNING_FC!$T$4:$AH$23,MATCH($W778,PLANNING_FC!$B$4:$B$23,0),FALSE),0),0)</f>
        <v>0</v>
      </c>
      <c r="AZ778" s="58">
        <f>IFERROR(IF($V778="BRAND.com",HLOOKUP($X778&amp;$Z778,PLANNING_FC!$DA$27:$DO$46,MATCH($W778,PLANNING_FC!$CZ$27:$CZ$46,0),FALSE),0),0)</f>
        <v>0</v>
      </c>
      <c r="BA778" s="58">
        <f>IFERROR(IF($V778="BRAND.com",HLOOKUP($X778&amp;$Z778,PLANNING_FC!$DA$4:$DO$23,MATCH($W778,PLANNING_FC!$CZ$4:$CZ$23,0),FALSE),0),0)</f>
        <v>0</v>
      </c>
      <c r="BB778" s="883" t="str">
        <f>IF(V778="BRAND.com",IFERROR(HLOOKUP(X778&amp;Z778,PLANNING_FC!$AK$4:$AY$23,MATCH(W778,PLANNING_FC!$AJ$4:$AJ$23,0),FALSE)*1000,""),"")</f>
        <v/>
      </c>
      <c r="BC778" s="883" t="str">
        <f>IF(V778="BRAND.com",IFERROR(HLOOKUP(X778&amp;Z778,PLANNING_FC!$AK$27:$AY$46,MATCH(W778,PLANNING_FC!$AJ$27:$AJ$46,0),FALSE)*1000,""),"")</f>
        <v/>
      </c>
    </row>
    <row r="779" spans="14:55" x14ac:dyDescent="0.25">
      <c r="N779" s="56">
        <f t="shared" si="304"/>
        <v>0</v>
      </c>
      <c r="O779" s="57">
        <f t="shared" si="305"/>
        <v>0</v>
      </c>
      <c r="P779" s="57">
        <f ca="1">IFERROR(IF(ISBLANK(H779),SUMIFS($AC:$AC,$V:$V,V779,$W:$W,W779,$X:$X,X779,$Y:$Y,Y779)*J779/(1-J779)*VLOOKUP(_xlfn.CONCAT(C779,D779,E779,TIME!$M$12,Z779),HIS_SALES!$B$2:$W$4859,20,FALSE),AC779*J779/(1-J779)),0)</f>
        <v>0</v>
      </c>
      <c r="Q779" s="541" t="str">
        <f t="shared" si="306"/>
        <v/>
      </c>
      <c r="R779" s="346" t="str">
        <f t="shared" si="307"/>
        <v>00000</v>
      </c>
      <c r="S779" s="344">
        <f t="shared" si="308"/>
        <v>0</v>
      </c>
      <c r="T779" s="345" t="str">
        <f t="shared" si="321"/>
        <v>000</v>
      </c>
      <c r="U779" s="345">
        <f t="shared" si="309"/>
        <v>0</v>
      </c>
      <c r="V779" s="345">
        <f t="shared" si="310"/>
        <v>0</v>
      </c>
      <c r="W779" s="345">
        <f t="shared" si="311"/>
        <v>0</v>
      </c>
      <c r="X779" s="345">
        <f t="shared" si="312"/>
        <v>0</v>
      </c>
      <c r="Y779" s="345">
        <f t="shared" si="313"/>
        <v>0</v>
      </c>
      <c r="Z779" s="345">
        <f>IF(Q779&lt;&gt;"",VLOOKUP(Y779,TIME!$R$21:$V$24,MATCH(FC_DATA!Q779,TIME!$R$20:$V$20,0),FALSE),H779)</f>
        <v>0</v>
      </c>
      <c r="AA779" s="345" t="str">
        <f>IFERROR(VLOOKUP(X779&amp;Z779,TIME!$A$12:$D$71,4,FALSE),"")</f>
        <v/>
      </c>
      <c r="AB779" s="592">
        <f t="shared" ca="1" si="314"/>
        <v>0</v>
      </c>
      <c r="AC779" s="593" t="e">
        <f ca="1">IF(ISBLANK(H779)=FALSE,IF(D779="BRAND.com",I779,IF(ISNA(VLOOKUP(_xlfn.CONCAT(X779,Z779),TIME!$M$40:$M$42,1,FALSE)),I779,VLOOKUP(_xlfn.CONCAT(D779,G779,H779),M_BUSAREA_FC!$AF$5:$AJ$10,5,FALSE)*HLOOKUP(_xlfn.CONCAT(F779,H779),ST_OVERVIEW!$G$99:$I$130,MATCH(_xlfn.CONCAT(D779,E779),ST_OVERVIEW!$F$99:$F$130,0),FALSE))),IF(D779="BRAND.com",VLOOKUP(_xlfn.CONCAT(C779,D779,E779,TIME!$F$1,Z779),HIS_SALES!$B$2:$V$4859,19,FALSE)*I779,VLOOKUP(_xlfn.CONCAT(D779,F779,G779),Q_BUSAREA_FC!$AE$5:$AI$12,5,FALSE)*HLOOKUP(_xlfn.CONCAT(FC_DATA!F779,FC_DATA!G779),LT_OVERVIEW!$I$99:$M$130,MATCH(_xlfn.CONCAT(D779,FC_DATA!E779),LT_OVERVIEW!$H$99:$H$130,0),FALSE)*IFERROR(VLOOKUP(_xlfn.CONCAT(C779,D779,E779,TIME!$F$1,Z779),HIS_SALES!$B$2:$V$4859,19,FALSE),0)))</f>
        <v>#N/A</v>
      </c>
      <c r="AD779" s="341">
        <f t="shared" ca="1" si="315"/>
        <v>0</v>
      </c>
      <c r="AE779" s="363" t="str">
        <f t="shared" si="316"/>
        <v/>
      </c>
      <c r="AF779" s="342" t="str">
        <f t="shared" si="317"/>
        <v/>
      </c>
      <c r="AG779" s="411" t="e">
        <f ca="1">VLOOKUP(_xlfn.CONCAT(U779,V779,W779,VLOOKUP(X779&amp;Y779,TIME!$L$27:$O$34,4,FALSE),Y779),HIS_SALES!$A$2:$R$5093,18,FALSE)</f>
        <v>#N/A</v>
      </c>
      <c r="AH779" s="412" t="e">
        <f ca="1">IFERROR(IF(AND(V779=V778,W779=W778),0.5*(AB779+AB778)*AG779,(VLOOKUP(_xlfn.CONCAT(U779,V779,W779,X779,VLOOKUP(Z779,TIME!$S$28:$T$39,2,FALSE)),FC_DATA!$R$2:$AB$5000,MATCH("GS_I_M",FC_DATA!$R$1:$AB$1,0),FALSE)+FC_DATA!AB779)*0.5*FC_DATA!AG779),NA())</f>
        <v>#N/A</v>
      </c>
      <c r="AI779" s="491" t="e">
        <f ca="1">IF(V779="PARTNER.com",AH779,IF(AND(V779=V778,W779=W778),(1-AVERAGE(AD778,AD779))*AH779,(1-AVERAGE(AD779,VLOOKUP(_xlfn.CONCAT(U779,V779,W779,X779,M_BRAND_FC!$F$6),FC_DATA!$R$2:$AD$5000,MATCH("DISCOUNT_%_M",FC_DATA!$R$1:$AD$1,0),FALSE)))*AH779))</f>
        <v>#N/A</v>
      </c>
      <c r="AJ779" s="412" t="str">
        <f t="shared" ca="1" si="318"/>
        <v/>
      </c>
      <c r="AK779" s="413" t="str">
        <f>IFERROR(AE779/(Q_BRAND_FC!$T$24+1),"")</f>
        <v/>
      </c>
      <c r="AL779" s="88" t="str">
        <f t="shared" ca="1" si="319"/>
        <v/>
      </c>
      <c r="AM779" s="414" t="str">
        <f t="shared" ca="1" si="320"/>
        <v/>
      </c>
      <c r="AN779" s="58">
        <f>IFERROR(IF($V779="BRAND.com",HLOOKUP($X779&amp;$Z779,NWC_FC_NOOS!$C$4:$Q$23,MATCH(W779,NWC_FC_NOOS!$B$4:$B$23,0),FALSE),0),0)</f>
        <v>0</v>
      </c>
      <c r="AO779" s="57">
        <f>IFERROR(IF($V779="BRAND.com",HLOOKUP($X779&amp;$Z779,NWC_FC_NOOS!$T$4:$AH$23,MATCH(W779,NWC_FC_NOOS!$S$4:$S$23,0),FALSE),0),0)</f>
        <v>0</v>
      </c>
      <c r="AP779" s="57">
        <f>IFERROR(IF($V779="BRAND.com",HLOOKUP($X779&amp;$Z779,NWC_FC_NOOS!$C$50:$U$69,MATCH(W779,NWC_FC_NOOS!$B$50:$B$69,0),FALSE),0),0)</f>
        <v>0</v>
      </c>
      <c r="AQ779" s="58">
        <f>IFERROR(IF($V779="BRAND.com",HLOOKUP($X779&amp;$Z779,'NWC_FC_NON-NOOS'!$C$4:$Q$23,MATCH(W779,'NWC_FC_NON-NOOS'!$B$4:$B$23,0),FALSE),0),0)</f>
        <v>0</v>
      </c>
      <c r="AR779" s="57">
        <f>IFERROR(IF($V779="BRAND.com",HLOOKUP($X779&amp;$Z779,'NWC_FC_NON-NOOS'!$T$4:$AH$23,MATCH(W779,'NWC_FC_NON-NOOS'!$S$4:$S$23,0),FALSE),0),0)</f>
        <v>0</v>
      </c>
      <c r="AS779" s="57">
        <f>IFERROR(IF($V779="BRAND.com",HLOOKUP($X779&amp;$Z779,'NWC_FC_NON-NOOS'!$C$50:$U$69,MATCH(W779,'NWC_FC_NON-NOOS'!$B$50:$B$69,0),FALSE),0),0)</f>
        <v>0</v>
      </c>
      <c r="AT779" s="57">
        <f t="shared" si="322"/>
        <v>0</v>
      </c>
      <c r="AU779" s="57">
        <f t="shared" si="323"/>
        <v>0</v>
      </c>
      <c r="AV779" s="58">
        <f>IFERROR(IF($V779="BRAND.com",HLOOKUP($X779&amp;$Z779,PLANNING_FC!$BB$27:$BP$46,MATCH($W779,PLANNING_FC!$BA$27:$BA$46,0),FALSE),0),0)</f>
        <v>0</v>
      </c>
      <c r="AW779" s="58">
        <f>IFERROR(IF($V779="BRAND.com",HLOOKUP($X779&amp;$Z779,PLANNING_FC!$BB$4:$BP$23,MATCH($W779,PLANNING_FC!$BA$4:$BA$23,0),FALSE),0),0)</f>
        <v>0</v>
      </c>
      <c r="AX779" s="58">
        <f>IFERROR(IF($V779="BRAND.com",HLOOKUP($X779&amp;$Z779,PLANNING_FC!$T$27:$AH$46,MATCH($W779,PLANNING_FC!$B$27:$B$46,0),FALSE),0),0)</f>
        <v>0</v>
      </c>
      <c r="AY779" s="58">
        <f>IFERROR(IF($V779="BRAND.com",HLOOKUP($X779&amp;$Z779,PLANNING_FC!$T$4:$AH$23,MATCH($W779,PLANNING_FC!$B$4:$B$23,0),FALSE),0),0)</f>
        <v>0</v>
      </c>
      <c r="AZ779" s="58">
        <f>IFERROR(IF($V779="BRAND.com",HLOOKUP($X779&amp;$Z779,PLANNING_FC!$DA$27:$DO$46,MATCH($W779,PLANNING_FC!$CZ$27:$CZ$46,0),FALSE),0),0)</f>
        <v>0</v>
      </c>
      <c r="BA779" s="58">
        <f>IFERROR(IF($V779="BRAND.com",HLOOKUP($X779&amp;$Z779,PLANNING_FC!$DA$4:$DO$23,MATCH($W779,PLANNING_FC!$CZ$4:$CZ$23,0),FALSE),0),0)</f>
        <v>0</v>
      </c>
      <c r="BB779" s="883" t="str">
        <f>IF(V779="BRAND.com",IFERROR(HLOOKUP(X779&amp;Z779,PLANNING_FC!$AK$4:$AY$23,MATCH(W779,PLANNING_FC!$AJ$4:$AJ$23,0),FALSE)*1000,""),"")</f>
        <v/>
      </c>
      <c r="BC779" s="883" t="str">
        <f>IF(V779="BRAND.com",IFERROR(HLOOKUP(X779&amp;Z779,PLANNING_FC!$AK$27:$AY$46,MATCH(W779,PLANNING_FC!$AJ$27:$AJ$46,0),FALSE)*1000,""),"")</f>
        <v/>
      </c>
    </row>
    <row r="780" spans="14:55" x14ac:dyDescent="0.25">
      <c r="N780" s="56">
        <f t="shared" si="304"/>
        <v>0</v>
      </c>
      <c r="O780" s="57">
        <f t="shared" si="305"/>
        <v>0</v>
      </c>
      <c r="P780" s="57">
        <f ca="1">IFERROR(IF(ISBLANK(H780),SUMIFS($AC:$AC,$V:$V,V780,$W:$W,W780,$X:$X,X780,$Y:$Y,Y780)*J780/(1-J780)*VLOOKUP(_xlfn.CONCAT(C780,D780,E780,TIME!$M$12,Z780),HIS_SALES!$B$2:$W$4859,20,FALSE),AC780*J780/(1-J780)),0)</f>
        <v>0</v>
      </c>
      <c r="Q780" s="541" t="str">
        <f t="shared" si="306"/>
        <v/>
      </c>
      <c r="R780" s="346" t="str">
        <f t="shared" si="307"/>
        <v>00000</v>
      </c>
      <c r="S780" s="344">
        <f t="shared" si="308"/>
        <v>0</v>
      </c>
      <c r="T780" s="345" t="str">
        <f t="shared" si="321"/>
        <v>000</v>
      </c>
      <c r="U780" s="345">
        <f t="shared" si="309"/>
        <v>0</v>
      </c>
      <c r="V780" s="345">
        <f t="shared" si="310"/>
        <v>0</v>
      </c>
      <c r="W780" s="345">
        <f t="shared" si="311"/>
        <v>0</v>
      </c>
      <c r="X780" s="345">
        <f t="shared" si="312"/>
        <v>0</v>
      </c>
      <c r="Y780" s="345">
        <f t="shared" si="313"/>
        <v>0</v>
      </c>
      <c r="Z780" s="345">
        <f>IF(Q780&lt;&gt;"",VLOOKUP(Y780,TIME!$R$21:$V$24,MATCH(FC_DATA!Q780,TIME!$R$20:$V$20,0),FALSE),H780)</f>
        <v>0</v>
      </c>
      <c r="AA780" s="345" t="str">
        <f>IFERROR(VLOOKUP(X780&amp;Z780,TIME!$A$12:$D$71,4,FALSE),"")</f>
        <v/>
      </c>
      <c r="AB780" s="592">
        <f t="shared" ca="1" si="314"/>
        <v>0</v>
      </c>
      <c r="AC780" s="593" t="e">
        <f ca="1">IF(ISBLANK(H780)=FALSE,IF(D780="BRAND.com",I780,IF(ISNA(VLOOKUP(_xlfn.CONCAT(X780,Z780),TIME!$M$40:$M$42,1,FALSE)),I780,VLOOKUP(_xlfn.CONCAT(D780,G780,H780),M_BUSAREA_FC!$AF$5:$AJ$10,5,FALSE)*HLOOKUP(_xlfn.CONCAT(F780,H780),ST_OVERVIEW!$G$99:$I$130,MATCH(_xlfn.CONCAT(D780,E780),ST_OVERVIEW!$F$99:$F$130,0),FALSE))),IF(D780="BRAND.com",VLOOKUP(_xlfn.CONCAT(C780,D780,E780,TIME!$F$1,Z780),HIS_SALES!$B$2:$V$4859,19,FALSE)*I780,VLOOKUP(_xlfn.CONCAT(D780,F780,G780),Q_BUSAREA_FC!$AE$5:$AI$12,5,FALSE)*HLOOKUP(_xlfn.CONCAT(FC_DATA!F780,FC_DATA!G780),LT_OVERVIEW!$I$99:$M$130,MATCH(_xlfn.CONCAT(D780,FC_DATA!E780),LT_OVERVIEW!$H$99:$H$130,0),FALSE)*IFERROR(VLOOKUP(_xlfn.CONCAT(C780,D780,E780,TIME!$F$1,Z780),HIS_SALES!$B$2:$V$4859,19,FALSE),0)))</f>
        <v>#N/A</v>
      </c>
      <c r="AD780" s="341">
        <f t="shared" ca="1" si="315"/>
        <v>0</v>
      </c>
      <c r="AE780" s="363" t="str">
        <f t="shared" si="316"/>
        <v/>
      </c>
      <c r="AF780" s="342" t="str">
        <f t="shared" si="317"/>
        <v/>
      </c>
      <c r="AG780" s="411" t="e">
        <f ca="1">VLOOKUP(_xlfn.CONCAT(U780,V780,W780,VLOOKUP(X780&amp;Y780,TIME!$L$27:$O$34,4,FALSE),Y780),HIS_SALES!$A$2:$R$5093,18,FALSE)</f>
        <v>#N/A</v>
      </c>
      <c r="AH780" s="412" t="e">
        <f ca="1">IFERROR(IF(AND(V780=V779,W780=W779),0.5*(AB780+AB779)*AG780,(VLOOKUP(_xlfn.CONCAT(U780,V780,W780,X780,VLOOKUP(Z780,TIME!$S$28:$T$39,2,FALSE)),FC_DATA!$R$2:$AB$5000,MATCH("GS_I_M",FC_DATA!$R$1:$AB$1,0),FALSE)+FC_DATA!AB780)*0.5*FC_DATA!AG780),NA())</f>
        <v>#N/A</v>
      </c>
      <c r="AI780" s="491" t="e">
        <f ca="1">IF(V780="PARTNER.com",AH780,IF(AND(V780=V779,W780=W779),(1-AVERAGE(AD779,AD780))*AH780,(1-AVERAGE(AD780,VLOOKUP(_xlfn.CONCAT(U780,V780,W780,X780,M_BRAND_FC!$F$6),FC_DATA!$R$2:$AD$5000,MATCH("DISCOUNT_%_M",FC_DATA!$R$1:$AD$1,0),FALSE)))*AH780))</f>
        <v>#N/A</v>
      </c>
      <c r="AJ780" s="412" t="str">
        <f t="shared" ca="1" si="318"/>
        <v/>
      </c>
      <c r="AK780" s="413" t="str">
        <f>IFERROR(AE780/(Q_BRAND_FC!$T$24+1),"")</f>
        <v/>
      </c>
      <c r="AL780" s="88" t="str">
        <f t="shared" ca="1" si="319"/>
        <v/>
      </c>
      <c r="AM780" s="414" t="str">
        <f t="shared" ca="1" si="320"/>
        <v/>
      </c>
      <c r="AN780" s="58">
        <f>IFERROR(IF($V780="BRAND.com",HLOOKUP($X780&amp;$Z780,NWC_FC_NOOS!$C$4:$Q$23,MATCH(W780,NWC_FC_NOOS!$B$4:$B$23,0),FALSE),0),0)</f>
        <v>0</v>
      </c>
      <c r="AO780" s="57">
        <f>IFERROR(IF($V780="BRAND.com",HLOOKUP($X780&amp;$Z780,NWC_FC_NOOS!$T$4:$AH$23,MATCH(W780,NWC_FC_NOOS!$S$4:$S$23,0),FALSE),0),0)</f>
        <v>0</v>
      </c>
      <c r="AP780" s="57">
        <f>IFERROR(IF($V780="BRAND.com",HLOOKUP($X780&amp;$Z780,NWC_FC_NOOS!$C$50:$U$69,MATCH(W780,NWC_FC_NOOS!$B$50:$B$69,0),FALSE),0),0)</f>
        <v>0</v>
      </c>
      <c r="AQ780" s="58">
        <f>IFERROR(IF($V780="BRAND.com",HLOOKUP($X780&amp;$Z780,'NWC_FC_NON-NOOS'!$C$4:$Q$23,MATCH(W780,'NWC_FC_NON-NOOS'!$B$4:$B$23,0),FALSE),0),0)</f>
        <v>0</v>
      </c>
      <c r="AR780" s="57">
        <f>IFERROR(IF($V780="BRAND.com",HLOOKUP($X780&amp;$Z780,'NWC_FC_NON-NOOS'!$T$4:$AH$23,MATCH(W780,'NWC_FC_NON-NOOS'!$S$4:$S$23,0),FALSE),0),0)</f>
        <v>0</v>
      </c>
      <c r="AS780" s="57">
        <f>IFERROR(IF($V780="BRAND.com",HLOOKUP($X780&amp;$Z780,'NWC_FC_NON-NOOS'!$C$50:$U$69,MATCH(W780,'NWC_FC_NON-NOOS'!$B$50:$B$69,0),FALSE),0),0)</f>
        <v>0</v>
      </c>
      <c r="AT780" s="57">
        <f t="shared" si="322"/>
        <v>0</v>
      </c>
      <c r="AU780" s="57">
        <f t="shared" si="323"/>
        <v>0</v>
      </c>
      <c r="AV780" s="58">
        <f>IFERROR(IF($V780="BRAND.com",HLOOKUP($X780&amp;$Z780,PLANNING_FC!$BB$27:$BP$46,MATCH($W780,PLANNING_FC!$BA$27:$BA$46,0),FALSE),0),0)</f>
        <v>0</v>
      </c>
      <c r="AW780" s="58">
        <f>IFERROR(IF($V780="BRAND.com",HLOOKUP($X780&amp;$Z780,PLANNING_FC!$BB$4:$BP$23,MATCH($W780,PLANNING_FC!$BA$4:$BA$23,0),FALSE),0),0)</f>
        <v>0</v>
      </c>
      <c r="AX780" s="58">
        <f>IFERROR(IF($V780="BRAND.com",HLOOKUP($X780&amp;$Z780,PLANNING_FC!$T$27:$AH$46,MATCH($W780,PLANNING_FC!$B$27:$B$46,0),FALSE),0),0)</f>
        <v>0</v>
      </c>
      <c r="AY780" s="58">
        <f>IFERROR(IF($V780="BRAND.com",HLOOKUP($X780&amp;$Z780,PLANNING_FC!$T$4:$AH$23,MATCH($W780,PLANNING_FC!$B$4:$B$23,0),FALSE),0),0)</f>
        <v>0</v>
      </c>
      <c r="AZ780" s="58">
        <f>IFERROR(IF($V780="BRAND.com",HLOOKUP($X780&amp;$Z780,PLANNING_FC!$DA$27:$DO$46,MATCH($W780,PLANNING_FC!$CZ$27:$CZ$46,0),FALSE),0),0)</f>
        <v>0</v>
      </c>
      <c r="BA780" s="58">
        <f>IFERROR(IF($V780="BRAND.com",HLOOKUP($X780&amp;$Z780,PLANNING_FC!$DA$4:$DO$23,MATCH($W780,PLANNING_FC!$CZ$4:$CZ$23,0),FALSE),0),0)</f>
        <v>0</v>
      </c>
      <c r="BB780" s="883" t="str">
        <f>IF(V780="BRAND.com",IFERROR(HLOOKUP(X780&amp;Z780,PLANNING_FC!$AK$4:$AY$23,MATCH(W780,PLANNING_FC!$AJ$4:$AJ$23,0),FALSE)*1000,""),"")</f>
        <v/>
      </c>
      <c r="BC780" s="883" t="str">
        <f>IF(V780="BRAND.com",IFERROR(HLOOKUP(X780&amp;Z780,PLANNING_FC!$AK$27:$AY$46,MATCH(W780,PLANNING_FC!$AJ$27:$AJ$46,0),FALSE)*1000,""),"")</f>
        <v/>
      </c>
    </row>
    <row r="781" spans="14:55" x14ac:dyDescent="0.25">
      <c r="N781" s="56">
        <f t="shared" si="304"/>
        <v>0</v>
      </c>
      <c r="O781" s="57">
        <f t="shared" si="305"/>
        <v>0</v>
      </c>
      <c r="P781" s="57">
        <f ca="1">IFERROR(IF(ISBLANK(H781),SUMIFS($AC:$AC,$V:$V,V781,$W:$W,W781,$X:$X,X781,$Y:$Y,Y781)*J781/(1-J781)*VLOOKUP(_xlfn.CONCAT(C781,D781,E781,TIME!$M$12,Z781),HIS_SALES!$B$2:$W$4859,20,FALSE),AC781*J781/(1-J781)),0)</f>
        <v>0</v>
      </c>
      <c r="Q781" s="541" t="str">
        <f t="shared" si="306"/>
        <v/>
      </c>
      <c r="R781" s="346" t="str">
        <f t="shared" si="307"/>
        <v>00000</v>
      </c>
      <c r="S781" s="344">
        <f t="shared" si="308"/>
        <v>0</v>
      </c>
      <c r="T781" s="345" t="str">
        <f t="shared" si="321"/>
        <v>000</v>
      </c>
      <c r="U781" s="345">
        <f t="shared" si="309"/>
        <v>0</v>
      </c>
      <c r="V781" s="345">
        <f t="shared" si="310"/>
        <v>0</v>
      </c>
      <c r="W781" s="345">
        <f t="shared" si="311"/>
        <v>0</v>
      </c>
      <c r="X781" s="345">
        <f t="shared" si="312"/>
        <v>0</v>
      </c>
      <c r="Y781" s="345">
        <f t="shared" si="313"/>
        <v>0</v>
      </c>
      <c r="Z781" s="345">
        <f>IF(Q781&lt;&gt;"",VLOOKUP(Y781,TIME!$R$21:$V$24,MATCH(FC_DATA!Q781,TIME!$R$20:$V$20,0),FALSE),H781)</f>
        <v>0</v>
      </c>
      <c r="AA781" s="345" t="str">
        <f>IFERROR(VLOOKUP(X781&amp;Z781,TIME!$A$12:$D$71,4,FALSE),"")</f>
        <v/>
      </c>
      <c r="AB781" s="592">
        <f t="shared" ca="1" si="314"/>
        <v>0</v>
      </c>
      <c r="AC781" s="593" t="e">
        <f ca="1">IF(ISBLANK(H781)=FALSE,IF(D781="BRAND.com",I781,IF(ISNA(VLOOKUP(_xlfn.CONCAT(X781,Z781),TIME!$M$40:$M$42,1,FALSE)),I781,VLOOKUP(_xlfn.CONCAT(D781,G781,H781),M_BUSAREA_FC!$AF$5:$AJ$10,5,FALSE)*HLOOKUP(_xlfn.CONCAT(F781,H781),ST_OVERVIEW!$G$99:$I$130,MATCH(_xlfn.CONCAT(D781,E781),ST_OVERVIEW!$F$99:$F$130,0),FALSE))),IF(D781="BRAND.com",VLOOKUP(_xlfn.CONCAT(C781,D781,E781,TIME!$F$1,Z781),HIS_SALES!$B$2:$V$4859,19,FALSE)*I781,VLOOKUP(_xlfn.CONCAT(D781,F781,G781),Q_BUSAREA_FC!$AE$5:$AI$12,5,FALSE)*HLOOKUP(_xlfn.CONCAT(FC_DATA!F781,FC_DATA!G781),LT_OVERVIEW!$I$99:$M$130,MATCH(_xlfn.CONCAT(D781,FC_DATA!E781),LT_OVERVIEW!$H$99:$H$130,0),FALSE)*IFERROR(VLOOKUP(_xlfn.CONCAT(C781,D781,E781,TIME!$F$1,Z781),HIS_SALES!$B$2:$V$4859,19,FALSE),0)))</f>
        <v>#N/A</v>
      </c>
      <c r="AD781" s="341">
        <f t="shared" ca="1" si="315"/>
        <v>0</v>
      </c>
      <c r="AE781" s="363" t="str">
        <f t="shared" si="316"/>
        <v/>
      </c>
      <c r="AF781" s="342" t="str">
        <f t="shared" si="317"/>
        <v/>
      </c>
      <c r="AG781" s="411" t="e">
        <f ca="1">VLOOKUP(_xlfn.CONCAT(U781,V781,W781,VLOOKUP(X781&amp;Y781,TIME!$L$27:$O$34,4,FALSE),Y781),HIS_SALES!$A$2:$R$5093,18,FALSE)</f>
        <v>#N/A</v>
      </c>
      <c r="AH781" s="412" t="e">
        <f ca="1">IFERROR(IF(AND(V781=V780,W781=W780),0.5*(AB781+AB780)*AG781,(VLOOKUP(_xlfn.CONCAT(U781,V781,W781,X781,VLOOKUP(Z781,TIME!$S$28:$T$39,2,FALSE)),FC_DATA!$R$2:$AB$5000,MATCH("GS_I_M",FC_DATA!$R$1:$AB$1,0),FALSE)+FC_DATA!AB781)*0.5*FC_DATA!AG781),NA())</f>
        <v>#N/A</v>
      </c>
      <c r="AI781" s="491" t="e">
        <f ca="1">IF(V781="PARTNER.com",AH781,IF(AND(V781=V780,W781=W780),(1-AVERAGE(AD780,AD781))*AH781,(1-AVERAGE(AD781,VLOOKUP(_xlfn.CONCAT(U781,V781,W781,X781,M_BRAND_FC!$F$6),FC_DATA!$R$2:$AD$5000,MATCH("DISCOUNT_%_M",FC_DATA!$R$1:$AD$1,0),FALSE)))*AH781))</f>
        <v>#N/A</v>
      </c>
      <c r="AJ781" s="412" t="str">
        <f t="shared" ca="1" si="318"/>
        <v/>
      </c>
      <c r="AK781" s="413" t="str">
        <f>IFERROR(AE781/(Q_BRAND_FC!$T$24+1),"")</f>
        <v/>
      </c>
      <c r="AL781" s="88" t="str">
        <f t="shared" ca="1" si="319"/>
        <v/>
      </c>
      <c r="AM781" s="414" t="str">
        <f t="shared" ca="1" si="320"/>
        <v/>
      </c>
      <c r="AN781" s="58">
        <f>IFERROR(IF($V781="BRAND.com",HLOOKUP($X781&amp;$Z781,NWC_FC_NOOS!$C$4:$Q$23,MATCH(W781,NWC_FC_NOOS!$B$4:$B$23,0),FALSE),0),0)</f>
        <v>0</v>
      </c>
      <c r="AO781" s="57">
        <f>IFERROR(IF($V781="BRAND.com",HLOOKUP($X781&amp;$Z781,NWC_FC_NOOS!$T$4:$AH$23,MATCH(W781,NWC_FC_NOOS!$S$4:$S$23,0),FALSE),0),0)</f>
        <v>0</v>
      </c>
      <c r="AP781" s="57">
        <f>IFERROR(IF($V781="BRAND.com",HLOOKUP($X781&amp;$Z781,NWC_FC_NOOS!$C$50:$U$69,MATCH(W781,NWC_FC_NOOS!$B$50:$B$69,0),FALSE),0),0)</f>
        <v>0</v>
      </c>
      <c r="AQ781" s="58">
        <f>IFERROR(IF($V781="BRAND.com",HLOOKUP($X781&amp;$Z781,'NWC_FC_NON-NOOS'!$C$4:$Q$23,MATCH(W781,'NWC_FC_NON-NOOS'!$B$4:$B$23,0),FALSE),0),0)</f>
        <v>0</v>
      </c>
      <c r="AR781" s="57">
        <f>IFERROR(IF($V781="BRAND.com",HLOOKUP($X781&amp;$Z781,'NWC_FC_NON-NOOS'!$T$4:$AH$23,MATCH(W781,'NWC_FC_NON-NOOS'!$S$4:$S$23,0),FALSE),0),0)</f>
        <v>0</v>
      </c>
      <c r="AS781" s="57">
        <f>IFERROR(IF($V781="BRAND.com",HLOOKUP($X781&amp;$Z781,'NWC_FC_NON-NOOS'!$C$50:$U$69,MATCH(W781,'NWC_FC_NON-NOOS'!$B$50:$B$69,0),FALSE),0),0)</f>
        <v>0</v>
      </c>
      <c r="AT781" s="57">
        <f t="shared" si="322"/>
        <v>0</v>
      </c>
      <c r="AU781" s="57">
        <f t="shared" si="323"/>
        <v>0</v>
      </c>
      <c r="AV781" s="58">
        <f>IFERROR(IF($V781="BRAND.com",HLOOKUP($X781&amp;$Z781,PLANNING_FC!$BB$27:$BP$46,MATCH($W781,PLANNING_FC!$BA$27:$BA$46,0),FALSE),0),0)</f>
        <v>0</v>
      </c>
      <c r="AW781" s="58">
        <f>IFERROR(IF($V781="BRAND.com",HLOOKUP($X781&amp;$Z781,PLANNING_FC!$BB$4:$BP$23,MATCH($W781,PLANNING_FC!$BA$4:$BA$23,0),FALSE),0),0)</f>
        <v>0</v>
      </c>
      <c r="AX781" s="58">
        <f>IFERROR(IF($V781="BRAND.com",HLOOKUP($X781&amp;$Z781,PLANNING_FC!$T$27:$AH$46,MATCH($W781,PLANNING_FC!$B$27:$B$46,0),FALSE),0),0)</f>
        <v>0</v>
      </c>
      <c r="AY781" s="58">
        <f>IFERROR(IF($V781="BRAND.com",HLOOKUP($X781&amp;$Z781,PLANNING_FC!$T$4:$AH$23,MATCH($W781,PLANNING_FC!$B$4:$B$23,0),FALSE),0),0)</f>
        <v>0</v>
      </c>
      <c r="AZ781" s="58">
        <f>IFERROR(IF($V781="BRAND.com",HLOOKUP($X781&amp;$Z781,PLANNING_FC!$DA$27:$DO$46,MATCH($W781,PLANNING_FC!$CZ$27:$CZ$46,0),FALSE),0),0)</f>
        <v>0</v>
      </c>
      <c r="BA781" s="58">
        <f>IFERROR(IF($V781="BRAND.com",HLOOKUP($X781&amp;$Z781,PLANNING_FC!$DA$4:$DO$23,MATCH($W781,PLANNING_FC!$CZ$4:$CZ$23,0),FALSE),0),0)</f>
        <v>0</v>
      </c>
      <c r="BB781" s="883" t="str">
        <f>IF(V781="BRAND.com",IFERROR(HLOOKUP(X781&amp;Z781,PLANNING_FC!$AK$4:$AY$23,MATCH(W781,PLANNING_FC!$AJ$4:$AJ$23,0),FALSE)*1000,""),"")</f>
        <v/>
      </c>
      <c r="BC781" s="883" t="str">
        <f>IF(V781="BRAND.com",IFERROR(HLOOKUP(X781&amp;Z781,PLANNING_FC!$AK$27:$AY$46,MATCH(W781,PLANNING_FC!$AJ$27:$AJ$46,0),FALSE)*1000,""),"")</f>
        <v/>
      </c>
    </row>
    <row r="782" spans="14:55" x14ac:dyDescent="0.25">
      <c r="N782" s="56">
        <f t="shared" si="304"/>
        <v>0</v>
      </c>
      <c r="O782" s="57">
        <f t="shared" si="305"/>
        <v>0</v>
      </c>
      <c r="P782" s="57">
        <f ca="1">IFERROR(IF(ISBLANK(H782),SUMIFS($AC:$AC,$V:$V,V782,$W:$W,W782,$X:$X,X782,$Y:$Y,Y782)*J782/(1-J782)*VLOOKUP(_xlfn.CONCAT(C782,D782,E782,TIME!$M$12,Z782),HIS_SALES!$B$2:$W$4859,20,FALSE),AC782*J782/(1-J782)),0)</f>
        <v>0</v>
      </c>
      <c r="Q782" s="541" t="str">
        <f t="shared" si="306"/>
        <v/>
      </c>
      <c r="R782" s="346" t="str">
        <f t="shared" si="307"/>
        <v>00000</v>
      </c>
      <c r="S782" s="344">
        <f t="shared" si="308"/>
        <v>0</v>
      </c>
      <c r="T782" s="345" t="str">
        <f t="shared" si="321"/>
        <v>000</v>
      </c>
      <c r="U782" s="345">
        <f t="shared" si="309"/>
        <v>0</v>
      </c>
      <c r="V782" s="345">
        <f t="shared" si="310"/>
        <v>0</v>
      </c>
      <c r="W782" s="345">
        <f t="shared" si="311"/>
        <v>0</v>
      </c>
      <c r="X782" s="345">
        <f t="shared" si="312"/>
        <v>0</v>
      </c>
      <c r="Y782" s="345">
        <f t="shared" si="313"/>
        <v>0</v>
      </c>
      <c r="Z782" s="345">
        <f>IF(Q782&lt;&gt;"",VLOOKUP(Y782,TIME!$R$21:$V$24,MATCH(FC_DATA!Q782,TIME!$R$20:$V$20,0),FALSE),H782)</f>
        <v>0</v>
      </c>
      <c r="AA782" s="345" t="str">
        <f>IFERROR(VLOOKUP(X782&amp;Z782,TIME!$A$12:$D$71,4,FALSE),"")</f>
        <v/>
      </c>
      <c r="AB782" s="592">
        <f t="shared" ca="1" si="314"/>
        <v>0</v>
      </c>
      <c r="AC782" s="593" t="e">
        <f ca="1">IF(ISBLANK(H782)=FALSE,IF(D782="BRAND.com",I782,IF(ISNA(VLOOKUP(_xlfn.CONCAT(X782,Z782),TIME!$M$40:$M$42,1,FALSE)),I782,VLOOKUP(_xlfn.CONCAT(D782,G782,H782),M_BUSAREA_FC!$AF$5:$AJ$10,5,FALSE)*HLOOKUP(_xlfn.CONCAT(F782,H782),ST_OVERVIEW!$G$99:$I$130,MATCH(_xlfn.CONCAT(D782,E782),ST_OVERVIEW!$F$99:$F$130,0),FALSE))),IF(D782="BRAND.com",VLOOKUP(_xlfn.CONCAT(C782,D782,E782,TIME!$F$1,Z782),HIS_SALES!$B$2:$V$4859,19,FALSE)*I782,VLOOKUP(_xlfn.CONCAT(D782,F782,G782),Q_BUSAREA_FC!$AE$5:$AI$12,5,FALSE)*HLOOKUP(_xlfn.CONCAT(FC_DATA!F782,FC_DATA!G782),LT_OVERVIEW!$I$99:$M$130,MATCH(_xlfn.CONCAT(D782,FC_DATA!E782),LT_OVERVIEW!$H$99:$H$130,0),FALSE)*IFERROR(VLOOKUP(_xlfn.CONCAT(C782,D782,E782,TIME!$F$1,Z782),HIS_SALES!$B$2:$V$4859,19,FALSE),0)))</f>
        <v>#N/A</v>
      </c>
      <c r="AD782" s="341">
        <f t="shared" ca="1" si="315"/>
        <v>0</v>
      </c>
      <c r="AE782" s="363" t="str">
        <f t="shared" si="316"/>
        <v/>
      </c>
      <c r="AF782" s="342" t="str">
        <f t="shared" si="317"/>
        <v/>
      </c>
      <c r="AG782" s="411" t="e">
        <f ca="1">VLOOKUP(_xlfn.CONCAT(U782,V782,W782,VLOOKUP(X782&amp;Y782,TIME!$L$27:$O$34,4,FALSE),Y782),HIS_SALES!$A$2:$R$5093,18,FALSE)</f>
        <v>#N/A</v>
      </c>
      <c r="AH782" s="412" t="e">
        <f ca="1">IFERROR(IF(AND(V782=V781,W782=W781),0.5*(AB782+AB781)*AG782,(VLOOKUP(_xlfn.CONCAT(U782,V782,W782,X782,VLOOKUP(Z782,TIME!$S$28:$T$39,2,FALSE)),FC_DATA!$R$2:$AB$5000,MATCH("GS_I_M",FC_DATA!$R$1:$AB$1,0),FALSE)+FC_DATA!AB782)*0.5*FC_DATA!AG782),NA())</f>
        <v>#N/A</v>
      </c>
      <c r="AI782" s="491" t="e">
        <f ca="1">IF(V782="PARTNER.com",AH782,IF(AND(V782=V781,W782=W781),(1-AVERAGE(AD781,AD782))*AH782,(1-AVERAGE(AD782,VLOOKUP(_xlfn.CONCAT(U782,V782,W782,X782,M_BRAND_FC!$F$6),FC_DATA!$R$2:$AD$5000,MATCH("DISCOUNT_%_M",FC_DATA!$R$1:$AD$1,0),FALSE)))*AH782))</f>
        <v>#N/A</v>
      </c>
      <c r="AJ782" s="412" t="str">
        <f t="shared" ca="1" si="318"/>
        <v/>
      </c>
      <c r="AK782" s="413" t="str">
        <f>IFERROR(AE782/(Q_BRAND_FC!$T$24+1),"")</f>
        <v/>
      </c>
      <c r="AL782" s="88" t="str">
        <f t="shared" ca="1" si="319"/>
        <v/>
      </c>
      <c r="AM782" s="414" t="str">
        <f t="shared" ca="1" si="320"/>
        <v/>
      </c>
      <c r="AN782" s="58">
        <f>IFERROR(IF($V782="BRAND.com",HLOOKUP($X782&amp;$Z782,NWC_FC_NOOS!$C$4:$Q$23,MATCH(W782,NWC_FC_NOOS!$B$4:$B$23,0),FALSE),0),0)</f>
        <v>0</v>
      </c>
      <c r="AO782" s="57">
        <f>IFERROR(IF($V782="BRAND.com",HLOOKUP($X782&amp;$Z782,NWC_FC_NOOS!$T$4:$AH$23,MATCH(W782,NWC_FC_NOOS!$S$4:$S$23,0),FALSE),0),0)</f>
        <v>0</v>
      </c>
      <c r="AP782" s="57">
        <f>IFERROR(IF($V782="BRAND.com",HLOOKUP($X782&amp;$Z782,NWC_FC_NOOS!$C$50:$U$69,MATCH(W782,NWC_FC_NOOS!$B$50:$B$69,0),FALSE),0),0)</f>
        <v>0</v>
      </c>
      <c r="AQ782" s="58">
        <f>IFERROR(IF($V782="BRAND.com",HLOOKUP($X782&amp;$Z782,'NWC_FC_NON-NOOS'!$C$4:$Q$23,MATCH(W782,'NWC_FC_NON-NOOS'!$B$4:$B$23,0),FALSE),0),0)</f>
        <v>0</v>
      </c>
      <c r="AR782" s="57">
        <f>IFERROR(IF($V782="BRAND.com",HLOOKUP($X782&amp;$Z782,'NWC_FC_NON-NOOS'!$T$4:$AH$23,MATCH(W782,'NWC_FC_NON-NOOS'!$S$4:$S$23,0),FALSE),0),0)</f>
        <v>0</v>
      </c>
      <c r="AS782" s="57">
        <f>IFERROR(IF($V782="BRAND.com",HLOOKUP($X782&amp;$Z782,'NWC_FC_NON-NOOS'!$C$50:$U$69,MATCH(W782,'NWC_FC_NON-NOOS'!$B$50:$B$69,0),FALSE),0),0)</f>
        <v>0</v>
      </c>
      <c r="AT782" s="57">
        <f t="shared" si="322"/>
        <v>0</v>
      </c>
      <c r="AU782" s="57">
        <f t="shared" si="323"/>
        <v>0</v>
      </c>
      <c r="AV782" s="58">
        <f>IFERROR(IF($V782="BRAND.com",HLOOKUP($X782&amp;$Z782,PLANNING_FC!$BB$27:$BP$46,MATCH($W782,PLANNING_FC!$BA$27:$BA$46,0),FALSE),0),0)</f>
        <v>0</v>
      </c>
      <c r="AW782" s="58">
        <f>IFERROR(IF($V782="BRAND.com",HLOOKUP($X782&amp;$Z782,PLANNING_FC!$BB$4:$BP$23,MATCH($W782,PLANNING_FC!$BA$4:$BA$23,0),FALSE),0),0)</f>
        <v>0</v>
      </c>
      <c r="AX782" s="58">
        <f>IFERROR(IF($V782="BRAND.com",HLOOKUP($X782&amp;$Z782,PLANNING_FC!$T$27:$AH$46,MATCH($W782,PLANNING_FC!$B$27:$B$46,0),FALSE),0),0)</f>
        <v>0</v>
      </c>
      <c r="AY782" s="58">
        <f>IFERROR(IF($V782="BRAND.com",HLOOKUP($X782&amp;$Z782,PLANNING_FC!$T$4:$AH$23,MATCH($W782,PLANNING_FC!$B$4:$B$23,0),FALSE),0),0)</f>
        <v>0</v>
      </c>
      <c r="AZ782" s="58">
        <f>IFERROR(IF($V782="BRAND.com",HLOOKUP($X782&amp;$Z782,PLANNING_FC!$DA$27:$DO$46,MATCH($W782,PLANNING_FC!$CZ$27:$CZ$46,0),FALSE),0),0)</f>
        <v>0</v>
      </c>
      <c r="BA782" s="58">
        <f>IFERROR(IF($V782="BRAND.com",HLOOKUP($X782&amp;$Z782,PLANNING_FC!$DA$4:$DO$23,MATCH($W782,PLANNING_FC!$CZ$4:$CZ$23,0),FALSE),0),0)</f>
        <v>0</v>
      </c>
      <c r="BB782" s="883" t="str">
        <f>IF(V782="BRAND.com",IFERROR(HLOOKUP(X782&amp;Z782,PLANNING_FC!$AK$4:$AY$23,MATCH(W782,PLANNING_FC!$AJ$4:$AJ$23,0),FALSE)*1000,""),"")</f>
        <v/>
      </c>
      <c r="BC782" s="883" t="str">
        <f>IF(V782="BRAND.com",IFERROR(HLOOKUP(X782&amp;Z782,PLANNING_FC!$AK$27:$AY$46,MATCH(W782,PLANNING_FC!$AJ$27:$AJ$46,0),FALSE)*1000,""),"")</f>
        <v/>
      </c>
    </row>
    <row r="783" spans="14:55" x14ac:dyDescent="0.25">
      <c r="N783" s="56">
        <f t="shared" si="304"/>
        <v>0</v>
      </c>
      <c r="O783" s="57">
        <f t="shared" si="305"/>
        <v>0</v>
      </c>
      <c r="P783" s="57">
        <f ca="1">IFERROR(IF(ISBLANK(H783),SUMIFS($AC:$AC,$V:$V,V783,$W:$W,W783,$X:$X,X783,$Y:$Y,Y783)*J783/(1-J783)*VLOOKUP(_xlfn.CONCAT(C783,D783,E783,TIME!$M$12,Z783),HIS_SALES!$B$2:$W$4859,20,FALSE),AC783*J783/(1-J783)),0)</f>
        <v>0</v>
      </c>
      <c r="Q783" s="541" t="str">
        <f t="shared" si="306"/>
        <v/>
      </c>
      <c r="R783" s="346" t="str">
        <f t="shared" si="307"/>
        <v>00000</v>
      </c>
      <c r="S783" s="344">
        <f t="shared" si="308"/>
        <v>0</v>
      </c>
      <c r="T783" s="345" t="str">
        <f t="shared" si="321"/>
        <v>000</v>
      </c>
      <c r="U783" s="345">
        <f t="shared" si="309"/>
        <v>0</v>
      </c>
      <c r="V783" s="345">
        <f t="shared" si="310"/>
        <v>0</v>
      </c>
      <c r="W783" s="345">
        <f t="shared" si="311"/>
        <v>0</v>
      </c>
      <c r="X783" s="345">
        <f t="shared" si="312"/>
        <v>0</v>
      </c>
      <c r="Y783" s="345">
        <f t="shared" si="313"/>
        <v>0</v>
      </c>
      <c r="Z783" s="345">
        <f>IF(Q783&lt;&gt;"",VLOOKUP(Y783,TIME!$R$21:$V$24,MATCH(FC_DATA!Q783,TIME!$R$20:$V$20,0),FALSE),H783)</f>
        <v>0</v>
      </c>
      <c r="AA783" s="345" t="str">
        <f>IFERROR(VLOOKUP(X783&amp;Z783,TIME!$A$12:$D$71,4,FALSE),"")</f>
        <v/>
      </c>
      <c r="AB783" s="592">
        <f t="shared" ca="1" si="314"/>
        <v>0</v>
      </c>
      <c r="AC783" s="593" t="e">
        <f ca="1">IF(ISBLANK(H783)=FALSE,IF(D783="BRAND.com",I783,IF(ISNA(VLOOKUP(_xlfn.CONCAT(X783,Z783),TIME!$M$40:$M$42,1,FALSE)),I783,VLOOKUP(_xlfn.CONCAT(D783,G783,H783),M_BUSAREA_FC!$AF$5:$AJ$10,5,FALSE)*HLOOKUP(_xlfn.CONCAT(F783,H783),ST_OVERVIEW!$G$99:$I$130,MATCH(_xlfn.CONCAT(D783,E783),ST_OVERVIEW!$F$99:$F$130,0),FALSE))),IF(D783="BRAND.com",VLOOKUP(_xlfn.CONCAT(C783,D783,E783,TIME!$F$1,Z783),HIS_SALES!$B$2:$V$4859,19,FALSE)*I783,VLOOKUP(_xlfn.CONCAT(D783,F783,G783),Q_BUSAREA_FC!$AE$5:$AI$12,5,FALSE)*HLOOKUP(_xlfn.CONCAT(FC_DATA!F783,FC_DATA!G783),LT_OVERVIEW!$I$99:$M$130,MATCH(_xlfn.CONCAT(D783,FC_DATA!E783),LT_OVERVIEW!$H$99:$H$130,0),FALSE)*IFERROR(VLOOKUP(_xlfn.CONCAT(C783,D783,E783,TIME!$F$1,Z783),HIS_SALES!$B$2:$V$4859,19,FALSE),0)))</f>
        <v>#N/A</v>
      </c>
      <c r="AD783" s="341">
        <f t="shared" ca="1" si="315"/>
        <v>0</v>
      </c>
      <c r="AE783" s="363" t="str">
        <f t="shared" si="316"/>
        <v/>
      </c>
      <c r="AF783" s="342" t="str">
        <f t="shared" si="317"/>
        <v/>
      </c>
      <c r="AG783" s="411" t="e">
        <f ca="1">VLOOKUP(_xlfn.CONCAT(U783,V783,W783,VLOOKUP(X783&amp;Y783,TIME!$L$27:$O$34,4,FALSE),Y783),HIS_SALES!$A$2:$R$5093,18,FALSE)</f>
        <v>#N/A</v>
      </c>
      <c r="AH783" s="412" t="e">
        <f ca="1">IFERROR(IF(AND(V783=V782,W783=W782),0.5*(AB783+AB782)*AG783,(VLOOKUP(_xlfn.CONCAT(U783,V783,W783,X783,VLOOKUP(Z783,TIME!$S$28:$T$39,2,FALSE)),FC_DATA!$R$2:$AB$5000,MATCH("GS_I_M",FC_DATA!$R$1:$AB$1,0),FALSE)+FC_DATA!AB783)*0.5*FC_DATA!AG783),NA())</f>
        <v>#N/A</v>
      </c>
      <c r="AI783" s="491" t="e">
        <f ca="1">IF(V783="PARTNER.com",AH783,IF(AND(V783=V782,W783=W782),(1-AVERAGE(AD782,AD783))*AH783,(1-AVERAGE(AD783,VLOOKUP(_xlfn.CONCAT(U783,V783,W783,X783,M_BRAND_FC!$F$6),FC_DATA!$R$2:$AD$5000,MATCH("DISCOUNT_%_M",FC_DATA!$R$1:$AD$1,0),FALSE)))*AH783))</f>
        <v>#N/A</v>
      </c>
      <c r="AJ783" s="412" t="str">
        <f t="shared" ca="1" si="318"/>
        <v/>
      </c>
      <c r="AK783" s="413" t="str">
        <f>IFERROR(AE783/(Q_BRAND_FC!$T$24+1),"")</f>
        <v/>
      </c>
      <c r="AL783" s="88" t="str">
        <f t="shared" ca="1" si="319"/>
        <v/>
      </c>
      <c r="AM783" s="414" t="str">
        <f t="shared" ca="1" si="320"/>
        <v/>
      </c>
      <c r="AN783" s="58">
        <f>IFERROR(IF($V783="BRAND.com",HLOOKUP($X783&amp;$Z783,NWC_FC_NOOS!$C$4:$Q$23,MATCH(W783,NWC_FC_NOOS!$B$4:$B$23,0),FALSE),0),0)</f>
        <v>0</v>
      </c>
      <c r="AO783" s="57">
        <f>IFERROR(IF($V783="BRAND.com",HLOOKUP($X783&amp;$Z783,NWC_FC_NOOS!$T$4:$AH$23,MATCH(W783,NWC_FC_NOOS!$S$4:$S$23,0),FALSE),0),0)</f>
        <v>0</v>
      </c>
      <c r="AP783" s="57">
        <f>IFERROR(IF($V783="BRAND.com",HLOOKUP($X783&amp;$Z783,NWC_FC_NOOS!$C$50:$U$69,MATCH(W783,NWC_FC_NOOS!$B$50:$B$69,0),FALSE),0),0)</f>
        <v>0</v>
      </c>
      <c r="AQ783" s="58">
        <f>IFERROR(IF($V783="BRAND.com",HLOOKUP($X783&amp;$Z783,'NWC_FC_NON-NOOS'!$C$4:$Q$23,MATCH(W783,'NWC_FC_NON-NOOS'!$B$4:$B$23,0),FALSE),0),0)</f>
        <v>0</v>
      </c>
      <c r="AR783" s="57">
        <f>IFERROR(IF($V783="BRAND.com",HLOOKUP($X783&amp;$Z783,'NWC_FC_NON-NOOS'!$T$4:$AH$23,MATCH(W783,'NWC_FC_NON-NOOS'!$S$4:$S$23,0),FALSE),0),0)</f>
        <v>0</v>
      </c>
      <c r="AS783" s="57">
        <f>IFERROR(IF($V783="BRAND.com",HLOOKUP($X783&amp;$Z783,'NWC_FC_NON-NOOS'!$C$50:$U$69,MATCH(W783,'NWC_FC_NON-NOOS'!$B$50:$B$69,0),FALSE),0),0)</f>
        <v>0</v>
      </c>
      <c r="AT783" s="57">
        <f t="shared" si="322"/>
        <v>0</v>
      </c>
      <c r="AU783" s="57">
        <f t="shared" si="323"/>
        <v>0</v>
      </c>
      <c r="AV783" s="58">
        <f>IFERROR(IF($V783="BRAND.com",HLOOKUP($X783&amp;$Z783,PLANNING_FC!$BB$27:$BP$46,MATCH($W783,PLANNING_FC!$BA$27:$BA$46,0),FALSE),0),0)</f>
        <v>0</v>
      </c>
      <c r="AW783" s="58">
        <f>IFERROR(IF($V783="BRAND.com",HLOOKUP($X783&amp;$Z783,PLANNING_FC!$BB$4:$BP$23,MATCH($W783,PLANNING_FC!$BA$4:$BA$23,0),FALSE),0),0)</f>
        <v>0</v>
      </c>
      <c r="AX783" s="58">
        <f>IFERROR(IF($V783="BRAND.com",HLOOKUP($X783&amp;$Z783,PLANNING_FC!$T$27:$AH$46,MATCH($W783,PLANNING_FC!$B$27:$B$46,0),FALSE),0),0)</f>
        <v>0</v>
      </c>
      <c r="AY783" s="58">
        <f>IFERROR(IF($V783="BRAND.com",HLOOKUP($X783&amp;$Z783,PLANNING_FC!$T$4:$AH$23,MATCH($W783,PLANNING_FC!$B$4:$B$23,0),FALSE),0),0)</f>
        <v>0</v>
      </c>
      <c r="AZ783" s="58">
        <f>IFERROR(IF($V783="BRAND.com",HLOOKUP($X783&amp;$Z783,PLANNING_FC!$DA$27:$DO$46,MATCH($W783,PLANNING_FC!$CZ$27:$CZ$46,0),FALSE),0),0)</f>
        <v>0</v>
      </c>
      <c r="BA783" s="58">
        <f>IFERROR(IF($V783="BRAND.com",HLOOKUP($X783&amp;$Z783,PLANNING_FC!$DA$4:$DO$23,MATCH($W783,PLANNING_FC!$CZ$4:$CZ$23,0),FALSE),0),0)</f>
        <v>0</v>
      </c>
      <c r="BB783" s="883" t="str">
        <f>IF(V783="BRAND.com",IFERROR(HLOOKUP(X783&amp;Z783,PLANNING_FC!$AK$4:$AY$23,MATCH(W783,PLANNING_FC!$AJ$4:$AJ$23,0),FALSE)*1000,""),"")</f>
        <v/>
      </c>
      <c r="BC783" s="883" t="str">
        <f>IF(V783="BRAND.com",IFERROR(HLOOKUP(X783&amp;Z783,PLANNING_FC!$AK$27:$AY$46,MATCH(W783,PLANNING_FC!$AJ$27:$AJ$46,0),FALSE)*1000,""),"")</f>
        <v/>
      </c>
    </row>
    <row r="784" spans="14:55" x14ac:dyDescent="0.25">
      <c r="N784" s="56">
        <f t="shared" si="304"/>
        <v>0</v>
      </c>
      <c r="O784" s="57">
        <f t="shared" si="305"/>
        <v>0</v>
      </c>
      <c r="P784" s="57">
        <f ca="1">IFERROR(IF(ISBLANK(H784),SUMIFS($AC:$AC,$V:$V,V784,$W:$W,W784,$X:$X,X784,$Y:$Y,Y784)*J784/(1-J784)*VLOOKUP(_xlfn.CONCAT(C784,D784,E784,TIME!$M$12,Z784),HIS_SALES!$B$2:$W$4859,20,FALSE),AC784*J784/(1-J784)),0)</f>
        <v>0</v>
      </c>
      <c r="Q784" s="541" t="str">
        <f t="shared" si="306"/>
        <v/>
      </c>
      <c r="R784" s="346" t="str">
        <f t="shared" si="307"/>
        <v>00000</v>
      </c>
      <c r="S784" s="344">
        <f t="shared" si="308"/>
        <v>0</v>
      </c>
      <c r="T784" s="345" t="str">
        <f t="shared" si="321"/>
        <v>000</v>
      </c>
      <c r="U784" s="345">
        <f t="shared" si="309"/>
        <v>0</v>
      </c>
      <c r="V784" s="345">
        <f t="shared" si="310"/>
        <v>0</v>
      </c>
      <c r="W784" s="345">
        <f t="shared" si="311"/>
        <v>0</v>
      </c>
      <c r="X784" s="345">
        <f t="shared" si="312"/>
        <v>0</v>
      </c>
      <c r="Y784" s="345">
        <f t="shared" si="313"/>
        <v>0</v>
      </c>
      <c r="Z784" s="345">
        <f>IF(Q784&lt;&gt;"",VLOOKUP(Y784,TIME!$R$21:$V$24,MATCH(FC_DATA!Q784,TIME!$R$20:$V$20,0),FALSE),H784)</f>
        <v>0</v>
      </c>
      <c r="AA784" s="345" t="str">
        <f>IFERROR(VLOOKUP(X784&amp;Z784,TIME!$A$12:$D$71,4,FALSE),"")</f>
        <v/>
      </c>
      <c r="AB784" s="592">
        <f t="shared" ca="1" si="314"/>
        <v>0</v>
      </c>
      <c r="AC784" s="593" t="e">
        <f ca="1">IF(ISBLANK(H784)=FALSE,IF(D784="BRAND.com",I784,IF(ISNA(VLOOKUP(_xlfn.CONCAT(X784,Z784),TIME!$M$40:$M$42,1,FALSE)),I784,VLOOKUP(_xlfn.CONCAT(D784,G784,H784),M_BUSAREA_FC!$AF$5:$AJ$10,5,FALSE)*HLOOKUP(_xlfn.CONCAT(F784,H784),ST_OVERVIEW!$G$99:$I$130,MATCH(_xlfn.CONCAT(D784,E784),ST_OVERVIEW!$F$99:$F$130,0),FALSE))),IF(D784="BRAND.com",VLOOKUP(_xlfn.CONCAT(C784,D784,E784,TIME!$F$1,Z784),HIS_SALES!$B$2:$V$4859,19,FALSE)*I784,VLOOKUP(_xlfn.CONCAT(D784,F784,G784),Q_BUSAREA_FC!$AE$5:$AI$12,5,FALSE)*HLOOKUP(_xlfn.CONCAT(FC_DATA!F784,FC_DATA!G784),LT_OVERVIEW!$I$99:$M$130,MATCH(_xlfn.CONCAT(D784,FC_DATA!E784),LT_OVERVIEW!$H$99:$H$130,0),FALSE)*IFERROR(VLOOKUP(_xlfn.CONCAT(C784,D784,E784,TIME!$F$1,Z784),HIS_SALES!$B$2:$V$4859,19,FALSE),0)))</f>
        <v>#N/A</v>
      </c>
      <c r="AD784" s="341">
        <f t="shared" ca="1" si="315"/>
        <v>0</v>
      </c>
      <c r="AE784" s="363" t="str">
        <f t="shared" si="316"/>
        <v/>
      </c>
      <c r="AF784" s="342" t="str">
        <f t="shared" si="317"/>
        <v/>
      </c>
      <c r="AG784" s="411" t="e">
        <f ca="1">VLOOKUP(_xlfn.CONCAT(U784,V784,W784,VLOOKUP(X784&amp;Y784,TIME!$L$27:$O$34,4,FALSE),Y784),HIS_SALES!$A$2:$R$5093,18,FALSE)</f>
        <v>#N/A</v>
      </c>
      <c r="AH784" s="412" t="e">
        <f ca="1">IFERROR(IF(AND(V784=V783,W784=W783),0.5*(AB784+AB783)*AG784,(VLOOKUP(_xlfn.CONCAT(U784,V784,W784,X784,VLOOKUP(Z784,TIME!$S$28:$T$39,2,FALSE)),FC_DATA!$R$2:$AB$5000,MATCH("GS_I_M",FC_DATA!$R$1:$AB$1,0),FALSE)+FC_DATA!AB784)*0.5*FC_DATA!AG784),NA())</f>
        <v>#N/A</v>
      </c>
      <c r="AI784" s="491" t="e">
        <f ca="1">IF(V784="PARTNER.com",AH784,IF(AND(V784=V783,W784=W783),(1-AVERAGE(AD783,AD784))*AH784,(1-AVERAGE(AD784,VLOOKUP(_xlfn.CONCAT(U784,V784,W784,X784,M_BRAND_FC!$F$6),FC_DATA!$R$2:$AD$5000,MATCH("DISCOUNT_%_M",FC_DATA!$R$1:$AD$1,0),FALSE)))*AH784))</f>
        <v>#N/A</v>
      </c>
      <c r="AJ784" s="412" t="str">
        <f t="shared" ca="1" si="318"/>
        <v/>
      </c>
      <c r="AK784" s="413" t="str">
        <f>IFERROR(AE784/(Q_BRAND_FC!$T$24+1),"")</f>
        <v/>
      </c>
      <c r="AL784" s="88" t="str">
        <f t="shared" ca="1" si="319"/>
        <v/>
      </c>
      <c r="AM784" s="414" t="str">
        <f t="shared" ca="1" si="320"/>
        <v/>
      </c>
      <c r="AN784" s="58">
        <f>IFERROR(IF($V784="BRAND.com",HLOOKUP($X784&amp;$Z784,NWC_FC_NOOS!$C$4:$Q$23,MATCH(W784,NWC_FC_NOOS!$B$4:$B$23,0),FALSE),0),0)</f>
        <v>0</v>
      </c>
      <c r="AO784" s="57">
        <f>IFERROR(IF($V784="BRAND.com",HLOOKUP($X784&amp;$Z784,NWC_FC_NOOS!$T$4:$AH$23,MATCH(W784,NWC_FC_NOOS!$S$4:$S$23,0),FALSE),0),0)</f>
        <v>0</v>
      </c>
      <c r="AP784" s="57">
        <f>IFERROR(IF($V784="BRAND.com",HLOOKUP($X784&amp;$Z784,NWC_FC_NOOS!$C$50:$U$69,MATCH(W784,NWC_FC_NOOS!$B$50:$B$69,0),FALSE),0),0)</f>
        <v>0</v>
      </c>
      <c r="AQ784" s="58">
        <f>IFERROR(IF($V784="BRAND.com",HLOOKUP($X784&amp;$Z784,'NWC_FC_NON-NOOS'!$C$4:$Q$23,MATCH(W784,'NWC_FC_NON-NOOS'!$B$4:$B$23,0),FALSE),0),0)</f>
        <v>0</v>
      </c>
      <c r="AR784" s="57">
        <f>IFERROR(IF($V784="BRAND.com",HLOOKUP($X784&amp;$Z784,'NWC_FC_NON-NOOS'!$T$4:$AH$23,MATCH(W784,'NWC_FC_NON-NOOS'!$S$4:$S$23,0),FALSE),0),0)</f>
        <v>0</v>
      </c>
      <c r="AS784" s="57">
        <f>IFERROR(IF($V784="BRAND.com",HLOOKUP($X784&amp;$Z784,'NWC_FC_NON-NOOS'!$C$50:$U$69,MATCH(W784,'NWC_FC_NON-NOOS'!$B$50:$B$69,0),FALSE),0),0)</f>
        <v>0</v>
      </c>
      <c r="AT784" s="57">
        <f t="shared" si="322"/>
        <v>0</v>
      </c>
      <c r="AU784" s="57">
        <f t="shared" si="323"/>
        <v>0</v>
      </c>
      <c r="AV784" s="58">
        <f>IFERROR(IF($V784="BRAND.com",HLOOKUP($X784&amp;$Z784,PLANNING_FC!$BB$27:$BP$46,MATCH($W784,PLANNING_FC!$BA$27:$BA$46,0),FALSE),0),0)</f>
        <v>0</v>
      </c>
      <c r="AW784" s="58">
        <f>IFERROR(IF($V784="BRAND.com",HLOOKUP($X784&amp;$Z784,PLANNING_FC!$BB$4:$BP$23,MATCH($W784,PLANNING_FC!$BA$4:$BA$23,0),FALSE),0),0)</f>
        <v>0</v>
      </c>
      <c r="AX784" s="58">
        <f>IFERROR(IF($V784="BRAND.com",HLOOKUP($X784&amp;$Z784,PLANNING_FC!$T$27:$AH$46,MATCH($W784,PLANNING_FC!$B$27:$B$46,0),FALSE),0),0)</f>
        <v>0</v>
      </c>
      <c r="AY784" s="58">
        <f>IFERROR(IF($V784="BRAND.com",HLOOKUP($X784&amp;$Z784,PLANNING_FC!$T$4:$AH$23,MATCH($W784,PLANNING_FC!$B$4:$B$23,0),FALSE),0),0)</f>
        <v>0</v>
      </c>
      <c r="AZ784" s="58">
        <f>IFERROR(IF($V784="BRAND.com",HLOOKUP($X784&amp;$Z784,PLANNING_FC!$DA$27:$DO$46,MATCH($W784,PLANNING_FC!$CZ$27:$CZ$46,0),FALSE),0),0)</f>
        <v>0</v>
      </c>
      <c r="BA784" s="58">
        <f>IFERROR(IF($V784="BRAND.com",HLOOKUP($X784&amp;$Z784,PLANNING_FC!$DA$4:$DO$23,MATCH($W784,PLANNING_FC!$CZ$4:$CZ$23,0),FALSE),0),0)</f>
        <v>0</v>
      </c>
      <c r="BB784" s="883" t="str">
        <f>IF(V784="BRAND.com",IFERROR(HLOOKUP(X784&amp;Z784,PLANNING_FC!$AK$4:$AY$23,MATCH(W784,PLANNING_FC!$AJ$4:$AJ$23,0),FALSE)*1000,""),"")</f>
        <v/>
      </c>
      <c r="BC784" s="883" t="str">
        <f>IF(V784="BRAND.com",IFERROR(HLOOKUP(X784&amp;Z784,PLANNING_FC!$AK$27:$AY$46,MATCH(W784,PLANNING_FC!$AJ$27:$AJ$46,0),FALSE)*1000,""),"")</f>
        <v/>
      </c>
    </row>
    <row r="785" spans="14:55" x14ac:dyDescent="0.25">
      <c r="N785" s="56">
        <f t="shared" si="304"/>
        <v>0</v>
      </c>
      <c r="O785" s="57">
        <f t="shared" si="305"/>
        <v>0</v>
      </c>
      <c r="P785" s="57">
        <f ca="1">IFERROR(IF(ISBLANK(H785),SUMIFS($AC:$AC,$V:$V,V785,$W:$W,W785,$X:$X,X785,$Y:$Y,Y785)*J785/(1-J785)*VLOOKUP(_xlfn.CONCAT(C785,D785,E785,TIME!$M$12,Z785),HIS_SALES!$B$2:$W$4859,20,FALSE),AC785*J785/(1-J785)),0)</f>
        <v>0</v>
      </c>
      <c r="Q785" s="541" t="str">
        <f t="shared" si="306"/>
        <v/>
      </c>
      <c r="R785" s="346" t="str">
        <f t="shared" si="307"/>
        <v>00000</v>
      </c>
      <c r="S785" s="344">
        <f t="shared" si="308"/>
        <v>0</v>
      </c>
      <c r="T785" s="345" t="str">
        <f t="shared" si="321"/>
        <v>000</v>
      </c>
      <c r="U785" s="345">
        <f t="shared" si="309"/>
        <v>0</v>
      </c>
      <c r="V785" s="345">
        <f t="shared" si="310"/>
        <v>0</v>
      </c>
      <c r="W785" s="345">
        <f t="shared" si="311"/>
        <v>0</v>
      </c>
      <c r="X785" s="345">
        <f t="shared" si="312"/>
        <v>0</v>
      </c>
      <c r="Y785" s="345">
        <f t="shared" si="313"/>
        <v>0</v>
      </c>
      <c r="Z785" s="345">
        <f>IF(Q785&lt;&gt;"",VLOOKUP(Y785,TIME!$R$21:$V$24,MATCH(FC_DATA!Q785,TIME!$R$20:$V$20,0),FALSE),H785)</f>
        <v>0</v>
      </c>
      <c r="AA785" s="345" t="str">
        <f>IFERROR(VLOOKUP(X785&amp;Z785,TIME!$A$12:$D$71,4,FALSE),"")</f>
        <v/>
      </c>
      <c r="AB785" s="592">
        <f t="shared" ca="1" si="314"/>
        <v>0</v>
      </c>
      <c r="AC785" s="593" t="e">
        <f ca="1">IF(ISBLANK(H785)=FALSE,IF(D785="BRAND.com",I785,IF(ISNA(VLOOKUP(_xlfn.CONCAT(X785,Z785),TIME!$M$40:$M$42,1,FALSE)),I785,VLOOKUP(_xlfn.CONCAT(D785,G785,H785),M_BUSAREA_FC!$AF$5:$AJ$10,5,FALSE)*HLOOKUP(_xlfn.CONCAT(F785,H785),ST_OVERVIEW!$G$99:$I$130,MATCH(_xlfn.CONCAT(D785,E785),ST_OVERVIEW!$F$99:$F$130,0),FALSE))),IF(D785="BRAND.com",VLOOKUP(_xlfn.CONCAT(C785,D785,E785,TIME!$F$1,Z785),HIS_SALES!$B$2:$V$4859,19,FALSE)*I785,VLOOKUP(_xlfn.CONCAT(D785,F785,G785),Q_BUSAREA_FC!$AE$5:$AI$12,5,FALSE)*HLOOKUP(_xlfn.CONCAT(FC_DATA!F785,FC_DATA!G785),LT_OVERVIEW!$I$99:$M$130,MATCH(_xlfn.CONCAT(D785,FC_DATA!E785),LT_OVERVIEW!$H$99:$H$130,0),FALSE)*IFERROR(VLOOKUP(_xlfn.CONCAT(C785,D785,E785,TIME!$F$1,Z785),HIS_SALES!$B$2:$V$4859,19,FALSE),0)))</f>
        <v>#N/A</v>
      </c>
      <c r="AD785" s="341">
        <f t="shared" ca="1" si="315"/>
        <v>0</v>
      </c>
      <c r="AE785" s="363" t="str">
        <f t="shared" si="316"/>
        <v/>
      </c>
      <c r="AF785" s="342" t="str">
        <f t="shared" si="317"/>
        <v/>
      </c>
      <c r="AG785" s="411" t="e">
        <f ca="1">VLOOKUP(_xlfn.CONCAT(U785,V785,W785,VLOOKUP(X785&amp;Y785,TIME!$L$27:$O$34,4,FALSE),Y785),HIS_SALES!$A$2:$R$5093,18,FALSE)</f>
        <v>#N/A</v>
      </c>
      <c r="AH785" s="412" t="e">
        <f ca="1">IFERROR(IF(AND(V785=V784,W785=W784),0.5*(AB785+AB784)*AG785,(VLOOKUP(_xlfn.CONCAT(U785,V785,W785,X785,VLOOKUP(Z785,TIME!$S$28:$T$39,2,FALSE)),FC_DATA!$R$2:$AB$5000,MATCH("GS_I_M",FC_DATA!$R$1:$AB$1,0),FALSE)+FC_DATA!AB785)*0.5*FC_DATA!AG785),NA())</f>
        <v>#N/A</v>
      </c>
      <c r="AI785" s="491" t="e">
        <f ca="1">IF(V785="PARTNER.com",AH785,IF(AND(V785=V784,W785=W784),(1-AVERAGE(AD784,AD785))*AH785,(1-AVERAGE(AD785,VLOOKUP(_xlfn.CONCAT(U785,V785,W785,X785,M_BRAND_FC!$F$6),FC_DATA!$R$2:$AD$5000,MATCH("DISCOUNT_%_M",FC_DATA!$R$1:$AD$1,0),FALSE)))*AH785))</f>
        <v>#N/A</v>
      </c>
      <c r="AJ785" s="412" t="str">
        <f t="shared" ca="1" si="318"/>
        <v/>
      </c>
      <c r="AK785" s="413" t="str">
        <f>IFERROR(AE785/(Q_BRAND_FC!$T$24+1),"")</f>
        <v/>
      </c>
      <c r="AL785" s="88" t="str">
        <f t="shared" ca="1" si="319"/>
        <v/>
      </c>
      <c r="AM785" s="414" t="str">
        <f t="shared" ca="1" si="320"/>
        <v/>
      </c>
      <c r="AN785" s="58">
        <f>IFERROR(IF($V785="BRAND.com",HLOOKUP($X785&amp;$Z785,NWC_FC_NOOS!$C$4:$Q$23,MATCH(W785,NWC_FC_NOOS!$B$4:$B$23,0),FALSE),0),0)</f>
        <v>0</v>
      </c>
      <c r="AO785" s="57">
        <f>IFERROR(IF($V785="BRAND.com",HLOOKUP($X785&amp;$Z785,NWC_FC_NOOS!$T$4:$AH$23,MATCH(W785,NWC_FC_NOOS!$S$4:$S$23,0),FALSE),0),0)</f>
        <v>0</v>
      </c>
      <c r="AP785" s="57">
        <f>IFERROR(IF($V785="BRAND.com",HLOOKUP($X785&amp;$Z785,NWC_FC_NOOS!$C$50:$U$69,MATCH(W785,NWC_FC_NOOS!$B$50:$B$69,0),FALSE),0),0)</f>
        <v>0</v>
      </c>
      <c r="AQ785" s="58">
        <f>IFERROR(IF($V785="BRAND.com",HLOOKUP($X785&amp;$Z785,'NWC_FC_NON-NOOS'!$C$4:$Q$23,MATCH(W785,'NWC_FC_NON-NOOS'!$B$4:$B$23,0),FALSE),0),0)</f>
        <v>0</v>
      </c>
      <c r="AR785" s="57">
        <f>IFERROR(IF($V785="BRAND.com",HLOOKUP($X785&amp;$Z785,'NWC_FC_NON-NOOS'!$T$4:$AH$23,MATCH(W785,'NWC_FC_NON-NOOS'!$S$4:$S$23,0),FALSE),0),0)</f>
        <v>0</v>
      </c>
      <c r="AS785" s="57">
        <f>IFERROR(IF($V785="BRAND.com",HLOOKUP($X785&amp;$Z785,'NWC_FC_NON-NOOS'!$C$50:$U$69,MATCH(W785,'NWC_FC_NON-NOOS'!$B$50:$B$69,0),FALSE),0),0)</f>
        <v>0</v>
      </c>
      <c r="AT785" s="57">
        <f t="shared" si="322"/>
        <v>0</v>
      </c>
      <c r="AU785" s="57">
        <f t="shared" si="323"/>
        <v>0</v>
      </c>
      <c r="AV785" s="58">
        <f>IFERROR(IF($V785="BRAND.com",HLOOKUP($X785&amp;$Z785,PLANNING_FC!$BB$27:$BP$46,MATCH($W785,PLANNING_FC!$BA$27:$BA$46,0),FALSE),0),0)</f>
        <v>0</v>
      </c>
      <c r="AW785" s="58">
        <f>IFERROR(IF($V785="BRAND.com",HLOOKUP($X785&amp;$Z785,PLANNING_FC!$BB$4:$BP$23,MATCH($W785,PLANNING_FC!$BA$4:$BA$23,0),FALSE),0),0)</f>
        <v>0</v>
      </c>
      <c r="AX785" s="58">
        <f>IFERROR(IF($V785="BRAND.com",HLOOKUP($X785&amp;$Z785,PLANNING_FC!$T$27:$AH$46,MATCH($W785,PLANNING_FC!$B$27:$B$46,0),FALSE),0),0)</f>
        <v>0</v>
      </c>
      <c r="AY785" s="58">
        <f>IFERROR(IF($V785="BRAND.com",HLOOKUP($X785&amp;$Z785,PLANNING_FC!$T$4:$AH$23,MATCH($W785,PLANNING_FC!$B$4:$B$23,0),FALSE),0),0)</f>
        <v>0</v>
      </c>
      <c r="AZ785" s="58">
        <f>IFERROR(IF($V785="BRAND.com",HLOOKUP($X785&amp;$Z785,PLANNING_FC!$DA$27:$DO$46,MATCH($W785,PLANNING_FC!$CZ$27:$CZ$46,0),FALSE),0),0)</f>
        <v>0</v>
      </c>
      <c r="BA785" s="58">
        <f>IFERROR(IF($V785="BRAND.com",HLOOKUP($X785&amp;$Z785,PLANNING_FC!$DA$4:$DO$23,MATCH($W785,PLANNING_FC!$CZ$4:$CZ$23,0),FALSE),0),0)</f>
        <v>0</v>
      </c>
      <c r="BB785" s="883" t="str">
        <f>IF(V785="BRAND.com",IFERROR(HLOOKUP(X785&amp;Z785,PLANNING_FC!$AK$4:$AY$23,MATCH(W785,PLANNING_FC!$AJ$4:$AJ$23,0),FALSE)*1000,""),"")</f>
        <v/>
      </c>
      <c r="BC785" s="883" t="str">
        <f>IF(V785="BRAND.com",IFERROR(HLOOKUP(X785&amp;Z785,PLANNING_FC!$AK$27:$AY$46,MATCH(W785,PLANNING_FC!$AJ$27:$AJ$46,0),FALSE)*1000,""),"")</f>
        <v/>
      </c>
    </row>
    <row r="786" spans="14:55" x14ac:dyDescent="0.25">
      <c r="N786" s="56">
        <f t="shared" si="304"/>
        <v>0</v>
      </c>
      <c r="O786" s="57">
        <f t="shared" si="305"/>
        <v>0</v>
      </c>
      <c r="P786" s="57">
        <f ca="1">IFERROR(IF(ISBLANK(H786),SUMIFS($AC:$AC,$V:$V,V786,$W:$W,W786,$X:$X,X786,$Y:$Y,Y786)*J786/(1-J786)*VLOOKUP(_xlfn.CONCAT(C786,D786,E786,TIME!$M$12,Z786),HIS_SALES!$B$2:$W$4859,20,FALSE),AC786*J786/(1-J786)),0)</f>
        <v>0</v>
      </c>
      <c r="Q786" s="541" t="str">
        <f t="shared" si="306"/>
        <v/>
      </c>
      <c r="R786" s="346" t="str">
        <f t="shared" si="307"/>
        <v>00000</v>
      </c>
      <c r="S786" s="344">
        <f t="shared" si="308"/>
        <v>0</v>
      </c>
      <c r="T786" s="345" t="str">
        <f t="shared" si="321"/>
        <v>000</v>
      </c>
      <c r="U786" s="345">
        <f t="shared" si="309"/>
        <v>0</v>
      </c>
      <c r="V786" s="345">
        <f t="shared" si="310"/>
        <v>0</v>
      </c>
      <c r="W786" s="345">
        <f t="shared" si="311"/>
        <v>0</v>
      </c>
      <c r="X786" s="345">
        <f t="shared" si="312"/>
        <v>0</v>
      </c>
      <c r="Y786" s="345">
        <f t="shared" si="313"/>
        <v>0</v>
      </c>
      <c r="Z786" s="345">
        <f>IF(Q786&lt;&gt;"",VLOOKUP(Y786,TIME!$R$21:$V$24,MATCH(FC_DATA!Q786,TIME!$R$20:$V$20,0),FALSE),H786)</f>
        <v>0</v>
      </c>
      <c r="AA786" s="345" t="str">
        <f>IFERROR(VLOOKUP(X786&amp;Z786,TIME!$A$12:$D$71,4,FALSE),"")</f>
        <v/>
      </c>
      <c r="AB786" s="592">
        <f t="shared" ca="1" si="314"/>
        <v>0</v>
      </c>
      <c r="AC786" s="593" t="e">
        <f ca="1">IF(ISBLANK(H786)=FALSE,IF(D786="BRAND.com",I786,IF(ISNA(VLOOKUP(_xlfn.CONCAT(X786,Z786),TIME!$M$40:$M$42,1,FALSE)),I786,VLOOKUP(_xlfn.CONCAT(D786,G786,H786),M_BUSAREA_FC!$AF$5:$AJ$10,5,FALSE)*HLOOKUP(_xlfn.CONCAT(F786,H786),ST_OVERVIEW!$G$99:$I$130,MATCH(_xlfn.CONCAT(D786,E786),ST_OVERVIEW!$F$99:$F$130,0),FALSE))),IF(D786="BRAND.com",VLOOKUP(_xlfn.CONCAT(C786,D786,E786,TIME!$F$1,Z786),HIS_SALES!$B$2:$V$4859,19,FALSE)*I786,VLOOKUP(_xlfn.CONCAT(D786,F786,G786),Q_BUSAREA_FC!$AE$5:$AI$12,5,FALSE)*HLOOKUP(_xlfn.CONCAT(FC_DATA!F786,FC_DATA!G786),LT_OVERVIEW!$I$99:$M$130,MATCH(_xlfn.CONCAT(D786,FC_DATA!E786),LT_OVERVIEW!$H$99:$H$130,0),FALSE)*IFERROR(VLOOKUP(_xlfn.CONCAT(C786,D786,E786,TIME!$F$1,Z786),HIS_SALES!$B$2:$V$4859,19,FALSE),0)))</f>
        <v>#N/A</v>
      </c>
      <c r="AD786" s="341">
        <f t="shared" ca="1" si="315"/>
        <v>0</v>
      </c>
      <c r="AE786" s="363" t="str">
        <f t="shared" si="316"/>
        <v/>
      </c>
      <c r="AF786" s="342" t="str">
        <f t="shared" si="317"/>
        <v/>
      </c>
      <c r="AG786" s="411" t="e">
        <f ca="1">VLOOKUP(_xlfn.CONCAT(U786,V786,W786,VLOOKUP(X786&amp;Y786,TIME!$L$27:$O$34,4,FALSE),Y786),HIS_SALES!$A$2:$R$5093,18,FALSE)</f>
        <v>#N/A</v>
      </c>
      <c r="AH786" s="412" t="e">
        <f ca="1">IFERROR(IF(AND(V786=V785,W786=W785),0.5*(AB786+AB785)*AG786,(VLOOKUP(_xlfn.CONCAT(U786,V786,W786,X786,VLOOKUP(Z786,TIME!$S$28:$T$39,2,FALSE)),FC_DATA!$R$2:$AB$5000,MATCH("GS_I_M",FC_DATA!$R$1:$AB$1,0),FALSE)+FC_DATA!AB786)*0.5*FC_DATA!AG786),NA())</f>
        <v>#N/A</v>
      </c>
      <c r="AI786" s="491" t="e">
        <f ca="1">IF(V786="PARTNER.com",AH786,IF(AND(V786=V785,W786=W785),(1-AVERAGE(AD785,AD786))*AH786,(1-AVERAGE(AD786,VLOOKUP(_xlfn.CONCAT(U786,V786,W786,X786,M_BRAND_FC!$F$6),FC_DATA!$R$2:$AD$5000,MATCH("DISCOUNT_%_M",FC_DATA!$R$1:$AD$1,0),FALSE)))*AH786))</f>
        <v>#N/A</v>
      </c>
      <c r="AJ786" s="412" t="str">
        <f t="shared" ca="1" si="318"/>
        <v/>
      </c>
      <c r="AK786" s="413" t="str">
        <f>IFERROR(AE786/(Q_BRAND_FC!$T$24+1),"")</f>
        <v/>
      </c>
      <c r="AL786" s="88" t="str">
        <f t="shared" ca="1" si="319"/>
        <v/>
      </c>
      <c r="AM786" s="414" t="str">
        <f t="shared" ca="1" si="320"/>
        <v/>
      </c>
      <c r="AN786" s="58">
        <f>IFERROR(IF($V786="BRAND.com",HLOOKUP($X786&amp;$Z786,NWC_FC_NOOS!$C$4:$Q$23,MATCH(W786,NWC_FC_NOOS!$B$4:$B$23,0),FALSE),0),0)</f>
        <v>0</v>
      </c>
      <c r="AO786" s="57">
        <f>IFERROR(IF($V786="BRAND.com",HLOOKUP($X786&amp;$Z786,NWC_FC_NOOS!$T$4:$AH$23,MATCH(W786,NWC_FC_NOOS!$S$4:$S$23,0),FALSE),0),0)</f>
        <v>0</v>
      </c>
      <c r="AP786" s="57">
        <f>IFERROR(IF($V786="BRAND.com",HLOOKUP($X786&amp;$Z786,NWC_FC_NOOS!$C$50:$U$69,MATCH(W786,NWC_FC_NOOS!$B$50:$B$69,0),FALSE),0),0)</f>
        <v>0</v>
      </c>
      <c r="AQ786" s="58">
        <f>IFERROR(IF($V786="BRAND.com",HLOOKUP($X786&amp;$Z786,'NWC_FC_NON-NOOS'!$C$4:$Q$23,MATCH(W786,'NWC_FC_NON-NOOS'!$B$4:$B$23,0),FALSE),0),0)</f>
        <v>0</v>
      </c>
      <c r="AR786" s="57">
        <f>IFERROR(IF($V786="BRAND.com",HLOOKUP($X786&amp;$Z786,'NWC_FC_NON-NOOS'!$T$4:$AH$23,MATCH(W786,'NWC_FC_NON-NOOS'!$S$4:$S$23,0),FALSE),0),0)</f>
        <v>0</v>
      </c>
      <c r="AS786" s="57">
        <f>IFERROR(IF($V786="BRAND.com",HLOOKUP($X786&amp;$Z786,'NWC_FC_NON-NOOS'!$C$50:$U$69,MATCH(W786,'NWC_FC_NON-NOOS'!$B$50:$B$69,0),FALSE),0),0)</f>
        <v>0</v>
      </c>
      <c r="AT786" s="57">
        <f t="shared" si="322"/>
        <v>0</v>
      </c>
      <c r="AU786" s="57">
        <f t="shared" si="323"/>
        <v>0</v>
      </c>
      <c r="AV786" s="58">
        <f>IFERROR(IF($V786="BRAND.com",HLOOKUP($X786&amp;$Z786,PLANNING_FC!$BB$27:$BP$46,MATCH($W786,PLANNING_FC!$BA$27:$BA$46,0),FALSE),0),0)</f>
        <v>0</v>
      </c>
      <c r="AW786" s="58">
        <f>IFERROR(IF($V786="BRAND.com",HLOOKUP($X786&amp;$Z786,PLANNING_FC!$BB$4:$BP$23,MATCH($W786,PLANNING_FC!$BA$4:$BA$23,0),FALSE),0),0)</f>
        <v>0</v>
      </c>
      <c r="AX786" s="58">
        <f>IFERROR(IF($V786="BRAND.com",HLOOKUP($X786&amp;$Z786,PLANNING_FC!$T$27:$AH$46,MATCH($W786,PLANNING_FC!$B$27:$B$46,0),FALSE),0),0)</f>
        <v>0</v>
      </c>
      <c r="AY786" s="58">
        <f>IFERROR(IF($V786="BRAND.com",HLOOKUP($X786&amp;$Z786,PLANNING_FC!$T$4:$AH$23,MATCH($W786,PLANNING_FC!$B$4:$B$23,0),FALSE),0),0)</f>
        <v>0</v>
      </c>
      <c r="AZ786" s="58">
        <f>IFERROR(IF($V786="BRAND.com",HLOOKUP($X786&amp;$Z786,PLANNING_FC!$DA$27:$DO$46,MATCH($W786,PLANNING_FC!$CZ$27:$CZ$46,0),FALSE),0),0)</f>
        <v>0</v>
      </c>
      <c r="BA786" s="58">
        <f>IFERROR(IF($V786="BRAND.com",HLOOKUP($X786&amp;$Z786,PLANNING_FC!$DA$4:$DO$23,MATCH($W786,PLANNING_FC!$CZ$4:$CZ$23,0),FALSE),0),0)</f>
        <v>0</v>
      </c>
      <c r="BB786" s="883" t="str">
        <f>IF(V786="BRAND.com",IFERROR(HLOOKUP(X786&amp;Z786,PLANNING_FC!$AK$4:$AY$23,MATCH(W786,PLANNING_FC!$AJ$4:$AJ$23,0),FALSE)*1000,""),"")</f>
        <v/>
      </c>
      <c r="BC786" s="883" t="str">
        <f>IF(V786="BRAND.com",IFERROR(HLOOKUP(X786&amp;Z786,PLANNING_FC!$AK$27:$AY$46,MATCH(W786,PLANNING_FC!$AJ$27:$AJ$46,0),FALSE)*1000,""),"")</f>
        <v/>
      </c>
    </row>
    <row r="787" spans="14:55" x14ac:dyDescent="0.25">
      <c r="N787" s="56">
        <f t="shared" si="304"/>
        <v>0</v>
      </c>
      <c r="O787" s="57">
        <f t="shared" si="305"/>
        <v>0</v>
      </c>
      <c r="P787" s="57">
        <f ca="1">IFERROR(IF(ISBLANK(H787),SUMIFS($AC:$AC,$V:$V,V787,$W:$W,W787,$X:$X,X787,$Y:$Y,Y787)*J787/(1-J787)*VLOOKUP(_xlfn.CONCAT(C787,D787,E787,TIME!$M$12,Z787),HIS_SALES!$B$2:$W$4859,20,FALSE),AC787*J787/(1-J787)),0)</f>
        <v>0</v>
      </c>
      <c r="Q787" s="541" t="str">
        <f t="shared" si="306"/>
        <v/>
      </c>
      <c r="R787" s="346" t="str">
        <f t="shared" si="307"/>
        <v>00000</v>
      </c>
      <c r="S787" s="344">
        <f t="shared" si="308"/>
        <v>0</v>
      </c>
      <c r="T787" s="345" t="str">
        <f t="shared" si="321"/>
        <v>000</v>
      </c>
      <c r="U787" s="345">
        <f t="shared" si="309"/>
        <v>0</v>
      </c>
      <c r="V787" s="345">
        <f t="shared" si="310"/>
        <v>0</v>
      </c>
      <c r="W787" s="345">
        <f t="shared" si="311"/>
        <v>0</v>
      </c>
      <c r="X787" s="345">
        <f t="shared" si="312"/>
        <v>0</v>
      </c>
      <c r="Y787" s="345">
        <f t="shared" si="313"/>
        <v>0</v>
      </c>
      <c r="Z787" s="345">
        <f>IF(Q787&lt;&gt;"",VLOOKUP(Y787,TIME!$R$21:$V$24,MATCH(FC_DATA!Q787,TIME!$R$20:$V$20,0),FALSE),H787)</f>
        <v>0</v>
      </c>
      <c r="AA787" s="345" t="str">
        <f>IFERROR(VLOOKUP(X787&amp;Z787,TIME!$A$12:$D$71,4,FALSE),"")</f>
        <v/>
      </c>
      <c r="AB787" s="592">
        <f t="shared" ca="1" si="314"/>
        <v>0</v>
      </c>
      <c r="AC787" s="593" t="e">
        <f ca="1">IF(ISBLANK(H787)=FALSE,IF(D787="BRAND.com",I787,IF(ISNA(VLOOKUP(_xlfn.CONCAT(X787,Z787),TIME!$M$40:$M$42,1,FALSE)),I787,VLOOKUP(_xlfn.CONCAT(D787,G787,H787),M_BUSAREA_FC!$AF$5:$AJ$10,5,FALSE)*HLOOKUP(_xlfn.CONCAT(F787,H787),ST_OVERVIEW!$G$99:$I$130,MATCH(_xlfn.CONCAT(D787,E787),ST_OVERVIEW!$F$99:$F$130,0),FALSE))),IF(D787="BRAND.com",VLOOKUP(_xlfn.CONCAT(C787,D787,E787,TIME!$F$1,Z787),HIS_SALES!$B$2:$V$4859,19,FALSE)*I787,VLOOKUP(_xlfn.CONCAT(D787,F787,G787),Q_BUSAREA_FC!$AE$5:$AI$12,5,FALSE)*HLOOKUP(_xlfn.CONCAT(FC_DATA!F787,FC_DATA!G787),LT_OVERVIEW!$I$99:$M$130,MATCH(_xlfn.CONCAT(D787,FC_DATA!E787),LT_OVERVIEW!$H$99:$H$130,0),FALSE)*IFERROR(VLOOKUP(_xlfn.CONCAT(C787,D787,E787,TIME!$F$1,Z787),HIS_SALES!$B$2:$V$4859,19,FALSE),0)))</f>
        <v>#N/A</v>
      </c>
      <c r="AD787" s="341">
        <f t="shared" ca="1" si="315"/>
        <v>0</v>
      </c>
      <c r="AE787" s="363" t="str">
        <f t="shared" si="316"/>
        <v/>
      </c>
      <c r="AF787" s="342" t="str">
        <f t="shared" si="317"/>
        <v/>
      </c>
      <c r="AG787" s="411" t="e">
        <f ca="1">VLOOKUP(_xlfn.CONCAT(U787,V787,W787,VLOOKUP(X787&amp;Y787,TIME!$L$27:$O$34,4,FALSE),Y787),HIS_SALES!$A$2:$R$5093,18,FALSE)</f>
        <v>#N/A</v>
      </c>
      <c r="AH787" s="412" t="e">
        <f ca="1">IFERROR(IF(AND(V787=V786,W787=W786),0.5*(AB787+AB786)*AG787,(VLOOKUP(_xlfn.CONCAT(U787,V787,W787,X787,VLOOKUP(Z787,TIME!$S$28:$T$39,2,FALSE)),FC_DATA!$R$2:$AB$5000,MATCH("GS_I_M",FC_DATA!$R$1:$AB$1,0),FALSE)+FC_DATA!AB787)*0.5*FC_DATA!AG787),NA())</f>
        <v>#N/A</v>
      </c>
      <c r="AI787" s="491" t="e">
        <f ca="1">IF(V787="PARTNER.com",AH787,IF(AND(V787=V786,W787=W786),(1-AVERAGE(AD786,AD787))*AH787,(1-AVERAGE(AD787,VLOOKUP(_xlfn.CONCAT(U787,V787,W787,X787,M_BRAND_FC!$F$6),FC_DATA!$R$2:$AD$5000,MATCH("DISCOUNT_%_M",FC_DATA!$R$1:$AD$1,0),FALSE)))*AH787))</f>
        <v>#N/A</v>
      </c>
      <c r="AJ787" s="412" t="str">
        <f t="shared" ca="1" si="318"/>
        <v/>
      </c>
      <c r="AK787" s="413" t="str">
        <f>IFERROR(AE787/(Q_BRAND_FC!$T$24+1),"")</f>
        <v/>
      </c>
      <c r="AL787" s="88" t="str">
        <f t="shared" ca="1" si="319"/>
        <v/>
      </c>
      <c r="AM787" s="414" t="str">
        <f t="shared" ca="1" si="320"/>
        <v/>
      </c>
      <c r="AN787" s="58">
        <f>IFERROR(IF($V787="BRAND.com",HLOOKUP($X787&amp;$Z787,NWC_FC_NOOS!$C$4:$Q$23,MATCH(W787,NWC_FC_NOOS!$B$4:$B$23,0),FALSE),0),0)</f>
        <v>0</v>
      </c>
      <c r="AO787" s="57">
        <f>IFERROR(IF($V787="BRAND.com",HLOOKUP($X787&amp;$Z787,NWC_FC_NOOS!$T$4:$AH$23,MATCH(W787,NWC_FC_NOOS!$S$4:$S$23,0),FALSE),0),0)</f>
        <v>0</v>
      </c>
      <c r="AP787" s="57">
        <f>IFERROR(IF($V787="BRAND.com",HLOOKUP($X787&amp;$Z787,NWC_FC_NOOS!$C$50:$U$69,MATCH(W787,NWC_FC_NOOS!$B$50:$B$69,0),FALSE),0),0)</f>
        <v>0</v>
      </c>
      <c r="AQ787" s="58">
        <f>IFERROR(IF($V787="BRAND.com",HLOOKUP($X787&amp;$Z787,'NWC_FC_NON-NOOS'!$C$4:$Q$23,MATCH(W787,'NWC_FC_NON-NOOS'!$B$4:$B$23,0),FALSE),0),0)</f>
        <v>0</v>
      </c>
      <c r="AR787" s="57">
        <f>IFERROR(IF($V787="BRAND.com",HLOOKUP($X787&amp;$Z787,'NWC_FC_NON-NOOS'!$T$4:$AH$23,MATCH(W787,'NWC_FC_NON-NOOS'!$S$4:$S$23,0),FALSE),0),0)</f>
        <v>0</v>
      </c>
      <c r="AS787" s="57">
        <f>IFERROR(IF($V787="BRAND.com",HLOOKUP($X787&amp;$Z787,'NWC_FC_NON-NOOS'!$C$50:$U$69,MATCH(W787,'NWC_FC_NON-NOOS'!$B$50:$B$69,0),FALSE),0),0)</f>
        <v>0</v>
      </c>
      <c r="AT787" s="57">
        <f t="shared" si="322"/>
        <v>0</v>
      </c>
      <c r="AU787" s="57">
        <f t="shared" si="323"/>
        <v>0</v>
      </c>
      <c r="AV787" s="58">
        <f>IFERROR(IF($V787="BRAND.com",HLOOKUP($X787&amp;$Z787,PLANNING_FC!$BB$27:$BP$46,MATCH($W787,PLANNING_FC!$BA$27:$BA$46,0),FALSE),0),0)</f>
        <v>0</v>
      </c>
      <c r="AW787" s="58">
        <f>IFERROR(IF($V787="BRAND.com",HLOOKUP($X787&amp;$Z787,PLANNING_FC!$BB$4:$BP$23,MATCH($W787,PLANNING_FC!$BA$4:$BA$23,0),FALSE),0),0)</f>
        <v>0</v>
      </c>
      <c r="AX787" s="58">
        <f>IFERROR(IF($V787="BRAND.com",HLOOKUP($X787&amp;$Z787,PLANNING_FC!$T$27:$AH$46,MATCH($W787,PLANNING_FC!$B$27:$B$46,0),FALSE),0),0)</f>
        <v>0</v>
      </c>
      <c r="AY787" s="58">
        <f>IFERROR(IF($V787="BRAND.com",HLOOKUP($X787&amp;$Z787,PLANNING_FC!$T$4:$AH$23,MATCH($W787,PLANNING_FC!$B$4:$B$23,0),FALSE),0),0)</f>
        <v>0</v>
      </c>
      <c r="AZ787" s="58">
        <f>IFERROR(IF($V787="BRAND.com",HLOOKUP($X787&amp;$Z787,PLANNING_FC!$DA$27:$DO$46,MATCH($W787,PLANNING_FC!$CZ$27:$CZ$46,0),FALSE),0),0)</f>
        <v>0</v>
      </c>
      <c r="BA787" s="58">
        <f>IFERROR(IF($V787="BRAND.com",HLOOKUP($X787&amp;$Z787,PLANNING_FC!$DA$4:$DO$23,MATCH($W787,PLANNING_FC!$CZ$4:$CZ$23,0),FALSE),0),0)</f>
        <v>0</v>
      </c>
      <c r="BB787" s="883" t="str">
        <f>IF(V787="BRAND.com",IFERROR(HLOOKUP(X787&amp;Z787,PLANNING_FC!$AK$4:$AY$23,MATCH(W787,PLANNING_FC!$AJ$4:$AJ$23,0),FALSE)*1000,""),"")</f>
        <v/>
      </c>
      <c r="BC787" s="883" t="str">
        <f>IF(V787="BRAND.com",IFERROR(HLOOKUP(X787&amp;Z787,PLANNING_FC!$AK$27:$AY$46,MATCH(W787,PLANNING_FC!$AJ$27:$AJ$46,0),FALSE)*1000,""),"")</f>
        <v/>
      </c>
    </row>
    <row r="788" spans="14:55" x14ac:dyDescent="0.25">
      <c r="N788" s="56">
        <f t="shared" si="304"/>
        <v>0</v>
      </c>
      <c r="O788" s="57">
        <f t="shared" si="305"/>
        <v>0</v>
      </c>
      <c r="P788" s="57">
        <f ca="1">IFERROR(IF(ISBLANK(H788),SUMIFS($AC:$AC,$V:$V,V788,$W:$W,W788,$X:$X,X788,$Y:$Y,Y788)*J788/(1-J788)*VLOOKUP(_xlfn.CONCAT(C788,D788,E788,TIME!$M$12,Z788),HIS_SALES!$B$2:$W$4859,20,FALSE),AC788*J788/(1-J788)),0)</f>
        <v>0</v>
      </c>
      <c r="Q788" s="541" t="str">
        <f t="shared" si="306"/>
        <v/>
      </c>
      <c r="R788" s="346" t="str">
        <f t="shared" si="307"/>
        <v>00000</v>
      </c>
      <c r="S788" s="344">
        <f t="shared" si="308"/>
        <v>0</v>
      </c>
      <c r="T788" s="345" t="str">
        <f t="shared" si="321"/>
        <v>000</v>
      </c>
      <c r="U788" s="345">
        <f t="shared" si="309"/>
        <v>0</v>
      </c>
      <c r="V788" s="345">
        <f t="shared" si="310"/>
        <v>0</v>
      </c>
      <c r="W788" s="345">
        <f t="shared" si="311"/>
        <v>0</v>
      </c>
      <c r="X788" s="345">
        <f t="shared" si="312"/>
        <v>0</v>
      </c>
      <c r="Y788" s="345">
        <f t="shared" si="313"/>
        <v>0</v>
      </c>
      <c r="Z788" s="345">
        <f>IF(Q788&lt;&gt;"",VLOOKUP(Y788,TIME!$R$21:$V$24,MATCH(FC_DATA!Q788,TIME!$R$20:$V$20,0),FALSE),H788)</f>
        <v>0</v>
      </c>
      <c r="AA788" s="345" t="str">
        <f>IFERROR(VLOOKUP(X788&amp;Z788,TIME!$A$12:$D$71,4,FALSE),"")</f>
        <v/>
      </c>
      <c r="AB788" s="592">
        <f t="shared" ca="1" si="314"/>
        <v>0</v>
      </c>
      <c r="AC788" s="593" t="e">
        <f ca="1">IF(ISBLANK(H788)=FALSE,IF(D788="BRAND.com",I788,IF(ISNA(VLOOKUP(_xlfn.CONCAT(X788,Z788),TIME!$M$40:$M$42,1,FALSE)),I788,VLOOKUP(_xlfn.CONCAT(D788,G788,H788),M_BUSAREA_FC!$AF$5:$AJ$10,5,FALSE)*HLOOKUP(_xlfn.CONCAT(F788,H788),ST_OVERVIEW!$G$99:$I$130,MATCH(_xlfn.CONCAT(D788,E788),ST_OVERVIEW!$F$99:$F$130,0),FALSE))),IF(D788="BRAND.com",VLOOKUP(_xlfn.CONCAT(C788,D788,E788,TIME!$F$1,Z788),HIS_SALES!$B$2:$V$4859,19,FALSE)*I788,VLOOKUP(_xlfn.CONCAT(D788,F788,G788),Q_BUSAREA_FC!$AE$5:$AI$12,5,FALSE)*HLOOKUP(_xlfn.CONCAT(FC_DATA!F788,FC_DATA!G788),LT_OVERVIEW!$I$99:$M$130,MATCH(_xlfn.CONCAT(D788,FC_DATA!E788),LT_OVERVIEW!$H$99:$H$130,0),FALSE)*IFERROR(VLOOKUP(_xlfn.CONCAT(C788,D788,E788,TIME!$F$1,Z788),HIS_SALES!$B$2:$V$4859,19,FALSE),0)))</f>
        <v>#N/A</v>
      </c>
      <c r="AD788" s="341">
        <f t="shared" ca="1" si="315"/>
        <v>0</v>
      </c>
      <c r="AE788" s="363" t="str">
        <f t="shared" si="316"/>
        <v/>
      </c>
      <c r="AF788" s="342" t="str">
        <f t="shared" si="317"/>
        <v/>
      </c>
      <c r="AG788" s="411" t="e">
        <f ca="1">VLOOKUP(_xlfn.CONCAT(U788,V788,W788,VLOOKUP(X788&amp;Y788,TIME!$L$27:$O$34,4,FALSE),Y788),HIS_SALES!$A$2:$R$5093,18,FALSE)</f>
        <v>#N/A</v>
      </c>
      <c r="AH788" s="412" t="e">
        <f ca="1">IFERROR(IF(AND(V788=V787,W788=W787),0.5*(AB788+AB787)*AG788,(VLOOKUP(_xlfn.CONCAT(U788,V788,W788,X788,VLOOKUP(Z788,TIME!$S$28:$T$39,2,FALSE)),FC_DATA!$R$2:$AB$5000,MATCH("GS_I_M",FC_DATA!$R$1:$AB$1,0),FALSE)+FC_DATA!AB788)*0.5*FC_DATA!AG788),NA())</f>
        <v>#N/A</v>
      </c>
      <c r="AI788" s="491" t="e">
        <f ca="1">IF(V788="PARTNER.com",AH788,IF(AND(V788=V787,W788=W787),(1-AVERAGE(AD787,AD788))*AH788,(1-AVERAGE(AD788,VLOOKUP(_xlfn.CONCAT(U788,V788,W788,X788,M_BRAND_FC!$F$6),FC_DATA!$R$2:$AD$5000,MATCH("DISCOUNT_%_M",FC_DATA!$R$1:$AD$1,0),FALSE)))*AH788))</f>
        <v>#N/A</v>
      </c>
      <c r="AJ788" s="412" t="str">
        <f t="shared" ca="1" si="318"/>
        <v/>
      </c>
      <c r="AK788" s="413" t="str">
        <f>IFERROR(AE788/(Q_BRAND_FC!$T$24+1),"")</f>
        <v/>
      </c>
      <c r="AL788" s="88" t="str">
        <f t="shared" ca="1" si="319"/>
        <v/>
      </c>
      <c r="AM788" s="414" t="str">
        <f t="shared" ca="1" si="320"/>
        <v/>
      </c>
      <c r="AN788" s="58">
        <f>IFERROR(IF($V788="BRAND.com",HLOOKUP($X788&amp;$Z788,NWC_FC_NOOS!$C$4:$Q$23,MATCH(W788,NWC_FC_NOOS!$B$4:$B$23,0),FALSE),0),0)</f>
        <v>0</v>
      </c>
      <c r="AO788" s="57">
        <f>IFERROR(IF($V788="BRAND.com",HLOOKUP($X788&amp;$Z788,NWC_FC_NOOS!$T$4:$AH$23,MATCH(W788,NWC_FC_NOOS!$S$4:$S$23,0),FALSE),0),0)</f>
        <v>0</v>
      </c>
      <c r="AP788" s="57">
        <f>IFERROR(IF($V788="BRAND.com",HLOOKUP($X788&amp;$Z788,NWC_FC_NOOS!$C$50:$U$69,MATCH(W788,NWC_FC_NOOS!$B$50:$B$69,0),FALSE),0),0)</f>
        <v>0</v>
      </c>
      <c r="AQ788" s="58">
        <f>IFERROR(IF($V788="BRAND.com",HLOOKUP($X788&amp;$Z788,'NWC_FC_NON-NOOS'!$C$4:$Q$23,MATCH(W788,'NWC_FC_NON-NOOS'!$B$4:$B$23,0),FALSE),0),0)</f>
        <v>0</v>
      </c>
      <c r="AR788" s="57">
        <f>IFERROR(IF($V788="BRAND.com",HLOOKUP($X788&amp;$Z788,'NWC_FC_NON-NOOS'!$T$4:$AH$23,MATCH(W788,'NWC_FC_NON-NOOS'!$S$4:$S$23,0),FALSE),0),0)</f>
        <v>0</v>
      </c>
      <c r="AS788" s="57">
        <f>IFERROR(IF($V788="BRAND.com",HLOOKUP($X788&amp;$Z788,'NWC_FC_NON-NOOS'!$C$50:$U$69,MATCH(W788,'NWC_FC_NON-NOOS'!$B$50:$B$69,0),FALSE),0),0)</f>
        <v>0</v>
      </c>
      <c r="AT788" s="57">
        <f t="shared" si="322"/>
        <v>0</v>
      </c>
      <c r="AU788" s="57">
        <f t="shared" si="323"/>
        <v>0</v>
      </c>
      <c r="AV788" s="58">
        <f>IFERROR(IF($V788="BRAND.com",HLOOKUP($X788&amp;$Z788,PLANNING_FC!$BB$27:$BP$46,MATCH($W788,PLANNING_FC!$BA$27:$BA$46,0),FALSE),0),0)</f>
        <v>0</v>
      </c>
      <c r="AW788" s="58">
        <f>IFERROR(IF($V788="BRAND.com",HLOOKUP($X788&amp;$Z788,PLANNING_FC!$BB$4:$BP$23,MATCH($W788,PLANNING_FC!$BA$4:$BA$23,0),FALSE),0),0)</f>
        <v>0</v>
      </c>
      <c r="AX788" s="58">
        <f>IFERROR(IF($V788="BRAND.com",HLOOKUP($X788&amp;$Z788,PLANNING_FC!$T$27:$AH$46,MATCH($W788,PLANNING_FC!$B$27:$B$46,0),FALSE),0),0)</f>
        <v>0</v>
      </c>
      <c r="AY788" s="58">
        <f>IFERROR(IF($V788="BRAND.com",HLOOKUP($X788&amp;$Z788,PLANNING_FC!$T$4:$AH$23,MATCH($W788,PLANNING_FC!$B$4:$B$23,0),FALSE),0),0)</f>
        <v>0</v>
      </c>
      <c r="AZ788" s="58">
        <f>IFERROR(IF($V788="BRAND.com",HLOOKUP($X788&amp;$Z788,PLANNING_FC!$DA$27:$DO$46,MATCH($W788,PLANNING_FC!$CZ$27:$CZ$46,0),FALSE),0),0)</f>
        <v>0</v>
      </c>
      <c r="BA788" s="58">
        <f>IFERROR(IF($V788="BRAND.com",HLOOKUP($X788&amp;$Z788,PLANNING_FC!$DA$4:$DO$23,MATCH($W788,PLANNING_FC!$CZ$4:$CZ$23,0),FALSE),0),0)</f>
        <v>0</v>
      </c>
      <c r="BB788" s="883" t="str">
        <f>IF(V788="BRAND.com",IFERROR(HLOOKUP(X788&amp;Z788,PLANNING_FC!$AK$4:$AY$23,MATCH(W788,PLANNING_FC!$AJ$4:$AJ$23,0),FALSE)*1000,""),"")</f>
        <v/>
      </c>
      <c r="BC788" s="883" t="str">
        <f>IF(V788="BRAND.com",IFERROR(HLOOKUP(X788&amp;Z788,PLANNING_FC!$AK$27:$AY$46,MATCH(W788,PLANNING_FC!$AJ$27:$AJ$46,0),FALSE)*1000,""),"")</f>
        <v/>
      </c>
    </row>
    <row r="789" spans="14:55" x14ac:dyDescent="0.25">
      <c r="N789" s="56">
        <f t="shared" si="304"/>
        <v>0</v>
      </c>
      <c r="O789" s="57">
        <f t="shared" si="305"/>
        <v>0</v>
      </c>
      <c r="P789" s="57">
        <f ca="1">IFERROR(IF(ISBLANK(H789),SUMIFS($AC:$AC,$V:$V,V789,$W:$W,W789,$X:$X,X789,$Y:$Y,Y789)*J789/(1-J789)*VLOOKUP(_xlfn.CONCAT(C789,D789,E789,TIME!$M$12,Z789),HIS_SALES!$B$2:$W$4859,20,FALSE),AC789*J789/(1-J789)),0)</f>
        <v>0</v>
      </c>
      <c r="Q789" s="541" t="str">
        <f t="shared" si="306"/>
        <v/>
      </c>
      <c r="R789" s="346" t="str">
        <f t="shared" si="307"/>
        <v>00000</v>
      </c>
      <c r="S789" s="344">
        <f t="shared" si="308"/>
        <v>0</v>
      </c>
      <c r="T789" s="345" t="str">
        <f t="shared" si="321"/>
        <v>000</v>
      </c>
      <c r="U789" s="345">
        <f t="shared" si="309"/>
        <v>0</v>
      </c>
      <c r="V789" s="345">
        <f t="shared" si="310"/>
        <v>0</v>
      </c>
      <c r="W789" s="345">
        <f t="shared" si="311"/>
        <v>0</v>
      </c>
      <c r="X789" s="345">
        <f t="shared" si="312"/>
        <v>0</v>
      </c>
      <c r="Y789" s="345">
        <f t="shared" si="313"/>
        <v>0</v>
      </c>
      <c r="Z789" s="345">
        <f>IF(Q789&lt;&gt;"",VLOOKUP(Y789,TIME!$R$21:$V$24,MATCH(FC_DATA!Q789,TIME!$R$20:$V$20,0),FALSE),H789)</f>
        <v>0</v>
      </c>
      <c r="AA789" s="345" t="str">
        <f>IFERROR(VLOOKUP(X789&amp;Z789,TIME!$A$12:$D$71,4,FALSE),"")</f>
        <v/>
      </c>
      <c r="AB789" s="592">
        <f t="shared" ca="1" si="314"/>
        <v>0</v>
      </c>
      <c r="AC789" s="593" t="e">
        <f ca="1">IF(ISBLANK(H789)=FALSE,IF(D789="BRAND.com",I789,IF(ISNA(VLOOKUP(_xlfn.CONCAT(X789,Z789),TIME!$M$40:$M$42,1,FALSE)),I789,VLOOKUP(_xlfn.CONCAT(D789,G789,H789),M_BUSAREA_FC!$AF$5:$AJ$10,5,FALSE)*HLOOKUP(_xlfn.CONCAT(F789,H789),ST_OVERVIEW!$G$99:$I$130,MATCH(_xlfn.CONCAT(D789,E789),ST_OVERVIEW!$F$99:$F$130,0),FALSE))),IF(D789="BRAND.com",VLOOKUP(_xlfn.CONCAT(C789,D789,E789,TIME!$F$1,Z789),HIS_SALES!$B$2:$V$4859,19,FALSE)*I789,VLOOKUP(_xlfn.CONCAT(D789,F789,G789),Q_BUSAREA_FC!$AE$5:$AI$12,5,FALSE)*HLOOKUP(_xlfn.CONCAT(FC_DATA!F789,FC_DATA!G789),LT_OVERVIEW!$I$99:$M$130,MATCH(_xlfn.CONCAT(D789,FC_DATA!E789),LT_OVERVIEW!$H$99:$H$130,0),FALSE)*IFERROR(VLOOKUP(_xlfn.CONCAT(C789,D789,E789,TIME!$F$1,Z789),HIS_SALES!$B$2:$V$4859,19,FALSE),0)))</f>
        <v>#N/A</v>
      </c>
      <c r="AD789" s="341">
        <f t="shared" ca="1" si="315"/>
        <v>0</v>
      </c>
      <c r="AE789" s="363" t="str">
        <f t="shared" si="316"/>
        <v/>
      </c>
      <c r="AF789" s="342" t="str">
        <f t="shared" si="317"/>
        <v/>
      </c>
      <c r="AG789" s="411" t="e">
        <f ca="1">VLOOKUP(_xlfn.CONCAT(U789,V789,W789,VLOOKUP(X789&amp;Y789,TIME!$L$27:$O$34,4,FALSE),Y789),HIS_SALES!$A$2:$R$5093,18,FALSE)</f>
        <v>#N/A</v>
      </c>
      <c r="AH789" s="412" t="e">
        <f ca="1">IFERROR(IF(AND(V789=V788,W789=W788),0.5*(AB789+AB788)*AG789,(VLOOKUP(_xlfn.CONCAT(U789,V789,W789,X789,VLOOKUP(Z789,TIME!$S$28:$T$39,2,FALSE)),FC_DATA!$R$2:$AB$5000,MATCH("GS_I_M",FC_DATA!$R$1:$AB$1,0),FALSE)+FC_DATA!AB789)*0.5*FC_DATA!AG789),NA())</f>
        <v>#N/A</v>
      </c>
      <c r="AI789" s="491" t="e">
        <f ca="1">IF(V789="PARTNER.com",AH789,IF(AND(V789=V788,W789=W788),(1-AVERAGE(AD788,AD789))*AH789,(1-AVERAGE(AD789,VLOOKUP(_xlfn.CONCAT(U789,V789,W789,X789,M_BRAND_FC!$F$6),FC_DATA!$R$2:$AD$5000,MATCH("DISCOUNT_%_M",FC_DATA!$R$1:$AD$1,0),FALSE)))*AH789))</f>
        <v>#N/A</v>
      </c>
      <c r="AJ789" s="412" t="str">
        <f t="shared" ca="1" si="318"/>
        <v/>
      </c>
      <c r="AK789" s="413" t="str">
        <f>IFERROR(AE789/(Q_BRAND_FC!$T$24+1),"")</f>
        <v/>
      </c>
      <c r="AL789" s="88" t="str">
        <f t="shared" ca="1" si="319"/>
        <v/>
      </c>
      <c r="AM789" s="414" t="str">
        <f t="shared" ca="1" si="320"/>
        <v/>
      </c>
      <c r="AN789" s="58">
        <f>IFERROR(IF($V789="BRAND.com",HLOOKUP($X789&amp;$Z789,NWC_FC_NOOS!$C$4:$Q$23,MATCH(W789,NWC_FC_NOOS!$B$4:$B$23,0),FALSE),0),0)</f>
        <v>0</v>
      </c>
      <c r="AO789" s="57">
        <f>IFERROR(IF($V789="BRAND.com",HLOOKUP($X789&amp;$Z789,NWC_FC_NOOS!$T$4:$AH$23,MATCH(W789,NWC_FC_NOOS!$S$4:$S$23,0),FALSE),0),0)</f>
        <v>0</v>
      </c>
      <c r="AP789" s="57">
        <f>IFERROR(IF($V789="BRAND.com",HLOOKUP($X789&amp;$Z789,NWC_FC_NOOS!$C$50:$U$69,MATCH(W789,NWC_FC_NOOS!$B$50:$B$69,0),FALSE),0),0)</f>
        <v>0</v>
      </c>
      <c r="AQ789" s="58">
        <f>IFERROR(IF($V789="BRAND.com",HLOOKUP($X789&amp;$Z789,'NWC_FC_NON-NOOS'!$C$4:$Q$23,MATCH(W789,'NWC_FC_NON-NOOS'!$B$4:$B$23,0),FALSE),0),0)</f>
        <v>0</v>
      </c>
      <c r="AR789" s="57">
        <f>IFERROR(IF($V789="BRAND.com",HLOOKUP($X789&amp;$Z789,'NWC_FC_NON-NOOS'!$T$4:$AH$23,MATCH(W789,'NWC_FC_NON-NOOS'!$S$4:$S$23,0),FALSE),0),0)</f>
        <v>0</v>
      </c>
      <c r="AS789" s="57">
        <f>IFERROR(IF($V789="BRAND.com",HLOOKUP($X789&amp;$Z789,'NWC_FC_NON-NOOS'!$C$50:$U$69,MATCH(W789,'NWC_FC_NON-NOOS'!$B$50:$B$69,0),FALSE),0),0)</f>
        <v>0</v>
      </c>
      <c r="AT789" s="57">
        <f t="shared" si="322"/>
        <v>0</v>
      </c>
      <c r="AU789" s="57">
        <f t="shared" si="323"/>
        <v>0</v>
      </c>
      <c r="AV789" s="58">
        <f>IFERROR(IF($V789="BRAND.com",HLOOKUP($X789&amp;$Z789,PLANNING_FC!$BB$27:$BP$46,MATCH($W789,PLANNING_FC!$BA$27:$BA$46,0),FALSE),0),0)</f>
        <v>0</v>
      </c>
      <c r="AW789" s="58">
        <f>IFERROR(IF($V789="BRAND.com",HLOOKUP($X789&amp;$Z789,PLANNING_FC!$BB$4:$BP$23,MATCH($W789,PLANNING_FC!$BA$4:$BA$23,0),FALSE),0),0)</f>
        <v>0</v>
      </c>
      <c r="AX789" s="58">
        <f>IFERROR(IF($V789="BRAND.com",HLOOKUP($X789&amp;$Z789,PLANNING_FC!$T$27:$AH$46,MATCH($W789,PLANNING_FC!$B$27:$B$46,0),FALSE),0),0)</f>
        <v>0</v>
      </c>
      <c r="AY789" s="58">
        <f>IFERROR(IF($V789="BRAND.com",HLOOKUP($X789&amp;$Z789,PLANNING_FC!$T$4:$AH$23,MATCH($W789,PLANNING_FC!$B$4:$B$23,0),FALSE),0),0)</f>
        <v>0</v>
      </c>
      <c r="AZ789" s="58">
        <f>IFERROR(IF($V789="BRAND.com",HLOOKUP($X789&amp;$Z789,PLANNING_FC!$DA$27:$DO$46,MATCH($W789,PLANNING_FC!$CZ$27:$CZ$46,0),FALSE),0),0)</f>
        <v>0</v>
      </c>
      <c r="BA789" s="58">
        <f>IFERROR(IF($V789="BRAND.com",HLOOKUP($X789&amp;$Z789,PLANNING_FC!$DA$4:$DO$23,MATCH($W789,PLANNING_FC!$CZ$4:$CZ$23,0),FALSE),0),0)</f>
        <v>0</v>
      </c>
      <c r="BB789" s="883" t="str">
        <f>IF(V789="BRAND.com",IFERROR(HLOOKUP(X789&amp;Z789,PLANNING_FC!$AK$4:$AY$23,MATCH(W789,PLANNING_FC!$AJ$4:$AJ$23,0),FALSE)*1000,""),"")</f>
        <v/>
      </c>
      <c r="BC789" s="883" t="str">
        <f>IF(V789="BRAND.com",IFERROR(HLOOKUP(X789&amp;Z789,PLANNING_FC!$AK$27:$AY$46,MATCH(W789,PLANNING_FC!$AJ$27:$AJ$46,0),FALSE)*1000,""),"")</f>
        <v/>
      </c>
    </row>
    <row r="790" spans="14:55" x14ac:dyDescent="0.25">
      <c r="N790" s="56">
        <f t="shared" si="304"/>
        <v>0</v>
      </c>
      <c r="O790" s="57">
        <f t="shared" si="305"/>
        <v>0</v>
      </c>
      <c r="P790" s="57">
        <f ca="1">IFERROR(IF(ISBLANK(H790),SUMIFS($AC:$AC,$V:$V,V790,$W:$W,W790,$X:$X,X790,$Y:$Y,Y790)*J790/(1-J790)*VLOOKUP(_xlfn.CONCAT(C790,D790,E790,TIME!$M$12,Z790),HIS_SALES!$B$2:$W$4859,20,FALSE),AC790*J790/(1-J790)),0)</f>
        <v>0</v>
      </c>
      <c r="Q790" s="541" t="str">
        <f t="shared" si="306"/>
        <v/>
      </c>
      <c r="R790" s="346" t="str">
        <f t="shared" si="307"/>
        <v>00000</v>
      </c>
      <c r="S790" s="344">
        <f t="shared" si="308"/>
        <v>0</v>
      </c>
      <c r="T790" s="345" t="str">
        <f t="shared" si="321"/>
        <v>000</v>
      </c>
      <c r="U790" s="345">
        <f t="shared" si="309"/>
        <v>0</v>
      </c>
      <c r="V790" s="345">
        <f t="shared" si="310"/>
        <v>0</v>
      </c>
      <c r="W790" s="345">
        <f t="shared" si="311"/>
        <v>0</v>
      </c>
      <c r="X790" s="345">
        <f t="shared" si="312"/>
        <v>0</v>
      </c>
      <c r="Y790" s="345">
        <f t="shared" si="313"/>
        <v>0</v>
      </c>
      <c r="Z790" s="345">
        <f>IF(Q790&lt;&gt;"",VLOOKUP(Y790,TIME!$R$21:$V$24,MATCH(FC_DATA!Q790,TIME!$R$20:$V$20,0),FALSE),H790)</f>
        <v>0</v>
      </c>
      <c r="AA790" s="345" t="str">
        <f>IFERROR(VLOOKUP(X790&amp;Z790,TIME!$A$12:$D$71,4,FALSE),"")</f>
        <v/>
      </c>
      <c r="AB790" s="592">
        <f t="shared" ca="1" si="314"/>
        <v>0</v>
      </c>
      <c r="AC790" s="593" t="e">
        <f ca="1">IF(ISBLANK(H790)=FALSE,IF(D790="BRAND.com",I790,IF(ISNA(VLOOKUP(_xlfn.CONCAT(X790,Z790),TIME!$M$40:$M$42,1,FALSE)),I790,VLOOKUP(_xlfn.CONCAT(D790,G790,H790),M_BUSAREA_FC!$AF$5:$AJ$10,5,FALSE)*HLOOKUP(_xlfn.CONCAT(F790,H790),ST_OVERVIEW!$G$99:$I$130,MATCH(_xlfn.CONCAT(D790,E790),ST_OVERVIEW!$F$99:$F$130,0),FALSE))),IF(D790="BRAND.com",VLOOKUP(_xlfn.CONCAT(C790,D790,E790,TIME!$F$1,Z790),HIS_SALES!$B$2:$V$4859,19,FALSE)*I790,VLOOKUP(_xlfn.CONCAT(D790,F790,G790),Q_BUSAREA_FC!$AE$5:$AI$12,5,FALSE)*HLOOKUP(_xlfn.CONCAT(FC_DATA!F790,FC_DATA!G790),LT_OVERVIEW!$I$99:$M$130,MATCH(_xlfn.CONCAT(D790,FC_DATA!E790),LT_OVERVIEW!$H$99:$H$130,0),FALSE)*IFERROR(VLOOKUP(_xlfn.CONCAT(C790,D790,E790,TIME!$F$1,Z790),HIS_SALES!$B$2:$V$4859,19,FALSE),0)))</f>
        <v>#N/A</v>
      </c>
      <c r="AD790" s="341">
        <f t="shared" ca="1" si="315"/>
        <v>0</v>
      </c>
      <c r="AE790" s="363" t="str">
        <f t="shared" si="316"/>
        <v/>
      </c>
      <c r="AF790" s="342" t="str">
        <f t="shared" si="317"/>
        <v/>
      </c>
      <c r="AG790" s="411" t="e">
        <f ca="1">VLOOKUP(_xlfn.CONCAT(U790,V790,W790,VLOOKUP(X790&amp;Y790,TIME!$L$27:$O$34,4,FALSE),Y790),HIS_SALES!$A$2:$R$5093,18,FALSE)</f>
        <v>#N/A</v>
      </c>
      <c r="AH790" s="412" t="e">
        <f ca="1">IFERROR(IF(AND(V790=V789,W790=W789),0.5*(AB790+AB789)*AG790,(VLOOKUP(_xlfn.CONCAT(U790,V790,W790,X790,VLOOKUP(Z790,TIME!$S$28:$T$39,2,FALSE)),FC_DATA!$R$2:$AB$5000,MATCH("GS_I_M",FC_DATA!$R$1:$AB$1,0),FALSE)+FC_DATA!AB790)*0.5*FC_DATA!AG790),NA())</f>
        <v>#N/A</v>
      </c>
      <c r="AI790" s="491" t="e">
        <f ca="1">IF(V790="PARTNER.com",AH790,IF(AND(V790=V789,W790=W789),(1-AVERAGE(AD789,AD790))*AH790,(1-AVERAGE(AD790,VLOOKUP(_xlfn.CONCAT(U790,V790,W790,X790,M_BRAND_FC!$F$6),FC_DATA!$R$2:$AD$5000,MATCH("DISCOUNT_%_M",FC_DATA!$R$1:$AD$1,0),FALSE)))*AH790))</f>
        <v>#N/A</v>
      </c>
      <c r="AJ790" s="412" t="str">
        <f t="shared" ca="1" si="318"/>
        <v/>
      </c>
      <c r="AK790" s="413" t="str">
        <f>IFERROR(AE790/(Q_BRAND_FC!$T$24+1),"")</f>
        <v/>
      </c>
      <c r="AL790" s="88" t="str">
        <f t="shared" ca="1" si="319"/>
        <v/>
      </c>
      <c r="AM790" s="414" t="str">
        <f t="shared" ca="1" si="320"/>
        <v/>
      </c>
      <c r="AN790" s="58">
        <f>IFERROR(IF($V790="BRAND.com",HLOOKUP($X790&amp;$Z790,NWC_FC_NOOS!$C$4:$Q$23,MATCH(W790,NWC_FC_NOOS!$B$4:$B$23,0),FALSE),0),0)</f>
        <v>0</v>
      </c>
      <c r="AO790" s="57">
        <f>IFERROR(IF($V790="BRAND.com",HLOOKUP($X790&amp;$Z790,NWC_FC_NOOS!$T$4:$AH$23,MATCH(W790,NWC_FC_NOOS!$S$4:$S$23,0),FALSE),0),0)</f>
        <v>0</v>
      </c>
      <c r="AP790" s="57">
        <f>IFERROR(IF($V790="BRAND.com",HLOOKUP($X790&amp;$Z790,NWC_FC_NOOS!$C$50:$U$69,MATCH(W790,NWC_FC_NOOS!$B$50:$B$69,0),FALSE),0),0)</f>
        <v>0</v>
      </c>
      <c r="AQ790" s="58">
        <f>IFERROR(IF($V790="BRAND.com",HLOOKUP($X790&amp;$Z790,'NWC_FC_NON-NOOS'!$C$4:$Q$23,MATCH(W790,'NWC_FC_NON-NOOS'!$B$4:$B$23,0),FALSE),0),0)</f>
        <v>0</v>
      </c>
      <c r="AR790" s="57">
        <f>IFERROR(IF($V790="BRAND.com",HLOOKUP($X790&amp;$Z790,'NWC_FC_NON-NOOS'!$T$4:$AH$23,MATCH(W790,'NWC_FC_NON-NOOS'!$S$4:$S$23,0),FALSE),0),0)</f>
        <v>0</v>
      </c>
      <c r="AS790" s="57">
        <f>IFERROR(IF($V790="BRAND.com",HLOOKUP($X790&amp;$Z790,'NWC_FC_NON-NOOS'!$C$50:$U$69,MATCH(W790,'NWC_FC_NON-NOOS'!$B$50:$B$69,0),FALSE),0),0)</f>
        <v>0</v>
      </c>
      <c r="AT790" s="57">
        <f t="shared" si="322"/>
        <v>0</v>
      </c>
      <c r="AU790" s="57">
        <f t="shared" si="323"/>
        <v>0</v>
      </c>
      <c r="AV790" s="58">
        <f>IFERROR(IF($V790="BRAND.com",HLOOKUP($X790&amp;$Z790,PLANNING_FC!$BB$27:$BP$46,MATCH($W790,PLANNING_FC!$BA$27:$BA$46,0),FALSE),0),0)</f>
        <v>0</v>
      </c>
      <c r="AW790" s="58">
        <f>IFERROR(IF($V790="BRAND.com",HLOOKUP($X790&amp;$Z790,PLANNING_FC!$BB$4:$BP$23,MATCH($W790,PLANNING_FC!$BA$4:$BA$23,0),FALSE),0),0)</f>
        <v>0</v>
      </c>
      <c r="AX790" s="58">
        <f>IFERROR(IF($V790="BRAND.com",HLOOKUP($X790&amp;$Z790,PLANNING_FC!$T$27:$AH$46,MATCH($W790,PLANNING_FC!$B$27:$B$46,0),FALSE),0),0)</f>
        <v>0</v>
      </c>
      <c r="AY790" s="58">
        <f>IFERROR(IF($V790="BRAND.com",HLOOKUP($X790&amp;$Z790,PLANNING_FC!$T$4:$AH$23,MATCH($W790,PLANNING_FC!$B$4:$B$23,0),FALSE),0),0)</f>
        <v>0</v>
      </c>
      <c r="AZ790" s="58">
        <f>IFERROR(IF($V790="BRAND.com",HLOOKUP($X790&amp;$Z790,PLANNING_FC!$DA$27:$DO$46,MATCH($W790,PLANNING_FC!$CZ$27:$CZ$46,0),FALSE),0),0)</f>
        <v>0</v>
      </c>
      <c r="BA790" s="58">
        <f>IFERROR(IF($V790="BRAND.com",HLOOKUP($X790&amp;$Z790,PLANNING_FC!$DA$4:$DO$23,MATCH($W790,PLANNING_FC!$CZ$4:$CZ$23,0),FALSE),0),0)</f>
        <v>0</v>
      </c>
      <c r="BB790" s="883" t="str">
        <f>IF(V790="BRAND.com",IFERROR(HLOOKUP(X790&amp;Z790,PLANNING_FC!$AK$4:$AY$23,MATCH(W790,PLANNING_FC!$AJ$4:$AJ$23,0),FALSE)*1000,""),"")</f>
        <v/>
      </c>
      <c r="BC790" s="883" t="str">
        <f>IF(V790="BRAND.com",IFERROR(HLOOKUP(X790&amp;Z790,PLANNING_FC!$AK$27:$AY$46,MATCH(W790,PLANNING_FC!$AJ$27:$AJ$46,0),FALSE)*1000,""),"")</f>
        <v/>
      </c>
    </row>
    <row r="791" spans="14:55" x14ac:dyDescent="0.25">
      <c r="N791" s="56">
        <f t="shared" si="304"/>
        <v>0</v>
      </c>
      <c r="O791" s="57">
        <f t="shared" si="305"/>
        <v>0</v>
      </c>
      <c r="P791" s="57">
        <f ca="1">IFERROR(IF(ISBLANK(H791),SUMIFS($AC:$AC,$V:$V,V791,$W:$W,W791,$X:$X,X791,$Y:$Y,Y791)*J791/(1-J791)*VLOOKUP(_xlfn.CONCAT(C791,D791,E791,TIME!$M$12,Z791),HIS_SALES!$B$2:$W$4859,20,FALSE),AC791*J791/(1-J791)),0)</f>
        <v>0</v>
      </c>
      <c r="Q791" s="541" t="str">
        <f t="shared" si="306"/>
        <v/>
      </c>
      <c r="R791" s="346" t="str">
        <f t="shared" si="307"/>
        <v>00000</v>
      </c>
      <c r="S791" s="344">
        <f t="shared" si="308"/>
        <v>0</v>
      </c>
      <c r="T791" s="345" t="str">
        <f t="shared" si="321"/>
        <v>000</v>
      </c>
      <c r="U791" s="345">
        <f t="shared" si="309"/>
        <v>0</v>
      </c>
      <c r="V791" s="345">
        <f t="shared" si="310"/>
        <v>0</v>
      </c>
      <c r="W791" s="345">
        <f t="shared" si="311"/>
        <v>0</v>
      </c>
      <c r="X791" s="345">
        <f t="shared" si="312"/>
        <v>0</v>
      </c>
      <c r="Y791" s="345">
        <f t="shared" si="313"/>
        <v>0</v>
      </c>
      <c r="Z791" s="345">
        <f>IF(Q791&lt;&gt;"",VLOOKUP(Y791,TIME!$R$21:$V$24,MATCH(FC_DATA!Q791,TIME!$R$20:$V$20,0),FALSE),H791)</f>
        <v>0</v>
      </c>
      <c r="AA791" s="345" t="str">
        <f>IFERROR(VLOOKUP(X791&amp;Z791,TIME!$A$12:$D$71,4,FALSE),"")</f>
        <v/>
      </c>
      <c r="AB791" s="592">
        <f t="shared" ca="1" si="314"/>
        <v>0</v>
      </c>
      <c r="AC791" s="593" t="e">
        <f ca="1">IF(ISBLANK(H791)=FALSE,IF(D791="BRAND.com",I791,IF(ISNA(VLOOKUP(_xlfn.CONCAT(X791,Z791),TIME!$M$40:$M$42,1,FALSE)),I791,VLOOKUP(_xlfn.CONCAT(D791,G791,H791),M_BUSAREA_FC!$AF$5:$AJ$10,5,FALSE)*HLOOKUP(_xlfn.CONCAT(F791,H791),ST_OVERVIEW!$G$99:$I$130,MATCH(_xlfn.CONCAT(D791,E791),ST_OVERVIEW!$F$99:$F$130,0),FALSE))),IF(D791="BRAND.com",VLOOKUP(_xlfn.CONCAT(C791,D791,E791,TIME!$F$1,Z791),HIS_SALES!$B$2:$V$4859,19,FALSE)*I791,VLOOKUP(_xlfn.CONCAT(D791,F791,G791),Q_BUSAREA_FC!$AE$5:$AI$12,5,FALSE)*HLOOKUP(_xlfn.CONCAT(FC_DATA!F791,FC_DATA!G791),LT_OVERVIEW!$I$99:$M$130,MATCH(_xlfn.CONCAT(D791,FC_DATA!E791),LT_OVERVIEW!$H$99:$H$130,0),FALSE)*IFERROR(VLOOKUP(_xlfn.CONCAT(C791,D791,E791,TIME!$F$1,Z791),HIS_SALES!$B$2:$V$4859,19,FALSE),0)))</f>
        <v>#N/A</v>
      </c>
      <c r="AD791" s="341">
        <f t="shared" ca="1" si="315"/>
        <v>0</v>
      </c>
      <c r="AE791" s="363" t="str">
        <f t="shared" si="316"/>
        <v/>
      </c>
      <c r="AF791" s="342" t="str">
        <f t="shared" si="317"/>
        <v/>
      </c>
      <c r="AG791" s="411" t="e">
        <f ca="1">VLOOKUP(_xlfn.CONCAT(U791,V791,W791,VLOOKUP(X791&amp;Y791,TIME!$L$27:$O$34,4,FALSE),Y791),HIS_SALES!$A$2:$R$5093,18,FALSE)</f>
        <v>#N/A</v>
      </c>
      <c r="AH791" s="412" t="e">
        <f ca="1">IFERROR(IF(AND(V791=V790,W791=W790),0.5*(AB791+AB790)*AG791,(VLOOKUP(_xlfn.CONCAT(U791,V791,W791,X791,VLOOKUP(Z791,TIME!$S$28:$T$39,2,FALSE)),FC_DATA!$R$2:$AB$5000,MATCH("GS_I_M",FC_DATA!$R$1:$AB$1,0),FALSE)+FC_DATA!AB791)*0.5*FC_DATA!AG791),NA())</f>
        <v>#N/A</v>
      </c>
      <c r="AI791" s="491" t="e">
        <f ca="1">IF(V791="PARTNER.com",AH791,IF(AND(V791=V790,W791=W790),(1-AVERAGE(AD790,AD791))*AH791,(1-AVERAGE(AD791,VLOOKUP(_xlfn.CONCAT(U791,V791,W791,X791,M_BRAND_FC!$F$6),FC_DATA!$R$2:$AD$5000,MATCH("DISCOUNT_%_M",FC_DATA!$R$1:$AD$1,0),FALSE)))*AH791))</f>
        <v>#N/A</v>
      </c>
      <c r="AJ791" s="412" t="str">
        <f t="shared" ca="1" si="318"/>
        <v/>
      </c>
      <c r="AK791" s="413" t="str">
        <f>IFERROR(AE791/(Q_BRAND_FC!$T$24+1),"")</f>
        <v/>
      </c>
      <c r="AL791" s="88" t="str">
        <f t="shared" ca="1" si="319"/>
        <v/>
      </c>
      <c r="AM791" s="414" t="str">
        <f t="shared" ca="1" si="320"/>
        <v/>
      </c>
      <c r="AN791" s="58">
        <f>IFERROR(IF($V791="BRAND.com",HLOOKUP($X791&amp;$Z791,NWC_FC_NOOS!$C$4:$Q$23,MATCH(W791,NWC_FC_NOOS!$B$4:$B$23,0),FALSE),0),0)</f>
        <v>0</v>
      </c>
      <c r="AO791" s="57">
        <f>IFERROR(IF($V791="BRAND.com",HLOOKUP($X791&amp;$Z791,NWC_FC_NOOS!$T$4:$AH$23,MATCH(W791,NWC_FC_NOOS!$S$4:$S$23,0),FALSE),0),0)</f>
        <v>0</v>
      </c>
      <c r="AP791" s="57">
        <f>IFERROR(IF($V791="BRAND.com",HLOOKUP($X791&amp;$Z791,NWC_FC_NOOS!$C$50:$U$69,MATCH(W791,NWC_FC_NOOS!$B$50:$B$69,0),FALSE),0),0)</f>
        <v>0</v>
      </c>
      <c r="AQ791" s="58">
        <f>IFERROR(IF($V791="BRAND.com",HLOOKUP($X791&amp;$Z791,'NWC_FC_NON-NOOS'!$C$4:$Q$23,MATCH(W791,'NWC_FC_NON-NOOS'!$B$4:$B$23,0),FALSE),0),0)</f>
        <v>0</v>
      </c>
      <c r="AR791" s="57">
        <f>IFERROR(IF($V791="BRAND.com",HLOOKUP($X791&amp;$Z791,'NWC_FC_NON-NOOS'!$T$4:$AH$23,MATCH(W791,'NWC_FC_NON-NOOS'!$S$4:$S$23,0),FALSE),0),0)</f>
        <v>0</v>
      </c>
      <c r="AS791" s="57">
        <f>IFERROR(IF($V791="BRAND.com",HLOOKUP($X791&amp;$Z791,'NWC_FC_NON-NOOS'!$C$50:$U$69,MATCH(W791,'NWC_FC_NON-NOOS'!$B$50:$B$69,0),FALSE),0),0)</f>
        <v>0</v>
      </c>
      <c r="AT791" s="57">
        <f t="shared" si="322"/>
        <v>0</v>
      </c>
      <c r="AU791" s="57">
        <f t="shared" si="323"/>
        <v>0</v>
      </c>
      <c r="AV791" s="58">
        <f>IFERROR(IF($V791="BRAND.com",HLOOKUP($X791&amp;$Z791,PLANNING_FC!$BB$27:$BP$46,MATCH($W791,PLANNING_FC!$BA$27:$BA$46,0),FALSE),0),0)</f>
        <v>0</v>
      </c>
      <c r="AW791" s="58">
        <f>IFERROR(IF($V791="BRAND.com",HLOOKUP($X791&amp;$Z791,PLANNING_FC!$BB$4:$BP$23,MATCH($W791,PLANNING_FC!$BA$4:$BA$23,0),FALSE),0),0)</f>
        <v>0</v>
      </c>
      <c r="AX791" s="58">
        <f>IFERROR(IF($V791="BRAND.com",HLOOKUP($X791&amp;$Z791,PLANNING_FC!$T$27:$AH$46,MATCH($W791,PLANNING_FC!$B$27:$B$46,0),FALSE),0),0)</f>
        <v>0</v>
      </c>
      <c r="AY791" s="58">
        <f>IFERROR(IF($V791="BRAND.com",HLOOKUP($X791&amp;$Z791,PLANNING_FC!$T$4:$AH$23,MATCH($W791,PLANNING_FC!$B$4:$B$23,0),FALSE),0),0)</f>
        <v>0</v>
      </c>
      <c r="AZ791" s="58">
        <f>IFERROR(IF($V791="BRAND.com",HLOOKUP($X791&amp;$Z791,PLANNING_FC!$DA$27:$DO$46,MATCH($W791,PLANNING_FC!$CZ$27:$CZ$46,0),FALSE),0),0)</f>
        <v>0</v>
      </c>
      <c r="BA791" s="58">
        <f>IFERROR(IF($V791="BRAND.com",HLOOKUP($X791&amp;$Z791,PLANNING_FC!$DA$4:$DO$23,MATCH($W791,PLANNING_FC!$CZ$4:$CZ$23,0),FALSE),0),0)</f>
        <v>0</v>
      </c>
      <c r="BB791" s="883" t="str">
        <f>IF(V791="BRAND.com",IFERROR(HLOOKUP(X791&amp;Z791,PLANNING_FC!$AK$4:$AY$23,MATCH(W791,PLANNING_FC!$AJ$4:$AJ$23,0),FALSE)*1000,""),"")</f>
        <v/>
      </c>
      <c r="BC791" s="883" t="str">
        <f>IF(V791="BRAND.com",IFERROR(HLOOKUP(X791&amp;Z791,PLANNING_FC!$AK$27:$AY$46,MATCH(W791,PLANNING_FC!$AJ$27:$AJ$46,0),FALSE)*1000,""),"")</f>
        <v/>
      </c>
    </row>
    <row r="792" spans="14:55" x14ac:dyDescent="0.25">
      <c r="N792" s="56">
        <f t="shared" si="304"/>
        <v>0</v>
      </c>
      <c r="O792" s="57">
        <f t="shared" si="305"/>
        <v>0</v>
      </c>
      <c r="P792" s="57">
        <f ca="1">IFERROR(IF(ISBLANK(H792),SUMIFS($AC:$AC,$V:$V,V792,$W:$W,W792,$X:$X,X792,$Y:$Y,Y792)*J792/(1-J792)*VLOOKUP(_xlfn.CONCAT(C792,D792,E792,TIME!$M$12,Z792),HIS_SALES!$B$2:$W$4859,20,FALSE),AC792*J792/(1-J792)),0)</f>
        <v>0</v>
      </c>
      <c r="Q792" s="541" t="str">
        <f t="shared" si="306"/>
        <v/>
      </c>
      <c r="R792" s="346" t="str">
        <f t="shared" si="307"/>
        <v>00000</v>
      </c>
      <c r="S792" s="344">
        <f t="shared" si="308"/>
        <v>0</v>
      </c>
      <c r="T792" s="345" t="str">
        <f t="shared" si="321"/>
        <v>000</v>
      </c>
      <c r="U792" s="345">
        <f t="shared" si="309"/>
        <v>0</v>
      </c>
      <c r="V792" s="345">
        <f t="shared" si="310"/>
        <v>0</v>
      </c>
      <c r="W792" s="345">
        <f t="shared" si="311"/>
        <v>0</v>
      </c>
      <c r="X792" s="345">
        <f t="shared" si="312"/>
        <v>0</v>
      </c>
      <c r="Y792" s="345">
        <f t="shared" si="313"/>
        <v>0</v>
      </c>
      <c r="Z792" s="345">
        <f>IF(Q792&lt;&gt;"",VLOOKUP(Y792,TIME!$R$21:$V$24,MATCH(FC_DATA!Q792,TIME!$R$20:$V$20,0),FALSE),H792)</f>
        <v>0</v>
      </c>
      <c r="AA792" s="345" t="str">
        <f>IFERROR(VLOOKUP(X792&amp;Z792,TIME!$A$12:$D$71,4,FALSE),"")</f>
        <v/>
      </c>
      <c r="AB792" s="592">
        <f t="shared" ca="1" si="314"/>
        <v>0</v>
      </c>
      <c r="AC792" s="593" t="e">
        <f ca="1">IF(ISBLANK(H792)=FALSE,IF(D792="BRAND.com",I792,IF(ISNA(VLOOKUP(_xlfn.CONCAT(X792,Z792),TIME!$M$40:$M$42,1,FALSE)),I792,VLOOKUP(_xlfn.CONCAT(D792,G792,H792),M_BUSAREA_FC!$AF$5:$AJ$10,5,FALSE)*HLOOKUP(_xlfn.CONCAT(F792,H792),ST_OVERVIEW!$G$99:$I$130,MATCH(_xlfn.CONCAT(D792,E792),ST_OVERVIEW!$F$99:$F$130,0),FALSE))),IF(D792="BRAND.com",VLOOKUP(_xlfn.CONCAT(C792,D792,E792,TIME!$F$1,Z792),HIS_SALES!$B$2:$V$4859,19,FALSE)*I792,VLOOKUP(_xlfn.CONCAT(D792,F792,G792),Q_BUSAREA_FC!$AE$5:$AI$12,5,FALSE)*HLOOKUP(_xlfn.CONCAT(FC_DATA!F792,FC_DATA!G792),LT_OVERVIEW!$I$99:$M$130,MATCH(_xlfn.CONCAT(D792,FC_DATA!E792),LT_OVERVIEW!$H$99:$H$130,0),FALSE)*IFERROR(VLOOKUP(_xlfn.CONCAT(C792,D792,E792,TIME!$F$1,Z792),HIS_SALES!$B$2:$V$4859,19,FALSE),0)))</f>
        <v>#N/A</v>
      </c>
      <c r="AD792" s="341">
        <f t="shared" ca="1" si="315"/>
        <v>0</v>
      </c>
      <c r="AE792" s="363" t="str">
        <f t="shared" si="316"/>
        <v/>
      </c>
      <c r="AF792" s="342" t="str">
        <f t="shared" si="317"/>
        <v/>
      </c>
      <c r="AG792" s="411" t="e">
        <f ca="1">VLOOKUP(_xlfn.CONCAT(U792,V792,W792,VLOOKUP(X792&amp;Y792,TIME!$L$27:$O$34,4,FALSE),Y792),HIS_SALES!$A$2:$R$5093,18,FALSE)</f>
        <v>#N/A</v>
      </c>
      <c r="AH792" s="412" t="e">
        <f ca="1">IFERROR(IF(AND(V792=V791,W792=W791),0.5*(AB792+AB791)*AG792,(VLOOKUP(_xlfn.CONCAT(U792,V792,W792,X792,VLOOKUP(Z792,TIME!$S$28:$T$39,2,FALSE)),FC_DATA!$R$2:$AB$5000,MATCH("GS_I_M",FC_DATA!$R$1:$AB$1,0),FALSE)+FC_DATA!AB792)*0.5*FC_DATA!AG792),NA())</f>
        <v>#N/A</v>
      </c>
      <c r="AI792" s="491" t="e">
        <f ca="1">IF(V792="PARTNER.com",AH792,IF(AND(V792=V791,W792=W791),(1-AVERAGE(AD791,AD792))*AH792,(1-AVERAGE(AD792,VLOOKUP(_xlfn.CONCAT(U792,V792,W792,X792,M_BRAND_FC!$F$6),FC_DATA!$R$2:$AD$5000,MATCH("DISCOUNT_%_M",FC_DATA!$R$1:$AD$1,0),FALSE)))*AH792))</f>
        <v>#N/A</v>
      </c>
      <c r="AJ792" s="412" t="str">
        <f t="shared" ca="1" si="318"/>
        <v/>
      </c>
      <c r="AK792" s="413" t="str">
        <f>IFERROR(AE792/(Q_BRAND_FC!$T$24+1),"")</f>
        <v/>
      </c>
      <c r="AL792" s="88" t="str">
        <f t="shared" ca="1" si="319"/>
        <v/>
      </c>
      <c r="AM792" s="414" t="str">
        <f t="shared" ca="1" si="320"/>
        <v/>
      </c>
      <c r="AN792" s="58">
        <f>IFERROR(IF($V792="BRAND.com",HLOOKUP($X792&amp;$Z792,NWC_FC_NOOS!$C$4:$Q$23,MATCH(W792,NWC_FC_NOOS!$B$4:$B$23,0),FALSE),0),0)</f>
        <v>0</v>
      </c>
      <c r="AO792" s="57">
        <f>IFERROR(IF($V792="BRAND.com",HLOOKUP($X792&amp;$Z792,NWC_FC_NOOS!$T$4:$AH$23,MATCH(W792,NWC_FC_NOOS!$S$4:$S$23,0),FALSE),0),0)</f>
        <v>0</v>
      </c>
      <c r="AP792" s="57">
        <f>IFERROR(IF($V792="BRAND.com",HLOOKUP($X792&amp;$Z792,NWC_FC_NOOS!$C$50:$U$69,MATCH(W792,NWC_FC_NOOS!$B$50:$B$69,0),FALSE),0),0)</f>
        <v>0</v>
      </c>
      <c r="AQ792" s="58">
        <f>IFERROR(IF($V792="BRAND.com",HLOOKUP($X792&amp;$Z792,'NWC_FC_NON-NOOS'!$C$4:$Q$23,MATCH(W792,'NWC_FC_NON-NOOS'!$B$4:$B$23,0),FALSE),0),0)</f>
        <v>0</v>
      </c>
      <c r="AR792" s="57">
        <f>IFERROR(IF($V792="BRAND.com",HLOOKUP($X792&amp;$Z792,'NWC_FC_NON-NOOS'!$T$4:$AH$23,MATCH(W792,'NWC_FC_NON-NOOS'!$S$4:$S$23,0),FALSE),0),0)</f>
        <v>0</v>
      </c>
      <c r="AS792" s="57">
        <f>IFERROR(IF($V792="BRAND.com",HLOOKUP($X792&amp;$Z792,'NWC_FC_NON-NOOS'!$C$50:$U$69,MATCH(W792,'NWC_FC_NON-NOOS'!$B$50:$B$69,0),FALSE),0),0)</f>
        <v>0</v>
      </c>
      <c r="AT792" s="57">
        <f t="shared" si="322"/>
        <v>0</v>
      </c>
      <c r="AU792" s="57">
        <f t="shared" si="323"/>
        <v>0</v>
      </c>
      <c r="AV792" s="58">
        <f>IFERROR(IF($V792="BRAND.com",HLOOKUP($X792&amp;$Z792,PLANNING_FC!$BB$27:$BP$46,MATCH($W792,PLANNING_FC!$BA$27:$BA$46,0),FALSE),0),0)</f>
        <v>0</v>
      </c>
      <c r="AW792" s="58">
        <f>IFERROR(IF($V792="BRAND.com",HLOOKUP($X792&amp;$Z792,PLANNING_FC!$BB$4:$BP$23,MATCH($W792,PLANNING_FC!$BA$4:$BA$23,0),FALSE),0),0)</f>
        <v>0</v>
      </c>
      <c r="AX792" s="58">
        <f>IFERROR(IF($V792="BRAND.com",HLOOKUP($X792&amp;$Z792,PLANNING_FC!$T$27:$AH$46,MATCH($W792,PLANNING_FC!$B$27:$B$46,0),FALSE),0),0)</f>
        <v>0</v>
      </c>
      <c r="AY792" s="58">
        <f>IFERROR(IF($V792="BRAND.com",HLOOKUP($X792&amp;$Z792,PLANNING_FC!$T$4:$AH$23,MATCH($W792,PLANNING_FC!$B$4:$B$23,0),FALSE),0),0)</f>
        <v>0</v>
      </c>
      <c r="AZ792" s="58">
        <f>IFERROR(IF($V792="BRAND.com",HLOOKUP($X792&amp;$Z792,PLANNING_FC!$DA$27:$DO$46,MATCH($W792,PLANNING_FC!$CZ$27:$CZ$46,0),FALSE),0),0)</f>
        <v>0</v>
      </c>
      <c r="BA792" s="58">
        <f>IFERROR(IF($V792="BRAND.com",HLOOKUP($X792&amp;$Z792,PLANNING_FC!$DA$4:$DO$23,MATCH($W792,PLANNING_FC!$CZ$4:$CZ$23,0),FALSE),0),0)</f>
        <v>0</v>
      </c>
      <c r="BB792" s="883" t="str">
        <f>IF(V792="BRAND.com",IFERROR(HLOOKUP(X792&amp;Z792,PLANNING_FC!$AK$4:$AY$23,MATCH(W792,PLANNING_FC!$AJ$4:$AJ$23,0),FALSE)*1000,""),"")</f>
        <v/>
      </c>
      <c r="BC792" s="883" t="str">
        <f>IF(V792="BRAND.com",IFERROR(HLOOKUP(X792&amp;Z792,PLANNING_FC!$AK$27:$AY$46,MATCH(W792,PLANNING_FC!$AJ$27:$AJ$46,0),FALSE)*1000,""),"")</f>
        <v/>
      </c>
    </row>
    <row r="793" spans="14:55" x14ac:dyDescent="0.25">
      <c r="N793" s="56">
        <f t="shared" si="304"/>
        <v>0</v>
      </c>
      <c r="O793" s="57">
        <f t="shared" si="305"/>
        <v>0</v>
      </c>
      <c r="P793" s="57">
        <f ca="1">IFERROR(IF(ISBLANK(H793),SUMIFS($AC:$AC,$V:$V,V793,$W:$W,W793,$X:$X,X793,$Y:$Y,Y793)*J793/(1-J793)*VLOOKUP(_xlfn.CONCAT(C793,D793,E793,TIME!$M$12,Z793),HIS_SALES!$B$2:$W$4859,20,FALSE),AC793*J793/(1-J793)),0)</f>
        <v>0</v>
      </c>
      <c r="Q793" s="541" t="str">
        <f t="shared" si="306"/>
        <v/>
      </c>
      <c r="R793" s="346" t="str">
        <f t="shared" si="307"/>
        <v>00000</v>
      </c>
      <c r="S793" s="344">
        <f t="shared" si="308"/>
        <v>0</v>
      </c>
      <c r="T793" s="345" t="str">
        <f t="shared" si="321"/>
        <v>000</v>
      </c>
      <c r="U793" s="345">
        <f t="shared" si="309"/>
        <v>0</v>
      </c>
      <c r="V793" s="345">
        <f t="shared" si="310"/>
        <v>0</v>
      </c>
      <c r="W793" s="345">
        <f t="shared" si="311"/>
        <v>0</v>
      </c>
      <c r="X793" s="345">
        <f t="shared" si="312"/>
        <v>0</v>
      </c>
      <c r="Y793" s="345">
        <f t="shared" si="313"/>
        <v>0</v>
      </c>
      <c r="Z793" s="345">
        <f>IF(Q793&lt;&gt;"",VLOOKUP(Y793,TIME!$R$21:$V$24,MATCH(FC_DATA!Q793,TIME!$R$20:$V$20,0),FALSE),H793)</f>
        <v>0</v>
      </c>
      <c r="AA793" s="345" t="str">
        <f>IFERROR(VLOOKUP(X793&amp;Z793,TIME!$A$12:$D$71,4,FALSE),"")</f>
        <v/>
      </c>
      <c r="AB793" s="592">
        <f t="shared" ca="1" si="314"/>
        <v>0</v>
      </c>
      <c r="AC793" s="593" t="e">
        <f ca="1">IF(ISBLANK(H793)=FALSE,IF(D793="BRAND.com",I793,IF(ISNA(VLOOKUP(_xlfn.CONCAT(X793,Z793),TIME!$M$40:$M$42,1,FALSE)),I793,VLOOKUP(_xlfn.CONCAT(D793,G793,H793),M_BUSAREA_FC!$AF$5:$AJ$10,5,FALSE)*HLOOKUP(_xlfn.CONCAT(F793,H793),ST_OVERVIEW!$G$99:$I$130,MATCH(_xlfn.CONCAT(D793,E793),ST_OVERVIEW!$F$99:$F$130,0),FALSE))),IF(D793="BRAND.com",VLOOKUP(_xlfn.CONCAT(C793,D793,E793,TIME!$F$1,Z793),HIS_SALES!$B$2:$V$4859,19,FALSE)*I793,VLOOKUP(_xlfn.CONCAT(D793,F793,G793),Q_BUSAREA_FC!$AE$5:$AI$12,5,FALSE)*HLOOKUP(_xlfn.CONCAT(FC_DATA!F793,FC_DATA!G793),LT_OVERVIEW!$I$99:$M$130,MATCH(_xlfn.CONCAT(D793,FC_DATA!E793),LT_OVERVIEW!$H$99:$H$130,0),FALSE)*IFERROR(VLOOKUP(_xlfn.CONCAT(C793,D793,E793,TIME!$F$1,Z793),HIS_SALES!$B$2:$V$4859,19,FALSE),0)))</f>
        <v>#N/A</v>
      </c>
      <c r="AD793" s="341">
        <f t="shared" ca="1" si="315"/>
        <v>0</v>
      </c>
      <c r="AE793" s="363" t="str">
        <f t="shared" si="316"/>
        <v/>
      </c>
      <c r="AF793" s="342" t="str">
        <f t="shared" si="317"/>
        <v/>
      </c>
      <c r="AG793" s="411" t="e">
        <f ca="1">VLOOKUP(_xlfn.CONCAT(U793,V793,W793,VLOOKUP(X793&amp;Y793,TIME!$L$27:$O$34,4,FALSE),Y793),HIS_SALES!$A$2:$R$5093,18,FALSE)</f>
        <v>#N/A</v>
      </c>
      <c r="AH793" s="412" t="e">
        <f ca="1">IFERROR(IF(AND(V793=V792,W793=W792),0.5*(AB793+AB792)*AG793,(VLOOKUP(_xlfn.CONCAT(U793,V793,W793,X793,VLOOKUP(Z793,TIME!$S$28:$T$39,2,FALSE)),FC_DATA!$R$2:$AB$5000,MATCH("GS_I_M",FC_DATA!$R$1:$AB$1,0),FALSE)+FC_DATA!AB793)*0.5*FC_DATA!AG793),NA())</f>
        <v>#N/A</v>
      </c>
      <c r="AI793" s="491" t="e">
        <f ca="1">IF(V793="PARTNER.com",AH793,IF(AND(V793=V792,W793=W792),(1-AVERAGE(AD792,AD793))*AH793,(1-AVERAGE(AD793,VLOOKUP(_xlfn.CONCAT(U793,V793,W793,X793,M_BRAND_FC!$F$6),FC_DATA!$R$2:$AD$5000,MATCH("DISCOUNT_%_M",FC_DATA!$R$1:$AD$1,0),FALSE)))*AH793))</f>
        <v>#N/A</v>
      </c>
      <c r="AJ793" s="412" t="str">
        <f t="shared" ca="1" si="318"/>
        <v/>
      </c>
      <c r="AK793" s="413" t="str">
        <f>IFERROR(AE793/(Q_BRAND_FC!$T$24+1),"")</f>
        <v/>
      </c>
      <c r="AL793" s="88" t="str">
        <f t="shared" ca="1" si="319"/>
        <v/>
      </c>
      <c r="AM793" s="414" t="str">
        <f t="shared" ca="1" si="320"/>
        <v/>
      </c>
      <c r="AN793" s="58">
        <f>IFERROR(IF($V793="BRAND.com",HLOOKUP($X793&amp;$Z793,NWC_FC_NOOS!$C$4:$Q$23,MATCH(W793,NWC_FC_NOOS!$B$4:$B$23,0),FALSE),0),0)</f>
        <v>0</v>
      </c>
      <c r="AO793" s="57">
        <f>IFERROR(IF($V793="BRAND.com",HLOOKUP($X793&amp;$Z793,NWC_FC_NOOS!$T$4:$AH$23,MATCH(W793,NWC_FC_NOOS!$S$4:$S$23,0),FALSE),0),0)</f>
        <v>0</v>
      </c>
      <c r="AP793" s="57">
        <f>IFERROR(IF($V793="BRAND.com",HLOOKUP($X793&amp;$Z793,NWC_FC_NOOS!$C$50:$U$69,MATCH(W793,NWC_FC_NOOS!$B$50:$B$69,0),FALSE),0),0)</f>
        <v>0</v>
      </c>
      <c r="AQ793" s="58">
        <f>IFERROR(IF($V793="BRAND.com",HLOOKUP($X793&amp;$Z793,'NWC_FC_NON-NOOS'!$C$4:$Q$23,MATCH(W793,'NWC_FC_NON-NOOS'!$B$4:$B$23,0),FALSE),0),0)</f>
        <v>0</v>
      </c>
      <c r="AR793" s="57">
        <f>IFERROR(IF($V793="BRAND.com",HLOOKUP($X793&amp;$Z793,'NWC_FC_NON-NOOS'!$T$4:$AH$23,MATCH(W793,'NWC_FC_NON-NOOS'!$S$4:$S$23,0),FALSE),0),0)</f>
        <v>0</v>
      </c>
      <c r="AS793" s="57">
        <f>IFERROR(IF($V793="BRAND.com",HLOOKUP($X793&amp;$Z793,'NWC_FC_NON-NOOS'!$C$50:$U$69,MATCH(W793,'NWC_FC_NON-NOOS'!$B$50:$B$69,0),FALSE),0),0)</f>
        <v>0</v>
      </c>
      <c r="AT793" s="57">
        <f t="shared" si="322"/>
        <v>0</v>
      </c>
      <c r="AU793" s="57">
        <f t="shared" si="323"/>
        <v>0</v>
      </c>
      <c r="AV793" s="58">
        <f>IFERROR(IF($V793="BRAND.com",HLOOKUP($X793&amp;$Z793,PLANNING_FC!$BB$27:$BP$46,MATCH($W793,PLANNING_FC!$BA$27:$BA$46,0),FALSE),0),0)</f>
        <v>0</v>
      </c>
      <c r="AW793" s="58">
        <f>IFERROR(IF($V793="BRAND.com",HLOOKUP($X793&amp;$Z793,PLANNING_FC!$BB$4:$BP$23,MATCH($W793,PLANNING_FC!$BA$4:$BA$23,0),FALSE),0),0)</f>
        <v>0</v>
      </c>
      <c r="AX793" s="58">
        <f>IFERROR(IF($V793="BRAND.com",HLOOKUP($X793&amp;$Z793,PLANNING_FC!$T$27:$AH$46,MATCH($W793,PLANNING_FC!$B$27:$B$46,0),FALSE),0),0)</f>
        <v>0</v>
      </c>
      <c r="AY793" s="58">
        <f>IFERROR(IF($V793="BRAND.com",HLOOKUP($X793&amp;$Z793,PLANNING_FC!$T$4:$AH$23,MATCH($W793,PLANNING_FC!$B$4:$B$23,0),FALSE),0),0)</f>
        <v>0</v>
      </c>
      <c r="AZ793" s="58">
        <f>IFERROR(IF($V793="BRAND.com",HLOOKUP($X793&amp;$Z793,PLANNING_FC!$DA$27:$DO$46,MATCH($W793,PLANNING_FC!$CZ$27:$CZ$46,0),FALSE),0),0)</f>
        <v>0</v>
      </c>
      <c r="BA793" s="58">
        <f>IFERROR(IF($V793="BRAND.com",HLOOKUP($X793&amp;$Z793,PLANNING_FC!$DA$4:$DO$23,MATCH($W793,PLANNING_FC!$CZ$4:$CZ$23,0),FALSE),0),0)</f>
        <v>0</v>
      </c>
      <c r="BB793" s="883" t="str">
        <f>IF(V793="BRAND.com",IFERROR(HLOOKUP(X793&amp;Z793,PLANNING_FC!$AK$4:$AY$23,MATCH(W793,PLANNING_FC!$AJ$4:$AJ$23,0),FALSE)*1000,""),"")</f>
        <v/>
      </c>
      <c r="BC793" s="883" t="str">
        <f>IF(V793="BRAND.com",IFERROR(HLOOKUP(X793&amp;Z793,PLANNING_FC!$AK$27:$AY$46,MATCH(W793,PLANNING_FC!$AJ$27:$AJ$46,0),FALSE)*1000,""),"")</f>
        <v/>
      </c>
    </row>
    <row r="794" spans="14:55" x14ac:dyDescent="0.25">
      <c r="N794" s="56">
        <f t="shared" si="304"/>
        <v>0</v>
      </c>
      <c r="O794" s="57">
        <f t="shared" si="305"/>
        <v>0</v>
      </c>
      <c r="P794" s="57">
        <f ca="1">IFERROR(IF(ISBLANK(H794),SUMIFS($AC:$AC,$V:$V,V794,$W:$W,W794,$X:$X,X794,$Y:$Y,Y794)*J794/(1-J794)*VLOOKUP(_xlfn.CONCAT(C794,D794,E794,TIME!$M$12,Z794),HIS_SALES!$B$2:$W$4859,20,FALSE),AC794*J794/(1-J794)),0)</f>
        <v>0</v>
      </c>
      <c r="Q794" s="541" t="str">
        <f t="shared" si="306"/>
        <v/>
      </c>
      <c r="R794" s="346" t="str">
        <f t="shared" si="307"/>
        <v>00000</v>
      </c>
      <c r="S794" s="344">
        <f t="shared" si="308"/>
        <v>0</v>
      </c>
      <c r="T794" s="345" t="str">
        <f t="shared" si="321"/>
        <v>000</v>
      </c>
      <c r="U794" s="345">
        <f t="shared" si="309"/>
        <v>0</v>
      </c>
      <c r="V794" s="345">
        <f t="shared" si="310"/>
        <v>0</v>
      </c>
      <c r="W794" s="345">
        <f t="shared" si="311"/>
        <v>0</v>
      </c>
      <c r="X794" s="345">
        <f t="shared" si="312"/>
        <v>0</v>
      </c>
      <c r="Y794" s="345">
        <f t="shared" si="313"/>
        <v>0</v>
      </c>
      <c r="Z794" s="345">
        <f>IF(Q794&lt;&gt;"",VLOOKUP(Y794,TIME!$R$21:$V$24,MATCH(FC_DATA!Q794,TIME!$R$20:$V$20,0),FALSE),H794)</f>
        <v>0</v>
      </c>
      <c r="AA794" s="345" t="str">
        <f>IFERROR(VLOOKUP(X794&amp;Z794,TIME!$A$12:$D$71,4,FALSE),"")</f>
        <v/>
      </c>
      <c r="AB794" s="592">
        <f t="shared" ca="1" si="314"/>
        <v>0</v>
      </c>
      <c r="AC794" s="593" t="e">
        <f ca="1">IF(ISBLANK(H794)=FALSE,IF(D794="BRAND.com",I794,IF(ISNA(VLOOKUP(_xlfn.CONCAT(X794,Z794),TIME!$M$40:$M$42,1,FALSE)),I794,VLOOKUP(_xlfn.CONCAT(D794,G794,H794),M_BUSAREA_FC!$AF$5:$AJ$10,5,FALSE)*HLOOKUP(_xlfn.CONCAT(F794,H794),ST_OVERVIEW!$G$99:$I$130,MATCH(_xlfn.CONCAT(D794,E794),ST_OVERVIEW!$F$99:$F$130,0),FALSE))),IF(D794="BRAND.com",VLOOKUP(_xlfn.CONCAT(C794,D794,E794,TIME!$F$1,Z794),HIS_SALES!$B$2:$V$4859,19,FALSE)*I794,VLOOKUP(_xlfn.CONCAT(D794,F794,G794),Q_BUSAREA_FC!$AE$5:$AI$12,5,FALSE)*HLOOKUP(_xlfn.CONCAT(FC_DATA!F794,FC_DATA!G794),LT_OVERVIEW!$I$99:$M$130,MATCH(_xlfn.CONCAT(D794,FC_DATA!E794),LT_OVERVIEW!$H$99:$H$130,0),FALSE)*IFERROR(VLOOKUP(_xlfn.CONCAT(C794,D794,E794,TIME!$F$1,Z794),HIS_SALES!$B$2:$V$4859,19,FALSE),0)))</f>
        <v>#N/A</v>
      </c>
      <c r="AD794" s="341">
        <f t="shared" ca="1" si="315"/>
        <v>0</v>
      </c>
      <c r="AE794" s="363" t="str">
        <f t="shared" si="316"/>
        <v/>
      </c>
      <c r="AF794" s="342" t="str">
        <f t="shared" si="317"/>
        <v/>
      </c>
      <c r="AG794" s="411" t="e">
        <f ca="1">VLOOKUP(_xlfn.CONCAT(U794,V794,W794,VLOOKUP(X794&amp;Y794,TIME!$L$27:$O$34,4,FALSE),Y794),HIS_SALES!$A$2:$R$5093,18,FALSE)</f>
        <v>#N/A</v>
      </c>
      <c r="AH794" s="412" t="e">
        <f ca="1">IFERROR(IF(AND(V794=V793,W794=W793),0.5*(AB794+AB793)*AG794,(VLOOKUP(_xlfn.CONCAT(U794,V794,W794,X794,VLOOKUP(Z794,TIME!$S$28:$T$39,2,FALSE)),FC_DATA!$R$2:$AB$5000,MATCH("GS_I_M",FC_DATA!$R$1:$AB$1,0),FALSE)+FC_DATA!AB794)*0.5*FC_DATA!AG794),NA())</f>
        <v>#N/A</v>
      </c>
      <c r="AI794" s="491" t="e">
        <f ca="1">IF(V794="PARTNER.com",AH794,IF(AND(V794=V793,W794=W793),(1-AVERAGE(AD793,AD794))*AH794,(1-AVERAGE(AD794,VLOOKUP(_xlfn.CONCAT(U794,V794,W794,X794,M_BRAND_FC!$F$6),FC_DATA!$R$2:$AD$5000,MATCH("DISCOUNT_%_M",FC_DATA!$R$1:$AD$1,0),FALSE)))*AH794))</f>
        <v>#N/A</v>
      </c>
      <c r="AJ794" s="412" t="str">
        <f t="shared" ca="1" si="318"/>
        <v/>
      </c>
      <c r="AK794" s="413" t="str">
        <f>IFERROR(AE794/(Q_BRAND_FC!$T$24+1),"")</f>
        <v/>
      </c>
      <c r="AL794" s="88" t="str">
        <f t="shared" ca="1" si="319"/>
        <v/>
      </c>
      <c r="AM794" s="414" t="str">
        <f t="shared" ca="1" si="320"/>
        <v/>
      </c>
      <c r="AN794" s="58">
        <f>IFERROR(IF($V794="BRAND.com",HLOOKUP($X794&amp;$Z794,NWC_FC_NOOS!$C$4:$Q$23,MATCH(W794,NWC_FC_NOOS!$B$4:$B$23,0),FALSE),0),0)</f>
        <v>0</v>
      </c>
      <c r="AO794" s="57">
        <f>IFERROR(IF($V794="BRAND.com",HLOOKUP($X794&amp;$Z794,NWC_FC_NOOS!$T$4:$AH$23,MATCH(W794,NWC_FC_NOOS!$S$4:$S$23,0),FALSE),0),0)</f>
        <v>0</v>
      </c>
      <c r="AP794" s="57">
        <f>IFERROR(IF($V794="BRAND.com",HLOOKUP($X794&amp;$Z794,NWC_FC_NOOS!$C$50:$U$69,MATCH(W794,NWC_FC_NOOS!$B$50:$B$69,0),FALSE),0),0)</f>
        <v>0</v>
      </c>
      <c r="AQ794" s="58">
        <f>IFERROR(IF($V794="BRAND.com",HLOOKUP($X794&amp;$Z794,'NWC_FC_NON-NOOS'!$C$4:$Q$23,MATCH(W794,'NWC_FC_NON-NOOS'!$B$4:$B$23,0),FALSE),0),0)</f>
        <v>0</v>
      </c>
      <c r="AR794" s="57">
        <f>IFERROR(IF($V794="BRAND.com",HLOOKUP($X794&amp;$Z794,'NWC_FC_NON-NOOS'!$T$4:$AH$23,MATCH(W794,'NWC_FC_NON-NOOS'!$S$4:$S$23,0),FALSE),0),0)</f>
        <v>0</v>
      </c>
      <c r="AS794" s="57">
        <f>IFERROR(IF($V794="BRAND.com",HLOOKUP($X794&amp;$Z794,'NWC_FC_NON-NOOS'!$C$50:$U$69,MATCH(W794,'NWC_FC_NON-NOOS'!$B$50:$B$69,0),FALSE),0),0)</f>
        <v>0</v>
      </c>
      <c r="AT794" s="57">
        <f t="shared" si="322"/>
        <v>0</v>
      </c>
      <c r="AU794" s="57">
        <f t="shared" si="323"/>
        <v>0</v>
      </c>
      <c r="AV794" s="58">
        <f>IFERROR(IF($V794="BRAND.com",HLOOKUP($X794&amp;$Z794,PLANNING_FC!$BB$27:$BP$46,MATCH($W794,PLANNING_FC!$BA$27:$BA$46,0),FALSE),0),0)</f>
        <v>0</v>
      </c>
      <c r="AW794" s="58">
        <f>IFERROR(IF($V794="BRAND.com",HLOOKUP($X794&amp;$Z794,PLANNING_FC!$BB$4:$BP$23,MATCH($W794,PLANNING_FC!$BA$4:$BA$23,0),FALSE),0),0)</f>
        <v>0</v>
      </c>
      <c r="AX794" s="58">
        <f>IFERROR(IF($V794="BRAND.com",HLOOKUP($X794&amp;$Z794,PLANNING_FC!$T$27:$AH$46,MATCH($W794,PLANNING_FC!$B$27:$B$46,0),FALSE),0),0)</f>
        <v>0</v>
      </c>
      <c r="AY794" s="58">
        <f>IFERROR(IF($V794="BRAND.com",HLOOKUP($X794&amp;$Z794,PLANNING_FC!$T$4:$AH$23,MATCH($W794,PLANNING_FC!$B$4:$B$23,0),FALSE),0),0)</f>
        <v>0</v>
      </c>
      <c r="AZ794" s="58">
        <f>IFERROR(IF($V794="BRAND.com",HLOOKUP($X794&amp;$Z794,PLANNING_FC!$DA$27:$DO$46,MATCH($W794,PLANNING_FC!$CZ$27:$CZ$46,0),FALSE),0),0)</f>
        <v>0</v>
      </c>
      <c r="BA794" s="58">
        <f>IFERROR(IF($V794="BRAND.com",HLOOKUP($X794&amp;$Z794,PLANNING_FC!$DA$4:$DO$23,MATCH($W794,PLANNING_FC!$CZ$4:$CZ$23,0),FALSE),0),0)</f>
        <v>0</v>
      </c>
      <c r="BB794" s="883" t="str">
        <f>IF(V794="BRAND.com",IFERROR(HLOOKUP(X794&amp;Z794,PLANNING_FC!$AK$4:$AY$23,MATCH(W794,PLANNING_FC!$AJ$4:$AJ$23,0),FALSE)*1000,""),"")</f>
        <v/>
      </c>
      <c r="BC794" s="883" t="str">
        <f>IF(V794="BRAND.com",IFERROR(HLOOKUP(X794&amp;Z794,PLANNING_FC!$AK$27:$AY$46,MATCH(W794,PLANNING_FC!$AJ$27:$AJ$46,0),FALSE)*1000,""),"")</f>
        <v/>
      </c>
    </row>
    <row r="795" spans="14:55" x14ac:dyDescent="0.25">
      <c r="N795" s="56">
        <f t="shared" si="304"/>
        <v>0</v>
      </c>
      <c r="O795" s="57">
        <f t="shared" si="305"/>
        <v>0</v>
      </c>
      <c r="P795" s="57">
        <f ca="1">IFERROR(IF(ISBLANK(H795),SUMIFS($AC:$AC,$V:$V,V795,$W:$W,W795,$X:$X,X795,$Y:$Y,Y795)*J795/(1-J795)*VLOOKUP(_xlfn.CONCAT(C795,D795,E795,TIME!$M$12,Z795),HIS_SALES!$B$2:$W$4859,20,FALSE),AC795*J795/(1-J795)),0)</f>
        <v>0</v>
      </c>
      <c r="Q795" s="541" t="str">
        <f t="shared" si="306"/>
        <v/>
      </c>
      <c r="R795" s="346" t="str">
        <f t="shared" si="307"/>
        <v>00000</v>
      </c>
      <c r="S795" s="344">
        <f t="shared" si="308"/>
        <v>0</v>
      </c>
      <c r="T795" s="345" t="str">
        <f t="shared" si="321"/>
        <v>000</v>
      </c>
      <c r="U795" s="345">
        <f t="shared" si="309"/>
        <v>0</v>
      </c>
      <c r="V795" s="345">
        <f t="shared" si="310"/>
        <v>0</v>
      </c>
      <c r="W795" s="345">
        <f t="shared" si="311"/>
        <v>0</v>
      </c>
      <c r="X795" s="345">
        <f t="shared" si="312"/>
        <v>0</v>
      </c>
      <c r="Y795" s="345">
        <f t="shared" si="313"/>
        <v>0</v>
      </c>
      <c r="Z795" s="345">
        <f>IF(Q795&lt;&gt;"",VLOOKUP(Y795,TIME!$R$21:$V$24,MATCH(FC_DATA!Q795,TIME!$R$20:$V$20,0),FALSE),H795)</f>
        <v>0</v>
      </c>
      <c r="AA795" s="345" t="str">
        <f>IFERROR(VLOOKUP(X795&amp;Z795,TIME!$A$12:$D$71,4,FALSE),"")</f>
        <v/>
      </c>
      <c r="AB795" s="592">
        <f t="shared" ca="1" si="314"/>
        <v>0</v>
      </c>
      <c r="AC795" s="593" t="e">
        <f ca="1">IF(ISBLANK(H795)=FALSE,IF(D795="BRAND.com",I795,IF(ISNA(VLOOKUP(_xlfn.CONCAT(X795,Z795),TIME!$M$40:$M$42,1,FALSE)),I795,VLOOKUP(_xlfn.CONCAT(D795,G795,H795),M_BUSAREA_FC!$AF$5:$AJ$10,5,FALSE)*HLOOKUP(_xlfn.CONCAT(F795,H795),ST_OVERVIEW!$G$99:$I$130,MATCH(_xlfn.CONCAT(D795,E795),ST_OVERVIEW!$F$99:$F$130,0),FALSE))),IF(D795="BRAND.com",VLOOKUP(_xlfn.CONCAT(C795,D795,E795,TIME!$F$1,Z795),HIS_SALES!$B$2:$V$4859,19,FALSE)*I795,VLOOKUP(_xlfn.CONCAT(D795,F795,G795),Q_BUSAREA_FC!$AE$5:$AI$12,5,FALSE)*HLOOKUP(_xlfn.CONCAT(FC_DATA!F795,FC_DATA!G795),LT_OVERVIEW!$I$99:$M$130,MATCH(_xlfn.CONCAT(D795,FC_DATA!E795),LT_OVERVIEW!$H$99:$H$130,0),FALSE)*IFERROR(VLOOKUP(_xlfn.CONCAT(C795,D795,E795,TIME!$F$1,Z795),HIS_SALES!$B$2:$V$4859,19,FALSE),0)))</f>
        <v>#N/A</v>
      </c>
      <c r="AD795" s="341">
        <f t="shared" ca="1" si="315"/>
        <v>0</v>
      </c>
      <c r="AE795" s="363" t="str">
        <f t="shared" si="316"/>
        <v/>
      </c>
      <c r="AF795" s="342" t="str">
        <f t="shared" si="317"/>
        <v/>
      </c>
      <c r="AG795" s="411" t="e">
        <f ca="1">VLOOKUP(_xlfn.CONCAT(U795,V795,W795,VLOOKUP(X795&amp;Y795,TIME!$L$27:$O$34,4,FALSE),Y795),HIS_SALES!$A$2:$R$5093,18,FALSE)</f>
        <v>#N/A</v>
      </c>
      <c r="AH795" s="412" t="e">
        <f ca="1">IFERROR(IF(AND(V795=V794,W795=W794),0.5*(AB795+AB794)*AG795,(VLOOKUP(_xlfn.CONCAT(U795,V795,W795,X795,VLOOKUP(Z795,TIME!$S$28:$T$39,2,FALSE)),FC_DATA!$R$2:$AB$5000,MATCH("GS_I_M",FC_DATA!$R$1:$AB$1,0),FALSE)+FC_DATA!AB795)*0.5*FC_DATA!AG795),NA())</f>
        <v>#N/A</v>
      </c>
      <c r="AI795" s="491" t="e">
        <f ca="1">IF(V795="PARTNER.com",AH795,IF(AND(V795=V794,W795=W794),(1-AVERAGE(AD794,AD795))*AH795,(1-AVERAGE(AD795,VLOOKUP(_xlfn.CONCAT(U795,V795,W795,X795,M_BRAND_FC!$F$6),FC_DATA!$R$2:$AD$5000,MATCH("DISCOUNT_%_M",FC_DATA!$R$1:$AD$1,0),FALSE)))*AH795))</f>
        <v>#N/A</v>
      </c>
      <c r="AJ795" s="412" t="str">
        <f t="shared" ca="1" si="318"/>
        <v/>
      </c>
      <c r="AK795" s="413" t="str">
        <f>IFERROR(AE795/(Q_BRAND_FC!$T$24+1),"")</f>
        <v/>
      </c>
      <c r="AL795" s="88" t="str">
        <f t="shared" ca="1" si="319"/>
        <v/>
      </c>
      <c r="AM795" s="414" t="str">
        <f t="shared" ca="1" si="320"/>
        <v/>
      </c>
      <c r="AN795" s="58">
        <f>IFERROR(IF($V795="BRAND.com",HLOOKUP($X795&amp;$Z795,NWC_FC_NOOS!$C$4:$Q$23,MATCH(W795,NWC_FC_NOOS!$B$4:$B$23,0),FALSE),0),0)</f>
        <v>0</v>
      </c>
      <c r="AO795" s="57">
        <f>IFERROR(IF($V795="BRAND.com",HLOOKUP($X795&amp;$Z795,NWC_FC_NOOS!$T$4:$AH$23,MATCH(W795,NWC_FC_NOOS!$S$4:$S$23,0),FALSE),0),0)</f>
        <v>0</v>
      </c>
      <c r="AP795" s="57">
        <f>IFERROR(IF($V795="BRAND.com",HLOOKUP($X795&amp;$Z795,NWC_FC_NOOS!$C$50:$U$69,MATCH(W795,NWC_FC_NOOS!$B$50:$B$69,0),FALSE),0),0)</f>
        <v>0</v>
      </c>
      <c r="AQ795" s="58">
        <f>IFERROR(IF($V795="BRAND.com",HLOOKUP($X795&amp;$Z795,'NWC_FC_NON-NOOS'!$C$4:$Q$23,MATCH(W795,'NWC_FC_NON-NOOS'!$B$4:$B$23,0),FALSE),0),0)</f>
        <v>0</v>
      </c>
      <c r="AR795" s="57">
        <f>IFERROR(IF($V795="BRAND.com",HLOOKUP($X795&amp;$Z795,'NWC_FC_NON-NOOS'!$T$4:$AH$23,MATCH(W795,'NWC_FC_NON-NOOS'!$S$4:$S$23,0),FALSE),0),0)</f>
        <v>0</v>
      </c>
      <c r="AS795" s="57">
        <f>IFERROR(IF($V795="BRAND.com",HLOOKUP($X795&amp;$Z795,'NWC_FC_NON-NOOS'!$C$50:$U$69,MATCH(W795,'NWC_FC_NON-NOOS'!$B$50:$B$69,0),FALSE),0),0)</f>
        <v>0</v>
      </c>
      <c r="AT795" s="57">
        <f t="shared" si="322"/>
        <v>0</v>
      </c>
      <c r="AU795" s="57">
        <f t="shared" si="323"/>
        <v>0</v>
      </c>
      <c r="AV795" s="58">
        <f>IFERROR(IF($V795="BRAND.com",HLOOKUP($X795&amp;$Z795,PLANNING_FC!$BB$27:$BP$46,MATCH($W795,PLANNING_FC!$BA$27:$BA$46,0),FALSE),0),0)</f>
        <v>0</v>
      </c>
      <c r="AW795" s="58">
        <f>IFERROR(IF($V795="BRAND.com",HLOOKUP($X795&amp;$Z795,PLANNING_FC!$BB$4:$BP$23,MATCH($W795,PLANNING_FC!$BA$4:$BA$23,0),FALSE),0),0)</f>
        <v>0</v>
      </c>
      <c r="AX795" s="58">
        <f>IFERROR(IF($V795="BRAND.com",HLOOKUP($X795&amp;$Z795,PLANNING_FC!$T$27:$AH$46,MATCH($W795,PLANNING_FC!$B$27:$B$46,0),FALSE),0),0)</f>
        <v>0</v>
      </c>
      <c r="AY795" s="58">
        <f>IFERROR(IF($V795="BRAND.com",HLOOKUP($X795&amp;$Z795,PLANNING_FC!$T$4:$AH$23,MATCH($W795,PLANNING_FC!$B$4:$B$23,0),FALSE),0),0)</f>
        <v>0</v>
      </c>
      <c r="AZ795" s="58">
        <f>IFERROR(IF($V795="BRAND.com",HLOOKUP($X795&amp;$Z795,PLANNING_FC!$DA$27:$DO$46,MATCH($W795,PLANNING_FC!$CZ$27:$CZ$46,0),FALSE),0),0)</f>
        <v>0</v>
      </c>
      <c r="BA795" s="58">
        <f>IFERROR(IF($V795="BRAND.com",HLOOKUP($X795&amp;$Z795,PLANNING_FC!$DA$4:$DO$23,MATCH($W795,PLANNING_FC!$CZ$4:$CZ$23,0),FALSE),0),0)</f>
        <v>0</v>
      </c>
      <c r="BB795" s="883" t="str">
        <f>IF(V795="BRAND.com",IFERROR(HLOOKUP(X795&amp;Z795,PLANNING_FC!$AK$4:$AY$23,MATCH(W795,PLANNING_FC!$AJ$4:$AJ$23,0),FALSE)*1000,""),"")</f>
        <v/>
      </c>
      <c r="BC795" s="883" t="str">
        <f>IF(V795="BRAND.com",IFERROR(HLOOKUP(X795&amp;Z795,PLANNING_FC!$AK$27:$AY$46,MATCH(W795,PLANNING_FC!$AJ$27:$AJ$46,0),FALSE)*1000,""),"")</f>
        <v/>
      </c>
    </row>
    <row r="796" spans="14:55" x14ac:dyDescent="0.25">
      <c r="N796" s="56">
        <f t="shared" si="304"/>
        <v>0</v>
      </c>
      <c r="O796" s="57">
        <f t="shared" si="305"/>
        <v>0</v>
      </c>
      <c r="P796" s="57">
        <f ca="1">IFERROR(IF(ISBLANK(H796),SUMIFS($AC:$AC,$V:$V,V796,$W:$W,W796,$X:$X,X796,$Y:$Y,Y796)*J796/(1-J796)*VLOOKUP(_xlfn.CONCAT(C796,D796,E796,TIME!$M$12,Z796),HIS_SALES!$B$2:$W$4859,20,FALSE),AC796*J796/(1-J796)),0)</f>
        <v>0</v>
      </c>
      <c r="Q796" s="541" t="str">
        <f t="shared" si="306"/>
        <v/>
      </c>
      <c r="R796" s="346" t="str">
        <f t="shared" si="307"/>
        <v>00000</v>
      </c>
      <c r="S796" s="344">
        <f t="shared" si="308"/>
        <v>0</v>
      </c>
      <c r="T796" s="345" t="str">
        <f t="shared" si="321"/>
        <v>000</v>
      </c>
      <c r="U796" s="345">
        <f t="shared" si="309"/>
        <v>0</v>
      </c>
      <c r="V796" s="345">
        <f t="shared" si="310"/>
        <v>0</v>
      </c>
      <c r="W796" s="345">
        <f t="shared" si="311"/>
        <v>0</v>
      </c>
      <c r="X796" s="345">
        <f t="shared" si="312"/>
        <v>0</v>
      </c>
      <c r="Y796" s="345">
        <f t="shared" si="313"/>
        <v>0</v>
      </c>
      <c r="Z796" s="345">
        <f>IF(Q796&lt;&gt;"",VLOOKUP(Y796,TIME!$R$21:$V$24,MATCH(FC_DATA!Q796,TIME!$R$20:$V$20,0),FALSE),H796)</f>
        <v>0</v>
      </c>
      <c r="AA796" s="345" t="str">
        <f>IFERROR(VLOOKUP(X796&amp;Z796,TIME!$A$12:$D$71,4,FALSE),"")</f>
        <v/>
      </c>
      <c r="AB796" s="592">
        <f t="shared" ca="1" si="314"/>
        <v>0</v>
      </c>
      <c r="AC796" s="593" t="e">
        <f ca="1">IF(ISBLANK(H796)=FALSE,IF(D796="BRAND.com",I796,IF(ISNA(VLOOKUP(_xlfn.CONCAT(X796,Z796),TIME!$M$40:$M$42,1,FALSE)),I796,VLOOKUP(_xlfn.CONCAT(D796,G796,H796),M_BUSAREA_FC!$AF$5:$AJ$10,5,FALSE)*HLOOKUP(_xlfn.CONCAT(F796,H796),ST_OVERVIEW!$G$99:$I$130,MATCH(_xlfn.CONCAT(D796,E796),ST_OVERVIEW!$F$99:$F$130,0),FALSE))),IF(D796="BRAND.com",VLOOKUP(_xlfn.CONCAT(C796,D796,E796,TIME!$F$1,Z796),HIS_SALES!$B$2:$V$4859,19,FALSE)*I796,VLOOKUP(_xlfn.CONCAT(D796,F796,G796),Q_BUSAREA_FC!$AE$5:$AI$12,5,FALSE)*HLOOKUP(_xlfn.CONCAT(FC_DATA!F796,FC_DATA!G796),LT_OVERVIEW!$I$99:$M$130,MATCH(_xlfn.CONCAT(D796,FC_DATA!E796),LT_OVERVIEW!$H$99:$H$130,0),FALSE)*IFERROR(VLOOKUP(_xlfn.CONCAT(C796,D796,E796,TIME!$F$1,Z796),HIS_SALES!$B$2:$V$4859,19,FALSE),0)))</f>
        <v>#N/A</v>
      </c>
      <c r="AD796" s="341">
        <f t="shared" ca="1" si="315"/>
        <v>0</v>
      </c>
      <c r="AE796" s="363" t="str">
        <f t="shared" si="316"/>
        <v/>
      </c>
      <c r="AF796" s="342" t="str">
        <f t="shared" si="317"/>
        <v/>
      </c>
      <c r="AG796" s="411" t="e">
        <f ca="1">VLOOKUP(_xlfn.CONCAT(U796,V796,W796,VLOOKUP(X796&amp;Y796,TIME!$L$27:$O$34,4,FALSE),Y796),HIS_SALES!$A$2:$R$5093,18,FALSE)</f>
        <v>#N/A</v>
      </c>
      <c r="AH796" s="412" t="e">
        <f ca="1">IFERROR(IF(AND(V796=V795,W796=W795),0.5*(AB796+AB795)*AG796,(VLOOKUP(_xlfn.CONCAT(U796,V796,W796,X796,VLOOKUP(Z796,TIME!$S$28:$T$39,2,FALSE)),FC_DATA!$R$2:$AB$5000,MATCH("GS_I_M",FC_DATA!$R$1:$AB$1,0),FALSE)+FC_DATA!AB796)*0.5*FC_DATA!AG796),NA())</f>
        <v>#N/A</v>
      </c>
      <c r="AI796" s="491" t="e">
        <f ca="1">IF(V796="PARTNER.com",AH796,IF(AND(V796=V795,W796=W795),(1-AVERAGE(AD795,AD796))*AH796,(1-AVERAGE(AD796,VLOOKUP(_xlfn.CONCAT(U796,V796,W796,X796,M_BRAND_FC!$F$6),FC_DATA!$R$2:$AD$5000,MATCH("DISCOUNT_%_M",FC_DATA!$R$1:$AD$1,0),FALSE)))*AH796))</f>
        <v>#N/A</v>
      </c>
      <c r="AJ796" s="412" t="str">
        <f t="shared" ca="1" si="318"/>
        <v/>
      </c>
      <c r="AK796" s="413" t="str">
        <f>IFERROR(AE796/(Q_BRAND_FC!$T$24+1),"")</f>
        <v/>
      </c>
      <c r="AL796" s="88" t="str">
        <f t="shared" ca="1" si="319"/>
        <v/>
      </c>
      <c r="AM796" s="414" t="str">
        <f t="shared" ca="1" si="320"/>
        <v/>
      </c>
      <c r="AN796" s="58">
        <f>IFERROR(IF($V796="BRAND.com",HLOOKUP($X796&amp;$Z796,NWC_FC_NOOS!$C$4:$Q$23,MATCH(W796,NWC_FC_NOOS!$B$4:$B$23,0),FALSE),0),0)</f>
        <v>0</v>
      </c>
      <c r="AO796" s="57">
        <f>IFERROR(IF($V796="BRAND.com",HLOOKUP($X796&amp;$Z796,NWC_FC_NOOS!$T$4:$AH$23,MATCH(W796,NWC_FC_NOOS!$S$4:$S$23,0),FALSE),0),0)</f>
        <v>0</v>
      </c>
      <c r="AP796" s="57">
        <f>IFERROR(IF($V796="BRAND.com",HLOOKUP($X796&amp;$Z796,NWC_FC_NOOS!$C$50:$U$69,MATCH(W796,NWC_FC_NOOS!$B$50:$B$69,0),FALSE),0),0)</f>
        <v>0</v>
      </c>
      <c r="AQ796" s="58">
        <f>IFERROR(IF($V796="BRAND.com",HLOOKUP($X796&amp;$Z796,'NWC_FC_NON-NOOS'!$C$4:$Q$23,MATCH(W796,'NWC_FC_NON-NOOS'!$B$4:$B$23,0),FALSE),0),0)</f>
        <v>0</v>
      </c>
      <c r="AR796" s="57">
        <f>IFERROR(IF($V796="BRAND.com",HLOOKUP($X796&amp;$Z796,'NWC_FC_NON-NOOS'!$T$4:$AH$23,MATCH(W796,'NWC_FC_NON-NOOS'!$S$4:$S$23,0),FALSE),0),0)</f>
        <v>0</v>
      </c>
      <c r="AS796" s="57">
        <f>IFERROR(IF($V796="BRAND.com",HLOOKUP($X796&amp;$Z796,'NWC_FC_NON-NOOS'!$C$50:$U$69,MATCH(W796,'NWC_FC_NON-NOOS'!$B$50:$B$69,0),FALSE),0),0)</f>
        <v>0</v>
      </c>
      <c r="AT796" s="57">
        <f t="shared" si="322"/>
        <v>0</v>
      </c>
      <c r="AU796" s="57">
        <f t="shared" si="323"/>
        <v>0</v>
      </c>
      <c r="AV796" s="58">
        <f>IFERROR(IF($V796="BRAND.com",HLOOKUP($X796&amp;$Z796,PLANNING_FC!$BB$27:$BP$46,MATCH($W796,PLANNING_FC!$BA$27:$BA$46,0),FALSE),0),0)</f>
        <v>0</v>
      </c>
      <c r="AW796" s="58">
        <f>IFERROR(IF($V796="BRAND.com",HLOOKUP($X796&amp;$Z796,PLANNING_FC!$BB$4:$BP$23,MATCH($W796,PLANNING_FC!$BA$4:$BA$23,0),FALSE),0),0)</f>
        <v>0</v>
      </c>
      <c r="AX796" s="58">
        <f>IFERROR(IF($V796="BRAND.com",HLOOKUP($X796&amp;$Z796,PLANNING_FC!$T$27:$AH$46,MATCH($W796,PLANNING_FC!$B$27:$B$46,0),FALSE),0),0)</f>
        <v>0</v>
      </c>
      <c r="AY796" s="58">
        <f>IFERROR(IF($V796="BRAND.com",HLOOKUP($X796&amp;$Z796,PLANNING_FC!$T$4:$AH$23,MATCH($W796,PLANNING_FC!$B$4:$B$23,0),FALSE),0),0)</f>
        <v>0</v>
      </c>
      <c r="AZ796" s="58">
        <f>IFERROR(IF($V796="BRAND.com",HLOOKUP($X796&amp;$Z796,PLANNING_FC!$DA$27:$DO$46,MATCH($W796,PLANNING_FC!$CZ$27:$CZ$46,0),FALSE),0),0)</f>
        <v>0</v>
      </c>
      <c r="BA796" s="58">
        <f>IFERROR(IF($V796="BRAND.com",HLOOKUP($X796&amp;$Z796,PLANNING_FC!$DA$4:$DO$23,MATCH($W796,PLANNING_FC!$CZ$4:$CZ$23,0),FALSE),0),0)</f>
        <v>0</v>
      </c>
      <c r="BB796" s="883" t="str">
        <f>IF(V796="BRAND.com",IFERROR(HLOOKUP(X796&amp;Z796,PLANNING_FC!$AK$4:$AY$23,MATCH(W796,PLANNING_FC!$AJ$4:$AJ$23,0),FALSE)*1000,""),"")</f>
        <v/>
      </c>
      <c r="BC796" s="883" t="str">
        <f>IF(V796="BRAND.com",IFERROR(HLOOKUP(X796&amp;Z796,PLANNING_FC!$AK$27:$AY$46,MATCH(W796,PLANNING_FC!$AJ$27:$AJ$46,0),FALSE)*1000,""),"")</f>
        <v/>
      </c>
    </row>
    <row r="797" spans="14:55" x14ac:dyDescent="0.25">
      <c r="N797" s="56">
        <f t="shared" si="304"/>
        <v>0</v>
      </c>
      <c r="O797" s="57">
        <f t="shared" si="305"/>
        <v>0</v>
      </c>
      <c r="P797" s="57">
        <f ca="1">IFERROR(IF(ISBLANK(H797),SUMIFS($AC:$AC,$V:$V,V797,$W:$W,W797,$X:$X,X797,$Y:$Y,Y797)*J797/(1-J797)*VLOOKUP(_xlfn.CONCAT(C797,D797,E797,TIME!$M$12,Z797),HIS_SALES!$B$2:$W$4859,20,FALSE),AC797*J797/(1-J797)),0)</f>
        <v>0</v>
      </c>
      <c r="Q797" s="541" t="str">
        <f t="shared" si="306"/>
        <v/>
      </c>
      <c r="R797" s="346" t="str">
        <f t="shared" si="307"/>
        <v>00000</v>
      </c>
      <c r="S797" s="344">
        <f t="shared" si="308"/>
        <v>0</v>
      </c>
      <c r="T797" s="345" t="str">
        <f t="shared" si="321"/>
        <v>000</v>
      </c>
      <c r="U797" s="345">
        <f t="shared" si="309"/>
        <v>0</v>
      </c>
      <c r="V797" s="345">
        <f t="shared" si="310"/>
        <v>0</v>
      </c>
      <c r="W797" s="345">
        <f t="shared" si="311"/>
        <v>0</v>
      </c>
      <c r="X797" s="345">
        <f t="shared" si="312"/>
        <v>0</v>
      </c>
      <c r="Y797" s="345">
        <f t="shared" si="313"/>
        <v>0</v>
      </c>
      <c r="Z797" s="345">
        <f>IF(Q797&lt;&gt;"",VLOOKUP(Y797,TIME!$R$21:$V$24,MATCH(FC_DATA!Q797,TIME!$R$20:$V$20,0),FALSE),H797)</f>
        <v>0</v>
      </c>
      <c r="AA797" s="345" t="str">
        <f>IFERROR(VLOOKUP(X797&amp;Z797,TIME!$A$12:$D$71,4,FALSE),"")</f>
        <v/>
      </c>
      <c r="AB797" s="592">
        <f t="shared" ca="1" si="314"/>
        <v>0</v>
      </c>
      <c r="AC797" s="593" t="e">
        <f ca="1">IF(ISBLANK(H797)=FALSE,IF(D797="BRAND.com",I797,IF(ISNA(VLOOKUP(_xlfn.CONCAT(X797,Z797),TIME!$M$40:$M$42,1,FALSE)),I797,VLOOKUP(_xlfn.CONCAT(D797,G797,H797),M_BUSAREA_FC!$AF$5:$AJ$10,5,FALSE)*HLOOKUP(_xlfn.CONCAT(F797,H797),ST_OVERVIEW!$G$99:$I$130,MATCH(_xlfn.CONCAT(D797,E797),ST_OVERVIEW!$F$99:$F$130,0),FALSE))),IF(D797="BRAND.com",VLOOKUP(_xlfn.CONCAT(C797,D797,E797,TIME!$F$1,Z797),HIS_SALES!$B$2:$V$4859,19,FALSE)*I797,VLOOKUP(_xlfn.CONCAT(D797,F797,G797),Q_BUSAREA_FC!$AE$5:$AI$12,5,FALSE)*HLOOKUP(_xlfn.CONCAT(FC_DATA!F797,FC_DATA!G797),LT_OVERVIEW!$I$99:$M$130,MATCH(_xlfn.CONCAT(D797,FC_DATA!E797),LT_OVERVIEW!$H$99:$H$130,0),FALSE)*IFERROR(VLOOKUP(_xlfn.CONCAT(C797,D797,E797,TIME!$F$1,Z797),HIS_SALES!$B$2:$V$4859,19,FALSE),0)))</f>
        <v>#N/A</v>
      </c>
      <c r="AD797" s="341">
        <f t="shared" ca="1" si="315"/>
        <v>0</v>
      </c>
      <c r="AE797" s="363" t="str">
        <f t="shared" si="316"/>
        <v/>
      </c>
      <c r="AF797" s="342" t="str">
        <f t="shared" si="317"/>
        <v/>
      </c>
      <c r="AG797" s="411" t="e">
        <f ca="1">VLOOKUP(_xlfn.CONCAT(U797,V797,W797,VLOOKUP(X797&amp;Y797,TIME!$L$27:$O$34,4,FALSE),Y797),HIS_SALES!$A$2:$R$5093,18,FALSE)</f>
        <v>#N/A</v>
      </c>
      <c r="AH797" s="412" t="e">
        <f ca="1">IFERROR(IF(AND(V797=V796,W797=W796),0.5*(AB797+AB796)*AG797,(VLOOKUP(_xlfn.CONCAT(U797,V797,W797,X797,VLOOKUP(Z797,TIME!$S$28:$T$39,2,FALSE)),FC_DATA!$R$2:$AB$5000,MATCH("GS_I_M",FC_DATA!$R$1:$AB$1,0),FALSE)+FC_DATA!AB797)*0.5*FC_DATA!AG797),NA())</f>
        <v>#N/A</v>
      </c>
      <c r="AI797" s="491" t="e">
        <f ca="1">IF(V797="PARTNER.com",AH797,IF(AND(V797=V796,W797=W796),(1-AVERAGE(AD796,AD797))*AH797,(1-AVERAGE(AD797,VLOOKUP(_xlfn.CONCAT(U797,V797,W797,X797,M_BRAND_FC!$F$6),FC_DATA!$R$2:$AD$5000,MATCH("DISCOUNT_%_M",FC_DATA!$R$1:$AD$1,0),FALSE)))*AH797))</f>
        <v>#N/A</v>
      </c>
      <c r="AJ797" s="412" t="str">
        <f t="shared" ca="1" si="318"/>
        <v/>
      </c>
      <c r="AK797" s="413" t="str">
        <f>IFERROR(AE797/(Q_BRAND_FC!$T$24+1),"")</f>
        <v/>
      </c>
      <c r="AL797" s="88" t="str">
        <f t="shared" ca="1" si="319"/>
        <v/>
      </c>
      <c r="AM797" s="414" t="str">
        <f t="shared" ca="1" si="320"/>
        <v/>
      </c>
      <c r="AN797" s="58">
        <f>IFERROR(IF($V797="BRAND.com",HLOOKUP($X797&amp;$Z797,NWC_FC_NOOS!$C$4:$Q$23,MATCH(W797,NWC_FC_NOOS!$B$4:$B$23,0),FALSE),0),0)</f>
        <v>0</v>
      </c>
      <c r="AO797" s="57">
        <f>IFERROR(IF($V797="BRAND.com",HLOOKUP($X797&amp;$Z797,NWC_FC_NOOS!$T$4:$AH$23,MATCH(W797,NWC_FC_NOOS!$S$4:$S$23,0),FALSE),0),0)</f>
        <v>0</v>
      </c>
      <c r="AP797" s="57">
        <f>IFERROR(IF($V797="BRAND.com",HLOOKUP($X797&amp;$Z797,NWC_FC_NOOS!$C$50:$U$69,MATCH(W797,NWC_FC_NOOS!$B$50:$B$69,0),FALSE),0),0)</f>
        <v>0</v>
      </c>
      <c r="AQ797" s="58">
        <f>IFERROR(IF($V797="BRAND.com",HLOOKUP($X797&amp;$Z797,'NWC_FC_NON-NOOS'!$C$4:$Q$23,MATCH(W797,'NWC_FC_NON-NOOS'!$B$4:$B$23,0),FALSE),0),0)</f>
        <v>0</v>
      </c>
      <c r="AR797" s="57">
        <f>IFERROR(IF($V797="BRAND.com",HLOOKUP($X797&amp;$Z797,'NWC_FC_NON-NOOS'!$T$4:$AH$23,MATCH(W797,'NWC_FC_NON-NOOS'!$S$4:$S$23,0),FALSE),0),0)</f>
        <v>0</v>
      </c>
      <c r="AS797" s="57">
        <f>IFERROR(IF($V797="BRAND.com",HLOOKUP($X797&amp;$Z797,'NWC_FC_NON-NOOS'!$C$50:$U$69,MATCH(W797,'NWC_FC_NON-NOOS'!$B$50:$B$69,0),FALSE),0),0)</f>
        <v>0</v>
      </c>
      <c r="AT797" s="57">
        <f t="shared" si="322"/>
        <v>0</v>
      </c>
      <c r="AU797" s="57">
        <f t="shared" si="323"/>
        <v>0</v>
      </c>
      <c r="AV797" s="58">
        <f>IFERROR(IF($V797="BRAND.com",HLOOKUP($X797&amp;$Z797,PLANNING_FC!$BB$27:$BP$46,MATCH($W797,PLANNING_FC!$BA$27:$BA$46,0),FALSE),0),0)</f>
        <v>0</v>
      </c>
      <c r="AW797" s="58">
        <f>IFERROR(IF($V797="BRAND.com",HLOOKUP($X797&amp;$Z797,PLANNING_FC!$BB$4:$BP$23,MATCH($W797,PLANNING_FC!$BA$4:$BA$23,0),FALSE),0),0)</f>
        <v>0</v>
      </c>
      <c r="AX797" s="58">
        <f>IFERROR(IF($V797="BRAND.com",HLOOKUP($X797&amp;$Z797,PLANNING_FC!$T$27:$AH$46,MATCH($W797,PLANNING_FC!$B$27:$B$46,0),FALSE),0),0)</f>
        <v>0</v>
      </c>
      <c r="AY797" s="58">
        <f>IFERROR(IF($V797="BRAND.com",HLOOKUP($X797&amp;$Z797,PLANNING_FC!$T$4:$AH$23,MATCH($W797,PLANNING_FC!$B$4:$B$23,0),FALSE),0),0)</f>
        <v>0</v>
      </c>
      <c r="AZ797" s="58">
        <f>IFERROR(IF($V797="BRAND.com",HLOOKUP($X797&amp;$Z797,PLANNING_FC!$DA$27:$DO$46,MATCH($W797,PLANNING_FC!$CZ$27:$CZ$46,0),FALSE),0),0)</f>
        <v>0</v>
      </c>
      <c r="BA797" s="58">
        <f>IFERROR(IF($V797="BRAND.com",HLOOKUP($X797&amp;$Z797,PLANNING_FC!$DA$4:$DO$23,MATCH($W797,PLANNING_FC!$CZ$4:$CZ$23,0),FALSE),0),0)</f>
        <v>0</v>
      </c>
      <c r="BB797" s="883" t="str">
        <f>IF(V797="BRAND.com",IFERROR(HLOOKUP(X797&amp;Z797,PLANNING_FC!$AK$4:$AY$23,MATCH(W797,PLANNING_FC!$AJ$4:$AJ$23,0),FALSE)*1000,""),"")</f>
        <v/>
      </c>
      <c r="BC797" s="883" t="str">
        <f>IF(V797="BRAND.com",IFERROR(HLOOKUP(X797&amp;Z797,PLANNING_FC!$AK$27:$AY$46,MATCH(W797,PLANNING_FC!$AJ$27:$AJ$46,0),FALSE)*1000,""),"")</f>
        <v/>
      </c>
    </row>
    <row r="798" spans="14:55" x14ac:dyDescent="0.25">
      <c r="N798" s="56">
        <f t="shared" si="304"/>
        <v>0</v>
      </c>
      <c r="O798" s="57">
        <f t="shared" si="305"/>
        <v>0</v>
      </c>
      <c r="P798" s="57">
        <f ca="1">IFERROR(IF(ISBLANK(H798),SUMIFS($AC:$AC,$V:$V,V798,$W:$W,W798,$X:$X,X798,$Y:$Y,Y798)*J798/(1-J798)*VLOOKUP(_xlfn.CONCAT(C798,D798,E798,TIME!$M$12,Z798),HIS_SALES!$B$2:$W$4859,20,FALSE),AC798*J798/(1-J798)),0)</f>
        <v>0</v>
      </c>
      <c r="Q798" s="541" t="str">
        <f t="shared" si="306"/>
        <v/>
      </c>
      <c r="R798" s="346" t="str">
        <f t="shared" si="307"/>
        <v>00000</v>
      </c>
      <c r="S798" s="344">
        <f t="shared" si="308"/>
        <v>0</v>
      </c>
      <c r="T798" s="345" t="str">
        <f t="shared" si="321"/>
        <v>000</v>
      </c>
      <c r="U798" s="345">
        <f t="shared" si="309"/>
        <v>0</v>
      </c>
      <c r="V798" s="345">
        <f t="shared" si="310"/>
        <v>0</v>
      </c>
      <c r="W798" s="345">
        <f t="shared" si="311"/>
        <v>0</v>
      </c>
      <c r="X798" s="345">
        <f t="shared" si="312"/>
        <v>0</v>
      </c>
      <c r="Y798" s="345">
        <f t="shared" si="313"/>
        <v>0</v>
      </c>
      <c r="Z798" s="345">
        <f>IF(Q798&lt;&gt;"",VLOOKUP(Y798,TIME!$R$21:$V$24,MATCH(FC_DATA!Q798,TIME!$R$20:$V$20,0),FALSE),H798)</f>
        <v>0</v>
      </c>
      <c r="AA798" s="345" t="str">
        <f>IFERROR(VLOOKUP(X798&amp;Z798,TIME!$A$12:$D$71,4,FALSE),"")</f>
        <v/>
      </c>
      <c r="AB798" s="592">
        <f t="shared" ca="1" si="314"/>
        <v>0</v>
      </c>
      <c r="AC798" s="593" t="e">
        <f ca="1">IF(ISBLANK(H798)=FALSE,IF(D798="BRAND.com",I798,IF(ISNA(VLOOKUP(_xlfn.CONCAT(X798,Z798),TIME!$M$40:$M$42,1,FALSE)),I798,VLOOKUP(_xlfn.CONCAT(D798,G798,H798),M_BUSAREA_FC!$AF$5:$AJ$10,5,FALSE)*HLOOKUP(_xlfn.CONCAT(F798,H798),ST_OVERVIEW!$G$99:$I$130,MATCH(_xlfn.CONCAT(D798,E798),ST_OVERVIEW!$F$99:$F$130,0),FALSE))),IF(D798="BRAND.com",VLOOKUP(_xlfn.CONCAT(C798,D798,E798,TIME!$F$1,Z798),HIS_SALES!$B$2:$V$4859,19,FALSE)*I798,VLOOKUP(_xlfn.CONCAT(D798,F798,G798),Q_BUSAREA_FC!$AE$5:$AI$12,5,FALSE)*HLOOKUP(_xlfn.CONCAT(FC_DATA!F798,FC_DATA!G798),LT_OVERVIEW!$I$99:$M$130,MATCH(_xlfn.CONCAT(D798,FC_DATA!E798),LT_OVERVIEW!$H$99:$H$130,0),FALSE)*IFERROR(VLOOKUP(_xlfn.CONCAT(C798,D798,E798,TIME!$F$1,Z798),HIS_SALES!$B$2:$V$4859,19,FALSE),0)))</f>
        <v>#N/A</v>
      </c>
      <c r="AD798" s="341">
        <f t="shared" ca="1" si="315"/>
        <v>0</v>
      </c>
      <c r="AE798" s="363" t="str">
        <f t="shared" si="316"/>
        <v/>
      </c>
      <c r="AF798" s="342" t="str">
        <f t="shared" si="317"/>
        <v/>
      </c>
      <c r="AG798" s="411" t="e">
        <f ca="1">VLOOKUP(_xlfn.CONCAT(U798,V798,W798,VLOOKUP(X798&amp;Y798,TIME!$L$27:$O$34,4,FALSE),Y798),HIS_SALES!$A$2:$R$5093,18,FALSE)</f>
        <v>#N/A</v>
      </c>
      <c r="AH798" s="412" t="e">
        <f ca="1">IFERROR(IF(AND(V798=V797,W798=W797),0.5*(AB798+AB797)*AG798,(VLOOKUP(_xlfn.CONCAT(U798,V798,W798,X798,VLOOKUP(Z798,TIME!$S$28:$T$39,2,FALSE)),FC_DATA!$R$2:$AB$5000,MATCH("GS_I_M",FC_DATA!$R$1:$AB$1,0),FALSE)+FC_DATA!AB798)*0.5*FC_DATA!AG798),NA())</f>
        <v>#N/A</v>
      </c>
      <c r="AI798" s="491" t="e">
        <f ca="1">IF(V798="PARTNER.com",AH798,IF(AND(V798=V797,W798=W797),(1-AVERAGE(AD797,AD798))*AH798,(1-AVERAGE(AD798,VLOOKUP(_xlfn.CONCAT(U798,V798,W798,X798,M_BRAND_FC!$F$6),FC_DATA!$R$2:$AD$5000,MATCH("DISCOUNT_%_M",FC_DATA!$R$1:$AD$1,0),FALSE)))*AH798))</f>
        <v>#N/A</v>
      </c>
      <c r="AJ798" s="412" t="str">
        <f t="shared" ca="1" si="318"/>
        <v/>
      </c>
      <c r="AK798" s="413" t="str">
        <f>IFERROR(AE798/(Q_BRAND_FC!$T$24+1),"")</f>
        <v/>
      </c>
      <c r="AL798" s="88" t="str">
        <f t="shared" ca="1" si="319"/>
        <v/>
      </c>
      <c r="AM798" s="414" t="str">
        <f t="shared" ca="1" si="320"/>
        <v/>
      </c>
      <c r="AN798" s="58">
        <f>IFERROR(IF($V798="BRAND.com",HLOOKUP($X798&amp;$Z798,NWC_FC_NOOS!$C$4:$Q$23,MATCH(W798,NWC_FC_NOOS!$B$4:$B$23,0),FALSE),0),0)</f>
        <v>0</v>
      </c>
      <c r="AO798" s="57">
        <f>IFERROR(IF($V798="BRAND.com",HLOOKUP($X798&amp;$Z798,NWC_FC_NOOS!$T$4:$AH$23,MATCH(W798,NWC_FC_NOOS!$S$4:$S$23,0),FALSE),0),0)</f>
        <v>0</v>
      </c>
      <c r="AP798" s="57">
        <f>IFERROR(IF($V798="BRAND.com",HLOOKUP($X798&amp;$Z798,NWC_FC_NOOS!$C$50:$U$69,MATCH(W798,NWC_FC_NOOS!$B$50:$B$69,0),FALSE),0),0)</f>
        <v>0</v>
      </c>
      <c r="AQ798" s="58">
        <f>IFERROR(IF($V798="BRAND.com",HLOOKUP($X798&amp;$Z798,'NWC_FC_NON-NOOS'!$C$4:$Q$23,MATCH(W798,'NWC_FC_NON-NOOS'!$B$4:$B$23,0),FALSE),0),0)</f>
        <v>0</v>
      </c>
      <c r="AR798" s="57">
        <f>IFERROR(IF($V798="BRAND.com",HLOOKUP($X798&amp;$Z798,'NWC_FC_NON-NOOS'!$T$4:$AH$23,MATCH(W798,'NWC_FC_NON-NOOS'!$S$4:$S$23,0),FALSE),0),0)</f>
        <v>0</v>
      </c>
      <c r="AS798" s="57">
        <f>IFERROR(IF($V798="BRAND.com",HLOOKUP($X798&amp;$Z798,'NWC_FC_NON-NOOS'!$C$50:$U$69,MATCH(W798,'NWC_FC_NON-NOOS'!$B$50:$B$69,0),FALSE),0),0)</f>
        <v>0</v>
      </c>
      <c r="AT798" s="57">
        <f t="shared" si="322"/>
        <v>0</v>
      </c>
      <c r="AU798" s="57">
        <f t="shared" si="323"/>
        <v>0</v>
      </c>
      <c r="AV798" s="58">
        <f>IFERROR(IF($V798="BRAND.com",HLOOKUP($X798&amp;$Z798,PLANNING_FC!$BB$27:$BP$46,MATCH($W798,PLANNING_FC!$BA$27:$BA$46,0),FALSE),0),0)</f>
        <v>0</v>
      </c>
      <c r="AW798" s="58">
        <f>IFERROR(IF($V798="BRAND.com",HLOOKUP($X798&amp;$Z798,PLANNING_FC!$BB$4:$BP$23,MATCH($W798,PLANNING_FC!$BA$4:$BA$23,0),FALSE),0),0)</f>
        <v>0</v>
      </c>
      <c r="AX798" s="58">
        <f>IFERROR(IF($V798="BRAND.com",HLOOKUP($X798&amp;$Z798,PLANNING_FC!$T$27:$AH$46,MATCH($W798,PLANNING_FC!$B$27:$B$46,0),FALSE),0),0)</f>
        <v>0</v>
      </c>
      <c r="AY798" s="58">
        <f>IFERROR(IF($V798="BRAND.com",HLOOKUP($X798&amp;$Z798,PLANNING_FC!$T$4:$AH$23,MATCH($W798,PLANNING_FC!$B$4:$B$23,0),FALSE),0),0)</f>
        <v>0</v>
      </c>
      <c r="AZ798" s="58">
        <f>IFERROR(IF($V798="BRAND.com",HLOOKUP($X798&amp;$Z798,PLANNING_FC!$DA$27:$DO$46,MATCH($W798,PLANNING_FC!$CZ$27:$CZ$46,0),FALSE),0),0)</f>
        <v>0</v>
      </c>
      <c r="BA798" s="58">
        <f>IFERROR(IF($V798="BRAND.com",HLOOKUP($X798&amp;$Z798,PLANNING_FC!$DA$4:$DO$23,MATCH($W798,PLANNING_FC!$CZ$4:$CZ$23,0),FALSE),0),0)</f>
        <v>0</v>
      </c>
      <c r="BB798" s="883" t="str">
        <f>IF(V798="BRAND.com",IFERROR(HLOOKUP(X798&amp;Z798,PLANNING_FC!$AK$4:$AY$23,MATCH(W798,PLANNING_FC!$AJ$4:$AJ$23,0),FALSE)*1000,""),"")</f>
        <v/>
      </c>
      <c r="BC798" s="883" t="str">
        <f>IF(V798="BRAND.com",IFERROR(HLOOKUP(X798&amp;Z798,PLANNING_FC!$AK$27:$AY$46,MATCH(W798,PLANNING_FC!$AJ$27:$AJ$46,0),FALSE)*1000,""),"")</f>
        <v/>
      </c>
    </row>
    <row r="799" spans="14:55" x14ac:dyDescent="0.25">
      <c r="N799" s="56">
        <f t="shared" si="304"/>
        <v>0</v>
      </c>
      <c r="O799" s="57">
        <f t="shared" si="305"/>
        <v>0</v>
      </c>
      <c r="P799" s="57">
        <f ca="1">IFERROR(IF(ISBLANK(H799),SUMIFS($AC:$AC,$V:$V,V799,$W:$W,W799,$X:$X,X799,$Y:$Y,Y799)*J799/(1-J799)*VLOOKUP(_xlfn.CONCAT(C799,D799,E799,TIME!$M$12,Z799),HIS_SALES!$B$2:$W$4859,20,FALSE),AC799*J799/(1-J799)),0)</f>
        <v>0</v>
      </c>
      <c r="Q799" s="541" t="str">
        <f t="shared" si="306"/>
        <v/>
      </c>
      <c r="R799" s="346" t="str">
        <f t="shared" si="307"/>
        <v>00000</v>
      </c>
      <c r="S799" s="344">
        <f t="shared" si="308"/>
        <v>0</v>
      </c>
      <c r="T799" s="345" t="str">
        <f t="shared" si="321"/>
        <v>000</v>
      </c>
      <c r="U799" s="345">
        <f t="shared" si="309"/>
        <v>0</v>
      </c>
      <c r="V799" s="345">
        <f t="shared" si="310"/>
        <v>0</v>
      </c>
      <c r="W799" s="345">
        <f t="shared" si="311"/>
        <v>0</v>
      </c>
      <c r="X799" s="345">
        <f t="shared" si="312"/>
        <v>0</v>
      </c>
      <c r="Y799" s="345">
        <f t="shared" si="313"/>
        <v>0</v>
      </c>
      <c r="Z799" s="345">
        <f>IF(Q799&lt;&gt;"",VLOOKUP(Y799,TIME!$R$21:$V$24,MATCH(FC_DATA!Q799,TIME!$R$20:$V$20,0),FALSE),H799)</f>
        <v>0</v>
      </c>
      <c r="AA799" s="345" t="str">
        <f>IFERROR(VLOOKUP(X799&amp;Z799,TIME!$A$12:$D$71,4,FALSE),"")</f>
        <v/>
      </c>
      <c r="AB799" s="592">
        <f t="shared" ca="1" si="314"/>
        <v>0</v>
      </c>
      <c r="AC799" s="593" t="e">
        <f ca="1">IF(ISBLANK(H799)=FALSE,IF(D799="BRAND.com",I799,IF(ISNA(VLOOKUP(_xlfn.CONCAT(X799,Z799),TIME!$M$40:$M$42,1,FALSE)),I799,VLOOKUP(_xlfn.CONCAT(D799,G799,H799),M_BUSAREA_FC!$AF$5:$AJ$10,5,FALSE)*HLOOKUP(_xlfn.CONCAT(F799,H799),ST_OVERVIEW!$G$99:$I$130,MATCH(_xlfn.CONCAT(D799,E799),ST_OVERVIEW!$F$99:$F$130,0),FALSE))),IF(D799="BRAND.com",VLOOKUP(_xlfn.CONCAT(C799,D799,E799,TIME!$F$1,Z799),HIS_SALES!$B$2:$V$4859,19,FALSE)*I799,VLOOKUP(_xlfn.CONCAT(D799,F799,G799),Q_BUSAREA_FC!$AE$5:$AI$12,5,FALSE)*HLOOKUP(_xlfn.CONCAT(FC_DATA!F799,FC_DATA!G799),LT_OVERVIEW!$I$99:$M$130,MATCH(_xlfn.CONCAT(D799,FC_DATA!E799),LT_OVERVIEW!$H$99:$H$130,0),FALSE)*IFERROR(VLOOKUP(_xlfn.CONCAT(C799,D799,E799,TIME!$F$1,Z799),HIS_SALES!$B$2:$V$4859,19,FALSE),0)))</f>
        <v>#N/A</v>
      </c>
      <c r="AD799" s="341">
        <f t="shared" ca="1" si="315"/>
        <v>0</v>
      </c>
      <c r="AE799" s="363" t="str">
        <f t="shared" si="316"/>
        <v/>
      </c>
      <c r="AF799" s="342" t="str">
        <f t="shared" si="317"/>
        <v/>
      </c>
      <c r="AG799" s="411" t="e">
        <f ca="1">VLOOKUP(_xlfn.CONCAT(U799,V799,W799,VLOOKUP(X799&amp;Y799,TIME!$L$27:$O$34,4,FALSE),Y799),HIS_SALES!$A$2:$R$5093,18,FALSE)</f>
        <v>#N/A</v>
      </c>
      <c r="AH799" s="412" t="e">
        <f ca="1">IFERROR(IF(AND(V799=V798,W799=W798),0.5*(AB799+AB798)*AG799,(VLOOKUP(_xlfn.CONCAT(U799,V799,W799,X799,VLOOKUP(Z799,TIME!$S$28:$T$39,2,FALSE)),FC_DATA!$R$2:$AB$5000,MATCH("GS_I_M",FC_DATA!$R$1:$AB$1,0),FALSE)+FC_DATA!AB799)*0.5*FC_DATA!AG799),NA())</f>
        <v>#N/A</v>
      </c>
      <c r="AI799" s="491" t="e">
        <f ca="1">IF(V799="PARTNER.com",AH799,IF(AND(V799=V798,W799=W798),(1-AVERAGE(AD798,AD799))*AH799,(1-AVERAGE(AD799,VLOOKUP(_xlfn.CONCAT(U799,V799,W799,X799,M_BRAND_FC!$F$6),FC_DATA!$R$2:$AD$5000,MATCH("DISCOUNT_%_M",FC_DATA!$R$1:$AD$1,0),FALSE)))*AH799))</f>
        <v>#N/A</v>
      </c>
      <c r="AJ799" s="412" t="str">
        <f t="shared" ca="1" si="318"/>
        <v/>
      </c>
      <c r="AK799" s="413" t="str">
        <f>IFERROR(AE799/(Q_BRAND_FC!$T$24+1),"")</f>
        <v/>
      </c>
      <c r="AL799" s="88" t="str">
        <f t="shared" ca="1" si="319"/>
        <v/>
      </c>
      <c r="AM799" s="414" t="str">
        <f t="shared" ca="1" si="320"/>
        <v/>
      </c>
      <c r="AN799" s="58">
        <f>IFERROR(IF($V799="BRAND.com",HLOOKUP($X799&amp;$Z799,NWC_FC_NOOS!$C$4:$Q$23,MATCH(W799,NWC_FC_NOOS!$B$4:$B$23,0),FALSE),0),0)</f>
        <v>0</v>
      </c>
      <c r="AO799" s="57">
        <f>IFERROR(IF($V799="BRAND.com",HLOOKUP($X799&amp;$Z799,NWC_FC_NOOS!$T$4:$AH$23,MATCH(W799,NWC_FC_NOOS!$S$4:$S$23,0),FALSE),0),0)</f>
        <v>0</v>
      </c>
      <c r="AP799" s="57">
        <f>IFERROR(IF($V799="BRAND.com",HLOOKUP($X799&amp;$Z799,NWC_FC_NOOS!$C$50:$U$69,MATCH(W799,NWC_FC_NOOS!$B$50:$B$69,0),FALSE),0),0)</f>
        <v>0</v>
      </c>
      <c r="AQ799" s="58">
        <f>IFERROR(IF($V799="BRAND.com",HLOOKUP($X799&amp;$Z799,'NWC_FC_NON-NOOS'!$C$4:$Q$23,MATCH(W799,'NWC_FC_NON-NOOS'!$B$4:$B$23,0),FALSE),0),0)</f>
        <v>0</v>
      </c>
      <c r="AR799" s="57">
        <f>IFERROR(IF($V799="BRAND.com",HLOOKUP($X799&amp;$Z799,'NWC_FC_NON-NOOS'!$T$4:$AH$23,MATCH(W799,'NWC_FC_NON-NOOS'!$S$4:$S$23,0),FALSE),0),0)</f>
        <v>0</v>
      </c>
      <c r="AS799" s="57">
        <f>IFERROR(IF($V799="BRAND.com",HLOOKUP($X799&amp;$Z799,'NWC_FC_NON-NOOS'!$C$50:$U$69,MATCH(W799,'NWC_FC_NON-NOOS'!$B$50:$B$69,0),FALSE),0),0)</f>
        <v>0</v>
      </c>
      <c r="AT799" s="57">
        <f t="shared" si="322"/>
        <v>0</v>
      </c>
      <c r="AU799" s="57">
        <f t="shared" si="323"/>
        <v>0</v>
      </c>
      <c r="AV799" s="58">
        <f>IFERROR(IF($V799="BRAND.com",HLOOKUP($X799&amp;$Z799,PLANNING_FC!$BB$27:$BP$46,MATCH($W799,PLANNING_FC!$BA$27:$BA$46,0),FALSE),0),0)</f>
        <v>0</v>
      </c>
      <c r="AW799" s="58">
        <f>IFERROR(IF($V799="BRAND.com",HLOOKUP($X799&amp;$Z799,PLANNING_FC!$BB$4:$BP$23,MATCH($W799,PLANNING_FC!$BA$4:$BA$23,0),FALSE),0),0)</f>
        <v>0</v>
      </c>
      <c r="AX799" s="58">
        <f>IFERROR(IF($V799="BRAND.com",HLOOKUP($X799&amp;$Z799,PLANNING_FC!$T$27:$AH$46,MATCH($W799,PLANNING_FC!$B$27:$B$46,0),FALSE),0),0)</f>
        <v>0</v>
      </c>
      <c r="AY799" s="58">
        <f>IFERROR(IF($V799="BRAND.com",HLOOKUP($X799&amp;$Z799,PLANNING_FC!$T$4:$AH$23,MATCH($W799,PLANNING_FC!$B$4:$B$23,0),FALSE),0),0)</f>
        <v>0</v>
      </c>
      <c r="AZ799" s="58">
        <f>IFERROR(IF($V799="BRAND.com",HLOOKUP($X799&amp;$Z799,PLANNING_FC!$DA$27:$DO$46,MATCH($W799,PLANNING_FC!$CZ$27:$CZ$46,0),FALSE),0),0)</f>
        <v>0</v>
      </c>
      <c r="BA799" s="58">
        <f>IFERROR(IF($V799="BRAND.com",HLOOKUP($X799&amp;$Z799,PLANNING_FC!$DA$4:$DO$23,MATCH($W799,PLANNING_FC!$CZ$4:$CZ$23,0),FALSE),0),0)</f>
        <v>0</v>
      </c>
      <c r="BB799" s="883" t="str">
        <f>IF(V799="BRAND.com",IFERROR(HLOOKUP(X799&amp;Z799,PLANNING_FC!$AK$4:$AY$23,MATCH(W799,PLANNING_FC!$AJ$4:$AJ$23,0),FALSE)*1000,""),"")</f>
        <v/>
      </c>
      <c r="BC799" s="883" t="str">
        <f>IF(V799="BRAND.com",IFERROR(HLOOKUP(X799&amp;Z799,PLANNING_FC!$AK$27:$AY$46,MATCH(W799,PLANNING_FC!$AJ$27:$AJ$46,0),FALSE)*1000,""),"")</f>
        <v/>
      </c>
    </row>
    <row r="800" spans="14:55" x14ac:dyDescent="0.25">
      <c r="N800" s="56">
        <f t="shared" si="304"/>
        <v>0</v>
      </c>
      <c r="O800" s="57">
        <f t="shared" si="305"/>
        <v>0</v>
      </c>
      <c r="P800" s="57">
        <f ca="1">IFERROR(IF(ISBLANK(H800),SUMIFS($AC:$AC,$V:$V,V800,$W:$W,W800,$X:$X,X800,$Y:$Y,Y800)*J800/(1-J800)*VLOOKUP(_xlfn.CONCAT(C800,D800,E800,TIME!$M$12,Z800),HIS_SALES!$B$2:$W$4859,20,FALSE),AC800*J800/(1-J800)),0)</f>
        <v>0</v>
      </c>
      <c r="Q800" s="541" t="str">
        <f t="shared" si="306"/>
        <v/>
      </c>
      <c r="R800" s="346" t="str">
        <f t="shared" si="307"/>
        <v>00000</v>
      </c>
      <c r="S800" s="344">
        <f t="shared" si="308"/>
        <v>0</v>
      </c>
      <c r="T800" s="345" t="str">
        <f t="shared" si="321"/>
        <v>000</v>
      </c>
      <c r="U800" s="345">
        <f t="shared" si="309"/>
        <v>0</v>
      </c>
      <c r="V800" s="345">
        <f t="shared" si="310"/>
        <v>0</v>
      </c>
      <c r="W800" s="345">
        <f t="shared" si="311"/>
        <v>0</v>
      </c>
      <c r="X800" s="345">
        <f t="shared" si="312"/>
        <v>0</v>
      </c>
      <c r="Y800" s="345">
        <f t="shared" si="313"/>
        <v>0</v>
      </c>
      <c r="Z800" s="345">
        <f>IF(Q800&lt;&gt;"",VLOOKUP(Y800,TIME!$R$21:$V$24,MATCH(FC_DATA!Q800,TIME!$R$20:$V$20,0),FALSE),H800)</f>
        <v>0</v>
      </c>
      <c r="AA800" s="345" t="str">
        <f>IFERROR(VLOOKUP(X800&amp;Z800,TIME!$A$12:$D$71,4,FALSE),"")</f>
        <v/>
      </c>
      <c r="AB800" s="592">
        <f t="shared" ca="1" si="314"/>
        <v>0</v>
      </c>
      <c r="AC800" s="593" t="e">
        <f ca="1">IF(ISBLANK(H800)=FALSE,IF(D800="BRAND.com",I800,IF(ISNA(VLOOKUP(_xlfn.CONCAT(X800,Z800),TIME!$M$40:$M$42,1,FALSE)),I800,VLOOKUP(_xlfn.CONCAT(D800,G800,H800),M_BUSAREA_FC!$AF$5:$AJ$10,5,FALSE)*HLOOKUP(_xlfn.CONCAT(F800,H800),ST_OVERVIEW!$G$99:$I$130,MATCH(_xlfn.CONCAT(D800,E800),ST_OVERVIEW!$F$99:$F$130,0),FALSE))),IF(D800="BRAND.com",VLOOKUP(_xlfn.CONCAT(C800,D800,E800,TIME!$F$1,Z800),HIS_SALES!$B$2:$V$4859,19,FALSE)*I800,VLOOKUP(_xlfn.CONCAT(D800,F800,G800),Q_BUSAREA_FC!$AE$5:$AI$12,5,FALSE)*HLOOKUP(_xlfn.CONCAT(FC_DATA!F800,FC_DATA!G800),LT_OVERVIEW!$I$99:$M$130,MATCH(_xlfn.CONCAT(D800,FC_DATA!E800),LT_OVERVIEW!$H$99:$H$130,0),FALSE)*IFERROR(VLOOKUP(_xlfn.CONCAT(C800,D800,E800,TIME!$F$1,Z800),HIS_SALES!$B$2:$V$4859,19,FALSE),0)))</f>
        <v>#N/A</v>
      </c>
      <c r="AD800" s="341">
        <f t="shared" ca="1" si="315"/>
        <v>0</v>
      </c>
      <c r="AE800" s="363" t="str">
        <f t="shared" si="316"/>
        <v/>
      </c>
      <c r="AF800" s="342" t="str">
        <f t="shared" si="317"/>
        <v/>
      </c>
      <c r="AG800" s="411" t="e">
        <f ca="1">VLOOKUP(_xlfn.CONCAT(U800,V800,W800,VLOOKUP(X800&amp;Y800,TIME!$L$27:$O$34,4,FALSE),Y800),HIS_SALES!$A$2:$R$5093,18,FALSE)</f>
        <v>#N/A</v>
      </c>
      <c r="AH800" s="412" t="e">
        <f ca="1">IFERROR(IF(AND(V800=V799,W800=W799),0.5*(AB800+AB799)*AG800,(VLOOKUP(_xlfn.CONCAT(U800,V800,W800,X800,VLOOKUP(Z800,TIME!$S$28:$T$39,2,FALSE)),FC_DATA!$R$2:$AB$5000,MATCH("GS_I_M",FC_DATA!$R$1:$AB$1,0),FALSE)+FC_DATA!AB800)*0.5*FC_DATA!AG800),NA())</f>
        <v>#N/A</v>
      </c>
      <c r="AI800" s="491" t="e">
        <f ca="1">IF(V800="PARTNER.com",AH800,IF(AND(V800=V799,W800=W799),(1-AVERAGE(AD799,AD800))*AH800,(1-AVERAGE(AD800,VLOOKUP(_xlfn.CONCAT(U800,V800,W800,X800,M_BRAND_FC!$F$6),FC_DATA!$R$2:$AD$5000,MATCH("DISCOUNT_%_M",FC_DATA!$R$1:$AD$1,0),FALSE)))*AH800))</f>
        <v>#N/A</v>
      </c>
      <c r="AJ800" s="412" t="str">
        <f t="shared" ca="1" si="318"/>
        <v/>
      </c>
      <c r="AK800" s="413" t="str">
        <f>IFERROR(AE800/(Q_BRAND_FC!$T$24+1),"")</f>
        <v/>
      </c>
      <c r="AL800" s="88" t="str">
        <f t="shared" ca="1" si="319"/>
        <v/>
      </c>
      <c r="AM800" s="414" t="str">
        <f t="shared" ca="1" si="320"/>
        <v/>
      </c>
      <c r="AN800" s="58">
        <f>IFERROR(IF($V800="BRAND.com",HLOOKUP($X800&amp;$Z800,NWC_FC_NOOS!$C$4:$Q$23,MATCH(W800,NWC_FC_NOOS!$B$4:$B$23,0),FALSE),0),0)</f>
        <v>0</v>
      </c>
      <c r="AO800" s="57">
        <f>IFERROR(IF($V800="BRAND.com",HLOOKUP($X800&amp;$Z800,NWC_FC_NOOS!$T$4:$AH$23,MATCH(W800,NWC_FC_NOOS!$S$4:$S$23,0),FALSE),0),0)</f>
        <v>0</v>
      </c>
      <c r="AP800" s="57">
        <f>IFERROR(IF($V800="BRAND.com",HLOOKUP($X800&amp;$Z800,NWC_FC_NOOS!$C$50:$U$69,MATCH(W800,NWC_FC_NOOS!$B$50:$B$69,0),FALSE),0),0)</f>
        <v>0</v>
      </c>
      <c r="AQ800" s="58">
        <f>IFERROR(IF($V800="BRAND.com",HLOOKUP($X800&amp;$Z800,'NWC_FC_NON-NOOS'!$C$4:$Q$23,MATCH(W800,'NWC_FC_NON-NOOS'!$B$4:$B$23,0),FALSE),0),0)</f>
        <v>0</v>
      </c>
      <c r="AR800" s="57">
        <f>IFERROR(IF($V800="BRAND.com",HLOOKUP($X800&amp;$Z800,'NWC_FC_NON-NOOS'!$T$4:$AH$23,MATCH(W800,'NWC_FC_NON-NOOS'!$S$4:$S$23,0),FALSE),0),0)</f>
        <v>0</v>
      </c>
      <c r="AS800" s="57">
        <f>IFERROR(IF($V800="BRAND.com",HLOOKUP($X800&amp;$Z800,'NWC_FC_NON-NOOS'!$C$50:$U$69,MATCH(W800,'NWC_FC_NON-NOOS'!$B$50:$B$69,0),FALSE),0),0)</f>
        <v>0</v>
      </c>
      <c r="AT800" s="57">
        <f t="shared" si="322"/>
        <v>0</v>
      </c>
      <c r="AU800" s="57">
        <f t="shared" si="323"/>
        <v>0</v>
      </c>
      <c r="AV800" s="58">
        <f>IFERROR(IF($V800="BRAND.com",HLOOKUP($X800&amp;$Z800,PLANNING_FC!$BB$27:$BP$46,MATCH($W800,PLANNING_FC!$BA$27:$BA$46,0),FALSE),0),0)</f>
        <v>0</v>
      </c>
      <c r="AW800" s="58">
        <f>IFERROR(IF($V800="BRAND.com",HLOOKUP($X800&amp;$Z800,PLANNING_FC!$BB$4:$BP$23,MATCH($W800,PLANNING_FC!$BA$4:$BA$23,0),FALSE),0),0)</f>
        <v>0</v>
      </c>
      <c r="AX800" s="58">
        <f>IFERROR(IF($V800="BRAND.com",HLOOKUP($X800&amp;$Z800,PLANNING_FC!$T$27:$AH$46,MATCH($W800,PLANNING_FC!$B$27:$B$46,0),FALSE),0),0)</f>
        <v>0</v>
      </c>
      <c r="AY800" s="58">
        <f>IFERROR(IF($V800="BRAND.com",HLOOKUP($X800&amp;$Z800,PLANNING_FC!$T$4:$AH$23,MATCH($W800,PLANNING_FC!$B$4:$B$23,0),FALSE),0),0)</f>
        <v>0</v>
      </c>
      <c r="AZ800" s="58">
        <f>IFERROR(IF($V800="BRAND.com",HLOOKUP($X800&amp;$Z800,PLANNING_FC!$DA$27:$DO$46,MATCH($W800,PLANNING_FC!$CZ$27:$CZ$46,0),FALSE),0),0)</f>
        <v>0</v>
      </c>
      <c r="BA800" s="58">
        <f>IFERROR(IF($V800="BRAND.com",HLOOKUP($X800&amp;$Z800,PLANNING_FC!$DA$4:$DO$23,MATCH($W800,PLANNING_FC!$CZ$4:$CZ$23,0),FALSE),0),0)</f>
        <v>0</v>
      </c>
      <c r="BB800" s="883" t="str">
        <f>IF(V800="BRAND.com",IFERROR(HLOOKUP(X800&amp;Z800,PLANNING_FC!$AK$4:$AY$23,MATCH(W800,PLANNING_FC!$AJ$4:$AJ$23,0),FALSE)*1000,""),"")</f>
        <v/>
      </c>
      <c r="BC800" s="883" t="str">
        <f>IF(V800="BRAND.com",IFERROR(HLOOKUP(X800&amp;Z800,PLANNING_FC!$AK$27:$AY$46,MATCH(W800,PLANNING_FC!$AJ$27:$AJ$46,0),FALSE)*1000,""),"")</f>
        <v/>
      </c>
    </row>
    <row r="801" spans="14:55" x14ac:dyDescent="0.25">
      <c r="N801" s="56">
        <f t="shared" si="304"/>
        <v>0</v>
      </c>
      <c r="O801" s="57">
        <f t="shared" si="305"/>
        <v>0</v>
      </c>
      <c r="P801" s="57">
        <f ca="1">IFERROR(IF(ISBLANK(H801),SUMIFS($AC:$AC,$V:$V,V801,$W:$W,W801,$X:$X,X801,$Y:$Y,Y801)*J801/(1-J801)*VLOOKUP(_xlfn.CONCAT(C801,D801,E801,TIME!$M$12,Z801),HIS_SALES!$B$2:$W$4859,20,FALSE),AC801*J801/(1-J801)),0)</f>
        <v>0</v>
      </c>
      <c r="Q801" s="541" t="str">
        <f t="shared" si="306"/>
        <v/>
      </c>
      <c r="R801" s="346" t="str">
        <f t="shared" si="307"/>
        <v>00000</v>
      </c>
      <c r="S801" s="344">
        <f t="shared" si="308"/>
        <v>0</v>
      </c>
      <c r="T801" s="345" t="str">
        <f t="shared" si="321"/>
        <v>000</v>
      </c>
      <c r="U801" s="345">
        <f t="shared" si="309"/>
        <v>0</v>
      </c>
      <c r="V801" s="345">
        <f t="shared" si="310"/>
        <v>0</v>
      </c>
      <c r="W801" s="345">
        <f t="shared" si="311"/>
        <v>0</v>
      </c>
      <c r="X801" s="345">
        <f t="shared" si="312"/>
        <v>0</v>
      </c>
      <c r="Y801" s="345">
        <f t="shared" si="313"/>
        <v>0</v>
      </c>
      <c r="Z801" s="345">
        <f>IF(Q801&lt;&gt;"",VLOOKUP(Y801,TIME!$R$21:$V$24,MATCH(FC_DATA!Q801,TIME!$R$20:$V$20,0),FALSE),H801)</f>
        <v>0</v>
      </c>
      <c r="AA801" s="345" t="str">
        <f>IFERROR(VLOOKUP(X801&amp;Z801,TIME!$A$12:$D$71,4,FALSE),"")</f>
        <v/>
      </c>
      <c r="AB801" s="592">
        <f t="shared" ca="1" si="314"/>
        <v>0</v>
      </c>
      <c r="AC801" s="593" t="e">
        <f ca="1">IF(ISBLANK(H801)=FALSE,IF(D801="BRAND.com",I801,IF(ISNA(VLOOKUP(_xlfn.CONCAT(X801,Z801),TIME!$M$40:$M$42,1,FALSE)),I801,VLOOKUP(_xlfn.CONCAT(D801,G801,H801),M_BUSAREA_FC!$AF$5:$AJ$10,5,FALSE)*HLOOKUP(_xlfn.CONCAT(F801,H801),ST_OVERVIEW!$G$99:$I$130,MATCH(_xlfn.CONCAT(D801,E801),ST_OVERVIEW!$F$99:$F$130,0),FALSE))),IF(D801="BRAND.com",VLOOKUP(_xlfn.CONCAT(C801,D801,E801,TIME!$F$1,Z801),HIS_SALES!$B$2:$V$4859,19,FALSE)*I801,VLOOKUP(_xlfn.CONCAT(D801,F801,G801),Q_BUSAREA_FC!$AE$5:$AI$12,5,FALSE)*HLOOKUP(_xlfn.CONCAT(FC_DATA!F801,FC_DATA!G801),LT_OVERVIEW!$I$99:$M$130,MATCH(_xlfn.CONCAT(D801,FC_DATA!E801),LT_OVERVIEW!$H$99:$H$130,0),FALSE)*IFERROR(VLOOKUP(_xlfn.CONCAT(C801,D801,E801,TIME!$F$1,Z801),HIS_SALES!$B$2:$V$4859,19,FALSE),0)))</f>
        <v>#N/A</v>
      </c>
      <c r="AD801" s="341">
        <f t="shared" ca="1" si="315"/>
        <v>0</v>
      </c>
      <c r="AE801" s="363" t="str">
        <f t="shared" si="316"/>
        <v/>
      </c>
      <c r="AF801" s="342" t="str">
        <f t="shared" si="317"/>
        <v/>
      </c>
      <c r="AG801" s="411" t="e">
        <f ca="1">VLOOKUP(_xlfn.CONCAT(U801,V801,W801,VLOOKUP(X801&amp;Y801,TIME!$L$27:$O$34,4,FALSE),Y801),HIS_SALES!$A$2:$R$5093,18,FALSE)</f>
        <v>#N/A</v>
      </c>
      <c r="AH801" s="412" t="e">
        <f ca="1">IFERROR(IF(AND(V801=V800,W801=W800),0.5*(AB801+AB800)*AG801,(VLOOKUP(_xlfn.CONCAT(U801,V801,W801,X801,VLOOKUP(Z801,TIME!$S$28:$T$39,2,FALSE)),FC_DATA!$R$2:$AB$5000,MATCH("GS_I_M",FC_DATA!$R$1:$AB$1,0),FALSE)+FC_DATA!AB801)*0.5*FC_DATA!AG801),NA())</f>
        <v>#N/A</v>
      </c>
      <c r="AI801" s="491" t="e">
        <f ca="1">IF(V801="PARTNER.com",AH801,IF(AND(V801=V800,W801=W800),(1-AVERAGE(AD800,AD801))*AH801,(1-AVERAGE(AD801,VLOOKUP(_xlfn.CONCAT(U801,V801,W801,X801,M_BRAND_FC!$F$6),FC_DATA!$R$2:$AD$5000,MATCH("DISCOUNT_%_M",FC_DATA!$R$1:$AD$1,0),FALSE)))*AH801))</f>
        <v>#N/A</v>
      </c>
      <c r="AJ801" s="412" t="str">
        <f t="shared" ca="1" si="318"/>
        <v/>
      </c>
      <c r="AK801" s="413" t="str">
        <f>IFERROR(AE801/(Q_BRAND_FC!$T$24+1),"")</f>
        <v/>
      </c>
      <c r="AL801" s="88" t="str">
        <f t="shared" ca="1" si="319"/>
        <v/>
      </c>
      <c r="AM801" s="414" t="str">
        <f t="shared" ca="1" si="320"/>
        <v/>
      </c>
      <c r="AN801" s="58">
        <f>IFERROR(IF($V801="BRAND.com",HLOOKUP($X801&amp;$Z801,NWC_FC_NOOS!$C$4:$Q$23,MATCH(W801,NWC_FC_NOOS!$B$4:$B$23,0),FALSE),0),0)</f>
        <v>0</v>
      </c>
      <c r="AO801" s="57">
        <f>IFERROR(IF($V801="BRAND.com",HLOOKUP($X801&amp;$Z801,NWC_FC_NOOS!$T$4:$AH$23,MATCH(W801,NWC_FC_NOOS!$S$4:$S$23,0),FALSE),0),0)</f>
        <v>0</v>
      </c>
      <c r="AP801" s="57">
        <f>IFERROR(IF($V801="BRAND.com",HLOOKUP($X801&amp;$Z801,NWC_FC_NOOS!$C$50:$U$69,MATCH(W801,NWC_FC_NOOS!$B$50:$B$69,0),FALSE),0),0)</f>
        <v>0</v>
      </c>
      <c r="AQ801" s="58">
        <f>IFERROR(IF($V801="BRAND.com",HLOOKUP($X801&amp;$Z801,'NWC_FC_NON-NOOS'!$C$4:$Q$23,MATCH(W801,'NWC_FC_NON-NOOS'!$B$4:$B$23,0),FALSE),0),0)</f>
        <v>0</v>
      </c>
      <c r="AR801" s="57">
        <f>IFERROR(IF($V801="BRAND.com",HLOOKUP($X801&amp;$Z801,'NWC_FC_NON-NOOS'!$T$4:$AH$23,MATCH(W801,'NWC_FC_NON-NOOS'!$S$4:$S$23,0),FALSE),0),0)</f>
        <v>0</v>
      </c>
      <c r="AS801" s="57">
        <f>IFERROR(IF($V801="BRAND.com",HLOOKUP($X801&amp;$Z801,'NWC_FC_NON-NOOS'!$C$50:$U$69,MATCH(W801,'NWC_FC_NON-NOOS'!$B$50:$B$69,0),FALSE),0),0)</f>
        <v>0</v>
      </c>
      <c r="AT801" s="57">
        <f t="shared" si="322"/>
        <v>0</v>
      </c>
      <c r="AU801" s="57">
        <f t="shared" si="323"/>
        <v>0</v>
      </c>
      <c r="AV801" s="58">
        <f>IFERROR(IF($V801="BRAND.com",HLOOKUP($X801&amp;$Z801,PLANNING_FC!$BB$27:$BP$46,MATCH($W801,PLANNING_FC!$BA$27:$BA$46,0),FALSE),0),0)</f>
        <v>0</v>
      </c>
      <c r="AW801" s="58">
        <f>IFERROR(IF($V801="BRAND.com",HLOOKUP($X801&amp;$Z801,PLANNING_FC!$BB$4:$BP$23,MATCH($W801,PLANNING_FC!$BA$4:$BA$23,0),FALSE),0),0)</f>
        <v>0</v>
      </c>
      <c r="AX801" s="58">
        <f>IFERROR(IF($V801="BRAND.com",HLOOKUP($X801&amp;$Z801,PLANNING_FC!$T$27:$AH$46,MATCH($W801,PLANNING_FC!$B$27:$B$46,0),FALSE),0),0)</f>
        <v>0</v>
      </c>
      <c r="AY801" s="58">
        <f>IFERROR(IF($V801="BRAND.com",HLOOKUP($X801&amp;$Z801,PLANNING_FC!$T$4:$AH$23,MATCH($W801,PLANNING_FC!$B$4:$B$23,0),FALSE),0),0)</f>
        <v>0</v>
      </c>
      <c r="AZ801" s="58">
        <f>IFERROR(IF($V801="BRAND.com",HLOOKUP($X801&amp;$Z801,PLANNING_FC!$DA$27:$DO$46,MATCH($W801,PLANNING_FC!$CZ$27:$CZ$46,0),FALSE),0),0)</f>
        <v>0</v>
      </c>
      <c r="BA801" s="58">
        <f>IFERROR(IF($V801="BRAND.com",HLOOKUP($X801&amp;$Z801,PLANNING_FC!$DA$4:$DO$23,MATCH($W801,PLANNING_FC!$CZ$4:$CZ$23,0),FALSE),0),0)</f>
        <v>0</v>
      </c>
      <c r="BB801" s="883" t="str">
        <f>IF(V801="BRAND.com",IFERROR(HLOOKUP(X801&amp;Z801,PLANNING_FC!$AK$4:$AY$23,MATCH(W801,PLANNING_FC!$AJ$4:$AJ$23,0),FALSE)*1000,""),"")</f>
        <v/>
      </c>
      <c r="BC801" s="883" t="str">
        <f>IF(V801="BRAND.com",IFERROR(HLOOKUP(X801&amp;Z801,PLANNING_FC!$AK$27:$AY$46,MATCH(W801,PLANNING_FC!$AJ$27:$AJ$46,0),FALSE)*1000,""),"")</f>
        <v/>
      </c>
    </row>
    <row r="802" spans="14:55" x14ac:dyDescent="0.25">
      <c r="N802" s="56">
        <f t="shared" si="304"/>
        <v>0</v>
      </c>
      <c r="O802" s="57">
        <f t="shared" si="305"/>
        <v>0</v>
      </c>
      <c r="P802" s="57">
        <f ca="1">IFERROR(IF(ISBLANK(H802),SUMIFS($AC:$AC,$V:$V,V802,$W:$W,W802,$X:$X,X802,$Y:$Y,Y802)*J802/(1-J802)*VLOOKUP(_xlfn.CONCAT(C802,D802,E802,TIME!$M$12,Z802),HIS_SALES!$B$2:$W$4859,20,FALSE),AC802*J802/(1-J802)),0)</f>
        <v>0</v>
      </c>
      <c r="Q802" s="541" t="str">
        <f t="shared" si="306"/>
        <v/>
      </c>
      <c r="R802" s="346" t="str">
        <f t="shared" si="307"/>
        <v>00000</v>
      </c>
      <c r="S802" s="344">
        <f t="shared" si="308"/>
        <v>0</v>
      </c>
      <c r="T802" s="345" t="str">
        <f t="shared" si="321"/>
        <v>000</v>
      </c>
      <c r="U802" s="345">
        <f t="shared" si="309"/>
        <v>0</v>
      </c>
      <c r="V802" s="345">
        <f t="shared" si="310"/>
        <v>0</v>
      </c>
      <c r="W802" s="345">
        <f t="shared" si="311"/>
        <v>0</v>
      </c>
      <c r="X802" s="345">
        <f t="shared" si="312"/>
        <v>0</v>
      </c>
      <c r="Y802" s="345">
        <f t="shared" si="313"/>
        <v>0</v>
      </c>
      <c r="Z802" s="345">
        <f>IF(Q802&lt;&gt;"",VLOOKUP(Y802,TIME!$R$21:$V$24,MATCH(FC_DATA!Q802,TIME!$R$20:$V$20,0),FALSE),H802)</f>
        <v>0</v>
      </c>
      <c r="AA802" s="345" t="str">
        <f>IFERROR(VLOOKUP(X802&amp;Z802,TIME!$A$12:$D$71,4,FALSE),"")</f>
        <v/>
      </c>
      <c r="AB802" s="592">
        <f t="shared" ca="1" si="314"/>
        <v>0</v>
      </c>
      <c r="AC802" s="593" t="e">
        <f ca="1">IF(ISBLANK(H802)=FALSE,IF(D802="BRAND.com",I802,IF(ISNA(VLOOKUP(_xlfn.CONCAT(X802,Z802),TIME!$M$40:$M$42,1,FALSE)),I802,VLOOKUP(_xlfn.CONCAT(D802,G802,H802),M_BUSAREA_FC!$AF$5:$AJ$10,5,FALSE)*HLOOKUP(_xlfn.CONCAT(F802,H802),ST_OVERVIEW!$G$99:$I$130,MATCH(_xlfn.CONCAT(D802,E802),ST_OVERVIEW!$F$99:$F$130,0),FALSE))),IF(D802="BRAND.com",VLOOKUP(_xlfn.CONCAT(C802,D802,E802,TIME!$F$1,Z802),HIS_SALES!$B$2:$V$4859,19,FALSE)*I802,VLOOKUP(_xlfn.CONCAT(D802,F802,G802),Q_BUSAREA_FC!$AE$5:$AI$12,5,FALSE)*HLOOKUP(_xlfn.CONCAT(FC_DATA!F802,FC_DATA!G802),LT_OVERVIEW!$I$99:$M$130,MATCH(_xlfn.CONCAT(D802,FC_DATA!E802),LT_OVERVIEW!$H$99:$H$130,0),FALSE)*IFERROR(VLOOKUP(_xlfn.CONCAT(C802,D802,E802,TIME!$F$1,Z802),HIS_SALES!$B$2:$V$4859,19,FALSE),0)))</f>
        <v>#N/A</v>
      </c>
      <c r="AD802" s="341">
        <f t="shared" ca="1" si="315"/>
        <v>0</v>
      </c>
      <c r="AE802" s="363" t="str">
        <f t="shared" si="316"/>
        <v/>
      </c>
      <c r="AF802" s="342" t="str">
        <f t="shared" si="317"/>
        <v/>
      </c>
      <c r="AG802" s="411" t="e">
        <f ca="1">VLOOKUP(_xlfn.CONCAT(U802,V802,W802,VLOOKUP(X802&amp;Y802,TIME!$L$27:$O$34,4,FALSE),Y802),HIS_SALES!$A$2:$R$5093,18,FALSE)</f>
        <v>#N/A</v>
      </c>
      <c r="AH802" s="412" t="e">
        <f ca="1">IFERROR(IF(AND(V802=V801,W802=W801),0.5*(AB802+AB801)*AG802,(VLOOKUP(_xlfn.CONCAT(U802,V802,W802,X802,VLOOKUP(Z802,TIME!$S$28:$T$39,2,FALSE)),FC_DATA!$R$2:$AB$5000,MATCH("GS_I_M",FC_DATA!$R$1:$AB$1,0),FALSE)+FC_DATA!AB802)*0.5*FC_DATA!AG802),NA())</f>
        <v>#N/A</v>
      </c>
      <c r="AI802" s="491" t="e">
        <f ca="1">IF(V802="PARTNER.com",AH802,IF(AND(V802=V801,W802=W801),(1-AVERAGE(AD801,AD802))*AH802,(1-AVERAGE(AD802,VLOOKUP(_xlfn.CONCAT(U802,V802,W802,X802,M_BRAND_FC!$F$6),FC_DATA!$R$2:$AD$5000,MATCH("DISCOUNT_%_M",FC_DATA!$R$1:$AD$1,0),FALSE)))*AH802))</f>
        <v>#N/A</v>
      </c>
      <c r="AJ802" s="412" t="str">
        <f t="shared" ca="1" si="318"/>
        <v/>
      </c>
      <c r="AK802" s="413" t="str">
        <f>IFERROR(AE802/(Q_BRAND_FC!$T$24+1),"")</f>
        <v/>
      </c>
      <c r="AL802" s="88" t="str">
        <f t="shared" ca="1" si="319"/>
        <v/>
      </c>
      <c r="AM802" s="414" t="str">
        <f t="shared" ca="1" si="320"/>
        <v/>
      </c>
      <c r="AN802" s="58">
        <f>IFERROR(IF($V802="BRAND.com",HLOOKUP($X802&amp;$Z802,NWC_FC_NOOS!$C$4:$Q$23,MATCH(W802,NWC_FC_NOOS!$B$4:$B$23,0),FALSE),0),0)</f>
        <v>0</v>
      </c>
      <c r="AO802" s="57">
        <f>IFERROR(IF($V802="BRAND.com",HLOOKUP($X802&amp;$Z802,NWC_FC_NOOS!$T$4:$AH$23,MATCH(W802,NWC_FC_NOOS!$S$4:$S$23,0),FALSE),0),0)</f>
        <v>0</v>
      </c>
      <c r="AP802" s="57">
        <f>IFERROR(IF($V802="BRAND.com",HLOOKUP($X802&amp;$Z802,NWC_FC_NOOS!$C$50:$U$69,MATCH(W802,NWC_FC_NOOS!$B$50:$B$69,0),FALSE),0),0)</f>
        <v>0</v>
      </c>
      <c r="AQ802" s="58">
        <f>IFERROR(IF($V802="BRAND.com",HLOOKUP($X802&amp;$Z802,'NWC_FC_NON-NOOS'!$C$4:$Q$23,MATCH(W802,'NWC_FC_NON-NOOS'!$B$4:$B$23,0),FALSE),0),0)</f>
        <v>0</v>
      </c>
      <c r="AR802" s="57">
        <f>IFERROR(IF($V802="BRAND.com",HLOOKUP($X802&amp;$Z802,'NWC_FC_NON-NOOS'!$T$4:$AH$23,MATCH(W802,'NWC_FC_NON-NOOS'!$S$4:$S$23,0),FALSE),0),0)</f>
        <v>0</v>
      </c>
      <c r="AS802" s="57">
        <f>IFERROR(IF($V802="BRAND.com",HLOOKUP($X802&amp;$Z802,'NWC_FC_NON-NOOS'!$C$50:$U$69,MATCH(W802,'NWC_FC_NON-NOOS'!$B$50:$B$69,0),FALSE),0),0)</f>
        <v>0</v>
      </c>
      <c r="AT802" s="57">
        <f t="shared" si="322"/>
        <v>0</v>
      </c>
      <c r="AU802" s="57">
        <f t="shared" si="323"/>
        <v>0</v>
      </c>
      <c r="AV802" s="58">
        <f>IFERROR(IF($V802="BRAND.com",HLOOKUP($X802&amp;$Z802,PLANNING_FC!$BB$27:$BP$46,MATCH($W802,PLANNING_FC!$BA$27:$BA$46,0),FALSE),0),0)</f>
        <v>0</v>
      </c>
      <c r="AW802" s="58">
        <f>IFERROR(IF($V802="BRAND.com",HLOOKUP($X802&amp;$Z802,PLANNING_FC!$BB$4:$BP$23,MATCH($W802,PLANNING_FC!$BA$4:$BA$23,0),FALSE),0),0)</f>
        <v>0</v>
      </c>
      <c r="AX802" s="58">
        <f>IFERROR(IF($V802="BRAND.com",HLOOKUP($X802&amp;$Z802,PLANNING_FC!$T$27:$AH$46,MATCH($W802,PLANNING_FC!$B$27:$B$46,0),FALSE),0),0)</f>
        <v>0</v>
      </c>
      <c r="AY802" s="58">
        <f>IFERROR(IF($V802="BRAND.com",HLOOKUP($X802&amp;$Z802,PLANNING_FC!$T$4:$AH$23,MATCH($W802,PLANNING_FC!$B$4:$B$23,0),FALSE),0),0)</f>
        <v>0</v>
      </c>
      <c r="AZ802" s="58">
        <f>IFERROR(IF($V802="BRAND.com",HLOOKUP($X802&amp;$Z802,PLANNING_FC!$DA$27:$DO$46,MATCH($W802,PLANNING_FC!$CZ$27:$CZ$46,0),FALSE),0),0)</f>
        <v>0</v>
      </c>
      <c r="BA802" s="58">
        <f>IFERROR(IF($V802="BRAND.com",HLOOKUP($X802&amp;$Z802,PLANNING_FC!$DA$4:$DO$23,MATCH($W802,PLANNING_FC!$CZ$4:$CZ$23,0),FALSE),0),0)</f>
        <v>0</v>
      </c>
      <c r="BB802" s="883" t="str">
        <f>IF(V802="BRAND.com",IFERROR(HLOOKUP(X802&amp;Z802,PLANNING_FC!$AK$4:$AY$23,MATCH(W802,PLANNING_FC!$AJ$4:$AJ$23,0),FALSE)*1000,""),"")</f>
        <v/>
      </c>
      <c r="BC802" s="883" t="str">
        <f>IF(V802="BRAND.com",IFERROR(HLOOKUP(X802&amp;Z802,PLANNING_FC!$AK$27:$AY$46,MATCH(W802,PLANNING_FC!$AJ$27:$AJ$46,0),FALSE)*1000,""),"")</f>
        <v/>
      </c>
    </row>
    <row r="803" spans="14:55" x14ac:dyDescent="0.25">
      <c r="N803" s="56">
        <f t="shared" si="304"/>
        <v>0</v>
      </c>
      <c r="O803" s="57">
        <f t="shared" si="305"/>
        <v>0</v>
      </c>
      <c r="P803" s="57">
        <f ca="1">IFERROR(IF(ISBLANK(H803),SUMIFS($AC:$AC,$V:$V,V803,$W:$W,W803,$X:$X,X803,$Y:$Y,Y803)*J803/(1-J803)*VLOOKUP(_xlfn.CONCAT(C803,D803,E803,TIME!$M$12,Z803),HIS_SALES!$B$2:$W$4859,20,FALSE),AC803*J803/(1-J803)),0)</f>
        <v>0</v>
      </c>
      <c r="Q803" s="541" t="str">
        <f t="shared" si="306"/>
        <v/>
      </c>
      <c r="R803" s="346" t="str">
        <f t="shared" si="307"/>
        <v>00000</v>
      </c>
      <c r="S803" s="344">
        <f t="shared" si="308"/>
        <v>0</v>
      </c>
      <c r="T803" s="345" t="str">
        <f t="shared" si="321"/>
        <v>000</v>
      </c>
      <c r="U803" s="345">
        <f t="shared" si="309"/>
        <v>0</v>
      </c>
      <c r="V803" s="345">
        <f t="shared" si="310"/>
        <v>0</v>
      </c>
      <c r="W803" s="345">
        <f t="shared" si="311"/>
        <v>0</v>
      </c>
      <c r="X803" s="345">
        <f t="shared" si="312"/>
        <v>0</v>
      </c>
      <c r="Y803" s="345">
        <f t="shared" si="313"/>
        <v>0</v>
      </c>
      <c r="Z803" s="345">
        <f>IF(Q803&lt;&gt;"",VLOOKUP(Y803,TIME!$R$21:$V$24,MATCH(FC_DATA!Q803,TIME!$R$20:$V$20,0),FALSE),H803)</f>
        <v>0</v>
      </c>
      <c r="AA803" s="345" t="str">
        <f>IFERROR(VLOOKUP(X803&amp;Z803,TIME!$A$12:$D$71,4,FALSE),"")</f>
        <v/>
      </c>
      <c r="AB803" s="592">
        <f t="shared" ca="1" si="314"/>
        <v>0</v>
      </c>
      <c r="AC803" s="593" t="e">
        <f ca="1">IF(ISBLANK(H803)=FALSE,IF(D803="BRAND.com",I803,IF(ISNA(VLOOKUP(_xlfn.CONCAT(X803,Z803),TIME!$M$40:$M$42,1,FALSE)),I803,VLOOKUP(_xlfn.CONCAT(D803,G803,H803),M_BUSAREA_FC!$AF$5:$AJ$10,5,FALSE)*HLOOKUP(_xlfn.CONCAT(F803,H803),ST_OVERVIEW!$G$99:$I$130,MATCH(_xlfn.CONCAT(D803,E803),ST_OVERVIEW!$F$99:$F$130,0),FALSE))),IF(D803="BRAND.com",VLOOKUP(_xlfn.CONCAT(C803,D803,E803,TIME!$F$1,Z803),HIS_SALES!$B$2:$V$4859,19,FALSE)*I803,VLOOKUP(_xlfn.CONCAT(D803,F803,G803),Q_BUSAREA_FC!$AE$5:$AI$12,5,FALSE)*HLOOKUP(_xlfn.CONCAT(FC_DATA!F803,FC_DATA!G803),LT_OVERVIEW!$I$99:$M$130,MATCH(_xlfn.CONCAT(D803,FC_DATA!E803),LT_OVERVIEW!$H$99:$H$130,0),FALSE)*IFERROR(VLOOKUP(_xlfn.CONCAT(C803,D803,E803,TIME!$F$1,Z803),HIS_SALES!$B$2:$V$4859,19,FALSE),0)))</f>
        <v>#N/A</v>
      </c>
      <c r="AD803" s="341">
        <f t="shared" ca="1" si="315"/>
        <v>0</v>
      </c>
      <c r="AE803" s="363" t="str">
        <f t="shared" si="316"/>
        <v/>
      </c>
      <c r="AF803" s="342" t="str">
        <f t="shared" si="317"/>
        <v/>
      </c>
      <c r="AG803" s="411" t="e">
        <f ca="1">VLOOKUP(_xlfn.CONCAT(U803,V803,W803,VLOOKUP(X803&amp;Y803,TIME!$L$27:$O$34,4,FALSE),Y803),HIS_SALES!$A$2:$R$5093,18,FALSE)</f>
        <v>#N/A</v>
      </c>
      <c r="AH803" s="412" t="e">
        <f ca="1">IFERROR(IF(AND(V803=V802,W803=W802),0.5*(AB803+AB802)*AG803,(VLOOKUP(_xlfn.CONCAT(U803,V803,W803,X803,VLOOKUP(Z803,TIME!$S$28:$T$39,2,FALSE)),FC_DATA!$R$2:$AB$5000,MATCH("GS_I_M",FC_DATA!$R$1:$AB$1,0),FALSE)+FC_DATA!AB803)*0.5*FC_DATA!AG803),NA())</f>
        <v>#N/A</v>
      </c>
      <c r="AI803" s="491" t="e">
        <f ca="1">IF(V803="PARTNER.com",AH803,IF(AND(V803=V802,W803=W802),(1-AVERAGE(AD802,AD803))*AH803,(1-AVERAGE(AD803,VLOOKUP(_xlfn.CONCAT(U803,V803,W803,X803,M_BRAND_FC!$F$6),FC_DATA!$R$2:$AD$5000,MATCH("DISCOUNT_%_M",FC_DATA!$R$1:$AD$1,0),FALSE)))*AH803))</f>
        <v>#N/A</v>
      </c>
      <c r="AJ803" s="412" t="str">
        <f t="shared" ca="1" si="318"/>
        <v/>
      </c>
      <c r="AK803" s="413" t="str">
        <f>IFERROR(AE803/(Q_BRAND_FC!$T$24+1),"")</f>
        <v/>
      </c>
      <c r="AL803" s="88" t="str">
        <f t="shared" ca="1" si="319"/>
        <v/>
      </c>
      <c r="AM803" s="414" t="str">
        <f t="shared" ca="1" si="320"/>
        <v/>
      </c>
      <c r="AN803" s="58">
        <f>IFERROR(IF($V803="BRAND.com",HLOOKUP($X803&amp;$Z803,NWC_FC_NOOS!$C$4:$Q$23,MATCH(W803,NWC_FC_NOOS!$B$4:$B$23,0),FALSE),0),0)</f>
        <v>0</v>
      </c>
      <c r="AO803" s="57">
        <f>IFERROR(IF($V803="BRAND.com",HLOOKUP($X803&amp;$Z803,NWC_FC_NOOS!$T$4:$AH$23,MATCH(W803,NWC_FC_NOOS!$S$4:$S$23,0),FALSE),0),0)</f>
        <v>0</v>
      </c>
      <c r="AP803" s="57">
        <f>IFERROR(IF($V803="BRAND.com",HLOOKUP($X803&amp;$Z803,NWC_FC_NOOS!$C$50:$U$69,MATCH(W803,NWC_FC_NOOS!$B$50:$B$69,0),FALSE),0),0)</f>
        <v>0</v>
      </c>
      <c r="AQ803" s="58">
        <f>IFERROR(IF($V803="BRAND.com",HLOOKUP($X803&amp;$Z803,'NWC_FC_NON-NOOS'!$C$4:$Q$23,MATCH(W803,'NWC_FC_NON-NOOS'!$B$4:$B$23,0),FALSE),0),0)</f>
        <v>0</v>
      </c>
      <c r="AR803" s="57">
        <f>IFERROR(IF($V803="BRAND.com",HLOOKUP($X803&amp;$Z803,'NWC_FC_NON-NOOS'!$T$4:$AH$23,MATCH(W803,'NWC_FC_NON-NOOS'!$S$4:$S$23,0),FALSE),0),0)</f>
        <v>0</v>
      </c>
      <c r="AS803" s="57">
        <f>IFERROR(IF($V803="BRAND.com",HLOOKUP($X803&amp;$Z803,'NWC_FC_NON-NOOS'!$C$50:$U$69,MATCH(W803,'NWC_FC_NON-NOOS'!$B$50:$B$69,0),FALSE),0),0)</f>
        <v>0</v>
      </c>
      <c r="AT803" s="57">
        <f t="shared" si="322"/>
        <v>0</v>
      </c>
      <c r="AU803" s="57">
        <f t="shared" si="323"/>
        <v>0</v>
      </c>
      <c r="AV803" s="58">
        <f>IFERROR(IF($V803="BRAND.com",HLOOKUP($X803&amp;$Z803,PLANNING_FC!$BB$27:$BP$46,MATCH($W803,PLANNING_FC!$BA$27:$BA$46,0),FALSE),0),0)</f>
        <v>0</v>
      </c>
      <c r="AW803" s="58">
        <f>IFERROR(IF($V803="BRAND.com",HLOOKUP($X803&amp;$Z803,PLANNING_FC!$BB$4:$BP$23,MATCH($W803,PLANNING_FC!$BA$4:$BA$23,0),FALSE),0),0)</f>
        <v>0</v>
      </c>
      <c r="AX803" s="58">
        <f>IFERROR(IF($V803="BRAND.com",HLOOKUP($X803&amp;$Z803,PLANNING_FC!$T$27:$AH$46,MATCH($W803,PLANNING_FC!$B$27:$B$46,0),FALSE),0),0)</f>
        <v>0</v>
      </c>
      <c r="AY803" s="58">
        <f>IFERROR(IF($V803="BRAND.com",HLOOKUP($X803&amp;$Z803,PLANNING_FC!$T$4:$AH$23,MATCH($W803,PLANNING_FC!$B$4:$B$23,0),FALSE),0),0)</f>
        <v>0</v>
      </c>
      <c r="AZ803" s="58">
        <f>IFERROR(IF($V803="BRAND.com",HLOOKUP($X803&amp;$Z803,PLANNING_FC!$DA$27:$DO$46,MATCH($W803,PLANNING_FC!$CZ$27:$CZ$46,0),FALSE),0),0)</f>
        <v>0</v>
      </c>
      <c r="BA803" s="58">
        <f>IFERROR(IF($V803="BRAND.com",HLOOKUP($X803&amp;$Z803,PLANNING_FC!$DA$4:$DO$23,MATCH($W803,PLANNING_FC!$CZ$4:$CZ$23,0),FALSE),0),0)</f>
        <v>0</v>
      </c>
      <c r="BB803" s="883" t="str">
        <f>IF(V803="BRAND.com",IFERROR(HLOOKUP(X803&amp;Z803,PLANNING_FC!$AK$4:$AY$23,MATCH(W803,PLANNING_FC!$AJ$4:$AJ$23,0),FALSE)*1000,""),"")</f>
        <v/>
      </c>
      <c r="BC803" s="883" t="str">
        <f>IF(V803="BRAND.com",IFERROR(HLOOKUP(X803&amp;Z803,PLANNING_FC!$AK$27:$AY$46,MATCH(W803,PLANNING_FC!$AJ$27:$AJ$46,0),FALSE)*1000,""),"")</f>
        <v/>
      </c>
    </row>
    <row r="804" spans="14:55" x14ac:dyDescent="0.25">
      <c r="N804" s="56">
        <f t="shared" si="304"/>
        <v>0</v>
      </c>
      <c r="O804" s="57">
        <f t="shared" si="305"/>
        <v>0</v>
      </c>
      <c r="P804" s="57">
        <f ca="1">IFERROR(IF(ISBLANK(H804),SUMIFS($AC:$AC,$V:$V,V804,$W:$W,W804,$X:$X,X804,$Y:$Y,Y804)*J804/(1-J804)*VLOOKUP(_xlfn.CONCAT(C804,D804,E804,TIME!$M$12,Z804),HIS_SALES!$B$2:$W$4859,20,FALSE),AC804*J804/(1-J804)),0)</f>
        <v>0</v>
      </c>
      <c r="Q804" s="541" t="str">
        <f t="shared" si="306"/>
        <v/>
      </c>
      <c r="R804" s="346" t="str">
        <f t="shared" si="307"/>
        <v>00000</v>
      </c>
      <c r="S804" s="344">
        <f t="shared" si="308"/>
        <v>0</v>
      </c>
      <c r="T804" s="345" t="str">
        <f t="shared" si="321"/>
        <v>000</v>
      </c>
      <c r="U804" s="345">
        <f t="shared" si="309"/>
        <v>0</v>
      </c>
      <c r="V804" s="345">
        <f t="shared" si="310"/>
        <v>0</v>
      </c>
      <c r="W804" s="345">
        <f t="shared" si="311"/>
        <v>0</v>
      </c>
      <c r="X804" s="345">
        <f t="shared" si="312"/>
        <v>0</v>
      </c>
      <c r="Y804" s="345">
        <f t="shared" si="313"/>
        <v>0</v>
      </c>
      <c r="Z804" s="345">
        <f>IF(Q804&lt;&gt;"",VLOOKUP(Y804,TIME!$R$21:$V$24,MATCH(FC_DATA!Q804,TIME!$R$20:$V$20,0),FALSE),H804)</f>
        <v>0</v>
      </c>
      <c r="AA804" s="345" t="str">
        <f>IFERROR(VLOOKUP(X804&amp;Z804,TIME!$A$12:$D$71,4,FALSE),"")</f>
        <v/>
      </c>
      <c r="AB804" s="592">
        <f t="shared" ca="1" si="314"/>
        <v>0</v>
      </c>
      <c r="AC804" s="593" t="e">
        <f ca="1">IF(ISBLANK(H804)=FALSE,IF(D804="BRAND.com",I804,IF(ISNA(VLOOKUP(_xlfn.CONCAT(X804,Z804),TIME!$M$40:$M$42,1,FALSE)),I804,VLOOKUP(_xlfn.CONCAT(D804,G804,H804),M_BUSAREA_FC!$AF$5:$AJ$10,5,FALSE)*HLOOKUP(_xlfn.CONCAT(F804,H804),ST_OVERVIEW!$G$99:$I$130,MATCH(_xlfn.CONCAT(D804,E804),ST_OVERVIEW!$F$99:$F$130,0),FALSE))),IF(D804="BRAND.com",VLOOKUP(_xlfn.CONCAT(C804,D804,E804,TIME!$F$1,Z804),HIS_SALES!$B$2:$V$4859,19,FALSE)*I804,VLOOKUP(_xlfn.CONCAT(D804,F804,G804),Q_BUSAREA_FC!$AE$5:$AI$12,5,FALSE)*HLOOKUP(_xlfn.CONCAT(FC_DATA!F804,FC_DATA!G804),LT_OVERVIEW!$I$99:$M$130,MATCH(_xlfn.CONCAT(D804,FC_DATA!E804),LT_OVERVIEW!$H$99:$H$130,0),FALSE)*IFERROR(VLOOKUP(_xlfn.CONCAT(C804,D804,E804,TIME!$F$1,Z804),HIS_SALES!$B$2:$V$4859,19,FALSE),0)))</f>
        <v>#N/A</v>
      </c>
      <c r="AD804" s="341">
        <f t="shared" ca="1" si="315"/>
        <v>0</v>
      </c>
      <c r="AE804" s="363" t="str">
        <f t="shared" si="316"/>
        <v/>
      </c>
      <c r="AF804" s="342" t="str">
        <f t="shared" si="317"/>
        <v/>
      </c>
      <c r="AG804" s="411" t="e">
        <f ca="1">VLOOKUP(_xlfn.CONCAT(U804,V804,W804,VLOOKUP(X804&amp;Y804,TIME!$L$27:$O$34,4,FALSE),Y804),HIS_SALES!$A$2:$R$5093,18,FALSE)</f>
        <v>#N/A</v>
      </c>
      <c r="AH804" s="412" t="e">
        <f ca="1">IFERROR(IF(AND(V804=V803,W804=W803),0.5*(AB804+AB803)*AG804,(VLOOKUP(_xlfn.CONCAT(U804,V804,W804,X804,VLOOKUP(Z804,TIME!$S$28:$T$39,2,FALSE)),FC_DATA!$R$2:$AB$5000,MATCH("GS_I_M",FC_DATA!$R$1:$AB$1,0),FALSE)+FC_DATA!AB804)*0.5*FC_DATA!AG804),NA())</f>
        <v>#N/A</v>
      </c>
      <c r="AI804" s="491" t="e">
        <f ca="1">IF(V804="PARTNER.com",AH804,IF(AND(V804=V803,W804=W803),(1-AVERAGE(AD803,AD804))*AH804,(1-AVERAGE(AD804,VLOOKUP(_xlfn.CONCAT(U804,V804,W804,X804,M_BRAND_FC!$F$6),FC_DATA!$R$2:$AD$5000,MATCH("DISCOUNT_%_M",FC_DATA!$R$1:$AD$1,0),FALSE)))*AH804))</f>
        <v>#N/A</v>
      </c>
      <c r="AJ804" s="412" t="str">
        <f t="shared" ca="1" si="318"/>
        <v/>
      </c>
      <c r="AK804" s="413" t="str">
        <f>IFERROR(AE804/(Q_BRAND_FC!$T$24+1),"")</f>
        <v/>
      </c>
      <c r="AL804" s="88" t="str">
        <f t="shared" ca="1" si="319"/>
        <v/>
      </c>
      <c r="AM804" s="414" t="str">
        <f t="shared" ca="1" si="320"/>
        <v/>
      </c>
      <c r="AN804" s="58">
        <f>IFERROR(IF($V804="BRAND.com",HLOOKUP($X804&amp;$Z804,NWC_FC_NOOS!$C$4:$Q$23,MATCH(W804,NWC_FC_NOOS!$B$4:$B$23,0),FALSE),0),0)</f>
        <v>0</v>
      </c>
      <c r="AO804" s="57">
        <f>IFERROR(IF($V804="BRAND.com",HLOOKUP($X804&amp;$Z804,NWC_FC_NOOS!$T$4:$AH$23,MATCH(W804,NWC_FC_NOOS!$S$4:$S$23,0),FALSE),0),0)</f>
        <v>0</v>
      </c>
      <c r="AP804" s="57">
        <f>IFERROR(IF($V804="BRAND.com",HLOOKUP($X804&amp;$Z804,NWC_FC_NOOS!$C$50:$U$69,MATCH(W804,NWC_FC_NOOS!$B$50:$B$69,0),FALSE),0),0)</f>
        <v>0</v>
      </c>
      <c r="AQ804" s="58">
        <f>IFERROR(IF($V804="BRAND.com",HLOOKUP($X804&amp;$Z804,'NWC_FC_NON-NOOS'!$C$4:$Q$23,MATCH(W804,'NWC_FC_NON-NOOS'!$B$4:$B$23,0),FALSE),0),0)</f>
        <v>0</v>
      </c>
      <c r="AR804" s="57">
        <f>IFERROR(IF($V804="BRAND.com",HLOOKUP($X804&amp;$Z804,'NWC_FC_NON-NOOS'!$T$4:$AH$23,MATCH(W804,'NWC_FC_NON-NOOS'!$S$4:$S$23,0),FALSE),0),0)</f>
        <v>0</v>
      </c>
      <c r="AS804" s="57">
        <f>IFERROR(IF($V804="BRAND.com",HLOOKUP($X804&amp;$Z804,'NWC_FC_NON-NOOS'!$C$50:$U$69,MATCH(W804,'NWC_FC_NON-NOOS'!$B$50:$B$69,0),FALSE),0),0)</f>
        <v>0</v>
      </c>
      <c r="AT804" s="57">
        <f t="shared" si="322"/>
        <v>0</v>
      </c>
      <c r="AU804" s="57">
        <f t="shared" si="323"/>
        <v>0</v>
      </c>
      <c r="AV804" s="58">
        <f>IFERROR(IF($V804="BRAND.com",HLOOKUP($X804&amp;$Z804,PLANNING_FC!$BB$27:$BP$46,MATCH($W804,PLANNING_FC!$BA$27:$BA$46,0),FALSE),0),0)</f>
        <v>0</v>
      </c>
      <c r="AW804" s="58">
        <f>IFERROR(IF($V804="BRAND.com",HLOOKUP($X804&amp;$Z804,PLANNING_FC!$BB$4:$BP$23,MATCH($W804,PLANNING_FC!$BA$4:$BA$23,0),FALSE),0),0)</f>
        <v>0</v>
      </c>
      <c r="AX804" s="58">
        <f>IFERROR(IF($V804="BRAND.com",HLOOKUP($X804&amp;$Z804,PLANNING_FC!$T$27:$AH$46,MATCH($W804,PLANNING_FC!$B$27:$B$46,0),FALSE),0),0)</f>
        <v>0</v>
      </c>
      <c r="AY804" s="58">
        <f>IFERROR(IF($V804="BRAND.com",HLOOKUP($X804&amp;$Z804,PLANNING_FC!$T$4:$AH$23,MATCH($W804,PLANNING_FC!$B$4:$B$23,0),FALSE),0),0)</f>
        <v>0</v>
      </c>
      <c r="AZ804" s="58">
        <f>IFERROR(IF($V804="BRAND.com",HLOOKUP($X804&amp;$Z804,PLANNING_FC!$DA$27:$DO$46,MATCH($W804,PLANNING_FC!$CZ$27:$CZ$46,0),FALSE),0),0)</f>
        <v>0</v>
      </c>
      <c r="BA804" s="58">
        <f>IFERROR(IF($V804="BRAND.com",HLOOKUP($X804&amp;$Z804,PLANNING_FC!$DA$4:$DO$23,MATCH($W804,PLANNING_FC!$CZ$4:$CZ$23,0),FALSE),0),0)</f>
        <v>0</v>
      </c>
      <c r="BB804" s="883" t="str">
        <f>IF(V804="BRAND.com",IFERROR(HLOOKUP(X804&amp;Z804,PLANNING_FC!$AK$4:$AY$23,MATCH(W804,PLANNING_FC!$AJ$4:$AJ$23,0),FALSE)*1000,""),"")</f>
        <v/>
      </c>
      <c r="BC804" s="883" t="str">
        <f>IF(V804="BRAND.com",IFERROR(HLOOKUP(X804&amp;Z804,PLANNING_FC!$AK$27:$AY$46,MATCH(W804,PLANNING_FC!$AJ$27:$AJ$46,0),FALSE)*1000,""),"")</f>
        <v/>
      </c>
    </row>
    <row r="805" spans="14:55" x14ac:dyDescent="0.25">
      <c r="N805" s="56">
        <f t="shared" si="304"/>
        <v>0</v>
      </c>
      <c r="O805" s="57">
        <f t="shared" si="305"/>
        <v>0</v>
      </c>
      <c r="P805" s="57">
        <f ca="1">IFERROR(IF(ISBLANK(H805),SUMIFS($AC:$AC,$V:$V,V805,$W:$W,W805,$X:$X,X805,$Y:$Y,Y805)*J805/(1-J805)*VLOOKUP(_xlfn.CONCAT(C805,D805,E805,TIME!$M$12,Z805),HIS_SALES!$B$2:$W$4859,20,FALSE),AC805*J805/(1-J805)),0)</f>
        <v>0</v>
      </c>
      <c r="Q805" s="541" t="str">
        <f t="shared" si="306"/>
        <v/>
      </c>
      <c r="R805" s="346" t="str">
        <f t="shared" si="307"/>
        <v>00000</v>
      </c>
      <c r="S805" s="344">
        <f t="shared" si="308"/>
        <v>0</v>
      </c>
      <c r="T805" s="345" t="str">
        <f t="shared" si="321"/>
        <v>000</v>
      </c>
      <c r="U805" s="345">
        <f t="shared" si="309"/>
        <v>0</v>
      </c>
      <c r="V805" s="345">
        <f t="shared" si="310"/>
        <v>0</v>
      </c>
      <c r="W805" s="345">
        <f t="shared" si="311"/>
        <v>0</v>
      </c>
      <c r="X805" s="345">
        <f t="shared" si="312"/>
        <v>0</v>
      </c>
      <c r="Y805" s="345">
        <f t="shared" si="313"/>
        <v>0</v>
      </c>
      <c r="Z805" s="345">
        <f>IF(Q805&lt;&gt;"",VLOOKUP(Y805,TIME!$R$21:$V$24,MATCH(FC_DATA!Q805,TIME!$R$20:$V$20,0),FALSE),H805)</f>
        <v>0</v>
      </c>
      <c r="AA805" s="345" t="str">
        <f>IFERROR(VLOOKUP(X805&amp;Z805,TIME!$A$12:$D$71,4,FALSE),"")</f>
        <v/>
      </c>
      <c r="AB805" s="592">
        <f t="shared" ca="1" si="314"/>
        <v>0</v>
      </c>
      <c r="AC805" s="593" t="e">
        <f ca="1">IF(ISBLANK(H805)=FALSE,IF(D805="BRAND.com",I805,IF(ISNA(VLOOKUP(_xlfn.CONCAT(X805,Z805),TIME!$M$40:$M$42,1,FALSE)),I805,VLOOKUP(_xlfn.CONCAT(D805,G805,H805),M_BUSAREA_FC!$AF$5:$AJ$10,5,FALSE)*HLOOKUP(_xlfn.CONCAT(F805,H805),ST_OVERVIEW!$G$99:$I$130,MATCH(_xlfn.CONCAT(D805,E805),ST_OVERVIEW!$F$99:$F$130,0),FALSE))),IF(D805="BRAND.com",VLOOKUP(_xlfn.CONCAT(C805,D805,E805,TIME!$F$1,Z805),HIS_SALES!$B$2:$V$4859,19,FALSE)*I805,VLOOKUP(_xlfn.CONCAT(D805,F805,G805),Q_BUSAREA_FC!$AE$5:$AI$12,5,FALSE)*HLOOKUP(_xlfn.CONCAT(FC_DATA!F805,FC_DATA!G805),LT_OVERVIEW!$I$99:$M$130,MATCH(_xlfn.CONCAT(D805,FC_DATA!E805),LT_OVERVIEW!$H$99:$H$130,0),FALSE)*IFERROR(VLOOKUP(_xlfn.CONCAT(C805,D805,E805,TIME!$F$1,Z805),HIS_SALES!$B$2:$V$4859,19,FALSE),0)))</f>
        <v>#N/A</v>
      </c>
      <c r="AD805" s="341">
        <f t="shared" ca="1" si="315"/>
        <v>0</v>
      </c>
      <c r="AE805" s="363" t="str">
        <f t="shared" si="316"/>
        <v/>
      </c>
      <c r="AF805" s="342" t="str">
        <f t="shared" si="317"/>
        <v/>
      </c>
      <c r="AG805" s="411" t="e">
        <f ca="1">VLOOKUP(_xlfn.CONCAT(U805,V805,W805,VLOOKUP(X805&amp;Y805,TIME!$L$27:$O$34,4,FALSE),Y805),HIS_SALES!$A$2:$R$5093,18,FALSE)</f>
        <v>#N/A</v>
      </c>
      <c r="AH805" s="412" t="e">
        <f ca="1">IFERROR(IF(AND(V805=V804,W805=W804),0.5*(AB805+AB804)*AG805,(VLOOKUP(_xlfn.CONCAT(U805,V805,W805,X805,VLOOKUP(Z805,TIME!$S$28:$T$39,2,FALSE)),FC_DATA!$R$2:$AB$5000,MATCH("GS_I_M",FC_DATA!$R$1:$AB$1,0),FALSE)+FC_DATA!AB805)*0.5*FC_DATA!AG805),NA())</f>
        <v>#N/A</v>
      </c>
      <c r="AI805" s="491" t="e">
        <f ca="1">IF(V805="PARTNER.com",AH805,IF(AND(V805=V804,W805=W804),(1-AVERAGE(AD804,AD805))*AH805,(1-AVERAGE(AD805,VLOOKUP(_xlfn.CONCAT(U805,V805,W805,X805,M_BRAND_FC!$F$6),FC_DATA!$R$2:$AD$5000,MATCH("DISCOUNT_%_M",FC_DATA!$R$1:$AD$1,0),FALSE)))*AH805))</f>
        <v>#N/A</v>
      </c>
      <c r="AJ805" s="412" t="str">
        <f t="shared" ca="1" si="318"/>
        <v/>
      </c>
      <c r="AK805" s="413" t="str">
        <f>IFERROR(AE805/(Q_BRAND_FC!$T$24+1),"")</f>
        <v/>
      </c>
      <c r="AL805" s="88" t="str">
        <f t="shared" ca="1" si="319"/>
        <v/>
      </c>
      <c r="AM805" s="414" t="str">
        <f t="shared" ca="1" si="320"/>
        <v/>
      </c>
      <c r="AN805" s="58">
        <f>IFERROR(IF($V805="BRAND.com",HLOOKUP($X805&amp;$Z805,NWC_FC_NOOS!$C$4:$Q$23,MATCH(W805,NWC_FC_NOOS!$B$4:$B$23,0),FALSE),0),0)</f>
        <v>0</v>
      </c>
      <c r="AO805" s="57">
        <f>IFERROR(IF($V805="BRAND.com",HLOOKUP($X805&amp;$Z805,NWC_FC_NOOS!$T$4:$AH$23,MATCH(W805,NWC_FC_NOOS!$S$4:$S$23,0),FALSE),0),0)</f>
        <v>0</v>
      </c>
      <c r="AP805" s="57">
        <f>IFERROR(IF($V805="BRAND.com",HLOOKUP($X805&amp;$Z805,NWC_FC_NOOS!$C$50:$U$69,MATCH(W805,NWC_FC_NOOS!$B$50:$B$69,0),FALSE),0),0)</f>
        <v>0</v>
      </c>
      <c r="AQ805" s="58">
        <f>IFERROR(IF($V805="BRAND.com",HLOOKUP($X805&amp;$Z805,'NWC_FC_NON-NOOS'!$C$4:$Q$23,MATCH(W805,'NWC_FC_NON-NOOS'!$B$4:$B$23,0),FALSE),0),0)</f>
        <v>0</v>
      </c>
      <c r="AR805" s="57">
        <f>IFERROR(IF($V805="BRAND.com",HLOOKUP($X805&amp;$Z805,'NWC_FC_NON-NOOS'!$T$4:$AH$23,MATCH(W805,'NWC_FC_NON-NOOS'!$S$4:$S$23,0),FALSE),0),0)</f>
        <v>0</v>
      </c>
      <c r="AS805" s="57">
        <f>IFERROR(IF($V805="BRAND.com",HLOOKUP($X805&amp;$Z805,'NWC_FC_NON-NOOS'!$C$50:$U$69,MATCH(W805,'NWC_FC_NON-NOOS'!$B$50:$B$69,0),FALSE),0),0)</f>
        <v>0</v>
      </c>
      <c r="AT805" s="57">
        <f t="shared" si="322"/>
        <v>0</v>
      </c>
      <c r="AU805" s="57">
        <f t="shared" si="323"/>
        <v>0</v>
      </c>
      <c r="AV805" s="58">
        <f>IFERROR(IF($V805="BRAND.com",HLOOKUP($X805&amp;$Z805,PLANNING_FC!$BB$27:$BP$46,MATCH($W805,PLANNING_FC!$BA$27:$BA$46,0),FALSE),0),0)</f>
        <v>0</v>
      </c>
      <c r="AW805" s="58">
        <f>IFERROR(IF($V805="BRAND.com",HLOOKUP($X805&amp;$Z805,PLANNING_FC!$BB$4:$BP$23,MATCH($W805,PLANNING_FC!$BA$4:$BA$23,0),FALSE),0),0)</f>
        <v>0</v>
      </c>
      <c r="AX805" s="58">
        <f>IFERROR(IF($V805="BRAND.com",HLOOKUP($X805&amp;$Z805,PLANNING_FC!$T$27:$AH$46,MATCH($W805,PLANNING_FC!$B$27:$B$46,0),FALSE),0),0)</f>
        <v>0</v>
      </c>
      <c r="AY805" s="58">
        <f>IFERROR(IF($V805="BRAND.com",HLOOKUP($X805&amp;$Z805,PLANNING_FC!$T$4:$AH$23,MATCH($W805,PLANNING_FC!$B$4:$B$23,0),FALSE),0),0)</f>
        <v>0</v>
      </c>
      <c r="AZ805" s="58">
        <f>IFERROR(IF($V805="BRAND.com",HLOOKUP($X805&amp;$Z805,PLANNING_FC!$DA$27:$DO$46,MATCH($W805,PLANNING_FC!$CZ$27:$CZ$46,0),FALSE),0),0)</f>
        <v>0</v>
      </c>
      <c r="BA805" s="58">
        <f>IFERROR(IF($V805="BRAND.com",HLOOKUP($X805&amp;$Z805,PLANNING_FC!$DA$4:$DO$23,MATCH($W805,PLANNING_FC!$CZ$4:$CZ$23,0),FALSE),0),0)</f>
        <v>0</v>
      </c>
      <c r="BB805" s="883" t="str">
        <f>IF(V805="BRAND.com",IFERROR(HLOOKUP(X805&amp;Z805,PLANNING_FC!$AK$4:$AY$23,MATCH(W805,PLANNING_FC!$AJ$4:$AJ$23,0),FALSE)*1000,""),"")</f>
        <v/>
      </c>
      <c r="BC805" s="883" t="str">
        <f>IF(V805="BRAND.com",IFERROR(HLOOKUP(X805&amp;Z805,PLANNING_FC!$AK$27:$AY$46,MATCH(W805,PLANNING_FC!$AJ$27:$AJ$46,0),FALSE)*1000,""),"")</f>
        <v/>
      </c>
    </row>
    <row r="806" spans="14:55" x14ac:dyDescent="0.25">
      <c r="N806" s="56">
        <f t="shared" si="304"/>
        <v>0</v>
      </c>
      <c r="O806" s="57">
        <f t="shared" si="305"/>
        <v>0</v>
      </c>
      <c r="P806" s="57">
        <f ca="1">IFERROR(IF(ISBLANK(H806),SUMIFS($AC:$AC,$V:$V,V806,$W:$W,W806,$X:$X,X806,$Y:$Y,Y806)*J806/(1-J806)*VLOOKUP(_xlfn.CONCAT(C806,D806,E806,TIME!$M$12,Z806),HIS_SALES!$B$2:$W$4859,20,FALSE),AC806*J806/(1-J806)),0)</f>
        <v>0</v>
      </c>
      <c r="Q806" s="541" t="str">
        <f t="shared" si="306"/>
        <v/>
      </c>
      <c r="R806" s="346" t="str">
        <f t="shared" si="307"/>
        <v>00000</v>
      </c>
      <c r="S806" s="344">
        <f t="shared" si="308"/>
        <v>0</v>
      </c>
      <c r="T806" s="345" t="str">
        <f t="shared" si="321"/>
        <v>000</v>
      </c>
      <c r="U806" s="345">
        <f t="shared" si="309"/>
        <v>0</v>
      </c>
      <c r="V806" s="345">
        <f t="shared" si="310"/>
        <v>0</v>
      </c>
      <c r="W806" s="345">
        <f t="shared" si="311"/>
        <v>0</v>
      </c>
      <c r="X806" s="345">
        <f t="shared" si="312"/>
        <v>0</v>
      </c>
      <c r="Y806" s="345">
        <f t="shared" si="313"/>
        <v>0</v>
      </c>
      <c r="Z806" s="345">
        <f>IF(Q806&lt;&gt;"",VLOOKUP(Y806,TIME!$R$21:$V$24,MATCH(FC_DATA!Q806,TIME!$R$20:$V$20,0),FALSE),H806)</f>
        <v>0</v>
      </c>
      <c r="AA806" s="345" t="str">
        <f>IFERROR(VLOOKUP(X806&amp;Z806,TIME!$A$12:$D$71,4,FALSE),"")</f>
        <v/>
      </c>
      <c r="AB806" s="592">
        <f t="shared" ca="1" si="314"/>
        <v>0</v>
      </c>
      <c r="AC806" s="593" t="e">
        <f ca="1">IF(ISBLANK(H806)=FALSE,IF(D806="BRAND.com",I806,IF(ISNA(VLOOKUP(_xlfn.CONCAT(X806,Z806),TIME!$M$40:$M$42,1,FALSE)),I806,VLOOKUP(_xlfn.CONCAT(D806,G806,H806),M_BUSAREA_FC!$AF$5:$AJ$10,5,FALSE)*HLOOKUP(_xlfn.CONCAT(F806,H806),ST_OVERVIEW!$G$99:$I$130,MATCH(_xlfn.CONCAT(D806,E806),ST_OVERVIEW!$F$99:$F$130,0),FALSE))),IF(D806="BRAND.com",VLOOKUP(_xlfn.CONCAT(C806,D806,E806,TIME!$F$1,Z806),HIS_SALES!$B$2:$V$4859,19,FALSE)*I806,VLOOKUP(_xlfn.CONCAT(D806,F806,G806),Q_BUSAREA_FC!$AE$5:$AI$12,5,FALSE)*HLOOKUP(_xlfn.CONCAT(FC_DATA!F806,FC_DATA!G806),LT_OVERVIEW!$I$99:$M$130,MATCH(_xlfn.CONCAT(D806,FC_DATA!E806),LT_OVERVIEW!$H$99:$H$130,0),FALSE)*IFERROR(VLOOKUP(_xlfn.CONCAT(C806,D806,E806,TIME!$F$1,Z806),HIS_SALES!$B$2:$V$4859,19,FALSE),0)))</f>
        <v>#N/A</v>
      </c>
      <c r="AD806" s="341">
        <f t="shared" ca="1" si="315"/>
        <v>0</v>
      </c>
      <c r="AE806" s="363" t="str">
        <f t="shared" si="316"/>
        <v/>
      </c>
      <c r="AF806" s="342" t="str">
        <f t="shared" si="317"/>
        <v/>
      </c>
      <c r="AG806" s="411" t="e">
        <f ca="1">VLOOKUP(_xlfn.CONCAT(U806,V806,W806,VLOOKUP(X806&amp;Y806,TIME!$L$27:$O$34,4,FALSE),Y806),HIS_SALES!$A$2:$R$5093,18,FALSE)</f>
        <v>#N/A</v>
      </c>
      <c r="AH806" s="412" t="e">
        <f ca="1">IFERROR(IF(AND(V806=V805,W806=W805),0.5*(AB806+AB805)*AG806,(VLOOKUP(_xlfn.CONCAT(U806,V806,W806,X806,VLOOKUP(Z806,TIME!$S$28:$T$39,2,FALSE)),FC_DATA!$R$2:$AB$5000,MATCH("GS_I_M",FC_DATA!$R$1:$AB$1,0),FALSE)+FC_DATA!AB806)*0.5*FC_DATA!AG806),NA())</f>
        <v>#N/A</v>
      </c>
      <c r="AI806" s="491" t="e">
        <f ca="1">IF(V806="PARTNER.com",AH806,IF(AND(V806=V805,W806=W805),(1-AVERAGE(AD805,AD806))*AH806,(1-AVERAGE(AD806,VLOOKUP(_xlfn.CONCAT(U806,V806,W806,X806,M_BRAND_FC!$F$6),FC_DATA!$R$2:$AD$5000,MATCH("DISCOUNT_%_M",FC_DATA!$R$1:$AD$1,0),FALSE)))*AH806))</f>
        <v>#N/A</v>
      </c>
      <c r="AJ806" s="412" t="str">
        <f t="shared" ca="1" si="318"/>
        <v/>
      </c>
      <c r="AK806" s="413" t="str">
        <f>IFERROR(AE806/(Q_BRAND_FC!$T$24+1),"")</f>
        <v/>
      </c>
      <c r="AL806" s="88" t="str">
        <f t="shared" ca="1" si="319"/>
        <v/>
      </c>
      <c r="AM806" s="414" t="str">
        <f t="shared" ca="1" si="320"/>
        <v/>
      </c>
      <c r="AN806" s="58">
        <f>IFERROR(IF($V806="BRAND.com",HLOOKUP($X806&amp;$Z806,NWC_FC_NOOS!$C$4:$Q$23,MATCH(W806,NWC_FC_NOOS!$B$4:$B$23,0),FALSE),0),0)</f>
        <v>0</v>
      </c>
      <c r="AO806" s="57">
        <f>IFERROR(IF($V806="BRAND.com",HLOOKUP($X806&amp;$Z806,NWC_FC_NOOS!$T$4:$AH$23,MATCH(W806,NWC_FC_NOOS!$S$4:$S$23,0),FALSE),0),0)</f>
        <v>0</v>
      </c>
      <c r="AP806" s="57">
        <f>IFERROR(IF($V806="BRAND.com",HLOOKUP($X806&amp;$Z806,NWC_FC_NOOS!$C$50:$U$69,MATCH(W806,NWC_FC_NOOS!$B$50:$B$69,0),FALSE),0),0)</f>
        <v>0</v>
      </c>
      <c r="AQ806" s="58">
        <f>IFERROR(IF($V806="BRAND.com",HLOOKUP($X806&amp;$Z806,'NWC_FC_NON-NOOS'!$C$4:$Q$23,MATCH(W806,'NWC_FC_NON-NOOS'!$B$4:$B$23,0),FALSE),0),0)</f>
        <v>0</v>
      </c>
      <c r="AR806" s="57">
        <f>IFERROR(IF($V806="BRAND.com",HLOOKUP($X806&amp;$Z806,'NWC_FC_NON-NOOS'!$T$4:$AH$23,MATCH(W806,'NWC_FC_NON-NOOS'!$S$4:$S$23,0),FALSE),0),0)</f>
        <v>0</v>
      </c>
      <c r="AS806" s="57">
        <f>IFERROR(IF($V806="BRAND.com",HLOOKUP($X806&amp;$Z806,'NWC_FC_NON-NOOS'!$C$50:$U$69,MATCH(W806,'NWC_FC_NON-NOOS'!$B$50:$B$69,0),FALSE),0),0)</f>
        <v>0</v>
      </c>
      <c r="AT806" s="57">
        <f t="shared" si="322"/>
        <v>0</v>
      </c>
      <c r="AU806" s="57">
        <f t="shared" si="323"/>
        <v>0</v>
      </c>
      <c r="AV806" s="58">
        <f>IFERROR(IF($V806="BRAND.com",HLOOKUP($X806&amp;$Z806,PLANNING_FC!$BB$27:$BP$46,MATCH($W806,PLANNING_FC!$BA$27:$BA$46,0),FALSE),0),0)</f>
        <v>0</v>
      </c>
      <c r="AW806" s="58">
        <f>IFERROR(IF($V806="BRAND.com",HLOOKUP($X806&amp;$Z806,PLANNING_FC!$BB$4:$BP$23,MATCH($W806,PLANNING_FC!$BA$4:$BA$23,0),FALSE),0),0)</f>
        <v>0</v>
      </c>
      <c r="AX806" s="58">
        <f>IFERROR(IF($V806="BRAND.com",HLOOKUP($X806&amp;$Z806,PLANNING_FC!$T$27:$AH$46,MATCH($W806,PLANNING_FC!$B$27:$B$46,0),FALSE),0),0)</f>
        <v>0</v>
      </c>
      <c r="AY806" s="58">
        <f>IFERROR(IF($V806="BRAND.com",HLOOKUP($X806&amp;$Z806,PLANNING_FC!$T$4:$AH$23,MATCH($W806,PLANNING_FC!$B$4:$B$23,0),FALSE),0),0)</f>
        <v>0</v>
      </c>
      <c r="AZ806" s="58">
        <f>IFERROR(IF($V806="BRAND.com",HLOOKUP($X806&amp;$Z806,PLANNING_FC!$DA$27:$DO$46,MATCH($W806,PLANNING_FC!$CZ$27:$CZ$46,0),FALSE),0),0)</f>
        <v>0</v>
      </c>
      <c r="BA806" s="58">
        <f>IFERROR(IF($V806="BRAND.com",HLOOKUP($X806&amp;$Z806,PLANNING_FC!$DA$4:$DO$23,MATCH($W806,PLANNING_FC!$CZ$4:$CZ$23,0),FALSE),0),0)</f>
        <v>0</v>
      </c>
      <c r="BB806" s="883" t="str">
        <f>IF(V806="BRAND.com",IFERROR(HLOOKUP(X806&amp;Z806,PLANNING_FC!$AK$4:$AY$23,MATCH(W806,PLANNING_FC!$AJ$4:$AJ$23,0),FALSE)*1000,""),"")</f>
        <v/>
      </c>
      <c r="BC806" s="883" t="str">
        <f>IF(V806="BRAND.com",IFERROR(HLOOKUP(X806&amp;Z806,PLANNING_FC!$AK$27:$AY$46,MATCH(W806,PLANNING_FC!$AJ$27:$AJ$46,0),FALSE)*1000,""),"")</f>
        <v/>
      </c>
    </row>
    <row r="807" spans="14:55" x14ac:dyDescent="0.25">
      <c r="N807" s="56">
        <f t="shared" si="304"/>
        <v>0</v>
      </c>
      <c r="O807" s="57">
        <f t="shared" si="305"/>
        <v>0</v>
      </c>
      <c r="P807" s="57">
        <f ca="1">IFERROR(IF(ISBLANK(H807),SUMIFS($AC:$AC,$V:$V,V807,$W:$W,W807,$X:$X,X807,$Y:$Y,Y807)*J807/(1-J807)*VLOOKUP(_xlfn.CONCAT(C807,D807,E807,TIME!$M$12,Z807),HIS_SALES!$B$2:$W$4859,20,FALSE),AC807*J807/(1-J807)),0)</f>
        <v>0</v>
      </c>
      <c r="Q807" s="541" t="str">
        <f t="shared" si="306"/>
        <v/>
      </c>
      <c r="R807" s="346" t="str">
        <f t="shared" si="307"/>
        <v>00000</v>
      </c>
      <c r="S807" s="344">
        <f t="shared" si="308"/>
        <v>0</v>
      </c>
      <c r="T807" s="345" t="str">
        <f t="shared" si="321"/>
        <v>000</v>
      </c>
      <c r="U807" s="345">
        <f t="shared" si="309"/>
        <v>0</v>
      </c>
      <c r="V807" s="345">
        <f t="shared" si="310"/>
        <v>0</v>
      </c>
      <c r="W807" s="345">
        <f t="shared" si="311"/>
        <v>0</v>
      </c>
      <c r="X807" s="345">
        <f t="shared" si="312"/>
        <v>0</v>
      </c>
      <c r="Y807" s="345">
        <f t="shared" si="313"/>
        <v>0</v>
      </c>
      <c r="Z807" s="345">
        <f>IF(Q807&lt;&gt;"",VLOOKUP(Y807,TIME!$R$21:$V$24,MATCH(FC_DATA!Q807,TIME!$R$20:$V$20,0),FALSE),H807)</f>
        <v>0</v>
      </c>
      <c r="AA807" s="345" t="str">
        <f>IFERROR(VLOOKUP(X807&amp;Z807,TIME!$A$12:$D$71,4,FALSE),"")</f>
        <v/>
      </c>
      <c r="AB807" s="592">
        <f t="shared" ca="1" si="314"/>
        <v>0</v>
      </c>
      <c r="AC807" s="593" t="e">
        <f ca="1">IF(ISBLANK(H807)=FALSE,IF(D807="BRAND.com",I807,IF(ISNA(VLOOKUP(_xlfn.CONCAT(X807,Z807),TIME!$M$40:$M$42,1,FALSE)),I807,VLOOKUP(_xlfn.CONCAT(D807,G807,H807),M_BUSAREA_FC!$AF$5:$AJ$10,5,FALSE)*HLOOKUP(_xlfn.CONCAT(F807,H807),ST_OVERVIEW!$G$99:$I$130,MATCH(_xlfn.CONCAT(D807,E807),ST_OVERVIEW!$F$99:$F$130,0),FALSE))),IF(D807="BRAND.com",VLOOKUP(_xlfn.CONCAT(C807,D807,E807,TIME!$F$1,Z807),HIS_SALES!$B$2:$V$4859,19,FALSE)*I807,VLOOKUP(_xlfn.CONCAT(D807,F807,G807),Q_BUSAREA_FC!$AE$5:$AI$12,5,FALSE)*HLOOKUP(_xlfn.CONCAT(FC_DATA!F807,FC_DATA!G807),LT_OVERVIEW!$I$99:$M$130,MATCH(_xlfn.CONCAT(D807,FC_DATA!E807),LT_OVERVIEW!$H$99:$H$130,0),FALSE)*IFERROR(VLOOKUP(_xlfn.CONCAT(C807,D807,E807,TIME!$F$1,Z807),HIS_SALES!$B$2:$V$4859,19,FALSE),0)))</f>
        <v>#N/A</v>
      </c>
      <c r="AD807" s="341">
        <f t="shared" ca="1" si="315"/>
        <v>0</v>
      </c>
      <c r="AE807" s="363" t="str">
        <f t="shared" si="316"/>
        <v/>
      </c>
      <c r="AF807" s="342" t="str">
        <f t="shared" si="317"/>
        <v/>
      </c>
      <c r="AG807" s="411" t="e">
        <f ca="1">VLOOKUP(_xlfn.CONCAT(U807,V807,W807,VLOOKUP(X807&amp;Y807,TIME!$L$27:$O$34,4,FALSE),Y807),HIS_SALES!$A$2:$R$5093,18,FALSE)</f>
        <v>#N/A</v>
      </c>
      <c r="AH807" s="412" t="e">
        <f ca="1">IFERROR(IF(AND(V807=V806,W807=W806),0.5*(AB807+AB806)*AG807,(VLOOKUP(_xlfn.CONCAT(U807,V807,W807,X807,VLOOKUP(Z807,TIME!$S$28:$T$39,2,FALSE)),FC_DATA!$R$2:$AB$5000,MATCH("GS_I_M",FC_DATA!$R$1:$AB$1,0),FALSE)+FC_DATA!AB807)*0.5*FC_DATA!AG807),NA())</f>
        <v>#N/A</v>
      </c>
      <c r="AI807" s="491" t="e">
        <f ca="1">IF(V807="PARTNER.com",AH807,IF(AND(V807=V806,W807=W806),(1-AVERAGE(AD806,AD807))*AH807,(1-AVERAGE(AD807,VLOOKUP(_xlfn.CONCAT(U807,V807,W807,X807,M_BRAND_FC!$F$6),FC_DATA!$R$2:$AD$5000,MATCH("DISCOUNT_%_M",FC_DATA!$R$1:$AD$1,0),FALSE)))*AH807))</f>
        <v>#N/A</v>
      </c>
      <c r="AJ807" s="412" t="str">
        <f t="shared" ca="1" si="318"/>
        <v/>
      </c>
      <c r="AK807" s="413" t="str">
        <f>IFERROR(AE807/(Q_BRAND_FC!$T$24+1),"")</f>
        <v/>
      </c>
      <c r="AL807" s="88" t="str">
        <f t="shared" ca="1" si="319"/>
        <v/>
      </c>
      <c r="AM807" s="414" t="str">
        <f t="shared" ca="1" si="320"/>
        <v/>
      </c>
      <c r="AN807" s="58">
        <f>IFERROR(IF($V807="BRAND.com",HLOOKUP($X807&amp;$Z807,NWC_FC_NOOS!$C$4:$Q$23,MATCH(W807,NWC_FC_NOOS!$B$4:$B$23,0),FALSE),0),0)</f>
        <v>0</v>
      </c>
      <c r="AO807" s="57">
        <f>IFERROR(IF($V807="BRAND.com",HLOOKUP($X807&amp;$Z807,NWC_FC_NOOS!$T$4:$AH$23,MATCH(W807,NWC_FC_NOOS!$S$4:$S$23,0),FALSE),0),0)</f>
        <v>0</v>
      </c>
      <c r="AP807" s="57">
        <f>IFERROR(IF($V807="BRAND.com",HLOOKUP($X807&amp;$Z807,NWC_FC_NOOS!$C$50:$U$69,MATCH(W807,NWC_FC_NOOS!$B$50:$B$69,0),FALSE),0),0)</f>
        <v>0</v>
      </c>
      <c r="AQ807" s="58">
        <f>IFERROR(IF($V807="BRAND.com",HLOOKUP($X807&amp;$Z807,'NWC_FC_NON-NOOS'!$C$4:$Q$23,MATCH(W807,'NWC_FC_NON-NOOS'!$B$4:$B$23,0),FALSE),0),0)</f>
        <v>0</v>
      </c>
      <c r="AR807" s="57">
        <f>IFERROR(IF($V807="BRAND.com",HLOOKUP($X807&amp;$Z807,'NWC_FC_NON-NOOS'!$T$4:$AH$23,MATCH(W807,'NWC_FC_NON-NOOS'!$S$4:$S$23,0),FALSE),0),0)</f>
        <v>0</v>
      </c>
      <c r="AS807" s="57">
        <f>IFERROR(IF($V807="BRAND.com",HLOOKUP($X807&amp;$Z807,'NWC_FC_NON-NOOS'!$C$50:$U$69,MATCH(W807,'NWC_FC_NON-NOOS'!$B$50:$B$69,0),FALSE),0),0)</f>
        <v>0</v>
      </c>
      <c r="AT807" s="57">
        <f t="shared" si="322"/>
        <v>0</v>
      </c>
      <c r="AU807" s="57">
        <f t="shared" si="323"/>
        <v>0</v>
      </c>
      <c r="AV807" s="58">
        <f>IFERROR(IF($V807="BRAND.com",HLOOKUP($X807&amp;$Z807,PLANNING_FC!$BB$27:$BP$46,MATCH($W807,PLANNING_FC!$BA$27:$BA$46,0),FALSE),0),0)</f>
        <v>0</v>
      </c>
      <c r="AW807" s="58">
        <f>IFERROR(IF($V807="BRAND.com",HLOOKUP($X807&amp;$Z807,PLANNING_FC!$BB$4:$BP$23,MATCH($W807,PLANNING_FC!$BA$4:$BA$23,0),FALSE),0),0)</f>
        <v>0</v>
      </c>
      <c r="AX807" s="58">
        <f>IFERROR(IF($V807="BRAND.com",HLOOKUP($X807&amp;$Z807,PLANNING_FC!$T$27:$AH$46,MATCH($W807,PLANNING_FC!$B$27:$B$46,0),FALSE),0),0)</f>
        <v>0</v>
      </c>
      <c r="AY807" s="58">
        <f>IFERROR(IF($V807="BRAND.com",HLOOKUP($X807&amp;$Z807,PLANNING_FC!$T$4:$AH$23,MATCH($W807,PLANNING_FC!$B$4:$B$23,0),FALSE),0),0)</f>
        <v>0</v>
      </c>
      <c r="AZ807" s="58">
        <f>IFERROR(IF($V807="BRAND.com",HLOOKUP($X807&amp;$Z807,PLANNING_FC!$DA$27:$DO$46,MATCH($W807,PLANNING_FC!$CZ$27:$CZ$46,0),FALSE),0),0)</f>
        <v>0</v>
      </c>
      <c r="BA807" s="58">
        <f>IFERROR(IF($V807="BRAND.com",HLOOKUP($X807&amp;$Z807,PLANNING_FC!$DA$4:$DO$23,MATCH($W807,PLANNING_FC!$CZ$4:$CZ$23,0),FALSE),0),0)</f>
        <v>0</v>
      </c>
      <c r="BB807" s="883" t="str">
        <f>IF(V807="BRAND.com",IFERROR(HLOOKUP(X807&amp;Z807,PLANNING_FC!$AK$4:$AY$23,MATCH(W807,PLANNING_FC!$AJ$4:$AJ$23,0),FALSE)*1000,""),"")</f>
        <v/>
      </c>
      <c r="BC807" s="883" t="str">
        <f>IF(V807="BRAND.com",IFERROR(HLOOKUP(X807&amp;Z807,PLANNING_FC!$AK$27:$AY$46,MATCH(W807,PLANNING_FC!$AJ$27:$AJ$46,0),FALSE)*1000,""),"")</f>
        <v/>
      </c>
    </row>
    <row r="808" spans="14:55" x14ac:dyDescent="0.25">
      <c r="N808" s="56">
        <f t="shared" si="304"/>
        <v>0</v>
      </c>
      <c r="O808" s="57">
        <f t="shared" si="305"/>
        <v>0</v>
      </c>
      <c r="P808" s="57">
        <f ca="1">IFERROR(IF(ISBLANK(H808),SUMIFS($AC:$AC,$V:$V,V808,$W:$W,W808,$X:$X,X808,$Y:$Y,Y808)*J808/(1-J808)*VLOOKUP(_xlfn.CONCAT(C808,D808,E808,TIME!$M$12,Z808),HIS_SALES!$B$2:$W$4859,20,FALSE),AC808*J808/(1-J808)),0)</f>
        <v>0</v>
      </c>
      <c r="Q808" s="541" t="str">
        <f t="shared" si="306"/>
        <v/>
      </c>
      <c r="R808" s="346" t="str">
        <f t="shared" si="307"/>
        <v>00000</v>
      </c>
      <c r="S808" s="344">
        <f t="shared" si="308"/>
        <v>0</v>
      </c>
      <c r="T808" s="345" t="str">
        <f t="shared" si="321"/>
        <v>000</v>
      </c>
      <c r="U808" s="345">
        <f t="shared" si="309"/>
        <v>0</v>
      </c>
      <c r="V808" s="345">
        <f t="shared" si="310"/>
        <v>0</v>
      </c>
      <c r="W808" s="345">
        <f t="shared" si="311"/>
        <v>0</v>
      </c>
      <c r="X808" s="345">
        <f t="shared" si="312"/>
        <v>0</v>
      </c>
      <c r="Y808" s="345">
        <f t="shared" si="313"/>
        <v>0</v>
      </c>
      <c r="Z808" s="345">
        <f>IF(Q808&lt;&gt;"",VLOOKUP(Y808,TIME!$R$21:$V$24,MATCH(FC_DATA!Q808,TIME!$R$20:$V$20,0),FALSE),H808)</f>
        <v>0</v>
      </c>
      <c r="AA808" s="345" t="str">
        <f>IFERROR(VLOOKUP(X808&amp;Z808,TIME!$A$12:$D$71,4,FALSE),"")</f>
        <v/>
      </c>
      <c r="AB808" s="592">
        <f t="shared" ca="1" si="314"/>
        <v>0</v>
      </c>
      <c r="AC808" s="593" t="e">
        <f ca="1">IF(ISBLANK(H808)=FALSE,IF(D808="BRAND.com",I808,IF(ISNA(VLOOKUP(_xlfn.CONCAT(X808,Z808),TIME!$M$40:$M$42,1,FALSE)),I808,VLOOKUP(_xlfn.CONCAT(D808,G808,H808),M_BUSAREA_FC!$AF$5:$AJ$10,5,FALSE)*HLOOKUP(_xlfn.CONCAT(F808,H808),ST_OVERVIEW!$G$99:$I$130,MATCH(_xlfn.CONCAT(D808,E808),ST_OVERVIEW!$F$99:$F$130,0),FALSE))),IF(D808="BRAND.com",VLOOKUP(_xlfn.CONCAT(C808,D808,E808,TIME!$F$1,Z808),HIS_SALES!$B$2:$V$4859,19,FALSE)*I808,VLOOKUP(_xlfn.CONCAT(D808,F808,G808),Q_BUSAREA_FC!$AE$5:$AI$12,5,FALSE)*HLOOKUP(_xlfn.CONCAT(FC_DATA!F808,FC_DATA!G808),LT_OVERVIEW!$I$99:$M$130,MATCH(_xlfn.CONCAT(D808,FC_DATA!E808),LT_OVERVIEW!$H$99:$H$130,0),FALSE)*IFERROR(VLOOKUP(_xlfn.CONCAT(C808,D808,E808,TIME!$F$1,Z808),HIS_SALES!$B$2:$V$4859,19,FALSE),0)))</f>
        <v>#N/A</v>
      </c>
      <c r="AD808" s="341">
        <f t="shared" ca="1" si="315"/>
        <v>0</v>
      </c>
      <c r="AE808" s="363" t="str">
        <f t="shared" si="316"/>
        <v/>
      </c>
      <c r="AF808" s="342" t="str">
        <f t="shared" si="317"/>
        <v/>
      </c>
      <c r="AG808" s="411" t="e">
        <f ca="1">VLOOKUP(_xlfn.CONCAT(U808,V808,W808,VLOOKUP(X808&amp;Y808,TIME!$L$27:$O$34,4,FALSE),Y808),HIS_SALES!$A$2:$R$5093,18,FALSE)</f>
        <v>#N/A</v>
      </c>
      <c r="AH808" s="412" t="e">
        <f ca="1">IFERROR(IF(AND(V808=V807,W808=W807),0.5*(AB808+AB807)*AG808,(VLOOKUP(_xlfn.CONCAT(U808,V808,W808,X808,VLOOKUP(Z808,TIME!$S$28:$T$39,2,FALSE)),FC_DATA!$R$2:$AB$5000,MATCH("GS_I_M",FC_DATA!$R$1:$AB$1,0),FALSE)+FC_DATA!AB808)*0.5*FC_DATA!AG808),NA())</f>
        <v>#N/A</v>
      </c>
      <c r="AI808" s="491" t="e">
        <f ca="1">IF(V808="PARTNER.com",AH808,IF(AND(V808=V807,W808=W807),(1-AVERAGE(AD807,AD808))*AH808,(1-AVERAGE(AD808,VLOOKUP(_xlfn.CONCAT(U808,V808,W808,X808,M_BRAND_FC!$F$6),FC_DATA!$R$2:$AD$5000,MATCH("DISCOUNT_%_M",FC_DATA!$R$1:$AD$1,0),FALSE)))*AH808))</f>
        <v>#N/A</v>
      </c>
      <c r="AJ808" s="412" t="str">
        <f t="shared" ca="1" si="318"/>
        <v/>
      </c>
      <c r="AK808" s="413" t="str">
        <f>IFERROR(AE808/(Q_BRAND_FC!$T$24+1),"")</f>
        <v/>
      </c>
      <c r="AL808" s="88" t="str">
        <f t="shared" ca="1" si="319"/>
        <v/>
      </c>
      <c r="AM808" s="414" t="str">
        <f t="shared" ca="1" si="320"/>
        <v/>
      </c>
      <c r="AN808" s="58">
        <f>IFERROR(IF($V808="BRAND.com",HLOOKUP($X808&amp;$Z808,NWC_FC_NOOS!$C$4:$Q$23,MATCH(W808,NWC_FC_NOOS!$B$4:$B$23,0),FALSE),0),0)</f>
        <v>0</v>
      </c>
      <c r="AO808" s="57">
        <f>IFERROR(IF($V808="BRAND.com",HLOOKUP($X808&amp;$Z808,NWC_FC_NOOS!$T$4:$AH$23,MATCH(W808,NWC_FC_NOOS!$S$4:$S$23,0),FALSE),0),0)</f>
        <v>0</v>
      </c>
      <c r="AP808" s="57">
        <f>IFERROR(IF($V808="BRAND.com",HLOOKUP($X808&amp;$Z808,NWC_FC_NOOS!$C$50:$U$69,MATCH(W808,NWC_FC_NOOS!$B$50:$B$69,0),FALSE),0),0)</f>
        <v>0</v>
      </c>
      <c r="AQ808" s="58">
        <f>IFERROR(IF($V808="BRAND.com",HLOOKUP($X808&amp;$Z808,'NWC_FC_NON-NOOS'!$C$4:$Q$23,MATCH(W808,'NWC_FC_NON-NOOS'!$B$4:$B$23,0),FALSE),0),0)</f>
        <v>0</v>
      </c>
      <c r="AR808" s="57">
        <f>IFERROR(IF($V808="BRAND.com",HLOOKUP($X808&amp;$Z808,'NWC_FC_NON-NOOS'!$T$4:$AH$23,MATCH(W808,'NWC_FC_NON-NOOS'!$S$4:$S$23,0),FALSE),0),0)</f>
        <v>0</v>
      </c>
      <c r="AS808" s="57">
        <f>IFERROR(IF($V808="BRAND.com",HLOOKUP($X808&amp;$Z808,'NWC_FC_NON-NOOS'!$C$50:$U$69,MATCH(W808,'NWC_FC_NON-NOOS'!$B$50:$B$69,0),FALSE),0),0)</f>
        <v>0</v>
      </c>
      <c r="AT808" s="57">
        <f t="shared" si="322"/>
        <v>0</v>
      </c>
      <c r="AU808" s="57">
        <f t="shared" si="323"/>
        <v>0</v>
      </c>
      <c r="AV808" s="58">
        <f>IFERROR(IF($V808="BRAND.com",HLOOKUP($X808&amp;$Z808,PLANNING_FC!$BB$27:$BP$46,MATCH($W808,PLANNING_FC!$BA$27:$BA$46,0),FALSE),0),0)</f>
        <v>0</v>
      </c>
      <c r="AW808" s="58">
        <f>IFERROR(IF($V808="BRAND.com",HLOOKUP($X808&amp;$Z808,PLANNING_FC!$BB$4:$BP$23,MATCH($W808,PLANNING_FC!$BA$4:$BA$23,0),FALSE),0),0)</f>
        <v>0</v>
      </c>
      <c r="AX808" s="58">
        <f>IFERROR(IF($V808="BRAND.com",HLOOKUP($X808&amp;$Z808,PLANNING_FC!$T$27:$AH$46,MATCH($W808,PLANNING_FC!$B$27:$B$46,0),FALSE),0),0)</f>
        <v>0</v>
      </c>
      <c r="AY808" s="58">
        <f>IFERROR(IF($V808="BRAND.com",HLOOKUP($X808&amp;$Z808,PLANNING_FC!$T$4:$AH$23,MATCH($W808,PLANNING_FC!$B$4:$B$23,0),FALSE),0),0)</f>
        <v>0</v>
      </c>
      <c r="AZ808" s="58">
        <f>IFERROR(IF($V808="BRAND.com",HLOOKUP($X808&amp;$Z808,PLANNING_FC!$DA$27:$DO$46,MATCH($W808,PLANNING_FC!$CZ$27:$CZ$46,0),FALSE),0),0)</f>
        <v>0</v>
      </c>
      <c r="BA808" s="58">
        <f>IFERROR(IF($V808="BRAND.com",HLOOKUP($X808&amp;$Z808,PLANNING_FC!$DA$4:$DO$23,MATCH($W808,PLANNING_FC!$CZ$4:$CZ$23,0),FALSE),0),0)</f>
        <v>0</v>
      </c>
      <c r="BB808" s="883" t="str">
        <f>IF(V808="BRAND.com",IFERROR(HLOOKUP(X808&amp;Z808,PLANNING_FC!$AK$4:$AY$23,MATCH(W808,PLANNING_FC!$AJ$4:$AJ$23,0),FALSE)*1000,""),"")</f>
        <v/>
      </c>
      <c r="BC808" s="883" t="str">
        <f>IF(V808="BRAND.com",IFERROR(HLOOKUP(X808&amp;Z808,PLANNING_FC!$AK$27:$AY$46,MATCH(W808,PLANNING_FC!$AJ$27:$AJ$46,0),FALSE)*1000,""),"")</f>
        <v/>
      </c>
    </row>
    <row r="809" spans="14:55" x14ac:dyDescent="0.25">
      <c r="N809" s="56">
        <f t="shared" si="304"/>
        <v>0</v>
      </c>
      <c r="O809" s="57">
        <f t="shared" si="305"/>
        <v>0</v>
      </c>
      <c r="P809" s="57">
        <f ca="1">IFERROR(IF(ISBLANK(H809),SUMIFS($AC:$AC,$V:$V,V809,$W:$W,W809,$X:$X,X809,$Y:$Y,Y809)*J809/(1-J809)*VLOOKUP(_xlfn.CONCAT(C809,D809,E809,TIME!$M$12,Z809),HIS_SALES!$B$2:$W$4859,20,FALSE),AC809*J809/(1-J809)),0)</f>
        <v>0</v>
      </c>
      <c r="Q809" s="541" t="str">
        <f t="shared" si="306"/>
        <v/>
      </c>
      <c r="R809" s="346" t="str">
        <f t="shared" si="307"/>
        <v>00000</v>
      </c>
      <c r="S809" s="344">
        <f t="shared" si="308"/>
        <v>0</v>
      </c>
      <c r="T809" s="345" t="str">
        <f t="shared" si="321"/>
        <v>000</v>
      </c>
      <c r="U809" s="345">
        <f t="shared" si="309"/>
        <v>0</v>
      </c>
      <c r="V809" s="345">
        <f t="shared" si="310"/>
        <v>0</v>
      </c>
      <c r="W809" s="345">
        <f t="shared" si="311"/>
        <v>0</v>
      </c>
      <c r="X809" s="345">
        <f t="shared" si="312"/>
        <v>0</v>
      </c>
      <c r="Y809" s="345">
        <f t="shared" si="313"/>
        <v>0</v>
      </c>
      <c r="Z809" s="345">
        <f>IF(Q809&lt;&gt;"",VLOOKUP(Y809,TIME!$R$21:$V$24,MATCH(FC_DATA!Q809,TIME!$R$20:$V$20,0),FALSE),H809)</f>
        <v>0</v>
      </c>
      <c r="AA809" s="345" t="str">
        <f>IFERROR(VLOOKUP(X809&amp;Z809,TIME!$A$12:$D$71,4,FALSE),"")</f>
        <v/>
      </c>
      <c r="AB809" s="592">
        <f t="shared" ca="1" si="314"/>
        <v>0</v>
      </c>
      <c r="AC809" s="593" t="e">
        <f ca="1">IF(ISBLANK(H809)=FALSE,IF(D809="BRAND.com",I809,IF(ISNA(VLOOKUP(_xlfn.CONCAT(X809,Z809),TIME!$M$40:$M$42,1,FALSE)),I809,VLOOKUP(_xlfn.CONCAT(D809,G809,H809),M_BUSAREA_FC!$AF$5:$AJ$10,5,FALSE)*HLOOKUP(_xlfn.CONCAT(F809,H809),ST_OVERVIEW!$G$99:$I$130,MATCH(_xlfn.CONCAT(D809,E809),ST_OVERVIEW!$F$99:$F$130,0),FALSE))),IF(D809="BRAND.com",VLOOKUP(_xlfn.CONCAT(C809,D809,E809,TIME!$F$1,Z809),HIS_SALES!$B$2:$V$4859,19,FALSE)*I809,VLOOKUP(_xlfn.CONCAT(D809,F809,G809),Q_BUSAREA_FC!$AE$5:$AI$12,5,FALSE)*HLOOKUP(_xlfn.CONCAT(FC_DATA!F809,FC_DATA!G809),LT_OVERVIEW!$I$99:$M$130,MATCH(_xlfn.CONCAT(D809,FC_DATA!E809),LT_OVERVIEW!$H$99:$H$130,0),FALSE)*IFERROR(VLOOKUP(_xlfn.CONCAT(C809,D809,E809,TIME!$F$1,Z809),HIS_SALES!$B$2:$V$4859,19,FALSE),0)))</f>
        <v>#N/A</v>
      </c>
      <c r="AD809" s="341">
        <f t="shared" ca="1" si="315"/>
        <v>0</v>
      </c>
      <c r="AE809" s="363" t="str">
        <f t="shared" si="316"/>
        <v/>
      </c>
      <c r="AF809" s="342" t="str">
        <f t="shared" si="317"/>
        <v/>
      </c>
      <c r="AG809" s="411" t="e">
        <f ca="1">VLOOKUP(_xlfn.CONCAT(U809,V809,W809,VLOOKUP(X809&amp;Y809,TIME!$L$27:$O$34,4,FALSE),Y809),HIS_SALES!$A$2:$R$5093,18,FALSE)</f>
        <v>#N/A</v>
      </c>
      <c r="AH809" s="412" t="e">
        <f ca="1">IFERROR(IF(AND(V809=V808,W809=W808),0.5*(AB809+AB808)*AG809,(VLOOKUP(_xlfn.CONCAT(U809,V809,W809,X809,VLOOKUP(Z809,TIME!$S$28:$T$39,2,FALSE)),FC_DATA!$R$2:$AB$5000,MATCH("GS_I_M",FC_DATA!$R$1:$AB$1,0),FALSE)+FC_DATA!AB809)*0.5*FC_DATA!AG809),NA())</f>
        <v>#N/A</v>
      </c>
      <c r="AI809" s="491" t="e">
        <f ca="1">IF(V809="PARTNER.com",AH809,IF(AND(V809=V808,W809=W808),(1-AVERAGE(AD808,AD809))*AH809,(1-AVERAGE(AD809,VLOOKUP(_xlfn.CONCAT(U809,V809,W809,X809,M_BRAND_FC!$F$6),FC_DATA!$R$2:$AD$5000,MATCH("DISCOUNT_%_M",FC_DATA!$R$1:$AD$1,0),FALSE)))*AH809))</f>
        <v>#N/A</v>
      </c>
      <c r="AJ809" s="412" t="str">
        <f t="shared" ca="1" si="318"/>
        <v/>
      </c>
      <c r="AK809" s="413" t="str">
        <f>IFERROR(AE809/(Q_BRAND_FC!$T$24+1),"")</f>
        <v/>
      </c>
      <c r="AL809" s="88" t="str">
        <f t="shared" ca="1" si="319"/>
        <v/>
      </c>
      <c r="AM809" s="414" t="str">
        <f t="shared" ca="1" si="320"/>
        <v/>
      </c>
      <c r="AN809" s="58">
        <f>IFERROR(IF($V809="BRAND.com",HLOOKUP($X809&amp;$Z809,NWC_FC_NOOS!$C$4:$Q$23,MATCH(W809,NWC_FC_NOOS!$B$4:$B$23,0),FALSE),0),0)</f>
        <v>0</v>
      </c>
      <c r="AO809" s="57">
        <f>IFERROR(IF($V809="BRAND.com",HLOOKUP($X809&amp;$Z809,NWC_FC_NOOS!$T$4:$AH$23,MATCH(W809,NWC_FC_NOOS!$S$4:$S$23,0),FALSE),0),0)</f>
        <v>0</v>
      </c>
      <c r="AP809" s="57">
        <f>IFERROR(IF($V809="BRAND.com",HLOOKUP($X809&amp;$Z809,NWC_FC_NOOS!$C$50:$U$69,MATCH(W809,NWC_FC_NOOS!$B$50:$B$69,0),FALSE),0),0)</f>
        <v>0</v>
      </c>
      <c r="AQ809" s="58">
        <f>IFERROR(IF($V809="BRAND.com",HLOOKUP($X809&amp;$Z809,'NWC_FC_NON-NOOS'!$C$4:$Q$23,MATCH(W809,'NWC_FC_NON-NOOS'!$B$4:$B$23,0),FALSE),0),0)</f>
        <v>0</v>
      </c>
      <c r="AR809" s="57">
        <f>IFERROR(IF($V809="BRAND.com",HLOOKUP($X809&amp;$Z809,'NWC_FC_NON-NOOS'!$T$4:$AH$23,MATCH(W809,'NWC_FC_NON-NOOS'!$S$4:$S$23,0),FALSE),0),0)</f>
        <v>0</v>
      </c>
      <c r="AS809" s="57">
        <f>IFERROR(IF($V809="BRAND.com",HLOOKUP($X809&amp;$Z809,'NWC_FC_NON-NOOS'!$C$50:$U$69,MATCH(W809,'NWC_FC_NON-NOOS'!$B$50:$B$69,0),FALSE),0),0)</f>
        <v>0</v>
      </c>
      <c r="AT809" s="57">
        <f t="shared" si="322"/>
        <v>0</v>
      </c>
      <c r="AU809" s="57">
        <f t="shared" si="323"/>
        <v>0</v>
      </c>
      <c r="AV809" s="58">
        <f>IFERROR(IF($V809="BRAND.com",HLOOKUP($X809&amp;$Z809,PLANNING_FC!$BB$27:$BP$46,MATCH($W809,PLANNING_FC!$BA$27:$BA$46,0),FALSE),0),0)</f>
        <v>0</v>
      </c>
      <c r="AW809" s="58">
        <f>IFERROR(IF($V809="BRAND.com",HLOOKUP($X809&amp;$Z809,PLANNING_FC!$BB$4:$BP$23,MATCH($W809,PLANNING_FC!$BA$4:$BA$23,0),FALSE),0),0)</f>
        <v>0</v>
      </c>
      <c r="AX809" s="58">
        <f>IFERROR(IF($V809="BRAND.com",HLOOKUP($X809&amp;$Z809,PLANNING_FC!$T$27:$AH$46,MATCH($W809,PLANNING_FC!$B$27:$B$46,0),FALSE),0),0)</f>
        <v>0</v>
      </c>
      <c r="AY809" s="58">
        <f>IFERROR(IF($V809="BRAND.com",HLOOKUP($X809&amp;$Z809,PLANNING_FC!$T$4:$AH$23,MATCH($W809,PLANNING_FC!$B$4:$B$23,0),FALSE),0),0)</f>
        <v>0</v>
      </c>
      <c r="AZ809" s="58">
        <f>IFERROR(IF($V809="BRAND.com",HLOOKUP($X809&amp;$Z809,PLANNING_FC!$DA$27:$DO$46,MATCH($W809,PLANNING_FC!$CZ$27:$CZ$46,0),FALSE),0),0)</f>
        <v>0</v>
      </c>
      <c r="BA809" s="58">
        <f>IFERROR(IF($V809="BRAND.com",HLOOKUP($X809&amp;$Z809,PLANNING_FC!$DA$4:$DO$23,MATCH($W809,PLANNING_FC!$CZ$4:$CZ$23,0),FALSE),0),0)</f>
        <v>0</v>
      </c>
      <c r="BB809" s="883" t="str">
        <f>IF(V809="BRAND.com",IFERROR(HLOOKUP(X809&amp;Z809,PLANNING_FC!$AK$4:$AY$23,MATCH(W809,PLANNING_FC!$AJ$4:$AJ$23,0),FALSE)*1000,""),"")</f>
        <v/>
      </c>
      <c r="BC809" s="883" t="str">
        <f>IF(V809="BRAND.com",IFERROR(HLOOKUP(X809&amp;Z809,PLANNING_FC!$AK$27:$AY$46,MATCH(W809,PLANNING_FC!$AJ$27:$AJ$46,0),FALSE)*1000,""),"")</f>
        <v/>
      </c>
    </row>
    <row r="810" spans="14:55" x14ac:dyDescent="0.25">
      <c r="N810" s="56">
        <f t="shared" si="304"/>
        <v>0</v>
      </c>
      <c r="O810" s="57">
        <f t="shared" si="305"/>
        <v>0</v>
      </c>
      <c r="P810" s="57">
        <f ca="1">IFERROR(IF(ISBLANK(H810),SUMIFS($AC:$AC,$V:$V,V810,$W:$W,W810,$X:$X,X810,$Y:$Y,Y810)*J810/(1-J810)*VLOOKUP(_xlfn.CONCAT(C810,D810,E810,TIME!$M$12,Z810),HIS_SALES!$B$2:$W$4859,20,FALSE),AC810*J810/(1-J810)),0)</f>
        <v>0</v>
      </c>
      <c r="Q810" s="541" t="str">
        <f t="shared" si="306"/>
        <v/>
      </c>
      <c r="R810" s="346" t="str">
        <f t="shared" si="307"/>
        <v>00000</v>
      </c>
      <c r="S810" s="344">
        <f t="shared" si="308"/>
        <v>0</v>
      </c>
      <c r="T810" s="345" t="str">
        <f t="shared" si="321"/>
        <v>000</v>
      </c>
      <c r="U810" s="345">
        <f t="shared" si="309"/>
        <v>0</v>
      </c>
      <c r="V810" s="345">
        <f t="shared" si="310"/>
        <v>0</v>
      </c>
      <c r="W810" s="345">
        <f t="shared" si="311"/>
        <v>0</v>
      </c>
      <c r="X810" s="345">
        <f t="shared" si="312"/>
        <v>0</v>
      </c>
      <c r="Y810" s="345">
        <f t="shared" si="313"/>
        <v>0</v>
      </c>
      <c r="Z810" s="345">
        <f>IF(Q810&lt;&gt;"",VLOOKUP(Y810,TIME!$R$21:$V$24,MATCH(FC_DATA!Q810,TIME!$R$20:$V$20,0),FALSE),H810)</f>
        <v>0</v>
      </c>
      <c r="AA810" s="345" t="str">
        <f>IFERROR(VLOOKUP(X810&amp;Z810,TIME!$A$12:$D$71,4,FALSE),"")</f>
        <v/>
      </c>
      <c r="AB810" s="592">
        <f t="shared" ca="1" si="314"/>
        <v>0</v>
      </c>
      <c r="AC810" s="593" t="e">
        <f ca="1">IF(ISBLANK(H810)=FALSE,IF(D810="BRAND.com",I810,IF(ISNA(VLOOKUP(_xlfn.CONCAT(X810,Z810),TIME!$M$40:$M$42,1,FALSE)),I810,VLOOKUP(_xlfn.CONCAT(D810,G810,H810),M_BUSAREA_FC!$AF$5:$AJ$10,5,FALSE)*HLOOKUP(_xlfn.CONCAT(F810,H810),ST_OVERVIEW!$G$99:$I$130,MATCH(_xlfn.CONCAT(D810,E810),ST_OVERVIEW!$F$99:$F$130,0),FALSE))),IF(D810="BRAND.com",VLOOKUP(_xlfn.CONCAT(C810,D810,E810,TIME!$F$1,Z810),HIS_SALES!$B$2:$V$4859,19,FALSE)*I810,VLOOKUP(_xlfn.CONCAT(D810,F810,G810),Q_BUSAREA_FC!$AE$5:$AI$12,5,FALSE)*HLOOKUP(_xlfn.CONCAT(FC_DATA!F810,FC_DATA!G810),LT_OVERVIEW!$I$99:$M$130,MATCH(_xlfn.CONCAT(D810,FC_DATA!E810),LT_OVERVIEW!$H$99:$H$130,0),FALSE)*IFERROR(VLOOKUP(_xlfn.CONCAT(C810,D810,E810,TIME!$F$1,Z810),HIS_SALES!$B$2:$V$4859,19,FALSE),0)))</f>
        <v>#N/A</v>
      </c>
      <c r="AD810" s="341">
        <f t="shared" ca="1" si="315"/>
        <v>0</v>
      </c>
      <c r="AE810" s="363" t="str">
        <f t="shared" si="316"/>
        <v/>
      </c>
      <c r="AF810" s="342" t="str">
        <f t="shared" si="317"/>
        <v/>
      </c>
      <c r="AG810" s="411" t="e">
        <f ca="1">VLOOKUP(_xlfn.CONCAT(U810,V810,W810,VLOOKUP(X810&amp;Y810,TIME!$L$27:$O$34,4,FALSE),Y810),HIS_SALES!$A$2:$R$5093,18,FALSE)</f>
        <v>#N/A</v>
      </c>
      <c r="AH810" s="412" t="e">
        <f ca="1">IFERROR(IF(AND(V810=V809,W810=W809),0.5*(AB810+AB809)*AG810,(VLOOKUP(_xlfn.CONCAT(U810,V810,W810,X810,VLOOKUP(Z810,TIME!$S$28:$T$39,2,FALSE)),FC_DATA!$R$2:$AB$5000,MATCH("GS_I_M",FC_DATA!$R$1:$AB$1,0),FALSE)+FC_DATA!AB810)*0.5*FC_DATA!AG810),NA())</f>
        <v>#N/A</v>
      </c>
      <c r="AI810" s="491" t="e">
        <f ca="1">IF(V810="PARTNER.com",AH810,IF(AND(V810=V809,W810=W809),(1-AVERAGE(AD809,AD810))*AH810,(1-AVERAGE(AD810,VLOOKUP(_xlfn.CONCAT(U810,V810,W810,X810,M_BRAND_FC!$F$6),FC_DATA!$R$2:$AD$5000,MATCH("DISCOUNT_%_M",FC_DATA!$R$1:$AD$1,0),FALSE)))*AH810))</f>
        <v>#N/A</v>
      </c>
      <c r="AJ810" s="412" t="str">
        <f t="shared" ca="1" si="318"/>
        <v/>
      </c>
      <c r="AK810" s="413" t="str">
        <f>IFERROR(AE810/(Q_BRAND_FC!$T$24+1),"")</f>
        <v/>
      </c>
      <c r="AL810" s="88" t="str">
        <f t="shared" ca="1" si="319"/>
        <v/>
      </c>
      <c r="AM810" s="414" t="str">
        <f t="shared" ca="1" si="320"/>
        <v/>
      </c>
      <c r="AN810" s="58">
        <f>IFERROR(IF($V810="BRAND.com",HLOOKUP($X810&amp;$Z810,NWC_FC_NOOS!$C$4:$Q$23,MATCH(W810,NWC_FC_NOOS!$B$4:$B$23,0),FALSE),0),0)</f>
        <v>0</v>
      </c>
      <c r="AO810" s="57">
        <f>IFERROR(IF($V810="BRAND.com",HLOOKUP($X810&amp;$Z810,NWC_FC_NOOS!$T$4:$AH$23,MATCH(W810,NWC_FC_NOOS!$S$4:$S$23,0),FALSE),0),0)</f>
        <v>0</v>
      </c>
      <c r="AP810" s="57">
        <f>IFERROR(IF($V810="BRAND.com",HLOOKUP($X810&amp;$Z810,NWC_FC_NOOS!$C$50:$U$69,MATCH(W810,NWC_FC_NOOS!$B$50:$B$69,0),FALSE),0),0)</f>
        <v>0</v>
      </c>
      <c r="AQ810" s="58">
        <f>IFERROR(IF($V810="BRAND.com",HLOOKUP($X810&amp;$Z810,'NWC_FC_NON-NOOS'!$C$4:$Q$23,MATCH(W810,'NWC_FC_NON-NOOS'!$B$4:$B$23,0),FALSE),0),0)</f>
        <v>0</v>
      </c>
      <c r="AR810" s="57">
        <f>IFERROR(IF($V810="BRAND.com",HLOOKUP($X810&amp;$Z810,'NWC_FC_NON-NOOS'!$T$4:$AH$23,MATCH(W810,'NWC_FC_NON-NOOS'!$S$4:$S$23,0),FALSE),0),0)</f>
        <v>0</v>
      </c>
      <c r="AS810" s="57">
        <f>IFERROR(IF($V810="BRAND.com",HLOOKUP($X810&amp;$Z810,'NWC_FC_NON-NOOS'!$C$50:$U$69,MATCH(W810,'NWC_FC_NON-NOOS'!$B$50:$B$69,0),FALSE),0),0)</f>
        <v>0</v>
      </c>
      <c r="AT810" s="57">
        <f t="shared" si="322"/>
        <v>0</v>
      </c>
      <c r="AU810" s="57">
        <f t="shared" si="323"/>
        <v>0</v>
      </c>
      <c r="AV810" s="58">
        <f>IFERROR(IF($V810="BRAND.com",HLOOKUP($X810&amp;$Z810,PLANNING_FC!$BB$27:$BP$46,MATCH($W810,PLANNING_FC!$BA$27:$BA$46,0),FALSE),0),0)</f>
        <v>0</v>
      </c>
      <c r="AW810" s="58">
        <f>IFERROR(IF($V810="BRAND.com",HLOOKUP($X810&amp;$Z810,PLANNING_FC!$BB$4:$BP$23,MATCH($W810,PLANNING_FC!$BA$4:$BA$23,0),FALSE),0),0)</f>
        <v>0</v>
      </c>
      <c r="AX810" s="58">
        <f>IFERROR(IF($V810="BRAND.com",HLOOKUP($X810&amp;$Z810,PLANNING_FC!$T$27:$AH$46,MATCH($W810,PLANNING_FC!$B$27:$B$46,0),FALSE),0),0)</f>
        <v>0</v>
      </c>
      <c r="AY810" s="58">
        <f>IFERROR(IF($V810="BRAND.com",HLOOKUP($X810&amp;$Z810,PLANNING_FC!$T$4:$AH$23,MATCH($W810,PLANNING_FC!$B$4:$B$23,0),FALSE),0),0)</f>
        <v>0</v>
      </c>
      <c r="AZ810" s="58">
        <f>IFERROR(IF($V810="BRAND.com",HLOOKUP($X810&amp;$Z810,PLANNING_FC!$DA$27:$DO$46,MATCH($W810,PLANNING_FC!$CZ$27:$CZ$46,0),FALSE),0),0)</f>
        <v>0</v>
      </c>
      <c r="BA810" s="58">
        <f>IFERROR(IF($V810="BRAND.com",HLOOKUP($X810&amp;$Z810,PLANNING_FC!$DA$4:$DO$23,MATCH($W810,PLANNING_FC!$CZ$4:$CZ$23,0),FALSE),0),0)</f>
        <v>0</v>
      </c>
      <c r="BB810" s="883" t="str">
        <f>IF(V810="BRAND.com",IFERROR(HLOOKUP(X810&amp;Z810,PLANNING_FC!$AK$4:$AY$23,MATCH(W810,PLANNING_FC!$AJ$4:$AJ$23,0),FALSE)*1000,""),"")</f>
        <v/>
      </c>
      <c r="BC810" s="883" t="str">
        <f>IF(V810="BRAND.com",IFERROR(HLOOKUP(X810&amp;Z810,PLANNING_FC!$AK$27:$AY$46,MATCH(W810,PLANNING_FC!$AJ$27:$AJ$46,0),FALSE)*1000,""),"")</f>
        <v/>
      </c>
    </row>
    <row r="811" spans="14:55" x14ac:dyDescent="0.25">
      <c r="N811" s="56">
        <f t="shared" si="304"/>
        <v>0</v>
      </c>
      <c r="O811" s="57">
        <f t="shared" si="305"/>
        <v>0</v>
      </c>
      <c r="P811" s="57">
        <f ca="1">IFERROR(IF(ISBLANK(H811),SUMIFS($AC:$AC,$V:$V,V811,$W:$W,W811,$X:$X,X811,$Y:$Y,Y811)*J811/(1-J811)*VLOOKUP(_xlfn.CONCAT(C811,D811,E811,TIME!$M$12,Z811),HIS_SALES!$B$2:$W$4859,20,FALSE),AC811*J811/(1-J811)),0)</f>
        <v>0</v>
      </c>
      <c r="Q811" s="541" t="str">
        <f t="shared" si="306"/>
        <v/>
      </c>
      <c r="R811" s="346" t="str">
        <f t="shared" si="307"/>
        <v>00000</v>
      </c>
      <c r="S811" s="344">
        <f t="shared" si="308"/>
        <v>0</v>
      </c>
      <c r="T811" s="345" t="str">
        <f t="shared" si="321"/>
        <v>000</v>
      </c>
      <c r="U811" s="345">
        <f t="shared" si="309"/>
        <v>0</v>
      </c>
      <c r="V811" s="345">
        <f t="shared" si="310"/>
        <v>0</v>
      </c>
      <c r="W811" s="345">
        <f t="shared" si="311"/>
        <v>0</v>
      </c>
      <c r="X811" s="345">
        <f t="shared" si="312"/>
        <v>0</v>
      </c>
      <c r="Y811" s="345">
        <f t="shared" si="313"/>
        <v>0</v>
      </c>
      <c r="Z811" s="345">
        <f>IF(Q811&lt;&gt;"",VLOOKUP(Y811,TIME!$R$21:$V$24,MATCH(FC_DATA!Q811,TIME!$R$20:$V$20,0),FALSE),H811)</f>
        <v>0</v>
      </c>
      <c r="AA811" s="345" t="str">
        <f>IFERROR(VLOOKUP(X811&amp;Z811,TIME!$A$12:$D$71,4,FALSE),"")</f>
        <v/>
      </c>
      <c r="AB811" s="592">
        <f t="shared" ca="1" si="314"/>
        <v>0</v>
      </c>
      <c r="AC811" s="593" t="e">
        <f ca="1">IF(ISBLANK(H811)=FALSE,IF(D811="BRAND.com",I811,IF(ISNA(VLOOKUP(_xlfn.CONCAT(X811,Z811),TIME!$M$40:$M$42,1,FALSE)),I811,VLOOKUP(_xlfn.CONCAT(D811,G811,H811),M_BUSAREA_FC!$AF$5:$AJ$10,5,FALSE)*HLOOKUP(_xlfn.CONCAT(F811,H811),ST_OVERVIEW!$G$99:$I$130,MATCH(_xlfn.CONCAT(D811,E811),ST_OVERVIEW!$F$99:$F$130,0),FALSE))),IF(D811="BRAND.com",VLOOKUP(_xlfn.CONCAT(C811,D811,E811,TIME!$F$1,Z811),HIS_SALES!$B$2:$V$4859,19,FALSE)*I811,VLOOKUP(_xlfn.CONCAT(D811,F811,G811),Q_BUSAREA_FC!$AE$5:$AI$12,5,FALSE)*HLOOKUP(_xlfn.CONCAT(FC_DATA!F811,FC_DATA!G811),LT_OVERVIEW!$I$99:$M$130,MATCH(_xlfn.CONCAT(D811,FC_DATA!E811),LT_OVERVIEW!$H$99:$H$130,0),FALSE)*IFERROR(VLOOKUP(_xlfn.CONCAT(C811,D811,E811,TIME!$F$1,Z811),HIS_SALES!$B$2:$V$4859,19,FALSE),0)))</f>
        <v>#N/A</v>
      </c>
      <c r="AD811" s="341">
        <f t="shared" ca="1" si="315"/>
        <v>0</v>
      </c>
      <c r="AE811" s="363" t="str">
        <f t="shared" si="316"/>
        <v/>
      </c>
      <c r="AF811" s="342" t="str">
        <f t="shared" si="317"/>
        <v/>
      </c>
      <c r="AG811" s="411" t="e">
        <f ca="1">VLOOKUP(_xlfn.CONCAT(U811,V811,W811,VLOOKUP(X811&amp;Y811,TIME!$L$27:$O$34,4,FALSE),Y811),HIS_SALES!$A$2:$R$5093,18,FALSE)</f>
        <v>#N/A</v>
      </c>
      <c r="AH811" s="412" t="e">
        <f ca="1">IFERROR(IF(AND(V811=V810,W811=W810),0.5*(AB811+AB810)*AG811,(VLOOKUP(_xlfn.CONCAT(U811,V811,W811,X811,VLOOKUP(Z811,TIME!$S$28:$T$39,2,FALSE)),FC_DATA!$R$2:$AB$5000,MATCH("GS_I_M",FC_DATA!$R$1:$AB$1,0),FALSE)+FC_DATA!AB811)*0.5*FC_DATA!AG811),NA())</f>
        <v>#N/A</v>
      </c>
      <c r="AI811" s="491" t="e">
        <f ca="1">IF(V811="PARTNER.com",AH811,IF(AND(V811=V810,W811=W810),(1-AVERAGE(AD810,AD811))*AH811,(1-AVERAGE(AD811,VLOOKUP(_xlfn.CONCAT(U811,V811,W811,X811,M_BRAND_FC!$F$6),FC_DATA!$R$2:$AD$5000,MATCH("DISCOUNT_%_M",FC_DATA!$R$1:$AD$1,0),FALSE)))*AH811))</f>
        <v>#N/A</v>
      </c>
      <c r="AJ811" s="412" t="str">
        <f t="shared" ca="1" si="318"/>
        <v/>
      </c>
      <c r="AK811" s="413" t="str">
        <f>IFERROR(AE811/(Q_BRAND_FC!$T$24+1),"")</f>
        <v/>
      </c>
      <c r="AL811" s="88" t="str">
        <f t="shared" ca="1" si="319"/>
        <v/>
      </c>
      <c r="AM811" s="414" t="str">
        <f t="shared" ca="1" si="320"/>
        <v/>
      </c>
      <c r="AN811" s="58">
        <f>IFERROR(IF($V811="BRAND.com",HLOOKUP($X811&amp;$Z811,NWC_FC_NOOS!$C$4:$Q$23,MATCH(W811,NWC_FC_NOOS!$B$4:$B$23,0),FALSE),0),0)</f>
        <v>0</v>
      </c>
      <c r="AO811" s="57">
        <f>IFERROR(IF($V811="BRAND.com",HLOOKUP($X811&amp;$Z811,NWC_FC_NOOS!$T$4:$AH$23,MATCH(W811,NWC_FC_NOOS!$S$4:$S$23,0),FALSE),0),0)</f>
        <v>0</v>
      </c>
      <c r="AP811" s="57">
        <f>IFERROR(IF($V811="BRAND.com",HLOOKUP($X811&amp;$Z811,NWC_FC_NOOS!$C$50:$U$69,MATCH(W811,NWC_FC_NOOS!$B$50:$B$69,0),FALSE),0),0)</f>
        <v>0</v>
      </c>
      <c r="AQ811" s="58">
        <f>IFERROR(IF($V811="BRAND.com",HLOOKUP($X811&amp;$Z811,'NWC_FC_NON-NOOS'!$C$4:$Q$23,MATCH(W811,'NWC_FC_NON-NOOS'!$B$4:$B$23,0),FALSE),0),0)</f>
        <v>0</v>
      </c>
      <c r="AR811" s="57">
        <f>IFERROR(IF($V811="BRAND.com",HLOOKUP($X811&amp;$Z811,'NWC_FC_NON-NOOS'!$T$4:$AH$23,MATCH(W811,'NWC_FC_NON-NOOS'!$S$4:$S$23,0),FALSE),0),0)</f>
        <v>0</v>
      </c>
      <c r="AS811" s="57">
        <f>IFERROR(IF($V811="BRAND.com",HLOOKUP($X811&amp;$Z811,'NWC_FC_NON-NOOS'!$C$50:$U$69,MATCH(W811,'NWC_FC_NON-NOOS'!$B$50:$B$69,0),FALSE),0),0)</f>
        <v>0</v>
      </c>
      <c r="AT811" s="57">
        <f t="shared" si="322"/>
        <v>0</v>
      </c>
      <c r="AU811" s="57">
        <f t="shared" si="323"/>
        <v>0</v>
      </c>
      <c r="AV811" s="58">
        <f>IFERROR(IF($V811="BRAND.com",HLOOKUP($X811&amp;$Z811,PLANNING_FC!$BB$27:$BP$46,MATCH($W811,PLANNING_FC!$BA$27:$BA$46,0),FALSE),0),0)</f>
        <v>0</v>
      </c>
      <c r="AW811" s="58">
        <f>IFERROR(IF($V811="BRAND.com",HLOOKUP($X811&amp;$Z811,PLANNING_FC!$BB$4:$BP$23,MATCH($W811,PLANNING_FC!$BA$4:$BA$23,0),FALSE),0),0)</f>
        <v>0</v>
      </c>
      <c r="AX811" s="58">
        <f>IFERROR(IF($V811="BRAND.com",HLOOKUP($X811&amp;$Z811,PLANNING_FC!$T$27:$AH$46,MATCH($W811,PLANNING_FC!$B$27:$B$46,0),FALSE),0),0)</f>
        <v>0</v>
      </c>
      <c r="AY811" s="58">
        <f>IFERROR(IF($V811="BRAND.com",HLOOKUP($X811&amp;$Z811,PLANNING_FC!$T$4:$AH$23,MATCH($W811,PLANNING_FC!$B$4:$B$23,0),FALSE),0),0)</f>
        <v>0</v>
      </c>
      <c r="AZ811" s="58">
        <f>IFERROR(IF($V811="BRAND.com",HLOOKUP($X811&amp;$Z811,PLANNING_FC!$DA$27:$DO$46,MATCH($W811,PLANNING_FC!$CZ$27:$CZ$46,0),FALSE),0),0)</f>
        <v>0</v>
      </c>
      <c r="BA811" s="58">
        <f>IFERROR(IF($V811="BRAND.com",HLOOKUP($X811&amp;$Z811,PLANNING_FC!$DA$4:$DO$23,MATCH($W811,PLANNING_FC!$CZ$4:$CZ$23,0),FALSE),0),0)</f>
        <v>0</v>
      </c>
      <c r="BB811" s="883" t="str">
        <f>IF(V811="BRAND.com",IFERROR(HLOOKUP(X811&amp;Z811,PLANNING_FC!$AK$4:$AY$23,MATCH(W811,PLANNING_FC!$AJ$4:$AJ$23,0),FALSE)*1000,""),"")</f>
        <v/>
      </c>
      <c r="BC811" s="883" t="str">
        <f>IF(V811="BRAND.com",IFERROR(HLOOKUP(X811&amp;Z811,PLANNING_FC!$AK$27:$AY$46,MATCH(W811,PLANNING_FC!$AJ$27:$AJ$46,0),FALSE)*1000,""),"")</f>
        <v/>
      </c>
    </row>
    <row r="812" spans="14:55" x14ac:dyDescent="0.25">
      <c r="N812" s="56">
        <f t="shared" si="304"/>
        <v>0</v>
      </c>
      <c r="O812" s="57">
        <f t="shared" si="305"/>
        <v>0</v>
      </c>
      <c r="P812" s="57">
        <f ca="1">IFERROR(IF(ISBLANK(H812),SUMIFS($AC:$AC,$V:$V,V812,$W:$W,W812,$X:$X,X812,$Y:$Y,Y812)*J812/(1-J812)*VLOOKUP(_xlfn.CONCAT(C812,D812,E812,TIME!$M$12,Z812),HIS_SALES!$B$2:$W$4859,20,FALSE),AC812*J812/(1-J812)),0)</f>
        <v>0</v>
      </c>
      <c r="Q812" s="541" t="str">
        <f t="shared" si="306"/>
        <v/>
      </c>
      <c r="R812" s="346" t="str">
        <f t="shared" si="307"/>
        <v>00000</v>
      </c>
      <c r="S812" s="344">
        <f t="shared" si="308"/>
        <v>0</v>
      </c>
      <c r="T812" s="345" t="str">
        <f t="shared" si="321"/>
        <v>000</v>
      </c>
      <c r="U812" s="345">
        <f t="shared" si="309"/>
        <v>0</v>
      </c>
      <c r="V812" s="345">
        <f t="shared" si="310"/>
        <v>0</v>
      </c>
      <c r="W812" s="345">
        <f t="shared" si="311"/>
        <v>0</v>
      </c>
      <c r="X812" s="345">
        <f t="shared" si="312"/>
        <v>0</v>
      </c>
      <c r="Y812" s="345">
        <f t="shared" si="313"/>
        <v>0</v>
      </c>
      <c r="Z812" s="345">
        <f>IF(Q812&lt;&gt;"",VLOOKUP(Y812,TIME!$R$21:$V$24,MATCH(FC_DATA!Q812,TIME!$R$20:$V$20,0),FALSE),H812)</f>
        <v>0</v>
      </c>
      <c r="AA812" s="345" t="str">
        <f>IFERROR(VLOOKUP(X812&amp;Z812,TIME!$A$12:$D$71,4,FALSE),"")</f>
        <v/>
      </c>
      <c r="AB812" s="592">
        <f t="shared" ca="1" si="314"/>
        <v>0</v>
      </c>
      <c r="AC812" s="593" t="e">
        <f ca="1">IF(ISBLANK(H812)=FALSE,IF(D812="BRAND.com",I812,IF(ISNA(VLOOKUP(_xlfn.CONCAT(X812,Z812),TIME!$M$40:$M$42,1,FALSE)),I812,VLOOKUP(_xlfn.CONCAT(D812,G812,H812),M_BUSAREA_FC!$AF$5:$AJ$10,5,FALSE)*HLOOKUP(_xlfn.CONCAT(F812,H812),ST_OVERVIEW!$G$99:$I$130,MATCH(_xlfn.CONCAT(D812,E812),ST_OVERVIEW!$F$99:$F$130,0),FALSE))),IF(D812="BRAND.com",VLOOKUP(_xlfn.CONCAT(C812,D812,E812,TIME!$F$1,Z812),HIS_SALES!$B$2:$V$4859,19,FALSE)*I812,VLOOKUP(_xlfn.CONCAT(D812,F812,G812),Q_BUSAREA_FC!$AE$5:$AI$12,5,FALSE)*HLOOKUP(_xlfn.CONCAT(FC_DATA!F812,FC_DATA!G812),LT_OVERVIEW!$I$99:$M$130,MATCH(_xlfn.CONCAT(D812,FC_DATA!E812),LT_OVERVIEW!$H$99:$H$130,0),FALSE)*IFERROR(VLOOKUP(_xlfn.CONCAT(C812,D812,E812,TIME!$F$1,Z812),HIS_SALES!$B$2:$V$4859,19,FALSE),0)))</f>
        <v>#N/A</v>
      </c>
      <c r="AD812" s="341">
        <f t="shared" ca="1" si="315"/>
        <v>0</v>
      </c>
      <c r="AE812" s="363" t="str">
        <f t="shared" si="316"/>
        <v/>
      </c>
      <c r="AF812" s="342" t="str">
        <f t="shared" si="317"/>
        <v/>
      </c>
      <c r="AG812" s="411" t="e">
        <f ca="1">VLOOKUP(_xlfn.CONCAT(U812,V812,W812,VLOOKUP(X812&amp;Y812,TIME!$L$27:$O$34,4,FALSE),Y812),HIS_SALES!$A$2:$R$5093,18,FALSE)</f>
        <v>#N/A</v>
      </c>
      <c r="AH812" s="412" t="e">
        <f ca="1">IFERROR(IF(AND(V812=V811,W812=W811),0.5*(AB812+AB811)*AG812,(VLOOKUP(_xlfn.CONCAT(U812,V812,W812,X812,VLOOKUP(Z812,TIME!$S$28:$T$39,2,FALSE)),FC_DATA!$R$2:$AB$5000,MATCH("GS_I_M",FC_DATA!$R$1:$AB$1,0),FALSE)+FC_DATA!AB812)*0.5*FC_DATA!AG812),NA())</f>
        <v>#N/A</v>
      </c>
      <c r="AI812" s="491" t="e">
        <f ca="1">IF(V812="PARTNER.com",AH812,IF(AND(V812=V811,W812=W811),(1-AVERAGE(AD811,AD812))*AH812,(1-AVERAGE(AD812,VLOOKUP(_xlfn.CONCAT(U812,V812,W812,X812,M_BRAND_FC!$F$6),FC_DATA!$R$2:$AD$5000,MATCH("DISCOUNT_%_M",FC_DATA!$R$1:$AD$1,0),FALSE)))*AH812))</f>
        <v>#N/A</v>
      </c>
      <c r="AJ812" s="412" t="str">
        <f t="shared" ca="1" si="318"/>
        <v/>
      </c>
      <c r="AK812" s="413" t="str">
        <f>IFERROR(AE812/(Q_BRAND_FC!$T$24+1),"")</f>
        <v/>
      </c>
      <c r="AL812" s="88" t="str">
        <f t="shared" ca="1" si="319"/>
        <v/>
      </c>
      <c r="AM812" s="414" t="str">
        <f t="shared" ca="1" si="320"/>
        <v/>
      </c>
      <c r="AN812" s="58">
        <f>IFERROR(IF($V812="BRAND.com",HLOOKUP($X812&amp;$Z812,NWC_FC_NOOS!$C$4:$Q$23,MATCH(W812,NWC_FC_NOOS!$B$4:$B$23,0),FALSE),0),0)</f>
        <v>0</v>
      </c>
      <c r="AO812" s="57">
        <f>IFERROR(IF($V812="BRAND.com",HLOOKUP($X812&amp;$Z812,NWC_FC_NOOS!$T$4:$AH$23,MATCH(W812,NWC_FC_NOOS!$S$4:$S$23,0),FALSE),0),0)</f>
        <v>0</v>
      </c>
      <c r="AP812" s="57">
        <f>IFERROR(IF($V812="BRAND.com",HLOOKUP($X812&amp;$Z812,NWC_FC_NOOS!$C$50:$U$69,MATCH(W812,NWC_FC_NOOS!$B$50:$B$69,0),FALSE),0),0)</f>
        <v>0</v>
      </c>
      <c r="AQ812" s="58">
        <f>IFERROR(IF($V812="BRAND.com",HLOOKUP($X812&amp;$Z812,'NWC_FC_NON-NOOS'!$C$4:$Q$23,MATCH(W812,'NWC_FC_NON-NOOS'!$B$4:$B$23,0),FALSE),0),0)</f>
        <v>0</v>
      </c>
      <c r="AR812" s="57">
        <f>IFERROR(IF($V812="BRAND.com",HLOOKUP($X812&amp;$Z812,'NWC_FC_NON-NOOS'!$T$4:$AH$23,MATCH(W812,'NWC_FC_NON-NOOS'!$S$4:$S$23,0),FALSE),0),0)</f>
        <v>0</v>
      </c>
      <c r="AS812" s="57">
        <f>IFERROR(IF($V812="BRAND.com",HLOOKUP($X812&amp;$Z812,'NWC_FC_NON-NOOS'!$C$50:$U$69,MATCH(W812,'NWC_FC_NON-NOOS'!$B$50:$B$69,0),FALSE),0),0)</f>
        <v>0</v>
      </c>
      <c r="AT812" s="57">
        <f t="shared" si="322"/>
        <v>0</v>
      </c>
      <c r="AU812" s="57">
        <f t="shared" si="323"/>
        <v>0</v>
      </c>
      <c r="AV812" s="58">
        <f>IFERROR(IF($V812="BRAND.com",HLOOKUP($X812&amp;$Z812,PLANNING_FC!$BB$27:$BP$46,MATCH($W812,PLANNING_FC!$BA$27:$BA$46,0),FALSE),0),0)</f>
        <v>0</v>
      </c>
      <c r="AW812" s="58">
        <f>IFERROR(IF($V812="BRAND.com",HLOOKUP($X812&amp;$Z812,PLANNING_FC!$BB$4:$BP$23,MATCH($W812,PLANNING_FC!$BA$4:$BA$23,0),FALSE),0),0)</f>
        <v>0</v>
      </c>
      <c r="AX812" s="58">
        <f>IFERROR(IF($V812="BRAND.com",HLOOKUP($X812&amp;$Z812,PLANNING_FC!$T$27:$AH$46,MATCH($W812,PLANNING_FC!$B$27:$B$46,0),FALSE),0),0)</f>
        <v>0</v>
      </c>
      <c r="AY812" s="58">
        <f>IFERROR(IF($V812="BRAND.com",HLOOKUP($X812&amp;$Z812,PLANNING_FC!$T$4:$AH$23,MATCH($W812,PLANNING_FC!$B$4:$B$23,0),FALSE),0),0)</f>
        <v>0</v>
      </c>
      <c r="AZ812" s="58">
        <f>IFERROR(IF($V812="BRAND.com",HLOOKUP($X812&amp;$Z812,PLANNING_FC!$DA$27:$DO$46,MATCH($W812,PLANNING_FC!$CZ$27:$CZ$46,0),FALSE),0),0)</f>
        <v>0</v>
      </c>
      <c r="BA812" s="58">
        <f>IFERROR(IF($V812="BRAND.com",HLOOKUP($X812&amp;$Z812,PLANNING_FC!$DA$4:$DO$23,MATCH($W812,PLANNING_FC!$CZ$4:$CZ$23,0),FALSE),0),0)</f>
        <v>0</v>
      </c>
      <c r="BB812" s="883" t="str">
        <f>IF(V812="BRAND.com",IFERROR(HLOOKUP(X812&amp;Z812,PLANNING_FC!$AK$4:$AY$23,MATCH(W812,PLANNING_FC!$AJ$4:$AJ$23,0),FALSE)*1000,""),"")</f>
        <v/>
      </c>
      <c r="BC812" s="883" t="str">
        <f>IF(V812="BRAND.com",IFERROR(HLOOKUP(X812&amp;Z812,PLANNING_FC!$AK$27:$AY$46,MATCH(W812,PLANNING_FC!$AJ$27:$AJ$46,0),FALSE)*1000,""),"")</f>
        <v/>
      </c>
    </row>
    <row r="813" spans="14:55" x14ac:dyDescent="0.25">
      <c r="N813" s="56">
        <f t="shared" si="304"/>
        <v>0</v>
      </c>
      <c r="O813" s="57">
        <f t="shared" si="305"/>
        <v>0</v>
      </c>
      <c r="P813" s="57">
        <f ca="1">IFERROR(IF(ISBLANK(H813),SUMIFS($AC:$AC,$V:$V,V813,$W:$W,W813,$X:$X,X813,$Y:$Y,Y813)*J813/(1-J813)*VLOOKUP(_xlfn.CONCAT(C813,D813,E813,TIME!$M$12,Z813),HIS_SALES!$B$2:$W$4859,20,FALSE),AC813*J813/(1-J813)),0)</f>
        <v>0</v>
      </c>
      <c r="Q813" s="541" t="str">
        <f t="shared" si="306"/>
        <v/>
      </c>
      <c r="R813" s="346" t="str">
        <f t="shared" si="307"/>
        <v>00000</v>
      </c>
      <c r="S813" s="344">
        <f t="shared" si="308"/>
        <v>0</v>
      </c>
      <c r="T813" s="345" t="str">
        <f t="shared" si="321"/>
        <v>000</v>
      </c>
      <c r="U813" s="345">
        <f t="shared" si="309"/>
        <v>0</v>
      </c>
      <c r="V813" s="345">
        <f t="shared" si="310"/>
        <v>0</v>
      </c>
      <c r="W813" s="345">
        <f t="shared" si="311"/>
        <v>0</v>
      </c>
      <c r="X813" s="345">
        <f t="shared" si="312"/>
        <v>0</v>
      </c>
      <c r="Y813" s="345">
        <f t="shared" si="313"/>
        <v>0</v>
      </c>
      <c r="Z813" s="345">
        <f>IF(Q813&lt;&gt;"",VLOOKUP(Y813,TIME!$R$21:$V$24,MATCH(FC_DATA!Q813,TIME!$R$20:$V$20,0),FALSE),H813)</f>
        <v>0</v>
      </c>
      <c r="AA813" s="345" t="str">
        <f>IFERROR(VLOOKUP(X813&amp;Z813,TIME!$A$12:$D$71,4,FALSE),"")</f>
        <v/>
      </c>
      <c r="AB813" s="592">
        <f t="shared" ca="1" si="314"/>
        <v>0</v>
      </c>
      <c r="AC813" s="593" t="e">
        <f ca="1">IF(ISBLANK(H813)=FALSE,IF(D813="BRAND.com",I813,IF(ISNA(VLOOKUP(_xlfn.CONCAT(X813,Z813),TIME!$M$40:$M$42,1,FALSE)),I813,VLOOKUP(_xlfn.CONCAT(D813,G813,H813),M_BUSAREA_FC!$AF$5:$AJ$10,5,FALSE)*HLOOKUP(_xlfn.CONCAT(F813,H813),ST_OVERVIEW!$G$99:$I$130,MATCH(_xlfn.CONCAT(D813,E813),ST_OVERVIEW!$F$99:$F$130,0),FALSE))),IF(D813="BRAND.com",VLOOKUP(_xlfn.CONCAT(C813,D813,E813,TIME!$F$1,Z813),HIS_SALES!$B$2:$V$4859,19,FALSE)*I813,VLOOKUP(_xlfn.CONCAT(D813,F813,G813),Q_BUSAREA_FC!$AE$5:$AI$12,5,FALSE)*HLOOKUP(_xlfn.CONCAT(FC_DATA!F813,FC_DATA!G813),LT_OVERVIEW!$I$99:$M$130,MATCH(_xlfn.CONCAT(D813,FC_DATA!E813),LT_OVERVIEW!$H$99:$H$130,0),FALSE)*IFERROR(VLOOKUP(_xlfn.CONCAT(C813,D813,E813,TIME!$F$1,Z813),HIS_SALES!$B$2:$V$4859,19,FALSE),0)))</f>
        <v>#N/A</v>
      </c>
      <c r="AD813" s="341">
        <f t="shared" ca="1" si="315"/>
        <v>0</v>
      </c>
      <c r="AE813" s="363" t="str">
        <f t="shared" si="316"/>
        <v/>
      </c>
      <c r="AF813" s="342" t="str">
        <f t="shared" si="317"/>
        <v/>
      </c>
      <c r="AG813" s="411" t="e">
        <f ca="1">VLOOKUP(_xlfn.CONCAT(U813,V813,W813,VLOOKUP(X813&amp;Y813,TIME!$L$27:$O$34,4,FALSE),Y813),HIS_SALES!$A$2:$R$5093,18,FALSE)</f>
        <v>#N/A</v>
      </c>
      <c r="AH813" s="412" t="e">
        <f ca="1">IFERROR(IF(AND(V813=V812,W813=W812),0.5*(AB813+AB812)*AG813,(VLOOKUP(_xlfn.CONCAT(U813,V813,W813,X813,VLOOKUP(Z813,TIME!$S$28:$T$39,2,FALSE)),FC_DATA!$R$2:$AB$5000,MATCH("GS_I_M",FC_DATA!$R$1:$AB$1,0),FALSE)+FC_DATA!AB813)*0.5*FC_DATA!AG813),NA())</f>
        <v>#N/A</v>
      </c>
      <c r="AI813" s="491" t="e">
        <f ca="1">IF(V813="PARTNER.com",AH813,IF(AND(V813=V812,W813=W812),(1-AVERAGE(AD812,AD813))*AH813,(1-AVERAGE(AD813,VLOOKUP(_xlfn.CONCAT(U813,V813,W813,X813,M_BRAND_FC!$F$6),FC_DATA!$R$2:$AD$5000,MATCH("DISCOUNT_%_M",FC_DATA!$R$1:$AD$1,0),FALSE)))*AH813))</f>
        <v>#N/A</v>
      </c>
      <c r="AJ813" s="412" t="str">
        <f t="shared" ca="1" si="318"/>
        <v/>
      </c>
      <c r="AK813" s="413" t="str">
        <f>IFERROR(AE813/(Q_BRAND_FC!$T$24+1),"")</f>
        <v/>
      </c>
      <c r="AL813" s="88" t="str">
        <f t="shared" ca="1" si="319"/>
        <v/>
      </c>
      <c r="AM813" s="414" t="str">
        <f t="shared" ca="1" si="320"/>
        <v/>
      </c>
      <c r="AN813" s="58">
        <f>IFERROR(IF($V813="BRAND.com",HLOOKUP($X813&amp;$Z813,NWC_FC_NOOS!$C$4:$Q$23,MATCH(W813,NWC_FC_NOOS!$B$4:$B$23,0),FALSE),0),0)</f>
        <v>0</v>
      </c>
      <c r="AO813" s="57">
        <f>IFERROR(IF($V813="BRAND.com",HLOOKUP($X813&amp;$Z813,NWC_FC_NOOS!$T$4:$AH$23,MATCH(W813,NWC_FC_NOOS!$S$4:$S$23,0),FALSE),0),0)</f>
        <v>0</v>
      </c>
      <c r="AP813" s="57">
        <f>IFERROR(IF($V813="BRAND.com",HLOOKUP($X813&amp;$Z813,NWC_FC_NOOS!$C$50:$U$69,MATCH(W813,NWC_FC_NOOS!$B$50:$B$69,0),FALSE),0),0)</f>
        <v>0</v>
      </c>
      <c r="AQ813" s="58">
        <f>IFERROR(IF($V813="BRAND.com",HLOOKUP($X813&amp;$Z813,'NWC_FC_NON-NOOS'!$C$4:$Q$23,MATCH(W813,'NWC_FC_NON-NOOS'!$B$4:$B$23,0),FALSE),0),0)</f>
        <v>0</v>
      </c>
      <c r="AR813" s="57">
        <f>IFERROR(IF($V813="BRAND.com",HLOOKUP($X813&amp;$Z813,'NWC_FC_NON-NOOS'!$T$4:$AH$23,MATCH(W813,'NWC_FC_NON-NOOS'!$S$4:$S$23,0),FALSE),0),0)</f>
        <v>0</v>
      </c>
      <c r="AS813" s="57">
        <f>IFERROR(IF($V813="BRAND.com",HLOOKUP($X813&amp;$Z813,'NWC_FC_NON-NOOS'!$C$50:$U$69,MATCH(W813,'NWC_FC_NON-NOOS'!$B$50:$B$69,0),FALSE),0),0)</f>
        <v>0</v>
      </c>
      <c r="AT813" s="57">
        <f t="shared" si="322"/>
        <v>0</v>
      </c>
      <c r="AU813" s="57">
        <f t="shared" si="323"/>
        <v>0</v>
      </c>
      <c r="AV813" s="58">
        <f>IFERROR(IF($V813="BRAND.com",HLOOKUP($X813&amp;$Z813,PLANNING_FC!$BB$27:$BP$46,MATCH($W813,PLANNING_FC!$BA$27:$BA$46,0),FALSE),0),0)</f>
        <v>0</v>
      </c>
      <c r="AW813" s="58">
        <f>IFERROR(IF($V813="BRAND.com",HLOOKUP($X813&amp;$Z813,PLANNING_FC!$BB$4:$BP$23,MATCH($W813,PLANNING_FC!$BA$4:$BA$23,0),FALSE),0),0)</f>
        <v>0</v>
      </c>
      <c r="AX813" s="58">
        <f>IFERROR(IF($V813="BRAND.com",HLOOKUP($X813&amp;$Z813,PLANNING_FC!$T$27:$AH$46,MATCH($W813,PLANNING_FC!$B$27:$B$46,0),FALSE),0),0)</f>
        <v>0</v>
      </c>
      <c r="AY813" s="58">
        <f>IFERROR(IF($V813="BRAND.com",HLOOKUP($X813&amp;$Z813,PLANNING_FC!$T$4:$AH$23,MATCH($W813,PLANNING_FC!$B$4:$B$23,0),FALSE),0),0)</f>
        <v>0</v>
      </c>
      <c r="AZ813" s="58">
        <f>IFERROR(IF($V813="BRAND.com",HLOOKUP($X813&amp;$Z813,PLANNING_FC!$DA$27:$DO$46,MATCH($W813,PLANNING_FC!$CZ$27:$CZ$46,0),FALSE),0),0)</f>
        <v>0</v>
      </c>
      <c r="BA813" s="58">
        <f>IFERROR(IF($V813="BRAND.com",HLOOKUP($X813&amp;$Z813,PLANNING_FC!$DA$4:$DO$23,MATCH($W813,PLANNING_FC!$CZ$4:$CZ$23,0),FALSE),0),0)</f>
        <v>0</v>
      </c>
      <c r="BB813" s="883" t="str">
        <f>IF(V813="BRAND.com",IFERROR(HLOOKUP(X813&amp;Z813,PLANNING_FC!$AK$4:$AY$23,MATCH(W813,PLANNING_FC!$AJ$4:$AJ$23,0),FALSE)*1000,""),"")</f>
        <v/>
      </c>
      <c r="BC813" s="883" t="str">
        <f>IF(V813="BRAND.com",IFERROR(HLOOKUP(X813&amp;Z813,PLANNING_FC!$AK$27:$AY$46,MATCH(W813,PLANNING_FC!$AJ$27:$AJ$46,0),FALSE)*1000,""),"")</f>
        <v/>
      </c>
    </row>
    <row r="814" spans="14:55" x14ac:dyDescent="0.25">
      <c r="N814" s="56">
        <f t="shared" si="304"/>
        <v>0</v>
      </c>
      <c r="O814" s="57">
        <f t="shared" si="305"/>
        <v>0</v>
      </c>
      <c r="P814" s="57">
        <f ca="1">IFERROR(IF(ISBLANK(H814),SUMIFS($AC:$AC,$V:$V,V814,$W:$W,W814,$X:$X,X814,$Y:$Y,Y814)*J814/(1-J814)*VLOOKUP(_xlfn.CONCAT(C814,D814,E814,TIME!$M$12,Z814),HIS_SALES!$B$2:$W$4859,20,FALSE),AC814*J814/(1-J814)),0)</f>
        <v>0</v>
      </c>
      <c r="Q814" s="541" t="str">
        <f t="shared" si="306"/>
        <v/>
      </c>
      <c r="R814" s="346" t="str">
        <f t="shared" si="307"/>
        <v>00000</v>
      </c>
      <c r="S814" s="344">
        <f t="shared" si="308"/>
        <v>0</v>
      </c>
      <c r="T814" s="345" t="str">
        <f t="shared" si="321"/>
        <v>000</v>
      </c>
      <c r="U814" s="345">
        <f t="shared" si="309"/>
        <v>0</v>
      </c>
      <c r="V814" s="345">
        <f t="shared" si="310"/>
        <v>0</v>
      </c>
      <c r="W814" s="345">
        <f t="shared" si="311"/>
        <v>0</v>
      </c>
      <c r="X814" s="345">
        <f t="shared" si="312"/>
        <v>0</v>
      </c>
      <c r="Y814" s="345">
        <f t="shared" si="313"/>
        <v>0</v>
      </c>
      <c r="Z814" s="345">
        <f>IF(Q814&lt;&gt;"",VLOOKUP(Y814,TIME!$R$21:$V$24,MATCH(FC_DATA!Q814,TIME!$R$20:$V$20,0),FALSE),H814)</f>
        <v>0</v>
      </c>
      <c r="AA814" s="345" t="str">
        <f>IFERROR(VLOOKUP(X814&amp;Z814,TIME!$A$12:$D$71,4,FALSE),"")</f>
        <v/>
      </c>
      <c r="AB814" s="592">
        <f t="shared" ca="1" si="314"/>
        <v>0</v>
      </c>
      <c r="AC814" s="593" t="e">
        <f ca="1">IF(ISBLANK(H814)=FALSE,IF(D814="BRAND.com",I814,IF(ISNA(VLOOKUP(_xlfn.CONCAT(X814,Z814),TIME!$M$40:$M$42,1,FALSE)),I814,VLOOKUP(_xlfn.CONCAT(D814,G814,H814),M_BUSAREA_FC!$AF$5:$AJ$10,5,FALSE)*HLOOKUP(_xlfn.CONCAT(F814,H814),ST_OVERVIEW!$G$99:$I$130,MATCH(_xlfn.CONCAT(D814,E814),ST_OVERVIEW!$F$99:$F$130,0),FALSE))),IF(D814="BRAND.com",VLOOKUP(_xlfn.CONCAT(C814,D814,E814,TIME!$F$1,Z814),HIS_SALES!$B$2:$V$4859,19,FALSE)*I814,VLOOKUP(_xlfn.CONCAT(D814,F814,G814),Q_BUSAREA_FC!$AE$5:$AI$12,5,FALSE)*HLOOKUP(_xlfn.CONCAT(FC_DATA!F814,FC_DATA!G814),LT_OVERVIEW!$I$99:$M$130,MATCH(_xlfn.CONCAT(D814,FC_DATA!E814),LT_OVERVIEW!$H$99:$H$130,0),FALSE)*IFERROR(VLOOKUP(_xlfn.CONCAT(C814,D814,E814,TIME!$F$1,Z814),HIS_SALES!$B$2:$V$4859,19,FALSE),0)))</f>
        <v>#N/A</v>
      </c>
      <c r="AD814" s="341">
        <f t="shared" ca="1" si="315"/>
        <v>0</v>
      </c>
      <c r="AE814" s="363" t="str">
        <f t="shared" si="316"/>
        <v/>
      </c>
      <c r="AF814" s="342" t="str">
        <f t="shared" si="317"/>
        <v/>
      </c>
      <c r="AG814" s="411" t="e">
        <f ca="1">VLOOKUP(_xlfn.CONCAT(U814,V814,W814,VLOOKUP(X814&amp;Y814,TIME!$L$27:$O$34,4,FALSE),Y814),HIS_SALES!$A$2:$R$5093,18,FALSE)</f>
        <v>#N/A</v>
      </c>
      <c r="AH814" s="412" t="e">
        <f ca="1">IFERROR(IF(AND(V814=V813,W814=W813),0.5*(AB814+AB813)*AG814,(VLOOKUP(_xlfn.CONCAT(U814,V814,W814,X814,VLOOKUP(Z814,TIME!$S$28:$T$39,2,FALSE)),FC_DATA!$R$2:$AB$5000,MATCH("GS_I_M",FC_DATA!$R$1:$AB$1,0),FALSE)+FC_DATA!AB814)*0.5*FC_DATA!AG814),NA())</f>
        <v>#N/A</v>
      </c>
      <c r="AI814" s="491" t="e">
        <f ca="1">IF(V814="PARTNER.com",AH814,IF(AND(V814=V813,W814=W813),(1-AVERAGE(AD813,AD814))*AH814,(1-AVERAGE(AD814,VLOOKUP(_xlfn.CONCAT(U814,V814,W814,X814,M_BRAND_FC!$F$6),FC_DATA!$R$2:$AD$5000,MATCH("DISCOUNT_%_M",FC_DATA!$R$1:$AD$1,0),FALSE)))*AH814))</f>
        <v>#N/A</v>
      </c>
      <c r="AJ814" s="412" t="str">
        <f t="shared" ca="1" si="318"/>
        <v/>
      </c>
      <c r="AK814" s="413" t="str">
        <f>IFERROR(AE814/(Q_BRAND_FC!$T$24+1),"")</f>
        <v/>
      </c>
      <c r="AL814" s="88" t="str">
        <f t="shared" ca="1" si="319"/>
        <v/>
      </c>
      <c r="AM814" s="414" t="str">
        <f t="shared" ca="1" si="320"/>
        <v/>
      </c>
      <c r="AN814" s="58">
        <f>IFERROR(IF($V814="BRAND.com",HLOOKUP($X814&amp;$Z814,NWC_FC_NOOS!$C$4:$Q$23,MATCH(W814,NWC_FC_NOOS!$B$4:$B$23,0),FALSE),0),0)</f>
        <v>0</v>
      </c>
      <c r="AO814" s="57">
        <f>IFERROR(IF($V814="BRAND.com",HLOOKUP($X814&amp;$Z814,NWC_FC_NOOS!$T$4:$AH$23,MATCH(W814,NWC_FC_NOOS!$S$4:$S$23,0),FALSE),0),0)</f>
        <v>0</v>
      </c>
      <c r="AP814" s="57">
        <f>IFERROR(IF($V814="BRAND.com",HLOOKUP($X814&amp;$Z814,NWC_FC_NOOS!$C$50:$U$69,MATCH(W814,NWC_FC_NOOS!$B$50:$B$69,0),FALSE),0),0)</f>
        <v>0</v>
      </c>
      <c r="AQ814" s="58">
        <f>IFERROR(IF($V814="BRAND.com",HLOOKUP($X814&amp;$Z814,'NWC_FC_NON-NOOS'!$C$4:$Q$23,MATCH(W814,'NWC_FC_NON-NOOS'!$B$4:$B$23,0),FALSE),0),0)</f>
        <v>0</v>
      </c>
      <c r="AR814" s="57">
        <f>IFERROR(IF($V814="BRAND.com",HLOOKUP($X814&amp;$Z814,'NWC_FC_NON-NOOS'!$T$4:$AH$23,MATCH(W814,'NWC_FC_NON-NOOS'!$S$4:$S$23,0),FALSE),0),0)</f>
        <v>0</v>
      </c>
      <c r="AS814" s="57">
        <f>IFERROR(IF($V814="BRAND.com",HLOOKUP($X814&amp;$Z814,'NWC_FC_NON-NOOS'!$C$50:$U$69,MATCH(W814,'NWC_FC_NON-NOOS'!$B$50:$B$69,0),FALSE),0),0)</f>
        <v>0</v>
      </c>
      <c r="AT814" s="57">
        <f t="shared" si="322"/>
        <v>0</v>
      </c>
      <c r="AU814" s="57">
        <f t="shared" si="323"/>
        <v>0</v>
      </c>
      <c r="AV814" s="58">
        <f>IFERROR(IF($V814="BRAND.com",HLOOKUP($X814&amp;$Z814,PLANNING_FC!$BB$27:$BP$46,MATCH($W814,PLANNING_FC!$BA$27:$BA$46,0),FALSE),0),0)</f>
        <v>0</v>
      </c>
      <c r="AW814" s="58">
        <f>IFERROR(IF($V814="BRAND.com",HLOOKUP($X814&amp;$Z814,PLANNING_FC!$BB$4:$BP$23,MATCH($W814,PLANNING_FC!$BA$4:$BA$23,0),FALSE),0),0)</f>
        <v>0</v>
      </c>
      <c r="AX814" s="58">
        <f>IFERROR(IF($V814="BRAND.com",HLOOKUP($X814&amp;$Z814,PLANNING_FC!$T$27:$AH$46,MATCH($W814,PLANNING_FC!$B$27:$B$46,0),FALSE),0),0)</f>
        <v>0</v>
      </c>
      <c r="AY814" s="58">
        <f>IFERROR(IF($V814="BRAND.com",HLOOKUP($X814&amp;$Z814,PLANNING_FC!$T$4:$AH$23,MATCH($W814,PLANNING_FC!$B$4:$B$23,0),FALSE),0),0)</f>
        <v>0</v>
      </c>
      <c r="AZ814" s="58">
        <f>IFERROR(IF($V814="BRAND.com",HLOOKUP($X814&amp;$Z814,PLANNING_FC!$DA$27:$DO$46,MATCH($W814,PLANNING_FC!$CZ$27:$CZ$46,0),FALSE),0),0)</f>
        <v>0</v>
      </c>
      <c r="BA814" s="58">
        <f>IFERROR(IF($V814="BRAND.com",HLOOKUP($X814&amp;$Z814,PLANNING_FC!$DA$4:$DO$23,MATCH($W814,PLANNING_FC!$CZ$4:$CZ$23,0),FALSE),0),0)</f>
        <v>0</v>
      </c>
      <c r="BB814" s="883" t="str">
        <f>IF(V814="BRAND.com",IFERROR(HLOOKUP(X814&amp;Z814,PLANNING_FC!$AK$4:$AY$23,MATCH(W814,PLANNING_FC!$AJ$4:$AJ$23,0),FALSE)*1000,""),"")</f>
        <v/>
      </c>
      <c r="BC814" s="883" t="str">
        <f>IF(V814="BRAND.com",IFERROR(HLOOKUP(X814&amp;Z814,PLANNING_FC!$AK$27:$AY$46,MATCH(W814,PLANNING_FC!$AJ$27:$AJ$46,0),FALSE)*1000,""),"")</f>
        <v/>
      </c>
    </row>
    <row r="815" spans="14:55" x14ac:dyDescent="0.25">
      <c r="N815" s="56">
        <f t="shared" si="304"/>
        <v>0</v>
      </c>
      <c r="O815" s="57">
        <f t="shared" si="305"/>
        <v>0</v>
      </c>
      <c r="P815" s="57">
        <f ca="1">IFERROR(IF(ISBLANK(H815),SUMIFS($AC:$AC,$V:$V,V815,$W:$W,W815,$X:$X,X815,$Y:$Y,Y815)*J815/(1-J815)*VLOOKUP(_xlfn.CONCAT(C815,D815,E815,TIME!$M$12,Z815),HIS_SALES!$B$2:$W$4859,20,FALSE),AC815*J815/(1-J815)),0)</f>
        <v>0</v>
      </c>
      <c r="Q815" s="541" t="str">
        <f t="shared" si="306"/>
        <v/>
      </c>
      <c r="R815" s="346" t="str">
        <f t="shared" si="307"/>
        <v>00000</v>
      </c>
      <c r="S815" s="344">
        <f t="shared" si="308"/>
        <v>0</v>
      </c>
      <c r="T815" s="345" t="str">
        <f t="shared" si="321"/>
        <v>000</v>
      </c>
      <c r="U815" s="345">
        <f t="shared" si="309"/>
        <v>0</v>
      </c>
      <c r="V815" s="345">
        <f t="shared" si="310"/>
        <v>0</v>
      </c>
      <c r="W815" s="345">
        <f t="shared" si="311"/>
        <v>0</v>
      </c>
      <c r="X815" s="345">
        <f t="shared" si="312"/>
        <v>0</v>
      </c>
      <c r="Y815" s="345">
        <f t="shared" si="313"/>
        <v>0</v>
      </c>
      <c r="Z815" s="345">
        <f>IF(Q815&lt;&gt;"",VLOOKUP(Y815,TIME!$R$21:$V$24,MATCH(FC_DATA!Q815,TIME!$R$20:$V$20,0),FALSE),H815)</f>
        <v>0</v>
      </c>
      <c r="AA815" s="345" t="str">
        <f>IFERROR(VLOOKUP(X815&amp;Z815,TIME!$A$12:$D$71,4,FALSE),"")</f>
        <v/>
      </c>
      <c r="AB815" s="592">
        <f t="shared" ca="1" si="314"/>
        <v>0</v>
      </c>
      <c r="AC815" s="593" t="e">
        <f ca="1">IF(ISBLANK(H815)=FALSE,IF(D815="BRAND.com",I815,IF(ISNA(VLOOKUP(_xlfn.CONCAT(X815,Z815),TIME!$M$40:$M$42,1,FALSE)),I815,VLOOKUP(_xlfn.CONCAT(D815,G815,H815),M_BUSAREA_FC!$AF$5:$AJ$10,5,FALSE)*HLOOKUP(_xlfn.CONCAT(F815,H815),ST_OVERVIEW!$G$99:$I$130,MATCH(_xlfn.CONCAT(D815,E815),ST_OVERVIEW!$F$99:$F$130,0),FALSE))),IF(D815="BRAND.com",VLOOKUP(_xlfn.CONCAT(C815,D815,E815,TIME!$F$1,Z815),HIS_SALES!$B$2:$V$4859,19,FALSE)*I815,VLOOKUP(_xlfn.CONCAT(D815,F815,G815),Q_BUSAREA_FC!$AE$5:$AI$12,5,FALSE)*HLOOKUP(_xlfn.CONCAT(FC_DATA!F815,FC_DATA!G815),LT_OVERVIEW!$I$99:$M$130,MATCH(_xlfn.CONCAT(D815,FC_DATA!E815),LT_OVERVIEW!$H$99:$H$130,0),FALSE)*IFERROR(VLOOKUP(_xlfn.CONCAT(C815,D815,E815,TIME!$F$1,Z815),HIS_SALES!$B$2:$V$4859,19,FALSE),0)))</f>
        <v>#N/A</v>
      </c>
      <c r="AD815" s="341">
        <f t="shared" ca="1" si="315"/>
        <v>0</v>
      </c>
      <c r="AE815" s="363" t="str">
        <f t="shared" si="316"/>
        <v/>
      </c>
      <c r="AF815" s="342" t="str">
        <f t="shared" si="317"/>
        <v/>
      </c>
      <c r="AG815" s="411" t="e">
        <f ca="1">VLOOKUP(_xlfn.CONCAT(U815,V815,W815,VLOOKUP(X815&amp;Y815,TIME!$L$27:$O$34,4,FALSE),Y815),HIS_SALES!$A$2:$R$5093,18,FALSE)</f>
        <v>#N/A</v>
      </c>
      <c r="AH815" s="412" t="e">
        <f ca="1">IFERROR(IF(AND(V815=V814,W815=W814),0.5*(AB815+AB814)*AG815,(VLOOKUP(_xlfn.CONCAT(U815,V815,W815,X815,VLOOKUP(Z815,TIME!$S$28:$T$39,2,FALSE)),FC_DATA!$R$2:$AB$5000,MATCH("GS_I_M",FC_DATA!$R$1:$AB$1,0),FALSE)+FC_DATA!AB815)*0.5*FC_DATA!AG815),NA())</f>
        <v>#N/A</v>
      </c>
      <c r="AI815" s="491" t="e">
        <f ca="1">IF(V815="PARTNER.com",AH815,IF(AND(V815=V814,W815=W814),(1-AVERAGE(AD814,AD815))*AH815,(1-AVERAGE(AD815,VLOOKUP(_xlfn.CONCAT(U815,V815,W815,X815,M_BRAND_FC!$F$6),FC_DATA!$R$2:$AD$5000,MATCH("DISCOUNT_%_M",FC_DATA!$R$1:$AD$1,0),FALSE)))*AH815))</f>
        <v>#N/A</v>
      </c>
      <c r="AJ815" s="412" t="str">
        <f t="shared" ca="1" si="318"/>
        <v/>
      </c>
      <c r="AK815" s="413" t="str">
        <f>IFERROR(AE815/(Q_BRAND_FC!$T$24+1),"")</f>
        <v/>
      </c>
      <c r="AL815" s="88" t="str">
        <f t="shared" ca="1" si="319"/>
        <v/>
      </c>
      <c r="AM815" s="414" t="str">
        <f t="shared" ca="1" si="320"/>
        <v/>
      </c>
      <c r="AN815" s="58">
        <f>IFERROR(IF($V815="BRAND.com",HLOOKUP($X815&amp;$Z815,NWC_FC_NOOS!$C$4:$Q$23,MATCH(W815,NWC_FC_NOOS!$B$4:$B$23,0),FALSE),0),0)</f>
        <v>0</v>
      </c>
      <c r="AO815" s="57">
        <f>IFERROR(IF($V815="BRAND.com",HLOOKUP($X815&amp;$Z815,NWC_FC_NOOS!$T$4:$AH$23,MATCH(W815,NWC_FC_NOOS!$S$4:$S$23,0),FALSE),0),0)</f>
        <v>0</v>
      </c>
      <c r="AP815" s="57">
        <f>IFERROR(IF($V815="BRAND.com",HLOOKUP($X815&amp;$Z815,NWC_FC_NOOS!$C$50:$U$69,MATCH(W815,NWC_FC_NOOS!$B$50:$B$69,0),FALSE),0),0)</f>
        <v>0</v>
      </c>
      <c r="AQ815" s="58">
        <f>IFERROR(IF($V815="BRAND.com",HLOOKUP($X815&amp;$Z815,'NWC_FC_NON-NOOS'!$C$4:$Q$23,MATCH(W815,'NWC_FC_NON-NOOS'!$B$4:$B$23,0),FALSE),0),0)</f>
        <v>0</v>
      </c>
      <c r="AR815" s="57">
        <f>IFERROR(IF($V815="BRAND.com",HLOOKUP($X815&amp;$Z815,'NWC_FC_NON-NOOS'!$T$4:$AH$23,MATCH(W815,'NWC_FC_NON-NOOS'!$S$4:$S$23,0),FALSE),0),0)</f>
        <v>0</v>
      </c>
      <c r="AS815" s="57">
        <f>IFERROR(IF($V815="BRAND.com",HLOOKUP($X815&amp;$Z815,'NWC_FC_NON-NOOS'!$C$50:$U$69,MATCH(W815,'NWC_FC_NON-NOOS'!$B$50:$B$69,0),FALSE),0),0)</f>
        <v>0</v>
      </c>
      <c r="AT815" s="57">
        <f t="shared" si="322"/>
        <v>0</v>
      </c>
      <c r="AU815" s="57">
        <f t="shared" si="323"/>
        <v>0</v>
      </c>
      <c r="AV815" s="58">
        <f>IFERROR(IF($V815="BRAND.com",HLOOKUP($X815&amp;$Z815,PLANNING_FC!$BB$27:$BP$46,MATCH($W815,PLANNING_FC!$BA$27:$BA$46,0),FALSE),0),0)</f>
        <v>0</v>
      </c>
      <c r="AW815" s="58">
        <f>IFERROR(IF($V815="BRAND.com",HLOOKUP($X815&amp;$Z815,PLANNING_FC!$BB$4:$BP$23,MATCH($W815,PLANNING_FC!$BA$4:$BA$23,0),FALSE),0),0)</f>
        <v>0</v>
      </c>
      <c r="AX815" s="58">
        <f>IFERROR(IF($V815="BRAND.com",HLOOKUP($X815&amp;$Z815,PLANNING_FC!$T$27:$AH$46,MATCH($W815,PLANNING_FC!$B$27:$B$46,0),FALSE),0),0)</f>
        <v>0</v>
      </c>
      <c r="AY815" s="58">
        <f>IFERROR(IF($V815="BRAND.com",HLOOKUP($X815&amp;$Z815,PLANNING_FC!$T$4:$AH$23,MATCH($W815,PLANNING_FC!$B$4:$B$23,0),FALSE),0),0)</f>
        <v>0</v>
      </c>
      <c r="AZ815" s="58">
        <f>IFERROR(IF($V815="BRAND.com",HLOOKUP($X815&amp;$Z815,PLANNING_FC!$DA$27:$DO$46,MATCH($W815,PLANNING_FC!$CZ$27:$CZ$46,0),FALSE),0),0)</f>
        <v>0</v>
      </c>
      <c r="BA815" s="58">
        <f>IFERROR(IF($V815="BRAND.com",HLOOKUP($X815&amp;$Z815,PLANNING_FC!$DA$4:$DO$23,MATCH($W815,PLANNING_FC!$CZ$4:$CZ$23,0),FALSE),0),0)</f>
        <v>0</v>
      </c>
      <c r="BB815" s="883" t="str">
        <f>IF(V815="BRAND.com",IFERROR(HLOOKUP(X815&amp;Z815,PLANNING_FC!$AK$4:$AY$23,MATCH(W815,PLANNING_FC!$AJ$4:$AJ$23,0),FALSE)*1000,""),"")</f>
        <v/>
      </c>
      <c r="BC815" s="883" t="str">
        <f>IF(V815="BRAND.com",IFERROR(HLOOKUP(X815&amp;Z815,PLANNING_FC!$AK$27:$AY$46,MATCH(W815,PLANNING_FC!$AJ$27:$AJ$46,0),FALSE)*1000,""),"")</f>
        <v/>
      </c>
    </row>
    <row r="816" spans="14:55" x14ac:dyDescent="0.25">
      <c r="N816" s="56">
        <f t="shared" si="304"/>
        <v>0</v>
      </c>
      <c r="O816" s="57">
        <f t="shared" si="305"/>
        <v>0</v>
      </c>
      <c r="P816" s="57">
        <f ca="1">IFERROR(IF(ISBLANK(H816),SUMIFS($AC:$AC,$V:$V,V816,$W:$W,W816,$X:$X,X816,$Y:$Y,Y816)*J816/(1-J816)*VLOOKUP(_xlfn.CONCAT(C816,D816,E816,TIME!$M$12,Z816),HIS_SALES!$B$2:$W$4859,20,FALSE),AC816*J816/(1-J816)),0)</f>
        <v>0</v>
      </c>
      <c r="Q816" s="541" t="str">
        <f t="shared" si="306"/>
        <v/>
      </c>
      <c r="R816" s="346" t="str">
        <f t="shared" si="307"/>
        <v>00000</v>
      </c>
      <c r="S816" s="344">
        <f t="shared" si="308"/>
        <v>0</v>
      </c>
      <c r="T816" s="345" t="str">
        <f t="shared" si="321"/>
        <v>000</v>
      </c>
      <c r="U816" s="345">
        <f t="shared" si="309"/>
        <v>0</v>
      </c>
      <c r="V816" s="345">
        <f t="shared" si="310"/>
        <v>0</v>
      </c>
      <c r="W816" s="345">
        <f t="shared" si="311"/>
        <v>0</v>
      </c>
      <c r="X816" s="345">
        <f t="shared" si="312"/>
        <v>0</v>
      </c>
      <c r="Y816" s="345">
        <f t="shared" si="313"/>
        <v>0</v>
      </c>
      <c r="Z816" s="345">
        <f>IF(Q816&lt;&gt;"",VLOOKUP(Y816,TIME!$R$21:$V$24,MATCH(FC_DATA!Q816,TIME!$R$20:$V$20,0),FALSE),H816)</f>
        <v>0</v>
      </c>
      <c r="AA816" s="345" t="str">
        <f>IFERROR(VLOOKUP(X816&amp;Z816,TIME!$A$12:$D$71,4,FALSE),"")</f>
        <v/>
      </c>
      <c r="AB816" s="592">
        <f t="shared" ca="1" si="314"/>
        <v>0</v>
      </c>
      <c r="AC816" s="593" t="e">
        <f ca="1">IF(ISBLANK(H816)=FALSE,IF(D816="BRAND.com",I816,IF(ISNA(VLOOKUP(_xlfn.CONCAT(X816,Z816),TIME!$M$40:$M$42,1,FALSE)),I816,VLOOKUP(_xlfn.CONCAT(D816,G816,H816),M_BUSAREA_FC!$AF$5:$AJ$10,5,FALSE)*HLOOKUP(_xlfn.CONCAT(F816,H816),ST_OVERVIEW!$G$99:$I$130,MATCH(_xlfn.CONCAT(D816,E816),ST_OVERVIEW!$F$99:$F$130,0),FALSE))),IF(D816="BRAND.com",VLOOKUP(_xlfn.CONCAT(C816,D816,E816,TIME!$F$1,Z816),HIS_SALES!$B$2:$V$4859,19,FALSE)*I816,VLOOKUP(_xlfn.CONCAT(D816,F816,G816),Q_BUSAREA_FC!$AE$5:$AI$12,5,FALSE)*HLOOKUP(_xlfn.CONCAT(FC_DATA!F816,FC_DATA!G816),LT_OVERVIEW!$I$99:$M$130,MATCH(_xlfn.CONCAT(D816,FC_DATA!E816),LT_OVERVIEW!$H$99:$H$130,0),FALSE)*IFERROR(VLOOKUP(_xlfn.CONCAT(C816,D816,E816,TIME!$F$1,Z816),HIS_SALES!$B$2:$V$4859,19,FALSE),0)))</f>
        <v>#N/A</v>
      </c>
      <c r="AD816" s="341">
        <f t="shared" ca="1" si="315"/>
        <v>0</v>
      </c>
      <c r="AE816" s="363" t="str">
        <f t="shared" si="316"/>
        <v/>
      </c>
      <c r="AF816" s="342" t="str">
        <f t="shared" si="317"/>
        <v/>
      </c>
      <c r="AG816" s="411" t="e">
        <f ca="1">VLOOKUP(_xlfn.CONCAT(U816,V816,W816,VLOOKUP(X816&amp;Y816,TIME!$L$27:$O$34,4,FALSE),Y816),HIS_SALES!$A$2:$R$5093,18,FALSE)</f>
        <v>#N/A</v>
      </c>
      <c r="AH816" s="412" t="e">
        <f ca="1">IFERROR(IF(AND(V816=V815,W816=W815),0.5*(AB816+AB815)*AG816,(VLOOKUP(_xlfn.CONCAT(U816,V816,W816,X816,VLOOKUP(Z816,TIME!$S$28:$T$39,2,FALSE)),FC_DATA!$R$2:$AB$5000,MATCH("GS_I_M",FC_DATA!$R$1:$AB$1,0),FALSE)+FC_DATA!AB816)*0.5*FC_DATA!AG816),NA())</f>
        <v>#N/A</v>
      </c>
      <c r="AI816" s="491" t="e">
        <f ca="1">IF(V816="PARTNER.com",AH816,IF(AND(V816=V815,W816=W815),(1-AVERAGE(AD815,AD816))*AH816,(1-AVERAGE(AD816,VLOOKUP(_xlfn.CONCAT(U816,V816,W816,X816,M_BRAND_FC!$F$6),FC_DATA!$R$2:$AD$5000,MATCH("DISCOUNT_%_M",FC_DATA!$R$1:$AD$1,0),FALSE)))*AH816))</f>
        <v>#N/A</v>
      </c>
      <c r="AJ816" s="412" t="str">
        <f t="shared" ca="1" si="318"/>
        <v/>
      </c>
      <c r="AK816" s="413" t="str">
        <f>IFERROR(AE816/(Q_BRAND_FC!$T$24+1),"")</f>
        <v/>
      </c>
      <c r="AL816" s="88" t="str">
        <f t="shared" ca="1" si="319"/>
        <v/>
      </c>
      <c r="AM816" s="414" t="str">
        <f t="shared" ca="1" si="320"/>
        <v/>
      </c>
      <c r="AN816" s="58">
        <f>IFERROR(IF($V816="BRAND.com",HLOOKUP($X816&amp;$Z816,NWC_FC_NOOS!$C$4:$Q$23,MATCH(W816,NWC_FC_NOOS!$B$4:$B$23,0),FALSE),0),0)</f>
        <v>0</v>
      </c>
      <c r="AO816" s="57">
        <f>IFERROR(IF($V816="BRAND.com",HLOOKUP($X816&amp;$Z816,NWC_FC_NOOS!$T$4:$AH$23,MATCH(W816,NWC_FC_NOOS!$S$4:$S$23,0),FALSE),0),0)</f>
        <v>0</v>
      </c>
      <c r="AP816" s="57">
        <f>IFERROR(IF($V816="BRAND.com",HLOOKUP($X816&amp;$Z816,NWC_FC_NOOS!$C$50:$U$69,MATCH(W816,NWC_FC_NOOS!$B$50:$B$69,0),FALSE),0),0)</f>
        <v>0</v>
      </c>
      <c r="AQ816" s="58">
        <f>IFERROR(IF($V816="BRAND.com",HLOOKUP($X816&amp;$Z816,'NWC_FC_NON-NOOS'!$C$4:$Q$23,MATCH(W816,'NWC_FC_NON-NOOS'!$B$4:$B$23,0),FALSE),0),0)</f>
        <v>0</v>
      </c>
      <c r="AR816" s="57">
        <f>IFERROR(IF($V816="BRAND.com",HLOOKUP($X816&amp;$Z816,'NWC_FC_NON-NOOS'!$T$4:$AH$23,MATCH(W816,'NWC_FC_NON-NOOS'!$S$4:$S$23,0),FALSE),0),0)</f>
        <v>0</v>
      </c>
      <c r="AS816" s="57">
        <f>IFERROR(IF($V816="BRAND.com",HLOOKUP($X816&amp;$Z816,'NWC_FC_NON-NOOS'!$C$50:$U$69,MATCH(W816,'NWC_FC_NON-NOOS'!$B$50:$B$69,0),FALSE),0),0)</f>
        <v>0</v>
      </c>
      <c r="AT816" s="57">
        <f t="shared" si="322"/>
        <v>0</v>
      </c>
      <c r="AU816" s="57">
        <f t="shared" si="323"/>
        <v>0</v>
      </c>
      <c r="AV816" s="58">
        <f>IFERROR(IF($V816="BRAND.com",HLOOKUP($X816&amp;$Z816,PLANNING_FC!$BB$27:$BP$46,MATCH($W816,PLANNING_FC!$BA$27:$BA$46,0),FALSE),0),0)</f>
        <v>0</v>
      </c>
      <c r="AW816" s="58">
        <f>IFERROR(IF($V816="BRAND.com",HLOOKUP($X816&amp;$Z816,PLANNING_FC!$BB$4:$BP$23,MATCH($W816,PLANNING_FC!$BA$4:$BA$23,0),FALSE),0),0)</f>
        <v>0</v>
      </c>
      <c r="AX816" s="58">
        <f>IFERROR(IF($V816="BRAND.com",HLOOKUP($X816&amp;$Z816,PLANNING_FC!$T$27:$AH$46,MATCH($W816,PLANNING_FC!$B$27:$B$46,0),FALSE),0),0)</f>
        <v>0</v>
      </c>
      <c r="AY816" s="58">
        <f>IFERROR(IF($V816="BRAND.com",HLOOKUP($X816&amp;$Z816,PLANNING_FC!$T$4:$AH$23,MATCH($W816,PLANNING_FC!$B$4:$B$23,0),FALSE),0),0)</f>
        <v>0</v>
      </c>
      <c r="AZ816" s="58">
        <f>IFERROR(IF($V816="BRAND.com",HLOOKUP($X816&amp;$Z816,PLANNING_FC!$DA$27:$DO$46,MATCH($W816,PLANNING_FC!$CZ$27:$CZ$46,0),FALSE),0),0)</f>
        <v>0</v>
      </c>
      <c r="BA816" s="58">
        <f>IFERROR(IF($V816="BRAND.com",HLOOKUP($X816&amp;$Z816,PLANNING_FC!$DA$4:$DO$23,MATCH($W816,PLANNING_FC!$CZ$4:$CZ$23,0),FALSE),0),0)</f>
        <v>0</v>
      </c>
      <c r="BB816" s="883" t="str">
        <f>IF(V816="BRAND.com",IFERROR(HLOOKUP(X816&amp;Z816,PLANNING_FC!$AK$4:$AY$23,MATCH(W816,PLANNING_FC!$AJ$4:$AJ$23,0),FALSE)*1000,""),"")</f>
        <v/>
      </c>
      <c r="BC816" s="883" t="str">
        <f>IF(V816="BRAND.com",IFERROR(HLOOKUP(X816&amp;Z816,PLANNING_FC!$AK$27:$AY$46,MATCH(W816,PLANNING_FC!$AJ$27:$AJ$46,0),FALSE)*1000,""),"")</f>
        <v/>
      </c>
    </row>
    <row r="817" spans="14:55" x14ac:dyDescent="0.25">
      <c r="N817" s="56">
        <f t="shared" si="304"/>
        <v>0</v>
      </c>
      <c r="O817" s="57">
        <f t="shared" si="305"/>
        <v>0</v>
      </c>
      <c r="P817" s="57">
        <f ca="1">IFERROR(IF(ISBLANK(H817),SUMIFS($AC:$AC,$V:$V,V817,$W:$W,W817,$X:$X,X817,$Y:$Y,Y817)*J817/(1-J817)*VLOOKUP(_xlfn.CONCAT(C817,D817,E817,TIME!$M$12,Z817),HIS_SALES!$B$2:$W$4859,20,FALSE),AC817*J817/(1-J817)),0)</f>
        <v>0</v>
      </c>
      <c r="Q817" s="541" t="str">
        <f t="shared" si="306"/>
        <v/>
      </c>
      <c r="R817" s="346" t="str">
        <f t="shared" si="307"/>
        <v>00000</v>
      </c>
      <c r="S817" s="344">
        <f t="shared" si="308"/>
        <v>0</v>
      </c>
      <c r="T817" s="345" t="str">
        <f t="shared" si="321"/>
        <v>000</v>
      </c>
      <c r="U817" s="345">
        <f t="shared" si="309"/>
        <v>0</v>
      </c>
      <c r="V817" s="345">
        <f t="shared" si="310"/>
        <v>0</v>
      </c>
      <c r="W817" s="345">
        <f t="shared" si="311"/>
        <v>0</v>
      </c>
      <c r="X817" s="345">
        <f t="shared" si="312"/>
        <v>0</v>
      </c>
      <c r="Y817" s="345">
        <f t="shared" si="313"/>
        <v>0</v>
      </c>
      <c r="Z817" s="345">
        <f>IF(Q817&lt;&gt;"",VLOOKUP(Y817,TIME!$R$21:$V$24,MATCH(FC_DATA!Q817,TIME!$R$20:$V$20,0),FALSE),H817)</f>
        <v>0</v>
      </c>
      <c r="AA817" s="345" t="str">
        <f>IFERROR(VLOOKUP(X817&amp;Z817,TIME!$A$12:$D$71,4,FALSE),"")</f>
        <v/>
      </c>
      <c r="AB817" s="592">
        <f t="shared" ca="1" si="314"/>
        <v>0</v>
      </c>
      <c r="AC817" s="593" t="e">
        <f ca="1">IF(ISBLANK(H817)=FALSE,IF(D817="BRAND.com",I817,IF(ISNA(VLOOKUP(_xlfn.CONCAT(X817,Z817),TIME!$M$40:$M$42,1,FALSE)),I817,VLOOKUP(_xlfn.CONCAT(D817,G817,H817),M_BUSAREA_FC!$AF$5:$AJ$10,5,FALSE)*HLOOKUP(_xlfn.CONCAT(F817,H817),ST_OVERVIEW!$G$99:$I$130,MATCH(_xlfn.CONCAT(D817,E817),ST_OVERVIEW!$F$99:$F$130,0),FALSE))),IF(D817="BRAND.com",VLOOKUP(_xlfn.CONCAT(C817,D817,E817,TIME!$F$1,Z817),HIS_SALES!$B$2:$V$4859,19,FALSE)*I817,VLOOKUP(_xlfn.CONCAT(D817,F817,G817),Q_BUSAREA_FC!$AE$5:$AI$12,5,FALSE)*HLOOKUP(_xlfn.CONCAT(FC_DATA!F817,FC_DATA!G817),LT_OVERVIEW!$I$99:$M$130,MATCH(_xlfn.CONCAT(D817,FC_DATA!E817),LT_OVERVIEW!$H$99:$H$130,0),FALSE)*IFERROR(VLOOKUP(_xlfn.CONCAT(C817,D817,E817,TIME!$F$1,Z817),HIS_SALES!$B$2:$V$4859,19,FALSE),0)))</f>
        <v>#N/A</v>
      </c>
      <c r="AD817" s="341">
        <f t="shared" ca="1" si="315"/>
        <v>0</v>
      </c>
      <c r="AE817" s="363" t="str">
        <f t="shared" si="316"/>
        <v/>
      </c>
      <c r="AF817" s="342" t="str">
        <f t="shared" si="317"/>
        <v/>
      </c>
      <c r="AG817" s="411" t="e">
        <f ca="1">VLOOKUP(_xlfn.CONCAT(U817,V817,W817,VLOOKUP(X817&amp;Y817,TIME!$L$27:$O$34,4,FALSE),Y817),HIS_SALES!$A$2:$R$5093,18,FALSE)</f>
        <v>#N/A</v>
      </c>
      <c r="AH817" s="412" t="e">
        <f ca="1">IFERROR(IF(AND(V817=V816,W817=W816),0.5*(AB817+AB816)*AG817,(VLOOKUP(_xlfn.CONCAT(U817,V817,W817,X817,VLOOKUP(Z817,TIME!$S$28:$T$39,2,FALSE)),FC_DATA!$R$2:$AB$5000,MATCH("GS_I_M",FC_DATA!$R$1:$AB$1,0),FALSE)+FC_DATA!AB817)*0.5*FC_DATA!AG817),NA())</f>
        <v>#N/A</v>
      </c>
      <c r="AI817" s="491" t="e">
        <f ca="1">IF(V817="PARTNER.com",AH817,IF(AND(V817=V816,W817=W816),(1-AVERAGE(AD816,AD817))*AH817,(1-AVERAGE(AD817,VLOOKUP(_xlfn.CONCAT(U817,V817,W817,X817,M_BRAND_FC!$F$6),FC_DATA!$R$2:$AD$5000,MATCH("DISCOUNT_%_M",FC_DATA!$R$1:$AD$1,0),FALSE)))*AH817))</f>
        <v>#N/A</v>
      </c>
      <c r="AJ817" s="412" t="str">
        <f t="shared" ca="1" si="318"/>
        <v/>
      </c>
      <c r="AK817" s="413" t="str">
        <f>IFERROR(AE817/(Q_BRAND_FC!$T$24+1),"")</f>
        <v/>
      </c>
      <c r="AL817" s="88" t="str">
        <f t="shared" ca="1" si="319"/>
        <v/>
      </c>
      <c r="AM817" s="414" t="str">
        <f t="shared" ca="1" si="320"/>
        <v/>
      </c>
      <c r="AN817" s="58">
        <f>IFERROR(IF($V817="BRAND.com",HLOOKUP($X817&amp;$Z817,NWC_FC_NOOS!$C$4:$Q$23,MATCH(W817,NWC_FC_NOOS!$B$4:$B$23,0),FALSE),0),0)</f>
        <v>0</v>
      </c>
      <c r="AO817" s="57">
        <f>IFERROR(IF($V817="BRAND.com",HLOOKUP($X817&amp;$Z817,NWC_FC_NOOS!$T$4:$AH$23,MATCH(W817,NWC_FC_NOOS!$S$4:$S$23,0),FALSE),0),0)</f>
        <v>0</v>
      </c>
      <c r="AP817" s="57">
        <f>IFERROR(IF($V817="BRAND.com",HLOOKUP($X817&amp;$Z817,NWC_FC_NOOS!$C$50:$U$69,MATCH(W817,NWC_FC_NOOS!$B$50:$B$69,0),FALSE),0),0)</f>
        <v>0</v>
      </c>
      <c r="AQ817" s="58">
        <f>IFERROR(IF($V817="BRAND.com",HLOOKUP($X817&amp;$Z817,'NWC_FC_NON-NOOS'!$C$4:$Q$23,MATCH(W817,'NWC_FC_NON-NOOS'!$B$4:$B$23,0),FALSE),0),0)</f>
        <v>0</v>
      </c>
      <c r="AR817" s="57">
        <f>IFERROR(IF($V817="BRAND.com",HLOOKUP($X817&amp;$Z817,'NWC_FC_NON-NOOS'!$T$4:$AH$23,MATCH(W817,'NWC_FC_NON-NOOS'!$S$4:$S$23,0),FALSE),0),0)</f>
        <v>0</v>
      </c>
      <c r="AS817" s="57">
        <f>IFERROR(IF($V817="BRAND.com",HLOOKUP($X817&amp;$Z817,'NWC_FC_NON-NOOS'!$C$50:$U$69,MATCH(W817,'NWC_FC_NON-NOOS'!$B$50:$B$69,0),FALSE),0),0)</f>
        <v>0</v>
      </c>
      <c r="AT817" s="57">
        <f t="shared" si="322"/>
        <v>0</v>
      </c>
      <c r="AU817" s="57">
        <f t="shared" si="323"/>
        <v>0</v>
      </c>
      <c r="AV817" s="58">
        <f>IFERROR(IF($V817="BRAND.com",HLOOKUP($X817&amp;$Z817,PLANNING_FC!$BB$27:$BP$46,MATCH($W817,PLANNING_FC!$BA$27:$BA$46,0),FALSE),0),0)</f>
        <v>0</v>
      </c>
      <c r="AW817" s="58">
        <f>IFERROR(IF($V817="BRAND.com",HLOOKUP($X817&amp;$Z817,PLANNING_FC!$BB$4:$BP$23,MATCH($W817,PLANNING_FC!$BA$4:$BA$23,0),FALSE),0),0)</f>
        <v>0</v>
      </c>
      <c r="AX817" s="58">
        <f>IFERROR(IF($V817="BRAND.com",HLOOKUP($X817&amp;$Z817,PLANNING_FC!$T$27:$AH$46,MATCH($W817,PLANNING_FC!$B$27:$B$46,0),FALSE),0),0)</f>
        <v>0</v>
      </c>
      <c r="AY817" s="58">
        <f>IFERROR(IF($V817="BRAND.com",HLOOKUP($X817&amp;$Z817,PLANNING_FC!$T$4:$AH$23,MATCH($W817,PLANNING_FC!$B$4:$B$23,0),FALSE),0),0)</f>
        <v>0</v>
      </c>
      <c r="AZ817" s="58">
        <f>IFERROR(IF($V817="BRAND.com",HLOOKUP($X817&amp;$Z817,PLANNING_FC!$DA$27:$DO$46,MATCH($W817,PLANNING_FC!$CZ$27:$CZ$46,0),FALSE),0),0)</f>
        <v>0</v>
      </c>
      <c r="BA817" s="58">
        <f>IFERROR(IF($V817="BRAND.com",HLOOKUP($X817&amp;$Z817,PLANNING_FC!$DA$4:$DO$23,MATCH($W817,PLANNING_FC!$CZ$4:$CZ$23,0),FALSE),0),0)</f>
        <v>0</v>
      </c>
      <c r="BB817" s="883" t="str">
        <f>IF(V817="BRAND.com",IFERROR(HLOOKUP(X817&amp;Z817,PLANNING_FC!$AK$4:$AY$23,MATCH(W817,PLANNING_FC!$AJ$4:$AJ$23,0),FALSE)*1000,""),"")</f>
        <v/>
      </c>
      <c r="BC817" s="883" t="str">
        <f>IF(V817="BRAND.com",IFERROR(HLOOKUP(X817&amp;Z817,PLANNING_FC!$AK$27:$AY$46,MATCH(W817,PLANNING_FC!$AJ$27:$AJ$46,0),FALSE)*1000,""),"")</f>
        <v/>
      </c>
    </row>
    <row r="818" spans="14:55" x14ac:dyDescent="0.25">
      <c r="N818" s="56">
        <f t="shared" si="304"/>
        <v>0</v>
      </c>
      <c r="O818" s="57">
        <f t="shared" si="305"/>
        <v>0</v>
      </c>
      <c r="P818" s="57">
        <f ca="1">IFERROR(IF(ISBLANK(H818),SUMIFS($AC:$AC,$V:$V,V818,$W:$W,W818,$X:$X,X818,$Y:$Y,Y818)*J818/(1-J818)*VLOOKUP(_xlfn.CONCAT(C818,D818,E818,TIME!$M$12,Z818),HIS_SALES!$B$2:$W$4859,20,FALSE),AC818*J818/(1-J818)),0)</f>
        <v>0</v>
      </c>
      <c r="Q818" s="541" t="str">
        <f t="shared" si="306"/>
        <v/>
      </c>
      <c r="R818" s="346" t="str">
        <f t="shared" si="307"/>
        <v>00000</v>
      </c>
      <c r="S818" s="344">
        <f t="shared" si="308"/>
        <v>0</v>
      </c>
      <c r="T818" s="345" t="str">
        <f t="shared" si="321"/>
        <v>000</v>
      </c>
      <c r="U818" s="345">
        <f t="shared" si="309"/>
        <v>0</v>
      </c>
      <c r="V818" s="345">
        <f t="shared" si="310"/>
        <v>0</v>
      </c>
      <c r="W818" s="345">
        <f t="shared" si="311"/>
        <v>0</v>
      </c>
      <c r="X818" s="345">
        <f t="shared" si="312"/>
        <v>0</v>
      </c>
      <c r="Y818" s="345">
        <f t="shared" si="313"/>
        <v>0</v>
      </c>
      <c r="Z818" s="345">
        <f>IF(Q818&lt;&gt;"",VLOOKUP(Y818,TIME!$R$21:$V$24,MATCH(FC_DATA!Q818,TIME!$R$20:$V$20,0),FALSE),H818)</f>
        <v>0</v>
      </c>
      <c r="AA818" s="345" t="str">
        <f>IFERROR(VLOOKUP(X818&amp;Z818,TIME!$A$12:$D$71,4,FALSE),"")</f>
        <v/>
      </c>
      <c r="AB818" s="592">
        <f t="shared" ca="1" si="314"/>
        <v>0</v>
      </c>
      <c r="AC818" s="593" t="e">
        <f ca="1">IF(ISBLANK(H818)=FALSE,IF(D818="BRAND.com",I818,IF(ISNA(VLOOKUP(_xlfn.CONCAT(X818,Z818),TIME!$M$40:$M$42,1,FALSE)),I818,VLOOKUP(_xlfn.CONCAT(D818,G818,H818),M_BUSAREA_FC!$AF$5:$AJ$10,5,FALSE)*HLOOKUP(_xlfn.CONCAT(F818,H818),ST_OVERVIEW!$G$99:$I$130,MATCH(_xlfn.CONCAT(D818,E818),ST_OVERVIEW!$F$99:$F$130,0),FALSE))),IF(D818="BRAND.com",VLOOKUP(_xlfn.CONCAT(C818,D818,E818,TIME!$F$1,Z818),HIS_SALES!$B$2:$V$4859,19,FALSE)*I818,VLOOKUP(_xlfn.CONCAT(D818,F818,G818),Q_BUSAREA_FC!$AE$5:$AI$12,5,FALSE)*HLOOKUP(_xlfn.CONCAT(FC_DATA!F818,FC_DATA!G818),LT_OVERVIEW!$I$99:$M$130,MATCH(_xlfn.CONCAT(D818,FC_DATA!E818),LT_OVERVIEW!$H$99:$H$130,0),FALSE)*IFERROR(VLOOKUP(_xlfn.CONCAT(C818,D818,E818,TIME!$F$1,Z818),HIS_SALES!$B$2:$V$4859,19,FALSE),0)))</f>
        <v>#N/A</v>
      </c>
      <c r="AD818" s="341">
        <f t="shared" ca="1" si="315"/>
        <v>0</v>
      </c>
      <c r="AE818" s="363" t="str">
        <f t="shared" si="316"/>
        <v/>
      </c>
      <c r="AF818" s="342" t="str">
        <f t="shared" si="317"/>
        <v/>
      </c>
      <c r="AG818" s="411" t="e">
        <f ca="1">VLOOKUP(_xlfn.CONCAT(U818,V818,W818,VLOOKUP(X818&amp;Y818,TIME!$L$27:$O$34,4,FALSE),Y818),HIS_SALES!$A$2:$R$5093,18,FALSE)</f>
        <v>#N/A</v>
      </c>
      <c r="AH818" s="412" t="e">
        <f ca="1">IFERROR(IF(AND(V818=V817,W818=W817),0.5*(AB818+AB817)*AG818,(VLOOKUP(_xlfn.CONCAT(U818,V818,W818,X818,VLOOKUP(Z818,TIME!$S$28:$T$39,2,FALSE)),FC_DATA!$R$2:$AB$5000,MATCH("GS_I_M",FC_DATA!$R$1:$AB$1,0),FALSE)+FC_DATA!AB818)*0.5*FC_DATA!AG818),NA())</f>
        <v>#N/A</v>
      </c>
      <c r="AI818" s="491" t="e">
        <f ca="1">IF(V818="PARTNER.com",AH818,IF(AND(V818=V817,W818=W817),(1-AVERAGE(AD817,AD818))*AH818,(1-AVERAGE(AD818,VLOOKUP(_xlfn.CONCAT(U818,V818,W818,X818,M_BRAND_FC!$F$6),FC_DATA!$R$2:$AD$5000,MATCH("DISCOUNT_%_M",FC_DATA!$R$1:$AD$1,0),FALSE)))*AH818))</f>
        <v>#N/A</v>
      </c>
      <c r="AJ818" s="412" t="str">
        <f t="shared" ca="1" si="318"/>
        <v/>
      </c>
      <c r="AK818" s="413" t="str">
        <f>IFERROR(AE818/(Q_BRAND_FC!$T$24+1),"")</f>
        <v/>
      </c>
      <c r="AL818" s="88" t="str">
        <f t="shared" ca="1" si="319"/>
        <v/>
      </c>
      <c r="AM818" s="414" t="str">
        <f t="shared" ca="1" si="320"/>
        <v/>
      </c>
      <c r="AN818" s="58">
        <f>IFERROR(IF($V818="BRAND.com",HLOOKUP($X818&amp;$Z818,NWC_FC_NOOS!$C$4:$Q$23,MATCH(W818,NWC_FC_NOOS!$B$4:$B$23,0),FALSE),0),0)</f>
        <v>0</v>
      </c>
      <c r="AO818" s="57">
        <f>IFERROR(IF($V818="BRAND.com",HLOOKUP($X818&amp;$Z818,NWC_FC_NOOS!$T$4:$AH$23,MATCH(W818,NWC_FC_NOOS!$S$4:$S$23,0),FALSE),0),0)</f>
        <v>0</v>
      </c>
      <c r="AP818" s="57">
        <f>IFERROR(IF($V818="BRAND.com",HLOOKUP($X818&amp;$Z818,NWC_FC_NOOS!$C$50:$U$69,MATCH(W818,NWC_FC_NOOS!$B$50:$B$69,0),FALSE),0),0)</f>
        <v>0</v>
      </c>
      <c r="AQ818" s="58">
        <f>IFERROR(IF($V818="BRAND.com",HLOOKUP($X818&amp;$Z818,'NWC_FC_NON-NOOS'!$C$4:$Q$23,MATCH(W818,'NWC_FC_NON-NOOS'!$B$4:$B$23,0),FALSE),0),0)</f>
        <v>0</v>
      </c>
      <c r="AR818" s="57">
        <f>IFERROR(IF($V818="BRAND.com",HLOOKUP($X818&amp;$Z818,'NWC_FC_NON-NOOS'!$T$4:$AH$23,MATCH(W818,'NWC_FC_NON-NOOS'!$S$4:$S$23,0),FALSE),0),0)</f>
        <v>0</v>
      </c>
      <c r="AS818" s="57">
        <f>IFERROR(IF($V818="BRAND.com",HLOOKUP($X818&amp;$Z818,'NWC_FC_NON-NOOS'!$C$50:$U$69,MATCH(W818,'NWC_FC_NON-NOOS'!$B$50:$B$69,0),FALSE),0),0)</f>
        <v>0</v>
      </c>
      <c r="AT818" s="57">
        <f t="shared" si="322"/>
        <v>0</v>
      </c>
      <c r="AU818" s="57">
        <f t="shared" si="323"/>
        <v>0</v>
      </c>
      <c r="AV818" s="58">
        <f>IFERROR(IF($V818="BRAND.com",HLOOKUP($X818&amp;$Z818,PLANNING_FC!$BB$27:$BP$46,MATCH($W818,PLANNING_FC!$BA$27:$BA$46,0),FALSE),0),0)</f>
        <v>0</v>
      </c>
      <c r="AW818" s="58">
        <f>IFERROR(IF($V818="BRAND.com",HLOOKUP($X818&amp;$Z818,PLANNING_FC!$BB$4:$BP$23,MATCH($W818,PLANNING_FC!$BA$4:$BA$23,0),FALSE),0),0)</f>
        <v>0</v>
      </c>
      <c r="AX818" s="58">
        <f>IFERROR(IF($V818="BRAND.com",HLOOKUP($X818&amp;$Z818,PLANNING_FC!$T$27:$AH$46,MATCH($W818,PLANNING_FC!$B$27:$B$46,0),FALSE),0),0)</f>
        <v>0</v>
      </c>
      <c r="AY818" s="58">
        <f>IFERROR(IF($V818="BRAND.com",HLOOKUP($X818&amp;$Z818,PLANNING_FC!$T$4:$AH$23,MATCH($W818,PLANNING_FC!$B$4:$B$23,0),FALSE),0),0)</f>
        <v>0</v>
      </c>
      <c r="AZ818" s="58">
        <f>IFERROR(IF($V818="BRAND.com",HLOOKUP($X818&amp;$Z818,PLANNING_FC!$DA$27:$DO$46,MATCH($W818,PLANNING_FC!$CZ$27:$CZ$46,0),FALSE),0),0)</f>
        <v>0</v>
      </c>
      <c r="BA818" s="58">
        <f>IFERROR(IF($V818="BRAND.com",HLOOKUP($X818&amp;$Z818,PLANNING_FC!$DA$4:$DO$23,MATCH($W818,PLANNING_FC!$CZ$4:$CZ$23,0),FALSE),0),0)</f>
        <v>0</v>
      </c>
      <c r="BB818" s="883" t="str">
        <f>IF(V818="BRAND.com",IFERROR(HLOOKUP(X818&amp;Z818,PLANNING_FC!$AK$4:$AY$23,MATCH(W818,PLANNING_FC!$AJ$4:$AJ$23,0),FALSE)*1000,""),"")</f>
        <v/>
      </c>
      <c r="BC818" s="883" t="str">
        <f>IF(V818="BRAND.com",IFERROR(HLOOKUP(X818&amp;Z818,PLANNING_FC!$AK$27:$AY$46,MATCH(W818,PLANNING_FC!$AJ$27:$AJ$46,0),FALSE)*1000,""),"")</f>
        <v/>
      </c>
    </row>
    <row r="819" spans="14:55" x14ac:dyDescent="0.25">
      <c r="N819" s="56">
        <f t="shared" si="304"/>
        <v>0</v>
      </c>
      <c r="O819" s="57">
        <f t="shared" si="305"/>
        <v>0</v>
      </c>
      <c r="P819" s="57">
        <f ca="1">IFERROR(IF(ISBLANK(H819),SUMIFS($AC:$AC,$V:$V,V819,$W:$W,W819,$X:$X,X819,$Y:$Y,Y819)*J819/(1-J819)*VLOOKUP(_xlfn.CONCAT(C819,D819,E819,TIME!$M$12,Z819),HIS_SALES!$B$2:$W$4859,20,FALSE),AC819*J819/(1-J819)),0)</f>
        <v>0</v>
      </c>
      <c r="Q819" s="541" t="str">
        <f t="shared" si="306"/>
        <v/>
      </c>
      <c r="R819" s="346" t="str">
        <f t="shared" si="307"/>
        <v>00000</v>
      </c>
      <c r="S819" s="344">
        <f t="shared" si="308"/>
        <v>0</v>
      </c>
      <c r="T819" s="345" t="str">
        <f t="shared" si="321"/>
        <v>000</v>
      </c>
      <c r="U819" s="345">
        <f t="shared" si="309"/>
        <v>0</v>
      </c>
      <c r="V819" s="345">
        <f t="shared" si="310"/>
        <v>0</v>
      </c>
      <c r="W819" s="345">
        <f t="shared" si="311"/>
        <v>0</v>
      </c>
      <c r="X819" s="345">
        <f t="shared" si="312"/>
        <v>0</v>
      </c>
      <c r="Y819" s="345">
        <f t="shared" si="313"/>
        <v>0</v>
      </c>
      <c r="Z819" s="345">
        <f>IF(Q819&lt;&gt;"",VLOOKUP(Y819,TIME!$R$21:$V$24,MATCH(FC_DATA!Q819,TIME!$R$20:$V$20,0),FALSE),H819)</f>
        <v>0</v>
      </c>
      <c r="AA819" s="345" t="str">
        <f>IFERROR(VLOOKUP(X819&amp;Z819,TIME!$A$12:$D$71,4,FALSE),"")</f>
        <v/>
      </c>
      <c r="AB819" s="592">
        <f t="shared" ca="1" si="314"/>
        <v>0</v>
      </c>
      <c r="AC819" s="593" t="e">
        <f ca="1">IF(ISBLANK(H819)=FALSE,IF(D819="BRAND.com",I819,IF(ISNA(VLOOKUP(_xlfn.CONCAT(X819,Z819),TIME!$M$40:$M$42,1,FALSE)),I819,VLOOKUP(_xlfn.CONCAT(D819,G819,H819),M_BUSAREA_FC!$AF$5:$AJ$10,5,FALSE)*HLOOKUP(_xlfn.CONCAT(F819,H819),ST_OVERVIEW!$G$99:$I$130,MATCH(_xlfn.CONCAT(D819,E819),ST_OVERVIEW!$F$99:$F$130,0),FALSE))),IF(D819="BRAND.com",VLOOKUP(_xlfn.CONCAT(C819,D819,E819,TIME!$F$1,Z819),HIS_SALES!$B$2:$V$4859,19,FALSE)*I819,VLOOKUP(_xlfn.CONCAT(D819,F819,G819),Q_BUSAREA_FC!$AE$5:$AI$12,5,FALSE)*HLOOKUP(_xlfn.CONCAT(FC_DATA!F819,FC_DATA!G819),LT_OVERVIEW!$I$99:$M$130,MATCH(_xlfn.CONCAT(D819,FC_DATA!E819),LT_OVERVIEW!$H$99:$H$130,0),FALSE)*IFERROR(VLOOKUP(_xlfn.CONCAT(C819,D819,E819,TIME!$F$1,Z819),HIS_SALES!$B$2:$V$4859,19,FALSE),0)))</f>
        <v>#N/A</v>
      </c>
      <c r="AD819" s="341">
        <f t="shared" ca="1" si="315"/>
        <v>0</v>
      </c>
      <c r="AE819" s="363" t="str">
        <f t="shared" si="316"/>
        <v/>
      </c>
      <c r="AF819" s="342" t="str">
        <f t="shared" si="317"/>
        <v/>
      </c>
      <c r="AG819" s="411" t="e">
        <f ca="1">VLOOKUP(_xlfn.CONCAT(U819,V819,W819,VLOOKUP(X819&amp;Y819,TIME!$L$27:$O$34,4,FALSE),Y819),HIS_SALES!$A$2:$R$5093,18,FALSE)</f>
        <v>#N/A</v>
      </c>
      <c r="AH819" s="412" t="e">
        <f ca="1">IFERROR(IF(AND(V819=V818,W819=W818),0.5*(AB819+AB818)*AG819,(VLOOKUP(_xlfn.CONCAT(U819,V819,W819,X819,VLOOKUP(Z819,TIME!$S$28:$T$39,2,FALSE)),FC_DATA!$R$2:$AB$5000,MATCH("GS_I_M",FC_DATA!$R$1:$AB$1,0),FALSE)+FC_DATA!AB819)*0.5*FC_DATA!AG819),NA())</f>
        <v>#N/A</v>
      </c>
      <c r="AI819" s="491" t="e">
        <f ca="1">IF(V819="PARTNER.com",AH819,IF(AND(V819=V818,W819=W818),(1-AVERAGE(AD818,AD819))*AH819,(1-AVERAGE(AD819,VLOOKUP(_xlfn.CONCAT(U819,V819,W819,X819,M_BRAND_FC!$F$6),FC_DATA!$R$2:$AD$5000,MATCH("DISCOUNT_%_M",FC_DATA!$R$1:$AD$1,0),FALSE)))*AH819))</f>
        <v>#N/A</v>
      </c>
      <c r="AJ819" s="412" t="str">
        <f t="shared" ca="1" si="318"/>
        <v/>
      </c>
      <c r="AK819" s="413" t="str">
        <f>IFERROR(AE819/(Q_BRAND_FC!$T$24+1),"")</f>
        <v/>
      </c>
      <c r="AL819" s="88" t="str">
        <f t="shared" ca="1" si="319"/>
        <v/>
      </c>
      <c r="AM819" s="414" t="str">
        <f t="shared" ca="1" si="320"/>
        <v/>
      </c>
      <c r="AN819" s="58">
        <f>IFERROR(IF($V819="BRAND.com",HLOOKUP($X819&amp;$Z819,NWC_FC_NOOS!$C$4:$Q$23,MATCH(W819,NWC_FC_NOOS!$B$4:$B$23,0),FALSE),0),0)</f>
        <v>0</v>
      </c>
      <c r="AO819" s="57">
        <f>IFERROR(IF($V819="BRAND.com",HLOOKUP($X819&amp;$Z819,NWC_FC_NOOS!$T$4:$AH$23,MATCH(W819,NWC_FC_NOOS!$S$4:$S$23,0),FALSE),0),0)</f>
        <v>0</v>
      </c>
      <c r="AP819" s="57">
        <f>IFERROR(IF($V819="BRAND.com",HLOOKUP($X819&amp;$Z819,NWC_FC_NOOS!$C$50:$U$69,MATCH(W819,NWC_FC_NOOS!$B$50:$B$69,0),FALSE),0),0)</f>
        <v>0</v>
      </c>
      <c r="AQ819" s="58">
        <f>IFERROR(IF($V819="BRAND.com",HLOOKUP($X819&amp;$Z819,'NWC_FC_NON-NOOS'!$C$4:$Q$23,MATCH(W819,'NWC_FC_NON-NOOS'!$B$4:$B$23,0),FALSE),0),0)</f>
        <v>0</v>
      </c>
      <c r="AR819" s="57">
        <f>IFERROR(IF($V819="BRAND.com",HLOOKUP($X819&amp;$Z819,'NWC_FC_NON-NOOS'!$T$4:$AH$23,MATCH(W819,'NWC_FC_NON-NOOS'!$S$4:$S$23,0),FALSE),0),0)</f>
        <v>0</v>
      </c>
      <c r="AS819" s="57">
        <f>IFERROR(IF($V819="BRAND.com",HLOOKUP($X819&amp;$Z819,'NWC_FC_NON-NOOS'!$C$50:$U$69,MATCH(W819,'NWC_FC_NON-NOOS'!$B$50:$B$69,0),FALSE),0),0)</f>
        <v>0</v>
      </c>
      <c r="AT819" s="57">
        <f t="shared" si="322"/>
        <v>0</v>
      </c>
      <c r="AU819" s="57">
        <f t="shared" si="323"/>
        <v>0</v>
      </c>
      <c r="AV819" s="58">
        <f>IFERROR(IF($V819="BRAND.com",HLOOKUP($X819&amp;$Z819,PLANNING_FC!$BB$27:$BP$46,MATCH($W819,PLANNING_FC!$BA$27:$BA$46,0),FALSE),0),0)</f>
        <v>0</v>
      </c>
      <c r="AW819" s="58">
        <f>IFERROR(IF($V819="BRAND.com",HLOOKUP($X819&amp;$Z819,PLANNING_FC!$BB$4:$BP$23,MATCH($W819,PLANNING_FC!$BA$4:$BA$23,0),FALSE),0),0)</f>
        <v>0</v>
      </c>
      <c r="AX819" s="58">
        <f>IFERROR(IF($V819="BRAND.com",HLOOKUP($X819&amp;$Z819,PLANNING_FC!$T$27:$AH$46,MATCH($W819,PLANNING_FC!$B$27:$B$46,0),FALSE),0),0)</f>
        <v>0</v>
      </c>
      <c r="AY819" s="58">
        <f>IFERROR(IF($V819="BRAND.com",HLOOKUP($X819&amp;$Z819,PLANNING_FC!$T$4:$AH$23,MATCH($W819,PLANNING_FC!$B$4:$B$23,0),FALSE),0),0)</f>
        <v>0</v>
      </c>
      <c r="AZ819" s="58">
        <f>IFERROR(IF($V819="BRAND.com",HLOOKUP($X819&amp;$Z819,PLANNING_FC!$DA$27:$DO$46,MATCH($W819,PLANNING_FC!$CZ$27:$CZ$46,0),FALSE),0),0)</f>
        <v>0</v>
      </c>
      <c r="BA819" s="58">
        <f>IFERROR(IF($V819="BRAND.com",HLOOKUP($X819&amp;$Z819,PLANNING_FC!$DA$4:$DO$23,MATCH($W819,PLANNING_FC!$CZ$4:$CZ$23,0),FALSE),0),0)</f>
        <v>0</v>
      </c>
      <c r="BB819" s="883" t="str">
        <f>IF(V819="BRAND.com",IFERROR(HLOOKUP(X819&amp;Z819,PLANNING_FC!$AK$4:$AY$23,MATCH(W819,PLANNING_FC!$AJ$4:$AJ$23,0),FALSE)*1000,""),"")</f>
        <v/>
      </c>
      <c r="BC819" s="883" t="str">
        <f>IF(V819="BRAND.com",IFERROR(HLOOKUP(X819&amp;Z819,PLANNING_FC!$AK$27:$AY$46,MATCH(W819,PLANNING_FC!$AJ$27:$AJ$46,0),FALSE)*1000,""),"")</f>
        <v/>
      </c>
    </row>
    <row r="820" spans="14:55" x14ac:dyDescent="0.25">
      <c r="N820" s="56">
        <f t="shared" si="304"/>
        <v>0</v>
      </c>
      <c r="O820" s="57">
        <f t="shared" si="305"/>
        <v>0</v>
      </c>
      <c r="P820" s="57">
        <f ca="1">IFERROR(IF(ISBLANK(H820),SUMIFS($AC:$AC,$V:$V,V820,$W:$W,W820,$X:$X,X820,$Y:$Y,Y820)*J820/(1-J820)*VLOOKUP(_xlfn.CONCAT(C820,D820,E820,TIME!$M$12,Z820),HIS_SALES!$B$2:$W$4859,20,FALSE),AC820*J820/(1-J820)),0)</f>
        <v>0</v>
      </c>
      <c r="Q820" s="541" t="str">
        <f t="shared" si="306"/>
        <v/>
      </c>
      <c r="R820" s="346" t="str">
        <f t="shared" si="307"/>
        <v>00000</v>
      </c>
      <c r="S820" s="344">
        <f t="shared" si="308"/>
        <v>0</v>
      </c>
      <c r="T820" s="345" t="str">
        <f t="shared" si="321"/>
        <v>000</v>
      </c>
      <c r="U820" s="345">
        <f t="shared" si="309"/>
        <v>0</v>
      </c>
      <c r="V820" s="345">
        <f t="shared" si="310"/>
        <v>0</v>
      </c>
      <c r="W820" s="345">
        <f t="shared" si="311"/>
        <v>0</v>
      </c>
      <c r="X820" s="345">
        <f t="shared" si="312"/>
        <v>0</v>
      </c>
      <c r="Y820" s="345">
        <f t="shared" si="313"/>
        <v>0</v>
      </c>
      <c r="Z820" s="345">
        <f>IF(Q820&lt;&gt;"",VLOOKUP(Y820,TIME!$R$21:$V$24,MATCH(FC_DATA!Q820,TIME!$R$20:$V$20,0),FALSE),H820)</f>
        <v>0</v>
      </c>
      <c r="AA820" s="345" t="str">
        <f>IFERROR(VLOOKUP(X820&amp;Z820,TIME!$A$12:$D$71,4,FALSE),"")</f>
        <v/>
      </c>
      <c r="AB820" s="592">
        <f t="shared" ca="1" si="314"/>
        <v>0</v>
      </c>
      <c r="AC820" s="593" t="e">
        <f ca="1">IF(ISBLANK(H820)=FALSE,IF(D820="BRAND.com",I820,IF(ISNA(VLOOKUP(_xlfn.CONCAT(X820,Z820),TIME!$M$40:$M$42,1,FALSE)),I820,VLOOKUP(_xlfn.CONCAT(D820,G820,H820),M_BUSAREA_FC!$AF$5:$AJ$10,5,FALSE)*HLOOKUP(_xlfn.CONCAT(F820,H820),ST_OVERVIEW!$G$99:$I$130,MATCH(_xlfn.CONCAT(D820,E820),ST_OVERVIEW!$F$99:$F$130,0),FALSE))),IF(D820="BRAND.com",VLOOKUP(_xlfn.CONCAT(C820,D820,E820,TIME!$F$1,Z820),HIS_SALES!$B$2:$V$4859,19,FALSE)*I820,VLOOKUP(_xlfn.CONCAT(D820,F820,G820),Q_BUSAREA_FC!$AE$5:$AI$12,5,FALSE)*HLOOKUP(_xlfn.CONCAT(FC_DATA!F820,FC_DATA!G820),LT_OVERVIEW!$I$99:$M$130,MATCH(_xlfn.CONCAT(D820,FC_DATA!E820),LT_OVERVIEW!$H$99:$H$130,0),FALSE)*IFERROR(VLOOKUP(_xlfn.CONCAT(C820,D820,E820,TIME!$F$1,Z820),HIS_SALES!$B$2:$V$4859,19,FALSE),0)))</f>
        <v>#N/A</v>
      </c>
      <c r="AD820" s="341">
        <f t="shared" ca="1" si="315"/>
        <v>0</v>
      </c>
      <c r="AE820" s="363" t="str">
        <f t="shared" si="316"/>
        <v/>
      </c>
      <c r="AF820" s="342" t="str">
        <f t="shared" si="317"/>
        <v/>
      </c>
      <c r="AG820" s="411" t="e">
        <f ca="1">VLOOKUP(_xlfn.CONCAT(U820,V820,W820,VLOOKUP(X820&amp;Y820,TIME!$L$27:$O$34,4,FALSE),Y820),HIS_SALES!$A$2:$R$5093,18,FALSE)</f>
        <v>#N/A</v>
      </c>
      <c r="AH820" s="412" t="e">
        <f ca="1">IFERROR(IF(AND(V820=V819,W820=W819),0.5*(AB820+AB819)*AG820,(VLOOKUP(_xlfn.CONCAT(U820,V820,W820,X820,VLOOKUP(Z820,TIME!$S$28:$T$39,2,FALSE)),FC_DATA!$R$2:$AB$5000,MATCH("GS_I_M",FC_DATA!$R$1:$AB$1,0),FALSE)+FC_DATA!AB820)*0.5*FC_DATA!AG820),NA())</f>
        <v>#N/A</v>
      </c>
      <c r="AI820" s="491" t="e">
        <f ca="1">IF(V820="PARTNER.com",AH820,IF(AND(V820=V819,W820=W819),(1-AVERAGE(AD819,AD820))*AH820,(1-AVERAGE(AD820,VLOOKUP(_xlfn.CONCAT(U820,V820,W820,X820,M_BRAND_FC!$F$6),FC_DATA!$R$2:$AD$5000,MATCH("DISCOUNT_%_M",FC_DATA!$R$1:$AD$1,0),FALSE)))*AH820))</f>
        <v>#N/A</v>
      </c>
      <c r="AJ820" s="412" t="str">
        <f t="shared" ca="1" si="318"/>
        <v/>
      </c>
      <c r="AK820" s="413" t="str">
        <f>IFERROR(AE820/(Q_BRAND_FC!$T$24+1),"")</f>
        <v/>
      </c>
      <c r="AL820" s="88" t="str">
        <f t="shared" ca="1" si="319"/>
        <v/>
      </c>
      <c r="AM820" s="414" t="str">
        <f t="shared" ca="1" si="320"/>
        <v/>
      </c>
      <c r="AN820" s="58">
        <f>IFERROR(IF($V820="BRAND.com",HLOOKUP($X820&amp;$Z820,NWC_FC_NOOS!$C$4:$Q$23,MATCH(W820,NWC_FC_NOOS!$B$4:$B$23,0),FALSE),0),0)</f>
        <v>0</v>
      </c>
      <c r="AO820" s="57">
        <f>IFERROR(IF($V820="BRAND.com",HLOOKUP($X820&amp;$Z820,NWC_FC_NOOS!$T$4:$AH$23,MATCH(W820,NWC_FC_NOOS!$S$4:$S$23,0),FALSE),0),0)</f>
        <v>0</v>
      </c>
      <c r="AP820" s="57">
        <f>IFERROR(IF($V820="BRAND.com",HLOOKUP($X820&amp;$Z820,NWC_FC_NOOS!$C$50:$U$69,MATCH(W820,NWC_FC_NOOS!$B$50:$B$69,0),FALSE),0),0)</f>
        <v>0</v>
      </c>
      <c r="AQ820" s="58">
        <f>IFERROR(IF($V820="BRAND.com",HLOOKUP($X820&amp;$Z820,'NWC_FC_NON-NOOS'!$C$4:$Q$23,MATCH(W820,'NWC_FC_NON-NOOS'!$B$4:$B$23,0),FALSE),0),0)</f>
        <v>0</v>
      </c>
      <c r="AR820" s="57">
        <f>IFERROR(IF($V820="BRAND.com",HLOOKUP($X820&amp;$Z820,'NWC_FC_NON-NOOS'!$T$4:$AH$23,MATCH(W820,'NWC_FC_NON-NOOS'!$S$4:$S$23,0),FALSE),0),0)</f>
        <v>0</v>
      </c>
      <c r="AS820" s="57">
        <f>IFERROR(IF($V820="BRAND.com",HLOOKUP($X820&amp;$Z820,'NWC_FC_NON-NOOS'!$C$50:$U$69,MATCH(W820,'NWC_FC_NON-NOOS'!$B$50:$B$69,0),FALSE),0),0)</f>
        <v>0</v>
      </c>
      <c r="AT820" s="57">
        <f t="shared" si="322"/>
        <v>0</v>
      </c>
      <c r="AU820" s="57">
        <f t="shared" si="323"/>
        <v>0</v>
      </c>
      <c r="AV820" s="58">
        <f>IFERROR(IF($V820="BRAND.com",HLOOKUP($X820&amp;$Z820,PLANNING_FC!$BB$27:$BP$46,MATCH($W820,PLANNING_FC!$BA$27:$BA$46,0),FALSE),0),0)</f>
        <v>0</v>
      </c>
      <c r="AW820" s="58">
        <f>IFERROR(IF($V820="BRAND.com",HLOOKUP($X820&amp;$Z820,PLANNING_FC!$BB$4:$BP$23,MATCH($W820,PLANNING_FC!$BA$4:$BA$23,0),FALSE),0),0)</f>
        <v>0</v>
      </c>
      <c r="AX820" s="58">
        <f>IFERROR(IF($V820="BRAND.com",HLOOKUP($X820&amp;$Z820,PLANNING_FC!$T$27:$AH$46,MATCH($W820,PLANNING_FC!$B$27:$B$46,0),FALSE),0),0)</f>
        <v>0</v>
      </c>
      <c r="AY820" s="58">
        <f>IFERROR(IF($V820="BRAND.com",HLOOKUP($X820&amp;$Z820,PLANNING_FC!$T$4:$AH$23,MATCH($W820,PLANNING_FC!$B$4:$B$23,0),FALSE),0),0)</f>
        <v>0</v>
      </c>
      <c r="AZ820" s="58">
        <f>IFERROR(IF($V820="BRAND.com",HLOOKUP($X820&amp;$Z820,PLANNING_FC!$DA$27:$DO$46,MATCH($W820,PLANNING_FC!$CZ$27:$CZ$46,0),FALSE),0),0)</f>
        <v>0</v>
      </c>
      <c r="BA820" s="58">
        <f>IFERROR(IF($V820="BRAND.com",HLOOKUP($X820&amp;$Z820,PLANNING_FC!$DA$4:$DO$23,MATCH($W820,PLANNING_FC!$CZ$4:$CZ$23,0),FALSE),0),0)</f>
        <v>0</v>
      </c>
      <c r="BB820" s="883" t="str">
        <f>IF(V820="BRAND.com",IFERROR(HLOOKUP(X820&amp;Z820,PLANNING_FC!$AK$4:$AY$23,MATCH(W820,PLANNING_FC!$AJ$4:$AJ$23,0),FALSE)*1000,""),"")</f>
        <v/>
      </c>
      <c r="BC820" s="883" t="str">
        <f>IF(V820="BRAND.com",IFERROR(HLOOKUP(X820&amp;Z820,PLANNING_FC!$AK$27:$AY$46,MATCH(W820,PLANNING_FC!$AJ$27:$AJ$46,0),FALSE)*1000,""),"")</f>
        <v/>
      </c>
    </row>
    <row r="821" spans="14:55" x14ac:dyDescent="0.25">
      <c r="N821" s="56">
        <f t="shared" si="304"/>
        <v>0</v>
      </c>
      <c r="O821" s="57">
        <f t="shared" si="305"/>
        <v>0</v>
      </c>
      <c r="P821" s="57">
        <f ca="1">IFERROR(IF(ISBLANK(H821),SUMIFS($AC:$AC,$V:$V,V821,$W:$W,W821,$X:$X,X821,$Y:$Y,Y821)*J821/(1-J821)*VLOOKUP(_xlfn.CONCAT(C821,D821,E821,TIME!$M$12,Z821),HIS_SALES!$B$2:$W$4859,20,FALSE),AC821*J821/(1-J821)),0)</f>
        <v>0</v>
      </c>
      <c r="Q821" s="541" t="str">
        <f t="shared" si="306"/>
        <v/>
      </c>
      <c r="R821" s="346" t="str">
        <f t="shared" si="307"/>
        <v>00000</v>
      </c>
      <c r="S821" s="344">
        <f t="shared" si="308"/>
        <v>0</v>
      </c>
      <c r="T821" s="345" t="str">
        <f t="shared" si="321"/>
        <v>000</v>
      </c>
      <c r="U821" s="345">
        <f t="shared" si="309"/>
        <v>0</v>
      </c>
      <c r="V821" s="345">
        <f t="shared" si="310"/>
        <v>0</v>
      </c>
      <c r="W821" s="345">
        <f t="shared" si="311"/>
        <v>0</v>
      </c>
      <c r="X821" s="345">
        <f t="shared" si="312"/>
        <v>0</v>
      </c>
      <c r="Y821" s="345">
        <f t="shared" si="313"/>
        <v>0</v>
      </c>
      <c r="Z821" s="345">
        <f>IF(Q821&lt;&gt;"",VLOOKUP(Y821,TIME!$R$21:$V$24,MATCH(FC_DATA!Q821,TIME!$R$20:$V$20,0),FALSE),H821)</f>
        <v>0</v>
      </c>
      <c r="AA821" s="345" t="str">
        <f>IFERROR(VLOOKUP(X821&amp;Z821,TIME!$A$12:$D$71,4,FALSE),"")</f>
        <v/>
      </c>
      <c r="AB821" s="592">
        <f t="shared" ca="1" si="314"/>
        <v>0</v>
      </c>
      <c r="AC821" s="593" t="e">
        <f ca="1">IF(ISBLANK(H821)=FALSE,IF(D821="BRAND.com",I821,IF(ISNA(VLOOKUP(_xlfn.CONCAT(X821,Z821),TIME!$M$40:$M$42,1,FALSE)),I821,VLOOKUP(_xlfn.CONCAT(D821,G821,H821),M_BUSAREA_FC!$AF$5:$AJ$10,5,FALSE)*HLOOKUP(_xlfn.CONCAT(F821,H821),ST_OVERVIEW!$G$99:$I$130,MATCH(_xlfn.CONCAT(D821,E821),ST_OVERVIEW!$F$99:$F$130,0),FALSE))),IF(D821="BRAND.com",VLOOKUP(_xlfn.CONCAT(C821,D821,E821,TIME!$F$1,Z821),HIS_SALES!$B$2:$V$4859,19,FALSE)*I821,VLOOKUP(_xlfn.CONCAT(D821,F821,G821),Q_BUSAREA_FC!$AE$5:$AI$12,5,FALSE)*HLOOKUP(_xlfn.CONCAT(FC_DATA!F821,FC_DATA!G821),LT_OVERVIEW!$I$99:$M$130,MATCH(_xlfn.CONCAT(D821,FC_DATA!E821),LT_OVERVIEW!$H$99:$H$130,0),FALSE)*IFERROR(VLOOKUP(_xlfn.CONCAT(C821,D821,E821,TIME!$F$1,Z821),HIS_SALES!$B$2:$V$4859,19,FALSE),0)))</f>
        <v>#N/A</v>
      </c>
      <c r="AD821" s="341">
        <f t="shared" ca="1" si="315"/>
        <v>0</v>
      </c>
      <c r="AE821" s="363" t="str">
        <f t="shared" si="316"/>
        <v/>
      </c>
      <c r="AF821" s="342" t="str">
        <f t="shared" si="317"/>
        <v/>
      </c>
      <c r="AG821" s="411" t="e">
        <f ca="1">VLOOKUP(_xlfn.CONCAT(U821,V821,W821,VLOOKUP(X821&amp;Y821,TIME!$L$27:$O$34,4,FALSE),Y821),HIS_SALES!$A$2:$R$5093,18,FALSE)</f>
        <v>#N/A</v>
      </c>
      <c r="AH821" s="412" t="e">
        <f ca="1">IFERROR(IF(AND(V821=V820,W821=W820),0.5*(AB821+AB820)*AG821,(VLOOKUP(_xlfn.CONCAT(U821,V821,W821,X821,VLOOKUP(Z821,TIME!$S$28:$T$39,2,FALSE)),FC_DATA!$R$2:$AB$5000,MATCH("GS_I_M",FC_DATA!$R$1:$AB$1,0),FALSE)+FC_DATA!AB821)*0.5*FC_DATA!AG821),NA())</f>
        <v>#N/A</v>
      </c>
      <c r="AI821" s="491" t="e">
        <f ca="1">IF(V821="PARTNER.com",AH821,IF(AND(V821=V820,W821=W820),(1-AVERAGE(AD820,AD821))*AH821,(1-AVERAGE(AD821,VLOOKUP(_xlfn.CONCAT(U821,V821,W821,X821,M_BRAND_FC!$F$6),FC_DATA!$R$2:$AD$5000,MATCH("DISCOUNT_%_M",FC_DATA!$R$1:$AD$1,0),FALSE)))*AH821))</f>
        <v>#N/A</v>
      </c>
      <c r="AJ821" s="412" t="str">
        <f t="shared" ca="1" si="318"/>
        <v/>
      </c>
      <c r="AK821" s="413" t="str">
        <f>IFERROR(AE821/(Q_BRAND_FC!$T$24+1),"")</f>
        <v/>
      </c>
      <c r="AL821" s="88" t="str">
        <f t="shared" ca="1" si="319"/>
        <v/>
      </c>
      <c r="AM821" s="414" t="str">
        <f t="shared" ca="1" si="320"/>
        <v/>
      </c>
      <c r="AN821" s="58">
        <f>IFERROR(IF($V821="BRAND.com",HLOOKUP($X821&amp;$Z821,NWC_FC_NOOS!$C$4:$Q$23,MATCH(W821,NWC_FC_NOOS!$B$4:$B$23,0),FALSE),0),0)</f>
        <v>0</v>
      </c>
      <c r="AO821" s="57">
        <f>IFERROR(IF($V821="BRAND.com",HLOOKUP($X821&amp;$Z821,NWC_FC_NOOS!$T$4:$AH$23,MATCH(W821,NWC_FC_NOOS!$S$4:$S$23,0),FALSE),0),0)</f>
        <v>0</v>
      </c>
      <c r="AP821" s="57">
        <f>IFERROR(IF($V821="BRAND.com",HLOOKUP($X821&amp;$Z821,NWC_FC_NOOS!$C$50:$U$69,MATCH(W821,NWC_FC_NOOS!$B$50:$B$69,0),FALSE),0),0)</f>
        <v>0</v>
      </c>
      <c r="AQ821" s="58">
        <f>IFERROR(IF($V821="BRAND.com",HLOOKUP($X821&amp;$Z821,'NWC_FC_NON-NOOS'!$C$4:$Q$23,MATCH(W821,'NWC_FC_NON-NOOS'!$B$4:$B$23,0),FALSE),0),0)</f>
        <v>0</v>
      </c>
      <c r="AR821" s="57">
        <f>IFERROR(IF($V821="BRAND.com",HLOOKUP($X821&amp;$Z821,'NWC_FC_NON-NOOS'!$T$4:$AH$23,MATCH(W821,'NWC_FC_NON-NOOS'!$S$4:$S$23,0),FALSE),0),0)</f>
        <v>0</v>
      </c>
      <c r="AS821" s="57">
        <f>IFERROR(IF($V821="BRAND.com",HLOOKUP($X821&amp;$Z821,'NWC_FC_NON-NOOS'!$C$50:$U$69,MATCH(W821,'NWC_FC_NON-NOOS'!$B$50:$B$69,0),FALSE),0),0)</f>
        <v>0</v>
      </c>
      <c r="AT821" s="57">
        <f t="shared" si="322"/>
        <v>0</v>
      </c>
      <c r="AU821" s="57">
        <f t="shared" si="323"/>
        <v>0</v>
      </c>
      <c r="AV821" s="58">
        <f>IFERROR(IF($V821="BRAND.com",HLOOKUP($X821&amp;$Z821,PLANNING_FC!$BB$27:$BP$46,MATCH($W821,PLANNING_FC!$BA$27:$BA$46,0),FALSE),0),0)</f>
        <v>0</v>
      </c>
      <c r="AW821" s="58">
        <f>IFERROR(IF($V821="BRAND.com",HLOOKUP($X821&amp;$Z821,PLANNING_FC!$BB$4:$BP$23,MATCH($W821,PLANNING_FC!$BA$4:$BA$23,0),FALSE),0),0)</f>
        <v>0</v>
      </c>
      <c r="AX821" s="58">
        <f>IFERROR(IF($V821="BRAND.com",HLOOKUP($X821&amp;$Z821,PLANNING_FC!$T$27:$AH$46,MATCH($W821,PLANNING_FC!$B$27:$B$46,0),FALSE),0),0)</f>
        <v>0</v>
      </c>
      <c r="AY821" s="58">
        <f>IFERROR(IF($V821="BRAND.com",HLOOKUP($X821&amp;$Z821,PLANNING_FC!$T$4:$AH$23,MATCH($W821,PLANNING_FC!$B$4:$B$23,0),FALSE),0),0)</f>
        <v>0</v>
      </c>
      <c r="AZ821" s="58">
        <f>IFERROR(IF($V821="BRAND.com",HLOOKUP($X821&amp;$Z821,PLANNING_FC!$DA$27:$DO$46,MATCH($W821,PLANNING_FC!$CZ$27:$CZ$46,0),FALSE),0),0)</f>
        <v>0</v>
      </c>
      <c r="BA821" s="58">
        <f>IFERROR(IF($V821="BRAND.com",HLOOKUP($X821&amp;$Z821,PLANNING_FC!$DA$4:$DO$23,MATCH($W821,PLANNING_FC!$CZ$4:$CZ$23,0),FALSE),0),0)</f>
        <v>0</v>
      </c>
      <c r="BB821" s="883" t="str">
        <f>IF(V821="BRAND.com",IFERROR(HLOOKUP(X821&amp;Z821,PLANNING_FC!$AK$4:$AY$23,MATCH(W821,PLANNING_FC!$AJ$4:$AJ$23,0),FALSE)*1000,""),"")</f>
        <v/>
      </c>
      <c r="BC821" s="883" t="str">
        <f>IF(V821="BRAND.com",IFERROR(HLOOKUP(X821&amp;Z821,PLANNING_FC!$AK$27:$AY$46,MATCH(W821,PLANNING_FC!$AJ$27:$AJ$46,0),FALSE)*1000,""),"")</f>
        <v/>
      </c>
    </row>
    <row r="822" spans="14:55" x14ac:dyDescent="0.25">
      <c r="N822" s="56">
        <f t="shared" si="304"/>
        <v>0</v>
      </c>
      <c r="O822" s="57">
        <f t="shared" si="305"/>
        <v>0</v>
      </c>
      <c r="P822" s="57">
        <f ca="1">IFERROR(IF(ISBLANK(H822),SUMIFS($AC:$AC,$V:$V,V822,$W:$W,W822,$X:$X,X822,$Y:$Y,Y822)*J822/(1-J822)*VLOOKUP(_xlfn.CONCAT(C822,D822,E822,TIME!$M$12,Z822),HIS_SALES!$B$2:$W$4859,20,FALSE),AC822*J822/(1-J822)),0)</f>
        <v>0</v>
      </c>
      <c r="Q822" s="541" t="str">
        <f t="shared" si="306"/>
        <v/>
      </c>
      <c r="R822" s="346" t="str">
        <f t="shared" si="307"/>
        <v>00000</v>
      </c>
      <c r="S822" s="344">
        <f t="shared" si="308"/>
        <v>0</v>
      </c>
      <c r="T822" s="345" t="str">
        <f t="shared" si="321"/>
        <v>000</v>
      </c>
      <c r="U822" s="345">
        <f t="shared" si="309"/>
        <v>0</v>
      </c>
      <c r="V822" s="345">
        <f t="shared" si="310"/>
        <v>0</v>
      </c>
      <c r="W822" s="345">
        <f t="shared" si="311"/>
        <v>0</v>
      </c>
      <c r="X822" s="345">
        <f t="shared" si="312"/>
        <v>0</v>
      </c>
      <c r="Y822" s="345">
        <f t="shared" si="313"/>
        <v>0</v>
      </c>
      <c r="Z822" s="345">
        <f>IF(Q822&lt;&gt;"",VLOOKUP(Y822,TIME!$R$21:$V$24,MATCH(FC_DATA!Q822,TIME!$R$20:$V$20,0),FALSE),H822)</f>
        <v>0</v>
      </c>
      <c r="AA822" s="345" t="str">
        <f>IFERROR(VLOOKUP(X822&amp;Z822,TIME!$A$12:$D$71,4,FALSE),"")</f>
        <v/>
      </c>
      <c r="AB822" s="592">
        <f t="shared" ca="1" si="314"/>
        <v>0</v>
      </c>
      <c r="AC822" s="593" t="e">
        <f ca="1">IF(ISBLANK(H822)=FALSE,IF(D822="BRAND.com",I822,IF(ISNA(VLOOKUP(_xlfn.CONCAT(X822,Z822),TIME!$M$40:$M$42,1,FALSE)),I822,VLOOKUP(_xlfn.CONCAT(D822,G822,H822),M_BUSAREA_FC!$AF$5:$AJ$10,5,FALSE)*HLOOKUP(_xlfn.CONCAT(F822,H822),ST_OVERVIEW!$G$99:$I$130,MATCH(_xlfn.CONCAT(D822,E822),ST_OVERVIEW!$F$99:$F$130,0),FALSE))),IF(D822="BRAND.com",VLOOKUP(_xlfn.CONCAT(C822,D822,E822,TIME!$F$1,Z822),HIS_SALES!$B$2:$V$4859,19,FALSE)*I822,VLOOKUP(_xlfn.CONCAT(D822,F822,G822),Q_BUSAREA_FC!$AE$5:$AI$12,5,FALSE)*HLOOKUP(_xlfn.CONCAT(FC_DATA!F822,FC_DATA!G822),LT_OVERVIEW!$I$99:$M$130,MATCH(_xlfn.CONCAT(D822,FC_DATA!E822),LT_OVERVIEW!$H$99:$H$130,0),FALSE)*IFERROR(VLOOKUP(_xlfn.CONCAT(C822,D822,E822,TIME!$F$1,Z822),HIS_SALES!$B$2:$V$4859,19,FALSE),0)))</f>
        <v>#N/A</v>
      </c>
      <c r="AD822" s="341">
        <f t="shared" ca="1" si="315"/>
        <v>0</v>
      </c>
      <c r="AE822" s="363" t="str">
        <f t="shared" si="316"/>
        <v/>
      </c>
      <c r="AF822" s="342" t="str">
        <f t="shared" si="317"/>
        <v/>
      </c>
      <c r="AG822" s="411" t="e">
        <f ca="1">VLOOKUP(_xlfn.CONCAT(U822,V822,W822,VLOOKUP(X822&amp;Y822,TIME!$L$27:$O$34,4,FALSE),Y822),HIS_SALES!$A$2:$R$5093,18,FALSE)</f>
        <v>#N/A</v>
      </c>
      <c r="AH822" s="412" t="e">
        <f ca="1">IFERROR(IF(AND(V822=V821,W822=W821),0.5*(AB822+AB821)*AG822,(VLOOKUP(_xlfn.CONCAT(U822,V822,W822,X822,VLOOKUP(Z822,TIME!$S$28:$T$39,2,FALSE)),FC_DATA!$R$2:$AB$5000,MATCH("GS_I_M",FC_DATA!$R$1:$AB$1,0),FALSE)+FC_DATA!AB822)*0.5*FC_DATA!AG822),NA())</f>
        <v>#N/A</v>
      </c>
      <c r="AI822" s="491" t="e">
        <f ca="1">IF(V822="PARTNER.com",AH822,IF(AND(V822=V821,W822=W821),(1-AVERAGE(AD821,AD822))*AH822,(1-AVERAGE(AD822,VLOOKUP(_xlfn.CONCAT(U822,V822,W822,X822,M_BRAND_FC!$F$6),FC_DATA!$R$2:$AD$5000,MATCH("DISCOUNT_%_M",FC_DATA!$R$1:$AD$1,0),FALSE)))*AH822))</f>
        <v>#N/A</v>
      </c>
      <c r="AJ822" s="412" t="str">
        <f t="shared" ca="1" si="318"/>
        <v/>
      </c>
      <c r="AK822" s="413" t="str">
        <f>IFERROR(AE822/(Q_BRAND_FC!$T$24+1),"")</f>
        <v/>
      </c>
      <c r="AL822" s="88" t="str">
        <f t="shared" ca="1" si="319"/>
        <v/>
      </c>
      <c r="AM822" s="414" t="str">
        <f t="shared" ca="1" si="320"/>
        <v/>
      </c>
      <c r="AN822" s="58">
        <f>IFERROR(IF($V822="BRAND.com",HLOOKUP($X822&amp;$Z822,NWC_FC_NOOS!$C$4:$Q$23,MATCH(W822,NWC_FC_NOOS!$B$4:$B$23,0),FALSE),0),0)</f>
        <v>0</v>
      </c>
      <c r="AO822" s="57">
        <f>IFERROR(IF($V822="BRAND.com",HLOOKUP($X822&amp;$Z822,NWC_FC_NOOS!$T$4:$AH$23,MATCH(W822,NWC_FC_NOOS!$S$4:$S$23,0),FALSE),0),0)</f>
        <v>0</v>
      </c>
      <c r="AP822" s="57">
        <f>IFERROR(IF($V822="BRAND.com",HLOOKUP($X822&amp;$Z822,NWC_FC_NOOS!$C$50:$U$69,MATCH(W822,NWC_FC_NOOS!$B$50:$B$69,0),FALSE),0),0)</f>
        <v>0</v>
      </c>
      <c r="AQ822" s="58">
        <f>IFERROR(IF($V822="BRAND.com",HLOOKUP($X822&amp;$Z822,'NWC_FC_NON-NOOS'!$C$4:$Q$23,MATCH(W822,'NWC_FC_NON-NOOS'!$B$4:$B$23,0),FALSE),0),0)</f>
        <v>0</v>
      </c>
      <c r="AR822" s="57">
        <f>IFERROR(IF($V822="BRAND.com",HLOOKUP($X822&amp;$Z822,'NWC_FC_NON-NOOS'!$T$4:$AH$23,MATCH(W822,'NWC_FC_NON-NOOS'!$S$4:$S$23,0),FALSE),0),0)</f>
        <v>0</v>
      </c>
      <c r="AS822" s="57">
        <f>IFERROR(IF($V822="BRAND.com",HLOOKUP($X822&amp;$Z822,'NWC_FC_NON-NOOS'!$C$50:$U$69,MATCH(W822,'NWC_FC_NON-NOOS'!$B$50:$B$69,0),FALSE),0),0)</f>
        <v>0</v>
      </c>
      <c r="AT822" s="57">
        <f t="shared" si="322"/>
        <v>0</v>
      </c>
      <c r="AU822" s="57">
        <f t="shared" si="323"/>
        <v>0</v>
      </c>
      <c r="AV822" s="58">
        <f>IFERROR(IF($V822="BRAND.com",HLOOKUP($X822&amp;$Z822,PLANNING_FC!$BB$27:$BP$46,MATCH($W822,PLANNING_FC!$BA$27:$BA$46,0),FALSE),0),0)</f>
        <v>0</v>
      </c>
      <c r="AW822" s="58">
        <f>IFERROR(IF($V822="BRAND.com",HLOOKUP($X822&amp;$Z822,PLANNING_FC!$BB$4:$BP$23,MATCH($W822,PLANNING_FC!$BA$4:$BA$23,0),FALSE),0),0)</f>
        <v>0</v>
      </c>
      <c r="AX822" s="58">
        <f>IFERROR(IF($V822="BRAND.com",HLOOKUP($X822&amp;$Z822,PLANNING_FC!$T$27:$AH$46,MATCH($W822,PLANNING_FC!$B$27:$B$46,0),FALSE),0),0)</f>
        <v>0</v>
      </c>
      <c r="AY822" s="58">
        <f>IFERROR(IF($V822="BRAND.com",HLOOKUP($X822&amp;$Z822,PLANNING_FC!$T$4:$AH$23,MATCH($W822,PLANNING_FC!$B$4:$B$23,0),FALSE),0),0)</f>
        <v>0</v>
      </c>
      <c r="AZ822" s="58">
        <f>IFERROR(IF($V822="BRAND.com",HLOOKUP($X822&amp;$Z822,PLANNING_FC!$DA$27:$DO$46,MATCH($W822,PLANNING_FC!$CZ$27:$CZ$46,0),FALSE),0),0)</f>
        <v>0</v>
      </c>
      <c r="BA822" s="58">
        <f>IFERROR(IF($V822="BRAND.com",HLOOKUP($X822&amp;$Z822,PLANNING_FC!$DA$4:$DO$23,MATCH($W822,PLANNING_FC!$CZ$4:$CZ$23,0),FALSE),0),0)</f>
        <v>0</v>
      </c>
      <c r="BB822" s="883" t="str">
        <f>IF(V822="BRAND.com",IFERROR(HLOOKUP(X822&amp;Z822,PLANNING_FC!$AK$4:$AY$23,MATCH(W822,PLANNING_FC!$AJ$4:$AJ$23,0),FALSE)*1000,""),"")</f>
        <v/>
      </c>
      <c r="BC822" s="883" t="str">
        <f>IF(V822="BRAND.com",IFERROR(HLOOKUP(X822&amp;Z822,PLANNING_FC!$AK$27:$AY$46,MATCH(W822,PLANNING_FC!$AJ$27:$AJ$46,0),FALSE)*1000,""),"")</f>
        <v/>
      </c>
    </row>
    <row r="823" spans="14:55" x14ac:dyDescent="0.25">
      <c r="N823" s="56">
        <f t="shared" si="304"/>
        <v>0</v>
      </c>
      <c r="O823" s="57">
        <f t="shared" si="305"/>
        <v>0</v>
      </c>
      <c r="P823" s="57">
        <f ca="1">IFERROR(IF(ISBLANK(H823),SUMIFS($AC:$AC,$V:$V,V823,$W:$W,W823,$X:$X,X823,$Y:$Y,Y823)*J823/(1-J823)*VLOOKUP(_xlfn.CONCAT(C823,D823,E823,TIME!$M$12,Z823),HIS_SALES!$B$2:$W$4859,20,FALSE),AC823*J823/(1-J823)),0)</f>
        <v>0</v>
      </c>
      <c r="Q823" s="541" t="str">
        <f t="shared" si="306"/>
        <v/>
      </c>
      <c r="R823" s="346" t="str">
        <f t="shared" si="307"/>
        <v>00000</v>
      </c>
      <c r="S823" s="344">
        <f t="shared" si="308"/>
        <v>0</v>
      </c>
      <c r="T823" s="345" t="str">
        <f t="shared" si="321"/>
        <v>000</v>
      </c>
      <c r="U823" s="345">
        <f t="shared" si="309"/>
        <v>0</v>
      </c>
      <c r="V823" s="345">
        <f t="shared" si="310"/>
        <v>0</v>
      </c>
      <c r="W823" s="345">
        <f t="shared" si="311"/>
        <v>0</v>
      </c>
      <c r="X823" s="345">
        <f t="shared" si="312"/>
        <v>0</v>
      </c>
      <c r="Y823" s="345">
        <f t="shared" si="313"/>
        <v>0</v>
      </c>
      <c r="Z823" s="345">
        <f>IF(Q823&lt;&gt;"",VLOOKUP(Y823,TIME!$R$21:$V$24,MATCH(FC_DATA!Q823,TIME!$R$20:$V$20,0),FALSE),H823)</f>
        <v>0</v>
      </c>
      <c r="AA823" s="345" t="str">
        <f>IFERROR(VLOOKUP(X823&amp;Z823,TIME!$A$12:$D$71,4,FALSE),"")</f>
        <v/>
      </c>
      <c r="AB823" s="592">
        <f t="shared" ca="1" si="314"/>
        <v>0</v>
      </c>
      <c r="AC823" s="593" t="e">
        <f ca="1">IF(ISBLANK(H823)=FALSE,IF(D823="BRAND.com",I823,IF(ISNA(VLOOKUP(_xlfn.CONCAT(X823,Z823),TIME!$M$40:$M$42,1,FALSE)),I823,VLOOKUP(_xlfn.CONCAT(D823,G823,H823),M_BUSAREA_FC!$AF$5:$AJ$10,5,FALSE)*HLOOKUP(_xlfn.CONCAT(F823,H823),ST_OVERVIEW!$G$99:$I$130,MATCH(_xlfn.CONCAT(D823,E823),ST_OVERVIEW!$F$99:$F$130,0),FALSE))),IF(D823="BRAND.com",VLOOKUP(_xlfn.CONCAT(C823,D823,E823,TIME!$F$1,Z823),HIS_SALES!$B$2:$V$4859,19,FALSE)*I823,VLOOKUP(_xlfn.CONCAT(D823,F823,G823),Q_BUSAREA_FC!$AE$5:$AI$12,5,FALSE)*HLOOKUP(_xlfn.CONCAT(FC_DATA!F823,FC_DATA!G823),LT_OVERVIEW!$I$99:$M$130,MATCH(_xlfn.CONCAT(D823,FC_DATA!E823),LT_OVERVIEW!$H$99:$H$130,0),FALSE)*IFERROR(VLOOKUP(_xlfn.CONCAT(C823,D823,E823,TIME!$F$1,Z823),HIS_SALES!$B$2:$V$4859,19,FALSE),0)))</f>
        <v>#N/A</v>
      </c>
      <c r="AD823" s="341">
        <f t="shared" ca="1" si="315"/>
        <v>0</v>
      </c>
      <c r="AE823" s="363" t="str">
        <f t="shared" si="316"/>
        <v/>
      </c>
      <c r="AF823" s="342" t="str">
        <f t="shared" si="317"/>
        <v/>
      </c>
      <c r="AG823" s="411" t="e">
        <f ca="1">VLOOKUP(_xlfn.CONCAT(U823,V823,W823,VLOOKUP(X823&amp;Y823,TIME!$L$27:$O$34,4,FALSE),Y823),HIS_SALES!$A$2:$R$5093,18,FALSE)</f>
        <v>#N/A</v>
      </c>
      <c r="AH823" s="412" t="e">
        <f ca="1">IFERROR(IF(AND(V823=V822,W823=W822),0.5*(AB823+AB822)*AG823,(VLOOKUP(_xlfn.CONCAT(U823,V823,W823,X823,VLOOKUP(Z823,TIME!$S$28:$T$39,2,FALSE)),FC_DATA!$R$2:$AB$5000,MATCH("GS_I_M",FC_DATA!$R$1:$AB$1,0),FALSE)+FC_DATA!AB823)*0.5*FC_DATA!AG823),NA())</f>
        <v>#N/A</v>
      </c>
      <c r="AI823" s="491" t="e">
        <f ca="1">IF(V823="PARTNER.com",AH823,IF(AND(V823=V822,W823=W822),(1-AVERAGE(AD822,AD823))*AH823,(1-AVERAGE(AD823,VLOOKUP(_xlfn.CONCAT(U823,V823,W823,X823,M_BRAND_FC!$F$6),FC_DATA!$R$2:$AD$5000,MATCH("DISCOUNT_%_M",FC_DATA!$R$1:$AD$1,0),FALSE)))*AH823))</f>
        <v>#N/A</v>
      </c>
      <c r="AJ823" s="412" t="str">
        <f t="shared" ca="1" si="318"/>
        <v/>
      </c>
      <c r="AK823" s="413" t="str">
        <f>IFERROR(AE823/(Q_BRAND_FC!$T$24+1),"")</f>
        <v/>
      </c>
      <c r="AL823" s="88" t="str">
        <f t="shared" ca="1" si="319"/>
        <v/>
      </c>
      <c r="AM823" s="414" t="str">
        <f t="shared" ca="1" si="320"/>
        <v/>
      </c>
      <c r="AN823" s="58">
        <f>IFERROR(IF($V823="BRAND.com",HLOOKUP($X823&amp;$Z823,NWC_FC_NOOS!$C$4:$Q$23,MATCH(W823,NWC_FC_NOOS!$B$4:$B$23,0),FALSE),0),0)</f>
        <v>0</v>
      </c>
      <c r="AO823" s="57">
        <f>IFERROR(IF($V823="BRAND.com",HLOOKUP($X823&amp;$Z823,NWC_FC_NOOS!$T$4:$AH$23,MATCH(W823,NWC_FC_NOOS!$S$4:$S$23,0),FALSE),0),0)</f>
        <v>0</v>
      </c>
      <c r="AP823" s="57">
        <f>IFERROR(IF($V823="BRAND.com",HLOOKUP($X823&amp;$Z823,NWC_FC_NOOS!$C$50:$U$69,MATCH(W823,NWC_FC_NOOS!$B$50:$B$69,0),FALSE),0),0)</f>
        <v>0</v>
      </c>
      <c r="AQ823" s="58">
        <f>IFERROR(IF($V823="BRAND.com",HLOOKUP($X823&amp;$Z823,'NWC_FC_NON-NOOS'!$C$4:$Q$23,MATCH(W823,'NWC_FC_NON-NOOS'!$B$4:$B$23,0),FALSE),0),0)</f>
        <v>0</v>
      </c>
      <c r="AR823" s="57">
        <f>IFERROR(IF($V823="BRAND.com",HLOOKUP($X823&amp;$Z823,'NWC_FC_NON-NOOS'!$T$4:$AH$23,MATCH(W823,'NWC_FC_NON-NOOS'!$S$4:$S$23,0),FALSE),0),0)</f>
        <v>0</v>
      </c>
      <c r="AS823" s="57">
        <f>IFERROR(IF($V823="BRAND.com",HLOOKUP($X823&amp;$Z823,'NWC_FC_NON-NOOS'!$C$50:$U$69,MATCH(W823,'NWC_FC_NON-NOOS'!$B$50:$B$69,0),FALSE),0),0)</f>
        <v>0</v>
      </c>
      <c r="AT823" s="57">
        <f t="shared" si="322"/>
        <v>0</v>
      </c>
      <c r="AU823" s="57">
        <f t="shared" si="323"/>
        <v>0</v>
      </c>
      <c r="AV823" s="58">
        <f>IFERROR(IF($V823="BRAND.com",HLOOKUP($X823&amp;$Z823,PLANNING_FC!$BB$27:$BP$46,MATCH($W823,PLANNING_FC!$BA$27:$BA$46,0),FALSE),0),0)</f>
        <v>0</v>
      </c>
      <c r="AW823" s="58">
        <f>IFERROR(IF($V823="BRAND.com",HLOOKUP($X823&amp;$Z823,PLANNING_FC!$BB$4:$BP$23,MATCH($W823,PLANNING_FC!$BA$4:$BA$23,0),FALSE),0),0)</f>
        <v>0</v>
      </c>
      <c r="AX823" s="58">
        <f>IFERROR(IF($V823="BRAND.com",HLOOKUP($X823&amp;$Z823,PLANNING_FC!$T$27:$AH$46,MATCH($W823,PLANNING_FC!$B$27:$B$46,0),FALSE),0),0)</f>
        <v>0</v>
      </c>
      <c r="AY823" s="58">
        <f>IFERROR(IF($V823="BRAND.com",HLOOKUP($X823&amp;$Z823,PLANNING_FC!$T$4:$AH$23,MATCH($W823,PLANNING_FC!$B$4:$B$23,0),FALSE),0),0)</f>
        <v>0</v>
      </c>
      <c r="AZ823" s="58">
        <f>IFERROR(IF($V823="BRAND.com",HLOOKUP($X823&amp;$Z823,PLANNING_FC!$DA$27:$DO$46,MATCH($W823,PLANNING_FC!$CZ$27:$CZ$46,0),FALSE),0),0)</f>
        <v>0</v>
      </c>
      <c r="BA823" s="58">
        <f>IFERROR(IF($V823="BRAND.com",HLOOKUP($X823&amp;$Z823,PLANNING_FC!$DA$4:$DO$23,MATCH($W823,PLANNING_FC!$CZ$4:$CZ$23,0),FALSE),0),0)</f>
        <v>0</v>
      </c>
      <c r="BB823" s="883" t="str">
        <f>IF(V823="BRAND.com",IFERROR(HLOOKUP(X823&amp;Z823,PLANNING_FC!$AK$4:$AY$23,MATCH(W823,PLANNING_FC!$AJ$4:$AJ$23,0),FALSE)*1000,""),"")</f>
        <v/>
      </c>
      <c r="BC823" s="883" t="str">
        <f>IF(V823="BRAND.com",IFERROR(HLOOKUP(X823&amp;Z823,PLANNING_FC!$AK$27:$AY$46,MATCH(W823,PLANNING_FC!$AJ$27:$AJ$46,0),FALSE)*1000,""),"")</f>
        <v/>
      </c>
    </row>
    <row r="824" spans="14:55" x14ac:dyDescent="0.25">
      <c r="N824" s="56">
        <f t="shared" si="304"/>
        <v>0</v>
      </c>
      <c r="O824" s="57">
        <f t="shared" si="305"/>
        <v>0</v>
      </c>
      <c r="P824" s="57">
        <f ca="1">IFERROR(IF(ISBLANK(H824),SUMIFS($AC:$AC,$V:$V,V824,$W:$W,W824,$X:$X,X824,$Y:$Y,Y824)*J824/(1-J824)*VLOOKUP(_xlfn.CONCAT(C824,D824,E824,TIME!$M$12,Z824),HIS_SALES!$B$2:$W$4859,20,FALSE),AC824*J824/(1-J824)),0)</f>
        <v>0</v>
      </c>
      <c r="Q824" s="541" t="str">
        <f t="shared" si="306"/>
        <v/>
      </c>
      <c r="R824" s="346" t="str">
        <f t="shared" si="307"/>
        <v>00000</v>
      </c>
      <c r="S824" s="344">
        <f t="shared" si="308"/>
        <v>0</v>
      </c>
      <c r="T824" s="345" t="str">
        <f t="shared" si="321"/>
        <v>000</v>
      </c>
      <c r="U824" s="345">
        <f t="shared" si="309"/>
        <v>0</v>
      </c>
      <c r="V824" s="345">
        <f t="shared" si="310"/>
        <v>0</v>
      </c>
      <c r="W824" s="345">
        <f t="shared" si="311"/>
        <v>0</v>
      </c>
      <c r="X824" s="345">
        <f t="shared" si="312"/>
        <v>0</v>
      </c>
      <c r="Y824" s="345">
        <f t="shared" si="313"/>
        <v>0</v>
      </c>
      <c r="Z824" s="345">
        <f>IF(Q824&lt;&gt;"",VLOOKUP(Y824,TIME!$R$21:$V$24,MATCH(FC_DATA!Q824,TIME!$R$20:$V$20,0),FALSE),H824)</f>
        <v>0</v>
      </c>
      <c r="AA824" s="345" t="str">
        <f>IFERROR(VLOOKUP(X824&amp;Z824,TIME!$A$12:$D$71,4,FALSE),"")</f>
        <v/>
      </c>
      <c r="AB824" s="592">
        <f t="shared" ca="1" si="314"/>
        <v>0</v>
      </c>
      <c r="AC824" s="593" t="e">
        <f ca="1">IF(ISBLANK(H824)=FALSE,IF(D824="BRAND.com",I824,IF(ISNA(VLOOKUP(_xlfn.CONCAT(X824,Z824),TIME!$M$40:$M$42,1,FALSE)),I824,VLOOKUP(_xlfn.CONCAT(D824,G824,H824),M_BUSAREA_FC!$AF$5:$AJ$10,5,FALSE)*HLOOKUP(_xlfn.CONCAT(F824,H824),ST_OVERVIEW!$G$99:$I$130,MATCH(_xlfn.CONCAT(D824,E824),ST_OVERVIEW!$F$99:$F$130,0),FALSE))),IF(D824="BRAND.com",VLOOKUP(_xlfn.CONCAT(C824,D824,E824,TIME!$F$1,Z824),HIS_SALES!$B$2:$V$4859,19,FALSE)*I824,VLOOKUP(_xlfn.CONCAT(D824,F824,G824),Q_BUSAREA_FC!$AE$5:$AI$12,5,FALSE)*HLOOKUP(_xlfn.CONCAT(FC_DATA!F824,FC_DATA!G824),LT_OVERVIEW!$I$99:$M$130,MATCH(_xlfn.CONCAT(D824,FC_DATA!E824),LT_OVERVIEW!$H$99:$H$130,0),FALSE)*IFERROR(VLOOKUP(_xlfn.CONCAT(C824,D824,E824,TIME!$F$1,Z824),HIS_SALES!$B$2:$V$4859,19,FALSE),0)))</f>
        <v>#N/A</v>
      </c>
      <c r="AD824" s="341">
        <f t="shared" ca="1" si="315"/>
        <v>0</v>
      </c>
      <c r="AE824" s="363" t="str">
        <f t="shared" si="316"/>
        <v/>
      </c>
      <c r="AF824" s="342" t="str">
        <f t="shared" si="317"/>
        <v/>
      </c>
      <c r="AG824" s="411" t="e">
        <f ca="1">VLOOKUP(_xlfn.CONCAT(U824,V824,W824,VLOOKUP(X824&amp;Y824,TIME!$L$27:$O$34,4,FALSE),Y824),HIS_SALES!$A$2:$R$5093,18,FALSE)</f>
        <v>#N/A</v>
      </c>
      <c r="AH824" s="412" t="e">
        <f ca="1">IFERROR(IF(AND(V824=V823,W824=W823),0.5*(AB824+AB823)*AG824,(VLOOKUP(_xlfn.CONCAT(U824,V824,W824,X824,VLOOKUP(Z824,TIME!$S$28:$T$39,2,FALSE)),FC_DATA!$R$2:$AB$5000,MATCH("GS_I_M",FC_DATA!$R$1:$AB$1,0),FALSE)+FC_DATA!AB824)*0.5*FC_DATA!AG824),NA())</f>
        <v>#N/A</v>
      </c>
      <c r="AI824" s="491" t="e">
        <f ca="1">IF(V824="PARTNER.com",AH824,IF(AND(V824=V823,W824=W823),(1-AVERAGE(AD823,AD824))*AH824,(1-AVERAGE(AD824,VLOOKUP(_xlfn.CONCAT(U824,V824,W824,X824,M_BRAND_FC!$F$6),FC_DATA!$R$2:$AD$5000,MATCH("DISCOUNT_%_M",FC_DATA!$R$1:$AD$1,0),FALSE)))*AH824))</f>
        <v>#N/A</v>
      </c>
      <c r="AJ824" s="412" t="str">
        <f t="shared" ca="1" si="318"/>
        <v/>
      </c>
      <c r="AK824" s="413" t="str">
        <f>IFERROR(AE824/(Q_BRAND_FC!$T$24+1),"")</f>
        <v/>
      </c>
      <c r="AL824" s="88" t="str">
        <f t="shared" ca="1" si="319"/>
        <v/>
      </c>
      <c r="AM824" s="414" t="str">
        <f t="shared" ca="1" si="320"/>
        <v/>
      </c>
      <c r="AN824" s="58">
        <f>IFERROR(IF($V824="BRAND.com",HLOOKUP($X824&amp;$Z824,NWC_FC_NOOS!$C$4:$Q$23,MATCH(W824,NWC_FC_NOOS!$B$4:$B$23,0),FALSE),0),0)</f>
        <v>0</v>
      </c>
      <c r="AO824" s="57">
        <f>IFERROR(IF($V824="BRAND.com",HLOOKUP($X824&amp;$Z824,NWC_FC_NOOS!$T$4:$AH$23,MATCH(W824,NWC_FC_NOOS!$S$4:$S$23,0),FALSE),0),0)</f>
        <v>0</v>
      </c>
      <c r="AP824" s="57">
        <f>IFERROR(IF($V824="BRAND.com",HLOOKUP($X824&amp;$Z824,NWC_FC_NOOS!$C$50:$U$69,MATCH(W824,NWC_FC_NOOS!$B$50:$B$69,0),FALSE),0),0)</f>
        <v>0</v>
      </c>
      <c r="AQ824" s="58">
        <f>IFERROR(IF($V824="BRAND.com",HLOOKUP($X824&amp;$Z824,'NWC_FC_NON-NOOS'!$C$4:$Q$23,MATCH(W824,'NWC_FC_NON-NOOS'!$B$4:$B$23,0),FALSE),0),0)</f>
        <v>0</v>
      </c>
      <c r="AR824" s="57">
        <f>IFERROR(IF($V824="BRAND.com",HLOOKUP($X824&amp;$Z824,'NWC_FC_NON-NOOS'!$T$4:$AH$23,MATCH(W824,'NWC_FC_NON-NOOS'!$S$4:$S$23,0),FALSE),0),0)</f>
        <v>0</v>
      </c>
      <c r="AS824" s="57">
        <f>IFERROR(IF($V824="BRAND.com",HLOOKUP($X824&amp;$Z824,'NWC_FC_NON-NOOS'!$C$50:$U$69,MATCH(W824,'NWC_FC_NON-NOOS'!$B$50:$B$69,0),FALSE),0),0)</f>
        <v>0</v>
      </c>
      <c r="AT824" s="57">
        <f t="shared" si="322"/>
        <v>0</v>
      </c>
      <c r="AU824" s="57">
        <f t="shared" si="323"/>
        <v>0</v>
      </c>
      <c r="AV824" s="58">
        <f>IFERROR(IF($V824="BRAND.com",HLOOKUP($X824&amp;$Z824,PLANNING_FC!$BB$27:$BP$46,MATCH($W824,PLANNING_FC!$BA$27:$BA$46,0),FALSE),0),0)</f>
        <v>0</v>
      </c>
      <c r="AW824" s="58">
        <f>IFERROR(IF($V824="BRAND.com",HLOOKUP($X824&amp;$Z824,PLANNING_FC!$BB$4:$BP$23,MATCH($W824,PLANNING_FC!$BA$4:$BA$23,0),FALSE),0),0)</f>
        <v>0</v>
      </c>
      <c r="AX824" s="58">
        <f>IFERROR(IF($V824="BRAND.com",HLOOKUP($X824&amp;$Z824,PLANNING_FC!$T$27:$AH$46,MATCH($W824,PLANNING_FC!$B$27:$B$46,0),FALSE),0),0)</f>
        <v>0</v>
      </c>
      <c r="AY824" s="58">
        <f>IFERROR(IF($V824="BRAND.com",HLOOKUP($X824&amp;$Z824,PLANNING_FC!$T$4:$AH$23,MATCH($W824,PLANNING_FC!$B$4:$B$23,0),FALSE),0),0)</f>
        <v>0</v>
      </c>
      <c r="AZ824" s="58">
        <f>IFERROR(IF($V824="BRAND.com",HLOOKUP($X824&amp;$Z824,PLANNING_FC!$DA$27:$DO$46,MATCH($W824,PLANNING_FC!$CZ$27:$CZ$46,0),FALSE),0),0)</f>
        <v>0</v>
      </c>
      <c r="BA824" s="58">
        <f>IFERROR(IF($V824="BRAND.com",HLOOKUP($X824&amp;$Z824,PLANNING_FC!$DA$4:$DO$23,MATCH($W824,PLANNING_FC!$CZ$4:$CZ$23,0),FALSE),0),0)</f>
        <v>0</v>
      </c>
      <c r="BB824" s="883" t="str">
        <f>IF(V824="BRAND.com",IFERROR(HLOOKUP(X824&amp;Z824,PLANNING_FC!$AK$4:$AY$23,MATCH(W824,PLANNING_FC!$AJ$4:$AJ$23,0),FALSE)*1000,""),"")</f>
        <v/>
      </c>
      <c r="BC824" s="883" t="str">
        <f>IF(V824="BRAND.com",IFERROR(HLOOKUP(X824&amp;Z824,PLANNING_FC!$AK$27:$AY$46,MATCH(W824,PLANNING_FC!$AJ$27:$AJ$46,0),FALSE)*1000,""),"")</f>
        <v/>
      </c>
    </row>
    <row r="825" spans="14:55" x14ac:dyDescent="0.25">
      <c r="N825" s="56">
        <f t="shared" si="304"/>
        <v>0</v>
      </c>
      <c r="O825" s="57">
        <f t="shared" si="305"/>
        <v>0</v>
      </c>
      <c r="P825" s="57">
        <f ca="1">IFERROR(IF(ISBLANK(H825),SUMIFS($AC:$AC,$V:$V,V825,$W:$W,W825,$X:$X,X825,$Y:$Y,Y825)*J825/(1-J825)*VLOOKUP(_xlfn.CONCAT(C825,D825,E825,TIME!$M$12,Z825),HIS_SALES!$B$2:$W$4859,20,FALSE),AC825*J825/(1-J825)),0)</f>
        <v>0</v>
      </c>
      <c r="Q825" s="541" t="str">
        <f t="shared" si="306"/>
        <v/>
      </c>
      <c r="R825" s="346" t="str">
        <f t="shared" si="307"/>
        <v>00000</v>
      </c>
      <c r="S825" s="344">
        <f t="shared" si="308"/>
        <v>0</v>
      </c>
      <c r="T825" s="345" t="str">
        <f t="shared" si="321"/>
        <v>000</v>
      </c>
      <c r="U825" s="345">
        <f t="shared" si="309"/>
        <v>0</v>
      </c>
      <c r="V825" s="345">
        <f t="shared" si="310"/>
        <v>0</v>
      </c>
      <c r="W825" s="345">
        <f t="shared" si="311"/>
        <v>0</v>
      </c>
      <c r="X825" s="345">
        <f t="shared" si="312"/>
        <v>0</v>
      </c>
      <c r="Y825" s="345">
        <f t="shared" si="313"/>
        <v>0</v>
      </c>
      <c r="Z825" s="345">
        <f>IF(Q825&lt;&gt;"",VLOOKUP(Y825,TIME!$R$21:$V$24,MATCH(FC_DATA!Q825,TIME!$R$20:$V$20,0),FALSE),H825)</f>
        <v>0</v>
      </c>
      <c r="AA825" s="345" t="str">
        <f>IFERROR(VLOOKUP(X825&amp;Z825,TIME!$A$12:$D$71,4,FALSE),"")</f>
        <v/>
      </c>
      <c r="AB825" s="592">
        <f t="shared" ca="1" si="314"/>
        <v>0</v>
      </c>
      <c r="AC825" s="593" t="e">
        <f ca="1">IF(ISBLANK(H825)=FALSE,IF(D825="BRAND.com",I825,IF(ISNA(VLOOKUP(_xlfn.CONCAT(X825,Z825),TIME!$M$40:$M$42,1,FALSE)),I825,VLOOKUP(_xlfn.CONCAT(D825,G825,H825),M_BUSAREA_FC!$AF$5:$AJ$10,5,FALSE)*HLOOKUP(_xlfn.CONCAT(F825,H825),ST_OVERVIEW!$G$99:$I$130,MATCH(_xlfn.CONCAT(D825,E825),ST_OVERVIEW!$F$99:$F$130,0),FALSE))),IF(D825="BRAND.com",VLOOKUP(_xlfn.CONCAT(C825,D825,E825,TIME!$F$1,Z825),HIS_SALES!$B$2:$V$4859,19,FALSE)*I825,VLOOKUP(_xlfn.CONCAT(D825,F825,G825),Q_BUSAREA_FC!$AE$5:$AI$12,5,FALSE)*HLOOKUP(_xlfn.CONCAT(FC_DATA!F825,FC_DATA!G825),LT_OVERVIEW!$I$99:$M$130,MATCH(_xlfn.CONCAT(D825,FC_DATA!E825),LT_OVERVIEW!$H$99:$H$130,0),FALSE)*IFERROR(VLOOKUP(_xlfn.CONCAT(C825,D825,E825,TIME!$F$1,Z825),HIS_SALES!$B$2:$V$4859,19,FALSE),0)))</f>
        <v>#N/A</v>
      </c>
      <c r="AD825" s="341">
        <f t="shared" ca="1" si="315"/>
        <v>0</v>
      </c>
      <c r="AE825" s="363" t="str">
        <f t="shared" si="316"/>
        <v/>
      </c>
      <c r="AF825" s="342" t="str">
        <f t="shared" si="317"/>
        <v/>
      </c>
      <c r="AG825" s="411" t="e">
        <f ca="1">VLOOKUP(_xlfn.CONCAT(U825,V825,W825,VLOOKUP(X825&amp;Y825,TIME!$L$27:$O$34,4,FALSE),Y825),HIS_SALES!$A$2:$R$5093,18,FALSE)</f>
        <v>#N/A</v>
      </c>
      <c r="AH825" s="412" t="e">
        <f ca="1">IFERROR(IF(AND(V825=V824,W825=W824),0.5*(AB825+AB824)*AG825,(VLOOKUP(_xlfn.CONCAT(U825,V825,W825,X825,VLOOKUP(Z825,TIME!$S$28:$T$39,2,FALSE)),FC_DATA!$R$2:$AB$5000,MATCH("GS_I_M",FC_DATA!$R$1:$AB$1,0),FALSE)+FC_DATA!AB825)*0.5*FC_DATA!AG825),NA())</f>
        <v>#N/A</v>
      </c>
      <c r="AI825" s="491" t="e">
        <f ca="1">IF(V825="PARTNER.com",AH825,IF(AND(V825=V824,W825=W824),(1-AVERAGE(AD824,AD825))*AH825,(1-AVERAGE(AD825,VLOOKUP(_xlfn.CONCAT(U825,V825,W825,X825,M_BRAND_FC!$F$6),FC_DATA!$R$2:$AD$5000,MATCH("DISCOUNT_%_M",FC_DATA!$R$1:$AD$1,0),FALSE)))*AH825))</f>
        <v>#N/A</v>
      </c>
      <c r="AJ825" s="412" t="str">
        <f t="shared" ca="1" si="318"/>
        <v/>
      </c>
      <c r="AK825" s="413" t="str">
        <f>IFERROR(AE825/(Q_BRAND_FC!$T$24+1),"")</f>
        <v/>
      </c>
      <c r="AL825" s="88" t="str">
        <f t="shared" ca="1" si="319"/>
        <v/>
      </c>
      <c r="AM825" s="414" t="str">
        <f t="shared" ca="1" si="320"/>
        <v/>
      </c>
      <c r="AN825" s="58">
        <f>IFERROR(IF($V825="BRAND.com",HLOOKUP($X825&amp;$Z825,NWC_FC_NOOS!$C$4:$Q$23,MATCH(W825,NWC_FC_NOOS!$B$4:$B$23,0),FALSE),0),0)</f>
        <v>0</v>
      </c>
      <c r="AO825" s="57">
        <f>IFERROR(IF($V825="BRAND.com",HLOOKUP($X825&amp;$Z825,NWC_FC_NOOS!$T$4:$AH$23,MATCH(W825,NWC_FC_NOOS!$S$4:$S$23,0),FALSE),0),0)</f>
        <v>0</v>
      </c>
      <c r="AP825" s="57">
        <f>IFERROR(IF($V825="BRAND.com",HLOOKUP($X825&amp;$Z825,NWC_FC_NOOS!$C$50:$U$69,MATCH(W825,NWC_FC_NOOS!$B$50:$B$69,0),FALSE),0),0)</f>
        <v>0</v>
      </c>
      <c r="AQ825" s="58">
        <f>IFERROR(IF($V825="BRAND.com",HLOOKUP($X825&amp;$Z825,'NWC_FC_NON-NOOS'!$C$4:$Q$23,MATCH(W825,'NWC_FC_NON-NOOS'!$B$4:$B$23,0),FALSE),0),0)</f>
        <v>0</v>
      </c>
      <c r="AR825" s="57">
        <f>IFERROR(IF($V825="BRAND.com",HLOOKUP($X825&amp;$Z825,'NWC_FC_NON-NOOS'!$T$4:$AH$23,MATCH(W825,'NWC_FC_NON-NOOS'!$S$4:$S$23,0),FALSE),0),0)</f>
        <v>0</v>
      </c>
      <c r="AS825" s="57">
        <f>IFERROR(IF($V825="BRAND.com",HLOOKUP($X825&amp;$Z825,'NWC_FC_NON-NOOS'!$C$50:$U$69,MATCH(W825,'NWC_FC_NON-NOOS'!$B$50:$B$69,0),FALSE),0),0)</f>
        <v>0</v>
      </c>
      <c r="AT825" s="57">
        <f t="shared" si="322"/>
        <v>0</v>
      </c>
      <c r="AU825" s="57">
        <f t="shared" si="323"/>
        <v>0</v>
      </c>
      <c r="AV825" s="58">
        <f>IFERROR(IF($V825="BRAND.com",HLOOKUP($X825&amp;$Z825,PLANNING_FC!$BB$27:$BP$46,MATCH($W825,PLANNING_FC!$BA$27:$BA$46,0),FALSE),0),0)</f>
        <v>0</v>
      </c>
      <c r="AW825" s="58">
        <f>IFERROR(IF($V825="BRAND.com",HLOOKUP($X825&amp;$Z825,PLANNING_FC!$BB$4:$BP$23,MATCH($W825,PLANNING_FC!$BA$4:$BA$23,0),FALSE),0),0)</f>
        <v>0</v>
      </c>
      <c r="AX825" s="58">
        <f>IFERROR(IF($V825="BRAND.com",HLOOKUP($X825&amp;$Z825,PLANNING_FC!$T$27:$AH$46,MATCH($W825,PLANNING_FC!$B$27:$B$46,0),FALSE),0),0)</f>
        <v>0</v>
      </c>
      <c r="AY825" s="58">
        <f>IFERROR(IF($V825="BRAND.com",HLOOKUP($X825&amp;$Z825,PLANNING_FC!$T$4:$AH$23,MATCH($W825,PLANNING_FC!$B$4:$B$23,0),FALSE),0),0)</f>
        <v>0</v>
      </c>
      <c r="AZ825" s="58">
        <f>IFERROR(IF($V825="BRAND.com",HLOOKUP($X825&amp;$Z825,PLANNING_FC!$DA$27:$DO$46,MATCH($W825,PLANNING_FC!$CZ$27:$CZ$46,0),FALSE),0),0)</f>
        <v>0</v>
      </c>
      <c r="BA825" s="58">
        <f>IFERROR(IF($V825="BRAND.com",HLOOKUP($X825&amp;$Z825,PLANNING_FC!$DA$4:$DO$23,MATCH($W825,PLANNING_FC!$CZ$4:$CZ$23,0),FALSE),0),0)</f>
        <v>0</v>
      </c>
      <c r="BB825" s="883" t="str">
        <f>IF(V825="BRAND.com",IFERROR(HLOOKUP(X825&amp;Z825,PLANNING_FC!$AK$4:$AY$23,MATCH(W825,PLANNING_FC!$AJ$4:$AJ$23,0),FALSE)*1000,""),"")</f>
        <v/>
      </c>
      <c r="BC825" s="883" t="str">
        <f>IF(V825="BRAND.com",IFERROR(HLOOKUP(X825&amp;Z825,PLANNING_FC!$AK$27:$AY$46,MATCH(W825,PLANNING_FC!$AJ$27:$AJ$46,0),FALSE)*1000,""),"")</f>
        <v/>
      </c>
    </row>
    <row r="826" spans="14:55" x14ac:dyDescent="0.25">
      <c r="N826" s="56">
        <f t="shared" si="304"/>
        <v>0</v>
      </c>
      <c r="O826" s="57">
        <f t="shared" si="305"/>
        <v>0</v>
      </c>
      <c r="P826" s="57">
        <f ca="1">IFERROR(IF(ISBLANK(H826),SUMIFS($AC:$AC,$V:$V,V826,$W:$W,W826,$X:$X,X826,$Y:$Y,Y826)*J826/(1-J826)*VLOOKUP(_xlfn.CONCAT(C826,D826,E826,TIME!$M$12,Z826),HIS_SALES!$B$2:$W$4859,20,FALSE),AC826*J826/(1-J826)),0)</f>
        <v>0</v>
      </c>
      <c r="Q826" s="541" t="str">
        <f t="shared" si="306"/>
        <v/>
      </c>
      <c r="R826" s="346" t="str">
        <f t="shared" si="307"/>
        <v>00000</v>
      </c>
      <c r="S826" s="344">
        <f t="shared" si="308"/>
        <v>0</v>
      </c>
      <c r="T826" s="345" t="str">
        <f t="shared" si="321"/>
        <v>000</v>
      </c>
      <c r="U826" s="345">
        <f t="shared" si="309"/>
        <v>0</v>
      </c>
      <c r="V826" s="345">
        <f t="shared" si="310"/>
        <v>0</v>
      </c>
      <c r="W826" s="345">
        <f t="shared" si="311"/>
        <v>0</v>
      </c>
      <c r="X826" s="345">
        <f t="shared" si="312"/>
        <v>0</v>
      </c>
      <c r="Y826" s="345">
        <f t="shared" si="313"/>
        <v>0</v>
      </c>
      <c r="Z826" s="345">
        <f>IF(Q826&lt;&gt;"",VLOOKUP(Y826,TIME!$R$21:$V$24,MATCH(FC_DATA!Q826,TIME!$R$20:$V$20,0),FALSE),H826)</f>
        <v>0</v>
      </c>
      <c r="AA826" s="345" t="str">
        <f>IFERROR(VLOOKUP(X826&amp;Z826,TIME!$A$12:$D$71,4,FALSE),"")</f>
        <v/>
      </c>
      <c r="AB826" s="592">
        <f t="shared" ca="1" si="314"/>
        <v>0</v>
      </c>
      <c r="AC826" s="593" t="e">
        <f ca="1">IF(ISBLANK(H826)=FALSE,IF(D826="BRAND.com",I826,IF(ISNA(VLOOKUP(_xlfn.CONCAT(X826,Z826),TIME!$M$40:$M$42,1,FALSE)),I826,VLOOKUP(_xlfn.CONCAT(D826,G826,H826),M_BUSAREA_FC!$AF$5:$AJ$10,5,FALSE)*HLOOKUP(_xlfn.CONCAT(F826,H826),ST_OVERVIEW!$G$99:$I$130,MATCH(_xlfn.CONCAT(D826,E826),ST_OVERVIEW!$F$99:$F$130,0),FALSE))),IF(D826="BRAND.com",VLOOKUP(_xlfn.CONCAT(C826,D826,E826,TIME!$F$1,Z826),HIS_SALES!$B$2:$V$4859,19,FALSE)*I826,VLOOKUP(_xlfn.CONCAT(D826,F826,G826),Q_BUSAREA_FC!$AE$5:$AI$12,5,FALSE)*HLOOKUP(_xlfn.CONCAT(FC_DATA!F826,FC_DATA!G826),LT_OVERVIEW!$I$99:$M$130,MATCH(_xlfn.CONCAT(D826,FC_DATA!E826),LT_OVERVIEW!$H$99:$H$130,0),FALSE)*IFERROR(VLOOKUP(_xlfn.CONCAT(C826,D826,E826,TIME!$F$1,Z826),HIS_SALES!$B$2:$V$4859,19,FALSE),0)))</f>
        <v>#N/A</v>
      </c>
      <c r="AD826" s="341">
        <f t="shared" ca="1" si="315"/>
        <v>0</v>
      </c>
      <c r="AE826" s="363" t="str">
        <f t="shared" si="316"/>
        <v/>
      </c>
      <c r="AF826" s="342" t="str">
        <f t="shared" si="317"/>
        <v/>
      </c>
      <c r="AG826" s="411" t="e">
        <f ca="1">VLOOKUP(_xlfn.CONCAT(U826,V826,W826,VLOOKUP(X826&amp;Y826,TIME!$L$27:$O$34,4,FALSE),Y826),HIS_SALES!$A$2:$R$5093,18,FALSE)</f>
        <v>#N/A</v>
      </c>
      <c r="AH826" s="412" t="e">
        <f ca="1">IFERROR(IF(AND(V826=V825,W826=W825),0.5*(AB826+AB825)*AG826,(VLOOKUP(_xlfn.CONCAT(U826,V826,W826,X826,VLOOKUP(Z826,TIME!$S$28:$T$39,2,FALSE)),FC_DATA!$R$2:$AB$5000,MATCH("GS_I_M",FC_DATA!$R$1:$AB$1,0),FALSE)+FC_DATA!AB826)*0.5*FC_DATA!AG826),NA())</f>
        <v>#N/A</v>
      </c>
      <c r="AI826" s="491" t="e">
        <f ca="1">IF(V826="PARTNER.com",AH826,IF(AND(V826=V825,W826=W825),(1-AVERAGE(AD825,AD826))*AH826,(1-AVERAGE(AD826,VLOOKUP(_xlfn.CONCAT(U826,V826,W826,X826,M_BRAND_FC!$F$6),FC_DATA!$R$2:$AD$5000,MATCH("DISCOUNT_%_M",FC_DATA!$R$1:$AD$1,0),FALSE)))*AH826))</f>
        <v>#N/A</v>
      </c>
      <c r="AJ826" s="412" t="str">
        <f t="shared" ca="1" si="318"/>
        <v/>
      </c>
      <c r="AK826" s="413" t="str">
        <f>IFERROR(AE826/(Q_BRAND_FC!$T$24+1),"")</f>
        <v/>
      </c>
      <c r="AL826" s="88" t="str">
        <f t="shared" ca="1" si="319"/>
        <v/>
      </c>
      <c r="AM826" s="414" t="str">
        <f t="shared" ca="1" si="320"/>
        <v/>
      </c>
      <c r="AN826" s="58">
        <f>IFERROR(IF($V826="BRAND.com",HLOOKUP($X826&amp;$Z826,NWC_FC_NOOS!$C$4:$Q$23,MATCH(W826,NWC_FC_NOOS!$B$4:$B$23,0),FALSE),0),0)</f>
        <v>0</v>
      </c>
      <c r="AO826" s="57">
        <f>IFERROR(IF($V826="BRAND.com",HLOOKUP($X826&amp;$Z826,NWC_FC_NOOS!$T$4:$AH$23,MATCH(W826,NWC_FC_NOOS!$S$4:$S$23,0),FALSE),0),0)</f>
        <v>0</v>
      </c>
      <c r="AP826" s="57">
        <f>IFERROR(IF($V826="BRAND.com",HLOOKUP($X826&amp;$Z826,NWC_FC_NOOS!$C$50:$U$69,MATCH(W826,NWC_FC_NOOS!$B$50:$B$69,0),FALSE),0),0)</f>
        <v>0</v>
      </c>
      <c r="AQ826" s="58">
        <f>IFERROR(IF($V826="BRAND.com",HLOOKUP($X826&amp;$Z826,'NWC_FC_NON-NOOS'!$C$4:$Q$23,MATCH(W826,'NWC_FC_NON-NOOS'!$B$4:$B$23,0),FALSE),0),0)</f>
        <v>0</v>
      </c>
      <c r="AR826" s="57">
        <f>IFERROR(IF($V826="BRAND.com",HLOOKUP($X826&amp;$Z826,'NWC_FC_NON-NOOS'!$T$4:$AH$23,MATCH(W826,'NWC_FC_NON-NOOS'!$S$4:$S$23,0),FALSE),0),0)</f>
        <v>0</v>
      </c>
      <c r="AS826" s="57">
        <f>IFERROR(IF($V826="BRAND.com",HLOOKUP($X826&amp;$Z826,'NWC_FC_NON-NOOS'!$C$50:$U$69,MATCH(W826,'NWC_FC_NON-NOOS'!$B$50:$B$69,0),FALSE),0),0)</f>
        <v>0</v>
      </c>
      <c r="AT826" s="57">
        <f t="shared" si="322"/>
        <v>0</v>
      </c>
      <c r="AU826" s="57">
        <f t="shared" si="323"/>
        <v>0</v>
      </c>
      <c r="AV826" s="58">
        <f>IFERROR(IF($V826="BRAND.com",HLOOKUP($X826&amp;$Z826,PLANNING_FC!$BB$27:$BP$46,MATCH($W826,PLANNING_FC!$BA$27:$BA$46,0),FALSE),0),0)</f>
        <v>0</v>
      </c>
      <c r="AW826" s="58">
        <f>IFERROR(IF($V826="BRAND.com",HLOOKUP($X826&amp;$Z826,PLANNING_FC!$BB$4:$BP$23,MATCH($W826,PLANNING_FC!$BA$4:$BA$23,0),FALSE),0),0)</f>
        <v>0</v>
      </c>
      <c r="AX826" s="58">
        <f>IFERROR(IF($V826="BRAND.com",HLOOKUP($X826&amp;$Z826,PLANNING_FC!$T$27:$AH$46,MATCH($W826,PLANNING_FC!$B$27:$B$46,0),FALSE),0),0)</f>
        <v>0</v>
      </c>
      <c r="AY826" s="58">
        <f>IFERROR(IF($V826="BRAND.com",HLOOKUP($X826&amp;$Z826,PLANNING_FC!$T$4:$AH$23,MATCH($W826,PLANNING_FC!$B$4:$B$23,0),FALSE),0),0)</f>
        <v>0</v>
      </c>
      <c r="AZ826" s="58">
        <f>IFERROR(IF($V826="BRAND.com",HLOOKUP($X826&amp;$Z826,PLANNING_FC!$DA$27:$DO$46,MATCH($W826,PLANNING_FC!$CZ$27:$CZ$46,0),FALSE),0),0)</f>
        <v>0</v>
      </c>
      <c r="BA826" s="58">
        <f>IFERROR(IF($V826="BRAND.com",HLOOKUP($X826&amp;$Z826,PLANNING_FC!$DA$4:$DO$23,MATCH($W826,PLANNING_FC!$CZ$4:$CZ$23,0),FALSE),0),0)</f>
        <v>0</v>
      </c>
      <c r="BB826" s="883" t="str">
        <f>IF(V826="BRAND.com",IFERROR(HLOOKUP(X826&amp;Z826,PLANNING_FC!$AK$4:$AY$23,MATCH(W826,PLANNING_FC!$AJ$4:$AJ$23,0),FALSE)*1000,""),"")</f>
        <v/>
      </c>
      <c r="BC826" s="883" t="str">
        <f>IF(V826="BRAND.com",IFERROR(HLOOKUP(X826&amp;Z826,PLANNING_FC!$AK$27:$AY$46,MATCH(W826,PLANNING_FC!$AJ$27:$AJ$46,0),FALSE)*1000,""),"")</f>
        <v/>
      </c>
    </row>
    <row r="827" spans="14:55" x14ac:dyDescent="0.25">
      <c r="N827" s="56">
        <f t="shared" si="304"/>
        <v>0</v>
      </c>
      <c r="O827" s="57">
        <f t="shared" si="305"/>
        <v>0</v>
      </c>
      <c r="P827" s="57">
        <f ca="1">IFERROR(IF(ISBLANK(H827),SUMIFS($AC:$AC,$V:$V,V827,$W:$W,W827,$X:$X,X827,$Y:$Y,Y827)*J827/(1-J827)*VLOOKUP(_xlfn.CONCAT(C827,D827,E827,TIME!$M$12,Z827),HIS_SALES!$B$2:$W$4859,20,FALSE),AC827*J827/(1-J827)),0)</f>
        <v>0</v>
      </c>
      <c r="Q827" s="541" t="str">
        <f t="shared" si="306"/>
        <v/>
      </c>
      <c r="R827" s="346" t="str">
        <f t="shared" si="307"/>
        <v>00000</v>
      </c>
      <c r="S827" s="344">
        <f t="shared" si="308"/>
        <v>0</v>
      </c>
      <c r="T827" s="345" t="str">
        <f t="shared" si="321"/>
        <v>000</v>
      </c>
      <c r="U827" s="345">
        <f t="shared" si="309"/>
        <v>0</v>
      </c>
      <c r="V827" s="345">
        <f t="shared" si="310"/>
        <v>0</v>
      </c>
      <c r="W827" s="345">
        <f t="shared" si="311"/>
        <v>0</v>
      </c>
      <c r="X827" s="345">
        <f t="shared" si="312"/>
        <v>0</v>
      </c>
      <c r="Y827" s="345">
        <f t="shared" si="313"/>
        <v>0</v>
      </c>
      <c r="Z827" s="345">
        <f>IF(Q827&lt;&gt;"",VLOOKUP(Y827,TIME!$R$21:$V$24,MATCH(FC_DATA!Q827,TIME!$R$20:$V$20,0),FALSE),H827)</f>
        <v>0</v>
      </c>
      <c r="AA827" s="345" t="str">
        <f>IFERROR(VLOOKUP(X827&amp;Z827,TIME!$A$12:$D$71,4,FALSE),"")</f>
        <v/>
      </c>
      <c r="AB827" s="592">
        <f t="shared" ca="1" si="314"/>
        <v>0</v>
      </c>
      <c r="AC827" s="593" t="e">
        <f ca="1">IF(ISBLANK(H827)=FALSE,IF(D827="BRAND.com",I827,IF(ISNA(VLOOKUP(_xlfn.CONCAT(X827,Z827),TIME!$M$40:$M$42,1,FALSE)),I827,VLOOKUP(_xlfn.CONCAT(D827,G827,H827),M_BUSAREA_FC!$AF$5:$AJ$10,5,FALSE)*HLOOKUP(_xlfn.CONCAT(F827,H827),ST_OVERVIEW!$G$99:$I$130,MATCH(_xlfn.CONCAT(D827,E827),ST_OVERVIEW!$F$99:$F$130,0),FALSE))),IF(D827="BRAND.com",VLOOKUP(_xlfn.CONCAT(C827,D827,E827,TIME!$F$1,Z827),HIS_SALES!$B$2:$V$4859,19,FALSE)*I827,VLOOKUP(_xlfn.CONCAT(D827,F827,G827),Q_BUSAREA_FC!$AE$5:$AI$12,5,FALSE)*HLOOKUP(_xlfn.CONCAT(FC_DATA!F827,FC_DATA!G827),LT_OVERVIEW!$I$99:$M$130,MATCH(_xlfn.CONCAT(D827,FC_DATA!E827),LT_OVERVIEW!$H$99:$H$130,0),FALSE)*IFERROR(VLOOKUP(_xlfn.CONCAT(C827,D827,E827,TIME!$F$1,Z827),HIS_SALES!$B$2:$V$4859,19,FALSE),0)))</f>
        <v>#N/A</v>
      </c>
      <c r="AD827" s="341">
        <f t="shared" ca="1" si="315"/>
        <v>0</v>
      </c>
      <c r="AE827" s="363" t="str">
        <f t="shared" si="316"/>
        <v/>
      </c>
      <c r="AF827" s="342" t="str">
        <f t="shared" si="317"/>
        <v/>
      </c>
      <c r="AG827" s="411" t="e">
        <f ca="1">VLOOKUP(_xlfn.CONCAT(U827,V827,W827,VLOOKUP(X827&amp;Y827,TIME!$L$27:$O$34,4,FALSE),Y827),HIS_SALES!$A$2:$R$5093,18,FALSE)</f>
        <v>#N/A</v>
      </c>
      <c r="AH827" s="412" t="e">
        <f ca="1">IFERROR(IF(AND(V827=V826,W827=W826),0.5*(AB827+AB826)*AG827,(VLOOKUP(_xlfn.CONCAT(U827,V827,W827,X827,VLOOKUP(Z827,TIME!$S$28:$T$39,2,FALSE)),FC_DATA!$R$2:$AB$5000,MATCH("GS_I_M",FC_DATA!$R$1:$AB$1,0),FALSE)+FC_DATA!AB827)*0.5*FC_DATA!AG827),NA())</f>
        <v>#N/A</v>
      </c>
      <c r="AI827" s="491" t="e">
        <f ca="1">IF(V827="PARTNER.com",AH827,IF(AND(V827=V826,W827=W826),(1-AVERAGE(AD826,AD827))*AH827,(1-AVERAGE(AD827,VLOOKUP(_xlfn.CONCAT(U827,V827,W827,X827,M_BRAND_FC!$F$6),FC_DATA!$R$2:$AD$5000,MATCH("DISCOUNT_%_M",FC_DATA!$R$1:$AD$1,0),FALSE)))*AH827))</f>
        <v>#N/A</v>
      </c>
      <c r="AJ827" s="412" t="str">
        <f t="shared" ca="1" si="318"/>
        <v/>
      </c>
      <c r="AK827" s="413" t="str">
        <f>IFERROR(AE827/(Q_BRAND_FC!$T$24+1),"")</f>
        <v/>
      </c>
      <c r="AL827" s="88" t="str">
        <f t="shared" ca="1" si="319"/>
        <v/>
      </c>
      <c r="AM827" s="414" t="str">
        <f t="shared" ca="1" si="320"/>
        <v/>
      </c>
      <c r="AN827" s="58">
        <f>IFERROR(IF($V827="BRAND.com",HLOOKUP($X827&amp;$Z827,NWC_FC_NOOS!$C$4:$Q$23,MATCH(W827,NWC_FC_NOOS!$B$4:$B$23,0),FALSE),0),0)</f>
        <v>0</v>
      </c>
      <c r="AO827" s="57">
        <f>IFERROR(IF($V827="BRAND.com",HLOOKUP($X827&amp;$Z827,NWC_FC_NOOS!$T$4:$AH$23,MATCH(W827,NWC_FC_NOOS!$S$4:$S$23,0),FALSE),0),0)</f>
        <v>0</v>
      </c>
      <c r="AP827" s="57">
        <f>IFERROR(IF($V827="BRAND.com",HLOOKUP($X827&amp;$Z827,NWC_FC_NOOS!$C$50:$U$69,MATCH(W827,NWC_FC_NOOS!$B$50:$B$69,0),FALSE),0),0)</f>
        <v>0</v>
      </c>
      <c r="AQ827" s="58">
        <f>IFERROR(IF($V827="BRAND.com",HLOOKUP($X827&amp;$Z827,'NWC_FC_NON-NOOS'!$C$4:$Q$23,MATCH(W827,'NWC_FC_NON-NOOS'!$B$4:$B$23,0),FALSE),0),0)</f>
        <v>0</v>
      </c>
      <c r="AR827" s="57">
        <f>IFERROR(IF($V827="BRAND.com",HLOOKUP($X827&amp;$Z827,'NWC_FC_NON-NOOS'!$T$4:$AH$23,MATCH(W827,'NWC_FC_NON-NOOS'!$S$4:$S$23,0),FALSE),0),0)</f>
        <v>0</v>
      </c>
      <c r="AS827" s="57">
        <f>IFERROR(IF($V827="BRAND.com",HLOOKUP($X827&amp;$Z827,'NWC_FC_NON-NOOS'!$C$50:$U$69,MATCH(W827,'NWC_FC_NON-NOOS'!$B$50:$B$69,0),FALSE),0),0)</f>
        <v>0</v>
      </c>
      <c r="AT827" s="57">
        <f t="shared" si="322"/>
        <v>0</v>
      </c>
      <c r="AU827" s="57">
        <f t="shared" si="323"/>
        <v>0</v>
      </c>
      <c r="AV827" s="58">
        <f>IFERROR(IF($V827="BRAND.com",HLOOKUP($X827&amp;$Z827,PLANNING_FC!$BB$27:$BP$46,MATCH($W827,PLANNING_FC!$BA$27:$BA$46,0),FALSE),0),0)</f>
        <v>0</v>
      </c>
      <c r="AW827" s="58">
        <f>IFERROR(IF($V827="BRAND.com",HLOOKUP($X827&amp;$Z827,PLANNING_FC!$BB$4:$BP$23,MATCH($W827,PLANNING_FC!$BA$4:$BA$23,0),FALSE),0),0)</f>
        <v>0</v>
      </c>
      <c r="AX827" s="58">
        <f>IFERROR(IF($V827="BRAND.com",HLOOKUP($X827&amp;$Z827,PLANNING_FC!$T$27:$AH$46,MATCH($W827,PLANNING_FC!$B$27:$B$46,0),FALSE),0),0)</f>
        <v>0</v>
      </c>
      <c r="AY827" s="58">
        <f>IFERROR(IF($V827="BRAND.com",HLOOKUP($X827&amp;$Z827,PLANNING_FC!$T$4:$AH$23,MATCH($W827,PLANNING_FC!$B$4:$B$23,0),FALSE),0),0)</f>
        <v>0</v>
      </c>
      <c r="AZ827" s="58">
        <f>IFERROR(IF($V827="BRAND.com",HLOOKUP($X827&amp;$Z827,PLANNING_FC!$DA$27:$DO$46,MATCH($W827,PLANNING_FC!$CZ$27:$CZ$46,0),FALSE),0),0)</f>
        <v>0</v>
      </c>
      <c r="BA827" s="58">
        <f>IFERROR(IF($V827="BRAND.com",HLOOKUP($X827&amp;$Z827,PLANNING_FC!$DA$4:$DO$23,MATCH($W827,PLANNING_FC!$CZ$4:$CZ$23,0),FALSE),0),0)</f>
        <v>0</v>
      </c>
      <c r="BB827" s="883" t="str">
        <f>IF(V827="BRAND.com",IFERROR(HLOOKUP(X827&amp;Z827,PLANNING_FC!$AK$4:$AY$23,MATCH(W827,PLANNING_FC!$AJ$4:$AJ$23,0),FALSE)*1000,""),"")</f>
        <v/>
      </c>
      <c r="BC827" s="883" t="str">
        <f>IF(V827="BRAND.com",IFERROR(HLOOKUP(X827&amp;Z827,PLANNING_FC!$AK$27:$AY$46,MATCH(W827,PLANNING_FC!$AJ$27:$AJ$46,0),FALSE)*1000,""),"")</f>
        <v/>
      </c>
    </row>
    <row r="828" spans="14:55" x14ac:dyDescent="0.25">
      <c r="N828" s="56">
        <f t="shared" si="304"/>
        <v>0</v>
      </c>
      <c r="O828" s="57">
        <f t="shared" si="305"/>
        <v>0</v>
      </c>
      <c r="P828" s="57">
        <f ca="1">IFERROR(IF(ISBLANK(H828),SUMIFS($AC:$AC,$V:$V,V828,$W:$W,W828,$X:$X,X828,$Y:$Y,Y828)*J828/(1-J828)*VLOOKUP(_xlfn.CONCAT(C828,D828,E828,TIME!$M$12,Z828),HIS_SALES!$B$2:$W$4859,20,FALSE),AC828*J828/(1-J828)),0)</f>
        <v>0</v>
      </c>
      <c r="Q828" s="541" t="str">
        <f t="shared" si="306"/>
        <v/>
      </c>
      <c r="R828" s="346" t="str">
        <f t="shared" si="307"/>
        <v>00000</v>
      </c>
      <c r="S828" s="344">
        <f t="shared" si="308"/>
        <v>0</v>
      </c>
      <c r="T828" s="345" t="str">
        <f t="shared" si="321"/>
        <v>000</v>
      </c>
      <c r="U828" s="345">
        <f t="shared" si="309"/>
        <v>0</v>
      </c>
      <c r="V828" s="345">
        <f t="shared" si="310"/>
        <v>0</v>
      </c>
      <c r="W828" s="345">
        <f t="shared" si="311"/>
        <v>0</v>
      </c>
      <c r="X828" s="345">
        <f t="shared" si="312"/>
        <v>0</v>
      </c>
      <c r="Y828" s="345">
        <f t="shared" si="313"/>
        <v>0</v>
      </c>
      <c r="Z828" s="345">
        <f>IF(Q828&lt;&gt;"",VLOOKUP(Y828,TIME!$R$21:$V$24,MATCH(FC_DATA!Q828,TIME!$R$20:$V$20,0),FALSE),H828)</f>
        <v>0</v>
      </c>
      <c r="AA828" s="345" t="str">
        <f>IFERROR(VLOOKUP(X828&amp;Z828,TIME!$A$12:$D$71,4,FALSE),"")</f>
        <v/>
      </c>
      <c r="AB828" s="592">
        <f t="shared" ca="1" si="314"/>
        <v>0</v>
      </c>
      <c r="AC828" s="593" t="e">
        <f ca="1">IF(ISBLANK(H828)=FALSE,IF(D828="BRAND.com",I828,IF(ISNA(VLOOKUP(_xlfn.CONCAT(X828,Z828),TIME!$M$40:$M$42,1,FALSE)),I828,VLOOKUP(_xlfn.CONCAT(D828,G828,H828),M_BUSAREA_FC!$AF$5:$AJ$10,5,FALSE)*HLOOKUP(_xlfn.CONCAT(F828,H828),ST_OVERVIEW!$G$99:$I$130,MATCH(_xlfn.CONCAT(D828,E828),ST_OVERVIEW!$F$99:$F$130,0),FALSE))),IF(D828="BRAND.com",VLOOKUP(_xlfn.CONCAT(C828,D828,E828,TIME!$F$1,Z828),HIS_SALES!$B$2:$V$4859,19,FALSE)*I828,VLOOKUP(_xlfn.CONCAT(D828,F828,G828),Q_BUSAREA_FC!$AE$5:$AI$12,5,FALSE)*HLOOKUP(_xlfn.CONCAT(FC_DATA!F828,FC_DATA!G828),LT_OVERVIEW!$I$99:$M$130,MATCH(_xlfn.CONCAT(D828,FC_DATA!E828),LT_OVERVIEW!$H$99:$H$130,0),FALSE)*IFERROR(VLOOKUP(_xlfn.CONCAT(C828,D828,E828,TIME!$F$1,Z828),HIS_SALES!$B$2:$V$4859,19,FALSE),0)))</f>
        <v>#N/A</v>
      </c>
      <c r="AD828" s="341">
        <f t="shared" ca="1" si="315"/>
        <v>0</v>
      </c>
      <c r="AE828" s="363" t="str">
        <f t="shared" si="316"/>
        <v/>
      </c>
      <c r="AF828" s="342" t="str">
        <f t="shared" si="317"/>
        <v/>
      </c>
      <c r="AG828" s="411" t="e">
        <f ca="1">VLOOKUP(_xlfn.CONCAT(U828,V828,W828,VLOOKUP(X828&amp;Y828,TIME!$L$27:$O$34,4,FALSE),Y828),HIS_SALES!$A$2:$R$5093,18,FALSE)</f>
        <v>#N/A</v>
      </c>
      <c r="AH828" s="412" t="e">
        <f ca="1">IFERROR(IF(AND(V828=V827,W828=W827),0.5*(AB828+AB827)*AG828,(VLOOKUP(_xlfn.CONCAT(U828,V828,W828,X828,VLOOKUP(Z828,TIME!$S$28:$T$39,2,FALSE)),FC_DATA!$R$2:$AB$5000,MATCH("GS_I_M",FC_DATA!$R$1:$AB$1,0),FALSE)+FC_DATA!AB828)*0.5*FC_DATA!AG828),NA())</f>
        <v>#N/A</v>
      </c>
      <c r="AI828" s="491" t="e">
        <f ca="1">IF(V828="PARTNER.com",AH828,IF(AND(V828=V827,W828=W827),(1-AVERAGE(AD827,AD828))*AH828,(1-AVERAGE(AD828,VLOOKUP(_xlfn.CONCAT(U828,V828,W828,X828,M_BRAND_FC!$F$6),FC_DATA!$R$2:$AD$5000,MATCH("DISCOUNT_%_M",FC_DATA!$R$1:$AD$1,0),FALSE)))*AH828))</f>
        <v>#N/A</v>
      </c>
      <c r="AJ828" s="412" t="str">
        <f t="shared" ca="1" si="318"/>
        <v/>
      </c>
      <c r="AK828" s="413" t="str">
        <f>IFERROR(AE828/(Q_BRAND_FC!$T$24+1),"")</f>
        <v/>
      </c>
      <c r="AL828" s="88" t="str">
        <f t="shared" ca="1" si="319"/>
        <v/>
      </c>
      <c r="AM828" s="414" t="str">
        <f t="shared" ca="1" si="320"/>
        <v/>
      </c>
      <c r="AN828" s="58">
        <f>IFERROR(IF($V828="BRAND.com",HLOOKUP($X828&amp;$Z828,NWC_FC_NOOS!$C$4:$Q$23,MATCH(W828,NWC_FC_NOOS!$B$4:$B$23,0),FALSE),0),0)</f>
        <v>0</v>
      </c>
      <c r="AO828" s="57">
        <f>IFERROR(IF($V828="BRAND.com",HLOOKUP($X828&amp;$Z828,NWC_FC_NOOS!$T$4:$AH$23,MATCH(W828,NWC_FC_NOOS!$S$4:$S$23,0),FALSE),0),0)</f>
        <v>0</v>
      </c>
      <c r="AP828" s="57">
        <f>IFERROR(IF($V828="BRAND.com",HLOOKUP($X828&amp;$Z828,NWC_FC_NOOS!$C$50:$U$69,MATCH(W828,NWC_FC_NOOS!$B$50:$B$69,0),FALSE),0),0)</f>
        <v>0</v>
      </c>
      <c r="AQ828" s="58">
        <f>IFERROR(IF($V828="BRAND.com",HLOOKUP($X828&amp;$Z828,'NWC_FC_NON-NOOS'!$C$4:$Q$23,MATCH(W828,'NWC_FC_NON-NOOS'!$B$4:$B$23,0),FALSE),0),0)</f>
        <v>0</v>
      </c>
      <c r="AR828" s="57">
        <f>IFERROR(IF($V828="BRAND.com",HLOOKUP($X828&amp;$Z828,'NWC_FC_NON-NOOS'!$T$4:$AH$23,MATCH(W828,'NWC_FC_NON-NOOS'!$S$4:$S$23,0),FALSE),0),0)</f>
        <v>0</v>
      </c>
      <c r="AS828" s="57">
        <f>IFERROR(IF($V828="BRAND.com",HLOOKUP($X828&amp;$Z828,'NWC_FC_NON-NOOS'!$C$50:$U$69,MATCH(W828,'NWC_FC_NON-NOOS'!$B$50:$B$69,0),FALSE),0),0)</f>
        <v>0</v>
      </c>
      <c r="AT828" s="57">
        <f t="shared" si="322"/>
        <v>0</v>
      </c>
      <c r="AU828" s="57">
        <f t="shared" si="323"/>
        <v>0</v>
      </c>
      <c r="AV828" s="58">
        <f>IFERROR(IF($V828="BRAND.com",HLOOKUP($X828&amp;$Z828,PLANNING_FC!$BB$27:$BP$46,MATCH($W828,PLANNING_FC!$BA$27:$BA$46,0),FALSE),0),0)</f>
        <v>0</v>
      </c>
      <c r="AW828" s="58">
        <f>IFERROR(IF($V828="BRAND.com",HLOOKUP($X828&amp;$Z828,PLANNING_FC!$BB$4:$BP$23,MATCH($W828,PLANNING_FC!$BA$4:$BA$23,0),FALSE),0),0)</f>
        <v>0</v>
      </c>
      <c r="AX828" s="58">
        <f>IFERROR(IF($V828="BRAND.com",HLOOKUP($X828&amp;$Z828,PLANNING_FC!$T$27:$AH$46,MATCH($W828,PLANNING_FC!$B$27:$B$46,0),FALSE),0),0)</f>
        <v>0</v>
      </c>
      <c r="AY828" s="58">
        <f>IFERROR(IF($V828="BRAND.com",HLOOKUP($X828&amp;$Z828,PLANNING_FC!$T$4:$AH$23,MATCH($W828,PLANNING_FC!$B$4:$B$23,0),FALSE),0),0)</f>
        <v>0</v>
      </c>
      <c r="AZ828" s="58">
        <f>IFERROR(IF($V828="BRAND.com",HLOOKUP($X828&amp;$Z828,PLANNING_FC!$DA$27:$DO$46,MATCH($W828,PLANNING_FC!$CZ$27:$CZ$46,0),FALSE),0),0)</f>
        <v>0</v>
      </c>
      <c r="BA828" s="58">
        <f>IFERROR(IF($V828="BRAND.com",HLOOKUP($X828&amp;$Z828,PLANNING_FC!$DA$4:$DO$23,MATCH($W828,PLANNING_FC!$CZ$4:$CZ$23,0),FALSE),0),0)</f>
        <v>0</v>
      </c>
      <c r="BB828" s="883" t="str">
        <f>IF(V828="BRAND.com",IFERROR(HLOOKUP(X828&amp;Z828,PLANNING_FC!$AK$4:$AY$23,MATCH(W828,PLANNING_FC!$AJ$4:$AJ$23,0),FALSE)*1000,""),"")</f>
        <v/>
      </c>
      <c r="BC828" s="883" t="str">
        <f>IF(V828="BRAND.com",IFERROR(HLOOKUP(X828&amp;Z828,PLANNING_FC!$AK$27:$AY$46,MATCH(W828,PLANNING_FC!$AJ$27:$AJ$46,0),FALSE)*1000,""),"")</f>
        <v/>
      </c>
    </row>
    <row r="829" spans="14:55" x14ac:dyDescent="0.25">
      <c r="N829" s="56">
        <f t="shared" si="304"/>
        <v>0</v>
      </c>
      <c r="O829" s="57">
        <f t="shared" si="305"/>
        <v>0</v>
      </c>
      <c r="P829" s="57">
        <f ca="1">IFERROR(IF(ISBLANK(H829),SUMIFS($AC:$AC,$V:$V,V829,$W:$W,W829,$X:$X,X829,$Y:$Y,Y829)*J829/(1-J829)*VLOOKUP(_xlfn.CONCAT(C829,D829,E829,TIME!$M$12,Z829),HIS_SALES!$B$2:$W$4859,20,FALSE),AC829*J829/(1-J829)),0)</f>
        <v>0</v>
      </c>
      <c r="Q829" s="541" t="str">
        <f t="shared" si="306"/>
        <v/>
      </c>
      <c r="R829" s="346" t="str">
        <f t="shared" si="307"/>
        <v>00000</v>
      </c>
      <c r="S829" s="344">
        <f t="shared" si="308"/>
        <v>0</v>
      </c>
      <c r="T829" s="345" t="str">
        <f t="shared" si="321"/>
        <v>000</v>
      </c>
      <c r="U829" s="345">
        <f t="shared" si="309"/>
        <v>0</v>
      </c>
      <c r="V829" s="345">
        <f t="shared" si="310"/>
        <v>0</v>
      </c>
      <c r="W829" s="345">
        <f t="shared" si="311"/>
        <v>0</v>
      </c>
      <c r="X829" s="345">
        <f t="shared" si="312"/>
        <v>0</v>
      </c>
      <c r="Y829" s="345">
        <f t="shared" si="313"/>
        <v>0</v>
      </c>
      <c r="Z829" s="345">
        <f>IF(Q829&lt;&gt;"",VLOOKUP(Y829,TIME!$R$21:$V$24,MATCH(FC_DATA!Q829,TIME!$R$20:$V$20,0),FALSE),H829)</f>
        <v>0</v>
      </c>
      <c r="AA829" s="345" t="str">
        <f>IFERROR(VLOOKUP(X829&amp;Z829,TIME!$A$12:$D$71,4,FALSE),"")</f>
        <v/>
      </c>
      <c r="AB829" s="592">
        <f t="shared" ca="1" si="314"/>
        <v>0</v>
      </c>
      <c r="AC829" s="593" t="e">
        <f ca="1">IF(ISBLANK(H829)=FALSE,IF(D829="BRAND.com",I829,IF(ISNA(VLOOKUP(_xlfn.CONCAT(X829,Z829),TIME!$M$40:$M$42,1,FALSE)),I829,VLOOKUP(_xlfn.CONCAT(D829,G829,H829),M_BUSAREA_FC!$AF$5:$AJ$10,5,FALSE)*HLOOKUP(_xlfn.CONCAT(F829,H829),ST_OVERVIEW!$G$99:$I$130,MATCH(_xlfn.CONCAT(D829,E829),ST_OVERVIEW!$F$99:$F$130,0),FALSE))),IF(D829="BRAND.com",VLOOKUP(_xlfn.CONCAT(C829,D829,E829,TIME!$F$1,Z829),HIS_SALES!$B$2:$V$4859,19,FALSE)*I829,VLOOKUP(_xlfn.CONCAT(D829,F829,G829),Q_BUSAREA_FC!$AE$5:$AI$12,5,FALSE)*HLOOKUP(_xlfn.CONCAT(FC_DATA!F829,FC_DATA!G829),LT_OVERVIEW!$I$99:$M$130,MATCH(_xlfn.CONCAT(D829,FC_DATA!E829),LT_OVERVIEW!$H$99:$H$130,0),FALSE)*IFERROR(VLOOKUP(_xlfn.CONCAT(C829,D829,E829,TIME!$F$1,Z829),HIS_SALES!$B$2:$V$4859,19,FALSE),0)))</f>
        <v>#N/A</v>
      </c>
      <c r="AD829" s="341">
        <f t="shared" ca="1" si="315"/>
        <v>0</v>
      </c>
      <c r="AE829" s="363" t="str">
        <f t="shared" si="316"/>
        <v/>
      </c>
      <c r="AF829" s="342" t="str">
        <f t="shared" si="317"/>
        <v/>
      </c>
      <c r="AG829" s="411" t="e">
        <f ca="1">VLOOKUP(_xlfn.CONCAT(U829,V829,W829,VLOOKUP(X829&amp;Y829,TIME!$L$27:$O$34,4,FALSE),Y829),HIS_SALES!$A$2:$R$5093,18,FALSE)</f>
        <v>#N/A</v>
      </c>
      <c r="AH829" s="412" t="e">
        <f ca="1">IFERROR(IF(AND(V829=V828,W829=W828),0.5*(AB829+AB828)*AG829,(VLOOKUP(_xlfn.CONCAT(U829,V829,W829,X829,VLOOKUP(Z829,TIME!$S$28:$T$39,2,FALSE)),FC_DATA!$R$2:$AB$5000,MATCH("GS_I_M",FC_DATA!$R$1:$AB$1,0),FALSE)+FC_DATA!AB829)*0.5*FC_DATA!AG829),NA())</f>
        <v>#N/A</v>
      </c>
      <c r="AI829" s="491" t="e">
        <f ca="1">IF(V829="PARTNER.com",AH829,IF(AND(V829=V828,W829=W828),(1-AVERAGE(AD828,AD829))*AH829,(1-AVERAGE(AD829,VLOOKUP(_xlfn.CONCAT(U829,V829,W829,X829,M_BRAND_FC!$F$6),FC_DATA!$R$2:$AD$5000,MATCH("DISCOUNT_%_M",FC_DATA!$R$1:$AD$1,0),FALSE)))*AH829))</f>
        <v>#N/A</v>
      </c>
      <c r="AJ829" s="412" t="str">
        <f t="shared" ca="1" si="318"/>
        <v/>
      </c>
      <c r="AK829" s="413" t="str">
        <f>IFERROR(AE829/(Q_BRAND_FC!$T$24+1),"")</f>
        <v/>
      </c>
      <c r="AL829" s="88" t="str">
        <f t="shared" ca="1" si="319"/>
        <v/>
      </c>
      <c r="AM829" s="414" t="str">
        <f t="shared" ca="1" si="320"/>
        <v/>
      </c>
      <c r="AN829" s="58">
        <f>IFERROR(IF($V829="BRAND.com",HLOOKUP($X829&amp;$Z829,NWC_FC_NOOS!$C$4:$Q$23,MATCH(W829,NWC_FC_NOOS!$B$4:$B$23,0),FALSE),0),0)</f>
        <v>0</v>
      </c>
      <c r="AO829" s="57">
        <f>IFERROR(IF($V829="BRAND.com",HLOOKUP($X829&amp;$Z829,NWC_FC_NOOS!$T$4:$AH$23,MATCH(W829,NWC_FC_NOOS!$S$4:$S$23,0),FALSE),0),0)</f>
        <v>0</v>
      </c>
      <c r="AP829" s="57">
        <f>IFERROR(IF($V829="BRAND.com",HLOOKUP($X829&amp;$Z829,NWC_FC_NOOS!$C$50:$U$69,MATCH(W829,NWC_FC_NOOS!$B$50:$B$69,0),FALSE),0),0)</f>
        <v>0</v>
      </c>
      <c r="AQ829" s="58">
        <f>IFERROR(IF($V829="BRAND.com",HLOOKUP($X829&amp;$Z829,'NWC_FC_NON-NOOS'!$C$4:$Q$23,MATCH(W829,'NWC_FC_NON-NOOS'!$B$4:$B$23,0),FALSE),0),0)</f>
        <v>0</v>
      </c>
      <c r="AR829" s="57">
        <f>IFERROR(IF($V829="BRAND.com",HLOOKUP($X829&amp;$Z829,'NWC_FC_NON-NOOS'!$T$4:$AH$23,MATCH(W829,'NWC_FC_NON-NOOS'!$S$4:$S$23,0),FALSE),0),0)</f>
        <v>0</v>
      </c>
      <c r="AS829" s="57">
        <f>IFERROR(IF($V829="BRAND.com",HLOOKUP($X829&amp;$Z829,'NWC_FC_NON-NOOS'!$C$50:$U$69,MATCH(W829,'NWC_FC_NON-NOOS'!$B$50:$B$69,0),FALSE),0),0)</f>
        <v>0</v>
      </c>
      <c r="AT829" s="57">
        <f t="shared" si="322"/>
        <v>0</v>
      </c>
      <c r="AU829" s="57">
        <f t="shared" si="323"/>
        <v>0</v>
      </c>
      <c r="AV829" s="58">
        <f>IFERROR(IF($V829="BRAND.com",HLOOKUP($X829&amp;$Z829,PLANNING_FC!$BB$27:$BP$46,MATCH($W829,PLANNING_FC!$BA$27:$BA$46,0),FALSE),0),0)</f>
        <v>0</v>
      </c>
      <c r="AW829" s="58">
        <f>IFERROR(IF($V829="BRAND.com",HLOOKUP($X829&amp;$Z829,PLANNING_FC!$BB$4:$BP$23,MATCH($W829,PLANNING_FC!$BA$4:$BA$23,0),FALSE),0),0)</f>
        <v>0</v>
      </c>
      <c r="AX829" s="58">
        <f>IFERROR(IF($V829="BRAND.com",HLOOKUP($X829&amp;$Z829,PLANNING_FC!$T$27:$AH$46,MATCH($W829,PLANNING_FC!$B$27:$B$46,0),FALSE),0),0)</f>
        <v>0</v>
      </c>
      <c r="AY829" s="58">
        <f>IFERROR(IF($V829="BRAND.com",HLOOKUP($X829&amp;$Z829,PLANNING_FC!$T$4:$AH$23,MATCH($W829,PLANNING_FC!$B$4:$B$23,0),FALSE),0),0)</f>
        <v>0</v>
      </c>
      <c r="AZ829" s="58">
        <f>IFERROR(IF($V829="BRAND.com",HLOOKUP($X829&amp;$Z829,PLANNING_FC!$DA$27:$DO$46,MATCH($W829,PLANNING_FC!$CZ$27:$CZ$46,0),FALSE),0),0)</f>
        <v>0</v>
      </c>
      <c r="BA829" s="58">
        <f>IFERROR(IF($V829="BRAND.com",HLOOKUP($X829&amp;$Z829,PLANNING_FC!$DA$4:$DO$23,MATCH($W829,PLANNING_FC!$CZ$4:$CZ$23,0),FALSE),0),0)</f>
        <v>0</v>
      </c>
      <c r="BB829" s="883" t="str">
        <f>IF(V829="BRAND.com",IFERROR(HLOOKUP(X829&amp;Z829,PLANNING_FC!$AK$4:$AY$23,MATCH(W829,PLANNING_FC!$AJ$4:$AJ$23,0),FALSE)*1000,""),"")</f>
        <v/>
      </c>
      <c r="BC829" s="883" t="str">
        <f>IF(V829="BRAND.com",IFERROR(HLOOKUP(X829&amp;Z829,PLANNING_FC!$AK$27:$AY$46,MATCH(W829,PLANNING_FC!$AJ$27:$AJ$46,0),FALSE)*1000,""),"")</f>
        <v/>
      </c>
    </row>
    <row r="830" spans="14:55" x14ac:dyDescent="0.25">
      <c r="N830" s="56">
        <f t="shared" si="304"/>
        <v>0</v>
      </c>
      <c r="O830" s="57">
        <f t="shared" si="305"/>
        <v>0</v>
      </c>
      <c r="P830" s="57">
        <f ca="1">IFERROR(IF(ISBLANK(H830),SUMIFS($AC:$AC,$V:$V,V830,$W:$W,W830,$X:$X,X830,$Y:$Y,Y830)*J830/(1-J830)*VLOOKUP(_xlfn.CONCAT(C830,D830,E830,TIME!$M$12,Z830),HIS_SALES!$B$2:$W$4859,20,FALSE),AC830*J830/(1-J830)),0)</f>
        <v>0</v>
      </c>
      <c r="Q830" s="541" t="str">
        <f t="shared" si="306"/>
        <v/>
      </c>
      <c r="R830" s="346" t="str">
        <f t="shared" si="307"/>
        <v>00000</v>
      </c>
      <c r="S830" s="344">
        <f t="shared" si="308"/>
        <v>0</v>
      </c>
      <c r="T830" s="345" t="str">
        <f t="shared" si="321"/>
        <v>000</v>
      </c>
      <c r="U830" s="345">
        <f t="shared" si="309"/>
        <v>0</v>
      </c>
      <c r="V830" s="345">
        <f t="shared" si="310"/>
        <v>0</v>
      </c>
      <c r="W830" s="345">
        <f t="shared" si="311"/>
        <v>0</v>
      </c>
      <c r="X830" s="345">
        <f t="shared" si="312"/>
        <v>0</v>
      </c>
      <c r="Y830" s="345">
        <f t="shared" si="313"/>
        <v>0</v>
      </c>
      <c r="Z830" s="345">
        <f>IF(Q830&lt;&gt;"",VLOOKUP(Y830,TIME!$R$21:$V$24,MATCH(FC_DATA!Q830,TIME!$R$20:$V$20,0),FALSE),H830)</f>
        <v>0</v>
      </c>
      <c r="AA830" s="345" t="str">
        <f>IFERROR(VLOOKUP(X830&amp;Z830,TIME!$A$12:$D$71,4,FALSE),"")</f>
        <v/>
      </c>
      <c r="AB830" s="592">
        <f t="shared" ca="1" si="314"/>
        <v>0</v>
      </c>
      <c r="AC830" s="593" t="e">
        <f ca="1">IF(ISBLANK(H830)=FALSE,IF(D830="BRAND.com",I830,IF(ISNA(VLOOKUP(_xlfn.CONCAT(X830,Z830),TIME!$M$40:$M$42,1,FALSE)),I830,VLOOKUP(_xlfn.CONCAT(D830,G830,H830),M_BUSAREA_FC!$AF$5:$AJ$10,5,FALSE)*HLOOKUP(_xlfn.CONCAT(F830,H830),ST_OVERVIEW!$G$99:$I$130,MATCH(_xlfn.CONCAT(D830,E830),ST_OVERVIEW!$F$99:$F$130,0),FALSE))),IF(D830="BRAND.com",VLOOKUP(_xlfn.CONCAT(C830,D830,E830,TIME!$F$1,Z830),HIS_SALES!$B$2:$V$4859,19,FALSE)*I830,VLOOKUP(_xlfn.CONCAT(D830,F830,G830),Q_BUSAREA_FC!$AE$5:$AI$12,5,FALSE)*HLOOKUP(_xlfn.CONCAT(FC_DATA!F830,FC_DATA!G830),LT_OVERVIEW!$I$99:$M$130,MATCH(_xlfn.CONCAT(D830,FC_DATA!E830),LT_OVERVIEW!$H$99:$H$130,0),FALSE)*IFERROR(VLOOKUP(_xlfn.CONCAT(C830,D830,E830,TIME!$F$1,Z830),HIS_SALES!$B$2:$V$4859,19,FALSE),0)))</f>
        <v>#N/A</v>
      </c>
      <c r="AD830" s="341">
        <f t="shared" ca="1" si="315"/>
        <v>0</v>
      </c>
      <c r="AE830" s="363" t="str">
        <f t="shared" si="316"/>
        <v/>
      </c>
      <c r="AF830" s="342" t="str">
        <f t="shared" si="317"/>
        <v/>
      </c>
      <c r="AG830" s="411" t="e">
        <f ca="1">VLOOKUP(_xlfn.CONCAT(U830,V830,W830,VLOOKUP(X830&amp;Y830,TIME!$L$27:$O$34,4,FALSE),Y830),HIS_SALES!$A$2:$R$5093,18,FALSE)</f>
        <v>#N/A</v>
      </c>
      <c r="AH830" s="412" t="e">
        <f ca="1">IFERROR(IF(AND(V830=V829,W830=W829),0.5*(AB830+AB829)*AG830,(VLOOKUP(_xlfn.CONCAT(U830,V830,W830,X830,VLOOKUP(Z830,TIME!$S$28:$T$39,2,FALSE)),FC_DATA!$R$2:$AB$5000,MATCH("GS_I_M",FC_DATA!$R$1:$AB$1,0),FALSE)+FC_DATA!AB830)*0.5*FC_DATA!AG830),NA())</f>
        <v>#N/A</v>
      </c>
      <c r="AI830" s="491" t="e">
        <f ca="1">IF(V830="PARTNER.com",AH830,IF(AND(V830=V829,W830=W829),(1-AVERAGE(AD829,AD830))*AH830,(1-AVERAGE(AD830,VLOOKUP(_xlfn.CONCAT(U830,V830,W830,X830,M_BRAND_FC!$F$6),FC_DATA!$R$2:$AD$5000,MATCH("DISCOUNT_%_M",FC_DATA!$R$1:$AD$1,0),FALSE)))*AH830))</f>
        <v>#N/A</v>
      </c>
      <c r="AJ830" s="412" t="str">
        <f t="shared" ca="1" si="318"/>
        <v/>
      </c>
      <c r="AK830" s="413" t="str">
        <f>IFERROR(AE830/(Q_BRAND_FC!$T$24+1),"")</f>
        <v/>
      </c>
      <c r="AL830" s="88" t="str">
        <f t="shared" ca="1" si="319"/>
        <v/>
      </c>
      <c r="AM830" s="414" t="str">
        <f t="shared" ca="1" si="320"/>
        <v/>
      </c>
      <c r="AN830" s="58">
        <f>IFERROR(IF($V830="BRAND.com",HLOOKUP($X830&amp;$Z830,NWC_FC_NOOS!$C$4:$Q$23,MATCH(W830,NWC_FC_NOOS!$B$4:$B$23,0),FALSE),0),0)</f>
        <v>0</v>
      </c>
      <c r="AO830" s="57">
        <f>IFERROR(IF($V830="BRAND.com",HLOOKUP($X830&amp;$Z830,NWC_FC_NOOS!$T$4:$AH$23,MATCH(W830,NWC_FC_NOOS!$S$4:$S$23,0),FALSE),0),0)</f>
        <v>0</v>
      </c>
      <c r="AP830" s="57">
        <f>IFERROR(IF($V830="BRAND.com",HLOOKUP($X830&amp;$Z830,NWC_FC_NOOS!$C$50:$U$69,MATCH(W830,NWC_FC_NOOS!$B$50:$B$69,0),FALSE),0),0)</f>
        <v>0</v>
      </c>
      <c r="AQ830" s="58">
        <f>IFERROR(IF($V830="BRAND.com",HLOOKUP($X830&amp;$Z830,'NWC_FC_NON-NOOS'!$C$4:$Q$23,MATCH(W830,'NWC_FC_NON-NOOS'!$B$4:$B$23,0),FALSE),0),0)</f>
        <v>0</v>
      </c>
      <c r="AR830" s="57">
        <f>IFERROR(IF($V830="BRAND.com",HLOOKUP($X830&amp;$Z830,'NWC_FC_NON-NOOS'!$T$4:$AH$23,MATCH(W830,'NWC_FC_NON-NOOS'!$S$4:$S$23,0),FALSE),0),0)</f>
        <v>0</v>
      </c>
      <c r="AS830" s="57">
        <f>IFERROR(IF($V830="BRAND.com",HLOOKUP($X830&amp;$Z830,'NWC_FC_NON-NOOS'!$C$50:$U$69,MATCH(W830,'NWC_FC_NON-NOOS'!$B$50:$B$69,0),FALSE),0),0)</f>
        <v>0</v>
      </c>
      <c r="AT830" s="57">
        <f t="shared" si="322"/>
        <v>0</v>
      </c>
      <c r="AU830" s="57">
        <f t="shared" si="323"/>
        <v>0</v>
      </c>
      <c r="AV830" s="58">
        <f>IFERROR(IF($V830="BRAND.com",HLOOKUP($X830&amp;$Z830,PLANNING_FC!$BB$27:$BP$46,MATCH($W830,PLANNING_FC!$BA$27:$BA$46,0),FALSE),0),0)</f>
        <v>0</v>
      </c>
      <c r="AW830" s="58">
        <f>IFERROR(IF($V830="BRAND.com",HLOOKUP($X830&amp;$Z830,PLANNING_FC!$BB$4:$BP$23,MATCH($W830,PLANNING_FC!$BA$4:$BA$23,0),FALSE),0),0)</f>
        <v>0</v>
      </c>
      <c r="AX830" s="58">
        <f>IFERROR(IF($V830="BRAND.com",HLOOKUP($X830&amp;$Z830,PLANNING_FC!$T$27:$AH$46,MATCH($W830,PLANNING_FC!$B$27:$B$46,0),FALSE),0),0)</f>
        <v>0</v>
      </c>
      <c r="AY830" s="58">
        <f>IFERROR(IF($V830="BRAND.com",HLOOKUP($X830&amp;$Z830,PLANNING_FC!$T$4:$AH$23,MATCH($W830,PLANNING_FC!$B$4:$B$23,0),FALSE),0),0)</f>
        <v>0</v>
      </c>
      <c r="AZ830" s="58">
        <f>IFERROR(IF($V830="BRAND.com",HLOOKUP($X830&amp;$Z830,PLANNING_FC!$DA$27:$DO$46,MATCH($W830,PLANNING_FC!$CZ$27:$CZ$46,0),FALSE),0),0)</f>
        <v>0</v>
      </c>
      <c r="BA830" s="58">
        <f>IFERROR(IF($V830="BRAND.com",HLOOKUP($X830&amp;$Z830,PLANNING_FC!$DA$4:$DO$23,MATCH($W830,PLANNING_FC!$CZ$4:$CZ$23,0),FALSE),0),0)</f>
        <v>0</v>
      </c>
      <c r="BB830" s="883" t="str">
        <f>IF(V830="BRAND.com",IFERROR(HLOOKUP(X830&amp;Z830,PLANNING_FC!$AK$4:$AY$23,MATCH(W830,PLANNING_FC!$AJ$4:$AJ$23,0),FALSE)*1000,""),"")</f>
        <v/>
      </c>
      <c r="BC830" s="883" t="str">
        <f>IF(V830="BRAND.com",IFERROR(HLOOKUP(X830&amp;Z830,PLANNING_FC!$AK$27:$AY$46,MATCH(W830,PLANNING_FC!$AJ$27:$AJ$46,0),FALSE)*1000,""),"")</f>
        <v/>
      </c>
    </row>
    <row r="831" spans="14:55" x14ac:dyDescent="0.25">
      <c r="N831" s="56">
        <f t="shared" si="304"/>
        <v>0</v>
      </c>
      <c r="O831" s="57">
        <f t="shared" si="305"/>
        <v>0</v>
      </c>
      <c r="P831" s="57">
        <f ca="1">IFERROR(IF(ISBLANK(H831),SUMIFS($AC:$AC,$V:$V,V831,$W:$W,W831,$X:$X,X831,$Y:$Y,Y831)*J831/(1-J831)*VLOOKUP(_xlfn.CONCAT(C831,D831,E831,TIME!$M$12,Z831),HIS_SALES!$B$2:$W$4859,20,FALSE),AC831*J831/(1-J831)),0)</f>
        <v>0</v>
      </c>
      <c r="Q831" s="541" t="str">
        <f t="shared" si="306"/>
        <v/>
      </c>
      <c r="R831" s="346" t="str">
        <f t="shared" si="307"/>
        <v>00000</v>
      </c>
      <c r="S831" s="344">
        <f t="shared" si="308"/>
        <v>0</v>
      </c>
      <c r="T831" s="345" t="str">
        <f t="shared" si="321"/>
        <v>000</v>
      </c>
      <c r="U831" s="345">
        <f t="shared" si="309"/>
        <v>0</v>
      </c>
      <c r="V831" s="345">
        <f t="shared" si="310"/>
        <v>0</v>
      </c>
      <c r="W831" s="345">
        <f t="shared" si="311"/>
        <v>0</v>
      </c>
      <c r="X831" s="345">
        <f t="shared" si="312"/>
        <v>0</v>
      </c>
      <c r="Y831" s="345">
        <f t="shared" si="313"/>
        <v>0</v>
      </c>
      <c r="Z831" s="345">
        <f>IF(Q831&lt;&gt;"",VLOOKUP(Y831,TIME!$R$21:$V$24,MATCH(FC_DATA!Q831,TIME!$R$20:$V$20,0),FALSE),H831)</f>
        <v>0</v>
      </c>
      <c r="AA831" s="345" t="str">
        <f>IFERROR(VLOOKUP(X831&amp;Z831,TIME!$A$12:$D$71,4,FALSE),"")</f>
        <v/>
      </c>
      <c r="AB831" s="592">
        <f t="shared" ca="1" si="314"/>
        <v>0</v>
      </c>
      <c r="AC831" s="593" t="e">
        <f ca="1">IF(ISBLANK(H831)=FALSE,IF(D831="BRAND.com",I831,IF(ISNA(VLOOKUP(_xlfn.CONCAT(X831,Z831),TIME!$M$40:$M$42,1,FALSE)),I831,VLOOKUP(_xlfn.CONCAT(D831,G831,H831),M_BUSAREA_FC!$AF$5:$AJ$10,5,FALSE)*HLOOKUP(_xlfn.CONCAT(F831,H831),ST_OVERVIEW!$G$99:$I$130,MATCH(_xlfn.CONCAT(D831,E831),ST_OVERVIEW!$F$99:$F$130,0),FALSE))),IF(D831="BRAND.com",VLOOKUP(_xlfn.CONCAT(C831,D831,E831,TIME!$F$1,Z831),HIS_SALES!$B$2:$V$4859,19,FALSE)*I831,VLOOKUP(_xlfn.CONCAT(D831,F831,G831),Q_BUSAREA_FC!$AE$5:$AI$12,5,FALSE)*HLOOKUP(_xlfn.CONCAT(FC_DATA!F831,FC_DATA!G831),LT_OVERVIEW!$I$99:$M$130,MATCH(_xlfn.CONCAT(D831,FC_DATA!E831),LT_OVERVIEW!$H$99:$H$130,0),FALSE)*IFERROR(VLOOKUP(_xlfn.CONCAT(C831,D831,E831,TIME!$F$1,Z831),HIS_SALES!$B$2:$V$4859,19,FALSE),0)))</f>
        <v>#N/A</v>
      </c>
      <c r="AD831" s="341">
        <f t="shared" ca="1" si="315"/>
        <v>0</v>
      </c>
      <c r="AE831" s="363" t="str">
        <f t="shared" si="316"/>
        <v/>
      </c>
      <c r="AF831" s="342" t="str">
        <f t="shared" si="317"/>
        <v/>
      </c>
      <c r="AG831" s="411" t="e">
        <f ca="1">VLOOKUP(_xlfn.CONCAT(U831,V831,W831,VLOOKUP(X831&amp;Y831,TIME!$L$27:$O$34,4,FALSE),Y831),HIS_SALES!$A$2:$R$5093,18,FALSE)</f>
        <v>#N/A</v>
      </c>
      <c r="AH831" s="412" t="e">
        <f ca="1">IFERROR(IF(AND(V831=V830,W831=W830),0.5*(AB831+AB830)*AG831,(VLOOKUP(_xlfn.CONCAT(U831,V831,W831,X831,VLOOKUP(Z831,TIME!$S$28:$T$39,2,FALSE)),FC_DATA!$R$2:$AB$5000,MATCH("GS_I_M",FC_DATA!$R$1:$AB$1,0),FALSE)+FC_DATA!AB831)*0.5*FC_DATA!AG831),NA())</f>
        <v>#N/A</v>
      </c>
      <c r="AI831" s="491" t="e">
        <f ca="1">IF(V831="PARTNER.com",AH831,IF(AND(V831=V830,W831=W830),(1-AVERAGE(AD830,AD831))*AH831,(1-AVERAGE(AD831,VLOOKUP(_xlfn.CONCAT(U831,V831,W831,X831,M_BRAND_FC!$F$6),FC_DATA!$R$2:$AD$5000,MATCH("DISCOUNT_%_M",FC_DATA!$R$1:$AD$1,0),FALSE)))*AH831))</f>
        <v>#N/A</v>
      </c>
      <c r="AJ831" s="412" t="str">
        <f t="shared" ca="1" si="318"/>
        <v/>
      </c>
      <c r="AK831" s="413" t="str">
        <f>IFERROR(AE831/(Q_BRAND_FC!$T$24+1),"")</f>
        <v/>
      </c>
      <c r="AL831" s="88" t="str">
        <f t="shared" ca="1" si="319"/>
        <v/>
      </c>
      <c r="AM831" s="414" t="str">
        <f t="shared" ca="1" si="320"/>
        <v/>
      </c>
      <c r="AN831" s="58">
        <f>IFERROR(IF($V831="BRAND.com",HLOOKUP($X831&amp;$Z831,NWC_FC_NOOS!$C$4:$Q$23,MATCH(W831,NWC_FC_NOOS!$B$4:$B$23,0),FALSE),0),0)</f>
        <v>0</v>
      </c>
      <c r="AO831" s="57">
        <f>IFERROR(IF($V831="BRAND.com",HLOOKUP($X831&amp;$Z831,NWC_FC_NOOS!$T$4:$AH$23,MATCH(W831,NWC_FC_NOOS!$S$4:$S$23,0),FALSE),0),0)</f>
        <v>0</v>
      </c>
      <c r="AP831" s="57">
        <f>IFERROR(IF($V831="BRAND.com",HLOOKUP($X831&amp;$Z831,NWC_FC_NOOS!$C$50:$U$69,MATCH(W831,NWC_FC_NOOS!$B$50:$B$69,0),FALSE),0),0)</f>
        <v>0</v>
      </c>
      <c r="AQ831" s="58">
        <f>IFERROR(IF($V831="BRAND.com",HLOOKUP($X831&amp;$Z831,'NWC_FC_NON-NOOS'!$C$4:$Q$23,MATCH(W831,'NWC_FC_NON-NOOS'!$B$4:$B$23,0),FALSE),0),0)</f>
        <v>0</v>
      </c>
      <c r="AR831" s="57">
        <f>IFERROR(IF($V831="BRAND.com",HLOOKUP($X831&amp;$Z831,'NWC_FC_NON-NOOS'!$T$4:$AH$23,MATCH(W831,'NWC_FC_NON-NOOS'!$S$4:$S$23,0),FALSE),0),0)</f>
        <v>0</v>
      </c>
      <c r="AS831" s="57">
        <f>IFERROR(IF($V831="BRAND.com",HLOOKUP($X831&amp;$Z831,'NWC_FC_NON-NOOS'!$C$50:$U$69,MATCH(W831,'NWC_FC_NON-NOOS'!$B$50:$B$69,0),FALSE),0),0)</f>
        <v>0</v>
      </c>
      <c r="AT831" s="57">
        <f t="shared" si="322"/>
        <v>0</v>
      </c>
      <c r="AU831" s="57">
        <f t="shared" si="323"/>
        <v>0</v>
      </c>
      <c r="AV831" s="58">
        <f>IFERROR(IF($V831="BRAND.com",HLOOKUP($X831&amp;$Z831,PLANNING_FC!$BB$27:$BP$46,MATCH($W831,PLANNING_FC!$BA$27:$BA$46,0),FALSE),0),0)</f>
        <v>0</v>
      </c>
      <c r="AW831" s="58">
        <f>IFERROR(IF($V831="BRAND.com",HLOOKUP($X831&amp;$Z831,PLANNING_FC!$BB$4:$BP$23,MATCH($W831,PLANNING_FC!$BA$4:$BA$23,0),FALSE),0),0)</f>
        <v>0</v>
      </c>
      <c r="AX831" s="58">
        <f>IFERROR(IF($V831="BRAND.com",HLOOKUP($X831&amp;$Z831,PLANNING_FC!$T$27:$AH$46,MATCH($W831,PLANNING_FC!$B$27:$B$46,0),FALSE),0),0)</f>
        <v>0</v>
      </c>
      <c r="AY831" s="58">
        <f>IFERROR(IF($V831="BRAND.com",HLOOKUP($X831&amp;$Z831,PLANNING_FC!$T$4:$AH$23,MATCH($W831,PLANNING_FC!$B$4:$B$23,0),FALSE),0),0)</f>
        <v>0</v>
      </c>
      <c r="AZ831" s="58">
        <f>IFERROR(IF($V831="BRAND.com",HLOOKUP($X831&amp;$Z831,PLANNING_FC!$DA$27:$DO$46,MATCH($W831,PLANNING_FC!$CZ$27:$CZ$46,0),FALSE),0),0)</f>
        <v>0</v>
      </c>
      <c r="BA831" s="58">
        <f>IFERROR(IF($V831="BRAND.com",HLOOKUP($X831&amp;$Z831,PLANNING_FC!$DA$4:$DO$23,MATCH($W831,PLANNING_FC!$CZ$4:$CZ$23,0),FALSE),0),0)</f>
        <v>0</v>
      </c>
      <c r="BB831" s="883" t="str">
        <f>IF(V831="BRAND.com",IFERROR(HLOOKUP(X831&amp;Z831,PLANNING_FC!$AK$4:$AY$23,MATCH(W831,PLANNING_FC!$AJ$4:$AJ$23,0),FALSE)*1000,""),"")</f>
        <v/>
      </c>
      <c r="BC831" s="883" t="str">
        <f>IF(V831="BRAND.com",IFERROR(HLOOKUP(X831&amp;Z831,PLANNING_FC!$AK$27:$AY$46,MATCH(W831,PLANNING_FC!$AJ$27:$AJ$46,0),FALSE)*1000,""),"")</f>
        <v/>
      </c>
    </row>
    <row r="832" spans="14:55" x14ac:dyDescent="0.25">
      <c r="N832" s="56">
        <f t="shared" si="304"/>
        <v>0</v>
      </c>
      <c r="O832" s="57">
        <f t="shared" si="305"/>
        <v>0</v>
      </c>
      <c r="P832" s="57">
        <f ca="1">IFERROR(IF(ISBLANK(H832),SUMIFS($AC:$AC,$V:$V,V832,$W:$W,W832,$X:$X,X832,$Y:$Y,Y832)*J832/(1-J832)*VLOOKUP(_xlfn.CONCAT(C832,D832,E832,TIME!$M$12,Z832),HIS_SALES!$B$2:$W$4859,20,FALSE),AC832*J832/(1-J832)),0)</f>
        <v>0</v>
      </c>
      <c r="Q832" s="541" t="str">
        <f t="shared" si="306"/>
        <v/>
      </c>
      <c r="R832" s="346" t="str">
        <f t="shared" si="307"/>
        <v>00000</v>
      </c>
      <c r="S832" s="344">
        <f t="shared" si="308"/>
        <v>0</v>
      </c>
      <c r="T832" s="345" t="str">
        <f t="shared" si="321"/>
        <v>000</v>
      </c>
      <c r="U832" s="345">
        <f t="shared" si="309"/>
        <v>0</v>
      </c>
      <c r="V832" s="345">
        <f t="shared" si="310"/>
        <v>0</v>
      </c>
      <c r="W832" s="345">
        <f t="shared" si="311"/>
        <v>0</v>
      </c>
      <c r="X832" s="345">
        <f t="shared" si="312"/>
        <v>0</v>
      </c>
      <c r="Y832" s="345">
        <f t="shared" si="313"/>
        <v>0</v>
      </c>
      <c r="Z832" s="345">
        <f>IF(Q832&lt;&gt;"",VLOOKUP(Y832,TIME!$R$21:$V$24,MATCH(FC_DATA!Q832,TIME!$R$20:$V$20,0),FALSE),H832)</f>
        <v>0</v>
      </c>
      <c r="AA832" s="345" t="str">
        <f>IFERROR(VLOOKUP(X832&amp;Z832,TIME!$A$12:$D$71,4,FALSE),"")</f>
        <v/>
      </c>
      <c r="AB832" s="592">
        <f t="shared" ca="1" si="314"/>
        <v>0</v>
      </c>
      <c r="AC832" s="593" t="e">
        <f ca="1">IF(ISBLANK(H832)=FALSE,IF(D832="BRAND.com",I832,IF(ISNA(VLOOKUP(_xlfn.CONCAT(X832,Z832),TIME!$M$40:$M$42,1,FALSE)),I832,VLOOKUP(_xlfn.CONCAT(D832,G832,H832),M_BUSAREA_FC!$AF$5:$AJ$10,5,FALSE)*HLOOKUP(_xlfn.CONCAT(F832,H832),ST_OVERVIEW!$G$99:$I$130,MATCH(_xlfn.CONCAT(D832,E832),ST_OVERVIEW!$F$99:$F$130,0),FALSE))),IF(D832="BRAND.com",VLOOKUP(_xlfn.CONCAT(C832,D832,E832,TIME!$F$1,Z832),HIS_SALES!$B$2:$V$4859,19,FALSE)*I832,VLOOKUP(_xlfn.CONCAT(D832,F832,G832),Q_BUSAREA_FC!$AE$5:$AI$12,5,FALSE)*HLOOKUP(_xlfn.CONCAT(FC_DATA!F832,FC_DATA!G832),LT_OVERVIEW!$I$99:$M$130,MATCH(_xlfn.CONCAT(D832,FC_DATA!E832),LT_OVERVIEW!$H$99:$H$130,0),FALSE)*IFERROR(VLOOKUP(_xlfn.CONCAT(C832,D832,E832,TIME!$F$1,Z832),HIS_SALES!$B$2:$V$4859,19,FALSE),0)))</f>
        <v>#N/A</v>
      </c>
      <c r="AD832" s="341">
        <f t="shared" ca="1" si="315"/>
        <v>0</v>
      </c>
      <c r="AE832" s="363" t="str">
        <f t="shared" si="316"/>
        <v/>
      </c>
      <c r="AF832" s="342" t="str">
        <f t="shared" si="317"/>
        <v/>
      </c>
      <c r="AG832" s="411" t="e">
        <f ca="1">VLOOKUP(_xlfn.CONCAT(U832,V832,W832,VLOOKUP(X832&amp;Y832,TIME!$L$27:$O$34,4,FALSE),Y832),HIS_SALES!$A$2:$R$5093,18,FALSE)</f>
        <v>#N/A</v>
      </c>
      <c r="AH832" s="412" t="e">
        <f ca="1">IFERROR(IF(AND(V832=V831,W832=W831),0.5*(AB832+AB831)*AG832,(VLOOKUP(_xlfn.CONCAT(U832,V832,W832,X832,VLOOKUP(Z832,TIME!$S$28:$T$39,2,FALSE)),FC_DATA!$R$2:$AB$5000,MATCH("GS_I_M",FC_DATA!$R$1:$AB$1,0),FALSE)+FC_DATA!AB832)*0.5*FC_DATA!AG832),NA())</f>
        <v>#N/A</v>
      </c>
      <c r="AI832" s="491" t="e">
        <f ca="1">IF(V832="PARTNER.com",AH832,IF(AND(V832=V831,W832=W831),(1-AVERAGE(AD831,AD832))*AH832,(1-AVERAGE(AD832,VLOOKUP(_xlfn.CONCAT(U832,V832,W832,X832,M_BRAND_FC!$F$6),FC_DATA!$R$2:$AD$5000,MATCH("DISCOUNT_%_M",FC_DATA!$R$1:$AD$1,0),FALSE)))*AH832))</f>
        <v>#N/A</v>
      </c>
      <c r="AJ832" s="412" t="str">
        <f t="shared" ca="1" si="318"/>
        <v/>
      </c>
      <c r="AK832" s="413" t="str">
        <f>IFERROR(AE832/(Q_BRAND_FC!$T$24+1),"")</f>
        <v/>
      </c>
      <c r="AL832" s="88" t="str">
        <f t="shared" ca="1" si="319"/>
        <v/>
      </c>
      <c r="AM832" s="414" t="str">
        <f t="shared" ca="1" si="320"/>
        <v/>
      </c>
      <c r="AN832" s="58">
        <f>IFERROR(IF($V832="BRAND.com",HLOOKUP($X832&amp;$Z832,NWC_FC_NOOS!$C$4:$Q$23,MATCH(W832,NWC_FC_NOOS!$B$4:$B$23,0),FALSE),0),0)</f>
        <v>0</v>
      </c>
      <c r="AO832" s="57">
        <f>IFERROR(IF($V832="BRAND.com",HLOOKUP($X832&amp;$Z832,NWC_FC_NOOS!$T$4:$AH$23,MATCH(W832,NWC_FC_NOOS!$S$4:$S$23,0),FALSE),0),0)</f>
        <v>0</v>
      </c>
      <c r="AP832" s="57">
        <f>IFERROR(IF($V832="BRAND.com",HLOOKUP($X832&amp;$Z832,NWC_FC_NOOS!$C$50:$U$69,MATCH(W832,NWC_FC_NOOS!$B$50:$B$69,0),FALSE),0),0)</f>
        <v>0</v>
      </c>
      <c r="AQ832" s="58">
        <f>IFERROR(IF($V832="BRAND.com",HLOOKUP($X832&amp;$Z832,'NWC_FC_NON-NOOS'!$C$4:$Q$23,MATCH(W832,'NWC_FC_NON-NOOS'!$B$4:$B$23,0),FALSE),0),0)</f>
        <v>0</v>
      </c>
      <c r="AR832" s="57">
        <f>IFERROR(IF($V832="BRAND.com",HLOOKUP($X832&amp;$Z832,'NWC_FC_NON-NOOS'!$T$4:$AH$23,MATCH(W832,'NWC_FC_NON-NOOS'!$S$4:$S$23,0),FALSE),0),0)</f>
        <v>0</v>
      </c>
      <c r="AS832" s="57">
        <f>IFERROR(IF($V832="BRAND.com",HLOOKUP($X832&amp;$Z832,'NWC_FC_NON-NOOS'!$C$50:$U$69,MATCH(W832,'NWC_FC_NON-NOOS'!$B$50:$B$69,0),FALSE),0),0)</f>
        <v>0</v>
      </c>
      <c r="AT832" s="57">
        <f t="shared" si="322"/>
        <v>0</v>
      </c>
      <c r="AU832" s="57">
        <f t="shared" si="323"/>
        <v>0</v>
      </c>
      <c r="AV832" s="58">
        <f>IFERROR(IF($V832="BRAND.com",HLOOKUP($X832&amp;$Z832,PLANNING_FC!$BB$27:$BP$46,MATCH($W832,PLANNING_FC!$BA$27:$BA$46,0),FALSE),0),0)</f>
        <v>0</v>
      </c>
      <c r="AW832" s="58">
        <f>IFERROR(IF($V832="BRAND.com",HLOOKUP($X832&amp;$Z832,PLANNING_FC!$BB$4:$BP$23,MATCH($W832,PLANNING_FC!$BA$4:$BA$23,0),FALSE),0),0)</f>
        <v>0</v>
      </c>
      <c r="AX832" s="58">
        <f>IFERROR(IF($V832="BRAND.com",HLOOKUP($X832&amp;$Z832,PLANNING_FC!$T$27:$AH$46,MATCH($W832,PLANNING_FC!$B$27:$B$46,0),FALSE),0),0)</f>
        <v>0</v>
      </c>
      <c r="AY832" s="58">
        <f>IFERROR(IF($V832="BRAND.com",HLOOKUP($X832&amp;$Z832,PLANNING_FC!$T$4:$AH$23,MATCH($W832,PLANNING_FC!$B$4:$B$23,0),FALSE),0),0)</f>
        <v>0</v>
      </c>
      <c r="AZ832" s="58">
        <f>IFERROR(IF($V832="BRAND.com",HLOOKUP($X832&amp;$Z832,PLANNING_FC!$DA$27:$DO$46,MATCH($W832,PLANNING_FC!$CZ$27:$CZ$46,0),FALSE),0),0)</f>
        <v>0</v>
      </c>
      <c r="BA832" s="58">
        <f>IFERROR(IF($V832="BRAND.com",HLOOKUP($X832&amp;$Z832,PLANNING_FC!$DA$4:$DO$23,MATCH($W832,PLANNING_FC!$CZ$4:$CZ$23,0),FALSE),0),0)</f>
        <v>0</v>
      </c>
      <c r="BB832" s="883" t="str">
        <f>IF(V832="BRAND.com",IFERROR(HLOOKUP(X832&amp;Z832,PLANNING_FC!$AK$4:$AY$23,MATCH(W832,PLANNING_FC!$AJ$4:$AJ$23,0),FALSE)*1000,""),"")</f>
        <v/>
      </c>
      <c r="BC832" s="883" t="str">
        <f>IF(V832="BRAND.com",IFERROR(HLOOKUP(X832&amp;Z832,PLANNING_FC!$AK$27:$AY$46,MATCH(W832,PLANNING_FC!$AJ$27:$AJ$46,0),FALSE)*1000,""),"")</f>
        <v/>
      </c>
    </row>
    <row r="833" spans="14:55" x14ac:dyDescent="0.25">
      <c r="N833" s="56">
        <f t="shared" si="304"/>
        <v>0</v>
      </c>
      <c r="O833" s="57">
        <f t="shared" si="305"/>
        <v>0</v>
      </c>
      <c r="P833" s="57">
        <f ca="1">IFERROR(IF(ISBLANK(H833),SUMIFS($AC:$AC,$V:$V,V833,$W:$W,W833,$X:$X,X833,$Y:$Y,Y833)*J833/(1-J833)*VLOOKUP(_xlfn.CONCAT(C833,D833,E833,TIME!$M$12,Z833),HIS_SALES!$B$2:$W$4859,20,FALSE),AC833*J833/(1-J833)),0)</f>
        <v>0</v>
      </c>
      <c r="Q833" s="541" t="str">
        <f t="shared" si="306"/>
        <v/>
      </c>
      <c r="R833" s="346" t="str">
        <f t="shared" si="307"/>
        <v>00000</v>
      </c>
      <c r="S833" s="344">
        <f t="shared" si="308"/>
        <v>0</v>
      </c>
      <c r="T833" s="345" t="str">
        <f t="shared" si="321"/>
        <v>000</v>
      </c>
      <c r="U833" s="345">
        <f t="shared" si="309"/>
        <v>0</v>
      </c>
      <c r="V833" s="345">
        <f t="shared" si="310"/>
        <v>0</v>
      </c>
      <c r="W833" s="345">
        <f t="shared" si="311"/>
        <v>0</v>
      </c>
      <c r="X833" s="345">
        <f t="shared" si="312"/>
        <v>0</v>
      </c>
      <c r="Y833" s="345">
        <f t="shared" si="313"/>
        <v>0</v>
      </c>
      <c r="Z833" s="345">
        <f>IF(Q833&lt;&gt;"",VLOOKUP(Y833,TIME!$R$21:$V$24,MATCH(FC_DATA!Q833,TIME!$R$20:$V$20,0),FALSE),H833)</f>
        <v>0</v>
      </c>
      <c r="AA833" s="345" t="str">
        <f>IFERROR(VLOOKUP(X833&amp;Z833,TIME!$A$12:$D$71,4,FALSE),"")</f>
        <v/>
      </c>
      <c r="AB833" s="592">
        <f t="shared" ca="1" si="314"/>
        <v>0</v>
      </c>
      <c r="AC833" s="593" t="e">
        <f ca="1">IF(ISBLANK(H833)=FALSE,IF(D833="BRAND.com",I833,IF(ISNA(VLOOKUP(_xlfn.CONCAT(X833,Z833),TIME!$M$40:$M$42,1,FALSE)),I833,VLOOKUP(_xlfn.CONCAT(D833,G833,H833),M_BUSAREA_FC!$AF$5:$AJ$10,5,FALSE)*HLOOKUP(_xlfn.CONCAT(F833,H833),ST_OVERVIEW!$G$99:$I$130,MATCH(_xlfn.CONCAT(D833,E833),ST_OVERVIEW!$F$99:$F$130,0),FALSE))),IF(D833="BRAND.com",VLOOKUP(_xlfn.CONCAT(C833,D833,E833,TIME!$F$1,Z833),HIS_SALES!$B$2:$V$4859,19,FALSE)*I833,VLOOKUP(_xlfn.CONCAT(D833,F833,G833),Q_BUSAREA_FC!$AE$5:$AI$12,5,FALSE)*HLOOKUP(_xlfn.CONCAT(FC_DATA!F833,FC_DATA!G833),LT_OVERVIEW!$I$99:$M$130,MATCH(_xlfn.CONCAT(D833,FC_DATA!E833),LT_OVERVIEW!$H$99:$H$130,0),FALSE)*IFERROR(VLOOKUP(_xlfn.CONCAT(C833,D833,E833,TIME!$F$1,Z833),HIS_SALES!$B$2:$V$4859,19,FALSE),0)))</f>
        <v>#N/A</v>
      </c>
      <c r="AD833" s="341">
        <f t="shared" ca="1" si="315"/>
        <v>0</v>
      </c>
      <c r="AE833" s="363" t="str">
        <f t="shared" si="316"/>
        <v/>
      </c>
      <c r="AF833" s="342" t="str">
        <f t="shared" si="317"/>
        <v/>
      </c>
      <c r="AG833" s="411" t="e">
        <f ca="1">VLOOKUP(_xlfn.CONCAT(U833,V833,W833,VLOOKUP(X833&amp;Y833,TIME!$L$27:$O$34,4,FALSE),Y833),HIS_SALES!$A$2:$R$5093,18,FALSE)</f>
        <v>#N/A</v>
      </c>
      <c r="AH833" s="412" t="e">
        <f ca="1">IFERROR(IF(AND(V833=V832,W833=W832),0.5*(AB833+AB832)*AG833,(VLOOKUP(_xlfn.CONCAT(U833,V833,W833,X833,VLOOKUP(Z833,TIME!$S$28:$T$39,2,FALSE)),FC_DATA!$R$2:$AB$5000,MATCH("GS_I_M",FC_DATA!$R$1:$AB$1,0),FALSE)+FC_DATA!AB833)*0.5*FC_DATA!AG833),NA())</f>
        <v>#N/A</v>
      </c>
      <c r="AI833" s="491" t="e">
        <f ca="1">IF(V833="PARTNER.com",AH833,IF(AND(V833=V832,W833=W832),(1-AVERAGE(AD832,AD833))*AH833,(1-AVERAGE(AD833,VLOOKUP(_xlfn.CONCAT(U833,V833,W833,X833,M_BRAND_FC!$F$6),FC_DATA!$R$2:$AD$5000,MATCH("DISCOUNT_%_M",FC_DATA!$R$1:$AD$1,0),FALSE)))*AH833))</f>
        <v>#N/A</v>
      </c>
      <c r="AJ833" s="412" t="str">
        <f t="shared" ca="1" si="318"/>
        <v/>
      </c>
      <c r="AK833" s="413" t="str">
        <f>IFERROR(AE833/(Q_BRAND_FC!$T$24+1),"")</f>
        <v/>
      </c>
      <c r="AL833" s="88" t="str">
        <f t="shared" ca="1" si="319"/>
        <v/>
      </c>
      <c r="AM833" s="414" t="str">
        <f t="shared" ca="1" si="320"/>
        <v/>
      </c>
      <c r="AN833" s="58">
        <f>IFERROR(IF($V833="BRAND.com",HLOOKUP($X833&amp;$Z833,NWC_FC_NOOS!$C$4:$Q$23,MATCH(W833,NWC_FC_NOOS!$B$4:$B$23,0),FALSE),0),0)</f>
        <v>0</v>
      </c>
      <c r="AO833" s="57">
        <f>IFERROR(IF($V833="BRAND.com",HLOOKUP($X833&amp;$Z833,NWC_FC_NOOS!$T$4:$AH$23,MATCH(W833,NWC_FC_NOOS!$S$4:$S$23,0),FALSE),0),0)</f>
        <v>0</v>
      </c>
      <c r="AP833" s="57">
        <f>IFERROR(IF($V833="BRAND.com",HLOOKUP($X833&amp;$Z833,NWC_FC_NOOS!$C$50:$U$69,MATCH(W833,NWC_FC_NOOS!$B$50:$B$69,0),FALSE),0),0)</f>
        <v>0</v>
      </c>
      <c r="AQ833" s="58">
        <f>IFERROR(IF($V833="BRAND.com",HLOOKUP($X833&amp;$Z833,'NWC_FC_NON-NOOS'!$C$4:$Q$23,MATCH(W833,'NWC_FC_NON-NOOS'!$B$4:$B$23,0),FALSE),0),0)</f>
        <v>0</v>
      </c>
      <c r="AR833" s="57">
        <f>IFERROR(IF($V833="BRAND.com",HLOOKUP($X833&amp;$Z833,'NWC_FC_NON-NOOS'!$T$4:$AH$23,MATCH(W833,'NWC_FC_NON-NOOS'!$S$4:$S$23,0),FALSE),0),0)</f>
        <v>0</v>
      </c>
      <c r="AS833" s="57">
        <f>IFERROR(IF($V833="BRAND.com",HLOOKUP($X833&amp;$Z833,'NWC_FC_NON-NOOS'!$C$50:$U$69,MATCH(W833,'NWC_FC_NON-NOOS'!$B$50:$B$69,0),FALSE),0),0)</f>
        <v>0</v>
      </c>
      <c r="AT833" s="57">
        <f t="shared" si="322"/>
        <v>0</v>
      </c>
      <c r="AU833" s="57">
        <f t="shared" si="323"/>
        <v>0</v>
      </c>
      <c r="AV833" s="58">
        <f>IFERROR(IF($V833="BRAND.com",HLOOKUP($X833&amp;$Z833,PLANNING_FC!$BB$27:$BP$46,MATCH($W833,PLANNING_FC!$BA$27:$BA$46,0),FALSE),0),0)</f>
        <v>0</v>
      </c>
      <c r="AW833" s="58">
        <f>IFERROR(IF($V833="BRAND.com",HLOOKUP($X833&amp;$Z833,PLANNING_FC!$BB$4:$BP$23,MATCH($W833,PLANNING_FC!$BA$4:$BA$23,0),FALSE),0),0)</f>
        <v>0</v>
      </c>
      <c r="AX833" s="58">
        <f>IFERROR(IF($V833="BRAND.com",HLOOKUP($X833&amp;$Z833,PLANNING_FC!$T$27:$AH$46,MATCH($W833,PLANNING_FC!$B$27:$B$46,0),FALSE),0),0)</f>
        <v>0</v>
      </c>
      <c r="AY833" s="58">
        <f>IFERROR(IF($V833="BRAND.com",HLOOKUP($X833&amp;$Z833,PLANNING_FC!$T$4:$AH$23,MATCH($W833,PLANNING_FC!$B$4:$B$23,0),FALSE),0),0)</f>
        <v>0</v>
      </c>
      <c r="AZ833" s="58">
        <f>IFERROR(IF($V833="BRAND.com",HLOOKUP($X833&amp;$Z833,PLANNING_FC!$DA$27:$DO$46,MATCH($W833,PLANNING_FC!$CZ$27:$CZ$46,0),FALSE),0),0)</f>
        <v>0</v>
      </c>
      <c r="BA833" s="58">
        <f>IFERROR(IF($V833="BRAND.com",HLOOKUP($X833&amp;$Z833,PLANNING_FC!$DA$4:$DO$23,MATCH($W833,PLANNING_FC!$CZ$4:$CZ$23,0),FALSE),0),0)</f>
        <v>0</v>
      </c>
      <c r="BB833" s="883" t="str">
        <f>IF(V833="BRAND.com",IFERROR(HLOOKUP(X833&amp;Z833,PLANNING_FC!$AK$4:$AY$23,MATCH(W833,PLANNING_FC!$AJ$4:$AJ$23,0),FALSE)*1000,""),"")</f>
        <v/>
      </c>
      <c r="BC833" s="883" t="str">
        <f>IF(V833="BRAND.com",IFERROR(HLOOKUP(X833&amp;Z833,PLANNING_FC!$AK$27:$AY$46,MATCH(W833,PLANNING_FC!$AJ$27:$AJ$46,0),FALSE)*1000,""),"")</f>
        <v/>
      </c>
    </row>
    <row r="834" spans="14:55" x14ac:dyDescent="0.25">
      <c r="N834" s="56">
        <f t="shared" ref="N834:N897" si="324">IFERROR(I834/(1-J834)*J834,0)</f>
        <v>0</v>
      </c>
      <c r="O834" s="57">
        <f t="shared" ref="O834:O897" si="325">IFERROR(I834+N834,0)</f>
        <v>0</v>
      </c>
      <c r="P834" s="57">
        <f ca="1">IFERROR(IF(ISBLANK(H834),SUMIFS($AC:$AC,$V:$V,V834,$W:$W,W834,$X:$X,X834,$Y:$Y,Y834)*J834/(1-J834)*VLOOKUP(_xlfn.CONCAT(C834,D834,E834,TIME!$M$12,Z834),HIS_SALES!$B$2:$W$4859,20,FALSE),AC834*J834/(1-J834)),0)</f>
        <v>0</v>
      </c>
      <c r="Q834" s="541" t="str">
        <f t="shared" ref="Q834:Q897" si="326">IF(AND(A834&lt;&gt;"",H834=""),IF(A834=A833,Q833+1,1),"")</f>
        <v/>
      </c>
      <c r="R834" s="346" t="str">
        <f t="shared" ref="R834:R897" si="327">U834&amp;V834&amp;W834&amp;X834&amp;Z834</f>
        <v>00000</v>
      </c>
      <c r="S834" s="344">
        <f t="shared" ref="S834:S897" si="328">B834</f>
        <v>0</v>
      </c>
      <c r="T834" s="345" t="str">
        <f t="shared" si="321"/>
        <v>000</v>
      </c>
      <c r="U834" s="345">
        <f t="shared" ref="U834:U897" si="329">C834</f>
        <v>0</v>
      </c>
      <c r="V834" s="345">
        <f t="shared" ref="V834:V897" si="330">D834</f>
        <v>0</v>
      </c>
      <c r="W834" s="345">
        <f t="shared" ref="W834:W897" si="331">E834</f>
        <v>0</v>
      </c>
      <c r="X834" s="345">
        <f t="shared" ref="X834:X897" si="332">F834</f>
        <v>0</v>
      </c>
      <c r="Y834" s="345">
        <f t="shared" ref="Y834:Y897" si="333">G834</f>
        <v>0</v>
      </c>
      <c r="Z834" s="345">
        <f>IF(Q834&lt;&gt;"",VLOOKUP(Y834,TIME!$R$21:$V$24,MATCH(FC_DATA!Q834,TIME!$R$20:$V$20,0),FALSE),H834)</f>
        <v>0</v>
      </c>
      <c r="AA834" s="345" t="str">
        <f>IFERROR(VLOOKUP(X834&amp;Z834,TIME!$A$12:$D$71,4,FALSE),"")</f>
        <v/>
      </c>
      <c r="AB834" s="592">
        <f t="shared" ref="AB834:AB897" ca="1" si="334">IFERROR(AC834+P834,0)</f>
        <v>0</v>
      </c>
      <c r="AC834" s="593" t="e">
        <f ca="1">IF(ISBLANK(H834)=FALSE,IF(D834="BRAND.com",I834,IF(ISNA(VLOOKUP(_xlfn.CONCAT(X834,Z834),TIME!$M$40:$M$42,1,FALSE)),I834,VLOOKUP(_xlfn.CONCAT(D834,G834,H834),M_BUSAREA_FC!$AF$5:$AJ$10,5,FALSE)*HLOOKUP(_xlfn.CONCAT(F834,H834),ST_OVERVIEW!$G$99:$I$130,MATCH(_xlfn.CONCAT(D834,E834),ST_OVERVIEW!$F$99:$F$130,0),FALSE))),IF(D834="BRAND.com",VLOOKUP(_xlfn.CONCAT(C834,D834,E834,TIME!$F$1,Z834),HIS_SALES!$B$2:$V$4859,19,FALSE)*I834,VLOOKUP(_xlfn.CONCAT(D834,F834,G834),Q_BUSAREA_FC!$AE$5:$AI$12,5,FALSE)*HLOOKUP(_xlfn.CONCAT(FC_DATA!F834,FC_DATA!G834),LT_OVERVIEW!$I$99:$M$130,MATCH(_xlfn.CONCAT(D834,FC_DATA!E834),LT_OVERVIEW!$H$99:$H$130,0),FALSE)*IFERROR(VLOOKUP(_xlfn.CONCAT(C834,D834,E834,TIME!$F$1,Z834),HIS_SALES!$B$2:$V$4859,19,FALSE),0)))</f>
        <v>#N/A</v>
      </c>
      <c r="AD834" s="341">
        <f t="shared" ref="AD834:AD897" ca="1" si="335">IFERROR(IF(D834="PARTNER.com",0,1-AC834/AB834),0)</f>
        <v>0</v>
      </c>
      <c r="AE834" s="363" t="str">
        <f t="shared" ref="AE834:AE897" si="336">IF(A834&lt;&gt;"",K834,"")</f>
        <v/>
      </c>
      <c r="AF834" s="342" t="str">
        <f t="shared" ref="AF834:AF897" si="337">IF(B834&lt;&gt;"",M834,"")</f>
        <v/>
      </c>
      <c r="AG834" s="411" t="e">
        <f ca="1">VLOOKUP(_xlfn.CONCAT(U834,V834,W834,VLOOKUP(X834&amp;Y834,TIME!$L$27:$O$34,4,FALSE),Y834),HIS_SALES!$A$2:$R$5093,18,FALSE)</f>
        <v>#N/A</v>
      </c>
      <c r="AH834" s="412" t="e">
        <f ca="1">IFERROR(IF(AND(V834=V833,W834=W833),0.5*(AB834+AB833)*AG834,(VLOOKUP(_xlfn.CONCAT(U834,V834,W834,X834,VLOOKUP(Z834,TIME!$S$28:$T$39,2,FALSE)),FC_DATA!$R$2:$AB$5000,MATCH("GS_I_M",FC_DATA!$R$1:$AB$1,0),FALSE)+FC_DATA!AB834)*0.5*FC_DATA!AG834),NA())</f>
        <v>#N/A</v>
      </c>
      <c r="AI834" s="491" t="e">
        <f ca="1">IF(V834="PARTNER.com",AH834,IF(AND(V834=V833,W834=W833),(1-AVERAGE(AD833,AD834))*AH834,(1-AVERAGE(AD834,VLOOKUP(_xlfn.CONCAT(U834,V834,W834,X834,M_BRAND_FC!$F$6),FC_DATA!$R$2:$AD$5000,MATCH("DISCOUNT_%_M",FC_DATA!$R$1:$AD$1,0),FALSE)))*AH834))</f>
        <v>#N/A</v>
      </c>
      <c r="AJ834" s="412" t="str">
        <f t="shared" ref="AJ834:AJ897" ca="1" si="338">IFERROR(AC834-AI834,"")</f>
        <v/>
      </c>
      <c r="AK834" s="413" t="str">
        <f>IFERROR(AE834/(Q_BRAND_FC!$T$24+1),"")</f>
        <v/>
      </c>
      <c r="AL834" s="88" t="str">
        <f t="shared" ref="AL834:AL897" ca="1" si="339">IFERROR((AB834-AH834)/AK834*AF834,"")</f>
        <v/>
      </c>
      <c r="AM834" s="414" t="str">
        <f t="shared" ref="AM834:AM897" ca="1" si="340">IFERROR((AB834-AH834)/AK834*(1-AF834),"")</f>
        <v/>
      </c>
      <c r="AN834" s="58">
        <f>IFERROR(IF($V834="BRAND.com",HLOOKUP($X834&amp;$Z834,NWC_FC_NOOS!$C$4:$Q$23,MATCH(W834,NWC_FC_NOOS!$B$4:$B$23,0),FALSE),0),0)</f>
        <v>0</v>
      </c>
      <c r="AO834" s="57">
        <f>IFERROR(IF($V834="BRAND.com",HLOOKUP($X834&amp;$Z834,NWC_FC_NOOS!$T$4:$AH$23,MATCH(W834,NWC_FC_NOOS!$S$4:$S$23,0),FALSE),0),0)</f>
        <v>0</v>
      </c>
      <c r="AP834" s="57">
        <f>IFERROR(IF($V834="BRAND.com",HLOOKUP($X834&amp;$Z834,NWC_FC_NOOS!$C$50:$U$69,MATCH(W834,NWC_FC_NOOS!$B$50:$B$69,0),FALSE),0),0)</f>
        <v>0</v>
      </c>
      <c r="AQ834" s="58">
        <f>IFERROR(IF($V834="BRAND.com",HLOOKUP($X834&amp;$Z834,'NWC_FC_NON-NOOS'!$C$4:$Q$23,MATCH(W834,'NWC_FC_NON-NOOS'!$B$4:$B$23,0),FALSE),0),0)</f>
        <v>0</v>
      </c>
      <c r="AR834" s="57">
        <f>IFERROR(IF($V834="BRAND.com",HLOOKUP($X834&amp;$Z834,'NWC_FC_NON-NOOS'!$T$4:$AH$23,MATCH(W834,'NWC_FC_NON-NOOS'!$S$4:$S$23,0),FALSE),0),0)</f>
        <v>0</v>
      </c>
      <c r="AS834" s="57">
        <f>IFERROR(IF($V834="BRAND.com",HLOOKUP($X834&amp;$Z834,'NWC_FC_NON-NOOS'!$C$50:$U$69,MATCH(W834,'NWC_FC_NON-NOOS'!$B$50:$B$69,0),FALSE),0),0)</f>
        <v>0</v>
      </c>
      <c r="AT834" s="57">
        <f t="shared" si="322"/>
        <v>0</v>
      </c>
      <c r="AU834" s="57">
        <f t="shared" si="323"/>
        <v>0</v>
      </c>
      <c r="AV834" s="58">
        <f>IFERROR(IF($V834="BRAND.com",HLOOKUP($X834&amp;$Z834,PLANNING_FC!$BB$27:$BP$46,MATCH($W834,PLANNING_FC!$BA$27:$BA$46,0),FALSE),0),0)</f>
        <v>0</v>
      </c>
      <c r="AW834" s="58">
        <f>IFERROR(IF($V834="BRAND.com",HLOOKUP($X834&amp;$Z834,PLANNING_FC!$BB$4:$BP$23,MATCH($W834,PLANNING_FC!$BA$4:$BA$23,0),FALSE),0),0)</f>
        <v>0</v>
      </c>
      <c r="AX834" s="58">
        <f>IFERROR(IF($V834="BRAND.com",HLOOKUP($X834&amp;$Z834,PLANNING_FC!$T$27:$AH$46,MATCH($W834,PLANNING_FC!$B$27:$B$46,0),FALSE),0),0)</f>
        <v>0</v>
      </c>
      <c r="AY834" s="58">
        <f>IFERROR(IF($V834="BRAND.com",HLOOKUP($X834&amp;$Z834,PLANNING_FC!$T$4:$AH$23,MATCH($W834,PLANNING_FC!$B$4:$B$23,0),FALSE),0),0)</f>
        <v>0</v>
      </c>
      <c r="AZ834" s="58">
        <f>IFERROR(IF($V834="BRAND.com",HLOOKUP($X834&amp;$Z834,PLANNING_FC!$DA$27:$DO$46,MATCH($W834,PLANNING_FC!$CZ$27:$CZ$46,0),FALSE),0),0)</f>
        <v>0</v>
      </c>
      <c r="BA834" s="58">
        <f>IFERROR(IF($V834="BRAND.com",HLOOKUP($X834&amp;$Z834,PLANNING_FC!$DA$4:$DO$23,MATCH($W834,PLANNING_FC!$CZ$4:$CZ$23,0),FALSE),0),0)</f>
        <v>0</v>
      </c>
      <c r="BB834" s="883" t="str">
        <f>IF(V834="BRAND.com",IFERROR(HLOOKUP(X834&amp;Z834,PLANNING_FC!$AK$4:$AY$23,MATCH(W834,PLANNING_FC!$AJ$4:$AJ$23,0),FALSE)*1000,""),"")</f>
        <v/>
      </c>
      <c r="BC834" s="883" t="str">
        <f>IF(V834="BRAND.com",IFERROR(HLOOKUP(X834&amp;Z834,PLANNING_FC!$AK$27:$AY$46,MATCH(W834,PLANNING_FC!$AJ$27:$AJ$46,0),FALSE)*1000,""),"")</f>
        <v/>
      </c>
    </row>
    <row r="835" spans="14:55" x14ac:dyDescent="0.25">
      <c r="N835" s="56">
        <f t="shared" si="324"/>
        <v>0</v>
      </c>
      <c r="O835" s="57">
        <f t="shared" si="325"/>
        <v>0</v>
      </c>
      <c r="P835" s="57">
        <f ca="1">IFERROR(IF(ISBLANK(H835),SUMIFS($AC:$AC,$V:$V,V835,$W:$W,W835,$X:$X,X835,$Y:$Y,Y835)*J835/(1-J835)*VLOOKUP(_xlfn.CONCAT(C835,D835,E835,TIME!$M$12,Z835),HIS_SALES!$B$2:$W$4859,20,FALSE),AC835*J835/(1-J835)),0)</f>
        <v>0</v>
      </c>
      <c r="Q835" s="541" t="str">
        <f t="shared" si="326"/>
        <v/>
      </c>
      <c r="R835" s="346" t="str">
        <f t="shared" si="327"/>
        <v>00000</v>
      </c>
      <c r="S835" s="344">
        <f t="shared" si="328"/>
        <v>0</v>
      </c>
      <c r="T835" s="345" t="str">
        <f t="shared" ref="T835:T898" si="341">U835&amp;V835&amp;W835&amp;AA835</f>
        <v>000</v>
      </c>
      <c r="U835" s="345">
        <f t="shared" si="329"/>
        <v>0</v>
      </c>
      <c r="V835" s="345">
        <f t="shared" si="330"/>
        <v>0</v>
      </c>
      <c r="W835" s="345">
        <f t="shared" si="331"/>
        <v>0</v>
      </c>
      <c r="X835" s="345">
        <f t="shared" si="332"/>
        <v>0</v>
      </c>
      <c r="Y835" s="345">
        <f t="shared" si="333"/>
        <v>0</v>
      </c>
      <c r="Z835" s="345">
        <f>IF(Q835&lt;&gt;"",VLOOKUP(Y835,TIME!$R$21:$V$24,MATCH(FC_DATA!Q835,TIME!$R$20:$V$20,0),FALSE),H835)</f>
        <v>0</v>
      </c>
      <c r="AA835" s="345" t="str">
        <f>IFERROR(VLOOKUP(X835&amp;Z835,TIME!$A$12:$D$71,4,FALSE),"")</f>
        <v/>
      </c>
      <c r="AB835" s="592">
        <f t="shared" ca="1" si="334"/>
        <v>0</v>
      </c>
      <c r="AC835" s="593" t="e">
        <f ca="1">IF(ISBLANK(H835)=FALSE,IF(D835="BRAND.com",I835,IF(ISNA(VLOOKUP(_xlfn.CONCAT(X835,Z835),TIME!$M$40:$M$42,1,FALSE)),I835,VLOOKUP(_xlfn.CONCAT(D835,G835,H835),M_BUSAREA_FC!$AF$5:$AJ$10,5,FALSE)*HLOOKUP(_xlfn.CONCAT(F835,H835),ST_OVERVIEW!$G$99:$I$130,MATCH(_xlfn.CONCAT(D835,E835),ST_OVERVIEW!$F$99:$F$130,0),FALSE))),IF(D835="BRAND.com",VLOOKUP(_xlfn.CONCAT(C835,D835,E835,TIME!$F$1,Z835),HIS_SALES!$B$2:$V$4859,19,FALSE)*I835,VLOOKUP(_xlfn.CONCAT(D835,F835,G835),Q_BUSAREA_FC!$AE$5:$AI$12,5,FALSE)*HLOOKUP(_xlfn.CONCAT(FC_DATA!F835,FC_DATA!G835),LT_OVERVIEW!$I$99:$M$130,MATCH(_xlfn.CONCAT(D835,FC_DATA!E835),LT_OVERVIEW!$H$99:$H$130,0),FALSE)*IFERROR(VLOOKUP(_xlfn.CONCAT(C835,D835,E835,TIME!$F$1,Z835),HIS_SALES!$B$2:$V$4859,19,FALSE),0)))</f>
        <v>#N/A</v>
      </c>
      <c r="AD835" s="341">
        <f t="shared" ca="1" si="335"/>
        <v>0</v>
      </c>
      <c r="AE835" s="363" t="str">
        <f t="shared" si="336"/>
        <v/>
      </c>
      <c r="AF835" s="342" t="str">
        <f t="shared" si="337"/>
        <v/>
      </c>
      <c r="AG835" s="411" t="e">
        <f ca="1">VLOOKUP(_xlfn.CONCAT(U835,V835,W835,VLOOKUP(X835&amp;Y835,TIME!$L$27:$O$34,4,FALSE),Y835),HIS_SALES!$A$2:$R$5093,18,FALSE)</f>
        <v>#N/A</v>
      </c>
      <c r="AH835" s="412" t="e">
        <f ca="1">IFERROR(IF(AND(V835=V834,W835=W834),0.5*(AB835+AB834)*AG835,(VLOOKUP(_xlfn.CONCAT(U835,V835,W835,X835,VLOOKUP(Z835,TIME!$S$28:$T$39,2,FALSE)),FC_DATA!$R$2:$AB$5000,MATCH("GS_I_M",FC_DATA!$R$1:$AB$1,0),FALSE)+FC_DATA!AB835)*0.5*FC_DATA!AG835),NA())</f>
        <v>#N/A</v>
      </c>
      <c r="AI835" s="491" t="e">
        <f ca="1">IF(V835="PARTNER.com",AH835,IF(AND(V835=V834,W835=W834),(1-AVERAGE(AD834,AD835))*AH835,(1-AVERAGE(AD835,VLOOKUP(_xlfn.CONCAT(U835,V835,W835,X835,M_BRAND_FC!$F$6),FC_DATA!$R$2:$AD$5000,MATCH("DISCOUNT_%_M",FC_DATA!$R$1:$AD$1,0),FALSE)))*AH835))</f>
        <v>#N/A</v>
      </c>
      <c r="AJ835" s="412" t="str">
        <f t="shared" ca="1" si="338"/>
        <v/>
      </c>
      <c r="AK835" s="413" t="str">
        <f>IFERROR(AE835/(Q_BRAND_FC!$T$24+1),"")</f>
        <v/>
      </c>
      <c r="AL835" s="88" t="str">
        <f t="shared" ca="1" si="339"/>
        <v/>
      </c>
      <c r="AM835" s="414" t="str">
        <f t="shared" ca="1" si="340"/>
        <v/>
      </c>
      <c r="AN835" s="58">
        <f>IFERROR(IF($V835="BRAND.com",HLOOKUP($X835&amp;$Z835,NWC_FC_NOOS!$C$4:$Q$23,MATCH(W835,NWC_FC_NOOS!$B$4:$B$23,0),FALSE),0),0)</f>
        <v>0</v>
      </c>
      <c r="AO835" s="57">
        <f>IFERROR(IF($V835="BRAND.com",HLOOKUP($X835&amp;$Z835,NWC_FC_NOOS!$T$4:$AH$23,MATCH(W835,NWC_FC_NOOS!$S$4:$S$23,0),FALSE),0),0)</f>
        <v>0</v>
      </c>
      <c r="AP835" s="57">
        <f>IFERROR(IF($V835="BRAND.com",HLOOKUP($X835&amp;$Z835,NWC_FC_NOOS!$C$50:$U$69,MATCH(W835,NWC_FC_NOOS!$B$50:$B$69,0),FALSE),0),0)</f>
        <v>0</v>
      </c>
      <c r="AQ835" s="58">
        <f>IFERROR(IF($V835="BRAND.com",HLOOKUP($X835&amp;$Z835,'NWC_FC_NON-NOOS'!$C$4:$Q$23,MATCH(W835,'NWC_FC_NON-NOOS'!$B$4:$B$23,0),FALSE),0),0)</f>
        <v>0</v>
      </c>
      <c r="AR835" s="57">
        <f>IFERROR(IF($V835="BRAND.com",HLOOKUP($X835&amp;$Z835,'NWC_FC_NON-NOOS'!$T$4:$AH$23,MATCH(W835,'NWC_FC_NON-NOOS'!$S$4:$S$23,0),FALSE),0),0)</f>
        <v>0</v>
      </c>
      <c r="AS835" s="57">
        <f>IFERROR(IF($V835="BRAND.com",HLOOKUP($X835&amp;$Z835,'NWC_FC_NON-NOOS'!$C$50:$U$69,MATCH(W835,'NWC_FC_NON-NOOS'!$B$50:$B$69,0),FALSE),0),0)</f>
        <v>0</v>
      </c>
      <c r="AT835" s="57">
        <f t="shared" ref="AT835:AT898" si="342">AO835+AR835</f>
        <v>0</v>
      </c>
      <c r="AU835" s="57">
        <f t="shared" ref="AU835:AU898" si="343">AP835+AS835</f>
        <v>0</v>
      </c>
      <c r="AV835" s="58">
        <f>IFERROR(IF($V835="BRAND.com",HLOOKUP($X835&amp;$Z835,PLANNING_FC!$BB$27:$BP$46,MATCH($W835,PLANNING_FC!$BA$27:$BA$46,0),FALSE),0),0)</f>
        <v>0</v>
      </c>
      <c r="AW835" s="58">
        <f>IFERROR(IF($V835="BRAND.com",HLOOKUP($X835&amp;$Z835,PLANNING_FC!$BB$4:$BP$23,MATCH($W835,PLANNING_FC!$BA$4:$BA$23,0),FALSE),0),0)</f>
        <v>0</v>
      </c>
      <c r="AX835" s="58">
        <f>IFERROR(IF($V835="BRAND.com",HLOOKUP($X835&amp;$Z835,PLANNING_FC!$T$27:$AH$46,MATCH($W835,PLANNING_FC!$B$27:$B$46,0),FALSE),0),0)</f>
        <v>0</v>
      </c>
      <c r="AY835" s="58">
        <f>IFERROR(IF($V835="BRAND.com",HLOOKUP($X835&amp;$Z835,PLANNING_FC!$T$4:$AH$23,MATCH($W835,PLANNING_FC!$B$4:$B$23,0),FALSE),0),0)</f>
        <v>0</v>
      </c>
      <c r="AZ835" s="58">
        <f>IFERROR(IF($V835="BRAND.com",HLOOKUP($X835&amp;$Z835,PLANNING_FC!$DA$27:$DO$46,MATCH($W835,PLANNING_FC!$CZ$27:$CZ$46,0),FALSE),0),0)</f>
        <v>0</v>
      </c>
      <c r="BA835" s="58">
        <f>IFERROR(IF($V835="BRAND.com",HLOOKUP($X835&amp;$Z835,PLANNING_FC!$DA$4:$DO$23,MATCH($W835,PLANNING_FC!$CZ$4:$CZ$23,0),FALSE),0),0)</f>
        <v>0</v>
      </c>
      <c r="BB835" s="883" t="str">
        <f>IF(V835="BRAND.com",IFERROR(HLOOKUP(X835&amp;Z835,PLANNING_FC!$AK$4:$AY$23,MATCH(W835,PLANNING_FC!$AJ$4:$AJ$23,0),FALSE)*1000,""),"")</f>
        <v/>
      </c>
      <c r="BC835" s="883" t="str">
        <f>IF(V835="BRAND.com",IFERROR(HLOOKUP(X835&amp;Z835,PLANNING_FC!$AK$27:$AY$46,MATCH(W835,PLANNING_FC!$AJ$27:$AJ$46,0),FALSE)*1000,""),"")</f>
        <v/>
      </c>
    </row>
    <row r="836" spans="14:55" x14ac:dyDescent="0.25">
      <c r="N836" s="56">
        <f t="shared" si="324"/>
        <v>0</v>
      </c>
      <c r="O836" s="57">
        <f t="shared" si="325"/>
        <v>0</v>
      </c>
      <c r="P836" s="57">
        <f ca="1">IFERROR(IF(ISBLANK(H836),SUMIFS($AC:$AC,$V:$V,V836,$W:$W,W836,$X:$X,X836,$Y:$Y,Y836)*J836/(1-J836)*VLOOKUP(_xlfn.CONCAT(C836,D836,E836,TIME!$M$12,Z836),HIS_SALES!$B$2:$W$4859,20,FALSE),AC836*J836/(1-J836)),0)</f>
        <v>0</v>
      </c>
      <c r="Q836" s="541" t="str">
        <f t="shared" si="326"/>
        <v/>
      </c>
      <c r="R836" s="346" t="str">
        <f t="shared" si="327"/>
        <v>00000</v>
      </c>
      <c r="S836" s="344">
        <f t="shared" si="328"/>
        <v>0</v>
      </c>
      <c r="T836" s="345" t="str">
        <f t="shared" si="341"/>
        <v>000</v>
      </c>
      <c r="U836" s="345">
        <f t="shared" si="329"/>
        <v>0</v>
      </c>
      <c r="V836" s="345">
        <f t="shared" si="330"/>
        <v>0</v>
      </c>
      <c r="W836" s="345">
        <f t="shared" si="331"/>
        <v>0</v>
      </c>
      <c r="X836" s="345">
        <f t="shared" si="332"/>
        <v>0</v>
      </c>
      <c r="Y836" s="345">
        <f t="shared" si="333"/>
        <v>0</v>
      </c>
      <c r="Z836" s="345">
        <f>IF(Q836&lt;&gt;"",VLOOKUP(Y836,TIME!$R$21:$V$24,MATCH(FC_DATA!Q836,TIME!$R$20:$V$20,0),FALSE),H836)</f>
        <v>0</v>
      </c>
      <c r="AA836" s="345" t="str">
        <f>IFERROR(VLOOKUP(X836&amp;Z836,TIME!$A$12:$D$71,4,FALSE),"")</f>
        <v/>
      </c>
      <c r="AB836" s="592">
        <f t="shared" ca="1" si="334"/>
        <v>0</v>
      </c>
      <c r="AC836" s="593" t="e">
        <f ca="1">IF(ISBLANK(H836)=FALSE,IF(D836="BRAND.com",I836,IF(ISNA(VLOOKUP(_xlfn.CONCAT(X836,Z836),TIME!$M$40:$M$42,1,FALSE)),I836,VLOOKUP(_xlfn.CONCAT(D836,G836,H836),M_BUSAREA_FC!$AF$5:$AJ$10,5,FALSE)*HLOOKUP(_xlfn.CONCAT(F836,H836),ST_OVERVIEW!$G$99:$I$130,MATCH(_xlfn.CONCAT(D836,E836),ST_OVERVIEW!$F$99:$F$130,0),FALSE))),IF(D836="BRAND.com",VLOOKUP(_xlfn.CONCAT(C836,D836,E836,TIME!$F$1,Z836),HIS_SALES!$B$2:$V$4859,19,FALSE)*I836,VLOOKUP(_xlfn.CONCAT(D836,F836,G836),Q_BUSAREA_FC!$AE$5:$AI$12,5,FALSE)*HLOOKUP(_xlfn.CONCAT(FC_DATA!F836,FC_DATA!G836),LT_OVERVIEW!$I$99:$M$130,MATCH(_xlfn.CONCAT(D836,FC_DATA!E836),LT_OVERVIEW!$H$99:$H$130,0),FALSE)*IFERROR(VLOOKUP(_xlfn.CONCAT(C836,D836,E836,TIME!$F$1,Z836),HIS_SALES!$B$2:$V$4859,19,FALSE),0)))</f>
        <v>#N/A</v>
      </c>
      <c r="AD836" s="341">
        <f t="shared" ca="1" si="335"/>
        <v>0</v>
      </c>
      <c r="AE836" s="363" t="str">
        <f t="shared" si="336"/>
        <v/>
      </c>
      <c r="AF836" s="342" t="str">
        <f t="shared" si="337"/>
        <v/>
      </c>
      <c r="AG836" s="411" t="e">
        <f ca="1">VLOOKUP(_xlfn.CONCAT(U836,V836,W836,VLOOKUP(X836&amp;Y836,TIME!$L$27:$O$34,4,FALSE),Y836),HIS_SALES!$A$2:$R$5093,18,FALSE)</f>
        <v>#N/A</v>
      </c>
      <c r="AH836" s="412" t="e">
        <f ca="1">IFERROR(IF(AND(V836=V835,W836=W835),0.5*(AB836+AB835)*AG836,(VLOOKUP(_xlfn.CONCAT(U836,V836,W836,X836,VLOOKUP(Z836,TIME!$S$28:$T$39,2,FALSE)),FC_DATA!$R$2:$AB$5000,MATCH("GS_I_M",FC_DATA!$R$1:$AB$1,0),FALSE)+FC_DATA!AB836)*0.5*FC_DATA!AG836),NA())</f>
        <v>#N/A</v>
      </c>
      <c r="AI836" s="491" t="e">
        <f ca="1">IF(V836="PARTNER.com",AH836,IF(AND(V836=V835,W836=W835),(1-AVERAGE(AD835,AD836))*AH836,(1-AVERAGE(AD836,VLOOKUP(_xlfn.CONCAT(U836,V836,W836,X836,M_BRAND_FC!$F$6),FC_DATA!$R$2:$AD$5000,MATCH("DISCOUNT_%_M",FC_DATA!$R$1:$AD$1,0),FALSE)))*AH836))</f>
        <v>#N/A</v>
      </c>
      <c r="AJ836" s="412" t="str">
        <f t="shared" ca="1" si="338"/>
        <v/>
      </c>
      <c r="AK836" s="413" t="str">
        <f>IFERROR(AE836/(Q_BRAND_FC!$T$24+1),"")</f>
        <v/>
      </c>
      <c r="AL836" s="88" t="str">
        <f t="shared" ca="1" si="339"/>
        <v/>
      </c>
      <c r="AM836" s="414" t="str">
        <f t="shared" ca="1" si="340"/>
        <v/>
      </c>
      <c r="AN836" s="58">
        <f>IFERROR(IF($V836="BRAND.com",HLOOKUP($X836&amp;$Z836,NWC_FC_NOOS!$C$4:$Q$23,MATCH(W836,NWC_FC_NOOS!$B$4:$B$23,0),FALSE),0),0)</f>
        <v>0</v>
      </c>
      <c r="AO836" s="57">
        <f>IFERROR(IF($V836="BRAND.com",HLOOKUP($X836&amp;$Z836,NWC_FC_NOOS!$T$4:$AH$23,MATCH(W836,NWC_FC_NOOS!$S$4:$S$23,0),FALSE),0),0)</f>
        <v>0</v>
      </c>
      <c r="AP836" s="57">
        <f>IFERROR(IF($V836="BRAND.com",HLOOKUP($X836&amp;$Z836,NWC_FC_NOOS!$C$50:$U$69,MATCH(W836,NWC_FC_NOOS!$B$50:$B$69,0),FALSE),0),0)</f>
        <v>0</v>
      </c>
      <c r="AQ836" s="58">
        <f>IFERROR(IF($V836="BRAND.com",HLOOKUP($X836&amp;$Z836,'NWC_FC_NON-NOOS'!$C$4:$Q$23,MATCH(W836,'NWC_FC_NON-NOOS'!$B$4:$B$23,0),FALSE),0),0)</f>
        <v>0</v>
      </c>
      <c r="AR836" s="57">
        <f>IFERROR(IF($V836="BRAND.com",HLOOKUP($X836&amp;$Z836,'NWC_FC_NON-NOOS'!$T$4:$AH$23,MATCH(W836,'NWC_FC_NON-NOOS'!$S$4:$S$23,0),FALSE),0),0)</f>
        <v>0</v>
      </c>
      <c r="AS836" s="57">
        <f>IFERROR(IF($V836="BRAND.com",HLOOKUP($X836&amp;$Z836,'NWC_FC_NON-NOOS'!$C$50:$U$69,MATCH(W836,'NWC_FC_NON-NOOS'!$B$50:$B$69,0),FALSE),0),0)</f>
        <v>0</v>
      </c>
      <c r="AT836" s="57">
        <f t="shared" si="342"/>
        <v>0</v>
      </c>
      <c r="AU836" s="57">
        <f t="shared" si="343"/>
        <v>0</v>
      </c>
      <c r="AV836" s="58">
        <f>IFERROR(IF($V836="BRAND.com",HLOOKUP($X836&amp;$Z836,PLANNING_FC!$BB$27:$BP$46,MATCH($W836,PLANNING_FC!$BA$27:$BA$46,0),FALSE),0),0)</f>
        <v>0</v>
      </c>
      <c r="AW836" s="58">
        <f>IFERROR(IF($V836="BRAND.com",HLOOKUP($X836&amp;$Z836,PLANNING_FC!$BB$4:$BP$23,MATCH($W836,PLANNING_FC!$BA$4:$BA$23,0),FALSE),0),0)</f>
        <v>0</v>
      </c>
      <c r="AX836" s="58">
        <f>IFERROR(IF($V836="BRAND.com",HLOOKUP($X836&amp;$Z836,PLANNING_FC!$T$27:$AH$46,MATCH($W836,PLANNING_FC!$B$27:$B$46,0),FALSE),0),0)</f>
        <v>0</v>
      </c>
      <c r="AY836" s="58">
        <f>IFERROR(IF($V836="BRAND.com",HLOOKUP($X836&amp;$Z836,PLANNING_FC!$T$4:$AH$23,MATCH($W836,PLANNING_FC!$B$4:$B$23,0),FALSE),0),0)</f>
        <v>0</v>
      </c>
      <c r="AZ836" s="58">
        <f>IFERROR(IF($V836="BRAND.com",HLOOKUP($X836&amp;$Z836,PLANNING_FC!$DA$27:$DO$46,MATCH($W836,PLANNING_FC!$CZ$27:$CZ$46,0),FALSE),0),0)</f>
        <v>0</v>
      </c>
      <c r="BA836" s="58">
        <f>IFERROR(IF($V836="BRAND.com",HLOOKUP($X836&amp;$Z836,PLANNING_FC!$DA$4:$DO$23,MATCH($W836,PLANNING_FC!$CZ$4:$CZ$23,0),FALSE),0),0)</f>
        <v>0</v>
      </c>
      <c r="BB836" s="883" t="str">
        <f>IF(V836="BRAND.com",IFERROR(HLOOKUP(X836&amp;Z836,PLANNING_FC!$AK$4:$AY$23,MATCH(W836,PLANNING_FC!$AJ$4:$AJ$23,0),FALSE)*1000,""),"")</f>
        <v/>
      </c>
      <c r="BC836" s="883" t="str">
        <f>IF(V836="BRAND.com",IFERROR(HLOOKUP(X836&amp;Z836,PLANNING_FC!$AK$27:$AY$46,MATCH(W836,PLANNING_FC!$AJ$27:$AJ$46,0),FALSE)*1000,""),"")</f>
        <v/>
      </c>
    </row>
    <row r="837" spans="14:55" x14ac:dyDescent="0.25">
      <c r="N837" s="56">
        <f t="shared" si="324"/>
        <v>0</v>
      </c>
      <c r="O837" s="57">
        <f t="shared" si="325"/>
        <v>0</v>
      </c>
      <c r="P837" s="57">
        <f ca="1">IFERROR(IF(ISBLANK(H837),SUMIFS($AC:$AC,$V:$V,V837,$W:$W,W837,$X:$X,X837,$Y:$Y,Y837)*J837/(1-J837)*VLOOKUP(_xlfn.CONCAT(C837,D837,E837,TIME!$M$12,Z837),HIS_SALES!$B$2:$W$4859,20,FALSE),AC837*J837/(1-J837)),0)</f>
        <v>0</v>
      </c>
      <c r="Q837" s="541" t="str">
        <f t="shared" si="326"/>
        <v/>
      </c>
      <c r="R837" s="346" t="str">
        <f t="shared" si="327"/>
        <v>00000</v>
      </c>
      <c r="S837" s="344">
        <f t="shared" si="328"/>
        <v>0</v>
      </c>
      <c r="T837" s="345" t="str">
        <f t="shared" si="341"/>
        <v>000</v>
      </c>
      <c r="U837" s="345">
        <f t="shared" si="329"/>
        <v>0</v>
      </c>
      <c r="V837" s="345">
        <f t="shared" si="330"/>
        <v>0</v>
      </c>
      <c r="W837" s="345">
        <f t="shared" si="331"/>
        <v>0</v>
      </c>
      <c r="X837" s="345">
        <f t="shared" si="332"/>
        <v>0</v>
      </c>
      <c r="Y837" s="345">
        <f t="shared" si="333"/>
        <v>0</v>
      </c>
      <c r="Z837" s="345">
        <f>IF(Q837&lt;&gt;"",VLOOKUP(Y837,TIME!$R$21:$V$24,MATCH(FC_DATA!Q837,TIME!$R$20:$V$20,0),FALSE),H837)</f>
        <v>0</v>
      </c>
      <c r="AA837" s="345" t="str">
        <f>IFERROR(VLOOKUP(X837&amp;Z837,TIME!$A$12:$D$71,4,FALSE),"")</f>
        <v/>
      </c>
      <c r="AB837" s="592">
        <f t="shared" ca="1" si="334"/>
        <v>0</v>
      </c>
      <c r="AC837" s="593" t="e">
        <f ca="1">IF(ISBLANK(H837)=FALSE,IF(D837="BRAND.com",I837,IF(ISNA(VLOOKUP(_xlfn.CONCAT(X837,Z837),TIME!$M$40:$M$42,1,FALSE)),I837,VLOOKUP(_xlfn.CONCAT(D837,G837,H837),M_BUSAREA_FC!$AF$5:$AJ$10,5,FALSE)*HLOOKUP(_xlfn.CONCAT(F837,H837),ST_OVERVIEW!$G$99:$I$130,MATCH(_xlfn.CONCAT(D837,E837),ST_OVERVIEW!$F$99:$F$130,0),FALSE))),IF(D837="BRAND.com",VLOOKUP(_xlfn.CONCAT(C837,D837,E837,TIME!$F$1,Z837),HIS_SALES!$B$2:$V$4859,19,FALSE)*I837,VLOOKUP(_xlfn.CONCAT(D837,F837,G837),Q_BUSAREA_FC!$AE$5:$AI$12,5,FALSE)*HLOOKUP(_xlfn.CONCAT(FC_DATA!F837,FC_DATA!G837),LT_OVERVIEW!$I$99:$M$130,MATCH(_xlfn.CONCAT(D837,FC_DATA!E837),LT_OVERVIEW!$H$99:$H$130,0),FALSE)*IFERROR(VLOOKUP(_xlfn.CONCAT(C837,D837,E837,TIME!$F$1,Z837),HIS_SALES!$B$2:$V$4859,19,FALSE),0)))</f>
        <v>#N/A</v>
      </c>
      <c r="AD837" s="341">
        <f t="shared" ca="1" si="335"/>
        <v>0</v>
      </c>
      <c r="AE837" s="363" t="str">
        <f t="shared" si="336"/>
        <v/>
      </c>
      <c r="AF837" s="342" t="str">
        <f t="shared" si="337"/>
        <v/>
      </c>
      <c r="AG837" s="411" t="e">
        <f ca="1">VLOOKUP(_xlfn.CONCAT(U837,V837,W837,VLOOKUP(X837&amp;Y837,TIME!$L$27:$O$34,4,FALSE),Y837),HIS_SALES!$A$2:$R$5093,18,FALSE)</f>
        <v>#N/A</v>
      </c>
      <c r="AH837" s="412" t="e">
        <f ca="1">IFERROR(IF(AND(V837=V836,W837=W836),0.5*(AB837+AB836)*AG837,(VLOOKUP(_xlfn.CONCAT(U837,V837,W837,X837,VLOOKUP(Z837,TIME!$S$28:$T$39,2,FALSE)),FC_DATA!$R$2:$AB$5000,MATCH("GS_I_M",FC_DATA!$R$1:$AB$1,0),FALSE)+FC_DATA!AB837)*0.5*FC_DATA!AG837),NA())</f>
        <v>#N/A</v>
      </c>
      <c r="AI837" s="491" t="e">
        <f ca="1">IF(V837="PARTNER.com",AH837,IF(AND(V837=V836,W837=W836),(1-AVERAGE(AD836,AD837))*AH837,(1-AVERAGE(AD837,VLOOKUP(_xlfn.CONCAT(U837,V837,W837,X837,M_BRAND_FC!$F$6),FC_DATA!$R$2:$AD$5000,MATCH("DISCOUNT_%_M",FC_DATA!$R$1:$AD$1,0),FALSE)))*AH837))</f>
        <v>#N/A</v>
      </c>
      <c r="AJ837" s="412" t="str">
        <f t="shared" ca="1" si="338"/>
        <v/>
      </c>
      <c r="AK837" s="413" t="str">
        <f>IFERROR(AE837/(Q_BRAND_FC!$T$24+1),"")</f>
        <v/>
      </c>
      <c r="AL837" s="88" t="str">
        <f t="shared" ca="1" si="339"/>
        <v/>
      </c>
      <c r="AM837" s="414" t="str">
        <f t="shared" ca="1" si="340"/>
        <v/>
      </c>
      <c r="AN837" s="58">
        <f>IFERROR(IF($V837="BRAND.com",HLOOKUP($X837&amp;$Z837,NWC_FC_NOOS!$C$4:$Q$23,MATCH(W837,NWC_FC_NOOS!$B$4:$B$23,0),FALSE),0),0)</f>
        <v>0</v>
      </c>
      <c r="AO837" s="57">
        <f>IFERROR(IF($V837="BRAND.com",HLOOKUP($X837&amp;$Z837,NWC_FC_NOOS!$T$4:$AH$23,MATCH(W837,NWC_FC_NOOS!$S$4:$S$23,0),FALSE),0),0)</f>
        <v>0</v>
      </c>
      <c r="AP837" s="57">
        <f>IFERROR(IF($V837="BRAND.com",HLOOKUP($X837&amp;$Z837,NWC_FC_NOOS!$C$50:$U$69,MATCH(W837,NWC_FC_NOOS!$B$50:$B$69,0),FALSE),0),0)</f>
        <v>0</v>
      </c>
      <c r="AQ837" s="58">
        <f>IFERROR(IF($V837="BRAND.com",HLOOKUP($X837&amp;$Z837,'NWC_FC_NON-NOOS'!$C$4:$Q$23,MATCH(W837,'NWC_FC_NON-NOOS'!$B$4:$B$23,0),FALSE),0),0)</f>
        <v>0</v>
      </c>
      <c r="AR837" s="57">
        <f>IFERROR(IF($V837="BRAND.com",HLOOKUP($X837&amp;$Z837,'NWC_FC_NON-NOOS'!$T$4:$AH$23,MATCH(W837,'NWC_FC_NON-NOOS'!$S$4:$S$23,0),FALSE),0),0)</f>
        <v>0</v>
      </c>
      <c r="AS837" s="57">
        <f>IFERROR(IF($V837="BRAND.com",HLOOKUP($X837&amp;$Z837,'NWC_FC_NON-NOOS'!$C$50:$U$69,MATCH(W837,'NWC_FC_NON-NOOS'!$B$50:$B$69,0),FALSE),0),0)</f>
        <v>0</v>
      </c>
      <c r="AT837" s="57">
        <f t="shared" si="342"/>
        <v>0</v>
      </c>
      <c r="AU837" s="57">
        <f t="shared" si="343"/>
        <v>0</v>
      </c>
      <c r="AV837" s="58">
        <f>IFERROR(IF($V837="BRAND.com",HLOOKUP($X837&amp;$Z837,PLANNING_FC!$BB$27:$BP$46,MATCH($W837,PLANNING_FC!$BA$27:$BA$46,0),FALSE),0),0)</f>
        <v>0</v>
      </c>
      <c r="AW837" s="58">
        <f>IFERROR(IF($V837="BRAND.com",HLOOKUP($X837&amp;$Z837,PLANNING_FC!$BB$4:$BP$23,MATCH($W837,PLANNING_FC!$BA$4:$BA$23,0),FALSE),0),0)</f>
        <v>0</v>
      </c>
      <c r="AX837" s="58">
        <f>IFERROR(IF($V837="BRAND.com",HLOOKUP($X837&amp;$Z837,PLANNING_FC!$T$27:$AH$46,MATCH($W837,PLANNING_FC!$B$27:$B$46,0),FALSE),0),0)</f>
        <v>0</v>
      </c>
      <c r="AY837" s="58">
        <f>IFERROR(IF($V837="BRAND.com",HLOOKUP($X837&amp;$Z837,PLANNING_FC!$T$4:$AH$23,MATCH($W837,PLANNING_FC!$B$4:$B$23,0),FALSE),0),0)</f>
        <v>0</v>
      </c>
      <c r="AZ837" s="58">
        <f>IFERROR(IF($V837="BRAND.com",HLOOKUP($X837&amp;$Z837,PLANNING_FC!$DA$27:$DO$46,MATCH($W837,PLANNING_FC!$CZ$27:$CZ$46,0),FALSE),0),0)</f>
        <v>0</v>
      </c>
      <c r="BA837" s="58">
        <f>IFERROR(IF($V837="BRAND.com",HLOOKUP($X837&amp;$Z837,PLANNING_FC!$DA$4:$DO$23,MATCH($W837,PLANNING_FC!$CZ$4:$CZ$23,0),FALSE),0),0)</f>
        <v>0</v>
      </c>
      <c r="BB837" s="883" t="str">
        <f>IF(V837="BRAND.com",IFERROR(HLOOKUP(X837&amp;Z837,PLANNING_FC!$AK$4:$AY$23,MATCH(W837,PLANNING_FC!$AJ$4:$AJ$23,0),FALSE)*1000,""),"")</f>
        <v/>
      </c>
      <c r="BC837" s="883" t="str">
        <f>IF(V837="BRAND.com",IFERROR(HLOOKUP(X837&amp;Z837,PLANNING_FC!$AK$27:$AY$46,MATCH(W837,PLANNING_FC!$AJ$27:$AJ$46,0),FALSE)*1000,""),"")</f>
        <v/>
      </c>
    </row>
    <row r="838" spans="14:55" x14ac:dyDescent="0.25">
      <c r="N838" s="56">
        <f t="shared" si="324"/>
        <v>0</v>
      </c>
      <c r="O838" s="57">
        <f t="shared" si="325"/>
        <v>0</v>
      </c>
      <c r="P838" s="57">
        <f ca="1">IFERROR(IF(ISBLANK(H838),SUMIFS($AC:$AC,$V:$V,V838,$W:$W,W838,$X:$X,X838,$Y:$Y,Y838)*J838/(1-J838)*VLOOKUP(_xlfn.CONCAT(C838,D838,E838,TIME!$M$12,Z838),HIS_SALES!$B$2:$W$4859,20,FALSE),AC838*J838/(1-J838)),0)</f>
        <v>0</v>
      </c>
      <c r="Q838" s="541" t="str">
        <f t="shared" si="326"/>
        <v/>
      </c>
      <c r="R838" s="346" t="str">
        <f t="shared" si="327"/>
        <v>00000</v>
      </c>
      <c r="S838" s="344">
        <f t="shared" si="328"/>
        <v>0</v>
      </c>
      <c r="T838" s="345" t="str">
        <f t="shared" si="341"/>
        <v>000</v>
      </c>
      <c r="U838" s="345">
        <f t="shared" si="329"/>
        <v>0</v>
      </c>
      <c r="V838" s="345">
        <f t="shared" si="330"/>
        <v>0</v>
      </c>
      <c r="W838" s="345">
        <f t="shared" si="331"/>
        <v>0</v>
      </c>
      <c r="X838" s="345">
        <f t="shared" si="332"/>
        <v>0</v>
      </c>
      <c r="Y838" s="345">
        <f t="shared" si="333"/>
        <v>0</v>
      </c>
      <c r="Z838" s="345">
        <f>IF(Q838&lt;&gt;"",VLOOKUP(Y838,TIME!$R$21:$V$24,MATCH(FC_DATA!Q838,TIME!$R$20:$V$20,0),FALSE),H838)</f>
        <v>0</v>
      </c>
      <c r="AA838" s="345" t="str">
        <f>IFERROR(VLOOKUP(X838&amp;Z838,TIME!$A$12:$D$71,4,FALSE),"")</f>
        <v/>
      </c>
      <c r="AB838" s="592">
        <f t="shared" ca="1" si="334"/>
        <v>0</v>
      </c>
      <c r="AC838" s="593" t="e">
        <f ca="1">IF(ISBLANK(H838)=FALSE,IF(D838="BRAND.com",I838,IF(ISNA(VLOOKUP(_xlfn.CONCAT(X838,Z838),TIME!$M$40:$M$42,1,FALSE)),I838,VLOOKUP(_xlfn.CONCAT(D838,G838,H838),M_BUSAREA_FC!$AF$5:$AJ$10,5,FALSE)*HLOOKUP(_xlfn.CONCAT(F838,H838),ST_OVERVIEW!$G$99:$I$130,MATCH(_xlfn.CONCAT(D838,E838),ST_OVERVIEW!$F$99:$F$130,0),FALSE))),IF(D838="BRAND.com",VLOOKUP(_xlfn.CONCAT(C838,D838,E838,TIME!$F$1,Z838),HIS_SALES!$B$2:$V$4859,19,FALSE)*I838,VLOOKUP(_xlfn.CONCAT(D838,F838,G838),Q_BUSAREA_FC!$AE$5:$AI$12,5,FALSE)*HLOOKUP(_xlfn.CONCAT(FC_DATA!F838,FC_DATA!G838),LT_OVERVIEW!$I$99:$M$130,MATCH(_xlfn.CONCAT(D838,FC_DATA!E838),LT_OVERVIEW!$H$99:$H$130,0),FALSE)*IFERROR(VLOOKUP(_xlfn.CONCAT(C838,D838,E838,TIME!$F$1,Z838),HIS_SALES!$B$2:$V$4859,19,FALSE),0)))</f>
        <v>#N/A</v>
      </c>
      <c r="AD838" s="341">
        <f t="shared" ca="1" si="335"/>
        <v>0</v>
      </c>
      <c r="AE838" s="363" t="str">
        <f t="shared" si="336"/>
        <v/>
      </c>
      <c r="AF838" s="342" t="str">
        <f t="shared" si="337"/>
        <v/>
      </c>
      <c r="AG838" s="411" t="e">
        <f ca="1">VLOOKUP(_xlfn.CONCAT(U838,V838,W838,VLOOKUP(X838&amp;Y838,TIME!$L$27:$O$34,4,FALSE),Y838),HIS_SALES!$A$2:$R$5093,18,FALSE)</f>
        <v>#N/A</v>
      </c>
      <c r="AH838" s="412" t="e">
        <f ca="1">IFERROR(IF(AND(V838=V837,W838=W837),0.5*(AB838+AB837)*AG838,(VLOOKUP(_xlfn.CONCAT(U838,V838,W838,X838,VLOOKUP(Z838,TIME!$S$28:$T$39,2,FALSE)),FC_DATA!$R$2:$AB$5000,MATCH("GS_I_M",FC_DATA!$R$1:$AB$1,0),FALSE)+FC_DATA!AB838)*0.5*FC_DATA!AG838),NA())</f>
        <v>#N/A</v>
      </c>
      <c r="AI838" s="491" t="e">
        <f ca="1">IF(V838="PARTNER.com",AH838,IF(AND(V838=V837,W838=W837),(1-AVERAGE(AD837,AD838))*AH838,(1-AVERAGE(AD838,VLOOKUP(_xlfn.CONCAT(U838,V838,W838,X838,M_BRAND_FC!$F$6),FC_DATA!$R$2:$AD$5000,MATCH("DISCOUNT_%_M",FC_DATA!$R$1:$AD$1,0),FALSE)))*AH838))</f>
        <v>#N/A</v>
      </c>
      <c r="AJ838" s="412" t="str">
        <f t="shared" ca="1" si="338"/>
        <v/>
      </c>
      <c r="AK838" s="413" t="str">
        <f>IFERROR(AE838/(Q_BRAND_FC!$T$24+1),"")</f>
        <v/>
      </c>
      <c r="AL838" s="88" t="str">
        <f t="shared" ca="1" si="339"/>
        <v/>
      </c>
      <c r="AM838" s="414" t="str">
        <f t="shared" ca="1" si="340"/>
        <v/>
      </c>
      <c r="AN838" s="58">
        <f>IFERROR(IF($V838="BRAND.com",HLOOKUP($X838&amp;$Z838,NWC_FC_NOOS!$C$4:$Q$23,MATCH(W838,NWC_FC_NOOS!$B$4:$B$23,0),FALSE),0),0)</f>
        <v>0</v>
      </c>
      <c r="AO838" s="57">
        <f>IFERROR(IF($V838="BRAND.com",HLOOKUP($X838&amp;$Z838,NWC_FC_NOOS!$T$4:$AH$23,MATCH(W838,NWC_FC_NOOS!$S$4:$S$23,0),FALSE),0),0)</f>
        <v>0</v>
      </c>
      <c r="AP838" s="57">
        <f>IFERROR(IF($V838="BRAND.com",HLOOKUP($X838&amp;$Z838,NWC_FC_NOOS!$C$50:$U$69,MATCH(W838,NWC_FC_NOOS!$B$50:$B$69,0),FALSE),0),0)</f>
        <v>0</v>
      </c>
      <c r="AQ838" s="58">
        <f>IFERROR(IF($V838="BRAND.com",HLOOKUP($X838&amp;$Z838,'NWC_FC_NON-NOOS'!$C$4:$Q$23,MATCH(W838,'NWC_FC_NON-NOOS'!$B$4:$B$23,0),FALSE),0),0)</f>
        <v>0</v>
      </c>
      <c r="AR838" s="57">
        <f>IFERROR(IF($V838="BRAND.com",HLOOKUP($X838&amp;$Z838,'NWC_FC_NON-NOOS'!$T$4:$AH$23,MATCH(W838,'NWC_FC_NON-NOOS'!$S$4:$S$23,0),FALSE),0),0)</f>
        <v>0</v>
      </c>
      <c r="AS838" s="57">
        <f>IFERROR(IF($V838="BRAND.com",HLOOKUP($X838&amp;$Z838,'NWC_FC_NON-NOOS'!$C$50:$U$69,MATCH(W838,'NWC_FC_NON-NOOS'!$B$50:$B$69,0),FALSE),0),0)</f>
        <v>0</v>
      </c>
      <c r="AT838" s="57">
        <f t="shared" si="342"/>
        <v>0</v>
      </c>
      <c r="AU838" s="57">
        <f t="shared" si="343"/>
        <v>0</v>
      </c>
      <c r="AV838" s="58">
        <f>IFERROR(IF($V838="BRAND.com",HLOOKUP($X838&amp;$Z838,PLANNING_FC!$BB$27:$BP$46,MATCH($W838,PLANNING_FC!$BA$27:$BA$46,0),FALSE),0),0)</f>
        <v>0</v>
      </c>
      <c r="AW838" s="58">
        <f>IFERROR(IF($V838="BRAND.com",HLOOKUP($X838&amp;$Z838,PLANNING_FC!$BB$4:$BP$23,MATCH($W838,PLANNING_FC!$BA$4:$BA$23,0),FALSE),0),0)</f>
        <v>0</v>
      </c>
      <c r="AX838" s="58">
        <f>IFERROR(IF($V838="BRAND.com",HLOOKUP($X838&amp;$Z838,PLANNING_FC!$T$27:$AH$46,MATCH($W838,PLANNING_FC!$B$27:$B$46,0),FALSE),0),0)</f>
        <v>0</v>
      </c>
      <c r="AY838" s="58">
        <f>IFERROR(IF($V838="BRAND.com",HLOOKUP($X838&amp;$Z838,PLANNING_FC!$T$4:$AH$23,MATCH($W838,PLANNING_FC!$B$4:$B$23,0),FALSE),0),0)</f>
        <v>0</v>
      </c>
      <c r="AZ838" s="58">
        <f>IFERROR(IF($V838="BRAND.com",HLOOKUP($X838&amp;$Z838,PLANNING_FC!$DA$27:$DO$46,MATCH($W838,PLANNING_FC!$CZ$27:$CZ$46,0),FALSE),0),0)</f>
        <v>0</v>
      </c>
      <c r="BA838" s="58">
        <f>IFERROR(IF($V838="BRAND.com",HLOOKUP($X838&amp;$Z838,PLANNING_FC!$DA$4:$DO$23,MATCH($W838,PLANNING_FC!$CZ$4:$CZ$23,0),FALSE),0),0)</f>
        <v>0</v>
      </c>
      <c r="BB838" s="883" t="str">
        <f>IF(V838="BRAND.com",IFERROR(HLOOKUP(X838&amp;Z838,PLANNING_FC!$AK$4:$AY$23,MATCH(W838,PLANNING_FC!$AJ$4:$AJ$23,0),FALSE)*1000,""),"")</f>
        <v/>
      </c>
      <c r="BC838" s="883" t="str">
        <f>IF(V838="BRAND.com",IFERROR(HLOOKUP(X838&amp;Z838,PLANNING_FC!$AK$27:$AY$46,MATCH(W838,PLANNING_FC!$AJ$27:$AJ$46,0),FALSE)*1000,""),"")</f>
        <v/>
      </c>
    </row>
    <row r="839" spans="14:55" x14ac:dyDescent="0.25">
      <c r="N839" s="56">
        <f t="shared" si="324"/>
        <v>0</v>
      </c>
      <c r="O839" s="57">
        <f t="shared" si="325"/>
        <v>0</v>
      </c>
      <c r="P839" s="57">
        <f ca="1">IFERROR(IF(ISBLANK(H839),SUMIFS($AC:$AC,$V:$V,V839,$W:$W,W839,$X:$X,X839,$Y:$Y,Y839)*J839/(1-J839)*VLOOKUP(_xlfn.CONCAT(C839,D839,E839,TIME!$M$12,Z839),HIS_SALES!$B$2:$W$4859,20,FALSE),AC839*J839/(1-J839)),0)</f>
        <v>0</v>
      </c>
      <c r="Q839" s="541" t="str">
        <f t="shared" si="326"/>
        <v/>
      </c>
      <c r="R839" s="346" t="str">
        <f t="shared" si="327"/>
        <v>00000</v>
      </c>
      <c r="S839" s="344">
        <f t="shared" si="328"/>
        <v>0</v>
      </c>
      <c r="T839" s="345" t="str">
        <f t="shared" si="341"/>
        <v>000</v>
      </c>
      <c r="U839" s="345">
        <f t="shared" si="329"/>
        <v>0</v>
      </c>
      <c r="V839" s="345">
        <f t="shared" si="330"/>
        <v>0</v>
      </c>
      <c r="W839" s="345">
        <f t="shared" si="331"/>
        <v>0</v>
      </c>
      <c r="X839" s="345">
        <f t="shared" si="332"/>
        <v>0</v>
      </c>
      <c r="Y839" s="345">
        <f t="shared" si="333"/>
        <v>0</v>
      </c>
      <c r="Z839" s="345">
        <f>IF(Q839&lt;&gt;"",VLOOKUP(Y839,TIME!$R$21:$V$24,MATCH(FC_DATA!Q839,TIME!$R$20:$V$20,0),FALSE),H839)</f>
        <v>0</v>
      </c>
      <c r="AA839" s="345" t="str">
        <f>IFERROR(VLOOKUP(X839&amp;Z839,TIME!$A$12:$D$71,4,FALSE),"")</f>
        <v/>
      </c>
      <c r="AB839" s="592">
        <f t="shared" ca="1" si="334"/>
        <v>0</v>
      </c>
      <c r="AC839" s="593" t="e">
        <f ca="1">IF(ISBLANK(H839)=FALSE,IF(D839="BRAND.com",I839,IF(ISNA(VLOOKUP(_xlfn.CONCAT(X839,Z839),TIME!$M$40:$M$42,1,FALSE)),I839,VLOOKUP(_xlfn.CONCAT(D839,G839,H839),M_BUSAREA_FC!$AF$5:$AJ$10,5,FALSE)*HLOOKUP(_xlfn.CONCAT(F839,H839),ST_OVERVIEW!$G$99:$I$130,MATCH(_xlfn.CONCAT(D839,E839),ST_OVERVIEW!$F$99:$F$130,0),FALSE))),IF(D839="BRAND.com",VLOOKUP(_xlfn.CONCAT(C839,D839,E839,TIME!$F$1,Z839),HIS_SALES!$B$2:$V$4859,19,FALSE)*I839,VLOOKUP(_xlfn.CONCAT(D839,F839,G839),Q_BUSAREA_FC!$AE$5:$AI$12,5,FALSE)*HLOOKUP(_xlfn.CONCAT(FC_DATA!F839,FC_DATA!G839),LT_OVERVIEW!$I$99:$M$130,MATCH(_xlfn.CONCAT(D839,FC_DATA!E839),LT_OVERVIEW!$H$99:$H$130,0),FALSE)*IFERROR(VLOOKUP(_xlfn.CONCAT(C839,D839,E839,TIME!$F$1,Z839),HIS_SALES!$B$2:$V$4859,19,FALSE),0)))</f>
        <v>#N/A</v>
      </c>
      <c r="AD839" s="341">
        <f t="shared" ca="1" si="335"/>
        <v>0</v>
      </c>
      <c r="AE839" s="363" t="str">
        <f t="shared" si="336"/>
        <v/>
      </c>
      <c r="AF839" s="342" t="str">
        <f t="shared" si="337"/>
        <v/>
      </c>
      <c r="AG839" s="411" t="e">
        <f ca="1">VLOOKUP(_xlfn.CONCAT(U839,V839,W839,VLOOKUP(X839&amp;Y839,TIME!$L$27:$O$34,4,FALSE),Y839),HIS_SALES!$A$2:$R$5093,18,FALSE)</f>
        <v>#N/A</v>
      </c>
      <c r="AH839" s="412" t="e">
        <f ca="1">IFERROR(IF(AND(V839=V838,W839=W838),0.5*(AB839+AB838)*AG839,(VLOOKUP(_xlfn.CONCAT(U839,V839,W839,X839,VLOOKUP(Z839,TIME!$S$28:$T$39,2,FALSE)),FC_DATA!$R$2:$AB$5000,MATCH("GS_I_M",FC_DATA!$R$1:$AB$1,0),FALSE)+FC_DATA!AB839)*0.5*FC_DATA!AG839),NA())</f>
        <v>#N/A</v>
      </c>
      <c r="AI839" s="491" t="e">
        <f ca="1">IF(V839="PARTNER.com",AH839,IF(AND(V839=V838,W839=W838),(1-AVERAGE(AD838,AD839))*AH839,(1-AVERAGE(AD839,VLOOKUP(_xlfn.CONCAT(U839,V839,W839,X839,M_BRAND_FC!$F$6),FC_DATA!$R$2:$AD$5000,MATCH("DISCOUNT_%_M",FC_DATA!$R$1:$AD$1,0),FALSE)))*AH839))</f>
        <v>#N/A</v>
      </c>
      <c r="AJ839" s="412" t="str">
        <f t="shared" ca="1" si="338"/>
        <v/>
      </c>
      <c r="AK839" s="413" t="str">
        <f>IFERROR(AE839/(Q_BRAND_FC!$T$24+1),"")</f>
        <v/>
      </c>
      <c r="AL839" s="88" t="str">
        <f t="shared" ca="1" si="339"/>
        <v/>
      </c>
      <c r="AM839" s="414" t="str">
        <f t="shared" ca="1" si="340"/>
        <v/>
      </c>
      <c r="AN839" s="58">
        <f>IFERROR(IF($V839="BRAND.com",HLOOKUP($X839&amp;$Z839,NWC_FC_NOOS!$C$4:$Q$23,MATCH(W839,NWC_FC_NOOS!$B$4:$B$23,0),FALSE),0),0)</f>
        <v>0</v>
      </c>
      <c r="AO839" s="57">
        <f>IFERROR(IF($V839="BRAND.com",HLOOKUP($X839&amp;$Z839,NWC_FC_NOOS!$T$4:$AH$23,MATCH(W839,NWC_FC_NOOS!$S$4:$S$23,0),FALSE),0),0)</f>
        <v>0</v>
      </c>
      <c r="AP839" s="57">
        <f>IFERROR(IF($V839="BRAND.com",HLOOKUP($X839&amp;$Z839,NWC_FC_NOOS!$C$50:$U$69,MATCH(W839,NWC_FC_NOOS!$B$50:$B$69,0),FALSE),0),0)</f>
        <v>0</v>
      </c>
      <c r="AQ839" s="58">
        <f>IFERROR(IF($V839="BRAND.com",HLOOKUP($X839&amp;$Z839,'NWC_FC_NON-NOOS'!$C$4:$Q$23,MATCH(W839,'NWC_FC_NON-NOOS'!$B$4:$B$23,0),FALSE),0),0)</f>
        <v>0</v>
      </c>
      <c r="AR839" s="57">
        <f>IFERROR(IF($V839="BRAND.com",HLOOKUP($X839&amp;$Z839,'NWC_FC_NON-NOOS'!$T$4:$AH$23,MATCH(W839,'NWC_FC_NON-NOOS'!$S$4:$S$23,0),FALSE),0),0)</f>
        <v>0</v>
      </c>
      <c r="AS839" s="57">
        <f>IFERROR(IF($V839="BRAND.com",HLOOKUP($X839&amp;$Z839,'NWC_FC_NON-NOOS'!$C$50:$U$69,MATCH(W839,'NWC_FC_NON-NOOS'!$B$50:$B$69,0),FALSE),0),0)</f>
        <v>0</v>
      </c>
      <c r="AT839" s="57">
        <f t="shared" si="342"/>
        <v>0</v>
      </c>
      <c r="AU839" s="57">
        <f t="shared" si="343"/>
        <v>0</v>
      </c>
      <c r="AV839" s="58">
        <f>IFERROR(IF($V839="BRAND.com",HLOOKUP($X839&amp;$Z839,PLANNING_FC!$BB$27:$BP$46,MATCH($W839,PLANNING_FC!$BA$27:$BA$46,0),FALSE),0),0)</f>
        <v>0</v>
      </c>
      <c r="AW839" s="58">
        <f>IFERROR(IF($V839="BRAND.com",HLOOKUP($X839&amp;$Z839,PLANNING_FC!$BB$4:$BP$23,MATCH($W839,PLANNING_FC!$BA$4:$BA$23,0),FALSE),0),0)</f>
        <v>0</v>
      </c>
      <c r="AX839" s="58">
        <f>IFERROR(IF($V839="BRAND.com",HLOOKUP($X839&amp;$Z839,PLANNING_FC!$T$27:$AH$46,MATCH($W839,PLANNING_FC!$B$27:$B$46,0),FALSE),0),0)</f>
        <v>0</v>
      </c>
      <c r="AY839" s="58">
        <f>IFERROR(IF($V839="BRAND.com",HLOOKUP($X839&amp;$Z839,PLANNING_FC!$T$4:$AH$23,MATCH($W839,PLANNING_FC!$B$4:$B$23,0),FALSE),0),0)</f>
        <v>0</v>
      </c>
      <c r="AZ839" s="58">
        <f>IFERROR(IF($V839="BRAND.com",HLOOKUP($X839&amp;$Z839,PLANNING_FC!$DA$27:$DO$46,MATCH($W839,PLANNING_FC!$CZ$27:$CZ$46,0),FALSE),0),0)</f>
        <v>0</v>
      </c>
      <c r="BA839" s="58">
        <f>IFERROR(IF($V839="BRAND.com",HLOOKUP($X839&amp;$Z839,PLANNING_FC!$DA$4:$DO$23,MATCH($W839,PLANNING_FC!$CZ$4:$CZ$23,0),FALSE),0),0)</f>
        <v>0</v>
      </c>
      <c r="BB839" s="883" t="str">
        <f>IF(V839="BRAND.com",IFERROR(HLOOKUP(X839&amp;Z839,PLANNING_FC!$AK$4:$AY$23,MATCH(W839,PLANNING_FC!$AJ$4:$AJ$23,0),FALSE)*1000,""),"")</f>
        <v/>
      </c>
      <c r="BC839" s="883" t="str">
        <f>IF(V839="BRAND.com",IFERROR(HLOOKUP(X839&amp;Z839,PLANNING_FC!$AK$27:$AY$46,MATCH(W839,PLANNING_FC!$AJ$27:$AJ$46,0),FALSE)*1000,""),"")</f>
        <v/>
      </c>
    </row>
    <row r="840" spans="14:55" x14ac:dyDescent="0.25">
      <c r="N840" s="56">
        <f t="shared" si="324"/>
        <v>0</v>
      </c>
      <c r="O840" s="57">
        <f t="shared" si="325"/>
        <v>0</v>
      </c>
      <c r="P840" s="57">
        <f ca="1">IFERROR(IF(ISBLANK(H840),SUMIFS($AC:$AC,$V:$V,V840,$W:$W,W840,$X:$X,X840,$Y:$Y,Y840)*J840/(1-J840)*VLOOKUP(_xlfn.CONCAT(C840,D840,E840,TIME!$M$12,Z840),HIS_SALES!$B$2:$W$4859,20,FALSE),AC840*J840/(1-J840)),0)</f>
        <v>0</v>
      </c>
      <c r="Q840" s="541" t="str">
        <f t="shared" si="326"/>
        <v/>
      </c>
      <c r="R840" s="346" t="str">
        <f t="shared" si="327"/>
        <v>00000</v>
      </c>
      <c r="S840" s="344">
        <f t="shared" si="328"/>
        <v>0</v>
      </c>
      <c r="T840" s="345" t="str">
        <f t="shared" si="341"/>
        <v>000</v>
      </c>
      <c r="U840" s="345">
        <f t="shared" si="329"/>
        <v>0</v>
      </c>
      <c r="V840" s="345">
        <f t="shared" si="330"/>
        <v>0</v>
      </c>
      <c r="W840" s="345">
        <f t="shared" si="331"/>
        <v>0</v>
      </c>
      <c r="X840" s="345">
        <f t="shared" si="332"/>
        <v>0</v>
      </c>
      <c r="Y840" s="345">
        <f t="shared" si="333"/>
        <v>0</v>
      </c>
      <c r="Z840" s="345">
        <f>IF(Q840&lt;&gt;"",VLOOKUP(Y840,TIME!$R$21:$V$24,MATCH(FC_DATA!Q840,TIME!$R$20:$V$20,0),FALSE),H840)</f>
        <v>0</v>
      </c>
      <c r="AA840" s="345" t="str">
        <f>IFERROR(VLOOKUP(X840&amp;Z840,TIME!$A$12:$D$71,4,FALSE),"")</f>
        <v/>
      </c>
      <c r="AB840" s="592">
        <f t="shared" ca="1" si="334"/>
        <v>0</v>
      </c>
      <c r="AC840" s="593" t="e">
        <f ca="1">IF(ISBLANK(H840)=FALSE,IF(D840="BRAND.com",I840,IF(ISNA(VLOOKUP(_xlfn.CONCAT(X840,Z840),TIME!$M$40:$M$42,1,FALSE)),I840,VLOOKUP(_xlfn.CONCAT(D840,G840,H840),M_BUSAREA_FC!$AF$5:$AJ$10,5,FALSE)*HLOOKUP(_xlfn.CONCAT(F840,H840),ST_OVERVIEW!$G$99:$I$130,MATCH(_xlfn.CONCAT(D840,E840),ST_OVERVIEW!$F$99:$F$130,0),FALSE))),IF(D840="BRAND.com",VLOOKUP(_xlfn.CONCAT(C840,D840,E840,TIME!$F$1,Z840),HIS_SALES!$B$2:$V$4859,19,FALSE)*I840,VLOOKUP(_xlfn.CONCAT(D840,F840,G840),Q_BUSAREA_FC!$AE$5:$AI$12,5,FALSE)*HLOOKUP(_xlfn.CONCAT(FC_DATA!F840,FC_DATA!G840),LT_OVERVIEW!$I$99:$M$130,MATCH(_xlfn.CONCAT(D840,FC_DATA!E840),LT_OVERVIEW!$H$99:$H$130,0),FALSE)*IFERROR(VLOOKUP(_xlfn.CONCAT(C840,D840,E840,TIME!$F$1,Z840),HIS_SALES!$B$2:$V$4859,19,FALSE),0)))</f>
        <v>#N/A</v>
      </c>
      <c r="AD840" s="341">
        <f t="shared" ca="1" si="335"/>
        <v>0</v>
      </c>
      <c r="AE840" s="363" t="str">
        <f t="shared" si="336"/>
        <v/>
      </c>
      <c r="AF840" s="342" t="str">
        <f t="shared" si="337"/>
        <v/>
      </c>
      <c r="AG840" s="411" t="e">
        <f ca="1">VLOOKUP(_xlfn.CONCAT(U840,V840,W840,VLOOKUP(X840&amp;Y840,TIME!$L$27:$O$34,4,FALSE),Y840),HIS_SALES!$A$2:$R$5093,18,FALSE)</f>
        <v>#N/A</v>
      </c>
      <c r="AH840" s="412" t="e">
        <f ca="1">IFERROR(IF(AND(V840=V839,W840=W839),0.5*(AB840+AB839)*AG840,(VLOOKUP(_xlfn.CONCAT(U840,V840,W840,X840,VLOOKUP(Z840,TIME!$S$28:$T$39,2,FALSE)),FC_DATA!$R$2:$AB$5000,MATCH("GS_I_M",FC_DATA!$R$1:$AB$1,0),FALSE)+FC_DATA!AB840)*0.5*FC_DATA!AG840),NA())</f>
        <v>#N/A</v>
      </c>
      <c r="AI840" s="491" t="e">
        <f ca="1">IF(V840="PARTNER.com",AH840,IF(AND(V840=V839,W840=W839),(1-AVERAGE(AD839,AD840))*AH840,(1-AVERAGE(AD840,VLOOKUP(_xlfn.CONCAT(U840,V840,W840,X840,M_BRAND_FC!$F$6),FC_DATA!$R$2:$AD$5000,MATCH("DISCOUNT_%_M",FC_DATA!$R$1:$AD$1,0),FALSE)))*AH840))</f>
        <v>#N/A</v>
      </c>
      <c r="AJ840" s="412" t="str">
        <f t="shared" ca="1" si="338"/>
        <v/>
      </c>
      <c r="AK840" s="413" t="str">
        <f>IFERROR(AE840/(Q_BRAND_FC!$T$24+1),"")</f>
        <v/>
      </c>
      <c r="AL840" s="88" t="str">
        <f t="shared" ca="1" si="339"/>
        <v/>
      </c>
      <c r="AM840" s="414" t="str">
        <f t="shared" ca="1" si="340"/>
        <v/>
      </c>
      <c r="AN840" s="58">
        <f>IFERROR(IF($V840="BRAND.com",HLOOKUP($X840&amp;$Z840,NWC_FC_NOOS!$C$4:$Q$23,MATCH(W840,NWC_FC_NOOS!$B$4:$B$23,0),FALSE),0),0)</f>
        <v>0</v>
      </c>
      <c r="AO840" s="57">
        <f>IFERROR(IF($V840="BRAND.com",HLOOKUP($X840&amp;$Z840,NWC_FC_NOOS!$T$4:$AH$23,MATCH(W840,NWC_FC_NOOS!$S$4:$S$23,0),FALSE),0),0)</f>
        <v>0</v>
      </c>
      <c r="AP840" s="57">
        <f>IFERROR(IF($V840="BRAND.com",HLOOKUP($X840&amp;$Z840,NWC_FC_NOOS!$C$50:$U$69,MATCH(W840,NWC_FC_NOOS!$B$50:$B$69,0),FALSE),0),0)</f>
        <v>0</v>
      </c>
      <c r="AQ840" s="58">
        <f>IFERROR(IF($V840="BRAND.com",HLOOKUP($X840&amp;$Z840,'NWC_FC_NON-NOOS'!$C$4:$Q$23,MATCH(W840,'NWC_FC_NON-NOOS'!$B$4:$B$23,0),FALSE),0),0)</f>
        <v>0</v>
      </c>
      <c r="AR840" s="57">
        <f>IFERROR(IF($V840="BRAND.com",HLOOKUP($X840&amp;$Z840,'NWC_FC_NON-NOOS'!$T$4:$AH$23,MATCH(W840,'NWC_FC_NON-NOOS'!$S$4:$S$23,0),FALSE),0),0)</f>
        <v>0</v>
      </c>
      <c r="AS840" s="57">
        <f>IFERROR(IF($V840="BRAND.com",HLOOKUP($X840&amp;$Z840,'NWC_FC_NON-NOOS'!$C$50:$U$69,MATCH(W840,'NWC_FC_NON-NOOS'!$B$50:$B$69,0),FALSE),0),0)</f>
        <v>0</v>
      </c>
      <c r="AT840" s="57">
        <f t="shared" si="342"/>
        <v>0</v>
      </c>
      <c r="AU840" s="57">
        <f t="shared" si="343"/>
        <v>0</v>
      </c>
      <c r="AV840" s="58">
        <f>IFERROR(IF($V840="BRAND.com",HLOOKUP($X840&amp;$Z840,PLANNING_FC!$BB$27:$BP$46,MATCH($W840,PLANNING_FC!$BA$27:$BA$46,0),FALSE),0),0)</f>
        <v>0</v>
      </c>
      <c r="AW840" s="58">
        <f>IFERROR(IF($V840="BRAND.com",HLOOKUP($X840&amp;$Z840,PLANNING_FC!$BB$4:$BP$23,MATCH($W840,PLANNING_FC!$BA$4:$BA$23,0),FALSE),0),0)</f>
        <v>0</v>
      </c>
      <c r="AX840" s="58">
        <f>IFERROR(IF($V840="BRAND.com",HLOOKUP($X840&amp;$Z840,PLANNING_FC!$T$27:$AH$46,MATCH($W840,PLANNING_FC!$B$27:$B$46,0),FALSE),0),0)</f>
        <v>0</v>
      </c>
      <c r="AY840" s="58">
        <f>IFERROR(IF($V840="BRAND.com",HLOOKUP($X840&amp;$Z840,PLANNING_FC!$T$4:$AH$23,MATCH($W840,PLANNING_FC!$B$4:$B$23,0),FALSE),0),0)</f>
        <v>0</v>
      </c>
      <c r="AZ840" s="58">
        <f>IFERROR(IF($V840="BRAND.com",HLOOKUP($X840&amp;$Z840,PLANNING_FC!$DA$27:$DO$46,MATCH($W840,PLANNING_FC!$CZ$27:$CZ$46,0),FALSE),0),0)</f>
        <v>0</v>
      </c>
      <c r="BA840" s="58">
        <f>IFERROR(IF($V840="BRAND.com",HLOOKUP($X840&amp;$Z840,PLANNING_FC!$DA$4:$DO$23,MATCH($W840,PLANNING_FC!$CZ$4:$CZ$23,0),FALSE),0),0)</f>
        <v>0</v>
      </c>
      <c r="BB840" s="883" t="str">
        <f>IF(V840="BRAND.com",IFERROR(HLOOKUP(X840&amp;Z840,PLANNING_FC!$AK$4:$AY$23,MATCH(W840,PLANNING_FC!$AJ$4:$AJ$23,0),FALSE)*1000,""),"")</f>
        <v/>
      </c>
      <c r="BC840" s="883" t="str">
        <f>IF(V840="BRAND.com",IFERROR(HLOOKUP(X840&amp;Z840,PLANNING_FC!$AK$27:$AY$46,MATCH(W840,PLANNING_FC!$AJ$27:$AJ$46,0),FALSE)*1000,""),"")</f>
        <v/>
      </c>
    </row>
    <row r="841" spans="14:55" x14ac:dyDescent="0.25">
      <c r="N841" s="56">
        <f t="shared" si="324"/>
        <v>0</v>
      </c>
      <c r="O841" s="57">
        <f t="shared" si="325"/>
        <v>0</v>
      </c>
      <c r="P841" s="57">
        <f ca="1">IFERROR(IF(ISBLANK(H841),SUMIFS($AC:$AC,$V:$V,V841,$W:$W,W841,$X:$X,X841,$Y:$Y,Y841)*J841/(1-J841)*VLOOKUP(_xlfn.CONCAT(C841,D841,E841,TIME!$M$12,Z841),HIS_SALES!$B$2:$W$4859,20,FALSE),AC841*J841/(1-J841)),0)</f>
        <v>0</v>
      </c>
      <c r="Q841" s="541" t="str">
        <f t="shared" si="326"/>
        <v/>
      </c>
      <c r="R841" s="346" t="str">
        <f t="shared" si="327"/>
        <v>00000</v>
      </c>
      <c r="S841" s="344">
        <f t="shared" si="328"/>
        <v>0</v>
      </c>
      <c r="T841" s="345" t="str">
        <f t="shared" si="341"/>
        <v>000</v>
      </c>
      <c r="U841" s="345">
        <f t="shared" si="329"/>
        <v>0</v>
      </c>
      <c r="V841" s="345">
        <f t="shared" si="330"/>
        <v>0</v>
      </c>
      <c r="W841" s="345">
        <f t="shared" si="331"/>
        <v>0</v>
      </c>
      <c r="X841" s="345">
        <f t="shared" si="332"/>
        <v>0</v>
      </c>
      <c r="Y841" s="345">
        <f t="shared" si="333"/>
        <v>0</v>
      </c>
      <c r="Z841" s="345">
        <f>IF(Q841&lt;&gt;"",VLOOKUP(Y841,TIME!$R$21:$V$24,MATCH(FC_DATA!Q841,TIME!$R$20:$V$20,0),FALSE),H841)</f>
        <v>0</v>
      </c>
      <c r="AA841" s="345" t="str">
        <f>IFERROR(VLOOKUP(X841&amp;Z841,TIME!$A$12:$D$71,4,FALSE),"")</f>
        <v/>
      </c>
      <c r="AB841" s="592">
        <f t="shared" ca="1" si="334"/>
        <v>0</v>
      </c>
      <c r="AC841" s="593" t="e">
        <f ca="1">IF(ISBLANK(H841)=FALSE,IF(D841="BRAND.com",I841,IF(ISNA(VLOOKUP(_xlfn.CONCAT(X841,Z841),TIME!$M$40:$M$42,1,FALSE)),I841,VLOOKUP(_xlfn.CONCAT(D841,G841,H841),M_BUSAREA_FC!$AF$5:$AJ$10,5,FALSE)*HLOOKUP(_xlfn.CONCAT(F841,H841),ST_OVERVIEW!$G$99:$I$130,MATCH(_xlfn.CONCAT(D841,E841),ST_OVERVIEW!$F$99:$F$130,0),FALSE))),IF(D841="BRAND.com",VLOOKUP(_xlfn.CONCAT(C841,D841,E841,TIME!$F$1,Z841),HIS_SALES!$B$2:$V$4859,19,FALSE)*I841,VLOOKUP(_xlfn.CONCAT(D841,F841,G841),Q_BUSAREA_FC!$AE$5:$AI$12,5,FALSE)*HLOOKUP(_xlfn.CONCAT(FC_DATA!F841,FC_DATA!G841),LT_OVERVIEW!$I$99:$M$130,MATCH(_xlfn.CONCAT(D841,FC_DATA!E841),LT_OVERVIEW!$H$99:$H$130,0),FALSE)*IFERROR(VLOOKUP(_xlfn.CONCAT(C841,D841,E841,TIME!$F$1,Z841),HIS_SALES!$B$2:$V$4859,19,FALSE),0)))</f>
        <v>#N/A</v>
      </c>
      <c r="AD841" s="341">
        <f t="shared" ca="1" si="335"/>
        <v>0</v>
      </c>
      <c r="AE841" s="363" t="str">
        <f t="shared" si="336"/>
        <v/>
      </c>
      <c r="AF841" s="342" t="str">
        <f t="shared" si="337"/>
        <v/>
      </c>
      <c r="AG841" s="411" t="e">
        <f ca="1">VLOOKUP(_xlfn.CONCAT(U841,V841,W841,VLOOKUP(X841&amp;Y841,TIME!$L$27:$O$34,4,FALSE),Y841),HIS_SALES!$A$2:$R$5093,18,FALSE)</f>
        <v>#N/A</v>
      </c>
      <c r="AH841" s="412" t="e">
        <f ca="1">IFERROR(IF(AND(V841=V840,W841=W840),0.5*(AB841+AB840)*AG841,(VLOOKUP(_xlfn.CONCAT(U841,V841,W841,X841,VLOOKUP(Z841,TIME!$S$28:$T$39,2,FALSE)),FC_DATA!$R$2:$AB$5000,MATCH("GS_I_M",FC_DATA!$R$1:$AB$1,0),FALSE)+FC_DATA!AB841)*0.5*FC_DATA!AG841),NA())</f>
        <v>#N/A</v>
      </c>
      <c r="AI841" s="491" t="e">
        <f ca="1">IF(V841="PARTNER.com",AH841,IF(AND(V841=V840,W841=W840),(1-AVERAGE(AD840,AD841))*AH841,(1-AVERAGE(AD841,VLOOKUP(_xlfn.CONCAT(U841,V841,W841,X841,M_BRAND_FC!$F$6),FC_DATA!$R$2:$AD$5000,MATCH("DISCOUNT_%_M",FC_DATA!$R$1:$AD$1,0),FALSE)))*AH841))</f>
        <v>#N/A</v>
      </c>
      <c r="AJ841" s="412" t="str">
        <f t="shared" ca="1" si="338"/>
        <v/>
      </c>
      <c r="AK841" s="413" t="str">
        <f>IFERROR(AE841/(Q_BRAND_FC!$T$24+1),"")</f>
        <v/>
      </c>
      <c r="AL841" s="88" t="str">
        <f t="shared" ca="1" si="339"/>
        <v/>
      </c>
      <c r="AM841" s="414" t="str">
        <f t="shared" ca="1" si="340"/>
        <v/>
      </c>
      <c r="AN841" s="58">
        <f>IFERROR(IF($V841="BRAND.com",HLOOKUP($X841&amp;$Z841,NWC_FC_NOOS!$C$4:$Q$23,MATCH(W841,NWC_FC_NOOS!$B$4:$B$23,0),FALSE),0),0)</f>
        <v>0</v>
      </c>
      <c r="AO841" s="57">
        <f>IFERROR(IF($V841="BRAND.com",HLOOKUP($X841&amp;$Z841,NWC_FC_NOOS!$T$4:$AH$23,MATCH(W841,NWC_FC_NOOS!$S$4:$S$23,0),FALSE),0),0)</f>
        <v>0</v>
      </c>
      <c r="AP841" s="57">
        <f>IFERROR(IF($V841="BRAND.com",HLOOKUP($X841&amp;$Z841,NWC_FC_NOOS!$C$50:$U$69,MATCH(W841,NWC_FC_NOOS!$B$50:$B$69,0),FALSE),0),0)</f>
        <v>0</v>
      </c>
      <c r="AQ841" s="58">
        <f>IFERROR(IF($V841="BRAND.com",HLOOKUP($X841&amp;$Z841,'NWC_FC_NON-NOOS'!$C$4:$Q$23,MATCH(W841,'NWC_FC_NON-NOOS'!$B$4:$B$23,0),FALSE),0),0)</f>
        <v>0</v>
      </c>
      <c r="AR841" s="57">
        <f>IFERROR(IF($V841="BRAND.com",HLOOKUP($X841&amp;$Z841,'NWC_FC_NON-NOOS'!$T$4:$AH$23,MATCH(W841,'NWC_FC_NON-NOOS'!$S$4:$S$23,0),FALSE),0),0)</f>
        <v>0</v>
      </c>
      <c r="AS841" s="57">
        <f>IFERROR(IF($V841="BRAND.com",HLOOKUP($X841&amp;$Z841,'NWC_FC_NON-NOOS'!$C$50:$U$69,MATCH(W841,'NWC_FC_NON-NOOS'!$B$50:$B$69,0),FALSE),0),0)</f>
        <v>0</v>
      </c>
      <c r="AT841" s="57">
        <f t="shared" si="342"/>
        <v>0</v>
      </c>
      <c r="AU841" s="57">
        <f t="shared" si="343"/>
        <v>0</v>
      </c>
      <c r="AV841" s="58">
        <f>IFERROR(IF($V841="BRAND.com",HLOOKUP($X841&amp;$Z841,PLANNING_FC!$BB$27:$BP$46,MATCH($W841,PLANNING_FC!$BA$27:$BA$46,0),FALSE),0),0)</f>
        <v>0</v>
      </c>
      <c r="AW841" s="58">
        <f>IFERROR(IF($V841="BRAND.com",HLOOKUP($X841&amp;$Z841,PLANNING_FC!$BB$4:$BP$23,MATCH($W841,PLANNING_FC!$BA$4:$BA$23,0),FALSE),0),0)</f>
        <v>0</v>
      </c>
      <c r="AX841" s="58">
        <f>IFERROR(IF($V841="BRAND.com",HLOOKUP($X841&amp;$Z841,PLANNING_FC!$T$27:$AH$46,MATCH($W841,PLANNING_FC!$B$27:$B$46,0),FALSE),0),0)</f>
        <v>0</v>
      </c>
      <c r="AY841" s="58">
        <f>IFERROR(IF($V841="BRAND.com",HLOOKUP($X841&amp;$Z841,PLANNING_FC!$T$4:$AH$23,MATCH($W841,PLANNING_FC!$B$4:$B$23,0),FALSE),0),0)</f>
        <v>0</v>
      </c>
      <c r="AZ841" s="58">
        <f>IFERROR(IF($V841="BRAND.com",HLOOKUP($X841&amp;$Z841,PLANNING_FC!$DA$27:$DO$46,MATCH($W841,PLANNING_FC!$CZ$27:$CZ$46,0),FALSE),0),0)</f>
        <v>0</v>
      </c>
      <c r="BA841" s="58">
        <f>IFERROR(IF($V841="BRAND.com",HLOOKUP($X841&amp;$Z841,PLANNING_FC!$DA$4:$DO$23,MATCH($W841,PLANNING_FC!$CZ$4:$CZ$23,0),FALSE),0),0)</f>
        <v>0</v>
      </c>
      <c r="BB841" s="883" t="str">
        <f>IF(V841="BRAND.com",IFERROR(HLOOKUP(X841&amp;Z841,PLANNING_FC!$AK$4:$AY$23,MATCH(W841,PLANNING_FC!$AJ$4:$AJ$23,0),FALSE)*1000,""),"")</f>
        <v/>
      </c>
      <c r="BC841" s="883" t="str">
        <f>IF(V841="BRAND.com",IFERROR(HLOOKUP(X841&amp;Z841,PLANNING_FC!$AK$27:$AY$46,MATCH(W841,PLANNING_FC!$AJ$27:$AJ$46,0),FALSE)*1000,""),"")</f>
        <v/>
      </c>
    </row>
    <row r="842" spans="14:55" x14ac:dyDescent="0.25">
      <c r="N842" s="56">
        <f t="shared" si="324"/>
        <v>0</v>
      </c>
      <c r="O842" s="57">
        <f t="shared" si="325"/>
        <v>0</v>
      </c>
      <c r="P842" s="57">
        <f ca="1">IFERROR(IF(ISBLANK(H842),SUMIFS($AC:$AC,$V:$V,V842,$W:$W,W842,$X:$X,X842,$Y:$Y,Y842)*J842/(1-J842)*VLOOKUP(_xlfn.CONCAT(C842,D842,E842,TIME!$M$12,Z842),HIS_SALES!$B$2:$W$4859,20,FALSE),AC842*J842/(1-J842)),0)</f>
        <v>0</v>
      </c>
      <c r="Q842" s="541" t="str">
        <f t="shared" si="326"/>
        <v/>
      </c>
      <c r="R842" s="346" t="str">
        <f t="shared" si="327"/>
        <v>00000</v>
      </c>
      <c r="S842" s="344">
        <f t="shared" si="328"/>
        <v>0</v>
      </c>
      <c r="T842" s="345" t="str">
        <f t="shared" si="341"/>
        <v>000</v>
      </c>
      <c r="U842" s="345">
        <f t="shared" si="329"/>
        <v>0</v>
      </c>
      <c r="V842" s="345">
        <f t="shared" si="330"/>
        <v>0</v>
      </c>
      <c r="W842" s="345">
        <f t="shared" si="331"/>
        <v>0</v>
      </c>
      <c r="X842" s="345">
        <f t="shared" si="332"/>
        <v>0</v>
      </c>
      <c r="Y842" s="345">
        <f t="shared" si="333"/>
        <v>0</v>
      </c>
      <c r="Z842" s="345">
        <f>IF(Q842&lt;&gt;"",VLOOKUP(Y842,TIME!$R$21:$V$24,MATCH(FC_DATA!Q842,TIME!$R$20:$V$20,0),FALSE),H842)</f>
        <v>0</v>
      </c>
      <c r="AA842" s="345" t="str">
        <f>IFERROR(VLOOKUP(X842&amp;Z842,TIME!$A$12:$D$71,4,FALSE),"")</f>
        <v/>
      </c>
      <c r="AB842" s="592">
        <f t="shared" ca="1" si="334"/>
        <v>0</v>
      </c>
      <c r="AC842" s="593" t="e">
        <f ca="1">IF(ISBLANK(H842)=FALSE,IF(D842="BRAND.com",I842,IF(ISNA(VLOOKUP(_xlfn.CONCAT(X842,Z842),TIME!$M$40:$M$42,1,FALSE)),I842,VLOOKUP(_xlfn.CONCAT(D842,G842,H842),M_BUSAREA_FC!$AF$5:$AJ$10,5,FALSE)*HLOOKUP(_xlfn.CONCAT(F842,H842),ST_OVERVIEW!$G$99:$I$130,MATCH(_xlfn.CONCAT(D842,E842),ST_OVERVIEW!$F$99:$F$130,0),FALSE))),IF(D842="BRAND.com",VLOOKUP(_xlfn.CONCAT(C842,D842,E842,TIME!$F$1,Z842),HIS_SALES!$B$2:$V$4859,19,FALSE)*I842,VLOOKUP(_xlfn.CONCAT(D842,F842,G842),Q_BUSAREA_FC!$AE$5:$AI$12,5,FALSE)*HLOOKUP(_xlfn.CONCAT(FC_DATA!F842,FC_DATA!G842),LT_OVERVIEW!$I$99:$M$130,MATCH(_xlfn.CONCAT(D842,FC_DATA!E842),LT_OVERVIEW!$H$99:$H$130,0),FALSE)*IFERROR(VLOOKUP(_xlfn.CONCAT(C842,D842,E842,TIME!$F$1,Z842),HIS_SALES!$B$2:$V$4859,19,FALSE),0)))</f>
        <v>#N/A</v>
      </c>
      <c r="AD842" s="341">
        <f t="shared" ca="1" si="335"/>
        <v>0</v>
      </c>
      <c r="AE842" s="363" t="str">
        <f t="shared" si="336"/>
        <v/>
      </c>
      <c r="AF842" s="342" t="str">
        <f t="shared" si="337"/>
        <v/>
      </c>
      <c r="AG842" s="411" t="e">
        <f ca="1">VLOOKUP(_xlfn.CONCAT(U842,V842,W842,VLOOKUP(X842&amp;Y842,TIME!$L$27:$O$34,4,FALSE),Y842),HIS_SALES!$A$2:$R$5093,18,FALSE)</f>
        <v>#N/A</v>
      </c>
      <c r="AH842" s="412" t="e">
        <f ca="1">IFERROR(IF(AND(V842=V841,W842=W841),0.5*(AB842+AB841)*AG842,(VLOOKUP(_xlfn.CONCAT(U842,V842,W842,X842,VLOOKUP(Z842,TIME!$S$28:$T$39,2,FALSE)),FC_DATA!$R$2:$AB$5000,MATCH("GS_I_M",FC_DATA!$R$1:$AB$1,0),FALSE)+FC_DATA!AB842)*0.5*FC_DATA!AG842),NA())</f>
        <v>#N/A</v>
      </c>
      <c r="AI842" s="491" t="e">
        <f ca="1">IF(V842="PARTNER.com",AH842,IF(AND(V842=V841,W842=W841),(1-AVERAGE(AD841,AD842))*AH842,(1-AVERAGE(AD842,VLOOKUP(_xlfn.CONCAT(U842,V842,W842,X842,M_BRAND_FC!$F$6),FC_DATA!$R$2:$AD$5000,MATCH("DISCOUNT_%_M",FC_DATA!$R$1:$AD$1,0),FALSE)))*AH842))</f>
        <v>#N/A</v>
      </c>
      <c r="AJ842" s="412" t="str">
        <f t="shared" ca="1" si="338"/>
        <v/>
      </c>
      <c r="AK842" s="413" t="str">
        <f>IFERROR(AE842/(Q_BRAND_FC!$T$24+1),"")</f>
        <v/>
      </c>
      <c r="AL842" s="88" t="str">
        <f t="shared" ca="1" si="339"/>
        <v/>
      </c>
      <c r="AM842" s="414" t="str">
        <f t="shared" ca="1" si="340"/>
        <v/>
      </c>
      <c r="AN842" s="58">
        <f>IFERROR(IF($V842="BRAND.com",HLOOKUP($X842&amp;$Z842,NWC_FC_NOOS!$C$4:$Q$23,MATCH(W842,NWC_FC_NOOS!$B$4:$B$23,0),FALSE),0),0)</f>
        <v>0</v>
      </c>
      <c r="AO842" s="57">
        <f>IFERROR(IF($V842="BRAND.com",HLOOKUP($X842&amp;$Z842,NWC_FC_NOOS!$T$4:$AH$23,MATCH(W842,NWC_FC_NOOS!$S$4:$S$23,0),FALSE),0),0)</f>
        <v>0</v>
      </c>
      <c r="AP842" s="57">
        <f>IFERROR(IF($V842="BRAND.com",HLOOKUP($X842&amp;$Z842,NWC_FC_NOOS!$C$50:$U$69,MATCH(W842,NWC_FC_NOOS!$B$50:$B$69,0),FALSE),0),0)</f>
        <v>0</v>
      </c>
      <c r="AQ842" s="58">
        <f>IFERROR(IF($V842="BRAND.com",HLOOKUP($X842&amp;$Z842,'NWC_FC_NON-NOOS'!$C$4:$Q$23,MATCH(W842,'NWC_FC_NON-NOOS'!$B$4:$B$23,0),FALSE),0),0)</f>
        <v>0</v>
      </c>
      <c r="AR842" s="57">
        <f>IFERROR(IF($V842="BRAND.com",HLOOKUP($X842&amp;$Z842,'NWC_FC_NON-NOOS'!$T$4:$AH$23,MATCH(W842,'NWC_FC_NON-NOOS'!$S$4:$S$23,0),FALSE),0),0)</f>
        <v>0</v>
      </c>
      <c r="AS842" s="57">
        <f>IFERROR(IF($V842="BRAND.com",HLOOKUP($X842&amp;$Z842,'NWC_FC_NON-NOOS'!$C$50:$U$69,MATCH(W842,'NWC_FC_NON-NOOS'!$B$50:$B$69,0),FALSE),0),0)</f>
        <v>0</v>
      </c>
      <c r="AT842" s="57">
        <f t="shared" si="342"/>
        <v>0</v>
      </c>
      <c r="AU842" s="57">
        <f t="shared" si="343"/>
        <v>0</v>
      </c>
      <c r="AV842" s="58">
        <f>IFERROR(IF($V842="BRAND.com",HLOOKUP($X842&amp;$Z842,PLANNING_FC!$BB$27:$BP$46,MATCH($W842,PLANNING_FC!$BA$27:$BA$46,0),FALSE),0),0)</f>
        <v>0</v>
      </c>
      <c r="AW842" s="58">
        <f>IFERROR(IF($V842="BRAND.com",HLOOKUP($X842&amp;$Z842,PLANNING_FC!$BB$4:$BP$23,MATCH($W842,PLANNING_FC!$BA$4:$BA$23,0),FALSE),0),0)</f>
        <v>0</v>
      </c>
      <c r="AX842" s="58">
        <f>IFERROR(IF($V842="BRAND.com",HLOOKUP($X842&amp;$Z842,PLANNING_FC!$T$27:$AH$46,MATCH($W842,PLANNING_FC!$B$27:$B$46,0),FALSE),0),0)</f>
        <v>0</v>
      </c>
      <c r="AY842" s="58">
        <f>IFERROR(IF($V842="BRAND.com",HLOOKUP($X842&amp;$Z842,PLANNING_FC!$T$4:$AH$23,MATCH($W842,PLANNING_FC!$B$4:$B$23,0),FALSE),0),0)</f>
        <v>0</v>
      </c>
      <c r="AZ842" s="58">
        <f>IFERROR(IF($V842="BRAND.com",HLOOKUP($X842&amp;$Z842,PLANNING_FC!$DA$27:$DO$46,MATCH($W842,PLANNING_FC!$CZ$27:$CZ$46,0),FALSE),0),0)</f>
        <v>0</v>
      </c>
      <c r="BA842" s="58">
        <f>IFERROR(IF($V842="BRAND.com",HLOOKUP($X842&amp;$Z842,PLANNING_FC!$DA$4:$DO$23,MATCH($W842,PLANNING_FC!$CZ$4:$CZ$23,0),FALSE),0),0)</f>
        <v>0</v>
      </c>
      <c r="BB842" s="883" t="str">
        <f>IF(V842="BRAND.com",IFERROR(HLOOKUP(X842&amp;Z842,PLANNING_FC!$AK$4:$AY$23,MATCH(W842,PLANNING_FC!$AJ$4:$AJ$23,0),FALSE)*1000,""),"")</f>
        <v/>
      </c>
      <c r="BC842" s="883" t="str">
        <f>IF(V842="BRAND.com",IFERROR(HLOOKUP(X842&amp;Z842,PLANNING_FC!$AK$27:$AY$46,MATCH(W842,PLANNING_FC!$AJ$27:$AJ$46,0),FALSE)*1000,""),"")</f>
        <v/>
      </c>
    </row>
    <row r="843" spans="14:55" x14ac:dyDescent="0.25">
      <c r="N843" s="56">
        <f t="shared" si="324"/>
        <v>0</v>
      </c>
      <c r="O843" s="57">
        <f t="shared" si="325"/>
        <v>0</v>
      </c>
      <c r="P843" s="57">
        <f ca="1">IFERROR(IF(ISBLANK(H843),SUMIFS($AC:$AC,$V:$V,V843,$W:$W,W843,$X:$X,X843,$Y:$Y,Y843)*J843/(1-J843)*VLOOKUP(_xlfn.CONCAT(C843,D843,E843,TIME!$M$12,Z843),HIS_SALES!$B$2:$W$4859,20,FALSE),AC843*J843/(1-J843)),0)</f>
        <v>0</v>
      </c>
      <c r="Q843" s="541" t="str">
        <f t="shared" si="326"/>
        <v/>
      </c>
      <c r="R843" s="346" t="str">
        <f t="shared" si="327"/>
        <v>00000</v>
      </c>
      <c r="S843" s="344">
        <f t="shared" si="328"/>
        <v>0</v>
      </c>
      <c r="T843" s="345" t="str">
        <f t="shared" si="341"/>
        <v>000</v>
      </c>
      <c r="U843" s="345">
        <f t="shared" si="329"/>
        <v>0</v>
      </c>
      <c r="V843" s="345">
        <f t="shared" si="330"/>
        <v>0</v>
      </c>
      <c r="W843" s="345">
        <f t="shared" si="331"/>
        <v>0</v>
      </c>
      <c r="X843" s="345">
        <f t="shared" si="332"/>
        <v>0</v>
      </c>
      <c r="Y843" s="345">
        <f t="shared" si="333"/>
        <v>0</v>
      </c>
      <c r="Z843" s="345">
        <f>IF(Q843&lt;&gt;"",VLOOKUP(Y843,TIME!$R$21:$V$24,MATCH(FC_DATA!Q843,TIME!$R$20:$V$20,0),FALSE),H843)</f>
        <v>0</v>
      </c>
      <c r="AA843" s="345" t="str">
        <f>IFERROR(VLOOKUP(X843&amp;Z843,TIME!$A$12:$D$71,4,FALSE),"")</f>
        <v/>
      </c>
      <c r="AB843" s="592">
        <f t="shared" ca="1" si="334"/>
        <v>0</v>
      </c>
      <c r="AC843" s="593" t="e">
        <f ca="1">IF(ISBLANK(H843)=FALSE,IF(D843="BRAND.com",I843,IF(ISNA(VLOOKUP(_xlfn.CONCAT(X843,Z843),TIME!$M$40:$M$42,1,FALSE)),I843,VLOOKUP(_xlfn.CONCAT(D843,G843,H843),M_BUSAREA_FC!$AF$5:$AJ$10,5,FALSE)*HLOOKUP(_xlfn.CONCAT(F843,H843),ST_OVERVIEW!$G$99:$I$130,MATCH(_xlfn.CONCAT(D843,E843),ST_OVERVIEW!$F$99:$F$130,0),FALSE))),IF(D843="BRAND.com",VLOOKUP(_xlfn.CONCAT(C843,D843,E843,TIME!$F$1,Z843),HIS_SALES!$B$2:$V$4859,19,FALSE)*I843,VLOOKUP(_xlfn.CONCAT(D843,F843,G843),Q_BUSAREA_FC!$AE$5:$AI$12,5,FALSE)*HLOOKUP(_xlfn.CONCAT(FC_DATA!F843,FC_DATA!G843),LT_OVERVIEW!$I$99:$M$130,MATCH(_xlfn.CONCAT(D843,FC_DATA!E843),LT_OVERVIEW!$H$99:$H$130,0),FALSE)*IFERROR(VLOOKUP(_xlfn.CONCAT(C843,D843,E843,TIME!$F$1,Z843),HIS_SALES!$B$2:$V$4859,19,FALSE),0)))</f>
        <v>#N/A</v>
      </c>
      <c r="AD843" s="341">
        <f t="shared" ca="1" si="335"/>
        <v>0</v>
      </c>
      <c r="AE843" s="363" t="str">
        <f t="shared" si="336"/>
        <v/>
      </c>
      <c r="AF843" s="342" t="str">
        <f t="shared" si="337"/>
        <v/>
      </c>
      <c r="AG843" s="411" t="e">
        <f ca="1">VLOOKUP(_xlfn.CONCAT(U843,V843,W843,VLOOKUP(X843&amp;Y843,TIME!$L$27:$O$34,4,FALSE),Y843),HIS_SALES!$A$2:$R$5093,18,FALSE)</f>
        <v>#N/A</v>
      </c>
      <c r="AH843" s="412" t="e">
        <f ca="1">IFERROR(IF(AND(V843=V842,W843=W842),0.5*(AB843+AB842)*AG843,(VLOOKUP(_xlfn.CONCAT(U843,V843,W843,X843,VLOOKUP(Z843,TIME!$S$28:$T$39,2,FALSE)),FC_DATA!$R$2:$AB$5000,MATCH("GS_I_M",FC_DATA!$R$1:$AB$1,0),FALSE)+FC_DATA!AB843)*0.5*FC_DATA!AG843),NA())</f>
        <v>#N/A</v>
      </c>
      <c r="AI843" s="491" t="e">
        <f ca="1">IF(V843="PARTNER.com",AH843,IF(AND(V843=V842,W843=W842),(1-AVERAGE(AD842,AD843))*AH843,(1-AVERAGE(AD843,VLOOKUP(_xlfn.CONCAT(U843,V843,W843,X843,M_BRAND_FC!$F$6),FC_DATA!$R$2:$AD$5000,MATCH("DISCOUNT_%_M",FC_DATA!$R$1:$AD$1,0),FALSE)))*AH843))</f>
        <v>#N/A</v>
      </c>
      <c r="AJ843" s="412" t="str">
        <f t="shared" ca="1" si="338"/>
        <v/>
      </c>
      <c r="AK843" s="413" t="str">
        <f>IFERROR(AE843/(Q_BRAND_FC!$T$24+1),"")</f>
        <v/>
      </c>
      <c r="AL843" s="88" t="str">
        <f t="shared" ca="1" si="339"/>
        <v/>
      </c>
      <c r="AM843" s="414" t="str">
        <f t="shared" ca="1" si="340"/>
        <v/>
      </c>
      <c r="AN843" s="58">
        <f>IFERROR(IF($V843="BRAND.com",HLOOKUP($X843&amp;$Z843,NWC_FC_NOOS!$C$4:$Q$23,MATCH(W843,NWC_FC_NOOS!$B$4:$B$23,0),FALSE),0),0)</f>
        <v>0</v>
      </c>
      <c r="AO843" s="57">
        <f>IFERROR(IF($V843="BRAND.com",HLOOKUP($X843&amp;$Z843,NWC_FC_NOOS!$T$4:$AH$23,MATCH(W843,NWC_FC_NOOS!$S$4:$S$23,0),FALSE),0),0)</f>
        <v>0</v>
      </c>
      <c r="AP843" s="57">
        <f>IFERROR(IF($V843="BRAND.com",HLOOKUP($X843&amp;$Z843,NWC_FC_NOOS!$C$50:$U$69,MATCH(W843,NWC_FC_NOOS!$B$50:$B$69,0),FALSE),0),0)</f>
        <v>0</v>
      </c>
      <c r="AQ843" s="58">
        <f>IFERROR(IF($V843="BRAND.com",HLOOKUP($X843&amp;$Z843,'NWC_FC_NON-NOOS'!$C$4:$Q$23,MATCH(W843,'NWC_FC_NON-NOOS'!$B$4:$B$23,0),FALSE),0),0)</f>
        <v>0</v>
      </c>
      <c r="AR843" s="57">
        <f>IFERROR(IF($V843="BRAND.com",HLOOKUP($X843&amp;$Z843,'NWC_FC_NON-NOOS'!$T$4:$AH$23,MATCH(W843,'NWC_FC_NON-NOOS'!$S$4:$S$23,0),FALSE),0),0)</f>
        <v>0</v>
      </c>
      <c r="AS843" s="57">
        <f>IFERROR(IF($V843="BRAND.com",HLOOKUP($X843&amp;$Z843,'NWC_FC_NON-NOOS'!$C$50:$U$69,MATCH(W843,'NWC_FC_NON-NOOS'!$B$50:$B$69,0),FALSE),0),0)</f>
        <v>0</v>
      </c>
      <c r="AT843" s="57">
        <f t="shared" si="342"/>
        <v>0</v>
      </c>
      <c r="AU843" s="57">
        <f t="shared" si="343"/>
        <v>0</v>
      </c>
      <c r="AV843" s="58">
        <f>IFERROR(IF($V843="BRAND.com",HLOOKUP($X843&amp;$Z843,PLANNING_FC!$BB$27:$BP$46,MATCH($W843,PLANNING_FC!$BA$27:$BA$46,0),FALSE),0),0)</f>
        <v>0</v>
      </c>
      <c r="AW843" s="58">
        <f>IFERROR(IF($V843="BRAND.com",HLOOKUP($X843&amp;$Z843,PLANNING_FC!$BB$4:$BP$23,MATCH($W843,PLANNING_FC!$BA$4:$BA$23,0),FALSE),0),0)</f>
        <v>0</v>
      </c>
      <c r="AX843" s="58">
        <f>IFERROR(IF($V843="BRAND.com",HLOOKUP($X843&amp;$Z843,PLANNING_FC!$T$27:$AH$46,MATCH($W843,PLANNING_FC!$B$27:$B$46,0),FALSE),0),0)</f>
        <v>0</v>
      </c>
      <c r="AY843" s="58">
        <f>IFERROR(IF($V843="BRAND.com",HLOOKUP($X843&amp;$Z843,PLANNING_FC!$T$4:$AH$23,MATCH($W843,PLANNING_FC!$B$4:$B$23,0),FALSE),0),0)</f>
        <v>0</v>
      </c>
      <c r="AZ843" s="58">
        <f>IFERROR(IF($V843="BRAND.com",HLOOKUP($X843&amp;$Z843,PLANNING_FC!$DA$27:$DO$46,MATCH($W843,PLANNING_FC!$CZ$27:$CZ$46,0),FALSE),0),0)</f>
        <v>0</v>
      </c>
      <c r="BA843" s="58">
        <f>IFERROR(IF($V843="BRAND.com",HLOOKUP($X843&amp;$Z843,PLANNING_FC!$DA$4:$DO$23,MATCH($W843,PLANNING_FC!$CZ$4:$CZ$23,0),FALSE),0),0)</f>
        <v>0</v>
      </c>
      <c r="BB843" s="883" t="str">
        <f>IF(V843="BRAND.com",IFERROR(HLOOKUP(X843&amp;Z843,PLANNING_FC!$AK$4:$AY$23,MATCH(W843,PLANNING_FC!$AJ$4:$AJ$23,0),FALSE)*1000,""),"")</f>
        <v/>
      </c>
      <c r="BC843" s="883" t="str">
        <f>IF(V843="BRAND.com",IFERROR(HLOOKUP(X843&amp;Z843,PLANNING_FC!$AK$27:$AY$46,MATCH(W843,PLANNING_FC!$AJ$27:$AJ$46,0),FALSE)*1000,""),"")</f>
        <v/>
      </c>
    </row>
    <row r="844" spans="14:55" x14ac:dyDescent="0.25">
      <c r="N844" s="56">
        <f t="shared" si="324"/>
        <v>0</v>
      </c>
      <c r="O844" s="57">
        <f t="shared" si="325"/>
        <v>0</v>
      </c>
      <c r="P844" s="57">
        <f ca="1">IFERROR(IF(ISBLANK(H844),SUMIFS($AC:$AC,$V:$V,V844,$W:$W,W844,$X:$X,X844,$Y:$Y,Y844)*J844/(1-J844)*VLOOKUP(_xlfn.CONCAT(C844,D844,E844,TIME!$M$12,Z844),HIS_SALES!$B$2:$W$4859,20,FALSE),AC844*J844/(1-J844)),0)</f>
        <v>0</v>
      </c>
      <c r="Q844" s="541" t="str">
        <f t="shared" si="326"/>
        <v/>
      </c>
      <c r="R844" s="346" t="str">
        <f t="shared" si="327"/>
        <v>00000</v>
      </c>
      <c r="S844" s="344">
        <f t="shared" si="328"/>
        <v>0</v>
      </c>
      <c r="T844" s="345" t="str">
        <f t="shared" si="341"/>
        <v>000</v>
      </c>
      <c r="U844" s="345">
        <f t="shared" si="329"/>
        <v>0</v>
      </c>
      <c r="V844" s="345">
        <f t="shared" si="330"/>
        <v>0</v>
      </c>
      <c r="W844" s="345">
        <f t="shared" si="331"/>
        <v>0</v>
      </c>
      <c r="X844" s="345">
        <f t="shared" si="332"/>
        <v>0</v>
      </c>
      <c r="Y844" s="345">
        <f t="shared" si="333"/>
        <v>0</v>
      </c>
      <c r="Z844" s="345">
        <f>IF(Q844&lt;&gt;"",VLOOKUP(Y844,TIME!$R$21:$V$24,MATCH(FC_DATA!Q844,TIME!$R$20:$V$20,0),FALSE),H844)</f>
        <v>0</v>
      </c>
      <c r="AA844" s="345" t="str">
        <f>IFERROR(VLOOKUP(X844&amp;Z844,TIME!$A$12:$D$71,4,FALSE),"")</f>
        <v/>
      </c>
      <c r="AB844" s="592">
        <f t="shared" ca="1" si="334"/>
        <v>0</v>
      </c>
      <c r="AC844" s="593" t="e">
        <f ca="1">IF(ISBLANK(H844)=FALSE,IF(D844="BRAND.com",I844,IF(ISNA(VLOOKUP(_xlfn.CONCAT(X844,Z844),TIME!$M$40:$M$42,1,FALSE)),I844,VLOOKUP(_xlfn.CONCAT(D844,G844,H844),M_BUSAREA_FC!$AF$5:$AJ$10,5,FALSE)*HLOOKUP(_xlfn.CONCAT(F844,H844),ST_OVERVIEW!$G$99:$I$130,MATCH(_xlfn.CONCAT(D844,E844),ST_OVERVIEW!$F$99:$F$130,0),FALSE))),IF(D844="BRAND.com",VLOOKUP(_xlfn.CONCAT(C844,D844,E844,TIME!$F$1,Z844),HIS_SALES!$B$2:$V$4859,19,FALSE)*I844,VLOOKUP(_xlfn.CONCAT(D844,F844,G844),Q_BUSAREA_FC!$AE$5:$AI$12,5,FALSE)*HLOOKUP(_xlfn.CONCAT(FC_DATA!F844,FC_DATA!G844),LT_OVERVIEW!$I$99:$M$130,MATCH(_xlfn.CONCAT(D844,FC_DATA!E844),LT_OVERVIEW!$H$99:$H$130,0),FALSE)*IFERROR(VLOOKUP(_xlfn.CONCAT(C844,D844,E844,TIME!$F$1,Z844),HIS_SALES!$B$2:$V$4859,19,FALSE),0)))</f>
        <v>#N/A</v>
      </c>
      <c r="AD844" s="341">
        <f t="shared" ca="1" si="335"/>
        <v>0</v>
      </c>
      <c r="AE844" s="363" t="str">
        <f t="shared" si="336"/>
        <v/>
      </c>
      <c r="AF844" s="342" t="str">
        <f t="shared" si="337"/>
        <v/>
      </c>
      <c r="AG844" s="411" t="e">
        <f ca="1">VLOOKUP(_xlfn.CONCAT(U844,V844,W844,VLOOKUP(X844&amp;Y844,TIME!$L$27:$O$34,4,FALSE),Y844),HIS_SALES!$A$2:$R$5093,18,FALSE)</f>
        <v>#N/A</v>
      </c>
      <c r="AH844" s="412" t="e">
        <f ca="1">IFERROR(IF(AND(V844=V843,W844=W843),0.5*(AB844+AB843)*AG844,(VLOOKUP(_xlfn.CONCAT(U844,V844,W844,X844,VLOOKUP(Z844,TIME!$S$28:$T$39,2,FALSE)),FC_DATA!$R$2:$AB$5000,MATCH("GS_I_M",FC_DATA!$R$1:$AB$1,0),FALSE)+FC_DATA!AB844)*0.5*FC_DATA!AG844),NA())</f>
        <v>#N/A</v>
      </c>
      <c r="AI844" s="491" t="e">
        <f ca="1">IF(V844="PARTNER.com",AH844,IF(AND(V844=V843,W844=W843),(1-AVERAGE(AD843,AD844))*AH844,(1-AVERAGE(AD844,VLOOKUP(_xlfn.CONCAT(U844,V844,W844,X844,M_BRAND_FC!$F$6),FC_DATA!$R$2:$AD$5000,MATCH("DISCOUNT_%_M",FC_DATA!$R$1:$AD$1,0),FALSE)))*AH844))</f>
        <v>#N/A</v>
      </c>
      <c r="AJ844" s="412" t="str">
        <f t="shared" ca="1" si="338"/>
        <v/>
      </c>
      <c r="AK844" s="413" t="str">
        <f>IFERROR(AE844/(Q_BRAND_FC!$T$24+1),"")</f>
        <v/>
      </c>
      <c r="AL844" s="88" t="str">
        <f t="shared" ca="1" si="339"/>
        <v/>
      </c>
      <c r="AM844" s="414" t="str">
        <f t="shared" ca="1" si="340"/>
        <v/>
      </c>
      <c r="AN844" s="58">
        <f>IFERROR(IF($V844="BRAND.com",HLOOKUP($X844&amp;$Z844,NWC_FC_NOOS!$C$4:$Q$23,MATCH(W844,NWC_FC_NOOS!$B$4:$B$23,0),FALSE),0),0)</f>
        <v>0</v>
      </c>
      <c r="AO844" s="57">
        <f>IFERROR(IF($V844="BRAND.com",HLOOKUP($X844&amp;$Z844,NWC_FC_NOOS!$T$4:$AH$23,MATCH(W844,NWC_FC_NOOS!$S$4:$S$23,0),FALSE),0),0)</f>
        <v>0</v>
      </c>
      <c r="AP844" s="57">
        <f>IFERROR(IF($V844="BRAND.com",HLOOKUP($X844&amp;$Z844,NWC_FC_NOOS!$C$50:$U$69,MATCH(W844,NWC_FC_NOOS!$B$50:$B$69,0),FALSE),0),0)</f>
        <v>0</v>
      </c>
      <c r="AQ844" s="58">
        <f>IFERROR(IF($V844="BRAND.com",HLOOKUP($X844&amp;$Z844,'NWC_FC_NON-NOOS'!$C$4:$Q$23,MATCH(W844,'NWC_FC_NON-NOOS'!$B$4:$B$23,0),FALSE),0),0)</f>
        <v>0</v>
      </c>
      <c r="AR844" s="57">
        <f>IFERROR(IF($V844="BRAND.com",HLOOKUP($X844&amp;$Z844,'NWC_FC_NON-NOOS'!$T$4:$AH$23,MATCH(W844,'NWC_FC_NON-NOOS'!$S$4:$S$23,0),FALSE),0),0)</f>
        <v>0</v>
      </c>
      <c r="AS844" s="57">
        <f>IFERROR(IF($V844="BRAND.com",HLOOKUP($X844&amp;$Z844,'NWC_FC_NON-NOOS'!$C$50:$U$69,MATCH(W844,'NWC_FC_NON-NOOS'!$B$50:$B$69,0),FALSE),0),0)</f>
        <v>0</v>
      </c>
      <c r="AT844" s="57">
        <f t="shared" si="342"/>
        <v>0</v>
      </c>
      <c r="AU844" s="57">
        <f t="shared" si="343"/>
        <v>0</v>
      </c>
      <c r="AV844" s="58">
        <f>IFERROR(IF($V844="BRAND.com",HLOOKUP($X844&amp;$Z844,PLANNING_FC!$BB$27:$BP$46,MATCH($W844,PLANNING_FC!$BA$27:$BA$46,0),FALSE),0),0)</f>
        <v>0</v>
      </c>
      <c r="AW844" s="58">
        <f>IFERROR(IF($V844="BRAND.com",HLOOKUP($X844&amp;$Z844,PLANNING_FC!$BB$4:$BP$23,MATCH($W844,PLANNING_FC!$BA$4:$BA$23,0),FALSE),0),0)</f>
        <v>0</v>
      </c>
      <c r="AX844" s="58">
        <f>IFERROR(IF($V844="BRAND.com",HLOOKUP($X844&amp;$Z844,PLANNING_FC!$T$27:$AH$46,MATCH($W844,PLANNING_FC!$B$27:$B$46,0),FALSE),0),0)</f>
        <v>0</v>
      </c>
      <c r="AY844" s="58">
        <f>IFERROR(IF($V844="BRAND.com",HLOOKUP($X844&amp;$Z844,PLANNING_FC!$T$4:$AH$23,MATCH($W844,PLANNING_FC!$B$4:$B$23,0),FALSE),0),0)</f>
        <v>0</v>
      </c>
      <c r="AZ844" s="58">
        <f>IFERROR(IF($V844="BRAND.com",HLOOKUP($X844&amp;$Z844,PLANNING_FC!$DA$27:$DO$46,MATCH($W844,PLANNING_FC!$CZ$27:$CZ$46,0),FALSE),0),0)</f>
        <v>0</v>
      </c>
      <c r="BA844" s="58">
        <f>IFERROR(IF($V844="BRAND.com",HLOOKUP($X844&amp;$Z844,PLANNING_FC!$DA$4:$DO$23,MATCH($W844,PLANNING_FC!$CZ$4:$CZ$23,0),FALSE),0),0)</f>
        <v>0</v>
      </c>
      <c r="BB844" s="883" t="str">
        <f>IF(V844="BRAND.com",IFERROR(HLOOKUP(X844&amp;Z844,PLANNING_FC!$AK$4:$AY$23,MATCH(W844,PLANNING_FC!$AJ$4:$AJ$23,0),FALSE)*1000,""),"")</f>
        <v/>
      </c>
      <c r="BC844" s="883" t="str">
        <f>IF(V844="BRAND.com",IFERROR(HLOOKUP(X844&amp;Z844,PLANNING_FC!$AK$27:$AY$46,MATCH(W844,PLANNING_FC!$AJ$27:$AJ$46,0),FALSE)*1000,""),"")</f>
        <v/>
      </c>
    </row>
    <row r="845" spans="14:55" x14ac:dyDescent="0.25">
      <c r="N845" s="56">
        <f t="shared" si="324"/>
        <v>0</v>
      </c>
      <c r="O845" s="57">
        <f t="shared" si="325"/>
        <v>0</v>
      </c>
      <c r="P845" s="57">
        <f ca="1">IFERROR(IF(ISBLANK(H845),SUMIFS($AC:$AC,$V:$V,V845,$W:$W,W845,$X:$X,X845,$Y:$Y,Y845)*J845/(1-J845)*VLOOKUP(_xlfn.CONCAT(C845,D845,E845,TIME!$M$12,Z845),HIS_SALES!$B$2:$W$4859,20,FALSE),AC845*J845/(1-J845)),0)</f>
        <v>0</v>
      </c>
      <c r="Q845" s="541" t="str">
        <f t="shared" si="326"/>
        <v/>
      </c>
      <c r="R845" s="346" t="str">
        <f t="shared" si="327"/>
        <v>00000</v>
      </c>
      <c r="S845" s="344">
        <f t="shared" si="328"/>
        <v>0</v>
      </c>
      <c r="T845" s="345" t="str">
        <f t="shared" si="341"/>
        <v>000</v>
      </c>
      <c r="U845" s="345">
        <f t="shared" si="329"/>
        <v>0</v>
      </c>
      <c r="V845" s="345">
        <f t="shared" si="330"/>
        <v>0</v>
      </c>
      <c r="W845" s="345">
        <f t="shared" si="331"/>
        <v>0</v>
      </c>
      <c r="X845" s="345">
        <f t="shared" si="332"/>
        <v>0</v>
      </c>
      <c r="Y845" s="345">
        <f t="shared" si="333"/>
        <v>0</v>
      </c>
      <c r="Z845" s="345">
        <f>IF(Q845&lt;&gt;"",VLOOKUP(Y845,TIME!$R$21:$V$24,MATCH(FC_DATA!Q845,TIME!$R$20:$V$20,0),FALSE),H845)</f>
        <v>0</v>
      </c>
      <c r="AA845" s="345" t="str">
        <f>IFERROR(VLOOKUP(X845&amp;Z845,TIME!$A$12:$D$71,4,FALSE),"")</f>
        <v/>
      </c>
      <c r="AB845" s="592">
        <f t="shared" ca="1" si="334"/>
        <v>0</v>
      </c>
      <c r="AC845" s="593" t="e">
        <f ca="1">IF(ISBLANK(H845)=FALSE,IF(D845="BRAND.com",I845,IF(ISNA(VLOOKUP(_xlfn.CONCAT(X845,Z845),TIME!$M$40:$M$42,1,FALSE)),I845,VLOOKUP(_xlfn.CONCAT(D845,G845,H845),M_BUSAREA_FC!$AF$5:$AJ$10,5,FALSE)*HLOOKUP(_xlfn.CONCAT(F845,H845),ST_OVERVIEW!$G$99:$I$130,MATCH(_xlfn.CONCAT(D845,E845),ST_OVERVIEW!$F$99:$F$130,0),FALSE))),IF(D845="BRAND.com",VLOOKUP(_xlfn.CONCAT(C845,D845,E845,TIME!$F$1,Z845),HIS_SALES!$B$2:$V$4859,19,FALSE)*I845,VLOOKUP(_xlfn.CONCAT(D845,F845,G845),Q_BUSAREA_FC!$AE$5:$AI$12,5,FALSE)*HLOOKUP(_xlfn.CONCAT(FC_DATA!F845,FC_DATA!G845),LT_OVERVIEW!$I$99:$M$130,MATCH(_xlfn.CONCAT(D845,FC_DATA!E845),LT_OVERVIEW!$H$99:$H$130,0),FALSE)*IFERROR(VLOOKUP(_xlfn.CONCAT(C845,D845,E845,TIME!$F$1,Z845),HIS_SALES!$B$2:$V$4859,19,FALSE),0)))</f>
        <v>#N/A</v>
      </c>
      <c r="AD845" s="341">
        <f t="shared" ca="1" si="335"/>
        <v>0</v>
      </c>
      <c r="AE845" s="363" t="str">
        <f t="shared" si="336"/>
        <v/>
      </c>
      <c r="AF845" s="342" t="str">
        <f t="shared" si="337"/>
        <v/>
      </c>
      <c r="AG845" s="411" t="e">
        <f ca="1">VLOOKUP(_xlfn.CONCAT(U845,V845,W845,VLOOKUP(X845&amp;Y845,TIME!$L$27:$O$34,4,FALSE),Y845),HIS_SALES!$A$2:$R$5093,18,FALSE)</f>
        <v>#N/A</v>
      </c>
      <c r="AH845" s="412" t="e">
        <f ca="1">IFERROR(IF(AND(V845=V844,W845=W844),0.5*(AB845+AB844)*AG845,(VLOOKUP(_xlfn.CONCAT(U845,V845,W845,X845,VLOOKUP(Z845,TIME!$S$28:$T$39,2,FALSE)),FC_DATA!$R$2:$AB$5000,MATCH("GS_I_M",FC_DATA!$R$1:$AB$1,0),FALSE)+FC_DATA!AB845)*0.5*FC_DATA!AG845),NA())</f>
        <v>#N/A</v>
      </c>
      <c r="AI845" s="491" t="e">
        <f ca="1">IF(V845="PARTNER.com",AH845,IF(AND(V845=V844,W845=W844),(1-AVERAGE(AD844,AD845))*AH845,(1-AVERAGE(AD845,VLOOKUP(_xlfn.CONCAT(U845,V845,W845,X845,M_BRAND_FC!$F$6),FC_DATA!$R$2:$AD$5000,MATCH("DISCOUNT_%_M",FC_DATA!$R$1:$AD$1,0),FALSE)))*AH845))</f>
        <v>#N/A</v>
      </c>
      <c r="AJ845" s="412" t="str">
        <f t="shared" ca="1" si="338"/>
        <v/>
      </c>
      <c r="AK845" s="413" t="str">
        <f>IFERROR(AE845/(Q_BRAND_FC!$T$24+1),"")</f>
        <v/>
      </c>
      <c r="AL845" s="88" t="str">
        <f t="shared" ca="1" si="339"/>
        <v/>
      </c>
      <c r="AM845" s="414" t="str">
        <f t="shared" ca="1" si="340"/>
        <v/>
      </c>
      <c r="AN845" s="58">
        <f>IFERROR(IF($V845="BRAND.com",HLOOKUP($X845&amp;$Z845,NWC_FC_NOOS!$C$4:$Q$23,MATCH(W845,NWC_FC_NOOS!$B$4:$B$23,0),FALSE),0),0)</f>
        <v>0</v>
      </c>
      <c r="AO845" s="57">
        <f>IFERROR(IF($V845="BRAND.com",HLOOKUP($X845&amp;$Z845,NWC_FC_NOOS!$T$4:$AH$23,MATCH(W845,NWC_FC_NOOS!$S$4:$S$23,0),FALSE),0),0)</f>
        <v>0</v>
      </c>
      <c r="AP845" s="57">
        <f>IFERROR(IF($V845="BRAND.com",HLOOKUP($X845&amp;$Z845,NWC_FC_NOOS!$C$50:$U$69,MATCH(W845,NWC_FC_NOOS!$B$50:$B$69,0),FALSE),0),0)</f>
        <v>0</v>
      </c>
      <c r="AQ845" s="58">
        <f>IFERROR(IF($V845="BRAND.com",HLOOKUP($X845&amp;$Z845,'NWC_FC_NON-NOOS'!$C$4:$Q$23,MATCH(W845,'NWC_FC_NON-NOOS'!$B$4:$B$23,0),FALSE),0),0)</f>
        <v>0</v>
      </c>
      <c r="AR845" s="57">
        <f>IFERROR(IF($V845="BRAND.com",HLOOKUP($X845&amp;$Z845,'NWC_FC_NON-NOOS'!$T$4:$AH$23,MATCH(W845,'NWC_FC_NON-NOOS'!$S$4:$S$23,0),FALSE),0),0)</f>
        <v>0</v>
      </c>
      <c r="AS845" s="57">
        <f>IFERROR(IF($V845="BRAND.com",HLOOKUP($X845&amp;$Z845,'NWC_FC_NON-NOOS'!$C$50:$U$69,MATCH(W845,'NWC_FC_NON-NOOS'!$B$50:$B$69,0),FALSE),0),0)</f>
        <v>0</v>
      </c>
      <c r="AT845" s="57">
        <f t="shared" si="342"/>
        <v>0</v>
      </c>
      <c r="AU845" s="57">
        <f t="shared" si="343"/>
        <v>0</v>
      </c>
      <c r="AV845" s="58">
        <f>IFERROR(IF($V845="BRAND.com",HLOOKUP($X845&amp;$Z845,PLANNING_FC!$BB$27:$BP$46,MATCH($W845,PLANNING_FC!$BA$27:$BA$46,0),FALSE),0),0)</f>
        <v>0</v>
      </c>
      <c r="AW845" s="58">
        <f>IFERROR(IF($V845="BRAND.com",HLOOKUP($X845&amp;$Z845,PLANNING_FC!$BB$4:$BP$23,MATCH($W845,PLANNING_FC!$BA$4:$BA$23,0),FALSE),0),0)</f>
        <v>0</v>
      </c>
      <c r="AX845" s="58">
        <f>IFERROR(IF($V845="BRAND.com",HLOOKUP($X845&amp;$Z845,PLANNING_FC!$T$27:$AH$46,MATCH($W845,PLANNING_FC!$B$27:$B$46,0),FALSE),0),0)</f>
        <v>0</v>
      </c>
      <c r="AY845" s="58">
        <f>IFERROR(IF($V845="BRAND.com",HLOOKUP($X845&amp;$Z845,PLANNING_FC!$T$4:$AH$23,MATCH($W845,PLANNING_FC!$B$4:$B$23,0),FALSE),0),0)</f>
        <v>0</v>
      </c>
      <c r="AZ845" s="58">
        <f>IFERROR(IF($V845="BRAND.com",HLOOKUP($X845&amp;$Z845,PLANNING_FC!$DA$27:$DO$46,MATCH($W845,PLANNING_FC!$CZ$27:$CZ$46,0),FALSE),0),0)</f>
        <v>0</v>
      </c>
      <c r="BA845" s="58">
        <f>IFERROR(IF($V845="BRAND.com",HLOOKUP($X845&amp;$Z845,PLANNING_FC!$DA$4:$DO$23,MATCH($W845,PLANNING_FC!$CZ$4:$CZ$23,0),FALSE),0),0)</f>
        <v>0</v>
      </c>
      <c r="BB845" s="883" t="str">
        <f>IF(V845="BRAND.com",IFERROR(HLOOKUP(X845&amp;Z845,PLANNING_FC!$AK$4:$AY$23,MATCH(W845,PLANNING_FC!$AJ$4:$AJ$23,0),FALSE)*1000,""),"")</f>
        <v/>
      </c>
      <c r="BC845" s="883" t="str">
        <f>IF(V845="BRAND.com",IFERROR(HLOOKUP(X845&amp;Z845,PLANNING_FC!$AK$27:$AY$46,MATCH(W845,PLANNING_FC!$AJ$27:$AJ$46,0),FALSE)*1000,""),"")</f>
        <v/>
      </c>
    </row>
    <row r="846" spans="14:55" x14ac:dyDescent="0.25">
      <c r="N846" s="56">
        <f t="shared" si="324"/>
        <v>0</v>
      </c>
      <c r="O846" s="57">
        <f t="shared" si="325"/>
        <v>0</v>
      </c>
      <c r="P846" s="57">
        <f ca="1">IFERROR(IF(ISBLANK(H846),SUMIFS($AC:$AC,$V:$V,V846,$W:$W,W846,$X:$X,X846,$Y:$Y,Y846)*J846/(1-J846)*VLOOKUP(_xlfn.CONCAT(C846,D846,E846,TIME!$M$12,Z846),HIS_SALES!$B$2:$W$4859,20,FALSE),AC846*J846/(1-J846)),0)</f>
        <v>0</v>
      </c>
      <c r="Q846" s="541" t="str">
        <f t="shared" si="326"/>
        <v/>
      </c>
      <c r="R846" s="346" t="str">
        <f t="shared" si="327"/>
        <v>00000</v>
      </c>
      <c r="S846" s="344">
        <f t="shared" si="328"/>
        <v>0</v>
      </c>
      <c r="T846" s="345" t="str">
        <f t="shared" si="341"/>
        <v>000</v>
      </c>
      <c r="U846" s="345">
        <f t="shared" si="329"/>
        <v>0</v>
      </c>
      <c r="V846" s="345">
        <f t="shared" si="330"/>
        <v>0</v>
      </c>
      <c r="W846" s="345">
        <f t="shared" si="331"/>
        <v>0</v>
      </c>
      <c r="X846" s="345">
        <f t="shared" si="332"/>
        <v>0</v>
      </c>
      <c r="Y846" s="345">
        <f t="shared" si="333"/>
        <v>0</v>
      </c>
      <c r="Z846" s="345">
        <f>IF(Q846&lt;&gt;"",VLOOKUP(Y846,TIME!$R$21:$V$24,MATCH(FC_DATA!Q846,TIME!$R$20:$V$20,0),FALSE),H846)</f>
        <v>0</v>
      </c>
      <c r="AA846" s="345" t="str">
        <f>IFERROR(VLOOKUP(X846&amp;Z846,TIME!$A$12:$D$71,4,FALSE),"")</f>
        <v/>
      </c>
      <c r="AB846" s="592">
        <f t="shared" ca="1" si="334"/>
        <v>0</v>
      </c>
      <c r="AC846" s="593" t="e">
        <f ca="1">IF(ISBLANK(H846)=FALSE,IF(D846="BRAND.com",I846,IF(ISNA(VLOOKUP(_xlfn.CONCAT(X846,Z846),TIME!$M$40:$M$42,1,FALSE)),I846,VLOOKUP(_xlfn.CONCAT(D846,G846,H846),M_BUSAREA_FC!$AF$5:$AJ$10,5,FALSE)*HLOOKUP(_xlfn.CONCAT(F846,H846),ST_OVERVIEW!$G$99:$I$130,MATCH(_xlfn.CONCAT(D846,E846),ST_OVERVIEW!$F$99:$F$130,0),FALSE))),IF(D846="BRAND.com",VLOOKUP(_xlfn.CONCAT(C846,D846,E846,TIME!$F$1,Z846),HIS_SALES!$B$2:$V$4859,19,FALSE)*I846,VLOOKUP(_xlfn.CONCAT(D846,F846,G846),Q_BUSAREA_FC!$AE$5:$AI$12,5,FALSE)*HLOOKUP(_xlfn.CONCAT(FC_DATA!F846,FC_DATA!G846),LT_OVERVIEW!$I$99:$M$130,MATCH(_xlfn.CONCAT(D846,FC_DATA!E846),LT_OVERVIEW!$H$99:$H$130,0),FALSE)*IFERROR(VLOOKUP(_xlfn.CONCAT(C846,D846,E846,TIME!$F$1,Z846),HIS_SALES!$B$2:$V$4859,19,FALSE),0)))</f>
        <v>#N/A</v>
      </c>
      <c r="AD846" s="341">
        <f t="shared" ca="1" si="335"/>
        <v>0</v>
      </c>
      <c r="AE846" s="363" t="str">
        <f t="shared" si="336"/>
        <v/>
      </c>
      <c r="AF846" s="342" t="str">
        <f t="shared" si="337"/>
        <v/>
      </c>
      <c r="AG846" s="411" t="e">
        <f ca="1">VLOOKUP(_xlfn.CONCAT(U846,V846,W846,VLOOKUP(X846&amp;Y846,TIME!$L$27:$O$34,4,FALSE),Y846),HIS_SALES!$A$2:$R$5093,18,FALSE)</f>
        <v>#N/A</v>
      </c>
      <c r="AH846" s="412" t="e">
        <f ca="1">IFERROR(IF(AND(V846=V845,W846=W845),0.5*(AB846+AB845)*AG846,(VLOOKUP(_xlfn.CONCAT(U846,V846,W846,X846,VLOOKUP(Z846,TIME!$S$28:$T$39,2,FALSE)),FC_DATA!$R$2:$AB$5000,MATCH("GS_I_M",FC_DATA!$R$1:$AB$1,0),FALSE)+FC_DATA!AB846)*0.5*FC_DATA!AG846),NA())</f>
        <v>#N/A</v>
      </c>
      <c r="AI846" s="491" t="e">
        <f ca="1">IF(V846="PARTNER.com",AH846,IF(AND(V846=V845,W846=W845),(1-AVERAGE(AD845,AD846))*AH846,(1-AVERAGE(AD846,VLOOKUP(_xlfn.CONCAT(U846,V846,W846,X846,M_BRAND_FC!$F$6),FC_DATA!$R$2:$AD$5000,MATCH("DISCOUNT_%_M",FC_DATA!$R$1:$AD$1,0),FALSE)))*AH846))</f>
        <v>#N/A</v>
      </c>
      <c r="AJ846" s="412" t="str">
        <f t="shared" ca="1" si="338"/>
        <v/>
      </c>
      <c r="AK846" s="413" t="str">
        <f>IFERROR(AE846/(Q_BRAND_FC!$T$24+1),"")</f>
        <v/>
      </c>
      <c r="AL846" s="88" t="str">
        <f t="shared" ca="1" si="339"/>
        <v/>
      </c>
      <c r="AM846" s="414" t="str">
        <f t="shared" ca="1" si="340"/>
        <v/>
      </c>
      <c r="AN846" s="58">
        <f>IFERROR(IF($V846="BRAND.com",HLOOKUP($X846&amp;$Z846,NWC_FC_NOOS!$C$4:$Q$23,MATCH(W846,NWC_FC_NOOS!$B$4:$B$23,0),FALSE),0),0)</f>
        <v>0</v>
      </c>
      <c r="AO846" s="57">
        <f>IFERROR(IF($V846="BRAND.com",HLOOKUP($X846&amp;$Z846,NWC_FC_NOOS!$T$4:$AH$23,MATCH(W846,NWC_FC_NOOS!$S$4:$S$23,0),FALSE),0),0)</f>
        <v>0</v>
      </c>
      <c r="AP846" s="57">
        <f>IFERROR(IF($V846="BRAND.com",HLOOKUP($X846&amp;$Z846,NWC_FC_NOOS!$C$50:$U$69,MATCH(W846,NWC_FC_NOOS!$B$50:$B$69,0),FALSE),0),0)</f>
        <v>0</v>
      </c>
      <c r="AQ846" s="58">
        <f>IFERROR(IF($V846="BRAND.com",HLOOKUP($X846&amp;$Z846,'NWC_FC_NON-NOOS'!$C$4:$Q$23,MATCH(W846,'NWC_FC_NON-NOOS'!$B$4:$B$23,0),FALSE),0),0)</f>
        <v>0</v>
      </c>
      <c r="AR846" s="57">
        <f>IFERROR(IF($V846="BRAND.com",HLOOKUP($X846&amp;$Z846,'NWC_FC_NON-NOOS'!$T$4:$AH$23,MATCH(W846,'NWC_FC_NON-NOOS'!$S$4:$S$23,0),FALSE),0),0)</f>
        <v>0</v>
      </c>
      <c r="AS846" s="57">
        <f>IFERROR(IF($V846="BRAND.com",HLOOKUP($X846&amp;$Z846,'NWC_FC_NON-NOOS'!$C$50:$U$69,MATCH(W846,'NWC_FC_NON-NOOS'!$B$50:$B$69,0),FALSE),0),0)</f>
        <v>0</v>
      </c>
      <c r="AT846" s="57">
        <f t="shared" si="342"/>
        <v>0</v>
      </c>
      <c r="AU846" s="57">
        <f t="shared" si="343"/>
        <v>0</v>
      </c>
      <c r="AV846" s="58">
        <f>IFERROR(IF($V846="BRAND.com",HLOOKUP($X846&amp;$Z846,PLANNING_FC!$BB$27:$BP$46,MATCH($W846,PLANNING_FC!$BA$27:$BA$46,0),FALSE),0),0)</f>
        <v>0</v>
      </c>
      <c r="AW846" s="58">
        <f>IFERROR(IF($V846="BRAND.com",HLOOKUP($X846&amp;$Z846,PLANNING_FC!$BB$4:$BP$23,MATCH($W846,PLANNING_FC!$BA$4:$BA$23,0),FALSE),0),0)</f>
        <v>0</v>
      </c>
      <c r="AX846" s="58">
        <f>IFERROR(IF($V846="BRAND.com",HLOOKUP($X846&amp;$Z846,PLANNING_FC!$T$27:$AH$46,MATCH($W846,PLANNING_FC!$B$27:$B$46,0),FALSE),0),0)</f>
        <v>0</v>
      </c>
      <c r="AY846" s="58">
        <f>IFERROR(IF($V846="BRAND.com",HLOOKUP($X846&amp;$Z846,PLANNING_FC!$T$4:$AH$23,MATCH($W846,PLANNING_FC!$B$4:$B$23,0),FALSE),0),0)</f>
        <v>0</v>
      </c>
      <c r="AZ846" s="58">
        <f>IFERROR(IF($V846="BRAND.com",HLOOKUP($X846&amp;$Z846,PLANNING_FC!$DA$27:$DO$46,MATCH($W846,PLANNING_FC!$CZ$27:$CZ$46,0),FALSE),0),0)</f>
        <v>0</v>
      </c>
      <c r="BA846" s="58">
        <f>IFERROR(IF($V846="BRAND.com",HLOOKUP($X846&amp;$Z846,PLANNING_FC!$DA$4:$DO$23,MATCH($W846,PLANNING_FC!$CZ$4:$CZ$23,0),FALSE),0),0)</f>
        <v>0</v>
      </c>
      <c r="BB846" s="883" t="str">
        <f>IF(V846="BRAND.com",IFERROR(HLOOKUP(X846&amp;Z846,PLANNING_FC!$AK$4:$AY$23,MATCH(W846,PLANNING_FC!$AJ$4:$AJ$23,0),FALSE)*1000,""),"")</f>
        <v/>
      </c>
      <c r="BC846" s="883" t="str">
        <f>IF(V846="BRAND.com",IFERROR(HLOOKUP(X846&amp;Z846,PLANNING_FC!$AK$27:$AY$46,MATCH(W846,PLANNING_FC!$AJ$27:$AJ$46,0),FALSE)*1000,""),"")</f>
        <v/>
      </c>
    </row>
    <row r="847" spans="14:55" x14ac:dyDescent="0.25">
      <c r="N847" s="56">
        <f t="shared" si="324"/>
        <v>0</v>
      </c>
      <c r="O847" s="57">
        <f t="shared" si="325"/>
        <v>0</v>
      </c>
      <c r="P847" s="57">
        <f ca="1">IFERROR(IF(ISBLANK(H847),SUMIFS($AC:$AC,$V:$V,V847,$W:$W,W847,$X:$X,X847,$Y:$Y,Y847)*J847/(1-J847)*VLOOKUP(_xlfn.CONCAT(C847,D847,E847,TIME!$M$12,Z847),HIS_SALES!$B$2:$W$4859,20,FALSE),AC847*J847/(1-J847)),0)</f>
        <v>0</v>
      </c>
      <c r="Q847" s="541" t="str">
        <f t="shared" si="326"/>
        <v/>
      </c>
      <c r="R847" s="346" t="str">
        <f t="shared" si="327"/>
        <v>00000</v>
      </c>
      <c r="S847" s="344">
        <f t="shared" si="328"/>
        <v>0</v>
      </c>
      <c r="T847" s="345" t="str">
        <f t="shared" si="341"/>
        <v>000</v>
      </c>
      <c r="U847" s="345">
        <f t="shared" si="329"/>
        <v>0</v>
      </c>
      <c r="V847" s="345">
        <f t="shared" si="330"/>
        <v>0</v>
      </c>
      <c r="W847" s="345">
        <f t="shared" si="331"/>
        <v>0</v>
      </c>
      <c r="X847" s="345">
        <f t="shared" si="332"/>
        <v>0</v>
      </c>
      <c r="Y847" s="345">
        <f t="shared" si="333"/>
        <v>0</v>
      </c>
      <c r="Z847" s="345">
        <f>IF(Q847&lt;&gt;"",VLOOKUP(Y847,TIME!$R$21:$V$24,MATCH(FC_DATA!Q847,TIME!$R$20:$V$20,0),FALSE),H847)</f>
        <v>0</v>
      </c>
      <c r="AA847" s="345" t="str">
        <f>IFERROR(VLOOKUP(X847&amp;Z847,TIME!$A$12:$D$71,4,FALSE),"")</f>
        <v/>
      </c>
      <c r="AB847" s="592">
        <f t="shared" ca="1" si="334"/>
        <v>0</v>
      </c>
      <c r="AC847" s="593" t="e">
        <f ca="1">IF(ISBLANK(H847)=FALSE,IF(D847="BRAND.com",I847,IF(ISNA(VLOOKUP(_xlfn.CONCAT(X847,Z847),TIME!$M$40:$M$42,1,FALSE)),I847,VLOOKUP(_xlfn.CONCAT(D847,G847,H847),M_BUSAREA_FC!$AF$5:$AJ$10,5,FALSE)*HLOOKUP(_xlfn.CONCAT(F847,H847),ST_OVERVIEW!$G$99:$I$130,MATCH(_xlfn.CONCAT(D847,E847),ST_OVERVIEW!$F$99:$F$130,0),FALSE))),IF(D847="BRAND.com",VLOOKUP(_xlfn.CONCAT(C847,D847,E847,TIME!$F$1,Z847),HIS_SALES!$B$2:$V$4859,19,FALSE)*I847,VLOOKUP(_xlfn.CONCAT(D847,F847,G847),Q_BUSAREA_FC!$AE$5:$AI$12,5,FALSE)*HLOOKUP(_xlfn.CONCAT(FC_DATA!F847,FC_DATA!G847),LT_OVERVIEW!$I$99:$M$130,MATCH(_xlfn.CONCAT(D847,FC_DATA!E847),LT_OVERVIEW!$H$99:$H$130,0),FALSE)*IFERROR(VLOOKUP(_xlfn.CONCAT(C847,D847,E847,TIME!$F$1,Z847),HIS_SALES!$B$2:$V$4859,19,FALSE),0)))</f>
        <v>#N/A</v>
      </c>
      <c r="AD847" s="341">
        <f t="shared" ca="1" si="335"/>
        <v>0</v>
      </c>
      <c r="AE847" s="363" t="str">
        <f t="shared" si="336"/>
        <v/>
      </c>
      <c r="AF847" s="342" t="str">
        <f t="shared" si="337"/>
        <v/>
      </c>
      <c r="AG847" s="411" t="e">
        <f ca="1">VLOOKUP(_xlfn.CONCAT(U847,V847,W847,VLOOKUP(X847&amp;Y847,TIME!$L$27:$O$34,4,FALSE),Y847),HIS_SALES!$A$2:$R$5093,18,FALSE)</f>
        <v>#N/A</v>
      </c>
      <c r="AH847" s="412" t="e">
        <f ca="1">IFERROR(IF(AND(V847=V846,W847=W846),0.5*(AB847+AB846)*AG847,(VLOOKUP(_xlfn.CONCAT(U847,V847,W847,X847,VLOOKUP(Z847,TIME!$S$28:$T$39,2,FALSE)),FC_DATA!$R$2:$AB$5000,MATCH("GS_I_M",FC_DATA!$R$1:$AB$1,0),FALSE)+FC_DATA!AB847)*0.5*FC_DATA!AG847),NA())</f>
        <v>#N/A</v>
      </c>
      <c r="AI847" s="491" t="e">
        <f ca="1">IF(V847="PARTNER.com",AH847,IF(AND(V847=V846,W847=W846),(1-AVERAGE(AD846,AD847))*AH847,(1-AVERAGE(AD847,VLOOKUP(_xlfn.CONCAT(U847,V847,W847,X847,M_BRAND_FC!$F$6),FC_DATA!$R$2:$AD$5000,MATCH("DISCOUNT_%_M",FC_DATA!$R$1:$AD$1,0),FALSE)))*AH847))</f>
        <v>#N/A</v>
      </c>
      <c r="AJ847" s="412" t="str">
        <f t="shared" ca="1" si="338"/>
        <v/>
      </c>
      <c r="AK847" s="413" t="str">
        <f>IFERROR(AE847/(Q_BRAND_FC!$T$24+1),"")</f>
        <v/>
      </c>
      <c r="AL847" s="88" t="str">
        <f t="shared" ca="1" si="339"/>
        <v/>
      </c>
      <c r="AM847" s="414" t="str">
        <f t="shared" ca="1" si="340"/>
        <v/>
      </c>
      <c r="AN847" s="58">
        <f>IFERROR(IF($V847="BRAND.com",HLOOKUP($X847&amp;$Z847,NWC_FC_NOOS!$C$4:$Q$23,MATCH(W847,NWC_FC_NOOS!$B$4:$B$23,0),FALSE),0),0)</f>
        <v>0</v>
      </c>
      <c r="AO847" s="57">
        <f>IFERROR(IF($V847="BRAND.com",HLOOKUP($X847&amp;$Z847,NWC_FC_NOOS!$T$4:$AH$23,MATCH(W847,NWC_FC_NOOS!$S$4:$S$23,0),FALSE),0),0)</f>
        <v>0</v>
      </c>
      <c r="AP847" s="57">
        <f>IFERROR(IF($V847="BRAND.com",HLOOKUP($X847&amp;$Z847,NWC_FC_NOOS!$C$50:$U$69,MATCH(W847,NWC_FC_NOOS!$B$50:$B$69,0),FALSE),0),0)</f>
        <v>0</v>
      </c>
      <c r="AQ847" s="58">
        <f>IFERROR(IF($V847="BRAND.com",HLOOKUP($X847&amp;$Z847,'NWC_FC_NON-NOOS'!$C$4:$Q$23,MATCH(W847,'NWC_FC_NON-NOOS'!$B$4:$B$23,0),FALSE),0),0)</f>
        <v>0</v>
      </c>
      <c r="AR847" s="57">
        <f>IFERROR(IF($V847="BRAND.com",HLOOKUP($X847&amp;$Z847,'NWC_FC_NON-NOOS'!$T$4:$AH$23,MATCH(W847,'NWC_FC_NON-NOOS'!$S$4:$S$23,0),FALSE),0),0)</f>
        <v>0</v>
      </c>
      <c r="AS847" s="57">
        <f>IFERROR(IF($V847="BRAND.com",HLOOKUP($X847&amp;$Z847,'NWC_FC_NON-NOOS'!$C$50:$U$69,MATCH(W847,'NWC_FC_NON-NOOS'!$B$50:$B$69,0),FALSE),0),0)</f>
        <v>0</v>
      </c>
      <c r="AT847" s="57">
        <f t="shared" si="342"/>
        <v>0</v>
      </c>
      <c r="AU847" s="57">
        <f t="shared" si="343"/>
        <v>0</v>
      </c>
      <c r="AV847" s="58">
        <f>IFERROR(IF($V847="BRAND.com",HLOOKUP($X847&amp;$Z847,PLANNING_FC!$BB$27:$BP$46,MATCH($W847,PLANNING_FC!$BA$27:$BA$46,0),FALSE),0),0)</f>
        <v>0</v>
      </c>
      <c r="AW847" s="58">
        <f>IFERROR(IF($V847="BRAND.com",HLOOKUP($X847&amp;$Z847,PLANNING_FC!$BB$4:$BP$23,MATCH($W847,PLANNING_FC!$BA$4:$BA$23,0),FALSE),0),0)</f>
        <v>0</v>
      </c>
      <c r="AX847" s="58">
        <f>IFERROR(IF($V847="BRAND.com",HLOOKUP($X847&amp;$Z847,PLANNING_FC!$T$27:$AH$46,MATCH($W847,PLANNING_FC!$B$27:$B$46,0),FALSE),0),0)</f>
        <v>0</v>
      </c>
      <c r="AY847" s="58">
        <f>IFERROR(IF($V847="BRAND.com",HLOOKUP($X847&amp;$Z847,PLANNING_FC!$T$4:$AH$23,MATCH($W847,PLANNING_FC!$B$4:$B$23,0),FALSE),0),0)</f>
        <v>0</v>
      </c>
      <c r="AZ847" s="58">
        <f>IFERROR(IF($V847="BRAND.com",HLOOKUP($X847&amp;$Z847,PLANNING_FC!$DA$27:$DO$46,MATCH($W847,PLANNING_FC!$CZ$27:$CZ$46,0),FALSE),0),0)</f>
        <v>0</v>
      </c>
      <c r="BA847" s="58">
        <f>IFERROR(IF($V847="BRAND.com",HLOOKUP($X847&amp;$Z847,PLANNING_FC!$DA$4:$DO$23,MATCH($W847,PLANNING_FC!$CZ$4:$CZ$23,0),FALSE),0),0)</f>
        <v>0</v>
      </c>
      <c r="BB847" s="883" t="str">
        <f>IF(V847="BRAND.com",IFERROR(HLOOKUP(X847&amp;Z847,PLANNING_FC!$AK$4:$AY$23,MATCH(W847,PLANNING_FC!$AJ$4:$AJ$23,0),FALSE)*1000,""),"")</f>
        <v/>
      </c>
      <c r="BC847" s="883" t="str">
        <f>IF(V847="BRAND.com",IFERROR(HLOOKUP(X847&amp;Z847,PLANNING_FC!$AK$27:$AY$46,MATCH(W847,PLANNING_FC!$AJ$27:$AJ$46,0),FALSE)*1000,""),"")</f>
        <v/>
      </c>
    </row>
    <row r="848" spans="14:55" x14ac:dyDescent="0.25">
      <c r="N848" s="56">
        <f t="shared" si="324"/>
        <v>0</v>
      </c>
      <c r="O848" s="57">
        <f t="shared" si="325"/>
        <v>0</v>
      </c>
      <c r="P848" s="57">
        <f ca="1">IFERROR(IF(ISBLANK(H848),SUMIFS($AC:$AC,$V:$V,V848,$W:$W,W848,$X:$X,X848,$Y:$Y,Y848)*J848/(1-J848)*VLOOKUP(_xlfn.CONCAT(C848,D848,E848,TIME!$M$12,Z848),HIS_SALES!$B$2:$W$4859,20,FALSE),AC848*J848/(1-J848)),0)</f>
        <v>0</v>
      </c>
      <c r="Q848" s="541" t="str">
        <f t="shared" si="326"/>
        <v/>
      </c>
      <c r="R848" s="346" t="str">
        <f t="shared" si="327"/>
        <v>00000</v>
      </c>
      <c r="S848" s="344">
        <f t="shared" si="328"/>
        <v>0</v>
      </c>
      <c r="T848" s="345" t="str">
        <f t="shared" si="341"/>
        <v>000</v>
      </c>
      <c r="U848" s="345">
        <f t="shared" si="329"/>
        <v>0</v>
      </c>
      <c r="V848" s="345">
        <f t="shared" si="330"/>
        <v>0</v>
      </c>
      <c r="W848" s="345">
        <f t="shared" si="331"/>
        <v>0</v>
      </c>
      <c r="X848" s="345">
        <f t="shared" si="332"/>
        <v>0</v>
      </c>
      <c r="Y848" s="345">
        <f t="shared" si="333"/>
        <v>0</v>
      </c>
      <c r="Z848" s="345">
        <f>IF(Q848&lt;&gt;"",VLOOKUP(Y848,TIME!$R$21:$V$24,MATCH(FC_DATA!Q848,TIME!$R$20:$V$20,0),FALSE),H848)</f>
        <v>0</v>
      </c>
      <c r="AA848" s="345" t="str">
        <f>IFERROR(VLOOKUP(X848&amp;Z848,TIME!$A$12:$D$71,4,FALSE),"")</f>
        <v/>
      </c>
      <c r="AB848" s="592">
        <f t="shared" ca="1" si="334"/>
        <v>0</v>
      </c>
      <c r="AC848" s="593" t="e">
        <f ca="1">IF(ISBLANK(H848)=FALSE,IF(D848="BRAND.com",I848,IF(ISNA(VLOOKUP(_xlfn.CONCAT(X848,Z848),TIME!$M$40:$M$42,1,FALSE)),I848,VLOOKUP(_xlfn.CONCAT(D848,G848,H848),M_BUSAREA_FC!$AF$5:$AJ$10,5,FALSE)*HLOOKUP(_xlfn.CONCAT(F848,H848),ST_OVERVIEW!$G$99:$I$130,MATCH(_xlfn.CONCAT(D848,E848),ST_OVERVIEW!$F$99:$F$130,0),FALSE))),IF(D848="BRAND.com",VLOOKUP(_xlfn.CONCAT(C848,D848,E848,TIME!$F$1,Z848),HIS_SALES!$B$2:$V$4859,19,FALSE)*I848,VLOOKUP(_xlfn.CONCAT(D848,F848,G848),Q_BUSAREA_FC!$AE$5:$AI$12,5,FALSE)*HLOOKUP(_xlfn.CONCAT(FC_DATA!F848,FC_DATA!G848),LT_OVERVIEW!$I$99:$M$130,MATCH(_xlfn.CONCAT(D848,FC_DATA!E848),LT_OVERVIEW!$H$99:$H$130,0),FALSE)*IFERROR(VLOOKUP(_xlfn.CONCAT(C848,D848,E848,TIME!$F$1,Z848),HIS_SALES!$B$2:$V$4859,19,FALSE),0)))</f>
        <v>#N/A</v>
      </c>
      <c r="AD848" s="341">
        <f t="shared" ca="1" si="335"/>
        <v>0</v>
      </c>
      <c r="AE848" s="363" t="str">
        <f t="shared" si="336"/>
        <v/>
      </c>
      <c r="AF848" s="342" t="str">
        <f t="shared" si="337"/>
        <v/>
      </c>
      <c r="AG848" s="411" t="e">
        <f ca="1">VLOOKUP(_xlfn.CONCAT(U848,V848,W848,VLOOKUP(X848&amp;Y848,TIME!$L$27:$O$34,4,FALSE),Y848),HIS_SALES!$A$2:$R$5093,18,FALSE)</f>
        <v>#N/A</v>
      </c>
      <c r="AH848" s="412" t="e">
        <f ca="1">IFERROR(IF(AND(V848=V847,W848=W847),0.5*(AB848+AB847)*AG848,(VLOOKUP(_xlfn.CONCAT(U848,V848,W848,X848,VLOOKUP(Z848,TIME!$S$28:$T$39,2,FALSE)),FC_DATA!$R$2:$AB$5000,MATCH("GS_I_M",FC_DATA!$R$1:$AB$1,0),FALSE)+FC_DATA!AB848)*0.5*FC_DATA!AG848),NA())</f>
        <v>#N/A</v>
      </c>
      <c r="AI848" s="491" t="e">
        <f ca="1">IF(V848="PARTNER.com",AH848,IF(AND(V848=V847,W848=W847),(1-AVERAGE(AD847,AD848))*AH848,(1-AVERAGE(AD848,VLOOKUP(_xlfn.CONCAT(U848,V848,W848,X848,M_BRAND_FC!$F$6),FC_DATA!$R$2:$AD$5000,MATCH("DISCOUNT_%_M",FC_DATA!$R$1:$AD$1,0),FALSE)))*AH848))</f>
        <v>#N/A</v>
      </c>
      <c r="AJ848" s="412" t="str">
        <f t="shared" ca="1" si="338"/>
        <v/>
      </c>
      <c r="AK848" s="413" t="str">
        <f>IFERROR(AE848/(Q_BRAND_FC!$T$24+1),"")</f>
        <v/>
      </c>
      <c r="AL848" s="88" t="str">
        <f t="shared" ca="1" si="339"/>
        <v/>
      </c>
      <c r="AM848" s="414" t="str">
        <f t="shared" ca="1" si="340"/>
        <v/>
      </c>
      <c r="AN848" s="58">
        <f>IFERROR(IF($V848="BRAND.com",HLOOKUP($X848&amp;$Z848,NWC_FC_NOOS!$C$4:$Q$23,MATCH(W848,NWC_FC_NOOS!$B$4:$B$23,0),FALSE),0),0)</f>
        <v>0</v>
      </c>
      <c r="AO848" s="57">
        <f>IFERROR(IF($V848="BRAND.com",HLOOKUP($X848&amp;$Z848,NWC_FC_NOOS!$T$4:$AH$23,MATCH(W848,NWC_FC_NOOS!$S$4:$S$23,0),FALSE),0),0)</f>
        <v>0</v>
      </c>
      <c r="AP848" s="57">
        <f>IFERROR(IF($V848="BRAND.com",HLOOKUP($X848&amp;$Z848,NWC_FC_NOOS!$C$50:$U$69,MATCH(W848,NWC_FC_NOOS!$B$50:$B$69,0),FALSE),0),0)</f>
        <v>0</v>
      </c>
      <c r="AQ848" s="58">
        <f>IFERROR(IF($V848="BRAND.com",HLOOKUP($X848&amp;$Z848,'NWC_FC_NON-NOOS'!$C$4:$Q$23,MATCH(W848,'NWC_FC_NON-NOOS'!$B$4:$B$23,0),FALSE),0),0)</f>
        <v>0</v>
      </c>
      <c r="AR848" s="57">
        <f>IFERROR(IF($V848="BRAND.com",HLOOKUP($X848&amp;$Z848,'NWC_FC_NON-NOOS'!$T$4:$AH$23,MATCH(W848,'NWC_FC_NON-NOOS'!$S$4:$S$23,0),FALSE),0),0)</f>
        <v>0</v>
      </c>
      <c r="AS848" s="57">
        <f>IFERROR(IF($V848="BRAND.com",HLOOKUP($X848&amp;$Z848,'NWC_FC_NON-NOOS'!$C$50:$U$69,MATCH(W848,'NWC_FC_NON-NOOS'!$B$50:$B$69,0),FALSE),0),0)</f>
        <v>0</v>
      </c>
      <c r="AT848" s="57">
        <f t="shared" si="342"/>
        <v>0</v>
      </c>
      <c r="AU848" s="57">
        <f t="shared" si="343"/>
        <v>0</v>
      </c>
      <c r="AV848" s="58">
        <f>IFERROR(IF($V848="BRAND.com",HLOOKUP($X848&amp;$Z848,PLANNING_FC!$BB$27:$BP$46,MATCH($W848,PLANNING_FC!$BA$27:$BA$46,0),FALSE),0),0)</f>
        <v>0</v>
      </c>
      <c r="AW848" s="58">
        <f>IFERROR(IF($V848="BRAND.com",HLOOKUP($X848&amp;$Z848,PLANNING_FC!$BB$4:$BP$23,MATCH($W848,PLANNING_FC!$BA$4:$BA$23,0),FALSE),0),0)</f>
        <v>0</v>
      </c>
      <c r="AX848" s="58">
        <f>IFERROR(IF($V848="BRAND.com",HLOOKUP($X848&amp;$Z848,PLANNING_FC!$T$27:$AH$46,MATCH($W848,PLANNING_FC!$B$27:$B$46,0),FALSE),0),0)</f>
        <v>0</v>
      </c>
      <c r="AY848" s="58">
        <f>IFERROR(IF($V848="BRAND.com",HLOOKUP($X848&amp;$Z848,PLANNING_FC!$T$4:$AH$23,MATCH($W848,PLANNING_FC!$B$4:$B$23,0),FALSE),0),0)</f>
        <v>0</v>
      </c>
      <c r="AZ848" s="58">
        <f>IFERROR(IF($V848="BRAND.com",HLOOKUP($X848&amp;$Z848,PLANNING_FC!$DA$27:$DO$46,MATCH($W848,PLANNING_FC!$CZ$27:$CZ$46,0),FALSE),0),0)</f>
        <v>0</v>
      </c>
      <c r="BA848" s="58">
        <f>IFERROR(IF($V848="BRAND.com",HLOOKUP($X848&amp;$Z848,PLANNING_FC!$DA$4:$DO$23,MATCH($W848,PLANNING_FC!$CZ$4:$CZ$23,0),FALSE),0),0)</f>
        <v>0</v>
      </c>
      <c r="BB848" s="883" t="str">
        <f>IF(V848="BRAND.com",IFERROR(HLOOKUP(X848&amp;Z848,PLANNING_FC!$AK$4:$AY$23,MATCH(W848,PLANNING_FC!$AJ$4:$AJ$23,0),FALSE)*1000,""),"")</f>
        <v/>
      </c>
      <c r="BC848" s="883" t="str">
        <f>IF(V848="BRAND.com",IFERROR(HLOOKUP(X848&amp;Z848,PLANNING_FC!$AK$27:$AY$46,MATCH(W848,PLANNING_FC!$AJ$27:$AJ$46,0),FALSE)*1000,""),"")</f>
        <v/>
      </c>
    </row>
    <row r="849" spans="14:55" x14ac:dyDescent="0.25">
      <c r="N849" s="56">
        <f t="shared" si="324"/>
        <v>0</v>
      </c>
      <c r="O849" s="57">
        <f t="shared" si="325"/>
        <v>0</v>
      </c>
      <c r="P849" s="57">
        <f ca="1">IFERROR(IF(ISBLANK(H849),SUMIFS($AC:$AC,$V:$V,V849,$W:$W,W849,$X:$X,X849,$Y:$Y,Y849)*J849/(1-J849)*VLOOKUP(_xlfn.CONCAT(C849,D849,E849,TIME!$M$12,Z849),HIS_SALES!$B$2:$W$4859,20,FALSE),AC849*J849/(1-J849)),0)</f>
        <v>0</v>
      </c>
      <c r="Q849" s="541" t="str">
        <f t="shared" si="326"/>
        <v/>
      </c>
      <c r="R849" s="346" t="str">
        <f t="shared" si="327"/>
        <v>00000</v>
      </c>
      <c r="S849" s="344">
        <f t="shared" si="328"/>
        <v>0</v>
      </c>
      <c r="T849" s="345" t="str">
        <f t="shared" si="341"/>
        <v>000</v>
      </c>
      <c r="U849" s="345">
        <f t="shared" si="329"/>
        <v>0</v>
      </c>
      <c r="V849" s="345">
        <f t="shared" si="330"/>
        <v>0</v>
      </c>
      <c r="W849" s="345">
        <f t="shared" si="331"/>
        <v>0</v>
      </c>
      <c r="X849" s="345">
        <f t="shared" si="332"/>
        <v>0</v>
      </c>
      <c r="Y849" s="345">
        <f t="shared" si="333"/>
        <v>0</v>
      </c>
      <c r="Z849" s="345">
        <f>IF(Q849&lt;&gt;"",VLOOKUP(Y849,TIME!$R$21:$V$24,MATCH(FC_DATA!Q849,TIME!$R$20:$V$20,0),FALSE),H849)</f>
        <v>0</v>
      </c>
      <c r="AA849" s="345" t="str">
        <f>IFERROR(VLOOKUP(X849&amp;Z849,TIME!$A$12:$D$71,4,FALSE),"")</f>
        <v/>
      </c>
      <c r="AB849" s="592">
        <f t="shared" ca="1" si="334"/>
        <v>0</v>
      </c>
      <c r="AC849" s="593" t="e">
        <f ca="1">IF(ISBLANK(H849)=FALSE,IF(D849="BRAND.com",I849,IF(ISNA(VLOOKUP(_xlfn.CONCAT(X849,Z849),TIME!$M$40:$M$42,1,FALSE)),I849,VLOOKUP(_xlfn.CONCAT(D849,G849,H849),M_BUSAREA_FC!$AF$5:$AJ$10,5,FALSE)*HLOOKUP(_xlfn.CONCAT(F849,H849),ST_OVERVIEW!$G$99:$I$130,MATCH(_xlfn.CONCAT(D849,E849),ST_OVERVIEW!$F$99:$F$130,0),FALSE))),IF(D849="BRAND.com",VLOOKUP(_xlfn.CONCAT(C849,D849,E849,TIME!$F$1,Z849),HIS_SALES!$B$2:$V$4859,19,FALSE)*I849,VLOOKUP(_xlfn.CONCAT(D849,F849,G849),Q_BUSAREA_FC!$AE$5:$AI$12,5,FALSE)*HLOOKUP(_xlfn.CONCAT(FC_DATA!F849,FC_DATA!G849),LT_OVERVIEW!$I$99:$M$130,MATCH(_xlfn.CONCAT(D849,FC_DATA!E849),LT_OVERVIEW!$H$99:$H$130,0),FALSE)*IFERROR(VLOOKUP(_xlfn.CONCAT(C849,D849,E849,TIME!$F$1,Z849),HIS_SALES!$B$2:$V$4859,19,FALSE),0)))</f>
        <v>#N/A</v>
      </c>
      <c r="AD849" s="341">
        <f t="shared" ca="1" si="335"/>
        <v>0</v>
      </c>
      <c r="AE849" s="363" t="str">
        <f t="shared" si="336"/>
        <v/>
      </c>
      <c r="AF849" s="342" t="str">
        <f t="shared" si="337"/>
        <v/>
      </c>
      <c r="AG849" s="411" t="e">
        <f ca="1">VLOOKUP(_xlfn.CONCAT(U849,V849,W849,VLOOKUP(X849&amp;Y849,TIME!$L$27:$O$34,4,FALSE),Y849),HIS_SALES!$A$2:$R$5093,18,FALSE)</f>
        <v>#N/A</v>
      </c>
      <c r="AH849" s="412" t="e">
        <f ca="1">IFERROR(IF(AND(V849=V848,W849=W848),0.5*(AB849+AB848)*AG849,(VLOOKUP(_xlfn.CONCAT(U849,V849,W849,X849,VLOOKUP(Z849,TIME!$S$28:$T$39,2,FALSE)),FC_DATA!$R$2:$AB$5000,MATCH("GS_I_M",FC_DATA!$R$1:$AB$1,0),FALSE)+FC_DATA!AB849)*0.5*FC_DATA!AG849),NA())</f>
        <v>#N/A</v>
      </c>
      <c r="AI849" s="491" t="e">
        <f ca="1">IF(V849="PARTNER.com",AH849,IF(AND(V849=V848,W849=W848),(1-AVERAGE(AD848,AD849))*AH849,(1-AVERAGE(AD849,VLOOKUP(_xlfn.CONCAT(U849,V849,W849,X849,M_BRAND_FC!$F$6),FC_DATA!$R$2:$AD$5000,MATCH("DISCOUNT_%_M",FC_DATA!$R$1:$AD$1,0),FALSE)))*AH849))</f>
        <v>#N/A</v>
      </c>
      <c r="AJ849" s="412" t="str">
        <f t="shared" ca="1" si="338"/>
        <v/>
      </c>
      <c r="AK849" s="413" t="str">
        <f>IFERROR(AE849/(Q_BRAND_FC!$T$24+1),"")</f>
        <v/>
      </c>
      <c r="AL849" s="88" t="str">
        <f t="shared" ca="1" si="339"/>
        <v/>
      </c>
      <c r="AM849" s="414" t="str">
        <f t="shared" ca="1" si="340"/>
        <v/>
      </c>
      <c r="AN849" s="58">
        <f>IFERROR(IF($V849="BRAND.com",HLOOKUP($X849&amp;$Z849,NWC_FC_NOOS!$C$4:$Q$23,MATCH(W849,NWC_FC_NOOS!$B$4:$B$23,0),FALSE),0),0)</f>
        <v>0</v>
      </c>
      <c r="AO849" s="57">
        <f>IFERROR(IF($V849="BRAND.com",HLOOKUP($X849&amp;$Z849,NWC_FC_NOOS!$T$4:$AH$23,MATCH(W849,NWC_FC_NOOS!$S$4:$S$23,0),FALSE),0),0)</f>
        <v>0</v>
      </c>
      <c r="AP849" s="57">
        <f>IFERROR(IF($V849="BRAND.com",HLOOKUP($X849&amp;$Z849,NWC_FC_NOOS!$C$50:$U$69,MATCH(W849,NWC_FC_NOOS!$B$50:$B$69,0),FALSE),0),0)</f>
        <v>0</v>
      </c>
      <c r="AQ849" s="58">
        <f>IFERROR(IF($V849="BRAND.com",HLOOKUP($X849&amp;$Z849,'NWC_FC_NON-NOOS'!$C$4:$Q$23,MATCH(W849,'NWC_FC_NON-NOOS'!$B$4:$B$23,0),FALSE),0),0)</f>
        <v>0</v>
      </c>
      <c r="AR849" s="57">
        <f>IFERROR(IF($V849="BRAND.com",HLOOKUP($X849&amp;$Z849,'NWC_FC_NON-NOOS'!$T$4:$AH$23,MATCH(W849,'NWC_FC_NON-NOOS'!$S$4:$S$23,0),FALSE),0),0)</f>
        <v>0</v>
      </c>
      <c r="AS849" s="57">
        <f>IFERROR(IF($V849="BRAND.com",HLOOKUP($X849&amp;$Z849,'NWC_FC_NON-NOOS'!$C$50:$U$69,MATCH(W849,'NWC_FC_NON-NOOS'!$B$50:$B$69,0),FALSE),0),0)</f>
        <v>0</v>
      </c>
      <c r="AT849" s="57">
        <f t="shared" si="342"/>
        <v>0</v>
      </c>
      <c r="AU849" s="57">
        <f t="shared" si="343"/>
        <v>0</v>
      </c>
      <c r="AV849" s="58">
        <f>IFERROR(IF($V849="BRAND.com",HLOOKUP($X849&amp;$Z849,PLANNING_FC!$BB$27:$BP$46,MATCH($W849,PLANNING_FC!$BA$27:$BA$46,0),FALSE),0),0)</f>
        <v>0</v>
      </c>
      <c r="AW849" s="58">
        <f>IFERROR(IF($V849="BRAND.com",HLOOKUP($X849&amp;$Z849,PLANNING_FC!$BB$4:$BP$23,MATCH($W849,PLANNING_FC!$BA$4:$BA$23,0),FALSE),0),0)</f>
        <v>0</v>
      </c>
      <c r="AX849" s="58">
        <f>IFERROR(IF($V849="BRAND.com",HLOOKUP($X849&amp;$Z849,PLANNING_FC!$T$27:$AH$46,MATCH($W849,PLANNING_FC!$B$27:$B$46,0),FALSE),0),0)</f>
        <v>0</v>
      </c>
      <c r="AY849" s="58">
        <f>IFERROR(IF($V849="BRAND.com",HLOOKUP($X849&amp;$Z849,PLANNING_FC!$T$4:$AH$23,MATCH($W849,PLANNING_FC!$B$4:$B$23,0),FALSE),0),0)</f>
        <v>0</v>
      </c>
      <c r="AZ849" s="58">
        <f>IFERROR(IF($V849="BRAND.com",HLOOKUP($X849&amp;$Z849,PLANNING_FC!$DA$27:$DO$46,MATCH($W849,PLANNING_FC!$CZ$27:$CZ$46,0),FALSE),0),0)</f>
        <v>0</v>
      </c>
      <c r="BA849" s="58">
        <f>IFERROR(IF($V849="BRAND.com",HLOOKUP($X849&amp;$Z849,PLANNING_FC!$DA$4:$DO$23,MATCH($W849,PLANNING_FC!$CZ$4:$CZ$23,0),FALSE),0),0)</f>
        <v>0</v>
      </c>
      <c r="BB849" s="883" t="str">
        <f>IF(V849="BRAND.com",IFERROR(HLOOKUP(X849&amp;Z849,PLANNING_FC!$AK$4:$AY$23,MATCH(W849,PLANNING_FC!$AJ$4:$AJ$23,0),FALSE)*1000,""),"")</f>
        <v/>
      </c>
      <c r="BC849" s="883" t="str">
        <f>IF(V849="BRAND.com",IFERROR(HLOOKUP(X849&amp;Z849,PLANNING_FC!$AK$27:$AY$46,MATCH(W849,PLANNING_FC!$AJ$27:$AJ$46,0),FALSE)*1000,""),"")</f>
        <v/>
      </c>
    </row>
    <row r="850" spans="14:55" x14ac:dyDescent="0.25">
      <c r="N850" s="56">
        <f t="shared" si="324"/>
        <v>0</v>
      </c>
      <c r="O850" s="57">
        <f t="shared" si="325"/>
        <v>0</v>
      </c>
      <c r="P850" s="57">
        <f ca="1">IFERROR(IF(ISBLANK(H850),SUMIFS($AC:$AC,$V:$V,V850,$W:$W,W850,$X:$X,X850,$Y:$Y,Y850)*J850/(1-J850)*VLOOKUP(_xlfn.CONCAT(C850,D850,E850,TIME!$M$12,Z850),HIS_SALES!$B$2:$W$4859,20,FALSE),AC850*J850/(1-J850)),0)</f>
        <v>0</v>
      </c>
      <c r="Q850" s="541" t="str">
        <f t="shared" si="326"/>
        <v/>
      </c>
      <c r="R850" s="346" t="str">
        <f t="shared" si="327"/>
        <v>00000</v>
      </c>
      <c r="S850" s="344">
        <f t="shared" si="328"/>
        <v>0</v>
      </c>
      <c r="T850" s="345" t="str">
        <f t="shared" si="341"/>
        <v>000</v>
      </c>
      <c r="U850" s="345">
        <f t="shared" si="329"/>
        <v>0</v>
      </c>
      <c r="V850" s="345">
        <f t="shared" si="330"/>
        <v>0</v>
      </c>
      <c r="W850" s="345">
        <f t="shared" si="331"/>
        <v>0</v>
      </c>
      <c r="X850" s="345">
        <f t="shared" si="332"/>
        <v>0</v>
      </c>
      <c r="Y850" s="345">
        <f t="shared" si="333"/>
        <v>0</v>
      </c>
      <c r="Z850" s="345">
        <f>IF(Q850&lt;&gt;"",VLOOKUP(Y850,TIME!$R$21:$V$24,MATCH(FC_DATA!Q850,TIME!$R$20:$V$20,0),FALSE),H850)</f>
        <v>0</v>
      </c>
      <c r="AA850" s="345" t="str">
        <f>IFERROR(VLOOKUP(X850&amp;Z850,TIME!$A$12:$D$71,4,FALSE),"")</f>
        <v/>
      </c>
      <c r="AB850" s="592">
        <f t="shared" ca="1" si="334"/>
        <v>0</v>
      </c>
      <c r="AC850" s="593" t="e">
        <f ca="1">IF(ISBLANK(H850)=FALSE,IF(D850="BRAND.com",I850,IF(ISNA(VLOOKUP(_xlfn.CONCAT(X850,Z850),TIME!$M$40:$M$42,1,FALSE)),I850,VLOOKUP(_xlfn.CONCAT(D850,G850,H850),M_BUSAREA_FC!$AF$5:$AJ$10,5,FALSE)*HLOOKUP(_xlfn.CONCAT(F850,H850),ST_OVERVIEW!$G$99:$I$130,MATCH(_xlfn.CONCAT(D850,E850),ST_OVERVIEW!$F$99:$F$130,0),FALSE))),IF(D850="BRAND.com",VLOOKUP(_xlfn.CONCAT(C850,D850,E850,TIME!$F$1,Z850),HIS_SALES!$B$2:$V$4859,19,FALSE)*I850,VLOOKUP(_xlfn.CONCAT(D850,F850,G850),Q_BUSAREA_FC!$AE$5:$AI$12,5,FALSE)*HLOOKUP(_xlfn.CONCAT(FC_DATA!F850,FC_DATA!G850),LT_OVERVIEW!$I$99:$M$130,MATCH(_xlfn.CONCAT(D850,FC_DATA!E850),LT_OVERVIEW!$H$99:$H$130,0),FALSE)*IFERROR(VLOOKUP(_xlfn.CONCAT(C850,D850,E850,TIME!$F$1,Z850),HIS_SALES!$B$2:$V$4859,19,FALSE),0)))</f>
        <v>#N/A</v>
      </c>
      <c r="AD850" s="341">
        <f t="shared" ca="1" si="335"/>
        <v>0</v>
      </c>
      <c r="AE850" s="363" t="str">
        <f t="shared" si="336"/>
        <v/>
      </c>
      <c r="AF850" s="342" t="str">
        <f t="shared" si="337"/>
        <v/>
      </c>
      <c r="AG850" s="411" t="e">
        <f ca="1">VLOOKUP(_xlfn.CONCAT(U850,V850,W850,VLOOKUP(X850&amp;Y850,TIME!$L$27:$O$34,4,FALSE),Y850),HIS_SALES!$A$2:$R$5093,18,FALSE)</f>
        <v>#N/A</v>
      </c>
      <c r="AH850" s="412" t="e">
        <f ca="1">IFERROR(IF(AND(V850=V849,W850=W849),0.5*(AB850+AB849)*AG850,(VLOOKUP(_xlfn.CONCAT(U850,V850,W850,X850,VLOOKUP(Z850,TIME!$S$28:$T$39,2,FALSE)),FC_DATA!$R$2:$AB$5000,MATCH("GS_I_M",FC_DATA!$R$1:$AB$1,0),FALSE)+FC_DATA!AB850)*0.5*FC_DATA!AG850),NA())</f>
        <v>#N/A</v>
      </c>
      <c r="AI850" s="491" t="e">
        <f ca="1">IF(V850="PARTNER.com",AH850,IF(AND(V850=V849,W850=W849),(1-AVERAGE(AD849,AD850))*AH850,(1-AVERAGE(AD850,VLOOKUP(_xlfn.CONCAT(U850,V850,W850,X850,M_BRAND_FC!$F$6),FC_DATA!$R$2:$AD$5000,MATCH("DISCOUNT_%_M",FC_DATA!$R$1:$AD$1,0),FALSE)))*AH850))</f>
        <v>#N/A</v>
      </c>
      <c r="AJ850" s="412" t="str">
        <f t="shared" ca="1" si="338"/>
        <v/>
      </c>
      <c r="AK850" s="413" t="str">
        <f>IFERROR(AE850/(Q_BRAND_FC!$T$24+1),"")</f>
        <v/>
      </c>
      <c r="AL850" s="88" t="str">
        <f t="shared" ca="1" si="339"/>
        <v/>
      </c>
      <c r="AM850" s="414" t="str">
        <f t="shared" ca="1" si="340"/>
        <v/>
      </c>
      <c r="AN850" s="58">
        <f>IFERROR(IF($V850="BRAND.com",HLOOKUP($X850&amp;$Z850,NWC_FC_NOOS!$C$4:$Q$23,MATCH(W850,NWC_FC_NOOS!$B$4:$B$23,0),FALSE),0),0)</f>
        <v>0</v>
      </c>
      <c r="AO850" s="57">
        <f>IFERROR(IF($V850="BRAND.com",HLOOKUP($X850&amp;$Z850,NWC_FC_NOOS!$T$4:$AH$23,MATCH(W850,NWC_FC_NOOS!$S$4:$S$23,0),FALSE),0),0)</f>
        <v>0</v>
      </c>
      <c r="AP850" s="57">
        <f>IFERROR(IF($V850="BRAND.com",HLOOKUP($X850&amp;$Z850,NWC_FC_NOOS!$C$50:$U$69,MATCH(W850,NWC_FC_NOOS!$B$50:$B$69,0),FALSE),0),0)</f>
        <v>0</v>
      </c>
      <c r="AQ850" s="58">
        <f>IFERROR(IF($V850="BRAND.com",HLOOKUP($X850&amp;$Z850,'NWC_FC_NON-NOOS'!$C$4:$Q$23,MATCH(W850,'NWC_FC_NON-NOOS'!$B$4:$B$23,0),FALSE),0),0)</f>
        <v>0</v>
      </c>
      <c r="AR850" s="57">
        <f>IFERROR(IF($V850="BRAND.com",HLOOKUP($X850&amp;$Z850,'NWC_FC_NON-NOOS'!$T$4:$AH$23,MATCH(W850,'NWC_FC_NON-NOOS'!$S$4:$S$23,0),FALSE),0),0)</f>
        <v>0</v>
      </c>
      <c r="AS850" s="57">
        <f>IFERROR(IF($V850="BRAND.com",HLOOKUP($X850&amp;$Z850,'NWC_FC_NON-NOOS'!$C$50:$U$69,MATCH(W850,'NWC_FC_NON-NOOS'!$B$50:$B$69,0),FALSE),0),0)</f>
        <v>0</v>
      </c>
      <c r="AT850" s="57">
        <f t="shared" si="342"/>
        <v>0</v>
      </c>
      <c r="AU850" s="57">
        <f t="shared" si="343"/>
        <v>0</v>
      </c>
      <c r="AV850" s="58">
        <f>IFERROR(IF($V850="BRAND.com",HLOOKUP($X850&amp;$Z850,PLANNING_FC!$BB$27:$BP$46,MATCH($W850,PLANNING_FC!$BA$27:$BA$46,0),FALSE),0),0)</f>
        <v>0</v>
      </c>
      <c r="AW850" s="58">
        <f>IFERROR(IF($V850="BRAND.com",HLOOKUP($X850&amp;$Z850,PLANNING_FC!$BB$4:$BP$23,MATCH($W850,PLANNING_FC!$BA$4:$BA$23,0),FALSE),0),0)</f>
        <v>0</v>
      </c>
      <c r="AX850" s="58">
        <f>IFERROR(IF($V850="BRAND.com",HLOOKUP($X850&amp;$Z850,PLANNING_FC!$T$27:$AH$46,MATCH($W850,PLANNING_FC!$B$27:$B$46,0),FALSE),0),0)</f>
        <v>0</v>
      </c>
      <c r="AY850" s="58">
        <f>IFERROR(IF($V850="BRAND.com",HLOOKUP($X850&amp;$Z850,PLANNING_FC!$T$4:$AH$23,MATCH($W850,PLANNING_FC!$B$4:$B$23,0),FALSE),0),0)</f>
        <v>0</v>
      </c>
      <c r="AZ850" s="58">
        <f>IFERROR(IF($V850="BRAND.com",HLOOKUP($X850&amp;$Z850,PLANNING_FC!$DA$27:$DO$46,MATCH($W850,PLANNING_FC!$CZ$27:$CZ$46,0),FALSE),0),0)</f>
        <v>0</v>
      </c>
      <c r="BA850" s="58">
        <f>IFERROR(IF($V850="BRAND.com",HLOOKUP($X850&amp;$Z850,PLANNING_FC!$DA$4:$DO$23,MATCH($W850,PLANNING_FC!$CZ$4:$CZ$23,0),FALSE),0),0)</f>
        <v>0</v>
      </c>
      <c r="BB850" s="883" t="str">
        <f>IF(V850="BRAND.com",IFERROR(HLOOKUP(X850&amp;Z850,PLANNING_FC!$AK$4:$AY$23,MATCH(W850,PLANNING_FC!$AJ$4:$AJ$23,0),FALSE)*1000,""),"")</f>
        <v/>
      </c>
      <c r="BC850" s="883" t="str">
        <f>IF(V850="BRAND.com",IFERROR(HLOOKUP(X850&amp;Z850,PLANNING_FC!$AK$27:$AY$46,MATCH(W850,PLANNING_FC!$AJ$27:$AJ$46,0),FALSE)*1000,""),"")</f>
        <v/>
      </c>
    </row>
    <row r="851" spans="14:55" x14ac:dyDescent="0.25">
      <c r="N851" s="56">
        <f t="shared" si="324"/>
        <v>0</v>
      </c>
      <c r="O851" s="57">
        <f t="shared" si="325"/>
        <v>0</v>
      </c>
      <c r="P851" s="57">
        <f ca="1">IFERROR(IF(ISBLANK(H851),SUMIFS($AC:$AC,$V:$V,V851,$W:$W,W851,$X:$X,X851,$Y:$Y,Y851)*J851/(1-J851)*VLOOKUP(_xlfn.CONCAT(C851,D851,E851,TIME!$M$12,Z851),HIS_SALES!$B$2:$W$4859,20,FALSE),AC851*J851/(1-J851)),0)</f>
        <v>0</v>
      </c>
      <c r="Q851" s="541" t="str">
        <f t="shared" si="326"/>
        <v/>
      </c>
      <c r="R851" s="346" t="str">
        <f t="shared" si="327"/>
        <v>00000</v>
      </c>
      <c r="S851" s="344">
        <f t="shared" si="328"/>
        <v>0</v>
      </c>
      <c r="T851" s="345" t="str">
        <f t="shared" si="341"/>
        <v>000</v>
      </c>
      <c r="U851" s="345">
        <f t="shared" si="329"/>
        <v>0</v>
      </c>
      <c r="V851" s="345">
        <f t="shared" si="330"/>
        <v>0</v>
      </c>
      <c r="W851" s="345">
        <f t="shared" si="331"/>
        <v>0</v>
      </c>
      <c r="X851" s="345">
        <f t="shared" si="332"/>
        <v>0</v>
      </c>
      <c r="Y851" s="345">
        <f t="shared" si="333"/>
        <v>0</v>
      </c>
      <c r="Z851" s="345">
        <f>IF(Q851&lt;&gt;"",VLOOKUP(Y851,TIME!$R$21:$V$24,MATCH(FC_DATA!Q851,TIME!$R$20:$V$20,0),FALSE),H851)</f>
        <v>0</v>
      </c>
      <c r="AA851" s="345" t="str">
        <f>IFERROR(VLOOKUP(X851&amp;Z851,TIME!$A$12:$D$71,4,FALSE),"")</f>
        <v/>
      </c>
      <c r="AB851" s="592">
        <f t="shared" ca="1" si="334"/>
        <v>0</v>
      </c>
      <c r="AC851" s="593" t="e">
        <f ca="1">IF(ISBLANK(H851)=FALSE,IF(D851="BRAND.com",I851,IF(ISNA(VLOOKUP(_xlfn.CONCAT(X851,Z851),TIME!$M$40:$M$42,1,FALSE)),I851,VLOOKUP(_xlfn.CONCAT(D851,G851,H851),M_BUSAREA_FC!$AF$5:$AJ$10,5,FALSE)*HLOOKUP(_xlfn.CONCAT(F851,H851),ST_OVERVIEW!$G$99:$I$130,MATCH(_xlfn.CONCAT(D851,E851),ST_OVERVIEW!$F$99:$F$130,0),FALSE))),IF(D851="BRAND.com",VLOOKUP(_xlfn.CONCAT(C851,D851,E851,TIME!$F$1,Z851),HIS_SALES!$B$2:$V$4859,19,FALSE)*I851,VLOOKUP(_xlfn.CONCAT(D851,F851,G851),Q_BUSAREA_FC!$AE$5:$AI$12,5,FALSE)*HLOOKUP(_xlfn.CONCAT(FC_DATA!F851,FC_DATA!G851),LT_OVERVIEW!$I$99:$M$130,MATCH(_xlfn.CONCAT(D851,FC_DATA!E851),LT_OVERVIEW!$H$99:$H$130,0),FALSE)*IFERROR(VLOOKUP(_xlfn.CONCAT(C851,D851,E851,TIME!$F$1,Z851),HIS_SALES!$B$2:$V$4859,19,FALSE),0)))</f>
        <v>#N/A</v>
      </c>
      <c r="AD851" s="341">
        <f t="shared" ca="1" si="335"/>
        <v>0</v>
      </c>
      <c r="AE851" s="363" t="str">
        <f t="shared" si="336"/>
        <v/>
      </c>
      <c r="AF851" s="342" t="str">
        <f t="shared" si="337"/>
        <v/>
      </c>
      <c r="AG851" s="411" t="e">
        <f ca="1">VLOOKUP(_xlfn.CONCAT(U851,V851,W851,VLOOKUP(X851&amp;Y851,TIME!$L$27:$O$34,4,FALSE),Y851),HIS_SALES!$A$2:$R$5093,18,FALSE)</f>
        <v>#N/A</v>
      </c>
      <c r="AH851" s="412" t="e">
        <f ca="1">IFERROR(IF(AND(V851=V850,W851=W850),0.5*(AB851+AB850)*AG851,(VLOOKUP(_xlfn.CONCAT(U851,V851,W851,X851,VLOOKUP(Z851,TIME!$S$28:$T$39,2,FALSE)),FC_DATA!$R$2:$AB$5000,MATCH("GS_I_M",FC_DATA!$R$1:$AB$1,0),FALSE)+FC_DATA!AB851)*0.5*FC_DATA!AG851),NA())</f>
        <v>#N/A</v>
      </c>
      <c r="AI851" s="491" t="e">
        <f ca="1">IF(V851="PARTNER.com",AH851,IF(AND(V851=V850,W851=W850),(1-AVERAGE(AD850,AD851))*AH851,(1-AVERAGE(AD851,VLOOKUP(_xlfn.CONCAT(U851,V851,W851,X851,M_BRAND_FC!$F$6),FC_DATA!$R$2:$AD$5000,MATCH("DISCOUNT_%_M",FC_DATA!$R$1:$AD$1,0),FALSE)))*AH851))</f>
        <v>#N/A</v>
      </c>
      <c r="AJ851" s="412" t="str">
        <f t="shared" ca="1" si="338"/>
        <v/>
      </c>
      <c r="AK851" s="413" t="str">
        <f>IFERROR(AE851/(Q_BRAND_FC!$T$24+1),"")</f>
        <v/>
      </c>
      <c r="AL851" s="88" t="str">
        <f t="shared" ca="1" si="339"/>
        <v/>
      </c>
      <c r="AM851" s="414" t="str">
        <f t="shared" ca="1" si="340"/>
        <v/>
      </c>
      <c r="AN851" s="58">
        <f>IFERROR(IF($V851="BRAND.com",HLOOKUP($X851&amp;$Z851,NWC_FC_NOOS!$C$4:$Q$23,MATCH(W851,NWC_FC_NOOS!$B$4:$B$23,0),FALSE),0),0)</f>
        <v>0</v>
      </c>
      <c r="AO851" s="57">
        <f>IFERROR(IF($V851="BRAND.com",HLOOKUP($X851&amp;$Z851,NWC_FC_NOOS!$T$4:$AH$23,MATCH(W851,NWC_FC_NOOS!$S$4:$S$23,0),FALSE),0),0)</f>
        <v>0</v>
      </c>
      <c r="AP851" s="57">
        <f>IFERROR(IF($V851="BRAND.com",HLOOKUP($X851&amp;$Z851,NWC_FC_NOOS!$C$50:$U$69,MATCH(W851,NWC_FC_NOOS!$B$50:$B$69,0),FALSE),0),0)</f>
        <v>0</v>
      </c>
      <c r="AQ851" s="58">
        <f>IFERROR(IF($V851="BRAND.com",HLOOKUP($X851&amp;$Z851,'NWC_FC_NON-NOOS'!$C$4:$Q$23,MATCH(W851,'NWC_FC_NON-NOOS'!$B$4:$B$23,0),FALSE),0),0)</f>
        <v>0</v>
      </c>
      <c r="AR851" s="57">
        <f>IFERROR(IF($V851="BRAND.com",HLOOKUP($X851&amp;$Z851,'NWC_FC_NON-NOOS'!$T$4:$AH$23,MATCH(W851,'NWC_FC_NON-NOOS'!$S$4:$S$23,0),FALSE),0),0)</f>
        <v>0</v>
      </c>
      <c r="AS851" s="57">
        <f>IFERROR(IF($V851="BRAND.com",HLOOKUP($X851&amp;$Z851,'NWC_FC_NON-NOOS'!$C$50:$U$69,MATCH(W851,'NWC_FC_NON-NOOS'!$B$50:$B$69,0),FALSE),0),0)</f>
        <v>0</v>
      </c>
      <c r="AT851" s="57">
        <f t="shared" si="342"/>
        <v>0</v>
      </c>
      <c r="AU851" s="57">
        <f t="shared" si="343"/>
        <v>0</v>
      </c>
      <c r="AV851" s="58">
        <f>IFERROR(IF($V851="BRAND.com",HLOOKUP($X851&amp;$Z851,PLANNING_FC!$BB$27:$BP$46,MATCH($W851,PLANNING_FC!$BA$27:$BA$46,0),FALSE),0),0)</f>
        <v>0</v>
      </c>
      <c r="AW851" s="58">
        <f>IFERROR(IF($V851="BRAND.com",HLOOKUP($X851&amp;$Z851,PLANNING_FC!$BB$4:$BP$23,MATCH($W851,PLANNING_FC!$BA$4:$BA$23,0),FALSE),0),0)</f>
        <v>0</v>
      </c>
      <c r="AX851" s="58">
        <f>IFERROR(IF($V851="BRAND.com",HLOOKUP($X851&amp;$Z851,PLANNING_FC!$T$27:$AH$46,MATCH($W851,PLANNING_FC!$B$27:$B$46,0),FALSE),0),0)</f>
        <v>0</v>
      </c>
      <c r="AY851" s="58">
        <f>IFERROR(IF($V851="BRAND.com",HLOOKUP($X851&amp;$Z851,PLANNING_FC!$T$4:$AH$23,MATCH($W851,PLANNING_FC!$B$4:$B$23,0),FALSE),0),0)</f>
        <v>0</v>
      </c>
      <c r="AZ851" s="58">
        <f>IFERROR(IF($V851="BRAND.com",HLOOKUP($X851&amp;$Z851,PLANNING_FC!$DA$27:$DO$46,MATCH($W851,PLANNING_FC!$CZ$27:$CZ$46,0),FALSE),0),0)</f>
        <v>0</v>
      </c>
      <c r="BA851" s="58">
        <f>IFERROR(IF($V851="BRAND.com",HLOOKUP($X851&amp;$Z851,PLANNING_FC!$DA$4:$DO$23,MATCH($W851,PLANNING_FC!$CZ$4:$CZ$23,0),FALSE),0),0)</f>
        <v>0</v>
      </c>
      <c r="BB851" s="883" t="str">
        <f>IF(V851="BRAND.com",IFERROR(HLOOKUP(X851&amp;Z851,PLANNING_FC!$AK$4:$AY$23,MATCH(W851,PLANNING_FC!$AJ$4:$AJ$23,0),FALSE)*1000,""),"")</f>
        <v/>
      </c>
      <c r="BC851" s="883" t="str">
        <f>IF(V851="BRAND.com",IFERROR(HLOOKUP(X851&amp;Z851,PLANNING_FC!$AK$27:$AY$46,MATCH(W851,PLANNING_FC!$AJ$27:$AJ$46,0),FALSE)*1000,""),"")</f>
        <v/>
      </c>
    </row>
    <row r="852" spans="14:55" x14ac:dyDescent="0.25">
      <c r="N852" s="56">
        <f t="shared" si="324"/>
        <v>0</v>
      </c>
      <c r="O852" s="57">
        <f t="shared" si="325"/>
        <v>0</v>
      </c>
      <c r="P852" s="57">
        <f ca="1">IFERROR(IF(ISBLANK(H852),SUMIFS($AC:$AC,$V:$V,V852,$W:$W,W852,$X:$X,X852,$Y:$Y,Y852)*J852/(1-J852)*VLOOKUP(_xlfn.CONCAT(C852,D852,E852,TIME!$M$12,Z852),HIS_SALES!$B$2:$W$4859,20,FALSE),AC852*J852/(1-J852)),0)</f>
        <v>0</v>
      </c>
      <c r="Q852" s="541" t="str">
        <f t="shared" si="326"/>
        <v/>
      </c>
      <c r="R852" s="346" t="str">
        <f t="shared" si="327"/>
        <v>00000</v>
      </c>
      <c r="S852" s="344">
        <f t="shared" si="328"/>
        <v>0</v>
      </c>
      <c r="T852" s="345" t="str">
        <f t="shared" si="341"/>
        <v>000</v>
      </c>
      <c r="U852" s="345">
        <f t="shared" si="329"/>
        <v>0</v>
      </c>
      <c r="V852" s="345">
        <f t="shared" si="330"/>
        <v>0</v>
      </c>
      <c r="W852" s="345">
        <f t="shared" si="331"/>
        <v>0</v>
      </c>
      <c r="X852" s="345">
        <f t="shared" si="332"/>
        <v>0</v>
      </c>
      <c r="Y852" s="345">
        <f t="shared" si="333"/>
        <v>0</v>
      </c>
      <c r="Z852" s="345">
        <f>IF(Q852&lt;&gt;"",VLOOKUP(Y852,TIME!$R$21:$V$24,MATCH(FC_DATA!Q852,TIME!$R$20:$V$20,0),FALSE),H852)</f>
        <v>0</v>
      </c>
      <c r="AA852" s="345" t="str">
        <f>IFERROR(VLOOKUP(X852&amp;Z852,TIME!$A$12:$D$71,4,FALSE),"")</f>
        <v/>
      </c>
      <c r="AB852" s="592">
        <f t="shared" ca="1" si="334"/>
        <v>0</v>
      </c>
      <c r="AC852" s="593" t="e">
        <f ca="1">IF(ISBLANK(H852)=FALSE,IF(D852="BRAND.com",I852,IF(ISNA(VLOOKUP(_xlfn.CONCAT(X852,Z852),TIME!$M$40:$M$42,1,FALSE)),I852,VLOOKUP(_xlfn.CONCAT(D852,G852,H852),M_BUSAREA_FC!$AF$5:$AJ$10,5,FALSE)*HLOOKUP(_xlfn.CONCAT(F852,H852),ST_OVERVIEW!$G$99:$I$130,MATCH(_xlfn.CONCAT(D852,E852),ST_OVERVIEW!$F$99:$F$130,0),FALSE))),IF(D852="BRAND.com",VLOOKUP(_xlfn.CONCAT(C852,D852,E852,TIME!$F$1,Z852),HIS_SALES!$B$2:$V$4859,19,FALSE)*I852,VLOOKUP(_xlfn.CONCAT(D852,F852,G852),Q_BUSAREA_FC!$AE$5:$AI$12,5,FALSE)*HLOOKUP(_xlfn.CONCAT(FC_DATA!F852,FC_DATA!G852),LT_OVERVIEW!$I$99:$M$130,MATCH(_xlfn.CONCAT(D852,FC_DATA!E852),LT_OVERVIEW!$H$99:$H$130,0),FALSE)*IFERROR(VLOOKUP(_xlfn.CONCAT(C852,D852,E852,TIME!$F$1,Z852),HIS_SALES!$B$2:$V$4859,19,FALSE),0)))</f>
        <v>#N/A</v>
      </c>
      <c r="AD852" s="341">
        <f t="shared" ca="1" si="335"/>
        <v>0</v>
      </c>
      <c r="AE852" s="363" t="str">
        <f t="shared" si="336"/>
        <v/>
      </c>
      <c r="AF852" s="342" t="str">
        <f t="shared" si="337"/>
        <v/>
      </c>
      <c r="AG852" s="411" t="e">
        <f ca="1">VLOOKUP(_xlfn.CONCAT(U852,V852,W852,VLOOKUP(X852&amp;Y852,TIME!$L$27:$O$34,4,FALSE),Y852),HIS_SALES!$A$2:$R$5093,18,FALSE)</f>
        <v>#N/A</v>
      </c>
      <c r="AH852" s="412" t="e">
        <f ca="1">IFERROR(IF(AND(V852=V851,W852=W851),0.5*(AB852+AB851)*AG852,(VLOOKUP(_xlfn.CONCAT(U852,V852,W852,X852,VLOOKUP(Z852,TIME!$S$28:$T$39,2,FALSE)),FC_DATA!$R$2:$AB$5000,MATCH("GS_I_M",FC_DATA!$R$1:$AB$1,0),FALSE)+FC_DATA!AB852)*0.5*FC_DATA!AG852),NA())</f>
        <v>#N/A</v>
      </c>
      <c r="AI852" s="491" t="e">
        <f ca="1">IF(V852="PARTNER.com",AH852,IF(AND(V852=V851,W852=W851),(1-AVERAGE(AD851,AD852))*AH852,(1-AVERAGE(AD852,VLOOKUP(_xlfn.CONCAT(U852,V852,W852,X852,M_BRAND_FC!$F$6),FC_DATA!$R$2:$AD$5000,MATCH("DISCOUNT_%_M",FC_DATA!$R$1:$AD$1,0),FALSE)))*AH852))</f>
        <v>#N/A</v>
      </c>
      <c r="AJ852" s="412" t="str">
        <f t="shared" ca="1" si="338"/>
        <v/>
      </c>
      <c r="AK852" s="413" t="str">
        <f>IFERROR(AE852/(Q_BRAND_FC!$T$24+1),"")</f>
        <v/>
      </c>
      <c r="AL852" s="88" t="str">
        <f t="shared" ca="1" si="339"/>
        <v/>
      </c>
      <c r="AM852" s="414" t="str">
        <f t="shared" ca="1" si="340"/>
        <v/>
      </c>
      <c r="AN852" s="58">
        <f>IFERROR(IF($V852="BRAND.com",HLOOKUP($X852&amp;$Z852,NWC_FC_NOOS!$C$4:$Q$23,MATCH(W852,NWC_FC_NOOS!$B$4:$B$23,0),FALSE),0),0)</f>
        <v>0</v>
      </c>
      <c r="AO852" s="57">
        <f>IFERROR(IF($V852="BRAND.com",HLOOKUP($X852&amp;$Z852,NWC_FC_NOOS!$T$4:$AH$23,MATCH(W852,NWC_FC_NOOS!$S$4:$S$23,0),FALSE),0),0)</f>
        <v>0</v>
      </c>
      <c r="AP852" s="57">
        <f>IFERROR(IF($V852="BRAND.com",HLOOKUP($X852&amp;$Z852,NWC_FC_NOOS!$C$50:$U$69,MATCH(W852,NWC_FC_NOOS!$B$50:$B$69,0),FALSE),0),0)</f>
        <v>0</v>
      </c>
      <c r="AQ852" s="58">
        <f>IFERROR(IF($V852="BRAND.com",HLOOKUP($X852&amp;$Z852,'NWC_FC_NON-NOOS'!$C$4:$Q$23,MATCH(W852,'NWC_FC_NON-NOOS'!$B$4:$B$23,0),FALSE),0),0)</f>
        <v>0</v>
      </c>
      <c r="AR852" s="57">
        <f>IFERROR(IF($V852="BRAND.com",HLOOKUP($X852&amp;$Z852,'NWC_FC_NON-NOOS'!$T$4:$AH$23,MATCH(W852,'NWC_FC_NON-NOOS'!$S$4:$S$23,0),FALSE),0),0)</f>
        <v>0</v>
      </c>
      <c r="AS852" s="57">
        <f>IFERROR(IF($V852="BRAND.com",HLOOKUP($X852&amp;$Z852,'NWC_FC_NON-NOOS'!$C$50:$U$69,MATCH(W852,'NWC_FC_NON-NOOS'!$B$50:$B$69,0),FALSE),0),0)</f>
        <v>0</v>
      </c>
      <c r="AT852" s="57">
        <f t="shared" si="342"/>
        <v>0</v>
      </c>
      <c r="AU852" s="57">
        <f t="shared" si="343"/>
        <v>0</v>
      </c>
      <c r="AV852" s="58">
        <f>IFERROR(IF($V852="BRAND.com",HLOOKUP($X852&amp;$Z852,PLANNING_FC!$BB$27:$BP$46,MATCH($W852,PLANNING_FC!$BA$27:$BA$46,0),FALSE),0),0)</f>
        <v>0</v>
      </c>
      <c r="AW852" s="58">
        <f>IFERROR(IF($V852="BRAND.com",HLOOKUP($X852&amp;$Z852,PLANNING_FC!$BB$4:$BP$23,MATCH($W852,PLANNING_FC!$BA$4:$BA$23,0),FALSE),0),0)</f>
        <v>0</v>
      </c>
      <c r="AX852" s="58">
        <f>IFERROR(IF($V852="BRAND.com",HLOOKUP($X852&amp;$Z852,PLANNING_FC!$T$27:$AH$46,MATCH($W852,PLANNING_FC!$B$27:$B$46,0),FALSE),0),0)</f>
        <v>0</v>
      </c>
      <c r="AY852" s="58">
        <f>IFERROR(IF($V852="BRAND.com",HLOOKUP($X852&amp;$Z852,PLANNING_FC!$T$4:$AH$23,MATCH($W852,PLANNING_FC!$B$4:$B$23,0),FALSE),0),0)</f>
        <v>0</v>
      </c>
      <c r="AZ852" s="58">
        <f>IFERROR(IF($V852="BRAND.com",HLOOKUP($X852&amp;$Z852,PLANNING_FC!$DA$27:$DO$46,MATCH($W852,PLANNING_FC!$CZ$27:$CZ$46,0),FALSE),0),0)</f>
        <v>0</v>
      </c>
      <c r="BA852" s="58">
        <f>IFERROR(IF($V852="BRAND.com",HLOOKUP($X852&amp;$Z852,PLANNING_FC!$DA$4:$DO$23,MATCH($W852,PLANNING_FC!$CZ$4:$CZ$23,0),FALSE),0),0)</f>
        <v>0</v>
      </c>
      <c r="BB852" s="883" t="str">
        <f>IF(V852="BRAND.com",IFERROR(HLOOKUP(X852&amp;Z852,PLANNING_FC!$AK$4:$AY$23,MATCH(W852,PLANNING_FC!$AJ$4:$AJ$23,0),FALSE)*1000,""),"")</f>
        <v/>
      </c>
      <c r="BC852" s="883" t="str">
        <f>IF(V852="BRAND.com",IFERROR(HLOOKUP(X852&amp;Z852,PLANNING_FC!$AK$27:$AY$46,MATCH(W852,PLANNING_FC!$AJ$27:$AJ$46,0),FALSE)*1000,""),"")</f>
        <v/>
      </c>
    </row>
    <row r="853" spans="14:55" x14ac:dyDescent="0.25">
      <c r="N853" s="56">
        <f t="shared" si="324"/>
        <v>0</v>
      </c>
      <c r="O853" s="57">
        <f t="shared" si="325"/>
        <v>0</v>
      </c>
      <c r="P853" s="57">
        <f ca="1">IFERROR(IF(ISBLANK(H853),SUMIFS($AC:$AC,$V:$V,V853,$W:$W,W853,$X:$X,X853,$Y:$Y,Y853)*J853/(1-J853)*VLOOKUP(_xlfn.CONCAT(C853,D853,E853,TIME!$M$12,Z853),HIS_SALES!$B$2:$W$4859,20,FALSE),AC853*J853/(1-J853)),0)</f>
        <v>0</v>
      </c>
      <c r="Q853" s="541" t="str">
        <f t="shared" si="326"/>
        <v/>
      </c>
      <c r="R853" s="346" t="str">
        <f t="shared" si="327"/>
        <v>00000</v>
      </c>
      <c r="S853" s="344">
        <f t="shared" si="328"/>
        <v>0</v>
      </c>
      <c r="T853" s="345" t="str">
        <f t="shared" si="341"/>
        <v>000</v>
      </c>
      <c r="U853" s="345">
        <f t="shared" si="329"/>
        <v>0</v>
      </c>
      <c r="V853" s="345">
        <f t="shared" si="330"/>
        <v>0</v>
      </c>
      <c r="W853" s="345">
        <f t="shared" si="331"/>
        <v>0</v>
      </c>
      <c r="X853" s="345">
        <f t="shared" si="332"/>
        <v>0</v>
      </c>
      <c r="Y853" s="345">
        <f t="shared" si="333"/>
        <v>0</v>
      </c>
      <c r="Z853" s="345">
        <f>IF(Q853&lt;&gt;"",VLOOKUP(Y853,TIME!$R$21:$V$24,MATCH(FC_DATA!Q853,TIME!$R$20:$V$20,0),FALSE),H853)</f>
        <v>0</v>
      </c>
      <c r="AA853" s="345" t="str">
        <f>IFERROR(VLOOKUP(X853&amp;Z853,TIME!$A$12:$D$71,4,FALSE),"")</f>
        <v/>
      </c>
      <c r="AB853" s="592">
        <f t="shared" ca="1" si="334"/>
        <v>0</v>
      </c>
      <c r="AC853" s="593" t="e">
        <f ca="1">IF(ISBLANK(H853)=FALSE,IF(D853="BRAND.com",I853,IF(ISNA(VLOOKUP(_xlfn.CONCAT(X853,Z853),TIME!$M$40:$M$42,1,FALSE)),I853,VLOOKUP(_xlfn.CONCAT(D853,G853,H853),M_BUSAREA_FC!$AF$5:$AJ$10,5,FALSE)*HLOOKUP(_xlfn.CONCAT(F853,H853),ST_OVERVIEW!$G$99:$I$130,MATCH(_xlfn.CONCAT(D853,E853),ST_OVERVIEW!$F$99:$F$130,0),FALSE))),IF(D853="BRAND.com",VLOOKUP(_xlfn.CONCAT(C853,D853,E853,TIME!$F$1,Z853),HIS_SALES!$B$2:$V$4859,19,FALSE)*I853,VLOOKUP(_xlfn.CONCAT(D853,F853,G853),Q_BUSAREA_FC!$AE$5:$AI$12,5,FALSE)*HLOOKUP(_xlfn.CONCAT(FC_DATA!F853,FC_DATA!G853),LT_OVERVIEW!$I$99:$M$130,MATCH(_xlfn.CONCAT(D853,FC_DATA!E853),LT_OVERVIEW!$H$99:$H$130,0),FALSE)*IFERROR(VLOOKUP(_xlfn.CONCAT(C853,D853,E853,TIME!$F$1,Z853),HIS_SALES!$B$2:$V$4859,19,FALSE),0)))</f>
        <v>#N/A</v>
      </c>
      <c r="AD853" s="341">
        <f t="shared" ca="1" si="335"/>
        <v>0</v>
      </c>
      <c r="AE853" s="363" t="str">
        <f t="shared" si="336"/>
        <v/>
      </c>
      <c r="AF853" s="342" t="str">
        <f t="shared" si="337"/>
        <v/>
      </c>
      <c r="AG853" s="411" t="e">
        <f ca="1">VLOOKUP(_xlfn.CONCAT(U853,V853,W853,VLOOKUP(X853&amp;Y853,TIME!$L$27:$O$34,4,FALSE),Y853),HIS_SALES!$A$2:$R$5093,18,FALSE)</f>
        <v>#N/A</v>
      </c>
      <c r="AH853" s="412" t="e">
        <f ca="1">IFERROR(IF(AND(V853=V852,W853=W852),0.5*(AB853+AB852)*AG853,(VLOOKUP(_xlfn.CONCAT(U853,V853,W853,X853,VLOOKUP(Z853,TIME!$S$28:$T$39,2,FALSE)),FC_DATA!$R$2:$AB$5000,MATCH("GS_I_M",FC_DATA!$R$1:$AB$1,0),FALSE)+FC_DATA!AB853)*0.5*FC_DATA!AG853),NA())</f>
        <v>#N/A</v>
      </c>
      <c r="AI853" s="491" t="e">
        <f ca="1">IF(V853="PARTNER.com",AH853,IF(AND(V853=V852,W853=W852),(1-AVERAGE(AD852,AD853))*AH853,(1-AVERAGE(AD853,VLOOKUP(_xlfn.CONCAT(U853,V853,W853,X853,M_BRAND_FC!$F$6),FC_DATA!$R$2:$AD$5000,MATCH("DISCOUNT_%_M",FC_DATA!$R$1:$AD$1,0),FALSE)))*AH853))</f>
        <v>#N/A</v>
      </c>
      <c r="AJ853" s="412" t="str">
        <f t="shared" ca="1" si="338"/>
        <v/>
      </c>
      <c r="AK853" s="413" t="str">
        <f>IFERROR(AE853/(Q_BRAND_FC!$T$24+1),"")</f>
        <v/>
      </c>
      <c r="AL853" s="88" t="str">
        <f t="shared" ca="1" si="339"/>
        <v/>
      </c>
      <c r="AM853" s="414" t="str">
        <f t="shared" ca="1" si="340"/>
        <v/>
      </c>
      <c r="AN853" s="58">
        <f>IFERROR(IF($V853="BRAND.com",HLOOKUP($X853&amp;$Z853,NWC_FC_NOOS!$C$4:$Q$23,MATCH(W853,NWC_FC_NOOS!$B$4:$B$23,0),FALSE),0),0)</f>
        <v>0</v>
      </c>
      <c r="AO853" s="57">
        <f>IFERROR(IF($V853="BRAND.com",HLOOKUP($X853&amp;$Z853,NWC_FC_NOOS!$T$4:$AH$23,MATCH(W853,NWC_FC_NOOS!$S$4:$S$23,0),FALSE),0),0)</f>
        <v>0</v>
      </c>
      <c r="AP853" s="57">
        <f>IFERROR(IF($V853="BRAND.com",HLOOKUP($X853&amp;$Z853,NWC_FC_NOOS!$C$50:$U$69,MATCH(W853,NWC_FC_NOOS!$B$50:$B$69,0),FALSE),0),0)</f>
        <v>0</v>
      </c>
      <c r="AQ853" s="58">
        <f>IFERROR(IF($V853="BRAND.com",HLOOKUP($X853&amp;$Z853,'NWC_FC_NON-NOOS'!$C$4:$Q$23,MATCH(W853,'NWC_FC_NON-NOOS'!$B$4:$B$23,0),FALSE),0),0)</f>
        <v>0</v>
      </c>
      <c r="AR853" s="57">
        <f>IFERROR(IF($V853="BRAND.com",HLOOKUP($X853&amp;$Z853,'NWC_FC_NON-NOOS'!$T$4:$AH$23,MATCH(W853,'NWC_FC_NON-NOOS'!$S$4:$S$23,0),FALSE),0),0)</f>
        <v>0</v>
      </c>
      <c r="AS853" s="57">
        <f>IFERROR(IF($V853="BRAND.com",HLOOKUP($X853&amp;$Z853,'NWC_FC_NON-NOOS'!$C$50:$U$69,MATCH(W853,'NWC_FC_NON-NOOS'!$B$50:$B$69,0),FALSE),0),0)</f>
        <v>0</v>
      </c>
      <c r="AT853" s="57">
        <f t="shared" si="342"/>
        <v>0</v>
      </c>
      <c r="AU853" s="57">
        <f t="shared" si="343"/>
        <v>0</v>
      </c>
      <c r="AV853" s="58">
        <f>IFERROR(IF($V853="BRAND.com",HLOOKUP($X853&amp;$Z853,PLANNING_FC!$BB$27:$BP$46,MATCH($W853,PLANNING_FC!$BA$27:$BA$46,0),FALSE),0),0)</f>
        <v>0</v>
      </c>
      <c r="AW853" s="58">
        <f>IFERROR(IF($V853="BRAND.com",HLOOKUP($X853&amp;$Z853,PLANNING_FC!$BB$4:$BP$23,MATCH($W853,PLANNING_FC!$BA$4:$BA$23,0),FALSE),0),0)</f>
        <v>0</v>
      </c>
      <c r="AX853" s="58">
        <f>IFERROR(IF($V853="BRAND.com",HLOOKUP($X853&amp;$Z853,PLANNING_FC!$T$27:$AH$46,MATCH($W853,PLANNING_FC!$B$27:$B$46,0),FALSE),0),0)</f>
        <v>0</v>
      </c>
      <c r="AY853" s="58">
        <f>IFERROR(IF($V853="BRAND.com",HLOOKUP($X853&amp;$Z853,PLANNING_FC!$T$4:$AH$23,MATCH($W853,PLANNING_FC!$B$4:$B$23,0),FALSE),0),0)</f>
        <v>0</v>
      </c>
      <c r="AZ853" s="58">
        <f>IFERROR(IF($V853="BRAND.com",HLOOKUP($X853&amp;$Z853,PLANNING_FC!$DA$27:$DO$46,MATCH($W853,PLANNING_FC!$CZ$27:$CZ$46,0),FALSE),0),0)</f>
        <v>0</v>
      </c>
      <c r="BA853" s="58">
        <f>IFERROR(IF($V853="BRAND.com",HLOOKUP($X853&amp;$Z853,PLANNING_FC!$DA$4:$DO$23,MATCH($W853,PLANNING_FC!$CZ$4:$CZ$23,0),FALSE),0),0)</f>
        <v>0</v>
      </c>
      <c r="BB853" s="883" t="str">
        <f>IF(V853="BRAND.com",IFERROR(HLOOKUP(X853&amp;Z853,PLANNING_FC!$AK$4:$AY$23,MATCH(W853,PLANNING_FC!$AJ$4:$AJ$23,0),FALSE)*1000,""),"")</f>
        <v/>
      </c>
      <c r="BC853" s="883" t="str">
        <f>IF(V853="BRAND.com",IFERROR(HLOOKUP(X853&amp;Z853,PLANNING_FC!$AK$27:$AY$46,MATCH(W853,PLANNING_FC!$AJ$27:$AJ$46,0),FALSE)*1000,""),"")</f>
        <v/>
      </c>
    </row>
    <row r="854" spans="14:55" x14ac:dyDescent="0.25">
      <c r="N854" s="56">
        <f t="shared" si="324"/>
        <v>0</v>
      </c>
      <c r="O854" s="57">
        <f t="shared" si="325"/>
        <v>0</v>
      </c>
      <c r="P854" s="57">
        <f ca="1">IFERROR(IF(ISBLANK(H854),SUMIFS($AC:$AC,$V:$V,V854,$W:$W,W854,$X:$X,X854,$Y:$Y,Y854)*J854/(1-J854)*VLOOKUP(_xlfn.CONCAT(C854,D854,E854,TIME!$M$12,Z854),HIS_SALES!$B$2:$W$4859,20,FALSE),AC854*J854/(1-J854)),0)</f>
        <v>0</v>
      </c>
      <c r="Q854" s="541" t="str">
        <f t="shared" si="326"/>
        <v/>
      </c>
      <c r="R854" s="346" t="str">
        <f t="shared" si="327"/>
        <v>00000</v>
      </c>
      <c r="S854" s="344">
        <f t="shared" si="328"/>
        <v>0</v>
      </c>
      <c r="T854" s="345" t="str">
        <f t="shared" si="341"/>
        <v>000</v>
      </c>
      <c r="U854" s="345">
        <f t="shared" si="329"/>
        <v>0</v>
      </c>
      <c r="V854" s="345">
        <f t="shared" si="330"/>
        <v>0</v>
      </c>
      <c r="W854" s="345">
        <f t="shared" si="331"/>
        <v>0</v>
      </c>
      <c r="X854" s="345">
        <f t="shared" si="332"/>
        <v>0</v>
      </c>
      <c r="Y854" s="345">
        <f t="shared" si="333"/>
        <v>0</v>
      </c>
      <c r="Z854" s="345">
        <f>IF(Q854&lt;&gt;"",VLOOKUP(Y854,TIME!$R$21:$V$24,MATCH(FC_DATA!Q854,TIME!$R$20:$V$20,0),FALSE),H854)</f>
        <v>0</v>
      </c>
      <c r="AA854" s="345" t="str">
        <f>IFERROR(VLOOKUP(X854&amp;Z854,TIME!$A$12:$D$71,4,FALSE),"")</f>
        <v/>
      </c>
      <c r="AB854" s="592">
        <f t="shared" ca="1" si="334"/>
        <v>0</v>
      </c>
      <c r="AC854" s="593" t="e">
        <f ca="1">IF(ISBLANK(H854)=FALSE,IF(D854="BRAND.com",I854,IF(ISNA(VLOOKUP(_xlfn.CONCAT(X854,Z854),TIME!$M$40:$M$42,1,FALSE)),I854,VLOOKUP(_xlfn.CONCAT(D854,G854,H854),M_BUSAREA_FC!$AF$5:$AJ$10,5,FALSE)*HLOOKUP(_xlfn.CONCAT(F854,H854),ST_OVERVIEW!$G$99:$I$130,MATCH(_xlfn.CONCAT(D854,E854),ST_OVERVIEW!$F$99:$F$130,0),FALSE))),IF(D854="BRAND.com",VLOOKUP(_xlfn.CONCAT(C854,D854,E854,TIME!$F$1,Z854),HIS_SALES!$B$2:$V$4859,19,FALSE)*I854,VLOOKUP(_xlfn.CONCAT(D854,F854,G854),Q_BUSAREA_FC!$AE$5:$AI$12,5,FALSE)*HLOOKUP(_xlfn.CONCAT(FC_DATA!F854,FC_DATA!G854),LT_OVERVIEW!$I$99:$M$130,MATCH(_xlfn.CONCAT(D854,FC_DATA!E854),LT_OVERVIEW!$H$99:$H$130,0),FALSE)*IFERROR(VLOOKUP(_xlfn.CONCAT(C854,D854,E854,TIME!$F$1,Z854),HIS_SALES!$B$2:$V$4859,19,FALSE),0)))</f>
        <v>#N/A</v>
      </c>
      <c r="AD854" s="341">
        <f t="shared" ca="1" si="335"/>
        <v>0</v>
      </c>
      <c r="AE854" s="363" t="str">
        <f t="shared" si="336"/>
        <v/>
      </c>
      <c r="AF854" s="342" t="str">
        <f t="shared" si="337"/>
        <v/>
      </c>
      <c r="AG854" s="411" t="e">
        <f ca="1">VLOOKUP(_xlfn.CONCAT(U854,V854,W854,VLOOKUP(X854&amp;Y854,TIME!$L$27:$O$34,4,FALSE),Y854),HIS_SALES!$A$2:$R$5093,18,FALSE)</f>
        <v>#N/A</v>
      </c>
      <c r="AH854" s="412" t="e">
        <f ca="1">IFERROR(IF(AND(V854=V853,W854=W853),0.5*(AB854+AB853)*AG854,(VLOOKUP(_xlfn.CONCAT(U854,V854,W854,X854,VLOOKUP(Z854,TIME!$S$28:$T$39,2,FALSE)),FC_DATA!$R$2:$AB$5000,MATCH("GS_I_M",FC_DATA!$R$1:$AB$1,0),FALSE)+FC_DATA!AB854)*0.5*FC_DATA!AG854),NA())</f>
        <v>#N/A</v>
      </c>
      <c r="AI854" s="491" t="e">
        <f ca="1">IF(V854="PARTNER.com",AH854,IF(AND(V854=V853,W854=W853),(1-AVERAGE(AD853,AD854))*AH854,(1-AVERAGE(AD854,VLOOKUP(_xlfn.CONCAT(U854,V854,W854,X854,M_BRAND_FC!$F$6),FC_DATA!$R$2:$AD$5000,MATCH("DISCOUNT_%_M",FC_DATA!$R$1:$AD$1,0),FALSE)))*AH854))</f>
        <v>#N/A</v>
      </c>
      <c r="AJ854" s="412" t="str">
        <f t="shared" ca="1" si="338"/>
        <v/>
      </c>
      <c r="AK854" s="413" t="str">
        <f>IFERROR(AE854/(Q_BRAND_FC!$T$24+1),"")</f>
        <v/>
      </c>
      <c r="AL854" s="88" t="str">
        <f t="shared" ca="1" si="339"/>
        <v/>
      </c>
      <c r="AM854" s="414" t="str">
        <f t="shared" ca="1" si="340"/>
        <v/>
      </c>
      <c r="AN854" s="58">
        <f>IFERROR(IF($V854="BRAND.com",HLOOKUP($X854&amp;$Z854,NWC_FC_NOOS!$C$4:$Q$23,MATCH(W854,NWC_FC_NOOS!$B$4:$B$23,0),FALSE),0),0)</f>
        <v>0</v>
      </c>
      <c r="AO854" s="57">
        <f>IFERROR(IF($V854="BRAND.com",HLOOKUP($X854&amp;$Z854,NWC_FC_NOOS!$T$4:$AH$23,MATCH(W854,NWC_FC_NOOS!$S$4:$S$23,0),FALSE),0),0)</f>
        <v>0</v>
      </c>
      <c r="AP854" s="57">
        <f>IFERROR(IF($V854="BRAND.com",HLOOKUP($X854&amp;$Z854,NWC_FC_NOOS!$C$50:$U$69,MATCH(W854,NWC_FC_NOOS!$B$50:$B$69,0),FALSE),0),0)</f>
        <v>0</v>
      </c>
      <c r="AQ854" s="58">
        <f>IFERROR(IF($V854="BRAND.com",HLOOKUP($X854&amp;$Z854,'NWC_FC_NON-NOOS'!$C$4:$Q$23,MATCH(W854,'NWC_FC_NON-NOOS'!$B$4:$B$23,0),FALSE),0),0)</f>
        <v>0</v>
      </c>
      <c r="AR854" s="57">
        <f>IFERROR(IF($V854="BRAND.com",HLOOKUP($X854&amp;$Z854,'NWC_FC_NON-NOOS'!$T$4:$AH$23,MATCH(W854,'NWC_FC_NON-NOOS'!$S$4:$S$23,0),FALSE),0),0)</f>
        <v>0</v>
      </c>
      <c r="AS854" s="57">
        <f>IFERROR(IF($V854="BRAND.com",HLOOKUP($X854&amp;$Z854,'NWC_FC_NON-NOOS'!$C$50:$U$69,MATCH(W854,'NWC_FC_NON-NOOS'!$B$50:$B$69,0),FALSE),0),0)</f>
        <v>0</v>
      </c>
      <c r="AT854" s="57">
        <f t="shared" si="342"/>
        <v>0</v>
      </c>
      <c r="AU854" s="57">
        <f t="shared" si="343"/>
        <v>0</v>
      </c>
      <c r="AV854" s="58">
        <f>IFERROR(IF($V854="BRAND.com",HLOOKUP($X854&amp;$Z854,PLANNING_FC!$BB$27:$BP$46,MATCH($W854,PLANNING_FC!$BA$27:$BA$46,0),FALSE),0),0)</f>
        <v>0</v>
      </c>
      <c r="AW854" s="58">
        <f>IFERROR(IF($V854="BRAND.com",HLOOKUP($X854&amp;$Z854,PLANNING_FC!$BB$4:$BP$23,MATCH($W854,PLANNING_FC!$BA$4:$BA$23,0),FALSE),0),0)</f>
        <v>0</v>
      </c>
      <c r="AX854" s="58">
        <f>IFERROR(IF($V854="BRAND.com",HLOOKUP($X854&amp;$Z854,PLANNING_FC!$T$27:$AH$46,MATCH($W854,PLANNING_FC!$B$27:$B$46,0),FALSE),0),0)</f>
        <v>0</v>
      </c>
      <c r="AY854" s="58">
        <f>IFERROR(IF($V854="BRAND.com",HLOOKUP($X854&amp;$Z854,PLANNING_FC!$T$4:$AH$23,MATCH($W854,PLANNING_FC!$B$4:$B$23,0),FALSE),0),0)</f>
        <v>0</v>
      </c>
      <c r="AZ854" s="58">
        <f>IFERROR(IF($V854="BRAND.com",HLOOKUP($X854&amp;$Z854,PLANNING_FC!$DA$27:$DO$46,MATCH($W854,PLANNING_FC!$CZ$27:$CZ$46,0),FALSE),0),0)</f>
        <v>0</v>
      </c>
      <c r="BA854" s="58">
        <f>IFERROR(IF($V854="BRAND.com",HLOOKUP($X854&amp;$Z854,PLANNING_FC!$DA$4:$DO$23,MATCH($W854,PLANNING_FC!$CZ$4:$CZ$23,0),FALSE),0),0)</f>
        <v>0</v>
      </c>
      <c r="BB854" s="883" t="str">
        <f>IF(V854="BRAND.com",IFERROR(HLOOKUP(X854&amp;Z854,PLANNING_FC!$AK$4:$AY$23,MATCH(W854,PLANNING_FC!$AJ$4:$AJ$23,0),FALSE)*1000,""),"")</f>
        <v/>
      </c>
      <c r="BC854" s="883" t="str">
        <f>IF(V854="BRAND.com",IFERROR(HLOOKUP(X854&amp;Z854,PLANNING_FC!$AK$27:$AY$46,MATCH(W854,PLANNING_FC!$AJ$27:$AJ$46,0),FALSE)*1000,""),"")</f>
        <v/>
      </c>
    </row>
    <row r="855" spans="14:55" x14ac:dyDescent="0.25">
      <c r="N855" s="56">
        <f t="shared" si="324"/>
        <v>0</v>
      </c>
      <c r="O855" s="57">
        <f t="shared" si="325"/>
        <v>0</v>
      </c>
      <c r="P855" s="57">
        <f ca="1">IFERROR(IF(ISBLANK(H855),SUMIFS($AC:$AC,$V:$V,V855,$W:$W,W855,$X:$X,X855,$Y:$Y,Y855)*J855/(1-J855)*VLOOKUP(_xlfn.CONCAT(C855,D855,E855,TIME!$M$12,Z855),HIS_SALES!$B$2:$W$4859,20,FALSE),AC855*J855/(1-J855)),0)</f>
        <v>0</v>
      </c>
      <c r="Q855" s="541" t="str">
        <f t="shared" si="326"/>
        <v/>
      </c>
      <c r="R855" s="346" t="str">
        <f t="shared" si="327"/>
        <v>00000</v>
      </c>
      <c r="S855" s="344">
        <f t="shared" si="328"/>
        <v>0</v>
      </c>
      <c r="T855" s="345" t="str">
        <f t="shared" si="341"/>
        <v>000</v>
      </c>
      <c r="U855" s="345">
        <f t="shared" si="329"/>
        <v>0</v>
      </c>
      <c r="V855" s="345">
        <f t="shared" si="330"/>
        <v>0</v>
      </c>
      <c r="W855" s="345">
        <f t="shared" si="331"/>
        <v>0</v>
      </c>
      <c r="X855" s="345">
        <f t="shared" si="332"/>
        <v>0</v>
      </c>
      <c r="Y855" s="345">
        <f t="shared" si="333"/>
        <v>0</v>
      </c>
      <c r="Z855" s="345">
        <f>IF(Q855&lt;&gt;"",VLOOKUP(Y855,TIME!$R$21:$V$24,MATCH(FC_DATA!Q855,TIME!$R$20:$V$20,0),FALSE),H855)</f>
        <v>0</v>
      </c>
      <c r="AA855" s="345" t="str">
        <f>IFERROR(VLOOKUP(X855&amp;Z855,TIME!$A$12:$D$71,4,FALSE),"")</f>
        <v/>
      </c>
      <c r="AB855" s="592">
        <f t="shared" ca="1" si="334"/>
        <v>0</v>
      </c>
      <c r="AC855" s="593" t="e">
        <f ca="1">IF(ISBLANK(H855)=FALSE,IF(D855="BRAND.com",I855,IF(ISNA(VLOOKUP(_xlfn.CONCAT(X855,Z855),TIME!$M$40:$M$42,1,FALSE)),I855,VLOOKUP(_xlfn.CONCAT(D855,G855,H855),M_BUSAREA_FC!$AF$5:$AJ$10,5,FALSE)*HLOOKUP(_xlfn.CONCAT(F855,H855),ST_OVERVIEW!$G$99:$I$130,MATCH(_xlfn.CONCAT(D855,E855),ST_OVERVIEW!$F$99:$F$130,0),FALSE))),IF(D855="BRAND.com",VLOOKUP(_xlfn.CONCAT(C855,D855,E855,TIME!$F$1,Z855),HIS_SALES!$B$2:$V$4859,19,FALSE)*I855,VLOOKUP(_xlfn.CONCAT(D855,F855,G855),Q_BUSAREA_FC!$AE$5:$AI$12,5,FALSE)*HLOOKUP(_xlfn.CONCAT(FC_DATA!F855,FC_DATA!G855),LT_OVERVIEW!$I$99:$M$130,MATCH(_xlfn.CONCAT(D855,FC_DATA!E855),LT_OVERVIEW!$H$99:$H$130,0),FALSE)*IFERROR(VLOOKUP(_xlfn.CONCAT(C855,D855,E855,TIME!$F$1,Z855),HIS_SALES!$B$2:$V$4859,19,FALSE),0)))</f>
        <v>#N/A</v>
      </c>
      <c r="AD855" s="341">
        <f t="shared" ca="1" si="335"/>
        <v>0</v>
      </c>
      <c r="AE855" s="363" t="str">
        <f t="shared" si="336"/>
        <v/>
      </c>
      <c r="AF855" s="342" t="str">
        <f t="shared" si="337"/>
        <v/>
      </c>
      <c r="AG855" s="411" t="e">
        <f ca="1">VLOOKUP(_xlfn.CONCAT(U855,V855,W855,VLOOKUP(X855&amp;Y855,TIME!$L$27:$O$34,4,FALSE),Y855),HIS_SALES!$A$2:$R$5093,18,FALSE)</f>
        <v>#N/A</v>
      </c>
      <c r="AH855" s="412" t="e">
        <f ca="1">IFERROR(IF(AND(V855=V854,W855=W854),0.5*(AB855+AB854)*AG855,(VLOOKUP(_xlfn.CONCAT(U855,V855,W855,X855,VLOOKUP(Z855,TIME!$S$28:$T$39,2,FALSE)),FC_DATA!$R$2:$AB$5000,MATCH("GS_I_M",FC_DATA!$R$1:$AB$1,0),FALSE)+FC_DATA!AB855)*0.5*FC_DATA!AG855),NA())</f>
        <v>#N/A</v>
      </c>
      <c r="AI855" s="491" t="e">
        <f ca="1">IF(V855="PARTNER.com",AH855,IF(AND(V855=V854,W855=W854),(1-AVERAGE(AD854,AD855))*AH855,(1-AVERAGE(AD855,VLOOKUP(_xlfn.CONCAT(U855,V855,W855,X855,M_BRAND_FC!$F$6),FC_DATA!$R$2:$AD$5000,MATCH("DISCOUNT_%_M",FC_DATA!$R$1:$AD$1,0),FALSE)))*AH855))</f>
        <v>#N/A</v>
      </c>
      <c r="AJ855" s="412" t="str">
        <f t="shared" ca="1" si="338"/>
        <v/>
      </c>
      <c r="AK855" s="413" t="str">
        <f>IFERROR(AE855/(Q_BRAND_FC!$T$24+1),"")</f>
        <v/>
      </c>
      <c r="AL855" s="88" t="str">
        <f t="shared" ca="1" si="339"/>
        <v/>
      </c>
      <c r="AM855" s="414" t="str">
        <f t="shared" ca="1" si="340"/>
        <v/>
      </c>
      <c r="AN855" s="58">
        <f>IFERROR(IF($V855="BRAND.com",HLOOKUP($X855&amp;$Z855,NWC_FC_NOOS!$C$4:$Q$23,MATCH(W855,NWC_FC_NOOS!$B$4:$B$23,0),FALSE),0),0)</f>
        <v>0</v>
      </c>
      <c r="AO855" s="57">
        <f>IFERROR(IF($V855="BRAND.com",HLOOKUP($X855&amp;$Z855,NWC_FC_NOOS!$T$4:$AH$23,MATCH(W855,NWC_FC_NOOS!$S$4:$S$23,0),FALSE),0),0)</f>
        <v>0</v>
      </c>
      <c r="AP855" s="57">
        <f>IFERROR(IF($V855="BRAND.com",HLOOKUP($X855&amp;$Z855,NWC_FC_NOOS!$C$50:$U$69,MATCH(W855,NWC_FC_NOOS!$B$50:$B$69,0),FALSE),0),0)</f>
        <v>0</v>
      </c>
      <c r="AQ855" s="58">
        <f>IFERROR(IF($V855="BRAND.com",HLOOKUP($X855&amp;$Z855,'NWC_FC_NON-NOOS'!$C$4:$Q$23,MATCH(W855,'NWC_FC_NON-NOOS'!$B$4:$B$23,0),FALSE),0),0)</f>
        <v>0</v>
      </c>
      <c r="AR855" s="57">
        <f>IFERROR(IF($V855="BRAND.com",HLOOKUP($X855&amp;$Z855,'NWC_FC_NON-NOOS'!$T$4:$AH$23,MATCH(W855,'NWC_FC_NON-NOOS'!$S$4:$S$23,0),FALSE),0),0)</f>
        <v>0</v>
      </c>
      <c r="AS855" s="57">
        <f>IFERROR(IF($V855="BRAND.com",HLOOKUP($X855&amp;$Z855,'NWC_FC_NON-NOOS'!$C$50:$U$69,MATCH(W855,'NWC_FC_NON-NOOS'!$B$50:$B$69,0),FALSE),0),0)</f>
        <v>0</v>
      </c>
      <c r="AT855" s="57">
        <f t="shared" si="342"/>
        <v>0</v>
      </c>
      <c r="AU855" s="57">
        <f t="shared" si="343"/>
        <v>0</v>
      </c>
      <c r="AV855" s="58">
        <f>IFERROR(IF($V855="BRAND.com",HLOOKUP($X855&amp;$Z855,PLANNING_FC!$BB$27:$BP$46,MATCH($W855,PLANNING_FC!$BA$27:$BA$46,0),FALSE),0),0)</f>
        <v>0</v>
      </c>
      <c r="AW855" s="58">
        <f>IFERROR(IF($V855="BRAND.com",HLOOKUP($X855&amp;$Z855,PLANNING_FC!$BB$4:$BP$23,MATCH($W855,PLANNING_FC!$BA$4:$BA$23,0),FALSE),0),0)</f>
        <v>0</v>
      </c>
      <c r="AX855" s="58">
        <f>IFERROR(IF($V855="BRAND.com",HLOOKUP($X855&amp;$Z855,PLANNING_FC!$T$27:$AH$46,MATCH($W855,PLANNING_FC!$B$27:$B$46,0),FALSE),0),0)</f>
        <v>0</v>
      </c>
      <c r="AY855" s="58">
        <f>IFERROR(IF($V855="BRAND.com",HLOOKUP($X855&amp;$Z855,PLANNING_FC!$T$4:$AH$23,MATCH($W855,PLANNING_FC!$B$4:$B$23,0),FALSE),0),0)</f>
        <v>0</v>
      </c>
      <c r="AZ855" s="58">
        <f>IFERROR(IF($V855="BRAND.com",HLOOKUP($X855&amp;$Z855,PLANNING_FC!$DA$27:$DO$46,MATCH($W855,PLANNING_FC!$CZ$27:$CZ$46,0),FALSE),0),0)</f>
        <v>0</v>
      </c>
      <c r="BA855" s="58">
        <f>IFERROR(IF($V855="BRAND.com",HLOOKUP($X855&amp;$Z855,PLANNING_FC!$DA$4:$DO$23,MATCH($W855,PLANNING_FC!$CZ$4:$CZ$23,0),FALSE),0),0)</f>
        <v>0</v>
      </c>
      <c r="BB855" s="883" t="str">
        <f>IF(V855="BRAND.com",IFERROR(HLOOKUP(X855&amp;Z855,PLANNING_FC!$AK$4:$AY$23,MATCH(W855,PLANNING_FC!$AJ$4:$AJ$23,0),FALSE)*1000,""),"")</f>
        <v/>
      </c>
      <c r="BC855" s="883" t="str">
        <f>IF(V855="BRAND.com",IFERROR(HLOOKUP(X855&amp;Z855,PLANNING_FC!$AK$27:$AY$46,MATCH(W855,PLANNING_FC!$AJ$27:$AJ$46,0),FALSE)*1000,""),"")</f>
        <v/>
      </c>
    </row>
    <row r="856" spans="14:55" x14ac:dyDescent="0.25">
      <c r="N856" s="56">
        <f t="shared" si="324"/>
        <v>0</v>
      </c>
      <c r="O856" s="57">
        <f t="shared" si="325"/>
        <v>0</v>
      </c>
      <c r="P856" s="57">
        <f ca="1">IFERROR(IF(ISBLANK(H856),SUMIFS($AC:$AC,$V:$V,V856,$W:$W,W856,$X:$X,X856,$Y:$Y,Y856)*J856/(1-J856)*VLOOKUP(_xlfn.CONCAT(C856,D856,E856,TIME!$M$12,Z856),HIS_SALES!$B$2:$W$4859,20,FALSE),AC856*J856/(1-J856)),0)</f>
        <v>0</v>
      </c>
      <c r="Q856" s="541" t="str">
        <f t="shared" si="326"/>
        <v/>
      </c>
      <c r="R856" s="346" t="str">
        <f t="shared" si="327"/>
        <v>00000</v>
      </c>
      <c r="S856" s="344">
        <f t="shared" si="328"/>
        <v>0</v>
      </c>
      <c r="T856" s="345" t="str">
        <f t="shared" si="341"/>
        <v>000</v>
      </c>
      <c r="U856" s="345">
        <f t="shared" si="329"/>
        <v>0</v>
      </c>
      <c r="V856" s="345">
        <f t="shared" si="330"/>
        <v>0</v>
      </c>
      <c r="W856" s="345">
        <f t="shared" si="331"/>
        <v>0</v>
      </c>
      <c r="X856" s="345">
        <f t="shared" si="332"/>
        <v>0</v>
      </c>
      <c r="Y856" s="345">
        <f t="shared" si="333"/>
        <v>0</v>
      </c>
      <c r="Z856" s="345">
        <f>IF(Q856&lt;&gt;"",VLOOKUP(Y856,TIME!$R$21:$V$24,MATCH(FC_DATA!Q856,TIME!$R$20:$V$20,0),FALSE),H856)</f>
        <v>0</v>
      </c>
      <c r="AA856" s="345" t="str">
        <f>IFERROR(VLOOKUP(X856&amp;Z856,TIME!$A$12:$D$71,4,FALSE),"")</f>
        <v/>
      </c>
      <c r="AB856" s="592">
        <f t="shared" ca="1" si="334"/>
        <v>0</v>
      </c>
      <c r="AC856" s="593" t="e">
        <f ca="1">IF(ISBLANK(H856)=FALSE,IF(D856="BRAND.com",I856,IF(ISNA(VLOOKUP(_xlfn.CONCAT(X856,Z856),TIME!$M$40:$M$42,1,FALSE)),I856,VLOOKUP(_xlfn.CONCAT(D856,G856,H856),M_BUSAREA_FC!$AF$5:$AJ$10,5,FALSE)*HLOOKUP(_xlfn.CONCAT(F856,H856),ST_OVERVIEW!$G$99:$I$130,MATCH(_xlfn.CONCAT(D856,E856),ST_OVERVIEW!$F$99:$F$130,0),FALSE))),IF(D856="BRAND.com",VLOOKUP(_xlfn.CONCAT(C856,D856,E856,TIME!$F$1,Z856),HIS_SALES!$B$2:$V$4859,19,FALSE)*I856,VLOOKUP(_xlfn.CONCAT(D856,F856,G856),Q_BUSAREA_FC!$AE$5:$AI$12,5,FALSE)*HLOOKUP(_xlfn.CONCAT(FC_DATA!F856,FC_DATA!G856),LT_OVERVIEW!$I$99:$M$130,MATCH(_xlfn.CONCAT(D856,FC_DATA!E856),LT_OVERVIEW!$H$99:$H$130,0),FALSE)*IFERROR(VLOOKUP(_xlfn.CONCAT(C856,D856,E856,TIME!$F$1,Z856),HIS_SALES!$B$2:$V$4859,19,FALSE),0)))</f>
        <v>#N/A</v>
      </c>
      <c r="AD856" s="341">
        <f t="shared" ca="1" si="335"/>
        <v>0</v>
      </c>
      <c r="AE856" s="363" t="str">
        <f t="shared" si="336"/>
        <v/>
      </c>
      <c r="AF856" s="342" t="str">
        <f t="shared" si="337"/>
        <v/>
      </c>
      <c r="AG856" s="411" t="e">
        <f ca="1">VLOOKUP(_xlfn.CONCAT(U856,V856,W856,VLOOKUP(X856&amp;Y856,TIME!$L$27:$O$34,4,FALSE),Y856),HIS_SALES!$A$2:$R$5093,18,FALSE)</f>
        <v>#N/A</v>
      </c>
      <c r="AH856" s="412" t="e">
        <f ca="1">IFERROR(IF(AND(V856=V855,W856=W855),0.5*(AB856+AB855)*AG856,(VLOOKUP(_xlfn.CONCAT(U856,V856,W856,X856,VLOOKUP(Z856,TIME!$S$28:$T$39,2,FALSE)),FC_DATA!$R$2:$AB$5000,MATCH("GS_I_M",FC_DATA!$R$1:$AB$1,0),FALSE)+FC_DATA!AB856)*0.5*FC_DATA!AG856),NA())</f>
        <v>#N/A</v>
      </c>
      <c r="AI856" s="491" t="e">
        <f ca="1">IF(V856="PARTNER.com",AH856,IF(AND(V856=V855,W856=W855),(1-AVERAGE(AD855,AD856))*AH856,(1-AVERAGE(AD856,VLOOKUP(_xlfn.CONCAT(U856,V856,W856,X856,M_BRAND_FC!$F$6),FC_DATA!$R$2:$AD$5000,MATCH("DISCOUNT_%_M",FC_DATA!$R$1:$AD$1,0),FALSE)))*AH856))</f>
        <v>#N/A</v>
      </c>
      <c r="AJ856" s="412" t="str">
        <f t="shared" ca="1" si="338"/>
        <v/>
      </c>
      <c r="AK856" s="413" t="str">
        <f>IFERROR(AE856/(Q_BRAND_FC!$T$24+1),"")</f>
        <v/>
      </c>
      <c r="AL856" s="88" t="str">
        <f t="shared" ca="1" si="339"/>
        <v/>
      </c>
      <c r="AM856" s="414" t="str">
        <f t="shared" ca="1" si="340"/>
        <v/>
      </c>
      <c r="AN856" s="58">
        <f>IFERROR(IF($V856="BRAND.com",HLOOKUP($X856&amp;$Z856,NWC_FC_NOOS!$C$4:$Q$23,MATCH(W856,NWC_FC_NOOS!$B$4:$B$23,0),FALSE),0),0)</f>
        <v>0</v>
      </c>
      <c r="AO856" s="57">
        <f>IFERROR(IF($V856="BRAND.com",HLOOKUP($X856&amp;$Z856,NWC_FC_NOOS!$T$4:$AH$23,MATCH(W856,NWC_FC_NOOS!$S$4:$S$23,0),FALSE),0),0)</f>
        <v>0</v>
      </c>
      <c r="AP856" s="57">
        <f>IFERROR(IF($V856="BRAND.com",HLOOKUP($X856&amp;$Z856,NWC_FC_NOOS!$C$50:$U$69,MATCH(W856,NWC_FC_NOOS!$B$50:$B$69,0),FALSE),0),0)</f>
        <v>0</v>
      </c>
      <c r="AQ856" s="58">
        <f>IFERROR(IF($V856="BRAND.com",HLOOKUP($X856&amp;$Z856,'NWC_FC_NON-NOOS'!$C$4:$Q$23,MATCH(W856,'NWC_FC_NON-NOOS'!$B$4:$B$23,0),FALSE),0),0)</f>
        <v>0</v>
      </c>
      <c r="AR856" s="57">
        <f>IFERROR(IF($V856="BRAND.com",HLOOKUP($X856&amp;$Z856,'NWC_FC_NON-NOOS'!$T$4:$AH$23,MATCH(W856,'NWC_FC_NON-NOOS'!$S$4:$S$23,0),FALSE),0),0)</f>
        <v>0</v>
      </c>
      <c r="AS856" s="57">
        <f>IFERROR(IF($V856="BRAND.com",HLOOKUP($X856&amp;$Z856,'NWC_FC_NON-NOOS'!$C$50:$U$69,MATCH(W856,'NWC_FC_NON-NOOS'!$B$50:$B$69,0),FALSE),0),0)</f>
        <v>0</v>
      </c>
      <c r="AT856" s="57">
        <f t="shared" si="342"/>
        <v>0</v>
      </c>
      <c r="AU856" s="57">
        <f t="shared" si="343"/>
        <v>0</v>
      </c>
      <c r="AV856" s="58">
        <f>IFERROR(IF($V856="BRAND.com",HLOOKUP($X856&amp;$Z856,PLANNING_FC!$BB$27:$BP$46,MATCH($W856,PLANNING_FC!$BA$27:$BA$46,0),FALSE),0),0)</f>
        <v>0</v>
      </c>
      <c r="AW856" s="58">
        <f>IFERROR(IF($V856="BRAND.com",HLOOKUP($X856&amp;$Z856,PLANNING_FC!$BB$4:$BP$23,MATCH($W856,PLANNING_FC!$BA$4:$BA$23,0),FALSE),0),0)</f>
        <v>0</v>
      </c>
      <c r="AX856" s="58">
        <f>IFERROR(IF($V856="BRAND.com",HLOOKUP($X856&amp;$Z856,PLANNING_FC!$T$27:$AH$46,MATCH($W856,PLANNING_FC!$B$27:$B$46,0),FALSE),0),0)</f>
        <v>0</v>
      </c>
      <c r="AY856" s="58">
        <f>IFERROR(IF($V856="BRAND.com",HLOOKUP($X856&amp;$Z856,PLANNING_FC!$T$4:$AH$23,MATCH($W856,PLANNING_FC!$B$4:$B$23,0),FALSE),0),0)</f>
        <v>0</v>
      </c>
      <c r="AZ856" s="58">
        <f>IFERROR(IF($V856="BRAND.com",HLOOKUP($X856&amp;$Z856,PLANNING_FC!$DA$27:$DO$46,MATCH($W856,PLANNING_FC!$CZ$27:$CZ$46,0),FALSE),0),0)</f>
        <v>0</v>
      </c>
      <c r="BA856" s="58">
        <f>IFERROR(IF($V856="BRAND.com",HLOOKUP($X856&amp;$Z856,PLANNING_FC!$DA$4:$DO$23,MATCH($W856,PLANNING_FC!$CZ$4:$CZ$23,0),FALSE),0),0)</f>
        <v>0</v>
      </c>
      <c r="BB856" s="883" t="str">
        <f>IF(V856="BRAND.com",IFERROR(HLOOKUP(X856&amp;Z856,PLANNING_FC!$AK$4:$AY$23,MATCH(W856,PLANNING_FC!$AJ$4:$AJ$23,0),FALSE)*1000,""),"")</f>
        <v/>
      </c>
      <c r="BC856" s="883" t="str">
        <f>IF(V856="BRAND.com",IFERROR(HLOOKUP(X856&amp;Z856,PLANNING_FC!$AK$27:$AY$46,MATCH(W856,PLANNING_FC!$AJ$27:$AJ$46,0),FALSE)*1000,""),"")</f>
        <v/>
      </c>
    </row>
    <row r="857" spans="14:55" x14ac:dyDescent="0.25">
      <c r="N857" s="56">
        <f t="shared" si="324"/>
        <v>0</v>
      </c>
      <c r="O857" s="57">
        <f t="shared" si="325"/>
        <v>0</v>
      </c>
      <c r="P857" s="57">
        <f ca="1">IFERROR(IF(ISBLANK(H857),SUMIFS($AC:$AC,$V:$V,V857,$W:$W,W857,$X:$X,X857,$Y:$Y,Y857)*J857/(1-J857)*VLOOKUP(_xlfn.CONCAT(C857,D857,E857,TIME!$M$12,Z857),HIS_SALES!$B$2:$W$4859,20,FALSE),AC857*J857/(1-J857)),0)</f>
        <v>0</v>
      </c>
      <c r="Q857" s="541" t="str">
        <f t="shared" si="326"/>
        <v/>
      </c>
      <c r="R857" s="346" t="str">
        <f t="shared" si="327"/>
        <v>00000</v>
      </c>
      <c r="S857" s="344">
        <f t="shared" si="328"/>
        <v>0</v>
      </c>
      <c r="T857" s="345" t="str">
        <f t="shared" si="341"/>
        <v>000</v>
      </c>
      <c r="U857" s="345">
        <f t="shared" si="329"/>
        <v>0</v>
      </c>
      <c r="V857" s="345">
        <f t="shared" si="330"/>
        <v>0</v>
      </c>
      <c r="W857" s="345">
        <f t="shared" si="331"/>
        <v>0</v>
      </c>
      <c r="X857" s="345">
        <f t="shared" si="332"/>
        <v>0</v>
      </c>
      <c r="Y857" s="345">
        <f t="shared" si="333"/>
        <v>0</v>
      </c>
      <c r="Z857" s="345">
        <f>IF(Q857&lt;&gt;"",VLOOKUP(Y857,TIME!$R$21:$V$24,MATCH(FC_DATA!Q857,TIME!$R$20:$V$20,0),FALSE),H857)</f>
        <v>0</v>
      </c>
      <c r="AA857" s="345" t="str">
        <f>IFERROR(VLOOKUP(X857&amp;Z857,TIME!$A$12:$D$71,4,FALSE),"")</f>
        <v/>
      </c>
      <c r="AB857" s="592">
        <f t="shared" ca="1" si="334"/>
        <v>0</v>
      </c>
      <c r="AC857" s="593" t="e">
        <f ca="1">IF(ISBLANK(H857)=FALSE,IF(D857="BRAND.com",I857,IF(ISNA(VLOOKUP(_xlfn.CONCAT(X857,Z857),TIME!$M$40:$M$42,1,FALSE)),I857,VLOOKUP(_xlfn.CONCAT(D857,G857,H857),M_BUSAREA_FC!$AF$5:$AJ$10,5,FALSE)*HLOOKUP(_xlfn.CONCAT(F857,H857),ST_OVERVIEW!$G$99:$I$130,MATCH(_xlfn.CONCAT(D857,E857),ST_OVERVIEW!$F$99:$F$130,0),FALSE))),IF(D857="BRAND.com",VLOOKUP(_xlfn.CONCAT(C857,D857,E857,TIME!$F$1,Z857),HIS_SALES!$B$2:$V$4859,19,FALSE)*I857,VLOOKUP(_xlfn.CONCAT(D857,F857,G857),Q_BUSAREA_FC!$AE$5:$AI$12,5,FALSE)*HLOOKUP(_xlfn.CONCAT(FC_DATA!F857,FC_DATA!G857),LT_OVERVIEW!$I$99:$M$130,MATCH(_xlfn.CONCAT(D857,FC_DATA!E857),LT_OVERVIEW!$H$99:$H$130,0),FALSE)*IFERROR(VLOOKUP(_xlfn.CONCAT(C857,D857,E857,TIME!$F$1,Z857),HIS_SALES!$B$2:$V$4859,19,FALSE),0)))</f>
        <v>#N/A</v>
      </c>
      <c r="AD857" s="341">
        <f t="shared" ca="1" si="335"/>
        <v>0</v>
      </c>
      <c r="AE857" s="363" t="str">
        <f t="shared" si="336"/>
        <v/>
      </c>
      <c r="AF857" s="342" t="str">
        <f t="shared" si="337"/>
        <v/>
      </c>
      <c r="AG857" s="411" t="e">
        <f ca="1">VLOOKUP(_xlfn.CONCAT(U857,V857,W857,VLOOKUP(X857&amp;Y857,TIME!$L$27:$O$34,4,FALSE),Y857),HIS_SALES!$A$2:$R$5093,18,FALSE)</f>
        <v>#N/A</v>
      </c>
      <c r="AH857" s="412" t="e">
        <f ca="1">IFERROR(IF(AND(V857=V856,W857=W856),0.5*(AB857+AB856)*AG857,(VLOOKUP(_xlfn.CONCAT(U857,V857,W857,X857,VLOOKUP(Z857,TIME!$S$28:$T$39,2,FALSE)),FC_DATA!$R$2:$AB$5000,MATCH("GS_I_M",FC_DATA!$R$1:$AB$1,0),FALSE)+FC_DATA!AB857)*0.5*FC_DATA!AG857),NA())</f>
        <v>#N/A</v>
      </c>
      <c r="AI857" s="491" t="e">
        <f ca="1">IF(V857="PARTNER.com",AH857,IF(AND(V857=V856,W857=W856),(1-AVERAGE(AD856,AD857))*AH857,(1-AVERAGE(AD857,VLOOKUP(_xlfn.CONCAT(U857,V857,W857,X857,M_BRAND_FC!$F$6),FC_DATA!$R$2:$AD$5000,MATCH("DISCOUNT_%_M",FC_DATA!$R$1:$AD$1,0),FALSE)))*AH857))</f>
        <v>#N/A</v>
      </c>
      <c r="AJ857" s="412" t="str">
        <f t="shared" ca="1" si="338"/>
        <v/>
      </c>
      <c r="AK857" s="413" t="str">
        <f>IFERROR(AE857/(Q_BRAND_FC!$T$24+1),"")</f>
        <v/>
      </c>
      <c r="AL857" s="88" t="str">
        <f t="shared" ca="1" si="339"/>
        <v/>
      </c>
      <c r="AM857" s="414" t="str">
        <f t="shared" ca="1" si="340"/>
        <v/>
      </c>
      <c r="AN857" s="58">
        <f>IFERROR(IF($V857="BRAND.com",HLOOKUP($X857&amp;$Z857,NWC_FC_NOOS!$C$4:$Q$23,MATCH(W857,NWC_FC_NOOS!$B$4:$B$23,0),FALSE),0),0)</f>
        <v>0</v>
      </c>
      <c r="AO857" s="57">
        <f>IFERROR(IF($V857="BRAND.com",HLOOKUP($X857&amp;$Z857,NWC_FC_NOOS!$T$4:$AH$23,MATCH(W857,NWC_FC_NOOS!$S$4:$S$23,0),FALSE),0),0)</f>
        <v>0</v>
      </c>
      <c r="AP857" s="57">
        <f>IFERROR(IF($V857="BRAND.com",HLOOKUP($X857&amp;$Z857,NWC_FC_NOOS!$C$50:$U$69,MATCH(W857,NWC_FC_NOOS!$B$50:$B$69,0),FALSE),0),0)</f>
        <v>0</v>
      </c>
      <c r="AQ857" s="58">
        <f>IFERROR(IF($V857="BRAND.com",HLOOKUP($X857&amp;$Z857,'NWC_FC_NON-NOOS'!$C$4:$Q$23,MATCH(W857,'NWC_FC_NON-NOOS'!$B$4:$B$23,0),FALSE),0),0)</f>
        <v>0</v>
      </c>
      <c r="AR857" s="57">
        <f>IFERROR(IF($V857="BRAND.com",HLOOKUP($X857&amp;$Z857,'NWC_FC_NON-NOOS'!$T$4:$AH$23,MATCH(W857,'NWC_FC_NON-NOOS'!$S$4:$S$23,0),FALSE),0),0)</f>
        <v>0</v>
      </c>
      <c r="AS857" s="57">
        <f>IFERROR(IF($V857="BRAND.com",HLOOKUP($X857&amp;$Z857,'NWC_FC_NON-NOOS'!$C$50:$U$69,MATCH(W857,'NWC_FC_NON-NOOS'!$B$50:$B$69,0),FALSE),0),0)</f>
        <v>0</v>
      </c>
      <c r="AT857" s="57">
        <f t="shared" si="342"/>
        <v>0</v>
      </c>
      <c r="AU857" s="57">
        <f t="shared" si="343"/>
        <v>0</v>
      </c>
      <c r="AV857" s="58">
        <f>IFERROR(IF($V857="BRAND.com",HLOOKUP($X857&amp;$Z857,PLANNING_FC!$BB$27:$BP$46,MATCH($W857,PLANNING_FC!$BA$27:$BA$46,0),FALSE),0),0)</f>
        <v>0</v>
      </c>
      <c r="AW857" s="58">
        <f>IFERROR(IF($V857="BRAND.com",HLOOKUP($X857&amp;$Z857,PLANNING_FC!$BB$4:$BP$23,MATCH($W857,PLANNING_FC!$BA$4:$BA$23,0),FALSE),0),0)</f>
        <v>0</v>
      </c>
      <c r="AX857" s="58">
        <f>IFERROR(IF($V857="BRAND.com",HLOOKUP($X857&amp;$Z857,PLANNING_FC!$T$27:$AH$46,MATCH($W857,PLANNING_FC!$B$27:$B$46,0),FALSE),0),0)</f>
        <v>0</v>
      </c>
      <c r="AY857" s="58">
        <f>IFERROR(IF($V857="BRAND.com",HLOOKUP($X857&amp;$Z857,PLANNING_FC!$T$4:$AH$23,MATCH($W857,PLANNING_FC!$B$4:$B$23,0),FALSE),0),0)</f>
        <v>0</v>
      </c>
      <c r="AZ857" s="58">
        <f>IFERROR(IF($V857="BRAND.com",HLOOKUP($X857&amp;$Z857,PLANNING_FC!$DA$27:$DO$46,MATCH($W857,PLANNING_FC!$CZ$27:$CZ$46,0),FALSE),0),0)</f>
        <v>0</v>
      </c>
      <c r="BA857" s="58">
        <f>IFERROR(IF($V857="BRAND.com",HLOOKUP($X857&amp;$Z857,PLANNING_FC!$DA$4:$DO$23,MATCH($W857,PLANNING_FC!$CZ$4:$CZ$23,0),FALSE),0),0)</f>
        <v>0</v>
      </c>
      <c r="BB857" s="883" t="str">
        <f>IF(V857="BRAND.com",IFERROR(HLOOKUP(X857&amp;Z857,PLANNING_FC!$AK$4:$AY$23,MATCH(W857,PLANNING_FC!$AJ$4:$AJ$23,0),FALSE)*1000,""),"")</f>
        <v/>
      </c>
      <c r="BC857" s="883" t="str">
        <f>IF(V857="BRAND.com",IFERROR(HLOOKUP(X857&amp;Z857,PLANNING_FC!$AK$27:$AY$46,MATCH(W857,PLANNING_FC!$AJ$27:$AJ$46,0),FALSE)*1000,""),"")</f>
        <v/>
      </c>
    </row>
    <row r="858" spans="14:55" x14ac:dyDescent="0.25">
      <c r="N858" s="56">
        <f t="shared" si="324"/>
        <v>0</v>
      </c>
      <c r="O858" s="57">
        <f t="shared" si="325"/>
        <v>0</v>
      </c>
      <c r="P858" s="57">
        <f ca="1">IFERROR(IF(ISBLANK(H858),SUMIFS($AC:$AC,$V:$V,V858,$W:$W,W858,$X:$X,X858,$Y:$Y,Y858)*J858/(1-J858)*VLOOKUP(_xlfn.CONCAT(C858,D858,E858,TIME!$M$12,Z858),HIS_SALES!$B$2:$W$4859,20,FALSE),AC858*J858/(1-J858)),0)</f>
        <v>0</v>
      </c>
      <c r="Q858" s="541" t="str">
        <f t="shared" si="326"/>
        <v/>
      </c>
      <c r="R858" s="346" t="str">
        <f t="shared" si="327"/>
        <v>00000</v>
      </c>
      <c r="S858" s="344">
        <f t="shared" si="328"/>
        <v>0</v>
      </c>
      <c r="T858" s="345" t="str">
        <f t="shared" si="341"/>
        <v>000</v>
      </c>
      <c r="U858" s="345">
        <f t="shared" si="329"/>
        <v>0</v>
      </c>
      <c r="V858" s="345">
        <f t="shared" si="330"/>
        <v>0</v>
      </c>
      <c r="W858" s="345">
        <f t="shared" si="331"/>
        <v>0</v>
      </c>
      <c r="X858" s="345">
        <f t="shared" si="332"/>
        <v>0</v>
      </c>
      <c r="Y858" s="345">
        <f t="shared" si="333"/>
        <v>0</v>
      </c>
      <c r="Z858" s="345">
        <f>IF(Q858&lt;&gt;"",VLOOKUP(Y858,TIME!$R$21:$V$24,MATCH(FC_DATA!Q858,TIME!$R$20:$V$20,0),FALSE),H858)</f>
        <v>0</v>
      </c>
      <c r="AA858" s="345" t="str">
        <f>IFERROR(VLOOKUP(X858&amp;Z858,TIME!$A$12:$D$71,4,FALSE),"")</f>
        <v/>
      </c>
      <c r="AB858" s="592">
        <f t="shared" ca="1" si="334"/>
        <v>0</v>
      </c>
      <c r="AC858" s="593" t="e">
        <f ca="1">IF(ISBLANK(H858)=FALSE,IF(D858="BRAND.com",I858,IF(ISNA(VLOOKUP(_xlfn.CONCAT(X858,Z858),TIME!$M$40:$M$42,1,FALSE)),I858,VLOOKUP(_xlfn.CONCAT(D858,G858,H858),M_BUSAREA_FC!$AF$5:$AJ$10,5,FALSE)*HLOOKUP(_xlfn.CONCAT(F858,H858),ST_OVERVIEW!$G$99:$I$130,MATCH(_xlfn.CONCAT(D858,E858),ST_OVERVIEW!$F$99:$F$130,0),FALSE))),IF(D858="BRAND.com",VLOOKUP(_xlfn.CONCAT(C858,D858,E858,TIME!$F$1,Z858),HIS_SALES!$B$2:$V$4859,19,FALSE)*I858,VLOOKUP(_xlfn.CONCAT(D858,F858,G858),Q_BUSAREA_FC!$AE$5:$AI$12,5,FALSE)*HLOOKUP(_xlfn.CONCAT(FC_DATA!F858,FC_DATA!G858),LT_OVERVIEW!$I$99:$M$130,MATCH(_xlfn.CONCAT(D858,FC_DATA!E858),LT_OVERVIEW!$H$99:$H$130,0),FALSE)*IFERROR(VLOOKUP(_xlfn.CONCAT(C858,D858,E858,TIME!$F$1,Z858),HIS_SALES!$B$2:$V$4859,19,FALSE),0)))</f>
        <v>#N/A</v>
      </c>
      <c r="AD858" s="341">
        <f t="shared" ca="1" si="335"/>
        <v>0</v>
      </c>
      <c r="AE858" s="363" t="str">
        <f t="shared" si="336"/>
        <v/>
      </c>
      <c r="AF858" s="342" t="str">
        <f t="shared" si="337"/>
        <v/>
      </c>
      <c r="AG858" s="411" t="e">
        <f ca="1">VLOOKUP(_xlfn.CONCAT(U858,V858,W858,VLOOKUP(X858&amp;Y858,TIME!$L$27:$O$34,4,FALSE),Y858),HIS_SALES!$A$2:$R$5093,18,FALSE)</f>
        <v>#N/A</v>
      </c>
      <c r="AH858" s="412" t="e">
        <f ca="1">IFERROR(IF(AND(V858=V857,W858=W857),0.5*(AB858+AB857)*AG858,(VLOOKUP(_xlfn.CONCAT(U858,V858,W858,X858,VLOOKUP(Z858,TIME!$S$28:$T$39,2,FALSE)),FC_DATA!$R$2:$AB$5000,MATCH("GS_I_M",FC_DATA!$R$1:$AB$1,0),FALSE)+FC_DATA!AB858)*0.5*FC_DATA!AG858),NA())</f>
        <v>#N/A</v>
      </c>
      <c r="AI858" s="491" t="e">
        <f ca="1">IF(V858="PARTNER.com",AH858,IF(AND(V858=V857,W858=W857),(1-AVERAGE(AD857,AD858))*AH858,(1-AVERAGE(AD858,VLOOKUP(_xlfn.CONCAT(U858,V858,W858,X858,M_BRAND_FC!$F$6),FC_DATA!$R$2:$AD$5000,MATCH("DISCOUNT_%_M",FC_DATA!$R$1:$AD$1,0),FALSE)))*AH858))</f>
        <v>#N/A</v>
      </c>
      <c r="AJ858" s="412" t="str">
        <f t="shared" ca="1" si="338"/>
        <v/>
      </c>
      <c r="AK858" s="413" t="str">
        <f>IFERROR(AE858/(Q_BRAND_FC!$T$24+1),"")</f>
        <v/>
      </c>
      <c r="AL858" s="88" t="str">
        <f t="shared" ca="1" si="339"/>
        <v/>
      </c>
      <c r="AM858" s="414" t="str">
        <f t="shared" ca="1" si="340"/>
        <v/>
      </c>
      <c r="AN858" s="58">
        <f>IFERROR(IF($V858="BRAND.com",HLOOKUP($X858&amp;$Z858,NWC_FC_NOOS!$C$4:$Q$23,MATCH(W858,NWC_FC_NOOS!$B$4:$B$23,0),FALSE),0),0)</f>
        <v>0</v>
      </c>
      <c r="AO858" s="57">
        <f>IFERROR(IF($V858="BRAND.com",HLOOKUP($X858&amp;$Z858,NWC_FC_NOOS!$T$4:$AH$23,MATCH(W858,NWC_FC_NOOS!$S$4:$S$23,0),FALSE),0),0)</f>
        <v>0</v>
      </c>
      <c r="AP858" s="57">
        <f>IFERROR(IF($V858="BRAND.com",HLOOKUP($X858&amp;$Z858,NWC_FC_NOOS!$C$50:$U$69,MATCH(W858,NWC_FC_NOOS!$B$50:$B$69,0),FALSE),0),0)</f>
        <v>0</v>
      </c>
      <c r="AQ858" s="58">
        <f>IFERROR(IF($V858="BRAND.com",HLOOKUP($X858&amp;$Z858,'NWC_FC_NON-NOOS'!$C$4:$Q$23,MATCH(W858,'NWC_FC_NON-NOOS'!$B$4:$B$23,0),FALSE),0),0)</f>
        <v>0</v>
      </c>
      <c r="AR858" s="57">
        <f>IFERROR(IF($V858="BRAND.com",HLOOKUP($X858&amp;$Z858,'NWC_FC_NON-NOOS'!$T$4:$AH$23,MATCH(W858,'NWC_FC_NON-NOOS'!$S$4:$S$23,0),FALSE),0),0)</f>
        <v>0</v>
      </c>
      <c r="AS858" s="57">
        <f>IFERROR(IF($V858="BRAND.com",HLOOKUP($X858&amp;$Z858,'NWC_FC_NON-NOOS'!$C$50:$U$69,MATCH(W858,'NWC_FC_NON-NOOS'!$B$50:$B$69,0),FALSE),0),0)</f>
        <v>0</v>
      </c>
      <c r="AT858" s="57">
        <f t="shared" si="342"/>
        <v>0</v>
      </c>
      <c r="AU858" s="57">
        <f t="shared" si="343"/>
        <v>0</v>
      </c>
      <c r="AV858" s="58">
        <f>IFERROR(IF($V858="BRAND.com",HLOOKUP($X858&amp;$Z858,PLANNING_FC!$BB$27:$BP$46,MATCH($W858,PLANNING_FC!$BA$27:$BA$46,0),FALSE),0),0)</f>
        <v>0</v>
      </c>
      <c r="AW858" s="58">
        <f>IFERROR(IF($V858="BRAND.com",HLOOKUP($X858&amp;$Z858,PLANNING_FC!$BB$4:$BP$23,MATCH($W858,PLANNING_FC!$BA$4:$BA$23,0),FALSE),0),0)</f>
        <v>0</v>
      </c>
      <c r="AX858" s="58">
        <f>IFERROR(IF($V858="BRAND.com",HLOOKUP($X858&amp;$Z858,PLANNING_FC!$T$27:$AH$46,MATCH($W858,PLANNING_FC!$B$27:$B$46,0),FALSE),0),0)</f>
        <v>0</v>
      </c>
      <c r="AY858" s="58">
        <f>IFERROR(IF($V858="BRAND.com",HLOOKUP($X858&amp;$Z858,PLANNING_FC!$T$4:$AH$23,MATCH($W858,PLANNING_FC!$B$4:$B$23,0),FALSE),0),0)</f>
        <v>0</v>
      </c>
      <c r="AZ858" s="58">
        <f>IFERROR(IF($V858="BRAND.com",HLOOKUP($X858&amp;$Z858,PLANNING_FC!$DA$27:$DO$46,MATCH($W858,PLANNING_FC!$CZ$27:$CZ$46,0),FALSE),0),0)</f>
        <v>0</v>
      </c>
      <c r="BA858" s="58">
        <f>IFERROR(IF($V858="BRAND.com",HLOOKUP($X858&amp;$Z858,PLANNING_FC!$DA$4:$DO$23,MATCH($W858,PLANNING_FC!$CZ$4:$CZ$23,0),FALSE),0),0)</f>
        <v>0</v>
      </c>
      <c r="BB858" s="883" t="str">
        <f>IF(V858="BRAND.com",IFERROR(HLOOKUP(X858&amp;Z858,PLANNING_FC!$AK$4:$AY$23,MATCH(W858,PLANNING_FC!$AJ$4:$AJ$23,0),FALSE)*1000,""),"")</f>
        <v/>
      </c>
      <c r="BC858" s="883" t="str">
        <f>IF(V858="BRAND.com",IFERROR(HLOOKUP(X858&amp;Z858,PLANNING_FC!$AK$27:$AY$46,MATCH(W858,PLANNING_FC!$AJ$27:$AJ$46,0),FALSE)*1000,""),"")</f>
        <v/>
      </c>
    </row>
    <row r="859" spans="14:55" x14ac:dyDescent="0.25">
      <c r="N859" s="56">
        <f t="shared" si="324"/>
        <v>0</v>
      </c>
      <c r="O859" s="57">
        <f t="shared" si="325"/>
        <v>0</v>
      </c>
      <c r="P859" s="57">
        <f ca="1">IFERROR(IF(ISBLANK(H859),SUMIFS($AC:$AC,$V:$V,V859,$W:$W,W859,$X:$X,X859,$Y:$Y,Y859)*J859/(1-J859)*VLOOKUP(_xlfn.CONCAT(C859,D859,E859,TIME!$M$12,Z859),HIS_SALES!$B$2:$W$4859,20,FALSE),AC859*J859/(1-J859)),0)</f>
        <v>0</v>
      </c>
      <c r="Q859" s="541" t="str">
        <f t="shared" si="326"/>
        <v/>
      </c>
      <c r="R859" s="346" t="str">
        <f t="shared" si="327"/>
        <v>00000</v>
      </c>
      <c r="S859" s="344">
        <f t="shared" si="328"/>
        <v>0</v>
      </c>
      <c r="T859" s="345" t="str">
        <f t="shared" si="341"/>
        <v>000</v>
      </c>
      <c r="U859" s="345">
        <f t="shared" si="329"/>
        <v>0</v>
      </c>
      <c r="V859" s="345">
        <f t="shared" si="330"/>
        <v>0</v>
      </c>
      <c r="W859" s="345">
        <f t="shared" si="331"/>
        <v>0</v>
      </c>
      <c r="X859" s="345">
        <f t="shared" si="332"/>
        <v>0</v>
      </c>
      <c r="Y859" s="345">
        <f t="shared" si="333"/>
        <v>0</v>
      </c>
      <c r="Z859" s="345">
        <f>IF(Q859&lt;&gt;"",VLOOKUP(Y859,TIME!$R$21:$V$24,MATCH(FC_DATA!Q859,TIME!$R$20:$V$20,0),FALSE),H859)</f>
        <v>0</v>
      </c>
      <c r="AA859" s="345" t="str">
        <f>IFERROR(VLOOKUP(X859&amp;Z859,TIME!$A$12:$D$71,4,FALSE),"")</f>
        <v/>
      </c>
      <c r="AB859" s="592">
        <f t="shared" ca="1" si="334"/>
        <v>0</v>
      </c>
      <c r="AC859" s="593" t="e">
        <f ca="1">IF(ISBLANK(H859)=FALSE,IF(D859="BRAND.com",I859,IF(ISNA(VLOOKUP(_xlfn.CONCAT(X859,Z859),TIME!$M$40:$M$42,1,FALSE)),I859,VLOOKUP(_xlfn.CONCAT(D859,G859,H859),M_BUSAREA_FC!$AF$5:$AJ$10,5,FALSE)*HLOOKUP(_xlfn.CONCAT(F859,H859),ST_OVERVIEW!$G$99:$I$130,MATCH(_xlfn.CONCAT(D859,E859),ST_OVERVIEW!$F$99:$F$130,0),FALSE))),IF(D859="BRAND.com",VLOOKUP(_xlfn.CONCAT(C859,D859,E859,TIME!$F$1,Z859),HIS_SALES!$B$2:$V$4859,19,FALSE)*I859,VLOOKUP(_xlfn.CONCAT(D859,F859,G859),Q_BUSAREA_FC!$AE$5:$AI$12,5,FALSE)*HLOOKUP(_xlfn.CONCAT(FC_DATA!F859,FC_DATA!G859),LT_OVERVIEW!$I$99:$M$130,MATCH(_xlfn.CONCAT(D859,FC_DATA!E859),LT_OVERVIEW!$H$99:$H$130,0),FALSE)*IFERROR(VLOOKUP(_xlfn.CONCAT(C859,D859,E859,TIME!$F$1,Z859),HIS_SALES!$B$2:$V$4859,19,FALSE),0)))</f>
        <v>#N/A</v>
      </c>
      <c r="AD859" s="341">
        <f t="shared" ca="1" si="335"/>
        <v>0</v>
      </c>
      <c r="AE859" s="363" t="str">
        <f t="shared" si="336"/>
        <v/>
      </c>
      <c r="AF859" s="342" t="str">
        <f t="shared" si="337"/>
        <v/>
      </c>
      <c r="AG859" s="411" t="e">
        <f ca="1">VLOOKUP(_xlfn.CONCAT(U859,V859,W859,VLOOKUP(X859&amp;Y859,TIME!$L$27:$O$34,4,FALSE),Y859),HIS_SALES!$A$2:$R$5093,18,FALSE)</f>
        <v>#N/A</v>
      </c>
      <c r="AH859" s="412" t="e">
        <f ca="1">IFERROR(IF(AND(V859=V858,W859=W858),0.5*(AB859+AB858)*AG859,(VLOOKUP(_xlfn.CONCAT(U859,V859,W859,X859,VLOOKUP(Z859,TIME!$S$28:$T$39,2,FALSE)),FC_DATA!$R$2:$AB$5000,MATCH("GS_I_M",FC_DATA!$R$1:$AB$1,0),FALSE)+FC_DATA!AB859)*0.5*FC_DATA!AG859),NA())</f>
        <v>#N/A</v>
      </c>
      <c r="AI859" s="491" t="e">
        <f ca="1">IF(V859="PARTNER.com",AH859,IF(AND(V859=V858,W859=W858),(1-AVERAGE(AD858,AD859))*AH859,(1-AVERAGE(AD859,VLOOKUP(_xlfn.CONCAT(U859,V859,W859,X859,M_BRAND_FC!$F$6),FC_DATA!$R$2:$AD$5000,MATCH("DISCOUNT_%_M",FC_DATA!$R$1:$AD$1,0),FALSE)))*AH859))</f>
        <v>#N/A</v>
      </c>
      <c r="AJ859" s="412" t="str">
        <f t="shared" ca="1" si="338"/>
        <v/>
      </c>
      <c r="AK859" s="413" t="str">
        <f>IFERROR(AE859/(Q_BRAND_FC!$T$24+1),"")</f>
        <v/>
      </c>
      <c r="AL859" s="88" t="str">
        <f t="shared" ca="1" si="339"/>
        <v/>
      </c>
      <c r="AM859" s="414" t="str">
        <f t="shared" ca="1" si="340"/>
        <v/>
      </c>
      <c r="AN859" s="58">
        <f>IFERROR(IF($V859="BRAND.com",HLOOKUP($X859&amp;$Z859,NWC_FC_NOOS!$C$4:$Q$23,MATCH(W859,NWC_FC_NOOS!$B$4:$B$23,0),FALSE),0),0)</f>
        <v>0</v>
      </c>
      <c r="AO859" s="57">
        <f>IFERROR(IF($V859="BRAND.com",HLOOKUP($X859&amp;$Z859,NWC_FC_NOOS!$T$4:$AH$23,MATCH(W859,NWC_FC_NOOS!$S$4:$S$23,0),FALSE),0),0)</f>
        <v>0</v>
      </c>
      <c r="AP859" s="57">
        <f>IFERROR(IF($V859="BRAND.com",HLOOKUP($X859&amp;$Z859,NWC_FC_NOOS!$C$50:$U$69,MATCH(W859,NWC_FC_NOOS!$B$50:$B$69,0),FALSE),0),0)</f>
        <v>0</v>
      </c>
      <c r="AQ859" s="58">
        <f>IFERROR(IF($V859="BRAND.com",HLOOKUP($X859&amp;$Z859,'NWC_FC_NON-NOOS'!$C$4:$Q$23,MATCH(W859,'NWC_FC_NON-NOOS'!$B$4:$B$23,0),FALSE),0),0)</f>
        <v>0</v>
      </c>
      <c r="AR859" s="57">
        <f>IFERROR(IF($V859="BRAND.com",HLOOKUP($X859&amp;$Z859,'NWC_FC_NON-NOOS'!$T$4:$AH$23,MATCH(W859,'NWC_FC_NON-NOOS'!$S$4:$S$23,0),FALSE),0),0)</f>
        <v>0</v>
      </c>
      <c r="AS859" s="57">
        <f>IFERROR(IF($V859="BRAND.com",HLOOKUP($X859&amp;$Z859,'NWC_FC_NON-NOOS'!$C$50:$U$69,MATCH(W859,'NWC_FC_NON-NOOS'!$B$50:$B$69,0),FALSE),0),0)</f>
        <v>0</v>
      </c>
      <c r="AT859" s="57">
        <f t="shared" si="342"/>
        <v>0</v>
      </c>
      <c r="AU859" s="57">
        <f t="shared" si="343"/>
        <v>0</v>
      </c>
      <c r="AV859" s="58">
        <f>IFERROR(IF($V859="BRAND.com",HLOOKUP($X859&amp;$Z859,PLANNING_FC!$BB$27:$BP$46,MATCH($W859,PLANNING_FC!$BA$27:$BA$46,0),FALSE),0),0)</f>
        <v>0</v>
      </c>
      <c r="AW859" s="58">
        <f>IFERROR(IF($V859="BRAND.com",HLOOKUP($X859&amp;$Z859,PLANNING_FC!$BB$4:$BP$23,MATCH($W859,PLANNING_FC!$BA$4:$BA$23,0),FALSE),0),0)</f>
        <v>0</v>
      </c>
      <c r="AX859" s="58">
        <f>IFERROR(IF($V859="BRAND.com",HLOOKUP($X859&amp;$Z859,PLANNING_FC!$T$27:$AH$46,MATCH($W859,PLANNING_FC!$B$27:$B$46,0),FALSE),0),0)</f>
        <v>0</v>
      </c>
      <c r="AY859" s="58">
        <f>IFERROR(IF($V859="BRAND.com",HLOOKUP($X859&amp;$Z859,PLANNING_FC!$T$4:$AH$23,MATCH($W859,PLANNING_FC!$B$4:$B$23,0),FALSE),0),0)</f>
        <v>0</v>
      </c>
      <c r="AZ859" s="58">
        <f>IFERROR(IF($V859="BRAND.com",HLOOKUP($X859&amp;$Z859,PLANNING_FC!$DA$27:$DO$46,MATCH($W859,PLANNING_FC!$CZ$27:$CZ$46,0),FALSE),0),0)</f>
        <v>0</v>
      </c>
      <c r="BA859" s="58">
        <f>IFERROR(IF($V859="BRAND.com",HLOOKUP($X859&amp;$Z859,PLANNING_FC!$DA$4:$DO$23,MATCH($W859,PLANNING_FC!$CZ$4:$CZ$23,0),FALSE),0),0)</f>
        <v>0</v>
      </c>
      <c r="BB859" s="883" t="str">
        <f>IF(V859="BRAND.com",IFERROR(HLOOKUP(X859&amp;Z859,PLANNING_FC!$AK$4:$AY$23,MATCH(W859,PLANNING_FC!$AJ$4:$AJ$23,0),FALSE)*1000,""),"")</f>
        <v/>
      </c>
      <c r="BC859" s="883" t="str">
        <f>IF(V859="BRAND.com",IFERROR(HLOOKUP(X859&amp;Z859,PLANNING_FC!$AK$27:$AY$46,MATCH(W859,PLANNING_FC!$AJ$27:$AJ$46,0),FALSE)*1000,""),"")</f>
        <v/>
      </c>
    </row>
    <row r="860" spans="14:55" x14ac:dyDescent="0.25">
      <c r="N860" s="56">
        <f t="shared" si="324"/>
        <v>0</v>
      </c>
      <c r="O860" s="57">
        <f t="shared" si="325"/>
        <v>0</v>
      </c>
      <c r="P860" s="57">
        <f ca="1">IFERROR(IF(ISBLANK(H860),SUMIFS($AC:$AC,$V:$V,V860,$W:$W,W860,$X:$X,X860,$Y:$Y,Y860)*J860/(1-J860)*VLOOKUP(_xlfn.CONCAT(C860,D860,E860,TIME!$M$12,Z860),HIS_SALES!$B$2:$W$4859,20,FALSE),AC860*J860/(1-J860)),0)</f>
        <v>0</v>
      </c>
      <c r="Q860" s="541" t="str">
        <f t="shared" si="326"/>
        <v/>
      </c>
      <c r="R860" s="346" t="str">
        <f t="shared" si="327"/>
        <v>00000</v>
      </c>
      <c r="S860" s="344">
        <f t="shared" si="328"/>
        <v>0</v>
      </c>
      <c r="T860" s="345" t="str">
        <f t="shared" si="341"/>
        <v>000</v>
      </c>
      <c r="U860" s="345">
        <f t="shared" si="329"/>
        <v>0</v>
      </c>
      <c r="V860" s="345">
        <f t="shared" si="330"/>
        <v>0</v>
      </c>
      <c r="W860" s="345">
        <f t="shared" si="331"/>
        <v>0</v>
      </c>
      <c r="X860" s="345">
        <f t="shared" si="332"/>
        <v>0</v>
      </c>
      <c r="Y860" s="345">
        <f t="shared" si="333"/>
        <v>0</v>
      </c>
      <c r="Z860" s="345">
        <f>IF(Q860&lt;&gt;"",VLOOKUP(Y860,TIME!$R$21:$V$24,MATCH(FC_DATA!Q860,TIME!$R$20:$V$20,0),FALSE),H860)</f>
        <v>0</v>
      </c>
      <c r="AA860" s="345" t="str">
        <f>IFERROR(VLOOKUP(X860&amp;Z860,TIME!$A$12:$D$71,4,FALSE),"")</f>
        <v/>
      </c>
      <c r="AB860" s="592">
        <f t="shared" ca="1" si="334"/>
        <v>0</v>
      </c>
      <c r="AC860" s="593" t="e">
        <f ca="1">IF(ISBLANK(H860)=FALSE,IF(D860="BRAND.com",I860,IF(ISNA(VLOOKUP(_xlfn.CONCAT(X860,Z860),TIME!$M$40:$M$42,1,FALSE)),I860,VLOOKUP(_xlfn.CONCAT(D860,G860,H860),M_BUSAREA_FC!$AF$5:$AJ$10,5,FALSE)*HLOOKUP(_xlfn.CONCAT(F860,H860),ST_OVERVIEW!$G$99:$I$130,MATCH(_xlfn.CONCAT(D860,E860),ST_OVERVIEW!$F$99:$F$130,0),FALSE))),IF(D860="BRAND.com",VLOOKUP(_xlfn.CONCAT(C860,D860,E860,TIME!$F$1,Z860),HIS_SALES!$B$2:$V$4859,19,FALSE)*I860,VLOOKUP(_xlfn.CONCAT(D860,F860,G860),Q_BUSAREA_FC!$AE$5:$AI$12,5,FALSE)*HLOOKUP(_xlfn.CONCAT(FC_DATA!F860,FC_DATA!G860),LT_OVERVIEW!$I$99:$M$130,MATCH(_xlfn.CONCAT(D860,FC_DATA!E860),LT_OVERVIEW!$H$99:$H$130,0),FALSE)*IFERROR(VLOOKUP(_xlfn.CONCAT(C860,D860,E860,TIME!$F$1,Z860),HIS_SALES!$B$2:$V$4859,19,FALSE),0)))</f>
        <v>#N/A</v>
      </c>
      <c r="AD860" s="341">
        <f t="shared" ca="1" si="335"/>
        <v>0</v>
      </c>
      <c r="AE860" s="363" t="str">
        <f t="shared" si="336"/>
        <v/>
      </c>
      <c r="AF860" s="342" t="str">
        <f t="shared" si="337"/>
        <v/>
      </c>
      <c r="AG860" s="411" t="e">
        <f ca="1">VLOOKUP(_xlfn.CONCAT(U860,V860,W860,VLOOKUP(X860&amp;Y860,TIME!$L$27:$O$34,4,FALSE),Y860),HIS_SALES!$A$2:$R$5093,18,FALSE)</f>
        <v>#N/A</v>
      </c>
      <c r="AH860" s="412" t="e">
        <f ca="1">IFERROR(IF(AND(V860=V859,W860=W859),0.5*(AB860+AB859)*AG860,(VLOOKUP(_xlfn.CONCAT(U860,V860,W860,X860,VLOOKUP(Z860,TIME!$S$28:$T$39,2,FALSE)),FC_DATA!$R$2:$AB$5000,MATCH("GS_I_M",FC_DATA!$R$1:$AB$1,0),FALSE)+FC_DATA!AB860)*0.5*FC_DATA!AG860),NA())</f>
        <v>#N/A</v>
      </c>
      <c r="AI860" s="491" t="e">
        <f ca="1">IF(V860="PARTNER.com",AH860,IF(AND(V860=V859,W860=W859),(1-AVERAGE(AD859,AD860))*AH860,(1-AVERAGE(AD860,VLOOKUP(_xlfn.CONCAT(U860,V860,W860,X860,M_BRAND_FC!$F$6),FC_DATA!$R$2:$AD$5000,MATCH("DISCOUNT_%_M",FC_DATA!$R$1:$AD$1,0),FALSE)))*AH860))</f>
        <v>#N/A</v>
      </c>
      <c r="AJ860" s="412" t="str">
        <f t="shared" ca="1" si="338"/>
        <v/>
      </c>
      <c r="AK860" s="413" t="str">
        <f>IFERROR(AE860/(Q_BRAND_FC!$T$24+1),"")</f>
        <v/>
      </c>
      <c r="AL860" s="88" t="str">
        <f t="shared" ca="1" si="339"/>
        <v/>
      </c>
      <c r="AM860" s="414" t="str">
        <f t="shared" ca="1" si="340"/>
        <v/>
      </c>
      <c r="AN860" s="58">
        <f>IFERROR(IF($V860="BRAND.com",HLOOKUP($X860&amp;$Z860,NWC_FC_NOOS!$C$4:$Q$23,MATCH(W860,NWC_FC_NOOS!$B$4:$B$23,0),FALSE),0),0)</f>
        <v>0</v>
      </c>
      <c r="AO860" s="57">
        <f>IFERROR(IF($V860="BRAND.com",HLOOKUP($X860&amp;$Z860,NWC_FC_NOOS!$T$4:$AH$23,MATCH(W860,NWC_FC_NOOS!$S$4:$S$23,0),FALSE),0),0)</f>
        <v>0</v>
      </c>
      <c r="AP860" s="57">
        <f>IFERROR(IF($V860="BRAND.com",HLOOKUP($X860&amp;$Z860,NWC_FC_NOOS!$C$50:$U$69,MATCH(W860,NWC_FC_NOOS!$B$50:$B$69,0),FALSE),0),0)</f>
        <v>0</v>
      </c>
      <c r="AQ860" s="58">
        <f>IFERROR(IF($V860="BRAND.com",HLOOKUP($X860&amp;$Z860,'NWC_FC_NON-NOOS'!$C$4:$Q$23,MATCH(W860,'NWC_FC_NON-NOOS'!$B$4:$B$23,0),FALSE),0),0)</f>
        <v>0</v>
      </c>
      <c r="AR860" s="57">
        <f>IFERROR(IF($V860="BRAND.com",HLOOKUP($X860&amp;$Z860,'NWC_FC_NON-NOOS'!$T$4:$AH$23,MATCH(W860,'NWC_FC_NON-NOOS'!$S$4:$S$23,0),FALSE),0),0)</f>
        <v>0</v>
      </c>
      <c r="AS860" s="57">
        <f>IFERROR(IF($V860="BRAND.com",HLOOKUP($X860&amp;$Z860,'NWC_FC_NON-NOOS'!$C$50:$U$69,MATCH(W860,'NWC_FC_NON-NOOS'!$B$50:$B$69,0),FALSE),0),0)</f>
        <v>0</v>
      </c>
      <c r="AT860" s="57">
        <f t="shared" si="342"/>
        <v>0</v>
      </c>
      <c r="AU860" s="57">
        <f t="shared" si="343"/>
        <v>0</v>
      </c>
      <c r="AV860" s="58">
        <f>IFERROR(IF($V860="BRAND.com",HLOOKUP($X860&amp;$Z860,PLANNING_FC!$BB$27:$BP$46,MATCH($W860,PLANNING_FC!$BA$27:$BA$46,0),FALSE),0),0)</f>
        <v>0</v>
      </c>
      <c r="AW860" s="58">
        <f>IFERROR(IF($V860="BRAND.com",HLOOKUP($X860&amp;$Z860,PLANNING_FC!$BB$4:$BP$23,MATCH($W860,PLANNING_FC!$BA$4:$BA$23,0),FALSE),0),0)</f>
        <v>0</v>
      </c>
      <c r="AX860" s="58">
        <f>IFERROR(IF($V860="BRAND.com",HLOOKUP($X860&amp;$Z860,PLANNING_FC!$T$27:$AH$46,MATCH($W860,PLANNING_FC!$B$27:$B$46,0),FALSE),0),0)</f>
        <v>0</v>
      </c>
      <c r="AY860" s="58">
        <f>IFERROR(IF($V860="BRAND.com",HLOOKUP($X860&amp;$Z860,PLANNING_FC!$T$4:$AH$23,MATCH($W860,PLANNING_FC!$B$4:$B$23,0),FALSE),0),0)</f>
        <v>0</v>
      </c>
      <c r="AZ860" s="58">
        <f>IFERROR(IF($V860="BRAND.com",HLOOKUP($X860&amp;$Z860,PLANNING_FC!$DA$27:$DO$46,MATCH($W860,PLANNING_FC!$CZ$27:$CZ$46,0),FALSE),0),0)</f>
        <v>0</v>
      </c>
      <c r="BA860" s="58">
        <f>IFERROR(IF($V860="BRAND.com",HLOOKUP($X860&amp;$Z860,PLANNING_FC!$DA$4:$DO$23,MATCH($W860,PLANNING_FC!$CZ$4:$CZ$23,0),FALSE),0),0)</f>
        <v>0</v>
      </c>
      <c r="BB860" s="883" t="str">
        <f>IF(V860="BRAND.com",IFERROR(HLOOKUP(X860&amp;Z860,PLANNING_FC!$AK$4:$AY$23,MATCH(W860,PLANNING_FC!$AJ$4:$AJ$23,0),FALSE)*1000,""),"")</f>
        <v/>
      </c>
      <c r="BC860" s="883" t="str">
        <f>IF(V860="BRAND.com",IFERROR(HLOOKUP(X860&amp;Z860,PLANNING_FC!$AK$27:$AY$46,MATCH(W860,PLANNING_FC!$AJ$27:$AJ$46,0),FALSE)*1000,""),"")</f>
        <v/>
      </c>
    </row>
    <row r="861" spans="14:55" x14ac:dyDescent="0.25">
      <c r="N861" s="56">
        <f t="shared" si="324"/>
        <v>0</v>
      </c>
      <c r="O861" s="57">
        <f t="shared" si="325"/>
        <v>0</v>
      </c>
      <c r="P861" s="57">
        <f ca="1">IFERROR(IF(ISBLANK(H861),SUMIFS($AC:$AC,$V:$V,V861,$W:$W,W861,$X:$X,X861,$Y:$Y,Y861)*J861/(1-J861)*VLOOKUP(_xlfn.CONCAT(C861,D861,E861,TIME!$M$12,Z861),HIS_SALES!$B$2:$W$4859,20,FALSE),AC861*J861/(1-J861)),0)</f>
        <v>0</v>
      </c>
      <c r="Q861" s="541" t="str">
        <f t="shared" si="326"/>
        <v/>
      </c>
      <c r="R861" s="346" t="str">
        <f t="shared" si="327"/>
        <v>00000</v>
      </c>
      <c r="S861" s="344">
        <f t="shared" si="328"/>
        <v>0</v>
      </c>
      <c r="T861" s="345" t="str">
        <f t="shared" si="341"/>
        <v>000</v>
      </c>
      <c r="U861" s="345">
        <f t="shared" si="329"/>
        <v>0</v>
      </c>
      <c r="V861" s="345">
        <f t="shared" si="330"/>
        <v>0</v>
      </c>
      <c r="W861" s="345">
        <f t="shared" si="331"/>
        <v>0</v>
      </c>
      <c r="X861" s="345">
        <f t="shared" si="332"/>
        <v>0</v>
      </c>
      <c r="Y861" s="345">
        <f t="shared" si="333"/>
        <v>0</v>
      </c>
      <c r="Z861" s="345">
        <f>IF(Q861&lt;&gt;"",VLOOKUP(Y861,TIME!$R$21:$V$24,MATCH(FC_DATA!Q861,TIME!$R$20:$V$20,0),FALSE),H861)</f>
        <v>0</v>
      </c>
      <c r="AA861" s="345" t="str">
        <f>IFERROR(VLOOKUP(X861&amp;Z861,TIME!$A$12:$D$71,4,FALSE),"")</f>
        <v/>
      </c>
      <c r="AB861" s="592">
        <f t="shared" ca="1" si="334"/>
        <v>0</v>
      </c>
      <c r="AC861" s="593" t="e">
        <f ca="1">IF(ISBLANK(H861)=FALSE,IF(D861="BRAND.com",I861,IF(ISNA(VLOOKUP(_xlfn.CONCAT(X861,Z861),TIME!$M$40:$M$42,1,FALSE)),I861,VLOOKUP(_xlfn.CONCAT(D861,G861,H861),M_BUSAREA_FC!$AF$5:$AJ$10,5,FALSE)*HLOOKUP(_xlfn.CONCAT(F861,H861),ST_OVERVIEW!$G$99:$I$130,MATCH(_xlfn.CONCAT(D861,E861),ST_OVERVIEW!$F$99:$F$130,0),FALSE))),IF(D861="BRAND.com",VLOOKUP(_xlfn.CONCAT(C861,D861,E861,TIME!$F$1,Z861),HIS_SALES!$B$2:$V$4859,19,FALSE)*I861,VLOOKUP(_xlfn.CONCAT(D861,F861,G861),Q_BUSAREA_FC!$AE$5:$AI$12,5,FALSE)*HLOOKUP(_xlfn.CONCAT(FC_DATA!F861,FC_DATA!G861),LT_OVERVIEW!$I$99:$M$130,MATCH(_xlfn.CONCAT(D861,FC_DATA!E861),LT_OVERVIEW!$H$99:$H$130,0),FALSE)*IFERROR(VLOOKUP(_xlfn.CONCAT(C861,D861,E861,TIME!$F$1,Z861),HIS_SALES!$B$2:$V$4859,19,FALSE),0)))</f>
        <v>#N/A</v>
      </c>
      <c r="AD861" s="341">
        <f t="shared" ca="1" si="335"/>
        <v>0</v>
      </c>
      <c r="AE861" s="363" t="str">
        <f t="shared" si="336"/>
        <v/>
      </c>
      <c r="AF861" s="342" t="str">
        <f t="shared" si="337"/>
        <v/>
      </c>
      <c r="AG861" s="411" t="e">
        <f ca="1">VLOOKUP(_xlfn.CONCAT(U861,V861,W861,VLOOKUP(X861&amp;Y861,TIME!$L$27:$O$34,4,FALSE),Y861),HIS_SALES!$A$2:$R$5093,18,FALSE)</f>
        <v>#N/A</v>
      </c>
      <c r="AH861" s="412" t="e">
        <f ca="1">IFERROR(IF(AND(V861=V860,W861=W860),0.5*(AB861+AB860)*AG861,(VLOOKUP(_xlfn.CONCAT(U861,V861,W861,X861,VLOOKUP(Z861,TIME!$S$28:$T$39,2,FALSE)),FC_DATA!$R$2:$AB$5000,MATCH("GS_I_M",FC_DATA!$R$1:$AB$1,0),FALSE)+FC_DATA!AB861)*0.5*FC_DATA!AG861),NA())</f>
        <v>#N/A</v>
      </c>
      <c r="AI861" s="491" t="e">
        <f ca="1">IF(V861="PARTNER.com",AH861,IF(AND(V861=V860,W861=W860),(1-AVERAGE(AD860,AD861))*AH861,(1-AVERAGE(AD861,VLOOKUP(_xlfn.CONCAT(U861,V861,W861,X861,M_BRAND_FC!$F$6),FC_DATA!$R$2:$AD$5000,MATCH("DISCOUNT_%_M",FC_DATA!$R$1:$AD$1,0),FALSE)))*AH861))</f>
        <v>#N/A</v>
      </c>
      <c r="AJ861" s="412" t="str">
        <f t="shared" ca="1" si="338"/>
        <v/>
      </c>
      <c r="AK861" s="413" t="str">
        <f>IFERROR(AE861/(Q_BRAND_FC!$T$24+1),"")</f>
        <v/>
      </c>
      <c r="AL861" s="88" t="str">
        <f t="shared" ca="1" si="339"/>
        <v/>
      </c>
      <c r="AM861" s="414" t="str">
        <f t="shared" ca="1" si="340"/>
        <v/>
      </c>
      <c r="AN861" s="58">
        <f>IFERROR(IF($V861="BRAND.com",HLOOKUP($X861&amp;$Z861,NWC_FC_NOOS!$C$4:$Q$23,MATCH(W861,NWC_FC_NOOS!$B$4:$B$23,0),FALSE),0),0)</f>
        <v>0</v>
      </c>
      <c r="AO861" s="57">
        <f>IFERROR(IF($V861="BRAND.com",HLOOKUP($X861&amp;$Z861,NWC_FC_NOOS!$T$4:$AH$23,MATCH(W861,NWC_FC_NOOS!$S$4:$S$23,0),FALSE),0),0)</f>
        <v>0</v>
      </c>
      <c r="AP861" s="57">
        <f>IFERROR(IF($V861="BRAND.com",HLOOKUP($X861&amp;$Z861,NWC_FC_NOOS!$C$50:$U$69,MATCH(W861,NWC_FC_NOOS!$B$50:$B$69,0),FALSE),0),0)</f>
        <v>0</v>
      </c>
      <c r="AQ861" s="58">
        <f>IFERROR(IF($V861="BRAND.com",HLOOKUP($X861&amp;$Z861,'NWC_FC_NON-NOOS'!$C$4:$Q$23,MATCH(W861,'NWC_FC_NON-NOOS'!$B$4:$B$23,0),FALSE),0),0)</f>
        <v>0</v>
      </c>
      <c r="AR861" s="57">
        <f>IFERROR(IF($V861="BRAND.com",HLOOKUP($X861&amp;$Z861,'NWC_FC_NON-NOOS'!$T$4:$AH$23,MATCH(W861,'NWC_FC_NON-NOOS'!$S$4:$S$23,0),FALSE),0),0)</f>
        <v>0</v>
      </c>
      <c r="AS861" s="57">
        <f>IFERROR(IF($V861="BRAND.com",HLOOKUP($X861&amp;$Z861,'NWC_FC_NON-NOOS'!$C$50:$U$69,MATCH(W861,'NWC_FC_NON-NOOS'!$B$50:$B$69,0),FALSE),0),0)</f>
        <v>0</v>
      </c>
      <c r="AT861" s="57">
        <f t="shared" si="342"/>
        <v>0</v>
      </c>
      <c r="AU861" s="57">
        <f t="shared" si="343"/>
        <v>0</v>
      </c>
      <c r="AV861" s="58">
        <f>IFERROR(IF($V861="BRAND.com",HLOOKUP($X861&amp;$Z861,PLANNING_FC!$BB$27:$BP$46,MATCH($W861,PLANNING_FC!$BA$27:$BA$46,0),FALSE),0),0)</f>
        <v>0</v>
      </c>
      <c r="AW861" s="58">
        <f>IFERROR(IF($V861="BRAND.com",HLOOKUP($X861&amp;$Z861,PLANNING_FC!$BB$4:$BP$23,MATCH($W861,PLANNING_FC!$BA$4:$BA$23,0),FALSE),0),0)</f>
        <v>0</v>
      </c>
      <c r="AX861" s="58">
        <f>IFERROR(IF($V861="BRAND.com",HLOOKUP($X861&amp;$Z861,PLANNING_FC!$T$27:$AH$46,MATCH($W861,PLANNING_FC!$B$27:$B$46,0),FALSE),0),0)</f>
        <v>0</v>
      </c>
      <c r="AY861" s="58">
        <f>IFERROR(IF($V861="BRAND.com",HLOOKUP($X861&amp;$Z861,PLANNING_FC!$T$4:$AH$23,MATCH($W861,PLANNING_FC!$B$4:$B$23,0),FALSE),0),0)</f>
        <v>0</v>
      </c>
      <c r="AZ861" s="58">
        <f>IFERROR(IF($V861="BRAND.com",HLOOKUP($X861&amp;$Z861,PLANNING_FC!$DA$27:$DO$46,MATCH($W861,PLANNING_FC!$CZ$27:$CZ$46,0),FALSE),0),0)</f>
        <v>0</v>
      </c>
      <c r="BA861" s="58">
        <f>IFERROR(IF($V861="BRAND.com",HLOOKUP($X861&amp;$Z861,PLANNING_FC!$DA$4:$DO$23,MATCH($W861,PLANNING_FC!$CZ$4:$CZ$23,0),FALSE),0),0)</f>
        <v>0</v>
      </c>
      <c r="BB861" s="883" t="str">
        <f>IF(V861="BRAND.com",IFERROR(HLOOKUP(X861&amp;Z861,PLANNING_FC!$AK$4:$AY$23,MATCH(W861,PLANNING_FC!$AJ$4:$AJ$23,0),FALSE)*1000,""),"")</f>
        <v/>
      </c>
      <c r="BC861" s="883" t="str">
        <f>IF(V861="BRAND.com",IFERROR(HLOOKUP(X861&amp;Z861,PLANNING_FC!$AK$27:$AY$46,MATCH(W861,PLANNING_FC!$AJ$27:$AJ$46,0),FALSE)*1000,""),"")</f>
        <v/>
      </c>
    </row>
    <row r="862" spans="14:55" x14ac:dyDescent="0.25">
      <c r="N862" s="56">
        <f t="shared" si="324"/>
        <v>0</v>
      </c>
      <c r="O862" s="57">
        <f t="shared" si="325"/>
        <v>0</v>
      </c>
      <c r="P862" s="57">
        <f ca="1">IFERROR(IF(ISBLANK(H862),SUMIFS($AC:$AC,$V:$V,V862,$W:$W,W862,$X:$X,X862,$Y:$Y,Y862)*J862/(1-J862)*VLOOKUP(_xlfn.CONCAT(C862,D862,E862,TIME!$M$12,Z862),HIS_SALES!$B$2:$W$4859,20,FALSE),AC862*J862/(1-J862)),0)</f>
        <v>0</v>
      </c>
      <c r="Q862" s="541" t="str">
        <f t="shared" si="326"/>
        <v/>
      </c>
      <c r="R862" s="346" t="str">
        <f t="shared" si="327"/>
        <v>00000</v>
      </c>
      <c r="S862" s="344">
        <f t="shared" si="328"/>
        <v>0</v>
      </c>
      <c r="T862" s="345" t="str">
        <f t="shared" si="341"/>
        <v>000</v>
      </c>
      <c r="U862" s="345">
        <f t="shared" si="329"/>
        <v>0</v>
      </c>
      <c r="V862" s="345">
        <f t="shared" si="330"/>
        <v>0</v>
      </c>
      <c r="W862" s="345">
        <f t="shared" si="331"/>
        <v>0</v>
      </c>
      <c r="X862" s="345">
        <f t="shared" si="332"/>
        <v>0</v>
      </c>
      <c r="Y862" s="345">
        <f t="shared" si="333"/>
        <v>0</v>
      </c>
      <c r="Z862" s="345">
        <f>IF(Q862&lt;&gt;"",VLOOKUP(Y862,TIME!$R$21:$V$24,MATCH(FC_DATA!Q862,TIME!$R$20:$V$20,0),FALSE),H862)</f>
        <v>0</v>
      </c>
      <c r="AA862" s="345" t="str">
        <f>IFERROR(VLOOKUP(X862&amp;Z862,TIME!$A$12:$D$71,4,FALSE),"")</f>
        <v/>
      </c>
      <c r="AB862" s="592">
        <f t="shared" ca="1" si="334"/>
        <v>0</v>
      </c>
      <c r="AC862" s="593" t="e">
        <f ca="1">IF(ISBLANK(H862)=FALSE,IF(D862="BRAND.com",I862,IF(ISNA(VLOOKUP(_xlfn.CONCAT(X862,Z862),TIME!$M$40:$M$42,1,FALSE)),I862,VLOOKUP(_xlfn.CONCAT(D862,G862,H862),M_BUSAREA_FC!$AF$5:$AJ$10,5,FALSE)*HLOOKUP(_xlfn.CONCAT(F862,H862),ST_OVERVIEW!$G$99:$I$130,MATCH(_xlfn.CONCAT(D862,E862),ST_OVERVIEW!$F$99:$F$130,0),FALSE))),IF(D862="BRAND.com",VLOOKUP(_xlfn.CONCAT(C862,D862,E862,TIME!$F$1,Z862),HIS_SALES!$B$2:$V$4859,19,FALSE)*I862,VLOOKUP(_xlfn.CONCAT(D862,F862,G862),Q_BUSAREA_FC!$AE$5:$AI$12,5,FALSE)*HLOOKUP(_xlfn.CONCAT(FC_DATA!F862,FC_DATA!G862),LT_OVERVIEW!$I$99:$M$130,MATCH(_xlfn.CONCAT(D862,FC_DATA!E862),LT_OVERVIEW!$H$99:$H$130,0),FALSE)*IFERROR(VLOOKUP(_xlfn.CONCAT(C862,D862,E862,TIME!$F$1,Z862),HIS_SALES!$B$2:$V$4859,19,FALSE),0)))</f>
        <v>#N/A</v>
      </c>
      <c r="AD862" s="341">
        <f t="shared" ca="1" si="335"/>
        <v>0</v>
      </c>
      <c r="AE862" s="363" t="str">
        <f t="shared" si="336"/>
        <v/>
      </c>
      <c r="AF862" s="342" t="str">
        <f t="shared" si="337"/>
        <v/>
      </c>
      <c r="AG862" s="411" t="e">
        <f ca="1">VLOOKUP(_xlfn.CONCAT(U862,V862,W862,VLOOKUP(X862&amp;Y862,TIME!$L$27:$O$34,4,FALSE),Y862),HIS_SALES!$A$2:$R$5093,18,FALSE)</f>
        <v>#N/A</v>
      </c>
      <c r="AH862" s="412" t="e">
        <f ca="1">IFERROR(IF(AND(V862=V861,W862=W861),0.5*(AB862+AB861)*AG862,(VLOOKUP(_xlfn.CONCAT(U862,V862,W862,X862,VLOOKUP(Z862,TIME!$S$28:$T$39,2,FALSE)),FC_DATA!$R$2:$AB$5000,MATCH("GS_I_M",FC_DATA!$R$1:$AB$1,0),FALSE)+FC_DATA!AB862)*0.5*FC_DATA!AG862),NA())</f>
        <v>#N/A</v>
      </c>
      <c r="AI862" s="491" t="e">
        <f ca="1">IF(V862="PARTNER.com",AH862,IF(AND(V862=V861,W862=W861),(1-AVERAGE(AD861,AD862))*AH862,(1-AVERAGE(AD862,VLOOKUP(_xlfn.CONCAT(U862,V862,W862,X862,M_BRAND_FC!$F$6),FC_DATA!$R$2:$AD$5000,MATCH("DISCOUNT_%_M",FC_DATA!$R$1:$AD$1,0),FALSE)))*AH862))</f>
        <v>#N/A</v>
      </c>
      <c r="AJ862" s="412" t="str">
        <f t="shared" ca="1" si="338"/>
        <v/>
      </c>
      <c r="AK862" s="413" t="str">
        <f>IFERROR(AE862/(Q_BRAND_FC!$T$24+1),"")</f>
        <v/>
      </c>
      <c r="AL862" s="88" t="str">
        <f t="shared" ca="1" si="339"/>
        <v/>
      </c>
      <c r="AM862" s="414" t="str">
        <f t="shared" ca="1" si="340"/>
        <v/>
      </c>
      <c r="AN862" s="58">
        <f>IFERROR(IF($V862="BRAND.com",HLOOKUP($X862&amp;$Z862,NWC_FC_NOOS!$C$4:$Q$23,MATCH(W862,NWC_FC_NOOS!$B$4:$B$23,0),FALSE),0),0)</f>
        <v>0</v>
      </c>
      <c r="AO862" s="57">
        <f>IFERROR(IF($V862="BRAND.com",HLOOKUP($X862&amp;$Z862,NWC_FC_NOOS!$T$4:$AH$23,MATCH(W862,NWC_FC_NOOS!$S$4:$S$23,0),FALSE),0),0)</f>
        <v>0</v>
      </c>
      <c r="AP862" s="57">
        <f>IFERROR(IF($V862="BRAND.com",HLOOKUP($X862&amp;$Z862,NWC_FC_NOOS!$C$50:$U$69,MATCH(W862,NWC_FC_NOOS!$B$50:$B$69,0),FALSE),0),0)</f>
        <v>0</v>
      </c>
      <c r="AQ862" s="58">
        <f>IFERROR(IF($V862="BRAND.com",HLOOKUP($X862&amp;$Z862,'NWC_FC_NON-NOOS'!$C$4:$Q$23,MATCH(W862,'NWC_FC_NON-NOOS'!$B$4:$B$23,0),FALSE),0),0)</f>
        <v>0</v>
      </c>
      <c r="AR862" s="57">
        <f>IFERROR(IF($V862="BRAND.com",HLOOKUP($X862&amp;$Z862,'NWC_FC_NON-NOOS'!$T$4:$AH$23,MATCH(W862,'NWC_FC_NON-NOOS'!$S$4:$S$23,0),FALSE),0),0)</f>
        <v>0</v>
      </c>
      <c r="AS862" s="57">
        <f>IFERROR(IF($V862="BRAND.com",HLOOKUP($X862&amp;$Z862,'NWC_FC_NON-NOOS'!$C$50:$U$69,MATCH(W862,'NWC_FC_NON-NOOS'!$B$50:$B$69,0),FALSE),0),0)</f>
        <v>0</v>
      </c>
      <c r="AT862" s="57">
        <f t="shared" si="342"/>
        <v>0</v>
      </c>
      <c r="AU862" s="57">
        <f t="shared" si="343"/>
        <v>0</v>
      </c>
      <c r="AV862" s="58">
        <f>IFERROR(IF($V862="BRAND.com",HLOOKUP($X862&amp;$Z862,PLANNING_FC!$BB$27:$BP$46,MATCH($W862,PLANNING_FC!$BA$27:$BA$46,0),FALSE),0),0)</f>
        <v>0</v>
      </c>
      <c r="AW862" s="58">
        <f>IFERROR(IF($V862="BRAND.com",HLOOKUP($X862&amp;$Z862,PLANNING_FC!$BB$4:$BP$23,MATCH($W862,PLANNING_FC!$BA$4:$BA$23,0),FALSE),0),0)</f>
        <v>0</v>
      </c>
      <c r="AX862" s="58">
        <f>IFERROR(IF($V862="BRAND.com",HLOOKUP($X862&amp;$Z862,PLANNING_FC!$T$27:$AH$46,MATCH($W862,PLANNING_FC!$B$27:$B$46,0),FALSE),0),0)</f>
        <v>0</v>
      </c>
      <c r="AY862" s="58">
        <f>IFERROR(IF($V862="BRAND.com",HLOOKUP($X862&amp;$Z862,PLANNING_FC!$T$4:$AH$23,MATCH($W862,PLANNING_FC!$B$4:$B$23,0),FALSE),0),0)</f>
        <v>0</v>
      </c>
      <c r="AZ862" s="58">
        <f>IFERROR(IF($V862="BRAND.com",HLOOKUP($X862&amp;$Z862,PLANNING_FC!$DA$27:$DO$46,MATCH($W862,PLANNING_FC!$CZ$27:$CZ$46,0),FALSE),0),0)</f>
        <v>0</v>
      </c>
      <c r="BA862" s="58">
        <f>IFERROR(IF($V862="BRAND.com",HLOOKUP($X862&amp;$Z862,PLANNING_FC!$DA$4:$DO$23,MATCH($W862,PLANNING_FC!$CZ$4:$CZ$23,0),FALSE),0),0)</f>
        <v>0</v>
      </c>
      <c r="BB862" s="883" t="str">
        <f>IF(V862="BRAND.com",IFERROR(HLOOKUP(X862&amp;Z862,PLANNING_FC!$AK$4:$AY$23,MATCH(W862,PLANNING_FC!$AJ$4:$AJ$23,0),FALSE)*1000,""),"")</f>
        <v/>
      </c>
      <c r="BC862" s="883" t="str">
        <f>IF(V862="BRAND.com",IFERROR(HLOOKUP(X862&amp;Z862,PLANNING_FC!$AK$27:$AY$46,MATCH(W862,PLANNING_FC!$AJ$27:$AJ$46,0),FALSE)*1000,""),"")</f>
        <v/>
      </c>
    </row>
    <row r="863" spans="14:55" x14ac:dyDescent="0.25">
      <c r="N863" s="56">
        <f t="shared" si="324"/>
        <v>0</v>
      </c>
      <c r="O863" s="57">
        <f t="shared" si="325"/>
        <v>0</v>
      </c>
      <c r="P863" s="57">
        <f ca="1">IFERROR(IF(ISBLANK(H863),SUMIFS($AC:$AC,$V:$V,V863,$W:$W,W863,$X:$X,X863,$Y:$Y,Y863)*J863/(1-J863)*VLOOKUP(_xlfn.CONCAT(C863,D863,E863,TIME!$M$12,Z863),HIS_SALES!$B$2:$W$4859,20,FALSE),AC863*J863/(1-J863)),0)</f>
        <v>0</v>
      </c>
      <c r="Q863" s="541" t="str">
        <f t="shared" si="326"/>
        <v/>
      </c>
      <c r="R863" s="346" t="str">
        <f t="shared" si="327"/>
        <v>00000</v>
      </c>
      <c r="S863" s="344">
        <f t="shared" si="328"/>
        <v>0</v>
      </c>
      <c r="T863" s="345" t="str">
        <f t="shared" si="341"/>
        <v>000</v>
      </c>
      <c r="U863" s="345">
        <f t="shared" si="329"/>
        <v>0</v>
      </c>
      <c r="V863" s="345">
        <f t="shared" si="330"/>
        <v>0</v>
      </c>
      <c r="W863" s="345">
        <f t="shared" si="331"/>
        <v>0</v>
      </c>
      <c r="X863" s="345">
        <f t="shared" si="332"/>
        <v>0</v>
      </c>
      <c r="Y863" s="345">
        <f t="shared" si="333"/>
        <v>0</v>
      </c>
      <c r="Z863" s="345">
        <f>IF(Q863&lt;&gt;"",VLOOKUP(Y863,TIME!$R$21:$V$24,MATCH(FC_DATA!Q863,TIME!$R$20:$V$20,0),FALSE),H863)</f>
        <v>0</v>
      </c>
      <c r="AA863" s="345" t="str">
        <f>IFERROR(VLOOKUP(X863&amp;Z863,TIME!$A$12:$D$71,4,FALSE),"")</f>
        <v/>
      </c>
      <c r="AB863" s="592">
        <f t="shared" ca="1" si="334"/>
        <v>0</v>
      </c>
      <c r="AC863" s="593" t="e">
        <f ca="1">IF(ISBLANK(H863)=FALSE,IF(D863="BRAND.com",I863,IF(ISNA(VLOOKUP(_xlfn.CONCAT(X863,Z863),TIME!$M$40:$M$42,1,FALSE)),I863,VLOOKUP(_xlfn.CONCAT(D863,G863,H863),M_BUSAREA_FC!$AF$5:$AJ$10,5,FALSE)*HLOOKUP(_xlfn.CONCAT(F863,H863),ST_OVERVIEW!$G$99:$I$130,MATCH(_xlfn.CONCAT(D863,E863),ST_OVERVIEW!$F$99:$F$130,0),FALSE))),IF(D863="BRAND.com",VLOOKUP(_xlfn.CONCAT(C863,D863,E863,TIME!$F$1,Z863),HIS_SALES!$B$2:$V$4859,19,FALSE)*I863,VLOOKUP(_xlfn.CONCAT(D863,F863,G863),Q_BUSAREA_FC!$AE$5:$AI$12,5,FALSE)*HLOOKUP(_xlfn.CONCAT(FC_DATA!F863,FC_DATA!G863),LT_OVERVIEW!$I$99:$M$130,MATCH(_xlfn.CONCAT(D863,FC_DATA!E863),LT_OVERVIEW!$H$99:$H$130,0),FALSE)*IFERROR(VLOOKUP(_xlfn.CONCAT(C863,D863,E863,TIME!$F$1,Z863),HIS_SALES!$B$2:$V$4859,19,FALSE),0)))</f>
        <v>#N/A</v>
      </c>
      <c r="AD863" s="341">
        <f t="shared" ca="1" si="335"/>
        <v>0</v>
      </c>
      <c r="AE863" s="363" t="str">
        <f t="shared" si="336"/>
        <v/>
      </c>
      <c r="AF863" s="342" t="str">
        <f t="shared" si="337"/>
        <v/>
      </c>
      <c r="AG863" s="411" t="e">
        <f ca="1">VLOOKUP(_xlfn.CONCAT(U863,V863,W863,VLOOKUP(X863&amp;Y863,TIME!$L$27:$O$34,4,FALSE),Y863),HIS_SALES!$A$2:$R$5093,18,FALSE)</f>
        <v>#N/A</v>
      </c>
      <c r="AH863" s="412" t="e">
        <f ca="1">IFERROR(IF(AND(V863=V862,W863=W862),0.5*(AB863+AB862)*AG863,(VLOOKUP(_xlfn.CONCAT(U863,V863,W863,X863,VLOOKUP(Z863,TIME!$S$28:$T$39,2,FALSE)),FC_DATA!$R$2:$AB$5000,MATCH("GS_I_M",FC_DATA!$R$1:$AB$1,0),FALSE)+FC_DATA!AB863)*0.5*FC_DATA!AG863),NA())</f>
        <v>#N/A</v>
      </c>
      <c r="AI863" s="491" t="e">
        <f ca="1">IF(V863="PARTNER.com",AH863,IF(AND(V863=V862,W863=W862),(1-AVERAGE(AD862,AD863))*AH863,(1-AVERAGE(AD863,VLOOKUP(_xlfn.CONCAT(U863,V863,W863,X863,M_BRAND_FC!$F$6),FC_DATA!$R$2:$AD$5000,MATCH("DISCOUNT_%_M",FC_DATA!$R$1:$AD$1,0),FALSE)))*AH863))</f>
        <v>#N/A</v>
      </c>
      <c r="AJ863" s="412" t="str">
        <f t="shared" ca="1" si="338"/>
        <v/>
      </c>
      <c r="AK863" s="413" t="str">
        <f>IFERROR(AE863/(Q_BRAND_FC!$T$24+1),"")</f>
        <v/>
      </c>
      <c r="AL863" s="88" t="str">
        <f t="shared" ca="1" si="339"/>
        <v/>
      </c>
      <c r="AM863" s="414" t="str">
        <f t="shared" ca="1" si="340"/>
        <v/>
      </c>
      <c r="AN863" s="58">
        <f>IFERROR(IF($V863="BRAND.com",HLOOKUP($X863&amp;$Z863,NWC_FC_NOOS!$C$4:$Q$23,MATCH(W863,NWC_FC_NOOS!$B$4:$B$23,0),FALSE),0),0)</f>
        <v>0</v>
      </c>
      <c r="AO863" s="57">
        <f>IFERROR(IF($V863="BRAND.com",HLOOKUP($X863&amp;$Z863,NWC_FC_NOOS!$T$4:$AH$23,MATCH(W863,NWC_FC_NOOS!$S$4:$S$23,0),FALSE),0),0)</f>
        <v>0</v>
      </c>
      <c r="AP863" s="57">
        <f>IFERROR(IF($V863="BRAND.com",HLOOKUP($X863&amp;$Z863,NWC_FC_NOOS!$C$50:$U$69,MATCH(W863,NWC_FC_NOOS!$B$50:$B$69,0),FALSE),0),0)</f>
        <v>0</v>
      </c>
      <c r="AQ863" s="58">
        <f>IFERROR(IF($V863="BRAND.com",HLOOKUP($X863&amp;$Z863,'NWC_FC_NON-NOOS'!$C$4:$Q$23,MATCH(W863,'NWC_FC_NON-NOOS'!$B$4:$B$23,0),FALSE),0),0)</f>
        <v>0</v>
      </c>
      <c r="AR863" s="57">
        <f>IFERROR(IF($V863="BRAND.com",HLOOKUP($X863&amp;$Z863,'NWC_FC_NON-NOOS'!$T$4:$AH$23,MATCH(W863,'NWC_FC_NON-NOOS'!$S$4:$S$23,0),FALSE),0),0)</f>
        <v>0</v>
      </c>
      <c r="AS863" s="57">
        <f>IFERROR(IF($V863="BRAND.com",HLOOKUP($X863&amp;$Z863,'NWC_FC_NON-NOOS'!$C$50:$U$69,MATCH(W863,'NWC_FC_NON-NOOS'!$B$50:$B$69,0),FALSE),0),0)</f>
        <v>0</v>
      </c>
      <c r="AT863" s="57">
        <f t="shared" si="342"/>
        <v>0</v>
      </c>
      <c r="AU863" s="57">
        <f t="shared" si="343"/>
        <v>0</v>
      </c>
      <c r="AV863" s="58">
        <f>IFERROR(IF($V863="BRAND.com",HLOOKUP($X863&amp;$Z863,PLANNING_FC!$BB$27:$BP$46,MATCH($W863,PLANNING_FC!$BA$27:$BA$46,0),FALSE),0),0)</f>
        <v>0</v>
      </c>
      <c r="AW863" s="58">
        <f>IFERROR(IF($V863="BRAND.com",HLOOKUP($X863&amp;$Z863,PLANNING_FC!$BB$4:$BP$23,MATCH($W863,PLANNING_FC!$BA$4:$BA$23,0),FALSE),0),0)</f>
        <v>0</v>
      </c>
      <c r="AX863" s="58">
        <f>IFERROR(IF($V863="BRAND.com",HLOOKUP($X863&amp;$Z863,PLANNING_FC!$T$27:$AH$46,MATCH($W863,PLANNING_FC!$B$27:$B$46,0),FALSE),0),0)</f>
        <v>0</v>
      </c>
      <c r="AY863" s="58">
        <f>IFERROR(IF($V863="BRAND.com",HLOOKUP($X863&amp;$Z863,PLANNING_FC!$T$4:$AH$23,MATCH($W863,PLANNING_FC!$B$4:$B$23,0),FALSE),0),0)</f>
        <v>0</v>
      </c>
      <c r="AZ863" s="58">
        <f>IFERROR(IF($V863="BRAND.com",HLOOKUP($X863&amp;$Z863,PLANNING_FC!$DA$27:$DO$46,MATCH($W863,PLANNING_FC!$CZ$27:$CZ$46,0),FALSE),0),0)</f>
        <v>0</v>
      </c>
      <c r="BA863" s="58">
        <f>IFERROR(IF($V863="BRAND.com",HLOOKUP($X863&amp;$Z863,PLANNING_FC!$DA$4:$DO$23,MATCH($W863,PLANNING_FC!$CZ$4:$CZ$23,0),FALSE),0),0)</f>
        <v>0</v>
      </c>
      <c r="BB863" s="883" t="str">
        <f>IF(V863="BRAND.com",IFERROR(HLOOKUP(X863&amp;Z863,PLANNING_FC!$AK$4:$AY$23,MATCH(W863,PLANNING_FC!$AJ$4:$AJ$23,0),FALSE)*1000,""),"")</f>
        <v/>
      </c>
      <c r="BC863" s="883" t="str">
        <f>IF(V863="BRAND.com",IFERROR(HLOOKUP(X863&amp;Z863,PLANNING_FC!$AK$27:$AY$46,MATCH(W863,PLANNING_FC!$AJ$27:$AJ$46,0),FALSE)*1000,""),"")</f>
        <v/>
      </c>
    </row>
    <row r="864" spans="14:55" x14ac:dyDescent="0.25">
      <c r="N864" s="56">
        <f t="shared" si="324"/>
        <v>0</v>
      </c>
      <c r="O864" s="57">
        <f t="shared" si="325"/>
        <v>0</v>
      </c>
      <c r="P864" s="57">
        <f ca="1">IFERROR(IF(ISBLANK(H864),SUMIFS($AC:$AC,$V:$V,V864,$W:$W,W864,$X:$X,X864,$Y:$Y,Y864)*J864/(1-J864)*VLOOKUP(_xlfn.CONCAT(C864,D864,E864,TIME!$M$12,Z864),HIS_SALES!$B$2:$W$4859,20,FALSE),AC864*J864/(1-J864)),0)</f>
        <v>0</v>
      </c>
      <c r="Q864" s="541" t="str">
        <f t="shared" si="326"/>
        <v/>
      </c>
      <c r="R864" s="346" t="str">
        <f t="shared" si="327"/>
        <v>00000</v>
      </c>
      <c r="S864" s="344">
        <f t="shared" si="328"/>
        <v>0</v>
      </c>
      <c r="T864" s="345" t="str">
        <f t="shared" si="341"/>
        <v>000</v>
      </c>
      <c r="U864" s="345">
        <f t="shared" si="329"/>
        <v>0</v>
      </c>
      <c r="V864" s="345">
        <f t="shared" si="330"/>
        <v>0</v>
      </c>
      <c r="W864" s="345">
        <f t="shared" si="331"/>
        <v>0</v>
      </c>
      <c r="X864" s="345">
        <f t="shared" si="332"/>
        <v>0</v>
      </c>
      <c r="Y864" s="345">
        <f t="shared" si="333"/>
        <v>0</v>
      </c>
      <c r="Z864" s="345">
        <f>IF(Q864&lt;&gt;"",VLOOKUP(Y864,TIME!$R$21:$V$24,MATCH(FC_DATA!Q864,TIME!$R$20:$V$20,0),FALSE),H864)</f>
        <v>0</v>
      </c>
      <c r="AA864" s="345" t="str">
        <f>IFERROR(VLOOKUP(X864&amp;Z864,TIME!$A$12:$D$71,4,FALSE),"")</f>
        <v/>
      </c>
      <c r="AB864" s="592">
        <f t="shared" ca="1" si="334"/>
        <v>0</v>
      </c>
      <c r="AC864" s="593" t="e">
        <f ca="1">IF(ISBLANK(H864)=FALSE,IF(D864="BRAND.com",I864,IF(ISNA(VLOOKUP(_xlfn.CONCAT(X864,Z864),TIME!$M$40:$M$42,1,FALSE)),I864,VLOOKUP(_xlfn.CONCAT(D864,G864,H864),M_BUSAREA_FC!$AF$5:$AJ$10,5,FALSE)*HLOOKUP(_xlfn.CONCAT(F864,H864),ST_OVERVIEW!$G$99:$I$130,MATCH(_xlfn.CONCAT(D864,E864),ST_OVERVIEW!$F$99:$F$130,0),FALSE))),IF(D864="BRAND.com",VLOOKUP(_xlfn.CONCAT(C864,D864,E864,TIME!$F$1,Z864),HIS_SALES!$B$2:$V$4859,19,FALSE)*I864,VLOOKUP(_xlfn.CONCAT(D864,F864,G864),Q_BUSAREA_FC!$AE$5:$AI$12,5,FALSE)*HLOOKUP(_xlfn.CONCAT(FC_DATA!F864,FC_DATA!G864),LT_OVERVIEW!$I$99:$M$130,MATCH(_xlfn.CONCAT(D864,FC_DATA!E864),LT_OVERVIEW!$H$99:$H$130,0),FALSE)*IFERROR(VLOOKUP(_xlfn.CONCAT(C864,D864,E864,TIME!$F$1,Z864),HIS_SALES!$B$2:$V$4859,19,FALSE),0)))</f>
        <v>#N/A</v>
      </c>
      <c r="AD864" s="341">
        <f t="shared" ca="1" si="335"/>
        <v>0</v>
      </c>
      <c r="AE864" s="363" t="str">
        <f t="shared" si="336"/>
        <v/>
      </c>
      <c r="AF864" s="342" t="str">
        <f t="shared" si="337"/>
        <v/>
      </c>
      <c r="AG864" s="411" t="e">
        <f ca="1">VLOOKUP(_xlfn.CONCAT(U864,V864,W864,VLOOKUP(X864&amp;Y864,TIME!$L$27:$O$34,4,FALSE),Y864),HIS_SALES!$A$2:$R$5093,18,FALSE)</f>
        <v>#N/A</v>
      </c>
      <c r="AH864" s="412" t="e">
        <f ca="1">IFERROR(IF(AND(V864=V863,W864=W863),0.5*(AB864+AB863)*AG864,(VLOOKUP(_xlfn.CONCAT(U864,V864,W864,X864,VLOOKUP(Z864,TIME!$S$28:$T$39,2,FALSE)),FC_DATA!$R$2:$AB$5000,MATCH("GS_I_M",FC_DATA!$R$1:$AB$1,0),FALSE)+FC_DATA!AB864)*0.5*FC_DATA!AG864),NA())</f>
        <v>#N/A</v>
      </c>
      <c r="AI864" s="491" t="e">
        <f ca="1">IF(V864="PARTNER.com",AH864,IF(AND(V864=V863,W864=W863),(1-AVERAGE(AD863,AD864))*AH864,(1-AVERAGE(AD864,VLOOKUP(_xlfn.CONCAT(U864,V864,W864,X864,M_BRAND_FC!$F$6),FC_DATA!$R$2:$AD$5000,MATCH("DISCOUNT_%_M",FC_DATA!$R$1:$AD$1,0),FALSE)))*AH864))</f>
        <v>#N/A</v>
      </c>
      <c r="AJ864" s="412" t="str">
        <f t="shared" ca="1" si="338"/>
        <v/>
      </c>
      <c r="AK864" s="413" t="str">
        <f>IFERROR(AE864/(Q_BRAND_FC!$T$24+1),"")</f>
        <v/>
      </c>
      <c r="AL864" s="88" t="str">
        <f t="shared" ca="1" si="339"/>
        <v/>
      </c>
      <c r="AM864" s="414" t="str">
        <f t="shared" ca="1" si="340"/>
        <v/>
      </c>
      <c r="AN864" s="58">
        <f>IFERROR(IF($V864="BRAND.com",HLOOKUP($X864&amp;$Z864,NWC_FC_NOOS!$C$4:$Q$23,MATCH(W864,NWC_FC_NOOS!$B$4:$B$23,0),FALSE),0),0)</f>
        <v>0</v>
      </c>
      <c r="AO864" s="57">
        <f>IFERROR(IF($V864="BRAND.com",HLOOKUP($X864&amp;$Z864,NWC_FC_NOOS!$T$4:$AH$23,MATCH(W864,NWC_FC_NOOS!$S$4:$S$23,0),FALSE),0),0)</f>
        <v>0</v>
      </c>
      <c r="AP864" s="57">
        <f>IFERROR(IF($V864="BRAND.com",HLOOKUP($X864&amp;$Z864,NWC_FC_NOOS!$C$50:$U$69,MATCH(W864,NWC_FC_NOOS!$B$50:$B$69,0),FALSE),0),0)</f>
        <v>0</v>
      </c>
      <c r="AQ864" s="58">
        <f>IFERROR(IF($V864="BRAND.com",HLOOKUP($X864&amp;$Z864,'NWC_FC_NON-NOOS'!$C$4:$Q$23,MATCH(W864,'NWC_FC_NON-NOOS'!$B$4:$B$23,0),FALSE),0),0)</f>
        <v>0</v>
      </c>
      <c r="AR864" s="57">
        <f>IFERROR(IF($V864="BRAND.com",HLOOKUP($X864&amp;$Z864,'NWC_FC_NON-NOOS'!$T$4:$AH$23,MATCH(W864,'NWC_FC_NON-NOOS'!$S$4:$S$23,0),FALSE),0),0)</f>
        <v>0</v>
      </c>
      <c r="AS864" s="57">
        <f>IFERROR(IF($V864="BRAND.com",HLOOKUP($X864&amp;$Z864,'NWC_FC_NON-NOOS'!$C$50:$U$69,MATCH(W864,'NWC_FC_NON-NOOS'!$B$50:$B$69,0),FALSE),0),0)</f>
        <v>0</v>
      </c>
      <c r="AT864" s="57">
        <f t="shared" si="342"/>
        <v>0</v>
      </c>
      <c r="AU864" s="57">
        <f t="shared" si="343"/>
        <v>0</v>
      </c>
      <c r="AV864" s="58">
        <f>IFERROR(IF($V864="BRAND.com",HLOOKUP($X864&amp;$Z864,PLANNING_FC!$BB$27:$BP$46,MATCH($W864,PLANNING_FC!$BA$27:$BA$46,0),FALSE),0),0)</f>
        <v>0</v>
      </c>
      <c r="AW864" s="58">
        <f>IFERROR(IF($V864="BRAND.com",HLOOKUP($X864&amp;$Z864,PLANNING_FC!$BB$4:$BP$23,MATCH($W864,PLANNING_FC!$BA$4:$BA$23,0),FALSE),0),0)</f>
        <v>0</v>
      </c>
      <c r="AX864" s="58">
        <f>IFERROR(IF($V864="BRAND.com",HLOOKUP($X864&amp;$Z864,PLANNING_FC!$T$27:$AH$46,MATCH($W864,PLANNING_FC!$B$27:$B$46,0),FALSE),0),0)</f>
        <v>0</v>
      </c>
      <c r="AY864" s="58">
        <f>IFERROR(IF($V864="BRAND.com",HLOOKUP($X864&amp;$Z864,PLANNING_FC!$T$4:$AH$23,MATCH($W864,PLANNING_FC!$B$4:$B$23,0),FALSE),0),0)</f>
        <v>0</v>
      </c>
      <c r="AZ864" s="58">
        <f>IFERROR(IF($V864="BRAND.com",HLOOKUP($X864&amp;$Z864,PLANNING_FC!$DA$27:$DO$46,MATCH($W864,PLANNING_FC!$CZ$27:$CZ$46,0),FALSE),0),0)</f>
        <v>0</v>
      </c>
      <c r="BA864" s="58">
        <f>IFERROR(IF($V864="BRAND.com",HLOOKUP($X864&amp;$Z864,PLANNING_FC!$DA$4:$DO$23,MATCH($W864,PLANNING_FC!$CZ$4:$CZ$23,0),FALSE),0),0)</f>
        <v>0</v>
      </c>
      <c r="BB864" s="883" t="str">
        <f>IF(V864="BRAND.com",IFERROR(HLOOKUP(X864&amp;Z864,PLANNING_FC!$AK$4:$AY$23,MATCH(W864,PLANNING_FC!$AJ$4:$AJ$23,0),FALSE)*1000,""),"")</f>
        <v/>
      </c>
      <c r="BC864" s="883" t="str">
        <f>IF(V864="BRAND.com",IFERROR(HLOOKUP(X864&amp;Z864,PLANNING_FC!$AK$27:$AY$46,MATCH(W864,PLANNING_FC!$AJ$27:$AJ$46,0),FALSE)*1000,""),"")</f>
        <v/>
      </c>
    </row>
    <row r="865" spans="14:55" x14ac:dyDescent="0.25">
      <c r="N865" s="56">
        <f t="shared" si="324"/>
        <v>0</v>
      </c>
      <c r="O865" s="57">
        <f t="shared" si="325"/>
        <v>0</v>
      </c>
      <c r="P865" s="57">
        <f ca="1">IFERROR(IF(ISBLANK(H865),SUMIFS($AC:$AC,$V:$V,V865,$W:$W,W865,$X:$X,X865,$Y:$Y,Y865)*J865/(1-J865)*VLOOKUP(_xlfn.CONCAT(C865,D865,E865,TIME!$M$12,Z865),HIS_SALES!$B$2:$W$4859,20,FALSE),AC865*J865/(1-J865)),0)</f>
        <v>0</v>
      </c>
      <c r="Q865" s="541" t="str">
        <f t="shared" si="326"/>
        <v/>
      </c>
      <c r="R865" s="346" t="str">
        <f t="shared" si="327"/>
        <v>00000</v>
      </c>
      <c r="S865" s="344">
        <f t="shared" si="328"/>
        <v>0</v>
      </c>
      <c r="T865" s="345" t="str">
        <f t="shared" si="341"/>
        <v>000</v>
      </c>
      <c r="U865" s="345">
        <f t="shared" si="329"/>
        <v>0</v>
      </c>
      <c r="V865" s="345">
        <f t="shared" si="330"/>
        <v>0</v>
      </c>
      <c r="W865" s="345">
        <f t="shared" si="331"/>
        <v>0</v>
      </c>
      <c r="X865" s="345">
        <f t="shared" si="332"/>
        <v>0</v>
      </c>
      <c r="Y865" s="345">
        <f t="shared" si="333"/>
        <v>0</v>
      </c>
      <c r="Z865" s="345">
        <f>IF(Q865&lt;&gt;"",VLOOKUP(Y865,TIME!$R$21:$V$24,MATCH(FC_DATA!Q865,TIME!$R$20:$V$20,0),FALSE),H865)</f>
        <v>0</v>
      </c>
      <c r="AA865" s="345" t="str">
        <f>IFERROR(VLOOKUP(X865&amp;Z865,TIME!$A$12:$D$71,4,FALSE),"")</f>
        <v/>
      </c>
      <c r="AB865" s="592">
        <f t="shared" ca="1" si="334"/>
        <v>0</v>
      </c>
      <c r="AC865" s="593" t="e">
        <f ca="1">IF(ISBLANK(H865)=FALSE,IF(D865="BRAND.com",I865,IF(ISNA(VLOOKUP(_xlfn.CONCAT(X865,Z865),TIME!$M$40:$M$42,1,FALSE)),I865,VLOOKUP(_xlfn.CONCAT(D865,G865,H865),M_BUSAREA_FC!$AF$5:$AJ$10,5,FALSE)*HLOOKUP(_xlfn.CONCAT(F865,H865),ST_OVERVIEW!$G$99:$I$130,MATCH(_xlfn.CONCAT(D865,E865),ST_OVERVIEW!$F$99:$F$130,0),FALSE))),IF(D865="BRAND.com",VLOOKUP(_xlfn.CONCAT(C865,D865,E865,TIME!$F$1,Z865),HIS_SALES!$B$2:$V$4859,19,FALSE)*I865,VLOOKUP(_xlfn.CONCAT(D865,F865,G865),Q_BUSAREA_FC!$AE$5:$AI$12,5,FALSE)*HLOOKUP(_xlfn.CONCAT(FC_DATA!F865,FC_DATA!G865),LT_OVERVIEW!$I$99:$M$130,MATCH(_xlfn.CONCAT(D865,FC_DATA!E865),LT_OVERVIEW!$H$99:$H$130,0),FALSE)*IFERROR(VLOOKUP(_xlfn.CONCAT(C865,D865,E865,TIME!$F$1,Z865),HIS_SALES!$B$2:$V$4859,19,FALSE),0)))</f>
        <v>#N/A</v>
      </c>
      <c r="AD865" s="341">
        <f t="shared" ca="1" si="335"/>
        <v>0</v>
      </c>
      <c r="AE865" s="363" t="str">
        <f t="shared" si="336"/>
        <v/>
      </c>
      <c r="AF865" s="342" t="str">
        <f t="shared" si="337"/>
        <v/>
      </c>
      <c r="AG865" s="411" t="e">
        <f ca="1">VLOOKUP(_xlfn.CONCAT(U865,V865,W865,VLOOKUP(X865&amp;Y865,TIME!$L$27:$O$34,4,FALSE),Y865),HIS_SALES!$A$2:$R$5093,18,FALSE)</f>
        <v>#N/A</v>
      </c>
      <c r="AH865" s="412" t="e">
        <f ca="1">IFERROR(IF(AND(V865=V864,W865=W864),0.5*(AB865+AB864)*AG865,(VLOOKUP(_xlfn.CONCAT(U865,V865,W865,X865,VLOOKUP(Z865,TIME!$S$28:$T$39,2,FALSE)),FC_DATA!$R$2:$AB$5000,MATCH("GS_I_M",FC_DATA!$R$1:$AB$1,0),FALSE)+FC_DATA!AB865)*0.5*FC_DATA!AG865),NA())</f>
        <v>#N/A</v>
      </c>
      <c r="AI865" s="491" t="e">
        <f ca="1">IF(V865="PARTNER.com",AH865,IF(AND(V865=V864,W865=W864),(1-AVERAGE(AD864,AD865))*AH865,(1-AVERAGE(AD865,VLOOKUP(_xlfn.CONCAT(U865,V865,W865,X865,M_BRAND_FC!$F$6),FC_DATA!$R$2:$AD$5000,MATCH("DISCOUNT_%_M",FC_DATA!$R$1:$AD$1,0),FALSE)))*AH865))</f>
        <v>#N/A</v>
      </c>
      <c r="AJ865" s="412" t="str">
        <f t="shared" ca="1" si="338"/>
        <v/>
      </c>
      <c r="AK865" s="413" t="str">
        <f>IFERROR(AE865/(Q_BRAND_FC!$T$24+1),"")</f>
        <v/>
      </c>
      <c r="AL865" s="88" t="str">
        <f t="shared" ca="1" si="339"/>
        <v/>
      </c>
      <c r="AM865" s="414" t="str">
        <f t="shared" ca="1" si="340"/>
        <v/>
      </c>
      <c r="AN865" s="58">
        <f>IFERROR(IF($V865="BRAND.com",HLOOKUP($X865&amp;$Z865,NWC_FC_NOOS!$C$4:$Q$23,MATCH(W865,NWC_FC_NOOS!$B$4:$B$23,0),FALSE),0),0)</f>
        <v>0</v>
      </c>
      <c r="AO865" s="57">
        <f>IFERROR(IF($V865="BRAND.com",HLOOKUP($X865&amp;$Z865,NWC_FC_NOOS!$T$4:$AH$23,MATCH(W865,NWC_FC_NOOS!$S$4:$S$23,0),FALSE),0),0)</f>
        <v>0</v>
      </c>
      <c r="AP865" s="57">
        <f>IFERROR(IF($V865="BRAND.com",HLOOKUP($X865&amp;$Z865,NWC_FC_NOOS!$C$50:$U$69,MATCH(W865,NWC_FC_NOOS!$B$50:$B$69,0),FALSE),0),0)</f>
        <v>0</v>
      </c>
      <c r="AQ865" s="58">
        <f>IFERROR(IF($V865="BRAND.com",HLOOKUP($X865&amp;$Z865,'NWC_FC_NON-NOOS'!$C$4:$Q$23,MATCH(W865,'NWC_FC_NON-NOOS'!$B$4:$B$23,0),FALSE),0),0)</f>
        <v>0</v>
      </c>
      <c r="AR865" s="57">
        <f>IFERROR(IF($V865="BRAND.com",HLOOKUP($X865&amp;$Z865,'NWC_FC_NON-NOOS'!$T$4:$AH$23,MATCH(W865,'NWC_FC_NON-NOOS'!$S$4:$S$23,0),FALSE),0),0)</f>
        <v>0</v>
      </c>
      <c r="AS865" s="57">
        <f>IFERROR(IF($V865="BRAND.com",HLOOKUP($X865&amp;$Z865,'NWC_FC_NON-NOOS'!$C$50:$U$69,MATCH(W865,'NWC_FC_NON-NOOS'!$B$50:$B$69,0),FALSE),0),0)</f>
        <v>0</v>
      </c>
      <c r="AT865" s="57">
        <f t="shared" si="342"/>
        <v>0</v>
      </c>
      <c r="AU865" s="57">
        <f t="shared" si="343"/>
        <v>0</v>
      </c>
      <c r="AV865" s="58">
        <f>IFERROR(IF($V865="BRAND.com",HLOOKUP($X865&amp;$Z865,PLANNING_FC!$BB$27:$BP$46,MATCH($W865,PLANNING_FC!$BA$27:$BA$46,0),FALSE),0),0)</f>
        <v>0</v>
      </c>
      <c r="AW865" s="58">
        <f>IFERROR(IF($V865="BRAND.com",HLOOKUP($X865&amp;$Z865,PLANNING_FC!$BB$4:$BP$23,MATCH($W865,PLANNING_FC!$BA$4:$BA$23,0),FALSE),0),0)</f>
        <v>0</v>
      </c>
      <c r="AX865" s="58">
        <f>IFERROR(IF($V865="BRAND.com",HLOOKUP($X865&amp;$Z865,PLANNING_FC!$T$27:$AH$46,MATCH($W865,PLANNING_FC!$B$27:$B$46,0),FALSE),0),0)</f>
        <v>0</v>
      </c>
      <c r="AY865" s="58">
        <f>IFERROR(IF($V865="BRAND.com",HLOOKUP($X865&amp;$Z865,PLANNING_FC!$T$4:$AH$23,MATCH($W865,PLANNING_FC!$B$4:$B$23,0),FALSE),0),0)</f>
        <v>0</v>
      </c>
      <c r="AZ865" s="58">
        <f>IFERROR(IF($V865="BRAND.com",HLOOKUP($X865&amp;$Z865,PLANNING_FC!$DA$27:$DO$46,MATCH($W865,PLANNING_FC!$CZ$27:$CZ$46,0),FALSE),0),0)</f>
        <v>0</v>
      </c>
      <c r="BA865" s="58">
        <f>IFERROR(IF($V865="BRAND.com",HLOOKUP($X865&amp;$Z865,PLANNING_FC!$DA$4:$DO$23,MATCH($W865,PLANNING_FC!$CZ$4:$CZ$23,0),FALSE),0),0)</f>
        <v>0</v>
      </c>
      <c r="BB865" s="883" t="str">
        <f>IF(V865="BRAND.com",IFERROR(HLOOKUP(X865&amp;Z865,PLANNING_FC!$AK$4:$AY$23,MATCH(W865,PLANNING_FC!$AJ$4:$AJ$23,0),FALSE)*1000,""),"")</f>
        <v/>
      </c>
      <c r="BC865" s="883" t="str">
        <f>IF(V865="BRAND.com",IFERROR(HLOOKUP(X865&amp;Z865,PLANNING_FC!$AK$27:$AY$46,MATCH(W865,PLANNING_FC!$AJ$27:$AJ$46,0),FALSE)*1000,""),"")</f>
        <v/>
      </c>
    </row>
    <row r="866" spans="14:55" x14ac:dyDescent="0.25">
      <c r="N866" s="56">
        <f t="shared" si="324"/>
        <v>0</v>
      </c>
      <c r="O866" s="57">
        <f t="shared" si="325"/>
        <v>0</v>
      </c>
      <c r="P866" s="57">
        <f ca="1">IFERROR(IF(ISBLANK(H866),SUMIFS($AC:$AC,$V:$V,V866,$W:$W,W866,$X:$X,X866,$Y:$Y,Y866)*J866/(1-J866)*VLOOKUP(_xlfn.CONCAT(C866,D866,E866,TIME!$M$12,Z866),HIS_SALES!$B$2:$W$4859,20,FALSE),AC866*J866/(1-J866)),0)</f>
        <v>0</v>
      </c>
      <c r="Q866" s="541" t="str">
        <f t="shared" si="326"/>
        <v/>
      </c>
      <c r="R866" s="346" t="str">
        <f t="shared" si="327"/>
        <v>00000</v>
      </c>
      <c r="S866" s="344">
        <f t="shared" si="328"/>
        <v>0</v>
      </c>
      <c r="T866" s="345" t="str">
        <f t="shared" si="341"/>
        <v>000</v>
      </c>
      <c r="U866" s="345">
        <f t="shared" si="329"/>
        <v>0</v>
      </c>
      <c r="V866" s="345">
        <f t="shared" si="330"/>
        <v>0</v>
      </c>
      <c r="W866" s="345">
        <f t="shared" si="331"/>
        <v>0</v>
      </c>
      <c r="X866" s="345">
        <f t="shared" si="332"/>
        <v>0</v>
      </c>
      <c r="Y866" s="345">
        <f t="shared" si="333"/>
        <v>0</v>
      </c>
      <c r="Z866" s="345">
        <f>IF(Q866&lt;&gt;"",VLOOKUP(Y866,TIME!$R$21:$V$24,MATCH(FC_DATA!Q866,TIME!$R$20:$V$20,0),FALSE),H866)</f>
        <v>0</v>
      </c>
      <c r="AA866" s="345" t="str">
        <f>IFERROR(VLOOKUP(X866&amp;Z866,TIME!$A$12:$D$71,4,FALSE),"")</f>
        <v/>
      </c>
      <c r="AB866" s="592">
        <f t="shared" ca="1" si="334"/>
        <v>0</v>
      </c>
      <c r="AC866" s="593" t="e">
        <f ca="1">IF(ISBLANK(H866)=FALSE,IF(D866="BRAND.com",I866,IF(ISNA(VLOOKUP(_xlfn.CONCAT(X866,Z866),TIME!$M$40:$M$42,1,FALSE)),I866,VLOOKUP(_xlfn.CONCAT(D866,G866,H866),M_BUSAREA_FC!$AF$5:$AJ$10,5,FALSE)*HLOOKUP(_xlfn.CONCAT(F866,H866),ST_OVERVIEW!$G$99:$I$130,MATCH(_xlfn.CONCAT(D866,E866),ST_OVERVIEW!$F$99:$F$130,0),FALSE))),IF(D866="BRAND.com",VLOOKUP(_xlfn.CONCAT(C866,D866,E866,TIME!$F$1,Z866),HIS_SALES!$B$2:$V$4859,19,FALSE)*I866,VLOOKUP(_xlfn.CONCAT(D866,F866,G866),Q_BUSAREA_FC!$AE$5:$AI$12,5,FALSE)*HLOOKUP(_xlfn.CONCAT(FC_DATA!F866,FC_DATA!G866),LT_OVERVIEW!$I$99:$M$130,MATCH(_xlfn.CONCAT(D866,FC_DATA!E866),LT_OVERVIEW!$H$99:$H$130,0),FALSE)*IFERROR(VLOOKUP(_xlfn.CONCAT(C866,D866,E866,TIME!$F$1,Z866),HIS_SALES!$B$2:$V$4859,19,FALSE),0)))</f>
        <v>#N/A</v>
      </c>
      <c r="AD866" s="341">
        <f t="shared" ca="1" si="335"/>
        <v>0</v>
      </c>
      <c r="AE866" s="363" t="str">
        <f t="shared" si="336"/>
        <v/>
      </c>
      <c r="AF866" s="342" t="str">
        <f t="shared" si="337"/>
        <v/>
      </c>
      <c r="AG866" s="411" t="e">
        <f ca="1">VLOOKUP(_xlfn.CONCAT(U866,V866,W866,VLOOKUP(X866&amp;Y866,TIME!$L$27:$O$34,4,FALSE),Y866),HIS_SALES!$A$2:$R$5093,18,FALSE)</f>
        <v>#N/A</v>
      </c>
      <c r="AH866" s="412" t="e">
        <f ca="1">IFERROR(IF(AND(V866=V865,W866=W865),0.5*(AB866+AB865)*AG866,(VLOOKUP(_xlfn.CONCAT(U866,V866,W866,X866,VLOOKUP(Z866,TIME!$S$28:$T$39,2,FALSE)),FC_DATA!$R$2:$AB$5000,MATCH("GS_I_M",FC_DATA!$R$1:$AB$1,0),FALSE)+FC_DATA!AB866)*0.5*FC_DATA!AG866),NA())</f>
        <v>#N/A</v>
      </c>
      <c r="AI866" s="491" t="e">
        <f ca="1">IF(V866="PARTNER.com",AH866,IF(AND(V866=V865,W866=W865),(1-AVERAGE(AD865,AD866))*AH866,(1-AVERAGE(AD866,VLOOKUP(_xlfn.CONCAT(U866,V866,W866,X866,M_BRAND_FC!$F$6),FC_DATA!$R$2:$AD$5000,MATCH("DISCOUNT_%_M",FC_DATA!$R$1:$AD$1,0),FALSE)))*AH866))</f>
        <v>#N/A</v>
      </c>
      <c r="AJ866" s="412" t="str">
        <f t="shared" ca="1" si="338"/>
        <v/>
      </c>
      <c r="AK866" s="413" t="str">
        <f>IFERROR(AE866/(Q_BRAND_FC!$T$24+1),"")</f>
        <v/>
      </c>
      <c r="AL866" s="88" t="str">
        <f t="shared" ca="1" si="339"/>
        <v/>
      </c>
      <c r="AM866" s="414" t="str">
        <f t="shared" ca="1" si="340"/>
        <v/>
      </c>
      <c r="AN866" s="58">
        <f>IFERROR(IF($V866="BRAND.com",HLOOKUP($X866&amp;$Z866,NWC_FC_NOOS!$C$4:$Q$23,MATCH(W866,NWC_FC_NOOS!$B$4:$B$23,0),FALSE),0),0)</f>
        <v>0</v>
      </c>
      <c r="AO866" s="57">
        <f>IFERROR(IF($V866="BRAND.com",HLOOKUP($X866&amp;$Z866,NWC_FC_NOOS!$T$4:$AH$23,MATCH(W866,NWC_FC_NOOS!$S$4:$S$23,0),FALSE),0),0)</f>
        <v>0</v>
      </c>
      <c r="AP866" s="57">
        <f>IFERROR(IF($V866="BRAND.com",HLOOKUP($X866&amp;$Z866,NWC_FC_NOOS!$C$50:$U$69,MATCH(W866,NWC_FC_NOOS!$B$50:$B$69,0),FALSE),0),0)</f>
        <v>0</v>
      </c>
      <c r="AQ866" s="58">
        <f>IFERROR(IF($V866="BRAND.com",HLOOKUP($X866&amp;$Z866,'NWC_FC_NON-NOOS'!$C$4:$Q$23,MATCH(W866,'NWC_FC_NON-NOOS'!$B$4:$B$23,0),FALSE),0),0)</f>
        <v>0</v>
      </c>
      <c r="AR866" s="57">
        <f>IFERROR(IF($V866="BRAND.com",HLOOKUP($X866&amp;$Z866,'NWC_FC_NON-NOOS'!$T$4:$AH$23,MATCH(W866,'NWC_FC_NON-NOOS'!$S$4:$S$23,0),FALSE),0),0)</f>
        <v>0</v>
      </c>
      <c r="AS866" s="57">
        <f>IFERROR(IF($V866="BRAND.com",HLOOKUP($X866&amp;$Z866,'NWC_FC_NON-NOOS'!$C$50:$U$69,MATCH(W866,'NWC_FC_NON-NOOS'!$B$50:$B$69,0),FALSE),0),0)</f>
        <v>0</v>
      </c>
      <c r="AT866" s="57">
        <f t="shared" si="342"/>
        <v>0</v>
      </c>
      <c r="AU866" s="57">
        <f t="shared" si="343"/>
        <v>0</v>
      </c>
      <c r="AV866" s="58">
        <f>IFERROR(IF($V866="BRAND.com",HLOOKUP($X866&amp;$Z866,PLANNING_FC!$BB$27:$BP$46,MATCH($W866,PLANNING_FC!$BA$27:$BA$46,0),FALSE),0),0)</f>
        <v>0</v>
      </c>
      <c r="AW866" s="58">
        <f>IFERROR(IF($V866="BRAND.com",HLOOKUP($X866&amp;$Z866,PLANNING_FC!$BB$4:$BP$23,MATCH($W866,PLANNING_FC!$BA$4:$BA$23,0),FALSE),0),0)</f>
        <v>0</v>
      </c>
      <c r="AX866" s="58">
        <f>IFERROR(IF($V866="BRAND.com",HLOOKUP($X866&amp;$Z866,PLANNING_FC!$T$27:$AH$46,MATCH($W866,PLANNING_FC!$B$27:$B$46,0),FALSE),0),0)</f>
        <v>0</v>
      </c>
      <c r="AY866" s="58">
        <f>IFERROR(IF($V866="BRAND.com",HLOOKUP($X866&amp;$Z866,PLANNING_FC!$T$4:$AH$23,MATCH($W866,PLANNING_FC!$B$4:$B$23,0),FALSE),0),0)</f>
        <v>0</v>
      </c>
      <c r="AZ866" s="58">
        <f>IFERROR(IF($V866="BRAND.com",HLOOKUP($X866&amp;$Z866,PLANNING_FC!$DA$27:$DO$46,MATCH($W866,PLANNING_FC!$CZ$27:$CZ$46,0),FALSE),0),0)</f>
        <v>0</v>
      </c>
      <c r="BA866" s="58">
        <f>IFERROR(IF($V866="BRAND.com",HLOOKUP($X866&amp;$Z866,PLANNING_FC!$DA$4:$DO$23,MATCH($W866,PLANNING_FC!$CZ$4:$CZ$23,0),FALSE),0),0)</f>
        <v>0</v>
      </c>
      <c r="BB866" s="883" t="str">
        <f>IF(V866="BRAND.com",IFERROR(HLOOKUP(X866&amp;Z866,PLANNING_FC!$AK$4:$AY$23,MATCH(W866,PLANNING_FC!$AJ$4:$AJ$23,0),FALSE)*1000,""),"")</f>
        <v/>
      </c>
      <c r="BC866" s="883" t="str">
        <f>IF(V866="BRAND.com",IFERROR(HLOOKUP(X866&amp;Z866,PLANNING_FC!$AK$27:$AY$46,MATCH(W866,PLANNING_FC!$AJ$27:$AJ$46,0),FALSE)*1000,""),"")</f>
        <v/>
      </c>
    </row>
    <row r="867" spans="14:55" x14ac:dyDescent="0.25">
      <c r="N867" s="56">
        <f t="shared" si="324"/>
        <v>0</v>
      </c>
      <c r="O867" s="57">
        <f t="shared" si="325"/>
        <v>0</v>
      </c>
      <c r="P867" s="57">
        <f ca="1">IFERROR(IF(ISBLANK(H867),SUMIFS($AC:$AC,$V:$V,V867,$W:$W,W867,$X:$X,X867,$Y:$Y,Y867)*J867/(1-J867)*VLOOKUP(_xlfn.CONCAT(C867,D867,E867,TIME!$M$12,Z867),HIS_SALES!$B$2:$W$4859,20,FALSE),AC867*J867/(1-J867)),0)</f>
        <v>0</v>
      </c>
      <c r="Q867" s="541" t="str">
        <f t="shared" si="326"/>
        <v/>
      </c>
      <c r="R867" s="346" t="str">
        <f t="shared" si="327"/>
        <v>00000</v>
      </c>
      <c r="S867" s="344">
        <f t="shared" si="328"/>
        <v>0</v>
      </c>
      <c r="T867" s="345" t="str">
        <f t="shared" si="341"/>
        <v>000</v>
      </c>
      <c r="U867" s="345">
        <f t="shared" si="329"/>
        <v>0</v>
      </c>
      <c r="V867" s="345">
        <f t="shared" si="330"/>
        <v>0</v>
      </c>
      <c r="W867" s="345">
        <f t="shared" si="331"/>
        <v>0</v>
      </c>
      <c r="X867" s="345">
        <f t="shared" si="332"/>
        <v>0</v>
      </c>
      <c r="Y867" s="345">
        <f t="shared" si="333"/>
        <v>0</v>
      </c>
      <c r="Z867" s="345">
        <f>IF(Q867&lt;&gt;"",VLOOKUP(Y867,TIME!$R$21:$V$24,MATCH(FC_DATA!Q867,TIME!$R$20:$V$20,0),FALSE),H867)</f>
        <v>0</v>
      </c>
      <c r="AA867" s="345" t="str">
        <f>IFERROR(VLOOKUP(X867&amp;Z867,TIME!$A$12:$D$71,4,FALSE),"")</f>
        <v/>
      </c>
      <c r="AB867" s="592">
        <f t="shared" ca="1" si="334"/>
        <v>0</v>
      </c>
      <c r="AC867" s="593" t="e">
        <f ca="1">IF(ISBLANK(H867)=FALSE,IF(D867="BRAND.com",I867,IF(ISNA(VLOOKUP(_xlfn.CONCAT(X867,Z867),TIME!$M$40:$M$42,1,FALSE)),I867,VLOOKUP(_xlfn.CONCAT(D867,G867,H867),M_BUSAREA_FC!$AF$5:$AJ$10,5,FALSE)*HLOOKUP(_xlfn.CONCAT(F867,H867),ST_OVERVIEW!$G$99:$I$130,MATCH(_xlfn.CONCAT(D867,E867),ST_OVERVIEW!$F$99:$F$130,0),FALSE))),IF(D867="BRAND.com",VLOOKUP(_xlfn.CONCAT(C867,D867,E867,TIME!$F$1,Z867),HIS_SALES!$B$2:$V$4859,19,FALSE)*I867,VLOOKUP(_xlfn.CONCAT(D867,F867,G867),Q_BUSAREA_FC!$AE$5:$AI$12,5,FALSE)*HLOOKUP(_xlfn.CONCAT(FC_DATA!F867,FC_DATA!G867),LT_OVERVIEW!$I$99:$M$130,MATCH(_xlfn.CONCAT(D867,FC_DATA!E867),LT_OVERVIEW!$H$99:$H$130,0),FALSE)*IFERROR(VLOOKUP(_xlfn.CONCAT(C867,D867,E867,TIME!$F$1,Z867),HIS_SALES!$B$2:$V$4859,19,FALSE),0)))</f>
        <v>#N/A</v>
      </c>
      <c r="AD867" s="341">
        <f t="shared" ca="1" si="335"/>
        <v>0</v>
      </c>
      <c r="AE867" s="363" t="str">
        <f t="shared" si="336"/>
        <v/>
      </c>
      <c r="AF867" s="342" t="str">
        <f t="shared" si="337"/>
        <v/>
      </c>
      <c r="AG867" s="411" t="e">
        <f ca="1">VLOOKUP(_xlfn.CONCAT(U867,V867,W867,VLOOKUP(X867&amp;Y867,TIME!$L$27:$O$34,4,FALSE),Y867),HIS_SALES!$A$2:$R$5093,18,FALSE)</f>
        <v>#N/A</v>
      </c>
      <c r="AH867" s="412" t="e">
        <f ca="1">IFERROR(IF(AND(V867=V866,W867=W866),0.5*(AB867+AB866)*AG867,(VLOOKUP(_xlfn.CONCAT(U867,V867,W867,X867,VLOOKUP(Z867,TIME!$S$28:$T$39,2,FALSE)),FC_DATA!$R$2:$AB$5000,MATCH("GS_I_M",FC_DATA!$R$1:$AB$1,0),FALSE)+FC_DATA!AB867)*0.5*FC_DATA!AG867),NA())</f>
        <v>#N/A</v>
      </c>
      <c r="AI867" s="491" t="e">
        <f ca="1">IF(V867="PARTNER.com",AH867,IF(AND(V867=V866,W867=W866),(1-AVERAGE(AD866,AD867))*AH867,(1-AVERAGE(AD867,VLOOKUP(_xlfn.CONCAT(U867,V867,W867,X867,M_BRAND_FC!$F$6),FC_DATA!$R$2:$AD$5000,MATCH("DISCOUNT_%_M",FC_DATA!$R$1:$AD$1,0),FALSE)))*AH867))</f>
        <v>#N/A</v>
      </c>
      <c r="AJ867" s="412" t="str">
        <f t="shared" ca="1" si="338"/>
        <v/>
      </c>
      <c r="AK867" s="413" t="str">
        <f>IFERROR(AE867/(Q_BRAND_FC!$T$24+1),"")</f>
        <v/>
      </c>
      <c r="AL867" s="88" t="str">
        <f t="shared" ca="1" si="339"/>
        <v/>
      </c>
      <c r="AM867" s="414" t="str">
        <f t="shared" ca="1" si="340"/>
        <v/>
      </c>
      <c r="AN867" s="58">
        <f>IFERROR(IF($V867="BRAND.com",HLOOKUP($X867&amp;$Z867,NWC_FC_NOOS!$C$4:$Q$23,MATCH(W867,NWC_FC_NOOS!$B$4:$B$23,0),FALSE),0),0)</f>
        <v>0</v>
      </c>
      <c r="AO867" s="57">
        <f>IFERROR(IF($V867="BRAND.com",HLOOKUP($X867&amp;$Z867,NWC_FC_NOOS!$T$4:$AH$23,MATCH(W867,NWC_FC_NOOS!$S$4:$S$23,0),FALSE),0),0)</f>
        <v>0</v>
      </c>
      <c r="AP867" s="57">
        <f>IFERROR(IF($V867="BRAND.com",HLOOKUP($X867&amp;$Z867,NWC_FC_NOOS!$C$50:$U$69,MATCH(W867,NWC_FC_NOOS!$B$50:$B$69,0),FALSE),0),0)</f>
        <v>0</v>
      </c>
      <c r="AQ867" s="58">
        <f>IFERROR(IF($V867="BRAND.com",HLOOKUP($X867&amp;$Z867,'NWC_FC_NON-NOOS'!$C$4:$Q$23,MATCH(W867,'NWC_FC_NON-NOOS'!$B$4:$B$23,0),FALSE),0),0)</f>
        <v>0</v>
      </c>
      <c r="AR867" s="57">
        <f>IFERROR(IF($V867="BRAND.com",HLOOKUP($X867&amp;$Z867,'NWC_FC_NON-NOOS'!$T$4:$AH$23,MATCH(W867,'NWC_FC_NON-NOOS'!$S$4:$S$23,0),FALSE),0),0)</f>
        <v>0</v>
      </c>
      <c r="AS867" s="57">
        <f>IFERROR(IF($V867="BRAND.com",HLOOKUP($X867&amp;$Z867,'NWC_FC_NON-NOOS'!$C$50:$U$69,MATCH(W867,'NWC_FC_NON-NOOS'!$B$50:$B$69,0),FALSE),0),0)</f>
        <v>0</v>
      </c>
      <c r="AT867" s="57">
        <f t="shared" si="342"/>
        <v>0</v>
      </c>
      <c r="AU867" s="57">
        <f t="shared" si="343"/>
        <v>0</v>
      </c>
      <c r="AV867" s="58">
        <f>IFERROR(IF($V867="BRAND.com",HLOOKUP($X867&amp;$Z867,PLANNING_FC!$BB$27:$BP$46,MATCH($W867,PLANNING_FC!$BA$27:$BA$46,0),FALSE),0),0)</f>
        <v>0</v>
      </c>
      <c r="AW867" s="58">
        <f>IFERROR(IF($V867="BRAND.com",HLOOKUP($X867&amp;$Z867,PLANNING_FC!$BB$4:$BP$23,MATCH($W867,PLANNING_FC!$BA$4:$BA$23,0),FALSE),0),0)</f>
        <v>0</v>
      </c>
      <c r="AX867" s="58">
        <f>IFERROR(IF($V867="BRAND.com",HLOOKUP($X867&amp;$Z867,PLANNING_FC!$T$27:$AH$46,MATCH($W867,PLANNING_FC!$B$27:$B$46,0),FALSE),0),0)</f>
        <v>0</v>
      </c>
      <c r="AY867" s="58">
        <f>IFERROR(IF($V867="BRAND.com",HLOOKUP($X867&amp;$Z867,PLANNING_FC!$T$4:$AH$23,MATCH($W867,PLANNING_FC!$B$4:$B$23,0),FALSE),0),0)</f>
        <v>0</v>
      </c>
      <c r="AZ867" s="58">
        <f>IFERROR(IF($V867="BRAND.com",HLOOKUP($X867&amp;$Z867,PLANNING_FC!$DA$27:$DO$46,MATCH($W867,PLANNING_FC!$CZ$27:$CZ$46,0),FALSE),0),0)</f>
        <v>0</v>
      </c>
      <c r="BA867" s="58">
        <f>IFERROR(IF($V867="BRAND.com",HLOOKUP($X867&amp;$Z867,PLANNING_FC!$DA$4:$DO$23,MATCH($W867,PLANNING_FC!$CZ$4:$CZ$23,0),FALSE),0),0)</f>
        <v>0</v>
      </c>
      <c r="BB867" s="883" t="str">
        <f>IF(V867="BRAND.com",IFERROR(HLOOKUP(X867&amp;Z867,PLANNING_FC!$AK$4:$AY$23,MATCH(W867,PLANNING_FC!$AJ$4:$AJ$23,0),FALSE)*1000,""),"")</f>
        <v/>
      </c>
      <c r="BC867" s="883" t="str">
        <f>IF(V867="BRAND.com",IFERROR(HLOOKUP(X867&amp;Z867,PLANNING_FC!$AK$27:$AY$46,MATCH(W867,PLANNING_FC!$AJ$27:$AJ$46,0),FALSE)*1000,""),"")</f>
        <v/>
      </c>
    </row>
    <row r="868" spans="14:55" x14ac:dyDescent="0.25">
      <c r="N868" s="56">
        <f t="shared" si="324"/>
        <v>0</v>
      </c>
      <c r="O868" s="57">
        <f t="shared" si="325"/>
        <v>0</v>
      </c>
      <c r="P868" s="57">
        <f ca="1">IFERROR(IF(ISBLANK(H868),SUMIFS($AC:$AC,$V:$V,V868,$W:$W,W868,$X:$X,X868,$Y:$Y,Y868)*J868/(1-J868)*VLOOKUP(_xlfn.CONCAT(C868,D868,E868,TIME!$M$12,Z868),HIS_SALES!$B$2:$W$4859,20,FALSE),AC868*J868/(1-J868)),0)</f>
        <v>0</v>
      </c>
      <c r="Q868" s="541" t="str">
        <f t="shared" si="326"/>
        <v/>
      </c>
      <c r="R868" s="346" t="str">
        <f t="shared" si="327"/>
        <v>00000</v>
      </c>
      <c r="S868" s="344">
        <f t="shared" si="328"/>
        <v>0</v>
      </c>
      <c r="T868" s="345" t="str">
        <f t="shared" si="341"/>
        <v>000</v>
      </c>
      <c r="U868" s="345">
        <f t="shared" si="329"/>
        <v>0</v>
      </c>
      <c r="V868" s="345">
        <f t="shared" si="330"/>
        <v>0</v>
      </c>
      <c r="W868" s="345">
        <f t="shared" si="331"/>
        <v>0</v>
      </c>
      <c r="X868" s="345">
        <f t="shared" si="332"/>
        <v>0</v>
      </c>
      <c r="Y868" s="345">
        <f t="shared" si="333"/>
        <v>0</v>
      </c>
      <c r="Z868" s="345">
        <f>IF(Q868&lt;&gt;"",VLOOKUP(Y868,TIME!$R$21:$V$24,MATCH(FC_DATA!Q868,TIME!$R$20:$V$20,0),FALSE),H868)</f>
        <v>0</v>
      </c>
      <c r="AA868" s="345" t="str">
        <f>IFERROR(VLOOKUP(X868&amp;Z868,TIME!$A$12:$D$71,4,FALSE),"")</f>
        <v/>
      </c>
      <c r="AB868" s="592">
        <f t="shared" ca="1" si="334"/>
        <v>0</v>
      </c>
      <c r="AC868" s="593" t="e">
        <f ca="1">IF(ISBLANK(H868)=FALSE,IF(D868="BRAND.com",I868,IF(ISNA(VLOOKUP(_xlfn.CONCAT(X868,Z868),TIME!$M$40:$M$42,1,FALSE)),I868,VLOOKUP(_xlfn.CONCAT(D868,G868,H868),M_BUSAREA_FC!$AF$5:$AJ$10,5,FALSE)*HLOOKUP(_xlfn.CONCAT(F868,H868),ST_OVERVIEW!$G$99:$I$130,MATCH(_xlfn.CONCAT(D868,E868),ST_OVERVIEW!$F$99:$F$130,0),FALSE))),IF(D868="BRAND.com",VLOOKUP(_xlfn.CONCAT(C868,D868,E868,TIME!$F$1,Z868),HIS_SALES!$B$2:$V$4859,19,FALSE)*I868,VLOOKUP(_xlfn.CONCAT(D868,F868,G868),Q_BUSAREA_FC!$AE$5:$AI$12,5,FALSE)*HLOOKUP(_xlfn.CONCAT(FC_DATA!F868,FC_DATA!G868),LT_OVERVIEW!$I$99:$M$130,MATCH(_xlfn.CONCAT(D868,FC_DATA!E868),LT_OVERVIEW!$H$99:$H$130,0),FALSE)*IFERROR(VLOOKUP(_xlfn.CONCAT(C868,D868,E868,TIME!$F$1,Z868),HIS_SALES!$B$2:$V$4859,19,FALSE),0)))</f>
        <v>#N/A</v>
      </c>
      <c r="AD868" s="341">
        <f t="shared" ca="1" si="335"/>
        <v>0</v>
      </c>
      <c r="AE868" s="363" t="str">
        <f t="shared" si="336"/>
        <v/>
      </c>
      <c r="AF868" s="342" t="str">
        <f t="shared" si="337"/>
        <v/>
      </c>
      <c r="AG868" s="411" t="e">
        <f ca="1">VLOOKUP(_xlfn.CONCAT(U868,V868,W868,VLOOKUP(X868&amp;Y868,TIME!$L$27:$O$34,4,FALSE),Y868),HIS_SALES!$A$2:$R$5093,18,FALSE)</f>
        <v>#N/A</v>
      </c>
      <c r="AH868" s="412" t="e">
        <f ca="1">IFERROR(IF(AND(V868=V867,W868=W867),0.5*(AB868+AB867)*AG868,(VLOOKUP(_xlfn.CONCAT(U868,V868,W868,X868,VLOOKUP(Z868,TIME!$S$28:$T$39,2,FALSE)),FC_DATA!$R$2:$AB$5000,MATCH("GS_I_M",FC_DATA!$R$1:$AB$1,0),FALSE)+FC_DATA!AB868)*0.5*FC_DATA!AG868),NA())</f>
        <v>#N/A</v>
      </c>
      <c r="AI868" s="491" t="e">
        <f ca="1">IF(V868="PARTNER.com",AH868,IF(AND(V868=V867,W868=W867),(1-AVERAGE(AD867,AD868))*AH868,(1-AVERAGE(AD868,VLOOKUP(_xlfn.CONCAT(U868,V868,W868,X868,M_BRAND_FC!$F$6),FC_DATA!$R$2:$AD$5000,MATCH("DISCOUNT_%_M",FC_DATA!$R$1:$AD$1,0),FALSE)))*AH868))</f>
        <v>#N/A</v>
      </c>
      <c r="AJ868" s="412" t="str">
        <f t="shared" ca="1" si="338"/>
        <v/>
      </c>
      <c r="AK868" s="413" t="str">
        <f>IFERROR(AE868/(Q_BRAND_FC!$T$24+1),"")</f>
        <v/>
      </c>
      <c r="AL868" s="88" t="str">
        <f t="shared" ca="1" si="339"/>
        <v/>
      </c>
      <c r="AM868" s="414" t="str">
        <f t="shared" ca="1" si="340"/>
        <v/>
      </c>
      <c r="AN868" s="58">
        <f>IFERROR(IF($V868="BRAND.com",HLOOKUP($X868&amp;$Z868,NWC_FC_NOOS!$C$4:$Q$23,MATCH(W868,NWC_FC_NOOS!$B$4:$B$23,0),FALSE),0),0)</f>
        <v>0</v>
      </c>
      <c r="AO868" s="57">
        <f>IFERROR(IF($V868="BRAND.com",HLOOKUP($X868&amp;$Z868,NWC_FC_NOOS!$T$4:$AH$23,MATCH(W868,NWC_FC_NOOS!$S$4:$S$23,0),FALSE),0),0)</f>
        <v>0</v>
      </c>
      <c r="AP868" s="57">
        <f>IFERROR(IF($V868="BRAND.com",HLOOKUP($X868&amp;$Z868,NWC_FC_NOOS!$C$50:$U$69,MATCH(W868,NWC_FC_NOOS!$B$50:$B$69,0),FALSE),0),0)</f>
        <v>0</v>
      </c>
      <c r="AQ868" s="58">
        <f>IFERROR(IF($V868="BRAND.com",HLOOKUP($X868&amp;$Z868,'NWC_FC_NON-NOOS'!$C$4:$Q$23,MATCH(W868,'NWC_FC_NON-NOOS'!$B$4:$B$23,0),FALSE),0),0)</f>
        <v>0</v>
      </c>
      <c r="AR868" s="57">
        <f>IFERROR(IF($V868="BRAND.com",HLOOKUP($X868&amp;$Z868,'NWC_FC_NON-NOOS'!$T$4:$AH$23,MATCH(W868,'NWC_FC_NON-NOOS'!$S$4:$S$23,0),FALSE),0),0)</f>
        <v>0</v>
      </c>
      <c r="AS868" s="57">
        <f>IFERROR(IF($V868="BRAND.com",HLOOKUP($X868&amp;$Z868,'NWC_FC_NON-NOOS'!$C$50:$U$69,MATCH(W868,'NWC_FC_NON-NOOS'!$B$50:$B$69,0),FALSE),0),0)</f>
        <v>0</v>
      </c>
      <c r="AT868" s="57">
        <f t="shared" si="342"/>
        <v>0</v>
      </c>
      <c r="AU868" s="57">
        <f t="shared" si="343"/>
        <v>0</v>
      </c>
      <c r="AV868" s="58">
        <f>IFERROR(IF($V868="BRAND.com",HLOOKUP($X868&amp;$Z868,PLANNING_FC!$BB$27:$BP$46,MATCH($W868,PLANNING_FC!$BA$27:$BA$46,0),FALSE),0),0)</f>
        <v>0</v>
      </c>
      <c r="AW868" s="58">
        <f>IFERROR(IF($V868="BRAND.com",HLOOKUP($X868&amp;$Z868,PLANNING_FC!$BB$4:$BP$23,MATCH($W868,PLANNING_FC!$BA$4:$BA$23,0),FALSE),0),0)</f>
        <v>0</v>
      </c>
      <c r="AX868" s="58">
        <f>IFERROR(IF($V868="BRAND.com",HLOOKUP($X868&amp;$Z868,PLANNING_FC!$T$27:$AH$46,MATCH($W868,PLANNING_FC!$B$27:$B$46,0),FALSE),0),0)</f>
        <v>0</v>
      </c>
      <c r="AY868" s="58">
        <f>IFERROR(IF($V868="BRAND.com",HLOOKUP($X868&amp;$Z868,PLANNING_FC!$T$4:$AH$23,MATCH($W868,PLANNING_FC!$B$4:$B$23,0),FALSE),0),0)</f>
        <v>0</v>
      </c>
      <c r="AZ868" s="58">
        <f>IFERROR(IF($V868="BRAND.com",HLOOKUP($X868&amp;$Z868,PLANNING_FC!$DA$27:$DO$46,MATCH($W868,PLANNING_FC!$CZ$27:$CZ$46,0),FALSE),0),0)</f>
        <v>0</v>
      </c>
      <c r="BA868" s="58">
        <f>IFERROR(IF($V868="BRAND.com",HLOOKUP($X868&amp;$Z868,PLANNING_FC!$DA$4:$DO$23,MATCH($W868,PLANNING_FC!$CZ$4:$CZ$23,0),FALSE),0),0)</f>
        <v>0</v>
      </c>
      <c r="BB868" s="883" t="str">
        <f>IF(V868="BRAND.com",IFERROR(HLOOKUP(X868&amp;Z868,PLANNING_FC!$AK$4:$AY$23,MATCH(W868,PLANNING_FC!$AJ$4:$AJ$23,0),FALSE)*1000,""),"")</f>
        <v/>
      </c>
      <c r="BC868" s="883" t="str">
        <f>IF(V868="BRAND.com",IFERROR(HLOOKUP(X868&amp;Z868,PLANNING_FC!$AK$27:$AY$46,MATCH(W868,PLANNING_FC!$AJ$27:$AJ$46,0),FALSE)*1000,""),"")</f>
        <v/>
      </c>
    </row>
    <row r="869" spans="14:55" x14ac:dyDescent="0.25">
      <c r="N869" s="56">
        <f t="shared" si="324"/>
        <v>0</v>
      </c>
      <c r="O869" s="57">
        <f t="shared" si="325"/>
        <v>0</v>
      </c>
      <c r="P869" s="57">
        <f ca="1">IFERROR(IF(ISBLANK(H869),SUMIFS($AC:$AC,$V:$V,V869,$W:$W,W869,$X:$X,X869,$Y:$Y,Y869)*J869/(1-J869)*VLOOKUP(_xlfn.CONCAT(C869,D869,E869,TIME!$M$12,Z869),HIS_SALES!$B$2:$W$4859,20,FALSE),AC869*J869/(1-J869)),0)</f>
        <v>0</v>
      </c>
      <c r="Q869" s="541" t="str">
        <f t="shared" si="326"/>
        <v/>
      </c>
      <c r="R869" s="346" t="str">
        <f t="shared" si="327"/>
        <v>00000</v>
      </c>
      <c r="S869" s="344">
        <f t="shared" si="328"/>
        <v>0</v>
      </c>
      <c r="T869" s="345" t="str">
        <f t="shared" si="341"/>
        <v>000</v>
      </c>
      <c r="U869" s="345">
        <f t="shared" si="329"/>
        <v>0</v>
      </c>
      <c r="V869" s="345">
        <f t="shared" si="330"/>
        <v>0</v>
      </c>
      <c r="W869" s="345">
        <f t="shared" si="331"/>
        <v>0</v>
      </c>
      <c r="X869" s="345">
        <f t="shared" si="332"/>
        <v>0</v>
      </c>
      <c r="Y869" s="345">
        <f t="shared" si="333"/>
        <v>0</v>
      </c>
      <c r="Z869" s="345">
        <f>IF(Q869&lt;&gt;"",VLOOKUP(Y869,TIME!$R$21:$V$24,MATCH(FC_DATA!Q869,TIME!$R$20:$V$20,0),FALSE),H869)</f>
        <v>0</v>
      </c>
      <c r="AA869" s="345" t="str">
        <f>IFERROR(VLOOKUP(X869&amp;Z869,TIME!$A$12:$D$71,4,FALSE),"")</f>
        <v/>
      </c>
      <c r="AB869" s="592">
        <f t="shared" ca="1" si="334"/>
        <v>0</v>
      </c>
      <c r="AC869" s="593" t="e">
        <f ca="1">IF(ISBLANK(H869)=FALSE,IF(D869="BRAND.com",I869,IF(ISNA(VLOOKUP(_xlfn.CONCAT(X869,Z869),TIME!$M$40:$M$42,1,FALSE)),I869,VLOOKUP(_xlfn.CONCAT(D869,G869,H869),M_BUSAREA_FC!$AF$5:$AJ$10,5,FALSE)*HLOOKUP(_xlfn.CONCAT(F869,H869),ST_OVERVIEW!$G$99:$I$130,MATCH(_xlfn.CONCAT(D869,E869),ST_OVERVIEW!$F$99:$F$130,0),FALSE))),IF(D869="BRAND.com",VLOOKUP(_xlfn.CONCAT(C869,D869,E869,TIME!$F$1,Z869),HIS_SALES!$B$2:$V$4859,19,FALSE)*I869,VLOOKUP(_xlfn.CONCAT(D869,F869,G869),Q_BUSAREA_FC!$AE$5:$AI$12,5,FALSE)*HLOOKUP(_xlfn.CONCAT(FC_DATA!F869,FC_DATA!G869),LT_OVERVIEW!$I$99:$M$130,MATCH(_xlfn.CONCAT(D869,FC_DATA!E869),LT_OVERVIEW!$H$99:$H$130,0),FALSE)*IFERROR(VLOOKUP(_xlfn.CONCAT(C869,D869,E869,TIME!$F$1,Z869),HIS_SALES!$B$2:$V$4859,19,FALSE),0)))</f>
        <v>#N/A</v>
      </c>
      <c r="AD869" s="341">
        <f t="shared" ca="1" si="335"/>
        <v>0</v>
      </c>
      <c r="AE869" s="363" t="str">
        <f t="shared" si="336"/>
        <v/>
      </c>
      <c r="AF869" s="342" t="str">
        <f t="shared" si="337"/>
        <v/>
      </c>
      <c r="AG869" s="411" t="e">
        <f ca="1">VLOOKUP(_xlfn.CONCAT(U869,V869,W869,VLOOKUP(X869&amp;Y869,TIME!$L$27:$O$34,4,FALSE),Y869),HIS_SALES!$A$2:$R$5093,18,FALSE)</f>
        <v>#N/A</v>
      </c>
      <c r="AH869" s="412" t="e">
        <f ca="1">IFERROR(IF(AND(V869=V868,W869=W868),0.5*(AB869+AB868)*AG869,(VLOOKUP(_xlfn.CONCAT(U869,V869,W869,X869,VLOOKUP(Z869,TIME!$S$28:$T$39,2,FALSE)),FC_DATA!$R$2:$AB$5000,MATCH("GS_I_M",FC_DATA!$R$1:$AB$1,0),FALSE)+FC_DATA!AB869)*0.5*FC_DATA!AG869),NA())</f>
        <v>#N/A</v>
      </c>
      <c r="AI869" s="491" t="e">
        <f ca="1">IF(V869="PARTNER.com",AH869,IF(AND(V869=V868,W869=W868),(1-AVERAGE(AD868,AD869))*AH869,(1-AVERAGE(AD869,VLOOKUP(_xlfn.CONCAT(U869,V869,W869,X869,M_BRAND_FC!$F$6),FC_DATA!$R$2:$AD$5000,MATCH("DISCOUNT_%_M",FC_DATA!$R$1:$AD$1,0),FALSE)))*AH869))</f>
        <v>#N/A</v>
      </c>
      <c r="AJ869" s="412" t="str">
        <f t="shared" ca="1" si="338"/>
        <v/>
      </c>
      <c r="AK869" s="413" t="str">
        <f>IFERROR(AE869/(Q_BRAND_FC!$T$24+1),"")</f>
        <v/>
      </c>
      <c r="AL869" s="88" t="str">
        <f t="shared" ca="1" si="339"/>
        <v/>
      </c>
      <c r="AM869" s="414" t="str">
        <f t="shared" ca="1" si="340"/>
        <v/>
      </c>
      <c r="AN869" s="58">
        <f>IFERROR(IF($V869="BRAND.com",HLOOKUP($X869&amp;$Z869,NWC_FC_NOOS!$C$4:$Q$23,MATCH(W869,NWC_FC_NOOS!$B$4:$B$23,0),FALSE),0),0)</f>
        <v>0</v>
      </c>
      <c r="AO869" s="57">
        <f>IFERROR(IF($V869="BRAND.com",HLOOKUP($X869&amp;$Z869,NWC_FC_NOOS!$T$4:$AH$23,MATCH(W869,NWC_FC_NOOS!$S$4:$S$23,0),FALSE),0),0)</f>
        <v>0</v>
      </c>
      <c r="AP869" s="57">
        <f>IFERROR(IF($V869="BRAND.com",HLOOKUP($X869&amp;$Z869,NWC_FC_NOOS!$C$50:$U$69,MATCH(W869,NWC_FC_NOOS!$B$50:$B$69,0),FALSE),0),0)</f>
        <v>0</v>
      </c>
      <c r="AQ869" s="58">
        <f>IFERROR(IF($V869="BRAND.com",HLOOKUP($X869&amp;$Z869,'NWC_FC_NON-NOOS'!$C$4:$Q$23,MATCH(W869,'NWC_FC_NON-NOOS'!$B$4:$B$23,0),FALSE),0),0)</f>
        <v>0</v>
      </c>
      <c r="AR869" s="57">
        <f>IFERROR(IF($V869="BRAND.com",HLOOKUP($X869&amp;$Z869,'NWC_FC_NON-NOOS'!$T$4:$AH$23,MATCH(W869,'NWC_FC_NON-NOOS'!$S$4:$S$23,0),FALSE),0),0)</f>
        <v>0</v>
      </c>
      <c r="AS869" s="57">
        <f>IFERROR(IF($V869="BRAND.com",HLOOKUP($X869&amp;$Z869,'NWC_FC_NON-NOOS'!$C$50:$U$69,MATCH(W869,'NWC_FC_NON-NOOS'!$B$50:$B$69,0),FALSE),0),0)</f>
        <v>0</v>
      </c>
      <c r="AT869" s="57">
        <f t="shared" si="342"/>
        <v>0</v>
      </c>
      <c r="AU869" s="57">
        <f t="shared" si="343"/>
        <v>0</v>
      </c>
      <c r="AV869" s="58">
        <f>IFERROR(IF($V869="BRAND.com",HLOOKUP($X869&amp;$Z869,PLANNING_FC!$BB$27:$BP$46,MATCH($W869,PLANNING_FC!$BA$27:$BA$46,0),FALSE),0),0)</f>
        <v>0</v>
      </c>
      <c r="AW869" s="58">
        <f>IFERROR(IF($V869="BRAND.com",HLOOKUP($X869&amp;$Z869,PLANNING_FC!$BB$4:$BP$23,MATCH($W869,PLANNING_FC!$BA$4:$BA$23,0),FALSE),0),0)</f>
        <v>0</v>
      </c>
      <c r="AX869" s="58">
        <f>IFERROR(IF($V869="BRAND.com",HLOOKUP($X869&amp;$Z869,PLANNING_FC!$T$27:$AH$46,MATCH($W869,PLANNING_FC!$B$27:$B$46,0),FALSE),0),0)</f>
        <v>0</v>
      </c>
      <c r="AY869" s="58">
        <f>IFERROR(IF($V869="BRAND.com",HLOOKUP($X869&amp;$Z869,PLANNING_FC!$T$4:$AH$23,MATCH($W869,PLANNING_FC!$B$4:$B$23,0),FALSE),0),0)</f>
        <v>0</v>
      </c>
      <c r="AZ869" s="58">
        <f>IFERROR(IF($V869="BRAND.com",HLOOKUP($X869&amp;$Z869,PLANNING_FC!$DA$27:$DO$46,MATCH($W869,PLANNING_FC!$CZ$27:$CZ$46,0),FALSE),0),0)</f>
        <v>0</v>
      </c>
      <c r="BA869" s="58">
        <f>IFERROR(IF($V869="BRAND.com",HLOOKUP($X869&amp;$Z869,PLANNING_FC!$DA$4:$DO$23,MATCH($W869,PLANNING_FC!$CZ$4:$CZ$23,0),FALSE),0),0)</f>
        <v>0</v>
      </c>
      <c r="BB869" s="883" t="str">
        <f>IF(V869="BRAND.com",IFERROR(HLOOKUP(X869&amp;Z869,PLANNING_FC!$AK$4:$AY$23,MATCH(W869,PLANNING_FC!$AJ$4:$AJ$23,0),FALSE)*1000,""),"")</f>
        <v/>
      </c>
      <c r="BC869" s="883" t="str">
        <f>IF(V869="BRAND.com",IFERROR(HLOOKUP(X869&amp;Z869,PLANNING_FC!$AK$27:$AY$46,MATCH(W869,PLANNING_FC!$AJ$27:$AJ$46,0),FALSE)*1000,""),"")</f>
        <v/>
      </c>
    </row>
    <row r="870" spans="14:55" x14ac:dyDescent="0.25">
      <c r="N870" s="56">
        <f t="shared" si="324"/>
        <v>0</v>
      </c>
      <c r="O870" s="57">
        <f t="shared" si="325"/>
        <v>0</v>
      </c>
      <c r="P870" s="57">
        <f ca="1">IFERROR(IF(ISBLANK(H870),SUMIFS($AC:$AC,$V:$V,V870,$W:$W,W870,$X:$X,X870,$Y:$Y,Y870)*J870/(1-J870)*VLOOKUP(_xlfn.CONCAT(C870,D870,E870,TIME!$M$12,Z870),HIS_SALES!$B$2:$W$4859,20,FALSE),AC870*J870/(1-J870)),0)</f>
        <v>0</v>
      </c>
      <c r="Q870" s="541" t="str">
        <f t="shared" si="326"/>
        <v/>
      </c>
      <c r="R870" s="346" t="str">
        <f t="shared" si="327"/>
        <v>00000</v>
      </c>
      <c r="S870" s="344">
        <f t="shared" si="328"/>
        <v>0</v>
      </c>
      <c r="T870" s="345" t="str">
        <f t="shared" si="341"/>
        <v>000</v>
      </c>
      <c r="U870" s="345">
        <f t="shared" si="329"/>
        <v>0</v>
      </c>
      <c r="V870" s="345">
        <f t="shared" si="330"/>
        <v>0</v>
      </c>
      <c r="W870" s="345">
        <f t="shared" si="331"/>
        <v>0</v>
      </c>
      <c r="X870" s="345">
        <f t="shared" si="332"/>
        <v>0</v>
      </c>
      <c r="Y870" s="345">
        <f t="shared" si="333"/>
        <v>0</v>
      </c>
      <c r="Z870" s="345">
        <f>IF(Q870&lt;&gt;"",VLOOKUP(Y870,TIME!$R$21:$V$24,MATCH(FC_DATA!Q870,TIME!$R$20:$V$20,0),FALSE),H870)</f>
        <v>0</v>
      </c>
      <c r="AA870" s="345" t="str">
        <f>IFERROR(VLOOKUP(X870&amp;Z870,TIME!$A$12:$D$71,4,FALSE),"")</f>
        <v/>
      </c>
      <c r="AB870" s="592">
        <f t="shared" ca="1" si="334"/>
        <v>0</v>
      </c>
      <c r="AC870" s="593" t="e">
        <f ca="1">IF(ISBLANK(H870)=FALSE,IF(D870="BRAND.com",I870,IF(ISNA(VLOOKUP(_xlfn.CONCAT(X870,Z870),TIME!$M$40:$M$42,1,FALSE)),I870,VLOOKUP(_xlfn.CONCAT(D870,G870,H870),M_BUSAREA_FC!$AF$5:$AJ$10,5,FALSE)*HLOOKUP(_xlfn.CONCAT(F870,H870),ST_OVERVIEW!$G$99:$I$130,MATCH(_xlfn.CONCAT(D870,E870),ST_OVERVIEW!$F$99:$F$130,0),FALSE))),IF(D870="BRAND.com",VLOOKUP(_xlfn.CONCAT(C870,D870,E870,TIME!$F$1,Z870),HIS_SALES!$B$2:$V$4859,19,FALSE)*I870,VLOOKUP(_xlfn.CONCAT(D870,F870,G870),Q_BUSAREA_FC!$AE$5:$AI$12,5,FALSE)*HLOOKUP(_xlfn.CONCAT(FC_DATA!F870,FC_DATA!G870),LT_OVERVIEW!$I$99:$M$130,MATCH(_xlfn.CONCAT(D870,FC_DATA!E870),LT_OVERVIEW!$H$99:$H$130,0),FALSE)*IFERROR(VLOOKUP(_xlfn.CONCAT(C870,D870,E870,TIME!$F$1,Z870),HIS_SALES!$B$2:$V$4859,19,FALSE),0)))</f>
        <v>#N/A</v>
      </c>
      <c r="AD870" s="341">
        <f t="shared" ca="1" si="335"/>
        <v>0</v>
      </c>
      <c r="AE870" s="363" t="str">
        <f t="shared" si="336"/>
        <v/>
      </c>
      <c r="AF870" s="342" t="str">
        <f t="shared" si="337"/>
        <v/>
      </c>
      <c r="AG870" s="411" t="e">
        <f ca="1">VLOOKUP(_xlfn.CONCAT(U870,V870,W870,VLOOKUP(X870&amp;Y870,TIME!$L$27:$O$34,4,FALSE),Y870),HIS_SALES!$A$2:$R$5093,18,FALSE)</f>
        <v>#N/A</v>
      </c>
      <c r="AH870" s="412" t="e">
        <f ca="1">IFERROR(IF(AND(V870=V869,W870=W869),0.5*(AB870+AB869)*AG870,(VLOOKUP(_xlfn.CONCAT(U870,V870,W870,X870,VLOOKUP(Z870,TIME!$S$28:$T$39,2,FALSE)),FC_DATA!$R$2:$AB$5000,MATCH("GS_I_M",FC_DATA!$R$1:$AB$1,0),FALSE)+FC_DATA!AB870)*0.5*FC_DATA!AG870),NA())</f>
        <v>#N/A</v>
      </c>
      <c r="AI870" s="491" t="e">
        <f ca="1">IF(V870="PARTNER.com",AH870,IF(AND(V870=V869,W870=W869),(1-AVERAGE(AD869,AD870))*AH870,(1-AVERAGE(AD870,VLOOKUP(_xlfn.CONCAT(U870,V870,W870,X870,M_BRAND_FC!$F$6),FC_DATA!$R$2:$AD$5000,MATCH("DISCOUNT_%_M",FC_DATA!$R$1:$AD$1,0),FALSE)))*AH870))</f>
        <v>#N/A</v>
      </c>
      <c r="AJ870" s="412" t="str">
        <f t="shared" ca="1" si="338"/>
        <v/>
      </c>
      <c r="AK870" s="413" t="str">
        <f>IFERROR(AE870/(Q_BRAND_FC!$T$24+1),"")</f>
        <v/>
      </c>
      <c r="AL870" s="88" t="str">
        <f t="shared" ca="1" si="339"/>
        <v/>
      </c>
      <c r="AM870" s="414" t="str">
        <f t="shared" ca="1" si="340"/>
        <v/>
      </c>
      <c r="AN870" s="58">
        <f>IFERROR(IF($V870="BRAND.com",HLOOKUP($X870&amp;$Z870,NWC_FC_NOOS!$C$4:$Q$23,MATCH(W870,NWC_FC_NOOS!$B$4:$B$23,0),FALSE),0),0)</f>
        <v>0</v>
      </c>
      <c r="AO870" s="57">
        <f>IFERROR(IF($V870="BRAND.com",HLOOKUP($X870&amp;$Z870,NWC_FC_NOOS!$T$4:$AH$23,MATCH(W870,NWC_FC_NOOS!$S$4:$S$23,0),FALSE),0),0)</f>
        <v>0</v>
      </c>
      <c r="AP870" s="57">
        <f>IFERROR(IF($V870="BRAND.com",HLOOKUP($X870&amp;$Z870,NWC_FC_NOOS!$C$50:$U$69,MATCH(W870,NWC_FC_NOOS!$B$50:$B$69,0),FALSE),0),0)</f>
        <v>0</v>
      </c>
      <c r="AQ870" s="58">
        <f>IFERROR(IF($V870="BRAND.com",HLOOKUP($X870&amp;$Z870,'NWC_FC_NON-NOOS'!$C$4:$Q$23,MATCH(W870,'NWC_FC_NON-NOOS'!$B$4:$B$23,0),FALSE),0),0)</f>
        <v>0</v>
      </c>
      <c r="AR870" s="57">
        <f>IFERROR(IF($V870="BRAND.com",HLOOKUP($X870&amp;$Z870,'NWC_FC_NON-NOOS'!$T$4:$AH$23,MATCH(W870,'NWC_FC_NON-NOOS'!$S$4:$S$23,0),FALSE),0),0)</f>
        <v>0</v>
      </c>
      <c r="AS870" s="57">
        <f>IFERROR(IF($V870="BRAND.com",HLOOKUP($X870&amp;$Z870,'NWC_FC_NON-NOOS'!$C$50:$U$69,MATCH(W870,'NWC_FC_NON-NOOS'!$B$50:$B$69,0),FALSE),0),0)</f>
        <v>0</v>
      </c>
      <c r="AT870" s="57">
        <f t="shared" si="342"/>
        <v>0</v>
      </c>
      <c r="AU870" s="57">
        <f t="shared" si="343"/>
        <v>0</v>
      </c>
      <c r="AV870" s="58">
        <f>IFERROR(IF($V870="BRAND.com",HLOOKUP($X870&amp;$Z870,PLANNING_FC!$BB$27:$BP$46,MATCH($W870,PLANNING_FC!$BA$27:$BA$46,0),FALSE),0),0)</f>
        <v>0</v>
      </c>
      <c r="AW870" s="58">
        <f>IFERROR(IF($V870="BRAND.com",HLOOKUP($X870&amp;$Z870,PLANNING_FC!$BB$4:$BP$23,MATCH($W870,PLANNING_FC!$BA$4:$BA$23,0),FALSE),0),0)</f>
        <v>0</v>
      </c>
      <c r="AX870" s="58">
        <f>IFERROR(IF($V870="BRAND.com",HLOOKUP($X870&amp;$Z870,PLANNING_FC!$T$27:$AH$46,MATCH($W870,PLANNING_FC!$B$27:$B$46,0),FALSE),0),0)</f>
        <v>0</v>
      </c>
      <c r="AY870" s="58">
        <f>IFERROR(IF($V870="BRAND.com",HLOOKUP($X870&amp;$Z870,PLANNING_FC!$T$4:$AH$23,MATCH($W870,PLANNING_FC!$B$4:$B$23,0),FALSE),0),0)</f>
        <v>0</v>
      </c>
      <c r="AZ870" s="58">
        <f>IFERROR(IF($V870="BRAND.com",HLOOKUP($X870&amp;$Z870,PLANNING_FC!$DA$27:$DO$46,MATCH($W870,PLANNING_FC!$CZ$27:$CZ$46,0),FALSE),0),0)</f>
        <v>0</v>
      </c>
      <c r="BA870" s="58">
        <f>IFERROR(IF($V870="BRAND.com",HLOOKUP($X870&amp;$Z870,PLANNING_FC!$DA$4:$DO$23,MATCH($W870,PLANNING_FC!$CZ$4:$CZ$23,0),FALSE),0),0)</f>
        <v>0</v>
      </c>
      <c r="BB870" s="883" t="str">
        <f>IF(V870="BRAND.com",IFERROR(HLOOKUP(X870&amp;Z870,PLANNING_FC!$AK$4:$AY$23,MATCH(W870,PLANNING_FC!$AJ$4:$AJ$23,0),FALSE)*1000,""),"")</f>
        <v/>
      </c>
      <c r="BC870" s="883" t="str">
        <f>IF(V870="BRAND.com",IFERROR(HLOOKUP(X870&amp;Z870,PLANNING_FC!$AK$27:$AY$46,MATCH(W870,PLANNING_FC!$AJ$27:$AJ$46,0),FALSE)*1000,""),"")</f>
        <v/>
      </c>
    </row>
    <row r="871" spans="14:55" x14ac:dyDescent="0.25">
      <c r="N871" s="56">
        <f t="shared" si="324"/>
        <v>0</v>
      </c>
      <c r="O871" s="57">
        <f t="shared" si="325"/>
        <v>0</v>
      </c>
      <c r="P871" s="57">
        <f ca="1">IFERROR(IF(ISBLANK(H871),SUMIFS($AC:$AC,$V:$V,V871,$W:$W,W871,$X:$X,X871,$Y:$Y,Y871)*J871/(1-J871)*VLOOKUP(_xlfn.CONCAT(C871,D871,E871,TIME!$M$12,Z871),HIS_SALES!$B$2:$W$4859,20,FALSE),AC871*J871/(1-J871)),0)</f>
        <v>0</v>
      </c>
      <c r="Q871" s="541" t="str">
        <f t="shared" si="326"/>
        <v/>
      </c>
      <c r="R871" s="346" t="str">
        <f t="shared" si="327"/>
        <v>00000</v>
      </c>
      <c r="S871" s="344">
        <f t="shared" si="328"/>
        <v>0</v>
      </c>
      <c r="T871" s="345" t="str">
        <f t="shared" si="341"/>
        <v>000</v>
      </c>
      <c r="U871" s="345">
        <f t="shared" si="329"/>
        <v>0</v>
      </c>
      <c r="V871" s="345">
        <f t="shared" si="330"/>
        <v>0</v>
      </c>
      <c r="W871" s="345">
        <f t="shared" si="331"/>
        <v>0</v>
      </c>
      <c r="X871" s="345">
        <f t="shared" si="332"/>
        <v>0</v>
      </c>
      <c r="Y871" s="345">
        <f t="shared" si="333"/>
        <v>0</v>
      </c>
      <c r="Z871" s="345">
        <f>IF(Q871&lt;&gt;"",VLOOKUP(Y871,TIME!$R$21:$V$24,MATCH(FC_DATA!Q871,TIME!$R$20:$V$20,0),FALSE),H871)</f>
        <v>0</v>
      </c>
      <c r="AA871" s="345" t="str">
        <f>IFERROR(VLOOKUP(X871&amp;Z871,TIME!$A$12:$D$71,4,FALSE),"")</f>
        <v/>
      </c>
      <c r="AB871" s="592">
        <f t="shared" ca="1" si="334"/>
        <v>0</v>
      </c>
      <c r="AC871" s="593" t="e">
        <f ca="1">IF(ISBLANK(H871)=FALSE,IF(D871="BRAND.com",I871,IF(ISNA(VLOOKUP(_xlfn.CONCAT(X871,Z871),TIME!$M$40:$M$42,1,FALSE)),I871,VLOOKUP(_xlfn.CONCAT(D871,G871,H871),M_BUSAREA_FC!$AF$5:$AJ$10,5,FALSE)*HLOOKUP(_xlfn.CONCAT(F871,H871),ST_OVERVIEW!$G$99:$I$130,MATCH(_xlfn.CONCAT(D871,E871),ST_OVERVIEW!$F$99:$F$130,0),FALSE))),IF(D871="BRAND.com",VLOOKUP(_xlfn.CONCAT(C871,D871,E871,TIME!$F$1,Z871),HIS_SALES!$B$2:$V$4859,19,FALSE)*I871,VLOOKUP(_xlfn.CONCAT(D871,F871,G871),Q_BUSAREA_FC!$AE$5:$AI$12,5,FALSE)*HLOOKUP(_xlfn.CONCAT(FC_DATA!F871,FC_DATA!G871),LT_OVERVIEW!$I$99:$M$130,MATCH(_xlfn.CONCAT(D871,FC_DATA!E871),LT_OVERVIEW!$H$99:$H$130,0),FALSE)*IFERROR(VLOOKUP(_xlfn.CONCAT(C871,D871,E871,TIME!$F$1,Z871),HIS_SALES!$B$2:$V$4859,19,FALSE),0)))</f>
        <v>#N/A</v>
      </c>
      <c r="AD871" s="341">
        <f t="shared" ca="1" si="335"/>
        <v>0</v>
      </c>
      <c r="AE871" s="363" t="str">
        <f t="shared" si="336"/>
        <v/>
      </c>
      <c r="AF871" s="342" t="str">
        <f t="shared" si="337"/>
        <v/>
      </c>
      <c r="AG871" s="411" t="e">
        <f ca="1">VLOOKUP(_xlfn.CONCAT(U871,V871,W871,VLOOKUP(X871&amp;Y871,TIME!$L$27:$O$34,4,FALSE),Y871),HIS_SALES!$A$2:$R$5093,18,FALSE)</f>
        <v>#N/A</v>
      </c>
      <c r="AH871" s="412" t="e">
        <f ca="1">IFERROR(IF(AND(V871=V870,W871=W870),0.5*(AB871+AB870)*AG871,(VLOOKUP(_xlfn.CONCAT(U871,V871,W871,X871,VLOOKUP(Z871,TIME!$S$28:$T$39,2,FALSE)),FC_DATA!$R$2:$AB$5000,MATCH("GS_I_M",FC_DATA!$R$1:$AB$1,0),FALSE)+FC_DATA!AB871)*0.5*FC_DATA!AG871),NA())</f>
        <v>#N/A</v>
      </c>
      <c r="AI871" s="491" t="e">
        <f ca="1">IF(V871="PARTNER.com",AH871,IF(AND(V871=V870,W871=W870),(1-AVERAGE(AD870,AD871))*AH871,(1-AVERAGE(AD871,VLOOKUP(_xlfn.CONCAT(U871,V871,W871,X871,M_BRAND_FC!$F$6),FC_DATA!$R$2:$AD$5000,MATCH("DISCOUNT_%_M",FC_DATA!$R$1:$AD$1,0),FALSE)))*AH871))</f>
        <v>#N/A</v>
      </c>
      <c r="AJ871" s="412" t="str">
        <f t="shared" ca="1" si="338"/>
        <v/>
      </c>
      <c r="AK871" s="413" t="str">
        <f>IFERROR(AE871/(Q_BRAND_FC!$T$24+1),"")</f>
        <v/>
      </c>
      <c r="AL871" s="88" t="str">
        <f t="shared" ca="1" si="339"/>
        <v/>
      </c>
      <c r="AM871" s="414" t="str">
        <f t="shared" ca="1" si="340"/>
        <v/>
      </c>
      <c r="AN871" s="58">
        <f>IFERROR(IF($V871="BRAND.com",HLOOKUP($X871&amp;$Z871,NWC_FC_NOOS!$C$4:$Q$23,MATCH(W871,NWC_FC_NOOS!$B$4:$B$23,0),FALSE),0),0)</f>
        <v>0</v>
      </c>
      <c r="AO871" s="57">
        <f>IFERROR(IF($V871="BRAND.com",HLOOKUP($X871&amp;$Z871,NWC_FC_NOOS!$T$4:$AH$23,MATCH(W871,NWC_FC_NOOS!$S$4:$S$23,0),FALSE),0),0)</f>
        <v>0</v>
      </c>
      <c r="AP871" s="57">
        <f>IFERROR(IF($V871="BRAND.com",HLOOKUP($X871&amp;$Z871,NWC_FC_NOOS!$C$50:$U$69,MATCH(W871,NWC_FC_NOOS!$B$50:$B$69,0),FALSE),0),0)</f>
        <v>0</v>
      </c>
      <c r="AQ871" s="58">
        <f>IFERROR(IF($V871="BRAND.com",HLOOKUP($X871&amp;$Z871,'NWC_FC_NON-NOOS'!$C$4:$Q$23,MATCH(W871,'NWC_FC_NON-NOOS'!$B$4:$B$23,0),FALSE),0),0)</f>
        <v>0</v>
      </c>
      <c r="AR871" s="57">
        <f>IFERROR(IF($V871="BRAND.com",HLOOKUP($X871&amp;$Z871,'NWC_FC_NON-NOOS'!$T$4:$AH$23,MATCH(W871,'NWC_FC_NON-NOOS'!$S$4:$S$23,0),FALSE),0),0)</f>
        <v>0</v>
      </c>
      <c r="AS871" s="57">
        <f>IFERROR(IF($V871="BRAND.com",HLOOKUP($X871&amp;$Z871,'NWC_FC_NON-NOOS'!$C$50:$U$69,MATCH(W871,'NWC_FC_NON-NOOS'!$B$50:$B$69,0),FALSE),0),0)</f>
        <v>0</v>
      </c>
      <c r="AT871" s="57">
        <f t="shared" si="342"/>
        <v>0</v>
      </c>
      <c r="AU871" s="57">
        <f t="shared" si="343"/>
        <v>0</v>
      </c>
      <c r="AV871" s="58">
        <f>IFERROR(IF($V871="BRAND.com",HLOOKUP($X871&amp;$Z871,PLANNING_FC!$BB$27:$BP$46,MATCH($W871,PLANNING_FC!$BA$27:$BA$46,0),FALSE),0),0)</f>
        <v>0</v>
      </c>
      <c r="AW871" s="58">
        <f>IFERROR(IF($V871="BRAND.com",HLOOKUP($X871&amp;$Z871,PLANNING_FC!$BB$4:$BP$23,MATCH($W871,PLANNING_FC!$BA$4:$BA$23,0),FALSE),0),0)</f>
        <v>0</v>
      </c>
      <c r="AX871" s="58">
        <f>IFERROR(IF($V871="BRAND.com",HLOOKUP($X871&amp;$Z871,PLANNING_FC!$T$27:$AH$46,MATCH($W871,PLANNING_FC!$B$27:$B$46,0),FALSE),0),0)</f>
        <v>0</v>
      </c>
      <c r="AY871" s="58">
        <f>IFERROR(IF($V871="BRAND.com",HLOOKUP($X871&amp;$Z871,PLANNING_FC!$T$4:$AH$23,MATCH($W871,PLANNING_FC!$B$4:$B$23,0),FALSE),0),0)</f>
        <v>0</v>
      </c>
      <c r="AZ871" s="58">
        <f>IFERROR(IF($V871="BRAND.com",HLOOKUP($X871&amp;$Z871,PLANNING_FC!$DA$27:$DO$46,MATCH($W871,PLANNING_FC!$CZ$27:$CZ$46,0),FALSE),0),0)</f>
        <v>0</v>
      </c>
      <c r="BA871" s="58">
        <f>IFERROR(IF($V871="BRAND.com",HLOOKUP($X871&amp;$Z871,PLANNING_FC!$DA$4:$DO$23,MATCH($W871,PLANNING_FC!$CZ$4:$CZ$23,0),FALSE),0),0)</f>
        <v>0</v>
      </c>
      <c r="BB871" s="883" t="str">
        <f>IF(V871="BRAND.com",IFERROR(HLOOKUP(X871&amp;Z871,PLANNING_FC!$AK$4:$AY$23,MATCH(W871,PLANNING_FC!$AJ$4:$AJ$23,0),FALSE)*1000,""),"")</f>
        <v/>
      </c>
      <c r="BC871" s="883" t="str">
        <f>IF(V871="BRAND.com",IFERROR(HLOOKUP(X871&amp;Z871,PLANNING_FC!$AK$27:$AY$46,MATCH(W871,PLANNING_FC!$AJ$27:$AJ$46,0),FALSE)*1000,""),"")</f>
        <v/>
      </c>
    </row>
    <row r="872" spans="14:55" x14ac:dyDescent="0.25">
      <c r="N872" s="56">
        <f t="shared" si="324"/>
        <v>0</v>
      </c>
      <c r="O872" s="57">
        <f t="shared" si="325"/>
        <v>0</v>
      </c>
      <c r="P872" s="57">
        <f ca="1">IFERROR(IF(ISBLANK(H872),SUMIFS($AC:$AC,$V:$V,V872,$W:$W,W872,$X:$X,X872,$Y:$Y,Y872)*J872/(1-J872)*VLOOKUP(_xlfn.CONCAT(C872,D872,E872,TIME!$M$12,Z872),HIS_SALES!$B$2:$W$4859,20,FALSE),AC872*J872/(1-J872)),0)</f>
        <v>0</v>
      </c>
      <c r="Q872" s="541" t="str">
        <f t="shared" si="326"/>
        <v/>
      </c>
      <c r="R872" s="346" t="str">
        <f t="shared" si="327"/>
        <v>00000</v>
      </c>
      <c r="S872" s="344">
        <f t="shared" si="328"/>
        <v>0</v>
      </c>
      <c r="T872" s="345" t="str">
        <f t="shared" si="341"/>
        <v>000</v>
      </c>
      <c r="U872" s="345">
        <f t="shared" si="329"/>
        <v>0</v>
      </c>
      <c r="V872" s="345">
        <f t="shared" si="330"/>
        <v>0</v>
      </c>
      <c r="W872" s="345">
        <f t="shared" si="331"/>
        <v>0</v>
      </c>
      <c r="X872" s="345">
        <f t="shared" si="332"/>
        <v>0</v>
      </c>
      <c r="Y872" s="345">
        <f t="shared" si="333"/>
        <v>0</v>
      </c>
      <c r="Z872" s="345">
        <f>IF(Q872&lt;&gt;"",VLOOKUP(Y872,TIME!$R$21:$V$24,MATCH(FC_DATA!Q872,TIME!$R$20:$V$20,0),FALSE),H872)</f>
        <v>0</v>
      </c>
      <c r="AA872" s="345" t="str">
        <f>IFERROR(VLOOKUP(X872&amp;Z872,TIME!$A$12:$D$71,4,FALSE),"")</f>
        <v/>
      </c>
      <c r="AB872" s="592">
        <f t="shared" ca="1" si="334"/>
        <v>0</v>
      </c>
      <c r="AC872" s="593" t="e">
        <f ca="1">IF(ISBLANK(H872)=FALSE,IF(D872="BRAND.com",I872,IF(ISNA(VLOOKUP(_xlfn.CONCAT(X872,Z872),TIME!$M$40:$M$42,1,FALSE)),I872,VLOOKUP(_xlfn.CONCAT(D872,G872,H872),M_BUSAREA_FC!$AF$5:$AJ$10,5,FALSE)*HLOOKUP(_xlfn.CONCAT(F872,H872),ST_OVERVIEW!$G$99:$I$130,MATCH(_xlfn.CONCAT(D872,E872),ST_OVERVIEW!$F$99:$F$130,0),FALSE))),IF(D872="BRAND.com",VLOOKUP(_xlfn.CONCAT(C872,D872,E872,TIME!$F$1,Z872),HIS_SALES!$B$2:$V$4859,19,FALSE)*I872,VLOOKUP(_xlfn.CONCAT(D872,F872,G872),Q_BUSAREA_FC!$AE$5:$AI$12,5,FALSE)*HLOOKUP(_xlfn.CONCAT(FC_DATA!F872,FC_DATA!G872),LT_OVERVIEW!$I$99:$M$130,MATCH(_xlfn.CONCAT(D872,FC_DATA!E872),LT_OVERVIEW!$H$99:$H$130,0),FALSE)*IFERROR(VLOOKUP(_xlfn.CONCAT(C872,D872,E872,TIME!$F$1,Z872),HIS_SALES!$B$2:$V$4859,19,FALSE),0)))</f>
        <v>#N/A</v>
      </c>
      <c r="AD872" s="341">
        <f t="shared" ca="1" si="335"/>
        <v>0</v>
      </c>
      <c r="AE872" s="363" t="str">
        <f t="shared" si="336"/>
        <v/>
      </c>
      <c r="AF872" s="342" t="str">
        <f t="shared" si="337"/>
        <v/>
      </c>
      <c r="AG872" s="411" t="e">
        <f ca="1">VLOOKUP(_xlfn.CONCAT(U872,V872,W872,VLOOKUP(X872&amp;Y872,TIME!$L$27:$O$34,4,FALSE),Y872),HIS_SALES!$A$2:$R$5093,18,FALSE)</f>
        <v>#N/A</v>
      </c>
      <c r="AH872" s="412" t="e">
        <f ca="1">IFERROR(IF(AND(V872=V871,W872=W871),0.5*(AB872+AB871)*AG872,(VLOOKUP(_xlfn.CONCAT(U872,V872,W872,X872,VLOOKUP(Z872,TIME!$S$28:$T$39,2,FALSE)),FC_DATA!$R$2:$AB$5000,MATCH("GS_I_M",FC_DATA!$R$1:$AB$1,0),FALSE)+FC_DATA!AB872)*0.5*FC_DATA!AG872),NA())</f>
        <v>#N/A</v>
      </c>
      <c r="AI872" s="491" t="e">
        <f ca="1">IF(V872="PARTNER.com",AH872,IF(AND(V872=V871,W872=W871),(1-AVERAGE(AD871,AD872))*AH872,(1-AVERAGE(AD872,VLOOKUP(_xlfn.CONCAT(U872,V872,W872,X872,M_BRAND_FC!$F$6),FC_DATA!$R$2:$AD$5000,MATCH("DISCOUNT_%_M",FC_DATA!$R$1:$AD$1,0),FALSE)))*AH872))</f>
        <v>#N/A</v>
      </c>
      <c r="AJ872" s="412" t="str">
        <f t="shared" ca="1" si="338"/>
        <v/>
      </c>
      <c r="AK872" s="413" t="str">
        <f>IFERROR(AE872/(Q_BRAND_FC!$T$24+1),"")</f>
        <v/>
      </c>
      <c r="AL872" s="88" t="str">
        <f t="shared" ca="1" si="339"/>
        <v/>
      </c>
      <c r="AM872" s="414" t="str">
        <f t="shared" ca="1" si="340"/>
        <v/>
      </c>
      <c r="AN872" s="58">
        <f>IFERROR(IF($V872="BRAND.com",HLOOKUP($X872&amp;$Z872,NWC_FC_NOOS!$C$4:$Q$23,MATCH(W872,NWC_FC_NOOS!$B$4:$B$23,0),FALSE),0),0)</f>
        <v>0</v>
      </c>
      <c r="AO872" s="57">
        <f>IFERROR(IF($V872="BRAND.com",HLOOKUP($X872&amp;$Z872,NWC_FC_NOOS!$T$4:$AH$23,MATCH(W872,NWC_FC_NOOS!$S$4:$S$23,0),FALSE),0),0)</f>
        <v>0</v>
      </c>
      <c r="AP872" s="57">
        <f>IFERROR(IF($V872="BRAND.com",HLOOKUP($X872&amp;$Z872,NWC_FC_NOOS!$C$50:$U$69,MATCH(W872,NWC_FC_NOOS!$B$50:$B$69,0),FALSE),0),0)</f>
        <v>0</v>
      </c>
      <c r="AQ872" s="58">
        <f>IFERROR(IF($V872="BRAND.com",HLOOKUP($X872&amp;$Z872,'NWC_FC_NON-NOOS'!$C$4:$Q$23,MATCH(W872,'NWC_FC_NON-NOOS'!$B$4:$B$23,0),FALSE),0),0)</f>
        <v>0</v>
      </c>
      <c r="AR872" s="57">
        <f>IFERROR(IF($V872="BRAND.com",HLOOKUP($X872&amp;$Z872,'NWC_FC_NON-NOOS'!$T$4:$AH$23,MATCH(W872,'NWC_FC_NON-NOOS'!$S$4:$S$23,0),FALSE),0),0)</f>
        <v>0</v>
      </c>
      <c r="AS872" s="57">
        <f>IFERROR(IF($V872="BRAND.com",HLOOKUP($X872&amp;$Z872,'NWC_FC_NON-NOOS'!$C$50:$U$69,MATCH(W872,'NWC_FC_NON-NOOS'!$B$50:$B$69,0),FALSE),0),0)</f>
        <v>0</v>
      </c>
      <c r="AT872" s="57">
        <f t="shared" si="342"/>
        <v>0</v>
      </c>
      <c r="AU872" s="57">
        <f t="shared" si="343"/>
        <v>0</v>
      </c>
      <c r="AV872" s="58">
        <f>IFERROR(IF($V872="BRAND.com",HLOOKUP($X872&amp;$Z872,PLANNING_FC!$BB$27:$BP$46,MATCH($W872,PLANNING_FC!$BA$27:$BA$46,0),FALSE),0),0)</f>
        <v>0</v>
      </c>
      <c r="AW872" s="58">
        <f>IFERROR(IF($V872="BRAND.com",HLOOKUP($X872&amp;$Z872,PLANNING_FC!$BB$4:$BP$23,MATCH($W872,PLANNING_FC!$BA$4:$BA$23,0),FALSE),0),0)</f>
        <v>0</v>
      </c>
      <c r="AX872" s="58">
        <f>IFERROR(IF($V872="BRAND.com",HLOOKUP($X872&amp;$Z872,PLANNING_FC!$T$27:$AH$46,MATCH($W872,PLANNING_FC!$B$27:$B$46,0),FALSE),0),0)</f>
        <v>0</v>
      </c>
      <c r="AY872" s="58">
        <f>IFERROR(IF($V872="BRAND.com",HLOOKUP($X872&amp;$Z872,PLANNING_FC!$T$4:$AH$23,MATCH($W872,PLANNING_FC!$B$4:$B$23,0),FALSE),0),0)</f>
        <v>0</v>
      </c>
      <c r="AZ872" s="58">
        <f>IFERROR(IF($V872="BRAND.com",HLOOKUP($X872&amp;$Z872,PLANNING_FC!$DA$27:$DO$46,MATCH($W872,PLANNING_FC!$CZ$27:$CZ$46,0),FALSE),0),0)</f>
        <v>0</v>
      </c>
      <c r="BA872" s="58">
        <f>IFERROR(IF($V872="BRAND.com",HLOOKUP($X872&amp;$Z872,PLANNING_FC!$DA$4:$DO$23,MATCH($W872,PLANNING_FC!$CZ$4:$CZ$23,0),FALSE),0),0)</f>
        <v>0</v>
      </c>
      <c r="BB872" s="883" t="str">
        <f>IF(V872="BRAND.com",IFERROR(HLOOKUP(X872&amp;Z872,PLANNING_FC!$AK$4:$AY$23,MATCH(W872,PLANNING_FC!$AJ$4:$AJ$23,0),FALSE)*1000,""),"")</f>
        <v/>
      </c>
      <c r="BC872" s="883" t="str">
        <f>IF(V872="BRAND.com",IFERROR(HLOOKUP(X872&amp;Z872,PLANNING_FC!$AK$27:$AY$46,MATCH(W872,PLANNING_FC!$AJ$27:$AJ$46,0),FALSE)*1000,""),"")</f>
        <v/>
      </c>
    </row>
    <row r="873" spans="14:55" x14ac:dyDescent="0.25">
      <c r="N873" s="56">
        <f t="shared" si="324"/>
        <v>0</v>
      </c>
      <c r="O873" s="57">
        <f t="shared" si="325"/>
        <v>0</v>
      </c>
      <c r="P873" s="57">
        <f ca="1">IFERROR(IF(ISBLANK(H873),SUMIFS($AC:$AC,$V:$V,V873,$W:$W,W873,$X:$X,X873,$Y:$Y,Y873)*J873/(1-J873)*VLOOKUP(_xlfn.CONCAT(C873,D873,E873,TIME!$M$12,Z873),HIS_SALES!$B$2:$W$4859,20,FALSE),AC873*J873/(1-J873)),0)</f>
        <v>0</v>
      </c>
      <c r="Q873" s="541" t="str">
        <f t="shared" si="326"/>
        <v/>
      </c>
      <c r="R873" s="346" t="str">
        <f t="shared" si="327"/>
        <v>00000</v>
      </c>
      <c r="S873" s="344">
        <f t="shared" si="328"/>
        <v>0</v>
      </c>
      <c r="T873" s="345" t="str">
        <f t="shared" si="341"/>
        <v>000</v>
      </c>
      <c r="U873" s="345">
        <f t="shared" si="329"/>
        <v>0</v>
      </c>
      <c r="V873" s="345">
        <f t="shared" si="330"/>
        <v>0</v>
      </c>
      <c r="W873" s="345">
        <f t="shared" si="331"/>
        <v>0</v>
      </c>
      <c r="X873" s="345">
        <f t="shared" si="332"/>
        <v>0</v>
      </c>
      <c r="Y873" s="345">
        <f t="shared" si="333"/>
        <v>0</v>
      </c>
      <c r="Z873" s="345">
        <f>IF(Q873&lt;&gt;"",VLOOKUP(Y873,TIME!$R$21:$V$24,MATCH(FC_DATA!Q873,TIME!$R$20:$V$20,0),FALSE),H873)</f>
        <v>0</v>
      </c>
      <c r="AA873" s="345" t="str">
        <f>IFERROR(VLOOKUP(X873&amp;Z873,TIME!$A$12:$D$71,4,FALSE),"")</f>
        <v/>
      </c>
      <c r="AB873" s="592">
        <f t="shared" ca="1" si="334"/>
        <v>0</v>
      </c>
      <c r="AC873" s="593" t="e">
        <f ca="1">IF(ISBLANK(H873)=FALSE,IF(D873="BRAND.com",I873,IF(ISNA(VLOOKUP(_xlfn.CONCAT(X873,Z873),TIME!$M$40:$M$42,1,FALSE)),I873,VLOOKUP(_xlfn.CONCAT(D873,G873,H873),M_BUSAREA_FC!$AF$5:$AJ$10,5,FALSE)*HLOOKUP(_xlfn.CONCAT(F873,H873),ST_OVERVIEW!$G$99:$I$130,MATCH(_xlfn.CONCAT(D873,E873),ST_OVERVIEW!$F$99:$F$130,0),FALSE))),IF(D873="BRAND.com",VLOOKUP(_xlfn.CONCAT(C873,D873,E873,TIME!$F$1,Z873),HIS_SALES!$B$2:$V$4859,19,FALSE)*I873,VLOOKUP(_xlfn.CONCAT(D873,F873,G873),Q_BUSAREA_FC!$AE$5:$AI$12,5,FALSE)*HLOOKUP(_xlfn.CONCAT(FC_DATA!F873,FC_DATA!G873),LT_OVERVIEW!$I$99:$M$130,MATCH(_xlfn.CONCAT(D873,FC_DATA!E873),LT_OVERVIEW!$H$99:$H$130,0),FALSE)*IFERROR(VLOOKUP(_xlfn.CONCAT(C873,D873,E873,TIME!$F$1,Z873),HIS_SALES!$B$2:$V$4859,19,FALSE),0)))</f>
        <v>#N/A</v>
      </c>
      <c r="AD873" s="341">
        <f t="shared" ca="1" si="335"/>
        <v>0</v>
      </c>
      <c r="AE873" s="363" t="str">
        <f t="shared" si="336"/>
        <v/>
      </c>
      <c r="AF873" s="342" t="str">
        <f t="shared" si="337"/>
        <v/>
      </c>
      <c r="AG873" s="411" t="e">
        <f ca="1">VLOOKUP(_xlfn.CONCAT(U873,V873,W873,VLOOKUP(X873&amp;Y873,TIME!$L$27:$O$34,4,FALSE),Y873),HIS_SALES!$A$2:$R$5093,18,FALSE)</f>
        <v>#N/A</v>
      </c>
      <c r="AH873" s="412" t="e">
        <f ca="1">IFERROR(IF(AND(V873=V872,W873=W872),0.5*(AB873+AB872)*AG873,(VLOOKUP(_xlfn.CONCAT(U873,V873,W873,X873,VLOOKUP(Z873,TIME!$S$28:$T$39,2,FALSE)),FC_DATA!$R$2:$AB$5000,MATCH("GS_I_M",FC_DATA!$R$1:$AB$1,0),FALSE)+FC_DATA!AB873)*0.5*FC_DATA!AG873),NA())</f>
        <v>#N/A</v>
      </c>
      <c r="AI873" s="491" t="e">
        <f ca="1">IF(V873="PARTNER.com",AH873,IF(AND(V873=V872,W873=W872),(1-AVERAGE(AD872,AD873))*AH873,(1-AVERAGE(AD873,VLOOKUP(_xlfn.CONCAT(U873,V873,W873,X873,M_BRAND_FC!$F$6),FC_DATA!$R$2:$AD$5000,MATCH("DISCOUNT_%_M",FC_DATA!$R$1:$AD$1,0),FALSE)))*AH873))</f>
        <v>#N/A</v>
      </c>
      <c r="AJ873" s="412" t="str">
        <f t="shared" ca="1" si="338"/>
        <v/>
      </c>
      <c r="AK873" s="413" t="str">
        <f>IFERROR(AE873/(Q_BRAND_FC!$T$24+1),"")</f>
        <v/>
      </c>
      <c r="AL873" s="88" t="str">
        <f t="shared" ca="1" si="339"/>
        <v/>
      </c>
      <c r="AM873" s="414" t="str">
        <f t="shared" ca="1" si="340"/>
        <v/>
      </c>
      <c r="AN873" s="58">
        <f>IFERROR(IF($V873="BRAND.com",HLOOKUP($X873&amp;$Z873,NWC_FC_NOOS!$C$4:$Q$23,MATCH(W873,NWC_FC_NOOS!$B$4:$B$23,0),FALSE),0),0)</f>
        <v>0</v>
      </c>
      <c r="AO873" s="57">
        <f>IFERROR(IF($V873="BRAND.com",HLOOKUP($X873&amp;$Z873,NWC_FC_NOOS!$T$4:$AH$23,MATCH(W873,NWC_FC_NOOS!$S$4:$S$23,0),FALSE),0),0)</f>
        <v>0</v>
      </c>
      <c r="AP873" s="57">
        <f>IFERROR(IF($V873="BRAND.com",HLOOKUP($X873&amp;$Z873,NWC_FC_NOOS!$C$50:$U$69,MATCH(W873,NWC_FC_NOOS!$B$50:$B$69,0),FALSE),0),0)</f>
        <v>0</v>
      </c>
      <c r="AQ873" s="58">
        <f>IFERROR(IF($V873="BRAND.com",HLOOKUP($X873&amp;$Z873,'NWC_FC_NON-NOOS'!$C$4:$Q$23,MATCH(W873,'NWC_FC_NON-NOOS'!$B$4:$B$23,0),FALSE),0),0)</f>
        <v>0</v>
      </c>
      <c r="AR873" s="57">
        <f>IFERROR(IF($V873="BRAND.com",HLOOKUP($X873&amp;$Z873,'NWC_FC_NON-NOOS'!$T$4:$AH$23,MATCH(W873,'NWC_FC_NON-NOOS'!$S$4:$S$23,0),FALSE),0),0)</f>
        <v>0</v>
      </c>
      <c r="AS873" s="57">
        <f>IFERROR(IF($V873="BRAND.com",HLOOKUP($X873&amp;$Z873,'NWC_FC_NON-NOOS'!$C$50:$U$69,MATCH(W873,'NWC_FC_NON-NOOS'!$B$50:$B$69,0),FALSE),0),0)</f>
        <v>0</v>
      </c>
      <c r="AT873" s="57">
        <f t="shared" si="342"/>
        <v>0</v>
      </c>
      <c r="AU873" s="57">
        <f t="shared" si="343"/>
        <v>0</v>
      </c>
      <c r="AV873" s="58">
        <f>IFERROR(IF($V873="BRAND.com",HLOOKUP($X873&amp;$Z873,PLANNING_FC!$BB$27:$BP$46,MATCH($W873,PLANNING_FC!$BA$27:$BA$46,0),FALSE),0),0)</f>
        <v>0</v>
      </c>
      <c r="AW873" s="58">
        <f>IFERROR(IF($V873="BRAND.com",HLOOKUP($X873&amp;$Z873,PLANNING_FC!$BB$4:$BP$23,MATCH($W873,PLANNING_FC!$BA$4:$BA$23,0),FALSE),0),0)</f>
        <v>0</v>
      </c>
      <c r="AX873" s="58">
        <f>IFERROR(IF($V873="BRAND.com",HLOOKUP($X873&amp;$Z873,PLANNING_FC!$T$27:$AH$46,MATCH($W873,PLANNING_FC!$B$27:$B$46,0),FALSE),0),0)</f>
        <v>0</v>
      </c>
      <c r="AY873" s="58">
        <f>IFERROR(IF($V873="BRAND.com",HLOOKUP($X873&amp;$Z873,PLANNING_FC!$T$4:$AH$23,MATCH($W873,PLANNING_FC!$B$4:$B$23,0),FALSE),0),0)</f>
        <v>0</v>
      </c>
      <c r="AZ873" s="58">
        <f>IFERROR(IF($V873="BRAND.com",HLOOKUP($X873&amp;$Z873,PLANNING_FC!$DA$27:$DO$46,MATCH($W873,PLANNING_FC!$CZ$27:$CZ$46,0),FALSE),0),0)</f>
        <v>0</v>
      </c>
      <c r="BA873" s="58">
        <f>IFERROR(IF($V873="BRAND.com",HLOOKUP($X873&amp;$Z873,PLANNING_FC!$DA$4:$DO$23,MATCH($W873,PLANNING_FC!$CZ$4:$CZ$23,0),FALSE),0),0)</f>
        <v>0</v>
      </c>
      <c r="BB873" s="883" t="str">
        <f>IF(V873="BRAND.com",IFERROR(HLOOKUP(X873&amp;Z873,PLANNING_FC!$AK$4:$AY$23,MATCH(W873,PLANNING_FC!$AJ$4:$AJ$23,0),FALSE)*1000,""),"")</f>
        <v/>
      </c>
      <c r="BC873" s="883" t="str">
        <f>IF(V873="BRAND.com",IFERROR(HLOOKUP(X873&amp;Z873,PLANNING_FC!$AK$27:$AY$46,MATCH(W873,PLANNING_FC!$AJ$27:$AJ$46,0),FALSE)*1000,""),"")</f>
        <v/>
      </c>
    </row>
    <row r="874" spans="14:55" x14ac:dyDescent="0.25">
      <c r="N874" s="56">
        <f t="shared" si="324"/>
        <v>0</v>
      </c>
      <c r="O874" s="57">
        <f t="shared" si="325"/>
        <v>0</v>
      </c>
      <c r="P874" s="57">
        <f ca="1">IFERROR(IF(ISBLANK(H874),SUMIFS($AC:$AC,$V:$V,V874,$W:$W,W874,$X:$X,X874,$Y:$Y,Y874)*J874/(1-J874)*VLOOKUP(_xlfn.CONCAT(C874,D874,E874,TIME!$M$12,Z874),HIS_SALES!$B$2:$W$4859,20,FALSE),AC874*J874/(1-J874)),0)</f>
        <v>0</v>
      </c>
      <c r="Q874" s="541" t="str">
        <f t="shared" si="326"/>
        <v/>
      </c>
      <c r="R874" s="346" t="str">
        <f t="shared" si="327"/>
        <v>00000</v>
      </c>
      <c r="S874" s="344">
        <f t="shared" si="328"/>
        <v>0</v>
      </c>
      <c r="T874" s="345" t="str">
        <f t="shared" si="341"/>
        <v>000</v>
      </c>
      <c r="U874" s="345">
        <f t="shared" si="329"/>
        <v>0</v>
      </c>
      <c r="V874" s="345">
        <f t="shared" si="330"/>
        <v>0</v>
      </c>
      <c r="W874" s="345">
        <f t="shared" si="331"/>
        <v>0</v>
      </c>
      <c r="X874" s="345">
        <f t="shared" si="332"/>
        <v>0</v>
      </c>
      <c r="Y874" s="345">
        <f t="shared" si="333"/>
        <v>0</v>
      </c>
      <c r="Z874" s="345">
        <f>IF(Q874&lt;&gt;"",VLOOKUP(Y874,TIME!$R$21:$V$24,MATCH(FC_DATA!Q874,TIME!$R$20:$V$20,0),FALSE),H874)</f>
        <v>0</v>
      </c>
      <c r="AA874" s="345" t="str">
        <f>IFERROR(VLOOKUP(X874&amp;Z874,TIME!$A$12:$D$71,4,FALSE),"")</f>
        <v/>
      </c>
      <c r="AB874" s="592">
        <f t="shared" ca="1" si="334"/>
        <v>0</v>
      </c>
      <c r="AC874" s="593" t="e">
        <f ca="1">IF(ISBLANK(H874)=FALSE,IF(D874="BRAND.com",I874,IF(ISNA(VLOOKUP(_xlfn.CONCAT(X874,Z874),TIME!$M$40:$M$42,1,FALSE)),I874,VLOOKUP(_xlfn.CONCAT(D874,G874,H874),M_BUSAREA_FC!$AF$5:$AJ$10,5,FALSE)*HLOOKUP(_xlfn.CONCAT(F874,H874),ST_OVERVIEW!$G$99:$I$130,MATCH(_xlfn.CONCAT(D874,E874),ST_OVERVIEW!$F$99:$F$130,0),FALSE))),IF(D874="BRAND.com",VLOOKUP(_xlfn.CONCAT(C874,D874,E874,TIME!$F$1,Z874),HIS_SALES!$B$2:$V$4859,19,FALSE)*I874,VLOOKUP(_xlfn.CONCAT(D874,F874,G874),Q_BUSAREA_FC!$AE$5:$AI$12,5,FALSE)*HLOOKUP(_xlfn.CONCAT(FC_DATA!F874,FC_DATA!G874),LT_OVERVIEW!$I$99:$M$130,MATCH(_xlfn.CONCAT(D874,FC_DATA!E874),LT_OVERVIEW!$H$99:$H$130,0),FALSE)*IFERROR(VLOOKUP(_xlfn.CONCAT(C874,D874,E874,TIME!$F$1,Z874),HIS_SALES!$B$2:$V$4859,19,FALSE),0)))</f>
        <v>#N/A</v>
      </c>
      <c r="AD874" s="341">
        <f t="shared" ca="1" si="335"/>
        <v>0</v>
      </c>
      <c r="AE874" s="363" t="str">
        <f t="shared" si="336"/>
        <v/>
      </c>
      <c r="AF874" s="342" t="str">
        <f t="shared" si="337"/>
        <v/>
      </c>
      <c r="AG874" s="411" t="e">
        <f ca="1">VLOOKUP(_xlfn.CONCAT(U874,V874,W874,VLOOKUP(X874&amp;Y874,TIME!$L$27:$O$34,4,FALSE),Y874),HIS_SALES!$A$2:$R$5093,18,FALSE)</f>
        <v>#N/A</v>
      </c>
      <c r="AH874" s="412" t="e">
        <f ca="1">IFERROR(IF(AND(V874=V873,W874=W873),0.5*(AB874+AB873)*AG874,(VLOOKUP(_xlfn.CONCAT(U874,V874,W874,X874,VLOOKUP(Z874,TIME!$S$28:$T$39,2,FALSE)),FC_DATA!$R$2:$AB$5000,MATCH("GS_I_M",FC_DATA!$R$1:$AB$1,0),FALSE)+FC_DATA!AB874)*0.5*FC_DATA!AG874),NA())</f>
        <v>#N/A</v>
      </c>
      <c r="AI874" s="491" t="e">
        <f ca="1">IF(V874="PARTNER.com",AH874,IF(AND(V874=V873,W874=W873),(1-AVERAGE(AD873,AD874))*AH874,(1-AVERAGE(AD874,VLOOKUP(_xlfn.CONCAT(U874,V874,W874,X874,M_BRAND_FC!$F$6),FC_DATA!$R$2:$AD$5000,MATCH("DISCOUNT_%_M",FC_DATA!$R$1:$AD$1,0),FALSE)))*AH874))</f>
        <v>#N/A</v>
      </c>
      <c r="AJ874" s="412" t="str">
        <f t="shared" ca="1" si="338"/>
        <v/>
      </c>
      <c r="AK874" s="413" t="str">
        <f>IFERROR(AE874/(Q_BRAND_FC!$T$24+1),"")</f>
        <v/>
      </c>
      <c r="AL874" s="88" t="str">
        <f t="shared" ca="1" si="339"/>
        <v/>
      </c>
      <c r="AM874" s="414" t="str">
        <f t="shared" ca="1" si="340"/>
        <v/>
      </c>
      <c r="AN874" s="58">
        <f>IFERROR(IF($V874="BRAND.com",HLOOKUP($X874&amp;$Z874,NWC_FC_NOOS!$C$4:$Q$23,MATCH(W874,NWC_FC_NOOS!$B$4:$B$23,0),FALSE),0),0)</f>
        <v>0</v>
      </c>
      <c r="AO874" s="57">
        <f>IFERROR(IF($V874="BRAND.com",HLOOKUP($X874&amp;$Z874,NWC_FC_NOOS!$T$4:$AH$23,MATCH(W874,NWC_FC_NOOS!$S$4:$S$23,0),FALSE),0),0)</f>
        <v>0</v>
      </c>
      <c r="AP874" s="57">
        <f>IFERROR(IF($V874="BRAND.com",HLOOKUP($X874&amp;$Z874,NWC_FC_NOOS!$C$50:$U$69,MATCH(W874,NWC_FC_NOOS!$B$50:$B$69,0),FALSE),0),0)</f>
        <v>0</v>
      </c>
      <c r="AQ874" s="58">
        <f>IFERROR(IF($V874="BRAND.com",HLOOKUP($X874&amp;$Z874,'NWC_FC_NON-NOOS'!$C$4:$Q$23,MATCH(W874,'NWC_FC_NON-NOOS'!$B$4:$B$23,0),FALSE),0),0)</f>
        <v>0</v>
      </c>
      <c r="AR874" s="57">
        <f>IFERROR(IF($V874="BRAND.com",HLOOKUP($X874&amp;$Z874,'NWC_FC_NON-NOOS'!$T$4:$AH$23,MATCH(W874,'NWC_FC_NON-NOOS'!$S$4:$S$23,0),FALSE),0),0)</f>
        <v>0</v>
      </c>
      <c r="AS874" s="57">
        <f>IFERROR(IF($V874="BRAND.com",HLOOKUP($X874&amp;$Z874,'NWC_FC_NON-NOOS'!$C$50:$U$69,MATCH(W874,'NWC_FC_NON-NOOS'!$B$50:$B$69,0),FALSE),0),0)</f>
        <v>0</v>
      </c>
      <c r="AT874" s="57">
        <f t="shared" si="342"/>
        <v>0</v>
      </c>
      <c r="AU874" s="57">
        <f t="shared" si="343"/>
        <v>0</v>
      </c>
      <c r="AV874" s="58">
        <f>IFERROR(IF($V874="BRAND.com",HLOOKUP($X874&amp;$Z874,PLANNING_FC!$BB$27:$BP$46,MATCH($W874,PLANNING_FC!$BA$27:$BA$46,0),FALSE),0),0)</f>
        <v>0</v>
      </c>
      <c r="AW874" s="58">
        <f>IFERROR(IF($V874="BRAND.com",HLOOKUP($X874&amp;$Z874,PLANNING_FC!$BB$4:$BP$23,MATCH($W874,PLANNING_FC!$BA$4:$BA$23,0),FALSE),0),0)</f>
        <v>0</v>
      </c>
      <c r="AX874" s="58">
        <f>IFERROR(IF($V874="BRAND.com",HLOOKUP($X874&amp;$Z874,PLANNING_FC!$T$27:$AH$46,MATCH($W874,PLANNING_FC!$B$27:$B$46,0),FALSE),0),0)</f>
        <v>0</v>
      </c>
      <c r="AY874" s="58">
        <f>IFERROR(IF($V874="BRAND.com",HLOOKUP($X874&amp;$Z874,PLANNING_FC!$T$4:$AH$23,MATCH($W874,PLANNING_FC!$B$4:$B$23,0),FALSE),0),0)</f>
        <v>0</v>
      </c>
      <c r="AZ874" s="58">
        <f>IFERROR(IF($V874="BRAND.com",HLOOKUP($X874&amp;$Z874,PLANNING_FC!$DA$27:$DO$46,MATCH($W874,PLANNING_FC!$CZ$27:$CZ$46,0),FALSE),0),0)</f>
        <v>0</v>
      </c>
      <c r="BA874" s="58">
        <f>IFERROR(IF($V874="BRAND.com",HLOOKUP($X874&amp;$Z874,PLANNING_FC!$DA$4:$DO$23,MATCH($W874,PLANNING_FC!$CZ$4:$CZ$23,0),FALSE),0),0)</f>
        <v>0</v>
      </c>
      <c r="BB874" s="883" t="str">
        <f>IF(V874="BRAND.com",IFERROR(HLOOKUP(X874&amp;Z874,PLANNING_FC!$AK$4:$AY$23,MATCH(W874,PLANNING_FC!$AJ$4:$AJ$23,0),FALSE)*1000,""),"")</f>
        <v/>
      </c>
      <c r="BC874" s="883" t="str">
        <f>IF(V874="BRAND.com",IFERROR(HLOOKUP(X874&amp;Z874,PLANNING_FC!$AK$27:$AY$46,MATCH(W874,PLANNING_FC!$AJ$27:$AJ$46,0),FALSE)*1000,""),"")</f>
        <v/>
      </c>
    </row>
    <row r="875" spans="14:55" x14ac:dyDescent="0.25">
      <c r="N875" s="56">
        <f t="shared" si="324"/>
        <v>0</v>
      </c>
      <c r="O875" s="57">
        <f t="shared" si="325"/>
        <v>0</v>
      </c>
      <c r="P875" s="57">
        <f ca="1">IFERROR(IF(ISBLANK(H875),SUMIFS($AC:$AC,$V:$V,V875,$W:$W,W875,$X:$X,X875,$Y:$Y,Y875)*J875/(1-J875)*VLOOKUP(_xlfn.CONCAT(C875,D875,E875,TIME!$M$12,Z875),HIS_SALES!$B$2:$W$4859,20,FALSE),AC875*J875/(1-J875)),0)</f>
        <v>0</v>
      </c>
      <c r="Q875" s="541" t="str">
        <f t="shared" si="326"/>
        <v/>
      </c>
      <c r="R875" s="346" t="str">
        <f t="shared" si="327"/>
        <v>00000</v>
      </c>
      <c r="S875" s="344">
        <f t="shared" si="328"/>
        <v>0</v>
      </c>
      <c r="T875" s="345" t="str">
        <f t="shared" si="341"/>
        <v>000</v>
      </c>
      <c r="U875" s="345">
        <f t="shared" si="329"/>
        <v>0</v>
      </c>
      <c r="V875" s="345">
        <f t="shared" si="330"/>
        <v>0</v>
      </c>
      <c r="W875" s="345">
        <f t="shared" si="331"/>
        <v>0</v>
      </c>
      <c r="X875" s="345">
        <f t="shared" si="332"/>
        <v>0</v>
      </c>
      <c r="Y875" s="345">
        <f t="shared" si="333"/>
        <v>0</v>
      </c>
      <c r="Z875" s="345">
        <f>IF(Q875&lt;&gt;"",VLOOKUP(Y875,TIME!$R$21:$V$24,MATCH(FC_DATA!Q875,TIME!$R$20:$V$20,0),FALSE),H875)</f>
        <v>0</v>
      </c>
      <c r="AA875" s="345" t="str">
        <f>IFERROR(VLOOKUP(X875&amp;Z875,TIME!$A$12:$D$71,4,FALSE),"")</f>
        <v/>
      </c>
      <c r="AB875" s="592">
        <f t="shared" ca="1" si="334"/>
        <v>0</v>
      </c>
      <c r="AC875" s="593" t="e">
        <f ca="1">IF(ISBLANK(H875)=FALSE,IF(D875="BRAND.com",I875,IF(ISNA(VLOOKUP(_xlfn.CONCAT(X875,Z875),TIME!$M$40:$M$42,1,FALSE)),I875,VLOOKUP(_xlfn.CONCAT(D875,G875,H875),M_BUSAREA_FC!$AF$5:$AJ$10,5,FALSE)*HLOOKUP(_xlfn.CONCAT(F875,H875),ST_OVERVIEW!$G$99:$I$130,MATCH(_xlfn.CONCAT(D875,E875),ST_OVERVIEW!$F$99:$F$130,0),FALSE))),IF(D875="BRAND.com",VLOOKUP(_xlfn.CONCAT(C875,D875,E875,TIME!$F$1,Z875),HIS_SALES!$B$2:$V$4859,19,FALSE)*I875,VLOOKUP(_xlfn.CONCAT(D875,F875,G875),Q_BUSAREA_FC!$AE$5:$AI$12,5,FALSE)*HLOOKUP(_xlfn.CONCAT(FC_DATA!F875,FC_DATA!G875),LT_OVERVIEW!$I$99:$M$130,MATCH(_xlfn.CONCAT(D875,FC_DATA!E875),LT_OVERVIEW!$H$99:$H$130,0),FALSE)*IFERROR(VLOOKUP(_xlfn.CONCAT(C875,D875,E875,TIME!$F$1,Z875),HIS_SALES!$B$2:$V$4859,19,FALSE),0)))</f>
        <v>#N/A</v>
      </c>
      <c r="AD875" s="341">
        <f t="shared" ca="1" si="335"/>
        <v>0</v>
      </c>
      <c r="AE875" s="363" t="str">
        <f t="shared" si="336"/>
        <v/>
      </c>
      <c r="AF875" s="342" t="str">
        <f t="shared" si="337"/>
        <v/>
      </c>
      <c r="AG875" s="411" t="e">
        <f ca="1">VLOOKUP(_xlfn.CONCAT(U875,V875,W875,VLOOKUP(X875&amp;Y875,TIME!$L$27:$O$34,4,FALSE),Y875),HIS_SALES!$A$2:$R$5093,18,FALSE)</f>
        <v>#N/A</v>
      </c>
      <c r="AH875" s="412" t="e">
        <f ca="1">IFERROR(IF(AND(V875=V874,W875=W874),0.5*(AB875+AB874)*AG875,(VLOOKUP(_xlfn.CONCAT(U875,V875,W875,X875,VLOOKUP(Z875,TIME!$S$28:$T$39,2,FALSE)),FC_DATA!$R$2:$AB$5000,MATCH("GS_I_M",FC_DATA!$R$1:$AB$1,0),FALSE)+FC_DATA!AB875)*0.5*FC_DATA!AG875),NA())</f>
        <v>#N/A</v>
      </c>
      <c r="AI875" s="491" t="e">
        <f ca="1">IF(V875="PARTNER.com",AH875,IF(AND(V875=V874,W875=W874),(1-AVERAGE(AD874,AD875))*AH875,(1-AVERAGE(AD875,VLOOKUP(_xlfn.CONCAT(U875,V875,W875,X875,M_BRAND_FC!$F$6),FC_DATA!$R$2:$AD$5000,MATCH("DISCOUNT_%_M",FC_DATA!$R$1:$AD$1,0),FALSE)))*AH875))</f>
        <v>#N/A</v>
      </c>
      <c r="AJ875" s="412" t="str">
        <f t="shared" ca="1" si="338"/>
        <v/>
      </c>
      <c r="AK875" s="413" t="str">
        <f>IFERROR(AE875/(Q_BRAND_FC!$T$24+1),"")</f>
        <v/>
      </c>
      <c r="AL875" s="88" t="str">
        <f t="shared" ca="1" si="339"/>
        <v/>
      </c>
      <c r="AM875" s="414" t="str">
        <f t="shared" ca="1" si="340"/>
        <v/>
      </c>
      <c r="AN875" s="58">
        <f>IFERROR(IF($V875="BRAND.com",HLOOKUP($X875&amp;$Z875,NWC_FC_NOOS!$C$4:$Q$23,MATCH(W875,NWC_FC_NOOS!$B$4:$B$23,0),FALSE),0),0)</f>
        <v>0</v>
      </c>
      <c r="AO875" s="57">
        <f>IFERROR(IF($V875="BRAND.com",HLOOKUP($X875&amp;$Z875,NWC_FC_NOOS!$T$4:$AH$23,MATCH(W875,NWC_FC_NOOS!$S$4:$S$23,0),FALSE),0),0)</f>
        <v>0</v>
      </c>
      <c r="AP875" s="57">
        <f>IFERROR(IF($V875="BRAND.com",HLOOKUP($X875&amp;$Z875,NWC_FC_NOOS!$C$50:$U$69,MATCH(W875,NWC_FC_NOOS!$B$50:$B$69,0),FALSE),0),0)</f>
        <v>0</v>
      </c>
      <c r="AQ875" s="58">
        <f>IFERROR(IF($V875="BRAND.com",HLOOKUP($X875&amp;$Z875,'NWC_FC_NON-NOOS'!$C$4:$Q$23,MATCH(W875,'NWC_FC_NON-NOOS'!$B$4:$B$23,0),FALSE),0),0)</f>
        <v>0</v>
      </c>
      <c r="AR875" s="57">
        <f>IFERROR(IF($V875="BRAND.com",HLOOKUP($X875&amp;$Z875,'NWC_FC_NON-NOOS'!$T$4:$AH$23,MATCH(W875,'NWC_FC_NON-NOOS'!$S$4:$S$23,0),FALSE),0),0)</f>
        <v>0</v>
      </c>
      <c r="AS875" s="57">
        <f>IFERROR(IF($V875="BRAND.com",HLOOKUP($X875&amp;$Z875,'NWC_FC_NON-NOOS'!$C$50:$U$69,MATCH(W875,'NWC_FC_NON-NOOS'!$B$50:$B$69,0),FALSE),0),0)</f>
        <v>0</v>
      </c>
      <c r="AT875" s="57">
        <f t="shared" si="342"/>
        <v>0</v>
      </c>
      <c r="AU875" s="57">
        <f t="shared" si="343"/>
        <v>0</v>
      </c>
      <c r="AV875" s="58">
        <f>IFERROR(IF($V875="BRAND.com",HLOOKUP($X875&amp;$Z875,PLANNING_FC!$BB$27:$BP$46,MATCH($W875,PLANNING_FC!$BA$27:$BA$46,0),FALSE),0),0)</f>
        <v>0</v>
      </c>
      <c r="AW875" s="58">
        <f>IFERROR(IF($V875="BRAND.com",HLOOKUP($X875&amp;$Z875,PLANNING_FC!$BB$4:$BP$23,MATCH($W875,PLANNING_FC!$BA$4:$BA$23,0),FALSE),0),0)</f>
        <v>0</v>
      </c>
      <c r="AX875" s="58">
        <f>IFERROR(IF($V875="BRAND.com",HLOOKUP($X875&amp;$Z875,PLANNING_FC!$T$27:$AH$46,MATCH($W875,PLANNING_FC!$B$27:$B$46,0),FALSE),0),0)</f>
        <v>0</v>
      </c>
      <c r="AY875" s="58">
        <f>IFERROR(IF($V875="BRAND.com",HLOOKUP($X875&amp;$Z875,PLANNING_FC!$T$4:$AH$23,MATCH($W875,PLANNING_FC!$B$4:$B$23,0),FALSE),0),0)</f>
        <v>0</v>
      </c>
      <c r="AZ875" s="58">
        <f>IFERROR(IF($V875="BRAND.com",HLOOKUP($X875&amp;$Z875,PLANNING_FC!$DA$27:$DO$46,MATCH($W875,PLANNING_FC!$CZ$27:$CZ$46,0),FALSE),0),0)</f>
        <v>0</v>
      </c>
      <c r="BA875" s="58">
        <f>IFERROR(IF($V875="BRAND.com",HLOOKUP($X875&amp;$Z875,PLANNING_FC!$DA$4:$DO$23,MATCH($W875,PLANNING_FC!$CZ$4:$CZ$23,0),FALSE),0),0)</f>
        <v>0</v>
      </c>
      <c r="BB875" s="883" t="str">
        <f>IF(V875="BRAND.com",IFERROR(HLOOKUP(X875&amp;Z875,PLANNING_FC!$AK$4:$AY$23,MATCH(W875,PLANNING_FC!$AJ$4:$AJ$23,0),FALSE)*1000,""),"")</f>
        <v/>
      </c>
      <c r="BC875" s="883" t="str">
        <f>IF(V875="BRAND.com",IFERROR(HLOOKUP(X875&amp;Z875,PLANNING_FC!$AK$27:$AY$46,MATCH(W875,PLANNING_FC!$AJ$27:$AJ$46,0),FALSE)*1000,""),"")</f>
        <v/>
      </c>
    </row>
    <row r="876" spans="14:55" x14ac:dyDescent="0.25">
      <c r="N876" s="56">
        <f t="shared" si="324"/>
        <v>0</v>
      </c>
      <c r="O876" s="57">
        <f t="shared" si="325"/>
        <v>0</v>
      </c>
      <c r="P876" s="57">
        <f ca="1">IFERROR(IF(ISBLANK(H876),SUMIFS($AC:$AC,$V:$V,V876,$W:$W,W876,$X:$X,X876,$Y:$Y,Y876)*J876/(1-J876)*VLOOKUP(_xlfn.CONCAT(C876,D876,E876,TIME!$M$12,Z876),HIS_SALES!$B$2:$W$4859,20,FALSE),AC876*J876/(1-J876)),0)</f>
        <v>0</v>
      </c>
      <c r="Q876" s="541" t="str">
        <f t="shared" si="326"/>
        <v/>
      </c>
      <c r="R876" s="346" t="str">
        <f t="shared" si="327"/>
        <v>00000</v>
      </c>
      <c r="S876" s="344">
        <f t="shared" si="328"/>
        <v>0</v>
      </c>
      <c r="T876" s="345" t="str">
        <f t="shared" si="341"/>
        <v>000</v>
      </c>
      <c r="U876" s="345">
        <f t="shared" si="329"/>
        <v>0</v>
      </c>
      <c r="V876" s="345">
        <f t="shared" si="330"/>
        <v>0</v>
      </c>
      <c r="W876" s="345">
        <f t="shared" si="331"/>
        <v>0</v>
      </c>
      <c r="X876" s="345">
        <f t="shared" si="332"/>
        <v>0</v>
      </c>
      <c r="Y876" s="345">
        <f t="shared" si="333"/>
        <v>0</v>
      </c>
      <c r="Z876" s="345">
        <f>IF(Q876&lt;&gt;"",VLOOKUP(Y876,TIME!$R$21:$V$24,MATCH(FC_DATA!Q876,TIME!$R$20:$V$20,0),FALSE),H876)</f>
        <v>0</v>
      </c>
      <c r="AA876" s="345" t="str">
        <f>IFERROR(VLOOKUP(X876&amp;Z876,TIME!$A$12:$D$71,4,FALSE),"")</f>
        <v/>
      </c>
      <c r="AB876" s="592">
        <f t="shared" ca="1" si="334"/>
        <v>0</v>
      </c>
      <c r="AC876" s="593" t="e">
        <f ca="1">IF(ISBLANK(H876)=FALSE,IF(D876="BRAND.com",I876,IF(ISNA(VLOOKUP(_xlfn.CONCAT(X876,Z876),TIME!$M$40:$M$42,1,FALSE)),I876,VLOOKUP(_xlfn.CONCAT(D876,G876,H876),M_BUSAREA_FC!$AF$5:$AJ$10,5,FALSE)*HLOOKUP(_xlfn.CONCAT(F876,H876),ST_OVERVIEW!$G$99:$I$130,MATCH(_xlfn.CONCAT(D876,E876),ST_OVERVIEW!$F$99:$F$130,0),FALSE))),IF(D876="BRAND.com",VLOOKUP(_xlfn.CONCAT(C876,D876,E876,TIME!$F$1,Z876),HIS_SALES!$B$2:$V$4859,19,FALSE)*I876,VLOOKUP(_xlfn.CONCAT(D876,F876,G876),Q_BUSAREA_FC!$AE$5:$AI$12,5,FALSE)*HLOOKUP(_xlfn.CONCAT(FC_DATA!F876,FC_DATA!G876),LT_OVERVIEW!$I$99:$M$130,MATCH(_xlfn.CONCAT(D876,FC_DATA!E876),LT_OVERVIEW!$H$99:$H$130,0),FALSE)*IFERROR(VLOOKUP(_xlfn.CONCAT(C876,D876,E876,TIME!$F$1,Z876),HIS_SALES!$B$2:$V$4859,19,FALSE),0)))</f>
        <v>#N/A</v>
      </c>
      <c r="AD876" s="341">
        <f t="shared" ca="1" si="335"/>
        <v>0</v>
      </c>
      <c r="AE876" s="363" t="str">
        <f t="shared" si="336"/>
        <v/>
      </c>
      <c r="AF876" s="342" t="str">
        <f t="shared" si="337"/>
        <v/>
      </c>
      <c r="AG876" s="411" t="e">
        <f ca="1">VLOOKUP(_xlfn.CONCAT(U876,V876,W876,VLOOKUP(X876&amp;Y876,TIME!$L$27:$O$34,4,FALSE),Y876),HIS_SALES!$A$2:$R$5093,18,FALSE)</f>
        <v>#N/A</v>
      </c>
      <c r="AH876" s="412" t="e">
        <f ca="1">IFERROR(IF(AND(V876=V875,W876=W875),0.5*(AB876+AB875)*AG876,(VLOOKUP(_xlfn.CONCAT(U876,V876,W876,X876,VLOOKUP(Z876,TIME!$S$28:$T$39,2,FALSE)),FC_DATA!$R$2:$AB$5000,MATCH("GS_I_M",FC_DATA!$R$1:$AB$1,0),FALSE)+FC_DATA!AB876)*0.5*FC_DATA!AG876),NA())</f>
        <v>#N/A</v>
      </c>
      <c r="AI876" s="491" t="e">
        <f ca="1">IF(V876="PARTNER.com",AH876,IF(AND(V876=V875,W876=W875),(1-AVERAGE(AD875,AD876))*AH876,(1-AVERAGE(AD876,VLOOKUP(_xlfn.CONCAT(U876,V876,W876,X876,M_BRAND_FC!$F$6),FC_DATA!$R$2:$AD$5000,MATCH("DISCOUNT_%_M",FC_DATA!$R$1:$AD$1,0),FALSE)))*AH876))</f>
        <v>#N/A</v>
      </c>
      <c r="AJ876" s="412" t="str">
        <f t="shared" ca="1" si="338"/>
        <v/>
      </c>
      <c r="AK876" s="413" t="str">
        <f>IFERROR(AE876/(Q_BRAND_FC!$T$24+1),"")</f>
        <v/>
      </c>
      <c r="AL876" s="88" t="str">
        <f t="shared" ca="1" si="339"/>
        <v/>
      </c>
      <c r="AM876" s="414" t="str">
        <f t="shared" ca="1" si="340"/>
        <v/>
      </c>
      <c r="AN876" s="58">
        <f>IFERROR(IF($V876="BRAND.com",HLOOKUP($X876&amp;$Z876,NWC_FC_NOOS!$C$4:$Q$23,MATCH(W876,NWC_FC_NOOS!$B$4:$B$23,0),FALSE),0),0)</f>
        <v>0</v>
      </c>
      <c r="AO876" s="57">
        <f>IFERROR(IF($V876="BRAND.com",HLOOKUP($X876&amp;$Z876,NWC_FC_NOOS!$T$4:$AH$23,MATCH(W876,NWC_FC_NOOS!$S$4:$S$23,0),FALSE),0),0)</f>
        <v>0</v>
      </c>
      <c r="AP876" s="57">
        <f>IFERROR(IF($V876="BRAND.com",HLOOKUP($X876&amp;$Z876,NWC_FC_NOOS!$C$50:$U$69,MATCH(W876,NWC_FC_NOOS!$B$50:$B$69,0),FALSE),0),0)</f>
        <v>0</v>
      </c>
      <c r="AQ876" s="58">
        <f>IFERROR(IF($V876="BRAND.com",HLOOKUP($X876&amp;$Z876,'NWC_FC_NON-NOOS'!$C$4:$Q$23,MATCH(W876,'NWC_FC_NON-NOOS'!$B$4:$B$23,0),FALSE),0),0)</f>
        <v>0</v>
      </c>
      <c r="AR876" s="57">
        <f>IFERROR(IF($V876="BRAND.com",HLOOKUP($X876&amp;$Z876,'NWC_FC_NON-NOOS'!$T$4:$AH$23,MATCH(W876,'NWC_FC_NON-NOOS'!$S$4:$S$23,0),FALSE),0),0)</f>
        <v>0</v>
      </c>
      <c r="AS876" s="57">
        <f>IFERROR(IF($V876="BRAND.com",HLOOKUP($X876&amp;$Z876,'NWC_FC_NON-NOOS'!$C$50:$U$69,MATCH(W876,'NWC_FC_NON-NOOS'!$B$50:$B$69,0),FALSE),0),0)</f>
        <v>0</v>
      </c>
      <c r="AT876" s="57">
        <f t="shared" si="342"/>
        <v>0</v>
      </c>
      <c r="AU876" s="57">
        <f t="shared" si="343"/>
        <v>0</v>
      </c>
      <c r="AV876" s="58">
        <f>IFERROR(IF($V876="BRAND.com",HLOOKUP($X876&amp;$Z876,PLANNING_FC!$BB$27:$BP$46,MATCH($W876,PLANNING_FC!$BA$27:$BA$46,0),FALSE),0),0)</f>
        <v>0</v>
      </c>
      <c r="AW876" s="58">
        <f>IFERROR(IF($V876="BRAND.com",HLOOKUP($X876&amp;$Z876,PLANNING_FC!$BB$4:$BP$23,MATCH($W876,PLANNING_FC!$BA$4:$BA$23,0),FALSE),0),0)</f>
        <v>0</v>
      </c>
      <c r="AX876" s="58">
        <f>IFERROR(IF($V876="BRAND.com",HLOOKUP($X876&amp;$Z876,PLANNING_FC!$T$27:$AH$46,MATCH($W876,PLANNING_FC!$B$27:$B$46,0),FALSE),0),0)</f>
        <v>0</v>
      </c>
      <c r="AY876" s="58">
        <f>IFERROR(IF($V876="BRAND.com",HLOOKUP($X876&amp;$Z876,PLANNING_FC!$T$4:$AH$23,MATCH($W876,PLANNING_FC!$B$4:$B$23,0),FALSE),0),0)</f>
        <v>0</v>
      </c>
      <c r="AZ876" s="58">
        <f>IFERROR(IF($V876="BRAND.com",HLOOKUP($X876&amp;$Z876,PLANNING_FC!$DA$27:$DO$46,MATCH($W876,PLANNING_FC!$CZ$27:$CZ$46,0),FALSE),0),0)</f>
        <v>0</v>
      </c>
      <c r="BA876" s="58">
        <f>IFERROR(IF($V876="BRAND.com",HLOOKUP($X876&amp;$Z876,PLANNING_FC!$DA$4:$DO$23,MATCH($W876,PLANNING_FC!$CZ$4:$CZ$23,0),FALSE),0),0)</f>
        <v>0</v>
      </c>
      <c r="BB876" s="883" t="str">
        <f>IF(V876="BRAND.com",IFERROR(HLOOKUP(X876&amp;Z876,PLANNING_FC!$AK$4:$AY$23,MATCH(W876,PLANNING_FC!$AJ$4:$AJ$23,0),FALSE)*1000,""),"")</f>
        <v/>
      </c>
      <c r="BC876" s="883" t="str">
        <f>IF(V876="BRAND.com",IFERROR(HLOOKUP(X876&amp;Z876,PLANNING_FC!$AK$27:$AY$46,MATCH(W876,PLANNING_FC!$AJ$27:$AJ$46,0),FALSE)*1000,""),"")</f>
        <v/>
      </c>
    </row>
    <row r="877" spans="14:55" x14ac:dyDescent="0.25">
      <c r="N877" s="56">
        <f t="shared" si="324"/>
        <v>0</v>
      </c>
      <c r="O877" s="57">
        <f t="shared" si="325"/>
        <v>0</v>
      </c>
      <c r="P877" s="57">
        <f ca="1">IFERROR(IF(ISBLANK(H877),SUMIFS($AC:$AC,$V:$V,V877,$W:$W,W877,$X:$X,X877,$Y:$Y,Y877)*J877/(1-J877)*VLOOKUP(_xlfn.CONCAT(C877,D877,E877,TIME!$M$12,Z877),HIS_SALES!$B$2:$W$4859,20,FALSE),AC877*J877/(1-J877)),0)</f>
        <v>0</v>
      </c>
      <c r="Q877" s="541" t="str">
        <f t="shared" si="326"/>
        <v/>
      </c>
      <c r="R877" s="346" t="str">
        <f t="shared" si="327"/>
        <v>00000</v>
      </c>
      <c r="S877" s="344">
        <f t="shared" si="328"/>
        <v>0</v>
      </c>
      <c r="T877" s="345" t="str">
        <f t="shared" si="341"/>
        <v>000</v>
      </c>
      <c r="U877" s="345">
        <f t="shared" si="329"/>
        <v>0</v>
      </c>
      <c r="V877" s="345">
        <f t="shared" si="330"/>
        <v>0</v>
      </c>
      <c r="W877" s="345">
        <f t="shared" si="331"/>
        <v>0</v>
      </c>
      <c r="X877" s="345">
        <f t="shared" si="332"/>
        <v>0</v>
      </c>
      <c r="Y877" s="345">
        <f t="shared" si="333"/>
        <v>0</v>
      </c>
      <c r="Z877" s="345">
        <f>IF(Q877&lt;&gt;"",VLOOKUP(Y877,TIME!$R$21:$V$24,MATCH(FC_DATA!Q877,TIME!$R$20:$V$20,0),FALSE),H877)</f>
        <v>0</v>
      </c>
      <c r="AA877" s="345" t="str">
        <f>IFERROR(VLOOKUP(X877&amp;Z877,TIME!$A$12:$D$71,4,FALSE),"")</f>
        <v/>
      </c>
      <c r="AB877" s="592">
        <f t="shared" ca="1" si="334"/>
        <v>0</v>
      </c>
      <c r="AC877" s="593" t="e">
        <f ca="1">IF(ISBLANK(H877)=FALSE,IF(D877="BRAND.com",I877,IF(ISNA(VLOOKUP(_xlfn.CONCAT(X877,Z877),TIME!$M$40:$M$42,1,FALSE)),I877,VLOOKUP(_xlfn.CONCAT(D877,G877,H877),M_BUSAREA_FC!$AF$5:$AJ$10,5,FALSE)*HLOOKUP(_xlfn.CONCAT(F877,H877),ST_OVERVIEW!$G$99:$I$130,MATCH(_xlfn.CONCAT(D877,E877),ST_OVERVIEW!$F$99:$F$130,0),FALSE))),IF(D877="BRAND.com",VLOOKUP(_xlfn.CONCAT(C877,D877,E877,TIME!$F$1,Z877),HIS_SALES!$B$2:$V$4859,19,FALSE)*I877,VLOOKUP(_xlfn.CONCAT(D877,F877,G877),Q_BUSAREA_FC!$AE$5:$AI$12,5,FALSE)*HLOOKUP(_xlfn.CONCAT(FC_DATA!F877,FC_DATA!G877),LT_OVERVIEW!$I$99:$M$130,MATCH(_xlfn.CONCAT(D877,FC_DATA!E877),LT_OVERVIEW!$H$99:$H$130,0),FALSE)*IFERROR(VLOOKUP(_xlfn.CONCAT(C877,D877,E877,TIME!$F$1,Z877),HIS_SALES!$B$2:$V$4859,19,FALSE),0)))</f>
        <v>#N/A</v>
      </c>
      <c r="AD877" s="341">
        <f t="shared" ca="1" si="335"/>
        <v>0</v>
      </c>
      <c r="AE877" s="363" t="str">
        <f t="shared" si="336"/>
        <v/>
      </c>
      <c r="AF877" s="342" t="str">
        <f t="shared" si="337"/>
        <v/>
      </c>
      <c r="AG877" s="411" t="e">
        <f ca="1">VLOOKUP(_xlfn.CONCAT(U877,V877,W877,VLOOKUP(X877&amp;Y877,TIME!$L$27:$O$34,4,FALSE),Y877),HIS_SALES!$A$2:$R$5093,18,FALSE)</f>
        <v>#N/A</v>
      </c>
      <c r="AH877" s="412" t="e">
        <f ca="1">IFERROR(IF(AND(V877=V876,W877=W876),0.5*(AB877+AB876)*AG877,(VLOOKUP(_xlfn.CONCAT(U877,V877,W877,X877,VLOOKUP(Z877,TIME!$S$28:$T$39,2,FALSE)),FC_DATA!$R$2:$AB$5000,MATCH("GS_I_M",FC_DATA!$R$1:$AB$1,0),FALSE)+FC_DATA!AB877)*0.5*FC_DATA!AG877),NA())</f>
        <v>#N/A</v>
      </c>
      <c r="AI877" s="491" t="e">
        <f ca="1">IF(V877="PARTNER.com",AH877,IF(AND(V877=V876,W877=W876),(1-AVERAGE(AD876,AD877))*AH877,(1-AVERAGE(AD877,VLOOKUP(_xlfn.CONCAT(U877,V877,W877,X877,M_BRAND_FC!$F$6),FC_DATA!$R$2:$AD$5000,MATCH("DISCOUNT_%_M",FC_DATA!$R$1:$AD$1,0),FALSE)))*AH877))</f>
        <v>#N/A</v>
      </c>
      <c r="AJ877" s="412" t="str">
        <f t="shared" ca="1" si="338"/>
        <v/>
      </c>
      <c r="AK877" s="413" t="str">
        <f>IFERROR(AE877/(Q_BRAND_FC!$T$24+1),"")</f>
        <v/>
      </c>
      <c r="AL877" s="88" t="str">
        <f t="shared" ca="1" si="339"/>
        <v/>
      </c>
      <c r="AM877" s="414" t="str">
        <f t="shared" ca="1" si="340"/>
        <v/>
      </c>
      <c r="AN877" s="58">
        <f>IFERROR(IF($V877="BRAND.com",HLOOKUP($X877&amp;$Z877,NWC_FC_NOOS!$C$4:$Q$23,MATCH(W877,NWC_FC_NOOS!$B$4:$B$23,0),FALSE),0),0)</f>
        <v>0</v>
      </c>
      <c r="AO877" s="57">
        <f>IFERROR(IF($V877="BRAND.com",HLOOKUP($X877&amp;$Z877,NWC_FC_NOOS!$T$4:$AH$23,MATCH(W877,NWC_FC_NOOS!$S$4:$S$23,0),FALSE),0),0)</f>
        <v>0</v>
      </c>
      <c r="AP877" s="57">
        <f>IFERROR(IF($V877="BRAND.com",HLOOKUP($X877&amp;$Z877,NWC_FC_NOOS!$C$50:$U$69,MATCH(W877,NWC_FC_NOOS!$B$50:$B$69,0),FALSE),0),0)</f>
        <v>0</v>
      </c>
      <c r="AQ877" s="58">
        <f>IFERROR(IF($V877="BRAND.com",HLOOKUP($X877&amp;$Z877,'NWC_FC_NON-NOOS'!$C$4:$Q$23,MATCH(W877,'NWC_FC_NON-NOOS'!$B$4:$B$23,0),FALSE),0),0)</f>
        <v>0</v>
      </c>
      <c r="AR877" s="57">
        <f>IFERROR(IF($V877="BRAND.com",HLOOKUP($X877&amp;$Z877,'NWC_FC_NON-NOOS'!$T$4:$AH$23,MATCH(W877,'NWC_FC_NON-NOOS'!$S$4:$S$23,0),FALSE),0),0)</f>
        <v>0</v>
      </c>
      <c r="AS877" s="57">
        <f>IFERROR(IF($V877="BRAND.com",HLOOKUP($X877&amp;$Z877,'NWC_FC_NON-NOOS'!$C$50:$U$69,MATCH(W877,'NWC_FC_NON-NOOS'!$B$50:$B$69,0),FALSE),0),0)</f>
        <v>0</v>
      </c>
      <c r="AT877" s="57">
        <f t="shared" si="342"/>
        <v>0</v>
      </c>
      <c r="AU877" s="57">
        <f t="shared" si="343"/>
        <v>0</v>
      </c>
      <c r="AV877" s="58">
        <f>IFERROR(IF($V877="BRAND.com",HLOOKUP($X877&amp;$Z877,PLANNING_FC!$BB$27:$BP$46,MATCH($W877,PLANNING_FC!$BA$27:$BA$46,0),FALSE),0),0)</f>
        <v>0</v>
      </c>
      <c r="AW877" s="58">
        <f>IFERROR(IF($V877="BRAND.com",HLOOKUP($X877&amp;$Z877,PLANNING_FC!$BB$4:$BP$23,MATCH($W877,PLANNING_FC!$BA$4:$BA$23,0),FALSE),0),0)</f>
        <v>0</v>
      </c>
      <c r="AX877" s="58">
        <f>IFERROR(IF($V877="BRAND.com",HLOOKUP($X877&amp;$Z877,PLANNING_FC!$T$27:$AH$46,MATCH($W877,PLANNING_FC!$B$27:$B$46,0),FALSE),0),0)</f>
        <v>0</v>
      </c>
      <c r="AY877" s="58">
        <f>IFERROR(IF($V877="BRAND.com",HLOOKUP($X877&amp;$Z877,PLANNING_FC!$T$4:$AH$23,MATCH($W877,PLANNING_FC!$B$4:$B$23,0),FALSE),0),0)</f>
        <v>0</v>
      </c>
      <c r="AZ877" s="58">
        <f>IFERROR(IF($V877="BRAND.com",HLOOKUP($X877&amp;$Z877,PLANNING_FC!$DA$27:$DO$46,MATCH($W877,PLANNING_FC!$CZ$27:$CZ$46,0),FALSE),0),0)</f>
        <v>0</v>
      </c>
      <c r="BA877" s="58">
        <f>IFERROR(IF($V877="BRAND.com",HLOOKUP($X877&amp;$Z877,PLANNING_FC!$DA$4:$DO$23,MATCH($W877,PLANNING_FC!$CZ$4:$CZ$23,0),FALSE),0),0)</f>
        <v>0</v>
      </c>
      <c r="BB877" s="883" t="str">
        <f>IF(V877="BRAND.com",IFERROR(HLOOKUP(X877&amp;Z877,PLANNING_FC!$AK$4:$AY$23,MATCH(W877,PLANNING_FC!$AJ$4:$AJ$23,0),FALSE)*1000,""),"")</f>
        <v/>
      </c>
      <c r="BC877" s="883" t="str">
        <f>IF(V877="BRAND.com",IFERROR(HLOOKUP(X877&amp;Z877,PLANNING_FC!$AK$27:$AY$46,MATCH(W877,PLANNING_FC!$AJ$27:$AJ$46,0),FALSE)*1000,""),"")</f>
        <v/>
      </c>
    </row>
    <row r="878" spans="14:55" x14ac:dyDescent="0.25">
      <c r="N878" s="56">
        <f t="shared" si="324"/>
        <v>0</v>
      </c>
      <c r="O878" s="57">
        <f t="shared" si="325"/>
        <v>0</v>
      </c>
      <c r="P878" s="57">
        <f ca="1">IFERROR(IF(ISBLANK(H878),SUMIFS($AC:$AC,$V:$V,V878,$W:$W,W878,$X:$X,X878,$Y:$Y,Y878)*J878/(1-J878)*VLOOKUP(_xlfn.CONCAT(C878,D878,E878,TIME!$M$12,Z878),HIS_SALES!$B$2:$W$4859,20,FALSE),AC878*J878/(1-J878)),0)</f>
        <v>0</v>
      </c>
      <c r="Q878" s="541" t="str">
        <f t="shared" si="326"/>
        <v/>
      </c>
      <c r="R878" s="346" t="str">
        <f t="shared" si="327"/>
        <v>00000</v>
      </c>
      <c r="S878" s="344">
        <f t="shared" si="328"/>
        <v>0</v>
      </c>
      <c r="T878" s="345" t="str">
        <f t="shared" si="341"/>
        <v>000</v>
      </c>
      <c r="U878" s="345">
        <f t="shared" si="329"/>
        <v>0</v>
      </c>
      <c r="V878" s="345">
        <f t="shared" si="330"/>
        <v>0</v>
      </c>
      <c r="W878" s="345">
        <f t="shared" si="331"/>
        <v>0</v>
      </c>
      <c r="X878" s="345">
        <f t="shared" si="332"/>
        <v>0</v>
      </c>
      <c r="Y878" s="345">
        <f t="shared" si="333"/>
        <v>0</v>
      </c>
      <c r="Z878" s="345">
        <f>IF(Q878&lt;&gt;"",VLOOKUP(Y878,TIME!$R$21:$V$24,MATCH(FC_DATA!Q878,TIME!$R$20:$V$20,0),FALSE),H878)</f>
        <v>0</v>
      </c>
      <c r="AA878" s="345" t="str">
        <f>IFERROR(VLOOKUP(X878&amp;Z878,TIME!$A$12:$D$71,4,FALSE),"")</f>
        <v/>
      </c>
      <c r="AB878" s="592">
        <f t="shared" ca="1" si="334"/>
        <v>0</v>
      </c>
      <c r="AC878" s="593" t="e">
        <f ca="1">IF(ISBLANK(H878)=FALSE,IF(D878="BRAND.com",I878,IF(ISNA(VLOOKUP(_xlfn.CONCAT(X878,Z878),TIME!$M$40:$M$42,1,FALSE)),I878,VLOOKUP(_xlfn.CONCAT(D878,G878,H878),M_BUSAREA_FC!$AF$5:$AJ$10,5,FALSE)*HLOOKUP(_xlfn.CONCAT(F878,H878),ST_OVERVIEW!$G$99:$I$130,MATCH(_xlfn.CONCAT(D878,E878),ST_OVERVIEW!$F$99:$F$130,0),FALSE))),IF(D878="BRAND.com",VLOOKUP(_xlfn.CONCAT(C878,D878,E878,TIME!$F$1,Z878),HIS_SALES!$B$2:$V$4859,19,FALSE)*I878,VLOOKUP(_xlfn.CONCAT(D878,F878,G878),Q_BUSAREA_FC!$AE$5:$AI$12,5,FALSE)*HLOOKUP(_xlfn.CONCAT(FC_DATA!F878,FC_DATA!G878),LT_OVERVIEW!$I$99:$M$130,MATCH(_xlfn.CONCAT(D878,FC_DATA!E878),LT_OVERVIEW!$H$99:$H$130,0),FALSE)*IFERROR(VLOOKUP(_xlfn.CONCAT(C878,D878,E878,TIME!$F$1,Z878),HIS_SALES!$B$2:$V$4859,19,FALSE),0)))</f>
        <v>#N/A</v>
      </c>
      <c r="AD878" s="341">
        <f t="shared" ca="1" si="335"/>
        <v>0</v>
      </c>
      <c r="AE878" s="363" t="str">
        <f t="shared" si="336"/>
        <v/>
      </c>
      <c r="AF878" s="342" t="str">
        <f t="shared" si="337"/>
        <v/>
      </c>
      <c r="AG878" s="411" t="e">
        <f ca="1">VLOOKUP(_xlfn.CONCAT(U878,V878,W878,VLOOKUP(X878&amp;Y878,TIME!$L$27:$O$34,4,FALSE),Y878),HIS_SALES!$A$2:$R$5093,18,FALSE)</f>
        <v>#N/A</v>
      </c>
      <c r="AH878" s="412" t="e">
        <f ca="1">IFERROR(IF(AND(V878=V877,W878=W877),0.5*(AB878+AB877)*AG878,(VLOOKUP(_xlfn.CONCAT(U878,V878,W878,X878,VLOOKUP(Z878,TIME!$S$28:$T$39,2,FALSE)),FC_DATA!$R$2:$AB$5000,MATCH("GS_I_M",FC_DATA!$R$1:$AB$1,0),FALSE)+FC_DATA!AB878)*0.5*FC_DATA!AG878),NA())</f>
        <v>#N/A</v>
      </c>
      <c r="AI878" s="491" t="e">
        <f ca="1">IF(V878="PARTNER.com",AH878,IF(AND(V878=V877,W878=W877),(1-AVERAGE(AD877,AD878))*AH878,(1-AVERAGE(AD878,VLOOKUP(_xlfn.CONCAT(U878,V878,W878,X878,M_BRAND_FC!$F$6),FC_DATA!$R$2:$AD$5000,MATCH("DISCOUNT_%_M",FC_DATA!$R$1:$AD$1,0),FALSE)))*AH878))</f>
        <v>#N/A</v>
      </c>
      <c r="AJ878" s="412" t="str">
        <f t="shared" ca="1" si="338"/>
        <v/>
      </c>
      <c r="AK878" s="413" t="str">
        <f>IFERROR(AE878/(Q_BRAND_FC!$T$24+1),"")</f>
        <v/>
      </c>
      <c r="AL878" s="88" t="str">
        <f t="shared" ca="1" si="339"/>
        <v/>
      </c>
      <c r="AM878" s="414" t="str">
        <f t="shared" ca="1" si="340"/>
        <v/>
      </c>
      <c r="AN878" s="58">
        <f>IFERROR(IF($V878="BRAND.com",HLOOKUP($X878&amp;$Z878,NWC_FC_NOOS!$C$4:$Q$23,MATCH(W878,NWC_FC_NOOS!$B$4:$B$23,0),FALSE),0),0)</f>
        <v>0</v>
      </c>
      <c r="AO878" s="57">
        <f>IFERROR(IF($V878="BRAND.com",HLOOKUP($X878&amp;$Z878,NWC_FC_NOOS!$T$4:$AH$23,MATCH(W878,NWC_FC_NOOS!$S$4:$S$23,0),FALSE),0),0)</f>
        <v>0</v>
      </c>
      <c r="AP878" s="57">
        <f>IFERROR(IF($V878="BRAND.com",HLOOKUP($X878&amp;$Z878,NWC_FC_NOOS!$C$50:$U$69,MATCH(W878,NWC_FC_NOOS!$B$50:$B$69,0),FALSE),0),0)</f>
        <v>0</v>
      </c>
      <c r="AQ878" s="58">
        <f>IFERROR(IF($V878="BRAND.com",HLOOKUP($X878&amp;$Z878,'NWC_FC_NON-NOOS'!$C$4:$Q$23,MATCH(W878,'NWC_FC_NON-NOOS'!$B$4:$B$23,0),FALSE),0),0)</f>
        <v>0</v>
      </c>
      <c r="AR878" s="57">
        <f>IFERROR(IF($V878="BRAND.com",HLOOKUP($X878&amp;$Z878,'NWC_FC_NON-NOOS'!$T$4:$AH$23,MATCH(W878,'NWC_FC_NON-NOOS'!$S$4:$S$23,0),FALSE),0),0)</f>
        <v>0</v>
      </c>
      <c r="AS878" s="57">
        <f>IFERROR(IF($V878="BRAND.com",HLOOKUP($X878&amp;$Z878,'NWC_FC_NON-NOOS'!$C$50:$U$69,MATCH(W878,'NWC_FC_NON-NOOS'!$B$50:$B$69,0),FALSE),0),0)</f>
        <v>0</v>
      </c>
      <c r="AT878" s="57">
        <f t="shared" si="342"/>
        <v>0</v>
      </c>
      <c r="AU878" s="57">
        <f t="shared" si="343"/>
        <v>0</v>
      </c>
      <c r="AV878" s="58">
        <f>IFERROR(IF($V878="BRAND.com",HLOOKUP($X878&amp;$Z878,PLANNING_FC!$BB$27:$BP$46,MATCH($W878,PLANNING_FC!$BA$27:$BA$46,0),FALSE),0),0)</f>
        <v>0</v>
      </c>
      <c r="AW878" s="58">
        <f>IFERROR(IF($V878="BRAND.com",HLOOKUP($X878&amp;$Z878,PLANNING_FC!$BB$4:$BP$23,MATCH($W878,PLANNING_FC!$BA$4:$BA$23,0),FALSE),0),0)</f>
        <v>0</v>
      </c>
      <c r="AX878" s="58">
        <f>IFERROR(IF($V878="BRAND.com",HLOOKUP($X878&amp;$Z878,PLANNING_FC!$T$27:$AH$46,MATCH($W878,PLANNING_FC!$B$27:$B$46,0),FALSE),0),0)</f>
        <v>0</v>
      </c>
      <c r="AY878" s="58">
        <f>IFERROR(IF($V878="BRAND.com",HLOOKUP($X878&amp;$Z878,PLANNING_FC!$T$4:$AH$23,MATCH($W878,PLANNING_FC!$B$4:$B$23,0),FALSE),0),0)</f>
        <v>0</v>
      </c>
      <c r="AZ878" s="58">
        <f>IFERROR(IF($V878="BRAND.com",HLOOKUP($X878&amp;$Z878,PLANNING_FC!$DA$27:$DO$46,MATCH($W878,PLANNING_FC!$CZ$27:$CZ$46,0),FALSE),0),0)</f>
        <v>0</v>
      </c>
      <c r="BA878" s="58">
        <f>IFERROR(IF($V878="BRAND.com",HLOOKUP($X878&amp;$Z878,PLANNING_FC!$DA$4:$DO$23,MATCH($W878,PLANNING_FC!$CZ$4:$CZ$23,0),FALSE),0),0)</f>
        <v>0</v>
      </c>
      <c r="BB878" s="883" t="str">
        <f>IF(V878="BRAND.com",IFERROR(HLOOKUP(X878&amp;Z878,PLANNING_FC!$AK$4:$AY$23,MATCH(W878,PLANNING_FC!$AJ$4:$AJ$23,0),FALSE)*1000,""),"")</f>
        <v/>
      </c>
      <c r="BC878" s="883" t="str">
        <f>IF(V878="BRAND.com",IFERROR(HLOOKUP(X878&amp;Z878,PLANNING_FC!$AK$27:$AY$46,MATCH(W878,PLANNING_FC!$AJ$27:$AJ$46,0),FALSE)*1000,""),"")</f>
        <v/>
      </c>
    </row>
    <row r="879" spans="14:55" x14ac:dyDescent="0.25">
      <c r="N879" s="56">
        <f t="shared" si="324"/>
        <v>0</v>
      </c>
      <c r="O879" s="57">
        <f t="shared" si="325"/>
        <v>0</v>
      </c>
      <c r="P879" s="57">
        <f ca="1">IFERROR(IF(ISBLANK(H879),SUMIFS($AC:$AC,$V:$V,V879,$W:$W,W879,$X:$X,X879,$Y:$Y,Y879)*J879/(1-J879)*VLOOKUP(_xlfn.CONCAT(C879,D879,E879,TIME!$M$12,Z879),HIS_SALES!$B$2:$W$4859,20,FALSE),AC879*J879/(1-J879)),0)</f>
        <v>0</v>
      </c>
      <c r="Q879" s="541" t="str">
        <f t="shared" si="326"/>
        <v/>
      </c>
      <c r="R879" s="346" t="str">
        <f t="shared" si="327"/>
        <v>00000</v>
      </c>
      <c r="S879" s="344">
        <f t="shared" si="328"/>
        <v>0</v>
      </c>
      <c r="T879" s="345" t="str">
        <f t="shared" si="341"/>
        <v>000</v>
      </c>
      <c r="U879" s="345">
        <f t="shared" si="329"/>
        <v>0</v>
      </c>
      <c r="V879" s="345">
        <f t="shared" si="330"/>
        <v>0</v>
      </c>
      <c r="W879" s="345">
        <f t="shared" si="331"/>
        <v>0</v>
      </c>
      <c r="X879" s="345">
        <f t="shared" si="332"/>
        <v>0</v>
      </c>
      <c r="Y879" s="345">
        <f t="shared" si="333"/>
        <v>0</v>
      </c>
      <c r="Z879" s="345">
        <f>IF(Q879&lt;&gt;"",VLOOKUP(Y879,TIME!$R$21:$V$24,MATCH(FC_DATA!Q879,TIME!$R$20:$V$20,0),FALSE),H879)</f>
        <v>0</v>
      </c>
      <c r="AA879" s="345" t="str">
        <f>IFERROR(VLOOKUP(X879&amp;Z879,TIME!$A$12:$D$71,4,FALSE),"")</f>
        <v/>
      </c>
      <c r="AB879" s="592">
        <f t="shared" ca="1" si="334"/>
        <v>0</v>
      </c>
      <c r="AC879" s="593" t="e">
        <f ca="1">IF(ISBLANK(H879)=FALSE,IF(D879="BRAND.com",I879,IF(ISNA(VLOOKUP(_xlfn.CONCAT(X879,Z879),TIME!$M$40:$M$42,1,FALSE)),I879,VLOOKUP(_xlfn.CONCAT(D879,G879,H879),M_BUSAREA_FC!$AF$5:$AJ$10,5,FALSE)*HLOOKUP(_xlfn.CONCAT(F879,H879),ST_OVERVIEW!$G$99:$I$130,MATCH(_xlfn.CONCAT(D879,E879),ST_OVERVIEW!$F$99:$F$130,0),FALSE))),IF(D879="BRAND.com",VLOOKUP(_xlfn.CONCAT(C879,D879,E879,TIME!$F$1,Z879),HIS_SALES!$B$2:$V$4859,19,FALSE)*I879,VLOOKUP(_xlfn.CONCAT(D879,F879,G879),Q_BUSAREA_FC!$AE$5:$AI$12,5,FALSE)*HLOOKUP(_xlfn.CONCAT(FC_DATA!F879,FC_DATA!G879),LT_OVERVIEW!$I$99:$M$130,MATCH(_xlfn.CONCAT(D879,FC_DATA!E879),LT_OVERVIEW!$H$99:$H$130,0),FALSE)*IFERROR(VLOOKUP(_xlfn.CONCAT(C879,D879,E879,TIME!$F$1,Z879),HIS_SALES!$B$2:$V$4859,19,FALSE),0)))</f>
        <v>#N/A</v>
      </c>
      <c r="AD879" s="341">
        <f t="shared" ca="1" si="335"/>
        <v>0</v>
      </c>
      <c r="AE879" s="363" t="str">
        <f t="shared" si="336"/>
        <v/>
      </c>
      <c r="AF879" s="342" t="str">
        <f t="shared" si="337"/>
        <v/>
      </c>
      <c r="AG879" s="411" t="e">
        <f ca="1">VLOOKUP(_xlfn.CONCAT(U879,V879,W879,VLOOKUP(X879&amp;Y879,TIME!$L$27:$O$34,4,FALSE),Y879),HIS_SALES!$A$2:$R$5093,18,FALSE)</f>
        <v>#N/A</v>
      </c>
      <c r="AH879" s="412" t="e">
        <f ca="1">IFERROR(IF(AND(V879=V878,W879=W878),0.5*(AB879+AB878)*AG879,(VLOOKUP(_xlfn.CONCAT(U879,V879,W879,X879,VLOOKUP(Z879,TIME!$S$28:$T$39,2,FALSE)),FC_DATA!$R$2:$AB$5000,MATCH("GS_I_M",FC_DATA!$R$1:$AB$1,0),FALSE)+FC_DATA!AB879)*0.5*FC_DATA!AG879),NA())</f>
        <v>#N/A</v>
      </c>
      <c r="AI879" s="491" t="e">
        <f ca="1">IF(V879="PARTNER.com",AH879,IF(AND(V879=V878,W879=W878),(1-AVERAGE(AD878,AD879))*AH879,(1-AVERAGE(AD879,VLOOKUP(_xlfn.CONCAT(U879,V879,W879,X879,M_BRAND_FC!$F$6),FC_DATA!$R$2:$AD$5000,MATCH("DISCOUNT_%_M",FC_DATA!$R$1:$AD$1,0),FALSE)))*AH879))</f>
        <v>#N/A</v>
      </c>
      <c r="AJ879" s="412" t="str">
        <f t="shared" ca="1" si="338"/>
        <v/>
      </c>
      <c r="AK879" s="413" t="str">
        <f>IFERROR(AE879/(Q_BRAND_FC!$T$24+1),"")</f>
        <v/>
      </c>
      <c r="AL879" s="88" t="str">
        <f t="shared" ca="1" si="339"/>
        <v/>
      </c>
      <c r="AM879" s="414" t="str">
        <f t="shared" ca="1" si="340"/>
        <v/>
      </c>
      <c r="AN879" s="58">
        <f>IFERROR(IF($V879="BRAND.com",HLOOKUP($X879&amp;$Z879,NWC_FC_NOOS!$C$4:$Q$23,MATCH(W879,NWC_FC_NOOS!$B$4:$B$23,0),FALSE),0),0)</f>
        <v>0</v>
      </c>
      <c r="AO879" s="57">
        <f>IFERROR(IF($V879="BRAND.com",HLOOKUP($X879&amp;$Z879,NWC_FC_NOOS!$T$4:$AH$23,MATCH(W879,NWC_FC_NOOS!$S$4:$S$23,0),FALSE),0),0)</f>
        <v>0</v>
      </c>
      <c r="AP879" s="57">
        <f>IFERROR(IF($V879="BRAND.com",HLOOKUP($X879&amp;$Z879,NWC_FC_NOOS!$C$50:$U$69,MATCH(W879,NWC_FC_NOOS!$B$50:$B$69,0),FALSE),0),0)</f>
        <v>0</v>
      </c>
      <c r="AQ879" s="58">
        <f>IFERROR(IF($V879="BRAND.com",HLOOKUP($X879&amp;$Z879,'NWC_FC_NON-NOOS'!$C$4:$Q$23,MATCH(W879,'NWC_FC_NON-NOOS'!$B$4:$B$23,0),FALSE),0),0)</f>
        <v>0</v>
      </c>
      <c r="AR879" s="57">
        <f>IFERROR(IF($V879="BRAND.com",HLOOKUP($X879&amp;$Z879,'NWC_FC_NON-NOOS'!$T$4:$AH$23,MATCH(W879,'NWC_FC_NON-NOOS'!$S$4:$S$23,0),FALSE),0),0)</f>
        <v>0</v>
      </c>
      <c r="AS879" s="57">
        <f>IFERROR(IF($V879="BRAND.com",HLOOKUP($X879&amp;$Z879,'NWC_FC_NON-NOOS'!$C$50:$U$69,MATCH(W879,'NWC_FC_NON-NOOS'!$B$50:$B$69,0),FALSE),0),0)</f>
        <v>0</v>
      </c>
      <c r="AT879" s="57">
        <f t="shared" si="342"/>
        <v>0</v>
      </c>
      <c r="AU879" s="57">
        <f t="shared" si="343"/>
        <v>0</v>
      </c>
      <c r="AV879" s="58">
        <f>IFERROR(IF($V879="BRAND.com",HLOOKUP($X879&amp;$Z879,PLANNING_FC!$BB$27:$BP$46,MATCH($W879,PLANNING_FC!$BA$27:$BA$46,0),FALSE),0),0)</f>
        <v>0</v>
      </c>
      <c r="AW879" s="58">
        <f>IFERROR(IF($V879="BRAND.com",HLOOKUP($X879&amp;$Z879,PLANNING_FC!$BB$4:$BP$23,MATCH($W879,PLANNING_FC!$BA$4:$BA$23,0),FALSE),0),0)</f>
        <v>0</v>
      </c>
      <c r="AX879" s="58">
        <f>IFERROR(IF($V879="BRAND.com",HLOOKUP($X879&amp;$Z879,PLANNING_FC!$T$27:$AH$46,MATCH($W879,PLANNING_FC!$B$27:$B$46,0),FALSE),0),0)</f>
        <v>0</v>
      </c>
      <c r="AY879" s="58">
        <f>IFERROR(IF($V879="BRAND.com",HLOOKUP($X879&amp;$Z879,PLANNING_FC!$T$4:$AH$23,MATCH($W879,PLANNING_FC!$B$4:$B$23,0),FALSE),0),0)</f>
        <v>0</v>
      </c>
      <c r="AZ879" s="58">
        <f>IFERROR(IF($V879="BRAND.com",HLOOKUP($X879&amp;$Z879,PLANNING_FC!$DA$27:$DO$46,MATCH($W879,PLANNING_FC!$CZ$27:$CZ$46,0),FALSE),0),0)</f>
        <v>0</v>
      </c>
      <c r="BA879" s="58">
        <f>IFERROR(IF($V879="BRAND.com",HLOOKUP($X879&amp;$Z879,PLANNING_FC!$DA$4:$DO$23,MATCH($W879,PLANNING_FC!$CZ$4:$CZ$23,0),FALSE),0),0)</f>
        <v>0</v>
      </c>
      <c r="BB879" s="883" t="str">
        <f>IF(V879="BRAND.com",IFERROR(HLOOKUP(X879&amp;Z879,PLANNING_FC!$AK$4:$AY$23,MATCH(W879,PLANNING_FC!$AJ$4:$AJ$23,0),FALSE)*1000,""),"")</f>
        <v/>
      </c>
      <c r="BC879" s="883" t="str">
        <f>IF(V879="BRAND.com",IFERROR(HLOOKUP(X879&amp;Z879,PLANNING_FC!$AK$27:$AY$46,MATCH(W879,PLANNING_FC!$AJ$27:$AJ$46,0),FALSE)*1000,""),"")</f>
        <v/>
      </c>
    </row>
    <row r="880" spans="14:55" x14ac:dyDescent="0.25">
      <c r="N880" s="56">
        <f t="shared" si="324"/>
        <v>0</v>
      </c>
      <c r="O880" s="57">
        <f t="shared" si="325"/>
        <v>0</v>
      </c>
      <c r="P880" s="57">
        <f ca="1">IFERROR(IF(ISBLANK(H880),SUMIFS($AC:$AC,$V:$V,V880,$W:$W,W880,$X:$X,X880,$Y:$Y,Y880)*J880/(1-J880)*VLOOKUP(_xlfn.CONCAT(C880,D880,E880,TIME!$M$12,Z880),HIS_SALES!$B$2:$W$4859,20,FALSE),AC880*J880/(1-J880)),0)</f>
        <v>0</v>
      </c>
      <c r="Q880" s="541" t="str">
        <f t="shared" si="326"/>
        <v/>
      </c>
      <c r="R880" s="346" t="str">
        <f t="shared" si="327"/>
        <v>00000</v>
      </c>
      <c r="S880" s="344">
        <f t="shared" si="328"/>
        <v>0</v>
      </c>
      <c r="T880" s="345" t="str">
        <f t="shared" si="341"/>
        <v>000</v>
      </c>
      <c r="U880" s="345">
        <f t="shared" si="329"/>
        <v>0</v>
      </c>
      <c r="V880" s="345">
        <f t="shared" si="330"/>
        <v>0</v>
      </c>
      <c r="W880" s="345">
        <f t="shared" si="331"/>
        <v>0</v>
      </c>
      <c r="X880" s="345">
        <f t="shared" si="332"/>
        <v>0</v>
      </c>
      <c r="Y880" s="345">
        <f t="shared" si="333"/>
        <v>0</v>
      </c>
      <c r="Z880" s="345">
        <f>IF(Q880&lt;&gt;"",VLOOKUP(Y880,TIME!$R$21:$V$24,MATCH(FC_DATA!Q880,TIME!$R$20:$V$20,0),FALSE),H880)</f>
        <v>0</v>
      </c>
      <c r="AA880" s="345" t="str">
        <f>IFERROR(VLOOKUP(X880&amp;Z880,TIME!$A$12:$D$71,4,FALSE),"")</f>
        <v/>
      </c>
      <c r="AB880" s="592">
        <f t="shared" ca="1" si="334"/>
        <v>0</v>
      </c>
      <c r="AC880" s="593" t="e">
        <f ca="1">IF(ISBLANK(H880)=FALSE,IF(D880="BRAND.com",I880,IF(ISNA(VLOOKUP(_xlfn.CONCAT(X880,Z880),TIME!$M$40:$M$42,1,FALSE)),I880,VLOOKUP(_xlfn.CONCAT(D880,G880,H880),M_BUSAREA_FC!$AF$5:$AJ$10,5,FALSE)*HLOOKUP(_xlfn.CONCAT(F880,H880),ST_OVERVIEW!$G$99:$I$130,MATCH(_xlfn.CONCAT(D880,E880),ST_OVERVIEW!$F$99:$F$130,0),FALSE))),IF(D880="BRAND.com",VLOOKUP(_xlfn.CONCAT(C880,D880,E880,TIME!$F$1,Z880),HIS_SALES!$B$2:$V$4859,19,FALSE)*I880,VLOOKUP(_xlfn.CONCAT(D880,F880,G880),Q_BUSAREA_FC!$AE$5:$AI$12,5,FALSE)*HLOOKUP(_xlfn.CONCAT(FC_DATA!F880,FC_DATA!G880),LT_OVERVIEW!$I$99:$M$130,MATCH(_xlfn.CONCAT(D880,FC_DATA!E880),LT_OVERVIEW!$H$99:$H$130,0),FALSE)*IFERROR(VLOOKUP(_xlfn.CONCAT(C880,D880,E880,TIME!$F$1,Z880),HIS_SALES!$B$2:$V$4859,19,FALSE),0)))</f>
        <v>#N/A</v>
      </c>
      <c r="AD880" s="341">
        <f t="shared" ca="1" si="335"/>
        <v>0</v>
      </c>
      <c r="AE880" s="363" t="str">
        <f t="shared" si="336"/>
        <v/>
      </c>
      <c r="AF880" s="342" t="str">
        <f t="shared" si="337"/>
        <v/>
      </c>
      <c r="AG880" s="411" t="e">
        <f ca="1">VLOOKUP(_xlfn.CONCAT(U880,V880,W880,VLOOKUP(X880&amp;Y880,TIME!$L$27:$O$34,4,FALSE),Y880),HIS_SALES!$A$2:$R$5093,18,FALSE)</f>
        <v>#N/A</v>
      </c>
      <c r="AH880" s="412" t="e">
        <f ca="1">IFERROR(IF(AND(V880=V879,W880=W879),0.5*(AB880+AB879)*AG880,(VLOOKUP(_xlfn.CONCAT(U880,V880,W880,X880,VLOOKUP(Z880,TIME!$S$28:$T$39,2,FALSE)),FC_DATA!$R$2:$AB$5000,MATCH("GS_I_M",FC_DATA!$R$1:$AB$1,0),FALSE)+FC_DATA!AB880)*0.5*FC_DATA!AG880),NA())</f>
        <v>#N/A</v>
      </c>
      <c r="AI880" s="491" t="e">
        <f ca="1">IF(V880="PARTNER.com",AH880,IF(AND(V880=V879,W880=W879),(1-AVERAGE(AD879,AD880))*AH880,(1-AVERAGE(AD880,VLOOKUP(_xlfn.CONCAT(U880,V880,W880,X880,M_BRAND_FC!$F$6),FC_DATA!$R$2:$AD$5000,MATCH("DISCOUNT_%_M",FC_DATA!$R$1:$AD$1,0),FALSE)))*AH880))</f>
        <v>#N/A</v>
      </c>
      <c r="AJ880" s="412" t="str">
        <f t="shared" ca="1" si="338"/>
        <v/>
      </c>
      <c r="AK880" s="413" t="str">
        <f>IFERROR(AE880/(Q_BRAND_FC!$T$24+1),"")</f>
        <v/>
      </c>
      <c r="AL880" s="88" t="str">
        <f t="shared" ca="1" si="339"/>
        <v/>
      </c>
      <c r="AM880" s="414" t="str">
        <f t="shared" ca="1" si="340"/>
        <v/>
      </c>
      <c r="AN880" s="58">
        <f>IFERROR(IF($V880="BRAND.com",HLOOKUP($X880&amp;$Z880,NWC_FC_NOOS!$C$4:$Q$23,MATCH(W880,NWC_FC_NOOS!$B$4:$B$23,0),FALSE),0),0)</f>
        <v>0</v>
      </c>
      <c r="AO880" s="57">
        <f>IFERROR(IF($V880="BRAND.com",HLOOKUP($X880&amp;$Z880,NWC_FC_NOOS!$T$4:$AH$23,MATCH(W880,NWC_FC_NOOS!$S$4:$S$23,0),FALSE),0),0)</f>
        <v>0</v>
      </c>
      <c r="AP880" s="57">
        <f>IFERROR(IF($V880="BRAND.com",HLOOKUP($X880&amp;$Z880,NWC_FC_NOOS!$C$50:$U$69,MATCH(W880,NWC_FC_NOOS!$B$50:$B$69,0),FALSE),0),0)</f>
        <v>0</v>
      </c>
      <c r="AQ880" s="58">
        <f>IFERROR(IF($V880="BRAND.com",HLOOKUP($X880&amp;$Z880,'NWC_FC_NON-NOOS'!$C$4:$Q$23,MATCH(W880,'NWC_FC_NON-NOOS'!$B$4:$B$23,0),FALSE),0),0)</f>
        <v>0</v>
      </c>
      <c r="AR880" s="57">
        <f>IFERROR(IF($V880="BRAND.com",HLOOKUP($X880&amp;$Z880,'NWC_FC_NON-NOOS'!$T$4:$AH$23,MATCH(W880,'NWC_FC_NON-NOOS'!$S$4:$S$23,0),FALSE),0),0)</f>
        <v>0</v>
      </c>
      <c r="AS880" s="57">
        <f>IFERROR(IF($V880="BRAND.com",HLOOKUP($X880&amp;$Z880,'NWC_FC_NON-NOOS'!$C$50:$U$69,MATCH(W880,'NWC_FC_NON-NOOS'!$B$50:$B$69,0),FALSE),0),0)</f>
        <v>0</v>
      </c>
      <c r="AT880" s="57">
        <f t="shared" si="342"/>
        <v>0</v>
      </c>
      <c r="AU880" s="57">
        <f t="shared" si="343"/>
        <v>0</v>
      </c>
      <c r="AV880" s="58">
        <f>IFERROR(IF($V880="BRAND.com",HLOOKUP($X880&amp;$Z880,PLANNING_FC!$BB$27:$BP$46,MATCH($W880,PLANNING_FC!$BA$27:$BA$46,0),FALSE),0),0)</f>
        <v>0</v>
      </c>
      <c r="AW880" s="58">
        <f>IFERROR(IF($V880="BRAND.com",HLOOKUP($X880&amp;$Z880,PLANNING_FC!$BB$4:$BP$23,MATCH($W880,PLANNING_FC!$BA$4:$BA$23,0),FALSE),0),0)</f>
        <v>0</v>
      </c>
      <c r="AX880" s="58">
        <f>IFERROR(IF($V880="BRAND.com",HLOOKUP($X880&amp;$Z880,PLANNING_FC!$T$27:$AH$46,MATCH($W880,PLANNING_FC!$B$27:$B$46,0),FALSE),0),0)</f>
        <v>0</v>
      </c>
      <c r="AY880" s="58">
        <f>IFERROR(IF($V880="BRAND.com",HLOOKUP($X880&amp;$Z880,PLANNING_FC!$T$4:$AH$23,MATCH($W880,PLANNING_FC!$B$4:$B$23,0),FALSE),0),0)</f>
        <v>0</v>
      </c>
      <c r="AZ880" s="58">
        <f>IFERROR(IF($V880="BRAND.com",HLOOKUP($X880&amp;$Z880,PLANNING_FC!$DA$27:$DO$46,MATCH($W880,PLANNING_FC!$CZ$27:$CZ$46,0),FALSE),0),0)</f>
        <v>0</v>
      </c>
      <c r="BA880" s="58">
        <f>IFERROR(IF($V880="BRAND.com",HLOOKUP($X880&amp;$Z880,PLANNING_FC!$DA$4:$DO$23,MATCH($W880,PLANNING_FC!$CZ$4:$CZ$23,0),FALSE),0),0)</f>
        <v>0</v>
      </c>
      <c r="BB880" s="883" t="str">
        <f>IF(V880="BRAND.com",IFERROR(HLOOKUP(X880&amp;Z880,PLANNING_FC!$AK$4:$AY$23,MATCH(W880,PLANNING_FC!$AJ$4:$AJ$23,0),FALSE)*1000,""),"")</f>
        <v/>
      </c>
      <c r="BC880" s="883" t="str">
        <f>IF(V880="BRAND.com",IFERROR(HLOOKUP(X880&amp;Z880,PLANNING_FC!$AK$27:$AY$46,MATCH(W880,PLANNING_FC!$AJ$27:$AJ$46,0),FALSE)*1000,""),"")</f>
        <v/>
      </c>
    </row>
    <row r="881" spans="14:55" x14ac:dyDescent="0.25">
      <c r="N881" s="56">
        <f t="shared" si="324"/>
        <v>0</v>
      </c>
      <c r="O881" s="57">
        <f t="shared" si="325"/>
        <v>0</v>
      </c>
      <c r="P881" s="57">
        <f ca="1">IFERROR(IF(ISBLANK(H881),SUMIFS($AC:$AC,$V:$V,V881,$W:$W,W881,$X:$X,X881,$Y:$Y,Y881)*J881/(1-J881)*VLOOKUP(_xlfn.CONCAT(C881,D881,E881,TIME!$M$12,Z881),HIS_SALES!$B$2:$W$4859,20,FALSE),AC881*J881/(1-J881)),0)</f>
        <v>0</v>
      </c>
      <c r="Q881" s="541" t="str">
        <f t="shared" si="326"/>
        <v/>
      </c>
      <c r="R881" s="346" t="str">
        <f t="shared" si="327"/>
        <v>00000</v>
      </c>
      <c r="S881" s="344">
        <f t="shared" si="328"/>
        <v>0</v>
      </c>
      <c r="T881" s="345" t="str">
        <f t="shared" si="341"/>
        <v>000</v>
      </c>
      <c r="U881" s="345">
        <f t="shared" si="329"/>
        <v>0</v>
      </c>
      <c r="V881" s="345">
        <f t="shared" si="330"/>
        <v>0</v>
      </c>
      <c r="W881" s="345">
        <f t="shared" si="331"/>
        <v>0</v>
      </c>
      <c r="X881" s="345">
        <f t="shared" si="332"/>
        <v>0</v>
      </c>
      <c r="Y881" s="345">
        <f t="shared" si="333"/>
        <v>0</v>
      </c>
      <c r="Z881" s="345">
        <f>IF(Q881&lt;&gt;"",VLOOKUP(Y881,TIME!$R$21:$V$24,MATCH(FC_DATA!Q881,TIME!$R$20:$V$20,0),FALSE),H881)</f>
        <v>0</v>
      </c>
      <c r="AA881" s="345" t="str">
        <f>IFERROR(VLOOKUP(X881&amp;Z881,TIME!$A$12:$D$71,4,FALSE),"")</f>
        <v/>
      </c>
      <c r="AB881" s="592">
        <f t="shared" ca="1" si="334"/>
        <v>0</v>
      </c>
      <c r="AC881" s="593" t="e">
        <f ca="1">IF(ISBLANK(H881)=FALSE,IF(D881="BRAND.com",I881,IF(ISNA(VLOOKUP(_xlfn.CONCAT(X881,Z881),TIME!$M$40:$M$42,1,FALSE)),I881,VLOOKUP(_xlfn.CONCAT(D881,G881,H881),M_BUSAREA_FC!$AF$5:$AJ$10,5,FALSE)*HLOOKUP(_xlfn.CONCAT(F881,H881),ST_OVERVIEW!$G$99:$I$130,MATCH(_xlfn.CONCAT(D881,E881),ST_OVERVIEW!$F$99:$F$130,0),FALSE))),IF(D881="BRAND.com",VLOOKUP(_xlfn.CONCAT(C881,D881,E881,TIME!$F$1,Z881),HIS_SALES!$B$2:$V$4859,19,FALSE)*I881,VLOOKUP(_xlfn.CONCAT(D881,F881,G881),Q_BUSAREA_FC!$AE$5:$AI$12,5,FALSE)*HLOOKUP(_xlfn.CONCAT(FC_DATA!F881,FC_DATA!G881),LT_OVERVIEW!$I$99:$M$130,MATCH(_xlfn.CONCAT(D881,FC_DATA!E881),LT_OVERVIEW!$H$99:$H$130,0),FALSE)*IFERROR(VLOOKUP(_xlfn.CONCAT(C881,D881,E881,TIME!$F$1,Z881),HIS_SALES!$B$2:$V$4859,19,FALSE),0)))</f>
        <v>#N/A</v>
      </c>
      <c r="AD881" s="341">
        <f t="shared" ca="1" si="335"/>
        <v>0</v>
      </c>
      <c r="AE881" s="363" t="str">
        <f t="shared" si="336"/>
        <v/>
      </c>
      <c r="AF881" s="342" t="str">
        <f t="shared" si="337"/>
        <v/>
      </c>
      <c r="AG881" s="411" t="e">
        <f ca="1">VLOOKUP(_xlfn.CONCAT(U881,V881,W881,VLOOKUP(X881&amp;Y881,TIME!$L$27:$O$34,4,FALSE),Y881),HIS_SALES!$A$2:$R$5093,18,FALSE)</f>
        <v>#N/A</v>
      </c>
      <c r="AH881" s="412" t="e">
        <f ca="1">IFERROR(IF(AND(V881=V880,W881=W880),0.5*(AB881+AB880)*AG881,(VLOOKUP(_xlfn.CONCAT(U881,V881,W881,X881,VLOOKUP(Z881,TIME!$S$28:$T$39,2,FALSE)),FC_DATA!$R$2:$AB$5000,MATCH("GS_I_M",FC_DATA!$R$1:$AB$1,0),FALSE)+FC_DATA!AB881)*0.5*FC_DATA!AG881),NA())</f>
        <v>#N/A</v>
      </c>
      <c r="AI881" s="491" t="e">
        <f ca="1">IF(V881="PARTNER.com",AH881,IF(AND(V881=V880,W881=W880),(1-AVERAGE(AD880,AD881))*AH881,(1-AVERAGE(AD881,VLOOKUP(_xlfn.CONCAT(U881,V881,W881,X881,M_BRAND_FC!$F$6),FC_DATA!$R$2:$AD$5000,MATCH("DISCOUNT_%_M",FC_DATA!$R$1:$AD$1,0),FALSE)))*AH881))</f>
        <v>#N/A</v>
      </c>
      <c r="AJ881" s="412" t="str">
        <f t="shared" ca="1" si="338"/>
        <v/>
      </c>
      <c r="AK881" s="413" t="str">
        <f>IFERROR(AE881/(Q_BRAND_FC!$T$24+1),"")</f>
        <v/>
      </c>
      <c r="AL881" s="88" t="str">
        <f t="shared" ca="1" si="339"/>
        <v/>
      </c>
      <c r="AM881" s="414" t="str">
        <f t="shared" ca="1" si="340"/>
        <v/>
      </c>
      <c r="AN881" s="58">
        <f>IFERROR(IF($V881="BRAND.com",HLOOKUP($X881&amp;$Z881,NWC_FC_NOOS!$C$4:$Q$23,MATCH(W881,NWC_FC_NOOS!$B$4:$B$23,0),FALSE),0),0)</f>
        <v>0</v>
      </c>
      <c r="AO881" s="57">
        <f>IFERROR(IF($V881="BRAND.com",HLOOKUP($X881&amp;$Z881,NWC_FC_NOOS!$T$4:$AH$23,MATCH(W881,NWC_FC_NOOS!$S$4:$S$23,0),FALSE),0),0)</f>
        <v>0</v>
      </c>
      <c r="AP881" s="57">
        <f>IFERROR(IF($V881="BRAND.com",HLOOKUP($X881&amp;$Z881,NWC_FC_NOOS!$C$50:$U$69,MATCH(W881,NWC_FC_NOOS!$B$50:$B$69,0),FALSE),0),0)</f>
        <v>0</v>
      </c>
      <c r="AQ881" s="58">
        <f>IFERROR(IF($V881="BRAND.com",HLOOKUP($X881&amp;$Z881,'NWC_FC_NON-NOOS'!$C$4:$Q$23,MATCH(W881,'NWC_FC_NON-NOOS'!$B$4:$B$23,0),FALSE),0),0)</f>
        <v>0</v>
      </c>
      <c r="AR881" s="57">
        <f>IFERROR(IF($V881="BRAND.com",HLOOKUP($X881&amp;$Z881,'NWC_FC_NON-NOOS'!$T$4:$AH$23,MATCH(W881,'NWC_FC_NON-NOOS'!$S$4:$S$23,0),FALSE),0),0)</f>
        <v>0</v>
      </c>
      <c r="AS881" s="57">
        <f>IFERROR(IF($V881="BRAND.com",HLOOKUP($X881&amp;$Z881,'NWC_FC_NON-NOOS'!$C$50:$U$69,MATCH(W881,'NWC_FC_NON-NOOS'!$B$50:$B$69,0),FALSE),0),0)</f>
        <v>0</v>
      </c>
      <c r="AT881" s="57">
        <f t="shared" si="342"/>
        <v>0</v>
      </c>
      <c r="AU881" s="57">
        <f t="shared" si="343"/>
        <v>0</v>
      </c>
      <c r="AV881" s="58">
        <f>IFERROR(IF($V881="BRAND.com",HLOOKUP($X881&amp;$Z881,PLANNING_FC!$BB$27:$BP$46,MATCH($W881,PLANNING_FC!$BA$27:$BA$46,0),FALSE),0),0)</f>
        <v>0</v>
      </c>
      <c r="AW881" s="58">
        <f>IFERROR(IF($V881="BRAND.com",HLOOKUP($X881&amp;$Z881,PLANNING_FC!$BB$4:$BP$23,MATCH($W881,PLANNING_FC!$BA$4:$BA$23,0),FALSE),0),0)</f>
        <v>0</v>
      </c>
      <c r="AX881" s="58">
        <f>IFERROR(IF($V881="BRAND.com",HLOOKUP($X881&amp;$Z881,PLANNING_FC!$T$27:$AH$46,MATCH($W881,PLANNING_FC!$B$27:$B$46,0),FALSE),0),0)</f>
        <v>0</v>
      </c>
      <c r="AY881" s="58">
        <f>IFERROR(IF($V881="BRAND.com",HLOOKUP($X881&amp;$Z881,PLANNING_FC!$T$4:$AH$23,MATCH($W881,PLANNING_FC!$B$4:$B$23,0),FALSE),0),0)</f>
        <v>0</v>
      </c>
      <c r="AZ881" s="58">
        <f>IFERROR(IF($V881="BRAND.com",HLOOKUP($X881&amp;$Z881,PLANNING_FC!$DA$27:$DO$46,MATCH($W881,PLANNING_FC!$CZ$27:$CZ$46,0),FALSE),0),0)</f>
        <v>0</v>
      </c>
      <c r="BA881" s="58">
        <f>IFERROR(IF($V881="BRAND.com",HLOOKUP($X881&amp;$Z881,PLANNING_FC!$DA$4:$DO$23,MATCH($W881,PLANNING_FC!$CZ$4:$CZ$23,0),FALSE),0),0)</f>
        <v>0</v>
      </c>
      <c r="BB881" s="883" t="str">
        <f>IF(V881="BRAND.com",IFERROR(HLOOKUP(X881&amp;Z881,PLANNING_FC!$AK$4:$AY$23,MATCH(W881,PLANNING_FC!$AJ$4:$AJ$23,0),FALSE)*1000,""),"")</f>
        <v/>
      </c>
      <c r="BC881" s="883" t="str">
        <f>IF(V881="BRAND.com",IFERROR(HLOOKUP(X881&amp;Z881,PLANNING_FC!$AK$27:$AY$46,MATCH(W881,PLANNING_FC!$AJ$27:$AJ$46,0),FALSE)*1000,""),"")</f>
        <v/>
      </c>
    </row>
    <row r="882" spans="14:55" x14ac:dyDescent="0.25">
      <c r="N882" s="56">
        <f t="shared" si="324"/>
        <v>0</v>
      </c>
      <c r="O882" s="57">
        <f t="shared" si="325"/>
        <v>0</v>
      </c>
      <c r="P882" s="57">
        <f ca="1">IFERROR(IF(ISBLANK(H882),SUMIFS($AC:$AC,$V:$V,V882,$W:$W,W882,$X:$X,X882,$Y:$Y,Y882)*J882/(1-J882)*VLOOKUP(_xlfn.CONCAT(C882,D882,E882,TIME!$M$12,Z882),HIS_SALES!$B$2:$W$4859,20,FALSE),AC882*J882/(1-J882)),0)</f>
        <v>0</v>
      </c>
      <c r="Q882" s="541" t="str">
        <f t="shared" si="326"/>
        <v/>
      </c>
      <c r="R882" s="346" t="str">
        <f t="shared" si="327"/>
        <v>00000</v>
      </c>
      <c r="S882" s="344">
        <f t="shared" si="328"/>
        <v>0</v>
      </c>
      <c r="T882" s="345" t="str">
        <f t="shared" si="341"/>
        <v>000</v>
      </c>
      <c r="U882" s="345">
        <f t="shared" si="329"/>
        <v>0</v>
      </c>
      <c r="V882" s="345">
        <f t="shared" si="330"/>
        <v>0</v>
      </c>
      <c r="W882" s="345">
        <f t="shared" si="331"/>
        <v>0</v>
      </c>
      <c r="X882" s="345">
        <f t="shared" si="332"/>
        <v>0</v>
      </c>
      <c r="Y882" s="345">
        <f t="shared" si="333"/>
        <v>0</v>
      </c>
      <c r="Z882" s="345">
        <f>IF(Q882&lt;&gt;"",VLOOKUP(Y882,TIME!$R$21:$V$24,MATCH(FC_DATA!Q882,TIME!$R$20:$V$20,0),FALSE),H882)</f>
        <v>0</v>
      </c>
      <c r="AA882" s="345" t="str">
        <f>IFERROR(VLOOKUP(X882&amp;Z882,TIME!$A$12:$D$71,4,FALSE),"")</f>
        <v/>
      </c>
      <c r="AB882" s="592">
        <f t="shared" ca="1" si="334"/>
        <v>0</v>
      </c>
      <c r="AC882" s="593" t="e">
        <f ca="1">IF(ISBLANK(H882)=FALSE,IF(D882="BRAND.com",I882,IF(ISNA(VLOOKUP(_xlfn.CONCAT(X882,Z882),TIME!$M$40:$M$42,1,FALSE)),I882,VLOOKUP(_xlfn.CONCAT(D882,G882,H882),M_BUSAREA_FC!$AF$5:$AJ$10,5,FALSE)*HLOOKUP(_xlfn.CONCAT(F882,H882),ST_OVERVIEW!$G$99:$I$130,MATCH(_xlfn.CONCAT(D882,E882),ST_OVERVIEW!$F$99:$F$130,0),FALSE))),IF(D882="BRAND.com",VLOOKUP(_xlfn.CONCAT(C882,D882,E882,TIME!$F$1,Z882),HIS_SALES!$B$2:$V$4859,19,FALSE)*I882,VLOOKUP(_xlfn.CONCAT(D882,F882,G882),Q_BUSAREA_FC!$AE$5:$AI$12,5,FALSE)*HLOOKUP(_xlfn.CONCAT(FC_DATA!F882,FC_DATA!G882),LT_OVERVIEW!$I$99:$M$130,MATCH(_xlfn.CONCAT(D882,FC_DATA!E882),LT_OVERVIEW!$H$99:$H$130,0),FALSE)*IFERROR(VLOOKUP(_xlfn.CONCAT(C882,D882,E882,TIME!$F$1,Z882),HIS_SALES!$B$2:$V$4859,19,FALSE),0)))</f>
        <v>#N/A</v>
      </c>
      <c r="AD882" s="341">
        <f t="shared" ca="1" si="335"/>
        <v>0</v>
      </c>
      <c r="AE882" s="363" t="str">
        <f t="shared" si="336"/>
        <v/>
      </c>
      <c r="AF882" s="342" t="str">
        <f t="shared" si="337"/>
        <v/>
      </c>
      <c r="AG882" s="411" t="e">
        <f ca="1">VLOOKUP(_xlfn.CONCAT(U882,V882,W882,VLOOKUP(X882&amp;Y882,TIME!$L$27:$O$34,4,FALSE),Y882),HIS_SALES!$A$2:$R$5093,18,FALSE)</f>
        <v>#N/A</v>
      </c>
      <c r="AH882" s="412" t="e">
        <f ca="1">IFERROR(IF(AND(V882=V881,W882=W881),0.5*(AB882+AB881)*AG882,(VLOOKUP(_xlfn.CONCAT(U882,V882,W882,X882,VLOOKUP(Z882,TIME!$S$28:$T$39,2,FALSE)),FC_DATA!$R$2:$AB$5000,MATCH("GS_I_M",FC_DATA!$R$1:$AB$1,0),FALSE)+FC_DATA!AB882)*0.5*FC_DATA!AG882),NA())</f>
        <v>#N/A</v>
      </c>
      <c r="AI882" s="491" t="e">
        <f ca="1">IF(V882="PARTNER.com",AH882,IF(AND(V882=V881,W882=W881),(1-AVERAGE(AD881,AD882))*AH882,(1-AVERAGE(AD882,VLOOKUP(_xlfn.CONCAT(U882,V882,W882,X882,M_BRAND_FC!$F$6),FC_DATA!$R$2:$AD$5000,MATCH("DISCOUNT_%_M",FC_DATA!$R$1:$AD$1,0),FALSE)))*AH882))</f>
        <v>#N/A</v>
      </c>
      <c r="AJ882" s="412" t="str">
        <f t="shared" ca="1" si="338"/>
        <v/>
      </c>
      <c r="AK882" s="413" t="str">
        <f>IFERROR(AE882/(Q_BRAND_FC!$T$24+1),"")</f>
        <v/>
      </c>
      <c r="AL882" s="88" t="str">
        <f t="shared" ca="1" si="339"/>
        <v/>
      </c>
      <c r="AM882" s="414" t="str">
        <f t="shared" ca="1" si="340"/>
        <v/>
      </c>
      <c r="AN882" s="58">
        <f>IFERROR(IF($V882="BRAND.com",HLOOKUP($X882&amp;$Z882,NWC_FC_NOOS!$C$4:$Q$23,MATCH(W882,NWC_FC_NOOS!$B$4:$B$23,0),FALSE),0),0)</f>
        <v>0</v>
      </c>
      <c r="AO882" s="57">
        <f>IFERROR(IF($V882="BRAND.com",HLOOKUP($X882&amp;$Z882,NWC_FC_NOOS!$T$4:$AH$23,MATCH(W882,NWC_FC_NOOS!$S$4:$S$23,0),FALSE),0),0)</f>
        <v>0</v>
      </c>
      <c r="AP882" s="57">
        <f>IFERROR(IF($V882="BRAND.com",HLOOKUP($X882&amp;$Z882,NWC_FC_NOOS!$C$50:$U$69,MATCH(W882,NWC_FC_NOOS!$B$50:$B$69,0),FALSE),0),0)</f>
        <v>0</v>
      </c>
      <c r="AQ882" s="58">
        <f>IFERROR(IF($V882="BRAND.com",HLOOKUP($X882&amp;$Z882,'NWC_FC_NON-NOOS'!$C$4:$Q$23,MATCH(W882,'NWC_FC_NON-NOOS'!$B$4:$B$23,0),FALSE),0),0)</f>
        <v>0</v>
      </c>
      <c r="AR882" s="57">
        <f>IFERROR(IF($V882="BRAND.com",HLOOKUP($X882&amp;$Z882,'NWC_FC_NON-NOOS'!$T$4:$AH$23,MATCH(W882,'NWC_FC_NON-NOOS'!$S$4:$S$23,0),FALSE),0),0)</f>
        <v>0</v>
      </c>
      <c r="AS882" s="57">
        <f>IFERROR(IF($V882="BRAND.com",HLOOKUP($X882&amp;$Z882,'NWC_FC_NON-NOOS'!$C$50:$U$69,MATCH(W882,'NWC_FC_NON-NOOS'!$B$50:$B$69,0),FALSE),0),0)</f>
        <v>0</v>
      </c>
      <c r="AT882" s="57">
        <f t="shared" si="342"/>
        <v>0</v>
      </c>
      <c r="AU882" s="57">
        <f t="shared" si="343"/>
        <v>0</v>
      </c>
      <c r="AV882" s="58">
        <f>IFERROR(IF($V882="BRAND.com",HLOOKUP($X882&amp;$Z882,PLANNING_FC!$BB$27:$BP$46,MATCH($W882,PLANNING_FC!$BA$27:$BA$46,0),FALSE),0),0)</f>
        <v>0</v>
      </c>
      <c r="AW882" s="58">
        <f>IFERROR(IF($V882="BRAND.com",HLOOKUP($X882&amp;$Z882,PLANNING_FC!$BB$4:$BP$23,MATCH($W882,PLANNING_FC!$BA$4:$BA$23,0),FALSE),0),0)</f>
        <v>0</v>
      </c>
      <c r="AX882" s="58">
        <f>IFERROR(IF($V882="BRAND.com",HLOOKUP($X882&amp;$Z882,PLANNING_FC!$T$27:$AH$46,MATCH($W882,PLANNING_FC!$B$27:$B$46,0),FALSE),0),0)</f>
        <v>0</v>
      </c>
      <c r="AY882" s="58">
        <f>IFERROR(IF($V882="BRAND.com",HLOOKUP($X882&amp;$Z882,PLANNING_FC!$T$4:$AH$23,MATCH($W882,PLANNING_FC!$B$4:$B$23,0),FALSE),0),0)</f>
        <v>0</v>
      </c>
      <c r="AZ882" s="58">
        <f>IFERROR(IF($V882="BRAND.com",HLOOKUP($X882&amp;$Z882,PLANNING_FC!$DA$27:$DO$46,MATCH($W882,PLANNING_FC!$CZ$27:$CZ$46,0),FALSE),0),0)</f>
        <v>0</v>
      </c>
      <c r="BA882" s="58">
        <f>IFERROR(IF($V882="BRAND.com",HLOOKUP($X882&amp;$Z882,PLANNING_FC!$DA$4:$DO$23,MATCH($W882,PLANNING_FC!$CZ$4:$CZ$23,0),FALSE),0),0)</f>
        <v>0</v>
      </c>
      <c r="BB882" s="883" t="str">
        <f>IF(V882="BRAND.com",IFERROR(HLOOKUP(X882&amp;Z882,PLANNING_FC!$AK$4:$AY$23,MATCH(W882,PLANNING_FC!$AJ$4:$AJ$23,0),FALSE)*1000,""),"")</f>
        <v/>
      </c>
      <c r="BC882" s="883" t="str">
        <f>IF(V882="BRAND.com",IFERROR(HLOOKUP(X882&amp;Z882,PLANNING_FC!$AK$27:$AY$46,MATCH(W882,PLANNING_FC!$AJ$27:$AJ$46,0),FALSE)*1000,""),"")</f>
        <v/>
      </c>
    </row>
    <row r="883" spans="14:55" x14ac:dyDescent="0.25">
      <c r="N883" s="56">
        <f t="shared" si="324"/>
        <v>0</v>
      </c>
      <c r="O883" s="57">
        <f t="shared" si="325"/>
        <v>0</v>
      </c>
      <c r="P883" s="57">
        <f ca="1">IFERROR(IF(ISBLANK(H883),SUMIFS($AC:$AC,$V:$V,V883,$W:$W,W883,$X:$X,X883,$Y:$Y,Y883)*J883/(1-J883)*VLOOKUP(_xlfn.CONCAT(C883,D883,E883,TIME!$M$12,Z883),HIS_SALES!$B$2:$W$4859,20,FALSE),AC883*J883/(1-J883)),0)</f>
        <v>0</v>
      </c>
      <c r="Q883" s="541" t="str">
        <f t="shared" si="326"/>
        <v/>
      </c>
      <c r="R883" s="346" t="str">
        <f t="shared" si="327"/>
        <v>00000</v>
      </c>
      <c r="S883" s="344">
        <f t="shared" si="328"/>
        <v>0</v>
      </c>
      <c r="T883" s="345" t="str">
        <f t="shared" si="341"/>
        <v>000</v>
      </c>
      <c r="U883" s="345">
        <f t="shared" si="329"/>
        <v>0</v>
      </c>
      <c r="V883" s="345">
        <f t="shared" si="330"/>
        <v>0</v>
      </c>
      <c r="W883" s="345">
        <f t="shared" si="331"/>
        <v>0</v>
      </c>
      <c r="X883" s="345">
        <f t="shared" si="332"/>
        <v>0</v>
      </c>
      <c r="Y883" s="345">
        <f t="shared" si="333"/>
        <v>0</v>
      </c>
      <c r="Z883" s="345">
        <f>IF(Q883&lt;&gt;"",VLOOKUP(Y883,TIME!$R$21:$V$24,MATCH(FC_DATA!Q883,TIME!$R$20:$V$20,0),FALSE),H883)</f>
        <v>0</v>
      </c>
      <c r="AA883" s="345" t="str">
        <f>IFERROR(VLOOKUP(X883&amp;Z883,TIME!$A$12:$D$71,4,FALSE),"")</f>
        <v/>
      </c>
      <c r="AB883" s="592">
        <f t="shared" ca="1" si="334"/>
        <v>0</v>
      </c>
      <c r="AC883" s="593" t="e">
        <f ca="1">IF(ISBLANK(H883)=FALSE,IF(D883="BRAND.com",I883,IF(ISNA(VLOOKUP(_xlfn.CONCAT(X883,Z883),TIME!$M$40:$M$42,1,FALSE)),I883,VLOOKUP(_xlfn.CONCAT(D883,G883,H883),M_BUSAREA_FC!$AF$5:$AJ$10,5,FALSE)*HLOOKUP(_xlfn.CONCAT(F883,H883),ST_OVERVIEW!$G$99:$I$130,MATCH(_xlfn.CONCAT(D883,E883),ST_OVERVIEW!$F$99:$F$130,0),FALSE))),IF(D883="BRAND.com",VLOOKUP(_xlfn.CONCAT(C883,D883,E883,TIME!$F$1,Z883),HIS_SALES!$B$2:$V$4859,19,FALSE)*I883,VLOOKUP(_xlfn.CONCAT(D883,F883,G883),Q_BUSAREA_FC!$AE$5:$AI$12,5,FALSE)*HLOOKUP(_xlfn.CONCAT(FC_DATA!F883,FC_DATA!G883),LT_OVERVIEW!$I$99:$M$130,MATCH(_xlfn.CONCAT(D883,FC_DATA!E883),LT_OVERVIEW!$H$99:$H$130,0),FALSE)*IFERROR(VLOOKUP(_xlfn.CONCAT(C883,D883,E883,TIME!$F$1,Z883),HIS_SALES!$B$2:$V$4859,19,FALSE),0)))</f>
        <v>#N/A</v>
      </c>
      <c r="AD883" s="341">
        <f t="shared" ca="1" si="335"/>
        <v>0</v>
      </c>
      <c r="AE883" s="363" t="str">
        <f t="shared" si="336"/>
        <v/>
      </c>
      <c r="AF883" s="342" t="str">
        <f t="shared" si="337"/>
        <v/>
      </c>
      <c r="AG883" s="411" t="e">
        <f ca="1">VLOOKUP(_xlfn.CONCAT(U883,V883,W883,VLOOKUP(X883&amp;Y883,TIME!$L$27:$O$34,4,FALSE),Y883),HIS_SALES!$A$2:$R$5093,18,FALSE)</f>
        <v>#N/A</v>
      </c>
      <c r="AH883" s="412" t="e">
        <f ca="1">IFERROR(IF(AND(V883=V882,W883=W882),0.5*(AB883+AB882)*AG883,(VLOOKUP(_xlfn.CONCAT(U883,V883,W883,X883,VLOOKUP(Z883,TIME!$S$28:$T$39,2,FALSE)),FC_DATA!$R$2:$AB$5000,MATCH("GS_I_M",FC_DATA!$R$1:$AB$1,0),FALSE)+FC_DATA!AB883)*0.5*FC_DATA!AG883),NA())</f>
        <v>#N/A</v>
      </c>
      <c r="AI883" s="491" t="e">
        <f ca="1">IF(V883="PARTNER.com",AH883,IF(AND(V883=V882,W883=W882),(1-AVERAGE(AD882,AD883))*AH883,(1-AVERAGE(AD883,VLOOKUP(_xlfn.CONCAT(U883,V883,W883,X883,M_BRAND_FC!$F$6),FC_DATA!$R$2:$AD$5000,MATCH("DISCOUNT_%_M",FC_DATA!$R$1:$AD$1,0),FALSE)))*AH883))</f>
        <v>#N/A</v>
      </c>
      <c r="AJ883" s="412" t="str">
        <f t="shared" ca="1" si="338"/>
        <v/>
      </c>
      <c r="AK883" s="413" t="str">
        <f>IFERROR(AE883/(Q_BRAND_FC!$T$24+1),"")</f>
        <v/>
      </c>
      <c r="AL883" s="88" t="str">
        <f t="shared" ca="1" si="339"/>
        <v/>
      </c>
      <c r="AM883" s="414" t="str">
        <f t="shared" ca="1" si="340"/>
        <v/>
      </c>
      <c r="AN883" s="58">
        <f>IFERROR(IF($V883="BRAND.com",HLOOKUP($X883&amp;$Z883,NWC_FC_NOOS!$C$4:$Q$23,MATCH(W883,NWC_FC_NOOS!$B$4:$B$23,0),FALSE),0),0)</f>
        <v>0</v>
      </c>
      <c r="AO883" s="57">
        <f>IFERROR(IF($V883="BRAND.com",HLOOKUP($X883&amp;$Z883,NWC_FC_NOOS!$T$4:$AH$23,MATCH(W883,NWC_FC_NOOS!$S$4:$S$23,0),FALSE),0),0)</f>
        <v>0</v>
      </c>
      <c r="AP883" s="57">
        <f>IFERROR(IF($V883="BRAND.com",HLOOKUP($X883&amp;$Z883,NWC_FC_NOOS!$C$50:$U$69,MATCH(W883,NWC_FC_NOOS!$B$50:$B$69,0),FALSE),0),0)</f>
        <v>0</v>
      </c>
      <c r="AQ883" s="58">
        <f>IFERROR(IF($V883="BRAND.com",HLOOKUP($X883&amp;$Z883,'NWC_FC_NON-NOOS'!$C$4:$Q$23,MATCH(W883,'NWC_FC_NON-NOOS'!$B$4:$B$23,0),FALSE),0),0)</f>
        <v>0</v>
      </c>
      <c r="AR883" s="57">
        <f>IFERROR(IF($V883="BRAND.com",HLOOKUP($X883&amp;$Z883,'NWC_FC_NON-NOOS'!$T$4:$AH$23,MATCH(W883,'NWC_FC_NON-NOOS'!$S$4:$S$23,0),FALSE),0),0)</f>
        <v>0</v>
      </c>
      <c r="AS883" s="57">
        <f>IFERROR(IF($V883="BRAND.com",HLOOKUP($X883&amp;$Z883,'NWC_FC_NON-NOOS'!$C$50:$U$69,MATCH(W883,'NWC_FC_NON-NOOS'!$B$50:$B$69,0),FALSE),0),0)</f>
        <v>0</v>
      </c>
      <c r="AT883" s="57">
        <f t="shared" si="342"/>
        <v>0</v>
      </c>
      <c r="AU883" s="57">
        <f t="shared" si="343"/>
        <v>0</v>
      </c>
      <c r="AV883" s="58">
        <f>IFERROR(IF($V883="BRAND.com",HLOOKUP($X883&amp;$Z883,PLANNING_FC!$BB$27:$BP$46,MATCH($W883,PLANNING_FC!$BA$27:$BA$46,0),FALSE),0),0)</f>
        <v>0</v>
      </c>
      <c r="AW883" s="58">
        <f>IFERROR(IF($V883="BRAND.com",HLOOKUP($X883&amp;$Z883,PLANNING_FC!$BB$4:$BP$23,MATCH($W883,PLANNING_FC!$BA$4:$BA$23,0),FALSE),0),0)</f>
        <v>0</v>
      </c>
      <c r="AX883" s="58">
        <f>IFERROR(IF($V883="BRAND.com",HLOOKUP($X883&amp;$Z883,PLANNING_FC!$T$27:$AH$46,MATCH($W883,PLANNING_FC!$B$27:$B$46,0),FALSE),0),0)</f>
        <v>0</v>
      </c>
      <c r="AY883" s="58">
        <f>IFERROR(IF($V883="BRAND.com",HLOOKUP($X883&amp;$Z883,PLANNING_FC!$T$4:$AH$23,MATCH($W883,PLANNING_FC!$B$4:$B$23,0),FALSE),0),0)</f>
        <v>0</v>
      </c>
      <c r="AZ883" s="58">
        <f>IFERROR(IF($V883="BRAND.com",HLOOKUP($X883&amp;$Z883,PLANNING_FC!$DA$27:$DO$46,MATCH($W883,PLANNING_FC!$CZ$27:$CZ$46,0),FALSE),0),0)</f>
        <v>0</v>
      </c>
      <c r="BA883" s="58">
        <f>IFERROR(IF($V883="BRAND.com",HLOOKUP($X883&amp;$Z883,PLANNING_FC!$DA$4:$DO$23,MATCH($W883,PLANNING_FC!$CZ$4:$CZ$23,0),FALSE),0),0)</f>
        <v>0</v>
      </c>
      <c r="BB883" s="883" t="str">
        <f>IF(V883="BRAND.com",IFERROR(HLOOKUP(X883&amp;Z883,PLANNING_FC!$AK$4:$AY$23,MATCH(W883,PLANNING_FC!$AJ$4:$AJ$23,0),FALSE)*1000,""),"")</f>
        <v/>
      </c>
      <c r="BC883" s="883" t="str">
        <f>IF(V883="BRAND.com",IFERROR(HLOOKUP(X883&amp;Z883,PLANNING_FC!$AK$27:$AY$46,MATCH(W883,PLANNING_FC!$AJ$27:$AJ$46,0),FALSE)*1000,""),"")</f>
        <v/>
      </c>
    </row>
    <row r="884" spans="14:55" x14ac:dyDescent="0.25">
      <c r="N884" s="56">
        <f t="shared" si="324"/>
        <v>0</v>
      </c>
      <c r="O884" s="57">
        <f t="shared" si="325"/>
        <v>0</v>
      </c>
      <c r="P884" s="57">
        <f ca="1">IFERROR(IF(ISBLANK(H884),SUMIFS($AC:$AC,$V:$V,V884,$W:$W,W884,$X:$X,X884,$Y:$Y,Y884)*J884/(1-J884)*VLOOKUP(_xlfn.CONCAT(C884,D884,E884,TIME!$M$12,Z884),HIS_SALES!$B$2:$W$4859,20,FALSE),AC884*J884/(1-J884)),0)</f>
        <v>0</v>
      </c>
      <c r="Q884" s="541" t="str">
        <f t="shared" si="326"/>
        <v/>
      </c>
      <c r="R884" s="346" t="str">
        <f t="shared" si="327"/>
        <v>00000</v>
      </c>
      <c r="S884" s="344">
        <f t="shared" si="328"/>
        <v>0</v>
      </c>
      <c r="T884" s="345" t="str">
        <f t="shared" si="341"/>
        <v>000</v>
      </c>
      <c r="U884" s="345">
        <f t="shared" si="329"/>
        <v>0</v>
      </c>
      <c r="V884" s="345">
        <f t="shared" si="330"/>
        <v>0</v>
      </c>
      <c r="W884" s="345">
        <f t="shared" si="331"/>
        <v>0</v>
      </c>
      <c r="X884" s="345">
        <f t="shared" si="332"/>
        <v>0</v>
      </c>
      <c r="Y884" s="345">
        <f t="shared" si="333"/>
        <v>0</v>
      </c>
      <c r="Z884" s="345">
        <f>IF(Q884&lt;&gt;"",VLOOKUP(Y884,TIME!$R$21:$V$24,MATCH(FC_DATA!Q884,TIME!$R$20:$V$20,0),FALSE),H884)</f>
        <v>0</v>
      </c>
      <c r="AA884" s="345" t="str">
        <f>IFERROR(VLOOKUP(X884&amp;Z884,TIME!$A$12:$D$71,4,FALSE),"")</f>
        <v/>
      </c>
      <c r="AB884" s="592">
        <f t="shared" ca="1" si="334"/>
        <v>0</v>
      </c>
      <c r="AC884" s="593" t="e">
        <f ca="1">IF(ISBLANK(H884)=FALSE,IF(D884="BRAND.com",I884,IF(ISNA(VLOOKUP(_xlfn.CONCAT(X884,Z884),TIME!$M$40:$M$42,1,FALSE)),I884,VLOOKUP(_xlfn.CONCAT(D884,G884,H884),M_BUSAREA_FC!$AF$5:$AJ$10,5,FALSE)*HLOOKUP(_xlfn.CONCAT(F884,H884),ST_OVERVIEW!$G$99:$I$130,MATCH(_xlfn.CONCAT(D884,E884),ST_OVERVIEW!$F$99:$F$130,0),FALSE))),IF(D884="BRAND.com",VLOOKUP(_xlfn.CONCAT(C884,D884,E884,TIME!$F$1,Z884),HIS_SALES!$B$2:$V$4859,19,FALSE)*I884,VLOOKUP(_xlfn.CONCAT(D884,F884,G884),Q_BUSAREA_FC!$AE$5:$AI$12,5,FALSE)*HLOOKUP(_xlfn.CONCAT(FC_DATA!F884,FC_DATA!G884),LT_OVERVIEW!$I$99:$M$130,MATCH(_xlfn.CONCAT(D884,FC_DATA!E884),LT_OVERVIEW!$H$99:$H$130,0),FALSE)*IFERROR(VLOOKUP(_xlfn.CONCAT(C884,D884,E884,TIME!$F$1,Z884),HIS_SALES!$B$2:$V$4859,19,FALSE),0)))</f>
        <v>#N/A</v>
      </c>
      <c r="AD884" s="341">
        <f t="shared" ca="1" si="335"/>
        <v>0</v>
      </c>
      <c r="AE884" s="363" t="str">
        <f t="shared" si="336"/>
        <v/>
      </c>
      <c r="AF884" s="342" t="str">
        <f t="shared" si="337"/>
        <v/>
      </c>
      <c r="AG884" s="411" t="e">
        <f ca="1">VLOOKUP(_xlfn.CONCAT(U884,V884,W884,VLOOKUP(X884&amp;Y884,TIME!$L$27:$O$34,4,FALSE),Y884),HIS_SALES!$A$2:$R$5093,18,FALSE)</f>
        <v>#N/A</v>
      </c>
      <c r="AH884" s="412" t="e">
        <f ca="1">IFERROR(IF(AND(V884=V883,W884=W883),0.5*(AB884+AB883)*AG884,(VLOOKUP(_xlfn.CONCAT(U884,V884,W884,X884,VLOOKUP(Z884,TIME!$S$28:$T$39,2,FALSE)),FC_DATA!$R$2:$AB$5000,MATCH("GS_I_M",FC_DATA!$R$1:$AB$1,0),FALSE)+FC_DATA!AB884)*0.5*FC_DATA!AG884),NA())</f>
        <v>#N/A</v>
      </c>
      <c r="AI884" s="491" t="e">
        <f ca="1">IF(V884="PARTNER.com",AH884,IF(AND(V884=V883,W884=W883),(1-AVERAGE(AD883,AD884))*AH884,(1-AVERAGE(AD884,VLOOKUP(_xlfn.CONCAT(U884,V884,W884,X884,M_BRAND_FC!$F$6),FC_DATA!$R$2:$AD$5000,MATCH("DISCOUNT_%_M",FC_DATA!$R$1:$AD$1,0),FALSE)))*AH884))</f>
        <v>#N/A</v>
      </c>
      <c r="AJ884" s="412" t="str">
        <f t="shared" ca="1" si="338"/>
        <v/>
      </c>
      <c r="AK884" s="413" t="str">
        <f>IFERROR(AE884/(Q_BRAND_FC!$T$24+1),"")</f>
        <v/>
      </c>
      <c r="AL884" s="88" t="str">
        <f t="shared" ca="1" si="339"/>
        <v/>
      </c>
      <c r="AM884" s="414" t="str">
        <f t="shared" ca="1" si="340"/>
        <v/>
      </c>
      <c r="AN884" s="58">
        <f>IFERROR(IF($V884="BRAND.com",HLOOKUP($X884&amp;$Z884,NWC_FC_NOOS!$C$4:$Q$23,MATCH(W884,NWC_FC_NOOS!$B$4:$B$23,0),FALSE),0),0)</f>
        <v>0</v>
      </c>
      <c r="AO884" s="57">
        <f>IFERROR(IF($V884="BRAND.com",HLOOKUP($X884&amp;$Z884,NWC_FC_NOOS!$T$4:$AH$23,MATCH(W884,NWC_FC_NOOS!$S$4:$S$23,0),FALSE),0),0)</f>
        <v>0</v>
      </c>
      <c r="AP884" s="57">
        <f>IFERROR(IF($V884="BRAND.com",HLOOKUP($X884&amp;$Z884,NWC_FC_NOOS!$C$50:$U$69,MATCH(W884,NWC_FC_NOOS!$B$50:$B$69,0),FALSE),0),0)</f>
        <v>0</v>
      </c>
      <c r="AQ884" s="58">
        <f>IFERROR(IF($V884="BRAND.com",HLOOKUP($X884&amp;$Z884,'NWC_FC_NON-NOOS'!$C$4:$Q$23,MATCH(W884,'NWC_FC_NON-NOOS'!$B$4:$B$23,0),FALSE),0),0)</f>
        <v>0</v>
      </c>
      <c r="AR884" s="57">
        <f>IFERROR(IF($V884="BRAND.com",HLOOKUP($X884&amp;$Z884,'NWC_FC_NON-NOOS'!$T$4:$AH$23,MATCH(W884,'NWC_FC_NON-NOOS'!$S$4:$S$23,0),FALSE),0),0)</f>
        <v>0</v>
      </c>
      <c r="AS884" s="57">
        <f>IFERROR(IF($V884="BRAND.com",HLOOKUP($X884&amp;$Z884,'NWC_FC_NON-NOOS'!$C$50:$U$69,MATCH(W884,'NWC_FC_NON-NOOS'!$B$50:$B$69,0),FALSE),0),0)</f>
        <v>0</v>
      </c>
      <c r="AT884" s="57">
        <f t="shared" si="342"/>
        <v>0</v>
      </c>
      <c r="AU884" s="57">
        <f t="shared" si="343"/>
        <v>0</v>
      </c>
      <c r="AV884" s="58">
        <f>IFERROR(IF($V884="BRAND.com",HLOOKUP($X884&amp;$Z884,PLANNING_FC!$BB$27:$BP$46,MATCH($W884,PLANNING_FC!$BA$27:$BA$46,0),FALSE),0),0)</f>
        <v>0</v>
      </c>
      <c r="AW884" s="58">
        <f>IFERROR(IF($V884="BRAND.com",HLOOKUP($X884&amp;$Z884,PLANNING_FC!$BB$4:$BP$23,MATCH($W884,PLANNING_FC!$BA$4:$BA$23,0),FALSE),0),0)</f>
        <v>0</v>
      </c>
      <c r="AX884" s="58">
        <f>IFERROR(IF($V884="BRAND.com",HLOOKUP($X884&amp;$Z884,PLANNING_FC!$T$27:$AH$46,MATCH($W884,PLANNING_FC!$B$27:$B$46,0),FALSE),0),0)</f>
        <v>0</v>
      </c>
      <c r="AY884" s="58">
        <f>IFERROR(IF($V884="BRAND.com",HLOOKUP($X884&amp;$Z884,PLANNING_FC!$T$4:$AH$23,MATCH($W884,PLANNING_FC!$B$4:$B$23,0),FALSE),0),0)</f>
        <v>0</v>
      </c>
      <c r="AZ884" s="58">
        <f>IFERROR(IF($V884="BRAND.com",HLOOKUP($X884&amp;$Z884,PLANNING_FC!$DA$27:$DO$46,MATCH($W884,PLANNING_FC!$CZ$27:$CZ$46,0),FALSE),0),0)</f>
        <v>0</v>
      </c>
      <c r="BA884" s="58">
        <f>IFERROR(IF($V884="BRAND.com",HLOOKUP($X884&amp;$Z884,PLANNING_FC!$DA$4:$DO$23,MATCH($W884,PLANNING_FC!$CZ$4:$CZ$23,0),FALSE),0),0)</f>
        <v>0</v>
      </c>
      <c r="BB884" s="883" t="str">
        <f>IF(V884="BRAND.com",IFERROR(HLOOKUP(X884&amp;Z884,PLANNING_FC!$AK$4:$AY$23,MATCH(W884,PLANNING_FC!$AJ$4:$AJ$23,0),FALSE)*1000,""),"")</f>
        <v/>
      </c>
      <c r="BC884" s="883" t="str">
        <f>IF(V884="BRAND.com",IFERROR(HLOOKUP(X884&amp;Z884,PLANNING_FC!$AK$27:$AY$46,MATCH(W884,PLANNING_FC!$AJ$27:$AJ$46,0),FALSE)*1000,""),"")</f>
        <v/>
      </c>
    </row>
    <row r="885" spans="14:55" x14ac:dyDescent="0.25">
      <c r="N885" s="56">
        <f t="shared" si="324"/>
        <v>0</v>
      </c>
      <c r="O885" s="57">
        <f t="shared" si="325"/>
        <v>0</v>
      </c>
      <c r="P885" s="57">
        <f ca="1">IFERROR(IF(ISBLANK(H885),SUMIFS($AC:$AC,$V:$V,V885,$W:$W,W885,$X:$X,X885,$Y:$Y,Y885)*J885/(1-J885)*VLOOKUP(_xlfn.CONCAT(C885,D885,E885,TIME!$M$12,Z885),HIS_SALES!$B$2:$W$4859,20,FALSE),AC885*J885/(1-J885)),0)</f>
        <v>0</v>
      </c>
      <c r="Q885" s="541" t="str">
        <f t="shared" si="326"/>
        <v/>
      </c>
      <c r="R885" s="346" t="str">
        <f t="shared" si="327"/>
        <v>00000</v>
      </c>
      <c r="S885" s="344">
        <f t="shared" si="328"/>
        <v>0</v>
      </c>
      <c r="T885" s="345" t="str">
        <f t="shared" si="341"/>
        <v>000</v>
      </c>
      <c r="U885" s="345">
        <f t="shared" si="329"/>
        <v>0</v>
      </c>
      <c r="V885" s="345">
        <f t="shared" si="330"/>
        <v>0</v>
      </c>
      <c r="W885" s="345">
        <f t="shared" si="331"/>
        <v>0</v>
      </c>
      <c r="X885" s="345">
        <f t="shared" si="332"/>
        <v>0</v>
      </c>
      <c r="Y885" s="345">
        <f t="shared" si="333"/>
        <v>0</v>
      </c>
      <c r="Z885" s="345">
        <f>IF(Q885&lt;&gt;"",VLOOKUP(Y885,TIME!$R$21:$V$24,MATCH(FC_DATA!Q885,TIME!$R$20:$V$20,0),FALSE),H885)</f>
        <v>0</v>
      </c>
      <c r="AA885" s="345" t="str">
        <f>IFERROR(VLOOKUP(X885&amp;Z885,TIME!$A$12:$D$71,4,FALSE),"")</f>
        <v/>
      </c>
      <c r="AB885" s="592">
        <f t="shared" ca="1" si="334"/>
        <v>0</v>
      </c>
      <c r="AC885" s="593" t="e">
        <f ca="1">IF(ISBLANK(H885)=FALSE,IF(D885="BRAND.com",I885,IF(ISNA(VLOOKUP(_xlfn.CONCAT(X885,Z885),TIME!$M$40:$M$42,1,FALSE)),I885,VLOOKUP(_xlfn.CONCAT(D885,G885,H885),M_BUSAREA_FC!$AF$5:$AJ$10,5,FALSE)*HLOOKUP(_xlfn.CONCAT(F885,H885),ST_OVERVIEW!$G$99:$I$130,MATCH(_xlfn.CONCAT(D885,E885),ST_OVERVIEW!$F$99:$F$130,0),FALSE))),IF(D885="BRAND.com",VLOOKUP(_xlfn.CONCAT(C885,D885,E885,TIME!$F$1,Z885),HIS_SALES!$B$2:$V$4859,19,FALSE)*I885,VLOOKUP(_xlfn.CONCAT(D885,F885,G885),Q_BUSAREA_FC!$AE$5:$AI$12,5,FALSE)*HLOOKUP(_xlfn.CONCAT(FC_DATA!F885,FC_DATA!G885),LT_OVERVIEW!$I$99:$M$130,MATCH(_xlfn.CONCAT(D885,FC_DATA!E885),LT_OVERVIEW!$H$99:$H$130,0),FALSE)*IFERROR(VLOOKUP(_xlfn.CONCAT(C885,D885,E885,TIME!$F$1,Z885),HIS_SALES!$B$2:$V$4859,19,FALSE),0)))</f>
        <v>#N/A</v>
      </c>
      <c r="AD885" s="341">
        <f t="shared" ca="1" si="335"/>
        <v>0</v>
      </c>
      <c r="AE885" s="363" t="str">
        <f t="shared" si="336"/>
        <v/>
      </c>
      <c r="AF885" s="342" t="str">
        <f t="shared" si="337"/>
        <v/>
      </c>
      <c r="AG885" s="411" t="e">
        <f ca="1">VLOOKUP(_xlfn.CONCAT(U885,V885,W885,VLOOKUP(X885&amp;Y885,TIME!$L$27:$O$34,4,FALSE),Y885),HIS_SALES!$A$2:$R$5093,18,FALSE)</f>
        <v>#N/A</v>
      </c>
      <c r="AH885" s="412" t="e">
        <f ca="1">IFERROR(IF(AND(V885=V884,W885=W884),0.5*(AB885+AB884)*AG885,(VLOOKUP(_xlfn.CONCAT(U885,V885,W885,X885,VLOOKUP(Z885,TIME!$S$28:$T$39,2,FALSE)),FC_DATA!$R$2:$AB$5000,MATCH("GS_I_M",FC_DATA!$R$1:$AB$1,0),FALSE)+FC_DATA!AB885)*0.5*FC_DATA!AG885),NA())</f>
        <v>#N/A</v>
      </c>
      <c r="AI885" s="491" t="e">
        <f ca="1">IF(V885="PARTNER.com",AH885,IF(AND(V885=V884,W885=W884),(1-AVERAGE(AD884,AD885))*AH885,(1-AVERAGE(AD885,VLOOKUP(_xlfn.CONCAT(U885,V885,W885,X885,M_BRAND_FC!$F$6),FC_DATA!$R$2:$AD$5000,MATCH("DISCOUNT_%_M",FC_DATA!$R$1:$AD$1,0),FALSE)))*AH885))</f>
        <v>#N/A</v>
      </c>
      <c r="AJ885" s="412" t="str">
        <f t="shared" ca="1" si="338"/>
        <v/>
      </c>
      <c r="AK885" s="413" t="str">
        <f>IFERROR(AE885/(Q_BRAND_FC!$T$24+1),"")</f>
        <v/>
      </c>
      <c r="AL885" s="88" t="str">
        <f t="shared" ca="1" si="339"/>
        <v/>
      </c>
      <c r="AM885" s="414" t="str">
        <f t="shared" ca="1" si="340"/>
        <v/>
      </c>
      <c r="AN885" s="58">
        <f>IFERROR(IF($V885="BRAND.com",HLOOKUP($X885&amp;$Z885,NWC_FC_NOOS!$C$4:$Q$23,MATCH(W885,NWC_FC_NOOS!$B$4:$B$23,0),FALSE),0),0)</f>
        <v>0</v>
      </c>
      <c r="AO885" s="57">
        <f>IFERROR(IF($V885="BRAND.com",HLOOKUP($X885&amp;$Z885,NWC_FC_NOOS!$T$4:$AH$23,MATCH(W885,NWC_FC_NOOS!$S$4:$S$23,0),FALSE),0),0)</f>
        <v>0</v>
      </c>
      <c r="AP885" s="57">
        <f>IFERROR(IF($V885="BRAND.com",HLOOKUP($X885&amp;$Z885,NWC_FC_NOOS!$C$50:$U$69,MATCH(W885,NWC_FC_NOOS!$B$50:$B$69,0),FALSE),0),0)</f>
        <v>0</v>
      </c>
      <c r="AQ885" s="58">
        <f>IFERROR(IF($V885="BRAND.com",HLOOKUP($X885&amp;$Z885,'NWC_FC_NON-NOOS'!$C$4:$Q$23,MATCH(W885,'NWC_FC_NON-NOOS'!$B$4:$B$23,0),FALSE),0),0)</f>
        <v>0</v>
      </c>
      <c r="AR885" s="57">
        <f>IFERROR(IF($V885="BRAND.com",HLOOKUP($X885&amp;$Z885,'NWC_FC_NON-NOOS'!$T$4:$AH$23,MATCH(W885,'NWC_FC_NON-NOOS'!$S$4:$S$23,0),FALSE),0),0)</f>
        <v>0</v>
      </c>
      <c r="AS885" s="57">
        <f>IFERROR(IF($V885="BRAND.com",HLOOKUP($X885&amp;$Z885,'NWC_FC_NON-NOOS'!$C$50:$U$69,MATCH(W885,'NWC_FC_NON-NOOS'!$B$50:$B$69,0),FALSE),0),0)</f>
        <v>0</v>
      </c>
      <c r="AT885" s="57">
        <f t="shared" si="342"/>
        <v>0</v>
      </c>
      <c r="AU885" s="57">
        <f t="shared" si="343"/>
        <v>0</v>
      </c>
      <c r="AV885" s="58">
        <f>IFERROR(IF($V885="BRAND.com",HLOOKUP($X885&amp;$Z885,PLANNING_FC!$BB$27:$BP$46,MATCH($W885,PLANNING_FC!$BA$27:$BA$46,0),FALSE),0),0)</f>
        <v>0</v>
      </c>
      <c r="AW885" s="58">
        <f>IFERROR(IF($V885="BRAND.com",HLOOKUP($X885&amp;$Z885,PLANNING_FC!$BB$4:$BP$23,MATCH($W885,PLANNING_FC!$BA$4:$BA$23,0),FALSE),0),0)</f>
        <v>0</v>
      </c>
      <c r="AX885" s="58">
        <f>IFERROR(IF($V885="BRAND.com",HLOOKUP($X885&amp;$Z885,PLANNING_FC!$T$27:$AH$46,MATCH($W885,PLANNING_FC!$B$27:$B$46,0),FALSE),0),0)</f>
        <v>0</v>
      </c>
      <c r="AY885" s="58">
        <f>IFERROR(IF($V885="BRAND.com",HLOOKUP($X885&amp;$Z885,PLANNING_FC!$T$4:$AH$23,MATCH($W885,PLANNING_FC!$B$4:$B$23,0),FALSE),0),0)</f>
        <v>0</v>
      </c>
      <c r="AZ885" s="58">
        <f>IFERROR(IF($V885="BRAND.com",HLOOKUP($X885&amp;$Z885,PLANNING_FC!$DA$27:$DO$46,MATCH($W885,PLANNING_FC!$CZ$27:$CZ$46,0),FALSE),0),0)</f>
        <v>0</v>
      </c>
      <c r="BA885" s="58">
        <f>IFERROR(IF($V885="BRAND.com",HLOOKUP($X885&amp;$Z885,PLANNING_FC!$DA$4:$DO$23,MATCH($W885,PLANNING_FC!$CZ$4:$CZ$23,0),FALSE),0),0)</f>
        <v>0</v>
      </c>
      <c r="BB885" s="883" t="str">
        <f>IF(V885="BRAND.com",IFERROR(HLOOKUP(X885&amp;Z885,PLANNING_FC!$AK$4:$AY$23,MATCH(W885,PLANNING_FC!$AJ$4:$AJ$23,0),FALSE)*1000,""),"")</f>
        <v/>
      </c>
      <c r="BC885" s="883" t="str">
        <f>IF(V885="BRAND.com",IFERROR(HLOOKUP(X885&amp;Z885,PLANNING_FC!$AK$27:$AY$46,MATCH(W885,PLANNING_FC!$AJ$27:$AJ$46,0),FALSE)*1000,""),"")</f>
        <v/>
      </c>
    </row>
    <row r="886" spans="14:55" x14ac:dyDescent="0.25">
      <c r="N886" s="56">
        <f t="shared" si="324"/>
        <v>0</v>
      </c>
      <c r="O886" s="57">
        <f t="shared" si="325"/>
        <v>0</v>
      </c>
      <c r="P886" s="57">
        <f ca="1">IFERROR(IF(ISBLANK(H886),SUMIFS($AC:$AC,$V:$V,V886,$W:$W,W886,$X:$X,X886,$Y:$Y,Y886)*J886/(1-J886)*VLOOKUP(_xlfn.CONCAT(C886,D886,E886,TIME!$M$12,Z886),HIS_SALES!$B$2:$W$4859,20,FALSE),AC886*J886/(1-J886)),0)</f>
        <v>0</v>
      </c>
      <c r="Q886" s="541" t="str">
        <f t="shared" si="326"/>
        <v/>
      </c>
      <c r="R886" s="346" t="str">
        <f t="shared" si="327"/>
        <v>00000</v>
      </c>
      <c r="S886" s="344">
        <f t="shared" si="328"/>
        <v>0</v>
      </c>
      <c r="T886" s="345" t="str">
        <f t="shared" si="341"/>
        <v>000</v>
      </c>
      <c r="U886" s="345">
        <f t="shared" si="329"/>
        <v>0</v>
      </c>
      <c r="V886" s="345">
        <f t="shared" si="330"/>
        <v>0</v>
      </c>
      <c r="W886" s="345">
        <f t="shared" si="331"/>
        <v>0</v>
      </c>
      <c r="X886" s="345">
        <f t="shared" si="332"/>
        <v>0</v>
      </c>
      <c r="Y886" s="345">
        <f t="shared" si="333"/>
        <v>0</v>
      </c>
      <c r="Z886" s="345">
        <f>IF(Q886&lt;&gt;"",VLOOKUP(Y886,TIME!$R$21:$V$24,MATCH(FC_DATA!Q886,TIME!$R$20:$V$20,0),FALSE),H886)</f>
        <v>0</v>
      </c>
      <c r="AA886" s="345" t="str">
        <f>IFERROR(VLOOKUP(X886&amp;Z886,TIME!$A$12:$D$71,4,FALSE),"")</f>
        <v/>
      </c>
      <c r="AB886" s="592">
        <f t="shared" ca="1" si="334"/>
        <v>0</v>
      </c>
      <c r="AC886" s="593" t="e">
        <f ca="1">IF(ISBLANK(H886)=FALSE,IF(D886="BRAND.com",I886,IF(ISNA(VLOOKUP(_xlfn.CONCAT(X886,Z886),TIME!$M$40:$M$42,1,FALSE)),I886,VLOOKUP(_xlfn.CONCAT(D886,G886,H886),M_BUSAREA_FC!$AF$5:$AJ$10,5,FALSE)*HLOOKUP(_xlfn.CONCAT(F886,H886),ST_OVERVIEW!$G$99:$I$130,MATCH(_xlfn.CONCAT(D886,E886),ST_OVERVIEW!$F$99:$F$130,0),FALSE))),IF(D886="BRAND.com",VLOOKUP(_xlfn.CONCAT(C886,D886,E886,TIME!$F$1,Z886),HIS_SALES!$B$2:$V$4859,19,FALSE)*I886,VLOOKUP(_xlfn.CONCAT(D886,F886,G886),Q_BUSAREA_FC!$AE$5:$AI$12,5,FALSE)*HLOOKUP(_xlfn.CONCAT(FC_DATA!F886,FC_DATA!G886),LT_OVERVIEW!$I$99:$M$130,MATCH(_xlfn.CONCAT(D886,FC_DATA!E886),LT_OVERVIEW!$H$99:$H$130,0),FALSE)*IFERROR(VLOOKUP(_xlfn.CONCAT(C886,D886,E886,TIME!$F$1,Z886),HIS_SALES!$B$2:$V$4859,19,FALSE),0)))</f>
        <v>#N/A</v>
      </c>
      <c r="AD886" s="341">
        <f t="shared" ca="1" si="335"/>
        <v>0</v>
      </c>
      <c r="AE886" s="363" t="str">
        <f t="shared" si="336"/>
        <v/>
      </c>
      <c r="AF886" s="342" t="str">
        <f t="shared" si="337"/>
        <v/>
      </c>
      <c r="AG886" s="411" t="e">
        <f ca="1">VLOOKUP(_xlfn.CONCAT(U886,V886,W886,VLOOKUP(X886&amp;Y886,TIME!$L$27:$O$34,4,FALSE),Y886),HIS_SALES!$A$2:$R$5093,18,FALSE)</f>
        <v>#N/A</v>
      </c>
      <c r="AH886" s="412" t="e">
        <f ca="1">IFERROR(IF(AND(V886=V885,W886=W885),0.5*(AB886+AB885)*AG886,(VLOOKUP(_xlfn.CONCAT(U886,V886,W886,X886,VLOOKUP(Z886,TIME!$S$28:$T$39,2,FALSE)),FC_DATA!$R$2:$AB$5000,MATCH("GS_I_M",FC_DATA!$R$1:$AB$1,0),FALSE)+FC_DATA!AB886)*0.5*FC_DATA!AG886),NA())</f>
        <v>#N/A</v>
      </c>
      <c r="AI886" s="491" t="e">
        <f ca="1">IF(V886="PARTNER.com",AH886,IF(AND(V886=V885,W886=W885),(1-AVERAGE(AD885,AD886))*AH886,(1-AVERAGE(AD886,VLOOKUP(_xlfn.CONCAT(U886,V886,W886,X886,M_BRAND_FC!$F$6),FC_DATA!$R$2:$AD$5000,MATCH("DISCOUNT_%_M",FC_DATA!$R$1:$AD$1,0),FALSE)))*AH886))</f>
        <v>#N/A</v>
      </c>
      <c r="AJ886" s="412" t="str">
        <f t="shared" ca="1" si="338"/>
        <v/>
      </c>
      <c r="AK886" s="413" t="str">
        <f>IFERROR(AE886/(Q_BRAND_FC!$T$24+1),"")</f>
        <v/>
      </c>
      <c r="AL886" s="88" t="str">
        <f t="shared" ca="1" si="339"/>
        <v/>
      </c>
      <c r="AM886" s="414" t="str">
        <f t="shared" ca="1" si="340"/>
        <v/>
      </c>
      <c r="AN886" s="58">
        <f>IFERROR(IF($V886="BRAND.com",HLOOKUP($X886&amp;$Z886,NWC_FC_NOOS!$C$4:$Q$23,MATCH(W886,NWC_FC_NOOS!$B$4:$B$23,0),FALSE),0),0)</f>
        <v>0</v>
      </c>
      <c r="AO886" s="57">
        <f>IFERROR(IF($V886="BRAND.com",HLOOKUP($X886&amp;$Z886,NWC_FC_NOOS!$T$4:$AH$23,MATCH(W886,NWC_FC_NOOS!$S$4:$S$23,0),FALSE),0),0)</f>
        <v>0</v>
      </c>
      <c r="AP886" s="57">
        <f>IFERROR(IF($V886="BRAND.com",HLOOKUP($X886&amp;$Z886,NWC_FC_NOOS!$C$50:$U$69,MATCH(W886,NWC_FC_NOOS!$B$50:$B$69,0),FALSE),0),0)</f>
        <v>0</v>
      </c>
      <c r="AQ886" s="58">
        <f>IFERROR(IF($V886="BRAND.com",HLOOKUP($X886&amp;$Z886,'NWC_FC_NON-NOOS'!$C$4:$Q$23,MATCH(W886,'NWC_FC_NON-NOOS'!$B$4:$B$23,0),FALSE),0),0)</f>
        <v>0</v>
      </c>
      <c r="AR886" s="57">
        <f>IFERROR(IF($V886="BRAND.com",HLOOKUP($X886&amp;$Z886,'NWC_FC_NON-NOOS'!$T$4:$AH$23,MATCH(W886,'NWC_FC_NON-NOOS'!$S$4:$S$23,0),FALSE),0),0)</f>
        <v>0</v>
      </c>
      <c r="AS886" s="57">
        <f>IFERROR(IF($V886="BRAND.com",HLOOKUP($X886&amp;$Z886,'NWC_FC_NON-NOOS'!$C$50:$U$69,MATCH(W886,'NWC_FC_NON-NOOS'!$B$50:$B$69,0),FALSE),0),0)</f>
        <v>0</v>
      </c>
      <c r="AT886" s="57">
        <f t="shared" si="342"/>
        <v>0</v>
      </c>
      <c r="AU886" s="57">
        <f t="shared" si="343"/>
        <v>0</v>
      </c>
      <c r="AV886" s="58">
        <f>IFERROR(IF($V886="BRAND.com",HLOOKUP($X886&amp;$Z886,PLANNING_FC!$BB$27:$BP$46,MATCH($W886,PLANNING_FC!$BA$27:$BA$46,0),FALSE),0),0)</f>
        <v>0</v>
      </c>
      <c r="AW886" s="58">
        <f>IFERROR(IF($V886="BRAND.com",HLOOKUP($X886&amp;$Z886,PLANNING_FC!$BB$4:$BP$23,MATCH($W886,PLANNING_FC!$BA$4:$BA$23,0),FALSE),0),0)</f>
        <v>0</v>
      </c>
      <c r="AX886" s="58">
        <f>IFERROR(IF($V886="BRAND.com",HLOOKUP($X886&amp;$Z886,PLANNING_FC!$T$27:$AH$46,MATCH($W886,PLANNING_FC!$B$27:$B$46,0),FALSE),0),0)</f>
        <v>0</v>
      </c>
      <c r="AY886" s="58">
        <f>IFERROR(IF($V886="BRAND.com",HLOOKUP($X886&amp;$Z886,PLANNING_FC!$T$4:$AH$23,MATCH($W886,PLANNING_FC!$B$4:$B$23,0),FALSE),0),0)</f>
        <v>0</v>
      </c>
      <c r="AZ886" s="58">
        <f>IFERROR(IF($V886="BRAND.com",HLOOKUP($X886&amp;$Z886,PLANNING_FC!$DA$27:$DO$46,MATCH($W886,PLANNING_FC!$CZ$27:$CZ$46,0),FALSE),0),0)</f>
        <v>0</v>
      </c>
      <c r="BA886" s="58">
        <f>IFERROR(IF($V886="BRAND.com",HLOOKUP($X886&amp;$Z886,PLANNING_FC!$DA$4:$DO$23,MATCH($W886,PLANNING_FC!$CZ$4:$CZ$23,0),FALSE),0),0)</f>
        <v>0</v>
      </c>
      <c r="BB886" s="883" t="str">
        <f>IF(V886="BRAND.com",IFERROR(HLOOKUP(X886&amp;Z886,PLANNING_FC!$AK$4:$AY$23,MATCH(W886,PLANNING_FC!$AJ$4:$AJ$23,0),FALSE)*1000,""),"")</f>
        <v/>
      </c>
      <c r="BC886" s="883" t="str">
        <f>IF(V886="BRAND.com",IFERROR(HLOOKUP(X886&amp;Z886,PLANNING_FC!$AK$27:$AY$46,MATCH(W886,PLANNING_FC!$AJ$27:$AJ$46,0),FALSE)*1000,""),"")</f>
        <v/>
      </c>
    </row>
    <row r="887" spans="14:55" x14ac:dyDescent="0.25">
      <c r="N887" s="56">
        <f t="shared" si="324"/>
        <v>0</v>
      </c>
      <c r="O887" s="57">
        <f t="shared" si="325"/>
        <v>0</v>
      </c>
      <c r="P887" s="57">
        <f ca="1">IFERROR(IF(ISBLANK(H887),SUMIFS($AC:$AC,$V:$V,V887,$W:$W,W887,$X:$X,X887,$Y:$Y,Y887)*J887/(1-J887)*VLOOKUP(_xlfn.CONCAT(C887,D887,E887,TIME!$M$12,Z887),HIS_SALES!$B$2:$W$4859,20,FALSE),AC887*J887/(1-J887)),0)</f>
        <v>0</v>
      </c>
      <c r="Q887" s="541" t="str">
        <f t="shared" si="326"/>
        <v/>
      </c>
      <c r="R887" s="346" t="str">
        <f t="shared" si="327"/>
        <v>00000</v>
      </c>
      <c r="S887" s="344">
        <f t="shared" si="328"/>
        <v>0</v>
      </c>
      <c r="T887" s="345" t="str">
        <f t="shared" si="341"/>
        <v>000</v>
      </c>
      <c r="U887" s="345">
        <f t="shared" si="329"/>
        <v>0</v>
      </c>
      <c r="V887" s="345">
        <f t="shared" si="330"/>
        <v>0</v>
      </c>
      <c r="W887" s="345">
        <f t="shared" si="331"/>
        <v>0</v>
      </c>
      <c r="X887" s="345">
        <f t="shared" si="332"/>
        <v>0</v>
      </c>
      <c r="Y887" s="345">
        <f t="shared" si="333"/>
        <v>0</v>
      </c>
      <c r="Z887" s="345">
        <f>IF(Q887&lt;&gt;"",VLOOKUP(Y887,TIME!$R$21:$V$24,MATCH(FC_DATA!Q887,TIME!$R$20:$V$20,0),FALSE),H887)</f>
        <v>0</v>
      </c>
      <c r="AA887" s="345" t="str">
        <f>IFERROR(VLOOKUP(X887&amp;Z887,TIME!$A$12:$D$71,4,FALSE),"")</f>
        <v/>
      </c>
      <c r="AB887" s="592">
        <f t="shared" ca="1" si="334"/>
        <v>0</v>
      </c>
      <c r="AC887" s="593" t="e">
        <f ca="1">IF(ISBLANK(H887)=FALSE,IF(D887="BRAND.com",I887,IF(ISNA(VLOOKUP(_xlfn.CONCAT(X887,Z887),TIME!$M$40:$M$42,1,FALSE)),I887,VLOOKUP(_xlfn.CONCAT(D887,G887,H887),M_BUSAREA_FC!$AF$5:$AJ$10,5,FALSE)*HLOOKUP(_xlfn.CONCAT(F887,H887),ST_OVERVIEW!$G$99:$I$130,MATCH(_xlfn.CONCAT(D887,E887),ST_OVERVIEW!$F$99:$F$130,0),FALSE))),IF(D887="BRAND.com",VLOOKUP(_xlfn.CONCAT(C887,D887,E887,TIME!$F$1,Z887),HIS_SALES!$B$2:$V$4859,19,FALSE)*I887,VLOOKUP(_xlfn.CONCAT(D887,F887,G887),Q_BUSAREA_FC!$AE$5:$AI$12,5,FALSE)*HLOOKUP(_xlfn.CONCAT(FC_DATA!F887,FC_DATA!G887),LT_OVERVIEW!$I$99:$M$130,MATCH(_xlfn.CONCAT(D887,FC_DATA!E887),LT_OVERVIEW!$H$99:$H$130,0),FALSE)*IFERROR(VLOOKUP(_xlfn.CONCAT(C887,D887,E887,TIME!$F$1,Z887),HIS_SALES!$B$2:$V$4859,19,FALSE),0)))</f>
        <v>#N/A</v>
      </c>
      <c r="AD887" s="341">
        <f t="shared" ca="1" si="335"/>
        <v>0</v>
      </c>
      <c r="AE887" s="363" t="str">
        <f t="shared" si="336"/>
        <v/>
      </c>
      <c r="AF887" s="342" t="str">
        <f t="shared" si="337"/>
        <v/>
      </c>
      <c r="AG887" s="411" t="e">
        <f ca="1">VLOOKUP(_xlfn.CONCAT(U887,V887,W887,VLOOKUP(X887&amp;Y887,TIME!$L$27:$O$34,4,FALSE),Y887),HIS_SALES!$A$2:$R$5093,18,FALSE)</f>
        <v>#N/A</v>
      </c>
      <c r="AH887" s="412" t="e">
        <f ca="1">IFERROR(IF(AND(V887=V886,W887=W886),0.5*(AB887+AB886)*AG887,(VLOOKUP(_xlfn.CONCAT(U887,V887,W887,X887,VLOOKUP(Z887,TIME!$S$28:$T$39,2,FALSE)),FC_DATA!$R$2:$AB$5000,MATCH("GS_I_M",FC_DATA!$R$1:$AB$1,0),FALSE)+FC_DATA!AB887)*0.5*FC_DATA!AG887),NA())</f>
        <v>#N/A</v>
      </c>
      <c r="AI887" s="491" t="e">
        <f ca="1">IF(V887="PARTNER.com",AH887,IF(AND(V887=V886,W887=W886),(1-AVERAGE(AD886,AD887))*AH887,(1-AVERAGE(AD887,VLOOKUP(_xlfn.CONCAT(U887,V887,W887,X887,M_BRAND_FC!$F$6),FC_DATA!$R$2:$AD$5000,MATCH("DISCOUNT_%_M",FC_DATA!$R$1:$AD$1,0),FALSE)))*AH887))</f>
        <v>#N/A</v>
      </c>
      <c r="AJ887" s="412" t="str">
        <f t="shared" ca="1" si="338"/>
        <v/>
      </c>
      <c r="AK887" s="413" t="str">
        <f>IFERROR(AE887/(Q_BRAND_FC!$T$24+1),"")</f>
        <v/>
      </c>
      <c r="AL887" s="88" t="str">
        <f t="shared" ca="1" si="339"/>
        <v/>
      </c>
      <c r="AM887" s="414" t="str">
        <f t="shared" ca="1" si="340"/>
        <v/>
      </c>
      <c r="AN887" s="58">
        <f>IFERROR(IF($V887="BRAND.com",HLOOKUP($X887&amp;$Z887,NWC_FC_NOOS!$C$4:$Q$23,MATCH(W887,NWC_FC_NOOS!$B$4:$B$23,0),FALSE),0),0)</f>
        <v>0</v>
      </c>
      <c r="AO887" s="57">
        <f>IFERROR(IF($V887="BRAND.com",HLOOKUP($X887&amp;$Z887,NWC_FC_NOOS!$T$4:$AH$23,MATCH(W887,NWC_FC_NOOS!$S$4:$S$23,0),FALSE),0),0)</f>
        <v>0</v>
      </c>
      <c r="AP887" s="57">
        <f>IFERROR(IF($V887="BRAND.com",HLOOKUP($X887&amp;$Z887,NWC_FC_NOOS!$C$50:$U$69,MATCH(W887,NWC_FC_NOOS!$B$50:$B$69,0),FALSE),0),0)</f>
        <v>0</v>
      </c>
      <c r="AQ887" s="58">
        <f>IFERROR(IF($V887="BRAND.com",HLOOKUP($X887&amp;$Z887,'NWC_FC_NON-NOOS'!$C$4:$Q$23,MATCH(W887,'NWC_FC_NON-NOOS'!$B$4:$B$23,0),FALSE),0),0)</f>
        <v>0</v>
      </c>
      <c r="AR887" s="57">
        <f>IFERROR(IF($V887="BRAND.com",HLOOKUP($X887&amp;$Z887,'NWC_FC_NON-NOOS'!$T$4:$AH$23,MATCH(W887,'NWC_FC_NON-NOOS'!$S$4:$S$23,0),FALSE),0),0)</f>
        <v>0</v>
      </c>
      <c r="AS887" s="57">
        <f>IFERROR(IF($V887="BRAND.com",HLOOKUP($X887&amp;$Z887,'NWC_FC_NON-NOOS'!$C$50:$U$69,MATCH(W887,'NWC_FC_NON-NOOS'!$B$50:$B$69,0),FALSE),0),0)</f>
        <v>0</v>
      </c>
      <c r="AT887" s="57">
        <f t="shared" si="342"/>
        <v>0</v>
      </c>
      <c r="AU887" s="57">
        <f t="shared" si="343"/>
        <v>0</v>
      </c>
      <c r="AV887" s="58">
        <f>IFERROR(IF($V887="BRAND.com",HLOOKUP($X887&amp;$Z887,PLANNING_FC!$BB$27:$BP$46,MATCH($W887,PLANNING_FC!$BA$27:$BA$46,0),FALSE),0),0)</f>
        <v>0</v>
      </c>
      <c r="AW887" s="58">
        <f>IFERROR(IF($V887="BRAND.com",HLOOKUP($X887&amp;$Z887,PLANNING_FC!$BB$4:$BP$23,MATCH($W887,PLANNING_FC!$BA$4:$BA$23,0),FALSE),0),0)</f>
        <v>0</v>
      </c>
      <c r="AX887" s="58">
        <f>IFERROR(IF($V887="BRAND.com",HLOOKUP($X887&amp;$Z887,PLANNING_FC!$T$27:$AH$46,MATCH($W887,PLANNING_FC!$B$27:$B$46,0),FALSE),0),0)</f>
        <v>0</v>
      </c>
      <c r="AY887" s="58">
        <f>IFERROR(IF($V887="BRAND.com",HLOOKUP($X887&amp;$Z887,PLANNING_FC!$T$4:$AH$23,MATCH($W887,PLANNING_FC!$B$4:$B$23,0),FALSE),0),0)</f>
        <v>0</v>
      </c>
      <c r="AZ887" s="58">
        <f>IFERROR(IF($V887="BRAND.com",HLOOKUP($X887&amp;$Z887,PLANNING_FC!$DA$27:$DO$46,MATCH($W887,PLANNING_FC!$CZ$27:$CZ$46,0),FALSE),0),0)</f>
        <v>0</v>
      </c>
      <c r="BA887" s="58">
        <f>IFERROR(IF($V887="BRAND.com",HLOOKUP($X887&amp;$Z887,PLANNING_FC!$DA$4:$DO$23,MATCH($W887,PLANNING_FC!$CZ$4:$CZ$23,0),FALSE),0),0)</f>
        <v>0</v>
      </c>
      <c r="BB887" s="883" t="str">
        <f>IF(V887="BRAND.com",IFERROR(HLOOKUP(X887&amp;Z887,PLANNING_FC!$AK$4:$AY$23,MATCH(W887,PLANNING_FC!$AJ$4:$AJ$23,0),FALSE)*1000,""),"")</f>
        <v/>
      </c>
      <c r="BC887" s="883" t="str">
        <f>IF(V887="BRAND.com",IFERROR(HLOOKUP(X887&amp;Z887,PLANNING_FC!$AK$27:$AY$46,MATCH(W887,PLANNING_FC!$AJ$27:$AJ$46,0),FALSE)*1000,""),"")</f>
        <v/>
      </c>
    </row>
    <row r="888" spans="14:55" x14ac:dyDescent="0.25">
      <c r="N888" s="56">
        <f t="shared" si="324"/>
        <v>0</v>
      </c>
      <c r="O888" s="57">
        <f t="shared" si="325"/>
        <v>0</v>
      </c>
      <c r="P888" s="57">
        <f ca="1">IFERROR(IF(ISBLANK(H888),SUMIFS($AC:$AC,$V:$V,V888,$W:$W,W888,$X:$X,X888,$Y:$Y,Y888)*J888/(1-J888)*VLOOKUP(_xlfn.CONCAT(C888,D888,E888,TIME!$M$12,Z888),HIS_SALES!$B$2:$W$4859,20,FALSE),AC888*J888/(1-J888)),0)</f>
        <v>0</v>
      </c>
      <c r="Q888" s="541" t="str">
        <f t="shared" si="326"/>
        <v/>
      </c>
      <c r="R888" s="346" t="str">
        <f t="shared" si="327"/>
        <v>00000</v>
      </c>
      <c r="S888" s="344">
        <f t="shared" si="328"/>
        <v>0</v>
      </c>
      <c r="T888" s="345" t="str">
        <f t="shared" si="341"/>
        <v>000</v>
      </c>
      <c r="U888" s="345">
        <f t="shared" si="329"/>
        <v>0</v>
      </c>
      <c r="V888" s="345">
        <f t="shared" si="330"/>
        <v>0</v>
      </c>
      <c r="W888" s="345">
        <f t="shared" si="331"/>
        <v>0</v>
      </c>
      <c r="X888" s="345">
        <f t="shared" si="332"/>
        <v>0</v>
      </c>
      <c r="Y888" s="345">
        <f t="shared" si="333"/>
        <v>0</v>
      </c>
      <c r="Z888" s="345">
        <f>IF(Q888&lt;&gt;"",VLOOKUP(Y888,TIME!$R$21:$V$24,MATCH(FC_DATA!Q888,TIME!$R$20:$V$20,0),FALSE),H888)</f>
        <v>0</v>
      </c>
      <c r="AA888" s="345" t="str">
        <f>IFERROR(VLOOKUP(X888&amp;Z888,TIME!$A$12:$D$71,4,FALSE),"")</f>
        <v/>
      </c>
      <c r="AB888" s="592">
        <f t="shared" ca="1" si="334"/>
        <v>0</v>
      </c>
      <c r="AC888" s="593" t="e">
        <f ca="1">IF(ISBLANK(H888)=FALSE,IF(D888="BRAND.com",I888,IF(ISNA(VLOOKUP(_xlfn.CONCAT(X888,Z888),TIME!$M$40:$M$42,1,FALSE)),I888,VLOOKUP(_xlfn.CONCAT(D888,G888,H888),M_BUSAREA_FC!$AF$5:$AJ$10,5,FALSE)*HLOOKUP(_xlfn.CONCAT(F888,H888),ST_OVERVIEW!$G$99:$I$130,MATCH(_xlfn.CONCAT(D888,E888),ST_OVERVIEW!$F$99:$F$130,0),FALSE))),IF(D888="BRAND.com",VLOOKUP(_xlfn.CONCAT(C888,D888,E888,TIME!$F$1,Z888),HIS_SALES!$B$2:$V$4859,19,FALSE)*I888,VLOOKUP(_xlfn.CONCAT(D888,F888,G888),Q_BUSAREA_FC!$AE$5:$AI$12,5,FALSE)*HLOOKUP(_xlfn.CONCAT(FC_DATA!F888,FC_DATA!G888),LT_OVERVIEW!$I$99:$M$130,MATCH(_xlfn.CONCAT(D888,FC_DATA!E888),LT_OVERVIEW!$H$99:$H$130,0),FALSE)*IFERROR(VLOOKUP(_xlfn.CONCAT(C888,D888,E888,TIME!$F$1,Z888),HIS_SALES!$B$2:$V$4859,19,FALSE),0)))</f>
        <v>#N/A</v>
      </c>
      <c r="AD888" s="341">
        <f t="shared" ca="1" si="335"/>
        <v>0</v>
      </c>
      <c r="AE888" s="363" t="str">
        <f t="shared" si="336"/>
        <v/>
      </c>
      <c r="AF888" s="342" t="str">
        <f t="shared" si="337"/>
        <v/>
      </c>
      <c r="AG888" s="411" t="e">
        <f ca="1">VLOOKUP(_xlfn.CONCAT(U888,V888,W888,VLOOKUP(X888&amp;Y888,TIME!$L$27:$O$34,4,FALSE),Y888),HIS_SALES!$A$2:$R$5093,18,FALSE)</f>
        <v>#N/A</v>
      </c>
      <c r="AH888" s="412" t="e">
        <f ca="1">IFERROR(IF(AND(V888=V887,W888=W887),0.5*(AB888+AB887)*AG888,(VLOOKUP(_xlfn.CONCAT(U888,V888,W888,X888,VLOOKUP(Z888,TIME!$S$28:$T$39,2,FALSE)),FC_DATA!$R$2:$AB$5000,MATCH("GS_I_M",FC_DATA!$R$1:$AB$1,0),FALSE)+FC_DATA!AB888)*0.5*FC_DATA!AG888),NA())</f>
        <v>#N/A</v>
      </c>
      <c r="AI888" s="491" t="e">
        <f ca="1">IF(V888="PARTNER.com",AH888,IF(AND(V888=V887,W888=W887),(1-AVERAGE(AD887,AD888))*AH888,(1-AVERAGE(AD888,VLOOKUP(_xlfn.CONCAT(U888,V888,W888,X888,M_BRAND_FC!$F$6),FC_DATA!$R$2:$AD$5000,MATCH("DISCOUNT_%_M",FC_DATA!$R$1:$AD$1,0),FALSE)))*AH888))</f>
        <v>#N/A</v>
      </c>
      <c r="AJ888" s="412" t="str">
        <f t="shared" ca="1" si="338"/>
        <v/>
      </c>
      <c r="AK888" s="413" t="str">
        <f>IFERROR(AE888/(Q_BRAND_FC!$T$24+1),"")</f>
        <v/>
      </c>
      <c r="AL888" s="88" t="str">
        <f t="shared" ca="1" si="339"/>
        <v/>
      </c>
      <c r="AM888" s="414" t="str">
        <f t="shared" ca="1" si="340"/>
        <v/>
      </c>
      <c r="AN888" s="58">
        <f>IFERROR(IF($V888="BRAND.com",HLOOKUP($X888&amp;$Z888,NWC_FC_NOOS!$C$4:$Q$23,MATCH(W888,NWC_FC_NOOS!$B$4:$B$23,0),FALSE),0),0)</f>
        <v>0</v>
      </c>
      <c r="AO888" s="57">
        <f>IFERROR(IF($V888="BRAND.com",HLOOKUP($X888&amp;$Z888,NWC_FC_NOOS!$T$4:$AH$23,MATCH(W888,NWC_FC_NOOS!$S$4:$S$23,0),FALSE),0),0)</f>
        <v>0</v>
      </c>
      <c r="AP888" s="57">
        <f>IFERROR(IF($V888="BRAND.com",HLOOKUP($X888&amp;$Z888,NWC_FC_NOOS!$C$50:$U$69,MATCH(W888,NWC_FC_NOOS!$B$50:$B$69,0),FALSE),0),0)</f>
        <v>0</v>
      </c>
      <c r="AQ888" s="58">
        <f>IFERROR(IF($V888="BRAND.com",HLOOKUP($X888&amp;$Z888,'NWC_FC_NON-NOOS'!$C$4:$Q$23,MATCH(W888,'NWC_FC_NON-NOOS'!$B$4:$B$23,0),FALSE),0),0)</f>
        <v>0</v>
      </c>
      <c r="AR888" s="57">
        <f>IFERROR(IF($V888="BRAND.com",HLOOKUP($X888&amp;$Z888,'NWC_FC_NON-NOOS'!$T$4:$AH$23,MATCH(W888,'NWC_FC_NON-NOOS'!$S$4:$S$23,0),FALSE),0),0)</f>
        <v>0</v>
      </c>
      <c r="AS888" s="57">
        <f>IFERROR(IF($V888="BRAND.com",HLOOKUP($X888&amp;$Z888,'NWC_FC_NON-NOOS'!$C$50:$U$69,MATCH(W888,'NWC_FC_NON-NOOS'!$B$50:$B$69,0),FALSE),0),0)</f>
        <v>0</v>
      </c>
      <c r="AT888" s="57">
        <f t="shared" si="342"/>
        <v>0</v>
      </c>
      <c r="AU888" s="57">
        <f t="shared" si="343"/>
        <v>0</v>
      </c>
      <c r="AV888" s="58">
        <f>IFERROR(IF($V888="BRAND.com",HLOOKUP($X888&amp;$Z888,PLANNING_FC!$BB$27:$BP$46,MATCH($W888,PLANNING_FC!$BA$27:$BA$46,0),FALSE),0),0)</f>
        <v>0</v>
      </c>
      <c r="AW888" s="58">
        <f>IFERROR(IF($V888="BRAND.com",HLOOKUP($X888&amp;$Z888,PLANNING_FC!$BB$4:$BP$23,MATCH($W888,PLANNING_FC!$BA$4:$BA$23,0),FALSE),0),0)</f>
        <v>0</v>
      </c>
      <c r="AX888" s="58">
        <f>IFERROR(IF($V888="BRAND.com",HLOOKUP($X888&amp;$Z888,PLANNING_FC!$T$27:$AH$46,MATCH($W888,PLANNING_FC!$B$27:$B$46,0),FALSE),0),0)</f>
        <v>0</v>
      </c>
      <c r="AY888" s="58">
        <f>IFERROR(IF($V888="BRAND.com",HLOOKUP($X888&amp;$Z888,PLANNING_FC!$T$4:$AH$23,MATCH($W888,PLANNING_FC!$B$4:$B$23,0),FALSE),0),0)</f>
        <v>0</v>
      </c>
      <c r="AZ888" s="58">
        <f>IFERROR(IF($V888="BRAND.com",HLOOKUP($X888&amp;$Z888,PLANNING_FC!$DA$27:$DO$46,MATCH($W888,PLANNING_FC!$CZ$27:$CZ$46,0),FALSE),0),0)</f>
        <v>0</v>
      </c>
      <c r="BA888" s="58">
        <f>IFERROR(IF($V888="BRAND.com",HLOOKUP($X888&amp;$Z888,PLANNING_FC!$DA$4:$DO$23,MATCH($W888,PLANNING_FC!$CZ$4:$CZ$23,0),FALSE),0),0)</f>
        <v>0</v>
      </c>
      <c r="BB888" s="883" t="str">
        <f>IF(V888="BRAND.com",IFERROR(HLOOKUP(X888&amp;Z888,PLANNING_FC!$AK$4:$AY$23,MATCH(W888,PLANNING_FC!$AJ$4:$AJ$23,0),FALSE)*1000,""),"")</f>
        <v/>
      </c>
      <c r="BC888" s="883" t="str">
        <f>IF(V888="BRAND.com",IFERROR(HLOOKUP(X888&amp;Z888,PLANNING_FC!$AK$27:$AY$46,MATCH(W888,PLANNING_FC!$AJ$27:$AJ$46,0),FALSE)*1000,""),"")</f>
        <v/>
      </c>
    </row>
    <row r="889" spans="14:55" x14ac:dyDescent="0.25">
      <c r="N889" s="56">
        <f t="shared" si="324"/>
        <v>0</v>
      </c>
      <c r="O889" s="57">
        <f t="shared" si="325"/>
        <v>0</v>
      </c>
      <c r="P889" s="57">
        <f ca="1">IFERROR(IF(ISBLANK(H889),SUMIFS($AC:$AC,$V:$V,V889,$W:$W,W889,$X:$X,X889,$Y:$Y,Y889)*J889/(1-J889)*VLOOKUP(_xlfn.CONCAT(C889,D889,E889,TIME!$M$12,Z889),HIS_SALES!$B$2:$W$4859,20,FALSE),AC889*J889/(1-J889)),0)</f>
        <v>0</v>
      </c>
      <c r="Q889" s="541" t="str">
        <f t="shared" si="326"/>
        <v/>
      </c>
      <c r="R889" s="346" t="str">
        <f t="shared" si="327"/>
        <v>00000</v>
      </c>
      <c r="S889" s="344">
        <f t="shared" si="328"/>
        <v>0</v>
      </c>
      <c r="T889" s="345" t="str">
        <f t="shared" si="341"/>
        <v>000</v>
      </c>
      <c r="U889" s="345">
        <f t="shared" si="329"/>
        <v>0</v>
      </c>
      <c r="V889" s="345">
        <f t="shared" si="330"/>
        <v>0</v>
      </c>
      <c r="W889" s="345">
        <f t="shared" si="331"/>
        <v>0</v>
      </c>
      <c r="X889" s="345">
        <f t="shared" si="332"/>
        <v>0</v>
      </c>
      <c r="Y889" s="345">
        <f t="shared" si="333"/>
        <v>0</v>
      </c>
      <c r="Z889" s="345">
        <f>IF(Q889&lt;&gt;"",VLOOKUP(Y889,TIME!$R$21:$V$24,MATCH(FC_DATA!Q889,TIME!$R$20:$V$20,0),FALSE),H889)</f>
        <v>0</v>
      </c>
      <c r="AA889" s="345" t="str">
        <f>IFERROR(VLOOKUP(X889&amp;Z889,TIME!$A$12:$D$71,4,FALSE),"")</f>
        <v/>
      </c>
      <c r="AB889" s="592">
        <f t="shared" ca="1" si="334"/>
        <v>0</v>
      </c>
      <c r="AC889" s="593" t="e">
        <f ca="1">IF(ISBLANK(H889)=FALSE,IF(D889="BRAND.com",I889,IF(ISNA(VLOOKUP(_xlfn.CONCAT(X889,Z889),TIME!$M$40:$M$42,1,FALSE)),I889,VLOOKUP(_xlfn.CONCAT(D889,G889,H889),M_BUSAREA_FC!$AF$5:$AJ$10,5,FALSE)*HLOOKUP(_xlfn.CONCAT(F889,H889),ST_OVERVIEW!$G$99:$I$130,MATCH(_xlfn.CONCAT(D889,E889),ST_OVERVIEW!$F$99:$F$130,0),FALSE))),IF(D889="BRAND.com",VLOOKUP(_xlfn.CONCAT(C889,D889,E889,TIME!$F$1,Z889),HIS_SALES!$B$2:$V$4859,19,FALSE)*I889,VLOOKUP(_xlfn.CONCAT(D889,F889,G889),Q_BUSAREA_FC!$AE$5:$AI$12,5,FALSE)*HLOOKUP(_xlfn.CONCAT(FC_DATA!F889,FC_DATA!G889),LT_OVERVIEW!$I$99:$M$130,MATCH(_xlfn.CONCAT(D889,FC_DATA!E889),LT_OVERVIEW!$H$99:$H$130,0),FALSE)*IFERROR(VLOOKUP(_xlfn.CONCAT(C889,D889,E889,TIME!$F$1,Z889),HIS_SALES!$B$2:$V$4859,19,FALSE),0)))</f>
        <v>#N/A</v>
      </c>
      <c r="AD889" s="341">
        <f t="shared" ca="1" si="335"/>
        <v>0</v>
      </c>
      <c r="AE889" s="363" t="str">
        <f t="shared" si="336"/>
        <v/>
      </c>
      <c r="AF889" s="342" t="str">
        <f t="shared" si="337"/>
        <v/>
      </c>
      <c r="AG889" s="411" t="e">
        <f ca="1">VLOOKUP(_xlfn.CONCAT(U889,V889,W889,VLOOKUP(X889&amp;Y889,TIME!$L$27:$O$34,4,FALSE),Y889),HIS_SALES!$A$2:$R$5093,18,FALSE)</f>
        <v>#N/A</v>
      </c>
      <c r="AH889" s="412" t="e">
        <f ca="1">IFERROR(IF(AND(V889=V888,W889=W888),0.5*(AB889+AB888)*AG889,(VLOOKUP(_xlfn.CONCAT(U889,V889,W889,X889,VLOOKUP(Z889,TIME!$S$28:$T$39,2,FALSE)),FC_DATA!$R$2:$AB$5000,MATCH("GS_I_M",FC_DATA!$R$1:$AB$1,0),FALSE)+FC_DATA!AB889)*0.5*FC_DATA!AG889),NA())</f>
        <v>#N/A</v>
      </c>
      <c r="AI889" s="491" t="e">
        <f ca="1">IF(V889="PARTNER.com",AH889,IF(AND(V889=V888,W889=W888),(1-AVERAGE(AD888,AD889))*AH889,(1-AVERAGE(AD889,VLOOKUP(_xlfn.CONCAT(U889,V889,W889,X889,M_BRAND_FC!$F$6),FC_DATA!$R$2:$AD$5000,MATCH("DISCOUNT_%_M",FC_DATA!$R$1:$AD$1,0),FALSE)))*AH889))</f>
        <v>#N/A</v>
      </c>
      <c r="AJ889" s="412" t="str">
        <f t="shared" ca="1" si="338"/>
        <v/>
      </c>
      <c r="AK889" s="413" t="str">
        <f>IFERROR(AE889/(Q_BRAND_FC!$T$24+1),"")</f>
        <v/>
      </c>
      <c r="AL889" s="88" t="str">
        <f t="shared" ca="1" si="339"/>
        <v/>
      </c>
      <c r="AM889" s="414" t="str">
        <f t="shared" ca="1" si="340"/>
        <v/>
      </c>
      <c r="AN889" s="58">
        <f>IFERROR(IF($V889="BRAND.com",HLOOKUP($X889&amp;$Z889,NWC_FC_NOOS!$C$4:$Q$23,MATCH(W889,NWC_FC_NOOS!$B$4:$B$23,0),FALSE),0),0)</f>
        <v>0</v>
      </c>
      <c r="AO889" s="57">
        <f>IFERROR(IF($V889="BRAND.com",HLOOKUP($X889&amp;$Z889,NWC_FC_NOOS!$T$4:$AH$23,MATCH(W889,NWC_FC_NOOS!$S$4:$S$23,0),FALSE),0),0)</f>
        <v>0</v>
      </c>
      <c r="AP889" s="57">
        <f>IFERROR(IF($V889="BRAND.com",HLOOKUP($X889&amp;$Z889,NWC_FC_NOOS!$C$50:$U$69,MATCH(W889,NWC_FC_NOOS!$B$50:$B$69,0),FALSE),0),0)</f>
        <v>0</v>
      </c>
      <c r="AQ889" s="58">
        <f>IFERROR(IF($V889="BRAND.com",HLOOKUP($X889&amp;$Z889,'NWC_FC_NON-NOOS'!$C$4:$Q$23,MATCH(W889,'NWC_FC_NON-NOOS'!$B$4:$B$23,0),FALSE),0),0)</f>
        <v>0</v>
      </c>
      <c r="AR889" s="57">
        <f>IFERROR(IF($V889="BRAND.com",HLOOKUP($X889&amp;$Z889,'NWC_FC_NON-NOOS'!$T$4:$AH$23,MATCH(W889,'NWC_FC_NON-NOOS'!$S$4:$S$23,0),FALSE),0),0)</f>
        <v>0</v>
      </c>
      <c r="AS889" s="57">
        <f>IFERROR(IF($V889="BRAND.com",HLOOKUP($X889&amp;$Z889,'NWC_FC_NON-NOOS'!$C$50:$U$69,MATCH(W889,'NWC_FC_NON-NOOS'!$B$50:$B$69,0),FALSE),0),0)</f>
        <v>0</v>
      </c>
      <c r="AT889" s="57">
        <f t="shared" si="342"/>
        <v>0</v>
      </c>
      <c r="AU889" s="57">
        <f t="shared" si="343"/>
        <v>0</v>
      </c>
      <c r="AV889" s="58">
        <f>IFERROR(IF($V889="BRAND.com",HLOOKUP($X889&amp;$Z889,PLANNING_FC!$BB$27:$BP$46,MATCH($W889,PLANNING_FC!$BA$27:$BA$46,0),FALSE),0),0)</f>
        <v>0</v>
      </c>
      <c r="AW889" s="58">
        <f>IFERROR(IF($V889="BRAND.com",HLOOKUP($X889&amp;$Z889,PLANNING_FC!$BB$4:$BP$23,MATCH($W889,PLANNING_FC!$BA$4:$BA$23,0),FALSE),0),0)</f>
        <v>0</v>
      </c>
      <c r="AX889" s="58">
        <f>IFERROR(IF($V889="BRAND.com",HLOOKUP($X889&amp;$Z889,PLANNING_FC!$T$27:$AH$46,MATCH($W889,PLANNING_FC!$B$27:$B$46,0),FALSE),0),0)</f>
        <v>0</v>
      </c>
      <c r="AY889" s="58">
        <f>IFERROR(IF($V889="BRAND.com",HLOOKUP($X889&amp;$Z889,PLANNING_FC!$T$4:$AH$23,MATCH($W889,PLANNING_FC!$B$4:$B$23,0),FALSE),0),0)</f>
        <v>0</v>
      </c>
      <c r="AZ889" s="58">
        <f>IFERROR(IF($V889="BRAND.com",HLOOKUP($X889&amp;$Z889,PLANNING_FC!$DA$27:$DO$46,MATCH($W889,PLANNING_FC!$CZ$27:$CZ$46,0),FALSE),0),0)</f>
        <v>0</v>
      </c>
      <c r="BA889" s="58">
        <f>IFERROR(IF($V889="BRAND.com",HLOOKUP($X889&amp;$Z889,PLANNING_FC!$DA$4:$DO$23,MATCH($W889,PLANNING_FC!$CZ$4:$CZ$23,0),FALSE),0),0)</f>
        <v>0</v>
      </c>
      <c r="BB889" s="883" t="str">
        <f>IF(V889="BRAND.com",IFERROR(HLOOKUP(X889&amp;Z889,PLANNING_FC!$AK$4:$AY$23,MATCH(W889,PLANNING_FC!$AJ$4:$AJ$23,0),FALSE)*1000,""),"")</f>
        <v/>
      </c>
      <c r="BC889" s="883" t="str">
        <f>IF(V889="BRAND.com",IFERROR(HLOOKUP(X889&amp;Z889,PLANNING_FC!$AK$27:$AY$46,MATCH(W889,PLANNING_FC!$AJ$27:$AJ$46,0),FALSE)*1000,""),"")</f>
        <v/>
      </c>
    </row>
    <row r="890" spans="14:55" x14ac:dyDescent="0.25">
      <c r="N890" s="56">
        <f t="shared" si="324"/>
        <v>0</v>
      </c>
      <c r="O890" s="57">
        <f t="shared" si="325"/>
        <v>0</v>
      </c>
      <c r="P890" s="57">
        <f ca="1">IFERROR(IF(ISBLANK(H890),SUMIFS($AC:$AC,$V:$V,V890,$W:$W,W890,$X:$X,X890,$Y:$Y,Y890)*J890/(1-J890)*VLOOKUP(_xlfn.CONCAT(C890,D890,E890,TIME!$M$12,Z890),HIS_SALES!$B$2:$W$4859,20,FALSE),AC890*J890/(1-J890)),0)</f>
        <v>0</v>
      </c>
      <c r="Q890" s="541" t="str">
        <f t="shared" si="326"/>
        <v/>
      </c>
      <c r="R890" s="346" t="str">
        <f t="shared" si="327"/>
        <v>00000</v>
      </c>
      <c r="S890" s="344">
        <f t="shared" si="328"/>
        <v>0</v>
      </c>
      <c r="T890" s="345" t="str">
        <f t="shared" si="341"/>
        <v>000</v>
      </c>
      <c r="U890" s="345">
        <f t="shared" si="329"/>
        <v>0</v>
      </c>
      <c r="V890" s="345">
        <f t="shared" si="330"/>
        <v>0</v>
      </c>
      <c r="W890" s="345">
        <f t="shared" si="331"/>
        <v>0</v>
      </c>
      <c r="X890" s="345">
        <f t="shared" si="332"/>
        <v>0</v>
      </c>
      <c r="Y890" s="345">
        <f t="shared" si="333"/>
        <v>0</v>
      </c>
      <c r="Z890" s="345">
        <f>IF(Q890&lt;&gt;"",VLOOKUP(Y890,TIME!$R$21:$V$24,MATCH(FC_DATA!Q890,TIME!$R$20:$V$20,0),FALSE),H890)</f>
        <v>0</v>
      </c>
      <c r="AA890" s="345" t="str">
        <f>IFERROR(VLOOKUP(X890&amp;Z890,TIME!$A$12:$D$71,4,FALSE),"")</f>
        <v/>
      </c>
      <c r="AB890" s="592">
        <f t="shared" ca="1" si="334"/>
        <v>0</v>
      </c>
      <c r="AC890" s="593" t="e">
        <f ca="1">IF(ISBLANK(H890)=FALSE,IF(D890="BRAND.com",I890,IF(ISNA(VLOOKUP(_xlfn.CONCAT(X890,Z890),TIME!$M$40:$M$42,1,FALSE)),I890,VLOOKUP(_xlfn.CONCAT(D890,G890,H890),M_BUSAREA_FC!$AF$5:$AJ$10,5,FALSE)*HLOOKUP(_xlfn.CONCAT(F890,H890),ST_OVERVIEW!$G$99:$I$130,MATCH(_xlfn.CONCAT(D890,E890),ST_OVERVIEW!$F$99:$F$130,0),FALSE))),IF(D890="BRAND.com",VLOOKUP(_xlfn.CONCAT(C890,D890,E890,TIME!$F$1,Z890),HIS_SALES!$B$2:$V$4859,19,FALSE)*I890,VLOOKUP(_xlfn.CONCAT(D890,F890,G890),Q_BUSAREA_FC!$AE$5:$AI$12,5,FALSE)*HLOOKUP(_xlfn.CONCAT(FC_DATA!F890,FC_DATA!G890),LT_OVERVIEW!$I$99:$M$130,MATCH(_xlfn.CONCAT(D890,FC_DATA!E890),LT_OVERVIEW!$H$99:$H$130,0),FALSE)*IFERROR(VLOOKUP(_xlfn.CONCAT(C890,D890,E890,TIME!$F$1,Z890),HIS_SALES!$B$2:$V$4859,19,FALSE),0)))</f>
        <v>#N/A</v>
      </c>
      <c r="AD890" s="341">
        <f t="shared" ca="1" si="335"/>
        <v>0</v>
      </c>
      <c r="AE890" s="363" t="str">
        <f t="shared" si="336"/>
        <v/>
      </c>
      <c r="AF890" s="342" t="str">
        <f t="shared" si="337"/>
        <v/>
      </c>
      <c r="AG890" s="411" t="e">
        <f ca="1">VLOOKUP(_xlfn.CONCAT(U890,V890,W890,VLOOKUP(X890&amp;Y890,TIME!$L$27:$O$34,4,FALSE),Y890),HIS_SALES!$A$2:$R$5093,18,FALSE)</f>
        <v>#N/A</v>
      </c>
      <c r="AH890" s="412" t="e">
        <f ca="1">IFERROR(IF(AND(V890=V889,W890=W889),0.5*(AB890+AB889)*AG890,(VLOOKUP(_xlfn.CONCAT(U890,V890,W890,X890,VLOOKUP(Z890,TIME!$S$28:$T$39,2,FALSE)),FC_DATA!$R$2:$AB$5000,MATCH("GS_I_M",FC_DATA!$R$1:$AB$1,0),FALSE)+FC_DATA!AB890)*0.5*FC_DATA!AG890),NA())</f>
        <v>#N/A</v>
      </c>
      <c r="AI890" s="491" t="e">
        <f ca="1">IF(V890="PARTNER.com",AH890,IF(AND(V890=V889,W890=W889),(1-AVERAGE(AD889,AD890))*AH890,(1-AVERAGE(AD890,VLOOKUP(_xlfn.CONCAT(U890,V890,W890,X890,M_BRAND_FC!$F$6),FC_DATA!$R$2:$AD$5000,MATCH("DISCOUNT_%_M",FC_DATA!$R$1:$AD$1,0),FALSE)))*AH890))</f>
        <v>#N/A</v>
      </c>
      <c r="AJ890" s="412" t="str">
        <f t="shared" ca="1" si="338"/>
        <v/>
      </c>
      <c r="AK890" s="413" t="str">
        <f>IFERROR(AE890/(Q_BRAND_FC!$T$24+1),"")</f>
        <v/>
      </c>
      <c r="AL890" s="88" t="str">
        <f t="shared" ca="1" si="339"/>
        <v/>
      </c>
      <c r="AM890" s="414" t="str">
        <f t="shared" ca="1" si="340"/>
        <v/>
      </c>
      <c r="AN890" s="58">
        <f>IFERROR(IF($V890="BRAND.com",HLOOKUP($X890&amp;$Z890,NWC_FC_NOOS!$C$4:$Q$23,MATCH(W890,NWC_FC_NOOS!$B$4:$B$23,0),FALSE),0),0)</f>
        <v>0</v>
      </c>
      <c r="AO890" s="57">
        <f>IFERROR(IF($V890="BRAND.com",HLOOKUP($X890&amp;$Z890,NWC_FC_NOOS!$T$4:$AH$23,MATCH(W890,NWC_FC_NOOS!$S$4:$S$23,0),FALSE),0),0)</f>
        <v>0</v>
      </c>
      <c r="AP890" s="57">
        <f>IFERROR(IF($V890="BRAND.com",HLOOKUP($X890&amp;$Z890,NWC_FC_NOOS!$C$50:$U$69,MATCH(W890,NWC_FC_NOOS!$B$50:$B$69,0),FALSE),0),0)</f>
        <v>0</v>
      </c>
      <c r="AQ890" s="58">
        <f>IFERROR(IF($V890="BRAND.com",HLOOKUP($X890&amp;$Z890,'NWC_FC_NON-NOOS'!$C$4:$Q$23,MATCH(W890,'NWC_FC_NON-NOOS'!$B$4:$B$23,0),FALSE),0),0)</f>
        <v>0</v>
      </c>
      <c r="AR890" s="57">
        <f>IFERROR(IF($V890="BRAND.com",HLOOKUP($X890&amp;$Z890,'NWC_FC_NON-NOOS'!$T$4:$AH$23,MATCH(W890,'NWC_FC_NON-NOOS'!$S$4:$S$23,0),FALSE),0),0)</f>
        <v>0</v>
      </c>
      <c r="AS890" s="57">
        <f>IFERROR(IF($V890="BRAND.com",HLOOKUP($X890&amp;$Z890,'NWC_FC_NON-NOOS'!$C$50:$U$69,MATCH(W890,'NWC_FC_NON-NOOS'!$B$50:$B$69,0),FALSE),0),0)</f>
        <v>0</v>
      </c>
      <c r="AT890" s="57">
        <f t="shared" si="342"/>
        <v>0</v>
      </c>
      <c r="AU890" s="57">
        <f t="shared" si="343"/>
        <v>0</v>
      </c>
      <c r="AV890" s="58">
        <f>IFERROR(IF($V890="BRAND.com",HLOOKUP($X890&amp;$Z890,PLANNING_FC!$BB$27:$BP$46,MATCH($W890,PLANNING_FC!$BA$27:$BA$46,0),FALSE),0),0)</f>
        <v>0</v>
      </c>
      <c r="AW890" s="58">
        <f>IFERROR(IF($V890="BRAND.com",HLOOKUP($X890&amp;$Z890,PLANNING_FC!$BB$4:$BP$23,MATCH($W890,PLANNING_FC!$BA$4:$BA$23,0),FALSE),0),0)</f>
        <v>0</v>
      </c>
      <c r="AX890" s="58">
        <f>IFERROR(IF($V890="BRAND.com",HLOOKUP($X890&amp;$Z890,PLANNING_FC!$T$27:$AH$46,MATCH($W890,PLANNING_FC!$B$27:$B$46,0),FALSE),0),0)</f>
        <v>0</v>
      </c>
      <c r="AY890" s="58">
        <f>IFERROR(IF($V890="BRAND.com",HLOOKUP($X890&amp;$Z890,PLANNING_FC!$T$4:$AH$23,MATCH($W890,PLANNING_FC!$B$4:$B$23,0),FALSE),0),0)</f>
        <v>0</v>
      </c>
      <c r="AZ890" s="58">
        <f>IFERROR(IF($V890="BRAND.com",HLOOKUP($X890&amp;$Z890,PLANNING_FC!$DA$27:$DO$46,MATCH($W890,PLANNING_FC!$CZ$27:$CZ$46,0),FALSE),0),0)</f>
        <v>0</v>
      </c>
      <c r="BA890" s="58">
        <f>IFERROR(IF($V890="BRAND.com",HLOOKUP($X890&amp;$Z890,PLANNING_FC!$DA$4:$DO$23,MATCH($W890,PLANNING_FC!$CZ$4:$CZ$23,0),FALSE),0),0)</f>
        <v>0</v>
      </c>
      <c r="BB890" s="883" t="str">
        <f>IF(V890="BRAND.com",IFERROR(HLOOKUP(X890&amp;Z890,PLANNING_FC!$AK$4:$AY$23,MATCH(W890,PLANNING_FC!$AJ$4:$AJ$23,0),FALSE)*1000,""),"")</f>
        <v/>
      </c>
      <c r="BC890" s="883" t="str">
        <f>IF(V890="BRAND.com",IFERROR(HLOOKUP(X890&amp;Z890,PLANNING_FC!$AK$27:$AY$46,MATCH(W890,PLANNING_FC!$AJ$27:$AJ$46,0),FALSE)*1000,""),"")</f>
        <v/>
      </c>
    </row>
    <row r="891" spans="14:55" x14ac:dyDescent="0.25">
      <c r="N891" s="56">
        <f t="shared" si="324"/>
        <v>0</v>
      </c>
      <c r="O891" s="57">
        <f t="shared" si="325"/>
        <v>0</v>
      </c>
      <c r="P891" s="57">
        <f ca="1">IFERROR(IF(ISBLANK(H891),SUMIFS($AC:$AC,$V:$V,V891,$W:$W,W891,$X:$X,X891,$Y:$Y,Y891)*J891/(1-J891)*VLOOKUP(_xlfn.CONCAT(C891,D891,E891,TIME!$M$12,Z891),HIS_SALES!$B$2:$W$4859,20,FALSE),AC891*J891/(1-J891)),0)</f>
        <v>0</v>
      </c>
      <c r="Q891" s="541" t="str">
        <f t="shared" si="326"/>
        <v/>
      </c>
      <c r="R891" s="346" t="str">
        <f t="shared" si="327"/>
        <v>00000</v>
      </c>
      <c r="S891" s="344">
        <f t="shared" si="328"/>
        <v>0</v>
      </c>
      <c r="T891" s="345" t="str">
        <f t="shared" si="341"/>
        <v>000</v>
      </c>
      <c r="U891" s="345">
        <f t="shared" si="329"/>
        <v>0</v>
      </c>
      <c r="V891" s="345">
        <f t="shared" si="330"/>
        <v>0</v>
      </c>
      <c r="W891" s="345">
        <f t="shared" si="331"/>
        <v>0</v>
      </c>
      <c r="X891" s="345">
        <f t="shared" si="332"/>
        <v>0</v>
      </c>
      <c r="Y891" s="345">
        <f t="shared" si="333"/>
        <v>0</v>
      </c>
      <c r="Z891" s="345">
        <f>IF(Q891&lt;&gt;"",VLOOKUP(Y891,TIME!$R$21:$V$24,MATCH(FC_DATA!Q891,TIME!$R$20:$V$20,0),FALSE),H891)</f>
        <v>0</v>
      </c>
      <c r="AA891" s="345" t="str">
        <f>IFERROR(VLOOKUP(X891&amp;Z891,TIME!$A$12:$D$71,4,FALSE),"")</f>
        <v/>
      </c>
      <c r="AB891" s="592">
        <f t="shared" ca="1" si="334"/>
        <v>0</v>
      </c>
      <c r="AC891" s="593" t="e">
        <f ca="1">IF(ISBLANK(H891)=FALSE,IF(D891="BRAND.com",I891,IF(ISNA(VLOOKUP(_xlfn.CONCAT(X891,Z891),TIME!$M$40:$M$42,1,FALSE)),I891,VLOOKUP(_xlfn.CONCAT(D891,G891,H891),M_BUSAREA_FC!$AF$5:$AJ$10,5,FALSE)*HLOOKUP(_xlfn.CONCAT(F891,H891),ST_OVERVIEW!$G$99:$I$130,MATCH(_xlfn.CONCAT(D891,E891),ST_OVERVIEW!$F$99:$F$130,0),FALSE))),IF(D891="BRAND.com",VLOOKUP(_xlfn.CONCAT(C891,D891,E891,TIME!$F$1,Z891),HIS_SALES!$B$2:$V$4859,19,FALSE)*I891,VLOOKUP(_xlfn.CONCAT(D891,F891,G891),Q_BUSAREA_FC!$AE$5:$AI$12,5,FALSE)*HLOOKUP(_xlfn.CONCAT(FC_DATA!F891,FC_DATA!G891),LT_OVERVIEW!$I$99:$M$130,MATCH(_xlfn.CONCAT(D891,FC_DATA!E891),LT_OVERVIEW!$H$99:$H$130,0),FALSE)*IFERROR(VLOOKUP(_xlfn.CONCAT(C891,D891,E891,TIME!$F$1,Z891),HIS_SALES!$B$2:$V$4859,19,FALSE),0)))</f>
        <v>#N/A</v>
      </c>
      <c r="AD891" s="341">
        <f t="shared" ca="1" si="335"/>
        <v>0</v>
      </c>
      <c r="AE891" s="363" t="str">
        <f t="shared" si="336"/>
        <v/>
      </c>
      <c r="AF891" s="342" t="str">
        <f t="shared" si="337"/>
        <v/>
      </c>
      <c r="AG891" s="411" t="e">
        <f ca="1">VLOOKUP(_xlfn.CONCAT(U891,V891,W891,VLOOKUP(X891&amp;Y891,TIME!$L$27:$O$34,4,FALSE),Y891),HIS_SALES!$A$2:$R$5093,18,FALSE)</f>
        <v>#N/A</v>
      </c>
      <c r="AH891" s="412" t="e">
        <f ca="1">IFERROR(IF(AND(V891=V890,W891=W890),0.5*(AB891+AB890)*AG891,(VLOOKUP(_xlfn.CONCAT(U891,V891,W891,X891,VLOOKUP(Z891,TIME!$S$28:$T$39,2,FALSE)),FC_DATA!$R$2:$AB$5000,MATCH("GS_I_M",FC_DATA!$R$1:$AB$1,0),FALSE)+FC_DATA!AB891)*0.5*FC_DATA!AG891),NA())</f>
        <v>#N/A</v>
      </c>
      <c r="AI891" s="491" t="e">
        <f ca="1">IF(V891="PARTNER.com",AH891,IF(AND(V891=V890,W891=W890),(1-AVERAGE(AD890,AD891))*AH891,(1-AVERAGE(AD891,VLOOKUP(_xlfn.CONCAT(U891,V891,W891,X891,M_BRAND_FC!$F$6),FC_DATA!$R$2:$AD$5000,MATCH("DISCOUNT_%_M",FC_DATA!$R$1:$AD$1,0),FALSE)))*AH891))</f>
        <v>#N/A</v>
      </c>
      <c r="AJ891" s="412" t="str">
        <f t="shared" ca="1" si="338"/>
        <v/>
      </c>
      <c r="AK891" s="413" t="str">
        <f>IFERROR(AE891/(Q_BRAND_FC!$T$24+1),"")</f>
        <v/>
      </c>
      <c r="AL891" s="88" t="str">
        <f t="shared" ca="1" si="339"/>
        <v/>
      </c>
      <c r="AM891" s="414" t="str">
        <f t="shared" ca="1" si="340"/>
        <v/>
      </c>
      <c r="AN891" s="58">
        <f>IFERROR(IF($V891="BRAND.com",HLOOKUP($X891&amp;$Z891,NWC_FC_NOOS!$C$4:$Q$23,MATCH(W891,NWC_FC_NOOS!$B$4:$B$23,0),FALSE),0),0)</f>
        <v>0</v>
      </c>
      <c r="AO891" s="57">
        <f>IFERROR(IF($V891="BRAND.com",HLOOKUP($X891&amp;$Z891,NWC_FC_NOOS!$T$4:$AH$23,MATCH(W891,NWC_FC_NOOS!$S$4:$S$23,0),FALSE),0),0)</f>
        <v>0</v>
      </c>
      <c r="AP891" s="57">
        <f>IFERROR(IF($V891="BRAND.com",HLOOKUP($X891&amp;$Z891,NWC_FC_NOOS!$C$50:$U$69,MATCH(W891,NWC_FC_NOOS!$B$50:$B$69,0),FALSE),0),0)</f>
        <v>0</v>
      </c>
      <c r="AQ891" s="58">
        <f>IFERROR(IF($V891="BRAND.com",HLOOKUP($X891&amp;$Z891,'NWC_FC_NON-NOOS'!$C$4:$Q$23,MATCH(W891,'NWC_FC_NON-NOOS'!$B$4:$B$23,0),FALSE),0),0)</f>
        <v>0</v>
      </c>
      <c r="AR891" s="57">
        <f>IFERROR(IF($V891="BRAND.com",HLOOKUP($X891&amp;$Z891,'NWC_FC_NON-NOOS'!$T$4:$AH$23,MATCH(W891,'NWC_FC_NON-NOOS'!$S$4:$S$23,0),FALSE),0),0)</f>
        <v>0</v>
      </c>
      <c r="AS891" s="57">
        <f>IFERROR(IF($V891="BRAND.com",HLOOKUP($X891&amp;$Z891,'NWC_FC_NON-NOOS'!$C$50:$U$69,MATCH(W891,'NWC_FC_NON-NOOS'!$B$50:$B$69,0),FALSE),0),0)</f>
        <v>0</v>
      </c>
      <c r="AT891" s="57">
        <f t="shared" si="342"/>
        <v>0</v>
      </c>
      <c r="AU891" s="57">
        <f t="shared" si="343"/>
        <v>0</v>
      </c>
      <c r="AV891" s="58">
        <f>IFERROR(IF($V891="BRAND.com",HLOOKUP($X891&amp;$Z891,PLANNING_FC!$BB$27:$BP$46,MATCH($W891,PLANNING_FC!$BA$27:$BA$46,0),FALSE),0),0)</f>
        <v>0</v>
      </c>
      <c r="AW891" s="58">
        <f>IFERROR(IF($V891="BRAND.com",HLOOKUP($X891&amp;$Z891,PLANNING_FC!$BB$4:$BP$23,MATCH($W891,PLANNING_FC!$BA$4:$BA$23,0),FALSE),0),0)</f>
        <v>0</v>
      </c>
      <c r="AX891" s="58">
        <f>IFERROR(IF($V891="BRAND.com",HLOOKUP($X891&amp;$Z891,PLANNING_FC!$T$27:$AH$46,MATCH($W891,PLANNING_FC!$B$27:$B$46,0),FALSE),0),0)</f>
        <v>0</v>
      </c>
      <c r="AY891" s="58">
        <f>IFERROR(IF($V891="BRAND.com",HLOOKUP($X891&amp;$Z891,PLANNING_FC!$T$4:$AH$23,MATCH($W891,PLANNING_FC!$B$4:$B$23,0),FALSE),0),0)</f>
        <v>0</v>
      </c>
      <c r="AZ891" s="58">
        <f>IFERROR(IF($V891="BRAND.com",HLOOKUP($X891&amp;$Z891,PLANNING_FC!$DA$27:$DO$46,MATCH($W891,PLANNING_FC!$CZ$27:$CZ$46,0),FALSE),0),0)</f>
        <v>0</v>
      </c>
      <c r="BA891" s="58">
        <f>IFERROR(IF($V891="BRAND.com",HLOOKUP($X891&amp;$Z891,PLANNING_FC!$DA$4:$DO$23,MATCH($W891,PLANNING_FC!$CZ$4:$CZ$23,0),FALSE),0),0)</f>
        <v>0</v>
      </c>
      <c r="BB891" s="883" t="str">
        <f>IF(V891="BRAND.com",IFERROR(HLOOKUP(X891&amp;Z891,PLANNING_FC!$AK$4:$AY$23,MATCH(W891,PLANNING_FC!$AJ$4:$AJ$23,0),FALSE)*1000,""),"")</f>
        <v/>
      </c>
      <c r="BC891" s="883" t="str">
        <f>IF(V891="BRAND.com",IFERROR(HLOOKUP(X891&amp;Z891,PLANNING_FC!$AK$27:$AY$46,MATCH(W891,PLANNING_FC!$AJ$27:$AJ$46,0),FALSE)*1000,""),"")</f>
        <v/>
      </c>
    </row>
    <row r="892" spans="14:55" x14ac:dyDescent="0.25">
      <c r="N892" s="56">
        <f t="shared" si="324"/>
        <v>0</v>
      </c>
      <c r="O892" s="57">
        <f t="shared" si="325"/>
        <v>0</v>
      </c>
      <c r="P892" s="57">
        <f ca="1">IFERROR(IF(ISBLANK(H892),SUMIFS($AC:$AC,$V:$V,V892,$W:$W,W892,$X:$X,X892,$Y:$Y,Y892)*J892/(1-J892)*VLOOKUP(_xlfn.CONCAT(C892,D892,E892,TIME!$M$12,Z892),HIS_SALES!$B$2:$W$4859,20,FALSE),AC892*J892/(1-J892)),0)</f>
        <v>0</v>
      </c>
      <c r="Q892" s="541" t="str">
        <f t="shared" si="326"/>
        <v/>
      </c>
      <c r="R892" s="346" t="str">
        <f t="shared" si="327"/>
        <v>00000</v>
      </c>
      <c r="S892" s="344">
        <f t="shared" si="328"/>
        <v>0</v>
      </c>
      <c r="T892" s="345" t="str">
        <f t="shared" si="341"/>
        <v>000</v>
      </c>
      <c r="U892" s="345">
        <f t="shared" si="329"/>
        <v>0</v>
      </c>
      <c r="V892" s="345">
        <f t="shared" si="330"/>
        <v>0</v>
      </c>
      <c r="W892" s="345">
        <f t="shared" si="331"/>
        <v>0</v>
      </c>
      <c r="X892" s="345">
        <f t="shared" si="332"/>
        <v>0</v>
      </c>
      <c r="Y892" s="345">
        <f t="shared" si="333"/>
        <v>0</v>
      </c>
      <c r="Z892" s="345">
        <f>IF(Q892&lt;&gt;"",VLOOKUP(Y892,TIME!$R$21:$V$24,MATCH(FC_DATA!Q892,TIME!$R$20:$V$20,0),FALSE),H892)</f>
        <v>0</v>
      </c>
      <c r="AA892" s="345" t="str">
        <f>IFERROR(VLOOKUP(X892&amp;Z892,TIME!$A$12:$D$71,4,FALSE),"")</f>
        <v/>
      </c>
      <c r="AB892" s="592">
        <f t="shared" ca="1" si="334"/>
        <v>0</v>
      </c>
      <c r="AC892" s="593" t="e">
        <f ca="1">IF(ISBLANK(H892)=FALSE,IF(D892="BRAND.com",I892,IF(ISNA(VLOOKUP(_xlfn.CONCAT(X892,Z892),TIME!$M$40:$M$42,1,FALSE)),I892,VLOOKUP(_xlfn.CONCAT(D892,G892,H892),M_BUSAREA_FC!$AF$5:$AJ$10,5,FALSE)*HLOOKUP(_xlfn.CONCAT(F892,H892),ST_OVERVIEW!$G$99:$I$130,MATCH(_xlfn.CONCAT(D892,E892),ST_OVERVIEW!$F$99:$F$130,0),FALSE))),IF(D892="BRAND.com",VLOOKUP(_xlfn.CONCAT(C892,D892,E892,TIME!$F$1,Z892),HIS_SALES!$B$2:$V$4859,19,FALSE)*I892,VLOOKUP(_xlfn.CONCAT(D892,F892,G892),Q_BUSAREA_FC!$AE$5:$AI$12,5,FALSE)*HLOOKUP(_xlfn.CONCAT(FC_DATA!F892,FC_DATA!G892),LT_OVERVIEW!$I$99:$M$130,MATCH(_xlfn.CONCAT(D892,FC_DATA!E892),LT_OVERVIEW!$H$99:$H$130,0),FALSE)*IFERROR(VLOOKUP(_xlfn.CONCAT(C892,D892,E892,TIME!$F$1,Z892),HIS_SALES!$B$2:$V$4859,19,FALSE),0)))</f>
        <v>#N/A</v>
      </c>
      <c r="AD892" s="341">
        <f t="shared" ca="1" si="335"/>
        <v>0</v>
      </c>
      <c r="AE892" s="363" t="str">
        <f t="shared" si="336"/>
        <v/>
      </c>
      <c r="AF892" s="342" t="str">
        <f t="shared" si="337"/>
        <v/>
      </c>
      <c r="AG892" s="411" t="e">
        <f ca="1">VLOOKUP(_xlfn.CONCAT(U892,V892,W892,VLOOKUP(X892&amp;Y892,TIME!$L$27:$O$34,4,FALSE),Y892),HIS_SALES!$A$2:$R$5093,18,FALSE)</f>
        <v>#N/A</v>
      </c>
      <c r="AH892" s="412" t="e">
        <f ca="1">IFERROR(IF(AND(V892=V891,W892=W891),0.5*(AB892+AB891)*AG892,(VLOOKUP(_xlfn.CONCAT(U892,V892,W892,X892,VLOOKUP(Z892,TIME!$S$28:$T$39,2,FALSE)),FC_DATA!$R$2:$AB$5000,MATCH("GS_I_M",FC_DATA!$R$1:$AB$1,0),FALSE)+FC_DATA!AB892)*0.5*FC_DATA!AG892),NA())</f>
        <v>#N/A</v>
      </c>
      <c r="AI892" s="491" t="e">
        <f ca="1">IF(V892="PARTNER.com",AH892,IF(AND(V892=V891,W892=W891),(1-AVERAGE(AD891,AD892))*AH892,(1-AVERAGE(AD892,VLOOKUP(_xlfn.CONCAT(U892,V892,W892,X892,M_BRAND_FC!$F$6),FC_DATA!$R$2:$AD$5000,MATCH("DISCOUNT_%_M",FC_DATA!$R$1:$AD$1,0),FALSE)))*AH892))</f>
        <v>#N/A</v>
      </c>
      <c r="AJ892" s="412" t="str">
        <f t="shared" ca="1" si="338"/>
        <v/>
      </c>
      <c r="AK892" s="413" t="str">
        <f>IFERROR(AE892/(Q_BRAND_FC!$T$24+1),"")</f>
        <v/>
      </c>
      <c r="AL892" s="88" t="str">
        <f t="shared" ca="1" si="339"/>
        <v/>
      </c>
      <c r="AM892" s="414" t="str">
        <f t="shared" ca="1" si="340"/>
        <v/>
      </c>
      <c r="AN892" s="58">
        <f>IFERROR(IF($V892="BRAND.com",HLOOKUP($X892&amp;$Z892,NWC_FC_NOOS!$C$4:$Q$23,MATCH(W892,NWC_FC_NOOS!$B$4:$B$23,0),FALSE),0),0)</f>
        <v>0</v>
      </c>
      <c r="AO892" s="57">
        <f>IFERROR(IF($V892="BRAND.com",HLOOKUP($X892&amp;$Z892,NWC_FC_NOOS!$T$4:$AH$23,MATCH(W892,NWC_FC_NOOS!$S$4:$S$23,0),FALSE),0),0)</f>
        <v>0</v>
      </c>
      <c r="AP892" s="57">
        <f>IFERROR(IF($V892="BRAND.com",HLOOKUP($X892&amp;$Z892,NWC_FC_NOOS!$C$50:$U$69,MATCH(W892,NWC_FC_NOOS!$B$50:$B$69,0),FALSE),0),0)</f>
        <v>0</v>
      </c>
      <c r="AQ892" s="58">
        <f>IFERROR(IF($V892="BRAND.com",HLOOKUP($X892&amp;$Z892,'NWC_FC_NON-NOOS'!$C$4:$Q$23,MATCH(W892,'NWC_FC_NON-NOOS'!$B$4:$B$23,0),FALSE),0),0)</f>
        <v>0</v>
      </c>
      <c r="AR892" s="57">
        <f>IFERROR(IF($V892="BRAND.com",HLOOKUP($X892&amp;$Z892,'NWC_FC_NON-NOOS'!$T$4:$AH$23,MATCH(W892,'NWC_FC_NON-NOOS'!$S$4:$S$23,0),FALSE),0),0)</f>
        <v>0</v>
      </c>
      <c r="AS892" s="57">
        <f>IFERROR(IF($V892="BRAND.com",HLOOKUP($X892&amp;$Z892,'NWC_FC_NON-NOOS'!$C$50:$U$69,MATCH(W892,'NWC_FC_NON-NOOS'!$B$50:$B$69,0),FALSE),0),0)</f>
        <v>0</v>
      </c>
      <c r="AT892" s="57">
        <f t="shared" si="342"/>
        <v>0</v>
      </c>
      <c r="AU892" s="57">
        <f t="shared" si="343"/>
        <v>0</v>
      </c>
      <c r="AV892" s="58">
        <f>IFERROR(IF($V892="BRAND.com",HLOOKUP($X892&amp;$Z892,PLANNING_FC!$BB$27:$BP$46,MATCH($W892,PLANNING_FC!$BA$27:$BA$46,0),FALSE),0),0)</f>
        <v>0</v>
      </c>
      <c r="AW892" s="58">
        <f>IFERROR(IF($V892="BRAND.com",HLOOKUP($X892&amp;$Z892,PLANNING_FC!$BB$4:$BP$23,MATCH($W892,PLANNING_FC!$BA$4:$BA$23,0),FALSE),0),0)</f>
        <v>0</v>
      </c>
      <c r="AX892" s="58">
        <f>IFERROR(IF($V892="BRAND.com",HLOOKUP($X892&amp;$Z892,PLANNING_FC!$T$27:$AH$46,MATCH($W892,PLANNING_FC!$B$27:$B$46,0),FALSE),0),0)</f>
        <v>0</v>
      </c>
      <c r="AY892" s="58">
        <f>IFERROR(IF($V892="BRAND.com",HLOOKUP($X892&amp;$Z892,PLANNING_FC!$T$4:$AH$23,MATCH($W892,PLANNING_FC!$B$4:$B$23,0),FALSE),0),0)</f>
        <v>0</v>
      </c>
      <c r="AZ892" s="58">
        <f>IFERROR(IF($V892="BRAND.com",HLOOKUP($X892&amp;$Z892,PLANNING_FC!$DA$27:$DO$46,MATCH($W892,PLANNING_FC!$CZ$27:$CZ$46,0),FALSE),0),0)</f>
        <v>0</v>
      </c>
      <c r="BA892" s="58">
        <f>IFERROR(IF($V892="BRAND.com",HLOOKUP($X892&amp;$Z892,PLANNING_FC!$DA$4:$DO$23,MATCH($W892,PLANNING_FC!$CZ$4:$CZ$23,0),FALSE),0),0)</f>
        <v>0</v>
      </c>
      <c r="BB892" s="883" t="str">
        <f>IF(V892="BRAND.com",IFERROR(HLOOKUP(X892&amp;Z892,PLANNING_FC!$AK$4:$AY$23,MATCH(W892,PLANNING_FC!$AJ$4:$AJ$23,0),FALSE)*1000,""),"")</f>
        <v/>
      </c>
      <c r="BC892" s="883" t="str">
        <f>IF(V892="BRAND.com",IFERROR(HLOOKUP(X892&amp;Z892,PLANNING_FC!$AK$27:$AY$46,MATCH(W892,PLANNING_FC!$AJ$27:$AJ$46,0),FALSE)*1000,""),"")</f>
        <v/>
      </c>
    </row>
    <row r="893" spans="14:55" x14ac:dyDescent="0.25">
      <c r="N893" s="56">
        <f t="shared" si="324"/>
        <v>0</v>
      </c>
      <c r="O893" s="57">
        <f t="shared" si="325"/>
        <v>0</v>
      </c>
      <c r="P893" s="57">
        <f ca="1">IFERROR(IF(ISBLANK(H893),SUMIFS($AC:$AC,$V:$V,V893,$W:$W,W893,$X:$X,X893,$Y:$Y,Y893)*J893/(1-J893)*VLOOKUP(_xlfn.CONCAT(C893,D893,E893,TIME!$M$12,Z893),HIS_SALES!$B$2:$W$4859,20,FALSE),AC893*J893/(1-J893)),0)</f>
        <v>0</v>
      </c>
      <c r="Q893" s="541" t="str">
        <f t="shared" si="326"/>
        <v/>
      </c>
      <c r="R893" s="346" t="str">
        <f t="shared" si="327"/>
        <v>00000</v>
      </c>
      <c r="S893" s="344">
        <f t="shared" si="328"/>
        <v>0</v>
      </c>
      <c r="T893" s="345" t="str">
        <f t="shared" si="341"/>
        <v>000</v>
      </c>
      <c r="U893" s="345">
        <f t="shared" si="329"/>
        <v>0</v>
      </c>
      <c r="V893" s="345">
        <f t="shared" si="330"/>
        <v>0</v>
      </c>
      <c r="W893" s="345">
        <f t="shared" si="331"/>
        <v>0</v>
      </c>
      <c r="X893" s="345">
        <f t="shared" si="332"/>
        <v>0</v>
      </c>
      <c r="Y893" s="345">
        <f t="shared" si="333"/>
        <v>0</v>
      </c>
      <c r="Z893" s="345">
        <f>IF(Q893&lt;&gt;"",VLOOKUP(Y893,TIME!$R$21:$V$24,MATCH(FC_DATA!Q893,TIME!$R$20:$V$20,0),FALSE),H893)</f>
        <v>0</v>
      </c>
      <c r="AA893" s="345" t="str">
        <f>IFERROR(VLOOKUP(X893&amp;Z893,TIME!$A$12:$D$71,4,FALSE),"")</f>
        <v/>
      </c>
      <c r="AB893" s="592">
        <f t="shared" ca="1" si="334"/>
        <v>0</v>
      </c>
      <c r="AC893" s="593" t="e">
        <f ca="1">IF(ISBLANK(H893)=FALSE,IF(D893="BRAND.com",I893,IF(ISNA(VLOOKUP(_xlfn.CONCAT(X893,Z893),TIME!$M$40:$M$42,1,FALSE)),I893,VLOOKUP(_xlfn.CONCAT(D893,G893,H893),M_BUSAREA_FC!$AF$5:$AJ$10,5,FALSE)*HLOOKUP(_xlfn.CONCAT(F893,H893),ST_OVERVIEW!$G$99:$I$130,MATCH(_xlfn.CONCAT(D893,E893),ST_OVERVIEW!$F$99:$F$130,0),FALSE))),IF(D893="BRAND.com",VLOOKUP(_xlfn.CONCAT(C893,D893,E893,TIME!$F$1,Z893),HIS_SALES!$B$2:$V$4859,19,FALSE)*I893,VLOOKUP(_xlfn.CONCAT(D893,F893,G893),Q_BUSAREA_FC!$AE$5:$AI$12,5,FALSE)*HLOOKUP(_xlfn.CONCAT(FC_DATA!F893,FC_DATA!G893),LT_OVERVIEW!$I$99:$M$130,MATCH(_xlfn.CONCAT(D893,FC_DATA!E893),LT_OVERVIEW!$H$99:$H$130,0),FALSE)*IFERROR(VLOOKUP(_xlfn.CONCAT(C893,D893,E893,TIME!$F$1,Z893),HIS_SALES!$B$2:$V$4859,19,FALSE),0)))</f>
        <v>#N/A</v>
      </c>
      <c r="AD893" s="341">
        <f t="shared" ca="1" si="335"/>
        <v>0</v>
      </c>
      <c r="AE893" s="363" t="str">
        <f t="shared" si="336"/>
        <v/>
      </c>
      <c r="AF893" s="342" t="str">
        <f t="shared" si="337"/>
        <v/>
      </c>
      <c r="AG893" s="411" t="e">
        <f ca="1">VLOOKUP(_xlfn.CONCAT(U893,V893,W893,VLOOKUP(X893&amp;Y893,TIME!$L$27:$O$34,4,FALSE),Y893),HIS_SALES!$A$2:$R$5093,18,FALSE)</f>
        <v>#N/A</v>
      </c>
      <c r="AH893" s="412" t="e">
        <f ca="1">IFERROR(IF(AND(V893=V892,W893=W892),0.5*(AB893+AB892)*AG893,(VLOOKUP(_xlfn.CONCAT(U893,V893,W893,X893,VLOOKUP(Z893,TIME!$S$28:$T$39,2,FALSE)),FC_DATA!$R$2:$AB$5000,MATCH("GS_I_M",FC_DATA!$R$1:$AB$1,0),FALSE)+FC_DATA!AB893)*0.5*FC_DATA!AG893),NA())</f>
        <v>#N/A</v>
      </c>
      <c r="AI893" s="491" t="e">
        <f ca="1">IF(V893="PARTNER.com",AH893,IF(AND(V893=V892,W893=W892),(1-AVERAGE(AD892,AD893))*AH893,(1-AVERAGE(AD893,VLOOKUP(_xlfn.CONCAT(U893,V893,W893,X893,M_BRAND_FC!$F$6),FC_DATA!$R$2:$AD$5000,MATCH("DISCOUNT_%_M",FC_DATA!$R$1:$AD$1,0),FALSE)))*AH893))</f>
        <v>#N/A</v>
      </c>
      <c r="AJ893" s="412" t="str">
        <f t="shared" ca="1" si="338"/>
        <v/>
      </c>
      <c r="AK893" s="413" t="str">
        <f>IFERROR(AE893/(Q_BRAND_FC!$T$24+1),"")</f>
        <v/>
      </c>
      <c r="AL893" s="88" t="str">
        <f t="shared" ca="1" si="339"/>
        <v/>
      </c>
      <c r="AM893" s="414" t="str">
        <f t="shared" ca="1" si="340"/>
        <v/>
      </c>
      <c r="AN893" s="58">
        <f>IFERROR(IF($V893="BRAND.com",HLOOKUP($X893&amp;$Z893,NWC_FC_NOOS!$C$4:$Q$23,MATCH(W893,NWC_FC_NOOS!$B$4:$B$23,0),FALSE),0),0)</f>
        <v>0</v>
      </c>
      <c r="AO893" s="57">
        <f>IFERROR(IF($V893="BRAND.com",HLOOKUP($X893&amp;$Z893,NWC_FC_NOOS!$T$4:$AH$23,MATCH(W893,NWC_FC_NOOS!$S$4:$S$23,0),FALSE),0),0)</f>
        <v>0</v>
      </c>
      <c r="AP893" s="57">
        <f>IFERROR(IF($V893="BRAND.com",HLOOKUP($X893&amp;$Z893,NWC_FC_NOOS!$C$50:$U$69,MATCH(W893,NWC_FC_NOOS!$B$50:$B$69,0),FALSE),0),0)</f>
        <v>0</v>
      </c>
      <c r="AQ893" s="58">
        <f>IFERROR(IF($V893="BRAND.com",HLOOKUP($X893&amp;$Z893,'NWC_FC_NON-NOOS'!$C$4:$Q$23,MATCH(W893,'NWC_FC_NON-NOOS'!$B$4:$B$23,0),FALSE),0),0)</f>
        <v>0</v>
      </c>
      <c r="AR893" s="57">
        <f>IFERROR(IF($V893="BRAND.com",HLOOKUP($X893&amp;$Z893,'NWC_FC_NON-NOOS'!$T$4:$AH$23,MATCH(W893,'NWC_FC_NON-NOOS'!$S$4:$S$23,0),FALSE),0),0)</f>
        <v>0</v>
      </c>
      <c r="AS893" s="57">
        <f>IFERROR(IF($V893="BRAND.com",HLOOKUP($X893&amp;$Z893,'NWC_FC_NON-NOOS'!$C$50:$U$69,MATCH(W893,'NWC_FC_NON-NOOS'!$B$50:$B$69,0),FALSE),0),0)</f>
        <v>0</v>
      </c>
      <c r="AT893" s="57">
        <f t="shared" si="342"/>
        <v>0</v>
      </c>
      <c r="AU893" s="57">
        <f t="shared" si="343"/>
        <v>0</v>
      </c>
      <c r="AV893" s="58">
        <f>IFERROR(IF($V893="BRAND.com",HLOOKUP($X893&amp;$Z893,PLANNING_FC!$BB$27:$BP$46,MATCH($W893,PLANNING_FC!$BA$27:$BA$46,0),FALSE),0),0)</f>
        <v>0</v>
      </c>
      <c r="AW893" s="58">
        <f>IFERROR(IF($V893="BRAND.com",HLOOKUP($X893&amp;$Z893,PLANNING_FC!$BB$4:$BP$23,MATCH($W893,PLANNING_FC!$BA$4:$BA$23,0),FALSE),0),0)</f>
        <v>0</v>
      </c>
      <c r="AX893" s="58">
        <f>IFERROR(IF($V893="BRAND.com",HLOOKUP($X893&amp;$Z893,PLANNING_FC!$T$27:$AH$46,MATCH($W893,PLANNING_FC!$B$27:$B$46,0),FALSE),0),0)</f>
        <v>0</v>
      </c>
      <c r="AY893" s="58">
        <f>IFERROR(IF($V893="BRAND.com",HLOOKUP($X893&amp;$Z893,PLANNING_FC!$T$4:$AH$23,MATCH($W893,PLANNING_FC!$B$4:$B$23,0),FALSE),0),0)</f>
        <v>0</v>
      </c>
      <c r="AZ893" s="58">
        <f>IFERROR(IF($V893="BRAND.com",HLOOKUP($X893&amp;$Z893,PLANNING_FC!$DA$27:$DO$46,MATCH($W893,PLANNING_FC!$CZ$27:$CZ$46,0),FALSE),0),0)</f>
        <v>0</v>
      </c>
      <c r="BA893" s="58">
        <f>IFERROR(IF($V893="BRAND.com",HLOOKUP($X893&amp;$Z893,PLANNING_FC!$DA$4:$DO$23,MATCH($W893,PLANNING_FC!$CZ$4:$CZ$23,0),FALSE),0),0)</f>
        <v>0</v>
      </c>
      <c r="BB893" s="883" t="str">
        <f>IF(V893="BRAND.com",IFERROR(HLOOKUP(X893&amp;Z893,PLANNING_FC!$AK$4:$AY$23,MATCH(W893,PLANNING_FC!$AJ$4:$AJ$23,0),FALSE)*1000,""),"")</f>
        <v/>
      </c>
      <c r="BC893" s="883" t="str">
        <f>IF(V893="BRAND.com",IFERROR(HLOOKUP(X893&amp;Z893,PLANNING_FC!$AK$27:$AY$46,MATCH(W893,PLANNING_FC!$AJ$27:$AJ$46,0),FALSE)*1000,""),"")</f>
        <v/>
      </c>
    </row>
    <row r="894" spans="14:55" x14ac:dyDescent="0.25">
      <c r="N894" s="56">
        <f t="shared" si="324"/>
        <v>0</v>
      </c>
      <c r="O894" s="57">
        <f t="shared" si="325"/>
        <v>0</v>
      </c>
      <c r="P894" s="57">
        <f ca="1">IFERROR(IF(ISBLANK(H894),SUMIFS($AC:$AC,$V:$V,V894,$W:$W,W894,$X:$X,X894,$Y:$Y,Y894)*J894/(1-J894)*VLOOKUP(_xlfn.CONCAT(C894,D894,E894,TIME!$M$12,Z894),HIS_SALES!$B$2:$W$4859,20,FALSE),AC894*J894/(1-J894)),0)</f>
        <v>0</v>
      </c>
      <c r="Q894" s="541" t="str">
        <f t="shared" si="326"/>
        <v/>
      </c>
      <c r="R894" s="346" t="str">
        <f t="shared" si="327"/>
        <v>00000</v>
      </c>
      <c r="S894" s="344">
        <f t="shared" si="328"/>
        <v>0</v>
      </c>
      <c r="T894" s="345" t="str">
        <f t="shared" si="341"/>
        <v>000</v>
      </c>
      <c r="U894" s="345">
        <f t="shared" si="329"/>
        <v>0</v>
      </c>
      <c r="V894" s="345">
        <f t="shared" si="330"/>
        <v>0</v>
      </c>
      <c r="W894" s="345">
        <f t="shared" si="331"/>
        <v>0</v>
      </c>
      <c r="X894" s="345">
        <f t="shared" si="332"/>
        <v>0</v>
      </c>
      <c r="Y894" s="345">
        <f t="shared" si="333"/>
        <v>0</v>
      </c>
      <c r="Z894" s="345">
        <f>IF(Q894&lt;&gt;"",VLOOKUP(Y894,TIME!$R$21:$V$24,MATCH(FC_DATA!Q894,TIME!$R$20:$V$20,0),FALSE),H894)</f>
        <v>0</v>
      </c>
      <c r="AA894" s="345" t="str">
        <f>IFERROR(VLOOKUP(X894&amp;Z894,TIME!$A$12:$D$71,4,FALSE),"")</f>
        <v/>
      </c>
      <c r="AB894" s="592">
        <f t="shared" ca="1" si="334"/>
        <v>0</v>
      </c>
      <c r="AC894" s="593" t="e">
        <f ca="1">IF(ISBLANK(H894)=FALSE,IF(D894="BRAND.com",I894,IF(ISNA(VLOOKUP(_xlfn.CONCAT(X894,Z894),TIME!$M$40:$M$42,1,FALSE)),I894,VLOOKUP(_xlfn.CONCAT(D894,G894,H894),M_BUSAREA_FC!$AF$5:$AJ$10,5,FALSE)*HLOOKUP(_xlfn.CONCAT(F894,H894),ST_OVERVIEW!$G$99:$I$130,MATCH(_xlfn.CONCAT(D894,E894),ST_OVERVIEW!$F$99:$F$130,0),FALSE))),IF(D894="BRAND.com",VLOOKUP(_xlfn.CONCAT(C894,D894,E894,TIME!$F$1,Z894),HIS_SALES!$B$2:$V$4859,19,FALSE)*I894,VLOOKUP(_xlfn.CONCAT(D894,F894,G894),Q_BUSAREA_FC!$AE$5:$AI$12,5,FALSE)*HLOOKUP(_xlfn.CONCAT(FC_DATA!F894,FC_DATA!G894),LT_OVERVIEW!$I$99:$M$130,MATCH(_xlfn.CONCAT(D894,FC_DATA!E894),LT_OVERVIEW!$H$99:$H$130,0),FALSE)*IFERROR(VLOOKUP(_xlfn.CONCAT(C894,D894,E894,TIME!$F$1,Z894),HIS_SALES!$B$2:$V$4859,19,FALSE),0)))</f>
        <v>#N/A</v>
      </c>
      <c r="AD894" s="341">
        <f t="shared" ca="1" si="335"/>
        <v>0</v>
      </c>
      <c r="AE894" s="363" t="str">
        <f t="shared" si="336"/>
        <v/>
      </c>
      <c r="AF894" s="342" t="str">
        <f t="shared" si="337"/>
        <v/>
      </c>
      <c r="AG894" s="411" t="e">
        <f ca="1">VLOOKUP(_xlfn.CONCAT(U894,V894,W894,VLOOKUP(X894&amp;Y894,TIME!$L$27:$O$34,4,FALSE),Y894),HIS_SALES!$A$2:$R$5093,18,FALSE)</f>
        <v>#N/A</v>
      </c>
      <c r="AH894" s="412" t="e">
        <f ca="1">IFERROR(IF(AND(V894=V893,W894=W893),0.5*(AB894+AB893)*AG894,(VLOOKUP(_xlfn.CONCAT(U894,V894,W894,X894,VLOOKUP(Z894,TIME!$S$28:$T$39,2,FALSE)),FC_DATA!$R$2:$AB$5000,MATCH("GS_I_M",FC_DATA!$R$1:$AB$1,0),FALSE)+FC_DATA!AB894)*0.5*FC_DATA!AG894),NA())</f>
        <v>#N/A</v>
      </c>
      <c r="AI894" s="491" t="e">
        <f ca="1">IF(V894="PARTNER.com",AH894,IF(AND(V894=V893,W894=W893),(1-AVERAGE(AD893,AD894))*AH894,(1-AVERAGE(AD894,VLOOKUP(_xlfn.CONCAT(U894,V894,W894,X894,M_BRAND_FC!$F$6),FC_DATA!$R$2:$AD$5000,MATCH("DISCOUNT_%_M",FC_DATA!$R$1:$AD$1,0),FALSE)))*AH894))</f>
        <v>#N/A</v>
      </c>
      <c r="AJ894" s="412" t="str">
        <f t="shared" ca="1" si="338"/>
        <v/>
      </c>
      <c r="AK894" s="413" t="str">
        <f>IFERROR(AE894/(Q_BRAND_FC!$T$24+1),"")</f>
        <v/>
      </c>
      <c r="AL894" s="88" t="str">
        <f t="shared" ca="1" si="339"/>
        <v/>
      </c>
      <c r="AM894" s="414" t="str">
        <f t="shared" ca="1" si="340"/>
        <v/>
      </c>
      <c r="AN894" s="58">
        <f>IFERROR(IF($V894="BRAND.com",HLOOKUP($X894&amp;$Z894,NWC_FC_NOOS!$C$4:$Q$23,MATCH(W894,NWC_FC_NOOS!$B$4:$B$23,0),FALSE),0),0)</f>
        <v>0</v>
      </c>
      <c r="AO894" s="57">
        <f>IFERROR(IF($V894="BRAND.com",HLOOKUP($X894&amp;$Z894,NWC_FC_NOOS!$T$4:$AH$23,MATCH(W894,NWC_FC_NOOS!$S$4:$S$23,0),FALSE),0),0)</f>
        <v>0</v>
      </c>
      <c r="AP894" s="57">
        <f>IFERROR(IF($V894="BRAND.com",HLOOKUP($X894&amp;$Z894,NWC_FC_NOOS!$C$50:$U$69,MATCH(W894,NWC_FC_NOOS!$B$50:$B$69,0),FALSE),0),0)</f>
        <v>0</v>
      </c>
      <c r="AQ894" s="58">
        <f>IFERROR(IF($V894="BRAND.com",HLOOKUP($X894&amp;$Z894,'NWC_FC_NON-NOOS'!$C$4:$Q$23,MATCH(W894,'NWC_FC_NON-NOOS'!$B$4:$B$23,0),FALSE),0),0)</f>
        <v>0</v>
      </c>
      <c r="AR894" s="57">
        <f>IFERROR(IF($V894="BRAND.com",HLOOKUP($X894&amp;$Z894,'NWC_FC_NON-NOOS'!$T$4:$AH$23,MATCH(W894,'NWC_FC_NON-NOOS'!$S$4:$S$23,0),FALSE),0),0)</f>
        <v>0</v>
      </c>
      <c r="AS894" s="57">
        <f>IFERROR(IF($V894="BRAND.com",HLOOKUP($X894&amp;$Z894,'NWC_FC_NON-NOOS'!$C$50:$U$69,MATCH(W894,'NWC_FC_NON-NOOS'!$B$50:$B$69,0),FALSE),0),0)</f>
        <v>0</v>
      </c>
      <c r="AT894" s="57">
        <f t="shared" si="342"/>
        <v>0</v>
      </c>
      <c r="AU894" s="57">
        <f t="shared" si="343"/>
        <v>0</v>
      </c>
      <c r="AV894" s="58">
        <f>IFERROR(IF($V894="BRAND.com",HLOOKUP($X894&amp;$Z894,PLANNING_FC!$BB$27:$BP$46,MATCH($W894,PLANNING_FC!$BA$27:$BA$46,0),FALSE),0),0)</f>
        <v>0</v>
      </c>
      <c r="AW894" s="58">
        <f>IFERROR(IF($V894="BRAND.com",HLOOKUP($X894&amp;$Z894,PLANNING_FC!$BB$4:$BP$23,MATCH($W894,PLANNING_FC!$BA$4:$BA$23,0),FALSE),0),0)</f>
        <v>0</v>
      </c>
      <c r="AX894" s="58">
        <f>IFERROR(IF($V894="BRAND.com",HLOOKUP($X894&amp;$Z894,PLANNING_FC!$T$27:$AH$46,MATCH($W894,PLANNING_FC!$B$27:$B$46,0),FALSE),0),0)</f>
        <v>0</v>
      </c>
      <c r="AY894" s="58">
        <f>IFERROR(IF($V894="BRAND.com",HLOOKUP($X894&amp;$Z894,PLANNING_FC!$T$4:$AH$23,MATCH($W894,PLANNING_FC!$B$4:$B$23,0),FALSE),0),0)</f>
        <v>0</v>
      </c>
      <c r="AZ894" s="58">
        <f>IFERROR(IF($V894="BRAND.com",HLOOKUP($X894&amp;$Z894,PLANNING_FC!$DA$27:$DO$46,MATCH($W894,PLANNING_FC!$CZ$27:$CZ$46,0),FALSE),0),0)</f>
        <v>0</v>
      </c>
      <c r="BA894" s="58">
        <f>IFERROR(IF($V894="BRAND.com",HLOOKUP($X894&amp;$Z894,PLANNING_FC!$DA$4:$DO$23,MATCH($W894,PLANNING_FC!$CZ$4:$CZ$23,0),FALSE),0),0)</f>
        <v>0</v>
      </c>
      <c r="BB894" s="883" t="str">
        <f>IF(V894="BRAND.com",IFERROR(HLOOKUP(X894&amp;Z894,PLANNING_FC!$AK$4:$AY$23,MATCH(W894,PLANNING_FC!$AJ$4:$AJ$23,0),FALSE)*1000,""),"")</f>
        <v/>
      </c>
      <c r="BC894" s="883" t="str">
        <f>IF(V894="BRAND.com",IFERROR(HLOOKUP(X894&amp;Z894,PLANNING_FC!$AK$27:$AY$46,MATCH(W894,PLANNING_FC!$AJ$27:$AJ$46,0),FALSE)*1000,""),"")</f>
        <v/>
      </c>
    </row>
    <row r="895" spans="14:55" x14ac:dyDescent="0.25">
      <c r="N895" s="56">
        <f t="shared" si="324"/>
        <v>0</v>
      </c>
      <c r="O895" s="57">
        <f t="shared" si="325"/>
        <v>0</v>
      </c>
      <c r="P895" s="57">
        <f ca="1">IFERROR(IF(ISBLANK(H895),SUMIFS($AC:$AC,$V:$V,V895,$W:$W,W895,$X:$X,X895,$Y:$Y,Y895)*J895/(1-J895)*VLOOKUP(_xlfn.CONCAT(C895,D895,E895,TIME!$M$12,Z895),HIS_SALES!$B$2:$W$4859,20,FALSE),AC895*J895/(1-J895)),0)</f>
        <v>0</v>
      </c>
      <c r="Q895" s="541" t="str">
        <f t="shared" si="326"/>
        <v/>
      </c>
      <c r="R895" s="346" t="str">
        <f t="shared" si="327"/>
        <v>00000</v>
      </c>
      <c r="S895" s="344">
        <f t="shared" si="328"/>
        <v>0</v>
      </c>
      <c r="T895" s="345" t="str">
        <f t="shared" si="341"/>
        <v>000</v>
      </c>
      <c r="U895" s="345">
        <f t="shared" si="329"/>
        <v>0</v>
      </c>
      <c r="V895" s="345">
        <f t="shared" si="330"/>
        <v>0</v>
      </c>
      <c r="W895" s="345">
        <f t="shared" si="331"/>
        <v>0</v>
      </c>
      <c r="X895" s="345">
        <f t="shared" si="332"/>
        <v>0</v>
      </c>
      <c r="Y895" s="345">
        <f t="shared" si="333"/>
        <v>0</v>
      </c>
      <c r="Z895" s="345">
        <f>IF(Q895&lt;&gt;"",VLOOKUP(Y895,TIME!$R$21:$V$24,MATCH(FC_DATA!Q895,TIME!$R$20:$V$20,0),FALSE),H895)</f>
        <v>0</v>
      </c>
      <c r="AA895" s="345" t="str">
        <f>IFERROR(VLOOKUP(X895&amp;Z895,TIME!$A$12:$D$71,4,FALSE),"")</f>
        <v/>
      </c>
      <c r="AB895" s="592">
        <f t="shared" ca="1" si="334"/>
        <v>0</v>
      </c>
      <c r="AC895" s="593" t="e">
        <f ca="1">IF(ISBLANK(H895)=FALSE,IF(D895="BRAND.com",I895,IF(ISNA(VLOOKUP(_xlfn.CONCAT(X895,Z895),TIME!$M$40:$M$42,1,FALSE)),I895,VLOOKUP(_xlfn.CONCAT(D895,G895,H895),M_BUSAREA_FC!$AF$5:$AJ$10,5,FALSE)*HLOOKUP(_xlfn.CONCAT(F895,H895),ST_OVERVIEW!$G$99:$I$130,MATCH(_xlfn.CONCAT(D895,E895),ST_OVERVIEW!$F$99:$F$130,0),FALSE))),IF(D895="BRAND.com",VLOOKUP(_xlfn.CONCAT(C895,D895,E895,TIME!$F$1,Z895),HIS_SALES!$B$2:$V$4859,19,FALSE)*I895,VLOOKUP(_xlfn.CONCAT(D895,F895,G895),Q_BUSAREA_FC!$AE$5:$AI$12,5,FALSE)*HLOOKUP(_xlfn.CONCAT(FC_DATA!F895,FC_DATA!G895),LT_OVERVIEW!$I$99:$M$130,MATCH(_xlfn.CONCAT(D895,FC_DATA!E895),LT_OVERVIEW!$H$99:$H$130,0),FALSE)*IFERROR(VLOOKUP(_xlfn.CONCAT(C895,D895,E895,TIME!$F$1,Z895),HIS_SALES!$B$2:$V$4859,19,FALSE),0)))</f>
        <v>#N/A</v>
      </c>
      <c r="AD895" s="341">
        <f t="shared" ca="1" si="335"/>
        <v>0</v>
      </c>
      <c r="AE895" s="363" t="str">
        <f t="shared" si="336"/>
        <v/>
      </c>
      <c r="AF895" s="342" t="str">
        <f t="shared" si="337"/>
        <v/>
      </c>
      <c r="AG895" s="411" t="e">
        <f ca="1">VLOOKUP(_xlfn.CONCAT(U895,V895,W895,VLOOKUP(X895&amp;Y895,TIME!$L$27:$O$34,4,FALSE),Y895),HIS_SALES!$A$2:$R$5093,18,FALSE)</f>
        <v>#N/A</v>
      </c>
      <c r="AH895" s="412" t="e">
        <f ca="1">IFERROR(IF(AND(V895=V894,W895=W894),0.5*(AB895+AB894)*AG895,(VLOOKUP(_xlfn.CONCAT(U895,V895,W895,X895,VLOOKUP(Z895,TIME!$S$28:$T$39,2,FALSE)),FC_DATA!$R$2:$AB$5000,MATCH("GS_I_M",FC_DATA!$R$1:$AB$1,0),FALSE)+FC_DATA!AB895)*0.5*FC_DATA!AG895),NA())</f>
        <v>#N/A</v>
      </c>
      <c r="AI895" s="491" t="e">
        <f ca="1">IF(V895="PARTNER.com",AH895,IF(AND(V895=V894,W895=W894),(1-AVERAGE(AD894,AD895))*AH895,(1-AVERAGE(AD895,VLOOKUP(_xlfn.CONCAT(U895,V895,W895,X895,M_BRAND_FC!$F$6),FC_DATA!$R$2:$AD$5000,MATCH("DISCOUNT_%_M",FC_DATA!$R$1:$AD$1,0),FALSE)))*AH895))</f>
        <v>#N/A</v>
      </c>
      <c r="AJ895" s="412" t="str">
        <f t="shared" ca="1" si="338"/>
        <v/>
      </c>
      <c r="AK895" s="413" t="str">
        <f>IFERROR(AE895/(Q_BRAND_FC!$T$24+1),"")</f>
        <v/>
      </c>
      <c r="AL895" s="88" t="str">
        <f t="shared" ca="1" si="339"/>
        <v/>
      </c>
      <c r="AM895" s="414" t="str">
        <f t="shared" ca="1" si="340"/>
        <v/>
      </c>
      <c r="AN895" s="58">
        <f>IFERROR(IF($V895="BRAND.com",HLOOKUP($X895&amp;$Z895,NWC_FC_NOOS!$C$4:$Q$23,MATCH(W895,NWC_FC_NOOS!$B$4:$B$23,0),FALSE),0),0)</f>
        <v>0</v>
      </c>
      <c r="AO895" s="57">
        <f>IFERROR(IF($V895="BRAND.com",HLOOKUP($X895&amp;$Z895,NWC_FC_NOOS!$T$4:$AH$23,MATCH(W895,NWC_FC_NOOS!$S$4:$S$23,0),FALSE),0),0)</f>
        <v>0</v>
      </c>
      <c r="AP895" s="57">
        <f>IFERROR(IF($V895="BRAND.com",HLOOKUP($X895&amp;$Z895,NWC_FC_NOOS!$C$50:$U$69,MATCH(W895,NWC_FC_NOOS!$B$50:$B$69,0),FALSE),0),0)</f>
        <v>0</v>
      </c>
      <c r="AQ895" s="58">
        <f>IFERROR(IF($V895="BRAND.com",HLOOKUP($X895&amp;$Z895,'NWC_FC_NON-NOOS'!$C$4:$Q$23,MATCH(W895,'NWC_FC_NON-NOOS'!$B$4:$B$23,0),FALSE),0),0)</f>
        <v>0</v>
      </c>
      <c r="AR895" s="57">
        <f>IFERROR(IF($V895="BRAND.com",HLOOKUP($X895&amp;$Z895,'NWC_FC_NON-NOOS'!$T$4:$AH$23,MATCH(W895,'NWC_FC_NON-NOOS'!$S$4:$S$23,0),FALSE),0),0)</f>
        <v>0</v>
      </c>
      <c r="AS895" s="57">
        <f>IFERROR(IF($V895="BRAND.com",HLOOKUP($X895&amp;$Z895,'NWC_FC_NON-NOOS'!$C$50:$U$69,MATCH(W895,'NWC_FC_NON-NOOS'!$B$50:$B$69,0),FALSE),0),0)</f>
        <v>0</v>
      </c>
      <c r="AT895" s="57">
        <f t="shared" si="342"/>
        <v>0</v>
      </c>
      <c r="AU895" s="57">
        <f t="shared" si="343"/>
        <v>0</v>
      </c>
      <c r="AV895" s="58">
        <f>IFERROR(IF($V895="BRAND.com",HLOOKUP($X895&amp;$Z895,PLANNING_FC!$BB$27:$BP$46,MATCH($W895,PLANNING_FC!$BA$27:$BA$46,0),FALSE),0),0)</f>
        <v>0</v>
      </c>
      <c r="AW895" s="58">
        <f>IFERROR(IF($V895="BRAND.com",HLOOKUP($X895&amp;$Z895,PLANNING_FC!$BB$4:$BP$23,MATCH($W895,PLANNING_FC!$BA$4:$BA$23,0),FALSE),0),0)</f>
        <v>0</v>
      </c>
      <c r="AX895" s="58">
        <f>IFERROR(IF($V895="BRAND.com",HLOOKUP($X895&amp;$Z895,PLANNING_FC!$T$27:$AH$46,MATCH($W895,PLANNING_FC!$B$27:$B$46,0),FALSE),0),0)</f>
        <v>0</v>
      </c>
      <c r="AY895" s="58">
        <f>IFERROR(IF($V895="BRAND.com",HLOOKUP($X895&amp;$Z895,PLANNING_FC!$T$4:$AH$23,MATCH($W895,PLANNING_FC!$B$4:$B$23,0),FALSE),0),0)</f>
        <v>0</v>
      </c>
      <c r="AZ895" s="58">
        <f>IFERROR(IF($V895="BRAND.com",HLOOKUP($X895&amp;$Z895,PLANNING_FC!$DA$27:$DO$46,MATCH($W895,PLANNING_FC!$CZ$27:$CZ$46,0),FALSE),0),0)</f>
        <v>0</v>
      </c>
      <c r="BA895" s="58">
        <f>IFERROR(IF($V895="BRAND.com",HLOOKUP($X895&amp;$Z895,PLANNING_FC!$DA$4:$DO$23,MATCH($W895,PLANNING_FC!$CZ$4:$CZ$23,0),FALSE),0),0)</f>
        <v>0</v>
      </c>
      <c r="BB895" s="883" t="str">
        <f>IF(V895="BRAND.com",IFERROR(HLOOKUP(X895&amp;Z895,PLANNING_FC!$AK$4:$AY$23,MATCH(W895,PLANNING_FC!$AJ$4:$AJ$23,0),FALSE)*1000,""),"")</f>
        <v/>
      </c>
      <c r="BC895" s="883" t="str">
        <f>IF(V895="BRAND.com",IFERROR(HLOOKUP(X895&amp;Z895,PLANNING_FC!$AK$27:$AY$46,MATCH(W895,PLANNING_FC!$AJ$27:$AJ$46,0),FALSE)*1000,""),"")</f>
        <v/>
      </c>
    </row>
    <row r="896" spans="14:55" x14ac:dyDescent="0.25">
      <c r="N896" s="56">
        <f t="shared" si="324"/>
        <v>0</v>
      </c>
      <c r="O896" s="57">
        <f t="shared" si="325"/>
        <v>0</v>
      </c>
      <c r="P896" s="57">
        <f ca="1">IFERROR(IF(ISBLANK(H896),SUMIFS($AC:$AC,$V:$V,V896,$W:$W,W896,$X:$X,X896,$Y:$Y,Y896)*J896/(1-J896)*VLOOKUP(_xlfn.CONCAT(C896,D896,E896,TIME!$M$12,Z896),HIS_SALES!$B$2:$W$4859,20,FALSE),AC896*J896/(1-J896)),0)</f>
        <v>0</v>
      </c>
      <c r="Q896" s="541" t="str">
        <f t="shared" si="326"/>
        <v/>
      </c>
      <c r="R896" s="346" t="str">
        <f t="shared" si="327"/>
        <v>00000</v>
      </c>
      <c r="S896" s="344">
        <f t="shared" si="328"/>
        <v>0</v>
      </c>
      <c r="T896" s="345" t="str">
        <f t="shared" si="341"/>
        <v>000</v>
      </c>
      <c r="U896" s="345">
        <f t="shared" si="329"/>
        <v>0</v>
      </c>
      <c r="V896" s="345">
        <f t="shared" si="330"/>
        <v>0</v>
      </c>
      <c r="W896" s="345">
        <f t="shared" si="331"/>
        <v>0</v>
      </c>
      <c r="X896" s="345">
        <f t="shared" si="332"/>
        <v>0</v>
      </c>
      <c r="Y896" s="345">
        <f t="shared" si="333"/>
        <v>0</v>
      </c>
      <c r="Z896" s="345">
        <f>IF(Q896&lt;&gt;"",VLOOKUP(Y896,TIME!$R$21:$V$24,MATCH(FC_DATA!Q896,TIME!$R$20:$V$20,0),FALSE),H896)</f>
        <v>0</v>
      </c>
      <c r="AA896" s="345" t="str">
        <f>IFERROR(VLOOKUP(X896&amp;Z896,TIME!$A$12:$D$71,4,FALSE),"")</f>
        <v/>
      </c>
      <c r="AB896" s="592">
        <f t="shared" ca="1" si="334"/>
        <v>0</v>
      </c>
      <c r="AC896" s="593" t="e">
        <f ca="1">IF(ISBLANK(H896)=FALSE,IF(D896="BRAND.com",I896,IF(ISNA(VLOOKUP(_xlfn.CONCAT(X896,Z896),TIME!$M$40:$M$42,1,FALSE)),I896,VLOOKUP(_xlfn.CONCAT(D896,G896,H896),M_BUSAREA_FC!$AF$5:$AJ$10,5,FALSE)*HLOOKUP(_xlfn.CONCAT(F896,H896),ST_OVERVIEW!$G$99:$I$130,MATCH(_xlfn.CONCAT(D896,E896),ST_OVERVIEW!$F$99:$F$130,0),FALSE))),IF(D896="BRAND.com",VLOOKUP(_xlfn.CONCAT(C896,D896,E896,TIME!$F$1,Z896),HIS_SALES!$B$2:$V$4859,19,FALSE)*I896,VLOOKUP(_xlfn.CONCAT(D896,F896,G896),Q_BUSAREA_FC!$AE$5:$AI$12,5,FALSE)*HLOOKUP(_xlfn.CONCAT(FC_DATA!F896,FC_DATA!G896),LT_OVERVIEW!$I$99:$M$130,MATCH(_xlfn.CONCAT(D896,FC_DATA!E896),LT_OVERVIEW!$H$99:$H$130,0),FALSE)*IFERROR(VLOOKUP(_xlfn.CONCAT(C896,D896,E896,TIME!$F$1,Z896),HIS_SALES!$B$2:$V$4859,19,FALSE),0)))</f>
        <v>#N/A</v>
      </c>
      <c r="AD896" s="341">
        <f t="shared" ca="1" si="335"/>
        <v>0</v>
      </c>
      <c r="AE896" s="363" t="str">
        <f t="shared" si="336"/>
        <v/>
      </c>
      <c r="AF896" s="342" t="str">
        <f t="shared" si="337"/>
        <v/>
      </c>
      <c r="AG896" s="411" t="e">
        <f ca="1">VLOOKUP(_xlfn.CONCAT(U896,V896,W896,VLOOKUP(X896&amp;Y896,TIME!$L$27:$O$34,4,FALSE),Y896),HIS_SALES!$A$2:$R$5093,18,FALSE)</f>
        <v>#N/A</v>
      </c>
      <c r="AH896" s="412" t="e">
        <f ca="1">IFERROR(IF(AND(V896=V895,W896=W895),0.5*(AB896+AB895)*AG896,(VLOOKUP(_xlfn.CONCAT(U896,V896,W896,X896,VLOOKUP(Z896,TIME!$S$28:$T$39,2,FALSE)),FC_DATA!$R$2:$AB$5000,MATCH("GS_I_M",FC_DATA!$R$1:$AB$1,0),FALSE)+FC_DATA!AB896)*0.5*FC_DATA!AG896),NA())</f>
        <v>#N/A</v>
      </c>
      <c r="AI896" s="491" t="e">
        <f ca="1">IF(V896="PARTNER.com",AH896,IF(AND(V896=V895,W896=W895),(1-AVERAGE(AD895,AD896))*AH896,(1-AVERAGE(AD896,VLOOKUP(_xlfn.CONCAT(U896,V896,W896,X896,M_BRAND_FC!$F$6),FC_DATA!$R$2:$AD$5000,MATCH("DISCOUNT_%_M",FC_DATA!$R$1:$AD$1,0),FALSE)))*AH896))</f>
        <v>#N/A</v>
      </c>
      <c r="AJ896" s="412" t="str">
        <f t="shared" ca="1" si="338"/>
        <v/>
      </c>
      <c r="AK896" s="413" t="str">
        <f>IFERROR(AE896/(Q_BRAND_FC!$T$24+1),"")</f>
        <v/>
      </c>
      <c r="AL896" s="88" t="str">
        <f t="shared" ca="1" si="339"/>
        <v/>
      </c>
      <c r="AM896" s="414" t="str">
        <f t="shared" ca="1" si="340"/>
        <v/>
      </c>
      <c r="AN896" s="58">
        <f>IFERROR(IF($V896="BRAND.com",HLOOKUP($X896&amp;$Z896,NWC_FC_NOOS!$C$4:$Q$23,MATCH(W896,NWC_FC_NOOS!$B$4:$B$23,0),FALSE),0),0)</f>
        <v>0</v>
      </c>
      <c r="AO896" s="57">
        <f>IFERROR(IF($V896="BRAND.com",HLOOKUP($X896&amp;$Z896,NWC_FC_NOOS!$T$4:$AH$23,MATCH(W896,NWC_FC_NOOS!$S$4:$S$23,0),FALSE),0),0)</f>
        <v>0</v>
      </c>
      <c r="AP896" s="57">
        <f>IFERROR(IF($V896="BRAND.com",HLOOKUP($X896&amp;$Z896,NWC_FC_NOOS!$C$50:$U$69,MATCH(W896,NWC_FC_NOOS!$B$50:$B$69,0),FALSE),0),0)</f>
        <v>0</v>
      </c>
      <c r="AQ896" s="58">
        <f>IFERROR(IF($V896="BRAND.com",HLOOKUP($X896&amp;$Z896,'NWC_FC_NON-NOOS'!$C$4:$Q$23,MATCH(W896,'NWC_FC_NON-NOOS'!$B$4:$B$23,0),FALSE),0),0)</f>
        <v>0</v>
      </c>
      <c r="AR896" s="57">
        <f>IFERROR(IF($V896="BRAND.com",HLOOKUP($X896&amp;$Z896,'NWC_FC_NON-NOOS'!$T$4:$AH$23,MATCH(W896,'NWC_FC_NON-NOOS'!$S$4:$S$23,0),FALSE),0),0)</f>
        <v>0</v>
      </c>
      <c r="AS896" s="57">
        <f>IFERROR(IF($V896="BRAND.com",HLOOKUP($X896&amp;$Z896,'NWC_FC_NON-NOOS'!$C$50:$U$69,MATCH(W896,'NWC_FC_NON-NOOS'!$B$50:$B$69,0),FALSE),0),0)</f>
        <v>0</v>
      </c>
      <c r="AT896" s="57">
        <f t="shared" si="342"/>
        <v>0</v>
      </c>
      <c r="AU896" s="57">
        <f t="shared" si="343"/>
        <v>0</v>
      </c>
      <c r="AV896" s="58">
        <f>IFERROR(IF($V896="BRAND.com",HLOOKUP($X896&amp;$Z896,PLANNING_FC!$BB$27:$BP$46,MATCH($W896,PLANNING_FC!$BA$27:$BA$46,0),FALSE),0),0)</f>
        <v>0</v>
      </c>
      <c r="AW896" s="58">
        <f>IFERROR(IF($V896="BRAND.com",HLOOKUP($X896&amp;$Z896,PLANNING_FC!$BB$4:$BP$23,MATCH($W896,PLANNING_FC!$BA$4:$BA$23,0),FALSE),0),0)</f>
        <v>0</v>
      </c>
      <c r="AX896" s="58">
        <f>IFERROR(IF($V896="BRAND.com",HLOOKUP($X896&amp;$Z896,PLANNING_FC!$T$27:$AH$46,MATCH($W896,PLANNING_FC!$B$27:$B$46,0),FALSE),0),0)</f>
        <v>0</v>
      </c>
      <c r="AY896" s="58">
        <f>IFERROR(IF($V896="BRAND.com",HLOOKUP($X896&amp;$Z896,PLANNING_FC!$T$4:$AH$23,MATCH($W896,PLANNING_FC!$B$4:$B$23,0),FALSE),0),0)</f>
        <v>0</v>
      </c>
      <c r="AZ896" s="58">
        <f>IFERROR(IF($V896="BRAND.com",HLOOKUP($X896&amp;$Z896,PLANNING_FC!$DA$27:$DO$46,MATCH($W896,PLANNING_FC!$CZ$27:$CZ$46,0),FALSE),0),0)</f>
        <v>0</v>
      </c>
      <c r="BA896" s="58">
        <f>IFERROR(IF($V896="BRAND.com",HLOOKUP($X896&amp;$Z896,PLANNING_FC!$DA$4:$DO$23,MATCH($W896,PLANNING_FC!$CZ$4:$CZ$23,0),FALSE),0),0)</f>
        <v>0</v>
      </c>
      <c r="BB896" s="883" t="str">
        <f>IF(V896="BRAND.com",IFERROR(HLOOKUP(X896&amp;Z896,PLANNING_FC!$AK$4:$AY$23,MATCH(W896,PLANNING_FC!$AJ$4:$AJ$23,0),FALSE)*1000,""),"")</f>
        <v/>
      </c>
      <c r="BC896" s="883" t="str">
        <f>IF(V896="BRAND.com",IFERROR(HLOOKUP(X896&amp;Z896,PLANNING_FC!$AK$27:$AY$46,MATCH(W896,PLANNING_FC!$AJ$27:$AJ$46,0),FALSE)*1000,""),"")</f>
        <v/>
      </c>
    </row>
    <row r="897" spans="14:55" x14ac:dyDescent="0.25">
      <c r="N897" s="56">
        <f t="shared" si="324"/>
        <v>0</v>
      </c>
      <c r="O897" s="57">
        <f t="shared" si="325"/>
        <v>0</v>
      </c>
      <c r="P897" s="57">
        <f ca="1">IFERROR(IF(ISBLANK(H897),SUMIFS($AC:$AC,$V:$V,V897,$W:$W,W897,$X:$X,X897,$Y:$Y,Y897)*J897/(1-J897)*VLOOKUP(_xlfn.CONCAT(C897,D897,E897,TIME!$M$12,Z897),HIS_SALES!$B$2:$W$4859,20,FALSE),AC897*J897/(1-J897)),0)</f>
        <v>0</v>
      </c>
      <c r="Q897" s="541" t="str">
        <f t="shared" si="326"/>
        <v/>
      </c>
      <c r="R897" s="346" t="str">
        <f t="shared" si="327"/>
        <v>00000</v>
      </c>
      <c r="S897" s="344">
        <f t="shared" si="328"/>
        <v>0</v>
      </c>
      <c r="T897" s="345" t="str">
        <f t="shared" si="341"/>
        <v>000</v>
      </c>
      <c r="U897" s="345">
        <f t="shared" si="329"/>
        <v>0</v>
      </c>
      <c r="V897" s="345">
        <f t="shared" si="330"/>
        <v>0</v>
      </c>
      <c r="W897" s="345">
        <f t="shared" si="331"/>
        <v>0</v>
      </c>
      <c r="X897" s="345">
        <f t="shared" si="332"/>
        <v>0</v>
      </c>
      <c r="Y897" s="345">
        <f t="shared" si="333"/>
        <v>0</v>
      </c>
      <c r="Z897" s="345">
        <f>IF(Q897&lt;&gt;"",VLOOKUP(Y897,TIME!$R$21:$V$24,MATCH(FC_DATA!Q897,TIME!$R$20:$V$20,0),FALSE),H897)</f>
        <v>0</v>
      </c>
      <c r="AA897" s="345" t="str">
        <f>IFERROR(VLOOKUP(X897&amp;Z897,TIME!$A$12:$D$71,4,FALSE),"")</f>
        <v/>
      </c>
      <c r="AB897" s="592">
        <f t="shared" ca="1" si="334"/>
        <v>0</v>
      </c>
      <c r="AC897" s="593" t="e">
        <f ca="1">IF(ISBLANK(H897)=FALSE,IF(D897="BRAND.com",I897,IF(ISNA(VLOOKUP(_xlfn.CONCAT(X897,Z897),TIME!$M$40:$M$42,1,FALSE)),I897,VLOOKUP(_xlfn.CONCAT(D897,G897,H897),M_BUSAREA_FC!$AF$5:$AJ$10,5,FALSE)*HLOOKUP(_xlfn.CONCAT(F897,H897),ST_OVERVIEW!$G$99:$I$130,MATCH(_xlfn.CONCAT(D897,E897),ST_OVERVIEW!$F$99:$F$130,0),FALSE))),IF(D897="BRAND.com",VLOOKUP(_xlfn.CONCAT(C897,D897,E897,TIME!$F$1,Z897),HIS_SALES!$B$2:$V$4859,19,FALSE)*I897,VLOOKUP(_xlfn.CONCAT(D897,F897,G897),Q_BUSAREA_FC!$AE$5:$AI$12,5,FALSE)*HLOOKUP(_xlfn.CONCAT(FC_DATA!F897,FC_DATA!G897),LT_OVERVIEW!$I$99:$M$130,MATCH(_xlfn.CONCAT(D897,FC_DATA!E897),LT_OVERVIEW!$H$99:$H$130,0),FALSE)*IFERROR(VLOOKUP(_xlfn.CONCAT(C897,D897,E897,TIME!$F$1,Z897),HIS_SALES!$B$2:$V$4859,19,FALSE),0)))</f>
        <v>#N/A</v>
      </c>
      <c r="AD897" s="341">
        <f t="shared" ca="1" si="335"/>
        <v>0</v>
      </c>
      <c r="AE897" s="363" t="str">
        <f t="shared" si="336"/>
        <v/>
      </c>
      <c r="AF897" s="342" t="str">
        <f t="shared" si="337"/>
        <v/>
      </c>
      <c r="AG897" s="411" t="e">
        <f ca="1">VLOOKUP(_xlfn.CONCAT(U897,V897,W897,VLOOKUP(X897&amp;Y897,TIME!$L$27:$O$34,4,FALSE),Y897),HIS_SALES!$A$2:$R$5093,18,FALSE)</f>
        <v>#N/A</v>
      </c>
      <c r="AH897" s="412" t="e">
        <f ca="1">IFERROR(IF(AND(V897=V896,W897=W896),0.5*(AB897+AB896)*AG897,(VLOOKUP(_xlfn.CONCAT(U897,V897,W897,X897,VLOOKUP(Z897,TIME!$S$28:$T$39,2,FALSE)),FC_DATA!$R$2:$AB$5000,MATCH("GS_I_M",FC_DATA!$R$1:$AB$1,0),FALSE)+FC_DATA!AB897)*0.5*FC_DATA!AG897),NA())</f>
        <v>#N/A</v>
      </c>
      <c r="AI897" s="491" t="e">
        <f ca="1">IF(V897="PARTNER.com",AH897,IF(AND(V897=V896,W897=W896),(1-AVERAGE(AD896,AD897))*AH897,(1-AVERAGE(AD897,VLOOKUP(_xlfn.CONCAT(U897,V897,W897,X897,M_BRAND_FC!$F$6),FC_DATA!$R$2:$AD$5000,MATCH("DISCOUNT_%_M",FC_DATA!$R$1:$AD$1,0),FALSE)))*AH897))</f>
        <v>#N/A</v>
      </c>
      <c r="AJ897" s="412" t="str">
        <f t="shared" ca="1" si="338"/>
        <v/>
      </c>
      <c r="AK897" s="413" t="str">
        <f>IFERROR(AE897/(Q_BRAND_FC!$T$24+1),"")</f>
        <v/>
      </c>
      <c r="AL897" s="88" t="str">
        <f t="shared" ca="1" si="339"/>
        <v/>
      </c>
      <c r="AM897" s="414" t="str">
        <f t="shared" ca="1" si="340"/>
        <v/>
      </c>
      <c r="AN897" s="58">
        <f>IFERROR(IF($V897="BRAND.com",HLOOKUP($X897&amp;$Z897,NWC_FC_NOOS!$C$4:$Q$23,MATCH(W897,NWC_FC_NOOS!$B$4:$B$23,0),FALSE),0),0)</f>
        <v>0</v>
      </c>
      <c r="AO897" s="57">
        <f>IFERROR(IF($V897="BRAND.com",HLOOKUP($X897&amp;$Z897,NWC_FC_NOOS!$T$4:$AH$23,MATCH(W897,NWC_FC_NOOS!$S$4:$S$23,0),FALSE),0),0)</f>
        <v>0</v>
      </c>
      <c r="AP897" s="57">
        <f>IFERROR(IF($V897="BRAND.com",HLOOKUP($X897&amp;$Z897,NWC_FC_NOOS!$C$50:$U$69,MATCH(W897,NWC_FC_NOOS!$B$50:$B$69,0),FALSE),0),0)</f>
        <v>0</v>
      </c>
      <c r="AQ897" s="58">
        <f>IFERROR(IF($V897="BRAND.com",HLOOKUP($X897&amp;$Z897,'NWC_FC_NON-NOOS'!$C$4:$Q$23,MATCH(W897,'NWC_FC_NON-NOOS'!$B$4:$B$23,0),FALSE),0),0)</f>
        <v>0</v>
      </c>
      <c r="AR897" s="57">
        <f>IFERROR(IF($V897="BRAND.com",HLOOKUP($X897&amp;$Z897,'NWC_FC_NON-NOOS'!$T$4:$AH$23,MATCH(W897,'NWC_FC_NON-NOOS'!$S$4:$S$23,0),FALSE),0),0)</f>
        <v>0</v>
      </c>
      <c r="AS897" s="57">
        <f>IFERROR(IF($V897="BRAND.com",HLOOKUP($X897&amp;$Z897,'NWC_FC_NON-NOOS'!$C$50:$U$69,MATCH(W897,'NWC_FC_NON-NOOS'!$B$50:$B$69,0),FALSE),0),0)</f>
        <v>0</v>
      </c>
      <c r="AT897" s="57">
        <f t="shared" si="342"/>
        <v>0</v>
      </c>
      <c r="AU897" s="57">
        <f t="shared" si="343"/>
        <v>0</v>
      </c>
      <c r="AV897" s="58">
        <f>IFERROR(IF($V897="BRAND.com",HLOOKUP($X897&amp;$Z897,PLANNING_FC!$BB$27:$BP$46,MATCH($W897,PLANNING_FC!$BA$27:$BA$46,0),FALSE),0),0)</f>
        <v>0</v>
      </c>
      <c r="AW897" s="58">
        <f>IFERROR(IF($V897="BRAND.com",HLOOKUP($X897&amp;$Z897,PLANNING_FC!$BB$4:$BP$23,MATCH($W897,PLANNING_FC!$BA$4:$BA$23,0),FALSE),0),0)</f>
        <v>0</v>
      </c>
      <c r="AX897" s="58">
        <f>IFERROR(IF($V897="BRAND.com",HLOOKUP($X897&amp;$Z897,PLANNING_FC!$T$27:$AH$46,MATCH($W897,PLANNING_FC!$B$27:$B$46,0),FALSE),0),0)</f>
        <v>0</v>
      </c>
      <c r="AY897" s="58">
        <f>IFERROR(IF($V897="BRAND.com",HLOOKUP($X897&amp;$Z897,PLANNING_FC!$T$4:$AH$23,MATCH($W897,PLANNING_FC!$B$4:$B$23,0),FALSE),0),0)</f>
        <v>0</v>
      </c>
      <c r="AZ897" s="58">
        <f>IFERROR(IF($V897="BRAND.com",HLOOKUP($X897&amp;$Z897,PLANNING_FC!$DA$27:$DO$46,MATCH($W897,PLANNING_FC!$CZ$27:$CZ$46,0),FALSE),0),0)</f>
        <v>0</v>
      </c>
      <c r="BA897" s="58">
        <f>IFERROR(IF($V897="BRAND.com",HLOOKUP($X897&amp;$Z897,PLANNING_FC!$DA$4:$DO$23,MATCH($W897,PLANNING_FC!$CZ$4:$CZ$23,0),FALSE),0),0)</f>
        <v>0</v>
      </c>
      <c r="BB897" s="883" t="str">
        <f>IF(V897="BRAND.com",IFERROR(HLOOKUP(X897&amp;Z897,PLANNING_FC!$AK$4:$AY$23,MATCH(W897,PLANNING_FC!$AJ$4:$AJ$23,0),FALSE)*1000,""),"")</f>
        <v/>
      </c>
      <c r="BC897" s="883" t="str">
        <f>IF(V897="BRAND.com",IFERROR(HLOOKUP(X897&amp;Z897,PLANNING_FC!$AK$27:$AY$46,MATCH(W897,PLANNING_FC!$AJ$27:$AJ$46,0),FALSE)*1000,""),"")</f>
        <v/>
      </c>
    </row>
    <row r="898" spans="14:55" x14ac:dyDescent="0.25">
      <c r="N898" s="56">
        <f t="shared" ref="N898:N961" si="344">IFERROR(I898/(1-J898)*J898,0)</f>
        <v>0</v>
      </c>
      <c r="O898" s="57">
        <f t="shared" ref="O898:O961" si="345">IFERROR(I898+N898,0)</f>
        <v>0</v>
      </c>
      <c r="P898" s="57">
        <f ca="1">IFERROR(IF(ISBLANK(H898),SUMIFS($AC:$AC,$V:$V,V898,$W:$W,W898,$X:$X,X898,$Y:$Y,Y898)*J898/(1-J898)*VLOOKUP(_xlfn.CONCAT(C898,D898,E898,TIME!$M$12,Z898),HIS_SALES!$B$2:$W$4859,20,FALSE),AC898*J898/(1-J898)),0)</f>
        <v>0</v>
      </c>
      <c r="Q898" s="541" t="str">
        <f t="shared" ref="Q898:Q961" si="346">IF(AND(A898&lt;&gt;"",H898=""),IF(A898=A897,Q897+1,1),"")</f>
        <v/>
      </c>
      <c r="R898" s="346" t="str">
        <f t="shared" ref="R898:R961" si="347">U898&amp;V898&amp;W898&amp;X898&amp;Z898</f>
        <v>00000</v>
      </c>
      <c r="S898" s="344">
        <f t="shared" ref="S898:S961" si="348">B898</f>
        <v>0</v>
      </c>
      <c r="T898" s="345" t="str">
        <f t="shared" si="341"/>
        <v>000</v>
      </c>
      <c r="U898" s="345">
        <f t="shared" ref="U898:U961" si="349">C898</f>
        <v>0</v>
      </c>
      <c r="V898" s="345">
        <f t="shared" ref="V898:V961" si="350">D898</f>
        <v>0</v>
      </c>
      <c r="W898" s="345">
        <f t="shared" ref="W898:W961" si="351">E898</f>
        <v>0</v>
      </c>
      <c r="X898" s="345">
        <f t="shared" ref="X898:X961" si="352">F898</f>
        <v>0</v>
      </c>
      <c r="Y898" s="345">
        <f t="shared" ref="Y898:Y961" si="353">G898</f>
        <v>0</v>
      </c>
      <c r="Z898" s="345">
        <f>IF(Q898&lt;&gt;"",VLOOKUP(Y898,TIME!$R$21:$V$24,MATCH(FC_DATA!Q898,TIME!$R$20:$V$20,0),FALSE),H898)</f>
        <v>0</v>
      </c>
      <c r="AA898" s="345" t="str">
        <f>IFERROR(VLOOKUP(X898&amp;Z898,TIME!$A$12:$D$71,4,FALSE),"")</f>
        <v/>
      </c>
      <c r="AB898" s="592">
        <f t="shared" ref="AB898:AB961" ca="1" si="354">IFERROR(AC898+P898,0)</f>
        <v>0</v>
      </c>
      <c r="AC898" s="593" t="e">
        <f ca="1">IF(ISBLANK(H898)=FALSE,IF(D898="BRAND.com",I898,IF(ISNA(VLOOKUP(_xlfn.CONCAT(X898,Z898),TIME!$M$40:$M$42,1,FALSE)),I898,VLOOKUP(_xlfn.CONCAT(D898,G898,H898),M_BUSAREA_FC!$AF$5:$AJ$10,5,FALSE)*HLOOKUP(_xlfn.CONCAT(F898,H898),ST_OVERVIEW!$G$99:$I$130,MATCH(_xlfn.CONCAT(D898,E898),ST_OVERVIEW!$F$99:$F$130,0),FALSE))),IF(D898="BRAND.com",VLOOKUP(_xlfn.CONCAT(C898,D898,E898,TIME!$F$1,Z898),HIS_SALES!$B$2:$V$4859,19,FALSE)*I898,VLOOKUP(_xlfn.CONCAT(D898,F898,G898),Q_BUSAREA_FC!$AE$5:$AI$12,5,FALSE)*HLOOKUP(_xlfn.CONCAT(FC_DATA!F898,FC_DATA!G898),LT_OVERVIEW!$I$99:$M$130,MATCH(_xlfn.CONCAT(D898,FC_DATA!E898),LT_OVERVIEW!$H$99:$H$130,0),FALSE)*IFERROR(VLOOKUP(_xlfn.CONCAT(C898,D898,E898,TIME!$F$1,Z898),HIS_SALES!$B$2:$V$4859,19,FALSE),0)))</f>
        <v>#N/A</v>
      </c>
      <c r="AD898" s="341">
        <f t="shared" ref="AD898:AD961" ca="1" si="355">IFERROR(IF(D898="PARTNER.com",0,1-AC898/AB898),0)</f>
        <v>0</v>
      </c>
      <c r="AE898" s="363" t="str">
        <f t="shared" ref="AE898:AE961" si="356">IF(A898&lt;&gt;"",K898,"")</f>
        <v/>
      </c>
      <c r="AF898" s="342" t="str">
        <f t="shared" ref="AF898:AF961" si="357">IF(B898&lt;&gt;"",M898,"")</f>
        <v/>
      </c>
      <c r="AG898" s="411" t="e">
        <f ca="1">VLOOKUP(_xlfn.CONCAT(U898,V898,W898,VLOOKUP(X898&amp;Y898,TIME!$L$27:$O$34,4,FALSE),Y898),HIS_SALES!$A$2:$R$5093,18,FALSE)</f>
        <v>#N/A</v>
      </c>
      <c r="AH898" s="412" t="e">
        <f ca="1">IFERROR(IF(AND(V898=V897,W898=W897),0.5*(AB898+AB897)*AG898,(VLOOKUP(_xlfn.CONCAT(U898,V898,W898,X898,VLOOKUP(Z898,TIME!$S$28:$T$39,2,FALSE)),FC_DATA!$R$2:$AB$5000,MATCH("GS_I_M",FC_DATA!$R$1:$AB$1,0),FALSE)+FC_DATA!AB898)*0.5*FC_DATA!AG898),NA())</f>
        <v>#N/A</v>
      </c>
      <c r="AI898" s="491" t="e">
        <f ca="1">IF(V898="PARTNER.com",AH898,IF(AND(V898=V897,W898=W897),(1-AVERAGE(AD897,AD898))*AH898,(1-AVERAGE(AD898,VLOOKUP(_xlfn.CONCAT(U898,V898,W898,X898,M_BRAND_FC!$F$6),FC_DATA!$R$2:$AD$5000,MATCH("DISCOUNT_%_M",FC_DATA!$R$1:$AD$1,0),FALSE)))*AH898))</f>
        <v>#N/A</v>
      </c>
      <c r="AJ898" s="412" t="str">
        <f t="shared" ref="AJ898:AJ961" ca="1" si="358">IFERROR(AC898-AI898,"")</f>
        <v/>
      </c>
      <c r="AK898" s="413" t="str">
        <f>IFERROR(AE898/(Q_BRAND_FC!$T$24+1),"")</f>
        <v/>
      </c>
      <c r="AL898" s="88" t="str">
        <f t="shared" ref="AL898:AL961" ca="1" si="359">IFERROR((AB898-AH898)/AK898*AF898,"")</f>
        <v/>
      </c>
      <c r="AM898" s="414" t="str">
        <f t="shared" ref="AM898:AM961" ca="1" si="360">IFERROR((AB898-AH898)/AK898*(1-AF898),"")</f>
        <v/>
      </c>
      <c r="AN898" s="58">
        <f>IFERROR(IF($V898="BRAND.com",HLOOKUP($X898&amp;$Z898,NWC_FC_NOOS!$C$4:$Q$23,MATCH(W898,NWC_FC_NOOS!$B$4:$B$23,0),FALSE),0),0)</f>
        <v>0</v>
      </c>
      <c r="AO898" s="57">
        <f>IFERROR(IF($V898="BRAND.com",HLOOKUP($X898&amp;$Z898,NWC_FC_NOOS!$T$4:$AH$23,MATCH(W898,NWC_FC_NOOS!$S$4:$S$23,0),FALSE),0),0)</f>
        <v>0</v>
      </c>
      <c r="AP898" s="57">
        <f>IFERROR(IF($V898="BRAND.com",HLOOKUP($X898&amp;$Z898,NWC_FC_NOOS!$C$50:$U$69,MATCH(W898,NWC_FC_NOOS!$B$50:$B$69,0),FALSE),0),0)</f>
        <v>0</v>
      </c>
      <c r="AQ898" s="58">
        <f>IFERROR(IF($V898="BRAND.com",HLOOKUP($X898&amp;$Z898,'NWC_FC_NON-NOOS'!$C$4:$Q$23,MATCH(W898,'NWC_FC_NON-NOOS'!$B$4:$B$23,0),FALSE),0),0)</f>
        <v>0</v>
      </c>
      <c r="AR898" s="57">
        <f>IFERROR(IF($V898="BRAND.com",HLOOKUP($X898&amp;$Z898,'NWC_FC_NON-NOOS'!$T$4:$AH$23,MATCH(W898,'NWC_FC_NON-NOOS'!$S$4:$S$23,0),FALSE),0),0)</f>
        <v>0</v>
      </c>
      <c r="AS898" s="57">
        <f>IFERROR(IF($V898="BRAND.com",HLOOKUP($X898&amp;$Z898,'NWC_FC_NON-NOOS'!$C$50:$U$69,MATCH(W898,'NWC_FC_NON-NOOS'!$B$50:$B$69,0),FALSE),0),0)</f>
        <v>0</v>
      </c>
      <c r="AT898" s="57">
        <f t="shared" si="342"/>
        <v>0</v>
      </c>
      <c r="AU898" s="57">
        <f t="shared" si="343"/>
        <v>0</v>
      </c>
      <c r="AV898" s="58">
        <f>IFERROR(IF($V898="BRAND.com",HLOOKUP($X898&amp;$Z898,PLANNING_FC!$BB$27:$BP$46,MATCH($W898,PLANNING_FC!$BA$27:$BA$46,0),FALSE),0),0)</f>
        <v>0</v>
      </c>
      <c r="AW898" s="58">
        <f>IFERROR(IF($V898="BRAND.com",HLOOKUP($X898&amp;$Z898,PLANNING_FC!$BB$4:$BP$23,MATCH($W898,PLANNING_FC!$BA$4:$BA$23,0),FALSE),0),0)</f>
        <v>0</v>
      </c>
      <c r="AX898" s="58">
        <f>IFERROR(IF($V898="BRAND.com",HLOOKUP($X898&amp;$Z898,PLANNING_FC!$T$27:$AH$46,MATCH($W898,PLANNING_FC!$B$27:$B$46,0),FALSE),0),0)</f>
        <v>0</v>
      </c>
      <c r="AY898" s="58">
        <f>IFERROR(IF($V898="BRAND.com",HLOOKUP($X898&amp;$Z898,PLANNING_FC!$T$4:$AH$23,MATCH($W898,PLANNING_FC!$B$4:$B$23,0),FALSE),0),0)</f>
        <v>0</v>
      </c>
      <c r="AZ898" s="58">
        <f>IFERROR(IF($V898="BRAND.com",HLOOKUP($X898&amp;$Z898,PLANNING_FC!$DA$27:$DO$46,MATCH($W898,PLANNING_FC!$CZ$27:$CZ$46,0),FALSE),0),0)</f>
        <v>0</v>
      </c>
      <c r="BA898" s="58">
        <f>IFERROR(IF($V898="BRAND.com",HLOOKUP($X898&amp;$Z898,PLANNING_FC!$DA$4:$DO$23,MATCH($W898,PLANNING_FC!$CZ$4:$CZ$23,0),FALSE),0),0)</f>
        <v>0</v>
      </c>
      <c r="BB898" s="883" t="str">
        <f>IF(V898="BRAND.com",IFERROR(HLOOKUP(X898&amp;Z898,PLANNING_FC!$AK$4:$AY$23,MATCH(W898,PLANNING_FC!$AJ$4:$AJ$23,0),FALSE)*1000,""),"")</f>
        <v/>
      </c>
      <c r="BC898" s="883" t="str">
        <f>IF(V898="BRAND.com",IFERROR(HLOOKUP(X898&amp;Z898,PLANNING_FC!$AK$27:$AY$46,MATCH(W898,PLANNING_FC!$AJ$27:$AJ$46,0),FALSE)*1000,""),"")</f>
        <v/>
      </c>
    </row>
    <row r="899" spans="14:55" x14ac:dyDescent="0.25">
      <c r="N899" s="56">
        <f t="shared" si="344"/>
        <v>0</v>
      </c>
      <c r="O899" s="57">
        <f t="shared" si="345"/>
        <v>0</v>
      </c>
      <c r="P899" s="57">
        <f ca="1">IFERROR(IF(ISBLANK(H899),SUMIFS($AC:$AC,$V:$V,V899,$W:$W,W899,$X:$X,X899,$Y:$Y,Y899)*J899/(1-J899)*VLOOKUP(_xlfn.CONCAT(C899,D899,E899,TIME!$M$12,Z899),HIS_SALES!$B$2:$W$4859,20,FALSE),AC899*J899/(1-J899)),0)</f>
        <v>0</v>
      </c>
      <c r="Q899" s="541" t="str">
        <f t="shared" si="346"/>
        <v/>
      </c>
      <c r="R899" s="346" t="str">
        <f t="shared" si="347"/>
        <v>00000</v>
      </c>
      <c r="S899" s="344">
        <f t="shared" si="348"/>
        <v>0</v>
      </c>
      <c r="T899" s="345" t="str">
        <f t="shared" ref="T899:T962" si="361">U899&amp;V899&amp;W899&amp;AA899</f>
        <v>000</v>
      </c>
      <c r="U899" s="345">
        <f t="shared" si="349"/>
        <v>0</v>
      </c>
      <c r="V899" s="345">
        <f t="shared" si="350"/>
        <v>0</v>
      </c>
      <c r="W899" s="345">
        <f t="shared" si="351"/>
        <v>0</v>
      </c>
      <c r="X899" s="345">
        <f t="shared" si="352"/>
        <v>0</v>
      </c>
      <c r="Y899" s="345">
        <f t="shared" si="353"/>
        <v>0</v>
      </c>
      <c r="Z899" s="345">
        <f>IF(Q899&lt;&gt;"",VLOOKUP(Y899,TIME!$R$21:$V$24,MATCH(FC_DATA!Q899,TIME!$R$20:$V$20,0),FALSE),H899)</f>
        <v>0</v>
      </c>
      <c r="AA899" s="345" t="str">
        <f>IFERROR(VLOOKUP(X899&amp;Z899,TIME!$A$12:$D$71,4,FALSE),"")</f>
        <v/>
      </c>
      <c r="AB899" s="592">
        <f t="shared" ca="1" si="354"/>
        <v>0</v>
      </c>
      <c r="AC899" s="593" t="e">
        <f ca="1">IF(ISBLANK(H899)=FALSE,IF(D899="BRAND.com",I899,IF(ISNA(VLOOKUP(_xlfn.CONCAT(X899,Z899),TIME!$M$40:$M$42,1,FALSE)),I899,VLOOKUP(_xlfn.CONCAT(D899,G899,H899),M_BUSAREA_FC!$AF$5:$AJ$10,5,FALSE)*HLOOKUP(_xlfn.CONCAT(F899,H899),ST_OVERVIEW!$G$99:$I$130,MATCH(_xlfn.CONCAT(D899,E899),ST_OVERVIEW!$F$99:$F$130,0),FALSE))),IF(D899="BRAND.com",VLOOKUP(_xlfn.CONCAT(C899,D899,E899,TIME!$F$1,Z899),HIS_SALES!$B$2:$V$4859,19,FALSE)*I899,VLOOKUP(_xlfn.CONCAT(D899,F899,G899),Q_BUSAREA_FC!$AE$5:$AI$12,5,FALSE)*HLOOKUP(_xlfn.CONCAT(FC_DATA!F899,FC_DATA!G899),LT_OVERVIEW!$I$99:$M$130,MATCH(_xlfn.CONCAT(D899,FC_DATA!E899),LT_OVERVIEW!$H$99:$H$130,0),FALSE)*IFERROR(VLOOKUP(_xlfn.CONCAT(C899,D899,E899,TIME!$F$1,Z899),HIS_SALES!$B$2:$V$4859,19,FALSE),0)))</f>
        <v>#N/A</v>
      </c>
      <c r="AD899" s="341">
        <f t="shared" ca="1" si="355"/>
        <v>0</v>
      </c>
      <c r="AE899" s="363" t="str">
        <f t="shared" si="356"/>
        <v/>
      </c>
      <c r="AF899" s="342" t="str">
        <f t="shared" si="357"/>
        <v/>
      </c>
      <c r="AG899" s="411" t="e">
        <f ca="1">VLOOKUP(_xlfn.CONCAT(U899,V899,W899,VLOOKUP(X899&amp;Y899,TIME!$L$27:$O$34,4,FALSE),Y899),HIS_SALES!$A$2:$R$5093,18,FALSE)</f>
        <v>#N/A</v>
      </c>
      <c r="AH899" s="412" t="e">
        <f ca="1">IFERROR(IF(AND(V899=V898,W899=W898),0.5*(AB899+AB898)*AG899,(VLOOKUP(_xlfn.CONCAT(U899,V899,W899,X899,VLOOKUP(Z899,TIME!$S$28:$T$39,2,FALSE)),FC_DATA!$R$2:$AB$5000,MATCH("GS_I_M",FC_DATA!$R$1:$AB$1,0),FALSE)+FC_DATA!AB899)*0.5*FC_DATA!AG899),NA())</f>
        <v>#N/A</v>
      </c>
      <c r="AI899" s="491" t="e">
        <f ca="1">IF(V899="PARTNER.com",AH899,IF(AND(V899=V898,W899=W898),(1-AVERAGE(AD898,AD899))*AH899,(1-AVERAGE(AD899,VLOOKUP(_xlfn.CONCAT(U899,V899,W899,X899,M_BRAND_FC!$F$6),FC_DATA!$R$2:$AD$5000,MATCH("DISCOUNT_%_M",FC_DATA!$R$1:$AD$1,0),FALSE)))*AH899))</f>
        <v>#N/A</v>
      </c>
      <c r="AJ899" s="412" t="str">
        <f t="shared" ca="1" si="358"/>
        <v/>
      </c>
      <c r="AK899" s="413" t="str">
        <f>IFERROR(AE899/(Q_BRAND_FC!$T$24+1),"")</f>
        <v/>
      </c>
      <c r="AL899" s="88" t="str">
        <f t="shared" ca="1" si="359"/>
        <v/>
      </c>
      <c r="AM899" s="414" t="str">
        <f t="shared" ca="1" si="360"/>
        <v/>
      </c>
      <c r="AN899" s="58">
        <f>IFERROR(IF($V899="BRAND.com",HLOOKUP($X899&amp;$Z899,NWC_FC_NOOS!$C$4:$Q$23,MATCH(W899,NWC_FC_NOOS!$B$4:$B$23,0),FALSE),0),0)</f>
        <v>0</v>
      </c>
      <c r="AO899" s="57">
        <f>IFERROR(IF($V899="BRAND.com",HLOOKUP($X899&amp;$Z899,NWC_FC_NOOS!$T$4:$AH$23,MATCH(W899,NWC_FC_NOOS!$S$4:$S$23,0),FALSE),0),0)</f>
        <v>0</v>
      </c>
      <c r="AP899" s="57">
        <f>IFERROR(IF($V899="BRAND.com",HLOOKUP($X899&amp;$Z899,NWC_FC_NOOS!$C$50:$U$69,MATCH(W899,NWC_FC_NOOS!$B$50:$B$69,0),FALSE),0),0)</f>
        <v>0</v>
      </c>
      <c r="AQ899" s="58">
        <f>IFERROR(IF($V899="BRAND.com",HLOOKUP($X899&amp;$Z899,'NWC_FC_NON-NOOS'!$C$4:$Q$23,MATCH(W899,'NWC_FC_NON-NOOS'!$B$4:$B$23,0),FALSE),0),0)</f>
        <v>0</v>
      </c>
      <c r="AR899" s="57">
        <f>IFERROR(IF($V899="BRAND.com",HLOOKUP($X899&amp;$Z899,'NWC_FC_NON-NOOS'!$T$4:$AH$23,MATCH(W899,'NWC_FC_NON-NOOS'!$S$4:$S$23,0),FALSE),0),0)</f>
        <v>0</v>
      </c>
      <c r="AS899" s="57">
        <f>IFERROR(IF($V899="BRAND.com",HLOOKUP($X899&amp;$Z899,'NWC_FC_NON-NOOS'!$C$50:$U$69,MATCH(W899,'NWC_FC_NON-NOOS'!$B$50:$B$69,0),FALSE),0),0)</f>
        <v>0</v>
      </c>
      <c r="AT899" s="57">
        <f t="shared" ref="AT899:AT962" si="362">AO899+AR899</f>
        <v>0</v>
      </c>
      <c r="AU899" s="57">
        <f t="shared" ref="AU899:AU962" si="363">AP899+AS899</f>
        <v>0</v>
      </c>
      <c r="AV899" s="58">
        <f>IFERROR(IF($V899="BRAND.com",HLOOKUP($X899&amp;$Z899,PLANNING_FC!$BB$27:$BP$46,MATCH($W899,PLANNING_FC!$BA$27:$BA$46,0),FALSE),0),0)</f>
        <v>0</v>
      </c>
      <c r="AW899" s="58">
        <f>IFERROR(IF($V899="BRAND.com",HLOOKUP($X899&amp;$Z899,PLANNING_FC!$BB$4:$BP$23,MATCH($W899,PLANNING_FC!$BA$4:$BA$23,0),FALSE),0),0)</f>
        <v>0</v>
      </c>
      <c r="AX899" s="58">
        <f>IFERROR(IF($V899="BRAND.com",HLOOKUP($X899&amp;$Z899,PLANNING_FC!$T$27:$AH$46,MATCH($W899,PLANNING_FC!$B$27:$B$46,0),FALSE),0),0)</f>
        <v>0</v>
      </c>
      <c r="AY899" s="58">
        <f>IFERROR(IF($V899="BRAND.com",HLOOKUP($X899&amp;$Z899,PLANNING_FC!$T$4:$AH$23,MATCH($W899,PLANNING_FC!$B$4:$B$23,0),FALSE),0),0)</f>
        <v>0</v>
      </c>
      <c r="AZ899" s="58">
        <f>IFERROR(IF($V899="BRAND.com",HLOOKUP($X899&amp;$Z899,PLANNING_FC!$DA$27:$DO$46,MATCH($W899,PLANNING_FC!$CZ$27:$CZ$46,0),FALSE),0),0)</f>
        <v>0</v>
      </c>
      <c r="BA899" s="58">
        <f>IFERROR(IF($V899="BRAND.com",HLOOKUP($X899&amp;$Z899,PLANNING_FC!$DA$4:$DO$23,MATCH($W899,PLANNING_FC!$CZ$4:$CZ$23,0),FALSE),0),0)</f>
        <v>0</v>
      </c>
      <c r="BB899" s="883" t="str">
        <f>IF(V899="BRAND.com",IFERROR(HLOOKUP(X899&amp;Z899,PLANNING_FC!$AK$4:$AY$23,MATCH(W899,PLANNING_FC!$AJ$4:$AJ$23,0),FALSE)*1000,""),"")</f>
        <v/>
      </c>
      <c r="BC899" s="883" t="str">
        <f>IF(V899="BRAND.com",IFERROR(HLOOKUP(X899&amp;Z899,PLANNING_FC!$AK$27:$AY$46,MATCH(W899,PLANNING_FC!$AJ$27:$AJ$46,0),FALSE)*1000,""),"")</f>
        <v/>
      </c>
    </row>
    <row r="900" spans="14:55" x14ac:dyDescent="0.25">
      <c r="N900" s="56">
        <f t="shared" si="344"/>
        <v>0</v>
      </c>
      <c r="O900" s="57">
        <f t="shared" si="345"/>
        <v>0</v>
      </c>
      <c r="P900" s="57">
        <f ca="1">IFERROR(IF(ISBLANK(H900),SUMIFS($AC:$AC,$V:$V,V900,$W:$W,W900,$X:$X,X900,$Y:$Y,Y900)*J900/(1-J900)*VLOOKUP(_xlfn.CONCAT(C900,D900,E900,TIME!$M$12,Z900),HIS_SALES!$B$2:$W$4859,20,FALSE),AC900*J900/(1-J900)),0)</f>
        <v>0</v>
      </c>
      <c r="Q900" s="541" t="str">
        <f t="shared" si="346"/>
        <v/>
      </c>
      <c r="R900" s="346" t="str">
        <f t="shared" si="347"/>
        <v>00000</v>
      </c>
      <c r="S900" s="344">
        <f t="shared" si="348"/>
        <v>0</v>
      </c>
      <c r="T900" s="345" t="str">
        <f t="shared" si="361"/>
        <v>000</v>
      </c>
      <c r="U900" s="345">
        <f t="shared" si="349"/>
        <v>0</v>
      </c>
      <c r="V900" s="345">
        <f t="shared" si="350"/>
        <v>0</v>
      </c>
      <c r="W900" s="345">
        <f t="shared" si="351"/>
        <v>0</v>
      </c>
      <c r="X900" s="345">
        <f t="shared" si="352"/>
        <v>0</v>
      </c>
      <c r="Y900" s="345">
        <f t="shared" si="353"/>
        <v>0</v>
      </c>
      <c r="Z900" s="345">
        <f>IF(Q900&lt;&gt;"",VLOOKUP(Y900,TIME!$R$21:$V$24,MATCH(FC_DATA!Q900,TIME!$R$20:$V$20,0),FALSE),H900)</f>
        <v>0</v>
      </c>
      <c r="AA900" s="345" t="str">
        <f>IFERROR(VLOOKUP(X900&amp;Z900,TIME!$A$12:$D$71,4,FALSE),"")</f>
        <v/>
      </c>
      <c r="AB900" s="592">
        <f t="shared" ca="1" si="354"/>
        <v>0</v>
      </c>
      <c r="AC900" s="593" t="e">
        <f ca="1">IF(ISBLANK(H900)=FALSE,IF(D900="BRAND.com",I900,IF(ISNA(VLOOKUP(_xlfn.CONCAT(X900,Z900),TIME!$M$40:$M$42,1,FALSE)),I900,VLOOKUP(_xlfn.CONCAT(D900,G900,H900),M_BUSAREA_FC!$AF$5:$AJ$10,5,FALSE)*HLOOKUP(_xlfn.CONCAT(F900,H900),ST_OVERVIEW!$G$99:$I$130,MATCH(_xlfn.CONCAT(D900,E900),ST_OVERVIEW!$F$99:$F$130,0),FALSE))),IF(D900="BRAND.com",VLOOKUP(_xlfn.CONCAT(C900,D900,E900,TIME!$F$1,Z900),HIS_SALES!$B$2:$V$4859,19,FALSE)*I900,VLOOKUP(_xlfn.CONCAT(D900,F900,G900),Q_BUSAREA_FC!$AE$5:$AI$12,5,FALSE)*HLOOKUP(_xlfn.CONCAT(FC_DATA!F900,FC_DATA!G900),LT_OVERVIEW!$I$99:$M$130,MATCH(_xlfn.CONCAT(D900,FC_DATA!E900),LT_OVERVIEW!$H$99:$H$130,0),FALSE)*IFERROR(VLOOKUP(_xlfn.CONCAT(C900,D900,E900,TIME!$F$1,Z900),HIS_SALES!$B$2:$V$4859,19,FALSE),0)))</f>
        <v>#N/A</v>
      </c>
      <c r="AD900" s="341">
        <f t="shared" ca="1" si="355"/>
        <v>0</v>
      </c>
      <c r="AE900" s="363" t="str">
        <f t="shared" si="356"/>
        <v/>
      </c>
      <c r="AF900" s="342" t="str">
        <f t="shared" si="357"/>
        <v/>
      </c>
      <c r="AG900" s="411" t="e">
        <f ca="1">VLOOKUP(_xlfn.CONCAT(U900,V900,W900,VLOOKUP(X900&amp;Y900,TIME!$L$27:$O$34,4,FALSE),Y900),HIS_SALES!$A$2:$R$5093,18,FALSE)</f>
        <v>#N/A</v>
      </c>
      <c r="AH900" s="412" t="e">
        <f ca="1">IFERROR(IF(AND(V900=V899,W900=W899),0.5*(AB900+AB899)*AG900,(VLOOKUP(_xlfn.CONCAT(U900,V900,W900,X900,VLOOKUP(Z900,TIME!$S$28:$T$39,2,FALSE)),FC_DATA!$R$2:$AB$5000,MATCH("GS_I_M",FC_DATA!$R$1:$AB$1,0),FALSE)+FC_DATA!AB900)*0.5*FC_DATA!AG900),NA())</f>
        <v>#N/A</v>
      </c>
      <c r="AI900" s="491" t="e">
        <f ca="1">IF(V900="PARTNER.com",AH900,IF(AND(V900=V899,W900=W899),(1-AVERAGE(AD899,AD900))*AH900,(1-AVERAGE(AD900,VLOOKUP(_xlfn.CONCAT(U900,V900,W900,X900,M_BRAND_FC!$F$6),FC_DATA!$R$2:$AD$5000,MATCH("DISCOUNT_%_M",FC_DATA!$R$1:$AD$1,0),FALSE)))*AH900))</f>
        <v>#N/A</v>
      </c>
      <c r="AJ900" s="412" t="str">
        <f t="shared" ca="1" si="358"/>
        <v/>
      </c>
      <c r="AK900" s="413" t="str">
        <f>IFERROR(AE900/(Q_BRAND_FC!$T$24+1),"")</f>
        <v/>
      </c>
      <c r="AL900" s="88" t="str">
        <f t="shared" ca="1" si="359"/>
        <v/>
      </c>
      <c r="AM900" s="414" t="str">
        <f t="shared" ca="1" si="360"/>
        <v/>
      </c>
      <c r="AN900" s="58">
        <f>IFERROR(IF($V900="BRAND.com",HLOOKUP($X900&amp;$Z900,NWC_FC_NOOS!$C$4:$Q$23,MATCH(W900,NWC_FC_NOOS!$B$4:$B$23,0),FALSE),0),0)</f>
        <v>0</v>
      </c>
      <c r="AO900" s="57">
        <f>IFERROR(IF($V900="BRAND.com",HLOOKUP($X900&amp;$Z900,NWC_FC_NOOS!$T$4:$AH$23,MATCH(W900,NWC_FC_NOOS!$S$4:$S$23,0),FALSE),0),0)</f>
        <v>0</v>
      </c>
      <c r="AP900" s="57">
        <f>IFERROR(IF($V900="BRAND.com",HLOOKUP($X900&amp;$Z900,NWC_FC_NOOS!$C$50:$U$69,MATCH(W900,NWC_FC_NOOS!$B$50:$B$69,0),FALSE),0),0)</f>
        <v>0</v>
      </c>
      <c r="AQ900" s="58">
        <f>IFERROR(IF($V900="BRAND.com",HLOOKUP($X900&amp;$Z900,'NWC_FC_NON-NOOS'!$C$4:$Q$23,MATCH(W900,'NWC_FC_NON-NOOS'!$B$4:$B$23,0),FALSE),0),0)</f>
        <v>0</v>
      </c>
      <c r="AR900" s="57">
        <f>IFERROR(IF($V900="BRAND.com",HLOOKUP($X900&amp;$Z900,'NWC_FC_NON-NOOS'!$T$4:$AH$23,MATCH(W900,'NWC_FC_NON-NOOS'!$S$4:$S$23,0),FALSE),0),0)</f>
        <v>0</v>
      </c>
      <c r="AS900" s="57">
        <f>IFERROR(IF($V900="BRAND.com",HLOOKUP($X900&amp;$Z900,'NWC_FC_NON-NOOS'!$C$50:$U$69,MATCH(W900,'NWC_FC_NON-NOOS'!$B$50:$B$69,0),FALSE),0),0)</f>
        <v>0</v>
      </c>
      <c r="AT900" s="57">
        <f t="shared" si="362"/>
        <v>0</v>
      </c>
      <c r="AU900" s="57">
        <f t="shared" si="363"/>
        <v>0</v>
      </c>
      <c r="AV900" s="58">
        <f>IFERROR(IF($V900="BRAND.com",HLOOKUP($X900&amp;$Z900,PLANNING_FC!$BB$27:$BP$46,MATCH($W900,PLANNING_FC!$BA$27:$BA$46,0),FALSE),0),0)</f>
        <v>0</v>
      </c>
      <c r="AW900" s="58">
        <f>IFERROR(IF($V900="BRAND.com",HLOOKUP($X900&amp;$Z900,PLANNING_FC!$BB$4:$BP$23,MATCH($W900,PLANNING_FC!$BA$4:$BA$23,0),FALSE),0),0)</f>
        <v>0</v>
      </c>
      <c r="AX900" s="58">
        <f>IFERROR(IF($V900="BRAND.com",HLOOKUP($X900&amp;$Z900,PLANNING_FC!$T$27:$AH$46,MATCH($W900,PLANNING_FC!$B$27:$B$46,0),FALSE),0),0)</f>
        <v>0</v>
      </c>
      <c r="AY900" s="58">
        <f>IFERROR(IF($V900="BRAND.com",HLOOKUP($X900&amp;$Z900,PLANNING_FC!$T$4:$AH$23,MATCH($W900,PLANNING_FC!$B$4:$B$23,0),FALSE),0),0)</f>
        <v>0</v>
      </c>
      <c r="AZ900" s="58">
        <f>IFERROR(IF($V900="BRAND.com",HLOOKUP($X900&amp;$Z900,PLANNING_FC!$DA$27:$DO$46,MATCH($W900,PLANNING_FC!$CZ$27:$CZ$46,0),FALSE),0),0)</f>
        <v>0</v>
      </c>
      <c r="BA900" s="58">
        <f>IFERROR(IF($V900="BRAND.com",HLOOKUP($X900&amp;$Z900,PLANNING_FC!$DA$4:$DO$23,MATCH($W900,PLANNING_FC!$CZ$4:$CZ$23,0),FALSE),0),0)</f>
        <v>0</v>
      </c>
      <c r="BB900" s="883" t="str">
        <f>IF(V900="BRAND.com",IFERROR(HLOOKUP(X900&amp;Z900,PLANNING_FC!$AK$4:$AY$23,MATCH(W900,PLANNING_FC!$AJ$4:$AJ$23,0),FALSE)*1000,""),"")</f>
        <v/>
      </c>
      <c r="BC900" s="883" t="str">
        <f>IF(V900="BRAND.com",IFERROR(HLOOKUP(X900&amp;Z900,PLANNING_FC!$AK$27:$AY$46,MATCH(W900,PLANNING_FC!$AJ$27:$AJ$46,0),FALSE)*1000,""),"")</f>
        <v/>
      </c>
    </row>
    <row r="901" spans="14:55" x14ac:dyDescent="0.25">
      <c r="N901" s="56">
        <f t="shared" si="344"/>
        <v>0</v>
      </c>
      <c r="O901" s="57">
        <f t="shared" si="345"/>
        <v>0</v>
      </c>
      <c r="P901" s="57">
        <f ca="1">IFERROR(IF(ISBLANK(H901),SUMIFS($AC:$AC,$V:$V,V901,$W:$W,W901,$X:$X,X901,$Y:$Y,Y901)*J901/(1-J901)*VLOOKUP(_xlfn.CONCAT(C901,D901,E901,TIME!$M$12,Z901),HIS_SALES!$B$2:$W$4859,20,FALSE),AC901*J901/(1-J901)),0)</f>
        <v>0</v>
      </c>
      <c r="Q901" s="541" t="str">
        <f t="shared" si="346"/>
        <v/>
      </c>
      <c r="R901" s="346" t="str">
        <f t="shared" si="347"/>
        <v>00000</v>
      </c>
      <c r="S901" s="344">
        <f t="shared" si="348"/>
        <v>0</v>
      </c>
      <c r="T901" s="345" t="str">
        <f t="shared" si="361"/>
        <v>000</v>
      </c>
      <c r="U901" s="345">
        <f t="shared" si="349"/>
        <v>0</v>
      </c>
      <c r="V901" s="345">
        <f t="shared" si="350"/>
        <v>0</v>
      </c>
      <c r="W901" s="345">
        <f t="shared" si="351"/>
        <v>0</v>
      </c>
      <c r="X901" s="345">
        <f t="shared" si="352"/>
        <v>0</v>
      </c>
      <c r="Y901" s="345">
        <f t="shared" si="353"/>
        <v>0</v>
      </c>
      <c r="Z901" s="345">
        <f>IF(Q901&lt;&gt;"",VLOOKUP(Y901,TIME!$R$21:$V$24,MATCH(FC_DATA!Q901,TIME!$R$20:$V$20,0),FALSE),H901)</f>
        <v>0</v>
      </c>
      <c r="AA901" s="345" t="str">
        <f>IFERROR(VLOOKUP(X901&amp;Z901,TIME!$A$12:$D$71,4,FALSE),"")</f>
        <v/>
      </c>
      <c r="AB901" s="592">
        <f t="shared" ca="1" si="354"/>
        <v>0</v>
      </c>
      <c r="AC901" s="593" t="e">
        <f ca="1">IF(ISBLANK(H901)=FALSE,IF(D901="BRAND.com",I901,IF(ISNA(VLOOKUP(_xlfn.CONCAT(X901,Z901),TIME!$M$40:$M$42,1,FALSE)),I901,VLOOKUP(_xlfn.CONCAT(D901,G901,H901),M_BUSAREA_FC!$AF$5:$AJ$10,5,FALSE)*HLOOKUP(_xlfn.CONCAT(F901,H901),ST_OVERVIEW!$G$99:$I$130,MATCH(_xlfn.CONCAT(D901,E901),ST_OVERVIEW!$F$99:$F$130,0),FALSE))),IF(D901="BRAND.com",VLOOKUP(_xlfn.CONCAT(C901,D901,E901,TIME!$F$1,Z901),HIS_SALES!$B$2:$V$4859,19,FALSE)*I901,VLOOKUP(_xlfn.CONCAT(D901,F901,G901),Q_BUSAREA_FC!$AE$5:$AI$12,5,FALSE)*HLOOKUP(_xlfn.CONCAT(FC_DATA!F901,FC_DATA!G901),LT_OVERVIEW!$I$99:$M$130,MATCH(_xlfn.CONCAT(D901,FC_DATA!E901),LT_OVERVIEW!$H$99:$H$130,0),FALSE)*IFERROR(VLOOKUP(_xlfn.CONCAT(C901,D901,E901,TIME!$F$1,Z901),HIS_SALES!$B$2:$V$4859,19,FALSE),0)))</f>
        <v>#N/A</v>
      </c>
      <c r="AD901" s="341">
        <f t="shared" ca="1" si="355"/>
        <v>0</v>
      </c>
      <c r="AE901" s="363" t="str">
        <f t="shared" si="356"/>
        <v/>
      </c>
      <c r="AF901" s="342" t="str">
        <f t="shared" si="357"/>
        <v/>
      </c>
      <c r="AG901" s="411" t="e">
        <f ca="1">VLOOKUP(_xlfn.CONCAT(U901,V901,W901,VLOOKUP(X901&amp;Y901,TIME!$L$27:$O$34,4,FALSE),Y901),HIS_SALES!$A$2:$R$5093,18,FALSE)</f>
        <v>#N/A</v>
      </c>
      <c r="AH901" s="412" t="e">
        <f ca="1">IFERROR(IF(AND(V901=V900,W901=W900),0.5*(AB901+AB900)*AG901,(VLOOKUP(_xlfn.CONCAT(U901,V901,W901,X901,VLOOKUP(Z901,TIME!$S$28:$T$39,2,FALSE)),FC_DATA!$R$2:$AB$5000,MATCH("GS_I_M",FC_DATA!$R$1:$AB$1,0),FALSE)+FC_DATA!AB901)*0.5*FC_DATA!AG901),NA())</f>
        <v>#N/A</v>
      </c>
      <c r="AI901" s="491" t="e">
        <f ca="1">IF(V901="PARTNER.com",AH901,IF(AND(V901=V900,W901=W900),(1-AVERAGE(AD900,AD901))*AH901,(1-AVERAGE(AD901,VLOOKUP(_xlfn.CONCAT(U901,V901,W901,X901,M_BRAND_FC!$F$6),FC_DATA!$R$2:$AD$5000,MATCH("DISCOUNT_%_M",FC_DATA!$R$1:$AD$1,0),FALSE)))*AH901))</f>
        <v>#N/A</v>
      </c>
      <c r="AJ901" s="412" t="str">
        <f t="shared" ca="1" si="358"/>
        <v/>
      </c>
      <c r="AK901" s="413" t="str">
        <f>IFERROR(AE901/(Q_BRAND_FC!$T$24+1),"")</f>
        <v/>
      </c>
      <c r="AL901" s="88" t="str">
        <f t="shared" ca="1" si="359"/>
        <v/>
      </c>
      <c r="AM901" s="414" t="str">
        <f t="shared" ca="1" si="360"/>
        <v/>
      </c>
      <c r="AN901" s="58">
        <f>IFERROR(IF($V901="BRAND.com",HLOOKUP($X901&amp;$Z901,NWC_FC_NOOS!$C$4:$Q$23,MATCH(W901,NWC_FC_NOOS!$B$4:$B$23,0),FALSE),0),0)</f>
        <v>0</v>
      </c>
      <c r="AO901" s="57">
        <f>IFERROR(IF($V901="BRAND.com",HLOOKUP($X901&amp;$Z901,NWC_FC_NOOS!$T$4:$AH$23,MATCH(W901,NWC_FC_NOOS!$S$4:$S$23,0),FALSE),0),0)</f>
        <v>0</v>
      </c>
      <c r="AP901" s="57">
        <f>IFERROR(IF($V901="BRAND.com",HLOOKUP($X901&amp;$Z901,NWC_FC_NOOS!$C$50:$U$69,MATCH(W901,NWC_FC_NOOS!$B$50:$B$69,0),FALSE),0),0)</f>
        <v>0</v>
      </c>
      <c r="AQ901" s="58">
        <f>IFERROR(IF($V901="BRAND.com",HLOOKUP($X901&amp;$Z901,'NWC_FC_NON-NOOS'!$C$4:$Q$23,MATCH(W901,'NWC_FC_NON-NOOS'!$B$4:$B$23,0),FALSE),0),0)</f>
        <v>0</v>
      </c>
      <c r="AR901" s="57">
        <f>IFERROR(IF($V901="BRAND.com",HLOOKUP($X901&amp;$Z901,'NWC_FC_NON-NOOS'!$T$4:$AH$23,MATCH(W901,'NWC_FC_NON-NOOS'!$S$4:$S$23,0),FALSE),0),0)</f>
        <v>0</v>
      </c>
      <c r="AS901" s="57">
        <f>IFERROR(IF($V901="BRAND.com",HLOOKUP($X901&amp;$Z901,'NWC_FC_NON-NOOS'!$C$50:$U$69,MATCH(W901,'NWC_FC_NON-NOOS'!$B$50:$B$69,0),FALSE),0),0)</f>
        <v>0</v>
      </c>
      <c r="AT901" s="57">
        <f t="shared" si="362"/>
        <v>0</v>
      </c>
      <c r="AU901" s="57">
        <f t="shared" si="363"/>
        <v>0</v>
      </c>
      <c r="AV901" s="58">
        <f>IFERROR(IF($V901="BRAND.com",HLOOKUP($X901&amp;$Z901,PLANNING_FC!$BB$27:$BP$46,MATCH($W901,PLANNING_FC!$BA$27:$BA$46,0),FALSE),0),0)</f>
        <v>0</v>
      </c>
      <c r="AW901" s="58">
        <f>IFERROR(IF($V901="BRAND.com",HLOOKUP($X901&amp;$Z901,PLANNING_FC!$BB$4:$BP$23,MATCH($W901,PLANNING_FC!$BA$4:$BA$23,0),FALSE),0),0)</f>
        <v>0</v>
      </c>
      <c r="AX901" s="58">
        <f>IFERROR(IF($V901="BRAND.com",HLOOKUP($X901&amp;$Z901,PLANNING_FC!$T$27:$AH$46,MATCH($W901,PLANNING_FC!$B$27:$B$46,0),FALSE),0),0)</f>
        <v>0</v>
      </c>
      <c r="AY901" s="58">
        <f>IFERROR(IF($V901="BRAND.com",HLOOKUP($X901&amp;$Z901,PLANNING_FC!$T$4:$AH$23,MATCH($W901,PLANNING_FC!$B$4:$B$23,0),FALSE),0),0)</f>
        <v>0</v>
      </c>
      <c r="AZ901" s="58">
        <f>IFERROR(IF($V901="BRAND.com",HLOOKUP($X901&amp;$Z901,PLANNING_FC!$DA$27:$DO$46,MATCH($W901,PLANNING_FC!$CZ$27:$CZ$46,0),FALSE),0),0)</f>
        <v>0</v>
      </c>
      <c r="BA901" s="58">
        <f>IFERROR(IF($V901="BRAND.com",HLOOKUP($X901&amp;$Z901,PLANNING_FC!$DA$4:$DO$23,MATCH($W901,PLANNING_FC!$CZ$4:$CZ$23,0),FALSE),0),0)</f>
        <v>0</v>
      </c>
      <c r="BB901" s="883" t="str">
        <f>IF(V901="BRAND.com",IFERROR(HLOOKUP(X901&amp;Z901,PLANNING_FC!$AK$4:$AY$23,MATCH(W901,PLANNING_FC!$AJ$4:$AJ$23,0),FALSE)*1000,""),"")</f>
        <v/>
      </c>
      <c r="BC901" s="883" t="str">
        <f>IF(V901="BRAND.com",IFERROR(HLOOKUP(X901&amp;Z901,PLANNING_FC!$AK$27:$AY$46,MATCH(W901,PLANNING_FC!$AJ$27:$AJ$46,0),FALSE)*1000,""),"")</f>
        <v/>
      </c>
    </row>
    <row r="902" spans="14:55" x14ac:dyDescent="0.25">
      <c r="N902" s="56">
        <f t="shared" si="344"/>
        <v>0</v>
      </c>
      <c r="O902" s="57">
        <f t="shared" si="345"/>
        <v>0</v>
      </c>
      <c r="P902" s="57">
        <f ca="1">IFERROR(IF(ISBLANK(H902),SUMIFS($AC:$AC,$V:$V,V902,$W:$W,W902,$X:$X,X902,$Y:$Y,Y902)*J902/(1-J902)*VLOOKUP(_xlfn.CONCAT(C902,D902,E902,TIME!$M$12,Z902),HIS_SALES!$B$2:$W$4859,20,FALSE),AC902*J902/(1-J902)),0)</f>
        <v>0</v>
      </c>
      <c r="Q902" s="541" t="str">
        <f t="shared" si="346"/>
        <v/>
      </c>
      <c r="R902" s="346" t="str">
        <f t="shared" si="347"/>
        <v>00000</v>
      </c>
      <c r="S902" s="344">
        <f t="shared" si="348"/>
        <v>0</v>
      </c>
      <c r="T902" s="345" t="str">
        <f t="shared" si="361"/>
        <v>000</v>
      </c>
      <c r="U902" s="345">
        <f t="shared" si="349"/>
        <v>0</v>
      </c>
      <c r="V902" s="345">
        <f t="shared" si="350"/>
        <v>0</v>
      </c>
      <c r="W902" s="345">
        <f t="shared" si="351"/>
        <v>0</v>
      </c>
      <c r="X902" s="345">
        <f t="shared" si="352"/>
        <v>0</v>
      </c>
      <c r="Y902" s="345">
        <f t="shared" si="353"/>
        <v>0</v>
      </c>
      <c r="Z902" s="345">
        <f>IF(Q902&lt;&gt;"",VLOOKUP(Y902,TIME!$R$21:$V$24,MATCH(FC_DATA!Q902,TIME!$R$20:$V$20,0),FALSE),H902)</f>
        <v>0</v>
      </c>
      <c r="AA902" s="345" t="str">
        <f>IFERROR(VLOOKUP(X902&amp;Z902,TIME!$A$12:$D$71,4,FALSE),"")</f>
        <v/>
      </c>
      <c r="AB902" s="592">
        <f t="shared" ca="1" si="354"/>
        <v>0</v>
      </c>
      <c r="AC902" s="593" t="e">
        <f ca="1">IF(ISBLANK(H902)=FALSE,IF(D902="BRAND.com",I902,IF(ISNA(VLOOKUP(_xlfn.CONCAT(X902,Z902),TIME!$M$40:$M$42,1,FALSE)),I902,VLOOKUP(_xlfn.CONCAT(D902,G902,H902),M_BUSAREA_FC!$AF$5:$AJ$10,5,FALSE)*HLOOKUP(_xlfn.CONCAT(F902,H902),ST_OVERVIEW!$G$99:$I$130,MATCH(_xlfn.CONCAT(D902,E902),ST_OVERVIEW!$F$99:$F$130,0),FALSE))),IF(D902="BRAND.com",VLOOKUP(_xlfn.CONCAT(C902,D902,E902,TIME!$F$1,Z902),HIS_SALES!$B$2:$V$4859,19,FALSE)*I902,VLOOKUP(_xlfn.CONCAT(D902,F902,G902),Q_BUSAREA_FC!$AE$5:$AI$12,5,FALSE)*HLOOKUP(_xlfn.CONCAT(FC_DATA!F902,FC_DATA!G902),LT_OVERVIEW!$I$99:$M$130,MATCH(_xlfn.CONCAT(D902,FC_DATA!E902),LT_OVERVIEW!$H$99:$H$130,0),FALSE)*IFERROR(VLOOKUP(_xlfn.CONCAT(C902,D902,E902,TIME!$F$1,Z902),HIS_SALES!$B$2:$V$4859,19,FALSE),0)))</f>
        <v>#N/A</v>
      </c>
      <c r="AD902" s="341">
        <f t="shared" ca="1" si="355"/>
        <v>0</v>
      </c>
      <c r="AE902" s="363" t="str">
        <f t="shared" si="356"/>
        <v/>
      </c>
      <c r="AF902" s="342" t="str">
        <f t="shared" si="357"/>
        <v/>
      </c>
      <c r="AG902" s="411" t="e">
        <f ca="1">VLOOKUP(_xlfn.CONCAT(U902,V902,W902,VLOOKUP(X902&amp;Y902,TIME!$L$27:$O$34,4,FALSE),Y902),HIS_SALES!$A$2:$R$5093,18,FALSE)</f>
        <v>#N/A</v>
      </c>
      <c r="AH902" s="412" t="e">
        <f ca="1">IFERROR(IF(AND(V902=V901,W902=W901),0.5*(AB902+AB901)*AG902,(VLOOKUP(_xlfn.CONCAT(U902,V902,W902,X902,VLOOKUP(Z902,TIME!$S$28:$T$39,2,FALSE)),FC_DATA!$R$2:$AB$5000,MATCH("GS_I_M",FC_DATA!$R$1:$AB$1,0),FALSE)+FC_DATA!AB902)*0.5*FC_DATA!AG902),NA())</f>
        <v>#N/A</v>
      </c>
      <c r="AI902" s="491" t="e">
        <f ca="1">IF(V902="PARTNER.com",AH902,IF(AND(V902=V901,W902=W901),(1-AVERAGE(AD901,AD902))*AH902,(1-AVERAGE(AD902,VLOOKUP(_xlfn.CONCAT(U902,V902,W902,X902,M_BRAND_FC!$F$6),FC_DATA!$R$2:$AD$5000,MATCH("DISCOUNT_%_M",FC_DATA!$R$1:$AD$1,0),FALSE)))*AH902))</f>
        <v>#N/A</v>
      </c>
      <c r="AJ902" s="412" t="str">
        <f t="shared" ca="1" si="358"/>
        <v/>
      </c>
      <c r="AK902" s="413" t="str">
        <f>IFERROR(AE902/(Q_BRAND_FC!$T$24+1),"")</f>
        <v/>
      </c>
      <c r="AL902" s="88" t="str">
        <f t="shared" ca="1" si="359"/>
        <v/>
      </c>
      <c r="AM902" s="414" t="str">
        <f t="shared" ca="1" si="360"/>
        <v/>
      </c>
      <c r="AN902" s="58">
        <f>IFERROR(IF($V902="BRAND.com",HLOOKUP($X902&amp;$Z902,NWC_FC_NOOS!$C$4:$Q$23,MATCH(W902,NWC_FC_NOOS!$B$4:$B$23,0),FALSE),0),0)</f>
        <v>0</v>
      </c>
      <c r="AO902" s="57">
        <f>IFERROR(IF($V902="BRAND.com",HLOOKUP($X902&amp;$Z902,NWC_FC_NOOS!$T$4:$AH$23,MATCH(W902,NWC_FC_NOOS!$S$4:$S$23,0),FALSE),0),0)</f>
        <v>0</v>
      </c>
      <c r="AP902" s="57">
        <f>IFERROR(IF($V902="BRAND.com",HLOOKUP($X902&amp;$Z902,NWC_FC_NOOS!$C$50:$U$69,MATCH(W902,NWC_FC_NOOS!$B$50:$B$69,0),FALSE),0),0)</f>
        <v>0</v>
      </c>
      <c r="AQ902" s="58">
        <f>IFERROR(IF($V902="BRAND.com",HLOOKUP($X902&amp;$Z902,'NWC_FC_NON-NOOS'!$C$4:$Q$23,MATCH(W902,'NWC_FC_NON-NOOS'!$B$4:$B$23,0),FALSE),0),0)</f>
        <v>0</v>
      </c>
      <c r="AR902" s="57">
        <f>IFERROR(IF($V902="BRAND.com",HLOOKUP($X902&amp;$Z902,'NWC_FC_NON-NOOS'!$T$4:$AH$23,MATCH(W902,'NWC_FC_NON-NOOS'!$S$4:$S$23,0),FALSE),0),0)</f>
        <v>0</v>
      </c>
      <c r="AS902" s="57">
        <f>IFERROR(IF($V902="BRAND.com",HLOOKUP($X902&amp;$Z902,'NWC_FC_NON-NOOS'!$C$50:$U$69,MATCH(W902,'NWC_FC_NON-NOOS'!$B$50:$B$69,0),FALSE),0),0)</f>
        <v>0</v>
      </c>
      <c r="AT902" s="57">
        <f t="shared" si="362"/>
        <v>0</v>
      </c>
      <c r="AU902" s="57">
        <f t="shared" si="363"/>
        <v>0</v>
      </c>
      <c r="AV902" s="58">
        <f>IFERROR(IF($V902="BRAND.com",HLOOKUP($X902&amp;$Z902,PLANNING_FC!$BB$27:$BP$46,MATCH($W902,PLANNING_FC!$BA$27:$BA$46,0),FALSE),0),0)</f>
        <v>0</v>
      </c>
      <c r="AW902" s="58">
        <f>IFERROR(IF($V902="BRAND.com",HLOOKUP($X902&amp;$Z902,PLANNING_FC!$BB$4:$BP$23,MATCH($W902,PLANNING_FC!$BA$4:$BA$23,0),FALSE),0),0)</f>
        <v>0</v>
      </c>
      <c r="AX902" s="58">
        <f>IFERROR(IF($V902="BRAND.com",HLOOKUP($X902&amp;$Z902,PLANNING_FC!$T$27:$AH$46,MATCH($W902,PLANNING_FC!$B$27:$B$46,0),FALSE),0),0)</f>
        <v>0</v>
      </c>
      <c r="AY902" s="58">
        <f>IFERROR(IF($V902="BRAND.com",HLOOKUP($X902&amp;$Z902,PLANNING_FC!$T$4:$AH$23,MATCH($W902,PLANNING_FC!$B$4:$B$23,0),FALSE),0),0)</f>
        <v>0</v>
      </c>
      <c r="AZ902" s="58">
        <f>IFERROR(IF($V902="BRAND.com",HLOOKUP($X902&amp;$Z902,PLANNING_FC!$DA$27:$DO$46,MATCH($W902,PLANNING_FC!$CZ$27:$CZ$46,0),FALSE),0),0)</f>
        <v>0</v>
      </c>
      <c r="BA902" s="58">
        <f>IFERROR(IF($V902="BRAND.com",HLOOKUP($X902&amp;$Z902,PLANNING_FC!$DA$4:$DO$23,MATCH($W902,PLANNING_FC!$CZ$4:$CZ$23,0),FALSE),0),0)</f>
        <v>0</v>
      </c>
      <c r="BB902" s="883" t="str">
        <f>IF(V902="BRAND.com",IFERROR(HLOOKUP(X902&amp;Z902,PLANNING_FC!$AK$4:$AY$23,MATCH(W902,PLANNING_FC!$AJ$4:$AJ$23,0),FALSE)*1000,""),"")</f>
        <v/>
      </c>
      <c r="BC902" s="883" t="str">
        <f>IF(V902="BRAND.com",IFERROR(HLOOKUP(X902&amp;Z902,PLANNING_FC!$AK$27:$AY$46,MATCH(W902,PLANNING_FC!$AJ$27:$AJ$46,0),FALSE)*1000,""),"")</f>
        <v/>
      </c>
    </row>
    <row r="903" spans="14:55" x14ac:dyDescent="0.25">
      <c r="N903" s="56">
        <f t="shared" si="344"/>
        <v>0</v>
      </c>
      <c r="O903" s="57">
        <f t="shared" si="345"/>
        <v>0</v>
      </c>
      <c r="P903" s="57">
        <f ca="1">IFERROR(IF(ISBLANK(H903),SUMIFS($AC:$AC,$V:$V,V903,$W:$W,W903,$X:$X,X903,$Y:$Y,Y903)*J903/(1-J903)*VLOOKUP(_xlfn.CONCAT(C903,D903,E903,TIME!$M$12,Z903),HIS_SALES!$B$2:$W$4859,20,FALSE),AC903*J903/(1-J903)),0)</f>
        <v>0</v>
      </c>
      <c r="Q903" s="541" t="str">
        <f t="shared" si="346"/>
        <v/>
      </c>
      <c r="R903" s="346" t="str">
        <f t="shared" si="347"/>
        <v>00000</v>
      </c>
      <c r="S903" s="344">
        <f t="shared" si="348"/>
        <v>0</v>
      </c>
      <c r="T903" s="345" t="str">
        <f t="shared" si="361"/>
        <v>000</v>
      </c>
      <c r="U903" s="345">
        <f t="shared" si="349"/>
        <v>0</v>
      </c>
      <c r="V903" s="345">
        <f t="shared" si="350"/>
        <v>0</v>
      </c>
      <c r="W903" s="345">
        <f t="shared" si="351"/>
        <v>0</v>
      </c>
      <c r="X903" s="345">
        <f t="shared" si="352"/>
        <v>0</v>
      </c>
      <c r="Y903" s="345">
        <f t="shared" si="353"/>
        <v>0</v>
      </c>
      <c r="Z903" s="345">
        <f>IF(Q903&lt;&gt;"",VLOOKUP(Y903,TIME!$R$21:$V$24,MATCH(FC_DATA!Q903,TIME!$R$20:$V$20,0),FALSE),H903)</f>
        <v>0</v>
      </c>
      <c r="AA903" s="345" t="str">
        <f>IFERROR(VLOOKUP(X903&amp;Z903,TIME!$A$12:$D$71,4,FALSE),"")</f>
        <v/>
      </c>
      <c r="AB903" s="592">
        <f t="shared" ca="1" si="354"/>
        <v>0</v>
      </c>
      <c r="AC903" s="593" t="e">
        <f ca="1">IF(ISBLANK(H903)=FALSE,IF(D903="BRAND.com",I903,IF(ISNA(VLOOKUP(_xlfn.CONCAT(X903,Z903),TIME!$M$40:$M$42,1,FALSE)),I903,VLOOKUP(_xlfn.CONCAT(D903,G903,H903),M_BUSAREA_FC!$AF$5:$AJ$10,5,FALSE)*HLOOKUP(_xlfn.CONCAT(F903,H903),ST_OVERVIEW!$G$99:$I$130,MATCH(_xlfn.CONCAT(D903,E903),ST_OVERVIEW!$F$99:$F$130,0),FALSE))),IF(D903="BRAND.com",VLOOKUP(_xlfn.CONCAT(C903,D903,E903,TIME!$F$1,Z903),HIS_SALES!$B$2:$V$4859,19,FALSE)*I903,VLOOKUP(_xlfn.CONCAT(D903,F903,G903),Q_BUSAREA_FC!$AE$5:$AI$12,5,FALSE)*HLOOKUP(_xlfn.CONCAT(FC_DATA!F903,FC_DATA!G903),LT_OVERVIEW!$I$99:$M$130,MATCH(_xlfn.CONCAT(D903,FC_DATA!E903),LT_OVERVIEW!$H$99:$H$130,0),FALSE)*IFERROR(VLOOKUP(_xlfn.CONCAT(C903,D903,E903,TIME!$F$1,Z903),HIS_SALES!$B$2:$V$4859,19,FALSE),0)))</f>
        <v>#N/A</v>
      </c>
      <c r="AD903" s="341">
        <f t="shared" ca="1" si="355"/>
        <v>0</v>
      </c>
      <c r="AE903" s="363" t="str">
        <f t="shared" si="356"/>
        <v/>
      </c>
      <c r="AF903" s="342" t="str">
        <f t="shared" si="357"/>
        <v/>
      </c>
      <c r="AG903" s="411" t="e">
        <f ca="1">VLOOKUP(_xlfn.CONCAT(U903,V903,W903,VLOOKUP(X903&amp;Y903,TIME!$L$27:$O$34,4,FALSE),Y903),HIS_SALES!$A$2:$R$5093,18,FALSE)</f>
        <v>#N/A</v>
      </c>
      <c r="AH903" s="412" t="e">
        <f ca="1">IFERROR(IF(AND(V903=V902,W903=W902),0.5*(AB903+AB902)*AG903,(VLOOKUP(_xlfn.CONCAT(U903,V903,W903,X903,VLOOKUP(Z903,TIME!$S$28:$T$39,2,FALSE)),FC_DATA!$R$2:$AB$5000,MATCH("GS_I_M",FC_DATA!$R$1:$AB$1,0),FALSE)+FC_DATA!AB903)*0.5*FC_DATA!AG903),NA())</f>
        <v>#N/A</v>
      </c>
      <c r="AI903" s="491" t="e">
        <f ca="1">IF(V903="PARTNER.com",AH903,IF(AND(V903=V902,W903=W902),(1-AVERAGE(AD902,AD903))*AH903,(1-AVERAGE(AD903,VLOOKUP(_xlfn.CONCAT(U903,V903,W903,X903,M_BRAND_FC!$F$6),FC_DATA!$R$2:$AD$5000,MATCH("DISCOUNT_%_M",FC_DATA!$R$1:$AD$1,0),FALSE)))*AH903))</f>
        <v>#N/A</v>
      </c>
      <c r="AJ903" s="412" t="str">
        <f t="shared" ca="1" si="358"/>
        <v/>
      </c>
      <c r="AK903" s="413" t="str">
        <f>IFERROR(AE903/(Q_BRAND_FC!$T$24+1),"")</f>
        <v/>
      </c>
      <c r="AL903" s="88" t="str">
        <f t="shared" ca="1" si="359"/>
        <v/>
      </c>
      <c r="AM903" s="414" t="str">
        <f t="shared" ca="1" si="360"/>
        <v/>
      </c>
      <c r="AN903" s="58">
        <f>IFERROR(IF($V903="BRAND.com",HLOOKUP($X903&amp;$Z903,NWC_FC_NOOS!$C$4:$Q$23,MATCH(W903,NWC_FC_NOOS!$B$4:$B$23,0),FALSE),0),0)</f>
        <v>0</v>
      </c>
      <c r="AO903" s="57">
        <f>IFERROR(IF($V903="BRAND.com",HLOOKUP($X903&amp;$Z903,NWC_FC_NOOS!$T$4:$AH$23,MATCH(W903,NWC_FC_NOOS!$S$4:$S$23,0),FALSE),0),0)</f>
        <v>0</v>
      </c>
      <c r="AP903" s="57">
        <f>IFERROR(IF($V903="BRAND.com",HLOOKUP($X903&amp;$Z903,NWC_FC_NOOS!$C$50:$U$69,MATCH(W903,NWC_FC_NOOS!$B$50:$B$69,0),FALSE),0),0)</f>
        <v>0</v>
      </c>
      <c r="AQ903" s="58">
        <f>IFERROR(IF($V903="BRAND.com",HLOOKUP($X903&amp;$Z903,'NWC_FC_NON-NOOS'!$C$4:$Q$23,MATCH(W903,'NWC_FC_NON-NOOS'!$B$4:$B$23,0),FALSE),0),0)</f>
        <v>0</v>
      </c>
      <c r="AR903" s="57">
        <f>IFERROR(IF($V903="BRAND.com",HLOOKUP($X903&amp;$Z903,'NWC_FC_NON-NOOS'!$T$4:$AH$23,MATCH(W903,'NWC_FC_NON-NOOS'!$S$4:$S$23,0),FALSE),0),0)</f>
        <v>0</v>
      </c>
      <c r="AS903" s="57">
        <f>IFERROR(IF($V903="BRAND.com",HLOOKUP($X903&amp;$Z903,'NWC_FC_NON-NOOS'!$C$50:$U$69,MATCH(W903,'NWC_FC_NON-NOOS'!$B$50:$B$69,0),FALSE),0),0)</f>
        <v>0</v>
      </c>
      <c r="AT903" s="57">
        <f t="shared" si="362"/>
        <v>0</v>
      </c>
      <c r="AU903" s="57">
        <f t="shared" si="363"/>
        <v>0</v>
      </c>
      <c r="AV903" s="58">
        <f>IFERROR(IF($V903="BRAND.com",HLOOKUP($X903&amp;$Z903,PLANNING_FC!$BB$27:$BP$46,MATCH($W903,PLANNING_FC!$BA$27:$BA$46,0),FALSE),0),0)</f>
        <v>0</v>
      </c>
      <c r="AW903" s="58">
        <f>IFERROR(IF($V903="BRAND.com",HLOOKUP($X903&amp;$Z903,PLANNING_FC!$BB$4:$BP$23,MATCH($W903,PLANNING_FC!$BA$4:$BA$23,0),FALSE),0),0)</f>
        <v>0</v>
      </c>
      <c r="AX903" s="58">
        <f>IFERROR(IF($V903="BRAND.com",HLOOKUP($X903&amp;$Z903,PLANNING_FC!$T$27:$AH$46,MATCH($W903,PLANNING_FC!$B$27:$B$46,0),FALSE),0),0)</f>
        <v>0</v>
      </c>
      <c r="AY903" s="58">
        <f>IFERROR(IF($V903="BRAND.com",HLOOKUP($X903&amp;$Z903,PLANNING_FC!$T$4:$AH$23,MATCH($W903,PLANNING_FC!$B$4:$B$23,0),FALSE),0),0)</f>
        <v>0</v>
      </c>
      <c r="AZ903" s="58">
        <f>IFERROR(IF($V903="BRAND.com",HLOOKUP($X903&amp;$Z903,PLANNING_FC!$DA$27:$DO$46,MATCH($W903,PLANNING_FC!$CZ$27:$CZ$46,0),FALSE),0),0)</f>
        <v>0</v>
      </c>
      <c r="BA903" s="58">
        <f>IFERROR(IF($V903="BRAND.com",HLOOKUP($X903&amp;$Z903,PLANNING_FC!$DA$4:$DO$23,MATCH($W903,PLANNING_FC!$CZ$4:$CZ$23,0),FALSE),0),0)</f>
        <v>0</v>
      </c>
      <c r="BB903" s="883" t="str">
        <f>IF(V903="BRAND.com",IFERROR(HLOOKUP(X903&amp;Z903,PLANNING_FC!$AK$4:$AY$23,MATCH(W903,PLANNING_FC!$AJ$4:$AJ$23,0),FALSE)*1000,""),"")</f>
        <v/>
      </c>
      <c r="BC903" s="883" t="str">
        <f>IF(V903="BRAND.com",IFERROR(HLOOKUP(X903&amp;Z903,PLANNING_FC!$AK$27:$AY$46,MATCH(W903,PLANNING_FC!$AJ$27:$AJ$46,0),FALSE)*1000,""),"")</f>
        <v/>
      </c>
    </row>
    <row r="904" spans="14:55" x14ac:dyDescent="0.25">
      <c r="N904" s="56">
        <f t="shared" si="344"/>
        <v>0</v>
      </c>
      <c r="O904" s="57">
        <f t="shared" si="345"/>
        <v>0</v>
      </c>
      <c r="P904" s="57">
        <f ca="1">IFERROR(IF(ISBLANK(H904),SUMIFS($AC:$AC,$V:$V,V904,$W:$W,W904,$X:$X,X904,$Y:$Y,Y904)*J904/(1-J904)*VLOOKUP(_xlfn.CONCAT(C904,D904,E904,TIME!$M$12,Z904),HIS_SALES!$B$2:$W$4859,20,FALSE),AC904*J904/(1-J904)),0)</f>
        <v>0</v>
      </c>
      <c r="Q904" s="541" t="str">
        <f t="shared" si="346"/>
        <v/>
      </c>
      <c r="R904" s="346" t="str">
        <f t="shared" si="347"/>
        <v>00000</v>
      </c>
      <c r="S904" s="344">
        <f t="shared" si="348"/>
        <v>0</v>
      </c>
      <c r="T904" s="345" t="str">
        <f t="shared" si="361"/>
        <v>000</v>
      </c>
      <c r="U904" s="345">
        <f t="shared" si="349"/>
        <v>0</v>
      </c>
      <c r="V904" s="345">
        <f t="shared" si="350"/>
        <v>0</v>
      </c>
      <c r="W904" s="345">
        <f t="shared" si="351"/>
        <v>0</v>
      </c>
      <c r="X904" s="345">
        <f t="shared" si="352"/>
        <v>0</v>
      </c>
      <c r="Y904" s="345">
        <f t="shared" si="353"/>
        <v>0</v>
      </c>
      <c r="Z904" s="345">
        <f>IF(Q904&lt;&gt;"",VLOOKUP(Y904,TIME!$R$21:$V$24,MATCH(FC_DATA!Q904,TIME!$R$20:$V$20,0),FALSE),H904)</f>
        <v>0</v>
      </c>
      <c r="AA904" s="345" t="str">
        <f>IFERROR(VLOOKUP(X904&amp;Z904,TIME!$A$12:$D$71,4,FALSE),"")</f>
        <v/>
      </c>
      <c r="AB904" s="592">
        <f t="shared" ca="1" si="354"/>
        <v>0</v>
      </c>
      <c r="AC904" s="593" t="e">
        <f ca="1">IF(ISBLANK(H904)=FALSE,IF(D904="BRAND.com",I904,IF(ISNA(VLOOKUP(_xlfn.CONCAT(X904,Z904),TIME!$M$40:$M$42,1,FALSE)),I904,VLOOKUP(_xlfn.CONCAT(D904,G904,H904),M_BUSAREA_FC!$AF$5:$AJ$10,5,FALSE)*HLOOKUP(_xlfn.CONCAT(F904,H904),ST_OVERVIEW!$G$99:$I$130,MATCH(_xlfn.CONCAT(D904,E904),ST_OVERVIEW!$F$99:$F$130,0),FALSE))),IF(D904="BRAND.com",VLOOKUP(_xlfn.CONCAT(C904,D904,E904,TIME!$F$1,Z904),HIS_SALES!$B$2:$V$4859,19,FALSE)*I904,VLOOKUP(_xlfn.CONCAT(D904,F904,G904),Q_BUSAREA_FC!$AE$5:$AI$12,5,FALSE)*HLOOKUP(_xlfn.CONCAT(FC_DATA!F904,FC_DATA!G904),LT_OVERVIEW!$I$99:$M$130,MATCH(_xlfn.CONCAT(D904,FC_DATA!E904),LT_OVERVIEW!$H$99:$H$130,0),FALSE)*IFERROR(VLOOKUP(_xlfn.CONCAT(C904,D904,E904,TIME!$F$1,Z904),HIS_SALES!$B$2:$V$4859,19,FALSE),0)))</f>
        <v>#N/A</v>
      </c>
      <c r="AD904" s="341">
        <f t="shared" ca="1" si="355"/>
        <v>0</v>
      </c>
      <c r="AE904" s="363" t="str">
        <f t="shared" si="356"/>
        <v/>
      </c>
      <c r="AF904" s="342" t="str">
        <f t="shared" si="357"/>
        <v/>
      </c>
      <c r="AG904" s="411" t="e">
        <f ca="1">VLOOKUP(_xlfn.CONCAT(U904,V904,W904,VLOOKUP(X904&amp;Y904,TIME!$L$27:$O$34,4,FALSE),Y904),HIS_SALES!$A$2:$R$5093,18,FALSE)</f>
        <v>#N/A</v>
      </c>
      <c r="AH904" s="412" t="e">
        <f ca="1">IFERROR(IF(AND(V904=V903,W904=W903),0.5*(AB904+AB903)*AG904,(VLOOKUP(_xlfn.CONCAT(U904,V904,W904,X904,VLOOKUP(Z904,TIME!$S$28:$T$39,2,FALSE)),FC_DATA!$R$2:$AB$5000,MATCH("GS_I_M",FC_DATA!$R$1:$AB$1,0),FALSE)+FC_DATA!AB904)*0.5*FC_DATA!AG904),NA())</f>
        <v>#N/A</v>
      </c>
      <c r="AI904" s="491" t="e">
        <f ca="1">IF(V904="PARTNER.com",AH904,IF(AND(V904=V903,W904=W903),(1-AVERAGE(AD903,AD904))*AH904,(1-AVERAGE(AD904,VLOOKUP(_xlfn.CONCAT(U904,V904,W904,X904,M_BRAND_FC!$F$6),FC_DATA!$R$2:$AD$5000,MATCH("DISCOUNT_%_M",FC_DATA!$R$1:$AD$1,0),FALSE)))*AH904))</f>
        <v>#N/A</v>
      </c>
      <c r="AJ904" s="412" t="str">
        <f t="shared" ca="1" si="358"/>
        <v/>
      </c>
      <c r="AK904" s="413" t="str">
        <f>IFERROR(AE904/(Q_BRAND_FC!$T$24+1),"")</f>
        <v/>
      </c>
      <c r="AL904" s="88" t="str">
        <f t="shared" ca="1" si="359"/>
        <v/>
      </c>
      <c r="AM904" s="414" t="str">
        <f t="shared" ca="1" si="360"/>
        <v/>
      </c>
      <c r="AN904" s="58">
        <f>IFERROR(IF($V904="BRAND.com",HLOOKUP($X904&amp;$Z904,NWC_FC_NOOS!$C$4:$Q$23,MATCH(W904,NWC_FC_NOOS!$B$4:$B$23,0),FALSE),0),0)</f>
        <v>0</v>
      </c>
      <c r="AO904" s="57">
        <f>IFERROR(IF($V904="BRAND.com",HLOOKUP($X904&amp;$Z904,NWC_FC_NOOS!$T$4:$AH$23,MATCH(W904,NWC_FC_NOOS!$S$4:$S$23,0),FALSE),0),0)</f>
        <v>0</v>
      </c>
      <c r="AP904" s="57">
        <f>IFERROR(IF($V904="BRAND.com",HLOOKUP($X904&amp;$Z904,NWC_FC_NOOS!$C$50:$U$69,MATCH(W904,NWC_FC_NOOS!$B$50:$B$69,0),FALSE),0),0)</f>
        <v>0</v>
      </c>
      <c r="AQ904" s="58">
        <f>IFERROR(IF($V904="BRAND.com",HLOOKUP($X904&amp;$Z904,'NWC_FC_NON-NOOS'!$C$4:$Q$23,MATCH(W904,'NWC_FC_NON-NOOS'!$B$4:$B$23,0),FALSE),0),0)</f>
        <v>0</v>
      </c>
      <c r="AR904" s="57">
        <f>IFERROR(IF($V904="BRAND.com",HLOOKUP($X904&amp;$Z904,'NWC_FC_NON-NOOS'!$T$4:$AH$23,MATCH(W904,'NWC_FC_NON-NOOS'!$S$4:$S$23,0),FALSE),0),0)</f>
        <v>0</v>
      </c>
      <c r="AS904" s="57">
        <f>IFERROR(IF($V904="BRAND.com",HLOOKUP($X904&amp;$Z904,'NWC_FC_NON-NOOS'!$C$50:$U$69,MATCH(W904,'NWC_FC_NON-NOOS'!$B$50:$B$69,0),FALSE),0),0)</f>
        <v>0</v>
      </c>
      <c r="AT904" s="57">
        <f t="shared" si="362"/>
        <v>0</v>
      </c>
      <c r="AU904" s="57">
        <f t="shared" si="363"/>
        <v>0</v>
      </c>
      <c r="AV904" s="58">
        <f>IFERROR(IF($V904="BRAND.com",HLOOKUP($X904&amp;$Z904,PLANNING_FC!$BB$27:$BP$46,MATCH($W904,PLANNING_FC!$BA$27:$BA$46,0),FALSE),0),0)</f>
        <v>0</v>
      </c>
      <c r="AW904" s="58">
        <f>IFERROR(IF($V904="BRAND.com",HLOOKUP($X904&amp;$Z904,PLANNING_FC!$BB$4:$BP$23,MATCH($W904,PLANNING_FC!$BA$4:$BA$23,0),FALSE),0),0)</f>
        <v>0</v>
      </c>
      <c r="AX904" s="58">
        <f>IFERROR(IF($V904="BRAND.com",HLOOKUP($X904&amp;$Z904,PLANNING_FC!$T$27:$AH$46,MATCH($W904,PLANNING_FC!$B$27:$B$46,0),FALSE),0),0)</f>
        <v>0</v>
      </c>
      <c r="AY904" s="58">
        <f>IFERROR(IF($V904="BRAND.com",HLOOKUP($X904&amp;$Z904,PLANNING_FC!$T$4:$AH$23,MATCH($W904,PLANNING_FC!$B$4:$B$23,0),FALSE),0),0)</f>
        <v>0</v>
      </c>
      <c r="AZ904" s="58">
        <f>IFERROR(IF($V904="BRAND.com",HLOOKUP($X904&amp;$Z904,PLANNING_FC!$DA$27:$DO$46,MATCH($W904,PLANNING_FC!$CZ$27:$CZ$46,0),FALSE),0),0)</f>
        <v>0</v>
      </c>
      <c r="BA904" s="58">
        <f>IFERROR(IF($V904="BRAND.com",HLOOKUP($X904&amp;$Z904,PLANNING_FC!$DA$4:$DO$23,MATCH($W904,PLANNING_FC!$CZ$4:$CZ$23,0),FALSE),0),0)</f>
        <v>0</v>
      </c>
      <c r="BB904" s="883" t="str">
        <f>IF(V904="BRAND.com",IFERROR(HLOOKUP(X904&amp;Z904,PLANNING_FC!$AK$4:$AY$23,MATCH(W904,PLANNING_FC!$AJ$4:$AJ$23,0),FALSE)*1000,""),"")</f>
        <v/>
      </c>
      <c r="BC904" s="883" t="str">
        <f>IF(V904="BRAND.com",IFERROR(HLOOKUP(X904&amp;Z904,PLANNING_FC!$AK$27:$AY$46,MATCH(W904,PLANNING_FC!$AJ$27:$AJ$46,0),FALSE)*1000,""),"")</f>
        <v/>
      </c>
    </row>
    <row r="905" spans="14:55" x14ac:dyDescent="0.25">
      <c r="N905" s="56">
        <f t="shared" si="344"/>
        <v>0</v>
      </c>
      <c r="O905" s="57">
        <f t="shared" si="345"/>
        <v>0</v>
      </c>
      <c r="P905" s="57">
        <f ca="1">IFERROR(IF(ISBLANK(H905),SUMIFS($AC:$AC,$V:$V,V905,$W:$W,W905,$X:$X,X905,$Y:$Y,Y905)*J905/(1-J905)*VLOOKUP(_xlfn.CONCAT(C905,D905,E905,TIME!$M$12,Z905),HIS_SALES!$B$2:$W$4859,20,FALSE),AC905*J905/(1-J905)),0)</f>
        <v>0</v>
      </c>
      <c r="Q905" s="541" t="str">
        <f t="shared" si="346"/>
        <v/>
      </c>
      <c r="R905" s="346" t="str">
        <f t="shared" si="347"/>
        <v>00000</v>
      </c>
      <c r="S905" s="344">
        <f t="shared" si="348"/>
        <v>0</v>
      </c>
      <c r="T905" s="345" t="str">
        <f t="shared" si="361"/>
        <v>000</v>
      </c>
      <c r="U905" s="345">
        <f t="shared" si="349"/>
        <v>0</v>
      </c>
      <c r="V905" s="345">
        <f t="shared" si="350"/>
        <v>0</v>
      </c>
      <c r="W905" s="345">
        <f t="shared" si="351"/>
        <v>0</v>
      </c>
      <c r="X905" s="345">
        <f t="shared" si="352"/>
        <v>0</v>
      </c>
      <c r="Y905" s="345">
        <f t="shared" si="353"/>
        <v>0</v>
      </c>
      <c r="Z905" s="345">
        <f>IF(Q905&lt;&gt;"",VLOOKUP(Y905,TIME!$R$21:$V$24,MATCH(FC_DATA!Q905,TIME!$R$20:$V$20,0),FALSE),H905)</f>
        <v>0</v>
      </c>
      <c r="AA905" s="345" t="str">
        <f>IFERROR(VLOOKUP(X905&amp;Z905,TIME!$A$12:$D$71,4,FALSE),"")</f>
        <v/>
      </c>
      <c r="AB905" s="592">
        <f t="shared" ca="1" si="354"/>
        <v>0</v>
      </c>
      <c r="AC905" s="593" t="e">
        <f ca="1">IF(ISBLANK(H905)=FALSE,IF(D905="BRAND.com",I905,IF(ISNA(VLOOKUP(_xlfn.CONCAT(X905,Z905),TIME!$M$40:$M$42,1,FALSE)),I905,VLOOKUP(_xlfn.CONCAT(D905,G905,H905),M_BUSAREA_FC!$AF$5:$AJ$10,5,FALSE)*HLOOKUP(_xlfn.CONCAT(F905,H905),ST_OVERVIEW!$G$99:$I$130,MATCH(_xlfn.CONCAT(D905,E905),ST_OVERVIEW!$F$99:$F$130,0),FALSE))),IF(D905="BRAND.com",VLOOKUP(_xlfn.CONCAT(C905,D905,E905,TIME!$F$1,Z905),HIS_SALES!$B$2:$V$4859,19,FALSE)*I905,VLOOKUP(_xlfn.CONCAT(D905,F905,G905),Q_BUSAREA_FC!$AE$5:$AI$12,5,FALSE)*HLOOKUP(_xlfn.CONCAT(FC_DATA!F905,FC_DATA!G905),LT_OVERVIEW!$I$99:$M$130,MATCH(_xlfn.CONCAT(D905,FC_DATA!E905),LT_OVERVIEW!$H$99:$H$130,0),FALSE)*IFERROR(VLOOKUP(_xlfn.CONCAT(C905,D905,E905,TIME!$F$1,Z905),HIS_SALES!$B$2:$V$4859,19,FALSE),0)))</f>
        <v>#N/A</v>
      </c>
      <c r="AD905" s="341">
        <f t="shared" ca="1" si="355"/>
        <v>0</v>
      </c>
      <c r="AE905" s="363" t="str">
        <f t="shared" si="356"/>
        <v/>
      </c>
      <c r="AF905" s="342" t="str">
        <f t="shared" si="357"/>
        <v/>
      </c>
      <c r="AG905" s="411" t="e">
        <f ca="1">VLOOKUP(_xlfn.CONCAT(U905,V905,W905,VLOOKUP(X905&amp;Y905,TIME!$L$27:$O$34,4,FALSE),Y905),HIS_SALES!$A$2:$R$5093,18,FALSE)</f>
        <v>#N/A</v>
      </c>
      <c r="AH905" s="412" t="e">
        <f ca="1">IFERROR(IF(AND(V905=V904,W905=W904),0.5*(AB905+AB904)*AG905,(VLOOKUP(_xlfn.CONCAT(U905,V905,W905,X905,VLOOKUP(Z905,TIME!$S$28:$T$39,2,FALSE)),FC_DATA!$R$2:$AB$5000,MATCH("GS_I_M",FC_DATA!$R$1:$AB$1,0),FALSE)+FC_DATA!AB905)*0.5*FC_DATA!AG905),NA())</f>
        <v>#N/A</v>
      </c>
      <c r="AI905" s="491" t="e">
        <f ca="1">IF(V905="PARTNER.com",AH905,IF(AND(V905=V904,W905=W904),(1-AVERAGE(AD904,AD905))*AH905,(1-AVERAGE(AD905,VLOOKUP(_xlfn.CONCAT(U905,V905,W905,X905,M_BRAND_FC!$F$6),FC_DATA!$R$2:$AD$5000,MATCH("DISCOUNT_%_M",FC_DATA!$R$1:$AD$1,0),FALSE)))*AH905))</f>
        <v>#N/A</v>
      </c>
      <c r="AJ905" s="412" t="str">
        <f t="shared" ca="1" si="358"/>
        <v/>
      </c>
      <c r="AK905" s="413" t="str">
        <f>IFERROR(AE905/(Q_BRAND_FC!$T$24+1),"")</f>
        <v/>
      </c>
      <c r="AL905" s="88" t="str">
        <f t="shared" ca="1" si="359"/>
        <v/>
      </c>
      <c r="AM905" s="414" t="str">
        <f t="shared" ca="1" si="360"/>
        <v/>
      </c>
      <c r="AN905" s="58">
        <f>IFERROR(IF($V905="BRAND.com",HLOOKUP($X905&amp;$Z905,NWC_FC_NOOS!$C$4:$Q$23,MATCH(W905,NWC_FC_NOOS!$B$4:$B$23,0),FALSE),0),0)</f>
        <v>0</v>
      </c>
      <c r="AO905" s="57">
        <f>IFERROR(IF($V905="BRAND.com",HLOOKUP($X905&amp;$Z905,NWC_FC_NOOS!$T$4:$AH$23,MATCH(W905,NWC_FC_NOOS!$S$4:$S$23,0),FALSE),0),0)</f>
        <v>0</v>
      </c>
      <c r="AP905" s="57">
        <f>IFERROR(IF($V905="BRAND.com",HLOOKUP($X905&amp;$Z905,NWC_FC_NOOS!$C$50:$U$69,MATCH(W905,NWC_FC_NOOS!$B$50:$B$69,0),FALSE),0),0)</f>
        <v>0</v>
      </c>
      <c r="AQ905" s="58">
        <f>IFERROR(IF($V905="BRAND.com",HLOOKUP($X905&amp;$Z905,'NWC_FC_NON-NOOS'!$C$4:$Q$23,MATCH(W905,'NWC_FC_NON-NOOS'!$B$4:$B$23,0),FALSE),0),0)</f>
        <v>0</v>
      </c>
      <c r="AR905" s="57">
        <f>IFERROR(IF($V905="BRAND.com",HLOOKUP($X905&amp;$Z905,'NWC_FC_NON-NOOS'!$T$4:$AH$23,MATCH(W905,'NWC_FC_NON-NOOS'!$S$4:$S$23,0),FALSE),0),0)</f>
        <v>0</v>
      </c>
      <c r="AS905" s="57">
        <f>IFERROR(IF($V905="BRAND.com",HLOOKUP($X905&amp;$Z905,'NWC_FC_NON-NOOS'!$C$50:$U$69,MATCH(W905,'NWC_FC_NON-NOOS'!$B$50:$B$69,0),FALSE),0),0)</f>
        <v>0</v>
      </c>
      <c r="AT905" s="57">
        <f t="shared" si="362"/>
        <v>0</v>
      </c>
      <c r="AU905" s="57">
        <f t="shared" si="363"/>
        <v>0</v>
      </c>
      <c r="AV905" s="58">
        <f>IFERROR(IF($V905="BRAND.com",HLOOKUP($X905&amp;$Z905,PLANNING_FC!$BB$27:$BP$46,MATCH($W905,PLANNING_FC!$BA$27:$BA$46,0),FALSE),0),0)</f>
        <v>0</v>
      </c>
      <c r="AW905" s="58">
        <f>IFERROR(IF($V905="BRAND.com",HLOOKUP($X905&amp;$Z905,PLANNING_FC!$BB$4:$BP$23,MATCH($W905,PLANNING_FC!$BA$4:$BA$23,0),FALSE),0),0)</f>
        <v>0</v>
      </c>
      <c r="AX905" s="58">
        <f>IFERROR(IF($V905="BRAND.com",HLOOKUP($X905&amp;$Z905,PLANNING_FC!$T$27:$AH$46,MATCH($W905,PLANNING_FC!$B$27:$B$46,0),FALSE),0),0)</f>
        <v>0</v>
      </c>
      <c r="AY905" s="58">
        <f>IFERROR(IF($V905="BRAND.com",HLOOKUP($X905&amp;$Z905,PLANNING_FC!$T$4:$AH$23,MATCH($W905,PLANNING_FC!$B$4:$B$23,0),FALSE),0),0)</f>
        <v>0</v>
      </c>
      <c r="AZ905" s="58">
        <f>IFERROR(IF($V905="BRAND.com",HLOOKUP($X905&amp;$Z905,PLANNING_FC!$DA$27:$DO$46,MATCH($W905,PLANNING_FC!$CZ$27:$CZ$46,0),FALSE),0),0)</f>
        <v>0</v>
      </c>
      <c r="BA905" s="58">
        <f>IFERROR(IF($V905="BRAND.com",HLOOKUP($X905&amp;$Z905,PLANNING_FC!$DA$4:$DO$23,MATCH($W905,PLANNING_FC!$CZ$4:$CZ$23,0),FALSE),0),0)</f>
        <v>0</v>
      </c>
      <c r="BB905" s="883" t="str">
        <f>IF(V905="BRAND.com",IFERROR(HLOOKUP(X905&amp;Z905,PLANNING_FC!$AK$4:$AY$23,MATCH(W905,PLANNING_FC!$AJ$4:$AJ$23,0),FALSE)*1000,""),"")</f>
        <v/>
      </c>
      <c r="BC905" s="883" t="str">
        <f>IF(V905="BRAND.com",IFERROR(HLOOKUP(X905&amp;Z905,PLANNING_FC!$AK$27:$AY$46,MATCH(W905,PLANNING_FC!$AJ$27:$AJ$46,0),FALSE)*1000,""),"")</f>
        <v/>
      </c>
    </row>
    <row r="906" spans="14:55" x14ac:dyDescent="0.25">
      <c r="N906" s="56">
        <f t="shared" si="344"/>
        <v>0</v>
      </c>
      <c r="O906" s="57">
        <f t="shared" si="345"/>
        <v>0</v>
      </c>
      <c r="P906" s="57">
        <f ca="1">IFERROR(IF(ISBLANK(H906),SUMIFS($AC:$AC,$V:$V,V906,$W:$W,W906,$X:$X,X906,$Y:$Y,Y906)*J906/(1-J906)*VLOOKUP(_xlfn.CONCAT(C906,D906,E906,TIME!$M$12,Z906),HIS_SALES!$B$2:$W$4859,20,FALSE),AC906*J906/(1-J906)),0)</f>
        <v>0</v>
      </c>
      <c r="Q906" s="541" t="str">
        <f t="shared" si="346"/>
        <v/>
      </c>
      <c r="R906" s="346" t="str">
        <f t="shared" si="347"/>
        <v>00000</v>
      </c>
      <c r="S906" s="344">
        <f t="shared" si="348"/>
        <v>0</v>
      </c>
      <c r="T906" s="345" t="str">
        <f t="shared" si="361"/>
        <v>000</v>
      </c>
      <c r="U906" s="345">
        <f t="shared" si="349"/>
        <v>0</v>
      </c>
      <c r="V906" s="345">
        <f t="shared" si="350"/>
        <v>0</v>
      </c>
      <c r="W906" s="345">
        <f t="shared" si="351"/>
        <v>0</v>
      </c>
      <c r="X906" s="345">
        <f t="shared" si="352"/>
        <v>0</v>
      </c>
      <c r="Y906" s="345">
        <f t="shared" si="353"/>
        <v>0</v>
      </c>
      <c r="Z906" s="345">
        <f>IF(Q906&lt;&gt;"",VLOOKUP(Y906,TIME!$R$21:$V$24,MATCH(FC_DATA!Q906,TIME!$R$20:$V$20,0),FALSE),H906)</f>
        <v>0</v>
      </c>
      <c r="AA906" s="345" t="str">
        <f>IFERROR(VLOOKUP(X906&amp;Z906,TIME!$A$12:$D$71,4,FALSE),"")</f>
        <v/>
      </c>
      <c r="AB906" s="592">
        <f t="shared" ca="1" si="354"/>
        <v>0</v>
      </c>
      <c r="AC906" s="593" t="e">
        <f ca="1">IF(ISBLANK(H906)=FALSE,IF(D906="BRAND.com",I906,IF(ISNA(VLOOKUP(_xlfn.CONCAT(X906,Z906),TIME!$M$40:$M$42,1,FALSE)),I906,VLOOKUP(_xlfn.CONCAT(D906,G906,H906),M_BUSAREA_FC!$AF$5:$AJ$10,5,FALSE)*HLOOKUP(_xlfn.CONCAT(F906,H906),ST_OVERVIEW!$G$99:$I$130,MATCH(_xlfn.CONCAT(D906,E906),ST_OVERVIEW!$F$99:$F$130,0),FALSE))),IF(D906="BRAND.com",VLOOKUP(_xlfn.CONCAT(C906,D906,E906,TIME!$F$1,Z906),HIS_SALES!$B$2:$V$4859,19,FALSE)*I906,VLOOKUP(_xlfn.CONCAT(D906,F906,G906),Q_BUSAREA_FC!$AE$5:$AI$12,5,FALSE)*HLOOKUP(_xlfn.CONCAT(FC_DATA!F906,FC_DATA!G906),LT_OVERVIEW!$I$99:$M$130,MATCH(_xlfn.CONCAT(D906,FC_DATA!E906),LT_OVERVIEW!$H$99:$H$130,0),FALSE)*IFERROR(VLOOKUP(_xlfn.CONCAT(C906,D906,E906,TIME!$F$1,Z906),HIS_SALES!$B$2:$V$4859,19,FALSE),0)))</f>
        <v>#N/A</v>
      </c>
      <c r="AD906" s="341">
        <f t="shared" ca="1" si="355"/>
        <v>0</v>
      </c>
      <c r="AE906" s="363" t="str">
        <f t="shared" si="356"/>
        <v/>
      </c>
      <c r="AF906" s="342" t="str">
        <f t="shared" si="357"/>
        <v/>
      </c>
      <c r="AG906" s="411" t="e">
        <f ca="1">VLOOKUP(_xlfn.CONCAT(U906,V906,W906,VLOOKUP(X906&amp;Y906,TIME!$L$27:$O$34,4,FALSE),Y906),HIS_SALES!$A$2:$R$5093,18,FALSE)</f>
        <v>#N/A</v>
      </c>
      <c r="AH906" s="412" t="e">
        <f ca="1">IFERROR(IF(AND(V906=V905,W906=W905),0.5*(AB906+AB905)*AG906,(VLOOKUP(_xlfn.CONCAT(U906,V906,W906,X906,VLOOKUP(Z906,TIME!$S$28:$T$39,2,FALSE)),FC_DATA!$R$2:$AB$5000,MATCH("GS_I_M",FC_DATA!$R$1:$AB$1,0),FALSE)+FC_DATA!AB906)*0.5*FC_DATA!AG906),NA())</f>
        <v>#N/A</v>
      </c>
      <c r="AI906" s="491" t="e">
        <f ca="1">IF(V906="PARTNER.com",AH906,IF(AND(V906=V905,W906=W905),(1-AVERAGE(AD905,AD906))*AH906,(1-AVERAGE(AD906,VLOOKUP(_xlfn.CONCAT(U906,V906,W906,X906,M_BRAND_FC!$F$6),FC_DATA!$R$2:$AD$5000,MATCH("DISCOUNT_%_M",FC_DATA!$R$1:$AD$1,0),FALSE)))*AH906))</f>
        <v>#N/A</v>
      </c>
      <c r="AJ906" s="412" t="str">
        <f t="shared" ca="1" si="358"/>
        <v/>
      </c>
      <c r="AK906" s="413" t="str">
        <f>IFERROR(AE906/(Q_BRAND_FC!$T$24+1),"")</f>
        <v/>
      </c>
      <c r="AL906" s="88" t="str">
        <f t="shared" ca="1" si="359"/>
        <v/>
      </c>
      <c r="AM906" s="414" t="str">
        <f t="shared" ca="1" si="360"/>
        <v/>
      </c>
      <c r="AN906" s="58">
        <f>IFERROR(IF($V906="BRAND.com",HLOOKUP($X906&amp;$Z906,NWC_FC_NOOS!$C$4:$Q$23,MATCH(W906,NWC_FC_NOOS!$B$4:$B$23,0),FALSE),0),0)</f>
        <v>0</v>
      </c>
      <c r="AO906" s="57">
        <f>IFERROR(IF($V906="BRAND.com",HLOOKUP($X906&amp;$Z906,NWC_FC_NOOS!$T$4:$AH$23,MATCH(W906,NWC_FC_NOOS!$S$4:$S$23,0),FALSE),0),0)</f>
        <v>0</v>
      </c>
      <c r="AP906" s="57">
        <f>IFERROR(IF($V906="BRAND.com",HLOOKUP($X906&amp;$Z906,NWC_FC_NOOS!$C$50:$U$69,MATCH(W906,NWC_FC_NOOS!$B$50:$B$69,0),FALSE),0),0)</f>
        <v>0</v>
      </c>
      <c r="AQ906" s="58">
        <f>IFERROR(IF($V906="BRAND.com",HLOOKUP($X906&amp;$Z906,'NWC_FC_NON-NOOS'!$C$4:$Q$23,MATCH(W906,'NWC_FC_NON-NOOS'!$B$4:$B$23,0),FALSE),0),0)</f>
        <v>0</v>
      </c>
      <c r="AR906" s="57">
        <f>IFERROR(IF($V906="BRAND.com",HLOOKUP($X906&amp;$Z906,'NWC_FC_NON-NOOS'!$T$4:$AH$23,MATCH(W906,'NWC_FC_NON-NOOS'!$S$4:$S$23,0),FALSE),0),0)</f>
        <v>0</v>
      </c>
      <c r="AS906" s="57">
        <f>IFERROR(IF($V906="BRAND.com",HLOOKUP($X906&amp;$Z906,'NWC_FC_NON-NOOS'!$C$50:$U$69,MATCH(W906,'NWC_FC_NON-NOOS'!$B$50:$B$69,0),FALSE),0),0)</f>
        <v>0</v>
      </c>
      <c r="AT906" s="57">
        <f t="shared" si="362"/>
        <v>0</v>
      </c>
      <c r="AU906" s="57">
        <f t="shared" si="363"/>
        <v>0</v>
      </c>
      <c r="AV906" s="58">
        <f>IFERROR(IF($V906="BRAND.com",HLOOKUP($X906&amp;$Z906,PLANNING_FC!$BB$27:$BP$46,MATCH($W906,PLANNING_FC!$BA$27:$BA$46,0),FALSE),0),0)</f>
        <v>0</v>
      </c>
      <c r="AW906" s="58">
        <f>IFERROR(IF($V906="BRAND.com",HLOOKUP($X906&amp;$Z906,PLANNING_FC!$BB$4:$BP$23,MATCH($W906,PLANNING_FC!$BA$4:$BA$23,0),FALSE),0),0)</f>
        <v>0</v>
      </c>
      <c r="AX906" s="58">
        <f>IFERROR(IF($V906="BRAND.com",HLOOKUP($X906&amp;$Z906,PLANNING_FC!$T$27:$AH$46,MATCH($W906,PLANNING_FC!$B$27:$B$46,0),FALSE),0),0)</f>
        <v>0</v>
      </c>
      <c r="AY906" s="58">
        <f>IFERROR(IF($V906="BRAND.com",HLOOKUP($X906&amp;$Z906,PLANNING_FC!$T$4:$AH$23,MATCH($W906,PLANNING_FC!$B$4:$B$23,0),FALSE),0),0)</f>
        <v>0</v>
      </c>
      <c r="AZ906" s="58">
        <f>IFERROR(IF($V906="BRAND.com",HLOOKUP($X906&amp;$Z906,PLANNING_FC!$DA$27:$DO$46,MATCH($W906,PLANNING_FC!$CZ$27:$CZ$46,0),FALSE),0),0)</f>
        <v>0</v>
      </c>
      <c r="BA906" s="58">
        <f>IFERROR(IF($V906="BRAND.com",HLOOKUP($X906&amp;$Z906,PLANNING_FC!$DA$4:$DO$23,MATCH($W906,PLANNING_FC!$CZ$4:$CZ$23,0),FALSE),0),0)</f>
        <v>0</v>
      </c>
      <c r="BB906" s="883" t="str">
        <f>IF(V906="BRAND.com",IFERROR(HLOOKUP(X906&amp;Z906,PLANNING_FC!$AK$4:$AY$23,MATCH(W906,PLANNING_FC!$AJ$4:$AJ$23,0),FALSE)*1000,""),"")</f>
        <v/>
      </c>
      <c r="BC906" s="883" t="str">
        <f>IF(V906="BRAND.com",IFERROR(HLOOKUP(X906&amp;Z906,PLANNING_FC!$AK$27:$AY$46,MATCH(W906,PLANNING_FC!$AJ$27:$AJ$46,0),FALSE)*1000,""),"")</f>
        <v/>
      </c>
    </row>
    <row r="907" spans="14:55" x14ac:dyDescent="0.25">
      <c r="N907" s="56">
        <f t="shared" si="344"/>
        <v>0</v>
      </c>
      <c r="O907" s="57">
        <f t="shared" si="345"/>
        <v>0</v>
      </c>
      <c r="P907" s="57">
        <f ca="1">IFERROR(IF(ISBLANK(H907),SUMIFS($AC:$AC,$V:$V,V907,$W:$W,W907,$X:$X,X907,$Y:$Y,Y907)*J907/(1-J907)*VLOOKUP(_xlfn.CONCAT(C907,D907,E907,TIME!$M$12,Z907),HIS_SALES!$B$2:$W$4859,20,FALSE),AC907*J907/(1-J907)),0)</f>
        <v>0</v>
      </c>
      <c r="Q907" s="541" t="str">
        <f t="shared" si="346"/>
        <v/>
      </c>
      <c r="R907" s="346" t="str">
        <f t="shared" si="347"/>
        <v>00000</v>
      </c>
      <c r="S907" s="344">
        <f t="shared" si="348"/>
        <v>0</v>
      </c>
      <c r="T907" s="345" t="str">
        <f t="shared" si="361"/>
        <v>000</v>
      </c>
      <c r="U907" s="345">
        <f t="shared" si="349"/>
        <v>0</v>
      </c>
      <c r="V907" s="345">
        <f t="shared" si="350"/>
        <v>0</v>
      </c>
      <c r="W907" s="345">
        <f t="shared" si="351"/>
        <v>0</v>
      </c>
      <c r="X907" s="345">
        <f t="shared" si="352"/>
        <v>0</v>
      </c>
      <c r="Y907" s="345">
        <f t="shared" si="353"/>
        <v>0</v>
      </c>
      <c r="Z907" s="345">
        <f>IF(Q907&lt;&gt;"",VLOOKUP(Y907,TIME!$R$21:$V$24,MATCH(FC_DATA!Q907,TIME!$R$20:$V$20,0),FALSE),H907)</f>
        <v>0</v>
      </c>
      <c r="AA907" s="345" t="str">
        <f>IFERROR(VLOOKUP(X907&amp;Z907,TIME!$A$12:$D$71,4,FALSE),"")</f>
        <v/>
      </c>
      <c r="AB907" s="592">
        <f t="shared" ca="1" si="354"/>
        <v>0</v>
      </c>
      <c r="AC907" s="593" t="e">
        <f ca="1">IF(ISBLANK(H907)=FALSE,IF(D907="BRAND.com",I907,IF(ISNA(VLOOKUP(_xlfn.CONCAT(X907,Z907),TIME!$M$40:$M$42,1,FALSE)),I907,VLOOKUP(_xlfn.CONCAT(D907,G907,H907),M_BUSAREA_FC!$AF$5:$AJ$10,5,FALSE)*HLOOKUP(_xlfn.CONCAT(F907,H907),ST_OVERVIEW!$G$99:$I$130,MATCH(_xlfn.CONCAT(D907,E907),ST_OVERVIEW!$F$99:$F$130,0),FALSE))),IF(D907="BRAND.com",VLOOKUP(_xlfn.CONCAT(C907,D907,E907,TIME!$F$1,Z907),HIS_SALES!$B$2:$V$4859,19,FALSE)*I907,VLOOKUP(_xlfn.CONCAT(D907,F907,G907),Q_BUSAREA_FC!$AE$5:$AI$12,5,FALSE)*HLOOKUP(_xlfn.CONCAT(FC_DATA!F907,FC_DATA!G907),LT_OVERVIEW!$I$99:$M$130,MATCH(_xlfn.CONCAT(D907,FC_DATA!E907),LT_OVERVIEW!$H$99:$H$130,0),FALSE)*IFERROR(VLOOKUP(_xlfn.CONCAT(C907,D907,E907,TIME!$F$1,Z907),HIS_SALES!$B$2:$V$4859,19,FALSE),0)))</f>
        <v>#N/A</v>
      </c>
      <c r="AD907" s="341">
        <f t="shared" ca="1" si="355"/>
        <v>0</v>
      </c>
      <c r="AE907" s="363" t="str">
        <f t="shared" si="356"/>
        <v/>
      </c>
      <c r="AF907" s="342" t="str">
        <f t="shared" si="357"/>
        <v/>
      </c>
      <c r="AG907" s="411" t="e">
        <f ca="1">VLOOKUP(_xlfn.CONCAT(U907,V907,W907,VLOOKUP(X907&amp;Y907,TIME!$L$27:$O$34,4,FALSE),Y907),HIS_SALES!$A$2:$R$5093,18,FALSE)</f>
        <v>#N/A</v>
      </c>
      <c r="AH907" s="412" t="e">
        <f ca="1">IFERROR(IF(AND(V907=V906,W907=W906),0.5*(AB907+AB906)*AG907,(VLOOKUP(_xlfn.CONCAT(U907,V907,W907,X907,VLOOKUP(Z907,TIME!$S$28:$T$39,2,FALSE)),FC_DATA!$R$2:$AB$5000,MATCH("GS_I_M",FC_DATA!$R$1:$AB$1,0),FALSE)+FC_DATA!AB907)*0.5*FC_DATA!AG907),NA())</f>
        <v>#N/A</v>
      </c>
      <c r="AI907" s="491" t="e">
        <f ca="1">IF(V907="PARTNER.com",AH907,IF(AND(V907=V906,W907=W906),(1-AVERAGE(AD906,AD907))*AH907,(1-AVERAGE(AD907,VLOOKUP(_xlfn.CONCAT(U907,V907,W907,X907,M_BRAND_FC!$F$6),FC_DATA!$R$2:$AD$5000,MATCH("DISCOUNT_%_M",FC_DATA!$R$1:$AD$1,0),FALSE)))*AH907))</f>
        <v>#N/A</v>
      </c>
      <c r="AJ907" s="412" t="str">
        <f t="shared" ca="1" si="358"/>
        <v/>
      </c>
      <c r="AK907" s="413" t="str">
        <f>IFERROR(AE907/(Q_BRAND_FC!$T$24+1),"")</f>
        <v/>
      </c>
      <c r="AL907" s="88" t="str">
        <f t="shared" ca="1" si="359"/>
        <v/>
      </c>
      <c r="AM907" s="414" t="str">
        <f t="shared" ca="1" si="360"/>
        <v/>
      </c>
      <c r="AN907" s="58">
        <f>IFERROR(IF($V907="BRAND.com",HLOOKUP($X907&amp;$Z907,NWC_FC_NOOS!$C$4:$Q$23,MATCH(W907,NWC_FC_NOOS!$B$4:$B$23,0),FALSE),0),0)</f>
        <v>0</v>
      </c>
      <c r="AO907" s="57">
        <f>IFERROR(IF($V907="BRAND.com",HLOOKUP($X907&amp;$Z907,NWC_FC_NOOS!$T$4:$AH$23,MATCH(W907,NWC_FC_NOOS!$S$4:$S$23,0),FALSE),0),0)</f>
        <v>0</v>
      </c>
      <c r="AP907" s="57">
        <f>IFERROR(IF($V907="BRAND.com",HLOOKUP($X907&amp;$Z907,NWC_FC_NOOS!$C$50:$U$69,MATCH(W907,NWC_FC_NOOS!$B$50:$B$69,0),FALSE),0),0)</f>
        <v>0</v>
      </c>
      <c r="AQ907" s="58">
        <f>IFERROR(IF($V907="BRAND.com",HLOOKUP($X907&amp;$Z907,'NWC_FC_NON-NOOS'!$C$4:$Q$23,MATCH(W907,'NWC_FC_NON-NOOS'!$B$4:$B$23,0),FALSE),0),0)</f>
        <v>0</v>
      </c>
      <c r="AR907" s="57">
        <f>IFERROR(IF($V907="BRAND.com",HLOOKUP($X907&amp;$Z907,'NWC_FC_NON-NOOS'!$T$4:$AH$23,MATCH(W907,'NWC_FC_NON-NOOS'!$S$4:$S$23,0),FALSE),0),0)</f>
        <v>0</v>
      </c>
      <c r="AS907" s="57">
        <f>IFERROR(IF($V907="BRAND.com",HLOOKUP($X907&amp;$Z907,'NWC_FC_NON-NOOS'!$C$50:$U$69,MATCH(W907,'NWC_FC_NON-NOOS'!$B$50:$B$69,0),FALSE),0),0)</f>
        <v>0</v>
      </c>
      <c r="AT907" s="57">
        <f t="shared" si="362"/>
        <v>0</v>
      </c>
      <c r="AU907" s="57">
        <f t="shared" si="363"/>
        <v>0</v>
      </c>
      <c r="AV907" s="58">
        <f>IFERROR(IF($V907="BRAND.com",HLOOKUP($X907&amp;$Z907,PLANNING_FC!$BB$27:$BP$46,MATCH($W907,PLANNING_FC!$BA$27:$BA$46,0),FALSE),0),0)</f>
        <v>0</v>
      </c>
      <c r="AW907" s="58">
        <f>IFERROR(IF($V907="BRAND.com",HLOOKUP($X907&amp;$Z907,PLANNING_FC!$BB$4:$BP$23,MATCH($W907,PLANNING_FC!$BA$4:$BA$23,0),FALSE),0),0)</f>
        <v>0</v>
      </c>
      <c r="AX907" s="58">
        <f>IFERROR(IF($V907="BRAND.com",HLOOKUP($X907&amp;$Z907,PLANNING_FC!$T$27:$AH$46,MATCH($W907,PLANNING_FC!$B$27:$B$46,0),FALSE),0),0)</f>
        <v>0</v>
      </c>
      <c r="AY907" s="58">
        <f>IFERROR(IF($V907="BRAND.com",HLOOKUP($X907&amp;$Z907,PLANNING_FC!$T$4:$AH$23,MATCH($W907,PLANNING_FC!$B$4:$B$23,0),FALSE),0),0)</f>
        <v>0</v>
      </c>
      <c r="AZ907" s="58">
        <f>IFERROR(IF($V907="BRAND.com",HLOOKUP($X907&amp;$Z907,PLANNING_FC!$DA$27:$DO$46,MATCH($W907,PLANNING_FC!$CZ$27:$CZ$46,0),FALSE),0),0)</f>
        <v>0</v>
      </c>
      <c r="BA907" s="58">
        <f>IFERROR(IF($V907="BRAND.com",HLOOKUP($X907&amp;$Z907,PLANNING_FC!$DA$4:$DO$23,MATCH($W907,PLANNING_FC!$CZ$4:$CZ$23,0),FALSE),0),0)</f>
        <v>0</v>
      </c>
      <c r="BB907" s="883" t="str">
        <f>IF(V907="BRAND.com",IFERROR(HLOOKUP(X907&amp;Z907,PLANNING_FC!$AK$4:$AY$23,MATCH(W907,PLANNING_FC!$AJ$4:$AJ$23,0),FALSE)*1000,""),"")</f>
        <v/>
      </c>
      <c r="BC907" s="883" t="str">
        <f>IF(V907="BRAND.com",IFERROR(HLOOKUP(X907&amp;Z907,PLANNING_FC!$AK$27:$AY$46,MATCH(W907,PLANNING_FC!$AJ$27:$AJ$46,0),FALSE)*1000,""),"")</f>
        <v/>
      </c>
    </row>
    <row r="908" spans="14:55" x14ac:dyDescent="0.25">
      <c r="N908" s="56">
        <f t="shared" si="344"/>
        <v>0</v>
      </c>
      <c r="O908" s="57">
        <f t="shared" si="345"/>
        <v>0</v>
      </c>
      <c r="P908" s="57">
        <f ca="1">IFERROR(IF(ISBLANK(H908),SUMIFS($AC:$AC,$V:$V,V908,$W:$W,W908,$X:$X,X908,$Y:$Y,Y908)*J908/(1-J908)*VLOOKUP(_xlfn.CONCAT(C908,D908,E908,TIME!$M$12,Z908),HIS_SALES!$B$2:$W$4859,20,FALSE),AC908*J908/(1-J908)),0)</f>
        <v>0</v>
      </c>
      <c r="Q908" s="541" t="str">
        <f t="shared" si="346"/>
        <v/>
      </c>
      <c r="R908" s="346" t="str">
        <f t="shared" si="347"/>
        <v>00000</v>
      </c>
      <c r="S908" s="344">
        <f t="shared" si="348"/>
        <v>0</v>
      </c>
      <c r="T908" s="345" t="str">
        <f t="shared" si="361"/>
        <v>000</v>
      </c>
      <c r="U908" s="345">
        <f t="shared" si="349"/>
        <v>0</v>
      </c>
      <c r="V908" s="345">
        <f t="shared" si="350"/>
        <v>0</v>
      </c>
      <c r="W908" s="345">
        <f t="shared" si="351"/>
        <v>0</v>
      </c>
      <c r="X908" s="345">
        <f t="shared" si="352"/>
        <v>0</v>
      </c>
      <c r="Y908" s="345">
        <f t="shared" si="353"/>
        <v>0</v>
      </c>
      <c r="Z908" s="345">
        <f>IF(Q908&lt;&gt;"",VLOOKUP(Y908,TIME!$R$21:$V$24,MATCH(FC_DATA!Q908,TIME!$R$20:$V$20,0),FALSE),H908)</f>
        <v>0</v>
      </c>
      <c r="AA908" s="345" t="str">
        <f>IFERROR(VLOOKUP(X908&amp;Z908,TIME!$A$12:$D$71,4,FALSE),"")</f>
        <v/>
      </c>
      <c r="AB908" s="592">
        <f t="shared" ca="1" si="354"/>
        <v>0</v>
      </c>
      <c r="AC908" s="593" t="e">
        <f ca="1">IF(ISBLANK(H908)=FALSE,IF(D908="BRAND.com",I908,IF(ISNA(VLOOKUP(_xlfn.CONCAT(X908,Z908),TIME!$M$40:$M$42,1,FALSE)),I908,VLOOKUP(_xlfn.CONCAT(D908,G908,H908),M_BUSAREA_FC!$AF$5:$AJ$10,5,FALSE)*HLOOKUP(_xlfn.CONCAT(F908,H908),ST_OVERVIEW!$G$99:$I$130,MATCH(_xlfn.CONCAT(D908,E908),ST_OVERVIEW!$F$99:$F$130,0),FALSE))),IF(D908="BRAND.com",VLOOKUP(_xlfn.CONCAT(C908,D908,E908,TIME!$F$1,Z908),HIS_SALES!$B$2:$V$4859,19,FALSE)*I908,VLOOKUP(_xlfn.CONCAT(D908,F908,G908),Q_BUSAREA_FC!$AE$5:$AI$12,5,FALSE)*HLOOKUP(_xlfn.CONCAT(FC_DATA!F908,FC_DATA!G908),LT_OVERVIEW!$I$99:$M$130,MATCH(_xlfn.CONCAT(D908,FC_DATA!E908),LT_OVERVIEW!$H$99:$H$130,0),FALSE)*IFERROR(VLOOKUP(_xlfn.CONCAT(C908,D908,E908,TIME!$F$1,Z908),HIS_SALES!$B$2:$V$4859,19,FALSE),0)))</f>
        <v>#N/A</v>
      </c>
      <c r="AD908" s="341">
        <f t="shared" ca="1" si="355"/>
        <v>0</v>
      </c>
      <c r="AE908" s="363" t="str">
        <f t="shared" si="356"/>
        <v/>
      </c>
      <c r="AF908" s="342" t="str">
        <f t="shared" si="357"/>
        <v/>
      </c>
      <c r="AG908" s="411" t="e">
        <f ca="1">VLOOKUP(_xlfn.CONCAT(U908,V908,W908,VLOOKUP(X908&amp;Y908,TIME!$L$27:$O$34,4,FALSE),Y908),HIS_SALES!$A$2:$R$5093,18,FALSE)</f>
        <v>#N/A</v>
      </c>
      <c r="AH908" s="412" t="e">
        <f ca="1">IFERROR(IF(AND(V908=V907,W908=W907),0.5*(AB908+AB907)*AG908,(VLOOKUP(_xlfn.CONCAT(U908,V908,W908,X908,VLOOKUP(Z908,TIME!$S$28:$T$39,2,FALSE)),FC_DATA!$R$2:$AB$5000,MATCH("GS_I_M",FC_DATA!$R$1:$AB$1,0),FALSE)+FC_DATA!AB908)*0.5*FC_DATA!AG908),NA())</f>
        <v>#N/A</v>
      </c>
      <c r="AI908" s="491" t="e">
        <f ca="1">IF(V908="PARTNER.com",AH908,IF(AND(V908=V907,W908=W907),(1-AVERAGE(AD907,AD908))*AH908,(1-AVERAGE(AD908,VLOOKUP(_xlfn.CONCAT(U908,V908,W908,X908,M_BRAND_FC!$F$6),FC_DATA!$R$2:$AD$5000,MATCH("DISCOUNT_%_M",FC_DATA!$R$1:$AD$1,0),FALSE)))*AH908))</f>
        <v>#N/A</v>
      </c>
      <c r="AJ908" s="412" t="str">
        <f t="shared" ca="1" si="358"/>
        <v/>
      </c>
      <c r="AK908" s="413" t="str">
        <f>IFERROR(AE908/(Q_BRAND_FC!$T$24+1),"")</f>
        <v/>
      </c>
      <c r="AL908" s="88" t="str">
        <f t="shared" ca="1" si="359"/>
        <v/>
      </c>
      <c r="AM908" s="414" t="str">
        <f t="shared" ca="1" si="360"/>
        <v/>
      </c>
      <c r="AN908" s="58">
        <f>IFERROR(IF($V908="BRAND.com",HLOOKUP($X908&amp;$Z908,NWC_FC_NOOS!$C$4:$Q$23,MATCH(W908,NWC_FC_NOOS!$B$4:$B$23,0),FALSE),0),0)</f>
        <v>0</v>
      </c>
      <c r="AO908" s="57">
        <f>IFERROR(IF($V908="BRAND.com",HLOOKUP($X908&amp;$Z908,NWC_FC_NOOS!$T$4:$AH$23,MATCH(W908,NWC_FC_NOOS!$S$4:$S$23,0),FALSE),0),0)</f>
        <v>0</v>
      </c>
      <c r="AP908" s="57">
        <f>IFERROR(IF($V908="BRAND.com",HLOOKUP($X908&amp;$Z908,NWC_FC_NOOS!$C$50:$U$69,MATCH(W908,NWC_FC_NOOS!$B$50:$B$69,0),FALSE),0),0)</f>
        <v>0</v>
      </c>
      <c r="AQ908" s="58">
        <f>IFERROR(IF($V908="BRAND.com",HLOOKUP($X908&amp;$Z908,'NWC_FC_NON-NOOS'!$C$4:$Q$23,MATCH(W908,'NWC_FC_NON-NOOS'!$B$4:$B$23,0),FALSE),0),0)</f>
        <v>0</v>
      </c>
      <c r="AR908" s="57">
        <f>IFERROR(IF($V908="BRAND.com",HLOOKUP($X908&amp;$Z908,'NWC_FC_NON-NOOS'!$T$4:$AH$23,MATCH(W908,'NWC_FC_NON-NOOS'!$S$4:$S$23,0),FALSE),0),0)</f>
        <v>0</v>
      </c>
      <c r="AS908" s="57">
        <f>IFERROR(IF($V908="BRAND.com",HLOOKUP($X908&amp;$Z908,'NWC_FC_NON-NOOS'!$C$50:$U$69,MATCH(W908,'NWC_FC_NON-NOOS'!$B$50:$B$69,0),FALSE),0),0)</f>
        <v>0</v>
      </c>
      <c r="AT908" s="57">
        <f t="shared" si="362"/>
        <v>0</v>
      </c>
      <c r="AU908" s="57">
        <f t="shared" si="363"/>
        <v>0</v>
      </c>
      <c r="AV908" s="58">
        <f>IFERROR(IF($V908="BRAND.com",HLOOKUP($X908&amp;$Z908,PLANNING_FC!$BB$27:$BP$46,MATCH($W908,PLANNING_FC!$BA$27:$BA$46,0),FALSE),0),0)</f>
        <v>0</v>
      </c>
      <c r="AW908" s="58">
        <f>IFERROR(IF($V908="BRAND.com",HLOOKUP($X908&amp;$Z908,PLANNING_FC!$BB$4:$BP$23,MATCH($W908,PLANNING_FC!$BA$4:$BA$23,0),FALSE),0),0)</f>
        <v>0</v>
      </c>
      <c r="AX908" s="58">
        <f>IFERROR(IF($V908="BRAND.com",HLOOKUP($X908&amp;$Z908,PLANNING_FC!$T$27:$AH$46,MATCH($W908,PLANNING_FC!$B$27:$B$46,0),FALSE),0),0)</f>
        <v>0</v>
      </c>
      <c r="AY908" s="58">
        <f>IFERROR(IF($V908="BRAND.com",HLOOKUP($X908&amp;$Z908,PLANNING_FC!$T$4:$AH$23,MATCH($W908,PLANNING_FC!$B$4:$B$23,0),FALSE),0),0)</f>
        <v>0</v>
      </c>
      <c r="AZ908" s="58">
        <f>IFERROR(IF($V908="BRAND.com",HLOOKUP($X908&amp;$Z908,PLANNING_FC!$DA$27:$DO$46,MATCH($W908,PLANNING_FC!$CZ$27:$CZ$46,0),FALSE),0),0)</f>
        <v>0</v>
      </c>
      <c r="BA908" s="58">
        <f>IFERROR(IF($V908="BRAND.com",HLOOKUP($X908&amp;$Z908,PLANNING_FC!$DA$4:$DO$23,MATCH($W908,PLANNING_FC!$CZ$4:$CZ$23,0),FALSE),0),0)</f>
        <v>0</v>
      </c>
      <c r="BB908" s="883" t="str">
        <f>IF(V908="BRAND.com",IFERROR(HLOOKUP(X908&amp;Z908,PLANNING_FC!$AK$4:$AY$23,MATCH(W908,PLANNING_FC!$AJ$4:$AJ$23,0),FALSE)*1000,""),"")</f>
        <v/>
      </c>
      <c r="BC908" s="883" t="str">
        <f>IF(V908="BRAND.com",IFERROR(HLOOKUP(X908&amp;Z908,PLANNING_FC!$AK$27:$AY$46,MATCH(W908,PLANNING_FC!$AJ$27:$AJ$46,0),FALSE)*1000,""),"")</f>
        <v/>
      </c>
    </row>
    <row r="909" spans="14:55" x14ac:dyDescent="0.25">
      <c r="N909" s="56">
        <f t="shared" si="344"/>
        <v>0</v>
      </c>
      <c r="O909" s="57">
        <f t="shared" si="345"/>
        <v>0</v>
      </c>
      <c r="P909" s="57">
        <f ca="1">IFERROR(IF(ISBLANK(H909),SUMIFS($AC:$AC,$V:$V,V909,$W:$W,W909,$X:$X,X909,$Y:$Y,Y909)*J909/(1-J909)*VLOOKUP(_xlfn.CONCAT(C909,D909,E909,TIME!$M$12,Z909),HIS_SALES!$B$2:$W$4859,20,FALSE),AC909*J909/(1-J909)),0)</f>
        <v>0</v>
      </c>
      <c r="Q909" s="541" t="str">
        <f t="shared" si="346"/>
        <v/>
      </c>
      <c r="R909" s="346" t="str">
        <f t="shared" si="347"/>
        <v>00000</v>
      </c>
      <c r="S909" s="344">
        <f t="shared" si="348"/>
        <v>0</v>
      </c>
      <c r="T909" s="345" t="str">
        <f t="shared" si="361"/>
        <v>000</v>
      </c>
      <c r="U909" s="345">
        <f t="shared" si="349"/>
        <v>0</v>
      </c>
      <c r="V909" s="345">
        <f t="shared" si="350"/>
        <v>0</v>
      </c>
      <c r="W909" s="345">
        <f t="shared" si="351"/>
        <v>0</v>
      </c>
      <c r="X909" s="345">
        <f t="shared" si="352"/>
        <v>0</v>
      </c>
      <c r="Y909" s="345">
        <f t="shared" si="353"/>
        <v>0</v>
      </c>
      <c r="Z909" s="345">
        <f>IF(Q909&lt;&gt;"",VLOOKUP(Y909,TIME!$R$21:$V$24,MATCH(FC_DATA!Q909,TIME!$R$20:$V$20,0),FALSE),H909)</f>
        <v>0</v>
      </c>
      <c r="AA909" s="345" t="str">
        <f>IFERROR(VLOOKUP(X909&amp;Z909,TIME!$A$12:$D$71,4,FALSE),"")</f>
        <v/>
      </c>
      <c r="AB909" s="592">
        <f t="shared" ca="1" si="354"/>
        <v>0</v>
      </c>
      <c r="AC909" s="593" t="e">
        <f ca="1">IF(ISBLANK(H909)=FALSE,IF(D909="BRAND.com",I909,IF(ISNA(VLOOKUP(_xlfn.CONCAT(X909,Z909),TIME!$M$40:$M$42,1,FALSE)),I909,VLOOKUP(_xlfn.CONCAT(D909,G909,H909),M_BUSAREA_FC!$AF$5:$AJ$10,5,FALSE)*HLOOKUP(_xlfn.CONCAT(F909,H909),ST_OVERVIEW!$G$99:$I$130,MATCH(_xlfn.CONCAT(D909,E909),ST_OVERVIEW!$F$99:$F$130,0),FALSE))),IF(D909="BRAND.com",VLOOKUP(_xlfn.CONCAT(C909,D909,E909,TIME!$F$1,Z909),HIS_SALES!$B$2:$V$4859,19,FALSE)*I909,VLOOKUP(_xlfn.CONCAT(D909,F909,G909),Q_BUSAREA_FC!$AE$5:$AI$12,5,FALSE)*HLOOKUP(_xlfn.CONCAT(FC_DATA!F909,FC_DATA!G909),LT_OVERVIEW!$I$99:$M$130,MATCH(_xlfn.CONCAT(D909,FC_DATA!E909),LT_OVERVIEW!$H$99:$H$130,0),FALSE)*IFERROR(VLOOKUP(_xlfn.CONCAT(C909,D909,E909,TIME!$F$1,Z909),HIS_SALES!$B$2:$V$4859,19,FALSE),0)))</f>
        <v>#N/A</v>
      </c>
      <c r="AD909" s="341">
        <f t="shared" ca="1" si="355"/>
        <v>0</v>
      </c>
      <c r="AE909" s="363" t="str">
        <f t="shared" si="356"/>
        <v/>
      </c>
      <c r="AF909" s="342" t="str">
        <f t="shared" si="357"/>
        <v/>
      </c>
      <c r="AG909" s="411" t="e">
        <f ca="1">VLOOKUP(_xlfn.CONCAT(U909,V909,W909,VLOOKUP(X909&amp;Y909,TIME!$L$27:$O$34,4,FALSE),Y909),HIS_SALES!$A$2:$R$5093,18,FALSE)</f>
        <v>#N/A</v>
      </c>
      <c r="AH909" s="412" t="e">
        <f ca="1">IFERROR(IF(AND(V909=V908,W909=W908),0.5*(AB909+AB908)*AG909,(VLOOKUP(_xlfn.CONCAT(U909,V909,W909,X909,VLOOKUP(Z909,TIME!$S$28:$T$39,2,FALSE)),FC_DATA!$R$2:$AB$5000,MATCH("GS_I_M",FC_DATA!$R$1:$AB$1,0),FALSE)+FC_DATA!AB909)*0.5*FC_DATA!AG909),NA())</f>
        <v>#N/A</v>
      </c>
      <c r="AI909" s="491" t="e">
        <f ca="1">IF(V909="PARTNER.com",AH909,IF(AND(V909=V908,W909=W908),(1-AVERAGE(AD908,AD909))*AH909,(1-AVERAGE(AD909,VLOOKUP(_xlfn.CONCAT(U909,V909,W909,X909,M_BRAND_FC!$F$6),FC_DATA!$R$2:$AD$5000,MATCH("DISCOUNT_%_M",FC_DATA!$R$1:$AD$1,0),FALSE)))*AH909))</f>
        <v>#N/A</v>
      </c>
      <c r="AJ909" s="412" t="str">
        <f t="shared" ca="1" si="358"/>
        <v/>
      </c>
      <c r="AK909" s="413" t="str">
        <f>IFERROR(AE909/(Q_BRAND_FC!$T$24+1),"")</f>
        <v/>
      </c>
      <c r="AL909" s="88" t="str">
        <f t="shared" ca="1" si="359"/>
        <v/>
      </c>
      <c r="AM909" s="414" t="str">
        <f t="shared" ca="1" si="360"/>
        <v/>
      </c>
      <c r="AN909" s="58">
        <f>IFERROR(IF($V909="BRAND.com",HLOOKUP($X909&amp;$Z909,NWC_FC_NOOS!$C$4:$Q$23,MATCH(W909,NWC_FC_NOOS!$B$4:$B$23,0),FALSE),0),0)</f>
        <v>0</v>
      </c>
      <c r="AO909" s="57">
        <f>IFERROR(IF($V909="BRAND.com",HLOOKUP($X909&amp;$Z909,NWC_FC_NOOS!$T$4:$AH$23,MATCH(W909,NWC_FC_NOOS!$S$4:$S$23,0),FALSE),0),0)</f>
        <v>0</v>
      </c>
      <c r="AP909" s="57">
        <f>IFERROR(IF($V909="BRAND.com",HLOOKUP($X909&amp;$Z909,NWC_FC_NOOS!$C$50:$U$69,MATCH(W909,NWC_FC_NOOS!$B$50:$B$69,0),FALSE),0),0)</f>
        <v>0</v>
      </c>
      <c r="AQ909" s="58">
        <f>IFERROR(IF($V909="BRAND.com",HLOOKUP($X909&amp;$Z909,'NWC_FC_NON-NOOS'!$C$4:$Q$23,MATCH(W909,'NWC_FC_NON-NOOS'!$B$4:$B$23,0),FALSE),0),0)</f>
        <v>0</v>
      </c>
      <c r="AR909" s="57">
        <f>IFERROR(IF($V909="BRAND.com",HLOOKUP($X909&amp;$Z909,'NWC_FC_NON-NOOS'!$T$4:$AH$23,MATCH(W909,'NWC_FC_NON-NOOS'!$S$4:$S$23,0),FALSE),0),0)</f>
        <v>0</v>
      </c>
      <c r="AS909" s="57">
        <f>IFERROR(IF($V909="BRAND.com",HLOOKUP($X909&amp;$Z909,'NWC_FC_NON-NOOS'!$C$50:$U$69,MATCH(W909,'NWC_FC_NON-NOOS'!$B$50:$B$69,0),FALSE),0),0)</f>
        <v>0</v>
      </c>
      <c r="AT909" s="57">
        <f t="shared" si="362"/>
        <v>0</v>
      </c>
      <c r="AU909" s="57">
        <f t="shared" si="363"/>
        <v>0</v>
      </c>
      <c r="AV909" s="58">
        <f>IFERROR(IF($V909="BRAND.com",HLOOKUP($X909&amp;$Z909,PLANNING_FC!$BB$27:$BP$46,MATCH($W909,PLANNING_FC!$BA$27:$BA$46,0),FALSE),0),0)</f>
        <v>0</v>
      </c>
      <c r="AW909" s="58">
        <f>IFERROR(IF($V909="BRAND.com",HLOOKUP($X909&amp;$Z909,PLANNING_FC!$BB$4:$BP$23,MATCH($W909,PLANNING_FC!$BA$4:$BA$23,0),FALSE),0),0)</f>
        <v>0</v>
      </c>
      <c r="AX909" s="58">
        <f>IFERROR(IF($V909="BRAND.com",HLOOKUP($X909&amp;$Z909,PLANNING_FC!$T$27:$AH$46,MATCH($W909,PLANNING_FC!$B$27:$B$46,0),FALSE),0),0)</f>
        <v>0</v>
      </c>
      <c r="AY909" s="58">
        <f>IFERROR(IF($V909="BRAND.com",HLOOKUP($X909&amp;$Z909,PLANNING_FC!$T$4:$AH$23,MATCH($W909,PLANNING_FC!$B$4:$B$23,0),FALSE),0),0)</f>
        <v>0</v>
      </c>
      <c r="AZ909" s="58">
        <f>IFERROR(IF($V909="BRAND.com",HLOOKUP($X909&amp;$Z909,PLANNING_FC!$DA$27:$DO$46,MATCH($W909,PLANNING_FC!$CZ$27:$CZ$46,0),FALSE),0),0)</f>
        <v>0</v>
      </c>
      <c r="BA909" s="58">
        <f>IFERROR(IF($V909="BRAND.com",HLOOKUP($X909&amp;$Z909,PLANNING_FC!$DA$4:$DO$23,MATCH($W909,PLANNING_FC!$CZ$4:$CZ$23,0),FALSE),0),0)</f>
        <v>0</v>
      </c>
      <c r="BB909" s="883" t="str">
        <f>IF(V909="BRAND.com",IFERROR(HLOOKUP(X909&amp;Z909,PLANNING_FC!$AK$4:$AY$23,MATCH(W909,PLANNING_FC!$AJ$4:$AJ$23,0),FALSE)*1000,""),"")</f>
        <v/>
      </c>
      <c r="BC909" s="883" t="str">
        <f>IF(V909="BRAND.com",IFERROR(HLOOKUP(X909&amp;Z909,PLANNING_FC!$AK$27:$AY$46,MATCH(W909,PLANNING_FC!$AJ$27:$AJ$46,0),FALSE)*1000,""),"")</f>
        <v/>
      </c>
    </row>
    <row r="910" spans="14:55" x14ac:dyDescent="0.25">
      <c r="N910" s="56">
        <f t="shared" si="344"/>
        <v>0</v>
      </c>
      <c r="O910" s="57">
        <f t="shared" si="345"/>
        <v>0</v>
      </c>
      <c r="P910" s="57">
        <f ca="1">IFERROR(IF(ISBLANK(H910),SUMIFS($AC:$AC,$V:$V,V910,$W:$W,W910,$X:$X,X910,$Y:$Y,Y910)*J910/(1-J910)*VLOOKUP(_xlfn.CONCAT(C910,D910,E910,TIME!$M$12,Z910),HIS_SALES!$B$2:$W$4859,20,FALSE),AC910*J910/(1-J910)),0)</f>
        <v>0</v>
      </c>
      <c r="Q910" s="541" t="str">
        <f t="shared" si="346"/>
        <v/>
      </c>
      <c r="R910" s="346" t="str">
        <f t="shared" si="347"/>
        <v>00000</v>
      </c>
      <c r="S910" s="344">
        <f t="shared" si="348"/>
        <v>0</v>
      </c>
      <c r="T910" s="345" t="str">
        <f t="shared" si="361"/>
        <v>000</v>
      </c>
      <c r="U910" s="345">
        <f t="shared" si="349"/>
        <v>0</v>
      </c>
      <c r="V910" s="345">
        <f t="shared" si="350"/>
        <v>0</v>
      </c>
      <c r="W910" s="345">
        <f t="shared" si="351"/>
        <v>0</v>
      </c>
      <c r="X910" s="345">
        <f t="shared" si="352"/>
        <v>0</v>
      </c>
      <c r="Y910" s="345">
        <f t="shared" si="353"/>
        <v>0</v>
      </c>
      <c r="Z910" s="345">
        <f>IF(Q910&lt;&gt;"",VLOOKUP(Y910,TIME!$R$21:$V$24,MATCH(FC_DATA!Q910,TIME!$R$20:$V$20,0),FALSE),H910)</f>
        <v>0</v>
      </c>
      <c r="AA910" s="345" t="str">
        <f>IFERROR(VLOOKUP(X910&amp;Z910,TIME!$A$12:$D$71,4,FALSE),"")</f>
        <v/>
      </c>
      <c r="AB910" s="592">
        <f t="shared" ca="1" si="354"/>
        <v>0</v>
      </c>
      <c r="AC910" s="593" t="e">
        <f ca="1">IF(ISBLANK(H910)=FALSE,IF(D910="BRAND.com",I910,IF(ISNA(VLOOKUP(_xlfn.CONCAT(X910,Z910),TIME!$M$40:$M$42,1,FALSE)),I910,VLOOKUP(_xlfn.CONCAT(D910,G910,H910),M_BUSAREA_FC!$AF$5:$AJ$10,5,FALSE)*HLOOKUP(_xlfn.CONCAT(F910,H910),ST_OVERVIEW!$G$99:$I$130,MATCH(_xlfn.CONCAT(D910,E910),ST_OVERVIEW!$F$99:$F$130,0),FALSE))),IF(D910="BRAND.com",VLOOKUP(_xlfn.CONCAT(C910,D910,E910,TIME!$F$1,Z910),HIS_SALES!$B$2:$V$4859,19,FALSE)*I910,VLOOKUP(_xlfn.CONCAT(D910,F910,G910),Q_BUSAREA_FC!$AE$5:$AI$12,5,FALSE)*HLOOKUP(_xlfn.CONCAT(FC_DATA!F910,FC_DATA!G910),LT_OVERVIEW!$I$99:$M$130,MATCH(_xlfn.CONCAT(D910,FC_DATA!E910),LT_OVERVIEW!$H$99:$H$130,0),FALSE)*IFERROR(VLOOKUP(_xlfn.CONCAT(C910,D910,E910,TIME!$F$1,Z910),HIS_SALES!$B$2:$V$4859,19,FALSE),0)))</f>
        <v>#N/A</v>
      </c>
      <c r="AD910" s="341">
        <f t="shared" ca="1" si="355"/>
        <v>0</v>
      </c>
      <c r="AE910" s="363" t="str">
        <f t="shared" si="356"/>
        <v/>
      </c>
      <c r="AF910" s="342" t="str">
        <f t="shared" si="357"/>
        <v/>
      </c>
      <c r="AG910" s="411" t="e">
        <f ca="1">VLOOKUP(_xlfn.CONCAT(U910,V910,W910,VLOOKUP(X910&amp;Y910,TIME!$L$27:$O$34,4,FALSE),Y910),HIS_SALES!$A$2:$R$5093,18,FALSE)</f>
        <v>#N/A</v>
      </c>
      <c r="AH910" s="412" t="e">
        <f ca="1">IFERROR(IF(AND(V910=V909,W910=W909),0.5*(AB910+AB909)*AG910,(VLOOKUP(_xlfn.CONCAT(U910,V910,W910,X910,VLOOKUP(Z910,TIME!$S$28:$T$39,2,FALSE)),FC_DATA!$R$2:$AB$5000,MATCH("GS_I_M",FC_DATA!$R$1:$AB$1,0),FALSE)+FC_DATA!AB910)*0.5*FC_DATA!AG910),NA())</f>
        <v>#N/A</v>
      </c>
      <c r="AI910" s="491" t="e">
        <f ca="1">IF(V910="PARTNER.com",AH910,IF(AND(V910=V909,W910=W909),(1-AVERAGE(AD909,AD910))*AH910,(1-AVERAGE(AD910,VLOOKUP(_xlfn.CONCAT(U910,V910,W910,X910,M_BRAND_FC!$F$6),FC_DATA!$R$2:$AD$5000,MATCH("DISCOUNT_%_M",FC_DATA!$R$1:$AD$1,0),FALSE)))*AH910))</f>
        <v>#N/A</v>
      </c>
      <c r="AJ910" s="412" t="str">
        <f t="shared" ca="1" si="358"/>
        <v/>
      </c>
      <c r="AK910" s="413" t="str">
        <f>IFERROR(AE910/(Q_BRAND_FC!$T$24+1),"")</f>
        <v/>
      </c>
      <c r="AL910" s="88" t="str">
        <f t="shared" ca="1" si="359"/>
        <v/>
      </c>
      <c r="AM910" s="414" t="str">
        <f t="shared" ca="1" si="360"/>
        <v/>
      </c>
      <c r="AN910" s="58">
        <f>IFERROR(IF($V910="BRAND.com",HLOOKUP($X910&amp;$Z910,NWC_FC_NOOS!$C$4:$Q$23,MATCH(W910,NWC_FC_NOOS!$B$4:$B$23,0),FALSE),0),0)</f>
        <v>0</v>
      </c>
      <c r="AO910" s="57">
        <f>IFERROR(IF($V910="BRAND.com",HLOOKUP($X910&amp;$Z910,NWC_FC_NOOS!$T$4:$AH$23,MATCH(W910,NWC_FC_NOOS!$S$4:$S$23,0),FALSE),0),0)</f>
        <v>0</v>
      </c>
      <c r="AP910" s="57">
        <f>IFERROR(IF($V910="BRAND.com",HLOOKUP($X910&amp;$Z910,NWC_FC_NOOS!$C$50:$U$69,MATCH(W910,NWC_FC_NOOS!$B$50:$B$69,0),FALSE),0),0)</f>
        <v>0</v>
      </c>
      <c r="AQ910" s="58">
        <f>IFERROR(IF($V910="BRAND.com",HLOOKUP($X910&amp;$Z910,'NWC_FC_NON-NOOS'!$C$4:$Q$23,MATCH(W910,'NWC_FC_NON-NOOS'!$B$4:$B$23,0),FALSE),0),0)</f>
        <v>0</v>
      </c>
      <c r="AR910" s="57">
        <f>IFERROR(IF($V910="BRAND.com",HLOOKUP($X910&amp;$Z910,'NWC_FC_NON-NOOS'!$T$4:$AH$23,MATCH(W910,'NWC_FC_NON-NOOS'!$S$4:$S$23,0),FALSE),0),0)</f>
        <v>0</v>
      </c>
      <c r="AS910" s="57">
        <f>IFERROR(IF($V910="BRAND.com",HLOOKUP($X910&amp;$Z910,'NWC_FC_NON-NOOS'!$C$50:$U$69,MATCH(W910,'NWC_FC_NON-NOOS'!$B$50:$B$69,0),FALSE),0),0)</f>
        <v>0</v>
      </c>
      <c r="AT910" s="57">
        <f t="shared" si="362"/>
        <v>0</v>
      </c>
      <c r="AU910" s="57">
        <f t="shared" si="363"/>
        <v>0</v>
      </c>
      <c r="AV910" s="58">
        <f>IFERROR(IF($V910="BRAND.com",HLOOKUP($X910&amp;$Z910,PLANNING_FC!$BB$27:$BP$46,MATCH($W910,PLANNING_FC!$BA$27:$BA$46,0),FALSE),0),0)</f>
        <v>0</v>
      </c>
      <c r="AW910" s="58">
        <f>IFERROR(IF($V910="BRAND.com",HLOOKUP($X910&amp;$Z910,PLANNING_FC!$BB$4:$BP$23,MATCH($W910,PLANNING_FC!$BA$4:$BA$23,0),FALSE),0),0)</f>
        <v>0</v>
      </c>
      <c r="AX910" s="58">
        <f>IFERROR(IF($V910="BRAND.com",HLOOKUP($X910&amp;$Z910,PLANNING_FC!$T$27:$AH$46,MATCH($W910,PLANNING_FC!$B$27:$B$46,0),FALSE),0),0)</f>
        <v>0</v>
      </c>
      <c r="AY910" s="58">
        <f>IFERROR(IF($V910="BRAND.com",HLOOKUP($X910&amp;$Z910,PLANNING_FC!$T$4:$AH$23,MATCH($W910,PLANNING_FC!$B$4:$B$23,0),FALSE),0),0)</f>
        <v>0</v>
      </c>
      <c r="AZ910" s="58">
        <f>IFERROR(IF($V910="BRAND.com",HLOOKUP($X910&amp;$Z910,PLANNING_FC!$DA$27:$DO$46,MATCH($W910,PLANNING_FC!$CZ$27:$CZ$46,0),FALSE),0),0)</f>
        <v>0</v>
      </c>
      <c r="BA910" s="58">
        <f>IFERROR(IF($V910="BRAND.com",HLOOKUP($X910&amp;$Z910,PLANNING_FC!$DA$4:$DO$23,MATCH($W910,PLANNING_FC!$CZ$4:$CZ$23,0),FALSE),0),0)</f>
        <v>0</v>
      </c>
      <c r="BB910" s="883" t="str">
        <f>IF(V910="BRAND.com",IFERROR(HLOOKUP(X910&amp;Z910,PLANNING_FC!$AK$4:$AY$23,MATCH(W910,PLANNING_FC!$AJ$4:$AJ$23,0),FALSE)*1000,""),"")</f>
        <v/>
      </c>
      <c r="BC910" s="883" t="str">
        <f>IF(V910="BRAND.com",IFERROR(HLOOKUP(X910&amp;Z910,PLANNING_FC!$AK$27:$AY$46,MATCH(W910,PLANNING_FC!$AJ$27:$AJ$46,0),FALSE)*1000,""),"")</f>
        <v/>
      </c>
    </row>
    <row r="911" spans="14:55" x14ac:dyDescent="0.25">
      <c r="N911" s="56">
        <f t="shared" si="344"/>
        <v>0</v>
      </c>
      <c r="O911" s="57">
        <f t="shared" si="345"/>
        <v>0</v>
      </c>
      <c r="P911" s="57">
        <f ca="1">IFERROR(IF(ISBLANK(H911),SUMIFS($AC:$AC,$V:$V,V911,$W:$W,W911,$X:$X,X911,$Y:$Y,Y911)*J911/(1-J911)*VLOOKUP(_xlfn.CONCAT(C911,D911,E911,TIME!$M$12,Z911),HIS_SALES!$B$2:$W$4859,20,FALSE),AC911*J911/(1-J911)),0)</f>
        <v>0</v>
      </c>
      <c r="Q911" s="541" t="str">
        <f t="shared" si="346"/>
        <v/>
      </c>
      <c r="R911" s="346" t="str">
        <f t="shared" si="347"/>
        <v>00000</v>
      </c>
      <c r="S911" s="344">
        <f t="shared" si="348"/>
        <v>0</v>
      </c>
      <c r="T911" s="345" t="str">
        <f t="shared" si="361"/>
        <v>000</v>
      </c>
      <c r="U911" s="345">
        <f t="shared" si="349"/>
        <v>0</v>
      </c>
      <c r="V911" s="345">
        <f t="shared" si="350"/>
        <v>0</v>
      </c>
      <c r="W911" s="345">
        <f t="shared" si="351"/>
        <v>0</v>
      </c>
      <c r="X911" s="345">
        <f t="shared" si="352"/>
        <v>0</v>
      </c>
      <c r="Y911" s="345">
        <f t="shared" si="353"/>
        <v>0</v>
      </c>
      <c r="Z911" s="345">
        <f>IF(Q911&lt;&gt;"",VLOOKUP(Y911,TIME!$R$21:$V$24,MATCH(FC_DATA!Q911,TIME!$R$20:$V$20,0),FALSE),H911)</f>
        <v>0</v>
      </c>
      <c r="AA911" s="345" t="str">
        <f>IFERROR(VLOOKUP(X911&amp;Z911,TIME!$A$12:$D$71,4,FALSE),"")</f>
        <v/>
      </c>
      <c r="AB911" s="592">
        <f t="shared" ca="1" si="354"/>
        <v>0</v>
      </c>
      <c r="AC911" s="593" t="e">
        <f ca="1">IF(ISBLANK(H911)=FALSE,IF(D911="BRAND.com",I911,IF(ISNA(VLOOKUP(_xlfn.CONCAT(X911,Z911),TIME!$M$40:$M$42,1,FALSE)),I911,VLOOKUP(_xlfn.CONCAT(D911,G911,H911),M_BUSAREA_FC!$AF$5:$AJ$10,5,FALSE)*HLOOKUP(_xlfn.CONCAT(F911,H911),ST_OVERVIEW!$G$99:$I$130,MATCH(_xlfn.CONCAT(D911,E911),ST_OVERVIEW!$F$99:$F$130,0),FALSE))),IF(D911="BRAND.com",VLOOKUP(_xlfn.CONCAT(C911,D911,E911,TIME!$F$1,Z911),HIS_SALES!$B$2:$V$4859,19,FALSE)*I911,VLOOKUP(_xlfn.CONCAT(D911,F911,G911),Q_BUSAREA_FC!$AE$5:$AI$12,5,FALSE)*HLOOKUP(_xlfn.CONCAT(FC_DATA!F911,FC_DATA!G911),LT_OVERVIEW!$I$99:$M$130,MATCH(_xlfn.CONCAT(D911,FC_DATA!E911),LT_OVERVIEW!$H$99:$H$130,0),FALSE)*IFERROR(VLOOKUP(_xlfn.CONCAT(C911,D911,E911,TIME!$F$1,Z911),HIS_SALES!$B$2:$V$4859,19,FALSE),0)))</f>
        <v>#N/A</v>
      </c>
      <c r="AD911" s="341">
        <f t="shared" ca="1" si="355"/>
        <v>0</v>
      </c>
      <c r="AE911" s="363" t="str">
        <f t="shared" si="356"/>
        <v/>
      </c>
      <c r="AF911" s="342" t="str">
        <f t="shared" si="357"/>
        <v/>
      </c>
      <c r="AG911" s="411" t="e">
        <f ca="1">VLOOKUP(_xlfn.CONCAT(U911,V911,W911,VLOOKUP(X911&amp;Y911,TIME!$L$27:$O$34,4,FALSE),Y911),HIS_SALES!$A$2:$R$5093,18,FALSE)</f>
        <v>#N/A</v>
      </c>
      <c r="AH911" s="412" t="e">
        <f ca="1">IFERROR(IF(AND(V911=V910,W911=W910),0.5*(AB911+AB910)*AG911,(VLOOKUP(_xlfn.CONCAT(U911,V911,W911,X911,VLOOKUP(Z911,TIME!$S$28:$T$39,2,FALSE)),FC_DATA!$R$2:$AB$5000,MATCH("GS_I_M",FC_DATA!$R$1:$AB$1,0),FALSE)+FC_DATA!AB911)*0.5*FC_DATA!AG911),NA())</f>
        <v>#N/A</v>
      </c>
      <c r="AI911" s="491" t="e">
        <f ca="1">IF(V911="PARTNER.com",AH911,IF(AND(V911=V910,W911=W910),(1-AVERAGE(AD910,AD911))*AH911,(1-AVERAGE(AD911,VLOOKUP(_xlfn.CONCAT(U911,V911,W911,X911,M_BRAND_FC!$F$6),FC_DATA!$R$2:$AD$5000,MATCH("DISCOUNT_%_M",FC_DATA!$R$1:$AD$1,0),FALSE)))*AH911))</f>
        <v>#N/A</v>
      </c>
      <c r="AJ911" s="412" t="str">
        <f t="shared" ca="1" si="358"/>
        <v/>
      </c>
      <c r="AK911" s="413" t="str">
        <f>IFERROR(AE911/(Q_BRAND_FC!$T$24+1),"")</f>
        <v/>
      </c>
      <c r="AL911" s="88" t="str">
        <f t="shared" ca="1" si="359"/>
        <v/>
      </c>
      <c r="AM911" s="414" t="str">
        <f t="shared" ca="1" si="360"/>
        <v/>
      </c>
      <c r="AN911" s="58">
        <f>IFERROR(IF($V911="BRAND.com",HLOOKUP($X911&amp;$Z911,NWC_FC_NOOS!$C$4:$Q$23,MATCH(W911,NWC_FC_NOOS!$B$4:$B$23,0),FALSE),0),0)</f>
        <v>0</v>
      </c>
      <c r="AO911" s="57">
        <f>IFERROR(IF($V911="BRAND.com",HLOOKUP($X911&amp;$Z911,NWC_FC_NOOS!$T$4:$AH$23,MATCH(W911,NWC_FC_NOOS!$S$4:$S$23,0),FALSE),0),0)</f>
        <v>0</v>
      </c>
      <c r="AP911" s="57">
        <f>IFERROR(IF($V911="BRAND.com",HLOOKUP($X911&amp;$Z911,NWC_FC_NOOS!$C$50:$U$69,MATCH(W911,NWC_FC_NOOS!$B$50:$B$69,0),FALSE),0),0)</f>
        <v>0</v>
      </c>
      <c r="AQ911" s="58">
        <f>IFERROR(IF($V911="BRAND.com",HLOOKUP($X911&amp;$Z911,'NWC_FC_NON-NOOS'!$C$4:$Q$23,MATCH(W911,'NWC_FC_NON-NOOS'!$B$4:$B$23,0),FALSE),0),0)</f>
        <v>0</v>
      </c>
      <c r="AR911" s="57">
        <f>IFERROR(IF($V911="BRAND.com",HLOOKUP($X911&amp;$Z911,'NWC_FC_NON-NOOS'!$T$4:$AH$23,MATCH(W911,'NWC_FC_NON-NOOS'!$S$4:$S$23,0),FALSE),0),0)</f>
        <v>0</v>
      </c>
      <c r="AS911" s="57">
        <f>IFERROR(IF($V911="BRAND.com",HLOOKUP($X911&amp;$Z911,'NWC_FC_NON-NOOS'!$C$50:$U$69,MATCH(W911,'NWC_FC_NON-NOOS'!$B$50:$B$69,0),FALSE),0),0)</f>
        <v>0</v>
      </c>
      <c r="AT911" s="57">
        <f t="shared" si="362"/>
        <v>0</v>
      </c>
      <c r="AU911" s="57">
        <f t="shared" si="363"/>
        <v>0</v>
      </c>
      <c r="AV911" s="58">
        <f>IFERROR(IF($V911="BRAND.com",HLOOKUP($X911&amp;$Z911,PLANNING_FC!$BB$27:$BP$46,MATCH($W911,PLANNING_FC!$BA$27:$BA$46,0),FALSE),0),0)</f>
        <v>0</v>
      </c>
      <c r="AW911" s="58">
        <f>IFERROR(IF($V911="BRAND.com",HLOOKUP($X911&amp;$Z911,PLANNING_FC!$BB$4:$BP$23,MATCH($W911,PLANNING_FC!$BA$4:$BA$23,0),FALSE),0),0)</f>
        <v>0</v>
      </c>
      <c r="AX911" s="58">
        <f>IFERROR(IF($V911="BRAND.com",HLOOKUP($X911&amp;$Z911,PLANNING_FC!$T$27:$AH$46,MATCH($W911,PLANNING_FC!$B$27:$B$46,0),FALSE),0),0)</f>
        <v>0</v>
      </c>
      <c r="AY911" s="58">
        <f>IFERROR(IF($V911="BRAND.com",HLOOKUP($X911&amp;$Z911,PLANNING_FC!$T$4:$AH$23,MATCH($W911,PLANNING_FC!$B$4:$B$23,0),FALSE),0),0)</f>
        <v>0</v>
      </c>
      <c r="AZ911" s="58">
        <f>IFERROR(IF($V911="BRAND.com",HLOOKUP($X911&amp;$Z911,PLANNING_FC!$DA$27:$DO$46,MATCH($W911,PLANNING_FC!$CZ$27:$CZ$46,0),FALSE),0),0)</f>
        <v>0</v>
      </c>
      <c r="BA911" s="58">
        <f>IFERROR(IF($V911="BRAND.com",HLOOKUP($X911&amp;$Z911,PLANNING_FC!$DA$4:$DO$23,MATCH($W911,PLANNING_FC!$CZ$4:$CZ$23,0),FALSE),0),0)</f>
        <v>0</v>
      </c>
      <c r="BB911" s="883" t="str">
        <f>IF(V911="BRAND.com",IFERROR(HLOOKUP(X911&amp;Z911,PLANNING_FC!$AK$4:$AY$23,MATCH(W911,PLANNING_FC!$AJ$4:$AJ$23,0),FALSE)*1000,""),"")</f>
        <v/>
      </c>
      <c r="BC911" s="883" t="str">
        <f>IF(V911="BRAND.com",IFERROR(HLOOKUP(X911&amp;Z911,PLANNING_FC!$AK$27:$AY$46,MATCH(W911,PLANNING_FC!$AJ$27:$AJ$46,0),FALSE)*1000,""),"")</f>
        <v/>
      </c>
    </row>
    <row r="912" spans="14:55" x14ac:dyDescent="0.25">
      <c r="N912" s="56">
        <f t="shared" si="344"/>
        <v>0</v>
      </c>
      <c r="O912" s="57">
        <f t="shared" si="345"/>
        <v>0</v>
      </c>
      <c r="P912" s="57">
        <f ca="1">IFERROR(IF(ISBLANK(H912),SUMIFS($AC:$AC,$V:$V,V912,$W:$W,W912,$X:$X,X912,$Y:$Y,Y912)*J912/(1-J912)*VLOOKUP(_xlfn.CONCAT(C912,D912,E912,TIME!$M$12,Z912),HIS_SALES!$B$2:$W$4859,20,FALSE),AC912*J912/(1-J912)),0)</f>
        <v>0</v>
      </c>
      <c r="Q912" s="541" t="str">
        <f t="shared" si="346"/>
        <v/>
      </c>
      <c r="R912" s="346" t="str">
        <f t="shared" si="347"/>
        <v>00000</v>
      </c>
      <c r="S912" s="344">
        <f t="shared" si="348"/>
        <v>0</v>
      </c>
      <c r="T912" s="345" t="str">
        <f t="shared" si="361"/>
        <v>000</v>
      </c>
      <c r="U912" s="345">
        <f t="shared" si="349"/>
        <v>0</v>
      </c>
      <c r="V912" s="345">
        <f t="shared" si="350"/>
        <v>0</v>
      </c>
      <c r="W912" s="345">
        <f t="shared" si="351"/>
        <v>0</v>
      </c>
      <c r="X912" s="345">
        <f t="shared" si="352"/>
        <v>0</v>
      </c>
      <c r="Y912" s="345">
        <f t="shared" si="353"/>
        <v>0</v>
      </c>
      <c r="Z912" s="345">
        <f>IF(Q912&lt;&gt;"",VLOOKUP(Y912,TIME!$R$21:$V$24,MATCH(FC_DATA!Q912,TIME!$R$20:$V$20,0),FALSE),H912)</f>
        <v>0</v>
      </c>
      <c r="AA912" s="345" t="str">
        <f>IFERROR(VLOOKUP(X912&amp;Z912,TIME!$A$12:$D$71,4,FALSE),"")</f>
        <v/>
      </c>
      <c r="AB912" s="592">
        <f t="shared" ca="1" si="354"/>
        <v>0</v>
      </c>
      <c r="AC912" s="593" t="e">
        <f ca="1">IF(ISBLANK(H912)=FALSE,IF(D912="BRAND.com",I912,IF(ISNA(VLOOKUP(_xlfn.CONCAT(X912,Z912),TIME!$M$40:$M$42,1,FALSE)),I912,VLOOKUP(_xlfn.CONCAT(D912,G912,H912),M_BUSAREA_FC!$AF$5:$AJ$10,5,FALSE)*HLOOKUP(_xlfn.CONCAT(F912,H912),ST_OVERVIEW!$G$99:$I$130,MATCH(_xlfn.CONCAT(D912,E912),ST_OVERVIEW!$F$99:$F$130,0),FALSE))),IF(D912="BRAND.com",VLOOKUP(_xlfn.CONCAT(C912,D912,E912,TIME!$F$1,Z912),HIS_SALES!$B$2:$V$4859,19,FALSE)*I912,VLOOKUP(_xlfn.CONCAT(D912,F912,G912),Q_BUSAREA_FC!$AE$5:$AI$12,5,FALSE)*HLOOKUP(_xlfn.CONCAT(FC_DATA!F912,FC_DATA!G912),LT_OVERVIEW!$I$99:$M$130,MATCH(_xlfn.CONCAT(D912,FC_DATA!E912),LT_OVERVIEW!$H$99:$H$130,0),FALSE)*IFERROR(VLOOKUP(_xlfn.CONCAT(C912,D912,E912,TIME!$F$1,Z912),HIS_SALES!$B$2:$V$4859,19,FALSE),0)))</f>
        <v>#N/A</v>
      </c>
      <c r="AD912" s="341">
        <f t="shared" ca="1" si="355"/>
        <v>0</v>
      </c>
      <c r="AE912" s="363" t="str">
        <f t="shared" si="356"/>
        <v/>
      </c>
      <c r="AF912" s="342" t="str">
        <f t="shared" si="357"/>
        <v/>
      </c>
      <c r="AG912" s="411" t="e">
        <f ca="1">VLOOKUP(_xlfn.CONCAT(U912,V912,W912,VLOOKUP(X912&amp;Y912,TIME!$L$27:$O$34,4,FALSE),Y912),HIS_SALES!$A$2:$R$5093,18,FALSE)</f>
        <v>#N/A</v>
      </c>
      <c r="AH912" s="412" t="e">
        <f ca="1">IFERROR(IF(AND(V912=V911,W912=W911),0.5*(AB912+AB911)*AG912,(VLOOKUP(_xlfn.CONCAT(U912,V912,W912,X912,VLOOKUP(Z912,TIME!$S$28:$T$39,2,FALSE)),FC_DATA!$R$2:$AB$5000,MATCH("GS_I_M",FC_DATA!$R$1:$AB$1,0),FALSE)+FC_DATA!AB912)*0.5*FC_DATA!AG912),NA())</f>
        <v>#N/A</v>
      </c>
      <c r="AI912" s="491" t="e">
        <f ca="1">IF(V912="PARTNER.com",AH912,IF(AND(V912=V911,W912=W911),(1-AVERAGE(AD911,AD912))*AH912,(1-AVERAGE(AD912,VLOOKUP(_xlfn.CONCAT(U912,V912,W912,X912,M_BRAND_FC!$F$6),FC_DATA!$R$2:$AD$5000,MATCH("DISCOUNT_%_M",FC_DATA!$R$1:$AD$1,0),FALSE)))*AH912))</f>
        <v>#N/A</v>
      </c>
      <c r="AJ912" s="412" t="str">
        <f t="shared" ca="1" si="358"/>
        <v/>
      </c>
      <c r="AK912" s="413" t="str">
        <f>IFERROR(AE912/(Q_BRAND_FC!$T$24+1),"")</f>
        <v/>
      </c>
      <c r="AL912" s="88" t="str">
        <f t="shared" ca="1" si="359"/>
        <v/>
      </c>
      <c r="AM912" s="414" t="str">
        <f t="shared" ca="1" si="360"/>
        <v/>
      </c>
      <c r="AN912" s="58">
        <f>IFERROR(IF($V912="BRAND.com",HLOOKUP($X912&amp;$Z912,NWC_FC_NOOS!$C$4:$Q$23,MATCH(W912,NWC_FC_NOOS!$B$4:$B$23,0),FALSE),0),0)</f>
        <v>0</v>
      </c>
      <c r="AO912" s="57">
        <f>IFERROR(IF($V912="BRAND.com",HLOOKUP($X912&amp;$Z912,NWC_FC_NOOS!$T$4:$AH$23,MATCH(W912,NWC_FC_NOOS!$S$4:$S$23,0),FALSE),0),0)</f>
        <v>0</v>
      </c>
      <c r="AP912" s="57">
        <f>IFERROR(IF($V912="BRAND.com",HLOOKUP($X912&amp;$Z912,NWC_FC_NOOS!$C$50:$U$69,MATCH(W912,NWC_FC_NOOS!$B$50:$B$69,0),FALSE),0),0)</f>
        <v>0</v>
      </c>
      <c r="AQ912" s="58">
        <f>IFERROR(IF($V912="BRAND.com",HLOOKUP($X912&amp;$Z912,'NWC_FC_NON-NOOS'!$C$4:$Q$23,MATCH(W912,'NWC_FC_NON-NOOS'!$B$4:$B$23,0),FALSE),0),0)</f>
        <v>0</v>
      </c>
      <c r="AR912" s="57">
        <f>IFERROR(IF($V912="BRAND.com",HLOOKUP($X912&amp;$Z912,'NWC_FC_NON-NOOS'!$T$4:$AH$23,MATCH(W912,'NWC_FC_NON-NOOS'!$S$4:$S$23,0),FALSE),0),0)</f>
        <v>0</v>
      </c>
      <c r="AS912" s="57">
        <f>IFERROR(IF($V912="BRAND.com",HLOOKUP($X912&amp;$Z912,'NWC_FC_NON-NOOS'!$C$50:$U$69,MATCH(W912,'NWC_FC_NON-NOOS'!$B$50:$B$69,0),FALSE),0),0)</f>
        <v>0</v>
      </c>
      <c r="AT912" s="57">
        <f t="shared" si="362"/>
        <v>0</v>
      </c>
      <c r="AU912" s="57">
        <f t="shared" si="363"/>
        <v>0</v>
      </c>
      <c r="AV912" s="58">
        <f>IFERROR(IF($V912="BRAND.com",HLOOKUP($X912&amp;$Z912,PLANNING_FC!$BB$27:$BP$46,MATCH($W912,PLANNING_FC!$BA$27:$BA$46,0),FALSE),0),0)</f>
        <v>0</v>
      </c>
      <c r="AW912" s="58">
        <f>IFERROR(IF($V912="BRAND.com",HLOOKUP($X912&amp;$Z912,PLANNING_FC!$BB$4:$BP$23,MATCH($W912,PLANNING_FC!$BA$4:$BA$23,0),FALSE),0),0)</f>
        <v>0</v>
      </c>
      <c r="AX912" s="58">
        <f>IFERROR(IF($V912="BRAND.com",HLOOKUP($X912&amp;$Z912,PLANNING_FC!$T$27:$AH$46,MATCH($W912,PLANNING_FC!$B$27:$B$46,0),FALSE),0),0)</f>
        <v>0</v>
      </c>
      <c r="AY912" s="58">
        <f>IFERROR(IF($V912="BRAND.com",HLOOKUP($X912&amp;$Z912,PLANNING_FC!$T$4:$AH$23,MATCH($W912,PLANNING_FC!$B$4:$B$23,0),FALSE),0),0)</f>
        <v>0</v>
      </c>
      <c r="AZ912" s="58">
        <f>IFERROR(IF($V912="BRAND.com",HLOOKUP($X912&amp;$Z912,PLANNING_FC!$DA$27:$DO$46,MATCH($W912,PLANNING_FC!$CZ$27:$CZ$46,0),FALSE),0),0)</f>
        <v>0</v>
      </c>
      <c r="BA912" s="58">
        <f>IFERROR(IF($V912="BRAND.com",HLOOKUP($X912&amp;$Z912,PLANNING_FC!$DA$4:$DO$23,MATCH($W912,PLANNING_FC!$CZ$4:$CZ$23,0),FALSE),0),0)</f>
        <v>0</v>
      </c>
      <c r="BB912" s="883" t="str">
        <f>IF(V912="BRAND.com",IFERROR(HLOOKUP(X912&amp;Z912,PLANNING_FC!$AK$4:$AY$23,MATCH(W912,PLANNING_FC!$AJ$4:$AJ$23,0),FALSE)*1000,""),"")</f>
        <v/>
      </c>
      <c r="BC912" s="883" t="str">
        <f>IF(V912="BRAND.com",IFERROR(HLOOKUP(X912&amp;Z912,PLANNING_FC!$AK$27:$AY$46,MATCH(W912,PLANNING_FC!$AJ$27:$AJ$46,0),FALSE)*1000,""),"")</f>
        <v/>
      </c>
    </row>
    <row r="913" spans="14:55" x14ac:dyDescent="0.25">
      <c r="N913" s="56">
        <f t="shared" si="344"/>
        <v>0</v>
      </c>
      <c r="O913" s="57">
        <f t="shared" si="345"/>
        <v>0</v>
      </c>
      <c r="P913" s="57">
        <f ca="1">IFERROR(IF(ISBLANK(H913),SUMIFS($AC:$AC,$V:$V,V913,$W:$W,W913,$X:$X,X913,$Y:$Y,Y913)*J913/(1-J913)*VLOOKUP(_xlfn.CONCAT(C913,D913,E913,TIME!$M$12,Z913),HIS_SALES!$B$2:$W$4859,20,FALSE),AC913*J913/(1-J913)),0)</f>
        <v>0</v>
      </c>
      <c r="Q913" s="541" t="str">
        <f t="shared" si="346"/>
        <v/>
      </c>
      <c r="R913" s="346" t="str">
        <f t="shared" si="347"/>
        <v>00000</v>
      </c>
      <c r="S913" s="344">
        <f t="shared" si="348"/>
        <v>0</v>
      </c>
      <c r="T913" s="345" t="str">
        <f t="shared" si="361"/>
        <v>000</v>
      </c>
      <c r="U913" s="345">
        <f t="shared" si="349"/>
        <v>0</v>
      </c>
      <c r="V913" s="345">
        <f t="shared" si="350"/>
        <v>0</v>
      </c>
      <c r="W913" s="345">
        <f t="shared" si="351"/>
        <v>0</v>
      </c>
      <c r="X913" s="345">
        <f t="shared" si="352"/>
        <v>0</v>
      </c>
      <c r="Y913" s="345">
        <f t="shared" si="353"/>
        <v>0</v>
      </c>
      <c r="Z913" s="345">
        <f>IF(Q913&lt;&gt;"",VLOOKUP(Y913,TIME!$R$21:$V$24,MATCH(FC_DATA!Q913,TIME!$R$20:$V$20,0),FALSE),H913)</f>
        <v>0</v>
      </c>
      <c r="AA913" s="345" t="str">
        <f>IFERROR(VLOOKUP(X913&amp;Z913,TIME!$A$12:$D$71,4,FALSE),"")</f>
        <v/>
      </c>
      <c r="AB913" s="592">
        <f t="shared" ca="1" si="354"/>
        <v>0</v>
      </c>
      <c r="AC913" s="593" t="e">
        <f ca="1">IF(ISBLANK(H913)=FALSE,IF(D913="BRAND.com",I913,IF(ISNA(VLOOKUP(_xlfn.CONCAT(X913,Z913),TIME!$M$40:$M$42,1,FALSE)),I913,VLOOKUP(_xlfn.CONCAT(D913,G913,H913),M_BUSAREA_FC!$AF$5:$AJ$10,5,FALSE)*HLOOKUP(_xlfn.CONCAT(F913,H913),ST_OVERVIEW!$G$99:$I$130,MATCH(_xlfn.CONCAT(D913,E913),ST_OVERVIEW!$F$99:$F$130,0),FALSE))),IF(D913="BRAND.com",VLOOKUP(_xlfn.CONCAT(C913,D913,E913,TIME!$F$1,Z913),HIS_SALES!$B$2:$V$4859,19,FALSE)*I913,VLOOKUP(_xlfn.CONCAT(D913,F913,G913),Q_BUSAREA_FC!$AE$5:$AI$12,5,FALSE)*HLOOKUP(_xlfn.CONCAT(FC_DATA!F913,FC_DATA!G913),LT_OVERVIEW!$I$99:$M$130,MATCH(_xlfn.CONCAT(D913,FC_DATA!E913),LT_OVERVIEW!$H$99:$H$130,0),FALSE)*IFERROR(VLOOKUP(_xlfn.CONCAT(C913,D913,E913,TIME!$F$1,Z913),HIS_SALES!$B$2:$V$4859,19,FALSE),0)))</f>
        <v>#N/A</v>
      </c>
      <c r="AD913" s="341">
        <f t="shared" ca="1" si="355"/>
        <v>0</v>
      </c>
      <c r="AE913" s="363" t="str">
        <f t="shared" si="356"/>
        <v/>
      </c>
      <c r="AF913" s="342" t="str">
        <f t="shared" si="357"/>
        <v/>
      </c>
      <c r="AG913" s="411" t="e">
        <f ca="1">VLOOKUP(_xlfn.CONCAT(U913,V913,W913,VLOOKUP(X913&amp;Y913,TIME!$L$27:$O$34,4,FALSE),Y913),HIS_SALES!$A$2:$R$5093,18,FALSE)</f>
        <v>#N/A</v>
      </c>
      <c r="AH913" s="412" t="e">
        <f ca="1">IFERROR(IF(AND(V913=V912,W913=W912),0.5*(AB913+AB912)*AG913,(VLOOKUP(_xlfn.CONCAT(U913,V913,W913,X913,VLOOKUP(Z913,TIME!$S$28:$T$39,2,FALSE)),FC_DATA!$R$2:$AB$5000,MATCH("GS_I_M",FC_DATA!$R$1:$AB$1,0),FALSE)+FC_DATA!AB913)*0.5*FC_DATA!AG913),NA())</f>
        <v>#N/A</v>
      </c>
      <c r="AI913" s="491" t="e">
        <f ca="1">IF(V913="PARTNER.com",AH913,IF(AND(V913=V912,W913=W912),(1-AVERAGE(AD912,AD913))*AH913,(1-AVERAGE(AD913,VLOOKUP(_xlfn.CONCAT(U913,V913,W913,X913,M_BRAND_FC!$F$6),FC_DATA!$R$2:$AD$5000,MATCH("DISCOUNT_%_M",FC_DATA!$R$1:$AD$1,0),FALSE)))*AH913))</f>
        <v>#N/A</v>
      </c>
      <c r="AJ913" s="412" t="str">
        <f t="shared" ca="1" si="358"/>
        <v/>
      </c>
      <c r="AK913" s="413" t="str">
        <f>IFERROR(AE913/(Q_BRAND_FC!$T$24+1),"")</f>
        <v/>
      </c>
      <c r="AL913" s="88" t="str">
        <f t="shared" ca="1" si="359"/>
        <v/>
      </c>
      <c r="AM913" s="414" t="str">
        <f t="shared" ca="1" si="360"/>
        <v/>
      </c>
      <c r="AN913" s="58">
        <f>IFERROR(IF($V913="BRAND.com",HLOOKUP($X913&amp;$Z913,NWC_FC_NOOS!$C$4:$Q$23,MATCH(W913,NWC_FC_NOOS!$B$4:$B$23,0),FALSE),0),0)</f>
        <v>0</v>
      </c>
      <c r="AO913" s="57">
        <f>IFERROR(IF($V913="BRAND.com",HLOOKUP($X913&amp;$Z913,NWC_FC_NOOS!$T$4:$AH$23,MATCH(W913,NWC_FC_NOOS!$S$4:$S$23,0),FALSE),0),0)</f>
        <v>0</v>
      </c>
      <c r="AP913" s="57">
        <f>IFERROR(IF($V913="BRAND.com",HLOOKUP($X913&amp;$Z913,NWC_FC_NOOS!$C$50:$U$69,MATCH(W913,NWC_FC_NOOS!$B$50:$B$69,0),FALSE),0),0)</f>
        <v>0</v>
      </c>
      <c r="AQ913" s="58">
        <f>IFERROR(IF($V913="BRAND.com",HLOOKUP($X913&amp;$Z913,'NWC_FC_NON-NOOS'!$C$4:$Q$23,MATCH(W913,'NWC_FC_NON-NOOS'!$B$4:$B$23,0),FALSE),0),0)</f>
        <v>0</v>
      </c>
      <c r="AR913" s="57">
        <f>IFERROR(IF($V913="BRAND.com",HLOOKUP($X913&amp;$Z913,'NWC_FC_NON-NOOS'!$T$4:$AH$23,MATCH(W913,'NWC_FC_NON-NOOS'!$S$4:$S$23,0),FALSE),0),0)</f>
        <v>0</v>
      </c>
      <c r="AS913" s="57">
        <f>IFERROR(IF($V913="BRAND.com",HLOOKUP($X913&amp;$Z913,'NWC_FC_NON-NOOS'!$C$50:$U$69,MATCH(W913,'NWC_FC_NON-NOOS'!$B$50:$B$69,0),FALSE),0),0)</f>
        <v>0</v>
      </c>
      <c r="AT913" s="57">
        <f t="shared" si="362"/>
        <v>0</v>
      </c>
      <c r="AU913" s="57">
        <f t="shared" si="363"/>
        <v>0</v>
      </c>
      <c r="AV913" s="58">
        <f>IFERROR(IF($V913="BRAND.com",HLOOKUP($X913&amp;$Z913,PLANNING_FC!$BB$27:$BP$46,MATCH($W913,PLANNING_FC!$BA$27:$BA$46,0),FALSE),0),0)</f>
        <v>0</v>
      </c>
      <c r="AW913" s="58">
        <f>IFERROR(IF($V913="BRAND.com",HLOOKUP($X913&amp;$Z913,PLANNING_FC!$BB$4:$BP$23,MATCH($W913,PLANNING_FC!$BA$4:$BA$23,0),FALSE),0),0)</f>
        <v>0</v>
      </c>
      <c r="AX913" s="58">
        <f>IFERROR(IF($V913="BRAND.com",HLOOKUP($X913&amp;$Z913,PLANNING_FC!$T$27:$AH$46,MATCH($W913,PLANNING_FC!$B$27:$B$46,0),FALSE),0),0)</f>
        <v>0</v>
      </c>
      <c r="AY913" s="58">
        <f>IFERROR(IF($V913="BRAND.com",HLOOKUP($X913&amp;$Z913,PLANNING_FC!$T$4:$AH$23,MATCH($W913,PLANNING_FC!$B$4:$B$23,0),FALSE),0),0)</f>
        <v>0</v>
      </c>
      <c r="AZ913" s="58">
        <f>IFERROR(IF($V913="BRAND.com",HLOOKUP($X913&amp;$Z913,PLANNING_FC!$DA$27:$DO$46,MATCH($W913,PLANNING_FC!$CZ$27:$CZ$46,0),FALSE),0),0)</f>
        <v>0</v>
      </c>
      <c r="BA913" s="58">
        <f>IFERROR(IF($V913="BRAND.com",HLOOKUP($X913&amp;$Z913,PLANNING_FC!$DA$4:$DO$23,MATCH($W913,PLANNING_FC!$CZ$4:$CZ$23,0),FALSE),0),0)</f>
        <v>0</v>
      </c>
      <c r="BB913" s="883" t="str">
        <f>IF(V913="BRAND.com",IFERROR(HLOOKUP(X913&amp;Z913,PLANNING_FC!$AK$4:$AY$23,MATCH(W913,PLANNING_FC!$AJ$4:$AJ$23,0),FALSE)*1000,""),"")</f>
        <v/>
      </c>
      <c r="BC913" s="883" t="str">
        <f>IF(V913="BRAND.com",IFERROR(HLOOKUP(X913&amp;Z913,PLANNING_FC!$AK$27:$AY$46,MATCH(W913,PLANNING_FC!$AJ$27:$AJ$46,0),FALSE)*1000,""),"")</f>
        <v/>
      </c>
    </row>
    <row r="914" spans="14:55" x14ac:dyDescent="0.25">
      <c r="N914" s="56">
        <f t="shared" si="344"/>
        <v>0</v>
      </c>
      <c r="O914" s="57">
        <f t="shared" si="345"/>
        <v>0</v>
      </c>
      <c r="P914" s="57">
        <f ca="1">IFERROR(IF(ISBLANK(H914),SUMIFS($AC:$AC,$V:$V,V914,$W:$W,W914,$X:$X,X914,$Y:$Y,Y914)*J914/(1-J914)*VLOOKUP(_xlfn.CONCAT(C914,D914,E914,TIME!$M$12,Z914),HIS_SALES!$B$2:$W$4859,20,FALSE),AC914*J914/(1-J914)),0)</f>
        <v>0</v>
      </c>
      <c r="Q914" s="541" t="str">
        <f t="shared" si="346"/>
        <v/>
      </c>
      <c r="R914" s="346" t="str">
        <f t="shared" si="347"/>
        <v>00000</v>
      </c>
      <c r="S914" s="344">
        <f t="shared" si="348"/>
        <v>0</v>
      </c>
      <c r="T914" s="345" t="str">
        <f t="shared" si="361"/>
        <v>000</v>
      </c>
      <c r="U914" s="345">
        <f t="shared" si="349"/>
        <v>0</v>
      </c>
      <c r="V914" s="345">
        <f t="shared" si="350"/>
        <v>0</v>
      </c>
      <c r="W914" s="345">
        <f t="shared" si="351"/>
        <v>0</v>
      </c>
      <c r="X914" s="345">
        <f t="shared" si="352"/>
        <v>0</v>
      </c>
      <c r="Y914" s="345">
        <f t="shared" si="353"/>
        <v>0</v>
      </c>
      <c r="Z914" s="345">
        <f>IF(Q914&lt;&gt;"",VLOOKUP(Y914,TIME!$R$21:$V$24,MATCH(FC_DATA!Q914,TIME!$R$20:$V$20,0),FALSE),H914)</f>
        <v>0</v>
      </c>
      <c r="AA914" s="345" t="str">
        <f>IFERROR(VLOOKUP(X914&amp;Z914,TIME!$A$12:$D$71,4,FALSE),"")</f>
        <v/>
      </c>
      <c r="AB914" s="592">
        <f t="shared" ca="1" si="354"/>
        <v>0</v>
      </c>
      <c r="AC914" s="593" t="e">
        <f ca="1">IF(ISBLANK(H914)=FALSE,IF(D914="BRAND.com",I914,IF(ISNA(VLOOKUP(_xlfn.CONCAT(X914,Z914),TIME!$M$40:$M$42,1,FALSE)),I914,VLOOKUP(_xlfn.CONCAT(D914,G914,H914),M_BUSAREA_FC!$AF$5:$AJ$10,5,FALSE)*HLOOKUP(_xlfn.CONCAT(F914,H914),ST_OVERVIEW!$G$99:$I$130,MATCH(_xlfn.CONCAT(D914,E914),ST_OVERVIEW!$F$99:$F$130,0),FALSE))),IF(D914="BRAND.com",VLOOKUP(_xlfn.CONCAT(C914,D914,E914,TIME!$F$1,Z914),HIS_SALES!$B$2:$V$4859,19,FALSE)*I914,VLOOKUP(_xlfn.CONCAT(D914,F914,G914),Q_BUSAREA_FC!$AE$5:$AI$12,5,FALSE)*HLOOKUP(_xlfn.CONCAT(FC_DATA!F914,FC_DATA!G914),LT_OVERVIEW!$I$99:$M$130,MATCH(_xlfn.CONCAT(D914,FC_DATA!E914),LT_OVERVIEW!$H$99:$H$130,0),FALSE)*IFERROR(VLOOKUP(_xlfn.CONCAT(C914,D914,E914,TIME!$F$1,Z914),HIS_SALES!$B$2:$V$4859,19,FALSE),0)))</f>
        <v>#N/A</v>
      </c>
      <c r="AD914" s="341">
        <f t="shared" ca="1" si="355"/>
        <v>0</v>
      </c>
      <c r="AE914" s="363" t="str">
        <f t="shared" si="356"/>
        <v/>
      </c>
      <c r="AF914" s="342" t="str">
        <f t="shared" si="357"/>
        <v/>
      </c>
      <c r="AG914" s="411" t="e">
        <f ca="1">VLOOKUP(_xlfn.CONCAT(U914,V914,W914,VLOOKUP(X914&amp;Y914,TIME!$L$27:$O$34,4,FALSE),Y914),HIS_SALES!$A$2:$R$5093,18,FALSE)</f>
        <v>#N/A</v>
      </c>
      <c r="AH914" s="412" t="e">
        <f ca="1">IFERROR(IF(AND(V914=V913,W914=W913),0.5*(AB914+AB913)*AG914,(VLOOKUP(_xlfn.CONCAT(U914,V914,W914,X914,VLOOKUP(Z914,TIME!$S$28:$T$39,2,FALSE)),FC_DATA!$R$2:$AB$5000,MATCH("GS_I_M",FC_DATA!$R$1:$AB$1,0),FALSE)+FC_DATA!AB914)*0.5*FC_DATA!AG914),NA())</f>
        <v>#N/A</v>
      </c>
      <c r="AI914" s="491" t="e">
        <f ca="1">IF(V914="PARTNER.com",AH914,IF(AND(V914=V913,W914=W913),(1-AVERAGE(AD913,AD914))*AH914,(1-AVERAGE(AD914,VLOOKUP(_xlfn.CONCAT(U914,V914,W914,X914,M_BRAND_FC!$F$6),FC_DATA!$R$2:$AD$5000,MATCH("DISCOUNT_%_M",FC_DATA!$R$1:$AD$1,0),FALSE)))*AH914))</f>
        <v>#N/A</v>
      </c>
      <c r="AJ914" s="412" t="str">
        <f t="shared" ca="1" si="358"/>
        <v/>
      </c>
      <c r="AK914" s="413" t="str">
        <f>IFERROR(AE914/(Q_BRAND_FC!$T$24+1),"")</f>
        <v/>
      </c>
      <c r="AL914" s="88" t="str">
        <f t="shared" ca="1" si="359"/>
        <v/>
      </c>
      <c r="AM914" s="414" t="str">
        <f t="shared" ca="1" si="360"/>
        <v/>
      </c>
      <c r="AN914" s="58">
        <f>IFERROR(IF($V914="BRAND.com",HLOOKUP($X914&amp;$Z914,NWC_FC_NOOS!$C$4:$Q$23,MATCH(W914,NWC_FC_NOOS!$B$4:$B$23,0),FALSE),0),0)</f>
        <v>0</v>
      </c>
      <c r="AO914" s="57">
        <f>IFERROR(IF($V914="BRAND.com",HLOOKUP($X914&amp;$Z914,NWC_FC_NOOS!$T$4:$AH$23,MATCH(W914,NWC_FC_NOOS!$S$4:$S$23,0),FALSE),0),0)</f>
        <v>0</v>
      </c>
      <c r="AP914" s="57">
        <f>IFERROR(IF($V914="BRAND.com",HLOOKUP($X914&amp;$Z914,NWC_FC_NOOS!$C$50:$U$69,MATCH(W914,NWC_FC_NOOS!$B$50:$B$69,0),FALSE),0),0)</f>
        <v>0</v>
      </c>
      <c r="AQ914" s="58">
        <f>IFERROR(IF($V914="BRAND.com",HLOOKUP($X914&amp;$Z914,'NWC_FC_NON-NOOS'!$C$4:$Q$23,MATCH(W914,'NWC_FC_NON-NOOS'!$B$4:$B$23,0),FALSE),0),0)</f>
        <v>0</v>
      </c>
      <c r="AR914" s="57">
        <f>IFERROR(IF($V914="BRAND.com",HLOOKUP($X914&amp;$Z914,'NWC_FC_NON-NOOS'!$T$4:$AH$23,MATCH(W914,'NWC_FC_NON-NOOS'!$S$4:$S$23,0),FALSE),0),0)</f>
        <v>0</v>
      </c>
      <c r="AS914" s="57">
        <f>IFERROR(IF($V914="BRAND.com",HLOOKUP($X914&amp;$Z914,'NWC_FC_NON-NOOS'!$C$50:$U$69,MATCH(W914,'NWC_FC_NON-NOOS'!$B$50:$B$69,0),FALSE),0),0)</f>
        <v>0</v>
      </c>
      <c r="AT914" s="57">
        <f t="shared" si="362"/>
        <v>0</v>
      </c>
      <c r="AU914" s="57">
        <f t="shared" si="363"/>
        <v>0</v>
      </c>
      <c r="AV914" s="58">
        <f>IFERROR(IF($V914="BRAND.com",HLOOKUP($X914&amp;$Z914,PLANNING_FC!$BB$27:$BP$46,MATCH($W914,PLANNING_FC!$BA$27:$BA$46,0),FALSE),0),0)</f>
        <v>0</v>
      </c>
      <c r="AW914" s="58">
        <f>IFERROR(IF($V914="BRAND.com",HLOOKUP($X914&amp;$Z914,PLANNING_FC!$BB$4:$BP$23,MATCH($W914,PLANNING_FC!$BA$4:$BA$23,0),FALSE),0),0)</f>
        <v>0</v>
      </c>
      <c r="AX914" s="58">
        <f>IFERROR(IF($V914="BRAND.com",HLOOKUP($X914&amp;$Z914,PLANNING_FC!$T$27:$AH$46,MATCH($W914,PLANNING_FC!$B$27:$B$46,0),FALSE),0),0)</f>
        <v>0</v>
      </c>
      <c r="AY914" s="58">
        <f>IFERROR(IF($V914="BRAND.com",HLOOKUP($X914&amp;$Z914,PLANNING_FC!$T$4:$AH$23,MATCH($W914,PLANNING_FC!$B$4:$B$23,0),FALSE),0),0)</f>
        <v>0</v>
      </c>
      <c r="AZ914" s="58">
        <f>IFERROR(IF($V914="BRAND.com",HLOOKUP($X914&amp;$Z914,PLANNING_FC!$DA$27:$DO$46,MATCH($W914,PLANNING_FC!$CZ$27:$CZ$46,0),FALSE),0),0)</f>
        <v>0</v>
      </c>
      <c r="BA914" s="58">
        <f>IFERROR(IF($V914="BRAND.com",HLOOKUP($X914&amp;$Z914,PLANNING_FC!$DA$4:$DO$23,MATCH($W914,PLANNING_FC!$CZ$4:$CZ$23,0),FALSE),0),0)</f>
        <v>0</v>
      </c>
      <c r="BB914" s="883" t="str">
        <f>IF(V914="BRAND.com",IFERROR(HLOOKUP(X914&amp;Z914,PLANNING_FC!$AK$4:$AY$23,MATCH(W914,PLANNING_FC!$AJ$4:$AJ$23,0),FALSE)*1000,""),"")</f>
        <v/>
      </c>
      <c r="BC914" s="883" t="str">
        <f>IF(V914="BRAND.com",IFERROR(HLOOKUP(X914&amp;Z914,PLANNING_FC!$AK$27:$AY$46,MATCH(W914,PLANNING_FC!$AJ$27:$AJ$46,0),FALSE)*1000,""),"")</f>
        <v/>
      </c>
    </row>
    <row r="915" spans="14:55" x14ac:dyDescent="0.25">
      <c r="N915" s="56">
        <f t="shared" si="344"/>
        <v>0</v>
      </c>
      <c r="O915" s="57">
        <f t="shared" si="345"/>
        <v>0</v>
      </c>
      <c r="P915" s="57">
        <f ca="1">IFERROR(IF(ISBLANK(H915),SUMIFS($AC:$AC,$V:$V,V915,$W:$W,W915,$X:$X,X915,$Y:$Y,Y915)*J915/(1-J915)*VLOOKUP(_xlfn.CONCAT(C915,D915,E915,TIME!$M$12,Z915),HIS_SALES!$B$2:$W$4859,20,FALSE),AC915*J915/(1-J915)),0)</f>
        <v>0</v>
      </c>
      <c r="Q915" s="541" t="str">
        <f t="shared" si="346"/>
        <v/>
      </c>
      <c r="R915" s="346" t="str">
        <f t="shared" si="347"/>
        <v>00000</v>
      </c>
      <c r="S915" s="344">
        <f t="shared" si="348"/>
        <v>0</v>
      </c>
      <c r="T915" s="345" t="str">
        <f t="shared" si="361"/>
        <v>000</v>
      </c>
      <c r="U915" s="345">
        <f t="shared" si="349"/>
        <v>0</v>
      </c>
      <c r="V915" s="345">
        <f t="shared" si="350"/>
        <v>0</v>
      </c>
      <c r="W915" s="345">
        <f t="shared" si="351"/>
        <v>0</v>
      </c>
      <c r="X915" s="345">
        <f t="shared" si="352"/>
        <v>0</v>
      </c>
      <c r="Y915" s="345">
        <f t="shared" si="353"/>
        <v>0</v>
      </c>
      <c r="Z915" s="345">
        <f>IF(Q915&lt;&gt;"",VLOOKUP(Y915,TIME!$R$21:$V$24,MATCH(FC_DATA!Q915,TIME!$R$20:$V$20,0),FALSE),H915)</f>
        <v>0</v>
      </c>
      <c r="AA915" s="345" t="str">
        <f>IFERROR(VLOOKUP(X915&amp;Z915,TIME!$A$12:$D$71,4,FALSE),"")</f>
        <v/>
      </c>
      <c r="AB915" s="592">
        <f t="shared" ca="1" si="354"/>
        <v>0</v>
      </c>
      <c r="AC915" s="593" t="e">
        <f ca="1">IF(ISBLANK(H915)=FALSE,IF(D915="BRAND.com",I915,IF(ISNA(VLOOKUP(_xlfn.CONCAT(X915,Z915),TIME!$M$40:$M$42,1,FALSE)),I915,VLOOKUP(_xlfn.CONCAT(D915,G915,H915),M_BUSAREA_FC!$AF$5:$AJ$10,5,FALSE)*HLOOKUP(_xlfn.CONCAT(F915,H915),ST_OVERVIEW!$G$99:$I$130,MATCH(_xlfn.CONCAT(D915,E915),ST_OVERVIEW!$F$99:$F$130,0),FALSE))),IF(D915="BRAND.com",VLOOKUP(_xlfn.CONCAT(C915,D915,E915,TIME!$F$1,Z915),HIS_SALES!$B$2:$V$4859,19,FALSE)*I915,VLOOKUP(_xlfn.CONCAT(D915,F915,G915),Q_BUSAREA_FC!$AE$5:$AI$12,5,FALSE)*HLOOKUP(_xlfn.CONCAT(FC_DATA!F915,FC_DATA!G915),LT_OVERVIEW!$I$99:$M$130,MATCH(_xlfn.CONCAT(D915,FC_DATA!E915),LT_OVERVIEW!$H$99:$H$130,0),FALSE)*IFERROR(VLOOKUP(_xlfn.CONCAT(C915,D915,E915,TIME!$F$1,Z915),HIS_SALES!$B$2:$V$4859,19,FALSE),0)))</f>
        <v>#N/A</v>
      </c>
      <c r="AD915" s="341">
        <f t="shared" ca="1" si="355"/>
        <v>0</v>
      </c>
      <c r="AE915" s="363" t="str">
        <f t="shared" si="356"/>
        <v/>
      </c>
      <c r="AF915" s="342" t="str">
        <f t="shared" si="357"/>
        <v/>
      </c>
      <c r="AG915" s="411" t="e">
        <f ca="1">VLOOKUP(_xlfn.CONCAT(U915,V915,W915,VLOOKUP(X915&amp;Y915,TIME!$L$27:$O$34,4,FALSE),Y915),HIS_SALES!$A$2:$R$5093,18,FALSE)</f>
        <v>#N/A</v>
      </c>
      <c r="AH915" s="412" t="e">
        <f ca="1">IFERROR(IF(AND(V915=V914,W915=W914),0.5*(AB915+AB914)*AG915,(VLOOKUP(_xlfn.CONCAT(U915,V915,W915,X915,VLOOKUP(Z915,TIME!$S$28:$T$39,2,FALSE)),FC_DATA!$R$2:$AB$5000,MATCH("GS_I_M",FC_DATA!$R$1:$AB$1,0),FALSE)+FC_DATA!AB915)*0.5*FC_DATA!AG915),NA())</f>
        <v>#N/A</v>
      </c>
      <c r="AI915" s="491" t="e">
        <f ca="1">IF(V915="PARTNER.com",AH915,IF(AND(V915=V914,W915=W914),(1-AVERAGE(AD914,AD915))*AH915,(1-AVERAGE(AD915,VLOOKUP(_xlfn.CONCAT(U915,V915,W915,X915,M_BRAND_FC!$F$6),FC_DATA!$R$2:$AD$5000,MATCH("DISCOUNT_%_M",FC_DATA!$R$1:$AD$1,0),FALSE)))*AH915))</f>
        <v>#N/A</v>
      </c>
      <c r="AJ915" s="412" t="str">
        <f t="shared" ca="1" si="358"/>
        <v/>
      </c>
      <c r="AK915" s="413" t="str">
        <f>IFERROR(AE915/(Q_BRAND_FC!$T$24+1),"")</f>
        <v/>
      </c>
      <c r="AL915" s="88" t="str">
        <f t="shared" ca="1" si="359"/>
        <v/>
      </c>
      <c r="AM915" s="414" t="str">
        <f t="shared" ca="1" si="360"/>
        <v/>
      </c>
      <c r="AN915" s="58">
        <f>IFERROR(IF($V915="BRAND.com",HLOOKUP($X915&amp;$Z915,NWC_FC_NOOS!$C$4:$Q$23,MATCH(W915,NWC_FC_NOOS!$B$4:$B$23,0),FALSE),0),0)</f>
        <v>0</v>
      </c>
      <c r="AO915" s="57">
        <f>IFERROR(IF($V915="BRAND.com",HLOOKUP($X915&amp;$Z915,NWC_FC_NOOS!$T$4:$AH$23,MATCH(W915,NWC_FC_NOOS!$S$4:$S$23,0),FALSE),0),0)</f>
        <v>0</v>
      </c>
      <c r="AP915" s="57">
        <f>IFERROR(IF($V915="BRAND.com",HLOOKUP($X915&amp;$Z915,NWC_FC_NOOS!$C$50:$U$69,MATCH(W915,NWC_FC_NOOS!$B$50:$B$69,0),FALSE),0),0)</f>
        <v>0</v>
      </c>
      <c r="AQ915" s="58">
        <f>IFERROR(IF($V915="BRAND.com",HLOOKUP($X915&amp;$Z915,'NWC_FC_NON-NOOS'!$C$4:$Q$23,MATCH(W915,'NWC_FC_NON-NOOS'!$B$4:$B$23,0),FALSE),0),0)</f>
        <v>0</v>
      </c>
      <c r="AR915" s="57">
        <f>IFERROR(IF($V915="BRAND.com",HLOOKUP($X915&amp;$Z915,'NWC_FC_NON-NOOS'!$T$4:$AH$23,MATCH(W915,'NWC_FC_NON-NOOS'!$S$4:$S$23,0),FALSE),0),0)</f>
        <v>0</v>
      </c>
      <c r="AS915" s="57">
        <f>IFERROR(IF($V915="BRAND.com",HLOOKUP($X915&amp;$Z915,'NWC_FC_NON-NOOS'!$C$50:$U$69,MATCH(W915,'NWC_FC_NON-NOOS'!$B$50:$B$69,0),FALSE),0),0)</f>
        <v>0</v>
      </c>
      <c r="AT915" s="57">
        <f t="shared" si="362"/>
        <v>0</v>
      </c>
      <c r="AU915" s="57">
        <f t="shared" si="363"/>
        <v>0</v>
      </c>
      <c r="AV915" s="58">
        <f>IFERROR(IF($V915="BRAND.com",HLOOKUP($X915&amp;$Z915,PLANNING_FC!$BB$27:$BP$46,MATCH($W915,PLANNING_FC!$BA$27:$BA$46,0),FALSE),0),0)</f>
        <v>0</v>
      </c>
      <c r="AW915" s="58">
        <f>IFERROR(IF($V915="BRAND.com",HLOOKUP($X915&amp;$Z915,PLANNING_FC!$BB$4:$BP$23,MATCH($W915,PLANNING_FC!$BA$4:$BA$23,0),FALSE),0),0)</f>
        <v>0</v>
      </c>
      <c r="AX915" s="58">
        <f>IFERROR(IF($V915="BRAND.com",HLOOKUP($X915&amp;$Z915,PLANNING_FC!$T$27:$AH$46,MATCH($W915,PLANNING_FC!$B$27:$B$46,0),FALSE),0),0)</f>
        <v>0</v>
      </c>
      <c r="AY915" s="58">
        <f>IFERROR(IF($V915="BRAND.com",HLOOKUP($X915&amp;$Z915,PLANNING_FC!$T$4:$AH$23,MATCH($W915,PLANNING_FC!$B$4:$B$23,0),FALSE),0),0)</f>
        <v>0</v>
      </c>
      <c r="AZ915" s="58">
        <f>IFERROR(IF($V915="BRAND.com",HLOOKUP($X915&amp;$Z915,PLANNING_FC!$DA$27:$DO$46,MATCH($W915,PLANNING_FC!$CZ$27:$CZ$46,0),FALSE),0),0)</f>
        <v>0</v>
      </c>
      <c r="BA915" s="58">
        <f>IFERROR(IF($V915="BRAND.com",HLOOKUP($X915&amp;$Z915,PLANNING_FC!$DA$4:$DO$23,MATCH($W915,PLANNING_FC!$CZ$4:$CZ$23,0),FALSE),0),0)</f>
        <v>0</v>
      </c>
      <c r="BB915" s="883" t="str">
        <f>IF(V915="BRAND.com",IFERROR(HLOOKUP(X915&amp;Z915,PLANNING_FC!$AK$4:$AY$23,MATCH(W915,PLANNING_FC!$AJ$4:$AJ$23,0),FALSE)*1000,""),"")</f>
        <v/>
      </c>
      <c r="BC915" s="883" t="str">
        <f>IF(V915="BRAND.com",IFERROR(HLOOKUP(X915&amp;Z915,PLANNING_FC!$AK$27:$AY$46,MATCH(W915,PLANNING_FC!$AJ$27:$AJ$46,0),FALSE)*1000,""),"")</f>
        <v/>
      </c>
    </row>
    <row r="916" spans="14:55" x14ac:dyDescent="0.25">
      <c r="N916" s="56">
        <f t="shared" si="344"/>
        <v>0</v>
      </c>
      <c r="O916" s="57">
        <f t="shared" si="345"/>
        <v>0</v>
      </c>
      <c r="P916" s="57">
        <f ca="1">IFERROR(IF(ISBLANK(H916),SUMIFS($AC:$AC,$V:$V,V916,$W:$W,W916,$X:$X,X916,$Y:$Y,Y916)*J916/(1-J916)*VLOOKUP(_xlfn.CONCAT(C916,D916,E916,TIME!$M$12,Z916),HIS_SALES!$B$2:$W$4859,20,FALSE),AC916*J916/(1-J916)),0)</f>
        <v>0</v>
      </c>
      <c r="Q916" s="541" t="str">
        <f t="shared" si="346"/>
        <v/>
      </c>
      <c r="R916" s="346" t="str">
        <f t="shared" si="347"/>
        <v>00000</v>
      </c>
      <c r="S916" s="344">
        <f t="shared" si="348"/>
        <v>0</v>
      </c>
      <c r="T916" s="345" t="str">
        <f t="shared" si="361"/>
        <v>000</v>
      </c>
      <c r="U916" s="345">
        <f t="shared" si="349"/>
        <v>0</v>
      </c>
      <c r="V916" s="345">
        <f t="shared" si="350"/>
        <v>0</v>
      </c>
      <c r="W916" s="345">
        <f t="shared" si="351"/>
        <v>0</v>
      </c>
      <c r="X916" s="345">
        <f t="shared" si="352"/>
        <v>0</v>
      </c>
      <c r="Y916" s="345">
        <f t="shared" si="353"/>
        <v>0</v>
      </c>
      <c r="Z916" s="345">
        <f>IF(Q916&lt;&gt;"",VLOOKUP(Y916,TIME!$R$21:$V$24,MATCH(FC_DATA!Q916,TIME!$R$20:$V$20,0),FALSE),H916)</f>
        <v>0</v>
      </c>
      <c r="AA916" s="345" t="str">
        <f>IFERROR(VLOOKUP(X916&amp;Z916,TIME!$A$12:$D$71,4,FALSE),"")</f>
        <v/>
      </c>
      <c r="AB916" s="592">
        <f t="shared" ca="1" si="354"/>
        <v>0</v>
      </c>
      <c r="AC916" s="593" t="e">
        <f ca="1">IF(ISBLANK(H916)=FALSE,IF(D916="BRAND.com",I916,IF(ISNA(VLOOKUP(_xlfn.CONCAT(X916,Z916),TIME!$M$40:$M$42,1,FALSE)),I916,VLOOKUP(_xlfn.CONCAT(D916,G916,H916),M_BUSAREA_FC!$AF$5:$AJ$10,5,FALSE)*HLOOKUP(_xlfn.CONCAT(F916,H916),ST_OVERVIEW!$G$99:$I$130,MATCH(_xlfn.CONCAT(D916,E916),ST_OVERVIEW!$F$99:$F$130,0),FALSE))),IF(D916="BRAND.com",VLOOKUP(_xlfn.CONCAT(C916,D916,E916,TIME!$F$1,Z916),HIS_SALES!$B$2:$V$4859,19,FALSE)*I916,VLOOKUP(_xlfn.CONCAT(D916,F916,G916),Q_BUSAREA_FC!$AE$5:$AI$12,5,FALSE)*HLOOKUP(_xlfn.CONCAT(FC_DATA!F916,FC_DATA!G916),LT_OVERVIEW!$I$99:$M$130,MATCH(_xlfn.CONCAT(D916,FC_DATA!E916),LT_OVERVIEW!$H$99:$H$130,0),FALSE)*IFERROR(VLOOKUP(_xlfn.CONCAT(C916,D916,E916,TIME!$F$1,Z916),HIS_SALES!$B$2:$V$4859,19,FALSE),0)))</f>
        <v>#N/A</v>
      </c>
      <c r="AD916" s="341">
        <f t="shared" ca="1" si="355"/>
        <v>0</v>
      </c>
      <c r="AE916" s="363" t="str">
        <f t="shared" si="356"/>
        <v/>
      </c>
      <c r="AF916" s="342" t="str">
        <f t="shared" si="357"/>
        <v/>
      </c>
      <c r="AG916" s="411" t="e">
        <f ca="1">VLOOKUP(_xlfn.CONCAT(U916,V916,W916,VLOOKUP(X916&amp;Y916,TIME!$L$27:$O$34,4,FALSE),Y916),HIS_SALES!$A$2:$R$5093,18,FALSE)</f>
        <v>#N/A</v>
      </c>
      <c r="AH916" s="412" t="e">
        <f ca="1">IFERROR(IF(AND(V916=V915,W916=W915),0.5*(AB916+AB915)*AG916,(VLOOKUP(_xlfn.CONCAT(U916,V916,W916,X916,VLOOKUP(Z916,TIME!$S$28:$T$39,2,FALSE)),FC_DATA!$R$2:$AB$5000,MATCH("GS_I_M",FC_DATA!$R$1:$AB$1,0),FALSE)+FC_DATA!AB916)*0.5*FC_DATA!AG916),NA())</f>
        <v>#N/A</v>
      </c>
      <c r="AI916" s="491" t="e">
        <f ca="1">IF(V916="PARTNER.com",AH916,IF(AND(V916=V915,W916=W915),(1-AVERAGE(AD915,AD916))*AH916,(1-AVERAGE(AD916,VLOOKUP(_xlfn.CONCAT(U916,V916,W916,X916,M_BRAND_FC!$F$6),FC_DATA!$R$2:$AD$5000,MATCH("DISCOUNT_%_M",FC_DATA!$R$1:$AD$1,0),FALSE)))*AH916))</f>
        <v>#N/A</v>
      </c>
      <c r="AJ916" s="412" t="str">
        <f t="shared" ca="1" si="358"/>
        <v/>
      </c>
      <c r="AK916" s="413" t="str">
        <f>IFERROR(AE916/(Q_BRAND_FC!$T$24+1),"")</f>
        <v/>
      </c>
      <c r="AL916" s="88" t="str">
        <f t="shared" ca="1" si="359"/>
        <v/>
      </c>
      <c r="AM916" s="414" t="str">
        <f t="shared" ca="1" si="360"/>
        <v/>
      </c>
      <c r="AN916" s="58">
        <f>IFERROR(IF($V916="BRAND.com",HLOOKUP($X916&amp;$Z916,NWC_FC_NOOS!$C$4:$Q$23,MATCH(W916,NWC_FC_NOOS!$B$4:$B$23,0),FALSE),0),0)</f>
        <v>0</v>
      </c>
      <c r="AO916" s="57">
        <f>IFERROR(IF($V916="BRAND.com",HLOOKUP($X916&amp;$Z916,NWC_FC_NOOS!$T$4:$AH$23,MATCH(W916,NWC_FC_NOOS!$S$4:$S$23,0),FALSE),0),0)</f>
        <v>0</v>
      </c>
      <c r="AP916" s="57">
        <f>IFERROR(IF($V916="BRAND.com",HLOOKUP($X916&amp;$Z916,NWC_FC_NOOS!$C$50:$U$69,MATCH(W916,NWC_FC_NOOS!$B$50:$B$69,0),FALSE),0),0)</f>
        <v>0</v>
      </c>
      <c r="AQ916" s="58">
        <f>IFERROR(IF($V916="BRAND.com",HLOOKUP($X916&amp;$Z916,'NWC_FC_NON-NOOS'!$C$4:$Q$23,MATCH(W916,'NWC_FC_NON-NOOS'!$B$4:$B$23,0),FALSE),0),0)</f>
        <v>0</v>
      </c>
      <c r="AR916" s="57">
        <f>IFERROR(IF($V916="BRAND.com",HLOOKUP($X916&amp;$Z916,'NWC_FC_NON-NOOS'!$T$4:$AH$23,MATCH(W916,'NWC_FC_NON-NOOS'!$S$4:$S$23,0),FALSE),0),0)</f>
        <v>0</v>
      </c>
      <c r="AS916" s="57">
        <f>IFERROR(IF($V916="BRAND.com",HLOOKUP($X916&amp;$Z916,'NWC_FC_NON-NOOS'!$C$50:$U$69,MATCH(W916,'NWC_FC_NON-NOOS'!$B$50:$B$69,0),FALSE),0),0)</f>
        <v>0</v>
      </c>
      <c r="AT916" s="57">
        <f t="shared" si="362"/>
        <v>0</v>
      </c>
      <c r="AU916" s="57">
        <f t="shared" si="363"/>
        <v>0</v>
      </c>
      <c r="AV916" s="58">
        <f>IFERROR(IF($V916="BRAND.com",HLOOKUP($X916&amp;$Z916,PLANNING_FC!$BB$27:$BP$46,MATCH($W916,PLANNING_FC!$BA$27:$BA$46,0),FALSE),0),0)</f>
        <v>0</v>
      </c>
      <c r="AW916" s="58">
        <f>IFERROR(IF($V916="BRAND.com",HLOOKUP($X916&amp;$Z916,PLANNING_FC!$BB$4:$BP$23,MATCH($W916,PLANNING_FC!$BA$4:$BA$23,0),FALSE),0),0)</f>
        <v>0</v>
      </c>
      <c r="AX916" s="58">
        <f>IFERROR(IF($V916="BRAND.com",HLOOKUP($X916&amp;$Z916,PLANNING_FC!$T$27:$AH$46,MATCH($W916,PLANNING_FC!$B$27:$B$46,0),FALSE),0),0)</f>
        <v>0</v>
      </c>
      <c r="AY916" s="58">
        <f>IFERROR(IF($V916="BRAND.com",HLOOKUP($X916&amp;$Z916,PLANNING_FC!$T$4:$AH$23,MATCH($W916,PLANNING_FC!$B$4:$B$23,0),FALSE),0),0)</f>
        <v>0</v>
      </c>
      <c r="AZ916" s="58">
        <f>IFERROR(IF($V916="BRAND.com",HLOOKUP($X916&amp;$Z916,PLANNING_FC!$DA$27:$DO$46,MATCH($W916,PLANNING_FC!$CZ$27:$CZ$46,0),FALSE),0),0)</f>
        <v>0</v>
      </c>
      <c r="BA916" s="58">
        <f>IFERROR(IF($V916="BRAND.com",HLOOKUP($X916&amp;$Z916,PLANNING_FC!$DA$4:$DO$23,MATCH($W916,PLANNING_FC!$CZ$4:$CZ$23,0),FALSE),0),0)</f>
        <v>0</v>
      </c>
      <c r="BB916" s="883" t="str">
        <f>IF(V916="BRAND.com",IFERROR(HLOOKUP(X916&amp;Z916,PLANNING_FC!$AK$4:$AY$23,MATCH(W916,PLANNING_FC!$AJ$4:$AJ$23,0),FALSE)*1000,""),"")</f>
        <v/>
      </c>
      <c r="BC916" s="883" t="str">
        <f>IF(V916="BRAND.com",IFERROR(HLOOKUP(X916&amp;Z916,PLANNING_FC!$AK$27:$AY$46,MATCH(W916,PLANNING_FC!$AJ$27:$AJ$46,0),FALSE)*1000,""),"")</f>
        <v/>
      </c>
    </row>
    <row r="917" spans="14:55" x14ac:dyDescent="0.25">
      <c r="N917" s="56">
        <f t="shared" si="344"/>
        <v>0</v>
      </c>
      <c r="O917" s="57">
        <f t="shared" si="345"/>
        <v>0</v>
      </c>
      <c r="P917" s="57">
        <f ca="1">IFERROR(IF(ISBLANK(H917),SUMIFS($AC:$AC,$V:$V,V917,$W:$W,W917,$X:$X,X917,$Y:$Y,Y917)*J917/(1-J917)*VLOOKUP(_xlfn.CONCAT(C917,D917,E917,TIME!$M$12,Z917),HIS_SALES!$B$2:$W$4859,20,FALSE),AC917*J917/(1-J917)),0)</f>
        <v>0</v>
      </c>
      <c r="Q917" s="541" t="str">
        <f t="shared" si="346"/>
        <v/>
      </c>
      <c r="R917" s="346" t="str">
        <f t="shared" si="347"/>
        <v>00000</v>
      </c>
      <c r="S917" s="344">
        <f t="shared" si="348"/>
        <v>0</v>
      </c>
      <c r="T917" s="345" t="str">
        <f t="shared" si="361"/>
        <v>000</v>
      </c>
      <c r="U917" s="345">
        <f t="shared" si="349"/>
        <v>0</v>
      </c>
      <c r="V917" s="345">
        <f t="shared" si="350"/>
        <v>0</v>
      </c>
      <c r="W917" s="345">
        <f t="shared" si="351"/>
        <v>0</v>
      </c>
      <c r="X917" s="345">
        <f t="shared" si="352"/>
        <v>0</v>
      </c>
      <c r="Y917" s="345">
        <f t="shared" si="353"/>
        <v>0</v>
      </c>
      <c r="Z917" s="345">
        <f>IF(Q917&lt;&gt;"",VLOOKUP(Y917,TIME!$R$21:$V$24,MATCH(FC_DATA!Q917,TIME!$R$20:$V$20,0),FALSE),H917)</f>
        <v>0</v>
      </c>
      <c r="AA917" s="345" t="str">
        <f>IFERROR(VLOOKUP(X917&amp;Z917,TIME!$A$12:$D$71,4,FALSE),"")</f>
        <v/>
      </c>
      <c r="AB917" s="592">
        <f t="shared" ca="1" si="354"/>
        <v>0</v>
      </c>
      <c r="AC917" s="593" t="e">
        <f ca="1">IF(ISBLANK(H917)=FALSE,IF(D917="BRAND.com",I917,IF(ISNA(VLOOKUP(_xlfn.CONCAT(X917,Z917),TIME!$M$40:$M$42,1,FALSE)),I917,VLOOKUP(_xlfn.CONCAT(D917,G917,H917),M_BUSAREA_FC!$AF$5:$AJ$10,5,FALSE)*HLOOKUP(_xlfn.CONCAT(F917,H917),ST_OVERVIEW!$G$99:$I$130,MATCH(_xlfn.CONCAT(D917,E917),ST_OVERVIEW!$F$99:$F$130,0),FALSE))),IF(D917="BRAND.com",VLOOKUP(_xlfn.CONCAT(C917,D917,E917,TIME!$F$1,Z917),HIS_SALES!$B$2:$V$4859,19,FALSE)*I917,VLOOKUP(_xlfn.CONCAT(D917,F917,G917),Q_BUSAREA_FC!$AE$5:$AI$12,5,FALSE)*HLOOKUP(_xlfn.CONCAT(FC_DATA!F917,FC_DATA!G917),LT_OVERVIEW!$I$99:$M$130,MATCH(_xlfn.CONCAT(D917,FC_DATA!E917),LT_OVERVIEW!$H$99:$H$130,0),FALSE)*IFERROR(VLOOKUP(_xlfn.CONCAT(C917,D917,E917,TIME!$F$1,Z917),HIS_SALES!$B$2:$V$4859,19,FALSE),0)))</f>
        <v>#N/A</v>
      </c>
      <c r="AD917" s="341">
        <f t="shared" ca="1" si="355"/>
        <v>0</v>
      </c>
      <c r="AE917" s="363" t="str">
        <f t="shared" si="356"/>
        <v/>
      </c>
      <c r="AF917" s="342" t="str">
        <f t="shared" si="357"/>
        <v/>
      </c>
      <c r="AG917" s="411" t="e">
        <f ca="1">VLOOKUP(_xlfn.CONCAT(U917,V917,W917,VLOOKUP(X917&amp;Y917,TIME!$L$27:$O$34,4,FALSE),Y917),HIS_SALES!$A$2:$R$5093,18,FALSE)</f>
        <v>#N/A</v>
      </c>
      <c r="AH917" s="412" t="e">
        <f ca="1">IFERROR(IF(AND(V917=V916,W917=W916),0.5*(AB917+AB916)*AG917,(VLOOKUP(_xlfn.CONCAT(U917,V917,W917,X917,VLOOKUP(Z917,TIME!$S$28:$T$39,2,FALSE)),FC_DATA!$R$2:$AB$5000,MATCH("GS_I_M",FC_DATA!$R$1:$AB$1,0),FALSE)+FC_DATA!AB917)*0.5*FC_DATA!AG917),NA())</f>
        <v>#N/A</v>
      </c>
      <c r="AI917" s="491" t="e">
        <f ca="1">IF(V917="PARTNER.com",AH917,IF(AND(V917=V916,W917=W916),(1-AVERAGE(AD916,AD917))*AH917,(1-AVERAGE(AD917,VLOOKUP(_xlfn.CONCAT(U917,V917,W917,X917,M_BRAND_FC!$F$6),FC_DATA!$R$2:$AD$5000,MATCH("DISCOUNT_%_M",FC_DATA!$R$1:$AD$1,0),FALSE)))*AH917))</f>
        <v>#N/A</v>
      </c>
      <c r="AJ917" s="412" t="str">
        <f t="shared" ca="1" si="358"/>
        <v/>
      </c>
      <c r="AK917" s="413" t="str">
        <f>IFERROR(AE917/(Q_BRAND_FC!$T$24+1),"")</f>
        <v/>
      </c>
      <c r="AL917" s="88" t="str">
        <f t="shared" ca="1" si="359"/>
        <v/>
      </c>
      <c r="AM917" s="414" t="str">
        <f t="shared" ca="1" si="360"/>
        <v/>
      </c>
      <c r="AN917" s="58">
        <f>IFERROR(IF($V917="BRAND.com",HLOOKUP($X917&amp;$Z917,NWC_FC_NOOS!$C$4:$Q$23,MATCH(W917,NWC_FC_NOOS!$B$4:$B$23,0),FALSE),0),0)</f>
        <v>0</v>
      </c>
      <c r="AO917" s="57">
        <f>IFERROR(IF($V917="BRAND.com",HLOOKUP($X917&amp;$Z917,NWC_FC_NOOS!$T$4:$AH$23,MATCH(W917,NWC_FC_NOOS!$S$4:$S$23,0),FALSE),0),0)</f>
        <v>0</v>
      </c>
      <c r="AP917" s="57">
        <f>IFERROR(IF($V917="BRAND.com",HLOOKUP($X917&amp;$Z917,NWC_FC_NOOS!$C$50:$U$69,MATCH(W917,NWC_FC_NOOS!$B$50:$B$69,0),FALSE),0),0)</f>
        <v>0</v>
      </c>
      <c r="AQ917" s="58">
        <f>IFERROR(IF($V917="BRAND.com",HLOOKUP($X917&amp;$Z917,'NWC_FC_NON-NOOS'!$C$4:$Q$23,MATCH(W917,'NWC_FC_NON-NOOS'!$B$4:$B$23,0),FALSE),0),0)</f>
        <v>0</v>
      </c>
      <c r="AR917" s="57">
        <f>IFERROR(IF($V917="BRAND.com",HLOOKUP($X917&amp;$Z917,'NWC_FC_NON-NOOS'!$T$4:$AH$23,MATCH(W917,'NWC_FC_NON-NOOS'!$S$4:$S$23,0),FALSE),0),0)</f>
        <v>0</v>
      </c>
      <c r="AS917" s="57">
        <f>IFERROR(IF($V917="BRAND.com",HLOOKUP($X917&amp;$Z917,'NWC_FC_NON-NOOS'!$C$50:$U$69,MATCH(W917,'NWC_FC_NON-NOOS'!$B$50:$B$69,0),FALSE),0),0)</f>
        <v>0</v>
      </c>
      <c r="AT917" s="57">
        <f t="shared" si="362"/>
        <v>0</v>
      </c>
      <c r="AU917" s="57">
        <f t="shared" si="363"/>
        <v>0</v>
      </c>
      <c r="AV917" s="58">
        <f>IFERROR(IF($V917="BRAND.com",HLOOKUP($X917&amp;$Z917,PLANNING_FC!$BB$27:$BP$46,MATCH($W917,PLANNING_FC!$BA$27:$BA$46,0),FALSE),0),0)</f>
        <v>0</v>
      </c>
      <c r="AW917" s="58">
        <f>IFERROR(IF($V917="BRAND.com",HLOOKUP($X917&amp;$Z917,PLANNING_FC!$BB$4:$BP$23,MATCH($W917,PLANNING_FC!$BA$4:$BA$23,0),FALSE),0),0)</f>
        <v>0</v>
      </c>
      <c r="AX917" s="58">
        <f>IFERROR(IF($V917="BRAND.com",HLOOKUP($X917&amp;$Z917,PLANNING_FC!$T$27:$AH$46,MATCH($W917,PLANNING_FC!$B$27:$B$46,0),FALSE),0),0)</f>
        <v>0</v>
      </c>
      <c r="AY917" s="58">
        <f>IFERROR(IF($V917="BRAND.com",HLOOKUP($X917&amp;$Z917,PLANNING_FC!$T$4:$AH$23,MATCH($W917,PLANNING_FC!$B$4:$B$23,0),FALSE),0),0)</f>
        <v>0</v>
      </c>
      <c r="AZ917" s="58">
        <f>IFERROR(IF($V917="BRAND.com",HLOOKUP($X917&amp;$Z917,PLANNING_FC!$DA$27:$DO$46,MATCH($W917,PLANNING_FC!$CZ$27:$CZ$46,0),FALSE),0),0)</f>
        <v>0</v>
      </c>
      <c r="BA917" s="58">
        <f>IFERROR(IF($V917="BRAND.com",HLOOKUP($X917&amp;$Z917,PLANNING_FC!$DA$4:$DO$23,MATCH($W917,PLANNING_FC!$CZ$4:$CZ$23,0),FALSE),0),0)</f>
        <v>0</v>
      </c>
      <c r="BB917" s="883" t="str">
        <f>IF(V917="BRAND.com",IFERROR(HLOOKUP(X917&amp;Z917,PLANNING_FC!$AK$4:$AY$23,MATCH(W917,PLANNING_FC!$AJ$4:$AJ$23,0),FALSE)*1000,""),"")</f>
        <v/>
      </c>
      <c r="BC917" s="883" t="str">
        <f>IF(V917="BRAND.com",IFERROR(HLOOKUP(X917&amp;Z917,PLANNING_FC!$AK$27:$AY$46,MATCH(W917,PLANNING_FC!$AJ$27:$AJ$46,0),FALSE)*1000,""),"")</f>
        <v/>
      </c>
    </row>
    <row r="918" spans="14:55" x14ac:dyDescent="0.25">
      <c r="N918" s="56">
        <f t="shared" si="344"/>
        <v>0</v>
      </c>
      <c r="O918" s="57">
        <f t="shared" si="345"/>
        <v>0</v>
      </c>
      <c r="P918" s="57">
        <f ca="1">IFERROR(IF(ISBLANK(H918),SUMIFS($AC:$AC,$V:$V,V918,$W:$W,W918,$X:$X,X918,$Y:$Y,Y918)*J918/(1-J918)*VLOOKUP(_xlfn.CONCAT(C918,D918,E918,TIME!$M$12,Z918),HIS_SALES!$B$2:$W$4859,20,FALSE),AC918*J918/(1-J918)),0)</f>
        <v>0</v>
      </c>
      <c r="Q918" s="541" t="str">
        <f t="shared" si="346"/>
        <v/>
      </c>
      <c r="R918" s="346" t="str">
        <f t="shared" si="347"/>
        <v>00000</v>
      </c>
      <c r="S918" s="344">
        <f t="shared" si="348"/>
        <v>0</v>
      </c>
      <c r="T918" s="345" t="str">
        <f t="shared" si="361"/>
        <v>000</v>
      </c>
      <c r="U918" s="345">
        <f t="shared" si="349"/>
        <v>0</v>
      </c>
      <c r="V918" s="345">
        <f t="shared" si="350"/>
        <v>0</v>
      </c>
      <c r="W918" s="345">
        <f t="shared" si="351"/>
        <v>0</v>
      </c>
      <c r="X918" s="345">
        <f t="shared" si="352"/>
        <v>0</v>
      </c>
      <c r="Y918" s="345">
        <f t="shared" si="353"/>
        <v>0</v>
      </c>
      <c r="Z918" s="345">
        <f>IF(Q918&lt;&gt;"",VLOOKUP(Y918,TIME!$R$21:$V$24,MATCH(FC_DATA!Q918,TIME!$R$20:$V$20,0),FALSE),H918)</f>
        <v>0</v>
      </c>
      <c r="AA918" s="345" t="str">
        <f>IFERROR(VLOOKUP(X918&amp;Z918,TIME!$A$12:$D$71,4,FALSE),"")</f>
        <v/>
      </c>
      <c r="AB918" s="592">
        <f t="shared" ca="1" si="354"/>
        <v>0</v>
      </c>
      <c r="AC918" s="593" t="e">
        <f ca="1">IF(ISBLANK(H918)=FALSE,IF(D918="BRAND.com",I918,IF(ISNA(VLOOKUP(_xlfn.CONCAT(X918,Z918),TIME!$M$40:$M$42,1,FALSE)),I918,VLOOKUP(_xlfn.CONCAT(D918,G918,H918),M_BUSAREA_FC!$AF$5:$AJ$10,5,FALSE)*HLOOKUP(_xlfn.CONCAT(F918,H918),ST_OVERVIEW!$G$99:$I$130,MATCH(_xlfn.CONCAT(D918,E918),ST_OVERVIEW!$F$99:$F$130,0),FALSE))),IF(D918="BRAND.com",VLOOKUP(_xlfn.CONCAT(C918,D918,E918,TIME!$F$1,Z918),HIS_SALES!$B$2:$V$4859,19,FALSE)*I918,VLOOKUP(_xlfn.CONCAT(D918,F918,G918),Q_BUSAREA_FC!$AE$5:$AI$12,5,FALSE)*HLOOKUP(_xlfn.CONCAT(FC_DATA!F918,FC_DATA!G918),LT_OVERVIEW!$I$99:$M$130,MATCH(_xlfn.CONCAT(D918,FC_DATA!E918),LT_OVERVIEW!$H$99:$H$130,0),FALSE)*IFERROR(VLOOKUP(_xlfn.CONCAT(C918,D918,E918,TIME!$F$1,Z918),HIS_SALES!$B$2:$V$4859,19,FALSE),0)))</f>
        <v>#N/A</v>
      </c>
      <c r="AD918" s="341">
        <f t="shared" ca="1" si="355"/>
        <v>0</v>
      </c>
      <c r="AE918" s="363" t="str">
        <f t="shared" si="356"/>
        <v/>
      </c>
      <c r="AF918" s="342" t="str">
        <f t="shared" si="357"/>
        <v/>
      </c>
      <c r="AG918" s="411" t="e">
        <f ca="1">VLOOKUP(_xlfn.CONCAT(U918,V918,W918,VLOOKUP(X918&amp;Y918,TIME!$L$27:$O$34,4,FALSE),Y918),HIS_SALES!$A$2:$R$5093,18,FALSE)</f>
        <v>#N/A</v>
      </c>
      <c r="AH918" s="412" t="e">
        <f ca="1">IFERROR(IF(AND(V918=V917,W918=W917),0.5*(AB918+AB917)*AG918,(VLOOKUP(_xlfn.CONCAT(U918,V918,W918,X918,VLOOKUP(Z918,TIME!$S$28:$T$39,2,FALSE)),FC_DATA!$R$2:$AB$5000,MATCH("GS_I_M",FC_DATA!$R$1:$AB$1,0),FALSE)+FC_DATA!AB918)*0.5*FC_DATA!AG918),NA())</f>
        <v>#N/A</v>
      </c>
      <c r="AI918" s="491" t="e">
        <f ca="1">IF(V918="PARTNER.com",AH918,IF(AND(V918=V917,W918=W917),(1-AVERAGE(AD917,AD918))*AH918,(1-AVERAGE(AD918,VLOOKUP(_xlfn.CONCAT(U918,V918,W918,X918,M_BRAND_FC!$F$6),FC_DATA!$R$2:$AD$5000,MATCH("DISCOUNT_%_M",FC_DATA!$R$1:$AD$1,0),FALSE)))*AH918))</f>
        <v>#N/A</v>
      </c>
      <c r="AJ918" s="412" t="str">
        <f t="shared" ca="1" si="358"/>
        <v/>
      </c>
      <c r="AK918" s="413" t="str">
        <f>IFERROR(AE918/(Q_BRAND_FC!$T$24+1),"")</f>
        <v/>
      </c>
      <c r="AL918" s="88" t="str">
        <f t="shared" ca="1" si="359"/>
        <v/>
      </c>
      <c r="AM918" s="414" t="str">
        <f t="shared" ca="1" si="360"/>
        <v/>
      </c>
      <c r="AN918" s="58">
        <f>IFERROR(IF($V918="BRAND.com",HLOOKUP($X918&amp;$Z918,NWC_FC_NOOS!$C$4:$Q$23,MATCH(W918,NWC_FC_NOOS!$B$4:$B$23,0),FALSE),0),0)</f>
        <v>0</v>
      </c>
      <c r="AO918" s="57">
        <f>IFERROR(IF($V918="BRAND.com",HLOOKUP($X918&amp;$Z918,NWC_FC_NOOS!$T$4:$AH$23,MATCH(W918,NWC_FC_NOOS!$S$4:$S$23,0),FALSE),0),0)</f>
        <v>0</v>
      </c>
      <c r="AP918" s="57">
        <f>IFERROR(IF($V918="BRAND.com",HLOOKUP($X918&amp;$Z918,NWC_FC_NOOS!$C$50:$U$69,MATCH(W918,NWC_FC_NOOS!$B$50:$B$69,0),FALSE),0),0)</f>
        <v>0</v>
      </c>
      <c r="AQ918" s="58">
        <f>IFERROR(IF($V918="BRAND.com",HLOOKUP($X918&amp;$Z918,'NWC_FC_NON-NOOS'!$C$4:$Q$23,MATCH(W918,'NWC_FC_NON-NOOS'!$B$4:$B$23,0),FALSE),0),0)</f>
        <v>0</v>
      </c>
      <c r="AR918" s="57">
        <f>IFERROR(IF($V918="BRAND.com",HLOOKUP($X918&amp;$Z918,'NWC_FC_NON-NOOS'!$T$4:$AH$23,MATCH(W918,'NWC_FC_NON-NOOS'!$S$4:$S$23,0),FALSE),0),0)</f>
        <v>0</v>
      </c>
      <c r="AS918" s="57">
        <f>IFERROR(IF($V918="BRAND.com",HLOOKUP($X918&amp;$Z918,'NWC_FC_NON-NOOS'!$C$50:$U$69,MATCH(W918,'NWC_FC_NON-NOOS'!$B$50:$B$69,0),FALSE),0),0)</f>
        <v>0</v>
      </c>
      <c r="AT918" s="57">
        <f t="shared" si="362"/>
        <v>0</v>
      </c>
      <c r="AU918" s="57">
        <f t="shared" si="363"/>
        <v>0</v>
      </c>
      <c r="AV918" s="58">
        <f>IFERROR(IF($V918="BRAND.com",HLOOKUP($X918&amp;$Z918,PLANNING_FC!$BB$27:$BP$46,MATCH($W918,PLANNING_FC!$BA$27:$BA$46,0),FALSE),0),0)</f>
        <v>0</v>
      </c>
      <c r="AW918" s="58">
        <f>IFERROR(IF($V918="BRAND.com",HLOOKUP($X918&amp;$Z918,PLANNING_FC!$BB$4:$BP$23,MATCH($W918,PLANNING_FC!$BA$4:$BA$23,0),FALSE),0),0)</f>
        <v>0</v>
      </c>
      <c r="AX918" s="58">
        <f>IFERROR(IF($V918="BRAND.com",HLOOKUP($X918&amp;$Z918,PLANNING_FC!$T$27:$AH$46,MATCH($W918,PLANNING_FC!$B$27:$B$46,0),FALSE),0),0)</f>
        <v>0</v>
      </c>
      <c r="AY918" s="58">
        <f>IFERROR(IF($V918="BRAND.com",HLOOKUP($X918&amp;$Z918,PLANNING_FC!$T$4:$AH$23,MATCH($W918,PLANNING_FC!$B$4:$B$23,0),FALSE),0),0)</f>
        <v>0</v>
      </c>
      <c r="AZ918" s="58">
        <f>IFERROR(IF($V918="BRAND.com",HLOOKUP($X918&amp;$Z918,PLANNING_FC!$DA$27:$DO$46,MATCH($W918,PLANNING_FC!$CZ$27:$CZ$46,0),FALSE),0),0)</f>
        <v>0</v>
      </c>
      <c r="BA918" s="58">
        <f>IFERROR(IF($V918="BRAND.com",HLOOKUP($X918&amp;$Z918,PLANNING_FC!$DA$4:$DO$23,MATCH($W918,PLANNING_FC!$CZ$4:$CZ$23,0),FALSE),0),0)</f>
        <v>0</v>
      </c>
      <c r="BB918" s="883" t="str">
        <f>IF(V918="BRAND.com",IFERROR(HLOOKUP(X918&amp;Z918,PLANNING_FC!$AK$4:$AY$23,MATCH(W918,PLANNING_FC!$AJ$4:$AJ$23,0),FALSE)*1000,""),"")</f>
        <v/>
      </c>
      <c r="BC918" s="883" t="str">
        <f>IF(V918="BRAND.com",IFERROR(HLOOKUP(X918&amp;Z918,PLANNING_FC!$AK$27:$AY$46,MATCH(W918,PLANNING_FC!$AJ$27:$AJ$46,0),FALSE)*1000,""),"")</f>
        <v/>
      </c>
    </row>
    <row r="919" spans="14:55" x14ac:dyDescent="0.25">
      <c r="N919" s="56">
        <f t="shared" si="344"/>
        <v>0</v>
      </c>
      <c r="O919" s="57">
        <f t="shared" si="345"/>
        <v>0</v>
      </c>
      <c r="P919" s="57">
        <f ca="1">IFERROR(IF(ISBLANK(H919),SUMIFS($AC:$AC,$V:$V,V919,$W:$W,W919,$X:$X,X919,$Y:$Y,Y919)*J919/(1-J919)*VLOOKUP(_xlfn.CONCAT(C919,D919,E919,TIME!$M$12,Z919),HIS_SALES!$B$2:$W$4859,20,FALSE),AC919*J919/(1-J919)),0)</f>
        <v>0</v>
      </c>
      <c r="Q919" s="541" t="str">
        <f t="shared" si="346"/>
        <v/>
      </c>
      <c r="R919" s="346" t="str">
        <f t="shared" si="347"/>
        <v>00000</v>
      </c>
      <c r="S919" s="344">
        <f t="shared" si="348"/>
        <v>0</v>
      </c>
      <c r="T919" s="345" t="str">
        <f t="shared" si="361"/>
        <v>000</v>
      </c>
      <c r="U919" s="345">
        <f t="shared" si="349"/>
        <v>0</v>
      </c>
      <c r="V919" s="345">
        <f t="shared" si="350"/>
        <v>0</v>
      </c>
      <c r="W919" s="345">
        <f t="shared" si="351"/>
        <v>0</v>
      </c>
      <c r="X919" s="345">
        <f t="shared" si="352"/>
        <v>0</v>
      </c>
      <c r="Y919" s="345">
        <f t="shared" si="353"/>
        <v>0</v>
      </c>
      <c r="Z919" s="345">
        <f>IF(Q919&lt;&gt;"",VLOOKUP(Y919,TIME!$R$21:$V$24,MATCH(FC_DATA!Q919,TIME!$R$20:$V$20,0),FALSE),H919)</f>
        <v>0</v>
      </c>
      <c r="AA919" s="345" t="str">
        <f>IFERROR(VLOOKUP(X919&amp;Z919,TIME!$A$12:$D$71,4,FALSE),"")</f>
        <v/>
      </c>
      <c r="AB919" s="592">
        <f t="shared" ca="1" si="354"/>
        <v>0</v>
      </c>
      <c r="AC919" s="593" t="e">
        <f ca="1">IF(ISBLANK(H919)=FALSE,IF(D919="BRAND.com",I919,IF(ISNA(VLOOKUP(_xlfn.CONCAT(X919,Z919),TIME!$M$40:$M$42,1,FALSE)),I919,VLOOKUP(_xlfn.CONCAT(D919,G919,H919),M_BUSAREA_FC!$AF$5:$AJ$10,5,FALSE)*HLOOKUP(_xlfn.CONCAT(F919,H919),ST_OVERVIEW!$G$99:$I$130,MATCH(_xlfn.CONCAT(D919,E919),ST_OVERVIEW!$F$99:$F$130,0),FALSE))),IF(D919="BRAND.com",VLOOKUP(_xlfn.CONCAT(C919,D919,E919,TIME!$F$1,Z919),HIS_SALES!$B$2:$V$4859,19,FALSE)*I919,VLOOKUP(_xlfn.CONCAT(D919,F919,G919),Q_BUSAREA_FC!$AE$5:$AI$12,5,FALSE)*HLOOKUP(_xlfn.CONCAT(FC_DATA!F919,FC_DATA!G919),LT_OVERVIEW!$I$99:$M$130,MATCH(_xlfn.CONCAT(D919,FC_DATA!E919),LT_OVERVIEW!$H$99:$H$130,0),FALSE)*IFERROR(VLOOKUP(_xlfn.CONCAT(C919,D919,E919,TIME!$F$1,Z919),HIS_SALES!$B$2:$V$4859,19,FALSE),0)))</f>
        <v>#N/A</v>
      </c>
      <c r="AD919" s="341">
        <f t="shared" ca="1" si="355"/>
        <v>0</v>
      </c>
      <c r="AE919" s="363" t="str">
        <f t="shared" si="356"/>
        <v/>
      </c>
      <c r="AF919" s="342" t="str">
        <f t="shared" si="357"/>
        <v/>
      </c>
      <c r="AG919" s="411" t="e">
        <f ca="1">VLOOKUP(_xlfn.CONCAT(U919,V919,W919,VLOOKUP(X919&amp;Y919,TIME!$L$27:$O$34,4,FALSE),Y919),HIS_SALES!$A$2:$R$5093,18,FALSE)</f>
        <v>#N/A</v>
      </c>
      <c r="AH919" s="412" t="e">
        <f ca="1">IFERROR(IF(AND(V919=V918,W919=W918),0.5*(AB919+AB918)*AG919,(VLOOKUP(_xlfn.CONCAT(U919,V919,W919,X919,VLOOKUP(Z919,TIME!$S$28:$T$39,2,FALSE)),FC_DATA!$R$2:$AB$5000,MATCH("GS_I_M",FC_DATA!$R$1:$AB$1,0),FALSE)+FC_DATA!AB919)*0.5*FC_DATA!AG919),NA())</f>
        <v>#N/A</v>
      </c>
      <c r="AI919" s="491" t="e">
        <f ca="1">IF(V919="PARTNER.com",AH919,IF(AND(V919=V918,W919=W918),(1-AVERAGE(AD918,AD919))*AH919,(1-AVERAGE(AD919,VLOOKUP(_xlfn.CONCAT(U919,V919,W919,X919,M_BRAND_FC!$F$6),FC_DATA!$R$2:$AD$5000,MATCH("DISCOUNT_%_M",FC_DATA!$R$1:$AD$1,0),FALSE)))*AH919))</f>
        <v>#N/A</v>
      </c>
      <c r="AJ919" s="412" t="str">
        <f t="shared" ca="1" si="358"/>
        <v/>
      </c>
      <c r="AK919" s="413" t="str">
        <f>IFERROR(AE919/(Q_BRAND_FC!$T$24+1),"")</f>
        <v/>
      </c>
      <c r="AL919" s="88" t="str">
        <f t="shared" ca="1" si="359"/>
        <v/>
      </c>
      <c r="AM919" s="414" t="str">
        <f t="shared" ca="1" si="360"/>
        <v/>
      </c>
      <c r="AN919" s="58">
        <f>IFERROR(IF($V919="BRAND.com",HLOOKUP($X919&amp;$Z919,NWC_FC_NOOS!$C$4:$Q$23,MATCH(W919,NWC_FC_NOOS!$B$4:$B$23,0),FALSE),0),0)</f>
        <v>0</v>
      </c>
      <c r="AO919" s="57">
        <f>IFERROR(IF($V919="BRAND.com",HLOOKUP($X919&amp;$Z919,NWC_FC_NOOS!$T$4:$AH$23,MATCH(W919,NWC_FC_NOOS!$S$4:$S$23,0),FALSE),0),0)</f>
        <v>0</v>
      </c>
      <c r="AP919" s="57">
        <f>IFERROR(IF($V919="BRAND.com",HLOOKUP($X919&amp;$Z919,NWC_FC_NOOS!$C$50:$U$69,MATCH(W919,NWC_FC_NOOS!$B$50:$B$69,0),FALSE),0),0)</f>
        <v>0</v>
      </c>
      <c r="AQ919" s="58">
        <f>IFERROR(IF($V919="BRAND.com",HLOOKUP($X919&amp;$Z919,'NWC_FC_NON-NOOS'!$C$4:$Q$23,MATCH(W919,'NWC_FC_NON-NOOS'!$B$4:$B$23,0),FALSE),0),0)</f>
        <v>0</v>
      </c>
      <c r="AR919" s="57">
        <f>IFERROR(IF($V919="BRAND.com",HLOOKUP($X919&amp;$Z919,'NWC_FC_NON-NOOS'!$T$4:$AH$23,MATCH(W919,'NWC_FC_NON-NOOS'!$S$4:$S$23,0),FALSE),0),0)</f>
        <v>0</v>
      </c>
      <c r="AS919" s="57">
        <f>IFERROR(IF($V919="BRAND.com",HLOOKUP($X919&amp;$Z919,'NWC_FC_NON-NOOS'!$C$50:$U$69,MATCH(W919,'NWC_FC_NON-NOOS'!$B$50:$B$69,0),FALSE),0),0)</f>
        <v>0</v>
      </c>
      <c r="AT919" s="57">
        <f t="shared" si="362"/>
        <v>0</v>
      </c>
      <c r="AU919" s="57">
        <f t="shared" si="363"/>
        <v>0</v>
      </c>
      <c r="AV919" s="58">
        <f>IFERROR(IF($V919="BRAND.com",HLOOKUP($X919&amp;$Z919,PLANNING_FC!$BB$27:$BP$46,MATCH($W919,PLANNING_FC!$BA$27:$BA$46,0),FALSE),0),0)</f>
        <v>0</v>
      </c>
      <c r="AW919" s="58">
        <f>IFERROR(IF($V919="BRAND.com",HLOOKUP($X919&amp;$Z919,PLANNING_FC!$BB$4:$BP$23,MATCH($W919,PLANNING_FC!$BA$4:$BA$23,0),FALSE),0),0)</f>
        <v>0</v>
      </c>
      <c r="AX919" s="58">
        <f>IFERROR(IF($V919="BRAND.com",HLOOKUP($X919&amp;$Z919,PLANNING_FC!$T$27:$AH$46,MATCH($W919,PLANNING_FC!$B$27:$B$46,0),FALSE),0),0)</f>
        <v>0</v>
      </c>
      <c r="AY919" s="58">
        <f>IFERROR(IF($V919="BRAND.com",HLOOKUP($X919&amp;$Z919,PLANNING_FC!$T$4:$AH$23,MATCH($W919,PLANNING_FC!$B$4:$B$23,0),FALSE),0),0)</f>
        <v>0</v>
      </c>
      <c r="AZ919" s="58">
        <f>IFERROR(IF($V919="BRAND.com",HLOOKUP($X919&amp;$Z919,PLANNING_FC!$DA$27:$DO$46,MATCH($W919,PLANNING_FC!$CZ$27:$CZ$46,0),FALSE),0),0)</f>
        <v>0</v>
      </c>
      <c r="BA919" s="58">
        <f>IFERROR(IF($V919="BRAND.com",HLOOKUP($X919&amp;$Z919,PLANNING_FC!$DA$4:$DO$23,MATCH($W919,PLANNING_FC!$CZ$4:$CZ$23,0),FALSE),0),0)</f>
        <v>0</v>
      </c>
      <c r="BB919" s="883" t="str">
        <f>IF(V919="BRAND.com",IFERROR(HLOOKUP(X919&amp;Z919,PLANNING_FC!$AK$4:$AY$23,MATCH(W919,PLANNING_FC!$AJ$4:$AJ$23,0),FALSE)*1000,""),"")</f>
        <v/>
      </c>
      <c r="BC919" s="883" t="str">
        <f>IF(V919="BRAND.com",IFERROR(HLOOKUP(X919&amp;Z919,PLANNING_FC!$AK$27:$AY$46,MATCH(W919,PLANNING_FC!$AJ$27:$AJ$46,0),FALSE)*1000,""),"")</f>
        <v/>
      </c>
    </row>
    <row r="920" spans="14:55" x14ac:dyDescent="0.25">
      <c r="N920" s="56">
        <f t="shared" si="344"/>
        <v>0</v>
      </c>
      <c r="O920" s="57">
        <f t="shared" si="345"/>
        <v>0</v>
      </c>
      <c r="P920" s="57">
        <f ca="1">IFERROR(IF(ISBLANK(H920),SUMIFS($AC:$AC,$V:$V,V920,$W:$W,W920,$X:$X,X920,$Y:$Y,Y920)*J920/(1-J920)*VLOOKUP(_xlfn.CONCAT(C920,D920,E920,TIME!$M$12,Z920),HIS_SALES!$B$2:$W$4859,20,FALSE),AC920*J920/(1-J920)),0)</f>
        <v>0</v>
      </c>
      <c r="Q920" s="541" t="str">
        <f t="shared" si="346"/>
        <v/>
      </c>
      <c r="R920" s="346" t="str">
        <f t="shared" si="347"/>
        <v>00000</v>
      </c>
      <c r="S920" s="344">
        <f t="shared" si="348"/>
        <v>0</v>
      </c>
      <c r="T920" s="345" t="str">
        <f t="shared" si="361"/>
        <v>000</v>
      </c>
      <c r="U920" s="345">
        <f t="shared" si="349"/>
        <v>0</v>
      </c>
      <c r="V920" s="345">
        <f t="shared" si="350"/>
        <v>0</v>
      </c>
      <c r="W920" s="345">
        <f t="shared" si="351"/>
        <v>0</v>
      </c>
      <c r="X920" s="345">
        <f t="shared" si="352"/>
        <v>0</v>
      </c>
      <c r="Y920" s="345">
        <f t="shared" si="353"/>
        <v>0</v>
      </c>
      <c r="Z920" s="345">
        <f>IF(Q920&lt;&gt;"",VLOOKUP(Y920,TIME!$R$21:$V$24,MATCH(FC_DATA!Q920,TIME!$R$20:$V$20,0),FALSE),H920)</f>
        <v>0</v>
      </c>
      <c r="AA920" s="345" t="str">
        <f>IFERROR(VLOOKUP(X920&amp;Z920,TIME!$A$12:$D$71,4,FALSE),"")</f>
        <v/>
      </c>
      <c r="AB920" s="592">
        <f t="shared" ca="1" si="354"/>
        <v>0</v>
      </c>
      <c r="AC920" s="593" t="e">
        <f ca="1">IF(ISBLANK(H920)=FALSE,IF(D920="BRAND.com",I920,IF(ISNA(VLOOKUP(_xlfn.CONCAT(X920,Z920),TIME!$M$40:$M$42,1,FALSE)),I920,VLOOKUP(_xlfn.CONCAT(D920,G920,H920),M_BUSAREA_FC!$AF$5:$AJ$10,5,FALSE)*HLOOKUP(_xlfn.CONCAT(F920,H920),ST_OVERVIEW!$G$99:$I$130,MATCH(_xlfn.CONCAT(D920,E920),ST_OVERVIEW!$F$99:$F$130,0),FALSE))),IF(D920="BRAND.com",VLOOKUP(_xlfn.CONCAT(C920,D920,E920,TIME!$F$1,Z920),HIS_SALES!$B$2:$V$4859,19,FALSE)*I920,VLOOKUP(_xlfn.CONCAT(D920,F920,G920),Q_BUSAREA_FC!$AE$5:$AI$12,5,FALSE)*HLOOKUP(_xlfn.CONCAT(FC_DATA!F920,FC_DATA!G920),LT_OVERVIEW!$I$99:$M$130,MATCH(_xlfn.CONCAT(D920,FC_DATA!E920),LT_OVERVIEW!$H$99:$H$130,0),FALSE)*IFERROR(VLOOKUP(_xlfn.CONCAT(C920,D920,E920,TIME!$F$1,Z920),HIS_SALES!$B$2:$V$4859,19,FALSE),0)))</f>
        <v>#N/A</v>
      </c>
      <c r="AD920" s="341">
        <f t="shared" ca="1" si="355"/>
        <v>0</v>
      </c>
      <c r="AE920" s="363" t="str">
        <f t="shared" si="356"/>
        <v/>
      </c>
      <c r="AF920" s="342" t="str">
        <f t="shared" si="357"/>
        <v/>
      </c>
      <c r="AG920" s="411" t="e">
        <f ca="1">VLOOKUP(_xlfn.CONCAT(U920,V920,W920,VLOOKUP(X920&amp;Y920,TIME!$L$27:$O$34,4,FALSE),Y920),HIS_SALES!$A$2:$R$5093,18,FALSE)</f>
        <v>#N/A</v>
      </c>
      <c r="AH920" s="412" t="e">
        <f ca="1">IFERROR(IF(AND(V920=V919,W920=W919),0.5*(AB920+AB919)*AG920,(VLOOKUP(_xlfn.CONCAT(U920,V920,W920,X920,VLOOKUP(Z920,TIME!$S$28:$T$39,2,FALSE)),FC_DATA!$R$2:$AB$5000,MATCH("GS_I_M",FC_DATA!$R$1:$AB$1,0),FALSE)+FC_DATA!AB920)*0.5*FC_DATA!AG920),NA())</f>
        <v>#N/A</v>
      </c>
      <c r="AI920" s="491" t="e">
        <f ca="1">IF(V920="PARTNER.com",AH920,IF(AND(V920=V919,W920=W919),(1-AVERAGE(AD919,AD920))*AH920,(1-AVERAGE(AD920,VLOOKUP(_xlfn.CONCAT(U920,V920,W920,X920,M_BRAND_FC!$F$6),FC_DATA!$R$2:$AD$5000,MATCH("DISCOUNT_%_M",FC_DATA!$R$1:$AD$1,0),FALSE)))*AH920))</f>
        <v>#N/A</v>
      </c>
      <c r="AJ920" s="412" t="str">
        <f t="shared" ca="1" si="358"/>
        <v/>
      </c>
      <c r="AK920" s="413" t="str">
        <f>IFERROR(AE920/(Q_BRAND_FC!$T$24+1),"")</f>
        <v/>
      </c>
      <c r="AL920" s="88" t="str">
        <f t="shared" ca="1" si="359"/>
        <v/>
      </c>
      <c r="AM920" s="414" t="str">
        <f t="shared" ca="1" si="360"/>
        <v/>
      </c>
      <c r="AN920" s="58">
        <f>IFERROR(IF($V920="BRAND.com",HLOOKUP($X920&amp;$Z920,NWC_FC_NOOS!$C$4:$Q$23,MATCH(W920,NWC_FC_NOOS!$B$4:$B$23,0),FALSE),0),0)</f>
        <v>0</v>
      </c>
      <c r="AO920" s="57">
        <f>IFERROR(IF($V920="BRAND.com",HLOOKUP($X920&amp;$Z920,NWC_FC_NOOS!$T$4:$AH$23,MATCH(W920,NWC_FC_NOOS!$S$4:$S$23,0),FALSE),0),0)</f>
        <v>0</v>
      </c>
      <c r="AP920" s="57">
        <f>IFERROR(IF($V920="BRAND.com",HLOOKUP($X920&amp;$Z920,NWC_FC_NOOS!$C$50:$U$69,MATCH(W920,NWC_FC_NOOS!$B$50:$B$69,0),FALSE),0),0)</f>
        <v>0</v>
      </c>
      <c r="AQ920" s="58">
        <f>IFERROR(IF($V920="BRAND.com",HLOOKUP($X920&amp;$Z920,'NWC_FC_NON-NOOS'!$C$4:$Q$23,MATCH(W920,'NWC_FC_NON-NOOS'!$B$4:$B$23,0),FALSE),0),0)</f>
        <v>0</v>
      </c>
      <c r="AR920" s="57">
        <f>IFERROR(IF($V920="BRAND.com",HLOOKUP($X920&amp;$Z920,'NWC_FC_NON-NOOS'!$T$4:$AH$23,MATCH(W920,'NWC_FC_NON-NOOS'!$S$4:$S$23,0),FALSE),0),0)</f>
        <v>0</v>
      </c>
      <c r="AS920" s="57">
        <f>IFERROR(IF($V920="BRAND.com",HLOOKUP($X920&amp;$Z920,'NWC_FC_NON-NOOS'!$C$50:$U$69,MATCH(W920,'NWC_FC_NON-NOOS'!$B$50:$B$69,0),FALSE),0),0)</f>
        <v>0</v>
      </c>
      <c r="AT920" s="57">
        <f t="shared" si="362"/>
        <v>0</v>
      </c>
      <c r="AU920" s="57">
        <f t="shared" si="363"/>
        <v>0</v>
      </c>
      <c r="AV920" s="58">
        <f>IFERROR(IF($V920="BRAND.com",HLOOKUP($X920&amp;$Z920,PLANNING_FC!$BB$27:$BP$46,MATCH($W920,PLANNING_FC!$BA$27:$BA$46,0),FALSE),0),0)</f>
        <v>0</v>
      </c>
      <c r="AW920" s="58">
        <f>IFERROR(IF($V920="BRAND.com",HLOOKUP($X920&amp;$Z920,PLANNING_FC!$BB$4:$BP$23,MATCH($W920,PLANNING_FC!$BA$4:$BA$23,0),FALSE),0),0)</f>
        <v>0</v>
      </c>
      <c r="AX920" s="58">
        <f>IFERROR(IF($V920="BRAND.com",HLOOKUP($X920&amp;$Z920,PLANNING_FC!$T$27:$AH$46,MATCH($W920,PLANNING_FC!$B$27:$B$46,0),FALSE),0),0)</f>
        <v>0</v>
      </c>
      <c r="AY920" s="58">
        <f>IFERROR(IF($V920="BRAND.com",HLOOKUP($X920&amp;$Z920,PLANNING_FC!$T$4:$AH$23,MATCH($W920,PLANNING_FC!$B$4:$B$23,0),FALSE),0),0)</f>
        <v>0</v>
      </c>
      <c r="AZ920" s="58">
        <f>IFERROR(IF($V920="BRAND.com",HLOOKUP($X920&amp;$Z920,PLANNING_FC!$DA$27:$DO$46,MATCH($W920,PLANNING_FC!$CZ$27:$CZ$46,0),FALSE),0),0)</f>
        <v>0</v>
      </c>
      <c r="BA920" s="58">
        <f>IFERROR(IF($V920="BRAND.com",HLOOKUP($X920&amp;$Z920,PLANNING_FC!$DA$4:$DO$23,MATCH($W920,PLANNING_FC!$CZ$4:$CZ$23,0),FALSE),0),0)</f>
        <v>0</v>
      </c>
      <c r="BB920" s="883" t="str">
        <f>IF(V920="BRAND.com",IFERROR(HLOOKUP(X920&amp;Z920,PLANNING_FC!$AK$4:$AY$23,MATCH(W920,PLANNING_FC!$AJ$4:$AJ$23,0),FALSE)*1000,""),"")</f>
        <v/>
      </c>
      <c r="BC920" s="883" t="str">
        <f>IF(V920="BRAND.com",IFERROR(HLOOKUP(X920&amp;Z920,PLANNING_FC!$AK$27:$AY$46,MATCH(W920,PLANNING_FC!$AJ$27:$AJ$46,0),FALSE)*1000,""),"")</f>
        <v/>
      </c>
    </row>
    <row r="921" spans="14:55" x14ac:dyDescent="0.25">
      <c r="N921" s="56">
        <f t="shared" si="344"/>
        <v>0</v>
      </c>
      <c r="O921" s="57">
        <f t="shared" si="345"/>
        <v>0</v>
      </c>
      <c r="P921" s="57">
        <f ca="1">IFERROR(IF(ISBLANK(H921),SUMIFS($AC:$AC,$V:$V,V921,$W:$W,W921,$X:$X,X921,$Y:$Y,Y921)*J921/(1-J921)*VLOOKUP(_xlfn.CONCAT(C921,D921,E921,TIME!$M$12,Z921),HIS_SALES!$B$2:$W$4859,20,FALSE),AC921*J921/(1-J921)),0)</f>
        <v>0</v>
      </c>
      <c r="Q921" s="541" t="str">
        <f t="shared" si="346"/>
        <v/>
      </c>
      <c r="R921" s="346" t="str">
        <f t="shared" si="347"/>
        <v>00000</v>
      </c>
      <c r="S921" s="344">
        <f t="shared" si="348"/>
        <v>0</v>
      </c>
      <c r="T921" s="345" t="str">
        <f t="shared" si="361"/>
        <v>000</v>
      </c>
      <c r="U921" s="345">
        <f t="shared" si="349"/>
        <v>0</v>
      </c>
      <c r="V921" s="345">
        <f t="shared" si="350"/>
        <v>0</v>
      </c>
      <c r="W921" s="345">
        <f t="shared" si="351"/>
        <v>0</v>
      </c>
      <c r="X921" s="345">
        <f t="shared" si="352"/>
        <v>0</v>
      </c>
      <c r="Y921" s="345">
        <f t="shared" si="353"/>
        <v>0</v>
      </c>
      <c r="Z921" s="345">
        <f>IF(Q921&lt;&gt;"",VLOOKUP(Y921,TIME!$R$21:$V$24,MATCH(FC_DATA!Q921,TIME!$R$20:$V$20,0),FALSE),H921)</f>
        <v>0</v>
      </c>
      <c r="AA921" s="345" t="str">
        <f>IFERROR(VLOOKUP(X921&amp;Z921,TIME!$A$12:$D$71,4,FALSE),"")</f>
        <v/>
      </c>
      <c r="AB921" s="592">
        <f t="shared" ca="1" si="354"/>
        <v>0</v>
      </c>
      <c r="AC921" s="593" t="e">
        <f ca="1">IF(ISBLANK(H921)=FALSE,IF(D921="BRAND.com",I921,IF(ISNA(VLOOKUP(_xlfn.CONCAT(X921,Z921),TIME!$M$40:$M$42,1,FALSE)),I921,VLOOKUP(_xlfn.CONCAT(D921,G921,H921),M_BUSAREA_FC!$AF$5:$AJ$10,5,FALSE)*HLOOKUP(_xlfn.CONCAT(F921,H921),ST_OVERVIEW!$G$99:$I$130,MATCH(_xlfn.CONCAT(D921,E921),ST_OVERVIEW!$F$99:$F$130,0),FALSE))),IF(D921="BRAND.com",VLOOKUP(_xlfn.CONCAT(C921,D921,E921,TIME!$F$1,Z921),HIS_SALES!$B$2:$V$4859,19,FALSE)*I921,VLOOKUP(_xlfn.CONCAT(D921,F921,G921),Q_BUSAREA_FC!$AE$5:$AI$12,5,FALSE)*HLOOKUP(_xlfn.CONCAT(FC_DATA!F921,FC_DATA!G921),LT_OVERVIEW!$I$99:$M$130,MATCH(_xlfn.CONCAT(D921,FC_DATA!E921),LT_OVERVIEW!$H$99:$H$130,0),FALSE)*IFERROR(VLOOKUP(_xlfn.CONCAT(C921,D921,E921,TIME!$F$1,Z921),HIS_SALES!$B$2:$V$4859,19,FALSE),0)))</f>
        <v>#N/A</v>
      </c>
      <c r="AD921" s="341">
        <f t="shared" ca="1" si="355"/>
        <v>0</v>
      </c>
      <c r="AE921" s="363" t="str">
        <f t="shared" si="356"/>
        <v/>
      </c>
      <c r="AF921" s="342" t="str">
        <f t="shared" si="357"/>
        <v/>
      </c>
      <c r="AG921" s="411" t="e">
        <f ca="1">VLOOKUP(_xlfn.CONCAT(U921,V921,W921,VLOOKUP(X921&amp;Y921,TIME!$L$27:$O$34,4,FALSE),Y921),HIS_SALES!$A$2:$R$5093,18,FALSE)</f>
        <v>#N/A</v>
      </c>
      <c r="AH921" s="412" t="e">
        <f ca="1">IFERROR(IF(AND(V921=V920,W921=W920),0.5*(AB921+AB920)*AG921,(VLOOKUP(_xlfn.CONCAT(U921,V921,W921,X921,VLOOKUP(Z921,TIME!$S$28:$T$39,2,FALSE)),FC_DATA!$R$2:$AB$5000,MATCH("GS_I_M",FC_DATA!$R$1:$AB$1,0),FALSE)+FC_DATA!AB921)*0.5*FC_DATA!AG921),NA())</f>
        <v>#N/A</v>
      </c>
      <c r="AI921" s="491" t="e">
        <f ca="1">IF(V921="PARTNER.com",AH921,IF(AND(V921=V920,W921=W920),(1-AVERAGE(AD920,AD921))*AH921,(1-AVERAGE(AD921,VLOOKUP(_xlfn.CONCAT(U921,V921,W921,X921,M_BRAND_FC!$F$6),FC_DATA!$R$2:$AD$5000,MATCH("DISCOUNT_%_M",FC_DATA!$R$1:$AD$1,0),FALSE)))*AH921))</f>
        <v>#N/A</v>
      </c>
      <c r="AJ921" s="412" t="str">
        <f t="shared" ca="1" si="358"/>
        <v/>
      </c>
      <c r="AK921" s="413" t="str">
        <f>IFERROR(AE921/(Q_BRAND_FC!$T$24+1),"")</f>
        <v/>
      </c>
      <c r="AL921" s="88" t="str">
        <f t="shared" ca="1" si="359"/>
        <v/>
      </c>
      <c r="AM921" s="414" t="str">
        <f t="shared" ca="1" si="360"/>
        <v/>
      </c>
      <c r="AN921" s="58">
        <f>IFERROR(IF($V921="BRAND.com",HLOOKUP($X921&amp;$Z921,NWC_FC_NOOS!$C$4:$Q$23,MATCH(W921,NWC_FC_NOOS!$B$4:$B$23,0),FALSE),0),0)</f>
        <v>0</v>
      </c>
      <c r="AO921" s="57">
        <f>IFERROR(IF($V921="BRAND.com",HLOOKUP($X921&amp;$Z921,NWC_FC_NOOS!$T$4:$AH$23,MATCH(W921,NWC_FC_NOOS!$S$4:$S$23,0),FALSE),0),0)</f>
        <v>0</v>
      </c>
      <c r="AP921" s="57">
        <f>IFERROR(IF($V921="BRAND.com",HLOOKUP($X921&amp;$Z921,NWC_FC_NOOS!$C$50:$U$69,MATCH(W921,NWC_FC_NOOS!$B$50:$B$69,0),FALSE),0),0)</f>
        <v>0</v>
      </c>
      <c r="AQ921" s="58">
        <f>IFERROR(IF($V921="BRAND.com",HLOOKUP($X921&amp;$Z921,'NWC_FC_NON-NOOS'!$C$4:$Q$23,MATCH(W921,'NWC_FC_NON-NOOS'!$B$4:$B$23,0),FALSE),0),0)</f>
        <v>0</v>
      </c>
      <c r="AR921" s="57">
        <f>IFERROR(IF($V921="BRAND.com",HLOOKUP($X921&amp;$Z921,'NWC_FC_NON-NOOS'!$T$4:$AH$23,MATCH(W921,'NWC_FC_NON-NOOS'!$S$4:$S$23,0),FALSE),0),0)</f>
        <v>0</v>
      </c>
      <c r="AS921" s="57">
        <f>IFERROR(IF($V921="BRAND.com",HLOOKUP($X921&amp;$Z921,'NWC_FC_NON-NOOS'!$C$50:$U$69,MATCH(W921,'NWC_FC_NON-NOOS'!$B$50:$B$69,0),FALSE),0),0)</f>
        <v>0</v>
      </c>
      <c r="AT921" s="57">
        <f t="shared" si="362"/>
        <v>0</v>
      </c>
      <c r="AU921" s="57">
        <f t="shared" si="363"/>
        <v>0</v>
      </c>
      <c r="AV921" s="58">
        <f>IFERROR(IF($V921="BRAND.com",HLOOKUP($X921&amp;$Z921,PLANNING_FC!$BB$27:$BP$46,MATCH($W921,PLANNING_FC!$BA$27:$BA$46,0),FALSE),0),0)</f>
        <v>0</v>
      </c>
      <c r="AW921" s="58">
        <f>IFERROR(IF($V921="BRAND.com",HLOOKUP($X921&amp;$Z921,PLANNING_FC!$BB$4:$BP$23,MATCH($W921,PLANNING_FC!$BA$4:$BA$23,0),FALSE),0),0)</f>
        <v>0</v>
      </c>
      <c r="AX921" s="58">
        <f>IFERROR(IF($V921="BRAND.com",HLOOKUP($X921&amp;$Z921,PLANNING_FC!$T$27:$AH$46,MATCH($W921,PLANNING_FC!$B$27:$B$46,0),FALSE),0),0)</f>
        <v>0</v>
      </c>
      <c r="AY921" s="58">
        <f>IFERROR(IF($V921="BRAND.com",HLOOKUP($X921&amp;$Z921,PLANNING_FC!$T$4:$AH$23,MATCH($W921,PLANNING_FC!$B$4:$B$23,0),FALSE),0),0)</f>
        <v>0</v>
      </c>
      <c r="AZ921" s="58">
        <f>IFERROR(IF($V921="BRAND.com",HLOOKUP($X921&amp;$Z921,PLANNING_FC!$DA$27:$DO$46,MATCH($W921,PLANNING_FC!$CZ$27:$CZ$46,0),FALSE),0),0)</f>
        <v>0</v>
      </c>
      <c r="BA921" s="58">
        <f>IFERROR(IF($V921="BRAND.com",HLOOKUP($X921&amp;$Z921,PLANNING_FC!$DA$4:$DO$23,MATCH($W921,PLANNING_FC!$CZ$4:$CZ$23,0),FALSE),0),0)</f>
        <v>0</v>
      </c>
      <c r="BB921" s="883" t="str">
        <f>IF(V921="BRAND.com",IFERROR(HLOOKUP(X921&amp;Z921,PLANNING_FC!$AK$4:$AY$23,MATCH(W921,PLANNING_FC!$AJ$4:$AJ$23,0),FALSE)*1000,""),"")</f>
        <v/>
      </c>
      <c r="BC921" s="883" t="str">
        <f>IF(V921="BRAND.com",IFERROR(HLOOKUP(X921&amp;Z921,PLANNING_FC!$AK$27:$AY$46,MATCH(W921,PLANNING_FC!$AJ$27:$AJ$46,0),FALSE)*1000,""),"")</f>
        <v/>
      </c>
    </row>
    <row r="922" spans="14:55" x14ac:dyDescent="0.25">
      <c r="N922" s="56">
        <f t="shared" si="344"/>
        <v>0</v>
      </c>
      <c r="O922" s="57">
        <f t="shared" si="345"/>
        <v>0</v>
      </c>
      <c r="P922" s="57">
        <f ca="1">IFERROR(IF(ISBLANK(H922),SUMIFS($AC:$AC,$V:$V,V922,$W:$W,W922,$X:$X,X922,$Y:$Y,Y922)*J922/(1-J922)*VLOOKUP(_xlfn.CONCAT(C922,D922,E922,TIME!$M$12,Z922),HIS_SALES!$B$2:$W$4859,20,FALSE),AC922*J922/(1-J922)),0)</f>
        <v>0</v>
      </c>
      <c r="Q922" s="541" t="str">
        <f t="shared" si="346"/>
        <v/>
      </c>
      <c r="R922" s="346" t="str">
        <f t="shared" si="347"/>
        <v>00000</v>
      </c>
      <c r="S922" s="344">
        <f t="shared" si="348"/>
        <v>0</v>
      </c>
      <c r="T922" s="345" t="str">
        <f t="shared" si="361"/>
        <v>000</v>
      </c>
      <c r="U922" s="345">
        <f t="shared" si="349"/>
        <v>0</v>
      </c>
      <c r="V922" s="345">
        <f t="shared" si="350"/>
        <v>0</v>
      </c>
      <c r="W922" s="345">
        <f t="shared" si="351"/>
        <v>0</v>
      </c>
      <c r="X922" s="345">
        <f t="shared" si="352"/>
        <v>0</v>
      </c>
      <c r="Y922" s="345">
        <f t="shared" si="353"/>
        <v>0</v>
      </c>
      <c r="Z922" s="345">
        <f>IF(Q922&lt;&gt;"",VLOOKUP(Y922,TIME!$R$21:$V$24,MATCH(FC_DATA!Q922,TIME!$R$20:$V$20,0),FALSE),H922)</f>
        <v>0</v>
      </c>
      <c r="AA922" s="345" t="str">
        <f>IFERROR(VLOOKUP(X922&amp;Z922,TIME!$A$12:$D$71,4,FALSE),"")</f>
        <v/>
      </c>
      <c r="AB922" s="592">
        <f t="shared" ca="1" si="354"/>
        <v>0</v>
      </c>
      <c r="AC922" s="593" t="e">
        <f ca="1">IF(ISBLANK(H922)=FALSE,IF(D922="BRAND.com",I922,IF(ISNA(VLOOKUP(_xlfn.CONCAT(X922,Z922),TIME!$M$40:$M$42,1,FALSE)),I922,VLOOKUP(_xlfn.CONCAT(D922,G922,H922),M_BUSAREA_FC!$AF$5:$AJ$10,5,FALSE)*HLOOKUP(_xlfn.CONCAT(F922,H922),ST_OVERVIEW!$G$99:$I$130,MATCH(_xlfn.CONCAT(D922,E922),ST_OVERVIEW!$F$99:$F$130,0),FALSE))),IF(D922="BRAND.com",VLOOKUP(_xlfn.CONCAT(C922,D922,E922,TIME!$F$1,Z922),HIS_SALES!$B$2:$V$4859,19,FALSE)*I922,VLOOKUP(_xlfn.CONCAT(D922,F922,G922),Q_BUSAREA_FC!$AE$5:$AI$12,5,FALSE)*HLOOKUP(_xlfn.CONCAT(FC_DATA!F922,FC_DATA!G922),LT_OVERVIEW!$I$99:$M$130,MATCH(_xlfn.CONCAT(D922,FC_DATA!E922),LT_OVERVIEW!$H$99:$H$130,0),FALSE)*IFERROR(VLOOKUP(_xlfn.CONCAT(C922,D922,E922,TIME!$F$1,Z922),HIS_SALES!$B$2:$V$4859,19,FALSE),0)))</f>
        <v>#N/A</v>
      </c>
      <c r="AD922" s="341">
        <f t="shared" ca="1" si="355"/>
        <v>0</v>
      </c>
      <c r="AE922" s="363" t="str">
        <f t="shared" si="356"/>
        <v/>
      </c>
      <c r="AF922" s="342" t="str">
        <f t="shared" si="357"/>
        <v/>
      </c>
      <c r="AG922" s="411" t="e">
        <f ca="1">VLOOKUP(_xlfn.CONCAT(U922,V922,W922,VLOOKUP(X922&amp;Y922,TIME!$L$27:$O$34,4,FALSE),Y922),HIS_SALES!$A$2:$R$5093,18,FALSE)</f>
        <v>#N/A</v>
      </c>
      <c r="AH922" s="412" t="e">
        <f ca="1">IFERROR(IF(AND(V922=V921,W922=W921),0.5*(AB922+AB921)*AG922,(VLOOKUP(_xlfn.CONCAT(U922,V922,W922,X922,VLOOKUP(Z922,TIME!$S$28:$T$39,2,FALSE)),FC_DATA!$R$2:$AB$5000,MATCH("GS_I_M",FC_DATA!$R$1:$AB$1,0),FALSE)+FC_DATA!AB922)*0.5*FC_DATA!AG922),NA())</f>
        <v>#N/A</v>
      </c>
      <c r="AI922" s="491" t="e">
        <f ca="1">IF(V922="PARTNER.com",AH922,IF(AND(V922=V921,W922=W921),(1-AVERAGE(AD921,AD922))*AH922,(1-AVERAGE(AD922,VLOOKUP(_xlfn.CONCAT(U922,V922,W922,X922,M_BRAND_FC!$F$6),FC_DATA!$R$2:$AD$5000,MATCH("DISCOUNT_%_M",FC_DATA!$R$1:$AD$1,0),FALSE)))*AH922))</f>
        <v>#N/A</v>
      </c>
      <c r="AJ922" s="412" t="str">
        <f t="shared" ca="1" si="358"/>
        <v/>
      </c>
      <c r="AK922" s="413" t="str">
        <f>IFERROR(AE922/(Q_BRAND_FC!$T$24+1),"")</f>
        <v/>
      </c>
      <c r="AL922" s="88" t="str">
        <f t="shared" ca="1" si="359"/>
        <v/>
      </c>
      <c r="AM922" s="414" t="str">
        <f t="shared" ca="1" si="360"/>
        <v/>
      </c>
      <c r="AN922" s="58">
        <f>IFERROR(IF($V922="BRAND.com",HLOOKUP($X922&amp;$Z922,NWC_FC_NOOS!$C$4:$Q$23,MATCH(W922,NWC_FC_NOOS!$B$4:$B$23,0),FALSE),0),0)</f>
        <v>0</v>
      </c>
      <c r="AO922" s="57">
        <f>IFERROR(IF($V922="BRAND.com",HLOOKUP($X922&amp;$Z922,NWC_FC_NOOS!$T$4:$AH$23,MATCH(W922,NWC_FC_NOOS!$S$4:$S$23,0),FALSE),0),0)</f>
        <v>0</v>
      </c>
      <c r="AP922" s="57">
        <f>IFERROR(IF($V922="BRAND.com",HLOOKUP($X922&amp;$Z922,NWC_FC_NOOS!$C$50:$U$69,MATCH(W922,NWC_FC_NOOS!$B$50:$B$69,0),FALSE),0),0)</f>
        <v>0</v>
      </c>
      <c r="AQ922" s="58">
        <f>IFERROR(IF($V922="BRAND.com",HLOOKUP($X922&amp;$Z922,'NWC_FC_NON-NOOS'!$C$4:$Q$23,MATCH(W922,'NWC_FC_NON-NOOS'!$B$4:$B$23,0),FALSE),0),0)</f>
        <v>0</v>
      </c>
      <c r="AR922" s="57">
        <f>IFERROR(IF($V922="BRAND.com",HLOOKUP($X922&amp;$Z922,'NWC_FC_NON-NOOS'!$T$4:$AH$23,MATCH(W922,'NWC_FC_NON-NOOS'!$S$4:$S$23,0),FALSE),0),0)</f>
        <v>0</v>
      </c>
      <c r="AS922" s="57">
        <f>IFERROR(IF($V922="BRAND.com",HLOOKUP($X922&amp;$Z922,'NWC_FC_NON-NOOS'!$C$50:$U$69,MATCH(W922,'NWC_FC_NON-NOOS'!$B$50:$B$69,0),FALSE),0),0)</f>
        <v>0</v>
      </c>
      <c r="AT922" s="57">
        <f t="shared" si="362"/>
        <v>0</v>
      </c>
      <c r="AU922" s="57">
        <f t="shared" si="363"/>
        <v>0</v>
      </c>
      <c r="AV922" s="58">
        <f>IFERROR(IF($V922="BRAND.com",HLOOKUP($X922&amp;$Z922,PLANNING_FC!$BB$27:$BP$46,MATCH($W922,PLANNING_FC!$BA$27:$BA$46,0),FALSE),0),0)</f>
        <v>0</v>
      </c>
      <c r="AW922" s="58">
        <f>IFERROR(IF($V922="BRAND.com",HLOOKUP($X922&amp;$Z922,PLANNING_FC!$BB$4:$BP$23,MATCH($W922,PLANNING_FC!$BA$4:$BA$23,0),FALSE),0),0)</f>
        <v>0</v>
      </c>
      <c r="AX922" s="58">
        <f>IFERROR(IF($V922="BRAND.com",HLOOKUP($X922&amp;$Z922,PLANNING_FC!$T$27:$AH$46,MATCH($W922,PLANNING_FC!$B$27:$B$46,0),FALSE),0),0)</f>
        <v>0</v>
      </c>
      <c r="AY922" s="58">
        <f>IFERROR(IF($V922="BRAND.com",HLOOKUP($X922&amp;$Z922,PLANNING_FC!$T$4:$AH$23,MATCH($W922,PLANNING_FC!$B$4:$B$23,0),FALSE),0),0)</f>
        <v>0</v>
      </c>
      <c r="AZ922" s="58">
        <f>IFERROR(IF($V922="BRAND.com",HLOOKUP($X922&amp;$Z922,PLANNING_FC!$DA$27:$DO$46,MATCH($W922,PLANNING_FC!$CZ$27:$CZ$46,0),FALSE),0),0)</f>
        <v>0</v>
      </c>
      <c r="BA922" s="58">
        <f>IFERROR(IF($V922="BRAND.com",HLOOKUP($X922&amp;$Z922,PLANNING_FC!$DA$4:$DO$23,MATCH($W922,PLANNING_FC!$CZ$4:$CZ$23,0),FALSE),0),0)</f>
        <v>0</v>
      </c>
      <c r="BB922" s="883" t="str">
        <f>IF(V922="BRAND.com",IFERROR(HLOOKUP(X922&amp;Z922,PLANNING_FC!$AK$4:$AY$23,MATCH(W922,PLANNING_FC!$AJ$4:$AJ$23,0),FALSE)*1000,""),"")</f>
        <v/>
      </c>
      <c r="BC922" s="883" t="str">
        <f>IF(V922="BRAND.com",IFERROR(HLOOKUP(X922&amp;Z922,PLANNING_FC!$AK$27:$AY$46,MATCH(W922,PLANNING_FC!$AJ$27:$AJ$46,0),FALSE)*1000,""),"")</f>
        <v/>
      </c>
    </row>
    <row r="923" spans="14:55" x14ac:dyDescent="0.25">
      <c r="N923" s="56">
        <f t="shared" si="344"/>
        <v>0</v>
      </c>
      <c r="O923" s="57">
        <f t="shared" si="345"/>
        <v>0</v>
      </c>
      <c r="P923" s="57">
        <f ca="1">IFERROR(IF(ISBLANK(H923),SUMIFS($AC:$AC,$V:$V,V923,$W:$W,W923,$X:$X,X923,$Y:$Y,Y923)*J923/(1-J923)*VLOOKUP(_xlfn.CONCAT(C923,D923,E923,TIME!$M$12,Z923),HIS_SALES!$B$2:$W$4859,20,FALSE),AC923*J923/(1-J923)),0)</f>
        <v>0</v>
      </c>
      <c r="Q923" s="541" t="str">
        <f t="shared" si="346"/>
        <v/>
      </c>
      <c r="R923" s="346" t="str">
        <f t="shared" si="347"/>
        <v>00000</v>
      </c>
      <c r="S923" s="344">
        <f t="shared" si="348"/>
        <v>0</v>
      </c>
      <c r="T923" s="345" t="str">
        <f t="shared" si="361"/>
        <v>000</v>
      </c>
      <c r="U923" s="345">
        <f t="shared" si="349"/>
        <v>0</v>
      </c>
      <c r="V923" s="345">
        <f t="shared" si="350"/>
        <v>0</v>
      </c>
      <c r="W923" s="345">
        <f t="shared" si="351"/>
        <v>0</v>
      </c>
      <c r="X923" s="345">
        <f t="shared" si="352"/>
        <v>0</v>
      </c>
      <c r="Y923" s="345">
        <f t="shared" si="353"/>
        <v>0</v>
      </c>
      <c r="Z923" s="345">
        <f>IF(Q923&lt;&gt;"",VLOOKUP(Y923,TIME!$R$21:$V$24,MATCH(FC_DATA!Q923,TIME!$R$20:$V$20,0),FALSE),H923)</f>
        <v>0</v>
      </c>
      <c r="AA923" s="345" t="str">
        <f>IFERROR(VLOOKUP(X923&amp;Z923,TIME!$A$12:$D$71,4,FALSE),"")</f>
        <v/>
      </c>
      <c r="AB923" s="592">
        <f t="shared" ca="1" si="354"/>
        <v>0</v>
      </c>
      <c r="AC923" s="593" t="e">
        <f ca="1">IF(ISBLANK(H923)=FALSE,IF(D923="BRAND.com",I923,IF(ISNA(VLOOKUP(_xlfn.CONCAT(X923,Z923),TIME!$M$40:$M$42,1,FALSE)),I923,VLOOKUP(_xlfn.CONCAT(D923,G923,H923),M_BUSAREA_FC!$AF$5:$AJ$10,5,FALSE)*HLOOKUP(_xlfn.CONCAT(F923,H923),ST_OVERVIEW!$G$99:$I$130,MATCH(_xlfn.CONCAT(D923,E923),ST_OVERVIEW!$F$99:$F$130,0),FALSE))),IF(D923="BRAND.com",VLOOKUP(_xlfn.CONCAT(C923,D923,E923,TIME!$F$1,Z923),HIS_SALES!$B$2:$V$4859,19,FALSE)*I923,VLOOKUP(_xlfn.CONCAT(D923,F923,G923),Q_BUSAREA_FC!$AE$5:$AI$12,5,FALSE)*HLOOKUP(_xlfn.CONCAT(FC_DATA!F923,FC_DATA!G923),LT_OVERVIEW!$I$99:$M$130,MATCH(_xlfn.CONCAT(D923,FC_DATA!E923),LT_OVERVIEW!$H$99:$H$130,0),FALSE)*IFERROR(VLOOKUP(_xlfn.CONCAT(C923,D923,E923,TIME!$F$1,Z923),HIS_SALES!$B$2:$V$4859,19,FALSE),0)))</f>
        <v>#N/A</v>
      </c>
      <c r="AD923" s="341">
        <f t="shared" ca="1" si="355"/>
        <v>0</v>
      </c>
      <c r="AE923" s="363" t="str">
        <f t="shared" si="356"/>
        <v/>
      </c>
      <c r="AF923" s="342" t="str">
        <f t="shared" si="357"/>
        <v/>
      </c>
      <c r="AG923" s="411" t="e">
        <f ca="1">VLOOKUP(_xlfn.CONCAT(U923,V923,W923,VLOOKUP(X923&amp;Y923,TIME!$L$27:$O$34,4,FALSE),Y923),HIS_SALES!$A$2:$R$5093,18,FALSE)</f>
        <v>#N/A</v>
      </c>
      <c r="AH923" s="412" t="e">
        <f ca="1">IFERROR(IF(AND(V923=V922,W923=W922),0.5*(AB923+AB922)*AG923,(VLOOKUP(_xlfn.CONCAT(U923,V923,W923,X923,VLOOKUP(Z923,TIME!$S$28:$T$39,2,FALSE)),FC_DATA!$R$2:$AB$5000,MATCH("GS_I_M",FC_DATA!$R$1:$AB$1,0),FALSE)+FC_DATA!AB923)*0.5*FC_DATA!AG923),NA())</f>
        <v>#N/A</v>
      </c>
      <c r="AI923" s="491" t="e">
        <f ca="1">IF(V923="PARTNER.com",AH923,IF(AND(V923=V922,W923=W922),(1-AVERAGE(AD922,AD923))*AH923,(1-AVERAGE(AD923,VLOOKUP(_xlfn.CONCAT(U923,V923,W923,X923,M_BRAND_FC!$F$6),FC_DATA!$R$2:$AD$5000,MATCH("DISCOUNT_%_M",FC_DATA!$R$1:$AD$1,0),FALSE)))*AH923))</f>
        <v>#N/A</v>
      </c>
      <c r="AJ923" s="412" t="str">
        <f t="shared" ca="1" si="358"/>
        <v/>
      </c>
      <c r="AK923" s="413" t="str">
        <f>IFERROR(AE923/(Q_BRAND_FC!$T$24+1),"")</f>
        <v/>
      </c>
      <c r="AL923" s="88" t="str">
        <f t="shared" ca="1" si="359"/>
        <v/>
      </c>
      <c r="AM923" s="414" t="str">
        <f t="shared" ca="1" si="360"/>
        <v/>
      </c>
      <c r="AN923" s="58">
        <f>IFERROR(IF($V923="BRAND.com",HLOOKUP($X923&amp;$Z923,NWC_FC_NOOS!$C$4:$Q$23,MATCH(W923,NWC_FC_NOOS!$B$4:$B$23,0),FALSE),0),0)</f>
        <v>0</v>
      </c>
      <c r="AO923" s="57">
        <f>IFERROR(IF($V923="BRAND.com",HLOOKUP($X923&amp;$Z923,NWC_FC_NOOS!$T$4:$AH$23,MATCH(W923,NWC_FC_NOOS!$S$4:$S$23,0),FALSE),0),0)</f>
        <v>0</v>
      </c>
      <c r="AP923" s="57">
        <f>IFERROR(IF($V923="BRAND.com",HLOOKUP($X923&amp;$Z923,NWC_FC_NOOS!$C$50:$U$69,MATCH(W923,NWC_FC_NOOS!$B$50:$B$69,0),FALSE),0),0)</f>
        <v>0</v>
      </c>
      <c r="AQ923" s="58">
        <f>IFERROR(IF($V923="BRAND.com",HLOOKUP($X923&amp;$Z923,'NWC_FC_NON-NOOS'!$C$4:$Q$23,MATCH(W923,'NWC_FC_NON-NOOS'!$B$4:$B$23,0),FALSE),0),0)</f>
        <v>0</v>
      </c>
      <c r="AR923" s="57">
        <f>IFERROR(IF($V923="BRAND.com",HLOOKUP($X923&amp;$Z923,'NWC_FC_NON-NOOS'!$T$4:$AH$23,MATCH(W923,'NWC_FC_NON-NOOS'!$S$4:$S$23,0),FALSE),0),0)</f>
        <v>0</v>
      </c>
      <c r="AS923" s="57">
        <f>IFERROR(IF($V923="BRAND.com",HLOOKUP($X923&amp;$Z923,'NWC_FC_NON-NOOS'!$C$50:$U$69,MATCH(W923,'NWC_FC_NON-NOOS'!$B$50:$B$69,0),FALSE),0),0)</f>
        <v>0</v>
      </c>
      <c r="AT923" s="57">
        <f t="shared" si="362"/>
        <v>0</v>
      </c>
      <c r="AU923" s="57">
        <f t="shared" si="363"/>
        <v>0</v>
      </c>
      <c r="AV923" s="58">
        <f>IFERROR(IF($V923="BRAND.com",HLOOKUP($X923&amp;$Z923,PLANNING_FC!$BB$27:$BP$46,MATCH($W923,PLANNING_FC!$BA$27:$BA$46,0),FALSE),0),0)</f>
        <v>0</v>
      </c>
      <c r="AW923" s="58">
        <f>IFERROR(IF($V923="BRAND.com",HLOOKUP($X923&amp;$Z923,PLANNING_FC!$BB$4:$BP$23,MATCH($W923,PLANNING_FC!$BA$4:$BA$23,0),FALSE),0),0)</f>
        <v>0</v>
      </c>
      <c r="AX923" s="58">
        <f>IFERROR(IF($V923="BRAND.com",HLOOKUP($X923&amp;$Z923,PLANNING_FC!$T$27:$AH$46,MATCH($W923,PLANNING_FC!$B$27:$B$46,0),FALSE),0),0)</f>
        <v>0</v>
      </c>
      <c r="AY923" s="58">
        <f>IFERROR(IF($V923="BRAND.com",HLOOKUP($X923&amp;$Z923,PLANNING_FC!$T$4:$AH$23,MATCH($W923,PLANNING_FC!$B$4:$B$23,0),FALSE),0),0)</f>
        <v>0</v>
      </c>
      <c r="AZ923" s="58">
        <f>IFERROR(IF($V923="BRAND.com",HLOOKUP($X923&amp;$Z923,PLANNING_FC!$DA$27:$DO$46,MATCH($W923,PLANNING_FC!$CZ$27:$CZ$46,0),FALSE),0),0)</f>
        <v>0</v>
      </c>
      <c r="BA923" s="58">
        <f>IFERROR(IF($V923="BRAND.com",HLOOKUP($X923&amp;$Z923,PLANNING_FC!$DA$4:$DO$23,MATCH($W923,PLANNING_FC!$CZ$4:$CZ$23,0),FALSE),0),0)</f>
        <v>0</v>
      </c>
      <c r="BB923" s="883" t="str">
        <f>IF(V923="BRAND.com",IFERROR(HLOOKUP(X923&amp;Z923,PLANNING_FC!$AK$4:$AY$23,MATCH(W923,PLANNING_FC!$AJ$4:$AJ$23,0),FALSE)*1000,""),"")</f>
        <v/>
      </c>
      <c r="BC923" s="883" t="str">
        <f>IF(V923="BRAND.com",IFERROR(HLOOKUP(X923&amp;Z923,PLANNING_FC!$AK$27:$AY$46,MATCH(W923,PLANNING_FC!$AJ$27:$AJ$46,0),FALSE)*1000,""),"")</f>
        <v/>
      </c>
    </row>
    <row r="924" spans="14:55" x14ac:dyDescent="0.25">
      <c r="N924" s="56">
        <f t="shared" si="344"/>
        <v>0</v>
      </c>
      <c r="O924" s="57">
        <f t="shared" si="345"/>
        <v>0</v>
      </c>
      <c r="P924" s="57">
        <f ca="1">IFERROR(IF(ISBLANK(H924),SUMIFS($AC:$AC,$V:$V,V924,$W:$W,W924,$X:$X,X924,$Y:$Y,Y924)*J924/(1-J924)*VLOOKUP(_xlfn.CONCAT(C924,D924,E924,TIME!$M$12,Z924),HIS_SALES!$B$2:$W$4859,20,FALSE),AC924*J924/(1-J924)),0)</f>
        <v>0</v>
      </c>
      <c r="Q924" s="541" t="str">
        <f t="shared" si="346"/>
        <v/>
      </c>
      <c r="R924" s="346" t="str">
        <f t="shared" si="347"/>
        <v>00000</v>
      </c>
      <c r="S924" s="344">
        <f t="shared" si="348"/>
        <v>0</v>
      </c>
      <c r="T924" s="345" t="str">
        <f t="shared" si="361"/>
        <v>000</v>
      </c>
      <c r="U924" s="345">
        <f t="shared" si="349"/>
        <v>0</v>
      </c>
      <c r="V924" s="345">
        <f t="shared" si="350"/>
        <v>0</v>
      </c>
      <c r="W924" s="345">
        <f t="shared" si="351"/>
        <v>0</v>
      </c>
      <c r="X924" s="345">
        <f t="shared" si="352"/>
        <v>0</v>
      </c>
      <c r="Y924" s="345">
        <f t="shared" si="353"/>
        <v>0</v>
      </c>
      <c r="Z924" s="345">
        <f>IF(Q924&lt;&gt;"",VLOOKUP(Y924,TIME!$R$21:$V$24,MATCH(FC_DATA!Q924,TIME!$R$20:$V$20,0),FALSE),H924)</f>
        <v>0</v>
      </c>
      <c r="AA924" s="345" t="str">
        <f>IFERROR(VLOOKUP(X924&amp;Z924,TIME!$A$12:$D$71,4,FALSE),"")</f>
        <v/>
      </c>
      <c r="AB924" s="592">
        <f t="shared" ca="1" si="354"/>
        <v>0</v>
      </c>
      <c r="AC924" s="593" t="e">
        <f ca="1">IF(ISBLANK(H924)=FALSE,IF(D924="BRAND.com",I924,IF(ISNA(VLOOKUP(_xlfn.CONCAT(X924,Z924),TIME!$M$40:$M$42,1,FALSE)),I924,VLOOKUP(_xlfn.CONCAT(D924,G924,H924),M_BUSAREA_FC!$AF$5:$AJ$10,5,FALSE)*HLOOKUP(_xlfn.CONCAT(F924,H924),ST_OVERVIEW!$G$99:$I$130,MATCH(_xlfn.CONCAT(D924,E924),ST_OVERVIEW!$F$99:$F$130,0),FALSE))),IF(D924="BRAND.com",VLOOKUP(_xlfn.CONCAT(C924,D924,E924,TIME!$F$1,Z924),HIS_SALES!$B$2:$V$4859,19,FALSE)*I924,VLOOKUP(_xlfn.CONCAT(D924,F924,G924),Q_BUSAREA_FC!$AE$5:$AI$12,5,FALSE)*HLOOKUP(_xlfn.CONCAT(FC_DATA!F924,FC_DATA!G924),LT_OVERVIEW!$I$99:$M$130,MATCH(_xlfn.CONCAT(D924,FC_DATA!E924),LT_OVERVIEW!$H$99:$H$130,0),FALSE)*IFERROR(VLOOKUP(_xlfn.CONCAT(C924,D924,E924,TIME!$F$1,Z924),HIS_SALES!$B$2:$V$4859,19,FALSE),0)))</f>
        <v>#N/A</v>
      </c>
      <c r="AD924" s="341">
        <f t="shared" ca="1" si="355"/>
        <v>0</v>
      </c>
      <c r="AE924" s="363" t="str">
        <f t="shared" si="356"/>
        <v/>
      </c>
      <c r="AF924" s="342" t="str">
        <f t="shared" si="357"/>
        <v/>
      </c>
      <c r="AG924" s="411" t="e">
        <f ca="1">VLOOKUP(_xlfn.CONCAT(U924,V924,W924,VLOOKUP(X924&amp;Y924,TIME!$L$27:$O$34,4,FALSE),Y924),HIS_SALES!$A$2:$R$5093,18,FALSE)</f>
        <v>#N/A</v>
      </c>
      <c r="AH924" s="412" t="e">
        <f ca="1">IFERROR(IF(AND(V924=V923,W924=W923),0.5*(AB924+AB923)*AG924,(VLOOKUP(_xlfn.CONCAT(U924,V924,W924,X924,VLOOKUP(Z924,TIME!$S$28:$T$39,2,FALSE)),FC_DATA!$R$2:$AB$5000,MATCH("GS_I_M",FC_DATA!$R$1:$AB$1,0),FALSE)+FC_DATA!AB924)*0.5*FC_DATA!AG924),NA())</f>
        <v>#N/A</v>
      </c>
      <c r="AI924" s="491" t="e">
        <f ca="1">IF(V924="PARTNER.com",AH924,IF(AND(V924=V923,W924=W923),(1-AVERAGE(AD923,AD924))*AH924,(1-AVERAGE(AD924,VLOOKUP(_xlfn.CONCAT(U924,V924,W924,X924,M_BRAND_FC!$F$6),FC_DATA!$R$2:$AD$5000,MATCH("DISCOUNT_%_M",FC_DATA!$R$1:$AD$1,0),FALSE)))*AH924))</f>
        <v>#N/A</v>
      </c>
      <c r="AJ924" s="412" t="str">
        <f t="shared" ca="1" si="358"/>
        <v/>
      </c>
      <c r="AK924" s="413" t="str">
        <f>IFERROR(AE924/(Q_BRAND_FC!$T$24+1),"")</f>
        <v/>
      </c>
      <c r="AL924" s="88" t="str">
        <f t="shared" ca="1" si="359"/>
        <v/>
      </c>
      <c r="AM924" s="414" t="str">
        <f t="shared" ca="1" si="360"/>
        <v/>
      </c>
      <c r="AN924" s="58">
        <f>IFERROR(IF($V924="BRAND.com",HLOOKUP($X924&amp;$Z924,NWC_FC_NOOS!$C$4:$Q$23,MATCH(W924,NWC_FC_NOOS!$B$4:$B$23,0),FALSE),0),0)</f>
        <v>0</v>
      </c>
      <c r="AO924" s="57">
        <f>IFERROR(IF($V924="BRAND.com",HLOOKUP($X924&amp;$Z924,NWC_FC_NOOS!$T$4:$AH$23,MATCH(W924,NWC_FC_NOOS!$S$4:$S$23,0),FALSE),0),0)</f>
        <v>0</v>
      </c>
      <c r="AP924" s="57">
        <f>IFERROR(IF($V924="BRAND.com",HLOOKUP($X924&amp;$Z924,NWC_FC_NOOS!$C$50:$U$69,MATCH(W924,NWC_FC_NOOS!$B$50:$B$69,0),FALSE),0),0)</f>
        <v>0</v>
      </c>
      <c r="AQ924" s="58">
        <f>IFERROR(IF($V924="BRAND.com",HLOOKUP($X924&amp;$Z924,'NWC_FC_NON-NOOS'!$C$4:$Q$23,MATCH(W924,'NWC_FC_NON-NOOS'!$B$4:$B$23,0),FALSE),0),0)</f>
        <v>0</v>
      </c>
      <c r="AR924" s="57">
        <f>IFERROR(IF($V924="BRAND.com",HLOOKUP($X924&amp;$Z924,'NWC_FC_NON-NOOS'!$T$4:$AH$23,MATCH(W924,'NWC_FC_NON-NOOS'!$S$4:$S$23,0),FALSE),0),0)</f>
        <v>0</v>
      </c>
      <c r="AS924" s="57">
        <f>IFERROR(IF($V924="BRAND.com",HLOOKUP($X924&amp;$Z924,'NWC_FC_NON-NOOS'!$C$50:$U$69,MATCH(W924,'NWC_FC_NON-NOOS'!$B$50:$B$69,0),FALSE),0),0)</f>
        <v>0</v>
      </c>
      <c r="AT924" s="57">
        <f t="shared" si="362"/>
        <v>0</v>
      </c>
      <c r="AU924" s="57">
        <f t="shared" si="363"/>
        <v>0</v>
      </c>
      <c r="AV924" s="58">
        <f>IFERROR(IF($V924="BRAND.com",HLOOKUP($X924&amp;$Z924,PLANNING_FC!$BB$27:$BP$46,MATCH($W924,PLANNING_FC!$BA$27:$BA$46,0),FALSE),0),0)</f>
        <v>0</v>
      </c>
      <c r="AW924" s="58">
        <f>IFERROR(IF($V924="BRAND.com",HLOOKUP($X924&amp;$Z924,PLANNING_FC!$BB$4:$BP$23,MATCH($W924,PLANNING_FC!$BA$4:$BA$23,0),FALSE),0),0)</f>
        <v>0</v>
      </c>
      <c r="AX924" s="58">
        <f>IFERROR(IF($V924="BRAND.com",HLOOKUP($X924&amp;$Z924,PLANNING_FC!$T$27:$AH$46,MATCH($W924,PLANNING_FC!$B$27:$B$46,0),FALSE),0),0)</f>
        <v>0</v>
      </c>
      <c r="AY924" s="58">
        <f>IFERROR(IF($V924="BRAND.com",HLOOKUP($X924&amp;$Z924,PLANNING_FC!$T$4:$AH$23,MATCH($W924,PLANNING_FC!$B$4:$B$23,0),FALSE),0),0)</f>
        <v>0</v>
      </c>
      <c r="AZ924" s="58">
        <f>IFERROR(IF($V924="BRAND.com",HLOOKUP($X924&amp;$Z924,PLANNING_FC!$DA$27:$DO$46,MATCH($W924,PLANNING_FC!$CZ$27:$CZ$46,0),FALSE),0),0)</f>
        <v>0</v>
      </c>
      <c r="BA924" s="58">
        <f>IFERROR(IF($V924="BRAND.com",HLOOKUP($X924&amp;$Z924,PLANNING_FC!$DA$4:$DO$23,MATCH($W924,PLANNING_FC!$CZ$4:$CZ$23,0),FALSE),0),0)</f>
        <v>0</v>
      </c>
      <c r="BB924" s="883" t="str">
        <f>IF(V924="BRAND.com",IFERROR(HLOOKUP(X924&amp;Z924,PLANNING_FC!$AK$4:$AY$23,MATCH(W924,PLANNING_FC!$AJ$4:$AJ$23,0),FALSE)*1000,""),"")</f>
        <v/>
      </c>
      <c r="BC924" s="883" t="str">
        <f>IF(V924="BRAND.com",IFERROR(HLOOKUP(X924&amp;Z924,PLANNING_FC!$AK$27:$AY$46,MATCH(W924,PLANNING_FC!$AJ$27:$AJ$46,0),FALSE)*1000,""),"")</f>
        <v/>
      </c>
    </row>
    <row r="925" spans="14:55" x14ac:dyDescent="0.25">
      <c r="N925" s="56">
        <f t="shared" si="344"/>
        <v>0</v>
      </c>
      <c r="O925" s="57">
        <f t="shared" si="345"/>
        <v>0</v>
      </c>
      <c r="P925" s="57">
        <f ca="1">IFERROR(IF(ISBLANK(H925),SUMIFS($AC:$AC,$V:$V,V925,$W:$W,W925,$X:$X,X925,$Y:$Y,Y925)*J925/(1-J925)*VLOOKUP(_xlfn.CONCAT(C925,D925,E925,TIME!$M$12,Z925),HIS_SALES!$B$2:$W$4859,20,FALSE),AC925*J925/(1-J925)),0)</f>
        <v>0</v>
      </c>
      <c r="Q925" s="541" t="str">
        <f t="shared" si="346"/>
        <v/>
      </c>
      <c r="R925" s="346" t="str">
        <f t="shared" si="347"/>
        <v>00000</v>
      </c>
      <c r="S925" s="344">
        <f t="shared" si="348"/>
        <v>0</v>
      </c>
      <c r="T925" s="345" t="str">
        <f t="shared" si="361"/>
        <v>000</v>
      </c>
      <c r="U925" s="345">
        <f t="shared" si="349"/>
        <v>0</v>
      </c>
      <c r="V925" s="345">
        <f t="shared" si="350"/>
        <v>0</v>
      </c>
      <c r="W925" s="345">
        <f t="shared" si="351"/>
        <v>0</v>
      </c>
      <c r="X925" s="345">
        <f t="shared" si="352"/>
        <v>0</v>
      </c>
      <c r="Y925" s="345">
        <f t="shared" si="353"/>
        <v>0</v>
      </c>
      <c r="Z925" s="345">
        <f>IF(Q925&lt;&gt;"",VLOOKUP(Y925,TIME!$R$21:$V$24,MATCH(FC_DATA!Q925,TIME!$R$20:$V$20,0),FALSE),H925)</f>
        <v>0</v>
      </c>
      <c r="AA925" s="345" t="str">
        <f>IFERROR(VLOOKUP(X925&amp;Z925,TIME!$A$12:$D$71,4,FALSE),"")</f>
        <v/>
      </c>
      <c r="AB925" s="592">
        <f t="shared" ca="1" si="354"/>
        <v>0</v>
      </c>
      <c r="AC925" s="593" t="e">
        <f ca="1">IF(ISBLANK(H925)=FALSE,IF(D925="BRAND.com",I925,IF(ISNA(VLOOKUP(_xlfn.CONCAT(X925,Z925),TIME!$M$40:$M$42,1,FALSE)),I925,VLOOKUP(_xlfn.CONCAT(D925,G925,H925),M_BUSAREA_FC!$AF$5:$AJ$10,5,FALSE)*HLOOKUP(_xlfn.CONCAT(F925,H925),ST_OVERVIEW!$G$99:$I$130,MATCH(_xlfn.CONCAT(D925,E925),ST_OVERVIEW!$F$99:$F$130,0),FALSE))),IF(D925="BRAND.com",VLOOKUP(_xlfn.CONCAT(C925,D925,E925,TIME!$F$1,Z925),HIS_SALES!$B$2:$V$4859,19,FALSE)*I925,VLOOKUP(_xlfn.CONCAT(D925,F925,G925),Q_BUSAREA_FC!$AE$5:$AI$12,5,FALSE)*HLOOKUP(_xlfn.CONCAT(FC_DATA!F925,FC_DATA!G925),LT_OVERVIEW!$I$99:$M$130,MATCH(_xlfn.CONCAT(D925,FC_DATA!E925),LT_OVERVIEW!$H$99:$H$130,0),FALSE)*IFERROR(VLOOKUP(_xlfn.CONCAT(C925,D925,E925,TIME!$F$1,Z925),HIS_SALES!$B$2:$V$4859,19,FALSE),0)))</f>
        <v>#N/A</v>
      </c>
      <c r="AD925" s="341">
        <f t="shared" ca="1" si="355"/>
        <v>0</v>
      </c>
      <c r="AE925" s="363" t="str">
        <f t="shared" si="356"/>
        <v/>
      </c>
      <c r="AF925" s="342" t="str">
        <f t="shared" si="357"/>
        <v/>
      </c>
      <c r="AG925" s="411" t="e">
        <f ca="1">VLOOKUP(_xlfn.CONCAT(U925,V925,W925,VLOOKUP(X925&amp;Y925,TIME!$L$27:$O$34,4,FALSE),Y925),HIS_SALES!$A$2:$R$5093,18,FALSE)</f>
        <v>#N/A</v>
      </c>
      <c r="AH925" s="412" t="e">
        <f ca="1">IFERROR(IF(AND(V925=V924,W925=W924),0.5*(AB925+AB924)*AG925,(VLOOKUP(_xlfn.CONCAT(U925,V925,W925,X925,VLOOKUP(Z925,TIME!$S$28:$T$39,2,FALSE)),FC_DATA!$R$2:$AB$5000,MATCH("GS_I_M",FC_DATA!$R$1:$AB$1,0),FALSE)+FC_DATA!AB925)*0.5*FC_DATA!AG925),NA())</f>
        <v>#N/A</v>
      </c>
      <c r="AI925" s="491" t="e">
        <f ca="1">IF(V925="PARTNER.com",AH925,IF(AND(V925=V924,W925=W924),(1-AVERAGE(AD924,AD925))*AH925,(1-AVERAGE(AD925,VLOOKUP(_xlfn.CONCAT(U925,V925,W925,X925,M_BRAND_FC!$F$6),FC_DATA!$R$2:$AD$5000,MATCH("DISCOUNT_%_M",FC_DATA!$R$1:$AD$1,0),FALSE)))*AH925))</f>
        <v>#N/A</v>
      </c>
      <c r="AJ925" s="412" t="str">
        <f t="shared" ca="1" si="358"/>
        <v/>
      </c>
      <c r="AK925" s="413" t="str">
        <f>IFERROR(AE925/(Q_BRAND_FC!$T$24+1),"")</f>
        <v/>
      </c>
      <c r="AL925" s="88" t="str">
        <f t="shared" ca="1" si="359"/>
        <v/>
      </c>
      <c r="AM925" s="414" t="str">
        <f t="shared" ca="1" si="360"/>
        <v/>
      </c>
      <c r="AN925" s="58">
        <f>IFERROR(IF($V925="BRAND.com",HLOOKUP($X925&amp;$Z925,NWC_FC_NOOS!$C$4:$Q$23,MATCH(W925,NWC_FC_NOOS!$B$4:$B$23,0),FALSE),0),0)</f>
        <v>0</v>
      </c>
      <c r="AO925" s="57">
        <f>IFERROR(IF($V925="BRAND.com",HLOOKUP($X925&amp;$Z925,NWC_FC_NOOS!$T$4:$AH$23,MATCH(W925,NWC_FC_NOOS!$S$4:$S$23,0),FALSE),0),0)</f>
        <v>0</v>
      </c>
      <c r="AP925" s="57">
        <f>IFERROR(IF($V925="BRAND.com",HLOOKUP($X925&amp;$Z925,NWC_FC_NOOS!$C$50:$U$69,MATCH(W925,NWC_FC_NOOS!$B$50:$B$69,0),FALSE),0),0)</f>
        <v>0</v>
      </c>
      <c r="AQ925" s="58">
        <f>IFERROR(IF($V925="BRAND.com",HLOOKUP($X925&amp;$Z925,'NWC_FC_NON-NOOS'!$C$4:$Q$23,MATCH(W925,'NWC_FC_NON-NOOS'!$B$4:$B$23,0),FALSE),0),0)</f>
        <v>0</v>
      </c>
      <c r="AR925" s="57">
        <f>IFERROR(IF($V925="BRAND.com",HLOOKUP($X925&amp;$Z925,'NWC_FC_NON-NOOS'!$T$4:$AH$23,MATCH(W925,'NWC_FC_NON-NOOS'!$S$4:$S$23,0),FALSE),0),0)</f>
        <v>0</v>
      </c>
      <c r="AS925" s="57">
        <f>IFERROR(IF($V925="BRAND.com",HLOOKUP($X925&amp;$Z925,'NWC_FC_NON-NOOS'!$C$50:$U$69,MATCH(W925,'NWC_FC_NON-NOOS'!$B$50:$B$69,0),FALSE),0),0)</f>
        <v>0</v>
      </c>
      <c r="AT925" s="57">
        <f t="shared" si="362"/>
        <v>0</v>
      </c>
      <c r="AU925" s="57">
        <f t="shared" si="363"/>
        <v>0</v>
      </c>
      <c r="AV925" s="58">
        <f>IFERROR(IF($V925="BRAND.com",HLOOKUP($X925&amp;$Z925,PLANNING_FC!$BB$27:$BP$46,MATCH($W925,PLANNING_FC!$BA$27:$BA$46,0),FALSE),0),0)</f>
        <v>0</v>
      </c>
      <c r="AW925" s="58">
        <f>IFERROR(IF($V925="BRAND.com",HLOOKUP($X925&amp;$Z925,PLANNING_FC!$BB$4:$BP$23,MATCH($W925,PLANNING_FC!$BA$4:$BA$23,0),FALSE),0),0)</f>
        <v>0</v>
      </c>
      <c r="AX925" s="58">
        <f>IFERROR(IF($V925="BRAND.com",HLOOKUP($X925&amp;$Z925,PLANNING_FC!$T$27:$AH$46,MATCH($W925,PLANNING_FC!$B$27:$B$46,0),FALSE),0),0)</f>
        <v>0</v>
      </c>
      <c r="AY925" s="58">
        <f>IFERROR(IF($V925="BRAND.com",HLOOKUP($X925&amp;$Z925,PLANNING_FC!$T$4:$AH$23,MATCH($W925,PLANNING_FC!$B$4:$B$23,0),FALSE),0),0)</f>
        <v>0</v>
      </c>
      <c r="AZ925" s="58">
        <f>IFERROR(IF($V925="BRAND.com",HLOOKUP($X925&amp;$Z925,PLANNING_FC!$DA$27:$DO$46,MATCH($W925,PLANNING_FC!$CZ$27:$CZ$46,0),FALSE),0),0)</f>
        <v>0</v>
      </c>
      <c r="BA925" s="58">
        <f>IFERROR(IF($V925="BRAND.com",HLOOKUP($X925&amp;$Z925,PLANNING_FC!$DA$4:$DO$23,MATCH($W925,PLANNING_FC!$CZ$4:$CZ$23,0),FALSE),0),0)</f>
        <v>0</v>
      </c>
      <c r="BB925" s="883" t="str">
        <f>IF(V925="BRAND.com",IFERROR(HLOOKUP(X925&amp;Z925,PLANNING_FC!$AK$4:$AY$23,MATCH(W925,PLANNING_FC!$AJ$4:$AJ$23,0),FALSE)*1000,""),"")</f>
        <v/>
      </c>
      <c r="BC925" s="883" t="str">
        <f>IF(V925="BRAND.com",IFERROR(HLOOKUP(X925&amp;Z925,PLANNING_FC!$AK$27:$AY$46,MATCH(W925,PLANNING_FC!$AJ$27:$AJ$46,0),FALSE)*1000,""),"")</f>
        <v/>
      </c>
    </row>
    <row r="926" spans="14:55" x14ac:dyDescent="0.25">
      <c r="N926" s="56">
        <f t="shared" si="344"/>
        <v>0</v>
      </c>
      <c r="O926" s="57">
        <f t="shared" si="345"/>
        <v>0</v>
      </c>
      <c r="P926" s="57">
        <f ca="1">IFERROR(IF(ISBLANK(H926),SUMIFS($AC:$AC,$V:$V,V926,$W:$W,W926,$X:$X,X926,$Y:$Y,Y926)*J926/(1-J926)*VLOOKUP(_xlfn.CONCAT(C926,D926,E926,TIME!$M$12,Z926),HIS_SALES!$B$2:$W$4859,20,FALSE),AC926*J926/(1-J926)),0)</f>
        <v>0</v>
      </c>
      <c r="Q926" s="541" t="str">
        <f t="shared" si="346"/>
        <v/>
      </c>
      <c r="R926" s="346" t="str">
        <f t="shared" si="347"/>
        <v>00000</v>
      </c>
      <c r="S926" s="344">
        <f t="shared" si="348"/>
        <v>0</v>
      </c>
      <c r="T926" s="345" t="str">
        <f t="shared" si="361"/>
        <v>000</v>
      </c>
      <c r="U926" s="345">
        <f t="shared" si="349"/>
        <v>0</v>
      </c>
      <c r="V926" s="345">
        <f t="shared" si="350"/>
        <v>0</v>
      </c>
      <c r="W926" s="345">
        <f t="shared" si="351"/>
        <v>0</v>
      </c>
      <c r="X926" s="345">
        <f t="shared" si="352"/>
        <v>0</v>
      </c>
      <c r="Y926" s="345">
        <f t="shared" si="353"/>
        <v>0</v>
      </c>
      <c r="Z926" s="345">
        <f>IF(Q926&lt;&gt;"",VLOOKUP(Y926,TIME!$R$21:$V$24,MATCH(FC_DATA!Q926,TIME!$R$20:$V$20,0),FALSE),H926)</f>
        <v>0</v>
      </c>
      <c r="AA926" s="345" t="str">
        <f>IFERROR(VLOOKUP(X926&amp;Z926,TIME!$A$12:$D$71,4,FALSE),"")</f>
        <v/>
      </c>
      <c r="AB926" s="592">
        <f t="shared" ca="1" si="354"/>
        <v>0</v>
      </c>
      <c r="AC926" s="593" t="e">
        <f ca="1">IF(ISBLANK(H926)=FALSE,IF(D926="BRAND.com",I926,IF(ISNA(VLOOKUP(_xlfn.CONCAT(X926,Z926),TIME!$M$40:$M$42,1,FALSE)),I926,VLOOKUP(_xlfn.CONCAT(D926,G926,H926),M_BUSAREA_FC!$AF$5:$AJ$10,5,FALSE)*HLOOKUP(_xlfn.CONCAT(F926,H926),ST_OVERVIEW!$G$99:$I$130,MATCH(_xlfn.CONCAT(D926,E926),ST_OVERVIEW!$F$99:$F$130,0),FALSE))),IF(D926="BRAND.com",VLOOKUP(_xlfn.CONCAT(C926,D926,E926,TIME!$F$1,Z926),HIS_SALES!$B$2:$V$4859,19,FALSE)*I926,VLOOKUP(_xlfn.CONCAT(D926,F926,G926),Q_BUSAREA_FC!$AE$5:$AI$12,5,FALSE)*HLOOKUP(_xlfn.CONCAT(FC_DATA!F926,FC_DATA!G926),LT_OVERVIEW!$I$99:$M$130,MATCH(_xlfn.CONCAT(D926,FC_DATA!E926),LT_OVERVIEW!$H$99:$H$130,0),FALSE)*IFERROR(VLOOKUP(_xlfn.CONCAT(C926,D926,E926,TIME!$F$1,Z926),HIS_SALES!$B$2:$V$4859,19,FALSE),0)))</f>
        <v>#N/A</v>
      </c>
      <c r="AD926" s="341">
        <f t="shared" ca="1" si="355"/>
        <v>0</v>
      </c>
      <c r="AE926" s="363" t="str">
        <f t="shared" si="356"/>
        <v/>
      </c>
      <c r="AF926" s="342" t="str">
        <f t="shared" si="357"/>
        <v/>
      </c>
      <c r="AG926" s="411" t="e">
        <f ca="1">VLOOKUP(_xlfn.CONCAT(U926,V926,W926,VLOOKUP(X926&amp;Y926,TIME!$L$27:$O$34,4,FALSE),Y926),HIS_SALES!$A$2:$R$5093,18,FALSE)</f>
        <v>#N/A</v>
      </c>
      <c r="AH926" s="412" t="e">
        <f ca="1">IFERROR(IF(AND(V926=V925,W926=W925),0.5*(AB926+AB925)*AG926,(VLOOKUP(_xlfn.CONCAT(U926,V926,W926,X926,VLOOKUP(Z926,TIME!$S$28:$T$39,2,FALSE)),FC_DATA!$R$2:$AB$5000,MATCH("GS_I_M",FC_DATA!$R$1:$AB$1,0),FALSE)+FC_DATA!AB926)*0.5*FC_DATA!AG926),NA())</f>
        <v>#N/A</v>
      </c>
      <c r="AI926" s="491" t="e">
        <f ca="1">IF(V926="PARTNER.com",AH926,IF(AND(V926=V925,W926=W925),(1-AVERAGE(AD925,AD926))*AH926,(1-AVERAGE(AD926,VLOOKUP(_xlfn.CONCAT(U926,V926,W926,X926,M_BRAND_FC!$F$6),FC_DATA!$R$2:$AD$5000,MATCH("DISCOUNT_%_M",FC_DATA!$R$1:$AD$1,0),FALSE)))*AH926))</f>
        <v>#N/A</v>
      </c>
      <c r="AJ926" s="412" t="str">
        <f t="shared" ca="1" si="358"/>
        <v/>
      </c>
      <c r="AK926" s="413" t="str">
        <f>IFERROR(AE926/(Q_BRAND_FC!$T$24+1),"")</f>
        <v/>
      </c>
      <c r="AL926" s="88" t="str">
        <f t="shared" ca="1" si="359"/>
        <v/>
      </c>
      <c r="AM926" s="414" t="str">
        <f t="shared" ca="1" si="360"/>
        <v/>
      </c>
      <c r="AN926" s="58">
        <f>IFERROR(IF($V926="BRAND.com",HLOOKUP($X926&amp;$Z926,NWC_FC_NOOS!$C$4:$Q$23,MATCH(W926,NWC_FC_NOOS!$B$4:$B$23,0),FALSE),0),0)</f>
        <v>0</v>
      </c>
      <c r="AO926" s="57">
        <f>IFERROR(IF($V926="BRAND.com",HLOOKUP($X926&amp;$Z926,NWC_FC_NOOS!$T$4:$AH$23,MATCH(W926,NWC_FC_NOOS!$S$4:$S$23,0),FALSE),0),0)</f>
        <v>0</v>
      </c>
      <c r="AP926" s="57">
        <f>IFERROR(IF($V926="BRAND.com",HLOOKUP($X926&amp;$Z926,NWC_FC_NOOS!$C$50:$U$69,MATCH(W926,NWC_FC_NOOS!$B$50:$B$69,0),FALSE),0),0)</f>
        <v>0</v>
      </c>
      <c r="AQ926" s="58">
        <f>IFERROR(IF($V926="BRAND.com",HLOOKUP($X926&amp;$Z926,'NWC_FC_NON-NOOS'!$C$4:$Q$23,MATCH(W926,'NWC_FC_NON-NOOS'!$B$4:$B$23,0),FALSE),0),0)</f>
        <v>0</v>
      </c>
      <c r="AR926" s="57">
        <f>IFERROR(IF($V926="BRAND.com",HLOOKUP($X926&amp;$Z926,'NWC_FC_NON-NOOS'!$T$4:$AH$23,MATCH(W926,'NWC_FC_NON-NOOS'!$S$4:$S$23,0),FALSE),0),0)</f>
        <v>0</v>
      </c>
      <c r="AS926" s="57">
        <f>IFERROR(IF($V926="BRAND.com",HLOOKUP($X926&amp;$Z926,'NWC_FC_NON-NOOS'!$C$50:$U$69,MATCH(W926,'NWC_FC_NON-NOOS'!$B$50:$B$69,0),FALSE),0),0)</f>
        <v>0</v>
      </c>
      <c r="AT926" s="57">
        <f t="shared" si="362"/>
        <v>0</v>
      </c>
      <c r="AU926" s="57">
        <f t="shared" si="363"/>
        <v>0</v>
      </c>
      <c r="AV926" s="58">
        <f>IFERROR(IF($V926="BRAND.com",HLOOKUP($X926&amp;$Z926,PLANNING_FC!$BB$27:$BP$46,MATCH($W926,PLANNING_FC!$BA$27:$BA$46,0),FALSE),0),0)</f>
        <v>0</v>
      </c>
      <c r="AW926" s="58">
        <f>IFERROR(IF($V926="BRAND.com",HLOOKUP($X926&amp;$Z926,PLANNING_FC!$BB$4:$BP$23,MATCH($W926,PLANNING_FC!$BA$4:$BA$23,0),FALSE),0),0)</f>
        <v>0</v>
      </c>
      <c r="AX926" s="58">
        <f>IFERROR(IF($V926="BRAND.com",HLOOKUP($X926&amp;$Z926,PLANNING_FC!$T$27:$AH$46,MATCH($W926,PLANNING_FC!$B$27:$B$46,0),FALSE),0),0)</f>
        <v>0</v>
      </c>
      <c r="AY926" s="58">
        <f>IFERROR(IF($V926="BRAND.com",HLOOKUP($X926&amp;$Z926,PLANNING_FC!$T$4:$AH$23,MATCH($W926,PLANNING_FC!$B$4:$B$23,0),FALSE),0),0)</f>
        <v>0</v>
      </c>
      <c r="AZ926" s="58">
        <f>IFERROR(IF($V926="BRAND.com",HLOOKUP($X926&amp;$Z926,PLANNING_FC!$DA$27:$DO$46,MATCH($W926,PLANNING_FC!$CZ$27:$CZ$46,0),FALSE),0),0)</f>
        <v>0</v>
      </c>
      <c r="BA926" s="58">
        <f>IFERROR(IF($V926="BRAND.com",HLOOKUP($X926&amp;$Z926,PLANNING_FC!$DA$4:$DO$23,MATCH($W926,PLANNING_FC!$CZ$4:$CZ$23,0),FALSE),0),0)</f>
        <v>0</v>
      </c>
      <c r="BB926" s="883" t="str">
        <f>IF(V926="BRAND.com",IFERROR(HLOOKUP(X926&amp;Z926,PLANNING_FC!$AK$4:$AY$23,MATCH(W926,PLANNING_FC!$AJ$4:$AJ$23,0),FALSE)*1000,""),"")</f>
        <v/>
      </c>
      <c r="BC926" s="883" t="str">
        <f>IF(V926="BRAND.com",IFERROR(HLOOKUP(X926&amp;Z926,PLANNING_FC!$AK$27:$AY$46,MATCH(W926,PLANNING_FC!$AJ$27:$AJ$46,0),FALSE)*1000,""),"")</f>
        <v/>
      </c>
    </row>
    <row r="927" spans="14:55" x14ac:dyDescent="0.25">
      <c r="N927" s="56">
        <f t="shared" si="344"/>
        <v>0</v>
      </c>
      <c r="O927" s="57">
        <f t="shared" si="345"/>
        <v>0</v>
      </c>
      <c r="P927" s="57">
        <f ca="1">IFERROR(IF(ISBLANK(H927),SUMIFS($AC:$AC,$V:$V,V927,$W:$W,W927,$X:$X,X927,$Y:$Y,Y927)*J927/(1-J927)*VLOOKUP(_xlfn.CONCAT(C927,D927,E927,TIME!$M$12,Z927),HIS_SALES!$B$2:$W$4859,20,FALSE),AC927*J927/(1-J927)),0)</f>
        <v>0</v>
      </c>
      <c r="Q927" s="541" t="str">
        <f t="shared" si="346"/>
        <v/>
      </c>
      <c r="R927" s="346" t="str">
        <f t="shared" si="347"/>
        <v>00000</v>
      </c>
      <c r="S927" s="344">
        <f t="shared" si="348"/>
        <v>0</v>
      </c>
      <c r="T927" s="345" t="str">
        <f t="shared" si="361"/>
        <v>000</v>
      </c>
      <c r="U927" s="345">
        <f t="shared" si="349"/>
        <v>0</v>
      </c>
      <c r="V927" s="345">
        <f t="shared" si="350"/>
        <v>0</v>
      </c>
      <c r="W927" s="345">
        <f t="shared" si="351"/>
        <v>0</v>
      </c>
      <c r="X927" s="345">
        <f t="shared" si="352"/>
        <v>0</v>
      </c>
      <c r="Y927" s="345">
        <f t="shared" si="353"/>
        <v>0</v>
      </c>
      <c r="Z927" s="345">
        <f>IF(Q927&lt;&gt;"",VLOOKUP(Y927,TIME!$R$21:$V$24,MATCH(FC_DATA!Q927,TIME!$R$20:$V$20,0),FALSE),H927)</f>
        <v>0</v>
      </c>
      <c r="AA927" s="345" t="str">
        <f>IFERROR(VLOOKUP(X927&amp;Z927,TIME!$A$12:$D$71,4,FALSE),"")</f>
        <v/>
      </c>
      <c r="AB927" s="592">
        <f t="shared" ca="1" si="354"/>
        <v>0</v>
      </c>
      <c r="AC927" s="593" t="e">
        <f ca="1">IF(ISBLANK(H927)=FALSE,IF(D927="BRAND.com",I927,IF(ISNA(VLOOKUP(_xlfn.CONCAT(X927,Z927),TIME!$M$40:$M$42,1,FALSE)),I927,VLOOKUP(_xlfn.CONCAT(D927,G927,H927),M_BUSAREA_FC!$AF$5:$AJ$10,5,FALSE)*HLOOKUP(_xlfn.CONCAT(F927,H927),ST_OVERVIEW!$G$99:$I$130,MATCH(_xlfn.CONCAT(D927,E927),ST_OVERVIEW!$F$99:$F$130,0),FALSE))),IF(D927="BRAND.com",VLOOKUP(_xlfn.CONCAT(C927,D927,E927,TIME!$F$1,Z927),HIS_SALES!$B$2:$V$4859,19,FALSE)*I927,VLOOKUP(_xlfn.CONCAT(D927,F927,G927),Q_BUSAREA_FC!$AE$5:$AI$12,5,FALSE)*HLOOKUP(_xlfn.CONCAT(FC_DATA!F927,FC_DATA!G927),LT_OVERVIEW!$I$99:$M$130,MATCH(_xlfn.CONCAT(D927,FC_DATA!E927),LT_OVERVIEW!$H$99:$H$130,0),FALSE)*IFERROR(VLOOKUP(_xlfn.CONCAT(C927,D927,E927,TIME!$F$1,Z927),HIS_SALES!$B$2:$V$4859,19,FALSE),0)))</f>
        <v>#N/A</v>
      </c>
      <c r="AD927" s="341">
        <f t="shared" ca="1" si="355"/>
        <v>0</v>
      </c>
      <c r="AE927" s="363" t="str">
        <f t="shared" si="356"/>
        <v/>
      </c>
      <c r="AF927" s="342" t="str">
        <f t="shared" si="357"/>
        <v/>
      </c>
      <c r="AG927" s="411" t="e">
        <f ca="1">VLOOKUP(_xlfn.CONCAT(U927,V927,W927,VLOOKUP(X927&amp;Y927,TIME!$L$27:$O$34,4,FALSE),Y927),HIS_SALES!$A$2:$R$5093,18,FALSE)</f>
        <v>#N/A</v>
      </c>
      <c r="AH927" s="412" t="e">
        <f ca="1">IFERROR(IF(AND(V927=V926,W927=W926),0.5*(AB927+AB926)*AG927,(VLOOKUP(_xlfn.CONCAT(U927,V927,W927,X927,VLOOKUP(Z927,TIME!$S$28:$T$39,2,FALSE)),FC_DATA!$R$2:$AB$5000,MATCH("GS_I_M",FC_DATA!$R$1:$AB$1,0),FALSE)+FC_DATA!AB927)*0.5*FC_DATA!AG927),NA())</f>
        <v>#N/A</v>
      </c>
      <c r="AI927" s="491" t="e">
        <f ca="1">IF(V927="PARTNER.com",AH927,IF(AND(V927=V926,W927=W926),(1-AVERAGE(AD926,AD927))*AH927,(1-AVERAGE(AD927,VLOOKUP(_xlfn.CONCAT(U927,V927,W927,X927,M_BRAND_FC!$F$6),FC_DATA!$R$2:$AD$5000,MATCH("DISCOUNT_%_M",FC_DATA!$R$1:$AD$1,0),FALSE)))*AH927))</f>
        <v>#N/A</v>
      </c>
      <c r="AJ927" s="412" t="str">
        <f t="shared" ca="1" si="358"/>
        <v/>
      </c>
      <c r="AK927" s="413" t="str">
        <f>IFERROR(AE927/(Q_BRAND_FC!$T$24+1),"")</f>
        <v/>
      </c>
      <c r="AL927" s="88" t="str">
        <f t="shared" ca="1" si="359"/>
        <v/>
      </c>
      <c r="AM927" s="414" t="str">
        <f t="shared" ca="1" si="360"/>
        <v/>
      </c>
      <c r="AN927" s="58">
        <f>IFERROR(IF($V927="BRAND.com",HLOOKUP($X927&amp;$Z927,NWC_FC_NOOS!$C$4:$Q$23,MATCH(W927,NWC_FC_NOOS!$B$4:$B$23,0),FALSE),0),0)</f>
        <v>0</v>
      </c>
      <c r="AO927" s="57">
        <f>IFERROR(IF($V927="BRAND.com",HLOOKUP($X927&amp;$Z927,NWC_FC_NOOS!$T$4:$AH$23,MATCH(W927,NWC_FC_NOOS!$S$4:$S$23,0),FALSE),0),0)</f>
        <v>0</v>
      </c>
      <c r="AP927" s="57">
        <f>IFERROR(IF($V927="BRAND.com",HLOOKUP($X927&amp;$Z927,NWC_FC_NOOS!$C$50:$U$69,MATCH(W927,NWC_FC_NOOS!$B$50:$B$69,0),FALSE),0),0)</f>
        <v>0</v>
      </c>
      <c r="AQ927" s="58">
        <f>IFERROR(IF($V927="BRAND.com",HLOOKUP($X927&amp;$Z927,'NWC_FC_NON-NOOS'!$C$4:$Q$23,MATCH(W927,'NWC_FC_NON-NOOS'!$B$4:$B$23,0),FALSE),0),0)</f>
        <v>0</v>
      </c>
      <c r="AR927" s="57">
        <f>IFERROR(IF($V927="BRAND.com",HLOOKUP($X927&amp;$Z927,'NWC_FC_NON-NOOS'!$T$4:$AH$23,MATCH(W927,'NWC_FC_NON-NOOS'!$S$4:$S$23,0),FALSE),0),0)</f>
        <v>0</v>
      </c>
      <c r="AS927" s="57">
        <f>IFERROR(IF($V927="BRAND.com",HLOOKUP($X927&amp;$Z927,'NWC_FC_NON-NOOS'!$C$50:$U$69,MATCH(W927,'NWC_FC_NON-NOOS'!$B$50:$B$69,0),FALSE),0),0)</f>
        <v>0</v>
      </c>
      <c r="AT927" s="57">
        <f t="shared" si="362"/>
        <v>0</v>
      </c>
      <c r="AU927" s="57">
        <f t="shared" si="363"/>
        <v>0</v>
      </c>
      <c r="AV927" s="58">
        <f>IFERROR(IF($V927="BRAND.com",HLOOKUP($X927&amp;$Z927,PLANNING_FC!$BB$27:$BP$46,MATCH($W927,PLANNING_FC!$BA$27:$BA$46,0),FALSE),0),0)</f>
        <v>0</v>
      </c>
      <c r="AW927" s="58">
        <f>IFERROR(IF($V927="BRAND.com",HLOOKUP($X927&amp;$Z927,PLANNING_FC!$BB$4:$BP$23,MATCH($W927,PLANNING_FC!$BA$4:$BA$23,0),FALSE),0),0)</f>
        <v>0</v>
      </c>
      <c r="AX927" s="58">
        <f>IFERROR(IF($V927="BRAND.com",HLOOKUP($X927&amp;$Z927,PLANNING_FC!$T$27:$AH$46,MATCH($W927,PLANNING_FC!$B$27:$B$46,0),FALSE),0),0)</f>
        <v>0</v>
      </c>
      <c r="AY927" s="58">
        <f>IFERROR(IF($V927="BRAND.com",HLOOKUP($X927&amp;$Z927,PLANNING_FC!$T$4:$AH$23,MATCH($W927,PLANNING_FC!$B$4:$B$23,0),FALSE),0),0)</f>
        <v>0</v>
      </c>
      <c r="AZ927" s="58">
        <f>IFERROR(IF($V927="BRAND.com",HLOOKUP($X927&amp;$Z927,PLANNING_FC!$DA$27:$DO$46,MATCH($W927,PLANNING_FC!$CZ$27:$CZ$46,0),FALSE),0),0)</f>
        <v>0</v>
      </c>
      <c r="BA927" s="58">
        <f>IFERROR(IF($V927="BRAND.com",HLOOKUP($X927&amp;$Z927,PLANNING_FC!$DA$4:$DO$23,MATCH($W927,PLANNING_FC!$CZ$4:$CZ$23,0),FALSE),0),0)</f>
        <v>0</v>
      </c>
      <c r="BB927" s="883" t="str">
        <f>IF(V927="BRAND.com",IFERROR(HLOOKUP(X927&amp;Z927,PLANNING_FC!$AK$4:$AY$23,MATCH(W927,PLANNING_FC!$AJ$4:$AJ$23,0),FALSE)*1000,""),"")</f>
        <v/>
      </c>
      <c r="BC927" s="883" t="str">
        <f>IF(V927="BRAND.com",IFERROR(HLOOKUP(X927&amp;Z927,PLANNING_FC!$AK$27:$AY$46,MATCH(W927,PLANNING_FC!$AJ$27:$AJ$46,0),FALSE)*1000,""),"")</f>
        <v/>
      </c>
    </row>
    <row r="928" spans="14:55" x14ac:dyDescent="0.25">
      <c r="N928" s="56">
        <f t="shared" si="344"/>
        <v>0</v>
      </c>
      <c r="O928" s="57">
        <f t="shared" si="345"/>
        <v>0</v>
      </c>
      <c r="P928" s="57">
        <f ca="1">IFERROR(IF(ISBLANK(H928),SUMIFS($AC:$AC,$V:$V,V928,$W:$W,W928,$X:$X,X928,$Y:$Y,Y928)*J928/(1-J928)*VLOOKUP(_xlfn.CONCAT(C928,D928,E928,TIME!$M$12,Z928),HIS_SALES!$B$2:$W$4859,20,FALSE),AC928*J928/(1-J928)),0)</f>
        <v>0</v>
      </c>
      <c r="Q928" s="541" t="str">
        <f t="shared" si="346"/>
        <v/>
      </c>
      <c r="R928" s="346" t="str">
        <f t="shared" si="347"/>
        <v>00000</v>
      </c>
      <c r="S928" s="344">
        <f t="shared" si="348"/>
        <v>0</v>
      </c>
      <c r="T928" s="345" t="str">
        <f t="shared" si="361"/>
        <v>000</v>
      </c>
      <c r="U928" s="345">
        <f t="shared" si="349"/>
        <v>0</v>
      </c>
      <c r="V928" s="345">
        <f t="shared" si="350"/>
        <v>0</v>
      </c>
      <c r="W928" s="345">
        <f t="shared" si="351"/>
        <v>0</v>
      </c>
      <c r="X928" s="345">
        <f t="shared" si="352"/>
        <v>0</v>
      </c>
      <c r="Y928" s="345">
        <f t="shared" si="353"/>
        <v>0</v>
      </c>
      <c r="Z928" s="345">
        <f>IF(Q928&lt;&gt;"",VLOOKUP(Y928,TIME!$R$21:$V$24,MATCH(FC_DATA!Q928,TIME!$R$20:$V$20,0),FALSE),H928)</f>
        <v>0</v>
      </c>
      <c r="AA928" s="345" t="str">
        <f>IFERROR(VLOOKUP(X928&amp;Z928,TIME!$A$12:$D$71,4,FALSE),"")</f>
        <v/>
      </c>
      <c r="AB928" s="592">
        <f t="shared" ca="1" si="354"/>
        <v>0</v>
      </c>
      <c r="AC928" s="593" t="e">
        <f ca="1">IF(ISBLANK(H928)=FALSE,IF(D928="BRAND.com",I928,IF(ISNA(VLOOKUP(_xlfn.CONCAT(X928,Z928),TIME!$M$40:$M$42,1,FALSE)),I928,VLOOKUP(_xlfn.CONCAT(D928,G928,H928),M_BUSAREA_FC!$AF$5:$AJ$10,5,FALSE)*HLOOKUP(_xlfn.CONCAT(F928,H928),ST_OVERVIEW!$G$99:$I$130,MATCH(_xlfn.CONCAT(D928,E928),ST_OVERVIEW!$F$99:$F$130,0),FALSE))),IF(D928="BRAND.com",VLOOKUP(_xlfn.CONCAT(C928,D928,E928,TIME!$F$1,Z928),HIS_SALES!$B$2:$V$4859,19,FALSE)*I928,VLOOKUP(_xlfn.CONCAT(D928,F928,G928),Q_BUSAREA_FC!$AE$5:$AI$12,5,FALSE)*HLOOKUP(_xlfn.CONCAT(FC_DATA!F928,FC_DATA!G928),LT_OVERVIEW!$I$99:$M$130,MATCH(_xlfn.CONCAT(D928,FC_DATA!E928),LT_OVERVIEW!$H$99:$H$130,0),FALSE)*IFERROR(VLOOKUP(_xlfn.CONCAT(C928,D928,E928,TIME!$F$1,Z928),HIS_SALES!$B$2:$V$4859,19,FALSE),0)))</f>
        <v>#N/A</v>
      </c>
      <c r="AD928" s="341">
        <f t="shared" ca="1" si="355"/>
        <v>0</v>
      </c>
      <c r="AE928" s="363" t="str">
        <f t="shared" si="356"/>
        <v/>
      </c>
      <c r="AF928" s="342" t="str">
        <f t="shared" si="357"/>
        <v/>
      </c>
      <c r="AG928" s="411" t="e">
        <f ca="1">VLOOKUP(_xlfn.CONCAT(U928,V928,W928,VLOOKUP(X928&amp;Y928,TIME!$L$27:$O$34,4,FALSE),Y928),HIS_SALES!$A$2:$R$5093,18,FALSE)</f>
        <v>#N/A</v>
      </c>
      <c r="AH928" s="412" t="e">
        <f ca="1">IFERROR(IF(AND(V928=V927,W928=W927),0.5*(AB928+AB927)*AG928,(VLOOKUP(_xlfn.CONCAT(U928,V928,W928,X928,VLOOKUP(Z928,TIME!$S$28:$T$39,2,FALSE)),FC_DATA!$R$2:$AB$5000,MATCH("GS_I_M",FC_DATA!$R$1:$AB$1,0),FALSE)+FC_DATA!AB928)*0.5*FC_DATA!AG928),NA())</f>
        <v>#N/A</v>
      </c>
      <c r="AI928" s="491" t="e">
        <f ca="1">IF(V928="PARTNER.com",AH928,IF(AND(V928=V927,W928=W927),(1-AVERAGE(AD927,AD928))*AH928,(1-AVERAGE(AD928,VLOOKUP(_xlfn.CONCAT(U928,V928,W928,X928,M_BRAND_FC!$F$6),FC_DATA!$R$2:$AD$5000,MATCH("DISCOUNT_%_M",FC_DATA!$R$1:$AD$1,0),FALSE)))*AH928))</f>
        <v>#N/A</v>
      </c>
      <c r="AJ928" s="412" t="str">
        <f t="shared" ca="1" si="358"/>
        <v/>
      </c>
      <c r="AK928" s="413" t="str">
        <f>IFERROR(AE928/(Q_BRAND_FC!$T$24+1),"")</f>
        <v/>
      </c>
      <c r="AL928" s="88" t="str">
        <f t="shared" ca="1" si="359"/>
        <v/>
      </c>
      <c r="AM928" s="414" t="str">
        <f t="shared" ca="1" si="360"/>
        <v/>
      </c>
      <c r="AN928" s="58">
        <f>IFERROR(IF($V928="BRAND.com",HLOOKUP($X928&amp;$Z928,NWC_FC_NOOS!$C$4:$Q$23,MATCH(W928,NWC_FC_NOOS!$B$4:$B$23,0),FALSE),0),0)</f>
        <v>0</v>
      </c>
      <c r="AO928" s="57">
        <f>IFERROR(IF($V928="BRAND.com",HLOOKUP($X928&amp;$Z928,NWC_FC_NOOS!$T$4:$AH$23,MATCH(W928,NWC_FC_NOOS!$S$4:$S$23,0),FALSE),0),0)</f>
        <v>0</v>
      </c>
      <c r="AP928" s="57">
        <f>IFERROR(IF($V928="BRAND.com",HLOOKUP($X928&amp;$Z928,NWC_FC_NOOS!$C$50:$U$69,MATCH(W928,NWC_FC_NOOS!$B$50:$B$69,0),FALSE),0),0)</f>
        <v>0</v>
      </c>
      <c r="AQ928" s="58">
        <f>IFERROR(IF($V928="BRAND.com",HLOOKUP($X928&amp;$Z928,'NWC_FC_NON-NOOS'!$C$4:$Q$23,MATCH(W928,'NWC_FC_NON-NOOS'!$B$4:$B$23,0),FALSE),0),0)</f>
        <v>0</v>
      </c>
      <c r="AR928" s="57">
        <f>IFERROR(IF($V928="BRAND.com",HLOOKUP($X928&amp;$Z928,'NWC_FC_NON-NOOS'!$T$4:$AH$23,MATCH(W928,'NWC_FC_NON-NOOS'!$S$4:$S$23,0),FALSE),0),0)</f>
        <v>0</v>
      </c>
      <c r="AS928" s="57">
        <f>IFERROR(IF($V928="BRAND.com",HLOOKUP($X928&amp;$Z928,'NWC_FC_NON-NOOS'!$C$50:$U$69,MATCH(W928,'NWC_FC_NON-NOOS'!$B$50:$B$69,0),FALSE),0),0)</f>
        <v>0</v>
      </c>
      <c r="AT928" s="57">
        <f t="shared" si="362"/>
        <v>0</v>
      </c>
      <c r="AU928" s="57">
        <f t="shared" si="363"/>
        <v>0</v>
      </c>
      <c r="AV928" s="58">
        <f>IFERROR(IF($V928="BRAND.com",HLOOKUP($X928&amp;$Z928,PLANNING_FC!$BB$27:$BP$46,MATCH($W928,PLANNING_FC!$BA$27:$BA$46,0),FALSE),0),0)</f>
        <v>0</v>
      </c>
      <c r="AW928" s="58">
        <f>IFERROR(IF($V928="BRAND.com",HLOOKUP($X928&amp;$Z928,PLANNING_FC!$BB$4:$BP$23,MATCH($W928,PLANNING_FC!$BA$4:$BA$23,0),FALSE),0),0)</f>
        <v>0</v>
      </c>
      <c r="AX928" s="58">
        <f>IFERROR(IF($V928="BRAND.com",HLOOKUP($X928&amp;$Z928,PLANNING_FC!$T$27:$AH$46,MATCH($W928,PLANNING_FC!$B$27:$B$46,0),FALSE),0),0)</f>
        <v>0</v>
      </c>
      <c r="AY928" s="58">
        <f>IFERROR(IF($V928="BRAND.com",HLOOKUP($X928&amp;$Z928,PLANNING_FC!$T$4:$AH$23,MATCH($W928,PLANNING_FC!$B$4:$B$23,0),FALSE),0),0)</f>
        <v>0</v>
      </c>
      <c r="AZ928" s="58">
        <f>IFERROR(IF($V928="BRAND.com",HLOOKUP($X928&amp;$Z928,PLANNING_FC!$DA$27:$DO$46,MATCH($W928,PLANNING_FC!$CZ$27:$CZ$46,0),FALSE),0),0)</f>
        <v>0</v>
      </c>
      <c r="BA928" s="58">
        <f>IFERROR(IF($V928="BRAND.com",HLOOKUP($X928&amp;$Z928,PLANNING_FC!$DA$4:$DO$23,MATCH($W928,PLANNING_FC!$CZ$4:$CZ$23,0),FALSE),0),0)</f>
        <v>0</v>
      </c>
      <c r="BB928" s="883" t="str">
        <f>IF(V928="BRAND.com",IFERROR(HLOOKUP(X928&amp;Z928,PLANNING_FC!$AK$4:$AY$23,MATCH(W928,PLANNING_FC!$AJ$4:$AJ$23,0),FALSE)*1000,""),"")</f>
        <v/>
      </c>
      <c r="BC928" s="883" t="str">
        <f>IF(V928="BRAND.com",IFERROR(HLOOKUP(X928&amp;Z928,PLANNING_FC!$AK$27:$AY$46,MATCH(W928,PLANNING_FC!$AJ$27:$AJ$46,0),FALSE)*1000,""),"")</f>
        <v/>
      </c>
    </row>
    <row r="929" spans="14:55" x14ac:dyDescent="0.25">
      <c r="N929" s="56">
        <f t="shared" si="344"/>
        <v>0</v>
      </c>
      <c r="O929" s="57">
        <f t="shared" si="345"/>
        <v>0</v>
      </c>
      <c r="P929" s="57">
        <f ca="1">IFERROR(IF(ISBLANK(H929),SUMIFS($AC:$AC,$V:$V,V929,$W:$W,W929,$X:$X,X929,$Y:$Y,Y929)*J929/(1-J929)*VLOOKUP(_xlfn.CONCAT(C929,D929,E929,TIME!$M$12,Z929),HIS_SALES!$B$2:$W$4859,20,FALSE),AC929*J929/(1-J929)),0)</f>
        <v>0</v>
      </c>
      <c r="Q929" s="541" t="str">
        <f t="shared" si="346"/>
        <v/>
      </c>
      <c r="R929" s="346" t="str">
        <f t="shared" si="347"/>
        <v>00000</v>
      </c>
      <c r="S929" s="344">
        <f t="shared" si="348"/>
        <v>0</v>
      </c>
      <c r="T929" s="345" t="str">
        <f t="shared" si="361"/>
        <v>000</v>
      </c>
      <c r="U929" s="345">
        <f t="shared" si="349"/>
        <v>0</v>
      </c>
      <c r="V929" s="345">
        <f t="shared" si="350"/>
        <v>0</v>
      </c>
      <c r="W929" s="345">
        <f t="shared" si="351"/>
        <v>0</v>
      </c>
      <c r="X929" s="345">
        <f t="shared" si="352"/>
        <v>0</v>
      </c>
      <c r="Y929" s="345">
        <f t="shared" si="353"/>
        <v>0</v>
      </c>
      <c r="Z929" s="345">
        <f>IF(Q929&lt;&gt;"",VLOOKUP(Y929,TIME!$R$21:$V$24,MATCH(FC_DATA!Q929,TIME!$R$20:$V$20,0),FALSE),H929)</f>
        <v>0</v>
      </c>
      <c r="AA929" s="345" t="str">
        <f>IFERROR(VLOOKUP(X929&amp;Z929,TIME!$A$12:$D$71,4,FALSE),"")</f>
        <v/>
      </c>
      <c r="AB929" s="592">
        <f t="shared" ca="1" si="354"/>
        <v>0</v>
      </c>
      <c r="AC929" s="593" t="e">
        <f ca="1">IF(ISBLANK(H929)=FALSE,IF(D929="BRAND.com",I929,IF(ISNA(VLOOKUP(_xlfn.CONCAT(X929,Z929),TIME!$M$40:$M$42,1,FALSE)),I929,VLOOKUP(_xlfn.CONCAT(D929,G929,H929),M_BUSAREA_FC!$AF$5:$AJ$10,5,FALSE)*HLOOKUP(_xlfn.CONCAT(F929,H929),ST_OVERVIEW!$G$99:$I$130,MATCH(_xlfn.CONCAT(D929,E929),ST_OVERVIEW!$F$99:$F$130,0),FALSE))),IF(D929="BRAND.com",VLOOKUP(_xlfn.CONCAT(C929,D929,E929,TIME!$F$1,Z929),HIS_SALES!$B$2:$V$4859,19,FALSE)*I929,VLOOKUP(_xlfn.CONCAT(D929,F929,G929),Q_BUSAREA_FC!$AE$5:$AI$12,5,FALSE)*HLOOKUP(_xlfn.CONCAT(FC_DATA!F929,FC_DATA!G929),LT_OVERVIEW!$I$99:$M$130,MATCH(_xlfn.CONCAT(D929,FC_DATA!E929),LT_OVERVIEW!$H$99:$H$130,0),FALSE)*IFERROR(VLOOKUP(_xlfn.CONCAT(C929,D929,E929,TIME!$F$1,Z929),HIS_SALES!$B$2:$V$4859,19,FALSE),0)))</f>
        <v>#N/A</v>
      </c>
      <c r="AD929" s="341">
        <f t="shared" ca="1" si="355"/>
        <v>0</v>
      </c>
      <c r="AE929" s="363" t="str">
        <f t="shared" si="356"/>
        <v/>
      </c>
      <c r="AF929" s="342" t="str">
        <f t="shared" si="357"/>
        <v/>
      </c>
      <c r="AG929" s="411" t="e">
        <f ca="1">VLOOKUP(_xlfn.CONCAT(U929,V929,W929,VLOOKUP(X929&amp;Y929,TIME!$L$27:$O$34,4,FALSE),Y929),HIS_SALES!$A$2:$R$5093,18,FALSE)</f>
        <v>#N/A</v>
      </c>
      <c r="AH929" s="412" t="e">
        <f ca="1">IFERROR(IF(AND(V929=V928,W929=W928),0.5*(AB929+AB928)*AG929,(VLOOKUP(_xlfn.CONCAT(U929,V929,W929,X929,VLOOKUP(Z929,TIME!$S$28:$T$39,2,FALSE)),FC_DATA!$R$2:$AB$5000,MATCH("GS_I_M",FC_DATA!$R$1:$AB$1,0),FALSE)+FC_DATA!AB929)*0.5*FC_DATA!AG929),NA())</f>
        <v>#N/A</v>
      </c>
      <c r="AI929" s="491" t="e">
        <f ca="1">IF(V929="PARTNER.com",AH929,IF(AND(V929=V928,W929=W928),(1-AVERAGE(AD928,AD929))*AH929,(1-AVERAGE(AD929,VLOOKUP(_xlfn.CONCAT(U929,V929,W929,X929,M_BRAND_FC!$F$6),FC_DATA!$R$2:$AD$5000,MATCH("DISCOUNT_%_M",FC_DATA!$R$1:$AD$1,0),FALSE)))*AH929))</f>
        <v>#N/A</v>
      </c>
      <c r="AJ929" s="412" t="str">
        <f t="shared" ca="1" si="358"/>
        <v/>
      </c>
      <c r="AK929" s="413" t="str">
        <f>IFERROR(AE929/(Q_BRAND_FC!$T$24+1),"")</f>
        <v/>
      </c>
      <c r="AL929" s="88" t="str">
        <f t="shared" ca="1" si="359"/>
        <v/>
      </c>
      <c r="AM929" s="414" t="str">
        <f t="shared" ca="1" si="360"/>
        <v/>
      </c>
      <c r="AN929" s="58">
        <f>IFERROR(IF($V929="BRAND.com",HLOOKUP($X929&amp;$Z929,NWC_FC_NOOS!$C$4:$Q$23,MATCH(W929,NWC_FC_NOOS!$B$4:$B$23,0),FALSE),0),0)</f>
        <v>0</v>
      </c>
      <c r="AO929" s="57">
        <f>IFERROR(IF($V929="BRAND.com",HLOOKUP($X929&amp;$Z929,NWC_FC_NOOS!$T$4:$AH$23,MATCH(W929,NWC_FC_NOOS!$S$4:$S$23,0),FALSE),0),0)</f>
        <v>0</v>
      </c>
      <c r="AP929" s="57">
        <f>IFERROR(IF($V929="BRAND.com",HLOOKUP($X929&amp;$Z929,NWC_FC_NOOS!$C$50:$U$69,MATCH(W929,NWC_FC_NOOS!$B$50:$B$69,0),FALSE),0),0)</f>
        <v>0</v>
      </c>
      <c r="AQ929" s="58">
        <f>IFERROR(IF($V929="BRAND.com",HLOOKUP($X929&amp;$Z929,'NWC_FC_NON-NOOS'!$C$4:$Q$23,MATCH(W929,'NWC_FC_NON-NOOS'!$B$4:$B$23,0),FALSE),0),0)</f>
        <v>0</v>
      </c>
      <c r="AR929" s="57">
        <f>IFERROR(IF($V929="BRAND.com",HLOOKUP($X929&amp;$Z929,'NWC_FC_NON-NOOS'!$T$4:$AH$23,MATCH(W929,'NWC_FC_NON-NOOS'!$S$4:$S$23,0),FALSE),0),0)</f>
        <v>0</v>
      </c>
      <c r="AS929" s="57">
        <f>IFERROR(IF($V929="BRAND.com",HLOOKUP($X929&amp;$Z929,'NWC_FC_NON-NOOS'!$C$50:$U$69,MATCH(W929,'NWC_FC_NON-NOOS'!$B$50:$B$69,0),FALSE),0),0)</f>
        <v>0</v>
      </c>
      <c r="AT929" s="57">
        <f t="shared" si="362"/>
        <v>0</v>
      </c>
      <c r="AU929" s="57">
        <f t="shared" si="363"/>
        <v>0</v>
      </c>
      <c r="AV929" s="58">
        <f>IFERROR(IF($V929="BRAND.com",HLOOKUP($X929&amp;$Z929,PLANNING_FC!$BB$27:$BP$46,MATCH($W929,PLANNING_FC!$BA$27:$BA$46,0),FALSE),0),0)</f>
        <v>0</v>
      </c>
      <c r="AW929" s="58">
        <f>IFERROR(IF($V929="BRAND.com",HLOOKUP($X929&amp;$Z929,PLANNING_FC!$BB$4:$BP$23,MATCH($W929,PLANNING_FC!$BA$4:$BA$23,0),FALSE),0),0)</f>
        <v>0</v>
      </c>
      <c r="AX929" s="58">
        <f>IFERROR(IF($V929="BRAND.com",HLOOKUP($X929&amp;$Z929,PLANNING_FC!$T$27:$AH$46,MATCH($W929,PLANNING_FC!$B$27:$B$46,0),FALSE),0),0)</f>
        <v>0</v>
      </c>
      <c r="AY929" s="58">
        <f>IFERROR(IF($V929="BRAND.com",HLOOKUP($X929&amp;$Z929,PLANNING_FC!$T$4:$AH$23,MATCH($W929,PLANNING_FC!$B$4:$B$23,0),FALSE),0),0)</f>
        <v>0</v>
      </c>
      <c r="AZ929" s="58">
        <f>IFERROR(IF($V929="BRAND.com",HLOOKUP($X929&amp;$Z929,PLANNING_FC!$DA$27:$DO$46,MATCH($W929,PLANNING_FC!$CZ$27:$CZ$46,0),FALSE),0),0)</f>
        <v>0</v>
      </c>
      <c r="BA929" s="58">
        <f>IFERROR(IF($V929="BRAND.com",HLOOKUP($X929&amp;$Z929,PLANNING_FC!$DA$4:$DO$23,MATCH($W929,PLANNING_FC!$CZ$4:$CZ$23,0),FALSE),0),0)</f>
        <v>0</v>
      </c>
      <c r="BB929" s="883" t="str">
        <f>IF(V929="BRAND.com",IFERROR(HLOOKUP(X929&amp;Z929,PLANNING_FC!$AK$4:$AY$23,MATCH(W929,PLANNING_FC!$AJ$4:$AJ$23,0),FALSE)*1000,""),"")</f>
        <v/>
      </c>
      <c r="BC929" s="883" t="str">
        <f>IF(V929="BRAND.com",IFERROR(HLOOKUP(X929&amp;Z929,PLANNING_FC!$AK$27:$AY$46,MATCH(W929,PLANNING_FC!$AJ$27:$AJ$46,0),FALSE)*1000,""),"")</f>
        <v/>
      </c>
    </row>
    <row r="930" spans="14:55" x14ac:dyDescent="0.25">
      <c r="N930" s="56">
        <f t="shared" si="344"/>
        <v>0</v>
      </c>
      <c r="O930" s="57">
        <f t="shared" si="345"/>
        <v>0</v>
      </c>
      <c r="P930" s="57">
        <f ca="1">IFERROR(IF(ISBLANK(H930),SUMIFS($AC:$AC,$V:$V,V930,$W:$W,W930,$X:$X,X930,$Y:$Y,Y930)*J930/(1-J930)*VLOOKUP(_xlfn.CONCAT(C930,D930,E930,TIME!$M$12,Z930),HIS_SALES!$B$2:$W$4859,20,FALSE),AC930*J930/(1-J930)),0)</f>
        <v>0</v>
      </c>
      <c r="Q930" s="541" t="str">
        <f t="shared" si="346"/>
        <v/>
      </c>
      <c r="R930" s="346" t="str">
        <f t="shared" si="347"/>
        <v>00000</v>
      </c>
      <c r="S930" s="344">
        <f t="shared" si="348"/>
        <v>0</v>
      </c>
      <c r="T930" s="345" t="str">
        <f t="shared" si="361"/>
        <v>000</v>
      </c>
      <c r="U930" s="345">
        <f t="shared" si="349"/>
        <v>0</v>
      </c>
      <c r="V930" s="345">
        <f t="shared" si="350"/>
        <v>0</v>
      </c>
      <c r="W930" s="345">
        <f t="shared" si="351"/>
        <v>0</v>
      </c>
      <c r="X930" s="345">
        <f t="shared" si="352"/>
        <v>0</v>
      </c>
      <c r="Y930" s="345">
        <f t="shared" si="353"/>
        <v>0</v>
      </c>
      <c r="Z930" s="345">
        <f>IF(Q930&lt;&gt;"",VLOOKUP(Y930,TIME!$R$21:$V$24,MATCH(FC_DATA!Q930,TIME!$R$20:$V$20,0),FALSE),H930)</f>
        <v>0</v>
      </c>
      <c r="AA930" s="345" t="str">
        <f>IFERROR(VLOOKUP(X930&amp;Z930,TIME!$A$12:$D$71,4,FALSE),"")</f>
        <v/>
      </c>
      <c r="AB930" s="592">
        <f t="shared" ca="1" si="354"/>
        <v>0</v>
      </c>
      <c r="AC930" s="593" t="e">
        <f ca="1">IF(ISBLANK(H930)=FALSE,IF(D930="BRAND.com",I930,IF(ISNA(VLOOKUP(_xlfn.CONCAT(X930,Z930),TIME!$M$40:$M$42,1,FALSE)),I930,VLOOKUP(_xlfn.CONCAT(D930,G930,H930),M_BUSAREA_FC!$AF$5:$AJ$10,5,FALSE)*HLOOKUP(_xlfn.CONCAT(F930,H930),ST_OVERVIEW!$G$99:$I$130,MATCH(_xlfn.CONCAT(D930,E930),ST_OVERVIEW!$F$99:$F$130,0),FALSE))),IF(D930="BRAND.com",VLOOKUP(_xlfn.CONCAT(C930,D930,E930,TIME!$F$1,Z930),HIS_SALES!$B$2:$V$4859,19,FALSE)*I930,VLOOKUP(_xlfn.CONCAT(D930,F930,G930),Q_BUSAREA_FC!$AE$5:$AI$12,5,FALSE)*HLOOKUP(_xlfn.CONCAT(FC_DATA!F930,FC_DATA!G930),LT_OVERVIEW!$I$99:$M$130,MATCH(_xlfn.CONCAT(D930,FC_DATA!E930),LT_OVERVIEW!$H$99:$H$130,0),FALSE)*IFERROR(VLOOKUP(_xlfn.CONCAT(C930,D930,E930,TIME!$F$1,Z930),HIS_SALES!$B$2:$V$4859,19,FALSE),0)))</f>
        <v>#N/A</v>
      </c>
      <c r="AD930" s="341">
        <f t="shared" ca="1" si="355"/>
        <v>0</v>
      </c>
      <c r="AE930" s="363" t="str">
        <f t="shared" si="356"/>
        <v/>
      </c>
      <c r="AF930" s="342" t="str">
        <f t="shared" si="357"/>
        <v/>
      </c>
      <c r="AG930" s="411" t="e">
        <f ca="1">VLOOKUP(_xlfn.CONCAT(U930,V930,W930,VLOOKUP(X930&amp;Y930,TIME!$L$27:$O$34,4,FALSE),Y930),HIS_SALES!$A$2:$R$5093,18,FALSE)</f>
        <v>#N/A</v>
      </c>
      <c r="AH930" s="412" t="e">
        <f ca="1">IFERROR(IF(AND(V930=V929,W930=W929),0.5*(AB930+AB929)*AG930,(VLOOKUP(_xlfn.CONCAT(U930,V930,W930,X930,VLOOKUP(Z930,TIME!$S$28:$T$39,2,FALSE)),FC_DATA!$R$2:$AB$5000,MATCH("GS_I_M",FC_DATA!$R$1:$AB$1,0),FALSE)+FC_DATA!AB930)*0.5*FC_DATA!AG930),NA())</f>
        <v>#N/A</v>
      </c>
      <c r="AI930" s="491" t="e">
        <f ca="1">IF(V930="PARTNER.com",AH930,IF(AND(V930=V929,W930=W929),(1-AVERAGE(AD929,AD930))*AH930,(1-AVERAGE(AD930,VLOOKUP(_xlfn.CONCAT(U930,V930,W930,X930,M_BRAND_FC!$F$6),FC_DATA!$R$2:$AD$5000,MATCH("DISCOUNT_%_M",FC_DATA!$R$1:$AD$1,0),FALSE)))*AH930))</f>
        <v>#N/A</v>
      </c>
      <c r="AJ930" s="412" t="str">
        <f t="shared" ca="1" si="358"/>
        <v/>
      </c>
      <c r="AK930" s="413" t="str">
        <f>IFERROR(AE930/(Q_BRAND_FC!$T$24+1),"")</f>
        <v/>
      </c>
      <c r="AL930" s="88" t="str">
        <f t="shared" ca="1" si="359"/>
        <v/>
      </c>
      <c r="AM930" s="414" t="str">
        <f t="shared" ca="1" si="360"/>
        <v/>
      </c>
      <c r="AN930" s="58">
        <f>IFERROR(IF($V930="BRAND.com",HLOOKUP($X930&amp;$Z930,NWC_FC_NOOS!$C$4:$Q$23,MATCH(W930,NWC_FC_NOOS!$B$4:$B$23,0),FALSE),0),0)</f>
        <v>0</v>
      </c>
      <c r="AO930" s="57">
        <f>IFERROR(IF($V930="BRAND.com",HLOOKUP($X930&amp;$Z930,NWC_FC_NOOS!$T$4:$AH$23,MATCH(W930,NWC_FC_NOOS!$S$4:$S$23,0),FALSE),0),0)</f>
        <v>0</v>
      </c>
      <c r="AP930" s="57">
        <f>IFERROR(IF($V930="BRAND.com",HLOOKUP($X930&amp;$Z930,NWC_FC_NOOS!$C$50:$U$69,MATCH(W930,NWC_FC_NOOS!$B$50:$B$69,0),FALSE),0),0)</f>
        <v>0</v>
      </c>
      <c r="AQ930" s="58">
        <f>IFERROR(IF($V930="BRAND.com",HLOOKUP($X930&amp;$Z930,'NWC_FC_NON-NOOS'!$C$4:$Q$23,MATCH(W930,'NWC_FC_NON-NOOS'!$B$4:$B$23,0),FALSE),0),0)</f>
        <v>0</v>
      </c>
      <c r="AR930" s="57">
        <f>IFERROR(IF($V930="BRAND.com",HLOOKUP($X930&amp;$Z930,'NWC_FC_NON-NOOS'!$T$4:$AH$23,MATCH(W930,'NWC_FC_NON-NOOS'!$S$4:$S$23,0),FALSE),0),0)</f>
        <v>0</v>
      </c>
      <c r="AS930" s="57">
        <f>IFERROR(IF($V930="BRAND.com",HLOOKUP($X930&amp;$Z930,'NWC_FC_NON-NOOS'!$C$50:$U$69,MATCH(W930,'NWC_FC_NON-NOOS'!$B$50:$B$69,0),FALSE),0),0)</f>
        <v>0</v>
      </c>
      <c r="AT930" s="57">
        <f t="shared" si="362"/>
        <v>0</v>
      </c>
      <c r="AU930" s="57">
        <f t="shared" si="363"/>
        <v>0</v>
      </c>
      <c r="AV930" s="58">
        <f>IFERROR(IF($V930="BRAND.com",HLOOKUP($X930&amp;$Z930,PLANNING_FC!$BB$27:$BP$46,MATCH($W930,PLANNING_FC!$BA$27:$BA$46,0),FALSE),0),0)</f>
        <v>0</v>
      </c>
      <c r="AW930" s="58">
        <f>IFERROR(IF($V930="BRAND.com",HLOOKUP($X930&amp;$Z930,PLANNING_FC!$BB$4:$BP$23,MATCH($W930,PLANNING_FC!$BA$4:$BA$23,0),FALSE),0),0)</f>
        <v>0</v>
      </c>
      <c r="AX930" s="58">
        <f>IFERROR(IF($V930="BRAND.com",HLOOKUP($X930&amp;$Z930,PLANNING_FC!$T$27:$AH$46,MATCH($W930,PLANNING_FC!$B$27:$B$46,0),FALSE),0),0)</f>
        <v>0</v>
      </c>
      <c r="AY930" s="58">
        <f>IFERROR(IF($V930="BRAND.com",HLOOKUP($X930&amp;$Z930,PLANNING_FC!$T$4:$AH$23,MATCH($W930,PLANNING_FC!$B$4:$B$23,0),FALSE),0),0)</f>
        <v>0</v>
      </c>
      <c r="AZ930" s="58">
        <f>IFERROR(IF($V930="BRAND.com",HLOOKUP($X930&amp;$Z930,PLANNING_FC!$DA$27:$DO$46,MATCH($W930,PLANNING_FC!$CZ$27:$CZ$46,0),FALSE),0),0)</f>
        <v>0</v>
      </c>
      <c r="BA930" s="58">
        <f>IFERROR(IF($V930="BRAND.com",HLOOKUP($X930&amp;$Z930,PLANNING_FC!$DA$4:$DO$23,MATCH($W930,PLANNING_FC!$CZ$4:$CZ$23,0),FALSE),0),0)</f>
        <v>0</v>
      </c>
      <c r="BB930" s="883" t="str">
        <f>IF(V930="BRAND.com",IFERROR(HLOOKUP(X930&amp;Z930,PLANNING_FC!$AK$4:$AY$23,MATCH(W930,PLANNING_FC!$AJ$4:$AJ$23,0),FALSE)*1000,""),"")</f>
        <v/>
      </c>
      <c r="BC930" s="883" t="str">
        <f>IF(V930="BRAND.com",IFERROR(HLOOKUP(X930&amp;Z930,PLANNING_FC!$AK$27:$AY$46,MATCH(W930,PLANNING_FC!$AJ$27:$AJ$46,0),FALSE)*1000,""),"")</f>
        <v/>
      </c>
    </row>
    <row r="931" spans="14:55" x14ac:dyDescent="0.25">
      <c r="N931" s="56">
        <f t="shared" si="344"/>
        <v>0</v>
      </c>
      <c r="O931" s="57">
        <f t="shared" si="345"/>
        <v>0</v>
      </c>
      <c r="P931" s="57">
        <f ca="1">IFERROR(IF(ISBLANK(H931),SUMIFS($AC:$AC,$V:$V,V931,$W:$W,W931,$X:$X,X931,$Y:$Y,Y931)*J931/(1-J931)*VLOOKUP(_xlfn.CONCAT(C931,D931,E931,TIME!$M$12,Z931),HIS_SALES!$B$2:$W$4859,20,FALSE),AC931*J931/(1-J931)),0)</f>
        <v>0</v>
      </c>
      <c r="Q931" s="541" t="str">
        <f t="shared" si="346"/>
        <v/>
      </c>
      <c r="R931" s="346" t="str">
        <f t="shared" si="347"/>
        <v>00000</v>
      </c>
      <c r="S931" s="344">
        <f t="shared" si="348"/>
        <v>0</v>
      </c>
      <c r="T931" s="345" t="str">
        <f t="shared" si="361"/>
        <v>000</v>
      </c>
      <c r="U931" s="345">
        <f t="shared" si="349"/>
        <v>0</v>
      </c>
      <c r="V931" s="345">
        <f t="shared" si="350"/>
        <v>0</v>
      </c>
      <c r="W931" s="345">
        <f t="shared" si="351"/>
        <v>0</v>
      </c>
      <c r="X931" s="345">
        <f t="shared" si="352"/>
        <v>0</v>
      </c>
      <c r="Y931" s="345">
        <f t="shared" si="353"/>
        <v>0</v>
      </c>
      <c r="Z931" s="345">
        <f>IF(Q931&lt;&gt;"",VLOOKUP(Y931,TIME!$R$21:$V$24,MATCH(FC_DATA!Q931,TIME!$R$20:$V$20,0),FALSE),H931)</f>
        <v>0</v>
      </c>
      <c r="AA931" s="345" t="str">
        <f>IFERROR(VLOOKUP(X931&amp;Z931,TIME!$A$12:$D$71,4,FALSE),"")</f>
        <v/>
      </c>
      <c r="AB931" s="592">
        <f t="shared" ca="1" si="354"/>
        <v>0</v>
      </c>
      <c r="AC931" s="593" t="e">
        <f ca="1">IF(ISBLANK(H931)=FALSE,IF(D931="BRAND.com",I931,IF(ISNA(VLOOKUP(_xlfn.CONCAT(X931,Z931),TIME!$M$40:$M$42,1,FALSE)),I931,VLOOKUP(_xlfn.CONCAT(D931,G931,H931),M_BUSAREA_FC!$AF$5:$AJ$10,5,FALSE)*HLOOKUP(_xlfn.CONCAT(F931,H931),ST_OVERVIEW!$G$99:$I$130,MATCH(_xlfn.CONCAT(D931,E931),ST_OVERVIEW!$F$99:$F$130,0),FALSE))),IF(D931="BRAND.com",VLOOKUP(_xlfn.CONCAT(C931,D931,E931,TIME!$F$1,Z931),HIS_SALES!$B$2:$V$4859,19,FALSE)*I931,VLOOKUP(_xlfn.CONCAT(D931,F931,G931),Q_BUSAREA_FC!$AE$5:$AI$12,5,FALSE)*HLOOKUP(_xlfn.CONCAT(FC_DATA!F931,FC_DATA!G931),LT_OVERVIEW!$I$99:$M$130,MATCH(_xlfn.CONCAT(D931,FC_DATA!E931),LT_OVERVIEW!$H$99:$H$130,0),FALSE)*IFERROR(VLOOKUP(_xlfn.CONCAT(C931,D931,E931,TIME!$F$1,Z931),HIS_SALES!$B$2:$V$4859,19,FALSE),0)))</f>
        <v>#N/A</v>
      </c>
      <c r="AD931" s="341">
        <f t="shared" ca="1" si="355"/>
        <v>0</v>
      </c>
      <c r="AE931" s="363" t="str">
        <f t="shared" si="356"/>
        <v/>
      </c>
      <c r="AF931" s="342" t="str">
        <f t="shared" si="357"/>
        <v/>
      </c>
      <c r="AG931" s="411" t="e">
        <f ca="1">VLOOKUP(_xlfn.CONCAT(U931,V931,W931,VLOOKUP(X931&amp;Y931,TIME!$L$27:$O$34,4,FALSE),Y931),HIS_SALES!$A$2:$R$5093,18,FALSE)</f>
        <v>#N/A</v>
      </c>
      <c r="AH931" s="412" t="e">
        <f ca="1">IFERROR(IF(AND(V931=V930,W931=W930),0.5*(AB931+AB930)*AG931,(VLOOKUP(_xlfn.CONCAT(U931,V931,W931,X931,VLOOKUP(Z931,TIME!$S$28:$T$39,2,FALSE)),FC_DATA!$R$2:$AB$5000,MATCH("GS_I_M",FC_DATA!$R$1:$AB$1,0),FALSE)+FC_DATA!AB931)*0.5*FC_DATA!AG931),NA())</f>
        <v>#N/A</v>
      </c>
      <c r="AI931" s="491" t="e">
        <f ca="1">IF(V931="PARTNER.com",AH931,IF(AND(V931=V930,W931=W930),(1-AVERAGE(AD930,AD931))*AH931,(1-AVERAGE(AD931,VLOOKUP(_xlfn.CONCAT(U931,V931,W931,X931,M_BRAND_FC!$F$6),FC_DATA!$R$2:$AD$5000,MATCH("DISCOUNT_%_M",FC_DATA!$R$1:$AD$1,0),FALSE)))*AH931))</f>
        <v>#N/A</v>
      </c>
      <c r="AJ931" s="412" t="str">
        <f t="shared" ca="1" si="358"/>
        <v/>
      </c>
      <c r="AK931" s="413" t="str">
        <f>IFERROR(AE931/(Q_BRAND_FC!$T$24+1),"")</f>
        <v/>
      </c>
      <c r="AL931" s="88" t="str">
        <f t="shared" ca="1" si="359"/>
        <v/>
      </c>
      <c r="AM931" s="414" t="str">
        <f t="shared" ca="1" si="360"/>
        <v/>
      </c>
      <c r="AN931" s="58">
        <f>IFERROR(IF($V931="BRAND.com",HLOOKUP($X931&amp;$Z931,NWC_FC_NOOS!$C$4:$Q$23,MATCH(W931,NWC_FC_NOOS!$B$4:$B$23,0),FALSE),0),0)</f>
        <v>0</v>
      </c>
      <c r="AO931" s="57">
        <f>IFERROR(IF($V931="BRAND.com",HLOOKUP($X931&amp;$Z931,NWC_FC_NOOS!$T$4:$AH$23,MATCH(W931,NWC_FC_NOOS!$S$4:$S$23,0),FALSE),0),0)</f>
        <v>0</v>
      </c>
      <c r="AP931" s="57">
        <f>IFERROR(IF($V931="BRAND.com",HLOOKUP($X931&amp;$Z931,NWC_FC_NOOS!$C$50:$U$69,MATCH(W931,NWC_FC_NOOS!$B$50:$B$69,0),FALSE),0),0)</f>
        <v>0</v>
      </c>
      <c r="AQ931" s="58">
        <f>IFERROR(IF($V931="BRAND.com",HLOOKUP($X931&amp;$Z931,'NWC_FC_NON-NOOS'!$C$4:$Q$23,MATCH(W931,'NWC_FC_NON-NOOS'!$B$4:$B$23,0),FALSE),0),0)</f>
        <v>0</v>
      </c>
      <c r="AR931" s="57">
        <f>IFERROR(IF($V931="BRAND.com",HLOOKUP($X931&amp;$Z931,'NWC_FC_NON-NOOS'!$T$4:$AH$23,MATCH(W931,'NWC_FC_NON-NOOS'!$S$4:$S$23,0),FALSE),0),0)</f>
        <v>0</v>
      </c>
      <c r="AS931" s="57">
        <f>IFERROR(IF($V931="BRAND.com",HLOOKUP($X931&amp;$Z931,'NWC_FC_NON-NOOS'!$C$50:$U$69,MATCH(W931,'NWC_FC_NON-NOOS'!$B$50:$B$69,0),FALSE),0),0)</f>
        <v>0</v>
      </c>
      <c r="AT931" s="57">
        <f t="shared" si="362"/>
        <v>0</v>
      </c>
      <c r="AU931" s="57">
        <f t="shared" si="363"/>
        <v>0</v>
      </c>
      <c r="AV931" s="58">
        <f>IFERROR(IF($V931="BRAND.com",HLOOKUP($X931&amp;$Z931,PLANNING_FC!$BB$27:$BP$46,MATCH($W931,PLANNING_FC!$BA$27:$BA$46,0),FALSE),0),0)</f>
        <v>0</v>
      </c>
      <c r="AW931" s="58">
        <f>IFERROR(IF($V931="BRAND.com",HLOOKUP($X931&amp;$Z931,PLANNING_FC!$BB$4:$BP$23,MATCH($W931,PLANNING_FC!$BA$4:$BA$23,0),FALSE),0),0)</f>
        <v>0</v>
      </c>
      <c r="AX931" s="58">
        <f>IFERROR(IF($V931="BRAND.com",HLOOKUP($X931&amp;$Z931,PLANNING_FC!$T$27:$AH$46,MATCH($W931,PLANNING_FC!$B$27:$B$46,0),FALSE),0),0)</f>
        <v>0</v>
      </c>
      <c r="AY931" s="58">
        <f>IFERROR(IF($V931="BRAND.com",HLOOKUP($X931&amp;$Z931,PLANNING_FC!$T$4:$AH$23,MATCH($W931,PLANNING_FC!$B$4:$B$23,0),FALSE),0),0)</f>
        <v>0</v>
      </c>
      <c r="AZ931" s="58">
        <f>IFERROR(IF($V931="BRAND.com",HLOOKUP($X931&amp;$Z931,PLANNING_FC!$DA$27:$DO$46,MATCH($W931,PLANNING_FC!$CZ$27:$CZ$46,0),FALSE),0),0)</f>
        <v>0</v>
      </c>
      <c r="BA931" s="58">
        <f>IFERROR(IF($V931="BRAND.com",HLOOKUP($X931&amp;$Z931,PLANNING_FC!$DA$4:$DO$23,MATCH($W931,PLANNING_FC!$CZ$4:$CZ$23,0),FALSE),0),0)</f>
        <v>0</v>
      </c>
      <c r="BB931" s="883" t="str">
        <f>IF(V931="BRAND.com",IFERROR(HLOOKUP(X931&amp;Z931,PLANNING_FC!$AK$4:$AY$23,MATCH(W931,PLANNING_FC!$AJ$4:$AJ$23,0),FALSE)*1000,""),"")</f>
        <v/>
      </c>
      <c r="BC931" s="883" t="str">
        <f>IF(V931="BRAND.com",IFERROR(HLOOKUP(X931&amp;Z931,PLANNING_FC!$AK$27:$AY$46,MATCH(W931,PLANNING_FC!$AJ$27:$AJ$46,0),FALSE)*1000,""),"")</f>
        <v/>
      </c>
    </row>
    <row r="932" spans="14:55" x14ac:dyDescent="0.25">
      <c r="N932" s="56">
        <f t="shared" si="344"/>
        <v>0</v>
      </c>
      <c r="O932" s="57">
        <f t="shared" si="345"/>
        <v>0</v>
      </c>
      <c r="P932" s="57">
        <f ca="1">IFERROR(IF(ISBLANK(H932),SUMIFS($AC:$AC,$V:$V,V932,$W:$W,W932,$X:$X,X932,$Y:$Y,Y932)*J932/(1-J932)*VLOOKUP(_xlfn.CONCAT(C932,D932,E932,TIME!$M$12,Z932),HIS_SALES!$B$2:$W$4859,20,FALSE),AC932*J932/(1-J932)),0)</f>
        <v>0</v>
      </c>
      <c r="Q932" s="541" t="str">
        <f t="shared" si="346"/>
        <v/>
      </c>
      <c r="R932" s="346" t="str">
        <f t="shared" si="347"/>
        <v>00000</v>
      </c>
      <c r="S932" s="344">
        <f t="shared" si="348"/>
        <v>0</v>
      </c>
      <c r="T932" s="345" t="str">
        <f t="shared" si="361"/>
        <v>000</v>
      </c>
      <c r="U932" s="345">
        <f t="shared" si="349"/>
        <v>0</v>
      </c>
      <c r="V932" s="345">
        <f t="shared" si="350"/>
        <v>0</v>
      </c>
      <c r="W932" s="345">
        <f t="shared" si="351"/>
        <v>0</v>
      </c>
      <c r="X932" s="345">
        <f t="shared" si="352"/>
        <v>0</v>
      </c>
      <c r="Y932" s="345">
        <f t="shared" si="353"/>
        <v>0</v>
      </c>
      <c r="Z932" s="345">
        <f>IF(Q932&lt;&gt;"",VLOOKUP(Y932,TIME!$R$21:$V$24,MATCH(FC_DATA!Q932,TIME!$R$20:$V$20,0),FALSE),H932)</f>
        <v>0</v>
      </c>
      <c r="AA932" s="345" t="str">
        <f>IFERROR(VLOOKUP(X932&amp;Z932,TIME!$A$12:$D$71,4,FALSE),"")</f>
        <v/>
      </c>
      <c r="AB932" s="592">
        <f t="shared" ca="1" si="354"/>
        <v>0</v>
      </c>
      <c r="AC932" s="593" t="e">
        <f ca="1">IF(ISBLANK(H932)=FALSE,IF(D932="BRAND.com",I932,IF(ISNA(VLOOKUP(_xlfn.CONCAT(X932,Z932),TIME!$M$40:$M$42,1,FALSE)),I932,VLOOKUP(_xlfn.CONCAT(D932,G932,H932),M_BUSAREA_FC!$AF$5:$AJ$10,5,FALSE)*HLOOKUP(_xlfn.CONCAT(F932,H932),ST_OVERVIEW!$G$99:$I$130,MATCH(_xlfn.CONCAT(D932,E932),ST_OVERVIEW!$F$99:$F$130,0),FALSE))),IF(D932="BRAND.com",VLOOKUP(_xlfn.CONCAT(C932,D932,E932,TIME!$F$1,Z932),HIS_SALES!$B$2:$V$4859,19,FALSE)*I932,VLOOKUP(_xlfn.CONCAT(D932,F932,G932),Q_BUSAREA_FC!$AE$5:$AI$12,5,FALSE)*HLOOKUP(_xlfn.CONCAT(FC_DATA!F932,FC_DATA!G932),LT_OVERVIEW!$I$99:$M$130,MATCH(_xlfn.CONCAT(D932,FC_DATA!E932),LT_OVERVIEW!$H$99:$H$130,0),FALSE)*IFERROR(VLOOKUP(_xlfn.CONCAT(C932,D932,E932,TIME!$F$1,Z932),HIS_SALES!$B$2:$V$4859,19,FALSE),0)))</f>
        <v>#N/A</v>
      </c>
      <c r="AD932" s="341">
        <f t="shared" ca="1" si="355"/>
        <v>0</v>
      </c>
      <c r="AE932" s="363" t="str">
        <f t="shared" si="356"/>
        <v/>
      </c>
      <c r="AF932" s="342" t="str">
        <f t="shared" si="357"/>
        <v/>
      </c>
      <c r="AG932" s="411" t="e">
        <f ca="1">VLOOKUP(_xlfn.CONCAT(U932,V932,W932,VLOOKUP(X932&amp;Y932,TIME!$L$27:$O$34,4,FALSE),Y932),HIS_SALES!$A$2:$R$5093,18,FALSE)</f>
        <v>#N/A</v>
      </c>
      <c r="AH932" s="412" t="e">
        <f ca="1">IFERROR(IF(AND(V932=V931,W932=W931),0.5*(AB932+AB931)*AG932,(VLOOKUP(_xlfn.CONCAT(U932,V932,W932,X932,VLOOKUP(Z932,TIME!$S$28:$T$39,2,FALSE)),FC_DATA!$R$2:$AB$5000,MATCH("GS_I_M",FC_DATA!$R$1:$AB$1,0),FALSE)+FC_DATA!AB932)*0.5*FC_DATA!AG932),NA())</f>
        <v>#N/A</v>
      </c>
      <c r="AI932" s="491" t="e">
        <f ca="1">IF(V932="PARTNER.com",AH932,IF(AND(V932=V931,W932=W931),(1-AVERAGE(AD931,AD932))*AH932,(1-AVERAGE(AD932,VLOOKUP(_xlfn.CONCAT(U932,V932,W932,X932,M_BRAND_FC!$F$6),FC_DATA!$R$2:$AD$5000,MATCH("DISCOUNT_%_M",FC_DATA!$R$1:$AD$1,0),FALSE)))*AH932))</f>
        <v>#N/A</v>
      </c>
      <c r="AJ932" s="412" t="str">
        <f t="shared" ca="1" si="358"/>
        <v/>
      </c>
      <c r="AK932" s="413" t="str">
        <f>IFERROR(AE932/(Q_BRAND_FC!$T$24+1),"")</f>
        <v/>
      </c>
      <c r="AL932" s="88" t="str">
        <f t="shared" ca="1" si="359"/>
        <v/>
      </c>
      <c r="AM932" s="414" t="str">
        <f t="shared" ca="1" si="360"/>
        <v/>
      </c>
      <c r="AN932" s="58">
        <f>IFERROR(IF($V932="BRAND.com",HLOOKUP($X932&amp;$Z932,NWC_FC_NOOS!$C$4:$Q$23,MATCH(W932,NWC_FC_NOOS!$B$4:$B$23,0),FALSE),0),0)</f>
        <v>0</v>
      </c>
      <c r="AO932" s="57">
        <f>IFERROR(IF($V932="BRAND.com",HLOOKUP($X932&amp;$Z932,NWC_FC_NOOS!$T$4:$AH$23,MATCH(W932,NWC_FC_NOOS!$S$4:$S$23,0),FALSE),0),0)</f>
        <v>0</v>
      </c>
      <c r="AP932" s="57">
        <f>IFERROR(IF($V932="BRAND.com",HLOOKUP($X932&amp;$Z932,NWC_FC_NOOS!$C$50:$U$69,MATCH(W932,NWC_FC_NOOS!$B$50:$B$69,0),FALSE),0),0)</f>
        <v>0</v>
      </c>
      <c r="AQ932" s="58">
        <f>IFERROR(IF($V932="BRAND.com",HLOOKUP($X932&amp;$Z932,'NWC_FC_NON-NOOS'!$C$4:$Q$23,MATCH(W932,'NWC_FC_NON-NOOS'!$B$4:$B$23,0),FALSE),0),0)</f>
        <v>0</v>
      </c>
      <c r="AR932" s="57">
        <f>IFERROR(IF($V932="BRAND.com",HLOOKUP($X932&amp;$Z932,'NWC_FC_NON-NOOS'!$T$4:$AH$23,MATCH(W932,'NWC_FC_NON-NOOS'!$S$4:$S$23,0),FALSE),0),0)</f>
        <v>0</v>
      </c>
      <c r="AS932" s="57">
        <f>IFERROR(IF($V932="BRAND.com",HLOOKUP($X932&amp;$Z932,'NWC_FC_NON-NOOS'!$C$50:$U$69,MATCH(W932,'NWC_FC_NON-NOOS'!$B$50:$B$69,0),FALSE),0),0)</f>
        <v>0</v>
      </c>
      <c r="AT932" s="57">
        <f t="shared" si="362"/>
        <v>0</v>
      </c>
      <c r="AU932" s="57">
        <f t="shared" si="363"/>
        <v>0</v>
      </c>
      <c r="AV932" s="58">
        <f>IFERROR(IF($V932="BRAND.com",HLOOKUP($X932&amp;$Z932,PLANNING_FC!$BB$27:$BP$46,MATCH($W932,PLANNING_FC!$BA$27:$BA$46,0),FALSE),0),0)</f>
        <v>0</v>
      </c>
      <c r="AW932" s="58">
        <f>IFERROR(IF($V932="BRAND.com",HLOOKUP($X932&amp;$Z932,PLANNING_FC!$BB$4:$BP$23,MATCH($W932,PLANNING_FC!$BA$4:$BA$23,0),FALSE),0),0)</f>
        <v>0</v>
      </c>
      <c r="AX932" s="58">
        <f>IFERROR(IF($V932="BRAND.com",HLOOKUP($X932&amp;$Z932,PLANNING_FC!$T$27:$AH$46,MATCH($W932,PLANNING_FC!$B$27:$B$46,0),FALSE),0),0)</f>
        <v>0</v>
      </c>
      <c r="AY932" s="58">
        <f>IFERROR(IF($V932="BRAND.com",HLOOKUP($X932&amp;$Z932,PLANNING_FC!$T$4:$AH$23,MATCH($W932,PLANNING_FC!$B$4:$B$23,0),FALSE),0),0)</f>
        <v>0</v>
      </c>
      <c r="AZ932" s="58">
        <f>IFERROR(IF($V932="BRAND.com",HLOOKUP($X932&amp;$Z932,PLANNING_FC!$DA$27:$DO$46,MATCH($W932,PLANNING_FC!$CZ$27:$CZ$46,0),FALSE),0),0)</f>
        <v>0</v>
      </c>
      <c r="BA932" s="58">
        <f>IFERROR(IF($V932="BRAND.com",HLOOKUP($X932&amp;$Z932,PLANNING_FC!$DA$4:$DO$23,MATCH($W932,PLANNING_FC!$CZ$4:$CZ$23,0),FALSE),0),0)</f>
        <v>0</v>
      </c>
      <c r="BB932" s="883" t="str">
        <f>IF(V932="BRAND.com",IFERROR(HLOOKUP(X932&amp;Z932,PLANNING_FC!$AK$4:$AY$23,MATCH(W932,PLANNING_FC!$AJ$4:$AJ$23,0),FALSE)*1000,""),"")</f>
        <v/>
      </c>
      <c r="BC932" s="883" t="str">
        <f>IF(V932="BRAND.com",IFERROR(HLOOKUP(X932&amp;Z932,PLANNING_FC!$AK$27:$AY$46,MATCH(W932,PLANNING_FC!$AJ$27:$AJ$46,0),FALSE)*1000,""),"")</f>
        <v/>
      </c>
    </row>
    <row r="933" spans="14:55" x14ac:dyDescent="0.25">
      <c r="N933" s="56">
        <f t="shared" si="344"/>
        <v>0</v>
      </c>
      <c r="O933" s="57">
        <f t="shared" si="345"/>
        <v>0</v>
      </c>
      <c r="P933" s="57">
        <f ca="1">IFERROR(IF(ISBLANK(H933),SUMIFS($AC:$AC,$V:$V,V933,$W:$W,W933,$X:$X,X933,$Y:$Y,Y933)*J933/(1-J933)*VLOOKUP(_xlfn.CONCAT(C933,D933,E933,TIME!$M$12,Z933),HIS_SALES!$B$2:$W$4859,20,FALSE),AC933*J933/(1-J933)),0)</f>
        <v>0</v>
      </c>
      <c r="Q933" s="541" t="str">
        <f t="shared" si="346"/>
        <v/>
      </c>
      <c r="R933" s="346" t="str">
        <f t="shared" si="347"/>
        <v>00000</v>
      </c>
      <c r="S933" s="344">
        <f t="shared" si="348"/>
        <v>0</v>
      </c>
      <c r="T933" s="345" t="str">
        <f t="shared" si="361"/>
        <v>000</v>
      </c>
      <c r="U933" s="345">
        <f t="shared" si="349"/>
        <v>0</v>
      </c>
      <c r="V933" s="345">
        <f t="shared" si="350"/>
        <v>0</v>
      </c>
      <c r="W933" s="345">
        <f t="shared" si="351"/>
        <v>0</v>
      </c>
      <c r="X933" s="345">
        <f t="shared" si="352"/>
        <v>0</v>
      </c>
      <c r="Y933" s="345">
        <f t="shared" si="353"/>
        <v>0</v>
      </c>
      <c r="Z933" s="345">
        <f>IF(Q933&lt;&gt;"",VLOOKUP(Y933,TIME!$R$21:$V$24,MATCH(FC_DATA!Q933,TIME!$R$20:$V$20,0),FALSE),H933)</f>
        <v>0</v>
      </c>
      <c r="AA933" s="345" t="str">
        <f>IFERROR(VLOOKUP(X933&amp;Z933,TIME!$A$12:$D$71,4,FALSE),"")</f>
        <v/>
      </c>
      <c r="AB933" s="592">
        <f t="shared" ca="1" si="354"/>
        <v>0</v>
      </c>
      <c r="AC933" s="593" t="e">
        <f ca="1">IF(ISBLANK(H933)=FALSE,IF(D933="BRAND.com",I933,IF(ISNA(VLOOKUP(_xlfn.CONCAT(X933,Z933),TIME!$M$40:$M$42,1,FALSE)),I933,VLOOKUP(_xlfn.CONCAT(D933,G933,H933),M_BUSAREA_FC!$AF$5:$AJ$10,5,FALSE)*HLOOKUP(_xlfn.CONCAT(F933,H933),ST_OVERVIEW!$G$99:$I$130,MATCH(_xlfn.CONCAT(D933,E933),ST_OVERVIEW!$F$99:$F$130,0),FALSE))),IF(D933="BRAND.com",VLOOKUP(_xlfn.CONCAT(C933,D933,E933,TIME!$F$1,Z933),HIS_SALES!$B$2:$V$4859,19,FALSE)*I933,VLOOKUP(_xlfn.CONCAT(D933,F933,G933),Q_BUSAREA_FC!$AE$5:$AI$12,5,FALSE)*HLOOKUP(_xlfn.CONCAT(FC_DATA!F933,FC_DATA!G933),LT_OVERVIEW!$I$99:$M$130,MATCH(_xlfn.CONCAT(D933,FC_DATA!E933),LT_OVERVIEW!$H$99:$H$130,0),FALSE)*IFERROR(VLOOKUP(_xlfn.CONCAT(C933,D933,E933,TIME!$F$1,Z933),HIS_SALES!$B$2:$V$4859,19,FALSE),0)))</f>
        <v>#N/A</v>
      </c>
      <c r="AD933" s="341">
        <f t="shared" ca="1" si="355"/>
        <v>0</v>
      </c>
      <c r="AE933" s="363" t="str">
        <f t="shared" si="356"/>
        <v/>
      </c>
      <c r="AF933" s="342" t="str">
        <f t="shared" si="357"/>
        <v/>
      </c>
      <c r="AG933" s="411" t="e">
        <f ca="1">VLOOKUP(_xlfn.CONCAT(U933,V933,W933,VLOOKUP(X933&amp;Y933,TIME!$L$27:$O$34,4,FALSE),Y933),HIS_SALES!$A$2:$R$5093,18,FALSE)</f>
        <v>#N/A</v>
      </c>
      <c r="AH933" s="412" t="e">
        <f ca="1">IFERROR(IF(AND(V933=V932,W933=W932),0.5*(AB933+AB932)*AG933,(VLOOKUP(_xlfn.CONCAT(U933,V933,W933,X933,VLOOKUP(Z933,TIME!$S$28:$T$39,2,FALSE)),FC_DATA!$R$2:$AB$5000,MATCH("GS_I_M",FC_DATA!$R$1:$AB$1,0),FALSE)+FC_DATA!AB933)*0.5*FC_DATA!AG933),NA())</f>
        <v>#N/A</v>
      </c>
      <c r="AI933" s="491" t="e">
        <f ca="1">IF(V933="PARTNER.com",AH933,IF(AND(V933=V932,W933=W932),(1-AVERAGE(AD932,AD933))*AH933,(1-AVERAGE(AD933,VLOOKUP(_xlfn.CONCAT(U933,V933,W933,X933,M_BRAND_FC!$F$6),FC_DATA!$R$2:$AD$5000,MATCH("DISCOUNT_%_M",FC_DATA!$R$1:$AD$1,0),FALSE)))*AH933))</f>
        <v>#N/A</v>
      </c>
      <c r="AJ933" s="412" t="str">
        <f t="shared" ca="1" si="358"/>
        <v/>
      </c>
      <c r="AK933" s="413" t="str">
        <f>IFERROR(AE933/(Q_BRAND_FC!$T$24+1),"")</f>
        <v/>
      </c>
      <c r="AL933" s="88" t="str">
        <f t="shared" ca="1" si="359"/>
        <v/>
      </c>
      <c r="AM933" s="414" t="str">
        <f t="shared" ca="1" si="360"/>
        <v/>
      </c>
      <c r="AN933" s="58">
        <f>IFERROR(IF($V933="BRAND.com",HLOOKUP($X933&amp;$Z933,NWC_FC_NOOS!$C$4:$Q$23,MATCH(W933,NWC_FC_NOOS!$B$4:$B$23,0),FALSE),0),0)</f>
        <v>0</v>
      </c>
      <c r="AO933" s="57">
        <f>IFERROR(IF($V933="BRAND.com",HLOOKUP($X933&amp;$Z933,NWC_FC_NOOS!$T$4:$AH$23,MATCH(W933,NWC_FC_NOOS!$S$4:$S$23,0),FALSE),0),0)</f>
        <v>0</v>
      </c>
      <c r="AP933" s="57">
        <f>IFERROR(IF($V933="BRAND.com",HLOOKUP($X933&amp;$Z933,NWC_FC_NOOS!$C$50:$U$69,MATCH(W933,NWC_FC_NOOS!$B$50:$B$69,0),FALSE),0),0)</f>
        <v>0</v>
      </c>
      <c r="AQ933" s="58">
        <f>IFERROR(IF($V933="BRAND.com",HLOOKUP($X933&amp;$Z933,'NWC_FC_NON-NOOS'!$C$4:$Q$23,MATCH(W933,'NWC_FC_NON-NOOS'!$B$4:$B$23,0),FALSE),0),0)</f>
        <v>0</v>
      </c>
      <c r="AR933" s="57">
        <f>IFERROR(IF($V933="BRAND.com",HLOOKUP($X933&amp;$Z933,'NWC_FC_NON-NOOS'!$T$4:$AH$23,MATCH(W933,'NWC_FC_NON-NOOS'!$S$4:$S$23,0),FALSE),0),0)</f>
        <v>0</v>
      </c>
      <c r="AS933" s="57">
        <f>IFERROR(IF($V933="BRAND.com",HLOOKUP($X933&amp;$Z933,'NWC_FC_NON-NOOS'!$C$50:$U$69,MATCH(W933,'NWC_FC_NON-NOOS'!$B$50:$B$69,0),FALSE),0),0)</f>
        <v>0</v>
      </c>
      <c r="AT933" s="57">
        <f t="shared" si="362"/>
        <v>0</v>
      </c>
      <c r="AU933" s="57">
        <f t="shared" si="363"/>
        <v>0</v>
      </c>
      <c r="AV933" s="58">
        <f>IFERROR(IF($V933="BRAND.com",HLOOKUP($X933&amp;$Z933,PLANNING_FC!$BB$27:$BP$46,MATCH($W933,PLANNING_FC!$BA$27:$BA$46,0),FALSE),0),0)</f>
        <v>0</v>
      </c>
      <c r="AW933" s="58">
        <f>IFERROR(IF($V933="BRAND.com",HLOOKUP($X933&amp;$Z933,PLANNING_FC!$BB$4:$BP$23,MATCH($W933,PLANNING_FC!$BA$4:$BA$23,0),FALSE),0),0)</f>
        <v>0</v>
      </c>
      <c r="AX933" s="58">
        <f>IFERROR(IF($V933="BRAND.com",HLOOKUP($X933&amp;$Z933,PLANNING_FC!$T$27:$AH$46,MATCH($W933,PLANNING_FC!$B$27:$B$46,0),FALSE),0),0)</f>
        <v>0</v>
      </c>
      <c r="AY933" s="58">
        <f>IFERROR(IF($V933="BRAND.com",HLOOKUP($X933&amp;$Z933,PLANNING_FC!$T$4:$AH$23,MATCH($W933,PLANNING_FC!$B$4:$B$23,0),FALSE),0),0)</f>
        <v>0</v>
      </c>
      <c r="AZ933" s="58">
        <f>IFERROR(IF($V933="BRAND.com",HLOOKUP($X933&amp;$Z933,PLANNING_FC!$DA$27:$DO$46,MATCH($W933,PLANNING_FC!$CZ$27:$CZ$46,0),FALSE),0),0)</f>
        <v>0</v>
      </c>
      <c r="BA933" s="58">
        <f>IFERROR(IF($V933="BRAND.com",HLOOKUP($X933&amp;$Z933,PLANNING_FC!$DA$4:$DO$23,MATCH($W933,PLANNING_FC!$CZ$4:$CZ$23,0),FALSE),0),0)</f>
        <v>0</v>
      </c>
      <c r="BB933" s="883" t="str">
        <f>IF(V933="BRAND.com",IFERROR(HLOOKUP(X933&amp;Z933,PLANNING_FC!$AK$4:$AY$23,MATCH(W933,PLANNING_FC!$AJ$4:$AJ$23,0),FALSE)*1000,""),"")</f>
        <v/>
      </c>
      <c r="BC933" s="883" t="str">
        <f>IF(V933="BRAND.com",IFERROR(HLOOKUP(X933&amp;Z933,PLANNING_FC!$AK$27:$AY$46,MATCH(W933,PLANNING_FC!$AJ$27:$AJ$46,0),FALSE)*1000,""),"")</f>
        <v/>
      </c>
    </row>
    <row r="934" spans="14:55" x14ac:dyDescent="0.25">
      <c r="N934" s="56">
        <f t="shared" si="344"/>
        <v>0</v>
      </c>
      <c r="O934" s="57">
        <f t="shared" si="345"/>
        <v>0</v>
      </c>
      <c r="P934" s="57">
        <f ca="1">IFERROR(IF(ISBLANK(H934),SUMIFS($AC:$AC,$V:$V,V934,$W:$W,W934,$X:$X,X934,$Y:$Y,Y934)*J934/(1-J934)*VLOOKUP(_xlfn.CONCAT(C934,D934,E934,TIME!$M$12,Z934),HIS_SALES!$B$2:$W$4859,20,FALSE),AC934*J934/(1-J934)),0)</f>
        <v>0</v>
      </c>
      <c r="Q934" s="541" t="str">
        <f t="shared" si="346"/>
        <v/>
      </c>
      <c r="R934" s="346" t="str">
        <f t="shared" si="347"/>
        <v>00000</v>
      </c>
      <c r="S934" s="344">
        <f t="shared" si="348"/>
        <v>0</v>
      </c>
      <c r="T934" s="345" t="str">
        <f t="shared" si="361"/>
        <v>000</v>
      </c>
      <c r="U934" s="345">
        <f t="shared" si="349"/>
        <v>0</v>
      </c>
      <c r="V934" s="345">
        <f t="shared" si="350"/>
        <v>0</v>
      </c>
      <c r="W934" s="345">
        <f t="shared" si="351"/>
        <v>0</v>
      </c>
      <c r="X934" s="345">
        <f t="shared" si="352"/>
        <v>0</v>
      </c>
      <c r="Y934" s="345">
        <f t="shared" si="353"/>
        <v>0</v>
      </c>
      <c r="Z934" s="345">
        <f>IF(Q934&lt;&gt;"",VLOOKUP(Y934,TIME!$R$21:$V$24,MATCH(FC_DATA!Q934,TIME!$R$20:$V$20,0),FALSE),H934)</f>
        <v>0</v>
      </c>
      <c r="AA934" s="345" t="str">
        <f>IFERROR(VLOOKUP(X934&amp;Z934,TIME!$A$12:$D$71,4,FALSE),"")</f>
        <v/>
      </c>
      <c r="AB934" s="592">
        <f t="shared" ca="1" si="354"/>
        <v>0</v>
      </c>
      <c r="AC934" s="593" t="e">
        <f ca="1">IF(ISBLANK(H934)=FALSE,IF(D934="BRAND.com",I934,IF(ISNA(VLOOKUP(_xlfn.CONCAT(X934,Z934),TIME!$M$40:$M$42,1,FALSE)),I934,VLOOKUP(_xlfn.CONCAT(D934,G934,H934),M_BUSAREA_FC!$AF$5:$AJ$10,5,FALSE)*HLOOKUP(_xlfn.CONCAT(F934,H934),ST_OVERVIEW!$G$99:$I$130,MATCH(_xlfn.CONCAT(D934,E934),ST_OVERVIEW!$F$99:$F$130,0),FALSE))),IF(D934="BRAND.com",VLOOKUP(_xlfn.CONCAT(C934,D934,E934,TIME!$F$1,Z934),HIS_SALES!$B$2:$V$4859,19,FALSE)*I934,VLOOKUP(_xlfn.CONCAT(D934,F934,G934),Q_BUSAREA_FC!$AE$5:$AI$12,5,FALSE)*HLOOKUP(_xlfn.CONCAT(FC_DATA!F934,FC_DATA!G934),LT_OVERVIEW!$I$99:$M$130,MATCH(_xlfn.CONCAT(D934,FC_DATA!E934),LT_OVERVIEW!$H$99:$H$130,0),FALSE)*IFERROR(VLOOKUP(_xlfn.CONCAT(C934,D934,E934,TIME!$F$1,Z934),HIS_SALES!$B$2:$V$4859,19,FALSE),0)))</f>
        <v>#N/A</v>
      </c>
      <c r="AD934" s="341">
        <f t="shared" ca="1" si="355"/>
        <v>0</v>
      </c>
      <c r="AE934" s="363" t="str">
        <f t="shared" si="356"/>
        <v/>
      </c>
      <c r="AF934" s="342" t="str">
        <f t="shared" si="357"/>
        <v/>
      </c>
      <c r="AG934" s="411" t="e">
        <f ca="1">VLOOKUP(_xlfn.CONCAT(U934,V934,W934,VLOOKUP(X934&amp;Y934,TIME!$L$27:$O$34,4,FALSE),Y934),HIS_SALES!$A$2:$R$5093,18,FALSE)</f>
        <v>#N/A</v>
      </c>
      <c r="AH934" s="412" t="e">
        <f ca="1">IFERROR(IF(AND(V934=V933,W934=W933),0.5*(AB934+AB933)*AG934,(VLOOKUP(_xlfn.CONCAT(U934,V934,W934,X934,VLOOKUP(Z934,TIME!$S$28:$T$39,2,FALSE)),FC_DATA!$R$2:$AB$5000,MATCH("GS_I_M",FC_DATA!$R$1:$AB$1,0),FALSE)+FC_DATA!AB934)*0.5*FC_DATA!AG934),NA())</f>
        <v>#N/A</v>
      </c>
      <c r="AI934" s="491" t="e">
        <f ca="1">IF(V934="PARTNER.com",AH934,IF(AND(V934=V933,W934=W933),(1-AVERAGE(AD933,AD934))*AH934,(1-AVERAGE(AD934,VLOOKUP(_xlfn.CONCAT(U934,V934,W934,X934,M_BRAND_FC!$F$6),FC_DATA!$R$2:$AD$5000,MATCH("DISCOUNT_%_M",FC_DATA!$R$1:$AD$1,0),FALSE)))*AH934))</f>
        <v>#N/A</v>
      </c>
      <c r="AJ934" s="412" t="str">
        <f t="shared" ca="1" si="358"/>
        <v/>
      </c>
      <c r="AK934" s="413" t="str">
        <f>IFERROR(AE934/(Q_BRAND_FC!$T$24+1),"")</f>
        <v/>
      </c>
      <c r="AL934" s="88" t="str">
        <f t="shared" ca="1" si="359"/>
        <v/>
      </c>
      <c r="AM934" s="414" t="str">
        <f t="shared" ca="1" si="360"/>
        <v/>
      </c>
      <c r="AN934" s="58">
        <f>IFERROR(IF($V934="BRAND.com",HLOOKUP($X934&amp;$Z934,NWC_FC_NOOS!$C$4:$Q$23,MATCH(W934,NWC_FC_NOOS!$B$4:$B$23,0),FALSE),0),0)</f>
        <v>0</v>
      </c>
      <c r="AO934" s="57">
        <f>IFERROR(IF($V934="BRAND.com",HLOOKUP($X934&amp;$Z934,NWC_FC_NOOS!$T$4:$AH$23,MATCH(W934,NWC_FC_NOOS!$S$4:$S$23,0),FALSE),0),0)</f>
        <v>0</v>
      </c>
      <c r="AP934" s="57">
        <f>IFERROR(IF($V934="BRAND.com",HLOOKUP($X934&amp;$Z934,NWC_FC_NOOS!$C$50:$U$69,MATCH(W934,NWC_FC_NOOS!$B$50:$B$69,0),FALSE),0),0)</f>
        <v>0</v>
      </c>
      <c r="AQ934" s="58">
        <f>IFERROR(IF($V934="BRAND.com",HLOOKUP($X934&amp;$Z934,'NWC_FC_NON-NOOS'!$C$4:$Q$23,MATCH(W934,'NWC_FC_NON-NOOS'!$B$4:$B$23,0),FALSE),0),0)</f>
        <v>0</v>
      </c>
      <c r="AR934" s="57">
        <f>IFERROR(IF($V934="BRAND.com",HLOOKUP($X934&amp;$Z934,'NWC_FC_NON-NOOS'!$T$4:$AH$23,MATCH(W934,'NWC_FC_NON-NOOS'!$S$4:$S$23,0),FALSE),0),0)</f>
        <v>0</v>
      </c>
      <c r="AS934" s="57">
        <f>IFERROR(IF($V934="BRAND.com",HLOOKUP($X934&amp;$Z934,'NWC_FC_NON-NOOS'!$C$50:$U$69,MATCH(W934,'NWC_FC_NON-NOOS'!$B$50:$B$69,0),FALSE),0),0)</f>
        <v>0</v>
      </c>
      <c r="AT934" s="57">
        <f t="shared" si="362"/>
        <v>0</v>
      </c>
      <c r="AU934" s="57">
        <f t="shared" si="363"/>
        <v>0</v>
      </c>
      <c r="AV934" s="58">
        <f>IFERROR(IF($V934="BRAND.com",HLOOKUP($X934&amp;$Z934,PLANNING_FC!$BB$27:$BP$46,MATCH($W934,PLANNING_FC!$BA$27:$BA$46,0),FALSE),0),0)</f>
        <v>0</v>
      </c>
      <c r="AW934" s="58">
        <f>IFERROR(IF($V934="BRAND.com",HLOOKUP($X934&amp;$Z934,PLANNING_FC!$BB$4:$BP$23,MATCH($W934,PLANNING_FC!$BA$4:$BA$23,0),FALSE),0),0)</f>
        <v>0</v>
      </c>
      <c r="AX934" s="58">
        <f>IFERROR(IF($V934="BRAND.com",HLOOKUP($X934&amp;$Z934,PLANNING_FC!$T$27:$AH$46,MATCH($W934,PLANNING_FC!$B$27:$B$46,0),FALSE),0),0)</f>
        <v>0</v>
      </c>
      <c r="AY934" s="58">
        <f>IFERROR(IF($V934="BRAND.com",HLOOKUP($X934&amp;$Z934,PLANNING_FC!$T$4:$AH$23,MATCH($W934,PLANNING_FC!$B$4:$B$23,0),FALSE),0),0)</f>
        <v>0</v>
      </c>
      <c r="AZ934" s="58">
        <f>IFERROR(IF($V934="BRAND.com",HLOOKUP($X934&amp;$Z934,PLANNING_FC!$DA$27:$DO$46,MATCH($W934,PLANNING_FC!$CZ$27:$CZ$46,0),FALSE),0),0)</f>
        <v>0</v>
      </c>
      <c r="BA934" s="58">
        <f>IFERROR(IF($V934="BRAND.com",HLOOKUP($X934&amp;$Z934,PLANNING_FC!$DA$4:$DO$23,MATCH($W934,PLANNING_FC!$CZ$4:$CZ$23,0),FALSE),0),0)</f>
        <v>0</v>
      </c>
      <c r="BB934" s="883" t="str">
        <f>IF(V934="BRAND.com",IFERROR(HLOOKUP(X934&amp;Z934,PLANNING_FC!$AK$4:$AY$23,MATCH(W934,PLANNING_FC!$AJ$4:$AJ$23,0),FALSE)*1000,""),"")</f>
        <v/>
      </c>
      <c r="BC934" s="883" t="str">
        <f>IF(V934="BRAND.com",IFERROR(HLOOKUP(X934&amp;Z934,PLANNING_FC!$AK$27:$AY$46,MATCH(W934,PLANNING_FC!$AJ$27:$AJ$46,0),FALSE)*1000,""),"")</f>
        <v/>
      </c>
    </row>
    <row r="935" spans="14:55" x14ac:dyDescent="0.25">
      <c r="N935" s="56">
        <f t="shared" si="344"/>
        <v>0</v>
      </c>
      <c r="O935" s="57">
        <f t="shared" si="345"/>
        <v>0</v>
      </c>
      <c r="P935" s="57">
        <f ca="1">IFERROR(IF(ISBLANK(H935),SUMIFS($AC:$AC,$V:$V,V935,$W:$W,W935,$X:$X,X935,$Y:$Y,Y935)*J935/(1-J935)*VLOOKUP(_xlfn.CONCAT(C935,D935,E935,TIME!$M$12,Z935),HIS_SALES!$B$2:$W$4859,20,FALSE),AC935*J935/(1-J935)),0)</f>
        <v>0</v>
      </c>
      <c r="Q935" s="541" t="str">
        <f t="shared" si="346"/>
        <v/>
      </c>
      <c r="R935" s="346" t="str">
        <f t="shared" si="347"/>
        <v>00000</v>
      </c>
      <c r="S935" s="344">
        <f t="shared" si="348"/>
        <v>0</v>
      </c>
      <c r="T935" s="345" t="str">
        <f t="shared" si="361"/>
        <v>000</v>
      </c>
      <c r="U935" s="345">
        <f t="shared" si="349"/>
        <v>0</v>
      </c>
      <c r="V935" s="345">
        <f t="shared" si="350"/>
        <v>0</v>
      </c>
      <c r="W935" s="345">
        <f t="shared" si="351"/>
        <v>0</v>
      </c>
      <c r="X935" s="345">
        <f t="shared" si="352"/>
        <v>0</v>
      </c>
      <c r="Y935" s="345">
        <f t="shared" si="353"/>
        <v>0</v>
      </c>
      <c r="Z935" s="345">
        <f>IF(Q935&lt;&gt;"",VLOOKUP(Y935,TIME!$R$21:$V$24,MATCH(FC_DATA!Q935,TIME!$R$20:$V$20,0),FALSE),H935)</f>
        <v>0</v>
      </c>
      <c r="AA935" s="345" t="str">
        <f>IFERROR(VLOOKUP(X935&amp;Z935,TIME!$A$12:$D$71,4,FALSE),"")</f>
        <v/>
      </c>
      <c r="AB935" s="592">
        <f t="shared" ca="1" si="354"/>
        <v>0</v>
      </c>
      <c r="AC935" s="593" t="e">
        <f ca="1">IF(ISBLANK(H935)=FALSE,IF(D935="BRAND.com",I935,IF(ISNA(VLOOKUP(_xlfn.CONCAT(X935,Z935),TIME!$M$40:$M$42,1,FALSE)),I935,VLOOKUP(_xlfn.CONCAT(D935,G935,H935),M_BUSAREA_FC!$AF$5:$AJ$10,5,FALSE)*HLOOKUP(_xlfn.CONCAT(F935,H935),ST_OVERVIEW!$G$99:$I$130,MATCH(_xlfn.CONCAT(D935,E935),ST_OVERVIEW!$F$99:$F$130,0),FALSE))),IF(D935="BRAND.com",VLOOKUP(_xlfn.CONCAT(C935,D935,E935,TIME!$F$1,Z935),HIS_SALES!$B$2:$V$4859,19,FALSE)*I935,VLOOKUP(_xlfn.CONCAT(D935,F935,G935),Q_BUSAREA_FC!$AE$5:$AI$12,5,FALSE)*HLOOKUP(_xlfn.CONCAT(FC_DATA!F935,FC_DATA!G935),LT_OVERVIEW!$I$99:$M$130,MATCH(_xlfn.CONCAT(D935,FC_DATA!E935),LT_OVERVIEW!$H$99:$H$130,0),FALSE)*IFERROR(VLOOKUP(_xlfn.CONCAT(C935,D935,E935,TIME!$F$1,Z935),HIS_SALES!$B$2:$V$4859,19,FALSE),0)))</f>
        <v>#N/A</v>
      </c>
      <c r="AD935" s="341">
        <f t="shared" ca="1" si="355"/>
        <v>0</v>
      </c>
      <c r="AE935" s="363" t="str">
        <f t="shared" si="356"/>
        <v/>
      </c>
      <c r="AF935" s="342" t="str">
        <f t="shared" si="357"/>
        <v/>
      </c>
      <c r="AG935" s="411" t="e">
        <f ca="1">VLOOKUP(_xlfn.CONCAT(U935,V935,W935,VLOOKUP(X935&amp;Y935,TIME!$L$27:$O$34,4,FALSE),Y935),HIS_SALES!$A$2:$R$5093,18,FALSE)</f>
        <v>#N/A</v>
      </c>
      <c r="AH935" s="412" t="e">
        <f ca="1">IFERROR(IF(AND(V935=V934,W935=W934),0.5*(AB935+AB934)*AG935,(VLOOKUP(_xlfn.CONCAT(U935,V935,W935,X935,VLOOKUP(Z935,TIME!$S$28:$T$39,2,FALSE)),FC_DATA!$R$2:$AB$5000,MATCH("GS_I_M",FC_DATA!$R$1:$AB$1,0),FALSE)+FC_DATA!AB935)*0.5*FC_DATA!AG935),NA())</f>
        <v>#N/A</v>
      </c>
      <c r="AI935" s="491" t="e">
        <f ca="1">IF(V935="PARTNER.com",AH935,IF(AND(V935=V934,W935=W934),(1-AVERAGE(AD934,AD935))*AH935,(1-AVERAGE(AD935,VLOOKUP(_xlfn.CONCAT(U935,V935,W935,X935,M_BRAND_FC!$F$6),FC_DATA!$R$2:$AD$5000,MATCH("DISCOUNT_%_M",FC_DATA!$R$1:$AD$1,0),FALSE)))*AH935))</f>
        <v>#N/A</v>
      </c>
      <c r="AJ935" s="412" t="str">
        <f t="shared" ca="1" si="358"/>
        <v/>
      </c>
      <c r="AK935" s="413" t="str">
        <f>IFERROR(AE935/(Q_BRAND_FC!$T$24+1),"")</f>
        <v/>
      </c>
      <c r="AL935" s="88" t="str">
        <f t="shared" ca="1" si="359"/>
        <v/>
      </c>
      <c r="AM935" s="414" t="str">
        <f t="shared" ca="1" si="360"/>
        <v/>
      </c>
      <c r="AN935" s="58">
        <f>IFERROR(IF($V935="BRAND.com",HLOOKUP($X935&amp;$Z935,NWC_FC_NOOS!$C$4:$Q$23,MATCH(W935,NWC_FC_NOOS!$B$4:$B$23,0),FALSE),0),0)</f>
        <v>0</v>
      </c>
      <c r="AO935" s="57">
        <f>IFERROR(IF($V935="BRAND.com",HLOOKUP($X935&amp;$Z935,NWC_FC_NOOS!$T$4:$AH$23,MATCH(W935,NWC_FC_NOOS!$S$4:$S$23,0),FALSE),0),0)</f>
        <v>0</v>
      </c>
      <c r="AP935" s="57">
        <f>IFERROR(IF($V935="BRAND.com",HLOOKUP($X935&amp;$Z935,NWC_FC_NOOS!$C$50:$U$69,MATCH(W935,NWC_FC_NOOS!$B$50:$B$69,0),FALSE),0),0)</f>
        <v>0</v>
      </c>
      <c r="AQ935" s="58">
        <f>IFERROR(IF($V935="BRAND.com",HLOOKUP($X935&amp;$Z935,'NWC_FC_NON-NOOS'!$C$4:$Q$23,MATCH(W935,'NWC_FC_NON-NOOS'!$B$4:$B$23,0),FALSE),0),0)</f>
        <v>0</v>
      </c>
      <c r="AR935" s="57">
        <f>IFERROR(IF($V935="BRAND.com",HLOOKUP($X935&amp;$Z935,'NWC_FC_NON-NOOS'!$T$4:$AH$23,MATCH(W935,'NWC_FC_NON-NOOS'!$S$4:$S$23,0),FALSE),0),0)</f>
        <v>0</v>
      </c>
      <c r="AS935" s="57">
        <f>IFERROR(IF($V935="BRAND.com",HLOOKUP($X935&amp;$Z935,'NWC_FC_NON-NOOS'!$C$50:$U$69,MATCH(W935,'NWC_FC_NON-NOOS'!$B$50:$B$69,0),FALSE),0),0)</f>
        <v>0</v>
      </c>
      <c r="AT935" s="57">
        <f t="shared" si="362"/>
        <v>0</v>
      </c>
      <c r="AU935" s="57">
        <f t="shared" si="363"/>
        <v>0</v>
      </c>
      <c r="AV935" s="58">
        <f>IFERROR(IF($V935="BRAND.com",HLOOKUP($X935&amp;$Z935,PLANNING_FC!$BB$27:$BP$46,MATCH($W935,PLANNING_FC!$BA$27:$BA$46,0),FALSE),0),0)</f>
        <v>0</v>
      </c>
      <c r="AW935" s="58">
        <f>IFERROR(IF($V935="BRAND.com",HLOOKUP($X935&amp;$Z935,PLANNING_FC!$BB$4:$BP$23,MATCH($W935,PLANNING_FC!$BA$4:$BA$23,0),FALSE),0),0)</f>
        <v>0</v>
      </c>
      <c r="AX935" s="58">
        <f>IFERROR(IF($V935="BRAND.com",HLOOKUP($X935&amp;$Z935,PLANNING_FC!$T$27:$AH$46,MATCH($W935,PLANNING_FC!$B$27:$B$46,0),FALSE),0),0)</f>
        <v>0</v>
      </c>
      <c r="AY935" s="58">
        <f>IFERROR(IF($V935="BRAND.com",HLOOKUP($X935&amp;$Z935,PLANNING_FC!$T$4:$AH$23,MATCH($W935,PLANNING_FC!$B$4:$B$23,0),FALSE),0),0)</f>
        <v>0</v>
      </c>
      <c r="AZ935" s="58">
        <f>IFERROR(IF($V935="BRAND.com",HLOOKUP($X935&amp;$Z935,PLANNING_FC!$DA$27:$DO$46,MATCH($W935,PLANNING_FC!$CZ$27:$CZ$46,0),FALSE),0),0)</f>
        <v>0</v>
      </c>
      <c r="BA935" s="58">
        <f>IFERROR(IF($V935="BRAND.com",HLOOKUP($X935&amp;$Z935,PLANNING_FC!$DA$4:$DO$23,MATCH($W935,PLANNING_FC!$CZ$4:$CZ$23,0),FALSE),0),0)</f>
        <v>0</v>
      </c>
      <c r="BB935" s="883" t="str">
        <f>IF(V935="BRAND.com",IFERROR(HLOOKUP(X935&amp;Z935,PLANNING_FC!$AK$4:$AY$23,MATCH(W935,PLANNING_FC!$AJ$4:$AJ$23,0),FALSE)*1000,""),"")</f>
        <v/>
      </c>
      <c r="BC935" s="883" t="str">
        <f>IF(V935="BRAND.com",IFERROR(HLOOKUP(X935&amp;Z935,PLANNING_FC!$AK$27:$AY$46,MATCH(W935,PLANNING_FC!$AJ$27:$AJ$46,0),FALSE)*1000,""),"")</f>
        <v/>
      </c>
    </row>
    <row r="936" spans="14:55" x14ac:dyDescent="0.25">
      <c r="N936" s="56">
        <f t="shared" si="344"/>
        <v>0</v>
      </c>
      <c r="O936" s="57">
        <f t="shared" si="345"/>
        <v>0</v>
      </c>
      <c r="P936" s="57">
        <f ca="1">IFERROR(IF(ISBLANK(H936),SUMIFS($AC:$AC,$V:$V,V936,$W:$W,W936,$X:$X,X936,$Y:$Y,Y936)*J936/(1-J936)*VLOOKUP(_xlfn.CONCAT(C936,D936,E936,TIME!$M$12,Z936),HIS_SALES!$B$2:$W$4859,20,FALSE),AC936*J936/(1-J936)),0)</f>
        <v>0</v>
      </c>
      <c r="Q936" s="541" t="str">
        <f t="shared" si="346"/>
        <v/>
      </c>
      <c r="R936" s="346" t="str">
        <f t="shared" si="347"/>
        <v>00000</v>
      </c>
      <c r="S936" s="344">
        <f t="shared" si="348"/>
        <v>0</v>
      </c>
      <c r="T936" s="345" t="str">
        <f t="shared" si="361"/>
        <v>000</v>
      </c>
      <c r="U936" s="345">
        <f t="shared" si="349"/>
        <v>0</v>
      </c>
      <c r="V936" s="345">
        <f t="shared" si="350"/>
        <v>0</v>
      </c>
      <c r="W936" s="345">
        <f t="shared" si="351"/>
        <v>0</v>
      </c>
      <c r="X936" s="345">
        <f t="shared" si="352"/>
        <v>0</v>
      </c>
      <c r="Y936" s="345">
        <f t="shared" si="353"/>
        <v>0</v>
      </c>
      <c r="Z936" s="345">
        <f>IF(Q936&lt;&gt;"",VLOOKUP(Y936,TIME!$R$21:$V$24,MATCH(FC_DATA!Q936,TIME!$R$20:$V$20,0),FALSE),H936)</f>
        <v>0</v>
      </c>
      <c r="AA936" s="345" t="str">
        <f>IFERROR(VLOOKUP(X936&amp;Z936,TIME!$A$12:$D$71,4,FALSE),"")</f>
        <v/>
      </c>
      <c r="AB936" s="592">
        <f t="shared" ca="1" si="354"/>
        <v>0</v>
      </c>
      <c r="AC936" s="593" t="e">
        <f ca="1">IF(ISBLANK(H936)=FALSE,IF(D936="BRAND.com",I936,IF(ISNA(VLOOKUP(_xlfn.CONCAT(X936,Z936),TIME!$M$40:$M$42,1,FALSE)),I936,VLOOKUP(_xlfn.CONCAT(D936,G936,H936),M_BUSAREA_FC!$AF$5:$AJ$10,5,FALSE)*HLOOKUP(_xlfn.CONCAT(F936,H936),ST_OVERVIEW!$G$99:$I$130,MATCH(_xlfn.CONCAT(D936,E936),ST_OVERVIEW!$F$99:$F$130,0),FALSE))),IF(D936="BRAND.com",VLOOKUP(_xlfn.CONCAT(C936,D936,E936,TIME!$F$1,Z936),HIS_SALES!$B$2:$V$4859,19,FALSE)*I936,VLOOKUP(_xlfn.CONCAT(D936,F936,G936),Q_BUSAREA_FC!$AE$5:$AI$12,5,FALSE)*HLOOKUP(_xlfn.CONCAT(FC_DATA!F936,FC_DATA!G936),LT_OVERVIEW!$I$99:$M$130,MATCH(_xlfn.CONCAT(D936,FC_DATA!E936),LT_OVERVIEW!$H$99:$H$130,0),FALSE)*IFERROR(VLOOKUP(_xlfn.CONCAT(C936,D936,E936,TIME!$F$1,Z936),HIS_SALES!$B$2:$V$4859,19,FALSE),0)))</f>
        <v>#N/A</v>
      </c>
      <c r="AD936" s="341">
        <f t="shared" ca="1" si="355"/>
        <v>0</v>
      </c>
      <c r="AE936" s="363" t="str">
        <f t="shared" si="356"/>
        <v/>
      </c>
      <c r="AF936" s="342" t="str">
        <f t="shared" si="357"/>
        <v/>
      </c>
      <c r="AG936" s="411" t="e">
        <f ca="1">VLOOKUP(_xlfn.CONCAT(U936,V936,W936,VLOOKUP(X936&amp;Y936,TIME!$L$27:$O$34,4,FALSE),Y936),HIS_SALES!$A$2:$R$5093,18,FALSE)</f>
        <v>#N/A</v>
      </c>
      <c r="AH936" s="412" t="e">
        <f ca="1">IFERROR(IF(AND(V936=V935,W936=W935),0.5*(AB936+AB935)*AG936,(VLOOKUP(_xlfn.CONCAT(U936,V936,W936,X936,VLOOKUP(Z936,TIME!$S$28:$T$39,2,FALSE)),FC_DATA!$R$2:$AB$5000,MATCH("GS_I_M",FC_DATA!$R$1:$AB$1,0),FALSE)+FC_DATA!AB936)*0.5*FC_DATA!AG936),NA())</f>
        <v>#N/A</v>
      </c>
      <c r="AI936" s="491" t="e">
        <f ca="1">IF(V936="PARTNER.com",AH936,IF(AND(V936=V935,W936=W935),(1-AVERAGE(AD935,AD936))*AH936,(1-AVERAGE(AD936,VLOOKUP(_xlfn.CONCAT(U936,V936,W936,X936,M_BRAND_FC!$F$6),FC_DATA!$R$2:$AD$5000,MATCH("DISCOUNT_%_M",FC_DATA!$R$1:$AD$1,0),FALSE)))*AH936))</f>
        <v>#N/A</v>
      </c>
      <c r="AJ936" s="412" t="str">
        <f t="shared" ca="1" si="358"/>
        <v/>
      </c>
      <c r="AK936" s="413" t="str">
        <f>IFERROR(AE936/(Q_BRAND_FC!$T$24+1),"")</f>
        <v/>
      </c>
      <c r="AL936" s="88" t="str">
        <f t="shared" ca="1" si="359"/>
        <v/>
      </c>
      <c r="AM936" s="414" t="str">
        <f t="shared" ca="1" si="360"/>
        <v/>
      </c>
      <c r="AN936" s="58">
        <f>IFERROR(IF($V936="BRAND.com",HLOOKUP($X936&amp;$Z936,NWC_FC_NOOS!$C$4:$Q$23,MATCH(W936,NWC_FC_NOOS!$B$4:$B$23,0),FALSE),0),0)</f>
        <v>0</v>
      </c>
      <c r="AO936" s="57">
        <f>IFERROR(IF($V936="BRAND.com",HLOOKUP($X936&amp;$Z936,NWC_FC_NOOS!$T$4:$AH$23,MATCH(W936,NWC_FC_NOOS!$S$4:$S$23,0),FALSE),0),0)</f>
        <v>0</v>
      </c>
      <c r="AP936" s="57">
        <f>IFERROR(IF($V936="BRAND.com",HLOOKUP($X936&amp;$Z936,NWC_FC_NOOS!$C$50:$U$69,MATCH(W936,NWC_FC_NOOS!$B$50:$B$69,0),FALSE),0),0)</f>
        <v>0</v>
      </c>
      <c r="AQ936" s="58">
        <f>IFERROR(IF($V936="BRAND.com",HLOOKUP($X936&amp;$Z936,'NWC_FC_NON-NOOS'!$C$4:$Q$23,MATCH(W936,'NWC_FC_NON-NOOS'!$B$4:$B$23,0),FALSE),0),0)</f>
        <v>0</v>
      </c>
      <c r="AR936" s="57">
        <f>IFERROR(IF($V936="BRAND.com",HLOOKUP($X936&amp;$Z936,'NWC_FC_NON-NOOS'!$T$4:$AH$23,MATCH(W936,'NWC_FC_NON-NOOS'!$S$4:$S$23,0),FALSE),0),0)</f>
        <v>0</v>
      </c>
      <c r="AS936" s="57">
        <f>IFERROR(IF($V936="BRAND.com",HLOOKUP($X936&amp;$Z936,'NWC_FC_NON-NOOS'!$C$50:$U$69,MATCH(W936,'NWC_FC_NON-NOOS'!$B$50:$B$69,0),FALSE),0),0)</f>
        <v>0</v>
      </c>
      <c r="AT936" s="57">
        <f t="shared" si="362"/>
        <v>0</v>
      </c>
      <c r="AU936" s="57">
        <f t="shared" si="363"/>
        <v>0</v>
      </c>
      <c r="AV936" s="58">
        <f>IFERROR(IF($V936="BRAND.com",HLOOKUP($X936&amp;$Z936,PLANNING_FC!$BB$27:$BP$46,MATCH($W936,PLANNING_FC!$BA$27:$BA$46,0),FALSE),0),0)</f>
        <v>0</v>
      </c>
      <c r="AW936" s="58">
        <f>IFERROR(IF($V936="BRAND.com",HLOOKUP($X936&amp;$Z936,PLANNING_FC!$BB$4:$BP$23,MATCH($W936,PLANNING_FC!$BA$4:$BA$23,0),FALSE),0),0)</f>
        <v>0</v>
      </c>
      <c r="AX936" s="58">
        <f>IFERROR(IF($V936="BRAND.com",HLOOKUP($X936&amp;$Z936,PLANNING_FC!$T$27:$AH$46,MATCH($W936,PLANNING_FC!$B$27:$B$46,0),FALSE),0),0)</f>
        <v>0</v>
      </c>
      <c r="AY936" s="58">
        <f>IFERROR(IF($V936="BRAND.com",HLOOKUP($X936&amp;$Z936,PLANNING_FC!$T$4:$AH$23,MATCH($W936,PLANNING_FC!$B$4:$B$23,0),FALSE),0),0)</f>
        <v>0</v>
      </c>
      <c r="AZ936" s="58">
        <f>IFERROR(IF($V936="BRAND.com",HLOOKUP($X936&amp;$Z936,PLANNING_FC!$DA$27:$DO$46,MATCH($W936,PLANNING_FC!$CZ$27:$CZ$46,0),FALSE),0),0)</f>
        <v>0</v>
      </c>
      <c r="BA936" s="58">
        <f>IFERROR(IF($V936="BRAND.com",HLOOKUP($X936&amp;$Z936,PLANNING_FC!$DA$4:$DO$23,MATCH($W936,PLANNING_FC!$CZ$4:$CZ$23,0),FALSE),0),0)</f>
        <v>0</v>
      </c>
      <c r="BB936" s="883" t="str">
        <f>IF(V936="BRAND.com",IFERROR(HLOOKUP(X936&amp;Z936,PLANNING_FC!$AK$4:$AY$23,MATCH(W936,PLANNING_FC!$AJ$4:$AJ$23,0),FALSE)*1000,""),"")</f>
        <v/>
      </c>
      <c r="BC936" s="883" t="str">
        <f>IF(V936="BRAND.com",IFERROR(HLOOKUP(X936&amp;Z936,PLANNING_FC!$AK$27:$AY$46,MATCH(W936,PLANNING_FC!$AJ$27:$AJ$46,0),FALSE)*1000,""),"")</f>
        <v/>
      </c>
    </row>
    <row r="937" spans="14:55" x14ac:dyDescent="0.25">
      <c r="N937" s="56">
        <f t="shared" si="344"/>
        <v>0</v>
      </c>
      <c r="O937" s="57">
        <f t="shared" si="345"/>
        <v>0</v>
      </c>
      <c r="P937" s="57">
        <f ca="1">IFERROR(IF(ISBLANK(H937),SUMIFS($AC:$AC,$V:$V,V937,$W:$W,W937,$X:$X,X937,$Y:$Y,Y937)*J937/(1-J937)*VLOOKUP(_xlfn.CONCAT(C937,D937,E937,TIME!$M$12,Z937),HIS_SALES!$B$2:$W$4859,20,FALSE),AC937*J937/(1-J937)),0)</f>
        <v>0</v>
      </c>
      <c r="Q937" s="541" t="str">
        <f t="shared" si="346"/>
        <v/>
      </c>
      <c r="R937" s="346" t="str">
        <f t="shared" si="347"/>
        <v>00000</v>
      </c>
      <c r="S937" s="344">
        <f t="shared" si="348"/>
        <v>0</v>
      </c>
      <c r="T937" s="345" t="str">
        <f t="shared" si="361"/>
        <v>000</v>
      </c>
      <c r="U937" s="345">
        <f t="shared" si="349"/>
        <v>0</v>
      </c>
      <c r="V937" s="345">
        <f t="shared" si="350"/>
        <v>0</v>
      </c>
      <c r="W937" s="345">
        <f t="shared" si="351"/>
        <v>0</v>
      </c>
      <c r="X937" s="345">
        <f t="shared" si="352"/>
        <v>0</v>
      </c>
      <c r="Y937" s="345">
        <f t="shared" si="353"/>
        <v>0</v>
      </c>
      <c r="Z937" s="345">
        <f>IF(Q937&lt;&gt;"",VLOOKUP(Y937,TIME!$R$21:$V$24,MATCH(FC_DATA!Q937,TIME!$R$20:$V$20,0),FALSE),H937)</f>
        <v>0</v>
      </c>
      <c r="AA937" s="345" t="str">
        <f>IFERROR(VLOOKUP(X937&amp;Z937,TIME!$A$12:$D$71,4,FALSE),"")</f>
        <v/>
      </c>
      <c r="AB937" s="592">
        <f t="shared" ca="1" si="354"/>
        <v>0</v>
      </c>
      <c r="AC937" s="593" t="e">
        <f ca="1">IF(ISBLANK(H937)=FALSE,IF(D937="BRAND.com",I937,IF(ISNA(VLOOKUP(_xlfn.CONCAT(X937,Z937),TIME!$M$40:$M$42,1,FALSE)),I937,VLOOKUP(_xlfn.CONCAT(D937,G937,H937),M_BUSAREA_FC!$AF$5:$AJ$10,5,FALSE)*HLOOKUP(_xlfn.CONCAT(F937,H937),ST_OVERVIEW!$G$99:$I$130,MATCH(_xlfn.CONCAT(D937,E937),ST_OVERVIEW!$F$99:$F$130,0),FALSE))),IF(D937="BRAND.com",VLOOKUP(_xlfn.CONCAT(C937,D937,E937,TIME!$F$1,Z937),HIS_SALES!$B$2:$V$4859,19,FALSE)*I937,VLOOKUP(_xlfn.CONCAT(D937,F937,G937),Q_BUSAREA_FC!$AE$5:$AI$12,5,FALSE)*HLOOKUP(_xlfn.CONCAT(FC_DATA!F937,FC_DATA!G937),LT_OVERVIEW!$I$99:$M$130,MATCH(_xlfn.CONCAT(D937,FC_DATA!E937),LT_OVERVIEW!$H$99:$H$130,0),FALSE)*IFERROR(VLOOKUP(_xlfn.CONCAT(C937,D937,E937,TIME!$F$1,Z937),HIS_SALES!$B$2:$V$4859,19,FALSE),0)))</f>
        <v>#N/A</v>
      </c>
      <c r="AD937" s="341">
        <f t="shared" ca="1" si="355"/>
        <v>0</v>
      </c>
      <c r="AE937" s="363" t="str">
        <f t="shared" si="356"/>
        <v/>
      </c>
      <c r="AF937" s="342" t="str">
        <f t="shared" si="357"/>
        <v/>
      </c>
      <c r="AG937" s="411" t="e">
        <f ca="1">VLOOKUP(_xlfn.CONCAT(U937,V937,W937,VLOOKUP(X937&amp;Y937,TIME!$L$27:$O$34,4,FALSE),Y937),HIS_SALES!$A$2:$R$5093,18,FALSE)</f>
        <v>#N/A</v>
      </c>
      <c r="AH937" s="412" t="e">
        <f ca="1">IFERROR(IF(AND(V937=V936,W937=W936),0.5*(AB937+AB936)*AG937,(VLOOKUP(_xlfn.CONCAT(U937,V937,W937,X937,VLOOKUP(Z937,TIME!$S$28:$T$39,2,FALSE)),FC_DATA!$R$2:$AB$5000,MATCH("GS_I_M",FC_DATA!$R$1:$AB$1,0),FALSE)+FC_DATA!AB937)*0.5*FC_DATA!AG937),NA())</f>
        <v>#N/A</v>
      </c>
      <c r="AI937" s="491" t="e">
        <f ca="1">IF(V937="PARTNER.com",AH937,IF(AND(V937=V936,W937=W936),(1-AVERAGE(AD936,AD937))*AH937,(1-AVERAGE(AD937,VLOOKUP(_xlfn.CONCAT(U937,V937,W937,X937,M_BRAND_FC!$F$6),FC_DATA!$R$2:$AD$5000,MATCH("DISCOUNT_%_M",FC_DATA!$R$1:$AD$1,0),FALSE)))*AH937))</f>
        <v>#N/A</v>
      </c>
      <c r="AJ937" s="412" t="str">
        <f t="shared" ca="1" si="358"/>
        <v/>
      </c>
      <c r="AK937" s="413" t="str">
        <f>IFERROR(AE937/(Q_BRAND_FC!$T$24+1),"")</f>
        <v/>
      </c>
      <c r="AL937" s="88" t="str">
        <f t="shared" ca="1" si="359"/>
        <v/>
      </c>
      <c r="AM937" s="414" t="str">
        <f t="shared" ca="1" si="360"/>
        <v/>
      </c>
      <c r="AN937" s="58">
        <f>IFERROR(IF($V937="BRAND.com",HLOOKUP($X937&amp;$Z937,NWC_FC_NOOS!$C$4:$Q$23,MATCH(W937,NWC_FC_NOOS!$B$4:$B$23,0),FALSE),0),0)</f>
        <v>0</v>
      </c>
      <c r="AO937" s="57">
        <f>IFERROR(IF($V937="BRAND.com",HLOOKUP($X937&amp;$Z937,NWC_FC_NOOS!$T$4:$AH$23,MATCH(W937,NWC_FC_NOOS!$S$4:$S$23,0),FALSE),0),0)</f>
        <v>0</v>
      </c>
      <c r="AP937" s="57">
        <f>IFERROR(IF($V937="BRAND.com",HLOOKUP($X937&amp;$Z937,NWC_FC_NOOS!$C$50:$U$69,MATCH(W937,NWC_FC_NOOS!$B$50:$B$69,0),FALSE),0),0)</f>
        <v>0</v>
      </c>
      <c r="AQ937" s="58">
        <f>IFERROR(IF($V937="BRAND.com",HLOOKUP($X937&amp;$Z937,'NWC_FC_NON-NOOS'!$C$4:$Q$23,MATCH(W937,'NWC_FC_NON-NOOS'!$B$4:$B$23,0),FALSE),0),0)</f>
        <v>0</v>
      </c>
      <c r="AR937" s="57">
        <f>IFERROR(IF($V937="BRAND.com",HLOOKUP($X937&amp;$Z937,'NWC_FC_NON-NOOS'!$T$4:$AH$23,MATCH(W937,'NWC_FC_NON-NOOS'!$S$4:$S$23,0),FALSE),0),0)</f>
        <v>0</v>
      </c>
      <c r="AS937" s="57">
        <f>IFERROR(IF($V937="BRAND.com",HLOOKUP($X937&amp;$Z937,'NWC_FC_NON-NOOS'!$C$50:$U$69,MATCH(W937,'NWC_FC_NON-NOOS'!$B$50:$B$69,0),FALSE),0),0)</f>
        <v>0</v>
      </c>
      <c r="AT937" s="57">
        <f t="shared" si="362"/>
        <v>0</v>
      </c>
      <c r="AU937" s="57">
        <f t="shared" si="363"/>
        <v>0</v>
      </c>
      <c r="AV937" s="58">
        <f>IFERROR(IF($V937="BRAND.com",HLOOKUP($X937&amp;$Z937,PLANNING_FC!$BB$27:$BP$46,MATCH($W937,PLANNING_FC!$BA$27:$BA$46,0),FALSE),0),0)</f>
        <v>0</v>
      </c>
      <c r="AW937" s="58">
        <f>IFERROR(IF($V937="BRAND.com",HLOOKUP($X937&amp;$Z937,PLANNING_FC!$BB$4:$BP$23,MATCH($W937,PLANNING_FC!$BA$4:$BA$23,0),FALSE),0),0)</f>
        <v>0</v>
      </c>
      <c r="AX937" s="58">
        <f>IFERROR(IF($V937="BRAND.com",HLOOKUP($X937&amp;$Z937,PLANNING_FC!$T$27:$AH$46,MATCH($W937,PLANNING_FC!$B$27:$B$46,0),FALSE),0),0)</f>
        <v>0</v>
      </c>
      <c r="AY937" s="58">
        <f>IFERROR(IF($V937="BRAND.com",HLOOKUP($X937&amp;$Z937,PLANNING_FC!$T$4:$AH$23,MATCH($W937,PLANNING_FC!$B$4:$B$23,0),FALSE),0),0)</f>
        <v>0</v>
      </c>
      <c r="AZ937" s="58">
        <f>IFERROR(IF($V937="BRAND.com",HLOOKUP($X937&amp;$Z937,PLANNING_FC!$DA$27:$DO$46,MATCH($W937,PLANNING_FC!$CZ$27:$CZ$46,0),FALSE),0),0)</f>
        <v>0</v>
      </c>
      <c r="BA937" s="58">
        <f>IFERROR(IF($V937="BRAND.com",HLOOKUP($X937&amp;$Z937,PLANNING_FC!$DA$4:$DO$23,MATCH($W937,PLANNING_FC!$CZ$4:$CZ$23,0),FALSE),0),0)</f>
        <v>0</v>
      </c>
      <c r="BB937" s="883" t="str">
        <f>IF(V937="BRAND.com",IFERROR(HLOOKUP(X937&amp;Z937,PLANNING_FC!$AK$4:$AY$23,MATCH(W937,PLANNING_FC!$AJ$4:$AJ$23,0),FALSE)*1000,""),"")</f>
        <v/>
      </c>
      <c r="BC937" s="883" t="str">
        <f>IF(V937="BRAND.com",IFERROR(HLOOKUP(X937&amp;Z937,PLANNING_FC!$AK$27:$AY$46,MATCH(W937,PLANNING_FC!$AJ$27:$AJ$46,0),FALSE)*1000,""),"")</f>
        <v/>
      </c>
    </row>
    <row r="938" spans="14:55" x14ac:dyDescent="0.25">
      <c r="N938" s="56">
        <f t="shared" si="344"/>
        <v>0</v>
      </c>
      <c r="O938" s="57">
        <f t="shared" si="345"/>
        <v>0</v>
      </c>
      <c r="P938" s="57">
        <f ca="1">IFERROR(IF(ISBLANK(H938),SUMIFS($AC:$AC,$V:$V,V938,$W:$W,W938,$X:$X,X938,$Y:$Y,Y938)*J938/(1-J938)*VLOOKUP(_xlfn.CONCAT(C938,D938,E938,TIME!$M$12,Z938),HIS_SALES!$B$2:$W$4859,20,FALSE),AC938*J938/(1-J938)),0)</f>
        <v>0</v>
      </c>
      <c r="Q938" s="541" t="str">
        <f t="shared" si="346"/>
        <v/>
      </c>
      <c r="R938" s="346" t="str">
        <f t="shared" si="347"/>
        <v>00000</v>
      </c>
      <c r="S938" s="344">
        <f t="shared" si="348"/>
        <v>0</v>
      </c>
      <c r="T938" s="345" t="str">
        <f t="shared" si="361"/>
        <v>000</v>
      </c>
      <c r="U938" s="345">
        <f t="shared" si="349"/>
        <v>0</v>
      </c>
      <c r="V938" s="345">
        <f t="shared" si="350"/>
        <v>0</v>
      </c>
      <c r="W938" s="345">
        <f t="shared" si="351"/>
        <v>0</v>
      </c>
      <c r="X938" s="345">
        <f t="shared" si="352"/>
        <v>0</v>
      </c>
      <c r="Y938" s="345">
        <f t="shared" si="353"/>
        <v>0</v>
      </c>
      <c r="Z938" s="345">
        <f>IF(Q938&lt;&gt;"",VLOOKUP(Y938,TIME!$R$21:$V$24,MATCH(FC_DATA!Q938,TIME!$R$20:$V$20,0),FALSE),H938)</f>
        <v>0</v>
      </c>
      <c r="AA938" s="345" t="str">
        <f>IFERROR(VLOOKUP(X938&amp;Z938,TIME!$A$12:$D$71,4,FALSE),"")</f>
        <v/>
      </c>
      <c r="AB938" s="592">
        <f t="shared" ca="1" si="354"/>
        <v>0</v>
      </c>
      <c r="AC938" s="593" t="e">
        <f ca="1">IF(ISBLANK(H938)=FALSE,IF(D938="BRAND.com",I938,IF(ISNA(VLOOKUP(_xlfn.CONCAT(X938,Z938),TIME!$M$40:$M$42,1,FALSE)),I938,VLOOKUP(_xlfn.CONCAT(D938,G938,H938),M_BUSAREA_FC!$AF$5:$AJ$10,5,FALSE)*HLOOKUP(_xlfn.CONCAT(F938,H938),ST_OVERVIEW!$G$99:$I$130,MATCH(_xlfn.CONCAT(D938,E938),ST_OVERVIEW!$F$99:$F$130,0),FALSE))),IF(D938="BRAND.com",VLOOKUP(_xlfn.CONCAT(C938,D938,E938,TIME!$F$1,Z938),HIS_SALES!$B$2:$V$4859,19,FALSE)*I938,VLOOKUP(_xlfn.CONCAT(D938,F938,G938),Q_BUSAREA_FC!$AE$5:$AI$12,5,FALSE)*HLOOKUP(_xlfn.CONCAT(FC_DATA!F938,FC_DATA!G938),LT_OVERVIEW!$I$99:$M$130,MATCH(_xlfn.CONCAT(D938,FC_DATA!E938),LT_OVERVIEW!$H$99:$H$130,0),FALSE)*IFERROR(VLOOKUP(_xlfn.CONCAT(C938,D938,E938,TIME!$F$1,Z938),HIS_SALES!$B$2:$V$4859,19,FALSE),0)))</f>
        <v>#N/A</v>
      </c>
      <c r="AD938" s="341">
        <f t="shared" ca="1" si="355"/>
        <v>0</v>
      </c>
      <c r="AE938" s="363" t="str">
        <f t="shared" si="356"/>
        <v/>
      </c>
      <c r="AF938" s="342" t="str">
        <f t="shared" si="357"/>
        <v/>
      </c>
      <c r="AG938" s="411" t="e">
        <f ca="1">VLOOKUP(_xlfn.CONCAT(U938,V938,W938,VLOOKUP(X938&amp;Y938,TIME!$L$27:$O$34,4,FALSE),Y938),HIS_SALES!$A$2:$R$5093,18,FALSE)</f>
        <v>#N/A</v>
      </c>
      <c r="AH938" s="412" t="e">
        <f ca="1">IFERROR(IF(AND(V938=V937,W938=W937),0.5*(AB938+AB937)*AG938,(VLOOKUP(_xlfn.CONCAT(U938,V938,W938,X938,VLOOKUP(Z938,TIME!$S$28:$T$39,2,FALSE)),FC_DATA!$R$2:$AB$5000,MATCH("GS_I_M",FC_DATA!$R$1:$AB$1,0),FALSE)+FC_DATA!AB938)*0.5*FC_DATA!AG938),NA())</f>
        <v>#N/A</v>
      </c>
      <c r="AI938" s="491" t="e">
        <f ca="1">IF(V938="PARTNER.com",AH938,IF(AND(V938=V937,W938=W937),(1-AVERAGE(AD937,AD938))*AH938,(1-AVERAGE(AD938,VLOOKUP(_xlfn.CONCAT(U938,V938,W938,X938,M_BRAND_FC!$F$6),FC_DATA!$R$2:$AD$5000,MATCH("DISCOUNT_%_M",FC_DATA!$R$1:$AD$1,0),FALSE)))*AH938))</f>
        <v>#N/A</v>
      </c>
      <c r="AJ938" s="412" t="str">
        <f t="shared" ca="1" si="358"/>
        <v/>
      </c>
      <c r="AK938" s="413" t="str">
        <f>IFERROR(AE938/(Q_BRAND_FC!$T$24+1),"")</f>
        <v/>
      </c>
      <c r="AL938" s="88" t="str">
        <f t="shared" ca="1" si="359"/>
        <v/>
      </c>
      <c r="AM938" s="414" t="str">
        <f t="shared" ca="1" si="360"/>
        <v/>
      </c>
      <c r="AN938" s="58">
        <f>IFERROR(IF($V938="BRAND.com",HLOOKUP($X938&amp;$Z938,NWC_FC_NOOS!$C$4:$Q$23,MATCH(W938,NWC_FC_NOOS!$B$4:$B$23,0),FALSE),0),0)</f>
        <v>0</v>
      </c>
      <c r="AO938" s="57">
        <f>IFERROR(IF($V938="BRAND.com",HLOOKUP($X938&amp;$Z938,NWC_FC_NOOS!$T$4:$AH$23,MATCH(W938,NWC_FC_NOOS!$S$4:$S$23,0),FALSE),0),0)</f>
        <v>0</v>
      </c>
      <c r="AP938" s="57">
        <f>IFERROR(IF($V938="BRAND.com",HLOOKUP($X938&amp;$Z938,NWC_FC_NOOS!$C$50:$U$69,MATCH(W938,NWC_FC_NOOS!$B$50:$B$69,0),FALSE),0),0)</f>
        <v>0</v>
      </c>
      <c r="AQ938" s="58">
        <f>IFERROR(IF($V938="BRAND.com",HLOOKUP($X938&amp;$Z938,'NWC_FC_NON-NOOS'!$C$4:$Q$23,MATCH(W938,'NWC_FC_NON-NOOS'!$B$4:$B$23,0),FALSE),0),0)</f>
        <v>0</v>
      </c>
      <c r="AR938" s="57">
        <f>IFERROR(IF($V938="BRAND.com",HLOOKUP($X938&amp;$Z938,'NWC_FC_NON-NOOS'!$T$4:$AH$23,MATCH(W938,'NWC_FC_NON-NOOS'!$S$4:$S$23,0),FALSE),0),0)</f>
        <v>0</v>
      </c>
      <c r="AS938" s="57">
        <f>IFERROR(IF($V938="BRAND.com",HLOOKUP($X938&amp;$Z938,'NWC_FC_NON-NOOS'!$C$50:$U$69,MATCH(W938,'NWC_FC_NON-NOOS'!$B$50:$B$69,0),FALSE),0),0)</f>
        <v>0</v>
      </c>
      <c r="AT938" s="57">
        <f t="shared" si="362"/>
        <v>0</v>
      </c>
      <c r="AU938" s="57">
        <f t="shared" si="363"/>
        <v>0</v>
      </c>
      <c r="AV938" s="58">
        <f>IFERROR(IF($V938="BRAND.com",HLOOKUP($X938&amp;$Z938,PLANNING_FC!$BB$27:$BP$46,MATCH($W938,PLANNING_FC!$BA$27:$BA$46,0),FALSE),0),0)</f>
        <v>0</v>
      </c>
      <c r="AW938" s="58">
        <f>IFERROR(IF($V938="BRAND.com",HLOOKUP($X938&amp;$Z938,PLANNING_FC!$BB$4:$BP$23,MATCH($W938,PLANNING_FC!$BA$4:$BA$23,0),FALSE),0),0)</f>
        <v>0</v>
      </c>
      <c r="AX938" s="58">
        <f>IFERROR(IF($V938="BRAND.com",HLOOKUP($X938&amp;$Z938,PLANNING_FC!$T$27:$AH$46,MATCH($W938,PLANNING_FC!$B$27:$B$46,0),FALSE),0),0)</f>
        <v>0</v>
      </c>
      <c r="AY938" s="58">
        <f>IFERROR(IF($V938="BRAND.com",HLOOKUP($X938&amp;$Z938,PLANNING_FC!$T$4:$AH$23,MATCH($W938,PLANNING_FC!$B$4:$B$23,0),FALSE),0),0)</f>
        <v>0</v>
      </c>
      <c r="AZ938" s="58">
        <f>IFERROR(IF($V938="BRAND.com",HLOOKUP($X938&amp;$Z938,PLANNING_FC!$DA$27:$DO$46,MATCH($W938,PLANNING_FC!$CZ$27:$CZ$46,0),FALSE),0),0)</f>
        <v>0</v>
      </c>
      <c r="BA938" s="58">
        <f>IFERROR(IF($V938="BRAND.com",HLOOKUP($X938&amp;$Z938,PLANNING_FC!$DA$4:$DO$23,MATCH($W938,PLANNING_FC!$CZ$4:$CZ$23,0),FALSE),0),0)</f>
        <v>0</v>
      </c>
      <c r="BB938" s="883" t="str">
        <f>IF(V938="BRAND.com",IFERROR(HLOOKUP(X938&amp;Z938,PLANNING_FC!$AK$4:$AY$23,MATCH(W938,PLANNING_FC!$AJ$4:$AJ$23,0),FALSE)*1000,""),"")</f>
        <v/>
      </c>
      <c r="BC938" s="883" t="str">
        <f>IF(V938="BRAND.com",IFERROR(HLOOKUP(X938&amp;Z938,PLANNING_FC!$AK$27:$AY$46,MATCH(W938,PLANNING_FC!$AJ$27:$AJ$46,0),FALSE)*1000,""),"")</f>
        <v/>
      </c>
    </row>
    <row r="939" spans="14:55" x14ac:dyDescent="0.25">
      <c r="N939" s="56">
        <f t="shared" si="344"/>
        <v>0</v>
      </c>
      <c r="O939" s="57">
        <f t="shared" si="345"/>
        <v>0</v>
      </c>
      <c r="P939" s="57">
        <f ca="1">IFERROR(IF(ISBLANK(H939),SUMIFS($AC:$AC,$V:$V,V939,$W:$W,W939,$X:$X,X939,$Y:$Y,Y939)*J939/(1-J939)*VLOOKUP(_xlfn.CONCAT(C939,D939,E939,TIME!$M$12,Z939),HIS_SALES!$B$2:$W$4859,20,FALSE),AC939*J939/(1-J939)),0)</f>
        <v>0</v>
      </c>
      <c r="Q939" s="541" t="str">
        <f t="shared" si="346"/>
        <v/>
      </c>
      <c r="R939" s="346" t="str">
        <f t="shared" si="347"/>
        <v>00000</v>
      </c>
      <c r="S939" s="344">
        <f t="shared" si="348"/>
        <v>0</v>
      </c>
      <c r="T939" s="345" t="str">
        <f t="shared" si="361"/>
        <v>000</v>
      </c>
      <c r="U939" s="345">
        <f t="shared" si="349"/>
        <v>0</v>
      </c>
      <c r="V939" s="345">
        <f t="shared" si="350"/>
        <v>0</v>
      </c>
      <c r="W939" s="345">
        <f t="shared" si="351"/>
        <v>0</v>
      </c>
      <c r="X939" s="345">
        <f t="shared" si="352"/>
        <v>0</v>
      </c>
      <c r="Y939" s="345">
        <f t="shared" si="353"/>
        <v>0</v>
      </c>
      <c r="Z939" s="345">
        <f>IF(Q939&lt;&gt;"",VLOOKUP(Y939,TIME!$R$21:$V$24,MATCH(FC_DATA!Q939,TIME!$R$20:$V$20,0),FALSE),H939)</f>
        <v>0</v>
      </c>
      <c r="AA939" s="345" t="str">
        <f>IFERROR(VLOOKUP(X939&amp;Z939,TIME!$A$12:$D$71,4,FALSE),"")</f>
        <v/>
      </c>
      <c r="AB939" s="592">
        <f t="shared" ca="1" si="354"/>
        <v>0</v>
      </c>
      <c r="AC939" s="593" t="e">
        <f ca="1">IF(ISBLANK(H939)=FALSE,IF(D939="BRAND.com",I939,IF(ISNA(VLOOKUP(_xlfn.CONCAT(X939,Z939),TIME!$M$40:$M$42,1,FALSE)),I939,VLOOKUP(_xlfn.CONCAT(D939,G939,H939),M_BUSAREA_FC!$AF$5:$AJ$10,5,FALSE)*HLOOKUP(_xlfn.CONCAT(F939,H939),ST_OVERVIEW!$G$99:$I$130,MATCH(_xlfn.CONCAT(D939,E939),ST_OVERVIEW!$F$99:$F$130,0),FALSE))),IF(D939="BRAND.com",VLOOKUP(_xlfn.CONCAT(C939,D939,E939,TIME!$F$1,Z939),HIS_SALES!$B$2:$V$4859,19,FALSE)*I939,VLOOKUP(_xlfn.CONCAT(D939,F939,G939),Q_BUSAREA_FC!$AE$5:$AI$12,5,FALSE)*HLOOKUP(_xlfn.CONCAT(FC_DATA!F939,FC_DATA!G939),LT_OVERVIEW!$I$99:$M$130,MATCH(_xlfn.CONCAT(D939,FC_DATA!E939),LT_OVERVIEW!$H$99:$H$130,0),FALSE)*IFERROR(VLOOKUP(_xlfn.CONCAT(C939,D939,E939,TIME!$F$1,Z939),HIS_SALES!$B$2:$V$4859,19,FALSE),0)))</f>
        <v>#N/A</v>
      </c>
      <c r="AD939" s="341">
        <f t="shared" ca="1" si="355"/>
        <v>0</v>
      </c>
      <c r="AE939" s="363" t="str">
        <f t="shared" si="356"/>
        <v/>
      </c>
      <c r="AF939" s="342" t="str">
        <f t="shared" si="357"/>
        <v/>
      </c>
      <c r="AG939" s="411" t="e">
        <f ca="1">VLOOKUP(_xlfn.CONCAT(U939,V939,W939,VLOOKUP(X939&amp;Y939,TIME!$L$27:$O$34,4,FALSE),Y939),HIS_SALES!$A$2:$R$5093,18,FALSE)</f>
        <v>#N/A</v>
      </c>
      <c r="AH939" s="412" t="e">
        <f ca="1">IFERROR(IF(AND(V939=V938,W939=W938),0.5*(AB939+AB938)*AG939,(VLOOKUP(_xlfn.CONCAT(U939,V939,W939,X939,VLOOKUP(Z939,TIME!$S$28:$T$39,2,FALSE)),FC_DATA!$R$2:$AB$5000,MATCH("GS_I_M",FC_DATA!$R$1:$AB$1,0),FALSE)+FC_DATA!AB939)*0.5*FC_DATA!AG939),NA())</f>
        <v>#N/A</v>
      </c>
      <c r="AI939" s="491" t="e">
        <f ca="1">IF(V939="PARTNER.com",AH939,IF(AND(V939=V938,W939=W938),(1-AVERAGE(AD938,AD939))*AH939,(1-AVERAGE(AD939,VLOOKUP(_xlfn.CONCAT(U939,V939,W939,X939,M_BRAND_FC!$F$6),FC_DATA!$R$2:$AD$5000,MATCH("DISCOUNT_%_M",FC_DATA!$R$1:$AD$1,0),FALSE)))*AH939))</f>
        <v>#N/A</v>
      </c>
      <c r="AJ939" s="412" t="str">
        <f t="shared" ca="1" si="358"/>
        <v/>
      </c>
      <c r="AK939" s="413" t="str">
        <f>IFERROR(AE939/(Q_BRAND_FC!$T$24+1),"")</f>
        <v/>
      </c>
      <c r="AL939" s="88" t="str">
        <f t="shared" ca="1" si="359"/>
        <v/>
      </c>
      <c r="AM939" s="414" t="str">
        <f t="shared" ca="1" si="360"/>
        <v/>
      </c>
      <c r="AN939" s="58">
        <f>IFERROR(IF($V939="BRAND.com",HLOOKUP($X939&amp;$Z939,NWC_FC_NOOS!$C$4:$Q$23,MATCH(W939,NWC_FC_NOOS!$B$4:$B$23,0),FALSE),0),0)</f>
        <v>0</v>
      </c>
      <c r="AO939" s="57">
        <f>IFERROR(IF($V939="BRAND.com",HLOOKUP($X939&amp;$Z939,NWC_FC_NOOS!$T$4:$AH$23,MATCH(W939,NWC_FC_NOOS!$S$4:$S$23,0),FALSE),0),0)</f>
        <v>0</v>
      </c>
      <c r="AP939" s="57">
        <f>IFERROR(IF($V939="BRAND.com",HLOOKUP($X939&amp;$Z939,NWC_FC_NOOS!$C$50:$U$69,MATCH(W939,NWC_FC_NOOS!$B$50:$B$69,0),FALSE),0),0)</f>
        <v>0</v>
      </c>
      <c r="AQ939" s="58">
        <f>IFERROR(IF($V939="BRAND.com",HLOOKUP($X939&amp;$Z939,'NWC_FC_NON-NOOS'!$C$4:$Q$23,MATCH(W939,'NWC_FC_NON-NOOS'!$B$4:$B$23,0),FALSE),0),0)</f>
        <v>0</v>
      </c>
      <c r="AR939" s="57">
        <f>IFERROR(IF($V939="BRAND.com",HLOOKUP($X939&amp;$Z939,'NWC_FC_NON-NOOS'!$T$4:$AH$23,MATCH(W939,'NWC_FC_NON-NOOS'!$S$4:$S$23,0),FALSE),0),0)</f>
        <v>0</v>
      </c>
      <c r="AS939" s="57">
        <f>IFERROR(IF($V939="BRAND.com",HLOOKUP($X939&amp;$Z939,'NWC_FC_NON-NOOS'!$C$50:$U$69,MATCH(W939,'NWC_FC_NON-NOOS'!$B$50:$B$69,0),FALSE),0),0)</f>
        <v>0</v>
      </c>
      <c r="AT939" s="57">
        <f t="shared" si="362"/>
        <v>0</v>
      </c>
      <c r="AU939" s="57">
        <f t="shared" si="363"/>
        <v>0</v>
      </c>
      <c r="AV939" s="58">
        <f>IFERROR(IF($V939="BRAND.com",HLOOKUP($X939&amp;$Z939,PLANNING_FC!$BB$27:$BP$46,MATCH($W939,PLANNING_FC!$BA$27:$BA$46,0),FALSE),0),0)</f>
        <v>0</v>
      </c>
      <c r="AW939" s="58">
        <f>IFERROR(IF($V939="BRAND.com",HLOOKUP($X939&amp;$Z939,PLANNING_FC!$BB$4:$BP$23,MATCH($W939,PLANNING_FC!$BA$4:$BA$23,0),FALSE),0),0)</f>
        <v>0</v>
      </c>
      <c r="AX939" s="58">
        <f>IFERROR(IF($V939="BRAND.com",HLOOKUP($X939&amp;$Z939,PLANNING_FC!$T$27:$AH$46,MATCH($W939,PLANNING_FC!$B$27:$B$46,0),FALSE),0),0)</f>
        <v>0</v>
      </c>
      <c r="AY939" s="58">
        <f>IFERROR(IF($V939="BRAND.com",HLOOKUP($X939&amp;$Z939,PLANNING_FC!$T$4:$AH$23,MATCH($W939,PLANNING_FC!$B$4:$B$23,0),FALSE),0),0)</f>
        <v>0</v>
      </c>
      <c r="AZ939" s="58">
        <f>IFERROR(IF($V939="BRAND.com",HLOOKUP($X939&amp;$Z939,PLANNING_FC!$DA$27:$DO$46,MATCH($W939,PLANNING_FC!$CZ$27:$CZ$46,0),FALSE),0),0)</f>
        <v>0</v>
      </c>
      <c r="BA939" s="58">
        <f>IFERROR(IF($V939="BRAND.com",HLOOKUP($X939&amp;$Z939,PLANNING_FC!$DA$4:$DO$23,MATCH($W939,PLANNING_FC!$CZ$4:$CZ$23,0),FALSE),0),0)</f>
        <v>0</v>
      </c>
      <c r="BB939" s="883" t="str">
        <f>IF(V939="BRAND.com",IFERROR(HLOOKUP(X939&amp;Z939,PLANNING_FC!$AK$4:$AY$23,MATCH(W939,PLANNING_FC!$AJ$4:$AJ$23,0),FALSE)*1000,""),"")</f>
        <v/>
      </c>
      <c r="BC939" s="883" t="str">
        <f>IF(V939="BRAND.com",IFERROR(HLOOKUP(X939&amp;Z939,PLANNING_FC!$AK$27:$AY$46,MATCH(W939,PLANNING_FC!$AJ$27:$AJ$46,0),FALSE)*1000,""),"")</f>
        <v/>
      </c>
    </row>
    <row r="940" spans="14:55" x14ac:dyDescent="0.25">
      <c r="N940" s="56">
        <f t="shared" si="344"/>
        <v>0</v>
      </c>
      <c r="O940" s="57">
        <f t="shared" si="345"/>
        <v>0</v>
      </c>
      <c r="P940" s="57">
        <f ca="1">IFERROR(IF(ISBLANK(H940),SUMIFS($AC:$AC,$V:$V,V940,$W:$W,W940,$X:$X,X940,$Y:$Y,Y940)*J940/(1-J940)*VLOOKUP(_xlfn.CONCAT(C940,D940,E940,TIME!$M$12,Z940),HIS_SALES!$B$2:$W$4859,20,FALSE),AC940*J940/(1-J940)),0)</f>
        <v>0</v>
      </c>
      <c r="Q940" s="541" t="str">
        <f t="shared" si="346"/>
        <v/>
      </c>
      <c r="R940" s="346" t="str">
        <f t="shared" si="347"/>
        <v>00000</v>
      </c>
      <c r="S940" s="344">
        <f t="shared" si="348"/>
        <v>0</v>
      </c>
      <c r="T940" s="345" t="str">
        <f t="shared" si="361"/>
        <v>000</v>
      </c>
      <c r="U940" s="345">
        <f t="shared" si="349"/>
        <v>0</v>
      </c>
      <c r="V940" s="345">
        <f t="shared" si="350"/>
        <v>0</v>
      </c>
      <c r="W940" s="345">
        <f t="shared" si="351"/>
        <v>0</v>
      </c>
      <c r="X940" s="345">
        <f t="shared" si="352"/>
        <v>0</v>
      </c>
      <c r="Y940" s="345">
        <f t="shared" si="353"/>
        <v>0</v>
      </c>
      <c r="Z940" s="345">
        <f>IF(Q940&lt;&gt;"",VLOOKUP(Y940,TIME!$R$21:$V$24,MATCH(FC_DATA!Q940,TIME!$R$20:$V$20,0),FALSE),H940)</f>
        <v>0</v>
      </c>
      <c r="AA940" s="345" t="str">
        <f>IFERROR(VLOOKUP(X940&amp;Z940,TIME!$A$12:$D$71,4,FALSE),"")</f>
        <v/>
      </c>
      <c r="AB940" s="592">
        <f t="shared" ca="1" si="354"/>
        <v>0</v>
      </c>
      <c r="AC940" s="593" t="e">
        <f ca="1">IF(ISBLANK(H940)=FALSE,IF(D940="BRAND.com",I940,IF(ISNA(VLOOKUP(_xlfn.CONCAT(X940,Z940),TIME!$M$40:$M$42,1,FALSE)),I940,VLOOKUP(_xlfn.CONCAT(D940,G940,H940),M_BUSAREA_FC!$AF$5:$AJ$10,5,FALSE)*HLOOKUP(_xlfn.CONCAT(F940,H940),ST_OVERVIEW!$G$99:$I$130,MATCH(_xlfn.CONCAT(D940,E940),ST_OVERVIEW!$F$99:$F$130,0),FALSE))),IF(D940="BRAND.com",VLOOKUP(_xlfn.CONCAT(C940,D940,E940,TIME!$F$1,Z940),HIS_SALES!$B$2:$V$4859,19,FALSE)*I940,VLOOKUP(_xlfn.CONCAT(D940,F940,G940),Q_BUSAREA_FC!$AE$5:$AI$12,5,FALSE)*HLOOKUP(_xlfn.CONCAT(FC_DATA!F940,FC_DATA!G940),LT_OVERVIEW!$I$99:$M$130,MATCH(_xlfn.CONCAT(D940,FC_DATA!E940),LT_OVERVIEW!$H$99:$H$130,0),FALSE)*IFERROR(VLOOKUP(_xlfn.CONCAT(C940,D940,E940,TIME!$F$1,Z940),HIS_SALES!$B$2:$V$4859,19,FALSE),0)))</f>
        <v>#N/A</v>
      </c>
      <c r="AD940" s="341">
        <f t="shared" ca="1" si="355"/>
        <v>0</v>
      </c>
      <c r="AE940" s="363" t="str">
        <f t="shared" si="356"/>
        <v/>
      </c>
      <c r="AF940" s="342" t="str">
        <f t="shared" si="357"/>
        <v/>
      </c>
      <c r="AG940" s="411" t="e">
        <f ca="1">VLOOKUP(_xlfn.CONCAT(U940,V940,W940,VLOOKUP(X940&amp;Y940,TIME!$L$27:$O$34,4,FALSE),Y940),HIS_SALES!$A$2:$R$5093,18,FALSE)</f>
        <v>#N/A</v>
      </c>
      <c r="AH940" s="412" t="e">
        <f ca="1">IFERROR(IF(AND(V940=V939,W940=W939),0.5*(AB940+AB939)*AG940,(VLOOKUP(_xlfn.CONCAT(U940,V940,W940,X940,VLOOKUP(Z940,TIME!$S$28:$T$39,2,FALSE)),FC_DATA!$R$2:$AB$5000,MATCH("GS_I_M",FC_DATA!$R$1:$AB$1,0),FALSE)+FC_DATA!AB940)*0.5*FC_DATA!AG940),NA())</f>
        <v>#N/A</v>
      </c>
      <c r="AI940" s="491" t="e">
        <f ca="1">IF(V940="PARTNER.com",AH940,IF(AND(V940=V939,W940=W939),(1-AVERAGE(AD939,AD940))*AH940,(1-AVERAGE(AD940,VLOOKUP(_xlfn.CONCAT(U940,V940,W940,X940,M_BRAND_FC!$F$6),FC_DATA!$R$2:$AD$5000,MATCH("DISCOUNT_%_M",FC_DATA!$R$1:$AD$1,0),FALSE)))*AH940))</f>
        <v>#N/A</v>
      </c>
      <c r="AJ940" s="412" t="str">
        <f t="shared" ca="1" si="358"/>
        <v/>
      </c>
      <c r="AK940" s="413" t="str">
        <f>IFERROR(AE940/(Q_BRAND_FC!$T$24+1),"")</f>
        <v/>
      </c>
      <c r="AL940" s="88" t="str">
        <f t="shared" ca="1" si="359"/>
        <v/>
      </c>
      <c r="AM940" s="414" t="str">
        <f t="shared" ca="1" si="360"/>
        <v/>
      </c>
      <c r="AN940" s="58">
        <f>IFERROR(IF($V940="BRAND.com",HLOOKUP($X940&amp;$Z940,NWC_FC_NOOS!$C$4:$Q$23,MATCH(W940,NWC_FC_NOOS!$B$4:$B$23,0),FALSE),0),0)</f>
        <v>0</v>
      </c>
      <c r="AO940" s="57">
        <f>IFERROR(IF($V940="BRAND.com",HLOOKUP($X940&amp;$Z940,NWC_FC_NOOS!$T$4:$AH$23,MATCH(W940,NWC_FC_NOOS!$S$4:$S$23,0),FALSE),0),0)</f>
        <v>0</v>
      </c>
      <c r="AP940" s="57">
        <f>IFERROR(IF($V940="BRAND.com",HLOOKUP($X940&amp;$Z940,NWC_FC_NOOS!$C$50:$U$69,MATCH(W940,NWC_FC_NOOS!$B$50:$B$69,0),FALSE),0),0)</f>
        <v>0</v>
      </c>
      <c r="AQ940" s="58">
        <f>IFERROR(IF($V940="BRAND.com",HLOOKUP($X940&amp;$Z940,'NWC_FC_NON-NOOS'!$C$4:$Q$23,MATCH(W940,'NWC_FC_NON-NOOS'!$B$4:$B$23,0),FALSE),0),0)</f>
        <v>0</v>
      </c>
      <c r="AR940" s="57">
        <f>IFERROR(IF($V940="BRAND.com",HLOOKUP($X940&amp;$Z940,'NWC_FC_NON-NOOS'!$T$4:$AH$23,MATCH(W940,'NWC_FC_NON-NOOS'!$S$4:$S$23,0),FALSE),0),0)</f>
        <v>0</v>
      </c>
      <c r="AS940" s="57">
        <f>IFERROR(IF($V940="BRAND.com",HLOOKUP($X940&amp;$Z940,'NWC_FC_NON-NOOS'!$C$50:$U$69,MATCH(W940,'NWC_FC_NON-NOOS'!$B$50:$B$69,0),FALSE),0),0)</f>
        <v>0</v>
      </c>
      <c r="AT940" s="57">
        <f t="shared" si="362"/>
        <v>0</v>
      </c>
      <c r="AU940" s="57">
        <f t="shared" si="363"/>
        <v>0</v>
      </c>
      <c r="AV940" s="58">
        <f>IFERROR(IF($V940="BRAND.com",HLOOKUP($X940&amp;$Z940,PLANNING_FC!$BB$27:$BP$46,MATCH($W940,PLANNING_FC!$BA$27:$BA$46,0),FALSE),0),0)</f>
        <v>0</v>
      </c>
      <c r="AW940" s="58">
        <f>IFERROR(IF($V940="BRAND.com",HLOOKUP($X940&amp;$Z940,PLANNING_FC!$BB$4:$BP$23,MATCH($W940,PLANNING_FC!$BA$4:$BA$23,0),FALSE),0),0)</f>
        <v>0</v>
      </c>
      <c r="AX940" s="58">
        <f>IFERROR(IF($V940="BRAND.com",HLOOKUP($X940&amp;$Z940,PLANNING_FC!$T$27:$AH$46,MATCH($W940,PLANNING_FC!$B$27:$B$46,0),FALSE),0),0)</f>
        <v>0</v>
      </c>
      <c r="AY940" s="58">
        <f>IFERROR(IF($V940="BRAND.com",HLOOKUP($X940&amp;$Z940,PLANNING_FC!$T$4:$AH$23,MATCH($W940,PLANNING_FC!$B$4:$B$23,0),FALSE),0),0)</f>
        <v>0</v>
      </c>
      <c r="AZ940" s="58">
        <f>IFERROR(IF($V940="BRAND.com",HLOOKUP($X940&amp;$Z940,PLANNING_FC!$DA$27:$DO$46,MATCH($W940,PLANNING_FC!$CZ$27:$CZ$46,0),FALSE),0),0)</f>
        <v>0</v>
      </c>
      <c r="BA940" s="58">
        <f>IFERROR(IF($V940="BRAND.com",HLOOKUP($X940&amp;$Z940,PLANNING_FC!$DA$4:$DO$23,MATCH($W940,PLANNING_FC!$CZ$4:$CZ$23,0),FALSE),0),0)</f>
        <v>0</v>
      </c>
      <c r="BB940" s="883" t="str">
        <f>IF(V940="BRAND.com",IFERROR(HLOOKUP(X940&amp;Z940,PLANNING_FC!$AK$4:$AY$23,MATCH(W940,PLANNING_FC!$AJ$4:$AJ$23,0),FALSE)*1000,""),"")</f>
        <v/>
      </c>
      <c r="BC940" s="883" t="str">
        <f>IF(V940="BRAND.com",IFERROR(HLOOKUP(X940&amp;Z940,PLANNING_FC!$AK$27:$AY$46,MATCH(W940,PLANNING_FC!$AJ$27:$AJ$46,0),FALSE)*1000,""),"")</f>
        <v/>
      </c>
    </row>
    <row r="941" spans="14:55" x14ac:dyDescent="0.25">
      <c r="N941" s="56">
        <f t="shared" si="344"/>
        <v>0</v>
      </c>
      <c r="O941" s="57">
        <f t="shared" si="345"/>
        <v>0</v>
      </c>
      <c r="P941" s="57">
        <f ca="1">IFERROR(IF(ISBLANK(H941),SUMIFS($AC:$AC,$V:$V,V941,$W:$W,W941,$X:$X,X941,$Y:$Y,Y941)*J941/(1-J941)*VLOOKUP(_xlfn.CONCAT(C941,D941,E941,TIME!$M$12,Z941),HIS_SALES!$B$2:$W$4859,20,FALSE),AC941*J941/(1-J941)),0)</f>
        <v>0</v>
      </c>
      <c r="Q941" s="541" t="str">
        <f t="shared" si="346"/>
        <v/>
      </c>
      <c r="R941" s="346" t="str">
        <f t="shared" si="347"/>
        <v>00000</v>
      </c>
      <c r="S941" s="344">
        <f t="shared" si="348"/>
        <v>0</v>
      </c>
      <c r="T941" s="345" t="str">
        <f t="shared" si="361"/>
        <v>000</v>
      </c>
      <c r="U941" s="345">
        <f t="shared" si="349"/>
        <v>0</v>
      </c>
      <c r="V941" s="345">
        <f t="shared" si="350"/>
        <v>0</v>
      </c>
      <c r="W941" s="345">
        <f t="shared" si="351"/>
        <v>0</v>
      </c>
      <c r="X941" s="345">
        <f t="shared" si="352"/>
        <v>0</v>
      </c>
      <c r="Y941" s="345">
        <f t="shared" si="353"/>
        <v>0</v>
      </c>
      <c r="Z941" s="345">
        <f>IF(Q941&lt;&gt;"",VLOOKUP(Y941,TIME!$R$21:$V$24,MATCH(FC_DATA!Q941,TIME!$R$20:$V$20,0),FALSE),H941)</f>
        <v>0</v>
      </c>
      <c r="AA941" s="345" t="str">
        <f>IFERROR(VLOOKUP(X941&amp;Z941,TIME!$A$12:$D$71,4,FALSE),"")</f>
        <v/>
      </c>
      <c r="AB941" s="592">
        <f t="shared" ca="1" si="354"/>
        <v>0</v>
      </c>
      <c r="AC941" s="593" t="e">
        <f ca="1">IF(ISBLANK(H941)=FALSE,IF(D941="BRAND.com",I941,IF(ISNA(VLOOKUP(_xlfn.CONCAT(X941,Z941),TIME!$M$40:$M$42,1,FALSE)),I941,VLOOKUP(_xlfn.CONCAT(D941,G941,H941),M_BUSAREA_FC!$AF$5:$AJ$10,5,FALSE)*HLOOKUP(_xlfn.CONCAT(F941,H941),ST_OVERVIEW!$G$99:$I$130,MATCH(_xlfn.CONCAT(D941,E941),ST_OVERVIEW!$F$99:$F$130,0),FALSE))),IF(D941="BRAND.com",VLOOKUP(_xlfn.CONCAT(C941,D941,E941,TIME!$F$1,Z941),HIS_SALES!$B$2:$V$4859,19,FALSE)*I941,VLOOKUP(_xlfn.CONCAT(D941,F941,G941),Q_BUSAREA_FC!$AE$5:$AI$12,5,FALSE)*HLOOKUP(_xlfn.CONCAT(FC_DATA!F941,FC_DATA!G941),LT_OVERVIEW!$I$99:$M$130,MATCH(_xlfn.CONCAT(D941,FC_DATA!E941),LT_OVERVIEW!$H$99:$H$130,0),FALSE)*IFERROR(VLOOKUP(_xlfn.CONCAT(C941,D941,E941,TIME!$F$1,Z941),HIS_SALES!$B$2:$V$4859,19,FALSE),0)))</f>
        <v>#N/A</v>
      </c>
      <c r="AD941" s="341">
        <f t="shared" ca="1" si="355"/>
        <v>0</v>
      </c>
      <c r="AE941" s="363" t="str">
        <f t="shared" si="356"/>
        <v/>
      </c>
      <c r="AF941" s="342" t="str">
        <f t="shared" si="357"/>
        <v/>
      </c>
      <c r="AG941" s="411" t="e">
        <f ca="1">VLOOKUP(_xlfn.CONCAT(U941,V941,W941,VLOOKUP(X941&amp;Y941,TIME!$L$27:$O$34,4,FALSE),Y941),HIS_SALES!$A$2:$R$5093,18,FALSE)</f>
        <v>#N/A</v>
      </c>
      <c r="AH941" s="412" t="e">
        <f ca="1">IFERROR(IF(AND(V941=V940,W941=W940),0.5*(AB941+AB940)*AG941,(VLOOKUP(_xlfn.CONCAT(U941,V941,W941,X941,VLOOKUP(Z941,TIME!$S$28:$T$39,2,FALSE)),FC_DATA!$R$2:$AB$5000,MATCH("GS_I_M",FC_DATA!$R$1:$AB$1,0),FALSE)+FC_DATA!AB941)*0.5*FC_DATA!AG941),NA())</f>
        <v>#N/A</v>
      </c>
      <c r="AI941" s="491" t="e">
        <f ca="1">IF(V941="PARTNER.com",AH941,IF(AND(V941=V940,W941=W940),(1-AVERAGE(AD940,AD941))*AH941,(1-AVERAGE(AD941,VLOOKUP(_xlfn.CONCAT(U941,V941,W941,X941,M_BRAND_FC!$F$6),FC_DATA!$R$2:$AD$5000,MATCH("DISCOUNT_%_M",FC_DATA!$R$1:$AD$1,0),FALSE)))*AH941))</f>
        <v>#N/A</v>
      </c>
      <c r="AJ941" s="412" t="str">
        <f t="shared" ca="1" si="358"/>
        <v/>
      </c>
      <c r="AK941" s="413" t="str">
        <f>IFERROR(AE941/(Q_BRAND_FC!$T$24+1),"")</f>
        <v/>
      </c>
      <c r="AL941" s="88" t="str">
        <f t="shared" ca="1" si="359"/>
        <v/>
      </c>
      <c r="AM941" s="414" t="str">
        <f t="shared" ca="1" si="360"/>
        <v/>
      </c>
      <c r="AN941" s="58">
        <f>IFERROR(IF($V941="BRAND.com",HLOOKUP($X941&amp;$Z941,NWC_FC_NOOS!$C$4:$Q$23,MATCH(W941,NWC_FC_NOOS!$B$4:$B$23,0),FALSE),0),0)</f>
        <v>0</v>
      </c>
      <c r="AO941" s="57">
        <f>IFERROR(IF($V941="BRAND.com",HLOOKUP($X941&amp;$Z941,NWC_FC_NOOS!$T$4:$AH$23,MATCH(W941,NWC_FC_NOOS!$S$4:$S$23,0),FALSE),0),0)</f>
        <v>0</v>
      </c>
      <c r="AP941" s="57">
        <f>IFERROR(IF($V941="BRAND.com",HLOOKUP($X941&amp;$Z941,NWC_FC_NOOS!$C$50:$U$69,MATCH(W941,NWC_FC_NOOS!$B$50:$B$69,0),FALSE),0),0)</f>
        <v>0</v>
      </c>
      <c r="AQ941" s="58">
        <f>IFERROR(IF($V941="BRAND.com",HLOOKUP($X941&amp;$Z941,'NWC_FC_NON-NOOS'!$C$4:$Q$23,MATCH(W941,'NWC_FC_NON-NOOS'!$B$4:$B$23,0),FALSE),0),0)</f>
        <v>0</v>
      </c>
      <c r="AR941" s="57">
        <f>IFERROR(IF($V941="BRAND.com",HLOOKUP($X941&amp;$Z941,'NWC_FC_NON-NOOS'!$T$4:$AH$23,MATCH(W941,'NWC_FC_NON-NOOS'!$S$4:$S$23,0),FALSE),0),0)</f>
        <v>0</v>
      </c>
      <c r="AS941" s="57">
        <f>IFERROR(IF($V941="BRAND.com",HLOOKUP($X941&amp;$Z941,'NWC_FC_NON-NOOS'!$C$50:$U$69,MATCH(W941,'NWC_FC_NON-NOOS'!$B$50:$B$69,0),FALSE),0),0)</f>
        <v>0</v>
      </c>
      <c r="AT941" s="57">
        <f t="shared" si="362"/>
        <v>0</v>
      </c>
      <c r="AU941" s="57">
        <f t="shared" si="363"/>
        <v>0</v>
      </c>
      <c r="AV941" s="58">
        <f>IFERROR(IF($V941="BRAND.com",HLOOKUP($X941&amp;$Z941,PLANNING_FC!$BB$27:$BP$46,MATCH($W941,PLANNING_FC!$BA$27:$BA$46,0),FALSE),0),0)</f>
        <v>0</v>
      </c>
      <c r="AW941" s="58">
        <f>IFERROR(IF($V941="BRAND.com",HLOOKUP($X941&amp;$Z941,PLANNING_FC!$BB$4:$BP$23,MATCH($W941,PLANNING_FC!$BA$4:$BA$23,0),FALSE),0),0)</f>
        <v>0</v>
      </c>
      <c r="AX941" s="58">
        <f>IFERROR(IF($V941="BRAND.com",HLOOKUP($X941&amp;$Z941,PLANNING_FC!$T$27:$AH$46,MATCH($W941,PLANNING_FC!$B$27:$B$46,0),FALSE),0),0)</f>
        <v>0</v>
      </c>
      <c r="AY941" s="58">
        <f>IFERROR(IF($V941="BRAND.com",HLOOKUP($X941&amp;$Z941,PLANNING_FC!$T$4:$AH$23,MATCH($W941,PLANNING_FC!$B$4:$B$23,0),FALSE),0),0)</f>
        <v>0</v>
      </c>
      <c r="AZ941" s="58">
        <f>IFERROR(IF($V941="BRAND.com",HLOOKUP($X941&amp;$Z941,PLANNING_FC!$DA$27:$DO$46,MATCH($W941,PLANNING_FC!$CZ$27:$CZ$46,0),FALSE),0),0)</f>
        <v>0</v>
      </c>
      <c r="BA941" s="58">
        <f>IFERROR(IF($V941="BRAND.com",HLOOKUP($X941&amp;$Z941,PLANNING_FC!$DA$4:$DO$23,MATCH($W941,PLANNING_FC!$CZ$4:$CZ$23,0),FALSE),0),0)</f>
        <v>0</v>
      </c>
      <c r="BB941" s="883" t="str">
        <f>IF(V941="BRAND.com",IFERROR(HLOOKUP(X941&amp;Z941,PLANNING_FC!$AK$4:$AY$23,MATCH(W941,PLANNING_FC!$AJ$4:$AJ$23,0),FALSE)*1000,""),"")</f>
        <v/>
      </c>
      <c r="BC941" s="883" t="str">
        <f>IF(V941="BRAND.com",IFERROR(HLOOKUP(X941&amp;Z941,PLANNING_FC!$AK$27:$AY$46,MATCH(W941,PLANNING_FC!$AJ$27:$AJ$46,0),FALSE)*1000,""),"")</f>
        <v/>
      </c>
    </row>
    <row r="942" spans="14:55" x14ac:dyDescent="0.25">
      <c r="N942" s="56">
        <f t="shared" si="344"/>
        <v>0</v>
      </c>
      <c r="O942" s="57">
        <f t="shared" si="345"/>
        <v>0</v>
      </c>
      <c r="P942" s="57">
        <f ca="1">IFERROR(IF(ISBLANK(H942),SUMIFS($AC:$AC,$V:$V,V942,$W:$W,W942,$X:$X,X942,$Y:$Y,Y942)*J942/(1-J942)*VLOOKUP(_xlfn.CONCAT(C942,D942,E942,TIME!$M$12,Z942),HIS_SALES!$B$2:$W$4859,20,FALSE),AC942*J942/(1-J942)),0)</f>
        <v>0</v>
      </c>
      <c r="Q942" s="541" t="str">
        <f t="shared" si="346"/>
        <v/>
      </c>
      <c r="R942" s="346" t="str">
        <f t="shared" si="347"/>
        <v>00000</v>
      </c>
      <c r="S942" s="344">
        <f t="shared" si="348"/>
        <v>0</v>
      </c>
      <c r="T942" s="345" t="str">
        <f t="shared" si="361"/>
        <v>000</v>
      </c>
      <c r="U942" s="345">
        <f t="shared" si="349"/>
        <v>0</v>
      </c>
      <c r="V942" s="345">
        <f t="shared" si="350"/>
        <v>0</v>
      </c>
      <c r="W942" s="345">
        <f t="shared" si="351"/>
        <v>0</v>
      </c>
      <c r="X942" s="345">
        <f t="shared" si="352"/>
        <v>0</v>
      </c>
      <c r="Y942" s="345">
        <f t="shared" si="353"/>
        <v>0</v>
      </c>
      <c r="Z942" s="345">
        <f>IF(Q942&lt;&gt;"",VLOOKUP(Y942,TIME!$R$21:$V$24,MATCH(FC_DATA!Q942,TIME!$R$20:$V$20,0),FALSE),H942)</f>
        <v>0</v>
      </c>
      <c r="AA942" s="345" t="str">
        <f>IFERROR(VLOOKUP(X942&amp;Z942,TIME!$A$12:$D$71,4,FALSE),"")</f>
        <v/>
      </c>
      <c r="AB942" s="592">
        <f t="shared" ca="1" si="354"/>
        <v>0</v>
      </c>
      <c r="AC942" s="593" t="e">
        <f ca="1">IF(ISBLANK(H942)=FALSE,IF(D942="BRAND.com",I942,IF(ISNA(VLOOKUP(_xlfn.CONCAT(X942,Z942),TIME!$M$40:$M$42,1,FALSE)),I942,VLOOKUP(_xlfn.CONCAT(D942,G942,H942),M_BUSAREA_FC!$AF$5:$AJ$10,5,FALSE)*HLOOKUP(_xlfn.CONCAT(F942,H942),ST_OVERVIEW!$G$99:$I$130,MATCH(_xlfn.CONCAT(D942,E942),ST_OVERVIEW!$F$99:$F$130,0),FALSE))),IF(D942="BRAND.com",VLOOKUP(_xlfn.CONCAT(C942,D942,E942,TIME!$F$1,Z942),HIS_SALES!$B$2:$V$4859,19,FALSE)*I942,VLOOKUP(_xlfn.CONCAT(D942,F942,G942),Q_BUSAREA_FC!$AE$5:$AI$12,5,FALSE)*HLOOKUP(_xlfn.CONCAT(FC_DATA!F942,FC_DATA!G942),LT_OVERVIEW!$I$99:$M$130,MATCH(_xlfn.CONCAT(D942,FC_DATA!E942),LT_OVERVIEW!$H$99:$H$130,0),FALSE)*IFERROR(VLOOKUP(_xlfn.CONCAT(C942,D942,E942,TIME!$F$1,Z942),HIS_SALES!$B$2:$V$4859,19,FALSE),0)))</f>
        <v>#N/A</v>
      </c>
      <c r="AD942" s="341">
        <f t="shared" ca="1" si="355"/>
        <v>0</v>
      </c>
      <c r="AE942" s="363" t="str">
        <f t="shared" si="356"/>
        <v/>
      </c>
      <c r="AF942" s="342" t="str">
        <f t="shared" si="357"/>
        <v/>
      </c>
      <c r="AG942" s="411" t="e">
        <f ca="1">VLOOKUP(_xlfn.CONCAT(U942,V942,W942,VLOOKUP(X942&amp;Y942,TIME!$L$27:$O$34,4,FALSE),Y942),HIS_SALES!$A$2:$R$5093,18,FALSE)</f>
        <v>#N/A</v>
      </c>
      <c r="AH942" s="412" t="e">
        <f ca="1">IFERROR(IF(AND(V942=V941,W942=W941),0.5*(AB942+AB941)*AG942,(VLOOKUP(_xlfn.CONCAT(U942,V942,W942,X942,VLOOKUP(Z942,TIME!$S$28:$T$39,2,FALSE)),FC_DATA!$R$2:$AB$5000,MATCH("GS_I_M",FC_DATA!$R$1:$AB$1,0),FALSE)+FC_DATA!AB942)*0.5*FC_DATA!AG942),NA())</f>
        <v>#N/A</v>
      </c>
      <c r="AI942" s="491" t="e">
        <f ca="1">IF(V942="PARTNER.com",AH942,IF(AND(V942=V941,W942=W941),(1-AVERAGE(AD941,AD942))*AH942,(1-AVERAGE(AD942,VLOOKUP(_xlfn.CONCAT(U942,V942,W942,X942,M_BRAND_FC!$F$6),FC_DATA!$R$2:$AD$5000,MATCH("DISCOUNT_%_M",FC_DATA!$R$1:$AD$1,0),FALSE)))*AH942))</f>
        <v>#N/A</v>
      </c>
      <c r="AJ942" s="412" t="str">
        <f t="shared" ca="1" si="358"/>
        <v/>
      </c>
      <c r="AK942" s="413" t="str">
        <f>IFERROR(AE942/(Q_BRAND_FC!$T$24+1),"")</f>
        <v/>
      </c>
      <c r="AL942" s="88" t="str">
        <f t="shared" ca="1" si="359"/>
        <v/>
      </c>
      <c r="AM942" s="414" t="str">
        <f t="shared" ca="1" si="360"/>
        <v/>
      </c>
      <c r="AN942" s="58">
        <f>IFERROR(IF($V942="BRAND.com",HLOOKUP($X942&amp;$Z942,NWC_FC_NOOS!$C$4:$Q$23,MATCH(W942,NWC_FC_NOOS!$B$4:$B$23,0),FALSE),0),0)</f>
        <v>0</v>
      </c>
      <c r="AO942" s="57">
        <f>IFERROR(IF($V942="BRAND.com",HLOOKUP($X942&amp;$Z942,NWC_FC_NOOS!$T$4:$AH$23,MATCH(W942,NWC_FC_NOOS!$S$4:$S$23,0),FALSE),0),0)</f>
        <v>0</v>
      </c>
      <c r="AP942" s="57">
        <f>IFERROR(IF($V942="BRAND.com",HLOOKUP($X942&amp;$Z942,NWC_FC_NOOS!$C$50:$U$69,MATCH(W942,NWC_FC_NOOS!$B$50:$B$69,0),FALSE),0),0)</f>
        <v>0</v>
      </c>
      <c r="AQ942" s="58">
        <f>IFERROR(IF($V942="BRAND.com",HLOOKUP($X942&amp;$Z942,'NWC_FC_NON-NOOS'!$C$4:$Q$23,MATCH(W942,'NWC_FC_NON-NOOS'!$B$4:$B$23,0),FALSE),0),0)</f>
        <v>0</v>
      </c>
      <c r="AR942" s="57">
        <f>IFERROR(IF($V942="BRAND.com",HLOOKUP($X942&amp;$Z942,'NWC_FC_NON-NOOS'!$T$4:$AH$23,MATCH(W942,'NWC_FC_NON-NOOS'!$S$4:$S$23,0),FALSE),0),0)</f>
        <v>0</v>
      </c>
      <c r="AS942" s="57">
        <f>IFERROR(IF($V942="BRAND.com",HLOOKUP($X942&amp;$Z942,'NWC_FC_NON-NOOS'!$C$50:$U$69,MATCH(W942,'NWC_FC_NON-NOOS'!$B$50:$B$69,0),FALSE),0),0)</f>
        <v>0</v>
      </c>
      <c r="AT942" s="57">
        <f t="shared" si="362"/>
        <v>0</v>
      </c>
      <c r="AU942" s="57">
        <f t="shared" si="363"/>
        <v>0</v>
      </c>
      <c r="AV942" s="58">
        <f>IFERROR(IF($V942="BRAND.com",HLOOKUP($X942&amp;$Z942,PLANNING_FC!$BB$27:$BP$46,MATCH($W942,PLANNING_FC!$BA$27:$BA$46,0),FALSE),0),0)</f>
        <v>0</v>
      </c>
      <c r="AW942" s="58">
        <f>IFERROR(IF($V942="BRAND.com",HLOOKUP($X942&amp;$Z942,PLANNING_FC!$BB$4:$BP$23,MATCH($W942,PLANNING_FC!$BA$4:$BA$23,0),FALSE),0),0)</f>
        <v>0</v>
      </c>
      <c r="AX942" s="58">
        <f>IFERROR(IF($V942="BRAND.com",HLOOKUP($X942&amp;$Z942,PLANNING_FC!$T$27:$AH$46,MATCH($W942,PLANNING_FC!$B$27:$B$46,0),FALSE),0),0)</f>
        <v>0</v>
      </c>
      <c r="AY942" s="58">
        <f>IFERROR(IF($V942="BRAND.com",HLOOKUP($X942&amp;$Z942,PLANNING_FC!$T$4:$AH$23,MATCH($W942,PLANNING_FC!$B$4:$B$23,0),FALSE),0),0)</f>
        <v>0</v>
      </c>
      <c r="AZ942" s="58">
        <f>IFERROR(IF($V942="BRAND.com",HLOOKUP($X942&amp;$Z942,PLANNING_FC!$DA$27:$DO$46,MATCH($W942,PLANNING_FC!$CZ$27:$CZ$46,0),FALSE),0),0)</f>
        <v>0</v>
      </c>
      <c r="BA942" s="58">
        <f>IFERROR(IF($V942="BRAND.com",HLOOKUP($X942&amp;$Z942,PLANNING_FC!$DA$4:$DO$23,MATCH($W942,PLANNING_FC!$CZ$4:$CZ$23,0),FALSE),0),0)</f>
        <v>0</v>
      </c>
      <c r="BB942" s="883" t="str">
        <f>IF(V942="BRAND.com",IFERROR(HLOOKUP(X942&amp;Z942,PLANNING_FC!$AK$4:$AY$23,MATCH(W942,PLANNING_FC!$AJ$4:$AJ$23,0),FALSE)*1000,""),"")</f>
        <v/>
      </c>
      <c r="BC942" s="883" t="str">
        <f>IF(V942="BRAND.com",IFERROR(HLOOKUP(X942&amp;Z942,PLANNING_FC!$AK$27:$AY$46,MATCH(W942,PLANNING_FC!$AJ$27:$AJ$46,0),FALSE)*1000,""),"")</f>
        <v/>
      </c>
    </row>
    <row r="943" spans="14:55" x14ac:dyDescent="0.25">
      <c r="N943" s="56">
        <f t="shared" si="344"/>
        <v>0</v>
      </c>
      <c r="O943" s="57">
        <f t="shared" si="345"/>
        <v>0</v>
      </c>
      <c r="P943" s="57">
        <f ca="1">IFERROR(IF(ISBLANK(H943),SUMIFS($AC:$AC,$V:$V,V943,$W:$W,W943,$X:$X,X943,$Y:$Y,Y943)*J943/(1-J943)*VLOOKUP(_xlfn.CONCAT(C943,D943,E943,TIME!$M$12,Z943),HIS_SALES!$B$2:$W$4859,20,FALSE),AC943*J943/(1-J943)),0)</f>
        <v>0</v>
      </c>
      <c r="Q943" s="541" t="str">
        <f t="shared" si="346"/>
        <v/>
      </c>
      <c r="R943" s="346" t="str">
        <f t="shared" si="347"/>
        <v>00000</v>
      </c>
      <c r="S943" s="344">
        <f t="shared" si="348"/>
        <v>0</v>
      </c>
      <c r="T943" s="345" t="str">
        <f t="shared" si="361"/>
        <v>000</v>
      </c>
      <c r="U943" s="345">
        <f t="shared" si="349"/>
        <v>0</v>
      </c>
      <c r="V943" s="345">
        <f t="shared" si="350"/>
        <v>0</v>
      </c>
      <c r="W943" s="345">
        <f t="shared" si="351"/>
        <v>0</v>
      </c>
      <c r="X943" s="345">
        <f t="shared" si="352"/>
        <v>0</v>
      </c>
      <c r="Y943" s="345">
        <f t="shared" si="353"/>
        <v>0</v>
      </c>
      <c r="Z943" s="345">
        <f>IF(Q943&lt;&gt;"",VLOOKUP(Y943,TIME!$R$21:$V$24,MATCH(FC_DATA!Q943,TIME!$R$20:$V$20,0),FALSE),H943)</f>
        <v>0</v>
      </c>
      <c r="AA943" s="345" t="str">
        <f>IFERROR(VLOOKUP(X943&amp;Z943,TIME!$A$12:$D$71,4,FALSE),"")</f>
        <v/>
      </c>
      <c r="AB943" s="592">
        <f t="shared" ca="1" si="354"/>
        <v>0</v>
      </c>
      <c r="AC943" s="593" t="e">
        <f ca="1">IF(ISBLANK(H943)=FALSE,IF(D943="BRAND.com",I943,IF(ISNA(VLOOKUP(_xlfn.CONCAT(X943,Z943),TIME!$M$40:$M$42,1,FALSE)),I943,VLOOKUP(_xlfn.CONCAT(D943,G943,H943),M_BUSAREA_FC!$AF$5:$AJ$10,5,FALSE)*HLOOKUP(_xlfn.CONCAT(F943,H943),ST_OVERVIEW!$G$99:$I$130,MATCH(_xlfn.CONCAT(D943,E943),ST_OVERVIEW!$F$99:$F$130,0),FALSE))),IF(D943="BRAND.com",VLOOKUP(_xlfn.CONCAT(C943,D943,E943,TIME!$F$1,Z943),HIS_SALES!$B$2:$V$4859,19,FALSE)*I943,VLOOKUP(_xlfn.CONCAT(D943,F943,G943),Q_BUSAREA_FC!$AE$5:$AI$12,5,FALSE)*HLOOKUP(_xlfn.CONCAT(FC_DATA!F943,FC_DATA!G943),LT_OVERVIEW!$I$99:$M$130,MATCH(_xlfn.CONCAT(D943,FC_DATA!E943),LT_OVERVIEW!$H$99:$H$130,0),FALSE)*IFERROR(VLOOKUP(_xlfn.CONCAT(C943,D943,E943,TIME!$F$1,Z943),HIS_SALES!$B$2:$V$4859,19,FALSE),0)))</f>
        <v>#N/A</v>
      </c>
      <c r="AD943" s="341">
        <f t="shared" ca="1" si="355"/>
        <v>0</v>
      </c>
      <c r="AE943" s="363" t="str">
        <f t="shared" si="356"/>
        <v/>
      </c>
      <c r="AF943" s="342" t="str">
        <f t="shared" si="357"/>
        <v/>
      </c>
      <c r="AG943" s="411" t="e">
        <f ca="1">VLOOKUP(_xlfn.CONCAT(U943,V943,W943,VLOOKUP(X943&amp;Y943,TIME!$L$27:$O$34,4,FALSE),Y943),HIS_SALES!$A$2:$R$5093,18,FALSE)</f>
        <v>#N/A</v>
      </c>
      <c r="AH943" s="412" t="e">
        <f ca="1">IFERROR(IF(AND(V943=V942,W943=W942),0.5*(AB943+AB942)*AG943,(VLOOKUP(_xlfn.CONCAT(U943,V943,W943,X943,VLOOKUP(Z943,TIME!$S$28:$T$39,2,FALSE)),FC_DATA!$R$2:$AB$5000,MATCH("GS_I_M",FC_DATA!$R$1:$AB$1,0),FALSE)+FC_DATA!AB943)*0.5*FC_DATA!AG943),NA())</f>
        <v>#N/A</v>
      </c>
      <c r="AI943" s="491" t="e">
        <f ca="1">IF(V943="PARTNER.com",AH943,IF(AND(V943=V942,W943=W942),(1-AVERAGE(AD942,AD943))*AH943,(1-AVERAGE(AD943,VLOOKUP(_xlfn.CONCAT(U943,V943,W943,X943,M_BRAND_FC!$F$6),FC_DATA!$R$2:$AD$5000,MATCH("DISCOUNT_%_M",FC_DATA!$R$1:$AD$1,0),FALSE)))*AH943))</f>
        <v>#N/A</v>
      </c>
      <c r="AJ943" s="412" t="str">
        <f t="shared" ca="1" si="358"/>
        <v/>
      </c>
      <c r="AK943" s="413" t="str">
        <f>IFERROR(AE943/(Q_BRAND_FC!$T$24+1),"")</f>
        <v/>
      </c>
      <c r="AL943" s="88" t="str">
        <f t="shared" ca="1" si="359"/>
        <v/>
      </c>
      <c r="AM943" s="414" t="str">
        <f t="shared" ca="1" si="360"/>
        <v/>
      </c>
      <c r="AN943" s="58">
        <f>IFERROR(IF($V943="BRAND.com",HLOOKUP($X943&amp;$Z943,NWC_FC_NOOS!$C$4:$Q$23,MATCH(W943,NWC_FC_NOOS!$B$4:$B$23,0),FALSE),0),0)</f>
        <v>0</v>
      </c>
      <c r="AO943" s="57">
        <f>IFERROR(IF($V943="BRAND.com",HLOOKUP($X943&amp;$Z943,NWC_FC_NOOS!$T$4:$AH$23,MATCH(W943,NWC_FC_NOOS!$S$4:$S$23,0),FALSE),0),0)</f>
        <v>0</v>
      </c>
      <c r="AP943" s="57">
        <f>IFERROR(IF($V943="BRAND.com",HLOOKUP($X943&amp;$Z943,NWC_FC_NOOS!$C$50:$U$69,MATCH(W943,NWC_FC_NOOS!$B$50:$B$69,0),FALSE),0),0)</f>
        <v>0</v>
      </c>
      <c r="AQ943" s="58">
        <f>IFERROR(IF($V943="BRAND.com",HLOOKUP($X943&amp;$Z943,'NWC_FC_NON-NOOS'!$C$4:$Q$23,MATCH(W943,'NWC_FC_NON-NOOS'!$B$4:$B$23,0),FALSE),0),0)</f>
        <v>0</v>
      </c>
      <c r="AR943" s="57">
        <f>IFERROR(IF($V943="BRAND.com",HLOOKUP($X943&amp;$Z943,'NWC_FC_NON-NOOS'!$T$4:$AH$23,MATCH(W943,'NWC_FC_NON-NOOS'!$S$4:$S$23,0),FALSE),0),0)</f>
        <v>0</v>
      </c>
      <c r="AS943" s="57">
        <f>IFERROR(IF($V943="BRAND.com",HLOOKUP($X943&amp;$Z943,'NWC_FC_NON-NOOS'!$C$50:$U$69,MATCH(W943,'NWC_FC_NON-NOOS'!$B$50:$B$69,0),FALSE),0),0)</f>
        <v>0</v>
      </c>
      <c r="AT943" s="57">
        <f t="shared" si="362"/>
        <v>0</v>
      </c>
      <c r="AU943" s="57">
        <f t="shared" si="363"/>
        <v>0</v>
      </c>
      <c r="AV943" s="58">
        <f>IFERROR(IF($V943="BRAND.com",HLOOKUP($X943&amp;$Z943,PLANNING_FC!$BB$27:$BP$46,MATCH($W943,PLANNING_FC!$BA$27:$BA$46,0),FALSE),0),0)</f>
        <v>0</v>
      </c>
      <c r="AW943" s="58">
        <f>IFERROR(IF($V943="BRAND.com",HLOOKUP($X943&amp;$Z943,PLANNING_FC!$BB$4:$BP$23,MATCH($W943,PLANNING_FC!$BA$4:$BA$23,0),FALSE),0),0)</f>
        <v>0</v>
      </c>
      <c r="AX943" s="58">
        <f>IFERROR(IF($V943="BRAND.com",HLOOKUP($X943&amp;$Z943,PLANNING_FC!$T$27:$AH$46,MATCH($W943,PLANNING_FC!$B$27:$B$46,0),FALSE),0),0)</f>
        <v>0</v>
      </c>
      <c r="AY943" s="58">
        <f>IFERROR(IF($V943="BRAND.com",HLOOKUP($X943&amp;$Z943,PLANNING_FC!$T$4:$AH$23,MATCH($W943,PLANNING_FC!$B$4:$B$23,0),FALSE),0),0)</f>
        <v>0</v>
      </c>
      <c r="AZ943" s="58">
        <f>IFERROR(IF($V943="BRAND.com",HLOOKUP($X943&amp;$Z943,PLANNING_FC!$DA$27:$DO$46,MATCH($W943,PLANNING_FC!$CZ$27:$CZ$46,0),FALSE),0),0)</f>
        <v>0</v>
      </c>
      <c r="BA943" s="58">
        <f>IFERROR(IF($V943="BRAND.com",HLOOKUP($X943&amp;$Z943,PLANNING_FC!$DA$4:$DO$23,MATCH($W943,PLANNING_FC!$CZ$4:$CZ$23,0),FALSE),0),0)</f>
        <v>0</v>
      </c>
      <c r="BB943" s="883" t="str">
        <f>IF(V943="BRAND.com",IFERROR(HLOOKUP(X943&amp;Z943,PLANNING_FC!$AK$4:$AY$23,MATCH(W943,PLANNING_FC!$AJ$4:$AJ$23,0),FALSE)*1000,""),"")</f>
        <v/>
      </c>
      <c r="BC943" s="883" t="str">
        <f>IF(V943="BRAND.com",IFERROR(HLOOKUP(X943&amp;Z943,PLANNING_FC!$AK$27:$AY$46,MATCH(W943,PLANNING_FC!$AJ$27:$AJ$46,0),FALSE)*1000,""),"")</f>
        <v/>
      </c>
    </row>
    <row r="944" spans="14:55" x14ac:dyDescent="0.25">
      <c r="N944" s="56">
        <f t="shared" si="344"/>
        <v>0</v>
      </c>
      <c r="O944" s="57">
        <f t="shared" si="345"/>
        <v>0</v>
      </c>
      <c r="P944" s="57">
        <f ca="1">IFERROR(IF(ISBLANK(H944),SUMIFS($AC:$AC,$V:$V,V944,$W:$W,W944,$X:$X,X944,$Y:$Y,Y944)*J944/(1-J944)*VLOOKUP(_xlfn.CONCAT(C944,D944,E944,TIME!$M$12,Z944),HIS_SALES!$B$2:$W$4859,20,FALSE),AC944*J944/(1-J944)),0)</f>
        <v>0</v>
      </c>
      <c r="Q944" s="541" t="str">
        <f t="shared" si="346"/>
        <v/>
      </c>
      <c r="R944" s="346" t="str">
        <f t="shared" si="347"/>
        <v>00000</v>
      </c>
      <c r="S944" s="344">
        <f t="shared" si="348"/>
        <v>0</v>
      </c>
      <c r="T944" s="345" t="str">
        <f t="shared" si="361"/>
        <v>000</v>
      </c>
      <c r="U944" s="345">
        <f t="shared" si="349"/>
        <v>0</v>
      </c>
      <c r="V944" s="345">
        <f t="shared" si="350"/>
        <v>0</v>
      </c>
      <c r="W944" s="345">
        <f t="shared" si="351"/>
        <v>0</v>
      </c>
      <c r="X944" s="345">
        <f t="shared" si="352"/>
        <v>0</v>
      </c>
      <c r="Y944" s="345">
        <f t="shared" si="353"/>
        <v>0</v>
      </c>
      <c r="Z944" s="345">
        <f>IF(Q944&lt;&gt;"",VLOOKUP(Y944,TIME!$R$21:$V$24,MATCH(FC_DATA!Q944,TIME!$R$20:$V$20,0),FALSE),H944)</f>
        <v>0</v>
      </c>
      <c r="AA944" s="345" t="str">
        <f>IFERROR(VLOOKUP(X944&amp;Z944,TIME!$A$12:$D$71,4,FALSE),"")</f>
        <v/>
      </c>
      <c r="AB944" s="592">
        <f t="shared" ca="1" si="354"/>
        <v>0</v>
      </c>
      <c r="AC944" s="593" t="e">
        <f ca="1">IF(ISBLANK(H944)=FALSE,IF(D944="BRAND.com",I944,IF(ISNA(VLOOKUP(_xlfn.CONCAT(X944,Z944),TIME!$M$40:$M$42,1,FALSE)),I944,VLOOKUP(_xlfn.CONCAT(D944,G944,H944),M_BUSAREA_FC!$AF$5:$AJ$10,5,FALSE)*HLOOKUP(_xlfn.CONCAT(F944,H944),ST_OVERVIEW!$G$99:$I$130,MATCH(_xlfn.CONCAT(D944,E944),ST_OVERVIEW!$F$99:$F$130,0),FALSE))),IF(D944="BRAND.com",VLOOKUP(_xlfn.CONCAT(C944,D944,E944,TIME!$F$1,Z944),HIS_SALES!$B$2:$V$4859,19,FALSE)*I944,VLOOKUP(_xlfn.CONCAT(D944,F944,G944),Q_BUSAREA_FC!$AE$5:$AI$12,5,FALSE)*HLOOKUP(_xlfn.CONCAT(FC_DATA!F944,FC_DATA!G944),LT_OVERVIEW!$I$99:$M$130,MATCH(_xlfn.CONCAT(D944,FC_DATA!E944),LT_OVERVIEW!$H$99:$H$130,0),FALSE)*IFERROR(VLOOKUP(_xlfn.CONCAT(C944,D944,E944,TIME!$F$1,Z944),HIS_SALES!$B$2:$V$4859,19,FALSE),0)))</f>
        <v>#N/A</v>
      </c>
      <c r="AD944" s="341">
        <f t="shared" ca="1" si="355"/>
        <v>0</v>
      </c>
      <c r="AE944" s="363" t="str">
        <f t="shared" si="356"/>
        <v/>
      </c>
      <c r="AF944" s="342" t="str">
        <f t="shared" si="357"/>
        <v/>
      </c>
      <c r="AG944" s="411" t="e">
        <f ca="1">VLOOKUP(_xlfn.CONCAT(U944,V944,W944,VLOOKUP(X944&amp;Y944,TIME!$L$27:$O$34,4,FALSE),Y944),HIS_SALES!$A$2:$R$5093,18,FALSE)</f>
        <v>#N/A</v>
      </c>
      <c r="AH944" s="412" t="e">
        <f ca="1">IFERROR(IF(AND(V944=V943,W944=W943),0.5*(AB944+AB943)*AG944,(VLOOKUP(_xlfn.CONCAT(U944,V944,W944,X944,VLOOKUP(Z944,TIME!$S$28:$T$39,2,FALSE)),FC_DATA!$R$2:$AB$5000,MATCH("GS_I_M",FC_DATA!$R$1:$AB$1,0),FALSE)+FC_DATA!AB944)*0.5*FC_DATA!AG944),NA())</f>
        <v>#N/A</v>
      </c>
      <c r="AI944" s="491" t="e">
        <f ca="1">IF(V944="PARTNER.com",AH944,IF(AND(V944=V943,W944=W943),(1-AVERAGE(AD943,AD944))*AH944,(1-AVERAGE(AD944,VLOOKUP(_xlfn.CONCAT(U944,V944,W944,X944,M_BRAND_FC!$F$6),FC_DATA!$R$2:$AD$5000,MATCH("DISCOUNT_%_M",FC_DATA!$R$1:$AD$1,0),FALSE)))*AH944))</f>
        <v>#N/A</v>
      </c>
      <c r="AJ944" s="412" t="str">
        <f t="shared" ca="1" si="358"/>
        <v/>
      </c>
      <c r="AK944" s="413" t="str">
        <f>IFERROR(AE944/(Q_BRAND_FC!$T$24+1),"")</f>
        <v/>
      </c>
      <c r="AL944" s="88" t="str">
        <f t="shared" ca="1" si="359"/>
        <v/>
      </c>
      <c r="AM944" s="414" t="str">
        <f t="shared" ca="1" si="360"/>
        <v/>
      </c>
      <c r="AN944" s="58">
        <f>IFERROR(IF($V944="BRAND.com",HLOOKUP($X944&amp;$Z944,NWC_FC_NOOS!$C$4:$Q$23,MATCH(W944,NWC_FC_NOOS!$B$4:$B$23,0),FALSE),0),0)</f>
        <v>0</v>
      </c>
      <c r="AO944" s="57">
        <f>IFERROR(IF($V944="BRAND.com",HLOOKUP($X944&amp;$Z944,NWC_FC_NOOS!$T$4:$AH$23,MATCH(W944,NWC_FC_NOOS!$S$4:$S$23,0),FALSE),0),0)</f>
        <v>0</v>
      </c>
      <c r="AP944" s="57">
        <f>IFERROR(IF($V944="BRAND.com",HLOOKUP($X944&amp;$Z944,NWC_FC_NOOS!$C$50:$U$69,MATCH(W944,NWC_FC_NOOS!$B$50:$B$69,0),FALSE),0),0)</f>
        <v>0</v>
      </c>
      <c r="AQ944" s="58">
        <f>IFERROR(IF($V944="BRAND.com",HLOOKUP($X944&amp;$Z944,'NWC_FC_NON-NOOS'!$C$4:$Q$23,MATCH(W944,'NWC_FC_NON-NOOS'!$B$4:$B$23,0),FALSE),0),0)</f>
        <v>0</v>
      </c>
      <c r="AR944" s="57">
        <f>IFERROR(IF($V944="BRAND.com",HLOOKUP($X944&amp;$Z944,'NWC_FC_NON-NOOS'!$T$4:$AH$23,MATCH(W944,'NWC_FC_NON-NOOS'!$S$4:$S$23,0),FALSE),0),0)</f>
        <v>0</v>
      </c>
      <c r="AS944" s="57">
        <f>IFERROR(IF($V944="BRAND.com",HLOOKUP($X944&amp;$Z944,'NWC_FC_NON-NOOS'!$C$50:$U$69,MATCH(W944,'NWC_FC_NON-NOOS'!$B$50:$B$69,0),FALSE),0),0)</f>
        <v>0</v>
      </c>
      <c r="AT944" s="57">
        <f t="shared" si="362"/>
        <v>0</v>
      </c>
      <c r="AU944" s="57">
        <f t="shared" si="363"/>
        <v>0</v>
      </c>
      <c r="AV944" s="58">
        <f>IFERROR(IF($V944="BRAND.com",HLOOKUP($X944&amp;$Z944,PLANNING_FC!$BB$27:$BP$46,MATCH($W944,PLANNING_FC!$BA$27:$BA$46,0),FALSE),0),0)</f>
        <v>0</v>
      </c>
      <c r="AW944" s="58">
        <f>IFERROR(IF($V944="BRAND.com",HLOOKUP($X944&amp;$Z944,PLANNING_FC!$BB$4:$BP$23,MATCH($W944,PLANNING_FC!$BA$4:$BA$23,0),FALSE),0),0)</f>
        <v>0</v>
      </c>
      <c r="AX944" s="58">
        <f>IFERROR(IF($V944="BRAND.com",HLOOKUP($X944&amp;$Z944,PLANNING_FC!$T$27:$AH$46,MATCH($W944,PLANNING_FC!$B$27:$B$46,0),FALSE),0),0)</f>
        <v>0</v>
      </c>
      <c r="AY944" s="58">
        <f>IFERROR(IF($V944="BRAND.com",HLOOKUP($X944&amp;$Z944,PLANNING_FC!$T$4:$AH$23,MATCH($W944,PLANNING_FC!$B$4:$B$23,0),FALSE),0),0)</f>
        <v>0</v>
      </c>
      <c r="AZ944" s="58">
        <f>IFERROR(IF($V944="BRAND.com",HLOOKUP($X944&amp;$Z944,PLANNING_FC!$DA$27:$DO$46,MATCH($W944,PLANNING_FC!$CZ$27:$CZ$46,0),FALSE),0),0)</f>
        <v>0</v>
      </c>
      <c r="BA944" s="58">
        <f>IFERROR(IF($V944="BRAND.com",HLOOKUP($X944&amp;$Z944,PLANNING_FC!$DA$4:$DO$23,MATCH($W944,PLANNING_FC!$CZ$4:$CZ$23,0),FALSE),0),0)</f>
        <v>0</v>
      </c>
      <c r="BB944" s="883" t="str">
        <f>IF(V944="BRAND.com",IFERROR(HLOOKUP(X944&amp;Z944,PLANNING_FC!$AK$4:$AY$23,MATCH(W944,PLANNING_FC!$AJ$4:$AJ$23,0),FALSE)*1000,""),"")</f>
        <v/>
      </c>
      <c r="BC944" s="883" t="str">
        <f>IF(V944="BRAND.com",IFERROR(HLOOKUP(X944&amp;Z944,PLANNING_FC!$AK$27:$AY$46,MATCH(W944,PLANNING_FC!$AJ$27:$AJ$46,0),FALSE)*1000,""),"")</f>
        <v/>
      </c>
    </row>
    <row r="945" spans="14:55" x14ac:dyDescent="0.25">
      <c r="N945" s="56">
        <f t="shared" si="344"/>
        <v>0</v>
      </c>
      <c r="O945" s="57">
        <f t="shared" si="345"/>
        <v>0</v>
      </c>
      <c r="P945" s="57">
        <f ca="1">IFERROR(IF(ISBLANK(H945),SUMIFS($AC:$AC,$V:$V,V945,$W:$W,W945,$X:$X,X945,$Y:$Y,Y945)*J945/(1-J945)*VLOOKUP(_xlfn.CONCAT(C945,D945,E945,TIME!$M$12,Z945),HIS_SALES!$B$2:$W$4859,20,FALSE),AC945*J945/(1-J945)),0)</f>
        <v>0</v>
      </c>
      <c r="Q945" s="541" t="str">
        <f t="shared" si="346"/>
        <v/>
      </c>
      <c r="R945" s="346" t="str">
        <f t="shared" si="347"/>
        <v>00000</v>
      </c>
      <c r="S945" s="344">
        <f t="shared" si="348"/>
        <v>0</v>
      </c>
      <c r="T945" s="345" t="str">
        <f t="shared" si="361"/>
        <v>000</v>
      </c>
      <c r="U945" s="345">
        <f t="shared" si="349"/>
        <v>0</v>
      </c>
      <c r="V945" s="345">
        <f t="shared" si="350"/>
        <v>0</v>
      </c>
      <c r="W945" s="345">
        <f t="shared" si="351"/>
        <v>0</v>
      </c>
      <c r="X945" s="345">
        <f t="shared" si="352"/>
        <v>0</v>
      </c>
      <c r="Y945" s="345">
        <f t="shared" si="353"/>
        <v>0</v>
      </c>
      <c r="Z945" s="345">
        <f>IF(Q945&lt;&gt;"",VLOOKUP(Y945,TIME!$R$21:$V$24,MATCH(FC_DATA!Q945,TIME!$R$20:$V$20,0),FALSE),H945)</f>
        <v>0</v>
      </c>
      <c r="AA945" s="345" t="str">
        <f>IFERROR(VLOOKUP(X945&amp;Z945,TIME!$A$12:$D$71,4,FALSE),"")</f>
        <v/>
      </c>
      <c r="AB945" s="592">
        <f t="shared" ca="1" si="354"/>
        <v>0</v>
      </c>
      <c r="AC945" s="593" t="e">
        <f ca="1">IF(ISBLANK(H945)=FALSE,IF(D945="BRAND.com",I945,IF(ISNA(VLOOKUP(_xlfn.CONCAT(X945,Z945),TIME!$M$40:$M$42,1,FALSE)),I945,VLOOKUP(_xlfn.CONCAT(D945,G945,H945),M_BUSAREA_FC!$AF$5:$AJ$10,5,FALSE)*HLOOKUP(_xlfn.CONCAT(F945,H945),ST_OVERVIEW!$G$99:$I$130,MATCH(_xlfn.CONCAT(D945,E945),ST_OVERVIEW!$F$99:$F$130,0),FALSE))),IF(D945="BRAND.com",VLOOKUP(_xlfn.CONCAT(C945,D945,E945,TIME!$F$1,Z945),HIS_SALES!$B$2:$V$4859,19,FALSE)*I945,VLOOKUP(_xlfn.CONCAT(D945,F945,G945),Q_BUSAREA_FC!$AE$5:$AI$12,5,FALSE)*HLOOKUP(_xlfn.CONCAT(FC_DATA!F945,FC_DATA!G945),LT_OVERVIEW!$I$99:$M$130,MATCH(_xlfn.CONCAT(D945,FC_DATA!E945),LT_OVERVIEW!$H$99:$H$130,0),FALSE)*IFERROR(VLOOKUP(_xlfn.CONCAT(C945,D945,E945,TIME!$F$1,Z945),HIS_SALES!$B$2:$V$4859,19,FALSE),0)))</f>
        <v>#N/A</v>
      </c>
      <c r="AD945" s="341">
        <f t="shared" ca="1" si="355"/>
        <v>0</v>
      </c>
      <c r="AE945" s="363" t="str">
        <f t="shared" si="356"/>
        <v/>
      </c>
      <c r="AF945" s="342" t="str">
        <f t="shared" si="357"/>
        <v/>
      </c>
      <c r="AG945" s="411" t="e">
        <f ca="1">VLOOKUP(_xlfn.CONCAT(U945,V945,W945,VLOOKUP(X945&amp;Y945,TIME!$L$27:$O$34,4,FALSE),Y945),HIS_SALES!$A$2:$R$5093,18,FALSE)</f>
        <v>#N/A</v>
      </c>
      <c r="AH945" s="412" t="e">
        <f ca="1">IFERROR(IF(AND(V945=V944,W945=W944),0.5*(AB945+AB944)*AG945,(VLOOKUP(_xlfn.CONCAT(U945,V945,W945,X945,VLOOKUP(Z945,TIME!$S$28:$T$39,2,FALSE)),FC_DATA!$R$2:$AB$5000,MATCH("GS_I_M",FC_DATA!$R$1:$AB$1,0),FALSE)+FC_DATA!AB945)*0.5*FC_DATA!AG945),NA())</f>
        <v>#N/A</v>
      </c>
      <c r="AI945" s="491" t="e">
        <f ca="1">IF(V945="PARTNER.com",AH945,IF(AND(V945=V944,W945=W944),(1-AVERAGE(AD944,AD945))*AH945,(1-AVERAGE(AD945,VLOOKUP(_xlfn.CONCAT(U945,V945,W945,X945,M_BRAND_FC!$F$6),FC_DATA!$R$2:$AD$5000,MATCH("DISCOUNT_%_M",FC_DATA!$R$1:$AD$1,0),FALSE)))*AH945))</f>
        <v>#N/A</v>
      </c>
      <c r="AJ945" s="412" t="str">
        <f t="shared" ca="1" si="358"/>
        <v/>
      </c>
      <c r="AK945" s="413" t="str">
        <f>IFERROR(AE945/(Q_BRAND_FC!$T$24+1),"")</f>
        <v/>
      </c>
      <c r="AL945" s="88" t="str">
        <f t="shared" ca="1" si="359"/>
        <v/>
      </c>
      <c r="AM945" s="414" t="str">
        <f t="shared" ca="1" si="360"/>
        <v/>
      </c>
      <c r="AN945" s="58">
        <f>IFERROR(IF($V945="BRAND.com",HLOOKUP($X945&amp;$Z945,NWC_FC_NOOS!$C$4:$Q$23,MATCH(W945,NWC_FC_NOOS!$B$4:$B$23,0),FALSE),0),0)</f>
        <v>0</v>
      </c>
      <c r="AO945" s="57">
        <f>IFERROR(IF($V945="BRAND.com",HLOOKUP($X945&amp;$Z945,NWC_FC_NOOS!$T$4:$AH$23,MATCH(W945,NWC_FC_NOOS!$S$4:$S$23,0),FALSE),0),0)</f>
        <v>0</v>
      </c>
      <c r="AP945" s="57">
        <f>IFERROR(IF($V945="BRAND.com",HLOOKUP($X945&amp;$Z945,NWC_FC_NOOS!$C$50:$U$69,MATCH(W945,NWC_FC_NOOS!$B$50:$B$69,0),FALSE),0),0)</f>
        <v>0</v>
      </c>
      <c r="AQ945" s="58">
        <f>IFERROR(IF($V945="BRAND.com",HLOOKUP($X945&amp;$Z945,'NWC_FC_NON-NOOS'!$C$4:$Q$23,MATCH(W945,'NWC_FC_NON-NOOS'!$B$4:$B$23,0),FALSE),0),0)</f>
        <v>0</v>
      </c>
      <c r="AR945" s="57">
        <f>IFERROR(IF($V945="BRAND.com",HLOOKUP($X945&amp;$Z945,'NWC_FC_NON-NOOS'!$T$4:$AH$23,MATCH(W945,'NWC_FC_NON-NOOS'!$S$4:$S$23,0),FALSE),0),0)</f>
        <v>0</v>
      </c>
      <c r="AS945" s="57">
        <f>IFERROR(IF($V945="BRAND.com",HLOOKUP($X945&amp;$Z945,'NWC_FC_NON-NOOS'!$C$50:$U$69,MATCH(W945,'NWC_FC_NON-NOOS'!$B$50:$B$69,0),FALSE),0),0)</f>
        <v>0</v>
      </c>
      <c r="AT945" s="57">
        <f t="shared" si="362"/>
        <v>0</v>
      </c>
      <c r="AU945" s="57">
        <f t="shared" si="363"/>
        <v>0</v>
      </c>
      <c r="AV945" s="58">
        <f>IFERROR(IF($V945="BRAND.com",HLOOKUP($X945&amp;$Z945,PLANNING_FC!$BB$27:$BP$46,MATCH($W945,PLANNING_FC!$BA$27:$BA$46,0),FALSE),0),0)</f>
        <v>0</v>
      </c>
      <c r="AW945" s="58">
        <f>IFERROR(IF($V945="BRAND.com",HLOOKUP($X945&amp;$Z945,PLANNING_FC!$BB$4:$BP$23,MATCH($W945,PLANNING_FC!$BA$4:$BA$23,0),FALSE),0),0)</f>
        <v>0</v>
      </c>
      <c r="AX945" s="58">
        <f>IFERROR(IF($V945="BRAND.com",HLOOKUP($X945&amp;$Z945,PLANNING_FC!$T$27:$AH$46,MATCH($W945,PLANNING_FC!$B$27:$B$46,0),FALSE),0),0)</f>
        <v>0</v>
      </c>
      <c r="AY945" s="58">
        <f>IFERROR(IF($V945="BRAND.com",HLOOKUP($X945&amp;$Z945,PLANNING_FC!$T$4:$AH$23,MATCH($W945,PLANNING_FC!$B$4:$B$23,0),FALSE),0),0)</f>
        <v>0</v>
      </c>
      <c r="AZ945" s="58">
        <f>IFERROR(IF($V945="BRAND.com",HLOOKUP($X945&amp;$Z945,PLANNING_FC!$DA$27:$DO$46,MATCH($W945,PLANNING_FC!$CZ$27:$CZ$46,0),FALSE),0),0)</f>
        <v>0</v>
      </c>
      <c r="BA945" s="58">
        <f>IFERROR(IF($V945="BRAND.com",HLOOKUP($X945&amp;$Z945,PLANNING_FC!$DA$4:$DO$23,MATCH($W945,PLANNING_FC!$CZ$4:$CZ$23,0),FALSE),0),0)</f>
        <v>0</v>
      </c>
      <c r="BB945" s="883" t="str">
        <f>IF(V945="BRAND.com",IFERROR(HLOOKUP(X945&amp;Z945,PLANNING_FC!$AK$4:$AY$23,MATCH(W945,PLANNING_FC!$AJ$4:$AJ$23,0),FALSE)*1000,""),"")</f>
        <v/>
      </c>
      <c r="BC945" s="883" t="str">
        <f>IF(V945="BRAND.com",IFERROR(HLOOKUP(X945&amp;Z945,PLANNING_FC!$AK$27:$AY$46,MATCH(W945,PLANNING_FC!$AJ$27:$AJ$46,0),FALSE)*1000,""),"")</f>
        <v/>
      </c>
    </row>
    <row r="946" spans="14:55" x14ac:dyDescent="0.25">
      <c r="N946" s="56">
        <f t="shared" si="344"/>
        <v>0</v>
      </c>
      <c r="O946" s="57">
        <f t="shared" si="345"/>
        <v>0</v>
      </c>
      <c r="P946" s="57">
        <f ca="1">IFERROR(IF(ISBLANK(H946),SUMIFS($AC:$AC,$V:$V,V946,$W:$W,W946,$X:$X,X946,$Y:$Y,Y946)*J946/(1-J946)*VLOOKUP(_xlfn.CONCAT(C946,D946,E946,TIME!$M$12,Z946),HIS_SALES!$B$2:$W$4859,20,FALSE),AC946*J946/(1-J946)),0)</f>
        <v>0</v>
      </c>
      <c r="Q946" s="541" t="str">
        <f t="shared" si="346"/>
        <v/>
      </c>
      <c r="R946" s="346" t="str">
        <f t="shared" si="347"/>
        <v>00000</v>
      </c>
      <c r="S946" s="344">
        <f t="shared" si="348"/>
        <v>0</v>
      </c>
      <c r="T946" s="345" t="str">
        <f t="shared" si="361"/>
        <v>000</v>
      </c>
      <c r="U946" s="345">
        <f t="shared" si="349"/>
        <v>0</v>
      </c>
      <c r="V946" s="345">
        <f t="shared" si="350"/>
        <v>0</v>
      </c>
      <c r="W946" s="345">
        <f t="shared" si="351"/>
        <v>0</v>
      </c>
      <c r="X946" s="345">
        <f t="shared" si="352"/>
        <v>0</v>
      </c>
      <c r="Y946" s="345">
        <f t="shared" si="353"/>
        <v>0</v>
      </c>
      <c r="Z946" s="345">
        <f>IF(Q946&lt;&gt;"",VLOOKUP(Y946,TIME!$R$21:$V$24,MATCH(FC_DATA!Q946,TIME!$R$20:$V$20,0),FALSE),H946)</f>
        <v>0</v>
      </c>
      <c r="AA946" s="345" t="str">
        <f>IFERROR(VLOOKUP(X946&amp;Z946,TIME!$A$12:$D$71,4,FALSE),"")</f>
        <v/>
      </c>
      <c r="AB946" s="592">
        <f t="shared" ca="1" si="354"/>
        <v>0</v>
      </c>
      <c r="AC946" s="593" t="e">
        <f ca="1">IF(ISBLANK(H946)=FALSE,IF(D946="BRAND.com",I946,IF(ISNA(VLOOKUP(_xlfn.CONCAT(X946,Z946),TIME!$M$40:$M$42,1,FALSE)),I946,VLOOKUP(_xlfn.CONCAT(D946,G946,H946),M_BUSAREA_FC!$AF$5:$AJ$10,5,FALSE)*HLOOKUP(_xlfn.CONCAT(F946,H946),ST_OVERVIEW!$G$99:$I$130,MATCH(_xlfn.CONCAT(D946,E946),ST_OVERVIEW!$F$99:$F$130,0),FALSE))),IF(D946="BRAND.com",VLOOKUP(_xlfn.CONCAT(C946,D946,E946,TIME!$F$1,Z946),HIS_SALES!$B$2:$V$4859,19,FALSE)*I946,VLOOKUP(_xlfn.CONCAT(D946,F946,G946),Q_BUSAREA_FC!$AE$5:$AI$12,5,FALSE)*HLOOKUP(_xlfn.CONCAT(FC_DATA!F946,FC_DATA!G946),LT_OVERVIEW!$I$99:$M$130,MATCH(_xlfn.CONCAT(D946,FC_DATA!E946),LT_OVERVIEW!$H$99:$H$130,0),FALSE)*IFERROR(VLOOKUP(_xlfn.CONCAT(C946,D946,E946,TIME!$F$1,Z946),HIS_SALES!$B$2:$V$4859,19,FALSE),0)))</f>
        <v>#N/A</v>
      </c>
      <c r="AD946" s="341">
        <f t="shared" ca="1" si="355"/>
        <v>0</v>
      </c>
      <c r="AE946" s="363" t="str">
        <f t="shared" si="356"/>
        <v/>
      </c>
      <c r="AF946" s="342" t="str">
        <f t="shared" si="357"/>
        <v/>
      </c>
      <c r="AG946" s="411" t="e">
        <f ca="1">VLOOKUP(_xlfn.CONCAT(U946,V946,W946,VLOOKUP(X946&amp;Y946,TIME!$L$27:$O$34,4,FALSE),Y946),HIS_SALES!$A$2:$R$5093,18,FALSE)</f>
        <v>#N/A</v>
      </c>
      <c r="AH946" s="412" t="e">
        <f ca="1">IFERROR(IF(AND(V946=V945,W946=W945),0.5*(AB946+AB945)*AG946,(VLOOKUP(_xlfn.CONCAT(U946,V946,W946,X946,VLOOKUP(Z946,TIME!$S$28:$T$39,2,FALSE)),FC_DATA!$R$2:$AB$5000,MATCH("GS_I_M",FC_DATA!$R$1:$AB$1,0),FALSE)+FC_DATA!AB946)*0.5*FC_DATA!AG946),NA())</f>
        <v>#N/A</v>
      </c>
      <c r="AI946" s="491" t="e">
        <f ca="1">IF(V946="PARTNER.com",AH946,IF(AND(V946=V945,W946=W945),(1-AVERAGE(AD945,AD946))*AH946,(1-AVERAGE(AD946,VLOOKUP(_xlfn.CONCAT(U946,V946,W946,X946,M_BRAND_FC!$F$6),FC_DATA!$R$2:$AD$5000,MATCH("DISCOUNT_%_M",FC_DATA!$R$1:$AD$1,0),FALSE)))*AH946))</f>
        <v>#N/A</v>
      </c>
      <c r="AJ946" s="412" t="str">
        <f t="shared" ca="1" si="358"/>
        <v/>
      </c>
      <c r="AK946" s="413" t="str">
        <f>IFERROR(AE946/(Q_BRAND_FC!$T$24+1),"")</f>
        <v/>
      </c>
      <c r="AL946" s="88" t="str">
        <f t="shared" ca="1" si="359"/>
        <v/>
      </c>
      <c r="AM946" s="414" t="str">
        <f t="shared" ca="1" si="360"/>
        <v/>
      </c>
      <c r="AN946" s="58">
        <f>IFERROR(IF($V946="BRAND.com",HLOOKUP($X946&amp;$Z946,NWC_FC_NOOS!$C$4:$Q$23,MATCH(W946,NWC_FC_NOOS!$B$4:$B$23,0),FALSE),0),0)</f>
        <v>0</v>
      </c>
      <c r="AO946" s="57">
        <f>IFERROR(IF($V946="BRAND.com",HLOOKUP($X946&amp;$Z946,NWC_FC_NOOS!$T$4:$AH$23,MATCH(W946,NWC_FC_NOOS!$S$4:$S$23,0),FALSE),0),0)</f>
        <v>0</v>
      </c>
      <c r="AP946" s="57">
        <f>IFERROR(IF($V946="BRAND.com",HLOOKUP($X946&amp;$Z946,NWC_FC_NOOS!$C$50:$U$69,MATCH(W946,NWC_FC_NOOS!$B$50:$B$69,0),FALSE),0),0)</f>
        <v>0</v>
      </c>
      <c r="AQ946" s="58">
        <f>IFERROR(IF($V946="BRAND.com",HLOOKUP($X946&amp;$Z946,'NWC_FC_NON-NOOS'!$C$4:$Q$23,MATCH(W946,'NWC_FC_NON-NOOS'!$B$4:$B$23,0),FALSE),0),0)</f>
        <v>0</v>
      </c>
      <c r="AR946" s="57">
        <f>IFERROR(IF($V946="BRAND.com",HLOOKUP($X946&amp;$Z946,'NWC_FC_NON-NOOS'!$T$4:$AH$23,MATCH(W946,'NWC_FC_NON-NOOS'!$S$4:$S$23,0),FALSE),0),0)</f>
        <v>0</v>
      </c>
      <c r="AS946" s="57">
        <f>IFERROR(IF($V946="BRAND.com",HLOOKUP($X946&amp;$Z946,'NWC_FC_NON-NOOS'!$C$50:$U$69,MATCH(W946,'NWC_FC_NON-NOOS'!$B$50:$B$69,0),FALSE),0),0)</f>
        <v>0</v>
      </c>
      <c r="AT946" s="57">
        <f t="shared" si="362"/>
        <v>0</v>
      </c>
      <c r="AU946" s="57">
        <f t="shared" si="363"/>
        <v>0</v>
      </c>
      <c r="AV946" s="58">
        <f>IFERROR(IF($V946="BRAND.com",HLOOKUP($X946&amp;$Z946,PLANNING_FC!$BB$27:$BP$46,MATCH($W946,PLANNING_FC!$BA$27:$BA$46,0),FALSE),0),0)</f>
        <v>0</v>
      </c>
      <c r="AW946" s="58">
        <f>IFERROR(IF($V946="BRAND.com",HLOOKUP($X946&amp;$Z946,PLANNING_FC!$BB$4:$BP$23,MATCH($W946,PLANNING_FC!$BA$4:$BA$23,0),FALSE),0),0)</f>
        <v>0</v>
      </c>
      <c r="AX946" s="58">
        <f>IFERROR(IF($V946="BRAND.com",HLOOKUP($X946&amp;$Z946,PLANNING_FC!$T$27:$AH$46,MATCH($W946,PLANNING_FC!$B$27:$B$46,0),FALSE),0),0)</f>
        <v>0</v>
      </c>
      <c r="AY946" s="58">
        <f>IFERROR(IF($V946="BRAND.com",HLOOKUP($X946&amp;$Z946,PLANNING_FC!$T$4:$AH$23,MATCH($W946,PLANNING_FC!$B$4:$B$23,0),FALSE),0),0)</f>
        <v>0</v>
      </c>
      <c r="AZ946" s="58">
        <f>IFERROR(IF($V946="BRAND.com",HLOOKUP($X946&amp;$Z946,PLANNING_FC!$DA$27:$DO$46,MATCH($W946,PLANNING_FC!$CZ$27:$CZ$46,0),FALSE),0),0)</f>
        <v>0</v>
      </c>
      <c r="BA946" s="58">
        <f>IFERROR(IF($V946="BRAND.com",HLOOKUP($X946&amp;$Z946,PLANNING_FC!$DA$4:$DO$23,MATCH($W946,PLANNING_FC!$CZ$4:$CZ$23,0),FALSE),0),0)</f>
        <v>0</v>
      </c>
      <c r="BB946" s="883" t="str">
        <f>IF(V946="BRAND.com",IFERROR(HLOOKUP(X946&amp;Z946,PLANNING_FC!$AK$4:$AY$23,MATCH(W946,PLANNING_FC!$AJ$4:$AJ$23,0),FALSE)*1000,""),"")</f>
        <v/>
      </c>
      <c r="BC946" s="883" t="str">
        <f>IF(V946="BRAND.com",IFERROR(HLOOKUP(X946&amp;Z946,PLANNING_FC!$AK$27:$AY$46,MATCH(W946,PLANNING_FC!$AJ$27:$AJ$46,0),FALSE)*1000,""),"")</f>
        <v/>
      </c>
    </row>
    <row r="947" spans="14:55" x14ac:dyDescent="0.25">
      <c r="N947" s="56">
        <f t="shared" si="344"/>
        <v>0</v>
      </c>
      <c r="O947" s="57">
        <f t="shared" si="345"/>
        <v>0</v>
      </c>
      <c r="P947" s="57">
        <f ca="1">IFERROR(IF(ISBLANK(H947),SUMIFS($AC:$AC,$V:$V,V947,$W:$W,W947,$X:$X,X947,$Y:$Y,Y947)*J947/(1-J947)*VLOOKUP(_xlfn.CONCAT(C947,D947,E947,TIME!$M$12,Z947),HIS_SALES!$B$2:$W$4859,20,FALSE),AC947*J947/(1-J947)),0)</f>
        <v>0</v>
      </c>
      <c r="Q947" s="541" t="str">
        <f t="shared" si="346"/>
        <v/>
      </c>
      <c r="R947" s="346" t="str">
        <f t="shared" si="347"/>
        <v>00000</v>
      </c>
      <c r="S947" s="344">
        <f t="shared" si="348"/>
        <v>0</v>
      </c>
      <c r="T947" s="345" t="str">
        <f t="shared" si="361"/>
        <v>000</v>
      </c>
      <c r="U947" s="345">
        <f t="shared" si="349"/>
        <v>0</v>
      </c>
      <c r="V947" s="345">
        <f t="shared" si="350"/>
        <v>0</v>
      </c>
      <c r="W947" s="345">
        <f t="shared" si="351"/>
        <v>0</v>
      </c>
      <c r="X947" s="345">
        <f t="shared" si="352"/>
        <v>0</v>
      </c>
      <c r="Y947" s="345">
        <f t="shared" si="353"/>
        <v>0</v>
      </c>
      <c r="Z947" s="345">
        <f>IF(Q947&lt;&gt;"",VLOOKUP(Y947,TIME!$R$21:$V$24,MATCH(FC_DATA!Q947,TIME!$R$20:$V$20,0),FALSE),H947)</f>
        <v>0</v>
      </c>
      <c r="AA947" s="345" t="str">
        <f>IFERROR(VLOOKUP(X947&amp;Z947,TIME!$A$12:$D$71,4,FALSE),"")</f>
        <v/>
      </c>
      <c r="AB947" s="592">
        <f t="shared" ca="1" si="354"/>
        <v>0</v>
      </c>
      <c r="AC947" s="593" t="e">
        <f ca="1">IF(ISBLANK(H947)=FALSE,IF(D947="BRAND.com",I947,IF(ISNA(VLOOKUP(_xlfn.CONCAT(X947,Z947),TIME!$M$40:$M$42,1,FALSE)),I947,VLOOKUP(_xlfn.CONCAT(D947,G947,H947),M_BUSAREA_FC!$AF$5:$AJ$10,5,FALSE)*HLOOKUP(_xlfn.CONCAT(F947,H947),ST_OVERVIEW!$G$99:$I$130,MATCH(_xlfn.CONCAT(D947,E947),ST_OVERVIEW!$F$99:$F$130,0),FALSE))),IF(D947="BRAND.com",VLOOKUP(_xlfn.CONCAT(C947,D947,E947,TIME!$F$1,Z947),HIS_SALES!$B$2:$V$4859,19,FALSE)*I947,VLOOKUP(_xlfn.CONCAT(D947,F947,G947),Q_BUSAREA_FC!$AE$5:$AI$12,5,FALSE)*HLOOKUP(_xlfn.CONCAT(FC_DATA!F947,FC_DATA!G947),LT_OVERVIEW!$I$99:$M$130,MATCH(_xlfn.CONCAT(D947,FC_DATA!E947),LT_OVERVIEW!$H$99:$H$130,0),FALSE)*IFERROR(VLOOKUP(_xlfn.CONCAT(C947,D947,E947,TIME!$F$1,Z947),HIS_SALES!$B$2:$V$4859,19,FALSE),0)))</f>
        <v>#N/A</v>
      </c>
      <c r="AD947" s="341">
        <f t="shared" ca="1" si="355"/>
        <v>0</v>
      </c>
      <c r="AE947" s="363" t="str">
        <f t="shared" si="356"/>
        <v/>
      </c>
      <c r="AF947" s="342" t="str">
        <f t="shared" si="357"/>
        <v/>
      </c>
      <c r="AG947" s="411" t="e">
        <f ca="1">VLOOKUP(_xlfn.CONCAT(U947,V947,W947,VLOOKUP(X947&amp;Y947,TIME!$L$27:$O$34,4,FALSE),Y947),HIS_SALES!$A$2:$R$5093,18,FALSE)</f>
        <v>#N/A</v>
      </c>
      <c r="AH947" s="412" t="e">
        <f ca="1">IFERROR(IF(AND(V947=V946,W947=W946),0.5*(AB947+AB946)*AG947,(VLOOKUP(_xlfn.CONCAT(U947,V947,W947,X947,VLOOKUP(Z947,TIME!$S$28:$T$39,2,FALSE)),FC_DATA!$R$2:$AB$5000,MATCH("GS_I_M",FC_DATA!$R$1:$AB$1,0),FALSE)+FC_DATA!AB947)*0.5*FC_DATA!AG947),NA())</f>
        <v>#N/A</v>
      </c>
      <c r="AI947" s="491" t="e">
        <f ca="1">IF(V947="PARTNER.com",AH947,IF(AND(V947=V946,W947=W946),(1-AVERAGE(AD946,AD947))*AH947,(1-AVERAGE(AD947,VLOOKUP(_xlfn.CONCAT(U947,V947,W947,X947,M_BRAND_FC!$F$6),FC_DATA!$R$2:$AD$5000,MATCH("DISCOUNT_%_M",FC_DATA!$R$1:$AD$1,0),FALSE)))*AH947))</f>
        <v>#N/A</v>
      </c>
      <c r="AJ947" s="412" t="str">
        <f t="shared" ca="1" si="358"/>
        <v/>
      </c>
      <c r="AK947" s="413" t="str">
        <f>IFERROR(AE947/(Q_BRAND_FC!$T$24+1),"")</f>
        <v/>
      </c>
      <c r="AL947" s="88" t="str">
        <f t="shared" ca="1" si="359"/>
        <v/>
      </c>
      <c r="AM947" s="414" t="str">
        <f t="shared" ca="1" si="360"/>
        <v/>
      </c>
      <c r="AN947" s="58">
        <f>IFERROR(IF($V947="BRAND.com",HLOOKUP($X947&amp;$Z947,NWC_FC_NOOS!$C$4:$Q$23,MATCH(W947,NWC_FC_NOOS!$B$4:$B$23,0),FALSE),0),0)</f>
        <v>0</v>
      </c>
      <c r="AO947" s="57">
        <f>IFERROR(IF($V947="BRAND.com",HLOOKUP($X947&amp;$Z947,NWC_FC_NOOS!$T$4:$AH$23,MATCH(W947,NWC_FC_NOOS!$S$4:$S$23,0),FALSE),0),0)</f>
        <v>0</v>
      </c>
      <c r="AP947" s="57">
        <f>IFERROR(IF($V947="BRAND.com",HLOOKUP($X947&amp;$Z947,NWC_FC_NOOS!$C$50:$U$69,MATCH(W947,NWC_FC_NOOS!$B$50:$B$69,0),FALSE),0),0)</f>
        <v>0</v>
      </c>
      <c r="AQ947" s="58">
        <f>IFERROR(IF($V947="BRAND.com",HLOOKUP($X947&amp;$Z947,'NWC_FC_NON-NOOS'!$C$4:$Q$23,MATCH(W947,'NWC_FC_NON-NOOS'!$B$4:$B$23,0),FALSE),0),0)</f>
        <v>0</v>
      </c>
      <c r="AR947" s="57">
        <f>IFERROR(IF($V947="BRAND.com",HLOOKUP($X947&amp;$Z947,'NWC_FC_NON-NOOS'!$T$4:$AH$23,MATCH(W947,'NWC_FC_NON-NOOS'!$S$4:$S$23,0),FALSE),0),0)</f>
        <v>0</v>
      </c>
      <c r="AS947" s="57">
        <f>IFERROR(IF($V947="BRAND.com",HLOOKUP($X947&amp;$Z947,'NWC_FC_NON-NOOS'!$C$50:$U$69,MATCH(W947,'NWC_FC_NON-NOOS'!$B$50:$B$69,0),FALSE),0),0)</f>
        <v>0</v>
      </c>
      <c r="AT947" s="57">
        <f t="shared" si="362"/>
        <v>0</v>
      </c>
      <c r="AU947" s="57">
        <f t="shared" si="363"/>
        <v>0</v>
      </c>
      <c r="AV947" s="58">
        <f>IFERROR(IF($V947="BRAND.com",HLOOKUP($X947&amp;$Z947,PLANNING_FC!$BB$27:$BP$46,MATCH($W947,PLANNING_FC!$BA$27:$BA$46,0),FALSE),0),0)</f>
        <v>0</v>
      </c>
      <c r="AW947" s="58">
        <f>IFERROR(IF($V947="BRAND.com",HLOOKUP($X947&amp;$Z947,PLANNING_FC!$BB$4:$BP$23,MATCH($W947,PLANNING_FC!$BA$4:$BA$23,0),FALSE),0),0)</f>
        <v>0</v>
      </c>
      <c r="AX947" s="58">
        <f>IFERROR(IF($V947="BRAND.com",HLOOKUP($X947&amp;$Z947,PLANNING_FC!$T$27:$AH$46,MATCH($W947,PLANNING_FC!$B$27:$B$46,0),FALSE),0),0)</f>
        <v>0</v>
      </c>
      <c r="AY947" s="58">
        <f>IFERROR(IF($V947="BRAND.com",HLOOKUP($X947&amp;$Z947,PLANNING_FC!$T$4:$AH$23,MATCH($W947,PLANNING_FC!$B$4:$B$23,0),FALSE),0),0)</f>
        <v>0</v>
      </c>
      <c r="AZ947" s="58">
        <f>IFERROR(IF($V947="BRAND.com",HLOOKUP($X947&amp;$Z947,PLANNING_FC!$DA$27:$DO$46,MATCH($W947,PLANNING_FC!$CZ$27:$CZ$46,0),FALSE),0),0)</f>
        <v>0</v>
      </c>
      <c r="BA947" s="58">
        <f>IFERROR(IF($V947="BRAND.com",HLOOKUP($X947&amp;$Z947,PLANNING_FC!$DA$4:$DO$23,MATCH($W947,PLANNING_FC!$CZ$4:$CZ$23,0),FALSE),0),0)</f>
        <v>0</v>
      </c>
      <c r="BB947" s="883" t="str">
        <f>IF(V947="BRAND.com",IFERROR(HLOOKUP(X947&amp;Z947,PLANNING_FC!$AK$4:$AY$23,MATCH(W947,PLANNING_FC!$AJ$4:$AJ$23,0),FALSE)*1000,""),"")</f>
        <v/>
      </c>
      <c r="BC947" s="883" t="str">
        <f>IF(V947="BRAND.com",IFERROR(HLOOKUP(X947&amp;Z947,PLANNING_FC!$AK$27:$AY$46,MATCH(W947,PLANNING_FC!$AJ$27:$AJ$46,0),FALSE)*1000,""),"")</f>
        <v/>
      </c>
    </row>
    <row r="948" spans="14:55" x14ac:dyDescent="0.25">
      <c r="N948" s="56">
        <f t="shared" si="344"/>
        <v>0</v>
      </c>
      <c r="O948" s="57">
        <f t="shared" si="345"/>
        <v>0</v>
      </c>
      <c r="P948" s="57">
        <f ca="1">IFERROR(IF(ISBLANK(H948),SUMIFS($AC:$AC,$V:$V,V948,$W:$W,W948,$X:$X,X948,$Y:$Y,Y948)*J948/(1-J948)*VLOOKUP(_xlfn.CONCAT(C948,D948,E948,TIME!$M$12,Z948),HIS_SALES!$B$2:$W$4859,20,FALSE),AC948*J948/(1-J948)),0)</f>
        <v>0</v>
      </c>
      <c r="Q948" s="541" t="str">
        <f t="shared" si="346"/>
        <v/>
      </c>
      <c r="R948" s="346" t="str">
        <f t="shared" si="347"/>
        <v>00000</v>
      </c>
      <c r="S948" s="344">
        <f t="shared" si="348"/>
        <v>0</v>
      </c>
      <c r="T948" s="345" t="str">
        <f t="shared" si="361"/>
        <v>000</v>
      </c>
      <c r="U948" s="345">
        <f t="shared" si="349"/>
        <v>0</v>
      </c>
      <c r="V948" s="345">
        <f t="shared" si="350"/>
        <v>0</v>
      </c>
      <c r="W948" s="345">
        <f t="shared" si="351"/>
        <v>0</v>
      </c>
      <c r="X948" s="345">
        <f t="shared" si="352"/>
        <v>0</v>
      </c>
      <c r="Y948" s="345">
        <f t="shared" si="353"/>
        <v>0</v>
      </c>
      <c r="Z948" s="345">
        <f>IF(Q948&lt;&gt;"",VLOOKUP(Y948,TIME!$R$21:$V$24,MATCH(FC_DATA!Q948,TIME!$R$20:$V$20,0),FALSE),H948)</f>
        <v>0</v>
      </c>
      <c r="AA948" s="345" t="str">
        <f>IFERROR(VLOOKUP(X948&amp;Z948,TIME!$A$12:$D$71,4,FALSE),"")</f>
        <v/>
      </c>
      <c r="AB948" s="592">
        <f t="shared" ca="1" si="354"/>
        <v>0</v>
      </c>
      <c r="AC948" s="593" t="e">
        <f ca="1">IF(ISBLANK(H948)=FALSE,IF(D948="BRAND.com",I948,IF(ISNA(VLOOKUP(_xlfn.CONCAT(X948,Z948),TIME!$M$40:$M$42,1,FALSE)),I948,VLOOKUP(_xlfn.CONCAT(D948,G948,H948),M_BUSAREA_FC!$AF$5:$AJ$10,5,FALSE)*HLOOKUP(_xlfn.CONCAT(F948,H948),ST_OVERVIEW!$G$99:$I$130,MATCH(_xlfn.CONCAT(D948,E948),ST_OVERVIEW!$F$99:$F$130,0),FALSE))),IF(D948="BRAND.com",VLOOKUP(_xlfn.CONCAT(C948,D948,E948,TIME!$F$1,Z948),HIS_SALES!$B$2:$V$4859,19,FALSE)*I948,VLOOKUP(_xlfn.CONCAT(D948,F948,G948),Q_BUSAREA_FC!$AE$5:$AI$12,5,FALSE)*HLOOKUP(_xlfn.CONCAT(FC_DATA!F948,FC_DATA!G948),LT_OVERVIEW!$I$99:$M$130,MATCH(_xlfn.CONCAT(D948,FC_DATA!E948),LT_OVERVIEW!$H$99:$H$130,0),FALSE)*IFERROR(VLOOKUP(_xlfn.CONCAT(C948,D948,E948,TIME!$F$1,Z948),HIS_SALES!$B$2:$V$4859,19,FALSE),0)))</f>
        <v>#N/A</v>
      </c>
      <c r="AD948" s="341">
        <f t="shared" ca="1" si="355"/>
        <v>0</v>
      </c>
      <c r="AE948" s="363" t="str">
        <f t="shared" si="356"/>
        <v/>
      </c>
      <c r="AF948" s="342" t="str">
        <f t="shared" si="357"/>
        <v/>
      </c>
      <c r="AG948" s="411" t="e">
        <f ca="1">VLOOKUP(_xlfn.CONCAT(U948,V948,W948,VLOOKUP(X948&amp;Y948,TIME!$L$27:$O$34,4,FALSE),Y948),HIS_SALES!$A$2:$R$5093,18,FALSE)</f>
        <v>#N/A</v>
      </c>
      <c r="AH948" s="412" t="e">
        <f ca="1">IFERROR(IF(AND(V948=V947,W948=W947),0.5*(AB948+AB947)*AG948,(VLOOKUP(_xlfn.CONCAT(U948,V948,W948,X948,VLOOKUP(Z948,TIME!$S$28:$T$39,2,FALSE)),FC_DATA!$R$2:$AB$5000,MATCH("GS_I_M",FC_DATA!$R$1:$AB$1,0),FALSE)+FC_DATA!AB948)*0.5*FC_DATA!AG948),NA())</f>
        <v>#N/A</v>
      </c>
      <c r="AI948" s="491" t="e">
        <f ca="1">IF(V948="PARTNER.com",AH948,IF(AND(V948=V947,W948=W947),(1-AVERAGE(AD947,AD948))*AH948,(1-AVERAGE(AD948,VLOOKUP(_xlfn.CONCAT(U948,V948,W948,X948,M_BRAND_FC!$F$6),FC_DATA!$R$2:$AD$5000,MATCH("DISCOUNT_%_M",FC_DATA!$R$1:$AD$1,0),FALSE)))*AH948))</f>
        <v>#N/A</v>
      </c>
      <c r="AJ948" s="412" t="str">
        <f t="shared" ca="1" si="358"/>
        <v/>
      </c>
      <c r="AK948" s="413" t="str">
        <f>IFERROR(AE948/(Q_BRAND_FC!$T$24+1),"")</f>
        <v/>
      </c>
      <c r="AL948" s="88" t="str">
        <f t="shared" ca="1" si="359"/>
        <v/>
      </c>
      <c r="AM948" s="414" t="str">
        <f t="shared" ca="1" si="360"/>
        <v/>
      </c>
      <c r="AN948" s="58">
        <f>IFERROR(IF($V948="BRAND.com",HLOOKUP($X948&amp;$Z948,NWC_FC_NOOS!$C$4:$Q$23,MATCH(W948,NWC_FC_NOOS!$B$4:$B$23,0),FALSE),0),0)</f>
        <v>0</v>
      </c>
      <c r="AO948" s="57">
        <f>IFERROR(IF($V948="BRAND.com",HLOOKUP($X948&amp;$Z948,NWC_FC_NOOS!$T$4:$AH$23,MATCH(W948,NWC_FC_NOOS!$S$4:$S$23,0),FALSE),0),0)</f>
        <v>0</v>
      </c>
      <c r="AP948" s="57">
        <f>IFERROR(IF($V948="BRAND.com",HLOOKUP($X948&amp;$Z948,NWC_FC_NOOS!$C$50:$U$69,MATCH(W948,NWC_FC_NOOS!$B$50:$B$69,0),FALSE),0),0)</f>
        <v>0</v>
      </c>
      <c r="AQ948" s="58">
        <f>IFERROR(IF($V948="BRAND.com",HLOOKUP($X948&amp;$Z948,'NWC_FC_NON-NOOS'!$C$4:$Q$23,MATCH(W948,'NWC_FC_NON-NOOS'!$B$4:$B$23,0),FALSE),0),0)</f>
        <v>0</v>
      </c>
      <c r="AR948" s="57">
        <f>IFERROR(IF($V948="BRAND.com",HLOOKUP($X948&amp;$Z948,'NWC_FC_NON-NOOS'!$T$4:$AH$23,MATCH(W948,'NWC_FC_NON-NOOS'!$S$4:$S$23,0),FALSE),0),0)</f>
        <v>0</v>
      </c>
      <c r="AS948" s="57">
        <f>IFERROR(IF($V948="BRAND.com",HLOOKUP($X948&amp;$Z948,'NWC_FC_NON-NOOS'!$C$50:$U$69,MATCH(W948,'NWC_FC_NON-NOOS'!$B$50:$B$69,0),FALSE),0),0)</f>
        <v>0</v>
      </c>
      <c r="AT948" s="57">
        <f t="shared" si="362"/>
        <v>0</v>
      </c>
      <c r="AU948" s="57">
        <f t="shared" si="363"/>
        <v>0</v>
      </c>
      <c r="AV948" s="58">
        <f>IFERROR(IF($V948="BRAND.com",HLOOKUP($X948&amp;$Z948,PLANNING_FC!$BB$27:$BP$46,MATCH($W948,PLANNING_FC!$BA$27:$BA$46,0),FALSE),0),0)</f>
        <v>0</v>
      </c>
      <c r="AW948" s="58">
        <f>IFERROR(IF($V948="BRAND.com",HLOOKUP($X948&amp;$Z948,PLANNING_FC!$BB$4:$BP$23,MATCH($W948,PLANNING_FC!$BA$4:$BA$23,0),FALSE),0),0)</f>
        <v>0</v>
      </c>
      <c r="AX948" s="58">
        <f>IFERROR(IF($V948="BRAND.com",HLOOKUP($X948&amp;$Z948,PLANNING_FC!$T$27:$AH$46,MATCH($W948,PLANNING_FC!$B$27:$B$46,0),FALSE),0),0)</f>
        <v>0</v>
      </c>
      <c r="AY948" s="58">
        <f>IFERROR(IF($V948="BRAND.com",HLOOKUP($X948&amp;$Z948,PLANNING_FC!$T$4:$AH$23,MATCH($W948,PLANNING_FC!$B$4:$B$23,0),FALSE),0),0)</f>
        <v>0</v>
      </c>
      <c r="AZ948" s="58">
        <f>IFERROR(IF($V948="BRAND.com",HLOOKUP($X948&amp;$Z948,PLANNING_FC!$DA$27:$DO$46,MATCH($W948,PLANNING_FC!$CZ$27:$CZ$46,0),FALSE),0),0)</f>
        <v>0</v>
      </c>
      <c r="BA948" s="58">
        <f>IFERROR(IF($V948="BRAND.com",HLOOKUP($X948&amp;$Z948,PLANNING_FC!$DA$4:$DO$23,MATCH($W948,PLANNING_FC!$CZ$4:$CZ$23,0),FALSE),0),0)</f>
        <v>0</v>
      </c>
      <c r="BB948" s="883" t="str">
        <f>IF(V948="BRAND.com",IFERROR(HLOOKUP(X948&amp;Z948,PLANNING_FC!$AK$4:$AY$23,MATCH(W948,PLANNING_FC!$AJ$4:$AJ$23,0),FALSE)*1000,""),"")</f>
        <v/>
      </c>
      <c r="BC948" s="883" t="str">
        <f>IF(V948="BRAND.com",IFERROR(HLOOKUP(X948&amp;Z948,PLANNING_FC!$AK$27:$AY$46,MATCH(W948,PLANNING_FC!$AJ$27:$AJ$46,0),FALSE)*1000,""),"")</f>
        <v/>
      </c>
    </row>
    <row r="949" spans="14:55" x14ac:dyDescent="0.25">
      <c r="N949" s="56">
        <f t="shared" si="344"/>
        <v>0</v>
      </c>
      <c r="O949" s="57">
        <f t="shared" si="345"/>
        <v>0</v>
      </c>
      <c r="P949" s="57">
        <f ca="1">IFERROR(IF(ISBLANK(H949),SUMIFS($AC:$AC,$V:$V,V949,$W:$W,W949,$X:$X,X949,$Y:$Y,Y949)*J949/(1-J949)*VLOOKUP(_xlfn.CONCAT(C949,D949,E949,TIME!$M$12,Z949),HIS_SALES!$B$2:$W$4859,20,FALSE),AC949*J949/(1-J949)),0)</f>
        <v>0</v>
      </c>
      <c r="Q949" s="541" t="str">
        <f t="shared" si="346"/>
        <v/>
      </c>
      <c r="R949" s="346" t="str">
        <f t="shared" si="347"/>
        <v>00000</v>
      </c>
      <c r="S949" s="344">
        <f t="shared" si="348"/>
        <v>0</v>
      </c>
      <c r="T949" s="345" t="str">
        <f t="shared" si="361"/>
        <v>000</v>
      </c>
      <c r="U949" s="345">
        <f t="shared" si="349"/>
        <v>0</v>
      </c>
      <c r="V949" s="345">
        <f t="shared" si="350"/>
        <v>0</v>
      </c>
      <c r="W949" s="345">
        <f t="shared" si="351"/>
        <v>0</v>
      </c>
      <c r="X949" s="345">
        <f t="shared" si="352"/>
        <v>0</v>
      </c>
      <c r="Y949" s="345">
        <f t="shared" si="353"/>
        <v>0</v>
      </c>
      <c r="Z949" s="345">
        <f>IF(Q949&lt;&gt;"",VLOOKUP(Y949,TIME!$R$21:$V$24,MATCH(FC_DATA!Q949,TIME!$R$20:$V$20,0),FALSE),H949)</f>
        <v>0</v>
      </c>
      <c r="AA949" s="345" t="str">
        <f>IFERROR(VLOOKUP(X949&amp;Z949,TIME!$A$12:$D$71,4,FALSE),"")</f>
        <v/>
      </c>
      <c r="AB949" s="592">
        <f t="shared" ca="1" si="354"/>
        <v>0</v>
      </c>
      <c r="AC949" s="593" t="e">
        <f ca="1">IF(ISBLANK(H949)=FALSE,IF(D949="BRAND.com",I949,IF(ISNA(VLOOKUP(_xlfn.CONCAT(X949,Z949),TIME!$M$40:$M$42,1,FALSE)),I949,VLOOKUP(_xlfn.CONCAT(D949,G949,H949),M_BUSAREA_FC!$AF$5:$AJ$10,5,FALSE)*HLOOKUP(_xlfn.CONCAT(F949,H949),ST_OVERVIEW!$G$99:$I$130,MATCH(_xlfn.CONCAT(D949,E949),ST_OVERVIEW!$F$99:$F$130,0),FALSE))),IF(D949="BRAND.com",VLOOKUP(_xlfn.CONCAT(C949,D949,E949,TIME!$F$1,Z949),HIS_SALES!$B$2:$V$4859,19,FALSE)*I949,VLOOKUP(_xlfn.CONCAT(D949,F949,G949),Q_BUSAREA_FC!$AE$5:$AI$12,5,FALSE)*HLOOKUP(_xlfn.CONCAT(FC_DATA!F949,FC_DATA!G949),LT_OVERVIEW!$I$99:$M$130,MATCH(_xlfn.CONCAT(D949,FC_DATA!E949),LT_OVERVIEW!$H$99:$H$130,0),FALSE)*IFERROR(VLOOKUP(_xlfn.CONCAT(C949,D949,E949,TIME!$F$1,Z949),HIS_SALES!$B$2:$V$4859,19,FALSE),0)))</f>
        <v>#N/A</v>
      </c>
      <c r="AD949" s="341">
        <f t="shared" ca="1" si="355"/>
        <v>0</v>
      </c>
      <c r="AE949" s="363" t="str">
        <f t="shared" si="356"/>
        <v/>
      </c>
      <c r="AF949" s="342" t="str">
        <f t="shared" si="357"/>
        <v/>
      </c>
      <c r="AG949" s="411" t="e">
        <f ca="1">VLOOKUP(_xlfn.CONCAT(U949,V949,W949,VLOOKUP(X949&amp;Y949,TIME!$L$27:$O$34,4,FALSE),Y949),HIS_SALES!$A$2:$R$5093,18,FALSE)</f>
        <v>#N/A</v>
      </c>
      <c r="AH949" s="412" t="e">
        <f ca="1">IFERROR(IF(AND(V949=V948,W949=W948),0.5*(AB949+AB948)*AG949,(VLOOKUP(_xlfn.CONCAT(U949,V949,W949,X949,VLOOKUP(Z949,TIME!$S$28:$T$39,2,FALSE)),FC_DATA!$R$2:$AB$5000,MATCH("GS_I_M",FC_DATA!$R$1:$AB$1,0),FALSE)+FC_DATA!AB949)*0.5*FC_DATA!AG949),NA())</f>
        <v>#N/A</v>
      </c>
      <c r="AI949" s="491" t="e">
        <f ca="1">IF(V949="PARTNER.com",AH949,IF(AND(V949=V948,W949=W948),(1-AVERAGE(AD948,AD949))*AH949,(1-AVERAGE(AD949,VLOOKUP(_xlfn.CONCAT(U949,V949,W949,X949,M_BRAND_FC!$F$6),FC_DATA!$R$2:$AD$5000,MATCH("DISCOUNT_%_M",FC_DATA!$R$1:$AD$1,0),FALSE)))*AH949))</f>
        <v>#N/A</v>
      </c>
      <c r="AJ949" s="412" t="str">
        <f t="shared" ca="1" si="358"/>
        <v/>
      </c>
      <c r="AK949" s="413" t="str">
        <f>IFERROR(AE949/(Q_BRAND_FC!$T$24+1),"")</f>
        <v/>
      </c>
      <c r="AL949" s="88" t="str">
        <f t="shared" ca="1" si="359"/>
        <v/>
      </c>
      <c r="AM949" s="414" t="str">
        <f t="shared" ca="1" si="360"/>
        <v/>
      </c>
      <c r="AN949" s="58">
        <f>IFERROR(IF($V949="BRAND.com",HLOOKUP($X949&amp;$Z949,NWC_FC_NOOS!$C$4:$Q$23,MATCH(W949,NWC_FC_NOOS!$B$4:$B$23,0),FALSE),0),0)</f>
        <v>0</v>
      </c>
      <c r="AO949" s="57">
        <f>IFERROR(IF($V949="BRAND.com",HLOOKUP($X949&amp;$Z949,NWC_FC_NOOS!$T$4:$AH$23,MATCH(W949,NWC_FC_NOOS!$S$4:$S$23,0),FALSE),0),0)</f>
        <v>0</v>
      </c>
      <c r="AP949" s="57">
        <f>IFERROR(IF($V949="BRAND.com",HLOOKUP($X949&amp;$Z949,NWC_FC_NOOS!$C$50:$U$69,MATCH(W949,NWC_FC_NOOS!$B$50:$B$69,0),FALSE),0),0)</f>
        <v>0</v>
      </c>
      <c r="AQ949" s="58">
        <f>IFERROR(IF($V949="BRAND.com",HLOOKUP($X949&amp;$Z949,'NWC_FC_NON-NOOS'!$C$4:$Q$23,MATCH(W949,'NWC_FC_NON-NOOS'!$B$4:$B$23,0),FALSE),0),0)</f>
        <v>0</v>
      </c>
      <c r="AR949" s="57">
        <f>IFERROR(IF($V949="BRAND.com",HLOOKUP($X949&amp;$Z949,'NWC_FC_NON-NOOS'!$T$4:$AH$23,MATCH(W949,'NWC_FC_NON-NOOS'!$S$4:$S$23,0),FALSE),0),0)</f>
        <v>0</v>
      </c>
      <c r="AS949" s="57">
        <f>IFERROR(IF($V949="BRAND.com",HLOOKUP($X949&amp;$Z949,'NWC_FC_NON-NOOS'!$C$50:$U$69,MATCH(W949,'NWC_FC_NON-NOOS'!$B$50:$B$69,0),FALSE),0),0)</f>
        <v>0</v>
      </c>
      <c r="AT949" s="57">
        <f t="shared" si="362"/>
        <v>0</v>
      </c>
      <c r="AU949" s="57">
        <f t="shared" si="363"/>
        <v>0</v>
      </c>
      <c r="AV949" s="58">
        <f>IFERROR(IF($V949="BRAND.com",HLOOKUP($X949&amp;$Z949,PLANNING_FC!$BB$27:$BP$46,MATCH($W949,PLANNING_FC!$BA$27:$BA$46,0),FALSE),0),0)</f>
        <v>0</v>
      </c>
      <c r="AW949" s="58">
        <f>IFERROR(IF($V949="BRAND.com",HLOOKUP($X949&amp;$Z949,PLANNING_FC!$BB$4:$BP$23,MATCH($W949,PLANNING_FC!$BA$4:$BA$23,0),FALSE),0),0)</f>
        <v>0</v>
      </c>
      <c r="AX949" s="58">
        <f>IFERROR(IF($V949="BRAND.com",HLOOKUP($X949&amp;$Z949,PLANNING_FC!$T$27:$AH$46,MATCH($W949,PLANNING_FC!$B$27:$B$46,0),FALSE),0),0)</f>
        <v>0</v>
      </c>
      <c r="AY949" s="58">
        <f>IFERROR(IF($V949="BRAND.com",HLOOKUP($X949&amp;$Z949,PLANNING_FC!$T$4:$AH$23,MATCH($W949,PLANNING_FC!$B$4:$B$23,0),FALSE),0),0)</f>
        <v>0</v>
      </c>
      <c r="AZ949" s="58">
        <f>IFERROR(IF($V949="BRAND.com",HLOOKUP($X949&amp;$Z949,PLANNING_FC!$DA$27:$DO$46,MATCH($W949,PLANNING_FC!$CZ$27:$CZ$46,0),FALSE),0),0)</f>
        <v>0</v>
      </c>
      <c r="BA949" s="58">
        <f>IFERROR(IF($V949="BRAND.com",HLOOKUP($X949&amp;$Z949,PLANNING_FC!$DA$4:$DO$23,MATCH($W949,PLANNING_FC!$CZ$4:$CZ$23,0),FALSE),0),0)</f>
        <v>0</v>
      </c>
      <c r="BB949" s="883" t="str">
        <f>IF(V949="BRAND.com",IFERROR(HLOOKUP(X949&amp;Z949,PLANNING_FC!$AK$4:$AY$23,MATCH(W949,PLANNING_FC!$AJ$4:$AJ$23,0),FALSE)*1000,""),"")</f>
        <v/>
      </c>
      <c r="BC949" s="883" t="str">
        <f>IF(V949="BRAND.com",IFERROR(HLOOKUP(X949&amp;Z949,PLANNING_FC!$AK$27:$AY$46,MATCH(W949,PLANNING_FC!$AJ$27:$AJ$46,0),FALSE)*1000,""),"")</f>
        <v/>
      </c>
    </row>
    <row r="950" spans="14:55" x14ac:dyDescent="0.25">
      <c r="N950" s="56">
        <f t="shared" si="344"/>
        <v>0</v>
      </c>
      <c r="O950" s="57">
        <f t="shared" si="345"/>
        <v>0</v>
      </c>
      <c r="P950" s="57">
        <f ca="1">IFERROR(IF(ISBLANK(H950),SUMIFS($AC:$AC,$V:$V,V950,$W:$W,W950,$X:$X,X950,$Y:$Y,Y950)*J950/(1-J950)*VLOOKUP(_xlfn.CONCAT(C950,D950,E950,TIME!$M$12,Z950),HIS_SALES!$B$2:$W$4859,20,FALSE),AC950*J950/(1-J950)),0)</f>
        <v>0</v>
      </c>
      <c r="Q950" s="541" t="str">
        <f t="shared" si="346"/>
        <v/>
      </c>
      <c r="R950" s="346" t="str">
        <f t="shared" si="347"/>
        <v>00000</v>
      </c>
      <c r="S950" s="344">
        <f t="shared" si="348"/>
        <v>0</v>
      </c>
      <c r="T950" s="345" t="str">
        <f t="shared" si="361"/>
        <v>000</v>
      </c>
      <c r="U950" s="345">
        <f t="shared" si="349"/>
        <v>0</v>
      </c>
      <c r="V950" s="345">
        <f t="shared" si="350"/>
        <v>0</v>
      </c>
      <c r="W950" s="345">
        <f t="shared" si="351"/>
        <v>0</v>
      </c>
      <c r="X950" s="345">
        <f t="shared" si="352"/>
        <v>0</v>
      </c>
      <c r="Y950" s="345">
        <f t="shared" si="353"/>
        <v>0</v>
      </c>
      <c r="Z950" s="345">
        <f>IF(Q950&lt;&gt;"",VLOOKUP(Y950,TIME!$R$21:$V$24,MATCH(FC_DATA!Q950,TIME!$R$20:$V$20,0),FALSE),H950)</f>
        <v>0</v>
      </c>
      <c r="AA950" s="345" t="str">
        <f>IFERROR(VLOOKUP(X950&amp;Z950,TIME!$A$12:$D$71,4,FALSE),"")</f>
        <v/>
      </c>
      <c r="AB950" s="592">
        <f t="shared" ca="1" si="354"/>
        <v>0</v>
      </c>
      <c r="AC950" s="593" t="e">
        <f ca="1">IF(ISBLANK(H950)=FALSE,IF(D950="BRAND.com",I950,IF(ISNA(VLOOKUP(_xlfn.CONCAT(X950,Z950),TIME!$M$40:$M$42,1,FALSE)),I950,VLOOKUP(_xlfn.CONCAT(D950,G950,H950),M_BUSAREA_FC!$AF$5:$AJ$10,5,FALSE)*HLOOKUP(_xlfn.CONCAT(F950,H950),ST_OVERVIEW!$G$99:$I$130,MATCH(_xlfn.CONCAT(D950,E950),ST_OVERVIEW!$F$99:$F$130,0),FALSE))),IF(D950="BRAND.com",VLOOKUP(_xlfn.CONCAT(C950,D950,E950,TIME!$F$1,Z950),HIS_SALES!$B$2:$V$4859,19,FALSE)*I950,VLOOKUP(_xlfn.CONCAT(D950,F950,G950),Q_BUSAREA_FC!$AE$5:$AI$12,5,FALSE)*HLOOKUP(_xlfn.CONCAT(FC_DATA!F950,FC_DATA!G950),LT_OVERVIEW!$I$99:$M$130,MATCH(_xlfn.CONCAT(D950,FC_DATA!E950),LT_OVERVIEW!$H$99:$H$130,0),FALSE)*IFERROR(VLOOKUP(_xlfn.CONCAT(C950,D950,E950,TIME!$F$1,Z950),HIS_SALES!$B$2:$V$4859,19,FALSE),0)))</f>
        <v>#N/A</v>
      </c>
      <c r="AD950" s="341">
        <f t="shared" ca="1" si="355"/>
        <v>0</v>
      </c>
      <c r="AE950" s="363" t="str">
        <f t="shared" si="356"/>
        <v/>
      </c>
      <c r="AF950" s="342" t="str">
        <f t="shared" si="357"/>
        <v/>
      </c>
      <c r="AG950" s="411" t="e">
        <f ca="1">VLOOKUP(_xlfn.CONCAT(U950,V950,W950,VLOOKUP(X950&amp;Y950,TIME!$L$27:$O$34,4,FALSE),Y950),HIS_SALES!$A$2:$R$5093,18,FALSE)</f>
        <v>#N/A</v>
      </c>
      <c r="AH950" s="412" t="e">
        <f ca="1">IFERROR(IF(AND(V950=V949,W950=W949),0.5*(AB950+AB949)*AG950,(VLOOKUP(_xlfn.CONCAT(U950,V950,W950,X950,VLOOKUP(Z950,TIME!$S$28:$T$39,2,FALSE)),FC_DATA!$R$2:$AB$5000,MATCH("GS_I_M",FC_DATA!$R$1:$AB$1,0),FALSE)+FC_DATA!AB950)*0.5*FC_DATA!AG950),NA())</f>
        <v>#N/A</v>
      </c>
      <c r="AI950" s="491" t="e">
        <f ca="1">IF(V950="PARTNER.com",AH950,IF(AND(V950=V949,W950=W949),(1-AVERAGE(AD949,AD950))*AH950,(1-AVERAGE(AD950,VLOOKUP(_xlfn.CONCAT(U950,V950,W950,X950,M_BRAND_FC!$F$6),FC_DATA!$R$2:$AD$5000,MATCH("DISCOUNT_%_M",FC_DATA!$R$1:$AD$1,0),FALSE)))*AH950))</f>
        <v>#N/A</v>
      </c>
      <c r="AJ950" s="412" t="str">
        <f t="shared" ca="1" si="358"/>
        <v/>
      </c>
      <c r="AK950" s="413" t="str">
        <f>IFERROR(AE950/(Q_BRAND_FC!$T$24+1),"")</f>
        <v/>
      </c>
      <c r="AL950" s="88" t="str">
        <f t="shared" ca="1" si="359"/>
        <v/>
      </c>
      <c r="AM950" s="414" t="str">
        <f t="shared" ca="1" si="360"/>
        <v/>
      </c>
      <c r="AN950" s="58">
        <f>IFERROR(IF($V950="BRAND.com",HLOOKUP($X950&amp;$Z950,NWC_FC_NOOS!$C$4:$Q$23,MATCH(W950,NWC_FC_NOOS!$B$4:$B$23,0),FALSE),0),0)</f>
        <v>0</v>
      </c>
      <c r="AO950" s="57">
        <f>IFERROR(IF($V950="BRAND.com",HLOOKUP($X950&amp;$Z950,NWC_FC_NOOS!$T$4:$AH$23,MATCH(W950,NWC_FC_NOOS!$S$4:$S$23,0),FALSE),0),0)</f>
        <v>0</v>
      </c>
      <c r="AP950" s="57">
        <f>IFERROR(IF($V950="BRAND.com",HLOOKUP($X950&amp;$Z950,NWC_FC_NOOS!$C$50:$U$69,MATCH(W950,NWC_FC_NOOS!$B$50:$B$69,0),FALSE),0),0)</f>
        <v>0</v>
      </c>
      <c r="AQ950" s="58">
        <f>IFERROR(IF($V950="BRAND.com",HLOOKUP($X950&amp;$Z950,'NWC_FC_NON-NOOS'!$C$4:$Q$23,MATCH(W950,'NWC_FC_NON-NOOS'!$B$4:$B$23,0),FALSE),0),0)</f>
        <v>0</v>
      </c>
      <c r="AR950" s="57">
        <f>IFERROR(IF($V950="BRAND.com",HLOOKUP($X950&amp;$Z950,'NWC_FC_NON-NOOS'!$T$4:$AH$23,MATCH(W950,'NWC_FC_NON-NOOS'!$S$4:$S$23,0),FALSE),0),0)</f>
        <v>0</v>
      </c>
      <c r="AS950" s="57">
        <f>IFERROR(IF($V950="BRAND.com",HLOOKUP($X950&amp;$Z950,'NWC_FC_NON-NOOS'!$C$50:$U$69,MATCH(W950,'NWC_FC_NON-NOOS'!$B$50:$B$69,0),FALSE),0),0)</f>
        <v>0</v>
      </c>
      <c r="AT950" s="57">
        <f t="shared" si="362"/>
        <v>0</v>
      </c>
      <c r="AU950" s="57">
        <f t="shared" si="363"/>
        <v>0</v>
      </c>
      <c r="AV950" s="58">
        <f>IFERROR(IF($V950="BRAND.com",HLOOKUP($X950&amp;$Z950,PLANNING_FC!$BB$27:$BP$46,MATCH($W950,PLANNING_FC!$BA$27:$BA$46,0),FALSE),0),0)</f>
        <v>0</v>
      </c>
      <c r="AW950" s="58">
        <f>IFERROR(IF($V950="BRAND.com",HLOOKUP($X950&amp;$Z950,PLANNING_FC!$BB$4:$BP$23,MATCH($W950,PLANNING_FC!$BA$4:$BA$23,0),FALSE),0),0)</f>
        <v>0</v>
      </c>
      <c r="AX950" s="58">
        <f>IFERROR(IF($V950="BRAND.com",HLOOKUP($X950&amp;$Z950,PLANNING_FC!$T$27:$AH$46,MATCH($W950,PLANNING_FC!$B$27:$B$46,0),FALSE),0),0)</f>
        <v>0</v>
      </c>
      <c r="AY950" s="58">
        <f>IFERROR(IF($V950="BRAND.com",HLOOKUP($X950&amp;$Z950,PLANNING_FC!$T$4:$AH$23,MATCH($W950,PLANNING_FC!$B$4:$B$23,0),FALSE),0),0)</f>
        <v>0</v>
      </c>
      <c r="AZ950" s="58">
        <f>IFERROR(IF($V950="BRAND.com",HLOOKUP($X950&amp;$Z950,PLANNING_FC!$DA$27:$DO$46,MATCH($W950,PLANNING_FC!$CZ$27:$CZ$46,0),FALSE),0),0)</f>
        <v>0</v>
      </c>
      <c r="BA950" s="58">
        <f>IFERROR(IF($V950="BRAND.com",HLOOKUP($X950&amp;$Z950,PLANNING_FC!$DA$4:$DO$23,MATCH($W950,PLANNING_FC!$CZ$4:$CZ$23,0),FALSE),0),0)</f>
        <v>0</v>
      </c>
      <c r="BB950" s="883" t="str">
        <f>IF(V950="BRAND.com",IFERROR(HLOOKUP(X950&amp;Z950,PLANNING_FC!$AK$4:$AY$23,MATCH(W950,PLANNING_FC!$AJ$4:$AJ$23,0),FALSE)*1000,""),"")</f>
        <v/>
      </c>
      <c r="BC950" s="883" t="str">
        <f>IF(V950="BRAND.com",IFERROR(HLOOKUP(X950&amp;Z950,PLANNING_FC!$AK$27:$AY$46,MATCH(W950,PLANNING_FC!$AJ$27:$AJ$46,0),FALSE)*1000,""),"")</f>
        <v/>
      </c>
    </row>
    <row r="951" spans="14:55" x14ac:dyDescent="0.25">
      <c r="N951" s="56">
        <f t="shared" si="344"/>
        <v>0</v>
      </c>
      <c r="O951" s="57">
        <f t="shared" si="345"/>
        <v>0</v>
      </c>
      <c r="P951" s="57">
        <f ca="1">IFERROR(IF(ISBLANK(H951),SUMIFS($AC:$AC,$V:$V,V951,$W:$W,W951,$X:$X,X951,$Y:$Y,Y951)*J951/(1-J951)*VLOOKUP(_xlfn.CONCAT(C951,D951,E951,TIME!$M$12,Z951),HIS_SALES!$B$2:$W$4859,20,FALSE),AC951*J951/(1-J951)),0)</f>
        <v>0</v>
      </c>
      <c r="Q951" s="541" t="str">
        <f t="shared" si="346"/>
        <v/>
      </c>
      <c r="R951" s="346" t="str">
        <f t="shared" si="347"/>
        <v>00000</v>
      </c>
      <c r="S951" s="344">
        <f t="shared" si="348"/>
        <v>0</v>
      </c>
      <c r="T951" s="345" t="str">
        <f t="shared" si="361"/>
        <v>000</v>
      </c>
      <c r="U951" s="345">
        <f t="shared" si="349"/>
        <v>0</v>
      </c>
      <c r="V951" s="345">
        <f t="shared" si="350"/>
        <v>0</v>
      </c>
      <c r="W951" s="345">
        <f t="shared" si="351"/>
        <v>0</v>
      </c>
      <c r="X951" s="345">
        <f t="shared" si="352"/>
        <v>0</v>
      </c>
      <c r="Y951" s="345">
        <f t="shared" si="353"/>
        <v>0</v>
      </c>
      <c r="Z951" s="345">
        <f>IF(Q951&lt;&gt;"",VLOOKUP(Y951,TIME!$R$21:$V$24,MATCH(FC_DATA!Q951,TIME!$R$20:$V$20,0),FALSE),H951)</f>
        <v>0</v>
      </c>
      <c r="AA951" s="345" t="str">
        <f>IFERROR(VLOOKUP(X951&amp;Z951,TIME!$A$12:$D$71,4,FALSE),"")</f>
        <v/>
      </c>
      <c r="AB951" s="592">
        <f t="shared" ca="1" si="354"/>
        <v>0</v>
      </c>
      <c r="AC951" s="593" t="e">
        <f ca="1">IF(ISBLANK(H951)=FALSE,IF(D951="BRAND.com",I951,IF(ISNA(VLOOKUP(_xlfn.CONCAT(X951,Z951),TIME!$M$40:$M$42,1,FALSE)),I951,VLOOKUP(_xlfn.CONCAT(D951,G951,H951),M_BUSAREA_FC!$AF$5:$AJ$10,5,FALSE)*HLOOKUP(_xlfn.CONCAT(F951,H951),ST_OVERVIEW!$G$99:$I$130,MATCH(_xlfn.CONCAT(D951,E951),ST_OVERVIEW!$F$99:$F$130,0),FALSE))),IF(D951="BRAND.com",VLOOKUP(_xlfn.CONCAT(C951,D951,E951,TIME!$F$1,Z951),HIS_SALES!$B$2:$V$4859,19,FALSE)*I951,VLOOKUP(_xlfn.CONCAT(D951,F951,G951),Q_BUSAREA_FC!$AE$5:$AI$12,5,FALSE)*HLOOKUP(_xlfn.CONCAT(FC_DATA!F951,FC_DATA!G951),LT_OVERVIEW!$I$99:$M$130,MATCH(_xlfn.CONCAT(D951,FC_DATA!E951),LT_OVERVIEW!$H$99:$H$130,0),FALSE)*IFERROR(VLOOKUP(_xlfn.CONCAT(C951,D951,E951,TIME!$F$1,Z951),HIS_SALES!$B$2:$V$4859,19,FALSE),0)))</f>
        <v>#N/A</v>
      </c>
      <c r="AD951" s="341">
        <f t="shared" ca="1" si="355"/>
        <v>0</v>
      </c>
      <c r="AE951" s="363" t="str">
        <f t="shared" si="356"/>
        <v/>
      </c>
      <c r="AF951" s="342" t="str">
        <f t="shared" si="357"/>
        <v/>
      </c>
      <c r="AG951" s="411" t="e">
        <f ca="1">VLOOKUP(_xlfn.CONCAT(U951,V951,W951,VLOOKUP(X951&amp;Y951,TIME!$L$27:$O$34,4,FALSE),Y951),HIS_SALES!$A$2:$R$5093,18,FALSE)</f>
        <v>#N/A</v>
      </c>
      <c r="AH951" s="412" t="e">
        <f ca="1">IFERROR(IF(AND(V951=V950,W951=W950),0.5*(AB951+AB950)*AG951,(VLOOKUP(_xlfn.CONCAT(U951,V951,W951,X951,VLOOKUP(Z951,TIME!$S$28:$T$39,2,FALSE)),FC_DATA!$R$2:$AB$5000,MATCH("GS_I_M",FC_DATA!$R$1:$AB$1,0),FALSE)+FC_DATA!AB951)*0.5*FC_DATA!AG951),NA())</f>
        <v>#N/A</v>
      </c>
      <c r="AI951" s="491" t="e">
        <f ca="1">IF(V951="PARTNER.com",AH951,IF(AND(V951=V950,W951=W950),(1-AVERAGE(AD950,AD951))*AH951,(1-AVERAGE(AD951,VLOOKUP(_xlfn.CONCAT(U951,V951,W951,X951,M_BRAND_FC!$F$6),FC_DATA!$R$2:$AD$5000,MATCH("DISCOUNT_%_M",FC_DATA!$R$1:$AD$1,0),FALSE)))*AH951))</f>
        <v>#N/A</v>
      </c>
      <c r="AJ951" s="412" t="str">
        <f t="shared" ca="1" si="358"/>
        <v/>
      </c>
      <c r="AK951" s="413" t="str">
        <f>IFERROR(AE951/(Q_BRAND_FC!$T$24+1),"")</f>
        <v/>
      </c>
      <c r="AL951" s="88" t="str">
        <f t="shared" ca="1" si="359"/>
        <v/>
      </c>
      <c r="AM951" s="414" t="str">
        <f t="shared" ca="1" si="360"/>
        <v/>
      </c>
      <c r="AN951" s="58">
        <f>IFERROR(IF($V951="BRAND.com",HLOOKUP($X951&amp;$Z951,NWC_FC_NOOS!$C$4:$Q$23,MATCH(W951,NWC_FC_NOOS!$B$4:$B$23,0),FALSE),0),0)</f>
        <v>0</v>
      </c>
      <c r="AO951" s="57">
        <f>IFERROR(IF($V951="BRAND.com",HLOOKUP($X951&amp;$Z951,NWC_FC_NOOS!$T$4:$AH$23,MATCH(W951,NWC_FC_NOOS!$S$4:$S$23,0),FALSE),0),0)</f>
        <v>0</v>
      </c>
      <c r="AP951" s="57">
        <f>IFERROR(IF($V951="BRAND.com",HLOOKUP($X951&amp;$Z951,NWC_FC_NOOS!$C$50:$U$69,MATCH(W951,NWC_FC_NOOS!$B$50:$B$69,0),FALSE),0),0)</f>
        <v>0</v>
      </c>
      <c r="AQ951" s="58">
        <f>IFERROR(IF($V951="BRAND.com",HLOOKUP($X951&amp;$Z951,'NWC_FC_NON-NOOS'!$C$4:$Q$23,MATCH(W951,'NWC_FC_NON-NOOS'!$B$4:$B$23,0),FALSE),0),0)</f>
        <v>0</v>
      </c>
      <c r="AR951" s="57">
        <f>IFERROR(IF($V951="BRAND.com",HLOOKUP($X951&amp;$Z951,'NWC_FC_NON-NOOS'!$T$4:$AH$23,MATCH(W951,'NWC_FC_NON-NOOS'!$S$4:$S$23,0),FALSE),0),0)</f>
        <v>0</v>
      </c>
      <c r="AS951" s="57">
        <f>IFERROR(IF($V951="BRAND.com",HLOOKUP($X951&amp;$Z951,'NWC_FC_NON-NOOS'!$C$50:$U$69,MATCH(W951,'NWC_FC_NON-NOOS'!$B$50:$B$69,0),FALSE),0),0)</f>
        <v>0</v>
      </c>
      <c r="AT951" s="57">
        <f t="shared" si="362"/>
        <v>0</v>
      </c>
      <c r="AU951" s="57">
        <f t="shared" si="363"/>
        <v>0</v>
      </c>
      <c r="AV951" s="58">
        <f>IFERROR(IF($V951="BRAND.com",HLOOKUP($X951&amp;$Z951,PLANNING_FC!$BB$27:$BP$46,MATCH($W951,PLANNING_FC!$BA$27:$BA$46,0),FALSE),0),0)</f>
        <v>0</v>
      </c>
      <c r="AW951" s="58">
        <f>IFERROR(IF($V951="BRAND.com",HLOOKUP($X951&amp;$Z951,PLANNING_FC!$BB$4:$BP$23,MATCH($W951,PLANNING_FC!$BA$4:$BA$23,0),FALSE),0),0)</f>
        <v>0</v>
      </c>
      <c r="AX951" s="58">
        <f>IFERROR(IF($V951="BRAND.com",HLOOKUP($X951&amp;$Z951,PLANNING_FC!$T$27:$AH$46,MATCH($W951,PLANNING_FC!$B$27:$B$46,0),FALSE),0),0)</f>
        <v>0</v>
      </c>
      <c r="AY951" s="58">
        <f>IFERROR(IF($V951="BRAND.com",HLOOKUP($X951&amp;$Z951,PLANNING_FC!$T$4:$AH$23,MATCH($W951,PLANNING_FC!$B$4:$B$23,0),FALSE),0),0)</f>
        <v>0</v>
      </c>
      <c r="AZ951" s="58">
        <f>IFERROR(IF($V951="BRAND.com",HLOOKUP($X951&amp;$Z951,PLANNING_FC!$DA$27:$DO$46,MATCH($W951,PLANNING_FC!$CZ$27:$CZ$46,0),FALSE),0),0)</f>
        <v>0</v>
      </c>
      <c r="BA951" s="58">
        <f>IFERROR(IF($V951="BRAND.com",HLOOKUP($X951&amp;$Z951,PLANNING_FC!$DA$4:$DO$23,MATCH($W951,PLANNING_FC!$CZ$4:$CZ$23,0),FALSE),0),0)</f>
        <v>0</v>
      </c>
      <c r="BB951" s="883" t="str">
        <f>IF(V951="BRAND.com",IFERROR(HLOOKUP(X951&amp;Z951,PLANNING_FC!$AK$4:$AY$23,MATCH(W951,PLANNING_FC!$AJ$4:$AJ$23,0),FALSE)*1000,""),"")</f>
        <v/>
      </c>
      <c r="BC951" s="883" t="str">
        <f>IF(V951="BRAND.com",IFERROR(HLOOKUP(X951&amp;Z951,PLANNING_FC!$AK$27:$AY$46,MATCH(W951,PLANNING_FC!$AJ$27:$AJ$46,0),FALSE)*1000,""),"")</f>
        <v/>
      </c>
    </row>
    <row r="952" spans="14:55" x14ac:dyDescent="0.25">
      <c r="N952" s="56">
        <f t="shared" si="344"/>
        <v>0</v>
      </c>
      <c r="O952" s="57">
        <f t="shared" si="345"/>
        <v>0</v>
      </c>
      <c r="P952" s="57">
        <f ca="1">IFERROR(IF(ISBLANK(H952),SUMIFS($AC:$AC,$V:$V,V952,$W:$W,W952,$X:$X,X952,$Y:$Y,Y952)*J952/(1-J952)*VLOOKUP(_xlfn.CONCAT(C952,D952,E952,TIME!$M$12,Z952),HIS_SALES!$B$2:$W$4859,20,FALSE),AC952*J952/(1-J952)),0)</f>
        <v>0</v>
      </c>
      <c r="Q952" s="541" t="str">
        <f t="shared" si="346"/>
        <v/>
      </c>
      <c r="R952" s="346" t="str">
        <f t="shared" si="347"/>
        <v>00000</v>
      </c>
      <c r="S952" s="344">
        <f t="shared" si="348"/>
        <v>0</v>
      </c>
      <c r="T952" s="345" t="str">
        <f t="shared" si="361"/>
        <v>000</v>
      </c>
      <c r="U952" s="345">
        <f t="shared" si="349"/>
        <v>0</v>
      </c>
      <c r="V952" s="345">
        <f t="shared" si="350"/>
        <v>0</v>
      </c>
      <c r="W952" s="345">
        <f t="shared" si="351"/>
        <v>0</v>
      </c>
      <c r="X952" s="345">
        <f t="shared" si="352"/>
        <v>0</v>
      </c>
      <c r="Y952" s="345">
        <f t="shared" si="353"/>
        <v>0</v>
      </c>
      <c r="Z952" s="345">
        <f>IF(Q952&lt;&gt;"",VLOOKUP(Y952,TIME!$R$21:$V$24,MATCH(FC_DATA!Q952,TIME!$R$20:$V$20,0),FALSE),H952)</f>
        <v>0</v>
      </c>
      <c r="AA952" s="345" t="str">
        <f>IFERROR(VLOOKUP(X952&amp;Z952,TIME!$A$12:$D$71,4,FALSE),"")</f>
        <v/>
      </c>
      <c r="AB952" s="592">
        <f t="shared" ca="1" si="354"/>
        <v>0</v>
      </c>
      <c r="AC952" s="593" t="e">
        <f ca="1">IF(ISBLANK(H952)=FALSE,IF(D952="BRAND.com",I952,IF(ISNA(VLOOKUP(_xlfn.CONCAT(X952,Z952),TIME!$M$40:$M$42,1,FALSE)),I952,VLOOKUP(_xlfn.CONCAT(D952,G952,H952),M_BUSAREA_FC!$AF$5:$AJ$10,5,FALSE)*HLOOKUP(_xlfn.CONCAT(F952,H952),ST_OVERVIEW!$G$99:$I$130,MATCH(_xlfn.CONCAT(D952,E952),ST_OVERVIEW!$F$99:$F$130,0),FALSE))),IF(D952="BRAND.com",VLOOKUP(_xlfn.CONCAT(C952,D952,E952,TIME!$F$1,Z952),HIS_SALES!$B$2:$V$4859,19,FALSE)*I952,VLOOKUP(_xlfn.CONCAT(D952,F952,G952),Q_BUSAREA_FC!$AE$5:$AI$12,5,FALSE)*HLOOKUP(_xlfn.CONCAT(FC_DATA!F952,FC_DATA!G952),LT_OVERVIEW!$I$99:$M$130,MATCH(_xlfn.CONCAT(D952,FC_DATA!E952),LT_OVERVIEW!$H$99:$H$130,0),FALSE)*IFERROR(VLOOKUP(_xlfn.CONCAT(C952,D952,E952,TIME!$F$1,Z952),HIS_SALES!$B$2:$V$4859,19,FALSE),0)))</f>
        <v>#N/A</v>
      </c>
      <c r="AD952" s="341">
        <f t="shared" ca="1" si="355"/>
        <v>0</v>
      </c>
      <c r="AE952" s="363" t="str">
        <f t="shared" si="356"/>
        <v/>
      </c>
      <c r="AF952" s="342" t="str">
        <f t="shared" si="357"/>
        <v/>
      </c>
      <c r="AG952" s="411" t="e">
        <f ca="1">VLOOKUP(_xlfn.CONCAT(U952,V952,W952,VLOOKUP(X952&amp;Y952,TIME!$L$27:$O$34,4,FALSE),Y952),HIS_SALES!$A$2:$R$5093,18,FALSE)</f>
        <v>#N/A</v>
      </c>
      <c r="AH952" s="412" t="e">
        <f ca="1">IFERROR(IF(AND(V952=V951,W952=W951),0.5*(AB952+AB951)*AG952,(VLOOKUP(_xlfn.CONCAT(U952,V952,W952,X952,VLOOKUP(Z952,TIME!$S$28:$T$39,2,FALSE)),FC_DATA!$R$2:$AB$5000,MATCH("GS_I_M",FC_DATA!$R$1:$AB$1,0),FALSE)+FC_DATA!AB952)*0.5*FC_DATA!AG952),NA())</f>
        <v>#N/A</v>
      </c>
      <c r="AI952" s="491" t="e">
        <f ca="1">IF(V952="PARTNER.com",AH952,IF(AND(V952=V951,W952=W951),(1-AVERAGE(AD951,AD952))*AH952,(1-AVERAGE(AD952,VLOOKUP(_xlfn.CONCAT(U952,V952,W952,X952,M_BRAND_FC!$F$6),FC_DATA!$R$2:$AD$5000,MATCH("DISCOUNT_%_M",FC_DATA!$R$1:$AD$1,0),FALSE)))*AH952))</f>
        <v>#N/A</v>
      </c>
      <c r="AJ952" s="412" t="str">
        <f t="shared" ca="1" si="358"/>
        <v/>
      </c>
      <c r="AK952" s="413" t="str">
        <f>IFERROR(AE952/(Q_BRAND_FC!$T$24+1),"")</f>
        <v/>
      </c>
      <c r="AL952" s="88" t="str">
        <f t="shared" ca="1" si="359"/>
        <v/>
      </c>
      <c r="AM952" s="414" t="str">
        <f t="shared" ca="1" si="360"/>
        <v/>
      </c>
      <c r="AN952" s="58">
        <f>IFERROR(IF($V952="BRAND.com",HLOOKUP($X952&amp;$Z952,NWC_FC_NOOS!$C$4:$Q$23,MATCH(W952,NWC_FC_NOOS!$B$4:$B$23,0),FALSE),0),0)</f>
        <v>0</v>
      </c>
      <c r="AO952" s="57">
        <f>IFERROR(IF($V952="BRAND.com",HLOOKUP($X952&amp;$Z952,NWC_FC_NOOS!$T$4:$AH$23,MATCH(W952,NWC_FC_NOOS!$S$4:$S$23,0),FALSE),0),0)</f>
        <v>0</v>
      </c>
      <c r="AP952" s="57">
        <f>IFERROR(IF($V952="BRAND.com",HLOOKUP($X952&amp;$Z952,NWC_FC_NOOS!$C$50:$U$69,MATCH(W952,NWC_FC_NOOS!$B$50:$B$69,0),FALSE),0),0)</f>
        <v>0</v>
      </c>
      <c r="AQ952" s="58">
        <f>IFERROR(IF($V952="BRAND.com",HLOOKUP($X952&amp;$Z952,'NWC_FC_NON-NOOS'!$C$4:$Q$23,MATCH(W952,'NWC_FC_NON-NOOS'!$B$4:$B$23,0),FALSE),0),0)</f>
        <v>0</v>
      </c>
      <c r="AR952" s="57">
        <f>IFERROR(IF($V952="BRAND.com",HLOOKUP($X952&amp;$Z952,'NWC_FC_NON-NOOS'!$T$4:$AH$23,MATCH(W952,'NWC_FC_NON-NOOS'!$S$4:$S$23,0),FALSE),0),0)</f>
        <v>0</v>
      </c>
      <c r="AS952" s="57">
        <f>IFERROR(IF($V952="BRAND.com",HLOOKUP($X952&amp;$Z952,'NWC_FC_NON-NOOS'!$C$50:$U$69,MATCH(W952,'NWC_FC_NON-NOOS'!$B$50:$B$69,0),FALSE),0),0)</f>
        <v>0</v>
      </c>
      <c r="AT952" s="57">
        <f t="shared" si="362"/>
        <v>0</v>
      </c>
      <c r="AU952" s="57">
        <f t="shared" si="363"/>
        <v>0</v>
      </c>
      <c r="AV952" s="58">
        <f>IFERROR(IF($V952="BRAND.com",HLOOKUP($X952&amp;$Z952,PLANNING_FC!$BB$27:$BP$46,MATCH($W952,PLANNING_FC!$BA$27:$BA$46,0),FALSE),0),0)</f>
        <v>0</v>
      </c>
      <c r="AW952" s="58">
        <f>IFERROR(IF($V952="BRAND.com",HLOOKUP($X952&amp;$Z952,PLANNING_FC!$BB$4:$BP$23,MATCH($W952,PLANNING_FC!$BA$4:$BA$23,0),FALSE),0),0)</f>
        <v>0</v>
      </c>
      <c r="AX952" s="58">
        <f>IFERROR(IF($V952="BRAND.com",HLOOKUP($X952&amp;$Z952,PLANNING_FC!$T$27:$AH$46,MATCH($W952,PLANNING_FC!$B$27:$B$46,0),FALSE),0),0)</f>
        <v>0</v>
      </c>
      <c r="AY952" s="58">
        <f>IFERROR(IF($V952="BRAND.com",HLOOKUP($X952&amp;$Z952,PLANNING_FC!$T$4:$AH$23,MATCH($W952,PLANNING_FC!$B$4:$B$23,0),FALSE),0),0)</f>
        <v>0</v>
      </c>
      <c r="AZ952" s="58">
        <f>IFERROR(IF($V952="BRAND.com",HLOOKUP($X952&amp;$Z952,PLANNING_FC!$DA$27:$DO$46,MATCH($W952,PLANNING_FC!$CZ$27:$CZ$46,0),FALSE),0),0)</f>
        <v>0</v>
      </c>
      <c r="BA952" s="58">
        <f>IFERROR(IF($V952="BRAND.com",HLOOKUP($X952&amp;$Z952,PLANNING_FC!$DA$4:$DO$23,MATCH($W952,PLANNING_FC!$CZ$4:$CZ$23,0),FALSE),0),0)</f>
        <v>0</v>
      </c>
      <c r="BB952" s="883" t="str">
        <f>IF(V952="BRAND.com",IFERROR(HLOOKUP(X952&amp;Z952,PLANNING_FC!$AK$4:$AY$23,MATCH(W952,PLANNING_FC!$AJ$4:$AJ$23,0),FALSE)*1000,""),"")</f>
        <v/>
      </c>
      <c r="BC952" s="883" t="str">
        <f>IF(V952="BRAND.com",IFERROR(HLOOKUP(X952&amp;Z952,PLANNING_FC!$AK$27:$AY$46,MATCH(W952,PLANNING_FC!$AJ$27:$AJ$46,0),FALSE)*1000,""),"")</f>
        <v/>
      </c>
    </row>
    <row r="953" spans="14:55" x14ac:dyDescent="0.25">
      <c r="N953" s="56">
        <f t="shared" si="344"/>
        <v>0</v>
      </c>
      <c r="O953" s="57">
        <f t="shared" si="345"/>
        <v>0</v>
      </c>
      <c r="P953" s="57">
        <f ca="1">IFERROR(IF(ISBLANK(H953),SUMIFS($AC:$AC,$V:$V,V953,$W:$W,W953,$X:$X,X953,$Y:$Y,Y953)*J953/(1-J953)*VLOOKUP(_xlfn.CONCAT(C953,D953,E953,TIME!$M$12,Z953),HIS_SALES!$B$2:$W$4859,20,FALSE),AC953*J953/(1-J953)),0)</f>
        <v>0</v>
      </c>
      <c r="Q953" s="541" t="str">
        <f t="shared" si="346"/>
        <v/>
      </c>
      <c r="R953" s="346" t="str">
        <f t="shared" si="347"/>
        <v>00000</v>
      </c>
      <c r="S953" s="344">
        <f t="shared" si="348"/>
        <v>0</v>
      </c>
      <c r="T953" s="345" t="str">
        <f t="shared" si="361"/>
        <v>000</v>
      </c>
      <c r="U953" s="345">
        <f t="shared" si="349"/>
        <v>0</v>
      </c>
      <c r="V953" s="345">
        <f t="shared" si="350"/>
        <v>0</v>
      </c>
      <c r="W953" s="345">
        <f t="shared" si="351"/>
        <v>0</v>
      </c>
      <c r="X953" s="345">
        <f t="shared" si="352"/>
        <v>0</v>
      </c>
      <c r="Y953" s="345">
        <f t="shared" si="353"/>
        <v>0</v>
      </c>
      <c r="Z953" s="345">
        <f>IF(Q953&lt;&gt;"",VLOOKUP(Y953,TIME!$R$21:$V$24,MATCH(FC_DATA!Q953,TIME!$R$20:$V$20,0),FALSE),H953)</f>
        <v>0</v>
      </c>
      <c r="AA953" s="345" t="str">
        <f>IFERROR(VLOOKUP(X953&amp;Z953,TIME!$A$12:$D$71,4,FALSE),"")</f>
        <v/>
      </c>
      <c r="AB953" s="592">
        <f t="shared" ca="1" si="354"/>
        <v>0</v>
      </c>
      <c r="AC953" s="593" t="e">
        <f ca="1">IF(ISBLANK(H953)=FALSE,IF(D953="BRAND.com",I953,IF(ISNA(VLOOKUP(_xlfn.CONCAT(X953,Z953),TIME!$M$40:$M$42,1,FALSE)),I953,VLOOKUP(_xlfn.CONCAT(D953,G953,H953),M_BUSAREA_FC!$AF$5:$AJ$10,5,FALSE)*HLOOKUP(_xlfn.CONCAT(F953,H953),ST_OVERVIEW!$G$99:$I$130,MATCH(_xlfn.CONCAT(D953,E953),ST_OVERVIEW!$F$99:$F$130,0),FALSE))),IF(D953="BRAND.com",VLOOKUP(_xlfn.CONCAT(C953,D953,E953,TIME!$F$1,Z953),HIS_SALES!$B$2:$V$4859,19,FALSE)*I953,VLOOKUP(_xlfn.CONCAT(D953,F953,G953),Q_BUSAREA_FC!$AE$5:$AI$12,5,FALSE)*HLOOKUP(_xlfn.CONCAT(FC_DATA!F953,FC_DATA!G953),LT_OVERVIEW!$I$99:$M$130,MATCH(_xlfn.CONCAT(D953,FC_DATA!E953),LT_OVERVIEW!$H$99:$H$130,0),FALSE)*IFERROR(VLOOKUP(_xlfn.CONCAT(C953,D953,E953,TIME!$F$1,Z953),HIS_SALES!$B$2:$V$4859,19,FALSE),0)))</f>
        <v>#N/A</v>
      </c>
      <c r="AD953" s="341">
        <f t="shared" ca="1" si="355"/>
        <v>0</v>
      </c>
      <c r="AE953" s="363" t="str">
        <f t="shared" si="356"/>
        <v/>
      </c>
      <c r="AF953" s="342" t="str">
        <f t="shared" si="357"/>
        <v/>
      </c>
      <c r="AG953" s="411" t="e">
        <f ca="1">VLOOKUP(_xlfn.CONCAT(U953,V953,W953,VLOOKUP(X953&amp;Y953,TIME!$L$27:$O$34,4,FALSE),Y953),HIS_SALES!$A$2:$R$5093,18,FALSE)</f>
        <v>#N/A</v>
      </c>
      <c r="AH953" s="412" t="e">
        <f ca="1">IFERROR(IF(AND(V953=V952,W953=W952),0.5*(AB953+AB952)*AG953,(VLOOKUP(_xlfn.CONCAT(U953,V953,W953,X953,VLOOKUP(Z953,TIME!$S$28:$T$39,2,FALSE)),FC_DATA!$R$2:$AB$5000,MATCH("GS_I_M",FC_DATA!$R$1:$AB$1,0),FALSE)+FC_DATA!AB953)*0.5*FC_DATA!AG953),NA())</f>
        <v>#N/A</v>
      </c>
      <c r="AI953" s="491" t="e">
        <f ca="1">IF(V953="PARTNER.com",AH953,IF(AND(V953=V952,W953=W952),(1-AVERAGE(AD952,AD953))*AH953,(1-AVERAGE(AD953,VLOOKUP(_xlfn.CONCAT(U953,V953,W953,X953,M_BRAND_FC!$F$6),FC_DATA!$R$2:$AD$5000,MATCH("DISCOUNT_%_M",FC_DATA!$R$1:$AD$1,0),FALSE)))*AH953))</f>
        <v>#N/A</v>
      </c>
      <c r="AJ953" s="412" t="str">
        <f t="shared" ca="1" si="358"/>
        <v/>
      </c>
      <c r="AK953" s="413" t="str">
        <f>IFERROR(AE953/(Q_BRAND_FC!$T$24+1),"")</f>
        <v/>
      </c>
      <c r="AL953" s="88" t="str">
        <f t="shared" ca="1" si="359"/>
        <v/>
      </c>
      <c r="AM953" s="414" t="str">
        <f t="shared" ca="1" si="360"/>
        <v/>
      </c>
      <c r="AN953" s="58">
        <f>IFERROR(IF($V953="BRAND.com",HLOOKUP($X953&amp;$Z953,NWC_FC_NOOS!$C$4:$Q$23,MATCH(W953,NWC_FC_NOOS!$B$4:$B$23,0),FALSE),0),0)</f>
        <v>0</v>
      </c>
      <c r="AO953" s="57">
        <f>IFERROR(IF($V953="BRAND.com",HLOOKUP($X953&amp;$Z953,NWC_FC_NOOS!$T$4:$AH$23,MATCH(W953,NWC_FC_NOOS!$S$4:$S$23,0),FALSE),0),0)</f>
        <v>0</v>
      </c>
      <c r="AP953" s="57">
        <f>IFERROR(IF($V953="BRAND.com",HLOOKUP($X953&amp;$Z953,NWC_FC_NOOS!$C$50:$U$69,MATCH(W953,NWC_FC_NOOS!$B$50:$B$69,0),FALSE),0),0)</f>
        <v>0</v>
      </c>
      <c r="AQ953" s="58">
        <f>IFERROR(IF($V953="BRAND.com",HLOOKUP($X953&amp;$Z953,'NWC_FC_NON-NOOS'!$C$4:$Q$23,MATCH(W953,'NWC_FC_NON-NOOS'!$B$4:$B$23,0),FALSE),0),0)</f>
        <v>0</v>
      </c>
      <c r="AR953" s="57">
        <f>IFERROR(IF($V953="BRAND.com",HLOOKUP($X953&amp;$Z953,'NWC_FC_NON-NOOS'!$T$4:$AH$23,MATCH(W953,'NWC_FC_NON-NOOS'!$S$4:$S$23,0),FALSE),0),0)</f>
        <v>0</v>
      </c>
      <c r="AS953" s="57">
        <f>IFERROR(IF($V953="BRAND.com",HLOOKUP($X953&amp;$Z953,'NWC_FC_NON-NOOS'!$C$50:$U$69,MATCH(W953,'NWC_FC_NON-NOOS'!$B$50:$B$69,0),FALSE),0),0)</f>
        <v>0</v>
      </c>
      <c r="AT953" s="57">
        <f t="shared" si="362"/>
        <v>0</v>
      </c>
      <c r="AU953" s="57">
        <f t="shared" si="363"/>
        <v>0</v>
      </c>
      <c r="AV953" s="58">
        <f>IFERROR(IF($V953="BRAND.com",HLOOKUP($X953&amp;$Z953,PLANNING_FC!$BB$27:$BP$46,MATCH($W953,PLANNING_FC!$BA$27:$BA$46,0),FALSE),0),0)</f>
        <v>0</v>
      </c>
      <c r="AW953" s="58">
        <f>IFERROR(IF($V953="BRAND.com",HLOOKUP($X953&amp;$Z953,PLANNING_FC!$BB$4:$BP$23,MATCH($W953,PLANNING_FC!$BA$4:$BA$23,0),FALSE),0),0)</f>
        <v>0</v>
      </c>
      <c r="AX953" s="58">
        <f>IFERROR(IF($V953="BRAND.com",HLOOKUP($X953&amp;$Z953,PLANNING_FC!$T$27:$AH$46,MATCH($W953,PLANNING_FC!$B$27:$B$46,0),FALSE),0),0)</f>
        <v>0</v>
      </c>
      <c r="AY953" s="58">
        <f>IFERROR(IF($V953="BRAND.com",HLOOKUP($X953&amp;$Z953,PLANNING_FC!$T$4:$AH$23,MATCH($W953,PLANNING_FC!$B$4:$B$23,0),FALSE),0),0)</f>
        <v>0</v>
      </c>
      <c r="AZ953" s="58">
        <f>IFERROR(IF($V953="BRAND.com",HLOOKUP($X953&amp;$Z953,PLANNING_FC!$DA$27:$DO$46,MATCH($W953,PLANNING_FC!$CZ$27:$CZ$46,0),FALSE),0),0)</f>
        <v>0</v>
      </c>
      <c r="BA953" s="58">
        <f>IFERROR(IF($V953="BRAND.com",HLOOKUP($X953&amp;$Z953,PLANNING_FC!$DA$4:$DO$23,MATCH($W953,PLANNING_FC!$CZ$4:$CZ$23,0),FALSE),0),0)</f>
        <v>0</v>
      </c>
      <c r="BB953" s="883" t="str">
        <f>IF(V953="BRAND.com",IFERROR(HLOOKUP(X953&amp;Z953,PLANNING_FC!$AK$4:$AY$23,MATCH(W953,PLANNING_FC!$AJ$4:$AJ$23,0),FALSE)*1000,""),"")</f>
        <v/>
      </c>
      <c r="BC953" s="883" t="str">
        <f>IF(V953="BRAND.com",IFERROR(HLOOKUP(X953&amp;Z953,PLANNING_FC!$AK$27:$AY$46,MATCH(W953,PLANNING_FC!$AJ$27:$AJ$46,0),FALSE)*1000,""),"")</f>
        <v/>
      </c>
    </row>
    <row r="954" spans="14:55" x14ac:dyDescent="0.25">
      <c r="N954" s="56">
        <f t="shared" si="344"/>
        <v>0</v>
      </c>
      <c r="O954" s="57">
        <f t="shared" si="345"/>
        <v>0</v>
      </c>
      <c r="P954" s="57">
        <f ca="1">IFERROR(IF(ISBLANK(H954),SUMIFS($AC:$AC,$V:$V,V954,$W:$W,W954,$X:$X,X954,$Y:$Y,Y954)*J954/(1-J954)*VLOOKUP(_xlfn.CONCAT(C954,D954,E954,TIME!$M$12,Z954),HIS_SALES!$B$2:$W$4859,20,FALSE),AC954*J954/(1-J954)),0)</f>
        <v>0</v>
      </c>
      <c r="Q954" s="541" t="str">
        <f t="shared" si="346"/>
        <v/>
      </c>
      <c r="R954" s="346" t="str">
        <f t="shared" si="347"/>
        <v>00000</v>
      </c>
      <c r="S954" s="344">
        <f t="shared" si="348"/>
        <v>0</v>
      </c>
      <c r="T954" s="345" t="str">
        <f t="shared" si="361"/>
        <v>000</v>
      </c>
      <c r="U954" s="345">
        <f t="shared" si="349"/>
        <v>0</v>
      </c>
      <c r="V954" s="345">
        <f t="shared" si="350"/>
        <v>0</v>
      </c>
      <c r="W954" s="345">
        <f t="shared" si="351"/>
        <v>0</v>
      </c>
      <c r="X954" s="345">
        <f t="shared" si="352"/>
        <v>0</v>
      </c>
      <c r="Y954" s="345">
        <f t="shared" si="353"/>
        <v>0</v>
      </c>
      <c r="Z954" s="345">
        <f>IF(Q954&lt;&gt;"",VLOOKUP(Y954,TIME!$R$21:$V$24,MATCH(FC_DATA!Q954,TIME!$R$20:$V$20,0),FALSE),H954)</f>
        <v>0</v>
      </c>
      <c r="AA954" s="345" t="str">
        <f>IFERROR(VLOOKUP(X954&amp;Z954,TIME!$A$12:$D$71,4,FALSE),"")</f>
        <v/>
      </c>
      <c r="AB954" s="592">
        <f t="shared" ca="1" si="354"/>
        <v>0</v>
      </c>
      <c r="AC954" s="593" t="e">
        <f ca="1">IF(ISBLANK(H954)=FALSE,IF(D954="BRAND.com",I954,IF(ISNA(VLOOKUP(_xlfn.CONCAT(X954,Z954),TIME!$M$40:$M$42,1,FALSE)),I954,VLOOKUP(_xlfn.CONCAT(D954,G954,H954),M_BUSAREA_FC!$AF$5:$AJ$10,5,FALSE)*HLOOKUP(_xlfn.CONCAT(F954,H954),ST_OVERVIEW!$G$99:$I$130,MATCH(_xlfn.CONCAT(D954,E954),ST_OVERVIEW!$F$99:$F$130,0),FALSE))),IF(D954="BRAND.com",VLOOKUP(_xlfn.CONCAT(C954,D954,E954,TIME!$F$1,Z954),HIS_SALES!$B$2:$V$4859,19,FALSE)*I954,VLOOKUP(_xlfn.CONCAT(D954,F954,G954),Q_BUSAREA_FC!$AE$5:$AI$12,5,FALSE)*HLOOKUP(_xlfn.CONCAT(FC_DATA!F954,FC_DATA!G954),LT_OVERVIEW!$I$99:$M$130,MATCH(_xlfn.CONCAT(D954,FC_DATA!E954),LT_OVERVIEW!$H$99:$H$130,0),FALSE)*IFERROR(VLOOKUP(_xlfn.CONCAT(C954,D954,E954,TIME!$F$1,Z954),HIS_SALES!$B$2:$V$4859,19,FALSE),0)))</f>
        <v>#N/A</v>
      </c>
      <c r="AD954" s="341">
        <f t="shared" ca="1" si="355"/>
        <v>0</v>
      </c>
      <c r="AE954" s="363" t="str">
        <f t="shared" si="356"/>
        <v/>
      </c>
      <c r="AF954" s="342" t="str">
        <f t="shared" si="357"/>
        <v/>
      </c>
      <c r="AG954" s="411" t="e">
        <f ca="1">VLOOKUP(_xlfn.CONCAT(U954,V954,W954,VLOOKUP(X954&amp;Y954,TIME!$L$27:$O$34,4,FALSE),Y954),HIS_SALES!$A$2:$R$5093,18,FALSE)</f>
        <v>#N/A</v>
      </c>
      <c r="AH954" s="412" t="e">
        <f ca="1">IFERROR(IF(AND(V954=V953,W954=W953),0.5*(AB954+AB953)*AG954,(VLOOKUP(_xlfn.CONCAT(U954,V954,W954,X954,VLOOKUP(Z954,TIME!$S$28:$T$39,2,FALSE)),FC_DATA!$R$2:$AB$5000,MATCH("GS_I_M",FC_DATA!$R$1:$AB$1,0),FALSE)+FC_DATA!AB954)*0.5*FC_DATA!AG954),NA())</f>
        <v>#N/A</v>
      </c>
      <c r="AI954" s="491" t="e">
        <f ca="1">IF(V954="PARTNER.com",AH954,IF(AND(V954=V953,W954=W953),(1-AVERAGE(AD953,AD954))*AH954,(1-AVERAGE(AD954,VLOOKUP(_xlfn.CONCAT(U954,V954,W954,X954,M_BRAND_FC!$F$6),FC_DATA!$R$2:$AD$5000,MATCH("DISCOUNT_%_M",FC_DATA!$R$1:$AD$1,0),FALSE)))*AH954))</f>
        <v>#N/A</v>
      </c>
      <c r="AJ954" s="412" t="str">
        <f t="shared" ca="1" si="358"/>
        <v/>
      </c>
      <c r="AK954" s="413" t="str">
        <f>IFERROR(AE954/(Q_BRAND_FC!$T$24+1),"")</f>
        <v/>
      </c>
      <c r="AL954" s="88" t="str">
        <f t="shared" ca="1" si="359"/>
        <v/>
      </c>
      <c r="AM954" s="414" t="str">
        <f t="shared" ca="1" si="360"/>
        <v/>
      </c>
      <c r="AN954" s="58">
        <f>IFERROR(IF($V954="BRAND.com",HLOOKUP($X954&amp;$Z954,NWC_FC_NOOS!$C$4:$Q$23,MATCH(W954,NWC_FC_NOOS!$B$4:$B$23,0),FALSE),0),0)</f>
        <v>0</v>
      </c>
      <c r="AO954" s="57">
        <f>IFERROR(IF($V954="BRAND.com",HLOOKUP($X954&amp;$Z954,NWC_FC_NOOS!$T$4:$AH$23,MATCH(W954,NWC_FC_NOOS!$S$4:$S$23,0),FALSE),0),0)</f>
        <v>0</v>
      </c>
      <c r="AP954" s="57">
        <f>IFERROR(IF($V954="BRAND.com",HLOOKUP($X954&amp;$Z954,NWC_FC_NOOS!$C$50:$U$69,MATCH(W954,NWC_FC_NOOS!$B$50:$B$69,0),FALSE),0),0)</f>
        <v>0</v>
      </c>
      <c r="AQ954" s="58">
        <f>IFERROR(IF($V954="BRAND.com",HLOOKUP($X954&amp;$Z954,'NWC_FC_NON-NOOS'!$C$4:$Q$23,MATCH(W954,'NWC_FC_NON-NOOS'!$B$4:$B$23,0),FALSE),0),0)</f>
        <v>0</v>
      </c>
      <c r="AR954" s="57">
        <f>IFERROR(IF($V954="BRAND.com",HLOOKUP($X954&amp;$Z954,'NWC_FC_NON-NOOS'!$T$4:$AH$23,MATCH(W954,'NWC_FC_NON-NOOS'!$S$4:$S$23,0),FALSE),0),0)</f>
        <v>0</v>
      </c>
      <c r="AS954" s="57">
        <f>IFERROR(IF($V954="BRAND.com",HLOOKUP($X954&amp;$Z954,'NWC_FC_NON-NOOS'!$C$50:$U$69,MATCH(W954,'NWC_FC_NON-NOOS'!$B$50:$B$69,0),FALSE),0),0)</f>
        <v>0</v>
      </c>
      <c r="AT954" s="57">
        <f t="shared" si="362"/>
        <v>0</v>
      </c>
      <c r="AU954" s="57">
        <f t="shared" si="363"/>
        <v>0</v>
      </c>
      <c r="AV954" s="58">
        <f>IFERROR(IF($V954="BRAND.com",HLOOKUP($X954&amp;$Z954,PLANNING_FC!$BB$27:$BP$46,MATCH($W954,PLANNING_FC!$BA$27:$BA$46,0),FALSE),0),0)</f>
        <v>0</v>
      </c>
      <c r="AW954" s="58">
        <f>IFERROR(IF($V954="BRAND.com",HLOOKUP($X954&amp;$Z954,PLANNING_FC!$BB$4:$BP$23,MATCH($W954,PLANNING_FC!$BA$4:$BA$23,0),FALSE),0),0)</f>
        <v>0</v>
      </c>
      <c r="AX954" s="58">
        <f>IFERROR(IF($V954="BRAND.com",HLOOKUP($X954&amp;$Z954,PLANNING_FC!$T$27:$AH$46,MATCH($W954,PLANNING_FC!$B$27:$B$46,0),FALSE),0),0)</f>
        <v>0</v>
      </c>
      <c r="AY954" s="58">
        <f>IFERROR(IF($V954="BRAND.com",HLOOKUP($X954&amp;$Z954,PLANNING_FC!$T$4:$AH$23,MATCH($W954,PLANNING_FC!$B$4:$B$23,0),FALSE),0),0)</f>
        <v>0</v>
      </c>
      <c r="AZ954" s="58">
        <f>IFERROR(IF($V954="BRAND.com",HLOOKUP($X954&amp;$Z954,PLANNING_FC!$DA$27:$DO$46,MATCH($W954,PLANNING_FC!$CZ$27:$CZ$46,0),FALSE),0),0)</f>
        <v>0</v>
      </c>
      <c r="BA954" s="58">
        <f>IFERROR(IF($V954="BRAND.com",HLOOKUP($X954&amp;$Z954,PLANNING_FC!$DA$4:$DO$23,MATCH($W954,PLANNING_FC!$CZ$4:$CZ$23,0),FALSE),0),0)</f>
        <v>0</v>
      </c>
      <c r="BB954" s="883" t="str">
        <f>IF(V954="BRAND.com",IFERROR(HLOOKUP(X954&amp;Z954,PLANNING_FC!$AK$4:$AY$23,MATCH(W954,PLANNING_FC!$AJ$4:$AJ$23,0),FALSE)*1000,""),"")</f>
        <v/>
      </c>
      <c r="BC954" s="883" t="str">
        <f>IF(V954="BRAND.com",IFERROR(HLOOKUP(X954&amp;Z954,PLANNING_FC!$AK$27:$AY$46,MATCH(W954,PLANNING_FC!$AJ$27:$AJ$46,0),FALSE)*1000,""),"")</f>
        <v/>
      </c>
    </row>
    <row r="955" spans="14:55" x14ac:dyDescent="0.25">
      <c r="N955" s="56">
        <f t="shared" si="344"/>
        <v>0</v>
      </c>
      <c r="O955" s="57">
        <f t="shared" si="345"/>
        <v>0</v>
      </c>
      <c r="P955" s="57">
        <f ca="1">IFERROR(IF(ISBLANK(H955),SUMIFS($AC:$AC,$V:$V,V955,$W:$W,W955,$X:$X,X955,$Y:$Y,Y955)*J955/(1-J955)*VLOOKUP(_xlfn.CONCAT(C955,D955,E955,TIME!$M$12,Z955),HIS_SALES!$B$2:$W$4859,20,FALSE),AC955*J955/(1-J955)),0)</f>
        <v>0</v>
      </c>
      <c r="Q955" s="541" t="str">
        <f t="shared" si="346"/>
        <v/>
      </c>
      <c r="R955" s="346" t="str">
        <f t="shared" si="347"/>
        <v>00000</v>
      </c>
      <c r="S955" s="344">
        <f t="shared" si="348"/>
        <v>0</v>
      </c>
      <c r="T955" s="345" t="str">
        <f t="shared" si="361"/>
        <v>000</v>
      </c>
      <c r="U955" s="345">
        <f t="shared" si="349"/>
        <v>0</v>
      </c>
      <c r="V955" s="345">
        <f t="shared" si="350"/>
        <v>0</v>
      </c>
      <c r="W955" s="345">
        <f t="shared" si="351"/>
        <v>0</v>
      </c>
      <c r="X955" s="345">
        <f t="shared" si="352"/>
        <v>0</v>
      </c>
      <c r="Y955" s="345">
        <f t="shared" si="353"/>
        <v>0</v>
      </c>
      <c r="Z955" s="345">
        <f>IF(Q955&lt;&gt;"",VLOOKUP(Y955,TIME!$R$21:$V$24,MATCH(FC_DATA!Q955,TIME!$R$20:$V$20,0),FALSE),H955)</f>
        <v>0</v>
      </c>
      <c r="AA955" s="345" t="str">
        <f>IFERROR(VLOOKUP(X955&amp;Z955,TIME!$A$12:$D$71,4,FALSE),"")</f>
        <v/>
      </c>
      <c r="AB955" s="592">
        <f t="shared" ca="1" si="354"/>
        <v>0</v>
      </c>
      <c r="AC955" s="593" t="e">
        <f ca="1">IF(ISBLANK(H955)=FALSE,IF(D955="BRAND.com",I955,IF(ISNA(VLOOKUP(_xlfn.CONCAT(X955,Z955),TIME!$M$40:$M$42,1,FALSE)),I955,VLOOKUP(_xlfn.CONCAT(D955,G955,H955),M_BUSAREA_FC!$AF$5:$AJ$10,5,FALSE)*HLOOKUP(_xlfn.CONCAT(F955,H955),ST_OVERVIEW!$G$99:$I$130,MATCH(_xlfn.CONCAT(D955,E955),ST_OVERVIEW!$F$99:$F$130,0),FALSE))),IF(D955="BRAND.com",VLOOKUP(_xlfn.CONCAT(C955,D955,E955,TIME!$F$1,Z955),HIS_SALES!$B$2:$V$4859,19,FALSE)*I955,VLOOKUP(_xlfn.CONCAT(D955,F955,G955),Q_BUSAREA_FC!$AE$5:$AI$12,5,FALSE)*HLOOKUP(_xlfn.CONCAT(FC_DATA!F955,FC_DATA!G955),LT_OVERVIEW!$I$99:$M$130,MATCH(_xlfn.CONCAT(D955,FC_DATA!E955),LT_OVERVIEW!$H$99:$H$130,0),FALSE)*IFERROR(VLOOKUP(_xlfn.CONCAT(C955,D955,E955,TIME!$F$1,Z955),HIS_SALES!$B$2:$V$4859,19,FALSE),0)))</f>
        <v>#N/A</v>
      </c>
      <c r="AD955" s="341">
        <f t="shared" ca="1" si="355"/>
        <v>0</v>
      </c>
      <c r="AE955" s="363" t="str">
        <f t="shared" si="356"/>
        <v/>
      </c>
      <c r="AF955" s="342" t="str">
        <f t="shared" si="357"/>
        <v/>
      </c>
      <c r="AG955" s="411" t="e">
        <f ca="1">VLOOKUP(_xlfn.CONCAT(U955,V955,W955,VLOOKUP(X955&amp;Y955,TIME!$L$27:$O$34,4,FALSE),Y955),HIS_SALES!$A$2:$R$5093,18,FALSE)</f>
        <v>#N/A</v>
      </c>
      <c r="AH955" s="412" t="e">
        <f ca="1">IFERROR(IF(AND(V955=V954,W955=W954),0.5*(AB955+AB954)*AG955,(VLOOKUP(_xlfn.CONCAT(U955,V955,W955,X955,VLOOKUP(Z955,TIME!$S$28:$T$39,2,FALSE)),FC_DATA!$R$2:$AB$5000,MATCH("GS_I_M",FC_DATA!$R$1:$AB$1,0),FALSE)+FC_DATA!AB955)*0.5*FC_DATA!AG955),NA())</f>
        <v>#N/A</v>
      </c>
      <c r="AI955" s="491" t="e">
        <f ca="1">IF(V955="PARTNER.com",AH955,IF(AND(V955=V954,W955=W954),(1-AVERAGE(AD954,AD955))*AH955,(1-AVERAGE(AD955,VLOOKUP(_xlfn.CONCAT(U955,V955,W955,X955,M_BRAND_FC!$F$6),FC_DATA!$R$2:$AD$5000,MATCH("DISCOUNT_%_M",FC_DATA!$R$1:$AD$1,0),FALSE)))*AH955))</f>
        <v>#N/A</v>
      </c>
      <c r="AJ955" s="412" t="str">
        <f t="shared" ca="1" si="358"/>
        <v/>
      </c>
      <c r="AK955" s="413" t="str">
        <f>IFERROR(AE955/(Q_BRAND_FC!$T$24+1),"")</f>
        <v/>
      </c>
      <c r="AL955" s="88" t="str">
        <f t="shared" ca="1" si="359"/>
        <v/>
      </c>
      <c r="AM955" s="414" t="str">
        <f t="shared" ca="1" si="360"/>
        <v/>
      </c>
      <c r="AN955" s="58">
        <f>IFERROR(IF($V955="BRAND.com",HLOOKUP($X955&amp;$Z955,NWC_FC_NOOS!$C$4:$Q$23,MATCH(W955,NWC_FC_NOOS!$B$4:$B$23,0),FALSE),0),0)</f>
        <v>0</v>
      </c>
      <c r="AO955" s="57">
        <f>IFERROR(IF($V955="BRAND.com",HLOOKUP($X955&amp;$Z955,NWC_FC_NOOS!$T$4:$AH$23,MATCH(W955,NWC_FC_NOOS!$S$4:$S$23,0),FALSE),0),0)</f>
        <v>0</v>
      </c>
      <c r="AP955" s="57">
        <f>IFERROR(IF($V955="BRAND.com",HLOOKUP($X955&amp;$Z955,NWC_FC_NOOS!$C$50:$U$69,MATCH(W955,NWC_FC_NOOS!$B$50:$B$69,0),FALSE),0),0)</f>
        <v>0</v>
      </c>
      <c r="AQ955" s="58">
        <f>IFERROR(IF($V955="BRAND.com",HLOOKUP($X955&amp;$Z955,'NWC_FC_NON-NOOS'!$C$4:$Q$23,MATCH(W955,'NWC_FC_NON-NOOS'!$B$4:$B$23,0),FALSE),0),0)</f>
        <v>0</v>
      </c>
      <c r="AR955" s="57">
        <f>IFERROR(IF($V955="BRAND.com",HLOOKUP($X955&amp;$Z955,'NWC_FC_NON-NOOS'!$T$4:$AH$23,MATCH(W955,'NWC_FC_NON-NOOS'!$S$4:$S$23,0),FALSE),0),0)</f>
        <v>0</v>
      </c>
      <c r="AS955" s="57">
        <f>IFERROR(IF($V955="BRAND.com",HLOOKUP($X955&amp;$Z955,'NWC_FC_NON-NOOS'!$C$50:$U$69,MATCH(W955,'NWC_FC_NON-NOOS'!$B$50:$B$69,0),FALSE),0),0)</f>
        <v>0</v>
      </c>
      <c r="AT955" s="57">
        <f t="shared" si="362"/>
        <v>0</v>
      </c>
      <c r="AU955" s="57">
        <f t="shared" si="363"/>
        <v>0</v>
      </c>
      <c r="AV955" s="58">
        <f>IFERROR(IF($V955="BRAND.com",HLOOKUP($X955&amp;$Z955,PLANNING_FC!$BB$27:$BP$46,MATCH($W955,PLANNING_FC!$BA$27:$BA$46,0),FALSE),0),0)</f>
        <v>0</v>
      </c>
      <c r="AW955" s="58">
        <f>IFERROR(IF($V955="BRAND.com",HLOOKUP($X955&amp;$Z955,PLANNING_FC!$BB$4:$BP$23,MATCH($W955,PLANNING_FC!$BA$4:$BA$23,0),FALSE),0),0)</f>
        <v>0</v>
      </c>
      <c r="AX955" s="58">
        <f>IFERROR(IF($V955="BRAND.com",HLOOKUP($X955&amp;$Z955,PLANNING_FC!$T$27:$AH$46,MATCH($W955,PLANNING_FC!$B$27:$B$46,0),FALSE),0),0)</f>
        <v>0</v>
      </c>
      <c r="AY955" s="58">
        <f>IFERROR(IF($V955="BRAND.com",HLOOKUP($X955&amp;$Z955,PLANNING_FC!$T$4:$AH$23,MATCH($W955,PLANNING_FC!$B$4:$B$23,0),FALSE),0),0)</f>
        <v>0</v>
      </c>
      <c r="AZ955" s="58">
        <f>IFERROR(IF($V955="BRAND.com",HLOOKUP($X955&amp;$Z955,PLANNING_FC!$DA$27:$DO$46,MATCH($W955,PLANNING_FC!$CZ$27:$CZ$46,0),FALSE),0),0)</f>
        <v>0</v>
      </c>
      <c r="BA955" s="58">
        <f>IFERROR(IF($V955="BRAND.com",HLOOKUP($X955&amp;$Z955,PLANNING_FC!$DA$4:$DO$23,MATCH($W955,PLANNING_FC!$CZ$4:$CZ$23,0),FALSE),0),0)</f>
        <v>0</v>
      </c>
      <c r="BB955" s="883" t="str">
        <f>IF(V955="BRAND.com",IFERROR(HLOOKUP(X955&amp;Z955,PLANNING_FC!$AK$4:$AY$23,MATCH(W955,PLANNING_FC!$AJ$4:$AJ$23,0),FALSE)*1000,""),"")</f>
        <v/>
      </c>
      <c r="BC955" s="883" t="str">
        <f>IF(V955="BRAND.com",IFERROR(HLOOKUP(X955&amp;Z955,PLANNING_FC!$AK$27:$AY$46,MATCH(W955,PLANNING_FC!$AJ$27:$AJ$46,0),FALSE)*1000,""),"")</f>
        <v/>
      </c>
    </row>
    <row r="956" spans="14:55" x14ac:dyDescent="0.25">
      <c r="N956" s="56">
        <f t="shared" si="344"/>
        <v>0</v>
      </c>
      <c r="O956" s="57">
        <f t="shared" si="345"/>
        <v>0</v>
      </c>
      <c r="P956" s="57">
        <f ca="1">IFERROR(IF(ISBLANK(H956),SUMIFS($AC:$AC,$V:$V,V956,$W:$W,W956,$X:$X,X956,$Y:$Y,Y956)*J956/(1-J956)*VLOOKUP(_xlfn.CONCAT(C956,D956,E956,TIME!$M$12,Z956),HIS_SALES!$B$2:$W$4859,20,FALSE),AC956*J956/(1-J956)),0)</f>
        <v>0</v>
      </c>
      <c r="Q956" s="541" t="str">
        <f t="shared" si="346"/>
        <v/>
      </c>
      <c r="R956" s="346" t="str">
        <f t="shared" si="347"/>
        <v>00000</v>
      </c>
      <c r="S956" s="344">
        <f t="shared" si="348"/>
        <v>0</v>
      </c>
      <c r="T956" s="345" t="str">
        <f t="shared" si="361"/>
        <v>000</v>
      </c>
      <c r="U956" s="345">
        <f t="shared" si="349"/>
        <v>0</v>
      </c>
      <c r="V956" s="345">
        <f t="shared" si="350"/>
        <v>0</v>
      </c>
      <c r="W956" s="345">
        <f t="shared" si="351"/>
        <v>0</v>
      </c>
      <c r="X956" s="345">
        <f t="shared" si="352"/>
        <v>0</v>
      </c>
      <c r="Y956" s="345">
        <f t="shared" si="353"/>
        <v>0</v>
      </c>
      <c r="Z956" s="345">
        <f>IF(Q956&lt;&gt;"",VLOOKUP(Y956,TIME!$R$21:$V$24,MATCH(FC_DATA!Q956,TIME!$R$20:$V$20,0),FALSE),H956)</f>
        <v>0</v>
      </c>
      <c r="AA956" s="345" t="str">
        <f>IFERROR(VLOOKUP(X956&amp;Z956,TIME!$A$12:$D$71,4,FALSE),"")</f>
        <v/>
      </c>
      <c r="AB956" s="592">
        <f t="shared" ca="1" si="354"/>
        <v>0</v>
      </c>
      <c r="AC956" s="593" t="e">
        <f ca="1">IF(ISBLANK(H956)=FALSE,IF(D956="BRAND.com",I956,IF(ISNA(VLOOKUP(_xlfn.CONCAT(X956,Z956),TIME!$M$40:$M$42,1,FALSE)),I956,VLOOKUP(_xlfn.CONCAT(D956,G956,H956),M_BUSAREA_FC!$AF$5:$AJ$10,5,FALSE)*HLOOKUP(_xlfn.CONCAT(F956,H956),ST_OVERVIEW!$G$99:$I$130,MATCH(_xlfn.CONCAT(D956,E956),ST_OVERVIEW!$F$99:$F$130,0),FALSE))),IF(D956="BRAND.com",VLOOKUP(_xlfn.CONCAT(C956,D956,E956,TIME!$F$1,Z956),HIS_SALES!$B$2:$V$4859,19,FALSE)*I956,VLOOKUP(_xlfn.CONCAT(D956,F956,G956),Q_BUSAREA_FC!$AE$5:$AI$12,5,FALSE)*HLOOKUP(_xlfn.CONCAT(FC_DATA!F956,FC_DATA!G956),LT_OVERVIEW!$I$99:$M$130,MATCH(_xlfn.CONCAT(D956,FC_DATA!E956),LT_OVERVIEW!$H$99:$H$130,0),FALSE)*IFERROR(VLOOKUP(_xlfn.CONCAT(C956,D956,E956,TIME!$F$1,Z956),HIS_SALES!$B$2:$V$4859,19,FALSE),0)))</f>
        <v>#N/A</v>
      </c>
      <c r="AD956" s="341">
        <f t="shared" ca="1" si="355"/>
        <v>0</v>
      </c>
      <c r="AE956" s="363" t="str">
        <f t="shared" si="356"/>
        <v/>
      </c>
      <c r="AF956" s="342" t="str">
        <f t="shared" si="357"/>
        <v/>
      </c>
      <c r="AG956" s="411" t="e">
        <f ca="1">VLOOKUP(_xlfn.CONCAT(U956,V956,W956,VLOOKUP(X956&amp;Y956,TIME!$L$27:$O$34,4,FALSE),Y956),HIS_SALES!$A$2:$R$5093,18,FALSE)</f>
        <v>#N/A</v>
      </c>
      <c r="AH956" s="412" t="e">
        <f ca="1">IFERROR(IF(AND(V956=V955,W956=W955),0.5*(AB956+AB955)*AG956,(VLOOKUP(_xlfn.CONCAT(U956,V956,W956,X956,VLOOKUP(Z956,TIME!$S$28:$T$39,2,FALSE)),FC_DATA!$R$2:$AB$5000,MATCH("GS_I_M",FC_DATA!$R$1:$AB$1,0),FALSE)+FC_DATA!AB956)*0.5*FC_DATA!AG956),NA())</f>
        <v>#N/A</v>
      </c>
      <c r="AI956" s="491" t="e">
        <f ca="1">IF(V956="PARTNER.com",AH956,IF(AND(V956=V955,W956=W955),(1-AVERAGE(AD955,AD956))*AH956,(1-AVERAGE(AD956,VLOOKUP(_xlfn.CONCAT(U956,V956,W956,X956,M_BRAND_FC!$F$6),FC_DATA!$R$2:$AD$5000,MATCH("DISCOUNT_%_M",FC_DATA!$R$1:$AD$1,0),FALSE)))*AH956))</f>
        <v>#N/A</v>
      </c>
      <c r="AJ956" s="412" t="str">
        <f t="shared" ca="1" si="358"/>
        <v/>
      </c>
      <c r="AK956" s="413" t="str">
        <f>IFERROR(AE956/(Q_BRAND_FC!$T$24+1),"")</f>
        <v/>
      </c>
      <c r="AL956" s="88" t="str">
        <f t="shared" ca="1" si="359"/>
        <v/>
      </c>
      <c r="AM956" s="414" t="str">
        <f t="shared" ca="1" si="360"/>
        <v/>
      </c>
      <c r="AN956" s="58">
        <f>IFERROR(IF($V956="BRAND.com",HLOOKUP($X956&amp;$Z956,NWC_FC_NOOS!$C$4:$Q$23,MATCH(W956,NWC_FC_NOOS!$B$4:$B$23,0),FALSE),0),0)</f>
        <v>0</v>
      </c>
      <c r="AO956" s="57">
        <f>IFERROR(IF($V956="BRAND.com",HLOOKUP($X956&amp;$Z956,NWC_FC_NOOS!$T$4:$AH$23,MATCH(W956,NWC_FC_NOOS!$S$4:$S$23,0),FALSE),0),0)</f>
        <v>0</v>
      </c>
      <c r="AP956" s="57">
        <f>IFERROR(IF($V956="BRAND.com",HLOOKUP($X956&amp;$Z956,NWC_FC_NOOS!$C$50:$U$69,MATCH(W956,NWC_FC_NOOS!$B$50:$B$69,0),FALSE),0),0)</f>
        <v>0</v>
      </c>
      <c r="AQ956" s="58">
        <f>IFERROR(IF($V956="BRAND.com",HLOOKUP($X956&amp;$Z956,'NWC_FC_NON-NOOS'!$C$4:$Q$23,MATCH(W956,'NWC_FC_NON-NOOS'!$B$4:$B$23,0),FALSE),0),0)</f>
        <v>0</v>
      </c>
      <c r="AR956" s="57">
        <f>IFERROR(IF($V956="BRAND.com",HLOOKUP($X956&amp;$Z956,'NWC_FC_NON-NOOS'!$T$4:$AH$23,MATCH(W956,'NWC_FC_NON-NOOS'!$S$4:$S$23,0),FALSE),0),0)</f>
        <v>0</v>
      </c>
      <c r="AS956" s="57">
        <f>IFERROR(IF($V956="BRAND.com",HLOOKUP($X956&amp;$Z956,'NWC_FC_NON-NOOS'!$C$50:$U$69,MATCH(W956,'NWC_FC_NON-NOOS'!$B$50:$B$69,0),FALSE),0),0)</f>
        <v>0</v>
      </c>
      <c r="AT956" s="57">
        <f t="shared" si="362"/>
        <v>0</v>
      </c>
      <c r="AU956" s="57">
        <f t="shared" si="363"/>
        <v>0</v>
      </c>
      <c r="AV956" s="58">
        <f>IFERROR(IF($V956="BRAND.com",HLOOKUP($X956&amp;$Z956,PLANNING_FC!$BB$27:$BP$46,MATCH($W956,PLANNING_FC!$BA$27:$BA$46,0),FALSE),0),0)</f>
        <v>0</v>
      </c>
      <c r="AW956" s="58">
        <f>IFERROR(IF($V956="BRAND.com",HLOOKUP($X956&amp;$Z956,PLANNING_FC!$BB$4:$BP$23,MATCH($W956,PLANNING_FC!$BA$4:$BA$23,0),FALSE),0),0)</f>
        <v>0</v>
      </c>
      <c r="AX956" s="58">
        <f>IFERROR(IF($V956="BRAND.com",HLOOKUP($X956&amp;$Z956,PLANNING_FC!$T$27:$AH$46,MATCH($W956,PLANNING_FC!$B$27:$B$46,0),FALSE),0),0)</f>
        <v>0</v>
      </c>
      <c r="AY956" s="58">
        <f>IFERROR(IF($V956="BRAND.com",HLOOKUP($X956&amp;$Z956,PLANNING_FC!$T$4:$AH$23,MATCH($W956,PLANNING_FC!$B$4:$B$23,0),FALSE),0),0)</f>
        <v>0</v>
      </c>
      <c r="AZ956" s="58">
        <f>IFERROR(IF($V956="BRAND.com",HLOOKUP($X956&amp;$Z956,PLANNING_FC!$DA$27:$DO$46,MATCH($W956,PLANNING_FC!$CZ$27:$CZ$46,0),FALSE),0),0)</f>
        <v>0</v>
      </c>
      <c r="BA956" s="58">
        <f>IFERROR(IF($V956="BRAND.com",HLOOKUP($X956&amp;$Z956,PLANNING_FC!$DA$4:$DO$23,MATCH($W956,PLANNING_FC!$CZ$4:$CZ$23,0),FALSE),0),0)</f>
        <v>0</v>
      </c>
      <c r="BB956" s="883" t="str">
        <f>IF(V956="BRAND.com",IFERROR(HLOOKUP(X956&amp;Z956,PLANNING_FC!$AK$4:$AY$23,MATCH(W956,PLANNING_FC!$AJ$4:$AJ$23,0),FALSE)*1000,""),"")</f>
        <v/>
      </c>
      <c r="BC956" s="883" t="str">
        <f>IF(V956="BRAND.com",IFERROR(HLOOKUP(X956&amp;Z956,PLANNING_FC!$AK$27:$AY$46,MATCH(W956,PLANNING_FC!$AJ$27:$AJ$46,0),FALSE)*1000,""),"")</f>
        <v/>
      </c>
    </row>
    <row r="957" spans="14:55" x14ac:dyDescent="0.25">
      <c r="N957" s="56">
        <f t="shared" si="344"/>
        <v>0</v>
      </c>
      <c r="O957" s="57">
        <f t="shared" si="345"/>
        <v>0</v>
      </c>
      <c r="P957" s="57">
        <f ca="1">IFERROR(IF(ISBLANK(H957),SUMIFS($AC:$AC,$V:$V,V957,$W:$W,W957,$X:$X,X957,$Y:$Y,Y957)*J957/(1-J957)*VLOOKUP(_xlfn.CONCAT(C957,D957,E957,TIME!$M$12,Z957),HIS_SALES!$B$2:$W$4859,20,FALSE),AC957*J957/(1-J957)),0)</f>
        <v>0</v>
      </c>
      <c r="Q957" s="541" t="str">
        <f t="shared" si="346"/>
        <v/>
      </c>
      <c r="R957" s="346" t="str">
        <f t="shared" si="347"/>
        <v>00000</v>
      </c>
      <c r="S957" s="344">
        <f t="shared" si="348"/>
        <v>0</v>
      </c>
      <c r="T957" s="345" t="str">
        <f t="shared" si="361"/>
        <v>000</v>
      </c>
      <c r="U957" s="345">
        <f t="shared" si="349"/>
        <v>0</v>
      </c>
      <c r="V957" s="345">
        <f t="shared" si="350"/>
        <v>0</v>
      </c>
      <c r="W957" s="345">
        <f t="shared" si="351"/>
        <v>0</v>
      </c>
      <c r="X957" s="345">
        <f t="shared" si="352"/>
        <v>0</v>
      </c>
      <c r="Y957" s="345">
        <f t="shared" si="353"/>
        <v>0</v>
      </c>
      <c r="Z957" s="345">
        <f>IF(Q957&lt;&gt;"",VLOOKUP(Y957,TIME!$R$21:$V$24,MATCH(FC_DATA!Q957,TIME!$R$20:$V$20,0),FALSE),H957)</f>
        <v>0</v>
      </c>
      <c r="AA957" s="345" t="str">
        <f>IFERROR(VLOOKUP(X957&amp;Z957,TIME!$A$12:$D$71,4,FALSE),"")</f>
        <v/>
      </c>
      <c r="AB957" s="592">
        <f t="shared" ca="1" si="354"/>
        <v>0</v>
      </c>
      <c r="AC957" s="593" t="e">
        <f ca="1">IF(ISBLANK(H957)=FALSE,IF(D957="BRAND.com",I957,IF(ISNA(VLOOKUP(_xlfn.CONCAT(X957,Z957),TIME!$M$40:$M$42,1,FALSE)),I957,VLOOKUP(_xlfn.CONCAT(D957,G957,H957),M_BUSAREA_FC!$AF$5:$AJ$10,5,FALSE)*HLOOKUP(_xlfn.CONCAT(F957,H957),ST_OVERVIEW!$G$99:$I$130,MATCH(_xlfn.CONCAT(D957,E957),ST_OVERVIEW!$F$99:$F$130,0),FALSE))),IF(D957="BRAND.com",VLOOKUP(_xlfn.CONCAT(C957,D957,E957,TIME!$F$1,Z957),HIS_SALES!$B$2:$V$4859,19,FALSE)*I957,VLOOKUP(_xlfn.CONCAT(D957,F957,G957),Q_BUSAREA_FC!$AE$5:$AI$12,5,FALSE)*HLOOKUP(_xlfn.CONCAT(FC_DATA!F957,FC_DATA!G957),LT_OVERVIEW!$I$99:$M$130,MATCH(_xlfn.CONCAT(D957,FC_DATA!E957),LT_OVERVIEW!$H$99:$H$130,0),FALSE)*IFERROR(VLOOKUP(_xlfn.CONCAT(C957,D957,E957,TIME!$F$1,Z957),HIS_SALES!$B$2:$V$4859,19,FALSE),0)))</f>
        <v>#N/A</v>
      </c>
      <c r="AD957" s="341">
        <f t="shared" ca="1" si="355"/>
        <v>0</v>
      </c>
      <c r="AE957" s="363" t="str">
        <f t="shared" si="356"/>
        <v/>
      </c>
      <c r="AF957" s="342" t="str">
        <f t="shared" si="357"/>
        <v/>
      </c>
      <c r="AG957" s="411" t="e">
        <f ca="1">VLOOKUP(_xlfn.CONCAT(U957,V957,W957,VLOOKUP(X957&amp;Y957,TIME!$L$27:$O$34,4,FALSE),Y957),HIS_SALES!$A$2:$R$5093,18,FALSE)</f>
        <v>#N/A</v>
      </c>
      <c r="AH957" s="412" t="e">
        <f ca="1">IFERROR(IF(AND(V957=V956,W957=W956),0.5*(AB957+AB956)*AG957,(VLOOKUP(_xlfn.CONCAT(U957,V957,W957,X957,VLOOKUP(Z957,TIME!$S$28:$T$39,2,FALSE)),FC_DATA!$R$2:$AB$5000,MATCH("GS_I_M",FC_DATA!$R$1:$AB$1,0),FALSE)+FC_DATA!AB957)*0.5*FC_DATA!AG957),NA())</f>
        <v>#N/A</v>
      </c>
      <c r="AI957" s="491" t="e">
        <f ca="1">IF(V957="PARTNER.com",AH957,IF(AND(V957=V956,W957=W956),(1-AVERAGE(AD956,AD957))*AH957,(1-AVERAGE(AD957,VLOOKUP(_xlfn.CONCAT(U957,V957,W957,X957,M_BRAND_FC!$F$6),FC_DATA!$R$2:$AD$5000,MATCH("DISCOUNT_%_M",FC_DATA!$R$1:$AD$1,0),FALSE)))*AH957))</f>
        <v>#N/A</v>
      </c>
      <c r="AJ957" s="412" t="str">
        <f t="shared" ca="1" si="358"/>
        <v/>
      </c>
      <c r="AK957" s="413" t="str">
        <f>IFERROR(AE957/(Q_BRAND_FC!$T$24+1),"")</f>
        <v/>
      </c>
      <c r="AL957" s="88" t="str">
        <f t="shared" ca="1" si="359"/>
        <v/>
      </c>
      <c r="AM957" s="414" t="str">
        <f t="shared" ca="1" si="360"/>
        <v/>
      </c>
      <c r="AN957" s="58">
        <f>IFERROR(IF($V957="BRAND.com",HLOOKUP($X957&amp;$Z957,NWC_FC_NOOS!$C$4:$Q$23,MATCH(W957,NWC_FC_NOOS!$B$4:$B$23,0),FALSE),0),0)</f>
        <v>0</v>
      </c>
      <c r="AO957" s="57">
        <f>IFERROR(IF($V957="BRAND.com",HLOOKUP($X957&amp;$Z957,NWC_FC_NOOS!$T$4:$AH$23,MATCH(W957,NWC_FC_NOOS!$S$4:$S$23,0),FALSE),0),0)</f>
        <v>0</v>
      </c>
      <c r="AP957" s="57">
        <f>IFERROR(IF($V957="BRAND.com",HLOOKUP($X957&amp;$Z957,NWC_FC_NOOS!$C$50:$U$69,MATCH(W957,NWC_FC_NOOS!$B$50:$B$69,0),FALSE),0),0)</f>
        <v>0</v>
      </c>
      <c r="AQ957" s="58">
        <f>IFERROR(IF($V957="BRAND.com",HLOOKUP($X957&amp;$Z957,'NWC_FC_NON-NOOS'!$C$4:$Q$23,MATCH(W957,'NWC_FC_NON-NOOS'!$B$4:$B$23,0),FALSE),0),0)</f>
        <v>0</v>
      </c>
      <c r="AR957" s="57">
        <f>IFERROR(IF($V957="BRAND.com",HLOOKUP($X957&amp;$Z957,'NWC_FC_NON-NOOS'!$T$4:$AH$23,MATCH(W957,'NWC_FC_NON-NOOS'!$S$4:$S$23,0),FALSE),0),0)</f>
        <v>0</v>
      </c>
      <c r="AS957" s="57">
        <f>IFERROR(IF($V957="BRAND.com",HLOOKUP($X957&amp;$Z957,'NWC_FC_NON-NOOS'!$C$50:$U$69,MATCH(W957,'NWC_FC_NON-NOOS'!$B$50:$B$69,0),FALSE),0),0)</f>
        <v>0</v>
      </c>
      <c r="AT957" s="57">
        <f t="shared" si="362"/>
        <v>0</v>
      </c>
      <c r="AU957" s="57">
        <f t="shared" si="363"/>
        <v>0</v>
      </c>
      <c r="AV957" s="58">
        <f>IFERROR(IF($V957="BRAND.com",HLOOKUP($X957&amp;$Z957,PLANNING_FC!$BB$27:$BP$46,MATCH($W957,PLANNING_FC!$BA$27:$BA$46,0),FALSE),0),0)</f>
        <v>0</v>
      </c>
      <c r="AW957" s="58">
        <f>IFERROR(IF($V957="BRAND.com",HLOOKUP($X957&amp;$Z957,PLANNING_FC!$BB$4:$BP$23,MATCH($W957,PLANNING_FC!$BA$4:$BA$23,0),FALSE),0),0)</f>
        <v>0</v>
      </c>
      <c r="AX957" s="58">
        <f>IFERROR(IF($V957="BRAND.com",HLOOKUP($X957&amp;$Z957,PLANNING_FC!$T$27:$AH$46,MATCH($W957,PLANNING_FC!$B$27:$B$46,0),FALSE),0),0)</f>
        <v>0</v>
      </c>
      <c r="AY957" s="58">
        <f>IFERROR(IF($V957="BRAND.com",HLOOKUP($X957&amp;$Z957,PLANNING_FC!$T$4:$AH$23,MATCH($W957,PLANNING_FC!$B$4:$B$23,0),FALSE),0),0)</f>
        <v>0</v>
      </c>
      <c r="AZ957" s="58">
        <f>IFERROR(IF($V957="BRAND.com",HLOOKUP($X957&amp;$Z957,PLANNING_FC!$DA$27:$DO$46,MATCH($W957,PLANNING_FC!$CZ$27:$CZ$46,0),FALSE),0),0)</f>
        <v>0</v>
      </c>
      <c r="BA957" s="58">
        <f>IFERROR(IF($V957="BRAND.com",HLOOKUP($X957&amp;$Z957,PLANNING_FC!$DA$4:$DO$23,MATCH($W957,PLANNING_FC!$CZ$4:$CZ$23,0),FALSE),0),0)</f>
        <v>0</v>
      </c>
      <c r="BB957" s="883" t="str">
        <f>IF(V957="BRAND.com",IFERROR(HLOOKUP(X957&amp;Z957,PLANNING_FC!$AK$4:$AY$23,MATCH(W957,PLANNING_FC!$AJ$4:$AJ$23,0),FALSE)*1000,""),"")</f>
        <v/>
      </c>
      <c r="BC957" s="883" t="str">
        <f>IF(V957="BRAND.com",IFERROR(HLOOKUP(X957&amp;Z957,PLANNING_FC!$AK$27:$AY$46,MATCH(W957,PLANNING_FC!$AJ$27:$AJ$46,0),FALSE)*1000,""),"")</f>
        <v/>
      </c>
    </row>
    <row r="958" spans="14:55" x14ac:dyDescent="0.25">
      <c r="N958" s="56">
        <f t="shared" si="344"/>
        <v>0</v>
      </c>
      <c r="O958" s="57">
        <f t="shared" si="345"/>
        <v>0</v>
      </c>
      <c r="P958" s="57">
        <f ca="1">IFERROR(IF(ISBLANK(H958),SUMIFS($AC:$AC,$V:$V,V958,$W:$W,W958,$X:$X,X958,$Y:$Y,Y958)*J958/(1-J958)*VLOOKUP(_xlfn.CONCAT(C958,D958,E958,TIME!$M$12,Z958),HIS_SALES!$B$2:$W$4859,20,FALSE),AC958*J958/(1-J958)),0)</f>
        <v>0</v>
      </c>
      <c r="Q958" s="541" t="str">
        <f t="shared" si="346"/>
        <v/>
      </c>
      <c r="R958" s="346" t="str">
        <f t="shared" si="347"/>
        <v>00000</v>
      </c>
      <c r="S958" s="344">
        <f t="shared" si="348"/>
        <v>0</v>
      </c>
      <c r="T958" s="345" t="str">
        <f t="shared" si="361"/>
        <v>000</v>
      </c>
      <c r="U958" s="345">
        <f t="shared" si="349"/>
        <v>0</v>
      </c>
      <c r="V958" s="345">
        <f t="shared" si="350"/>
        <v>0</v>
      </c>
      <c r="W958" s="345">
        <f t="shared" si="351"/>
        <v>0</v>
      </c>
      <c r="X958" s="345">
        <f t="shared" si="352"/>
        <v>0</v>
      </c>
      <c r="Y958" s="345">
        <f t="shared" si="353"/>
        <v>0</v>
      </c>
      <c r="Z958" s="345">
        <f>IF(Q958&lt;&gt;"",VLOOKUP(Y958,TIME!$R$21:$V$24,MATCH(FC_DATA!Q958,TIME!$R$20:$V$20,0),FALSE),H958)</f>
        <v>0</v>
      </c>
      <c r="AA958" s="345" t="str">
        <f>IFERROR(VLOOKUP(X958&amp;Z958,TIME!$A$12:$D$71,4,FALSE),"")</f>
        <v/>
      </c>
      <c r="AB958" s="592">
        <f t="shared" ca="1" si="354"/>
        <v>0</v>
      </c>
      <c r="AC958" s="593" t="e">
        <f ca="1">IF(ISBLANK(H958)=FALSE,IF(D958="BRAND.com",I958,IF(ISNA(VLOOKUP(_xlfn.CONCAT(X958,Z958),TIME!$M$40:$M$42,1,FALSE)),I958,VLOOKUP(_xlfn.CONCAT(D958,G958,H958),M_BUSAREA_FC!$AF$5:$AJ$10,5,FALSE)*HLOOKUP(_xlfn.CONCAT(F958,H958),ST_OVERVIEW!$G$99:$I$130,MATCH(_xlfn.CONCAT(D958,E958),ST_OVERVIEW!$F$99:$F$130,0),FALSE))),IF(D958="BRAND.com",VLOOKUP(_xlfn.CONCAT(C958,D958,E958,TIME!$F$1,Z958),HIS_SALES!$B$2:$V$4859,19,FALSE)*I958,VLOOKUP(_xlfn.CONCAT(D958,F958,G958),Q_BUSAREA_FC!$AE$5:$AI$12,5,FALSE)*HLOOKUP(_xlfn.CONCAT(FC_DATA!F958,FC_DATA!G958),LT_OVERVIEW!$I$99:$M$130,MATCH(_xlfn.CONCAT(D958,FC_DATA!E958),LT_OVERVIEW!$H$99:$H$130,0),FALSE)*IFERROR(VLOOKUP(_xlfn.CONCAT(C958,D958,E958,TIME!$F$1,Z958),HIS_SALES!$B$2:$V$4859,19,FALSE),0)))</f>
        <v>#N/A</v>
      </c>
      <c r="AD958" s="341">
        <f t="shared" ca="1" si="355"/>
        <v>0</v>
      </c>
      <c r="AE958" s="363" t="str">
        <f t="shared" si="356"/>
        <v/>
      </c>
      <c r="AF958" s="342" t="str">
        <f t="shared" si="357"/>
        <v/>
      </c>
      <c r="AG958" s="411" t="e">
        <f ca="1">VLOOKUP(_xlfn.CONCAT(U958,V958,W958,VLOOKUP(X958&amp;Y958,TIME!$L$27:$O$34,4,FALSE),Y958),HIS_SALES!$A$2:$R$5093,18,FALSE)</f>
        <v>#N/A</v>
      </c>
      <c r="AH958" s="412" t="e">
        <f ca="1">IFERROR(IF(AND(V958=V957,W958=W957),0.5*(AB958+AB957)*AG958,(VLOOKUP(_xlfn.CONCAT(U958,V958,W958,X958,VLOOKUP(Z958,TIME!$S$28:$T$39,2,FALSE)),FC_DATA!$R$2:$AB$5000,MATCH("GS_I_M",FC_DATA!$R$1:$AB$1,0),FALSE)+FC_DATA!AB958)*0.5*FC_DATA!AG958),NA())</f>
        <v>#N/A</v>
      </c>
      <c r="AI958" s="491" t="e">
        <f ca="1">IF(V958="PARTNER.com",AH958,IF(AND(V958=V957,W958=W957),(1-AVERAGE(AD957,AD958))*AH958,(1-AVERAGE(AD958,VLOOKUP(_xlfn.CONCAT(U958,V958,W958,X958,M_BRAND_FC!$F$6),FC_DATA!$R$2:$AD$5000,MATCH("DISCOUNT_%_M",FC_DATA!$R$1:$AD$1,0),FALSE)))*AH958))</f>
        <v>#N/A</v>
      </c>
      <c r="AJ958" s="412" t="str">
        <f t="shared" ca="1" si="358"/>
        <v/>
      </c>
      <c r="AK958" s="413" t="str">
        <f>IFERROR(AE958/(Q_BRAND_FC!$T$24+1),"")</f>
        <v/>
      </c>
      <c r="AL958" s="88" t="str">
        <f t="shared" ca="1" si="359"/>
        <v/>
      </c>
      <c r="AM958" s="414" t="str">
        <f t="shared" ca="1" si="360"/>
        <v/>
      </c>
      <c r="AN958" s="58">
        <f>IFERROR(IF($V958="BRAND.com",HLOOKUP($X958&amp;$Z958,NWC_FC_NOOS!$C$4:$Q$23,MATCH(W958,NWC_FC_NOOS!$B$4:$B$23,0),FALSE),0),0)</f>
        <v>0</v>
      </c>
      <c r="AO958" s="57">
        <f>IFERROR(IF($V958="BRAND.com",HLOOKUP($X958&amp;$Z958,NWC_FC_NOOS!$T$4:$AH$23,MATCH(W958,NWC_FC_NOOS!$S$4:$S$23,0),FALSE),0),0)</f>
        <v>0</v>
      </c>
      <c r="AP958" s="57">
        <f>IFERROR(IF($V958="BRAND.com",HLOOKUP($X958&amp;$Z958,NWC_FC_NOOS!$C$50:$U$69,MATCH(W958,NWC_FC_NOOS!$B$50:$B$69,0),FALSE),0),0)</f>
        <v>0</v>
      </c>
      <c r="AQ958" s="58">
        <f>IFERROR(IF($V958="BRAND.com",HLOOKUP($X958&amp;$Z958,'NWC_FC_NON-NOOS'!$C$4:$Q$23,MATCH(W958,'NWC_FC_NON-NOOS'!$B$4:$B$23,0),FALSE),0),0)</f>
        <v>0</v>
      </c>
      <c r="AR958" s="57">
        <f>IFERROR(IF($V958="BRAND.com",HLOOKUP($X958&amp;$Z958,'NWC_FC_NON-NOOS'!$T$4:$AH$23,MATCH(W958,'NWC_FC_NON-NOOS'!$S$4:$S$23,0),FALSE),0),0)</f>
        <v>0</v>
      </c>
      <c r="AS958" s="57">
        <f>IFERROR(IF($V958="BRAND.com",HLOOKUP($X958&amp;$Z958,'NWC_FC_NON-NOOS'!$C$50:$U$69,MATCH(W958,'NWC_FC_NON-NOOS'!$B$50:$B$69,0),FALSE),0),0)</f>
        <v>0</v>
      </c>
      <c r="AT958" s="57">
        <f t="shared" si="362"/>
        <v>0</v>
      </c>
      <c r="AU958" s="57">
        <f t="shared" si="363"/>
        <v>0</v>
      </c>
      <c r="AV958" s="58">
        <f>IFERROR(IF($V958="BRAND.com",HLOOKUP($X958&amp;$Z958,PLANNING_FC!$BB$27:$BP$46,MATCH($W958,PLANNING_FC!$BA$27:$BA$46,0),FALSE),0),0)</f>
        <v>0</v>
      </c>
      <c r="AW958" s="58">
        <f>IFERROR(IF($V958="BRAND.com",HLOOKUP($X958&amp;$Z958,PLANNING_FC!$BB$4:$BP$23,MATCH($W958,PLANNING_FC!$BA$4:$BA$23,0),FALSE),0),0)</f>
        <v>0</v>
      </c>
      <c r="AX958" s="58">
        <f>IFERROR(IF($V958="BRAND.com",HLOOKUP($X958&amp;$Z958,PLANNING_FC!$T$27:$AH$46,MATCH($W958,PLANNING_FC!$B$27:$B$46,0),FALSE),0),0)</f>
        <v>0</v>
      </c>
      <c r="AY958" s="58">
        <f>IFERROR(IF($V958="BRAND.com",HLOOKUP($X958&amp;$Z958,PLANNING_FC!$T$4:$AH$23,MATCH($W958,PLANNING_FC!$B$4:$B$23,0),FALSE),0),0)</f>
        <v>0</v>
      </c>
      <c r="AZ958" s="58">
        <f>IFERROR(IF($V958="BRAND.com",HLOOKUP($X958&amp;$Z958,PLANNING_FC!$DA$27:$DO$46,MATCH($W958,PLANNING_FC!$CZ$27:$CZ$46,0),FALSE),0),0)</f>
        <v>0</v>
      </c>
      <c r="BA958" s="58">
        <f>IFERROR(IF($V958="BRAND.com",HLOOKUP($X958&amp;$Z958,PLANNING_FC!$DA$4:$DO$23,MATCH($W958,PLANNING_FC!$CZ$4:$CZ$23,0),FALSE),0),0)</f>
        <v>0</v>
      </c>
      <c r="BB958" s="883" t="str">
        <f>IF(V958="BRAND.com",IFERROR(HLOOKUP(X958&amp;Z958,PLANNING_FC!$AK$4:$AY$23,MATCH(W958,PLANNING_FC!$AJ$4:$AJ$23,0),FALSE)*1000,""),"")</f>
        <v/>
      </c>
      <c r="BC958" s="883" t="str">
        <f>IF(V958="BRAND.com",IFERROR(HLOOKUP(X958&amp;Z958,PLANNING_FC!$AK$27:$AY$46,MATCH(W958,PLANNING_FC!$AJ$27:$AJ$46,0),FALSE)*1000,""),"")</f>
        <v/>
      </c>
    </row>
    <row r="959" spans="14:55" x14ac:dyDescent="0.25">
      <c r="N959" s="56">
        <f t="shared" si="344"/>
        <v>0</v>
      </c>
      <c r="O959" s="57">
        <f t="shared" si="345"/>
        <v>0</v>
      </c>
      <c r="P959" s="57">
        <f ca="1">IFERROR(IF(ISBLANK(H959),SUMIFS($AC:$AC,$V:$V,V959,$W:$W,W959,$X:$X,X959,$Y:$Y,Y959)*J959/(1-J959)*VLOOKUP(_xlfn.CONCAT(C959,D959,E959,TIME!$M$12,Z959),HIS_SALES!$B$2:$W$4859,20,FALSE),AC959*J959/(1-J959)),0)</f>
        <v>0</v>
      </c>
      <c r="Q959" s="541" t="str">
        <f t="shared" si="346"/>
        <v/>
      </c>
      <c r="R959" s="346" t="str">
        <f t="shared" si="347"/>
        <v>00000</v>
      </c>
      <c r="S959" s="344">
        <f t="shared" si="348"/>
        <v>0</v>
      </c>
      <c r="T959" s="345" t="str">
        <f t="shared" si="361"/>
        <v>000</v>
      </c>
      <c r="U959" s="345">
        <f t="shared" si="349"/>
        <v>0</v>
      </c>
      <c r="V959" s="345">
        <f t="shared" si="350"/>
        <v>0</v>
      </c>
      <c r="W959" s="345">
        <f t="shared" si="351"/>
        <v>0</v>
      </c>
      <c r="X959" s="345">
        <f t="shared" si="352"/>
        <v>0</v>
      </c>
      <c r="Y959" s="345">
        <f t="shared" si="353"/>
        <v>0</v>
      </c>
      <c r="Z959" s="345">
        <f>IF(Q959&lt;&gt;"",VLOOKUP(Y959,TIME!$R$21:$V$24,MATCH(FC_DATA!Q959,TIME!$R$20:$V$20,0),FALSE),H959)</f>
        <v>0</v>
      </c>
      <c r="AA959" s="345" t="str">
        <f>IFERROR(VLOOKUP(X959&amp;Z959,TIME!$A$12:$D$71,4,FALSE),"")</f>
        <v/>
      </c>
      <c r="AB959" s="592">
        <f t="shared" ca="1" si="354"/>
        <v>0</v>
      </c>
      <c r="AC959" s="593" t="e">
        <f ca="1">IF(ISBLANK(H959)=FALSE,IF(D959="BRAND.com",I959,IF(ISNA(VLOOKUP(_xlfn.CONCAT(X959,Z959),TIME!$M$40:$M$42,1,FALSE)),I959,VLOOKUP(_xlfn.CONCAT(D959,G959,H959),M_BUSAREA_FC!$AF$5:$AJ$10,5,FALSE)*HLOOKUP(_xlfn.CONCAT(F959,H959),ST_OVERVIEW!$G$99:$I$130,MATCH(_xlfn.CONCAT(D959,E959),ST_OVERVIEW!$F$99:$F$130,0),FALSE))),IF(D959="BRAND.com",VLOOKUP(_xlfn.CONCAT(C959,D959,E959,TIME!$F$1,Z959),HIS_SALES!$B$2:$V$4859,19,FALSE)*I959,VLOOKUP(_xlfn.CONCAT(D959,F959,G959),Q_BUSAREA_FC!$AE$5:$AI$12,5,FALSE)*HLOOKUP(_xlfn.CONCAT(FC_DATA!F959,FC_DATA!G959),LT_OVERVIEW!$I$99:$M$130,MATCH(_xlfn.CONCAT(D959,FC_DATA!E959),LT_OVERVIEW!$H$99:$H$130,0),FALSE)*IFERROR(VLOOKUP(_xlfn.CONCAT(C959,D959,E959,TIME!$F$1,Z959),HIS_SALES!$B$2:$V$4859,19,FALSE),0)))</f>
        <v>#N/A</v>
      </c>
      <c r="AD959" s="341">
        <f t="shared" ca="1" si="355"/>
        <v>0</v>
      </c>
      <c r="AE959" s="363" t="str">
        <f t="shared" si="356"/>
        <v/>
      </c>
      <c r="AF959" s="342" t="str">
        <f t="shared" si="357"/>
        <v/>
      </c>
      <c r="AG959" s="411" t="e">
        <f ca="1">VLOOKUP(_xlfn.CONCAT(U959,V959,W959,VLOOKUP(X959&amp;Y959,TIME!$L$27:$O$34,4,FALSE),Y959),HIS_SALES!$A$2:$R$5093,18,FALSE)</f>
        <v>#N/A</v>
      </c>
      <c r="AH959" s="412" t="e">
        <f ca="1">IFERROR(IF(AND(V959=V958,W959=W958),0.5*(AB959+AB958)*AG959,(VLOOKUP(_xlfn.CONCAT(U959,V959,W959,X959,VLOOKUP(Z959,TIME!$S$28:$T$39,2,FALSE)),FC_DATA!$R$2:$AB$5000,MATCH("GS_I_M",FC_DATA!$R$1:$AB$1,0),FALSE)+FC_DATA!AB959)*0.5*FC_DATA!AG959),NA())</f>
        <v>#N/A</v>
      </c>
      <c r="AI959" s="491" t="e">
        <f ca="1">IF(V959="PARTNER.com",AH959,IF(AND(V959=V958,W959=W958),(1-AVERAGE(AD958,AD959))*AH959,(1-AVERAGE(AD959,VLOOKUP(_xlfn.CONCAT(U959,V959,W959,X959,M_BRAND_FC!$F$6),FC_DATA!$R$2:$AD$5000,MATCH("DISCOUNT_%_M",FC_DATA!$R$1:$AD$1,0),FALSE)))*AH959))</f>
        <v>#N/A</v>
      </c>
      <c r="AJ959" s="412" t="str">
        <f t="shared" ca="1" si="358"/>
        <v/>
      </c>
      <c r="AK959" s="413" t="str">
        <f>IFERROR(AE959/(Q_BRAND_FC!$T$24+1),"")</f>
        <v/>
      </c>
      <c r="AL959" s="88" t="str">
        <f t="shared" ca="1" si="359"/>
        <v/>
      </c>
      <c r="AM959" s="414" t="str">
        <f t="shared" ca="1" si="360"/>
        <v/>
      </c>
      <c r="AN959" s="58">
        <f>IFERROR(IF($V959="BRAND.com",HLOOKUP($X959&amp;$Z959,NWC_FC_NOOS!$C$4:$Q$23,MATCH(W959,NWC_FC_NOOS!$B$4:$B$23,0),FALSE),0),0)</f>
        <v>0</v>
      </c>
      <c r="AO959" s="57">
        <f>IFERROR(IF($V959="BRAND.com",HLOOKUP($X959&amp;$Z959,NWC_FC_NOOS!$T$4:$AH$23,MATCH(W959,NWC_FC_NOOS!$S$4:$S$23,0),FALSE),0),0)</f>
        <v>0</v>
      </c>
      <c r="AP959" s="57">
        <f>IFERROR(IF($V959="BRAND.com",HLOOKUP($X959&amp;$Z959,NWC_FC_NOOS!$C$50:$U$69,MATCH(W959,NWC_FC_NOOS!$B$50:$B$69,0),FALSE),0),0)</f>
        <v>0</v>
      </c>
      <c r="AQ959" s="58">
        <f>IFERROR(IF($V959="BRAND.com",HLOOKUP($X959&amp;$Z959,'NWC_FC_NON-NOOS'!$C$4:$Q$23,MATCH(W959,'NWC_FC_NON-NOOS'!$B$4:$B$23,0),FALSE),0),0)</f>
        <v>0</v>
      </c>
      <c r="AR959" s="57">
        <f>IFERROR(IF($V959="BRAND.com",HLOOKUP($X959&amp;$Z959,'NWC_FC_NON-NOOS'!$T$4:$AH$23,MATCH(W959,'NWC_FC_NON-NOOS'!$S$4:$S$23,0),FALSE),0),0)</f>
        <v>0</v>
      </c>
      <c r="AS959" s="57">
        <f>IFERROR(IF($V959="BRAND.com",HLOOKUP($X959&amp;$Z959,'NWC_FC_NON-NOOS'!$C$50:$U$69,MATCH(W959,'NWC_FC_NON-NOOS'!$B$50:$B$69,0),FALSE),0),0)</f>
        <v>0</v>
      </c>
      <c r="AT959" s="57">
        <f t="shared" si="362"/>
        <v>0</v>
      </c>
      <c r="AU959" s="57">
        <f t="shared" si="363"/>
        <v>0</v>
      </c>
      <c r="AV959" s="58">
        <f>IFERROR(IF($V959="BRAND.com",HLOOKUP($X959&amp;$Z959,PLANNING_FC!$BB$27:$BP$46,MATCH($W959,PLANNING_FC!$BA$27:$BA$46,0),FALSE),0),0)</f>
        <v>0</v>
      </c>
      <c r="AW959" s="58">
        <f>IFERROR(IF($V959="BRAND.com",HLOOKUP($X959&amp;$Z959,PLANNING_FC!$BB$4:$BP$23,MATCH($W959,PLANNING_FC!$BA$4:$BA$23,0),FALSE),0),0)</f>
        <v>0</v>
      </c>
      <c r="AX959" s="58">
        <f>IFERROR(IF($V959="BRAND.com",HLOOKUP($X959&amp;$Z959,PLANNING_FC!$T$27:$AH$46,MATCH($W959,PLANNING_FC!$B$27:$B$46,0),FALSE),0),0)</f>
        <v>0</v>
      </c>
      <c r="AY959" s="58">
        <f>IFERROR(IF($V959="BRAND.com",HLOOKUP($X959&amp;$Z959,PLANNING_FC!$T$4:$AH$23,MATCH($W959,PLANNING_FC!$B$4:$B$23,0),FALSE),0),0)</f>
        <v>0</v>
      </c>
      <c r="AZ959" s="58">
        <f>IFERROR(IF($V959="BRAND.com",HLOOKUP($X959&amp;$Z959,PLANNING_FC!$DA$27:$DO$46,MATCH($W959,PLANNING_FC!$CZ$27:$CZ$46,0),FALSE),0),0)</f>
        <v>0</v>
      </c>
      <c r="BA959" s="58">
        <f>IFERROR(IF($V959="BRAND.com",HLOOKUP($X959&amp;$Z959,PLANNING_FC!$DA$4:$DO$23,MATCH($W959,PLANNING_FC!$CZ$4:$CZ$23,0),FALSE),0),0)</f>
        <v>0</v>
      </c>
      <c r="BB959" s="883" t="str">
        <f>IF(V959="BRAND.com",IFERROR(HLOOKUP(X959&amp;Z959,PLANNING_FC!$AK$4:$AY$23,MATCH(W959,PLANNING_FC!$AJ$4:$AJ$23,0),FALSE)*1000,""),"")</f>
        <v/>
      </c>
      <c r="BC959" s="883" t="str">
        <f>IF(V959="BRAND.com",IFERROR(HLOOKUP(X959&amp;Z959,PLANNING_FC!$AK$27:$AY$46,MATCH(W959,PLANNING_FC!$AJ$27:$AJ$46,0),FALSE)*1000,""),"")</f>
        <v/>
      </c>
    </row>
    <row r="960" spans="14:55" x14ac:dyDescent="0.25">
      <c r="N960" s="56">
        <f t="shared" si="344"/>
        <v>0</v>
      </c>
      <c r="O960" s="57">
        <f t="shared" si="345"/>
        <v>0</v>
      </c>
      <c r="P960" s="57">
        <f ca="1">IFERROR(IF(ISBLANK(H960),SUMIFS($AC:$AC,$V:$V,V960,$W:$W,W960,$X:$X,X960,$Y:$Y,Y960)*J960/(1-J960)*VLOOKUP(_xlfn.CONCAT(C960,D960,E960,TIME!$M$12,Z960),HIS_SALES!$B$2:$W$4859,20,FALSE),AC960*J960/(1-J960)),0)</f>
        <v>0</v>
      </c>
      <c r="Q960" s="541" t="str">
        <f t="shared" si="346"/>
        <v/>
      </c>
      <c r="R960" s="346" t="str">
        <f t="shared" si="347"/>
        <v>00000</v>
      </c>
      <c r="S960" s="344">
        <f t="shared" si="348"/>
        <v>0</v>
      </c>
      <c r="T960" s="345" t="str">
        <f t="shared" si="361"/>
        <v>000</v>
      </c>
      <c r="U960" s="345">
        <f t="shared" si="349"/>
        <v>0</v>
      </c>
      <c r="V960" s="345">
        <f t="shared" si="350"/>
        <v>0</v>
      </c>
      <c r="W960" s="345">
        <f t="shared" si="351"/>
        <v>0</v>
      </c>
      <c r="X960" s="345">
        <f t="shared" si="352"/>
        <v>0</v>
      </c>
      <c r="Y960" s="345">
        <f t="shared" si="353"/>
        <v>0</v>
      </c>
      <c r="Z960" s="345">
        <f>IF(Q960&lt;&gt;"",VLOOKUP(Y960,TIME!$R$21:$V$24,MATCH(FC_DATA!Q960,TIME!$R$20:$V$20,0),FALSE),H960)</f>
        <v>0</v>
      </c>
      <c r="AA960" s="345" t="str">
        <f>IFERROR(VLOOKUP(X960&amp;Z960,TIME!$A$12:$D$71,4,FALSE),"")</f>
        <v/>
      </c>
      <c r="AB960" s="592">
        <f t="shared" ca="1" si="354"/>
        <v>0</v>
      </c>
      <c r="AC960" s="593" t="e">
        <f ca="1">IF(ISBLANK(H960)=FALSE,IF(D960="BRAND.com",I960,IF(ISNA(VLOOKUP(_xlfn.CONCAT(X960,Z960),TIME!$M$40:$M$42,1,FALSE)),I960,VLOOKUP(_xlfn.CONCAT(D960,G960,H960),M_BUSAREA_FC!$AF$5:$AJ$10,5,FALSE)*HLOOKUP(_xlfn.CONCAT(F960,H960),ST_OVERVIEW!$G$99:$I$130,MATCH(_xlfn.CONCAT(D960,E960),ST_OVERVIEW!$F$99:$F$130,0),FALSE))),IF(D960="BRAND.com",VLOOKUP(_xlfn.CONCAT(C960,D960,E960,TIME!$F$1,Z960),HIS_SALES!$B$2:$V$4859,19,FALSE)*I960,VLOOKUP(_xlfn.CONCAT(D960,F960,G960),Q_BUSAREA_FC!$AE$5:$AI$12,5,FALSE)*HLOOKUP(_xlfn.CONCAT(FC_DATA!F960,FC_DATA!G960),LT_OVERVIEW!$I$99:$M$130,MATCH(_xlfn.CONCAT(D960,FC_DATA!E960),LT_OVERVIEW!$H$99:$H$130,0),FALSE)*IFERROR(VLOOKUP(_xlfn.CONCAT(C960,D960,E960,TIME!$F$1,Z960),HIS_SALES!$B$2:$V$4859,19,FALSE),0)))</f>
        <v>#N/A</v>
      </c>
      <c r="AD960" s="341">
        <f t="shared" ca="1" si="355"/>
        <v>0</v>
      </c>
      <c r="AE960" s="363" t="str">
        <f t="shared" si="356"/>
        <v/>
      </c>
      <c r="AF960" s="342" t="str">
        <f t="shared" si="357"/>
        <v/>
      </c>
      <c r="AG960" s="411" t="e">
        <f ca="1">VLOOKUP(_xlfn.CONCAT(U960,V960,W960,VLOOKUP(X960&amp;Y960,TIME!$L$27:$O$34,4,FALSE),Y960),HIS_SALES!$A$2:$R$5093,18,FALSE)</f>
        <v>#N/A</v>
      </c>
      <c r="AH960" s="412" t="e">
        <f ca="1">IFERROR(IF(AND(V960=V959,W960=W959),0.5*(AB960+AB959)*AG960,(VLOOKUP(_xlfn.CONCAT(U960,V960,W960,X960,VLOOKUP(Z960,TIME!$S$28:$T$39,2,FALSE)),FC_DATA!$R$2:$AB$5000,MATCH("GS_I_M",FC_DATA!$R$1:$AB$1,0),FALSE)+FC_DATA!AB960)*0.5*FC_DATA!AG960),NA())</f>
        <v>#N/A</v>
      </c>
      <c r="AI960" s="491" t="e">
        <f ca="1">IF(V960="PARTNER.com",AH960,IF(AND(V960=V959,W960=W959),(1-AVERAGE(AD959,AD960))*AH960,(1-AVERAGE(AD960,VLOOKUP(_xlfn.CONCAT(U960,V960,W960,X960,M_BRAND_FC!$F$6),FC_DATA!$R$2:$AD$5000,MATCH("DISCOUNT_%_M",FC_DATA!$R$1:$AD$1,0),FALSE)))*AH960))</f>
        <v>#N/A</v>
      </c>
      <c r="AJ960" s="412" t="str">
        <f t="shared" ca="1" si="358"/>
        <v/>
      </c>
      <c r="AK960" s="413" t="str">
        <f>IFERROR(AE960/(Q_BRAND_FC!$T$24+1),"")</f>
        <v/>
      </c>
      <c r="AL960" s="88" t="str">
        <f t="shared" ca="1" si="359"/>
        <v/>
      </c>
      <c r="AM960" s="414" t="str">
        <f t="shared" ca="1" si="360"/>
        <v/>
      </c>
      <c r="AN960" s="58">
        <f>IFERROR(IF($V960="BRAND.com",HLOOKUP($X960&amp;$Z960,NWC_FC_NOOS!$C$4:$Q$23,MATCH(W960,NWC_FC_NOOS!$B$4:$B$23,0),FALSE),0),0)</f>
        <v>0</v>
      </c>
      <c r="AO960" s="57">
        <f>IFERROR(IF($V960="BRAND.com",HLOOKUP($X960&amp;$Z960,NWC_FC_NOOS!$T$4:$AH$23,MATCH(W960,NWC_FC_NOOS!$S$4:$S$23,0),FALSE),0),0)</f>
        <v>0</v>
      </c>
      <c r="AP960" s="57">
        <f>IFERROR(IF($V960="BRAND.com",HLOOKUP($X960&amp;$Z960,NWC_FC_NOOS!$C$50:$U$69,MATCH(W960,NWC_FC_NOOS!$B$50:$B$69,0),FALSE),0),0)</f>
        <v>0</v>
      </c>
      <c r="AQ960" s="58">
        <f>IFERROR(IF($V960="BRAND.com",HLOOKUP($X960&amp;$Z960,'NWC_FC_NON-NOOS'!$C$4:$Q$23,MATCH(W960,'NWC_FC_NON-NOOS'!$B$4:$B$23,0),FALSE),0),0)</f>
        <v>0</v>
      </c>
      <c r="AR960" s="57">
        <f>IFERROR(IF($V960="BRAND.com",HLOOKUP($X960&amp;$Z960,'NWC_FC_NON-NOOS'!$T$4:$AH$23,MATCH(W960,'NWC_FC_NON-NOOS'!$S$4:$S$23,0),FALSE),0),0)</f>
        <v>0</v>
      </c>
      <c r="AS960" s="57">
        <f>IFERROR(IF($V960="BRAND.com",HLOOKUP($X960&amp;$Z960,'NWC_FC_NON-NOOS'!$C$50:$U$69,MATCH(W960,'NWC_FC_NON-NOOS'!$B$50:$B$69,0),FALSE),0),0)</f>
        <v>0</v>
      </c>
      <c r="AT960" s="57">
        <f t="shared" si="362"/>
        <v>0</v>
      </c>
      <c r="AU960" s="57">
        <f t="shared" si="363"/>
        <v>0</v>
      </c>
      <c r="AV960" s="58">
        <f>IFERROR(IF($V960="BRAND.com",HLOOKUP($X960&amp;$Z960,PLANNING_FC!$BB$27:$BP$46,MATCH($W960,PLANNING_FC!$BA$27:$BA$46,0),FALSE),0),0)</f>
        <v>0</v>
      </c>
      <c r="AW960" s="58">
        <f>IFERROR(IF($V960="BRAND.com",HLOOKUP($X960&amp;$Z960,PLANNING_FC!$BB$4:$BP$23,MATCH($W960,PLANNING_FC!$BA$4:$BA$23,0),FALSE),0),0)</f>
        <v>0</v>
      </c>
      <c r="AX960" s="58">
        <f>IFERROR(IF($V960="BRAND.com",HLOOKUP($X960&amp;$Z960,PLANNING_FC!$T$27:$AH$46,MATCH($W960,PLANNING_FC!$B$27:$B$46,0),FALSE),0),0)</f>
        <v>0</v>
      </c>
      <c r="AY960" s="58">
        <f>IFERROR(IF($V960="BRAND.com",HLOOKUP($X960&amp;$Z960,PLANNING_FC!$T$4:$AH$23,MATCH($W960,PLANNING_FC!$B$4:$B$23,0),FALSE),0),0)</f>
        <v>0</v>
      </c>
      <c r="AZ960" s="58">
        <f>IFERROR(IF($V960="BRAND.com",HLOOKUP($X960&amp;$Z960,PLANNING_FC!$DA$27:$DO$46,MATCH($W960,PLANNING_FC!$CZ$27:$CZ$46,0),FALSE),0),0)</f>
        <v>0</v>
      </c>
      <c r="BA960" s="58">
        <f>IFERROR(IF($V960="BRAND.com",HLOOKUP($X960&amp;$Z960,PLANNING_FC!$DA$4:$DO$23,MATCH($W960,PLANNING_FC!$CZ$4:$CZ$23,0),FALSE),0),0)</f>
        <v>0</v>
      </c>
      <c r="BB960" s="883" t="str">
        <f>IF(V960="BRAND.com",IFERROR(HLOOKUP(X960&amp;Z960,PLANNING_FC!$AK$4:$AY$23,MATCH(W960,PLANNING_FC!$AJ$4:$AJ$23,0),FALSE)*1000,""),"")</f>
        <v/>
      </c>
      <c r="BC960" s="883" t="str">
        <f>IF(V960="BRAND.com",IFERROR(HLOOKUP(X960&amp;Z960,PLANNING_FC!$AK$27:$AY$46,MATCH(W960,PLANNING_FC!$AJ$27:$AJ$46,0),FALSE)*1000,""),"")</f>
        <v/>
      </c>
    </row>
    <row r="961" spans="14:55" x14ac:dyDescent="0.25">
      <c r="N961" s="56">
        <f t="shared" si="344"/>
        <v>0</v>
      </c>
      <c r="O961" s="57">
        <f t="shared" si="345"/>
        <v>0</v>
      </c>
      <c r="P961" s="57">
        <f ca="1">IFERROR(IF(ISBLANK(H961),SUMIFS($AC:$AC,$V:$V,V961,$W:$W,W961,$X:$X,X961,$Y:$Y,Y961)*J961/(1-J961)*VLOOKUP(_xlfn.CONCAT(C961,D961,E961,TIME!$M$12,Z961),HIS_SALES!$B$2:$W$4859,20,FALSE),AC961*J961/(1-J961)),0)</f>
        <v>0</v>
      </c>
      <c r="Q961" s="541" t="str">
        <f t="shared" si="346"/>
        <v/>
      </c>
      <c r="R961" s="346" t="str">
        <f t="shared" si="347"/>
        <v>00000</v>
      </c>
      <c r="S961" s="344">
        <f t="shared" si="348"/>
        <v>0</v>
      </c>
      <c r="T961" s="345" t="str">
        <f t="shared" si="361"/>
        <v>000</v>
      </c>
      <c r="U961" s="345">
        <f t="shared" si="349"/>
        <v>0</v>
      </c>
      <c r="V961" s="345">
        <f t="shared" si="350"/>
        <v>0</v>
      </c>
      <c r="W961" s="345">
        <f t="shared" si="351"/>
        <v>0</v>
      </c>
      <c r="X961" s="345">
        <f t="shared" si="352"/>
        <v>0</v>
      </c>
      <c r="Y961" s="345">
        <f t="shared" si="353"/>
        <v>0</v>
      </c>
      <c r="Z961" s="345">
        <f>IF(Q961&lt;&gt;"",VLOOKUP(Y961,TIME!$R$21:$V$24,MATCH(FC_DATA!Q961,TIME!$R$20:$V$20,0),FALSE),H961)</f>
        <v>0</v>
      </c>
      <c r="AA961" s="345" t="str">
        <f>IFERROR(VLOOKUP(X961&amp;Z961,TIME!$A$12:$D$71,4,FALSE),"")</f>
        <v/>
      </c>
      <c r="AB961" s="592">
        <f t="shared" ca="1" si="354"/>
        <v>0</v>
      </c>
      <c r="AC961" s="593" t="e">
        <f ca="1">IF(ISBLANK(H961)=FALSE,IF(D961="BRAND.com",I961,IF(ISNA(VLOOKUP(_xlfn.CONCAT(X961,Z961),TIME!$M$40:$M$42,1,FALSE)),I961,VLOOKUP(_xlfn.CONCAT(D961,G961,H961),M_BUSAREA_FC!$AF$5:$AJ$10,5,FALSE)*HLOOKUP(_xlfn.CONCAT(F961,H961),ST_OVERVIEW!$G$99:$I$130,MATCH(_xlfn.CONCAT(D961,E961),ST_OVERVIEW!$F$99:$F$130,0),FALSE))),IF(D961="BRAND.com",VLOOKUP(_xlfn.CONCAT(C961,D961,E961,TIME!$F$1,Z961),HIS_SALES!$B$2:$V$4859,19,FALSE)*I961,VLOOKUP(_xlfn.CONCAT(D961,F961,G961),Q_BUSAREA_FC!$AE$5:$AI$12,5,FALSE)*HLOOKUP(_xlfn.CONCAT(FC_DATA!F961,FC_DATA!G961),LT_OVERVIEW!$I$99:$M$130,MATCH(_xlfn.CONCAT(D961,FC_DATA!E961),LT_OVERVIEW!$H$99:$H$130,0),FALSE)*IFERROR(VLOOKUP(_xlfn.CONCAT(C961,D961,E961,TIME!$F$1,Z961),HIS_SALES!$B$2:$V$4859,19,FALSE),0)))</f>
        <v>#N/A</v>
      </c>
      <c r="AD961" s="341">
        <f t="shared" ca="1" si="355"/>
        <v>0</v>
      </c>
      <c r="AE961" s="363" t="str">
        <f t="shared" si="356"/>
        <v/>
      </c>
      <c r="AF961" s="342" t="str">
        <f t="shared" si="357"/>
        <v/>
      </c>
      <c r="AG961" s="411" t="e">
        <f ca="1">VLOOKUP(_xlfn.CONCAT(U961,V961,W961,VLOOKUP(X961&amp;Y961,TIME!$L$27:$O$34,4,FALSE),Y961),HIS_SALES!$A$2:$R$5093,18,FALSE)</f>
        <v>#N/A</v>
      </c>
      <c r="AH961" s="412" t="e">
        <f ca="1">IFERROR(IF(AND(V961=V960,W961=W960),0.5*(AB961+AB960)*AG961,(VLOOKUP(_xlfn.CONCAT(U961,V961,W961,X961,VLOOKUP(Z961,TIME!$S$28:$T$39,2,FALSE)),FC_DATA!$R$2:$AB$5000,MATCH("GS_I_M",FC_DATA!$R$1:$AB$1,0),FALSE)+FC_DATA!AB961)*0.5*FC_DATA!AG961),NA())</f>
        <v>#N/A</v>
      </c>
      <c r="AI961" s="491" t="e">
        <f ca="1">IF(V961="PARTNER.com",AH961,IF(AND(V961=V960,W961=W960),(1-AVERAGE(AD960,AD961))*AH961,(1-AVERAGE(AD961,VLOOKUP(_xlfn.CONCAT(U961,V961,W961,X961,M_BRAND_FC!$F$6),FC_DATA!$R$2:$AD$5000,MATCH("DISCOUNT_%_M",FC_DATA!$R$1:$AD$1,0),FALSE)))*AH961))</f>
        <v>#N/A</v>
      </c>
      <c r="AJ961" s="412" t="str">
        <f t="shared" ca="1" si="358"/>
        <v/>
      </c>
      <c r="AK961" s="413" t="str">
        <f>IFERROR(AE961/(Q_BRAND_FC!$T$24+1),"")</f>
        <v/>
      </c>
      <c r="AL961" s="88" t="str">
        <f t="shared" ca="1" si="359"/>
        <v/>
      </c>
      <c r="AM961" s="414" t="str">
        <f t="shared" ca="1" si="360"/>
        <v/>
      </c>
      <c r="AN961" s="58">
        <f>IFERROR(IF($V961="BRAND.com",HLOOKUP($X961&amp;$Z961,NWC_FC_NOOS!$C$4:$Q$23,MATCH(W961,NWC_FC_NOOS!$B$4:$B$23,0),FALSE),0),0)</f>
        <v>0</v>
      </c>
      <c r="AO961" s="57">
        <f>IFERROR(IF($V961="BRAND.com",HLOOKUP($X961&amp;$Z961,NWC_FC_NOOS!$T$4:$AH$23,MATCH(W961,NWC_FC_NOOS!$S$4:$S$23,0),FALSE),0),0)</f>
        <v>0</v>
      </c>
      <c r="AP961" s="57">
        <f>IFERROR(IF($V961="BRAND.com",HLOOKUP($X961&amp;$Z961,NWC_FC_NOOS!$C$50:$U$69,MATCH(W961,NWC_FC_NOOS!$B$50:$B$69,0),FALSE),0),0)</f>
        <v>0</v>
      </c>
      <c r="AQ961" s="58">
        <f>IFERROR(IF($V961="BRAND.com",HLOOKUP($X961&amp;$Z961,'NWC_FC_NON-NOOS'!$C$4:$Q$23,MATCH(W961,'NWC_FC_NON-NOOS'!$B$4:$B$23,0),FALSE),0),0)</f>
        <v>0</v>
      </c>
      <c r="AR961" s="57">
        <f>IFERROR(IF($V961="BRAND.com",HLOOKUP($X961&amp;$Z961,'NWC_FC_NON-NOOS'!$T$4:$AH$23,MATCH(W961,'NWC_FC_NON-NOOS'!$S$4:$S$23,0),FALSE),0),0)</f>
        <v>0</v>
      </c>
      <c r="AS961" s="57">
        <f>IFERROR(IF($V961="BRAND.com",HLOOKUP($X961&amp;$Z961,'NWC_FC_NON-NOOS'!$C$50:$U$69,MATCH(W961,'NWC_FC_NON-NOOS'!$B$50:$B$69,0),FALSE),0),0)</f>
        <v>0</v>
      </c>
      <c r="AT961" s="57">
        <f t="shared" si="362"/>
        <v>0</v>
      </c>
      <c r="AU961" s="57">
        <f t="shared" si="363"/>
        <v>0</v>
      </c>
      <c r="AV961" s="58">
        <f>IFERROR(IF($V961="BRAND.com",HLOOKUP($X961&amp;$Z961,PLANNING_FC!$BB$27:$BP$46,MATCH($W961,PLANNING_FC!$BA$27:$BA$46,0),FALSE),0),0)</f>
        <v>0</v>
      </c>
      <c r="AW961" s="58">
        <f>IFERROR(IF($V961="BRAND.com",HLOOKUP($X961&amp;$Z961,PLANNING_FC!$BB$4:$BP$23,MATCH($W961,PLANNING_FC!$BA$4:$BA$23,0),FALSE),0),0)</f>
        <v>0</v>
      </c>
      <c r="AX961" s="58">
        <f>IFERROR(IF($V961="BRAND.com",HLOOKUP($X961&amp;$Z961,PLANNING_FC!$T$27:$AH$46,MATCH($W961,PLANNING_FC!$B$27:$B$46,0),FALSE),0),0)</f>
        <v>0</v>
      </c>
      <c r="AY961" s="58">
        <f>IFERROR(IF($V961="BRAND.com",HLOOKUP($X961&amp;$Z961,PLANNING_FC!$T$4:$AH$23,MATCH($W961,PLANNING_FC!$B$4:$B$23,0),FALSE),0),0)</f>
        <v>0</v>
      </c>
      <c r="AZ961" s="58">
        <f>IFERROR(IF($V961="BRAND.com",HLOOKUP($X961&amp;$Z961,PLANNING_FC!$DA$27:$DO$46,MATCH($W961,PLANNING_FC!$CZ$27:$CZ$46,0),FALSE),0),0)</f>
        <v>0</v>
      </c>
      <c r="BA961" s="58">
        <f>IFERROR(IF($V961="BRAND.com",HLOOKUP($X961&amp;$Z961,PLANNING_FC!$DA$4:$DO$23,MATCH($W961,PLANNING_FC!$CZ$4:$CZ$23,0),FALSE),0),0)</f>
        <v>0</v>
      </c>
      <c r="BB961" s="883" t="str">
        <f>IF(V961="BRAND.com",IFERROR(HLOOKUP(X961&amp;Z961,PLANNING_FC!$AK$4:$AY$23,MATCH(W961,PLANNING_FC!$AJ$4:$AJ$23,0),FALSE)*1000,""),"")</f>
        <v/>
      </c>
      <c r="BC961" s="883" t="str">
        <f>IF(V961="BRAND.com",IFERROR(HLOOKUP(X961&amp;Z961,PLANNING_FC!$AK$27:$AY$46,MATCH(W961,PLANNING_FC!$AJ$27:$AJ$46,0),FALSE)*1000,""),"")</f>
        <v/>
      </c>
    </row>
    <row r="962" spans="14:55" x14ac:dyDescent="0.25">
      <c r="N962" s="56">
        <f t="shared" ref="N962:N1000" si="364">IFERROR(I962/(1-J962)*J962,0)</f>
        <v>0</v>
      </c>
      <c r="O962" s="57">
        <f t="shared" ref="O962:O1000" si="365">IFERROR(I962+N962,0)</f>
        <v>0</v>
      </c>
      <c r="P962" s="57">
        <f ca="1">IFERROR(IF(ISBLANK(H962),SUMIFS($AC:$AC,$V:$V,V962,$W:$W,W962,$X:$X,X962,$Y:$Y,Y962)*J962/(1-J962)*VLOOKUP(_xlfn.CONCAT(C962,D962,E962,TIME!$M$12,Z962),HIS_SALES!$B$2:$W$4859,20,FALSE),AC962*J962/(1-J962)),0)</f>
        <v>0</v>
      </c>
      <c r="Q962" s="541" t="str">
        <f t="shared" ref="Q962:Q1000" si="366">IF(AND(A962&lt;&gt;"",H962=""),IF(A962=A961,Q961+1,1),"")</f>
        <v/>
      </c>
      <c r="R962" s="346" t="str">
        <f t="shared" ref="R962:R1000" si="367">U962&amp;V962&amp;W962&amp;X962&amp;Z962</f>
        <v>00000</v>
      </c>
      <c r="S962" s="344">
        <f t="shared" ref="S962:S1000" si="368">B962</f>
        <v>0</v>
      </c>
      <c r="T962" s="345" t="str">
        <f t="shared" si="361"/>
        <v>000</v>
      </c>
      <c r="U962" s="345">
        <f t="shared" ref="U962:U1000" si="369">C962</f>
        <v>0</v>
      </c>
      <c r="V962" s="345">
        <f t="shared" ref="V962:V1000" si="370">D962</f>
        <v>0</v>
      </c>
      <c r="W962" s="345">
        <f t="shared" ref="W962:W1000" si="371">E962</f>
        <v>0</v>
      </c>
      <c r="X962" s="345">
        <f t="shared" ref="X962:X1000" si="372">F962</f>
        <v>0</v>
      </c>
      <c r="Y962" s="345">
        <f t="shared" ref="Y962:Y1000" si="373">G962</f>
        <v>0</v>
      </c>
      <c r="Z962" s="345">
        <f>IF(Q962&lt;&gt;"",VLOOKUP(Y962,TIME!$R$21:$V$24,MATCH(FC_DATA!Q962,TIME!$R$20:$V$20,0),FALSE),H962)</f>
        <v>0</v>
      </c>
      <c r="AA962" s="345" t="str">
        <f>IFERROR(VLOOKUP(X962&amp;Z962,TIME!$A$12:$D$71,4,FALSE),"")</f>
        <v/>
      </c>
      <c r="AB962" s="592">
        <f t="shared" ref="AB962:AB1000" ca="1" si="374">IFERROR(AC962+P962,0)</f>
        <v>0</v>
      </c>
      <c r="AC962" s="593" t="e">
        <f ca="1">IF(ISBLANK(H962)=FALSE,IF(D962="BRAND.com",I962,IF(ISNA(VLOOKUP(_xlfn.CONCAT(X962,Z962),TIME!$M$40:$M$42,1,FALSE)),I962,VLOOKUP(_xlfn.CONCAT(D962,G962,H962),M_BUSAREA_FC!$AF$5:$AJ$10,5,FALSE)*HLOOKUP(_xlfn.CONCAT(F962,H962),ST_OVERVIEW!$G$99:$I$130,MATCH(_xlfn.CONCAT(D962,E962),ST_OVERVIEW!$F$99:$F$130,0),FALSE))),IF(D962="BRAND.com",VLOOKUP(_xlfn.CONCAT(C962,D962,E962,TIME!$F$1,Z962),HIS_SALES!$B$2:$V$4859,19,FALSE)*I962,VLOOKUP(_xlfn.CONCAT(D962,F962,G962),Q_BUSAREA_FC!$AE$5:$AI$12,5,FALSE)*HLOOKUP(_xlfn.CONCAT(FC_DATA!F962,FC_DATA!G962),LT_OVERVIEW!$I$99:$M$130,MATCH(_xlfn.CONCAT(D962,FC_DATA!E962),LT_OVERVIEW!$H$99:$H$130,0),FALSE)*IFERROR(VLOOKUP(_xlfn.CONCAT(C962,D962,E962,TIME!$F$1,Z962),HIS_SALES!$B$2:$V$4859,19,FALSE),0)))</f>
        <v>#N/A</v>
      </c>
      <c r="AD962" s="341">
        <f t="shared" ref="AD962:AD1000" ca="1" si="375">IFERROR(IF(D962="PARTNER.com",0,1-AC962/AB962),0)</f>
        <v>0</v>
      </c>
      <c r="AE962" s="363" t="str">
        <f t="shared" ref="AE962:AE1000" si="376">IF(A962&lt;&gt;"",K962,"")</f>
        <v/>
      </c>
      <c r="AF962" s="342" t="str">
        <f t="shared" ref="AF962:AF1000" si="377">IF(B962&lt;&gt;"",M962,"")</f>
        <v/>
      </c>
      <c r="AG962" s="411" t="e">
        <f ca="1">VLOOKUP(_xlfn.CONCAT(U962,V962,W962,VLOOKUP(X962&amp;Y962,TIME!$L$27:$O$34,4,FALSE),Y962),HIS_SALES!$A$2:$R$5093,18,FALSE)</f>
        <v>#N/A</v>
      </c>
      <c r="AH962" s="412" t="e">
        <f ca="1">IFERROR(IF(AND(V962=V961,W962=W961),0.5*(AB962+AB961)*AG962,(VLOOKUP(_xlfn.CONCAT(U962,V962,W962,X962,VLOOKUP(Z962,TIME!$S$28:$T$39,2,FALSE)),FC_DATA!$R$2:$AB$5000,MATCH("GS_I_M",FC_DATA!$R$1:$AB$1,0),FALSE)+FC_DATA!AB962)*0.5*FC_DATA!AG962),NA())</f>
        <v>#N/A</v>
      </c>
      <c r="AI962" s="491" t="e">
        <f ca="1">IF(V962="PARTNER.com",AH962,IF(AND(V962=V961,W962=W961),(1-AVERAGE(AD961,AD962))*AH962,(1-AVERAGE(AD962,VLOOKUP(_xlfn.CONCAT(U962,V962,W962,X962,M_BRAND_FC!$F$6),FC_DATA!$R$2:$AD$5000,MATCH("DISCOUNT_%_M",FC_DATA!$R$1:$AD$1,0),FALSE)))*AH962))</f>
        <v>#N/A</v>
      </c>
      <c r="AJ962" s="412" t="str">
        <f t="shared" ref="AJ962:AJ1000" ca="1" si="378">IFERROR(AC962-AI962,"")</f>
        <v/>
      </c>
      <c r="AK962" s="413" t="str">
        <f>IFERROR(AE962/(Q_BRAND_FC!$T$24+1),"")</f>
        <v/>
      </c>
      <c r="AL962" s="88" t="str">
        <f t="shared" ref="AL962:AL1000" ca="1" si="379">IFERROR((AB962-AH962)/AK962*AF962,"")</f>
        <v/>
      </c>
      <c r="AM962" s="414" t="str">
        <f t="shared" ref="AM962:AM1000" ca="1" si="380">IFERROR((AB962-AH962)/AK962*(1-AF962),"")</f>
        <v/>
      </c>
      <c r="AN962" s="58">
        <f>IFERROR(IF($V962="BRAND.com",HLOOKUP($X962&amp;$Z962,NWC_FC_NOOS!$C$4:$Q$23,MATCH(W962,NWC_FC_NOOS!$B$4:$B$23,0),FALSE),0),0)</f>
        <v>0</v>
      </c>
      <c r="AO962" s="57">
        <f>IFERROR(IF($V962="BRAND.com",HLOOKUP($X962&amp;$Z962,NWC_FC_NOOS!$T$4:$AH$23,MATCH(W962,NWC_FC_NOOS!$S$4:$S$23,0),FALSE),0),0)</f>
        <v>0</v>
      </c>
      <c r="AP962" s="57">
        <f>IFERROR(IF($V962="BRAND.com",HLOOKUP($X962&amp;$Z962,NWC_FC_NOOS!$C$50:$U$69,MATCH(W962,NWC_FC_NOOS!$B$50:$B$69,0),FALSE),0),0)</f>
        <v>0</v>
      </c>
      <c r="AQ962" s="58">
        <f>IFERROR(IF($V962="BRAND.com",HLOOKUP($X962&amp;$Z962,'NWC_FC_NON-NOOS'!$C$4:$Q$23,MATCH(W962,'NWC_FC_NON-NOOS'!$B$4:$B$23,0),FALSE),0),0)</f>
        <v>0</v>
      </c>
      <c r="AR962" s="57">
        <f>IFERROR(IF($V962="BRAND.com",HLOOKUP($X962&amp;$Z962,'NWC_FC_NON-NOOS'!$T$4:$AH$23,MATCH(W962,'NWC_FC_NON-NOOS'!$S$4:$S$23,0),FALSE),0),0)</f>
        <v>0</v>
      </c>
      <c r="AS962" s="57">
        <f>IFERROR(IF($V962="BRAND.com",HLOOKUP($X962&amp;$Z962,'NWC_FC_NON-NOOS'!$C$50:$U$69,MATCH(W962,'NWC_FC_NON-NOOS'!$B$50:$B$69,0),FALSE),0),0)</f>
        <v>0</v>
      </c>
      <c r="AT962" s="57">
        <f t="shared" si="362"/>
        <v>0</v>
      </c>
      <c r="AU962" s="57">
        <f t="shared" si="363"/>
        <v>0</v>
      </c>
      <c r="AV962" s="58">
        <f>IFERROR(IF($V962="BRAND.com",HLOOKUP($X962&amp;$Z962,PLANNING_FC!$BB$27:$BP$46,MATCH($W962,PLANNING_FC!$BA$27:$BA$46,0),FALSE),0),0)</f>
        <v>0</v>
      </c>
      <c r="AW962" s="58">
        <f>IFERROR(IF($V962="BRAND.com",HLOOKUP($X962&amp;$Z962,PLANNING_FC!$BB$4:$BP$23,MATCH($W962,PLANNING_FC!$BA$4:$BA$23,0),FALSE),0),0)</f>
        <v>0</v>
      </c>
      <c r="AX962" s="58">
        <f>IFERROR(IF($V962="BRAND.com",HLOOKUP($X962&amp;$Z962,PLANNING_FC!$T$27:$AH$46,MATCH($W962,PLANNING_FC!$B$27:$B$46,0),FALSE),0),0)</f>
        <v>0</v>
      </c>
      <c r="AY962" s="58">
        <f>IFERROR(IF($V962="BRAND.com",HLOOKUP($X962&amp;$Z962,PLANNING_FC!$T$4:$AH$23,MATCH($W962,PLANNING_FC!$B$4:$B$23,0),FALSE),0),0)</f>
        <v>0</v>
      </c>
      <c r="AZ962" s="58">
        <f>IFERROR(IF($V962="BRAND.com",HLOOKUP($X962&amp;$Z962,PLANNING_FC!$DA$27:$DO$46,MATCH($W962,PLANNING_FC!$CZ$27:$CZ$46,0),FALSE),0),0)</f>
        <v>0</v>
      </c>
      <c r="BA962" s="58">
        <f>IFERROR(IF($V962="BRAND.com",HLOOKUP($X962&amp;$Z962,PLANNING_FC!$DA$4:$DO$23,MATCH($W962,PLANNING_FC!$CZ$4:$CZ$23,0),FALSE),0),0)</f>
        <v>0</v>
      </c>
      <c r="BB962" s="883" t="str">
        <f>IF(V962="BRAND.com",IFERROR(HLOOKUP(X962&amp;Z962,PLANNING_FC!$AK$4:$AY$23,MATCH(W962,PLANNING_FC!$AJ$4:$AJ$23,0),FALSE)*1000,""),"")</f>
        <v/>
      </c>
      <c r="BC962" s="883" t="str">
        <f>IF(V962="BRAND.com",IFERROR(HLOOKUP(X962&amp;Z962,PLANNING_FC!$AK$27:$AY$46,MATCH(W962,PLANNING_FC!$AJ$27:$AJ$46,0),FALSE)*1000,""),"")</f>
        <v/>
      </c>
    </row>
    <row r="963" spans="14:55" x14ac:dyDescent="0.25">
      <c r="N963" s="56">
        <f t="shared" si="364"/>
        <v>0</v>
      </c>
      <c r="O963" s="57">
        <f t="shared" si="365"/>
        <v>0</v>
      </c>
      <c r="P963" s="57">
        <f ca="1">IFERROR(IF(ISBLANK(H963),SUMIFS($AC:$AC,$V:$V,V963,$W:$W,W963,$X:$X,X963,$Y:$Y,Y963)*J963/(1-J963)*VLOOKUP(_xlfn.CONCAT(C963,D963,E963,TIME!$M$12,Z963),HIS_SALES!$B$2:$W$4859,20,FALSE),AC963*J963/(1-J963)),0)</f>
        <v>0</v>
      </c>
      <c r="Q963" s="541" t="str">
        <f t="shared" si="366"/>
        <v/>
      </c>
      <c r="R963" s="346" t="str">
        <f t="shared" si="367"/>
        <v>00000</v>
      </c>
      <c r="S963" s="344">
        <f t="shared" si="368"/>
        <v>0</v>
      </c>
      <c r="T963" s="345" t="str">
        <f t="shared" ref="T963:T1000" si="381">U963&amp;V963&amp;W963&amp;AA963</f>
        <v>000</v>
      </c>
      <c r="U963" s="345">
        <f t="shared" si="369"/>
        <v>0</v>
      </c>
      <c r="V963" s="345">
        <f t="shared" si="370"/>
        <v>0</v>
      </c>
      <c r="W963" s="345">
        <f t="shared" si="371"/>
        <v>0</v>
      </c>
      <c r="X963" s="345">
        <f t="shared" si="372"/>
        <v>0</v>
      </c>
      <c r="Y963" s="345">
        <f t="shared" si="373"/>
        <v>0</v>
      </c>
      <c r="Z963" s="345">
        <f>IF(Q963&lt;&gt;"",VLOOKUP(Y963,TIME!$R$21:$V$24,MATCH(FC_DATA!Q963,TIME!$R$20:$V$20,0),FALSE),H963)</f>
        <v>0</v>
      </c>
      <c r="AA963" s="345" t="str">
        <f>IFERROR(VLOOKUP(X963&amp;Z963,TIME!$A$12:$D$71,4,FALSE),"")</f>
        <v/>
      </c>
      <c r="AB963" s="592">
        <f t="shared" ca="1" si="374"/>
        <v>0</v>
      </c>
      <c r="AC963" s="593" t="e">
        <f ca="1">IF(ISBLANK(H963)=FALSE,IF(D963="BRAND.com",I963,IF(ISNA(VLOOKUP(_xlfn.CONCAT(X963,Z963),TIME!$M$40:$M$42,1,FALSE)),I963,VLOOKUP(_xlfn.CONCAT(D963,G963,H963),M_BUSAREA_FC!$AF$5:$AJ$10,5,FALSE)*HLOOKUP(_xlfn.CONCAT(F963,H963),ST_OVERVIEW!$G$99:$I$130,MATCH(_xlfn.CONCAT(D963,E963),ST_OVERVIEW!$F$99:$F$130,0),FALSE))),IF(D963="BRAND.com",VLOOKUP(_xlfn.CONCAT(C963,D963,E963,TIME!$F$1,Z963),HIS_SALES!$B$2:$V$4859,19,FALSE)*I963,VLOOKUP(_xlfn.CONCAT(D963,F963,G963),Q_BUSAREA_FC!$AE$5:$AI$12,5,FALSE)*HLOOKUP(_xlfn.CONCAT(FC_DATA!F963,FC_DATA!G963),LT_OVERVIEW!$I$99:$M$130,MATCH(_xlfn.CONCAT(D963,FC_DATA!E963),LT_OVERVIEW!$H$99:$H$130,0),FALSE)*IFERROR(VLOOKUP(_xlfn.CONCAT(C963,D963,E963,TIME!$F$1,Z963),HIS_SALES!$B$2:$V$4859,19,FALSE),0)))</f>
        <v>#N/A</v>
      </c>
      <c r="AD963" s="341">
        <f t="shared" ca="1" si="375"/>
        <v>0</v>
      </c>
      <c r="AE963" s="363" t="str">
        <f t="shared" si="376"/>
        <v/>
      </c>
      <c r="AF963" s="342" t="str">
        <f t="shared" si="377"/>
        <v/>
      </c>
      <c r="AG963" s="411" t="e">
        <f ca="1">VLOOKUP(_xlfn.CONCAT(U963,V963,W963,VLOOKUP(X963&amp;Y963,TIME!$L$27:$O$34,4,FALSE),Y963),HIS_SALES!$A$2:$R$5093,18,FALSE)</f>
        <v>#N/A</v>
      </c>
      <c r="AH963" s="412" t="e">
        <f ca="1">IFERROR(IF(AND(V963=V962,W963=W962),0.5*(AB963+AB962)*AG963,(VLOOKUP(_xlfn.CONCAT(U963,V963,W963,X963,VLOOKUP(Z963,TIME!$S$28:$T$39,2,FALSE)),FC_DATA!$R$2:$AB$5000,MATCH("GS_I_M",FC_DATA!$R$1:$AB$1,0),FALSE)+FC_DATA!AB963)*0.5*FC_DATA!AG963),NA())</f>
        <v>#N/A</v>
      </c>
      <c r="AI963" s="491" t="e">
        <f ca="1">IF(V963="PARTNER.com",AH963,IF(AND(V963=V962,W963=W962),(1-AVERAGE(AD962,AD963))*AH963,(1-AVERAGE(AD963,VLOOKUP(_xlfn.CONCAT(U963,V963,W963,X963,M_BRAND_FC!$F$6),FC_DATA!$R$2:$AD$5000,MATCH("DISCOUNT_%_M",FC_DATA!$R$1:$AD$1,0),FALSE)))*AH963))</f>
        <v>#N/A</v>
      </c>
      <c r="AJ963" s="412" t="str">
        <f t="shared" ca="1" si="378"/>
        <v/>
      </c>
      <c r="AK963" s="413" t="str">
        <f>IFERROR(AE963/(Q_BRAND_FC!$T$24+1),"")</f>
        <v/>
      </c>
      <c r="AL963" s="88" t="str">
        <f t="shared" ca="1" si="379"/>
        <v/>
      </c>
      <c r="AM963" s="414" t="str">
        <f t="shared" ca="1" si="380"/>
        <v/>
      </c>
      <c r="AN963" s="58">
        <f>IFERROR(IF($V963="BRAND.com",HLOOKUP($X963&amp;$Z963,NWC_FC_NOOS!$C$4:$Q$23,MATCH(W963,NWC_FC_NOOS!$B$4:$B$23,0),FALSE),0),0)</f>
        <v>0</v>
      </c>
      <c r="AO963" s="57">
        <f>IFERROR(IF($V963="BRAND.com",HLOOKUP($X963&amp;$Z963,NWC_FC_NOOS!$T$4:$AH$23,MATCH(W963,NWC_FC_NOOS!$S$4:$S$23,0),FALSE),0),0)</f>
        <v>0</v>
      </c>
      <c r="AP963" s="57">
        <f>IFERROR(IF($V963="BRAND.com",HLOOKUP($X963&amp;$Z963,NWC_FC_NOOS!$C$50:$U$69,MATCH(W963,NWC_FC_NOOS!$B$50:$B$69,0),FALSE),0),0)</f>
        <v>0</v>
      </c>
      <c r="AQ963" s="58">
        <f>IFERROR(IF($V963="BRAND.com",HLOOKUP($X963&amp;$Z963,'NWC_FC_NON-NOOS'!$C$4:$Q$23,MATCH(W963,'NWC_FC_NON-NOOS'!$B$4:$B$23,0),FALSE),0),0)</f>
        <v>0</v>
      </c>
      <c r="AR963" s="57">
        <f>IFERROR(IF($V963="BRAND.com",HLOOKUP($X963&amp;$Z963,'NWC_FC_NON-NOOS'!$T$4:$AH$23,MATCH(W963,'NWC_FC_NON-NOOS'!$S$4:$S$23,0),FALSE),0),0)</f>
        <v>0</v>
      </c>
      <c r="AS963" s="57">
        <f>IFERROR(IF($V963="BRAND.com",HLOOKUP($X963&amp;$Z963,'NWC_FC_NON-NOOS'!$C$50:$U$69,MATCH(W963,'NWC_FC_NON-NOOS'!$B$50:$B$69,0),FALSE),0),0)</f>
        <v>0</v>
      </c>
      <c r="AT963" s="57">
        <f t="shared" ref="AT963:AT1000" si="382">AO963+AR963</f>
        <v>0</v>
      </c>
      <c r="AU963" s="57">
        <f t="shared" ref="AU963:AU1000" si="383">AP963+AS963</f>
        <v>0</v>
      </c>
      <c r="AV963" s="58">
        <f>IFERROR(IF($V963="BRAND.com",HLOOKUP($X963&amp;$Z963,PLANNING_FC!$BB$27:$BP$46,MATCH($W963,PLANNING_FC!$BA$27:$BA$46,0),FALSE),0),0)</f>
        <v>0</v>
      </c>
      <c r="AW963" s="58">
        <f>IFERROR(IF($V963="BRAND.com",HLOOKUP($X963&amp;$Z963,PLANNING_FC!$BB$4:$BP$23,MATCH($W963,PLANNING_FC!$BA$4:$BA$23,0),FALSE),0),0)</f>
        <v>0</v>
      </c>
      <c r="AX963" s="58">
        <f>IFERROR(IF($V963="BRAND.com",HLOOKUP($X963&amp;$Z963,PLANNING_FC!$T$27:$AH$46,MATCH($W963,PLANNING_FC!$B$27:$B$46,0),FALSE),0),0)</f>
        <v>0</v>
      </c>
      <c r="AY963" s="58">
        <f>IFERROR(IF($V963="BRAND.com",HLOOKUP($X963&amp;$Z963,PLANNING_FC!$T$4:$AH$23,MATCH($W963,PLANNING_FC!$B$4:$B$23,0),FALSE),0),0)</f>
        <v>0</v>
      </c>
      <c r="AZ963" s="58">
        <f>IFERROR(IF($V963="BRAND.com",HLOOKUP($X963&amp;$Z963,PLANNING_FC!$DA$27:$DO$46,MATCH($W963,PLANNING_FC!$CZ$27:$CZ$46,0),FALSE),0),0)</f>
        <v>0</v>
      </c>
      <c r="BA963" s="58">
        <f>IFERROR(IF($V963="BRAND.com",HLOOKUP($X963&amp;$Z963,PLANNING_FC!$DA$4:$DO$23,MATCH($W963,PLANNING_FC!$CZ$4:$CZ$23,0),FALSE),0),0)</f>
        <v>0</v>
      </c>
      <c r="BB963" s="883" t="str">
        <f>IF(V963="BRAND.com",IFERROR(HLOOKUP(X963&amp;Z963,PLANNING_FC!$AK$4:$AY$23,MATCH(W963,PLANNING_FC!$AJ$4:$AJ$23,0),FALSE)*1000,""),"")</f>
        <v/>
      </c>
      <c r="BC963" s="883" t="str">
        <f>IF(V963="BRAND.com",IFERROR(HLOOKUP(X963&amp;Z963,PLANNING_FC!$AK$27:$AY$46,MATCH(W963,PLANNING_FC!$AJ$27:$AJ$46,0),FALSE)*1000,""),"")</f>
        <v/>
      </c>
    </row>
    <row r="964" spans="14:55" x14ac:dyDescent="0.25">
      <c r="N964" s="56">
        <f t="shared" si="364"/>
        <v>0</v>
      </c>
      <c r="O964" s="57">
        <f t="shared" si="365"/>
        <v>0</v>
      </c>
      <c r="P964" s="57">
        <f ca="1">IFERROR(IF(ISBLANK(H964),SUMIFS($AC:$AC,$V:$V,V964,$W:$W,W964,$X:$X,X964,$Y:$Y,Y964)*J964/(1-J964)*VLOOKUP(_xlfn.CONCAT(C964,D964,E964,TIME!$M$12,Z964),HIS_SALES!$B$2:$W$4859,20,FALSE),AC964*J964/(1-J964)),0)</f>
        <v>0</v>
      </c>
      <c r="Q964" s="541" t="str">
        <f t="shared" si="366"/>
        <v/>
      </c>
      <c r="R964" s="346" t="str">
        <f t="shared" si="367"/>
        <v>00000</v>
      </c>
      <c r="S964" s="344">
        <f t="shared" si="368"/>
        <v>0</v>
      </c>
      <c r="T964" s="345" t="str">
        <f t="shared" si="381"/>
        <v>000</v>
      </c>
      <c r="U964" s="345">
        <f t="shared" si="369"/>
        <v>0</v>
      </c>
      <c r="V964" s="345">
        <f t="shared" si="370"/>
        <v>0</v>
      </c>
      <c r="W964" s="345">
        <f t="shared" si="371"/>
        <v>0</v>
      </c>
      <c r="X964" s="345">
        <f t="shared" si="372"/>
        <v>0</v>
      </c>
      <c r="Y964" s="345">
        <f t="shared" si="373"/>
        <v>0</v>
      </c>
      <c r="Z964" s="345">
        <f>IF(Q964&lt;&gt;"",VLOOKUP(Y964,TIME!$R$21:$V$24,MATCH(FC_DATA!Q964,TIME!$R$20:$V$20,0),FALSE),H964)</f>
        <v>0</v>
      </c>
      <c r="AA964" s="345" t="str">
        <f>IFERROR(VLOOKUP(X964&amp;Z964,TIME!$A$12:$D$71,4,FALSE),"")</f>
        <v/>
      </c>
      <c r="AB964" s="592">
        <f t="shared" ca="1" si="374"/>
        <v>0</v>
      </c>
      <c r="AC964" s="593" t="e">
        <f ca="1">IF(ISBLANK(H964)=FALSE,IF(D964="BRAND.com",I964,IF(ISNA(VLOOKUP(_xlfn.CONCAT(X964,Z964),TIME!$M$40:$M$42,1,FALSE)),I964,VLOOKUP(_xlfn.CONCAT(D964,G964,H964),M_BUSAREA_FC!$AF$5:$AJ$10,5,FALSE)*HLOOKUP(_xlfn.CONCAT(F964,H964),ST_OVERVIEW!$G$99:$I$130,MATCH(_xlfn.CONCAT(D964,E964),ST_OVERVIEW!$F$99:$F$130,0),FALSE))),IF(D964="BRAND.com",VLOOKUP(_xlfn.CONCAT(C964,D964,E964,TIME!$F$1,Z964),HIS_SALES!$B$2:$V$4859,19,FALSE)*I964,VLOOKUP(_xlfn.CONCAT(D964,F964,G964),Q_BUSAREA_FC!$AE$5:$AI$12,5,FALSE)*HLOOKUP(_xlfn.CONCAT(FC_DATA!F964,FC_DATA!G964),LT_OVERVIEW!$I$99:$M$130,MATCH(_xlfn.CONCAT(D964,FC_DATA!E964),LT_OVERVIEW!$H$99:$H$130,0),FALSE)*IFERROR(VLOOKUP(_xlfn.CONCAT(C964,D964,E964,TIME!$F$1,Z964),HIS_SALES!$B$2:$V$4859,19,FALSE),0)))</f>
        <v>#N/A</v>
      </c>
      <c r="AD964" s="341">
        <f t="shared" ca="1" si="375"/>
        <v>0</v>
      </c>
      <c r="AE964" s="363" t="str">
        <f t="shared" si="376"/>
        <v/>
      </c>
      <c r="AF964" s="342" t="str">
        <f t="shared" si="377"/>
        <v/>
      </c>
      <c r="AG964" s="411" t="e">
        <f ca="1">VLOOKUP(_xlfn.CONCAT(U964,V964,W964,VLOOKUP(X964&amp;Y964,TIME!$L$27:$O$34,4,FALSE),Y964),HIS_SALES!$A$2:$R$5093,18,FALSE)</f>
        <v>#N/A</v>
      </c>
      <c r="AH964" s="412" t="e">
        <f ca="1">IFERROR(IF(AND(V964=V963,W964=W963),0.5*(AB964+AB963)*AG964,(VLOOKUP(_xlfn.CONCAT(U964,V964,W964,X964,VLOOKUP(Z964,TIME!$S$28:$T$39,2,FALSE)),FC_DATA!$R$2:$AB$5000,MATCH("GS_I_M",FC_DATA!$R$1:$AB$1,0),FALSE)+FC_DATA!AB964)*0.5*FC_DATA!AG964),NA())</f>
        <v>#N/A</v>
      </c>
      <c r="AI964" s="491" t="e">
        <f ca="1">IF(V964="PARTNER.com",AH964,IF(AND(V964=V963,W964=W963),(1-AVERAGE(AD963,AD964))*AH964,(1-AVERAGE(AD964,VLOOKUP(_xlfn.CONCAT(U964,V964,W964,X964,M_BRAND_FC!$F$6),FC_DATA!$R$2:$AD$5000,MATCH("DISCOUNT_%_M",FC_DATA!$R$1:$AD$1,0),FALSE)))*AH964))</f>
        <v>#N/A</v>
      </c>
      <c r="AJ964" s="412" t="str">
        <f t="shared" ca="1" si="378"/>
        <v/>
      </c>
      <c r="AK964" s="413" t="str">
        <f>IFERROR(AE964/(Q_BRAND_FC!$T$24+1),"")</f>
        <v/>
      </c>
      <c r="AL964" s="88" t="str">
        <f t="shared" ca="1" si="379"/>
        <v/>
      </c>
      <c r="AM964" s="414" t="str">
        <f t="shared" ca="1" si="380"/>
        <v/>
      </c>
      <c r="AN964" s="58">
        <f>IFERROR(IF($V964="BRAND.com",HLOOKUP($X964&amp;$Z964,NWC_FC_NOOS!$C$4:$Q$23,MATCH(W964,NWC_FC_NOOS!$B$4:$B$23,0),FALSE),0),0)</f>
        <v>0</v>
      </c>
      <c r="AO964" s="57">
        <f>IFERROR(IF($V964="BRAND.com",HLOOKUP($X964&amp;$Z964,NWC_FC_NOOS!$T$4:$AH$23,MATCH(W964,NWC_FC_NOOS!$S$4:$S$23,0),FALSE),0),0)</f>
        <v>0</v>
      </c>
      <c r="AP964" s="57">
        <f>IFERROR(IF($V964="BRAND.com",HLOOKUP($X964&amp;$Z964,NWC_FC_NOOS!$C$50:$U$69,MATCH(W964,NWC_FC_NOOS!$B$50:$B$69,0),FALSE),0),0)</f>
        <v>0</v>
      </c>
      <c r="AQ964" s="58">
        <f>IFERROR(IF($V964="BRAND.com",HLOOKUP($X964&amp;$Z964,'NWC_FC_NON-NOOS'!$C$4:$Q$23,MATCH(W964,'NWC_FC_NON-NOOS'!$B$4:$B$23,0),FALSE),0),0)</f>
        <v>0</v>
      </c>
      <c r="AR964" s="57">
        <f>IFERROR(IF($V964="BRAND.com",HLOOKUP($X964&amp;$Z964,'NWC_FC_NON-NOOS'!$T$4:$AH$23,MATCH(W964,'NWC_FC_NON-NOOS'!$S$4:$S$23,0),FALSE),0),0)</f>
        <v>0</v>
      </c>
      <c r="AS964" s="57">
        <f>IFERROR(IF($V964="BRAND.com",HLOOKUP($X964&amp;$Z964,'NWC_FC_NON-NOOS'!$C$50:$U$69,MATCH(W964,'NWC_FC_NON-NOOS'!$B$50:$B$69,0),FALSE),0),0)</f>
        <v>0</v>
      </c>
      <c r="AT964" s="57">
        <f t="shared" si="382"/>
        <v>0</v>
      </c>
      <c r="AU964" s="57">
        <f t="shared" si="383"/>
        <v>0</v>
      </c>
      <c r="AV964" s="58">
        <f>IFERROR(IF($V964="BRAND.com",HLOOKUP($X964&amp;$Z964,PLANNING_FC!$BB$27:$BP$46,MATCH($W964,PLANNING_FC!$BA$27:$BA$46,0),FALSE),0),0)</f>
        <v>0</v>
      </c>
      <c r="AW964" s="58">
        <f>IFERROR(IF($V964="BRAND.com",HLOOKUP($X964&amp;$Z964,PLANNING_FC!$BB$4:$BP$23,MATCH($W964,PLANNING_FC!$BA$4:$BA$23,0),FALSE),0),0)</f>
        <v>0</v>
      </c>
      <c r="AX964" s="58">
        <f>IFERROR(IF($V964="BRAND.com",HLOOKUP($X964&amp;$Z964,PLANNING_FC!$T$27:$AH$46,MATCH($W964,PLANNING_FC!$B$27:$B$46,0),FALSE),0),0)</f>
        <v>0</v>
      </c>
      <c r="AY964" s="58">
        <f>IFERROR(IF($V964="BRAND.com",HLOOKUP($X964&amp;$Z964,PLANNING_FC!$T$4:$AH$23,MATCH($W964,PLANNING_FC!$B$4:$B$23,0),FALSE),0),0)</f>
        <v>0</v>
      </c>
      <c r="AZ964" s="58">
        <f>IFERROR(IF($V964="BRAND.com",HLOOKUP($X964&amp;$Z964,PLANNING_FC!$DA$27:$DO$46,MATCH($W964,PLANNING_FC!$CZ$27:$CZ$46,0),FALSE),0),0)</f>
        <v>0</v>
      </c>
      <c r="BA964" s="58">
        <f>IFERROR(IF($V964="BRAND.com",HLOOKUP($X964&amp;$Z964,PLANNING_FC!$DA$4:$DO$23,MATCH($W964,PLANNING_FC!$CZ$4:$CZ$23,0),FALSE),0),0)</f>
        <v>0</v>
      </c>
      <c r="BB964" s="883" t="str">
        <f>IF(V964="BRAND.com",IFERROR(HLOOKUP(X964&amp;Z964,PLANNING_FC!$AK$4:$AY$23,MATCH(W964,PLANNING_FC!$AJ$4:$AJ$23,0),FALSE)*1000,""),"")</f>
        <v/>
      </c>
      <c r="BC964" s="883" t="str">
        <f>IF(V964="BRAND.com",IFERROR(HLOOKUP(X964&amp;Z964,PLANNING_FC!$AK$27:$AY$46,MATCH(W964,PLANNING_FC!$AJ$27:$AJ$46,0),FALSE)*1000,""),"")</f>
        <v/>
      </c>
    </row>
    <row r="965" spans="14:55" x14ac:dyDescent="0.25">
      <c r="N965" s="56">
        <f t="shared" si="364"/>
        <v>0</v>
      </c>
      <c r="O965" s="57">
        <f t="shared" si="365"/>
        <v>0</v>
      </c>
      <c r="P965" s="57">
        <f ca="1">IFERROR(IF(ISBLANK(H965),SUMIFS($AC:$AC,$V:$V,V965,$W:$W,W965,$X:$X,X965,$Y:$Y,Y965)*J965/(1-J965)*VLOOKUP(_xlfn.CONCAT(C965,D965,E965,TIME!$M$12,Z965),HIS_SALES!$B$2:$W$4859,20,FALSE),AC965*J965/(1-J965)),0)</f>
        <v>0</v>
      </c>
      <c r="Q965" s="541" t="str">
        <f t="shared" si="366"/>
        <v/>
      </c>
      <c r="R965" s="346" t="str">
        <f t="shared" si="367"/>
        <v>00000</v>
      </c>
      <c r="S965" s="344">
        <f t="shared" si="368"/>
        <v>0</v>
      </c>
      <c r="T965" s="345" t="str">
        <f t="shared" si="381"/>
        <v>000</v>
      </c>
      <c r="U965" s="345">
        <f t="shared" si="369"/>
        <v>0</v>
      </c>
      <c r="V965" s="345">
        <f t="shared" si="370"/>
        <v>0</v>
      </c>
      <c r="W965" s="345">
        <f t="shared" si="371"/>
        <v>0</v>
      </c>
      <c r="X965" s="345">
        <f t="shared" si="372"/>
        <v>0</v>
      </c>
      <c r="Y965" s="345">
        <f t="shared" si="373"/>
        <v>0</v>
      </c>
      <c r="Z965" s="345">
        <f>IF(Q965&lt;&gt;"",VLOOKUP(Y965,TIME!$R$21:$V$24,MATCH(FC_DATA!Q965,TIME!$R$20:$V$20,0),FALSE),H965)</f>
        <v>0</v>
      </c>
      <c r="AA965" s="345" t="str">
        <f>IFERROR(VLOOKUP(X965&amp;Z965,TIME!$A$12:$D$71,4,FALSE),"")</f>
        <v/>
      </c>
      <c r="AB965" s="592">
        <f t="shared" ca="1" si="374"/>
        <v>0</v>
      </c>
      <c r="AC965" s="593" t="e">
        <f ca="1">IF(ISBLANK(H965)=FALSE,IF(D965="BRAND.com",I965,IF(ISNA(VLOOKUP(_xlfn.CONCAT(X965,Z965),TIME!$M$40:$M$42,1,FALSE)),I965,VLOOKUP(_xlfn.CONCAT(D965,G965,H965),M_BUSAREA_FC!$AF$5:$AJ$10,5,FALSE)*HLOOKUP(_xlfn.CONCAT(F965,H965),ST_OVERVIEW!$G$99:$I$130,MATCH(_xlfn.CONCAT(D965,E965),ST_OVERVIEW!$F$99:$F$130,0),FALSE))),IF(D965="BRAND.com",VLOOKUP(_xlfn.CONCAT(C965,D965,E965,TIME!$F$1,Z965),HIS_SALES!$B$2:$V$4859,19,FALSE)*I965,VLOOKUP(_xlfn.CONCAT(D965,F965,G965),Q_BUSAREA_FC!$AE$5:$AI$12,5,FALSE)*HLOOKUP(_xlfn.CONCAT(FC_DATA!F965,FC_DATA!G965),LT_OVERVIEW!$I$99:$M$130,MATCH(_xlfn.CONCAT(D965,FC_DATA!E965),LT_OVERVIEW!$H$99:$H$130,0),FALSE)*IFERROR(VLOOKUP(_xlfn.CONCAT(C965,D965,E965,TIME!$F$1,Z965),HIS_SALES!$B$2:$V$4859,19,FALSE),0)))</f>
        <v>#N/A</v>
      </c>
      <c r="AD965" s="341">
        <f t="shared" ca="1" si="375"/>
        <v>0</v>
      </c>
      <c r="AE965" s="363" t="str">
        <f t="shared" si="376"/>
        <v/>
      </c>
      <c r="AF965" s="342" t="str">
        <f t="shared" si="377"/>
        <v/>
      </c>
      <c r="AG965" s="411" t="e">
        <f ca="1">VLOOKUP(_xlfn.CONCAT(U965,V965,W965,VLOOKUP(X965&amp;Y965,TIME!$L$27:$O$34,4,FALSE),Y965),HIS_SALES!$A$2:$R$5093,18,FALSE)</f>
        <v>#N/A</v>
      </c>
      <c r="AH965" s="412" t="e">
        <f ca="1">IFERROR(IF(AND(V965=V964,W965=W964),0.5*(AB965+AB964)*AG965,(VLOOKUP(_xlfn.CONCAT(U965,V965,W965,X965,VLOOKUP(Z965,TIME!$S$28:$T$39,2,FALSE)),FC_DATA!$R$2:$AB$5000,MATCH("GS_I_M",FC_DATA!$R$1:$AB$1,0),FALSE)+FC_DATA!AB965)*0.5*FC_DATA!AG965),NA())</f>
        <v>#N/A</v>
      </c>
      <c r="AI965" s="491" t="e">
        <f ca="1">IF(V965="PARTNER.com",AH965,IF(AND(V965=V964,W965=W964),(1-AVERAGE(AD964,AD965))*AH965,(1-AVERAGE(AD965,VLOOKUP(_xlfn.CONCAT(U965,V965,W965,X965,M_BRAND_FC!$F$6),FC_DATA!$R$2:$AD$5000,MATCH("DISCOUNT_%_M",FC_DATA!$R$1:$AD$1,0),FALSE)))*AH965))</f>
        <v>#N/A</v>
      </c>
      <c r="AJ965" s="412" t="str">
        <f t="shared" ca="1" si="378"/>
        <v/>
      </c>
      <c r="AK965" s="413" t="str">
        <f>IFERROR(AE965/(Q_BRAND_FC!$T$24+1),"")</f>
        <v/>
      </c>
      <c r="AL965" s="88" t="str">
        <f t="shared" ca="1" si="379"/>
        <v/>
      </c>
      <c r="AM965" s="414" t="str">
        <f t="shared" ca="1" si="380"/>
        <v/>
      </c>
      <c r="AN965" s="58">
        <f>IFERROR(IF($V965="BRAND.com",HLOOKUP($X965&amp;$Z965,NWC_FC_NOOS!$C$4:$Q$23,MATCH(W965,NWC_FC_NOOS!$B$4:$B$23,0),FALSE),0),0)</f>
        <v>0</v>
      </c>
      <c r="AO965" s="57">
        <f>IFERROR(IF($V965="BRAND.com",HLOOKUP($X965&amp;$Z965,NWC_FC_NOOS!$T$4:$AH$23,MATCH(W965,NWC_FC_NOOS!$S$4:$S$23,0),FALSE),0),0)</f>
        <v>0</v>
      </c>
      <c r="AP965" s="57">
        <f>IFERROR(IF($V965="BRAND.com",HLOOKUP($X965&amp;$Z965,NWC_FC_NOOS!$C$50:$U$69,MATCH(W965,NWC_FC_NOOS!$B$50:$B$69,0),FALSE),0),0)</f>
        <v>0</v>
      </c>
      <c r="AQ965" s="58">
        <f>IFERROR(IF($V965="BRAND.com",HLOOKUP($X965&amp;$Z965,'NWC_FC_NON-NOOS'!$C$4:$Q$23,MATCH(W965,'NWC_FC_NON-NOOS'!$B$4:$B$23,0),FALSE),0),0)</f>
        <v>0</v>
      </c>
      <c r="AR965" s="57">
        <f>IFERROR(IF($V965="BRAND.com",HLOOKUP($X965&amp;$Z965,'NWC_FC_NON-NOOS'!$T$4:$AH$23,MATCH(W965,'NWC_FC_NON-NOOS'!$S$4:$S$23,0),FALSE),0),0)</f>
        <v>0</v>
      </c>
      <c r="AS965" s="57">
        <f>IFERROR(IF($V965="BRAND.com",HLOOKUP($X965&amp;$Z965,'NWC_FC_NON-NOOS'!$C$50:$U$69,MATCH(W965,'NWC_FC_NON-NOOS'!$B$50:$B$69,0),FALSE),0),0)</f>
        <v>0</v>
      </c>
      <c r="AT965" s="57">
        <f t="shared" si="382"/>
        <v>0</v>
      </c>
      <c r="AU965" s="57">
        <f t="shared" si="383"/>
        <v>0</v>
      </c>
      <c r="AV965" s="58">
        <f>IFERROR(IF($V965="BRAND.com",HLOOKUP($X965&amp;$Z965,PLANNING_FC!$BB$27:$BP$46,MATCH($W965,PLANNING_FC!$BA$27:$BA$46,0),FALSE),0),0)</f>
        <v>0</v>
      </c>
      <c r="AW965" s="58">
        <f>IFERROR(IF($V965="BRAND.com",HLOOKUP($X965&amp;$Z965,PLANNING_FC!$BB$4:$BP$23,MATCH($W965,PLANNING_FC!$BA$4:$BA$23,0),FALSE),0),0)</f>
        <v>0</v>
      </c>
      <c r="AX965" s="58">
        <f>IFERROR(IF($V965="BRAND.com",HLOOKUP($X965&amp;$Z965,PLANNING_FC!$T$27:$AH$46,MATCH($W965,PLANNING_FC!$B$27:$B$46,0),FALSE),0),0)</f>
        <v>0</v>
      </c>
      <c r="AY965" s="58">
        <f>IFERROR(IF($V965="BRAND.com",HLOOKUP($X965&amp;$Z965,PLANNING_FC!$T$4:$AH$23,MATCH($W965,PLANNING_FC!$B$4:$B$23,0),FALSE),0),0)</f>
        <v>0</v>
      </c>
      <c r="AZ965" s="58">
        <f>IFERROR(IF($V965="BRAND.com",HLOOKUP($X965&amp;$Z965,PLANNING_FC!$DA$27:$DO$46,MATCH($W965,PLANNING_FC!$CZ$27:$CZ$46,0),FALSE),0),0)</f>
        <v>0</v>
      </c>
      <c r="BA965" s="58">
        <f>IFERROR(IF($V965="BRAND.com",HLOOKUP($X965&amp;$Z965,PLANNING_FC!$DA$4:$DO$23,MATCH($W965,PLANNING_FC!$CZ$4:$CZ$23,0),FALSE),0),0)</f>
        <v>0</v>
      </c>
      <c r="BB965" s="883" t="str">
        <f>IF(V965="BRAND.com",IFERROR(HLOOKUP(X965&amp;Z965,PLANNING_FC!$AK$4:$AY$23,MATCH(W965,PLANNING_FC!$AJ$4:$AJ$23,0),FALSE)*1000,""),"")</f>
        <v/>
      </c>
      <c r="BC965" s="883" t="str">
        <f>IF(V965="BRAND.com",IFERROR(HLOOKUP(X965&amp;Z965,PLANNING_FC!$AK$27:$AY$46,MATCH(W965,PLANNING_FC!$AJ$27:$AJ$46,0),FALSE)*1000,""),"")</f>
        <v/>
      </c>
    </row>
    <row r="966" spans="14:55" x14ac:dyDescent="0.25">
      <c r="N966" s="56">
        <f t="shared" si="364"/>
        <v>0</v>
      </c>
      <c r="O966" s="57">
        <f t="shared" si="365"/>
        <v>0</v>
      </c>
      <c r="P966" s="57">
        <f ca="1">IFERROR(IF(ISBLANK(H966),SUMIFS($AC:$AC,$V:$V,V966,$W:$W,W966,$X:$X,X966,$Y:$Y,Y966)*J966/(1-J966)*VLOOKUP(_xlfn.CONCAT(C966,D966,E966,TIME!$M$12,Z966),HIS_SALES!$B$2:$W$4859,20,FALSE),AC966*J966/(1-J966)),0)</f>
        <v>0</v>
      </c>
      <c r="Q966" s="541" t="str">
        <f t="shared" si="366"/>
        <v/>
      </c>
      <c r="R966" s="346" t="str">
        <f t="shared" si="367"/>
        <v>00000</v>
      </c>
      <c r="S966" s="344">
        <f t="shared" si="368"/>
        <v>0</v>
      </c>
      <c r="T966" s="345" t="str">
        <f t="shared" si="381"/>
        <v>000</v>
      </c>
      <c r="U966" s="345">
        <f t="shared" si="369"/>
        <v>0</v>
      </c>
      <c r="V966" s="345">
        <f t="shared" si="370"/>
        <v>0</v>
      </c>
      <c r="W966" s="345">
        <f t="shared" si="371"/>
        <v>0</v>
      </c>
      <c r="X966" s="345">
        <f t="shared" si="372"/>
        <v>0</v>
      </c>
      <c r="Y966" s="345">
        <f t="shared" si="373"/>
        <v>0</v>
      </c>
      <c r="Z966" s="345">
        <f>IF(Q966&lt;&gt;"",VLOOKUP(Y966,TIME!$R$21:$V$24,MATCH(FC_DATA!Q966,TIME!$R$20:$V$20,0),FALSE),H966)</f>
        <v>0</v>
      </c>
      <c r="AA966" s="345" t="str">
        <f>IFERROR(VLOOKUP(X966&amp;Z966,TIME!$A$12:$D$71,4,FALSE),"")</f>
        <v/>
      </c>
      <c r="AB966" s="592">
        <f t="shared" ca="1" si="374"/>
        <v>0</v>
      </c>
      <c r="AC966" s="593" t="e">
        <f ca="1">IF(ISBLANK(H966)=FALSE,IF(D966="BRAND.com",I966,IF(ISNA(VLOOKUP(_xlfn.CONCAT(X966,Z966),TIME!$M$40:$M$42,1,FALSE)),I966,VLOOKUP(_xlfn.CONCAT(D966,G966,H966),M_BUSAREA_FC!$AF$5:$AJ$10,5,FALSE)*HLOOKUP(_xlfn.CONCAT(F966,H966),ST_OVERVIEW!$G$99:$I$130,MATCH(_xlfn.CONCAT(D966,E966),ST_OVERVIEW!$F$99:$F$130,0),FALSE))),IF(D966="BRAND.com",VLOOKUP(_xlfn.CONCAT(C966,D966,E966,TIME!$F$1,Z966),HIS_SALES!$B$2:$V$4859,19,FALSE)*I966,VLOOKUP(_xlfn.CONCAT(D966,F966,G966),Q_BUSAREA_FC!$AE$5:$AI$12,5,FALSE)*HLOOKUP(_xlfn.CONCAT(FC_DATA!F966,FC_DATA!G966),LT_OVERVIEW!$I$99:$M$130,MATCH(_xlfn.CONCAT(D966,FC_DATA!E966),LT_OVERVIEW!$H$99:$H$130,0),FALSE)*IFERROR(VLOOKUP(_xlfn.CONCAT(C966,D966,E966,TIME!$F$1,Z966),HIS_SALES!$B$2:$V$4859,19,FALSE),0)))</f>
        <v>#N/A</v>
      </c>
      <c r="AD966" s="341">
        <f t="shared" ca="1" si="375"/>
        <v>0</v>
      </c>
      <c r="AE966" s="363" t="str">
        <f t="shared" si="376"/>
        <v/>
      </c>
      <c r="AF966" s="342" t="str">
        <f t="shared" si="377"/>
        <v/>
      </c>
      <c r="AG966" s="411" t="e">
        <f ca="1">VLOOKUP(_xlfn.CONCAT(U966,V966,W966,VLOOKUP(X966&amp;Y966,TIME!$L$27:$O$34,4,FALSE),Y966),HIS_SALES!$A$2:$R$5093,18,FALSE)</f>
        <v>#N/A</v>
      </c>
      <c r="AH966" s="412" t="e">
        <f ca="1">IFERROR(IF(AND(V966=V965,W966=W965),0.5*(AB966+AB965)*AG966,(VLOOKUP(_xlfn.CONCAT(U966,V966,W966,X966,VLOOKUP(Z966,TIME!$S$28:$T$39,2,FALSE)),FC_DATA!$R$2:$AB$5000,MATCH("GS_I_M",FC_DATA!$R$1:$AB$1,0),FALSE)+FC_DATA!AB966)*0.5*FC_DATA!AG966),NA())</f>
        <v>#N/A</v>
      </c>
      <c r="AI966" s="491" t="e">
        <f ca="1">IF(V966="PARTNER.com",AH966,IF(AND(V966=V965,W966=W965),(1-AVERAGE(AD965,AD966))*AH966,(1-AVERAGE(AD966,VLOOKUP(_xlfn.CONCAT(U966,V966,W966,X966,M_BRAND_FC!$F$6),FC_DATA!$R$2:$AD$5000,MATCH("DISCOUNT_%_M",FC_DATA!$R$1:$AD$1,0),FALSE)))*AH966))</f>
        <v>#N/A</v>
      </c>
      <c r="AJ966" s="412" t="str">
        <f t="shared" ca="1" si="378"/>
        <v/>
      </c>
      <c r="AK966" s="413" t="str">
        <f>IFERROR(AE966/(Q_BRAND_FC!$T$24+1),"")</f>
        <v/>
      </c>
      <c r="AL966" s="88" t="str">
        <f t="shared" ca="1" si="379"/>
        <v/>
      </c>
      <c r="AM966" s="414" t="str">
        <f t="shared" ca="1" si="380"/>
        <v/>
      </c>
      <c r="AN966" s="58">
        <f>IFERROR(IF($V966="BRAND.com",HLOOKUP($X966&amp;$Z966,NWC_FC_NOOS!$C$4:$Q$23,MATCH(W966,NWC_FC_NOOS!$B$4:$B$23,0),FALSE),0),0)</f>
        <v>0</v>
      </c>
      <c r="AO966" s="57">
        <f>IFERROR(IF($V966="BRAND.com",HLOOKUP($X966&amp;$Z966,NWC_FC_NOOS!$T$4:$AH$23,MATCH(W966,NWC_FC_NOOS!$S$4:$S$23,0),FALSE),0),0)</f>
        <v>0</v>
      </c>
      <c r="AP966" s="57">
        <f>IFERROR(IF($V966="BRAND.com",HLOOKUP($X966&amp;$Z966,NWC_FC_NOOS!$C$50:$U$69,MATCH(W966,NWC_FC_NOOS!$B$50:$B$69,0),FALSE),0),0)</f>
        <v>0</v>
      </c>
      <c r="AQ966" s="58">
        <f>IFERROR(IF($V966="BRAND.com",HLOOKUP($X966&amp;$Z966,'NWC_FC_NON-NOOS'!$C$4:$Q$23,MATCH(W966,'NWC_FC_NON-NOOS'!$B$4:$B$23,0),FALSE),0),0)</f>
        <v>0</v>
      </c>
      <c r="AR966" s="57">
        <f>IFERROR(IF($V966="BRAND.com",HLOOKUP($X966&amp;$Z966,'NWC_FC_NON-NOOS'!$T$4:$AH$23,MATCH(W966,'NWC_FC_NON-NOOS'!$S$4:$S$23,0),FALSE),0),0)</f>
        <v>0</v>
      </c>
      <c r="AS966" s="57">
        <f>IFERROR(IF($V966="BRAND.com",HLOOKUP($X966&amp;$Z966,'NWC_FC_NON-NOOS'!$C$50:$U$69,MATCH(W966,'NWC_FC_NON-NOOS'!$B$50:$B$69,0),FALSE),0),0)</f>
        <v>0</v>
      </c>
      <c r="AT966" s="57">
        <f t="shared" si="382"/>
        <v>0</v>
      </c>
      <c r="AU966" s="57">
        <f t="shared" si="383"/>
        <v>0</v>
      </c>
      <c r="AV966" s="58">
        <f>IFERROR(IF($V966="BRAND.com",HLOOKUP($X966&amp;$Z966,PLANNING_FC!$BB$27:$BP$46,MATCH($W966,PLANNING_FC!$BA$27:$BA$46,0),FALSE),0),0)</f>
        <v>0</v>
      </c>
      <c r="AW966" s="58">
        <f>IFERROR(IF($V966="BRAND.com",HLOOKUP($X966&amp;$Z966,PLANNING_FC!$BB$4:$BP$23,MATCH($W966,PLANNING_FC!$BA$4:$BA$23,0),FALSE),0),0)</f>
        <v>0</v>
      </c>
      <c r="AX966" s="58">
        <f>IFERROR(IF($V966="BRAND.com",HLOOKUP($X966&amp;$Z966,PLANNING_FC!$T$27:$AH$46,MATCH($W966,PLANNING_FC!$B$27:$B$46,0),FALSE),0),0)</f>
        <v>0</v>
      </c>
      <c r="AY966" s="58">
        <f>IFERROR(IF($V966="BRAND.com",HLOOKUP($X966&amp;$Z966,PLANNING_FC!$T$4:$AH$23,MATCH($W966,PLANNING_FC!$B$4:$B$23,0),FALSE),0),0)</f>
        <v>0</v>
      </c>
      <c r="AZ966" s="58">
        <f>IFERROR(IF($V966="BRAND.com",HLOOKUP($X966&amp;$Z966,PLANNING_FC!$DA$27:$DO$46,MATCH($W966,PLANNING_FC!$CZ$27:$CZ$46,0),FALSE),0),0)</f>
        <v>0</v>
      </c>
      <c r="BA966" s="58">
        <f>IFERROR(IF($V966="BRAND.com",HLOOKUP($X966&amp;$Z966,PLANNING_FC!$DA$4:$DO$23,MATCH($W966,PLANNING_FC!$CZ$4:$CZ$23,0),FALSE),0),0)</f>
        <v>0</v>
      </c>
      <c r="BB966" s="883" t="str">
        <f>IF(V966="BRAND.com",IFERROR(HLOOKUP(X966&amp;Z966,PLANNING_FC!$AK$4:$AY$23,MATCH(W966,PLANNING_FC!$AJ$4:$AJ$23,0),FALSE)*1000,""),"")</f>
        <v/>
      </c>
      <c r="BC966" s="883" t="str">
        <f>IF(V966="BRAND.com",IFERROR(HLOOKUP(X966&amp;Z966,PLANNING_FC!$AK$27:$AY$46,MATCH(W966,PLANNING_FC!$AJ$27:$AJ$46,0),FALSE)*1000,""),"")</f>
        <v/>
      </c>
    </row>
    <row r="967" spans="14:55" x14ac:dyDescent="0.25">
      <c r="N967" s="56">
        <f t="shared" si="364"/>
        <v>0</v>
      </c>
      <c r="O967" s="57">
        <f t="shared" si="365"/>
        <v>0</v>
      </c>
      <c r="P967" s="57">
        <f ca="1">IFERROR(IF(ISBLANK(H967),SUMIFS($AC:$AC,$V:$V,V967,$W:$W,W967,$X:$X,X967,$Y:$Y,Y967)*J967/(1-J967)*VLOOKUP(_xlfn.CONCAT(C967,D967,E967,TIME!$M$12,Z967),HIS_SALES!$B$2:$W$4859,20,FALSE),AC967*J967/(1-J967)),0)</f>
        <v>0</v>
      </c>
      <c r="Q967" s="541" t="str">
        <f t="shared" si="366"/>
        <v/>
      </c>
      <c r="R967" s="346" t="str">
        <f t="shared" si="367"/>
        <v>00000</v>
      </c>
      <c r="S967" s="344">
        <f t="shared" si="368"/>
        <v>0</v>
      </c>
      <c r="T967" s="345" t="str">
        <f t="shared" si="381"/>
        <v>000</v>
      </c>
      <c r="U967" s="345">
        <f t="shared" si="369"/>
        <v>0</v>
      </c>
      <c r="V967" s="345">
        <f t="shared" si="370"/>
        <v>0</v>
      </c>
      <c r="W967" s="345">
        <f t="shared" si="371"/>
        <v>0</v>
      </c>
      <c r="X967" s="345">
        <f t="shared" si="372"/>
        <v>0</v>
      </c>
      <c r="Y967" s="345">
        <f t="shared" si="373"/>
        <v>0</v>
      </c>
      <c r="Z967" s="345">
        <f>IF(Q967&lt;&gt;"",VLOOKUP(Y967,TIME!$R$21:$V$24,MATCH(FC_DATA!Q967,TIME!$R$20:$V$20,0),FALSE),H967)</f>
        <v>0</v>
      </c>
      <c r="AA967" s="345" t="str">
        <f>IFERROR(VLOOKUP(X967&amp;Z967,TIME!$A$12:$D$71,4,FALSE),"")</f>
        <v/>
      </c>
      <c r="AB967" s="592">
        <f t="shared" ca="1" si="374"/>
        <v>0</v>
      </c>
      <c r="AC967" s="593" t="e">
        <f ca="1">IF(ISBLANK(H967)=FALSE,IF(D967="BRAND.com",I967,IF(ISNA(VLOOKUP(_xlfn.CONCAT(X967,Z967),TIME!$M$40:$M$42,1,FALSE)),I967,VLOOKUP(_xlfn.CONCAT(D967,G967,H967),M_BUSAREA_FC!$AF$5:$AJ$10,5,FALSE)*HLOOKUP(_xlfn.CONCAT(F967,H967),ST_OVERVIEW!$G$99:$I$130,MATCH(_xlfn.CONCAT(D967,E967),ST_OVERVIEW!$F$99:$F$130,0),FALSE))),IF(D967="BRAND.com",VLOOKUP(_xlfn.CONCAT(C967,D967,E967,TIME!$F$1,Z967),HIS_SALES!$B$2:$V$4859,19,FALSE)*I967,VLOOKUP(_xlfn.CONCAT(D967,F967,G967),Q_BUSAREA_FC!$AE$5:$AI$12,5,FALSE)*HLOOKUP(_xlfn.CONCAT(FC_DATA!F967,FC_DATA!G967),LT_OVERVIEW!$I$99:$M$130,MATCH(_xlfn.CONCAT(D967,FC_DATA!E967),LT_OVERVIEW!$H$99:$H$130,0),FALSE)*IFERROR(VLOOKUP(_xlfn.CONCAT(C967,D967,E967,TIME!$F$1,Z967),HIS_SALES!$B$2:$V$4859,19,FALSE),0)))</f>
        <v>#N/A</v>
      </c>
      <c r="AD967" s="341">
        <f t="shared" ca="1" si="375"/>
        <v>0</v>
      </c>
      <c r="AE967" s="363" t="str">
        <f t="shared" si="376"/>
        <v/>
      </c>
      <c r="AF967" s="342" t="str">
        <f t="shared" si="377"/>
        <v/>
      </c>
      <c r="AG967" s="411" t="e">
        <f ca="1">VLOOKUP(_xlfn.CONCAT(U967,V967,W967,VLOOKUP(X967&amp;Y967,TIME!$L$27:$O$34,4,FALSE),Y967),HIS_SALES!$A$2:$R$5093,18,FALSE)</f>
        <v>#N/A</v>
      </c>
      <c r="AH967" s="412" t="e">
        <f ca="1">IFERROR(IF(AND(V967=V966,W967=W966),0.5*(AB967+AB966)*AG967,(VLOOKUP(_xlfn.CONCAT(U967,V967,W967,X967,VLOOKUP(Z967,TIME!$S$28:$T$39,2,FALSE)),FC_DATA!$R$2:$AB$5000,MATCH("GS_I_M",FC_DATA!$R$1:$AB$1,0),FALSE)+FC_DATA!AB967)*0.5*FC_DATA!AG967),NA())</f>
        <v>#N/A</v>
      </c>
      <c r="AI967" s="491" t="e">
        <f ca="1">IF(V967="PARTNER.com",AH967,IF(AND(V967=V966,W967=W966),(1-AVERAGE(AD966,AD967))*AH967,(1-AVERAGE(AD967,VLOOKUP(_xlfn.CONCAT(U967,V967,W967,X967,M_BRAND_FC!$F$6),FC_DATA!$R$2:$AD$5000,MATCH("DISCOUNT_%_M",FC_DATA!$R$1:$AD$1,0),FALSE)))*AH967))</f>
        <v>#N/A</v>
      </c>
      <c r="AJ967" s="412" t="str">
        <f t="shared" ca="1" si="378"/>
        <v/>
      </c>
      <c r="AK967" s="413" t="str">
        <f>IFERROR(AE967/(Q_BRAND_FC!$T$24+1),"")</f>
        <v/>
      </c>
      <c r="AL967" s="88" t="str">
        <f t="shared" ca="1" si="379"/>
        <v/>
      </c>
      <c r="AM967" s="414" t="str">
        <f t="shared" ca="1" si="380"/>
        <v/>
      </c>
      <c r="AN967" s="58">
        <f>IFERROR(IF($V967="BRAND.com",HLOOKUP($X967&amp;$Z967,NWC_FC_NOOS!$C$4:$Q$23,MATCH(W967,NWC_FC_NOOS!$B$4:$B$23,0),FALSE),0),0)</f>
        <v>0</v>
      </c>
      <c r="AO967" s="57">
        <f>IFERROR(IF($V967="BRAND.com",HLOOKUP($X967&amp;$Z967,NWC_FC_NOOS!$T$4:$AH$23,MATCH(W967,NWC_FC_NOOS!$S$4:$S$23,0),FALSE),0),0)</f>
        <v>0</v>
      </c>
      <c r="AP967" s="57">
        <f>IFERROR(IF($V967="BRAND.com",HLOOKUP($X967&amp;$Z967,NWC_FC_NOOS!$C$50:$U$69,MATCH(W967,NWC_FC_NOOS!$B$50:$B$69,0),FALSE),0),0)</f>
        <v>0</v>
      </c>
      <c r="AQ967" s="58">
        <f>IFERROR(IF($V967="BRAND.com",HLOOKUP($X967&amp;$Z967,'NWC_FC_NON-NOOS'!$C$4:$Q$23,MATCH(W967,'NWC_FC_NON-NOOS'!$B$4:$B$23,0),FALSE),0),0)</f>
        <v>0</v>
      </c>
      <c r="AR967" s="57">
        <f>IFERROR(IF($V967="BRAND.com",HLOOKUP($X967&amp;$Z967,'NWC_FC_NON-NOOS'!$T$4:$AH$23,MATCH(W967,'NWC_FC_NON-NOOS'!$S$4:$S$23,0),FALSE),0),0)</f>
        <v>0</v>
      </c>
      <c r="AS967" s="57">
        <f>IFERROR(IF($V967="BRAND.com",HLOOKUP($X967&amp;$Z967,'NWC_FC_NON-NOOS'!$C$50:$U$69,MATCH(W967,'NWC_FC_NON-NOOS'!$B$50:$B$69,0),FALSE),0),0)</f>
        <v>0</v>
      </c>
      <c r="AT967" s="57">
        <f t="shared" si="382"/>
        <v>0</v>
      </c>
      <c r="AU967" s="57">
        <f t="shared" si="383"/>
        <v>0</v>
      </c>
      <c r="AV967" s="58">
        <f>IFERROR(IF($V967="BRAND.com",HLOOKUP($X967&amp;$Z967,PLANNING_FC!$BB$27:$BP$46,MATCH($W967,PLANNING_FC!$BA$27:$BA$46,0),FALSE),0),0)</f>
        <v>0</v>
      </c>
      <c r="AW967" s="58">
        <f>IFERROR(IF($V967="BRAND.com",HLOOKUP($X967&amp;$Z967,PLANNING_FC!$BB$4:$BP$23,MATCH($W967,PLANNING_FC!$BA$4:$BA$23,0),FALSE),0),0)</f>
        <v>0</v>
      </c>
      <c r="AX967" s="58">
        <f>IFERROR(IF($V967="BRAND.com",HLOOKUP($X967&amp;$Z967,PLANNING_FC!$T$27:$AH$46,MATCH($W967,PLANNING_FC!$B$27:$B$46,0),FALSE),0),0)</f>
        <v>0</v>
      </c>
      <c r="AY967" s="58">
        <f>IFERROR(IF($V967="BRAND.com",HLOOKUP($X967&amp;$Z967,PLANNING_FC!$T$4:$AH$23,MATCH($W967,PLANNING_FC!$B$4:$B$23,0),FALSE),0),0)</f>
        <v>0</v>
      </c>
      <c r="AZ967" s="58">
        <f>IFERROR(IF($V967="BRAND.com",HLOOKUP($X967&amp;$Z967,PLANNING_FC!$DA$27:$DO$46,MATCH($W967,PLANNING_FC!$CZ$27:$CZ$46,0),FALSE),0),0)</f>
        <v>0</v>
      </c>
      <c r="BA967" s="58">
        <f>IFERROR(IF($V967="BRAND.com",HLOOKUP($X967&amp;$Z967,PLANNING_FC!$DA$4:$DO$23,MATCH($W967,PLANNING_FC!$CZ$4:$CZ$23,0),FALSE),0),0)</f>
        <v>0</v>
      </c>
      <c r="BB967" s="883" t="str">
        <f>IF(V967="BRAND.com",IFERROR(HLOOKUP(X967&amp;Z967,PLANNING_FC!$AK$4:$AY$23,MATCH(W967,PLANNING_FC!$AJ$4:$AJ$23,0),FALSE)*1000,""),"")</f>
        <v/>
      </c>
      <c r="BC967" s="883" t="str">
        <f>IF(V967="BRAND.com",IFERROR(HLOOKUP(X967&amp;Z967,PLANNING_FC!$AK$27:$AY$46,MATCH(W967,PLANNING_FC!$AJ$27:$AJ$46,0),FALSE)*1000,""),"")</f>
        <v/>
      </c>
    </row>
    <row r="968" spans="14:55" x14ac:dyDescent="0.25">
      <c r="N968" s="56">
        <f t="shared" si="364"/>
        <v>0</v>
      </c>
      <c r="O968" s="57">
        <f t="shared" si="365"/>
        <v>0</v>
      </c>
      <c r="P968" s="57">
        <f ca="1">IFERROR(IF(ISBLANK(H968),SUMIFS($AC:$AC,$V:$V,V968,$W:$W,W968,$X:$X,X968,$Y:$Y,Y968)*J968/(1-J968)*VLOOKUP(_xlfn.CONCAT(C968,D968,E968,TIME!$M$12,Z968),HIS_SALES!$B$2:$W$4859,20,FALSE),AC968*J968/(1-J968)),0)</f>
        <v>0</v>
      </c>
      <c r="Q968" s="541" t="str">
        <f t="shared" si="366"/>
        <v/>
      </c>
      <c r="R968" s="346" t="str">
        <f t="shared" si="367"/>
        <v>00000</v>
      </c>
      <c r="S968" s="344">
        <f t="shared" si="368"/>
        <v>0</v>
      </c>
      <c r="T968" s="345" t="str">
        <f t="shared" si="381"/>
        <v>000</v>
      </c>
      <c r="U968" s="345">
        <f t="shared" si="369"/>
        <v>0</v>
      </c>
      <c r="V968" s="345">
        <f t="shared" si="370"/>
        <v>0</v>
      </c>
      <c r="W968" s="345">
        <f t="shared" si="371"/>
        <v>0</v>
      </c>
      <c r="X968" s="345">
        <f t="shared" si="372"/>
        <v>0</v>
      </c>
      <c r="Y968" s="345">
        <f t="shared" si="373"/>
        <v>0</v>
      </c>
      <c r="Z968" s="345">
        <f>IF(Q968&lt;&gt;"",VLOOKUP(Y968,TIME!$R$21:$V$24,MATCH(FC_DATA!Q968,TIME!$R$20:$V$20,0),FALSE),H968)</f>
        <v>0</v>
      </c>
      <c r="AA968" s="345" t="str">
        <f>IFERROR(VLOOKUP(X968&amp;Z968,TIME!$A$12:$D$71,4,FALSE),"")</f>
        <v/>
      </c>
      <c r="AB968" s="592">
        <f t="shared" ca="1" si="374"/>
        <v>0</v>
      </c>
      <c r="AC968" s="593" t="e">
        <f ca="1">IF(ISBLANK(H968)=FALSE,IF(D968="BRAND.com",I968,IF(ISNA(VLOOKUP(_xlfn.CONCAT(X968,Z968),TIME!$M$40:$M$42,1,FALSE)),I968,VLOOKUP(_xlfn.CONCAT(D968,G968,H968),M_BUSAREA_FC!$AF$5:$AJ$10,5,FALSE)*HLOOKUP(_xlfn.CONCAT(F968,H968),ST_OVERVIEW!$G$99:$I$130,MATCH(_xlfn.CONCAT(D968,E968),ST_OVERVIEW!$F$99:$F$130,0),FALSE))),IF(D968="BRAND.com",VLOOKUP(_xlfn.CONCAT(C968,D968,E968,TIME!$F$1,Z968),HIS_SALES!$B$2:$V$4859,19,FALSE)*I968,VLOOKUP(_xlfn.CONCAT(D968,F968,G968),Q_BUSAREA_FC!$AE$5:$AI$12,5,FALSE)*HLOOKUP(_xlfn.CONCAT(FC_DATA!F968,FC_DATA!G968),LT_OVERVIEW!$I$99:$M$130,MATCH(_xlfn.CONCAT(D968,FC_DATA!E968),LT_OVERVIEW!$H$99:$H$130,0),FALSE)*IFERROR(VLOOKUP(_xlfn.CONCAT(C968,D968,E968,TIME!$F$1,Z968),HIS_SALES!$B$2:$V$4859,19,FALSE),0)))</f>
        <v>#N/A</v>
      </c>
      <c r="AD968" s="341">
        <f t="shared" ca="1" si="375"/>
        <v>0</v>
      </c>
      <c r="AE968" s="363" t="str">
        <f t="shared" si="376"/>
        <v/>
      </c>
      <c r="AF968" s="342" t="str">
        <f t="shared" si="377"/>
        <v/>
      </c>
      <c r="AG968" s="411" t="e">
        <f ca="1">VLOOKUP(_xlfn.CONCAT(U968,V968,W968,VLOOKUP(X968&amp;Y968,TIME!$L$27:$O$34,4,FALSE),Y968),HIS_SALES!$A$2:$R$5093,18,FALSE)</f>
        <v>#N/A</v>
      </c>
      <c r="AH968" s="412" t="e">
        <f ca="1">IFERROR(IF(AND(V968=V967,W968=W967),0.5*(AB968+AB967)*AG968,(VLOOKUP(_xlfn.CONCAT(U968,V968,W968,X968,VLOOKUP(Z968,TIME!$S$28:$T$39,2,FALSE)),FC_DATA!$R$2:$AB$5000,MATCH("GS_I_M",FC_DATA!$R$1:$AB$1,0),FALSE)+FC_DATA!AB968)*0.5*FC_DATA!AG968),NA())</f>
        <v>#N/A</v>
      </c>
      <c r="AI968" s="491" t="e">
        <f ca="1">IF(V968="PARTNER.com",AH968,IF(AND(V968=V967,W968=W967),(1-AVERAGE(AD967,AD968))*AH968,(1-AVERAGE(AD968,VLOOKUP(_xlfn.CONCAT(U968,V968,W968,X968,M_BRAND_FC!$F$6),FC_DATA!$R$2:$AD$5000,MATCH("DISCOUNT_%_M",FC_DATA!$R$1:$AD$1,0),FALSE)))*AH968))</f>
        <v>#N/A</v>
      </c>
      <c r="AJ968" s="412" t="str">
        <f t="shared" ca="1" si="378"/>
        <v/>
      </c>
      <c r="AK968" s="413" t="str">
        <f>IFERROR(AE968/(Q_BRAND_FC!$T$24+1),"")</f>
        <v/>
      </c>
      <c r="AL968" s="88" t="str">
        <f t="shared" ca="1" si="379"/>
        <v/>
      </c>
      <c r="AM968" s="414" t="str">
        <f t="shared" ca="1" si="380"/>
        <v/>
      </c>
      <c r="AN968" s="58">
        <f>IFERROR(IF($V968="BRAND.com",HLOOKUP($X968&amp;$Z968,NWC_FC_NOOS!$C$4:$Q$23,MATCH(W968,NWC_FC_NOOS!$B$4:$B$23,0),FALSE),0),0)</f>
        <v>0</v>
      </c>
      <c r="AO968" s="57">
        <f>IFERROR(IF($V968="BRAND.com",HLOOKUP($X968&amp;$Z968,NWC_FC_NOOS!$T$4:$AH$23,MATCH(W968,NWC_FC_NOOS!$S$4:$S$23,0),FALSE),0),0)</f>
        <v>0</v>
      </c>
      <c r="AP968" s="57">
        <f>IFERROR(IF($V968="BRAND.com",HLOOKUP($X968&amp;$Z968,NWC_FC_NOOS!$C$50:$U$69,MATCH(W968,NWC_FC_NOOS!$B$50:$B$69,0),FALSE),0),0)</f>
        <v>0</v>
      </c>
      <c r="AQ968" s="58">
        <f>IFERROR(IF($V968="BRAND.com",HLOOKUP($X968&amp;$Z968,'NWC_FC_NON-NOOS'!$C$4:$Q$23,MATCH(W968,'NWC_FC_NON-NOOS'!$B$4:$B$23,0),FALSE),0),0)</f>
        <v>0</v>
      </c>
      <c r="AR968" s="57">
        <f>IFERROR(IF($V968="BRAND.com",HLOOKUP($X968&amp;$Z968,'NWC_FC_NON-NOOS'!$T$4:$AH$23,MATCH(W968,'NWC_FC_NON-NOOS'!$S$4:$S$23,0),FALSE),0),0)</f>
        <v>0</v>
      </c>
      <c r="AS968" s="57">
        <f>IFERROR(IF($V968="BRAND.com",HLOOKUP($X968&amp;$Z968,'NWC_FC_NON-NOOS'!$C$50:$U$69,MATCH(W968,'NWC_FC_NON-NOOS'!$B$50:$B$69,0),FALSE),0),0)</f>
        <v>0</v>
      </c>
      <c r="AT968" s="57">
        <f t="shared" si="382"/>
        <v>0</v>
      </c>
      <c r="AU968" s="57">
        <f t="shared" si="383"/>
        <v>0</v>
      </c>
      <c r="AV968" s="58">
        <f>IFERROR(IF($V968="BRAND.com",HLOOKUP($X968&amp;$Z968,PLANNING_FC!$BB$27:$BP$46,MATCH($W968,PLANNING_FC!$BA$27:$BA$46,0),FALSE),0),0)</f>
        <v>0</v>
      </c>
      <c r="AW968" s="58">
        <f>IFERROR(IF($V968="BRAND.com",HLOOKUP($X968&amp;$Z968,PLANNING_FC!$BB$4:$BP$23,MATCH($W968,PLANNING_FC!$BA$4:$BA$23,0),FALSE),0),0)</f>
        <v>0</v>
      </c>
      <c r="AX968" s="58">
        <f>IFERROR(IF($V968="BRAND.com",HLOOKUP($X968&amp;$Z968,PLANNING_FC!$T$27:$AH$46,MATCH($W968,PLANNING_FC!$B$27:$B$46,0),FALSE),0),0)</f>
        <v>0</v>
      </c>
      <c r="AY968" s="58">
        <f>IFERROR(IF($V968="BRAND.com",HLOOKUP($X968&amp;$Z968,PLANNING_FC!$T$4:$AH$23,MATCH($W968,PLANNING_FC!$B$4:$B$23,0),FALSE),0),0)</f>
        <v>0</v>
      </c>
      <c r="AZ968" s="58">
        <f>IFERROR(IF($V968="BRAND.com",HLOOKUP($X968&amp;$Z968,PLANNING_FC!$DA$27:$DO$46,MATCH($W968,PLANNING_FC!$CZ$27:$CZ$46,0),FALSE),0),0)</f>
        <v>0</v>
      </c>
      <c r="BA968" s="58">
        <f>IFERROR(IF($V968="BRAND.com",HLOOKUP($X968&amp;$Z968,PLANNING_FC!$DA$4:$DO$23,MATCH($W968,PLANNING_FC!$CZ$4:$CZ$23,0),FALSE),0),0)</f>
        <v>0</v>
      </c>
      <c r="BB968" s="883" t="str">
        <f>IF(V968="BRAND.com",IFERROR(HLOOKUP(X968&amp;Z968,PLANNING_FC!$AK$4:$AY$23,MATCH(W968,PLANNING_FC!$AJ$4:$AJ$23,0),FALSE)*1000,""),"")</f>
        <v/>
      </c>
      <c r="BC968" s="883" t="str">
        <f>IF(V968="BRAND.com",IFERROR(HLOOKUP(X968&amp;Z968,PLANNING_FC!$AK$27:$AY$46,MATCH(W968,PLANNING_FC!$AJ$27:$AJ$46,0),FALSE)*1000,""),"")</f>
        <v/>
      </c>
    </row>
    <row r="969" spans="14:55" x14ac:dyDescent="0.25">
      <c r="N969" s="56">
        <f t="shared" si="364"/>
        <v>0</v>
      </c>
      <c r="O969" s="57">
        <f t="shared" si="365"/>
        <v>0</v>
      </c>
      <c r="P969" s="57">
        <f ca="1">IFERROR(IF(ISBLANK(H969),SUMIFS($AC:$AC,$V:$V,V969,$W:$W,W969,$X:$X,X969,$Y:$Y,Y969)*J969/(1-J969)*VLOOKUP(_xlfn.CONCAT(C969,D969,E969,TIME!$M$12,Z969),HIS_SALES!$B$2:$W$4859,20,FALSE),AC969*J969/(1-J969)),0)</f>
        <v>0</v>
      </c>
      <c r="Q969" s="541" t="str">
        <f t="shared" si="366"/>
        <v/>
      </c>
      <c r="R969" s="346" t="str">
        <f t="shared" si="367"/>
        <v>00000</v>
      </c>
      <c r="S969" s="344">
        <f t="shared" si="368"/>
        <v>0</v>
      </c>
      <c r="T969" s="345" t="str">
        <f t="shared" si="381"/>
        <v>000</v>
      </c>
      <c r="U969" s="345">
        <f t="shared" si="369"/>
        <v>0</v>
      </c>
      <c r="V969" s="345">
        <f t="shared" si="370"/>
        <v>0</v>
      </c>
      <c r="W969" s="345">
        <f t="shared" si="371"/>
        <v>0</v>
      </c>
      <c r="X969" s="345">
        <f t="shared" si="372"/>
        <v>0</v>
      </c>
      <c r="Y969" s="345">
        <f t="shared" si="373"/>
        <v>0</v>
      </c>
      <c r="Z969" s="345">
        <f>IF(Q969&lt;&gt;"",VLOOKUP(Y969,TIME!$R$21:$V$24,MATCH(FC_DATA!Q969,TIME!$R$20:$V$20,0),FALSE),H969)</f>
        <v>0</v>
      </c>
      <c r="AA969" s="345" t="str">
        <f>IFERROR(VLOOKUP(X969&amp;Z969,TIME!$A$12:$D$71,4,FALSE),"")</f>
        <v/>
      </c>
      <c r="AB969" s="592">
        <f t="shared" ca="1" si="374"/>
        <v>0</v>
      </c>
      <c r="AC969" s="593" t="e">
        <f ca="1">IF(ISBLANK(H969)=FALSE,IF(D969="BRAND.com",I969,IF(ISNA(VLOOKUP(_xlfn.CONCAT(X969,Z969),TIME!$M$40:$M$42,1,FALSE)),I969,VLOOKUP(_xlfn.CONCAT(D969,G969,H969),M_BUSAREA_FC!$AF$5:$AJ$10,5,FALSE)*HLOOKUP(_xlfn.CONCAT(F969,H969),ST_OVERVIEW!$G$99:$I$130,MATCH(_xlfn.CONCAT(D969,E969),ST_OVERVIEW!$F$99:$F$130,0),FALSE))),IF(D969="BRAND.com",VLOOKUP(_xlfn.CONCAT(C969,D969,E969,TIME!$F$1,Z969),HIS_SALES!$B$2:$V$4859,19,FALSE)*I969,VLOOKUP(_xlfn.CONCAT(D969,F969,G969),Q_BUSAREA_FC!$AE$5:$AI$12,5,FALSE)*HLOOKUP(_xlfn.CONCAT(FC_DATA!F969,FC_DATA!G969),LT_OVERVIEW!$I$99:$M$130,MATCH(_xlfn.CONCAT(D969,FC_DATA!E969),LT_OVERVIEW!$H$99:$H$130,0),FALSE)*IFERROR(VLOOKUP(_xlfn.CONCAT(C969,D969,E969,TIME!$F$1,Z969),HIS_SALES!$B$2:$V$4859,19,FALSE),0)))</f>
        <v>#N/A</v>
      </c>
      <c r="AD969" s="341">
        <f t="shared" ca="1" si="375"/>
        <v>0</v>
      </c>
      <c r="AE969" s="363" t="str">
        <f t="shared" si="376"/>
        <v/>
      </c>
      <c r="AF969" s="342" t="str">
        <f t="shared" si="377"/>
        <v/>
      </c>
      <c r="AG969" s="411" t="e">
        <f ca="1">VLOOKUP(_xlfn.CONCAT(U969,V969,W969,VLOOKUP(X969&amp;Y969,TIME!$L$27:$O$34,4,FALSE),Y969),HIS_SALES!$A$2:$R$5093,18,FALSE)</f>
        <v>#N/A</v>
      </c>
      <c r="AH969" s="412" t="e">
        <f ca="1">IFERROR(IF(AND(V969=V968,W969=W968),0.5*(AB969+AB968)*AG969,(VLOOKUP(_xlfn.CONCAT(U969,V969,W969,X969,VLOOKUP(Z969,TIME!$S$28:$T$39,2,FALSE)),FC_DATA!$R$2:$AB$5000,MATCH("GS_I_M",FC_DATA!$R$1:$AB$1,0),FALSE)+FC_DATA!AB969)*0.5*FC_DATA!AG969),NA())</f>
        <v>#N/A</v>
      </c>
      <c r="AI969" s="491" t="e">
        <f ca="1">IF(V969="PARTNER.com",AH969,IF(AND(V969=V968,W969=W968),(1-AVERAGE(AD968,AD969))*AH969,(1-AVERAGE(AD969,VLOOKUP(_xlfn.CONCAT(U969,V969,W969,X969,M_BRAND_FC!$F$6),FC_DATA!$R$2:$AD$5000,MATCH("DISCOUNT_%_M",FC_DATA!$R$1:$AD$1,0),FALSE)))*AH969))</f>
        <v>#N/A</v>
      </c>
      <c r="AJ969" s="412" t="str">
        <f t="shared" ca="1" si="378"/>
        <v/>
      </c>
      <c r="AK969" s="413" t="str">
        <f>IFERROR(AE969/(Q_BRAND_FC!$T$24+1),"")</f>
        <v/>
      </c>
      <c r="AL969" s="88" t="str">
        <f t="shared" ca="1" si="379"/>
        <v/>
      </c>
      <c r="AM969" s="414" t="str">
        <f t="shared" ca="1" si="380"/>
        <v/>
      </c>
      <c r="AN969" s="58">
        <f>IFERROR(IF($V969="BRAND.com",HLOOKUP($X969&amp;$Z969,NWC_FC_NOOS!$C$4:$Q$23,MATCH(W969,NWC_FC_NOOS!$B$4:$B$23,0),FALSE),0),0)</f>
        <v>0</v>
      </c>
      <c r="AO969" s="57">
        <f>IFERROR(IF($V969="BRAND.com",HLOOKUP($X969&amp;$Z969,NWC_FC_NOOS!$T$4:$AH$23,MATCH(W969,NWC_FC_NOOS!$S$4:$S$23,0),FALSE),0),0)</f>
        <v>0</v>
      </c>
      <c r="AP969" s="57">
        <f>IFERROR(IF($V969="BRAND.com",HLOOKUP($X969&amp;$Z969,NWC_FC_NOOS!$C$50:$U$69,MATCH(W969,NWC_FC_NOOS!$B$50:$B$69,0),FALSE),0),0)</f>
        <v>0</v>
      </c>
      <c r="AQ969" s="58">
        <f>IFERROR(IF($V969="BRAND.com",HLOOKUP($X969&amp;$Z969,'NWC_FC_NON-NOOS'!$C$4:$Q$23,MATCH(W969,'NWC_FC_NON-NOOS'!$B$4:$B$23,0),FALSE),0),0)</f>
        <v>0</v>
      </c>
      <c r="AR969" s="57">
        <f>IFERROR(IF($V969="BRAND.com",HLOOKUP($X969&amp;$Z969,'NWC_FC_NON-NOOS'!$T$4:$AH$23,MATCH(W969,'NWC_FC_NON-NOOS'!$S$4:$S$23,0),FALSE),0),0)</f>
        <v>0</v>
      </c>
      <c r="AS969" s="57">
        <f>IFERROR(IF($V969="BRAND.com",HLOOKUP($X969&amp;$Z969,'NWC_FC_NON-NOOS'!$C$50:$U$69,MATCH(W969,'NWC_FC_NON-NOOS'!$B$50:$B$69,0),FALSE),0),0)</f>
        <v>0</v>
      </c>
      <c r="AT969" s="57">
        <f t="shared" si="382"/>
        <v>0</v>
      </c>
      <c r="AU969" s="57">
        <f t="shared" si="383"/>
        <v>0</v>
      </c>
      <c r="AV969" s="58">
        <f>IFERROR(IF($V969="BRAND.com",HLOOKUP($X969&amp;$Z969,PLANNING_FC!$BB$27:$BP$46,MATCH($W969,PLANNING_FC!$BA$27:$BA$46,0),FALSE),0),0)</f>
        <v>0</v>
      </c>
      <c r="AW969" s="58">
        <f>IFERROR(IF($V969="BRAND.com",HLOOKUP($X969&amp;$Z969,PLANNING_FC!$BB$4:$BP$23,MATCH($W969,PLANNING_FC!$BA$4:$BA$23,0),FALSE),0),0)</f>
        <v>0</v>
      </c>
      <c r="AX969" s="58">
        <f>IFERROR(IF($V969="BRAND.com",HLOOKUP($X969&amp;$Z969,PLANNING_FC!$T$27:$AH$46,MATCH($W969,PLANNING_FC!$B$27:$B$46,0),FALSE),0),0)</f>
        <v>0</v>
      </c>
      <c r="AY969" s="58">
        <f>IFERROR(IF($V969="BRAND.com",HLOOKUP($X969&amp;$Z969,PLANNING_FC!$T$4:$AH$23,MATCH($W969,PLANNING_FC!$B$4:$B$23,0),FALSE),0),0)</f>
        <v>0</v>
      </c>
      <c r="AZ969" s="58">
        <f>IFERROR(IF($V969="BRAND.com",HLOOKUP($X969&amp;$Z969,PLANNING_FC!$DA$27:$DO$46,MATCH($W969,PLANNING_FC!$CZ$27:$CZ$46,0),FALSE),0),0)</f>
        <v>0</v>
      </c>
      <c r="BA969" s="58">
        <f>IFERROR(IF($V969="BRAND.com",HLOOKUP($X969&amp;$Z969,PLANNING_FC!$DA$4:$DO$23,MATCH($W969,PLANNING_FC!$CZ$4:$CZ$23,0),FALSE),0),0)</f>
        <v>0</v>
      </c>
      <c r="BB969" s="883" t="str">
        <f>IF(V969="BRAND.com",IFERROR(HLOOKUP(X969&amp;Z969,PLANNING_FC!$AK$4:$AY$23,MATCH(W969,PLANNING_FC!$AJ$4:$AJ$23,0),FALSE)*1000,""),"")</f>
        <v/>
      </c>
      <c r="BC969" s="883" t="str">
        <f>IF(V969="BRAND.com",IFERROR(HLOOKUP(X969&amp;Z969,PLANNING_FC!$AK$27:$AY$46,MATCH(W969,PLANNING_FC!$AJ$27:$AJ$46,0),FALSE)*1000,""),"")</f>
        <v/>
      </c>
    </row>
    <row r="970" spans="14:55" x14ac:dyDescent="0.25">
      <c r="N970" s="56">
        <f t="shared" si="364"/>
        <v>0</v>
      </c>
      <c r="O970" s="57">
        <f t="shared" si="365"/>
        <v>0</v>
      </c>
      <c r="P970" s="57">
        <f ca="1">IFERROR(IF(ISBLANK(H970),SUMIFS($AC:$AC,$V:$V,V970,$W:$W,W970,$X:$X,X970,$Y:$Y,Y970)*J970/(1-J970)*VLOOKUP(_xlfn.CONCAT(C970,D970,E970,TIME!$M$12,Z970),HIS_SALES!$B$2:$W$4859,20,FALSE),AC970*J970/(1-J970)),0)</f>
        <v>0</v>
      </c>
      <c r="Q970" s="541" t="str">
        <f t="shared" si="366"/>
        <v/>
      </c>
      <c r="R970" s="346" t="str">
        <f t="shared" si="367"/>
        <v>00000</v>
      </c>
      <c r="S970" s="344">
        <f t="shared" si="368"/>
        <v>0</v>
      </c>
      <c r="T970" s="345" t="str">
        <f t="shared" si="381"/>
        <v>000</v>
      </c>
      <c r="U970" s="345">
        <f t="shared" si="369"/>
        <v>0</v>
      </c>
      <c r="V970" s="345">
        <f t="shared" si="370"/>
        <v>0</v>
      </c>
      <c r="W970" s="345">
        <f t="shared" si="371"/>
        <v>0</v>
      </c>
      <c r="X970" s="345">
        <f t="shared" si="372"/>
        <v>0</v>
      </c>
      <c r="Y970" s="345">
        <f t="shared" si="373"/>
        <v>0</v>
      </c>
      <c r="Z970" s="345">
        <f>IF(Q970&lt;&gt;"",VLOOKUP(Y970,TIME!$R$21:$V$24,MATCH(FC_DATA!Q970,TIME!$R$20:$V$20,0),FALSE),H970)</f>
        <v>0</v>
      </c>
      <c r="AA970" s="345" t="str">
        <f>IFERROR(VLOOKUP(X970&amp;Z970,TIME!$A$12:$D$71,4,FALSE),"")</f>
        <v/>
      </c>
      <c r="AB970" s="592">
        <f t="shared" ca="1" si="374"/>
        <v>0</v>
      </c>
      <c r="AC970" s="593" t="e">
        <f ca="1">IF(ISBLANK(H970)=FALSE,IF(D970="BRAND.com",I970,IF(ISNA(VLOOKUP(_xlfn.CONCAT(X970,Z970),TIME!$M$40:$M$42,1,FALSE)),I970,VLOOKUP(_xlfn.CONCAT(D970,G970,H970),M_BUSAREA_FC!$AF$5:$AJ$10,5,FALSE)*HLOOKUP(_xlfn.CONCAT(F970,H970),ST_OVERVIEW!$G$99:$I$130,MATCH(_xlfn.CONCAT(D970,E970),ST_OVERVIEW!$F$99:$F$130,0),FALSE))),IF(D970="BRAND.com",VLOOKUP(_xlfn.CONCAT(C970,D970,E970,TIME!$F$1,Z970),HIS_SALES!$B$2:$V$4859,19,FALSE)*I970,VLOOKUP(_xlfn.CONCAT(D970,F970,G970),Q_BUSAREA_FC!$AE$5:$AI$12,5,FALSE)*HLOOKUP(_xlfn.CONCAT(FC_DATA!F970,FC_DATA!G970),LT_OVERVIEW!$I$99:$M$130,MATCH(_xlfn.CONCAT(D970,FC_DATA!E970),LT_OVERVIEW!$H$99:$H$130,0),FALSE)*IFERROR(VLOOKUP(_xlfn.CONCAT(C970,D970,E970,TIME!$F$1,Z970),HIS_SALES!$B$2:$V$4859,19,FALSE),0)))</f>
        <v>#N/A</v>
      </c>
      <c r="AD970" s="341">
        <f t="shared" ca="1" si="375"/>
        <v>0</v>
      </c>
      <c r="AE970" s="363" t="str">
        <f t="shared" si="376"/>
        <v/>
      </c>
      <c r="AF970" s="342" t="str">
        <f t="shared" si="377"/>
        <v/>
      </c>
      <c r="AG970" s="411" t="e">
        <f ca="1">VLOOKUP(_xlfn.CONCAT(U970,V970,W970,VLOOKUP(X970&amp;Y970,TIME!$L$27:$O$34,4,FALSE),Y970),HIS_SALES!$A$2:$R$5093,18,FALSE)</f>
        <v>#N/A</v>
      </c>
      <c r="AH970" s="412" t="e">
        <f ca="1">IFERROR(IF(AND(V970=V969,W970=W969),0.5*(AB970+AB969)*AG970,(VLOOKUP(_xlfn.CONCAT(U970,V970,W970,X970,VLOOKUP(Z970,TIME!$S$28:$T$39,2,FALSE)),FC_DATA!$R$2:$AB$5000,MATCH("GS_I_M",FC_DATA!$R$1:$AB$1,0),FALSE)+FC_DATA!AB970)*0.5*FC_DATA!AG970),NA())</f>
        <v>#N/A</v>
      </c>
      <c r="AI970" s="491" t="e">
        <f ca="1">IF(V970="PARTNER.com",AH970,IF(AND(V970=V969,W970=W969),(1-AVERAGE(AD969,AD970))*AH970,(1-AVERAGE(AD970,VLOOKUP(_xlfn.CONCAT(U970,V970,W970,X970,M_BRAND_FC!$F$6),FC_DATA!$R$2:$AD$5000,MATCH("DISCOUNT_%_M",FC_DATA!$R$1:$AD$1,0),FALSE)))*AH970))</f>
        <v>#N/A</v>
      </c>
      <c r="AJ970" s="412" t="str">
        <f t="shared" ca="1" si="378"/>
        <v/>
      </c>
      <c r="AK970" s="413" t="str">
        <f>IFERROR(AE970/(Q_BRAND_FC!$T$24+1),"")</f>
        <v/>
      </c>
      <c r="AL970" s="88" t="str">
        <f t="shared" ca="1" si="379"/>
        <v/>
      </c>
      <c r="AM970" s="414" t="str">
        <f t="shared" ca="1" si="380"/>
        <v/>
      </c>
      <c r="AN970" s="58">
        <f>IFERROR(IF($V970="BRAND.com",HLOOKUP($X970&amp;$Z970,NWC_FC_NOOS!$C$4:$Q$23,MATCH(W970,NWC_FC_NOOS!$B$4:$B$23,0),FALSE),0),0)</f>
        <v>0</v>
      </c>
      <c r="AO970" s="57">
        <f>IFERROR(IF($V970="BRAND.com",HLOOKUP($X970&amp;$Z970,NWC_FC_NOOS!$T$4:$AH$23,MATCH(W970,NWC_FC_NOOS!$S$4:$S$23,0),FALSE),0),0)</f>
        <v>0</v>
      </c>
      <c r="AP970" s="57">
        <f>IFERROR(IF($V970="BRAND.com",HLOOKUP($X970&amp;$Z970,NWC_FC_NOOS!$C$50:$U$69,MATCH(W970,NWC_FC_NOOS!$B$50:$B$69,0),FALSE),0),0)</f>
        <v>0</v>
      </c>
      <c r="AQ970" s="58">
        <f>IFERROR(IF($V970="BRAND.com",HLOOKUP($X970&amp;$Z970,'NWC_FC_NON-NOOS'!$C$4:$Q$23,MATCH(W970,'NWC_FC_NON-NOOS'!$B$4:$B$23,0),FALSE),0),0)</f>
        <v>0</v>
      </c>
      <c r="AR970" s="57">
        <f>IFERROR(IF($V970="BRAND.com",HLOOKUP($X970&amp;$Z970,'NWC_FC_NON-NOOS'!$T$4:$AH$23,MATCH(W970,'NWC_FC_NON-NOOS'!$S$4:$S$23,0),FALSE),0),0)</f>
        <v>0</v>
      </c>
      <c r="AS970" s="57">
        <f>IFERROR(IF($V970="BRAND.com",HLOOKUP($X970&amp;$Z970,'NWC_FC_NON-NOOS'!$C$50:$U$69,MATCH(W970,'NWC_FC_NON-NOOS'!$B$50:$B$69,0),FALSE),0),0)</f>
        <v>0</v>
      </c>
      <c r="AT970" s="57">
        <f t="shared" si="382"/>
        <v>0</v>
      </c>
      <c r="AU970" s="57">
        <f t="shared" si="383"/>
        <v>0</v>
      </c>
      <c r="AV970" s="58">
        <f>IFERROR(IF($V970="BRAND.com",HLOOKUP($X970&amp;$Z970,PLANNING_FC!$BB$27:$BP$46,MATCH($W970,PLANNING_FC!$BA$27:$BA$46,0),FALSE),0),0)</f>
        <v>0</v>
      </c>
      <c r="AW970" s="58">
        <f>IFERROR(IF($V970="BRAND.com",HLOOKUP($X970&amp;$Z970,PLANNING_FC!$BB$4:$BP$23,MATCH($W970,PLANNING_FC!$BA$4:$BA$23,0),FALSE),0),0)</f>
        <v>0</v>
      </c>
      <c r="AX970" s="58">
        <f>IFERROR(IF($V970="BRAND.com",HLOOKUP($X970&amp;$Z970,PLANNING_FC!$T$27:$AH$46,MATCH($W970,PLANNING_FC!$B$27:$B$46,0),FALSE),0),0)</f>
        <v>0</v>
      </c>
      <c r="AY970" s="58">
        <f>IFERROR(IF($V970="BRAND.com",HLOOKUP($X970&amp;$Z970,PLANNING_FC!$T$4:$AH$23,MATCH($W970,PLANNING_FC!$B$4:$B$23,0),FALSE),0),0)</f>
        <v>0</v>
      </c>
      <c r="AZ970" s="58">
        <f>IFERROR(IF($V970="BRAND.com",HLOOKUP($X970&amp;$Z970,PLANNING_FC!$DA$27:$DO$46,MATCH($W970,PLANNING_FC!$CZ$27:$CZ$46,0),FALSE),0),0)</f>
        <v>0</v>
      </c>
      <c r="BA970" s="58">
        <f>IFERROR(IF($V970="BRAND.com",HLOOKUP($X970&amp;$Z970,PLANNING_FC!$DA$4:$DO$23,MATCH($W970,PLANNING_FC!$CZ$4:$CZ$23,0),FALSE),0),0)</f>
        <v>0</v>
      </c>
      <c r="BB970" s="883" t="str">
        <f>IF(V970="BRAND.com",IFERROR(HLOOKUP(X970&amp;Z970,PLANNING_FC!$AK$4:$AY$23,MATCH(W970,PLANNING_FC!$AJ$4:$AJ$23,0),FALSE)*1000,""),"")</f>
        <v/>
      </c>
      <c r="BC970" s="883" t="str">
        <f>IF(V970="BRAND.com",IFERROR(HLOOKUP(X970&amp;Z970,PLANNING_FC!$AK$27:$AY$46,MATCH(W970,PLANNING_FC!$AJ$27:$AJ$46,0),FALSE)*1000,""),"")</f>
        <v/>
      </c>
    </row>
    <row r="971" spans="14:55" x14ac:dyDescent="0.25">
      <c r="N971" s="56">
        <f t="shared" si="364"/>
        <v>0</v>
      </c>
      <c r="O971" s="57">
        <f t="shared" si="365"/>
        <v>0</v>
      </c>
      <c r="P971" s="57">
        <f ca="1">IFERROR(IF(ISBLANK(H971),SUMIFS($AC:$AC,$V:$V,V971,$W:$W,W971,$X:$X,X971,$Y:$Y,Y971)*J971/(1-J971)*VLOOKUP(_xlfn.CONCAT(C971,D971,E971,TIME!$M$12,Z971),HIS_SALES!$B$2:$W$4859,20,FALSE),AC971*J971/(1-J971)),0)</f>
        <v>0</v>
      </c>
      <c r="Q971" s="541" t="str">
        <f t="shared" si="366"/>
        <v/>
      </c>
      <c r="R971" s="346" t="str">
        <f t="shared" si="367"/>
        <v>00000</v>
      </c>
      <c r="S971" s="344">
        <f t="shared" si="368"/>
        <v>0</v>
      </c>
      <c r="T971" s="345" t="str">
        <f t="shared" si="381"/>
        <v>000</v>
      </c>
      <c r="U971" s="345">
        <f t="shared" si="369"/>
        <v>0</v>
      </c>
      <c r="V971" s="345">
        <f t="shared" si="370"/>
        <v>0</v>
      </c>
      <c r="W971" s="345">
        <f t="shared" si="371"/>
        <v>0</v>
      </c>
      <c r="X971" s="345">
        <f t="shared" si="372"/>
        <v>0</v>
      </c>
      <c r="Y971" s="345">
        <f t="shared" si="373"/>
        <v>0</v>
      </c>
      <c r="Z971" s="345">
        <f>IF(Q971&lt;&gt;"",VLOOKUP(Y971,TIME!$R$21:$V$24,MATCH(FC_DATA!Q971,TIME!$R$20:$V$20,0),FALSE),H971)</f>
        <v>0</v>
      </c>
      <c r="AA971" s="345" t="str">
        <f>IFERROR(VLOOKUP(X971&amp;Z971,TIME!$A$12:$D$71,4,FALSE),"")</f>
        <v/>
      </c>
      <c r="AB971" s="592">
        <f t="shared" ca="1" si="374"/>
        <v>0</v>
      </c>
      <c r="AC971" s="593" t="e">
        <f ca="1">IF(ISBLANK(H971)=FALSE,IF(D971="BRAND.com",I971,IF(ISNA(VLOOKUP(_xlfn.CONCAT(X971,Z971),TIME!$M$40:$M$42,1,FALSE)),I971,VLOOKUP(_xlfn.CONCAT(D971,G971,H971),M_BUSAREA_FC!$AF$5:$AJ$10,5,FALSE)*HLOOKUP(_xlfn.CONCAT(F971,H971),ST_OVERVIEW!$G$99:$I$130,MATCH(_xlfn.CONCAT(D971,E971),ST_OVERVIEW!$F$99:$F$130,0),FALSE))),IF(D971="BRAND.com",VLOOKUP(_xlfn.CONCAT(C971,D971,E971,TIME!$F$1,Z971),HIS_SALES!$B$2:$V$4859,19,FALSE)*I971,VLOOKUP(_xlfn.CONCAT(D971,F971,G971),Q_BUSAREA_FC!$AE$5:$AI$12,5,FALSE)*HLOOKUP(_xlfn.CONCAT(FC_DATA!F971,FC_DATA!G971),LT_OVERVIEW!$I$99:$M$130,MATCH(_xlfn.CONCAT(D971,FC_DATA!E971),LT_OVERVIEW!$H$99:$H$130,0),FALSE)*IFERROR(VLOOKUP(_xlfn.CONCAT(C971,D971,E971,TIME!$F$1,Z971),HIS_SALES!$B$2:$V$4859,19,FALSE),0)))</f>
        <v>#N/A</v>
      </c>
      <c r="AD971" s="341">
        <f t="shared" ca="1" si="375"/>
        <v>0</v>
      </c>
      <c r="AE971" s="363" t="str">
        <f t="shared" si="376"/>
        <v/>
      </c>
      <c r="AF971" s="342" t="str">
        <f t="shared" si="377"/>
        <v/>
      </c>
      <c r="AG971" s="411" t="e">
        <f ca="1">VLOOKUP(_xlfn.CONCAT(U971,V971,W971,VLOOKUP(X971&amp;Y971,TIME!$L$27:$O$34,4,FALSE),Y971),HIS_SALES!$A$2:$R$5093,18,FALSE)</f>
        <v>#N/A</v>
      </c>
      <c r="AH971" s="412" t="e">
        <f ca="1">IFERROR(IF(AND(V971=V970,W971=W970),0.5*(AB971+AB970)*AG971,(VLOOKUP(_xlfn.CONCAT(U971,V971,W971,X971,VLOOKUP(Z971,TIME!$S$28:$T$39,2,FALSE)),FC_DATA!$R$2:$AB$5000,MATCH("GS_I_M",FC_DATA!$R$1:$AB$1,0),FALSE)+FC_DATA!AB971)*0.5*FC_DATA!AG971),NA())</f>
        <v>#N/A</v>
      </c>
      <c r="AI971" s="491" t="e">
        <f ca="1">IF(V971="PARTNER.com",AH971,IF(AND(V971=V970,W971=W970),(1-AVERAGE(AD970,AD971))*AH971,(1-AVERAGE(AD971,VLOOKUP(_xlfn.CONCAT(U971,V971,W971,X971,M_BRAND_FC!$F$6),FC_DATA!$R$2:$AD$5000,MATCH("DISCOUNT_%_M",FC_DATA!$R$1:$AD$1,0),FALSE)))*AH971))</f>
        <v>#N/A</v>
      </c>
      <c r="AJ971" s="412" t="str">
        <f t="shared" ca="1" si="378"/>
        <v/>
      </c>
      <c r="AK971" s="413" t="str">
        <f>IFERROR(AE971/(Q_BRAND_FC!$T$24+1),"")</f>
        <v/>
      </c>
      <c r="AL971" s="88" t="str">
        <f t="shared" ca="1" si="379"/>
        <v/>
      </c>
      <c r="AM971" s="414" t="str">
        <f t="shared" ca="1" si="380"/>
        <v/>
      </c>
      <c r="AN971" s="58">
        <f>IFERROR(IF($V971="BRAND.com",HLOOKUP($X971&amp;$Z971,NWC_FC_NOOS!$C$4:$Q$23,MATCH(W971,NWC_FC_NOOS!$B$4:$B$23,0),FALSE),0),0)</f>
        <v>0</v>
      </c>
      <c r="AO971" s="57">
        <f>IFERROR(IF($V971="BRAND.com",HLOOKUP($X971&amp;$Z971,NWC_FC_NOOS!$T$4:$AH$23,MATCH(W971,NWC_FC_NOOS!$S$4:$S$23,0),FALSE),0),0)</f>
        <v>0</v>
      </c>
      <c r="AP971" s="57">
        <f>IFERROR(IF($V971="BRAND.com",HLOOKUP($X971&amp;$Z971,NWC_FC_NOOS!$C$50:$U$69,MATCH(W971,NWC_FC_NOOS!$B$50:$B$69,0),FALSE),0),0)</f>
        <v>0</v>
      </c>
      <c r="AQ971" s="58">
        <f>IFERROR(IF($V971="BRAND.com",HLOOKUP($X971&amp;$Z971,'NWC_FC_NON-NOOS'!$C$4:$Q$23,MATCH(W971,'NWC_FC_NON-NOOS'!$B$4:$B$23,0),FALSE),0),0)</f>
        <v>0</v>
      </c>
      <c r="AR971" s="57">
        <f>IFERROR(IF($V971="BRAND.com",HLOOKUP($X971&amp;$Z971,'NWC_FC_NON-NOOS'!$T$4:$AH$23,MATCH(W971,'NWC_FC_NON-NOOS'!$S$4:$S$23,0),FALSE),0),0)</f>
        <v>0</v>
      </c>
      <c r="AS971" s="57">
        <f>IFERROR(IF($V971="BRAND.com",HLOOKUP($X971&amp;$Z971,'NWC_FC_NON-NOOS'!$C$50:$U$69,MATCH(W971,'NWC_FC_NON-NOOS'!$B$50:$B$69,0),FALSE),0),0)</f>
        <v>0</v>
      </c>
      <c r="AT971" s="57">
        <f t="shared" si="382"/>
        <v>0</v>
      </c>
      <c r="AU971" s="57">
        <f t="shared" si="383"/>
        <v>0</v>
      </c>
      <c r="AV971" s="58">
        <f>IFERROR(IF($V971="BRAND.com",HLOOKUP($X971&amp;$Z971,PLANNING_FC!$BB$27:$BP$46,MATCH($W971,PLANNING_FC!$BA$27:$BA$46,0),FALSE),0),0)</f>
        <v>0</v>
      </c>
      <c r="AW971" s="58">
        <f>IFERROR(IF($V971="BRAND.com",HLOOKUP($X971&amp;$Z971,PLANNING_FC!$BB$4:$BP$23,MATCH($W971,PLANNING_FC!$BA$4:$BA$23,0),FALSE),0),0)</f>
        <v>0</v>
      </c>
      <c r="AX971" s="58">
        <f>IFERROR(IF($V971="BRAND.com",HLOOKUP($X971&amp;$Z971,PLANNING_FC!$T$27:$AH$46,MATCH($W971,PLANNING_FC!$B$27:$B$46,0),FALSE),0),0)</f>
        <v>0</v>
      </c>
      <c r="AY971" s="58">
        <f>IFERROR(IF($V971="BRAND.com",HLOOKUP($X971&amp;$Z971,PLANNING_FC!$T$4:$AH$23,MATCH($W971,PLANNING_FC!$B$4:$B$23,0),FALSE),0),0)</f>
        <v>0</v>
      </c>
      <c r="AZ971" s="58">
        <f>IFERROR(IF($V971="BRAND.com",HLOOKUP($X971&amp;$Z971,PLANNING_FC!$DA$27:$DO$46,MATCH($W971,PLANNING_FC!$CZ$27:$CZ$46,0),FALSE),0),0)</f>
        <v>0</v>
      </c>
      <c r="BA971" s="58">
        <f>IFERROR(IF($V971="BRAND.com",HLOOKUP($X971&amp;$Z971,PLANNING_FC!$DA$4:$DO$23,MATCH($W971,PLANNING_FC!$CZ$4:$CZ$23,0),FALSE),0),0)</f>
        <v>0</v>
      </c>
      <c r="BB971" s="883" t="str">
        <f>IF(V971="BRAND.com",IFERROR(HLOOKUP(X971&amp;Z971,PLANNING_FC!$AK$4:$AY$23,MATCH(W971,PLANNING_FC!$AJ$4:$AJ$23,0),FALSE)*1000,""),"")</f>
        <v/>
      </c>
      <c r="BC971" s="883" t="str">
        <f>IF(V971="BRAND.com",IFERROR(HLOOKUP(X971&amp;Z971,PLANNING_FC!$AK$27:$AY$46,MATCH(W971,PLANNING_FC!$AJ$27:$AJ$46,0),FALSE)*1000,""),"")</f>
        <v/>
      </c>
    </row>
    <row r="972" spans="14:55" x14ac:dyDescent="0.25">
      <c r="N972" s="56">
        <f t="shared" si="364"/>
        <v>0</v>
      </c>
      <c r="O972" s="57">
        <f t="shared" si="365"/>
        <v>0</v>
      </c>
      <c r="P972" s="57">
        <f ca="1">IFERROR(IF(ISBLANK(H972),SUMIFS($AC:$AC,$V:$V,V972,$W:$W,W972,$X:$X,X972,$Y:$Y,Y972)*J972/(1-J972)*VLOOKUP(_xlfn.CONCAT(C972,D972,E972,TIME!$M$12,Z972),HIS_SALES!$B$2:$W$4859,20,FALSE),AC972*J972/(1-J972)),0)</f>
        <v>0</v>
      </c>
      <c r="Q972" s="541" t="str">
        <f t="shared" si="366"/>
        <v/>
      </c>
      <c r="R972" s="346" t="str">
        <f t="shared" si="367"/>
        <v>00000</v>
      </c>
      <c r="S972" s="344">
        <f t="shared" si="368"/>
        <v>0</v>
      </c>
      <c r="T972" s="345" t="str">
        <f t="shared" si="381"/>
        <v>000</v>
      </c>
      <c r="U972" s="345">
        <f t="shared" si="369"/>
        <v>0</v>
      </c>
      <c r="V972" s="345">
        <f t="shared" si="370"/>
        <v>0</v>
      </c>
      <c r="W972" s="345">
        <f t="shared" si="371"/>
        <v>0</v>
      </c>
      <c r="X972" s="345">
        <f t="shared" si="372"/>
        <v>0</v>
      </c>
      <c r="Y972" s="345">
        <f t="shared" si="373"/>
        <v>0</v>
      </c>
      <c r="Z972" s="345">
        <f>IF(Q972&lt;&gt;"",VLOOKUP(Y972,TIME!$R$21:$V$24,MATCH(FC_DATA!Q972,TIME!$R$20:$V$20,0),FALSE),H972)</f>
        <v>0</v>
      </c>
      <c r="AA972" s="345" t="str">
        <f>IFERROR(VLOOKUP(X972&amp;Z972,TIME!$A$12:$D$71,4,FALSE),"")</f>
        <v/>
      </c>
      <c r="AB972" s="592">
        <f t="shared" ca="1" si="374"/>
        <v>0</v>
      </c>
      <c r="AC972" s="593" t="e">
        <f ca="1">IF(ISBLANK(H972)=FALSE,IF(D972="BRAND.com",I972,IF(ISNA(VLOOKUP(_xlfn.CONCAT(X972,Z972),TIME!$M$40:$M$42,1,FALSE)),I972,VLOOKUP(_xlfn.CONCAT(D972,G972,H972),M_BUSAREA_FC!$AF$5:$AJ$10,5,FALSE)*HLOOKUP(_xlfn.CONCAT(F972,H972),ST_OVERVIEW!$G$99:$I$130,MATCH(_xlfn.CONCAT(D972,E972),ST_OVERVIEW!$F$99:$F$130,0),FALSE))),IF(D972="BRAND.com",VLOOKUP(_xlfn.CONCAT(C972,D972,E972,TIME!$F$1,Z972),HIS_SALES!$B$2:$V$4859,19,FALSE)*I972,VLOOKUP(_xlfn.CONCAT(D972,F972,G972),Q_BUSAREA_FC!$AE$5:$AI$12,5,FALSE)*HLOOKUP(_xlfn.CONCAT(FC_DATA!F972,FC_DATA!G972),LT_OVERVIEW!$I$99:$M$130,MATCH(_xlfn.CONCAT(D972,FC_DATA!E972),LT_OVERVIEW!$H$99:$H$130,0),FALSE)*IFERROR(VLOOKUP(_xlfn.CONCAT(C972,D972,E972,TIME!$F$1,Z972),HIS_SALES!$B$2:$V$4859,19,FALSE),0)))</f>
        <v>#N/A</v>
      </c>
      <c r="AD972" s="341">
        <f t="shared" ca="1" si="375"/>
        <v>0</v>
      </c>
      <c r="AE972" s="363" t="str">
        <f t="shared" si="376"/>
        <v/>
      </c>
      <c r="AF972" s="342" t="str">
        <f t="shared" si="377"/>
        <v/>
      </c>
      <c r="AG972" s="411" t="e">
        <f ca="1">VLOOKUP(_xlfn.CONCAT(U972,V972,W972,VLOOKUP(X972&amp;Y972,TIME!$L$27:$O$34,4,FALSE),Y972),HIS_SALES!$A$2:$R$5093,18,FALSE)</f>
        <v>#N/A</v>
      </c>
      <c r="AH972" s="412" t="e">
        <f ca="1">IFERROR(IF(AND(V972=V971,W972=W971),0.5*(AB972+AB971)*AG972,(VLOOKUP(_xlfn.CONCAT(U972,V972,W972,X972,VLOOKUP(Z972,TIME!$S$28:$T$39,2,FALSE)),FC_DATA!$R$2:$AB$5000,MATCH("GS_I_M",FC_DATA!$R$1:$AB$1,0),FALSE)+FC_DATA!AB972)*0.5*FC_DATA!AG972),NA())</f>
        <v>#N/A</v>
      </c>
      <c r="AI972" s="491" t="e">
        <f ca="1">IF(V972="PARTNER.com",AH972,IF(AND(V972=V971,W972=W971),(1-AVERAGE(AD971,AD972))*AH972,(1-AVERAGE(AD972,VLOOKUP(_xlfn.CONCAT(U972,V972,W972,X972,M_BRAND_FC!$F$6),FC_DATA!$R$2:$AD$5000,MATCH("DISCOUNT_%_M",FC_DATA!$R$1:$AD$1,0),FALSE)))*AH972))</f>
        <v>#N/A</v>
      </c>
      <c r="AJ972" s="412" t="str">
        <f t="shared" ca="1" si="378"/>
        <v/>
      </c>
      <c r="AK972" s="413" t="str">
        <f>IFERROR(AE972/(Q_BRAND_FC!$T$24+1),"")</f>
        <v/>
      </c>
      <c r="AL972" s="88" t="str">
        <f t="shared" ca="1" si="379"/>
        <v/>
      </c>
      <c r="AM972" s="414" t="str">
        <f t="shared" ca="1" si="380"/>
        <v/>
      </c>
      <c r="AN972" s="58">
        <f>IFERROR(IF($V972="BRAND.com",HLOOKUP($X972&amp;$Z972,NWC_FC_NOOS!$C$4:$Q$23,MATCH(W972,NWC_FC_NOOS!$B$4:$B$23,0),FALSE),0),0)</f>
        <v>0</v>
      </c>
      <c r="AO972" s="57">
        <f>IFERROR(IF($V972="BRAND.com",HLOOKUP($X972&amp;$Z972,NWC_FC_NOOS!$T$4:$AH$23,MATCH(W972,NWC_FC_NOOS!$S$4:$S$23,0),FALSE),0),0)</f>
        <v>0</v>
      </c>
      <c r="AP972" s="57">
        <f>IFERROR(IF($V972="BRAND.com",HLOOKUP($X972&amp;$Z972,NWC_FC_NOOS!$C$50:$U$69,MATCH(W972,NWC_FC_NOOS!$B$50:$B$69,0),FALSE),0),0)</f>
        <v>0</v>
      </c>
      <c r="AQ972" s="58">
        <f>IFERROR(IF($V972="BRAND.com",HLOOKUP($X972&amp;$Z972,'NWC_FC_NON-NOOS'!$C$4:$Q$23,MATCH(W972,'NWC_FC_NON-NOOS'!$B$4:$B$23,0),FALSE),0),0)</f>
        <v>0</v>
      </c>
      <c r="AR972" s="57">
        <f>IFERROR(IF($V972="BRAND.com",HLOOKUP($X972&amp;$Z972,'NWC_FC_NON-NOOS'!$T$4:$AH$23,MATCH(W972,'NWC_FC_NON-NOOS'!$S$4:$S$23,0),FALSE),0),0)</f>
        <v>0</v>
      </c>
      <c r="AS972" s="57">
        <f>IFERROR(IF($V972="BRAND.com",HLOOKUP($X972&amp;$Z972,'NWC_FC_NON-NOOS'!$C$50:$U$69,MATCH(W972,'NWC_FC_NON-NOOS'!$B$50:$B$69,0),FALSE),0),0)</f>
        <v>0</v>
      </c>
      <c r="AT972" s="57">
        <f t="shared" si="382"/>
        <v>0</v>
      </c>
      <c r="AU972" s="57">
        <f t="shared" si="383"/>
        <v>0</v>
      </c>
      <c r="AV972" s="58">
        <f>IFERROR(IF($V972="BRAND.com",HLOOKUP($X972&amp;$Z972,PLANNING_FC!$BB$27:$BP$46,MATCH($W972,PLANNING_FC!$BA$27:$BA$46,0),FALSE),0),0)</f>
        <v>0</v>
      </c>
      <c r="AW972" s="58">
        <f>IFERROR(IF($V972="BRAND.com",HLOOKUP($X972&amp;$Z972,PLANNING_FC!$BB$4:$BP$23,MATCH($W972,PLANNING_FC!$BA$4:$BA$23,0),FALSE),0),0)</f>
        <v>0</v>
      </c>
      <c r="AX972" s="58">
        <f>IFERROR(IF($V972="BRAND.com",HLOOKUP($X972&amp;$Z972,PLANNING_FC!$T$27:$AH$46,MATCH($W972,PLANNING_FC!$B$27:$B$46,0),FALSE),0),0)</f>
        <v>0</v>
      </c>
      <c r="AY972" s="58">
        <f>IFERROR(IF($V972="BRAND.com",HLOOKUP($X972&amp;$Z972,PLANNING_FC!$T$4:$AH$23,MATCH($W972,PLANNING_FC!$B$4:$B$23,0),FALSE),0),0)</f>
        <v>0</v>
      </c>
      <c r="AZ972" s="58">
        <f>IFERROR(IF($V972="BRAND.com",HLOOKUP($X972&amp;$Z972,PLANNING_FC!$DA$27:$DO$46,MATCH($W972,PLANNING_FC!$CZ$27:$CZ$46,0),FALSE),0),0)</f>
        <v>0</v>
      </c>
      <c r="BA972" s="58">
        <f>IFERROR(IF($V972="BRAND.com",HLOOKUP($X972&amp;$Z972,PLANNING_FC!$DA$4:$DO$23,MATCH($W972,PLANNING_FC!$CZ$4:$CZ$23,0),FALSE),0),0)</f>
        <v>0</v>
      </c>
      <c r="BB972" s="883" t="str">
        <f>IF(V972="BRAND.com",IFERROR(HLOOKUP(X972&amp;Z972,PLANNING_FC!$AK$4:$AY$23,MATCH(W972,PLANNING_FC!$AJ$4:$AJ$23,0),FALSE)*1000,""),"")</f>
        <v/>
      </c>
      <c r="BC972" s="883" t="str">
        <f>IF(V972="BRAND.com",IFERROR(HLOOKUP(X972&amp;Z972,PLANNING_FC!$AK$27:$AY$46,MATCH(W972,PLANNING_FC!$AJ$27:$AJ$46,0),FALSE)*1000,""),"")</f>
        <v/>
      </c>
    </row>
    <row r="973" spans="14:55" x14ac:dyDescent="0.25">
      <c r="N973" s="56">
        <f t="shared" si="364"/>
        <v>0</v>
      </c>
      <c r="O973" s="57">
        <f t="shared" si="365"/>
        <v>0</v>
      </c>
      <c r="P973" s="57">
        <f ca="1">IFERROR(IF(ISBLANK(H973),SUMIFS($AC:$AC,$V:$V,V973,$W:$W,W973,$X:$X,X973,$Y:$Y,Y973)*J973/(1-J973)*VLOOKUP(_xlfn.CONCAT(C973,D973,E973,TIME!$M$12,Z973),HIS_SALES!$B$2:$W$4859,20,FALSE),AC973*J973/(1-J973)),0)</f>
        <v>0</v>
      </c>
      <c r="Q973" s="541" t="str">
        <f t="shared" si="366"/>
        <v/>
      </c>
      <c r="R973" s="346" t="str">
        <f t="shared" si="367"/>
        <v>00000</v>
      </c>
      <c r="S973" s="344">
        <f t="shared" si="368"/>
        <v>0</v>
      </c>
      <c r="T973" s="345" t="str">
        <f t="shared" si="381"/>
        <v>000</v>
      </c>
      <c r="U973" s="345">
        <f t="shared" si="369"/>
        <v>0</v>
      </c>
      <c r="V973" s="345">
        <f t="shared" si="370"/>
        <v>0</v>
      </c>
      <c r="W973" s="345">
        <f t="shared" si="371"/>
        <v>0</v>
      </c>
      <c r="X973" s="345">
        <f t="shared" si="372"/>
        <v>0</v>
      </c>
      <c r="Y973" s="345">
        <f t="shared" si="373"/>
        <v>0</v>
      </c>
      <c r="Z973" s="345">
        <f>IF(Q973&lt;&gt;"",VLOOKUP(Y973,TIME!$R$21:$V$24,MATCH(FC_DATA!Q973,TIME!$R$20:$V$20,0),FALSE),H973)</f>
        <v>0</v>
      </c>
      <c r="AA973" s="345" t="str">
        <f>IFERROR(VLOOKUP(X973&amp;Z973,TIME!$A$12:$D$71,4,FALSE),"")</f>
        <v/>
      </c>
      <c r="AB973" s="592">
        <f t="shared" ca="1" si="374"/>
        <v>0</v>
      </c>
      <c r="AC973" s="593" t="e">
        <f ca="1">IF(ISBLANK(H973)=FALSE,IF(D973="BRAND.com",I973,IF(ISNA(VLOOKUP(_xlfn.CONCAT(X973,Z973),TIME!$M$40:$M$42,1,FALSE)),I973,VLOOKUP(_xlfn.CONCAT(D973,G973,H973),M_BUSAREA_FC!$AF$5:$AJ$10,5,FALSE)*HLOOKUP(_xlfn.CONCAT(F973,H973),ST_OVERVIEW!$G$99:$I$130,MATCH(_xlfn.CONCAT(D973,E973),ST_OVERVIEW!$F$99:$F$130,0),FALSE))),IF(D973="BRAND.com",VLOOKUP(_xlfn.CONCAT(C973,D973,E973,TIME!$F$1,Z973),HIS_SALES!$B$2:$V$4859,19,FALSE)*I973,VLOOKUP(_xlfn.CONCAT(D973,F973,G973),Q_BUSAREA_FC!$AE$5:$AI$12,5,FALSE)*HLOOKUP(_xlfn.CONCAT(FC_DATA!F973,FC_DATA!G973),LT_OVERVIEW!$I$99:$M$130,MATCH(_xlfn.CONCAT(D973,FC_DATA!E973),LT_OVERVIEW!$H$99:$H$130,0),FALSE)*IFERROR(VLOOKUP(_xlfn.CONCAT(C973,D973,E973,TIME!$F$1,Z973),HIS_SALES!$B$2:$V$4859,19,FALSE),0)))</f>
        <v>#N/A</v>
      </c>
      <c r="AD973" s="341">
        <f t="shared" ca="1" si="375"/>
        <v>0</v>
      </c>
      <c r="AE973" s="363" t="str">
        <f t="shared" si="376"/>
        <v/>
      </c>
      <c r="AF973" s="342" t="str">
        <f t="shared" si="377"/>
        <v/>
      </c>
      <c r="AG973" s="411" t="e">
        <f ca="1">VLOOKUP(_xlfn.CONCAT(U973,V973,W973,VLOOKUP(X973&amp;Y973,TIME!$L$27:$O$34,4,FALSE),Y973),HIS_SALES!$A$2:$R$5093,18,FALSE)</f>
        <v>#N/A</v>
      </c>
      <c r="AH973" s="412" t="e">
        <f ca="1">IFERROR(IF(AND(V973=V972,W973=W972),0.5*(AB973+AB972)*AG973,(VLOOKUP(_xlfn.CONCAT(U973,V973,W973,X973,VLOOKUP(Z973,TIME!$S$28:$T$39,2,FALSE)),FC_DATA!$R$2:$AB$5000,MATCH("GS_I_M",FC_DATA!$R$1:$AB$1,0),FALSE)+FC_DATA!AB973)*0.5*FC_DATA!AG973),NA())</f>
        <v>#N/A</v>
      </c>
      <c r="AI973" s="491" t="e">
        <f ca="1">IF(V973="PARTNER.com",AH973,IF(AND(V973=V972,W973=W972),(1-AVERAGE(AD972,AD973))*AH973,(1-AVERAGE(AD973,VLOOKUP(_xlfn.CONCAT(U973,V973,W973,X973,M_BRAND_FC!$F$6),FC_DATA!$R$2:$AD$5000,MATCH("DISCOUNT_%_M",FC_DATA!$R$1:$AD$1,0),FALSE)))*AH973))</f>
        <v>#N/A</v>
      </c>
      <c r="AJ973" s="412" t="str">
        <f t="shared" ca="1" si="378"/>
        <v/>
      </c>
      <c r="AK973" s="413" t="str">
        <f>IFERROR(AE973/(Q_BRAND_FC!$T$24+1),"")</f>
        <v/>
      </c>
      <c r="AL973" s="88" t="str">
        <f t="shared" ca="1" si="379"/>
        <v/>
      </c>
      <c r="AM973" s="414" t="str">
        <f t="shared" ca="1" si="380"/>
        <v/>
      </c>
      <c r="AN973" s="58">
        <f>IFERROR(IF($V973="BRAND.com",HLOOKUP($X973&amp;$Z973,NWC_FC_NOOS!$C$4:$Q$23,MATCH(W973,NWC_FC_NOOS!$B$4:$B$23,0),FALSE),0),0)</f>
        <v>0</v>
      </c>
      <c r="AO973" s="57">
        <f>IFERROR(IF($V973="BRAND.com",HLOOKUP($X973&amp;$Z973,NWC_FC_NOOS!$T$4:$AH$23,MATCH(W973,NWC_FC_NOOS!$S$4:$S$23,0),FALSE),0),0)</f>
        <v>0</v>
      </c>
      <c r="AP973" s="57">
        <f>IFERROR(IF($V973="BRAND.com",HLOOKUP($X973&amp;$Z973,NWC_FC_NOOS!$C$50:$U$69,MATCH(W973,NWC_FC_NOOS!$B$50:$B$69,0),FALSE),0),0)</f>
        <v>0</v>
      </c>
      <c r="AQ973" s="58">
        <f>IFERROR(IF($V973="BRAND.com",HLOOKUP($X973&amp;$Z973,'NWC_FC_NON-NOOS'!$C$4:$Q$23,MATCH(W973,'NWC_FC_NON-NOOS'!$B$4:$B$23,0),FALSE),0),0)</f>
        <v>0</v>
      </c>
      <c r="AR973" s="57">
        <f>IFERROR(IF($V973="BRAND.com",HLOOKUP($X973&amp;$Z973,'NWC_FC_NON-NOOS'!$T$4:$AH$23,MATCH(W973,'NWC_FC_NON-NOOS'!$S$4:$S$23,0),FALSE),0),0)</f>
        <v>0</v>
      </c>
      <c r="AS973" s="57">
        <f>IFERROR(IF($V973="BRAND.com",HLOOKUP($X973&amp;$Z973,'NWC_FC_NON-NOOS'!$C$50:$U$69,MATCH(W973,'NWC_FC_NON-NOOS'!$B$50:$B$69,0),FALSE),0),0)</f>
        <v>0</v>
      </c>
      <c r="AT973" s="57">
        <f t="shared" si="382"/>
        <v>0</v>
      </c>
      <c r="AU973" s="57">
        <f t="shared" si="383"/>
        <v>0</v>
      </c>
      <c r="AV973" s="58">
        <f>IFERROR(IF($V973="BRAND.com",HLOOKUP($X973&amp;$Z973,PLANNING_FC!$BB$27:$BP$46,MATCH($W973,PLANNING_FC!$BA$27:$BA$46,0),FALSE),0),0)</f>
        <v>0</v>
      </c>
      <c r="AW973" s="58">
        <f>IFERROR(IF($V973="BRAND.com",HLOOKUP($X973&amp;$Z973,PLANNING_FC!$BB$4:$BP$23,MATCH($W973,PLANNING_FC!$BA$4:$BA$23,0),FALSE),0),0)</f>
        <v>0</v>
      </c>
      <c r="AX973" s="58">
        <f>IFERROR(IF($V973="BRAND.com",HLOOKUP($X973&amp;$Z973,PLANNING_FC!$T$27:$AH$46,MATCH($W973,PLANNING_FC!$B$27:$B$46,0),FALSE),0),0)</f>
        <v>0</v>
      </c>
      <c r="AY973" s="58">
        <f>IFERROR(IF($V973="BRAND.com",HLOOKUP($X973&amp;$Z973,PLANNING_FC!$T$4:$AH$23,MATCH($W973,PLANNING_FC!$B$4:$B$23,0),FALSE),0),0)</f>
        <v>0</v>
      </c>
      <c r="AZ973" s="58">
        <f>IFERROR(IF($V973="BRAND.com",HLOOKUP($X973&amp;$Z973,PLANNING_FC!$DA$27:$DO$46,MATCH($W973,PLANNING_FC!$CZ$27:$CZ$46,0),FALSE),0),0)</f>
        <v>0</v>
      </c>
      <c r="BA973" s="58">
        <f>IFERROR(IF($V973="BRAND.com",HLOOKUP($X973&amp;$Z973,PLANNING_FC!$DA$4:$DO$23,MATCH($W973,PLANNING_FC!$CZ$4:$CZ$23,0),FALSE),0),0)</f>
        <v>0</v>
      </c>
      <c r="BB973" s="883" t="str">
        <f>IF(V973="BRAND.com",IFERROR(HLOOKUP(X973&amp;Z973,PLANNING_FC!$AK$4:$AY$23,MATCH(W973,PLANNING_FC!$AJ$4:$AJ$23,0),FALSE)*1000,""),"")</f>
        <v/>
      </c>
      <c r="BC973" s="883" t="str">
        <f>IF(V973="BRAND.com",IFERROR(HLOOKUP(X973&amp;Z973,PLANNING_FC!$AK$27:$AY$46,MATCH(W973,PLANNING_FC!$AJ$27:$AJ$46,0),FALSE)*1000,""),"")</f>
        <v/>
      </c>
    </row>
    <row r="974" spans="14:55" x14ac:dyDescent="0.25">
      <c r="N974" s="56">
        <f t="shared" si="364"/>
        <v>0</v>
      </c>
      <c r="O974" s="57">
        <f t="shared" si="365"/>
        <v>0</v>
      </c>
      <c r="P974" s="57">
        <f ca="1">IFERROR(IF(ISBLANK(H974),SUMIFS($AC:$AC,$V:$V,V974,$W:$W,W974,$X:$X,X974,$Y:$Y,Y974)*J974/(1-J974)*VLOOKUP(_xlfn.CONCAT(C974,D974,E974,TIME!$M$12,Z974),HIS_SALES!$B$2:$W$4859,20,FALSE),AC974*J974/(1-J974)),0)</f>
        <v>0</v>
      </c>
      <c r="Q974" s="541" t="str">
        <f t="shared" si="366"/>
        <v/>
      </c>
      <c r="R974" s="346" t="str">
        <f t="shared" si="367"/>
        <v>00000</v>
      </c>
      <c r="S974" s="344">
        <f t="shared" si="368"/>
        <v>0</v>
      </c>
      <c r="T974" s="345" t="str">
        <f t="shared" si="381"/>
        <v>000</v>
      </c>
      <c r="U974" s="345">
        <f t="shared" si="369"/>
        <v>0</v>
      </c>
      <c r="V974" s="345">
        <f t="shared" si="370"/>
        <v>0</v>
      </c>
      <c r="W974" s="345">
        <f t="shared" si="371"/>
        <v>0</v>
      </c>
      <c r="X974" s="345">
        <f t="shared" si="372"/>
        <v>0</v>
      </c>
      <c r="Y974" s="345">
        <f t="shared" si="373"/>
        <v>0</v>
      </c>
      <c r="Z974" s="345">
        <f>IF(Q974&lt;&gt;"",VLOOKUP(Y974,TIME!$R$21:$V$24,MATCH(FC_DATA!Q974,TIME!$R$20:$V$20,0),FALSE),H974)</f>
        <v>0</v>
      </c>
      <c r="AA974" s="345" t="str">
        <f>IFERROR(VLOOKUP(X974&amp;Z974,TIME!$A$12:$D$71,4,FALSE),"")</f>
        <v/>
      </c>
      <c r="AB974" s="592">
        <f t="shared" ca="1" si="374"/>
        <v>0</v>
      </c>
      <c r="AC974" s="593" t="e">
        <f ca="1">IF(ISBLANK(H974)=FALSE,IF(D974="BRAND.com",I974,IF(ISNA(VLOOKUP(_xlfn.CONCAT(X974,Z974),TIME!$M$40:$M$42,1,FALSE)),I974,VLOOKUP(_xlfn.CONCAT(D974,G974,H974),M_BUSAREA_FC!$AF$5:$AJ$10,5,FALSE)*HLOOKUP(_xlfn.CONCAT(F974,H974),ST_OVERVIEW!$G$99:$I$130,MATCH(_xlfn.CONCAT(D974,E974),ST_OVERVIEW!$F$99:$F$130,0),FALSE))),IF(D974="BRAND.com",VLOOKUP(_xlfn.CONCAT(C974,D974,E974,TIME!$F$1,Z974),HIS_SALES!$B$2:$V$4859,19,FALSE)*I974,VLOOKUP(_xlfn.CONCAT(D974,F974,G974),Q_BUSAREA_FC!$AE$5:$AI$12,5,FALSE)*HLOOKUP(_xlfn.CONCAT(FC_DATA!F974,FC_DATA!G974),LT_OVERVIEW!$I$99:$M$130,MATCH(_xlfn.CONCAT(D974,FC_DATA!E974),LT_OVERVIEW!$H$99:$H$130,0),FALSE)*IFERROR(VLOOKUP(_xlfn.CONCAT(C974,D974,E974,TIME!$F$1,Z974),HIS_SALES!$B$2:$V$4859,19,FALSE),0)))</f>
        <v>#N/A</v>
      </c>
      <c r="AD974" s="341">
        <f t="shared" ca="1" si="375"/>
        <v>0</v>
      </c>
      <c r="AE974" s="363" t="str">
        <f t="shared" si="376"/>
        <v/>
      </c>
      <c r="AF974" s="342" t="str">
        <f t="shared" si="377"/>
        <v/>
      </c>
      <c r="AG974" s="411" t="e">
        <f ca="1">VLOOKUP(_xlfn.CONCAT(U974,V974,W974,VLOOKUP(X974&amp;Y974,TIME!$L$27:$O$34,4,FALSE),Y974),HIS_SALES!$A$2:$R$5093,18,FALSE)</f>
        <v>#N/A</v>
      </c>
      <c r="AH974" s="412" t="e">
        <f ca="1">IFERROR(IF(AND(V974=V973,W974=W973),0.5*(AB974+AB973)*AG974,(VLOOKUP(_xlfn.CONCAT(U974,V974,W974,X974,VLOOKUP(Z974,TIME!$S$28:$T$39,2,FALSE)),FC_DATA!$R$2:$AB$5000,MATCH("GS_I_M",FC_DATA!$R$1:$AB$1,0),FALSE)+FC_DATA!AB974)*0.5*FC_DATA!AG974),NA())</f>
        <v>#N/A</v>
      </c>
      <c r="AI974" s="491" t="e">
        <f ca="1">IF(V974="PARTNER.com",AH974,IF(AND(V974=V973,W974=W973),(1-AVERAGE(AD973,AD974))*AH974,(1-AVERAGE(AD974,VLOOKUP(_xlfn.CONCAT(U974,V974,W974,X974,M_BRAND_FC!$F$6),FC_DATA!$R$2:$AD$5000,MATCH("DISCOUNT_%_M",FC_DATA!$R$1:$AD$1,0),FALSE)))*AH974))</f>
        <v>#N/A</v>
      </c>
      <c r="AJ974" s="412" t="str">
        <f t="shared" ca="1" si="378"/>
        <v/>
      </c>
      <c r="AK974" s="413" t="str">
        <f>IFERROR(AE974/(Q_BRAND_FC!$T$24+1),"")</f>
        <v/>
      </c>
      <c r="AL974" s="88" t="str">
        <f t="shared" ca="1" si="379"/>
        <v/>
      </c>
      <c r="AM974" s="414" t="str">
        <f t="shared" ca="1" si="380"/>
        <v/>
      </c>
      <c r="AN974" s="58">
        <f>IFERROR(IF($V974="BRAND.com",HLOOKUP($X974&amp;$Z974,NWC_FC_NOOS!$C$4:$Q$23,MATCH(W974,NWC_FC_NOOS!$B$4:$B$23,0),FALSE),0),0)</f>
        <v>0</v>
      </c>
      <c r="AO974" s="57">
        <f>IFERROR(IF($V974="BRAND.com",HLOOKUP($X974&amp;$Z974,NWC_FC_NOOS!$T$4:$AH$23,MATCH(W974,NWC_FC_NOOS!$S$4:$S$23,0),FALSE),0),0)</f>
        <v>0</v>
      </c>
      <c r="AP974" s="57">
        <f>IFERROR(IF($V974="BRAND.com",HLOOKUP($X974&amp;$Z974,NWC_FC_NOOS!$C$50:$U$69,MATCH(W974,NWC_FC_NOOS!$B$50:$B$69,0),FALSE),0),0)</f>
        <v>0</v>
      </c>
      <c r="AQ974" s="58">
        <f>IFERROR(IF($V974="BRAND.com",HLOOKUP($X974&amp;$Z974,'NWC_FC_NON-NOOS'!$C$4:$Q$23,MATCH(W974,'NWC_FC_NON-NOOS'!$B$4:$B$23,0),FALSE),0),0)</f>
        <v>0</v>
      </c>
      <c r="AR974" s="57">
        <f>IFERROR(IF($V974="BRAND.com",HLOOKUP($X974&amp;$Z974,'NWC_FC_NON-NOOS'!$T$4:$AH$23,MATCH(W974,'NWC_FC_NON-NOOS'!$S$4:$S$23,0),FALSE),0),0)</f>
        <v>0</v>
      </c>
      <c r="AS974" s="57">
        <f>IFERROR(IF($V974="BRAND.com",HLOOKUP($X974&amp;$Z974,'NWC_FC_NON-NOOS'!$C$50:$U$69,MATCH(W974,'NWC_FC_NON-NOOS'!$B$50:$B$69,0),FALSE),0),0)</f>
        <v>0</v>
      </c>
      <c r="AT974" s="57">
        <f t="shared" si="382"/>
        <v>0</v>
      </c>
      <c r="AU974" s="57">
        <f t="shared" si="383"/>
        <v>0</v>
      </c>
      <c r="AV974" s="58">
        <f>IFERROR(IF($V974="BRAND.com",HLOOKUP($X974&amp;$Z974,PLANNING_FC!$BB$27:$BP$46,MATCH($W974,PLANNING_FC!$BA$27:$BA$46,0),FALSE),0),0)</f>
        <v>0</v>
      </c>
      <c r="AW974" s="58">
        <f>IFERROR(IF($V974="BRAND.com",HLOOKUP($X974&amp;$Z974,PLANNING_FC!$BB$4:$BP$23,MATCH($W974,PLANNING_FC!$BA$4:$BA$23,0),FALSE),0),0)</f>
        <v>0</v>
      </c>
      <c r="AX974" s="58">
        <f>IFERROR(IF($V974="BRAND.com",HLOOKUP($X974&amp;$Z974,PLANNING_FC!$T$27:$AH$46,MATCH($W974,PLANNING_FC!$B$27:$B$46,0),FALSE),0),0)</f>
        <v>0</v>
      </c>
      <c r="AY974" s="58">
        <f>IFERROR(IF($V974="BRAND.com",HLOOKUP($X974&amp;$Z974,PLANNING_FC!$T$4:$AH$23,MATCH($W974,PLANNING_FC!$B$4:$B$23,0),FALSE),0),0)</f>
        <v>0</v>
      </c>
      <c r="AZ974" s="58">
        <f>IFERROR(IF($V974="BRAND.com",HLOOKUP($X974&amp;$Z974,PLANNING_FC!$DA$27:$DO$46,MATCH($W974,PLANNING_FC!$CZ$27:$CZ$46,0),FALSE),0),0)</f>
        <v>0</v>
      </c>
      <c r="BA974" s="58">
        <f>IFERROR(IF($V974="BRAND.com",HLOOKUP($X974&amp;$Z974,PLANNING_FC!$DA$4:$DO$23,MATCH($W974,PLANNING_FC!$CZ$4:$CZ$23,0),FALSE),0),0)</f>
        <v>0</v>
      </c>
      <c r="BB974" s="883" t="str">
        <f>IF(V974="BRAND.com",IFERROR(HLOOKUP(X974&amp;Z974,PLANNING_FC!$AK$4:$AY$23,MATCH(W974,PLANNING_FC!$AJ$4:$AJ$23,0),FALSE)*1000,""),"")</f>
        <v/>
      </c>
      <c r="BC974" s="883" t="str">
        <f>IF(V974="BRAND.com",IFERROR(HLOOKUP(X974&amp;Z974,PLANNING_FC!$AK$27:$AY$46,MATCH(W974,PLANNING_FC!$AJ$27:$AJ$46,0),FALSE)*1000,""),"")</f>
        <v/>
      </c>
    </row>
    <row r="975" spans="14:55" x14ac:dyDescent="0.25">
      <c r="N975" s="56">
        <f t="shared" si="364"/>
        <v>0</v>
      </c>
      <c r="O975" s="57">
        <f t="shared" si="365"/>
        <v>0</v>
      </c>
      <c r="P975" s="57">
        <f ca="1">IFERROR(IF(ISBLANK(H975),SUMIFS($AC:$AC,$V:$V,V975,$W:$W,W975,$X:$X,X975,$Y:$Y,Y975)*J975/(1-J975)*VLOOKUP(_xlfn.CONCAT(C975,D975,E975,TIME!$M$12,Z975),HIS_SALES!$B$2:$W$4859,20,FALSE),AC975*J975/(1-J975)),0)</f>
        <v>0</v>
      </c>
      <c r="Q975" s="541" t="str">
        <f t="shared" si="366"/>
        <v/>
      </c>
      <c r="R975" s="346" t="str">
        <f t="shared" si="367"/>
        <v>00000</v>
      </c>
      <c r="S975" s="344">
        <f t="shared" si="368"/>
        <v>0</v>
      </c>
      <c r="T975" s="345" t="str">
        <f t="shared" si="381"/>
        <v>000</v>
      </c>
      <c r="U975" s="345">
        <f t="shared" si="369"/>
        <v>0</v>
      </c>
      <c r="V975" s="345">
        <f t="shared" si="370"/>
        <v>0</v>
      </c>
      <c r="W975" s="345">
        <f t="shared" si="371"/>
        <v>0</v>
      </c>
      <c r="X975" s="345">
        <f t="shared" si="372"/>
        <v>0</v>
      </c>
      <c r="Y975" s="345">
        <f t="shared" si="373"/>
        <v>0</v>
      </c>
      <c r="Z975" s="345">
        <f>IF(Q975&lt;&gt;"",VLOOKUP(Y975,TIME!$R$21:$V$24,MATCH(FC_DATA!Q975,TIME!$R$20:$V$20,0),FALSE),H975)</f>
        <v>0</v>
      </c>
      <c r="AA975" s="345" t="str">
        <f>IFERROR(VLOOKUP(X975&amp;Z975,TIME!$A$12:$D$71,4,FALSE),"")</f>
        <v/>
      </c>
      <c r="AB975" s="592">
        <f t="shared" ca="1" si="374"/>
        <v>0</v>
      </c>
      <c r="AC975" s="593" t="e">
        <f ca="1">IF(ISBLANK(H975)=FALSE,IF(D975="BRAND.com",I975,IF(ISNA(VLOOKUP(_xlfn.CONCAT(X975,Z975),TIME!$M$40:$M$42,1,FALSE)),I975,VLOOKUP(_xlfn.CONCAT(D975,G975,H975),M_BUSAREA_FC!$AF$5:$AJ$10,5,FALSE)*HLOOKUP(_xlfn.CONCAT(F975,H975),ST_OVERVIEW!$G$99:$I$130,MATCH(_xlfn.CONCAT(D975,E975),ST_OVERVIEW!$F$99:$F$130,0),FALSE))),IF(D975="BRAND.com",VLOOKUP(_xlfn.CONCAT(C975,D975,E975,TIME!$F$1,Z975),HIS_SALES!$B$2:$V$4859,19,FALSE)*I975,VLOOKUP(_xlfn.CONCAT(D975,F975,G975),Q_BUSAREA_FC!$AE$5:$AI$12,5,FALSE)*HLOOKUP(_xlfn.CONCAT(FC_DATA!F975,FC_DATA!G975),LT_OVERVIEW!$I$99:$M$130,MATCH(_xlfn.CONCAT(D975,FC_DATA!E975),LT_OVERVIEW!$H$99:$H$130,0),FALSE)*IFERROR(VLOOKUP(_xlfn.CONCAT(C975,D975,E975,TIME!$F$1,Z975),HIS_SALES!$B$2:$V$4859,19,FALSE),0)))</f>
        <v>#N/A</v>
      </c>
      <c r="AD975" s="341">
        <f t="shared" ca="1" si="375"/>
        <v>0</v>
      </c>
      <c r="AE975" s="363" t="str">
        <f t="shared" si="376"/>
        <v/>
      </c>
      <c r="AF975" s="342" t="str">
        <f t="shared" si="377"/>
        <v/>
      </c>
      <c r="AG975" s="411" t="e">
        <f ca="1">VLOOKUP(_xlfn.CONCAT(U975,V975,W975,VLOOKUP(X975&amp;Y975,TIME!$L$27:$O$34,4,FALSE),Y975),HIS_SALES!$A$2:$R$5093,18,FALSE)</f>
        <v>#N/A</v>
      </c>
      <c r="AH975" s="412" t="e">
        <f ca="1">IFERROR(IF(AND(V975=V974,W975=W974),0.5*(AB975+AB974)*AG975,(VLOOKUP(_xlfn.CONCAT(U975,V975,W975,X975,VLOOKUP(Z975,TIME!$S$28:$T$39,2,FALSE)),FC_DATA!$R$2:$AB$5000,MATCH("GS_I_M",FC_DATA!$R$1:$AB$1,0),FALSE)+FC_DATA!AB975)*0.5*FC_DATA!AG975),NA())</f>
        <v>#N/A</v>
      </c>
      <c r="AI975" s="491" t="e">
        <f ca="1">IF(V975="PARTNER.com",AH975,IF(AND(V975=V974,W975=W974),(1-AVERAGE(AD974,AD975))*AH975,(1-AVERAGE(AD975,VLOOKUP(_xlfn.CONCAT(U975,V975,W975,X975,M_BRAND_FC!$F$6),FC_DATA!$R$2:$AD$5000,MATCH("DISCOUNT_%_M",FC_DATA!$R$1:$AD$1,0),FALSE)))*AH975))</f>
        <v>#N/A</v>
      </c>
      <c r="AJ975" s="412" t="str">
        <f t="shared" ca="1" si="378"/>
        <v/>
      </c>
      <c r="AK975" s="413" t="str">
        <f>IFERROR(AE975/(Q_BRAND_FC!$T$24+1),"")</f>
        <v/>
      </c>
      <c r="AL975" s="88" t="str">
        <f t="shared" ca="1" si="379"/>
        <v/>
      </c>
      <c r="AM975" s="414" t="str">
        <f t="shared" ca="1" si="380"/>
        <v/>
      </c>
      <c r="AN975" s="58">
        <f>IFERROR(IF($V975="BRAND.com",HLOOKUP($X975&amp;$Z975,NWC_FC_NOOS!$C$4:$Q$23,MATCH(W975,NWC_FC_NOOS!$B$4:$B$23,0),FALSE),0),0)</f>
        <v>0</v>
      </c>
      <c r="AO975" s="57">
        <f>IFERROR(IF($V975="BRAND.com",HLOOKUP($X975&amp;$Z975,NWC_FC_NOOS!$T$4:$AH$23,MATCH(W975,NWC_FC_NOOS!$S$4:$S$23,0),FALSE),0),0)</f>
        <v>0</v>
      </c>
      <c r="AP975" s="57">
        <f>IFERROR(IF($V975="BRAND.com",HLOOKUP($X975&amp;$Z975,NWC_FC_NOOS!$C$50:$U$69,MATCH(W975,NWC_FC_NOOS!$B$50:$B$69,0),FALSE),0),0)</f>
        <v>0</v>
      </c>
      <c r="AQ975" s="58">
        <f>IFERROR(IF($V975="BRAND.com",HLOOKUP($X975&amp;$Z975,'NWC_FC_NON-NOOS'!$C$4:$Q$23,MATCH(W975,'NWC_FC_NON-NOOS'!$B$4:$B$23,0),FALSE),0),0)</f>
        <v>0</v>
      </c>
      <c r="AR975" s="57">
        <f>IFERROR(IF($V975="BRAND.com",HLOOKUP($X975&amp;$Z975,'NWC_FC_NON-NOOS'!$T$4:$AH$23,MATCH(W975,'NWC_FC_NON-NOOS'!$S$4:$S$23,0),FALSE),0),0)</f>
        <v>0</v>
      </c>
      <c r="AS975" s="57">
        <f>IFERROR(IF($V975="BRAND.com",HLOOKUP($X975&amp;$Z975,'NWC_FC_NON-NOOS'!$C$50:$U$69,MATCH(W975,'NWC_FC_NON-NOOS'!$B$50:$B$69,0),FALSE),0),0)</f>
        <v>0</v>
      </c>
      <c r="AT975" s="57">
        <f t="shared" si="382"/>
        <v>0</v>
      </c>
      <c r="AU975" s="57">
        <f t="shared" si="383"/>
        <v>0</v>
      </c>
      <c r="AV975" s="58">
        <f>IFERROR(IF($V975="BRAND.com",HLOOKUP($X975&amp;$Z975,PLANNING_FC!$BB$27:$BP$46,MATCH($W975,PLANNING_FC!$BA$27:$BA$46,0),FALSE),0),0)</f>
        <v>0</v>
      </c>
      <c r="AW975" s="58">
        <f>IFERROR(IF($V975="BRAND.com",HLOOKUP($X975&amp;$Z975,PLANNING_FC!$BB$4:$BP$23,MATCH($W975,PLANNING_FC!$BA$4:$BA$23,0),FALSE),0),0)</f>
        <v>0</v>
      </c>
      <c r="AX975" s="58">
        <f>IFERROR(IF($V975="BRAND.com",HLOOKUP($X975&amp;$Z975,PLANNING_FC!$T$27:$AH$46,MATCH($W975,PLANNING_FC!$B$27:$B$46,0),FALSE),0),0)</f>
        <v>0</v>
      </c>
      <c r="AY975" s="58">
        <f>IFERROR(IF($V975="BRAND.com",HLOOKUP($X975&amp;$Z975,PLANNING_FC!$T$4:$AH$23,MATCH($W975,PLANNING_FC!$B$4:$B$23,0),FALSE),0),0)</f>
        <v>0</v>
      </c>
      <c r="AZ975" s="58">
        <f>IFERROR(IF($V975="BRAND.com",HLOOKUP($X975&amp;$Z975,PLANNING_FC!$DA$27:$DO$46,MATCH($W975,PLANNING_FC!$CZ$27:$CZ$46,0),FALSE),0),0)</f>
        <v>0</v>
      </c>
      <c r="BA975" s="58">
        <f>IFERROR(IF($V975="BRAND.com",HLOOKUP($X975&amp;$Z975,PLANNING_FC!$DA$4:$DO$23,MATCH($W975,PLANNING_FC!$CZ$4:$CZ$23,0),FALSE),0),0)</f>
        <v>0</v>
      </c>
      <c r="BB975" s="883" t="str">
        <f>IF(V975="BRAND.com",IFERROR(HLOOKUP(X975&amp;Z975,PLANNING_FC!$AK$4:$AY$23,MATCH(W975,PLANNING_FC!$AJ$4:$AJ$23,0),FALSE)*1000,""),"")</f>
        <v/>
      </c>
      <c r="BC975" s="883" t="str">
        <f>IF(V975="BRAND.com",IFERROR(HLOOKUP(X975&amp;Z975,PLANNING_FC!$AK$27:$AY$46,MATCH(W975,PLANNING_FC!$AJ$27:$AJ$46,0),FALSE)*1000,""),"")</f>
        <v/>
      </c>
    </row>
    <row r="976" spans="14:55" x14ac:dyDescent="0.25">
      <c r="N976" s="56">
        <f t="shared" si="364"/>
        <v>0</v>
      </c>
      <c r="O976" s="57">
        <f t="shared" si="365"/>
        <v>0</v>
      </c>
      <c r="P976" s="57">
        <f ca="1">IFERROR(IF(ISBLANK(H976),SUMIFS($AC:$AC,$V:$V,V976,$W:$W,W976,$X:$X,X976,$Y:$Y,Y976)*J976/(1-J976)*VLOOKUP(_xlfn.CONCAT(C976,D976,E976,TIME!$M$12,Z976),HIS_SALES!$B$2:$W$4859,20,FALSE),AC976*J976/(1-J976)),0)</f>
        <v>0</v>
      </c>
      <c r="Q976" s="541" t="str">
        <f t="shared" si="366"/>
        <v/>
      </c>
      <c r="R976" s="346" t="str">
        <f t="shared" si="367"/>
        <v>00000</v>
      </c>
      <c r="S976" s="344">
        <f t="shared" si="368"/>
        <v>0</v>
      </c>
      <c r="T976" s="345" t="str">
        <f t="shared" si="381"/>
        <v>000</v>
      </c>
      <c r="U976" s="345">
        <f t="shared" si="369"/>
        <v>0</v>
      </c>
      <c r="V976" s="345">
        <f t="shared" si="370"/>
        <v>0</v>
      </c>
      <c r="W976" s="345">
        <f t="shared" si="371"/>
        <v>0</v>
      </c>
      <c r="X976" s="345">
        <f t="shared" si="372"/>
        <v>0</v>
      </c>
      <c r="Y976" s="345">
        <f t="shared" si="373"/>
        <v>0</v>
      </c>
      <c r="Z976" s="345">
        <f>IF(Q976&lt;&gt;"",VLOOKUP(Y976,TIME!$R$21:$V$24,MATCH(FC_DATA!Q976,TIME!$R$20:$V$20,0),FALSE),H976)</f>
        <v>0</v>
      </c>
      <c r="AA976" s="345" t="str">
        <f>IFERROR(VLOOKUP(X976&amp;Z976,TIME!$A$12:$D$71,4,FALSE),"")</f>
        <v/>
      </c>
      <c r="AB976" s="592">
        <f t="shared" ca="1" si="374"/>
        <v>0</v>
      </c>
      <c r="AC976" s="593" t="e">
        <f ca="1">IF(ISBLANK(H976)=FALSE,IF(D976="BRAND.com",I976,IF(ISNA(VLOOKUP(_xlfn.CONCAT(X976,Z976),TIME!$M$40:$M$42,1,FALSE)),I976,VLOOKUP(_xlfn.CONCAT(D976,G976,H976),M_BUSAREA_FC!$AF$5:$AJ$10,5,FALSE)*HLOOKUP(_xlfn.CONCAT(F976,H976),ST_OVERVIEW!$G$99:$I$130,MATCH(_xlfn.CONCAT(D976,E976),ST_OVERVIEW!$F$99:$F$130,0),FALSE))),IF(D976="BRAND.com",VLOOKUP(_xlfn.CONCAT(C976,D976,E976,TIME!$F$1,Z976),HIS_SALES!$B$2:$V$4859,19,FALSE)*I976,VLOOKUP(_xlfn.CONCAT(D976,F976,G976),Q_BUSAREA_FC!$AE$5:$AI$12,5,FALSE)*HLOOKUP(_xlfn.CONCAT(FC_DATA!F976,FC_DATA!G976),LT_OVERVIEW!$I$99:$M$130,MATCH(_xlfn.CONCAT(D976,FC_DATA!E976),LT_OVERVIEW!$H$99:$H$130,0),FALSE)*IFERROR(VLOOKUP(_xlfn.CONCAT(C976,D976,E976,TIME!$F$1,Z976),HIS_SALES!$B$2:$V$4859,19,FALSE),0)))</f>
        <v>#N/A</v>
      </c>
      <c r="AD976" s="341">
        <f t="shared" ca="1" si="375"/>
        <v>0</v>
      </c>
      <c r="AE976" s="363" t="str">
        <f t="shared" si="376"/>
        <v/>
      </c>
      <c r="AF976" s="342" t="str">
        <f t="shared" si="377"/>
        <v/>
      </c>
      <c r="AG976" s="411" t="e">
        <f ca="1">VLOOKUP(_xlfn.CONCAT(U976,V976,W976,VLOOKUP(X976&amp;Y976,TIME!$L$27:$O$34,4,FALSE),Y976),HIS_SALES!$A$2:$R$5093,18,FALSE)</f>
        <v>#N/A</v>
      </c>
      <c r="AH976" s="412" t="e">
        <f ca="1">IFERROR(IF(AND(V976=V975,W976=W975),0.5*(AB976+AB975)*AG976,(VLOOKUP(_xlfn.CONCAT(U976,V976,W976,X976,VLOOKUP(Z976,TIME!$S$28:$T$39,2,FALSE)),FC_DATA!$R$2:$AB$5000,MATCH("GS_I_M",FC_DATA!$R$1:$AB$1,0),FALSE)+FC_DATA!AB976)*0.5*FC_DATA!AG976),NA())</f>
        <v>#N/A</v>
      </c>
      <c r="AI976" s="491" t="e">
        <f ca="1">IF(V976="PARTNER.com",AH976,IF(AND(V976=V975,W976=W975),(1-AVERAGE(AD975,AD976))*AH976,(1-AVERAGE(AD976,VLOOKUP(_xlfn.CONCAT(U976,V976,W976,X976,M_BRAND_FC!$F$6),FC_DATA!$R$2:$AD$5000,MATCH("DISCOUNT_%_M",FC_DATA!$R$1:$AD$1,0),FALSE)))*AH976))</f>
        <v>#N/A</v>
      </c>
      <c r="AJ976" s="412" t="str">
        <f t="shared" ca="1" si="378"/>
        <v/>
      </c>
      <c r="AK976" s="413" t="str">
        <f>IFERROR(AE976/(Q_BRAND_FC!$T$24+1),"")</f>
        <v/>
      </c>
      <c r="AL976" s="88" t="str">
        <f t="shared" ca="1" si="379"/>
        <v/>
      </c>
      <c r="AM976" s="414" t="str">
        <f t="shared" ca="1" si="380"/>
        <v/>
      </c>
      <c r="AN976" s="58">
        <f>IFERROR(IF($V976="BRAND.com",HLOOKUP($X976&amp;$Z976,NWC_FC_NOOS!$C$4:$Q$23,MATCH(W976,NWC_FC_NOOS!$B$4:$B$23,0),FALSE),0),0)</f>
        <v>0</v>
      </c>
      <c r="AO976" s="57">
        <f>IFERROR(IF($V976="BRAND.com",HLOOKUP($X976&amp;$Z976,NWC_FC_NOOS!$T$4:$AH$23,MATCH(W976,NWC_FC_NOOS!$S$4:$S$23,0),FALSE),0),0)</f>
        <v>0</v>
      </c>
      <c r="AP976" s="57">
        <f>IFERROR(IF($V976="BRAND.com",HLOOKUP($X976&amp;$Z976,NWC_FC_NOOS!$C$50:$U$69,MATCH(W976,NWC_FC_NOOS!$B$50:$B$69,0),FALSE),0),0)</f>
        <v>0</v>
      </c>
      <c r="AQ976" s="58">
        <f>IFERROR(IF($V976="BRAND.com",HLOOKUP($X976&amp;$Z976,'NWC_FC_NON-NOOS'!$C$4:$Q$23,MATCH(W976,'NWC_FC_NON-NOOS'!$B$4:$B$23,0),FALSE),0),0)</f>
        <v>0</v>
      </c>
      <c r="AR976" s="57">
        <f>IFERROR(IF($V976="BRAND.com",HLOOKUP($X976&amp;$Z976,'NWC_FC_NON-NOOS'!$T$4:$AH$23,MATCH(W976,'NWC_FC_NON-NOOS'!$S$4:$S$23,0),FALSE),0),0)</f>
        <v>0</v>
      </c>
      <c r="AS976" s="57">
        <f>IFERROR(IF($V976="BRAND.com",HLOOKUP($X976&amp;$Z976,'NWC_FC_NON-NOOS'!$C$50:$U$69,MATCH(W976,'NWC_FC_NON-NOOS'!$B$50:$B$69,0),FALSE),0),0)</f>
        <v>0</v>
      </c>
      <c r="AT976" s="57">
        <f t="shared" si="382"/>
        <v>0</v>
      </c>
      <c r="AU976" s="57">
        <f t="shared" si="383"/>
        <v>0</v>
      </c>
      <c r="AV976" s="58">
        <f>IFERROR(IF($V976="BRAND.com",HLOOKUP($X976&amp;$Z976,PLANNING_FC!$BB$27:$BP$46,MATCH($W976,PLANNING_FC!$BA$27:$BA$46,0),FALSE),0),0)</f>
        <v>0</v>
      </c>
      <c r="AW976" s="58">
        <f>IFERROR(IF($V976="BRAND.com",HLOOKUP($X976&amp;$Z976,PLANNING_FC!$BB$4:$BP$23,MATCH($W976,PLANNING_FC!$BA$4:$BA$23,0),FALSE),0),0)</f>
        <v>0</v>
      </c>
      <c r="AX976" s="58">
        <f>IFERROR(IF($V976="BRAND.com",HLOOKUP($X976&amp;$Z976,PLANNING_FC!$T$27:$AH$46,MATCH($W976,PLANNING_FC!$B$27:$B$46,0),FALSE),0),0)</f>
        <v>0</v>
      </c>
      <c r="AY976" s="58">
        <f>IFERROR(IF($V976="BRAND.com",HLOOKUP($X976&amp;$Z976,PLANNING_FC!$T$4:$AH$23,MATCH($W976,PLANNING_FC!$B$4:$B$23,0),FALSE),0),0)</f>
        <v>0</v>
      </c>
      <c r="AZ976" s="58">
        <f>IFERROR(IF($V976="BRAND.com",HLOOKUP($X976&amp;$Z976,PLANNING_FC!$DA$27:$DO$46,MATCH($W976,PLANNING_FC!$CZ$27:$CZ$46,0),FALSE),0),0)</f>
        <v>0</v>
      </c>
      <c r="BA976" s="58">
        <f>IFERROR(IF($V976="BRAND.com",HLOOKUP($X976&amp;$Z976,PLANNING_FC!$DA$4:$DO$23,MATCH($W976,PLANNING_FC!$CZ$4:$CZ$23,0),FALSE),0),0)</f>
        <v>0</v>
      </c>
      <c r="BB976" s="883" t="str">
        <f>IF(V976="BRAND.com",IFERROR(HLOOKUP(X976&amp;Z976,PLANNING_FC!$AK$4:$AY$23,MATCH(W976,PLANNING_FC!$AJ$4:$AJ$23,0),FALSE)*1000,""),"")</f>
        <v/>
      </c>
      <c r="BC976" s="883" t="str">
        <f>IF(V976="BRAND.com",IFERROR(HLOOKUP(X976&amp;Z976,PLANNING_FC!$AK$27:$AY$46,MATCH(W976,PLANNING_FC!$AJ$27:$AJ$46,0),FALSE)*1000,""),"")</f>
        <v/>
      </c>
    </row>
    <row r="977" spans="14:55" x14ac:dyDescent="0.25">
      <c r="N977" s="56">
        <f t="shared" si="364"/>
        <v>0</v>
      </c>
      <c r="O977" s="57">
        <f t="shared" si="365"/>
        <v>0</v>
      </c>
      <c r="P977" s="57">
        <f ca="1">IFERROR(IF(ISBLANK(H977),SUMIFS($AC:$AC,$V:$V,V977,$W:$W,W977,$X:$X,X977,$Y:$Y,Y977)*J977/(1-J977)*VLOOKUP(_xlfn.CONCAT(C977,D977,E977,TIME!$M$12,Z977),HIS_SALES!$B$2:$W$4859,20,FALSE),AC977*J977/(1-J977)),0)</f>
        <v>0</v>
      </c>
      <c r="Q977" s="541" t="str">
        <f t="shared" si="366"/>
        <v/>
      </c>
      <c r="R977" s="346" t="str">
        <f t="shared" si="367"/>
        <v>00000</v>
      </c>
      <c r="S977" s="344">
        <f t="shared" si="368"/>
        <v>0</v>
      </c>
      <c r="T977" s="345" t="str">
        <f t="shared" si="381"/>
        <v>000</v>
      </c>
      <c r="U977" s="345">
        <f t="shared" si="369"/>
        <v>0</v>
      </c>
      <c r="V977" s="345">
        <f t="shared" si="370"/>
        <v>0</v>
      </c>
      <c r="W977" s="345">
        <f t="shared" si="371"/>
        <v>0</v>
      </c>
      <c r="X977" s="345">
        <f t="shared" si="372"/>
        <v>0</v>
      </c>
      <c r="Y977" s="345">
        <f t="shared" si="373"/>
        <v>0</v>
      </c>
      <c r="Z977" s="345">
        <f>IF(Q977&lt;&gt;"",VLOOKUP(Y977,TIME!$R$21:$V$24,MATCH(FC_DATA!Q977,TIME!$R$20:$V$20,0),FALSE),H977)</f>
        <v>0</v>
      </c>
      <c r="AA977" s="345" t="str">
        <f>IFERROR(VLOOKUP(X977&amp;Z977,TIME!$A$12:$D$71,4,FALSE),"")</f>
        <v/>
      </c>
      <c r="AB977" s="592">
        <f t="shared" ca="1" si="374"/>
        <v>0</v>
      </c>
      <c r="AC977" s="593" t="e">
        <f ca="1">IF(ISBLANK(H977)=FALSE,IF(D977="BRAND.com",I977,IF(ISNA(VLOOKUP(_xlfn.CONCAT(X977,Z977),TIME!$M$40:$M$42,1,FALSE)),I977,VLOOKUP(_xlfn.CONCAT(D977,G977,H977),M_BUSAREA_FC!$AF$5:$AJ$10,5,FALSE)*HLOOKUP(_xlfn.CONCAT(F977,H977),ST_OVERVIEW!$G$99:$I$130,MATCH(_xlfn.CONCAT(D977,E977),ST_OVERVIEW!$F$99:$F$130,0),FALSE))),IF(D977="BRAND.com",VLOOKUP(_xlfn.CONCAT(C977,D977,E977,TIME!$F$1,Z977),HIS_SALES!$B$2:$V$4859,19,FALSE)*I977,VLOOKUP(_xlfn.CONCAT(D977,F977,G977),Q_BUSAREA_FC!$AE$5:$AI$12,5,FALSE)*HLOOKUP(_xlfn.CONCAT(FC_DATA!F977,FC_DATA!G977),LT_OVERVIEW!$I$99:$M$130,MATCH(_xlfn.CONCAT(D977,FC_DATA!E977),LT_OVERVIEW!$H$99:$H$130,0),FALSE)*IFERROR(VLOOKUP(_xlfn.CONCAT(C977,D977,E977,TIME!$F$1,Z977),HIS_SALES!$B$2:$V$4859,19,FALSE),0)))</f>
        <v>#N/A</v>
      </c>
      <c r="AD977" s="341">
        <f t="shared" ca="1" si="375"/>
        <v>0</v>
      </c>
      <c r="AE977" s="363" t="str">
        <f t="shared" si="376"/>
        <v/>
      </c>
      <c r="AF977" s="342" t="str">
        <f t="shared" si="377"/>
        <v/>
      </c>
      <c r="AG977" s="411" t="e">
        <f ca="1">VLOOKUP(_xlfn.CONCAT(U977,V977,W977,VLOOKUP(X977&amp;Y977,TIME!$L$27:$O$34,4,FALSE),Y977),HIS_SALES!$A$2:$R$5093,18,FALSE)</f>
        <v>#N/A</v>
      </c>
      <c r="AH977" s="412" t="e">
        <f ca="1">IFERROR(IF(AND(V977=V976,W977=W976),0.5*(AB977+AB976)*AG977,(VLOOKUP(_xlfn.CONCAT(U977,V977,W977,X977,VLOOKUP(Z977,TIME!$S$28:$T$39,2,FALSE)),FC_DATA!$R$2:$AB$5000,MATCH("GS_I_M",FC_DATA!$R$1:$AB$1,0),FALSE)+FC_DATA!AB977)*0.5*FC_DATA!AG977),NA())</f>
        <v>#N/A</v>
      </c>
      <c r="AI977" s="491" t="e">
        <f ca="1">IF(V977="PARTNER.com",AH977,IF(AND(V977=V976,W977=W976),(1-AVERAGE(AD976,AD977))*AH977,(1-AVERAGE(AD977,VLOOKUP(_xlfn.CONCAT(U977,V977,W977,X977,M_BRAND_FC!$F$6),FC_DATA!$R$2:$AD$5000,MATCH("DISCOUNT_%_M",FC_DATA!$R$1:$AD$1,0),FALSE)))*AH977))</f>
        <v>#N/A</v>
      </c>
      <c r="AJ977" s="412" t="str">
        <f t="shared" ca="1" si="378"/>
        <v/>
      </c>
      <c r="AK977" s="413" t="str">
        <f>IFERROR(AE977/(Q_BRAND_FC!$T$24+1),"")</f>
        <v/>
      </c>
      <c r="AL977" s="88" t="str">
        <f t="shared" ca="1" si="379"/>
        <v/>
      </c>
      <c r="AM977" s="414" t="str">
        <f t="shared" ca="1" si="380"/>
        <v/>
      </c>
      <c r="AN977" s="58">
        <f>IFERROR(IF($V977="BRAND.com",HLOOKUP($X977&amp;$Z977,NWC_FC_NOOS!$C$4:$Q$23,MATCH(W977,NWC_FC_NOOS!$B$4:$B$23,0),FALSE),0),0)</f>
        <v>0</v>
      </c>
      <c r="AO977" s="57">
        <f>IFERROR(IF($V977="BRAND.com",HLOOKUP($X977&amp;$Z977,NWC_FC_NOOS!$T$4:$AH$23,MATCH(W977,NWC_FC_NOOS!$S$4:$S$23,0),FALSE),0),0)</f>
        <v>0</v>
      </c>
      <c r="AP977" s="57">
        <f>IFERROR(IF($V977="BRAND.com",HLOOKUP($X977&amp;$Z977,NWC_FC_NOOS!$C$50:$U$69,MATCH(W977,NWC_FC_NOOS!$B$50:$B$69,0),FALSE),0),0)</f>
        <v>0</v>
      </c>
      <c r="AQ977" s="58">
        <f>IFERROR(IF($V977="BRAND.com",HLOOKUP($X977&amp;$Z977,'NWC_FC_NON-NOOS'!$C$4:$Q$23,MATCH(W977,'NWC_FC_NON-NOOS'!$B$4:$B$23,0),FALSE),0),0)</f>
        <v>0</v>
      </c>
      <c r="AR977" s="57">
        <f>IFERROR(IF($V977="BRAND.com",HLOOKUP($X977&amp;$Z977,'NWC_FC_NON-NOOS'!$T$4:$AH$23,MATCH(W977,'NWC_FC_NON-NOOS'!$S$4:$S$23,0),FALSE),0),0)</f>
        <v>0</v>
      </c>
      <c r="AS977" s="57">
        <f>IFERROR(IF($V977="BRAND.com",HLOOKUP($X977&amp;$Z977,'NWC_FC_NON-NOOS'!$C$50:$U$69,MATCH(W977,'NWC_FC_NON-NOOS'!$B$50:$B$69,0),FALSE),0),0)</f>
        <v>0</v>
      </c>
      <c r="AT977" s="57">
        <f t="shared" si="382"/>
        <v>0</v>
      </c>
      <c r="AU977" s="57">
        <f t="shared" si="383"/>
        <v>0</v>
      </c>
      <c r="AV977" s="58">
        <f>IFERROR(IF($V977="BRAND.com",HLOOKUP($X977&amp;$Z977,PLANNING_FC!$BB$27:$BP$46,MATCH($W977,PLANNING_FC!$BA$27:$BA$46,0),FALSE),0),0)</f>
        <v>0</v>
      </c>
      <c r="AW977" s="58">
        <f>IFERROR(IF($V977="BRAND.com",HLOOKUP($X977&amp;$Z977,PLANNING_FC!$BB$4:$BP$23,MATCH($W977,PLANNING_FC!$BA$4:$BA$23,0),FALSE),0),0)</f>
        <v>0</v>
      </c>
      <c r="AX977" s="58">
        <f>IFERROR(IF($V977="BRAND.com",HLOOKUP($X977&amp;$Z977,PLANNING_FC!$T$27:$AH$46,MATCH($W977,PLANNING_FC!$B$27:$B$46,0),FALSE),0),0)</f>
        <v>0</v>
      </c>
      <c r="AY977" s="58">
        <f>IFERROR(IF($V977="BRAND.com",HLOOKUP($X977&amp;$Z977,PLANNING_FC!$T$4:$AH$23,MATCH($W977,PLANNING_FC!$B$4:$B$23,0),FALSE),0),0)</f>
        <v>0</v>
      </c>
      <c r="AZ977" s="58">
        <f>IFERROR(IF($V977="BRAND.com",HLOOKUP($X977&amp;$Z977,PLANNING_FC!$DA$27:$DO$46,MATCH($W977,PLANNING_FC!$CZ$27:$CZ$46,0),FALSE),0),0)</f>
        <v>0</v>
      </c>
      <c r="BA977" s="58">
        <f>IFERROR(IF($V977="BRAND.com",HLOOKUP($X977&amp;$Z977,PLANNING_FC!$DA$4:$DO$23,MATCH($W977,PLANNING_FC!$CZ$4:$CZ$23,0),FALSE),0),0)</f>
        <v>0</v>
      </c>
      <c r="BB977" s="883" t="str">
        <f>IF(V977="BRAND.com",IFERROR(HLOOKUP(X977&amp;Z977,PLANNING_FC!$AK$4:$AY$23,MATCH(W977,PLANNING_FC!$AJ$4:$AJ$23,0),FALSE)*1000,""),"")</f>
        <v/>
      </c>
      <c r="BC977" s="883" t="str">
        <f>IF(V977="BRAND.com",IFERROR(HLOOKUP(X977&amp;Z977,PLANNING_FC!$AK$27:$AY$46,MATCH(W977,PLANNING_FC!$AJ$27:$AJ$46,0),FALSE)*1000,""),"")</f>
        <v/>
      </c>
    </row>
    <row r="978" spans="14:55" x14ac:dyDescent="0.25">
      <c r="N978" s="56">
        <f t="shared" si="364"/>
        <v>0</v>
      </c>
      <c r="O978" s="57">
        <f t="shared" si="365"/>
        <v>0</v>
      </c>
      <c r="P978" s="57">
        <f ca="1">IFERROR(IF(ISBLANK(H978),SUMIFS($AC:$AC,$V:$V,V978,$W:$W,W978,$X:$X,X978,$Y:$Y,Y978)*J978/(1-J978)*VLOOKUP(_xlfn.CONCAT(C978,D978,E978,TIME!$M$12,Z978),HIS_SALES!$B$2:$W$4859,20,FALSE),AC978*J978/(1-J978)),0)</f>
        <v>0</v>
      </c>
      <c r="Q978" s="541" t="str">
        <f t="shared" si="366"/>
        <v/>
      </c>
      <c r="R978" s="346" t="str">
        <f t="shared" si="367"/>
        <v>00000</v>
      </c>
      <c r="S978" s="344">
        <f t="shared" si="368"/>
        <v>0</v>
      </c>
      <c r="T978" s="345" t="str">
        <f t="shared" si="381"/>
        <v>000</v>
      </c>
      <c r="U978" s="345">
        <f t="shared" si="369"/>
        <v>0</v>
      </c>
      <c r="V978" s="345">
        <f t="shared" si="370"/>
        <v>0</v>
      </c>
      <c r="W978" s="345">
        <f t="shared" si="371"/>
        <v>0</v>
      </c>
      <c r="X978" s="345">
        <f t="shared" si="372"/>
        <v>0</v>
      </c>
      <c r="Y978" s="345">
        <f t="shared" si="373"/>
        <v>0</v>
      </c>
      <c r="Z978" s="345">
        <f>IF(Q978&lt;&gt;"",VLOOKUP(Y978,TIME!$R$21:$V$24,MATCH(FC_DATA!Q978,TIME!$R$20:$V$20,0),FALSE),H978)</f>
        <v>0</v>
      </c>
      <c r="AA978" s="345" t="str">
        <f>IFERROR(VLOOKUP(X978&amp;Z978,TIME!$A$12:$D$71,4,FALSE),"")</f>
        <v/>
      </c>
      <c r="AB978" s="592">
        <f t="shared" ca="1" si="374"/>
        <v>0</v>
      </c>
      <c r="AC978" s="593" t="e">
        <f ca="1">IF(ISBLANK(H978)=FALSE,IF(D978="BRAND.com",I978,IF(ISNA(VLOOKUP(_xlfn.CONCAT(X978,Z978),TIME!$M$40:$M$42,1,FALSE)),I978,VLOOKUP(_xlfn.CONCAT(D978,G978,H978),M_BUSAREA_FC!$AF$5:$AJ$10,5,FALSE)*HLOOKUP(_xlfn.CONCAT(F978,H978),ST_OVERVIEW!$G$99:$I$130,MATCH(_xlfn.CONCAT(D978,E978),ST_OVERVIEW!$F$99:$F$130,0),FALSE))),IF(D978="BRAND.com",VLOOKUP(_xlfn.CONCAT(C978,D978,E978,TIME!$F$1,Z978),HIS_SALES!$B$2:$V$4859,19,FALSE)*I978,VLOOKUP(_xlfn.CONCAT(D978,F978,G978),Q_BUSAREA_FC!$AE$5:$AI$12,5,FALSE)*HLOOKUP(_xlfn.CONCAT(FC_DATA!F978,FC_DATA!G978),LT_OVERVIEW!$I$99:$M$130,MATCH(_xlfn.CONCAT(D978,FC_DATA!E978),LT_OVERVIEW!$H$99:$H$130,0),FALSE)*IFERROR(VLOOKUP(_xlfn.CONCAT(C978,D978,E978,TIME!$F$1,Z978),HIS_SALES!$B$2:$V$4859,19,FALSE),0)))</f>
        <v>#N/A</v>
      </c>
      <c r="AD978" s="341">
        <f t="shared" ca="1" si="375"/>
        <v>0</v>
      </c>
      <c r="AE978" s="363" t="str">
        <f t="shared" si="376"/>
        <v/>
      </c>
      <c r="AF978" s="342" t="str">
        <f t="shared" si="377"/>
        <v/>
      </c>
      <c r="AG978" s="411" t="e">
        <f ca="1">VLOOKUP(_xlfn.CONCAT(U978,V978,W978,VLOOKUP(X978&amp;Y978,TIME!$L$27:$O$34,4,FALSE),Y978),HIS_SALES!$A$2:$R$5093,18,FALSE)</f>
        <v>#N/A</v>
      </c>
      <c r="AH978" s="412" t="e">
        <f ca="1">IFERROR(IF(AND(V978=V977,W978=W977),0.5*(AB978+AB977)*AG978,(VLOOKUP(_xlfn.CONCAT(U978,V978,W978,X978,VLOOKUP(Z978,TIME!$S$28:$T$39,2,FALSE)),FC_DATA!$R$2:$AB$5000,MATCH("GS_I_M",FC_DATA!$R$1:$AB$1,0),FALSE)+FC_DATA!AB978)*0.5*FC_DATA!AG978),NA())</f>
        <v>#N/A</v>
      </c>
      <c r="AI978" s="491" t="e">
        <f ca="1">IF(V978="PARTNER.com",AH978,IF(AND(V978=V977,W978=W977),(1-AVERAGE(AD977,AD978))*AH978,(1-AVERAGE(AD978,VLOOKUP(_xlfn.CONCAT(U978,V978,W978,X978,M_BRAND_FC!$F$6),FC_DATA!$R$2:$AD$5000,MATCH("DISCOUNT_%_M",FC_DATA!$R$1:$AD$1,0),FALSE)))*AH978))</f>
        <v>#N/A</v>
      </c>
      <c r="AJ978" s="412" t="str">
        <f t="shared" ca="1" si="378"/>
        <v/>
      </c>
      <c r="AK978" s="413" t="str">
        <f>IFERROR(AE978/(Q_BRAND_FC!$T$24+1),"")</f>
        <v/>
      </c>
      <c r="AL978" s="88" t="str">
        <f t="shared" ca="1" si="379"/>
        <v/>
      </c>
      <c r="AM978" s="414" t="str">
        <f t="shared" ca="1" si="380"/>
        <v/>
      </c>
      <c r="AN978" s="58">
        <f>IFERROR(IF($V978="BRAND.com",HLOOKUP($X978&amp;$Z978,NWC_FC_NOOS!$C$4:$Q$23,MATCH(W978,NWC_FC_NOOS!$B$4:$B$23,0),FALSE),0),0)</f>
        <v>0</v>
      </c>
      <c r="AO978" s="57">
        <f>IFERROR(IF($V978="BRAND.com",HLOOKUP($X978&amp;$Z978,NWC_FC_NOOS!$T$4:$AH$23,MATCH(W978,NWC_FC_NOOS!$S$4:$S$23,0),FALSE),0),0)</f>
        <v>0</v>
      </c>
      <c r="AP978" s="57">
        <f>IFERROR(IF($V978="BRAND.com",HLOOKUP($X978&amp;$Z978,NWC_FC_NOOS!$C$50:$U$69,MATCH(W978,NWC_FC_NOOS!$B$50:$B$69,0),FALSE),0),0)</f>
        <v>0</v>
      </c>
      <c r="AQ978" s="58">
        <f>IFERROR(IF($V978="BRAND.com",HLOOKUP($X978&amp;$Z978,'NWC_FC_NON-NOOS'!$C$4:$Q$23,MATCH(W978,'NWC_FC_NON-NOOS'!$B$4:$B$23,0),FALSE),0),0)</f>
        <v>0</v>
      </c>
      <c r="AR978" s="57">
        <f>IFERROR(IF($V978="BRAND.com",HLOOKUP($X978&amp;$Z978,'NWC_FC_NON-NOOS'!$T$4:$AH$23,MATCH(W978,'NWC_FC_NON-NOOS'!$S$4:$S$23,0),FALSE),0),0)</f>
        <v>0</v>
      </c>
      <c r="AS978" s="57">
        <f>IFERROR(IF($V978="BRAND.com",HLOOKUP($X978&amp;$Z978,'NWC_FC_NON-NOOS'!$C$50:$U$69,MATCH(W978,'NWC_FC_NON-NOOS'!$B$50:$B$69,0),FALSE),0),0)</f>
        <v>0</v>
      </c>
      <c r="AT978" s="57">
        <f t="shared" si="382"/>
        <v>0</v>
      </c>
      <c r="AU978" s="57">
        <f t="shared" si="383"/>
        <v>0</v>
      </c>
      <c r="AV978" s="58">
        <f>IFERROR(IF($V978="BRAND.com",HLOOKUP($X978&amp;$Z978,PLANNING_FC!$BB$27:$BP$46,MATCH($W978,PLANNING_FC!$BA$27:$BA$46,0),FALSE),0),0)</f>
        <v>0</v>
      </c>
      <c r="AW978" s="58">
        <f>IFERROR(IF($V978="BRAND.com",HLOOKUP($X978&amp;$Z978,PLANNING_FC!$BB$4:$BP$23,MATCH($W978,PLANNING_FC!$BA$4:$BA$23,0),FALSE),0),0)</f>
        <v>0</v>
      </c>
      <c r="AX978" s="58">
        <f>IFERROR(IF($V978="BRAND.com",HLOOKUP($X978&amp;$Z978,PLANNING_FC!$T$27:$AH$46,MATCH($W978,PLANNING_FC!$B$27:$B$46,0),FALSE),0),0)</f>
        <v>0</v>
      </c>
      <c r="AY978" s="58">
        <f>IFERROR(IF($V978="BRAND.com",HLOOKUP($X978&amp;$Z978,PLANNING_FC!$T$4:$AH$23,MATCH($W978,PLANNING_FC!$B$4:$B$23,0),FALSE),0),0)</f>
        <v>0</v>
      </c>
      <c r="AZ978" s="58">
        <f>IFERROR(IF($V978="BRAND.com",HLOOKUP($X978&amp;$Z978,PLANNING_FC!$DA$27:$DO$46,MATCH($W978,PLANNING_FC!$CZ$27:$CZ$46,0),FALSE),0),0)</f>
        <v>0</v>
      </c>
      <c r="BA978" s="58">
        <f>IFERROR(IF($V978="BRAND.com",HLOOKUP($X978&amp;$Z978,PLANNING_FC!$DA$4:$DO$23,MATCH($W978,PLANNING_FC!$CZ$4:$CZ$23,0),FALSE),0),0)</f>
        <v>0</v>
      </c>
      <c r="BB978" s="883" t="str">
        <f>IF(V978="BRAND.com",IFERROR(HLOOKUP(X978&amp;Z978,PLANNING_FC!$AK$4:$AY$23,MATCH(W978,PLANNING_FC!$AJ$4:$AJ$23,0),FALSE)*1000,""),"")</f>
        <v/>
      </c>
      <c r="BC978" s="883" t="str">
        <f>IF(V978="BRAND.com",IFERROR(HLOOKUP(X978&amp;Z978,PLANNING_FC!$AK$27:$AY$46,MATCH(W978,PLANNING_FC!$AJ$27:$AJ$46,0),FALSE)*1000,""),"")</f>
        <v/>
      </c>
    </row>
    <row r="979" spans="14:55" x14ac:dyDescent="0.25">
      <c r="N979" s="56">
        <f t="shared" si="364"/>
        <v>0</v>
      </c>
      <c r="O979" s="57">
        <f t="shared" si="365"/>
        <v>0</v>
      </c>
      <c r="P979" s="57">
        <f ca="1">IFERROR(IF(ISBLANK(H979),SUMIFS($AC:$AC,$V:$V,V979,$W:$W,W979,$X:$X,X979,$Y:$Y,Y979)*J979/(1-J979)*VLOOKUP(_xlfn.CONCAT(C979,D979,E979,TIME!$M$12,Z979),HIS_SALES!$B$2:$W$4859,20,FALSE),AC979*J979/(1-J979)),0)</f>
        <v>0</v>
      </c>
      <c r="Q979" s="541" t="str">
        <f t="shared" si="366"/>
        <v/>
      </c>
      <c r="R979" s="346" t="str">
        <f t="shared" si="367"/>
        <v>00000</v>
      </c>
      <c r="S979" s="344">
        <f t="shared" si="368"/>
        <v>0</v>
      </c>
      <c r="T979" s="345" t="str">
        <f t="shared" si="381"/>
        <v>000</v>
      </c>
      <c r="U979" s="345">
        <f t="shared" si="369"/>
        <v>0</v>
      </c>
      <c r="V979" s="345">
        <f t="shared" si="370"/>
        <v>0</v>
      </c>
      <c r="W979" s="345">
        <f t="shared" si="371"/>
        <v>0</v>
      </c>
      <c r="X979" s="345">
        <f t="shared" si="372"/>
        <v>0</v>
      </c>
      <c r="Y979" s="345">
        <f t="shared" si="373"/>
        <v>0</v>
      </c>
      <c r="Z979" s="345">
        <f>IF(Q979&lt;&gt;"",VLOOKUP(Y979,TIME!$R$21:$V$24,MATCH(FC_DATA!Q979,TIME!$R$20:$V$20,0),FALSE),H979)</f>
        <v>0</v>
      </c>
      <c r="AA979" s="345" t="str">
        <f>IFERROR(VLOOKUP(X979&amp;Z979,TIME!$A$12:$D$71,4,FALSE),"")</f>
        <v/>
      </c>
      <c r="AB979" s="592">
        <f t="shared" ca="1" si="374"/>
        <v>0</v>
      </c>
      <c r="AC979" s="593" t="e">
        <f ca="1">IF(ISBLANK(H979)=FALSE,IF(D979="BRAND.com",I979,IF(ISNA(VLOOKUP(_xlfn.CONCAT(X979,Z979),TIME!$M$40:$M$42,1,FALSE)),I979,VLOOKUP(_xlfn.CONCAT(D979,G979,H979),M_BUSAREA_FC!$AF$5:$AJ$10,5,FALSE)*HLOOKUP(_xlfn.CONCAT(F979,H979),ST_OVERVIEW!$G$99:$I$130,MATCH(_xlfn.CONCAT(D979,E979),ST_OVERVIEW!$F$99:$F$130,0),FALSE))),IF(D979="BRAND.com",VLOOKUP(_xlfn.CONCAT(C979,D979,E979,TIME!$F$1,Z979),HIS_SALES!$B$2:$V$4859,19,FALSE)*I979,VLOOKUP(_xlfn.CONCAT(D979,F979,G979),Q_BUSAREA_FC!$AE$5:$AI$12,5,FALSE)*HLOOKUP(_xlfn.CONCAT(FC_DATA!F979,FC_DATA!G979),LT_OVERVIEW!$I$99:$M$130,MATCH(_xlfn.CONCAT(D979,FC_DATA!E979),LT_OVERVIEW!$H$99:$H$130,0),FALSE)*IFERROR(VLOOKUP(_xlfn.CONCAT(C979,D979,E979,TIME!$F$1,Z979),HIS_SALES!$B$2:$V$4859,19,FALSE),0)))</f>
        <v>#N/A</v>
      </c>
      <c r="AD979" s="341">
        <f t="shared" ca="1" si="375"/>
        <v>0</v>
      </c>
      <c r="AE979" s="363" t="str">
        <f t="shared" si="376"/>
        <v/>
      </c>
      <c r="AF979" s="342" t="str">
        <f t="shared" si="377"/>
        <v/>
      </c>
      <c r="AG979" s="411" t="e">
        <f ca="1">VLOOKUP(_xlfn.CONCAT(U979,V979,W979,VLOOKUP(X979&amp;Y979,TIME!$L$27:$O$34,4,FALSE),Y979),HIS_SALES!$A$2:$R$5093,18,FALSE)</f>
        <v>#N/A</v>
      </c>
      <c r="AH979" s="412" t="e">
        <f ca="1">IFERROR(IF(AND(V979=V978,W979=W978),0.5*(AB979+AB978)*AG979,(VLOOKUP(_xlfn.CONCAT(U979,V979,W979,X979,VLOOKUP(Z979,TIME!$S$28:$T$39,2,FALSE)),FC_DATA!$R$2:$AB$5000,MATCH("GS_I_M",FC_DATA!$R$1:$AB$1,0),FALSE)+FC_DATA!AB979)*0.5*FC_DATA!AG979),NA())</f>
        <v>#N/A</v>
      </c>
      <c r="AI979" s="491" t="e">
        <f ca="1">IF(V979="PARTNER.com",AH979,IF(AND(V979=V978,W979=W978),(1-AVERAGE(AD978,AD979))*AH979,(1-AVERAGE(AD979,VLOOKUP(_xlfn.CONCAT(U979,V979,W979,X979,M_BRAND_FC!$F$6),FC_DATA!$R$2:$AD$5000,MATCH("DISCOUNT_%_M",FC_DATA!$R$1:$AD$1,0),FALSE)))*AH979))</f>
        <v>#N/A</v>
      </c>
      <c r="AJ979" s="412" t="str">
        <f t="shared" ca="1" si="378"/>
        <v/>
      </c>
      <c r="AK979" s="413" t="str">
        <f>IFERROR(AE979/(Q_BRAND_FC!$T$24+1),"")</f>
        <v/>
      </c>
      <c r="AL979" s="88" t="str">
        <f t="shared" ca="1" si="379"/>
        <v/>
      </c>
      <c r="AM979" s="414" t="str">
        <f t="shared" ca="1" si="380"/>
        <v/>
      </c>
      <c r="AN979" s="58">
        <f>IFERROR(IF($V979="BRAND.com",HLOOKUP($X979&amp;$Z979,NWC_FC_NOOS!$C$4:$Q$23,MATCH(W979,NWC_FC_NOOS!$B$4:$B$23,0),FALSE),0),0)</f>
        <v>0</v>
      </c>
      <c r="AO979" s="57">
        <f>IFERROR(IF($V979="BRAND.com",HLOOKUP($X979&amp;$Z979,NWC_FC_NOOS!$T$4:$AH$23,MATCH(W979,NWC_FC_NOOS!$S$4:$S$23,0),FALSE),0),0)</f>
        <v>0</v>
      </c>
      <c r="AP979" s="57">
        <f>IFERROR(IF($V979="BRAND.com",HLOOKUP($X979&amp;$Z979,NWC_FC_NOOS!$C$50:$U$69,MATCH(W979,NWC_FC_NOOS!$B$50:$B$69,0),FALSE),0),0)</f>
        <v>0</v>
      </c>
      <c r="AQ979" s="58">
        <f>IFERROR(IF($V979="BRAND.com",HLOOKUP($X979&amp;$Z979,'NWC_FC_NON-NOOS'!$C$4:$Q$23,MATCH(W979,'NWC_FC_NON-NOOS'!$B$4:$B$23,0),FALSE),0),0)</f>
        <v>0</v>
      </c>
      <c r="AR979" s="57">
        <f>IFERROR(IF($V979="BRAND.com",HLOOKUP($X979&amp;$Z979,'NWC_FC_NON-NOOS'!$T$4:$AH$23,MATCH(W979,'NWC_FC_NON-NOOS'!$S$4:$S$23,0),FALSE),0),0)</f>
        <v>0</v>
      </c>
      <c r="AS979" s="57">
        <f>IFERROR(IF($V979="BRAND.com",HLOOKUP($X979&amp;$Z979,'NWC_FC_NON-NOOS'!$C$50:$U$69,MATCH(W979,'NWC_FC_NON-NOOS'!$B$50:$B$69,0),FALSE),0),0)</f>
        <v>0</v>
      </c>
      <c r="AT979" s="57">
        <f t="shared" si="382"/>
        <v>0</v>
      </c>
      <c r="AU979" s="57">
        <f t="shared" si="383"/>
        <v>0</v>
      </c>
      <c r="AV979" s="58">
        <f>IFERROR(IF($V979="BRAND.com",HLOOKUP($X979&amp;$Z979,PLANNING_FC!$BB$27:$BP$46,MATCH($W979,PLANNING_FC!$BA$27:$BA$46,0),FALSE),0),0)</f>
        <v>0</v>
      </c>
      <c r="AW979" s="58">
        <f>IFERROR(IF($V979="BRAND.com",HLOOKUP($X979&amp;$Z979,PLANNING_FC!$BB$4:$BP$23,MATCH($W979,PLANNING_FC!$BA$4:$BA$23,0),FALSE),0),0)</f>
        <v>0</v>
      </c>
      <c r="AX979" s="58">
        <f>IFERROR(IF($V979="BRAND.com",HLOOKUP($X979&amp;$Z979,PLANNING_FC!$T$27:$AH$46,MATCH($W979,PLANNING_FC!$B$27:$B$46,0),FALSE),0),0)</f>
        <v>0</v>
      </c>
      <c r="AY979" s="58">
        <f>IFERROR(IF($V979="BRAND.com",HLOOKUP($X979&amp;$Z979,PLANNING_FC!$T$4:$AH$23,MATCH($W979,PLANNING_FC!$B$4:$B$23,0),FALSE),0),0)</f>
        <v>0</v>
      </c>
      <c r="AZ979" s="58">
        <f>IFERROR(IF($V979="BRAND.com",HLOOKUP($X979&amp;$Z979,PLANNING_FC!$DA$27:$DO$46,MATCH($W979,PLANNING_FC!$CZ$27:$CZ$46,0),FALSE),0),0)</f>
        <v>0</v>
      </c>
      <c r="BA979" s="58">
        <f>IFERROR(IF($V979="BRAND.com",HLOOKUP($X979&amp;$Z979,PLANNING_FC!$DA$4:$DO$23,MATCH($W979,PLANNING_FC!$CZ$4:$CZ$23,0),FALSE),0),0)</f>
        <v>0</v>
      </c>
      <c r="BB979" s="883" t="str">
        <f>IF(V979="BRAND.com",IFERROR(HLOOKUP(X979&amp;Z979,PLANNING_FC!$AK$4:$AY$23,MATCH(W979,PLANNING_FC!$AJ$4:$AJ$23,0),FALSE)*1000,""),"")</f>
        <v/>
      </c>
      <c r="BC979" s="883" t="str">
        <f>IF(V979="BRAND.com",IFERROR(HLOOKUP(X979&amp;Z979,PLANNING_FC!$AK$27:$AY$46,MATCH(W979,PLANNING_FC!$AJ$27:$AJ$46,0),FALSE)*1000,""),"")</f>
        <v/>
      </c>
    </row>
    <row r="980" spans="14:55" x14ac:dyDescent="0.25">
      <c r="N980" s="56">
        <f t="shared" si="364"/>
        <v>0</v>
      </c>
      <c r="O980" s="57">
        <f t="shared" si="365"/>
        <v>0</v>
      </c>
      <c r="P980" s="57">
        <f ca="1">IFERROR(IF(ISBLANK(H980),SUMIFS($AC:$AC,$V:$V,V980,$W:$W,W980,$X:$X,X980,$Y:$Y,Y980)*J980/(1-J980)*VLOOKUP(_xlfn.CONCAT(C980,D980,E980,TIME!$M$12,Z980),HIS_SALES!$B$2:$W$4859,20,FALSE),AC980*J980/(1-J980)),0)</f>
        <v>0</v>
      </c>
      <c r="Q980" s="541" t="str">
        <f t="shared" si="366"/>
        <v/>
      </c>
      <c r="R980" s="346" t="str">
        <f t="shared" si="367"/>
        <v>00000</v>
      </c>
      <c r="S980" s="344">
        <f t="shared" si="368"/>
        <v>0</v>
      </c>
      <c r="T980" s="345" t="str">
        <f t="shared" si="381"/>
        <v>000</v>
      </c>
      <c r="U980" s="345">
        <f t="shared" si="369"/>
        <v>0</v>
      </c>
      <c r="V980" s="345">
        <f t="shared" si="370"/>
        <v>0</v>
      </c>
      <c r="W980" s="345">
        <f t="shared" si="371"/>
        <v>0</v>
      </c>
      <c r="X980" s="345">
        <f t="shared" si="372"/>
        <v>0</v>
      </c>
      <c r="Y980" s="345">
        <f t="shared" si="373"/>
        <v>0</v>
      </c>
      <c r="Z980" s="345">
        <f>IF(Q980&lt;&gt;"",VLOOKUP(Y980,TIME!$R$21:$V$24,MATCH(FC_DATA!Q980,TIME!$R$20:$V$20,0),FALSE),H980)</f>
        <v>0</v>
      </c>
      <c r="AA980" s="345" t="str">
        <f>IFERROR(VLOOKUP(X980&amp;Z980,TIME!$A$12:$D$71,4,FALSE),"")</f>
        <v/>
      </c>
      <c r="AB980" s="592">
        <f t="shared" ca="1" si="374"/>
        <v>0</v>
      </c>
      <c r="AC980" s="593" t="e">
        <f ca="1">IF(ISBLANK(H980)=FALSE,IF(D980="BRAND.com",I980,IF(ISNA(VLOOKUP(_xlfn.CONCAT(X980,Z980),TIME!$M$40:$M$42,1,FALSE)),I980,VLOOKUP(_xlfn.CONCAT(D980,G980,H980),M_BUSAREA_FC!$AF$5:$AJ$10,5,FALSE)*HLOOKUP(_xlfn.CONCAT(F980,H980),ST_OVERVIEW!$G$99:$I$130,MATCH(_xlfn.CONCAT(D980,E980),ST_OVERVIEW!$F$99:$F$130,0),FALSE))),IF(D980="BRAND.com",VLOOKUP(_xlfn.CONCAT(C980,D980,E980,TIME!$F$1,Z980),HIS_SALES!$B$2:$V$4859,19,FALSE)*I980,VLOOKUP(_xlfn.CONCAT(D980,F980,G980),Q_BUSAREA_FC!$AE$5:$AI$12,5,FALSE)*HLOOKUP(_xlfn.CONCAT(FC_DATA!F980,FC_DATA!G980),LT_OVERVIEW!$I$99:$M$130,MATCH(_xlfn.CONCAT(D980,FC_DATA!E980),LT_OVERVIEW!$H$99:$H$130,0),FALSE)*IFERROR(VLOOKUP(_xlfn.CONCAT(C980,D980,E980,TIME!$F$1,Z980),HIS_SALES!$B$2:$V$4859,19,FALSE),0)))</f>
        <v>#N/A</v>
      </c>
      <c r="AD980" s="341">
        <f t="shared" ca="1" si="375"/>
        <v>0</v>
      </c>
      <c r="AE980" s="363" t="str">
        <f t="shared" si="376"/>
        <v/>
      </c>
      <c r="AF980" s="342" t="str">
        <f t="shared" si="377"/>
        <v/>
      </c>
      <c r="AG980" s="411" t="e">
        <f ca="1">VLOOKUP(_xlfn.CONCAT(U980,V980,W980,VLOOKUP(X980&amp;Y980,TIME!$L$27:$O$34,4,FALSE),Y980),HIS_SALES!$A$2:$R$5093,18,FALSE)</f>
        <v>#N/A</v>
      </c>
      <c r="AH980" s="412" t="e">
        <f ca="1">IFERROR(IF(AND(V980=V979,W980=W979),0.5*(AB980+AB979)*AG980,(VLOOKUP(_xlfn.CONCAT(U980,V980,W980,X980,VLOOKUP(Z980,TIME!$S$28:$T$39,2,FALSE)),FC_DATA!$R$2:$AB$5000,MATCH("GS_I_M",FC_DATA!$R$1:$AB$1,0),FALSE)+FC_DATA!AB980)*0.5*FC_DATA!AG980),NA())</f>
        <v>#N/A</v>
      </c>
      <c r="AI980" s="491" t="e">
        <f ca="1">IF(V980="PARTNER.com",AH980,IF(AND(V980=V979,W980=W979),(1-AVERAGE(AD979,AD980))*AH980,(1-AVERAGE(AD980,VLOOKUP(_xlfn.CONCAT(U980,V980,W980,X980,M_BRAND_FC!$F$6),FC_DATA!$R$2:$AD$5000,MATCH("DISCOUNT_%_M",FC_DATA!$R$1:$AD$1,0),FALSE)))*AH980))</f>
        <v>#N/A</v>
      </c>
      <c r="AJ980" s="412" t="str">
        <f t="shared" ca="1" si="378"/>
        <v/>
      </c>
      <c r="AK980" s="413" t="str">
        <f>IFERROR(AE980/(Q_BRAND_FC!$T$24+1),"")</f>
        <v/>
      </c>
      <c r="AL980" s="88" t="str">
        <f t="shared" ca="1" si="379"/>
        <v/>
      </c>
      <c r="AM980" s="414" t="str">
        <f t="shared" ca="1" si="380"/>
        <v/>
      </c>
      <c r="AN980" s="58">
        <f>IFERROR(IF($V980="BRAND.com",HLOOKUP($X980&amp;$Z980,NWC_FC_NOOS!$C$4:$Q$23,MATCH(W980,NWC_FC_NOOS!$B$4:$B$23,0),FALSE),0),0)</f>
        <v>0</v>
      </c>
      <c r="AO980" s="57">
        <f>IFERROR(IF($V980="BRAND.com",HLOOKUP($X980&amp;$Z980,NWC_FC_NOOS!$T$4:$AH$23,MATCH(W980,NWC_FC_NOOS!$S$4:$S$23,0),FALSE),0),0)</f>
        <v>0</v>
      </c>
      <c r="AP980" s="57">
        <f>IFERROR(IF($V980="BRAND.com",HLOOKUP($X980&amp;$Z980,NWC_FC_NOOS!$C$50:$U$69,MATCH(W980,NWC_FC_NOOS!$B$50:$B$69,0),FALSE),0),0)</f>
        <v>0</v>
      </c>
      <c r="AQ980" s="58">
        <f>IFERROR(IF($V980="BRAND.com",HLOOKUP($X980&amp;$Z980,'NWC_FC_NON-NOOS'!$C$4:$Q$23,MATCH(W980,'NWC_FC_NON-NOOS'!$B$4:$B$23,0),FALSE),0),0)</f>
        <v>0</v>
      </c>
      <c r="AR980" s="57">
        <f>IFERROR(IF($V980="BRAND.com",HLOOKUP($X980&amp;$Z980,'NWC_FC_NON-NOOS'!$T$4:$AH$23,MATCH(W980,'NWC_FC_NON-NOOS'!$S$4:$S$23,0),FALSE),0),0)</f>
        <v>0</v>
      </c>
      <c r="AS980" s="57">
        <f>IFERROR(IF($V980="BRAND.com",HLOOKUP($X980&amp;$Z980,'NWC_FC_NON-NOOS'!$C$50:$U$69,MATCH(W980,'NWC_FC_NON-NOOS'!$B$50:$B$69,0),FALSE),0),0)</f>
        <v>0</v>
      </c>
      <c r="AT980" s="57">
        <f t="shared" si="382"/>
        <v>0</v>
      </c>
      <c r="AU980" s="57">
        <f t="shared" si="383"/>
        <v>0</v>
      </c>
      <c r="AV980" s="58">
        <f>IFERROR(IF($V980="BRAND.com",HLOOKUP($X980&amp;$Z980,PLANNING_FC!$BB$27:$BP$46,MATCH($W980,PLANNING_FC!$BA$27:$BA$46,0),FALSE),0),0)</f>
        <v>0</v>
      </c>
      <c r="AW980" s="58">
        <f>IFERROR(IF($V980="BRAND.com",HLOOKUP($X980&amp;$Z980,PLANNING_FC!$BB$4:$BP$23,MATCH($W980,PLANNING_FC!$BA$4:$BA$23,0),FALSE),0),0)</f>
        <v>0</v>
      </c>
      <c r="AX980" s="58">
        <f>IFERROR(IF($V980="BRAND.com",HLOOKUP($X980&amp;$Z980,PLANNING_FC!$T$27:$AH$46,MATCH($W980,PLANNING_FC!$B$27:$B$46,0),FALSE),0),0)</f>
        <v>0</v>
      </c>
      <c r="AY980" s="58">
        <f>IFERROR(IF($V980="BRAND.com",HLOOKUP($X980&amp;$Z980,PLANNING_FC!$T$4:$AH$23,MATCH($W980,PLANNING_FC!$B$4:$B$23,0),FALSE),0),0)</f>
        <v>0</v>
      </c>
      <c r="AZ980" s="58">
        <f>IFERROR(IF($V980="BRAND.com",HLOOKUP($X980&amp;$Z980,PLANNING_FC!$DA$27:$DO$46,MATCH($W980,PLANNING_FC!$CZ$27:$CZ$46,0),FALSE),0),0)</f>
        <v>0</v>
      </c>
      <c r="BA980" s="58">
        <f>IFERROR(IF($V980="BRAND.com",HLOOKUP($X980&amp;$Z980,PLANNING_FC!$DA$4:$DO$23,MATCH($W980,PLANNING_FC!$CZ$4:$CZ$23,0),FALSE),0),0)</f>
        <v>0</v>
      </c>
      <c r="BB980" s="883" t="str">
        <f>IF(V980="BRAND.com",IFERROR(HLOOKUP(X980&amp;Z980,PLANNING_FC!$AK$4:$AY$23,MATCH(W980,PLANNING_FC!$AJ$4:$AJ$23,0),FALSE)*1000,""),"")</f>
        <v/>
      </c>
      <c r="BC980" s="883" t="str">
        <f>IF(V980="BRAND.com",IFERROR(HLOOKUP(X980&amp;Z980,PLANNING_FC!$AK$27:$AY$46,MATCH(W980,PLANNING_FC!$AJ$27:$AJ$46,0),FALSE)*1000,""),"")</f>
        <v/>
      </c>
    </row>
    <row r="981" spans="14:55" x14ac:dyDescent="0.25">
      <c r="N981" s="56">
        <f t="shared" si="364"/>
        <v>0</v>
      </c>
      <c r="O981" s="57">
        <f t="shared" si="365"/>
        <v>0</v>
      </c>
      <c r="P981" s="57">
        <f ca="1">IFERROR(IF(ISBLANK(H981),SUMIFS($AC:$AC,$V:$V,V981,$W:$W,W981,$X:$X,X981,$Y:$Y,Y981)*J981/(1-J981)*VLOOKUP(_xlfn.CONCAT(C981,D981,E981,TIME!$M$12,Z981),HIS_SALES!$B$2:$W$4859,20,FALSE),AC981*J981/(1-J981)),0)</f>
        <v>0</v>
      </c>
      <c r="Q981" s="541" t="str">
        <f t="shared" si="366"/>
        <v/>
      </c>
      <c r="R981" s="346" t="str">
        <f t="shared" si="367"/>
        <v>00000</v>
      </c>
      <c r="S981" s="344">
        <f t="shared" si="368"/>
        <v>0</v>
      </c>
      <c r="T981" s="345" t="str">
        <f t="shared" si="381"/>
        <v>000</v>
      </c>
      <c r="U981" s="345">
        <f t="shared" si="369"/>
        <v>0</v>
      </c>
      <c r="V981" s="345">
        <f t="shared" si="370"/>
        <v>0</v>
      </c>
      <c r="W981" s="345">
        <f t="shared" si="371"/>
        <v>0</v>
      </c>
      <c r="X981" s="345">
        <f t="shared" si="372"/>
        <v>0</v>
      </c>
      <c r="Y981" s="345">
        <f t="shared" si="373"/>
        <v>0</v>
      </c>
      <c r="Z981" s="345">
        <f>IF(Q981&lt;&gt;"",VLOOKUP(Y981,TIME!$R$21:$V$24,MATCH(FC_DATA!Q981,TIME!$R$20:$V$20,0),FALSE),H981)</f>
        <v>0</v>
      </c>
      <c r="AA981" s="345" t="str">
        <f>IFERROR(VLOOKUP(X981&amp;Z981,TIME!$A$12:$D$71,4,FALSE),"")</f>
        <v/>
      </c>
      <c r="AB981" s="592">
        <f t="shared" ca="1" si="374"/>
        <v>0</v>
      </c>
      <c r="AC981" s="593" t="e">
        <f ca="1">IF(ISBLANK(H981)=FALSE,IF(D981="BRAND.com",I981,IF(ISNA(VLOOKUP(_xlfn.CONCAT(X981,Z981),TIME!$M$40:$M$42,1,FALSE)),I981,VLOOKUP(_xlfn.CONCAT(D981,G981,H981),M_BUSAREA_FC!$AF$5:$AJ$10,5,FALSE)*HLOOKUP(_xlfn.CONCAT(F981,H981),ST_OVERVIEW!$G$99:$I$130,MATCH(_xlfn.CONCAT(D981,E981),ST_OVERVIEW!$F$99:$F$130,0),FALSE))),IF(D981="BRAND.com",VLOOKUP(_xlfn.CONCAT(C981,D981,E981,TIME!$F$1,Z981),HIS_SALES!$B$2:$V$4859,19,FALSE)*I981,VLOOKUP(_xlfn.CONCAT(D981,F981,G981),Q_BUSAREA_FC!$AE$5:$AI$12,5,FALSE)*HLOOKUP(_xlfn.CONCAT(FC_DATA!F981,FC_DATA!G981),LT_OVERVIEW!$I$99:$M$130,MATCH(_xlfn.CONCAT(D981,FC_DATA!E981),LT_OVERVIEW!$H$99:$H$130,0),FALSE)*IFERROR(VLOOKUP(_xlfn.CONCAT(C981,D981,E981,TIME!$F$1,Z981),HIS_SALES!$B$2:$V$4859,19,FALSE),0)))</f>
        <v>#N/A</v>
      </c>
      <c r="AD981" s="341">
        <f t="shared" ca="1" si="375"/>
        <v>0</v>
      </c>
      <c r="AE981" s="363" t="str">
        <f t="shared" si="376"/>
        <v/>
      </c>
      <c r="AF981" s="342" t="str">
        <f t="shared" si="377"/>
        <v/>
      </c>
      <c r="AG981" s="411" t="e">
        <f ca="1">VLOOKUP(_xlfn.CONCAT(U981,V981,W981,VLOOKUP(X981&amp;Y981,TIME!$L$27:$O$34,4,FALSE),Y981),HIS_SALES!$A$2:$R$5093,18,FALSE)</f>
        <v>#N/A</v>
      </c>
      <c r="AH981" s="412" t="e">
        <f ca="1">IFERROR(IF(AND(V981=V980,W981=W980),0.5*(AB981+AB980)*AG981,(VLOOKUP(_xlfn.CONCAT(U981,V981,W981,X981,VLOOKUP(Z981,TIME!$S$28:$T$39,2,FALSE)),FC_DATA!$R$2:$AB$5000,MATCH("GS_I_M",FC_DATA!$R$1:$AB$1,0),FALSE)+FC_DATA!AB981)*0.5*FC_DATA!AG981),NA())</f>
        <v>#N/A</v>
      </c>
      <c r="AI981" s="491" t="e">
        <f ca="1">IF(V981="PARTNER.com",AH981,IF(AND(V981=V980,W981=W980),(1-AVERAGE(AD980,AD981))*AH981,(1-AVERAGE(AD981,VLOOKUP(_xlfn.CONCAT(U981,V981,W981,X981,M_BRAND_FC!$F$6),FC_DATA!$R$2:$AD$5000,MATCH("DISCOUNT_%_M",FC_DATA!$R$1:$AD$1,0),FALSE)))*AH981))</f>
        <v>#N/A</v>
      </c>
      <c r="AJ981" s="412" t="str">
        <f t="shared" ca="1" si="378"/>
        <v/>
      </c>
      <c r="AK981" s="413" t="str">
        <f>IFERROR(AE981/(Q_BRAND_FC!$T$24+1),"")</f>
        <v/>
      </c>
      <c r="AL981" s="88" t="str">
        <f t="shared" ca="1" si="379"/>
        <v/>
      </c>
      <c r="AM981" s="414" t="str">
        <f t="shared" ca="1" si="380"/>
        <v/>
      </c>
      <c r="AN981" s="58">
        <f>IFERROR(IF($V981="BRAND.com",HLOOKUP($X981&amp;$Z981,NWC_FC_NOOS!$C$4:$Q$23,MATCH(W981,NWC_FC_NOOS!$B$4:$B$23,0),FALSE),0),0)</f>
        <v>0</v>
      </c>
      <c r="AO981" s="57">
        <f>IFERROR(IF($V981="BRAND.com",HLOOKUP($X981&amp;$Z981,NWC_FC_NOOS!$T$4:$AH$23,MATCH(W981,NWC_FC_NOOS!$S$4:$S$23,0),FALSE),0),0)</f>
        <v>0</v>
      </c>
      <c r="AP981" s="57">
        <f>IFERROR(IF($V981="BRAND.com",HLOOKUP($X981&amp;$Z981,NWC_FC_NOOS!$C$50:$U$69,MATCH(W981,NWC_FC_NOOS!$B$50:$B$69,0),FALSE),0),0)</f>
        <v>0</v>
      </c>
      <c r="AQ981" s="58">
        <f>IFERROR(IF($V981="BRAND.com",HLOOKUP($X981&amp;$Z981,'NWC_FC_NON-NOOS'!$C$4:$Q$23,MATCH(W981,'NWC_FC_NON-NOOS'!$B$4:$B$23,0),FALSE),0),0)</f>
        <v>0</v>
      </c>
      <c r="AR981" s="57">
        <f>IFERROR(IF($V981="BRAND.com",HLOOKUP($X981&amp;$Z981,'NWC_FC_NON-NOOS'!$T$4:$AH$23,MATCH(W981,'NWC_FC_NON-NOOS'!$S$4:$S$23,0),FALSE),0),0)</f>
        <v>0</v>
      </c>
      <c r="AS981" s="57">
        <f>IFERROR(IF($V981="BRAND.com",HLOOKUP($X981&amp;$Z981,'NWC_FC_NON-NOOS'!$C$50:$U$69,MATCH(W981,'NWC_FC_NON-NOOS'!$B$50:$B$69,0),FALSE),0),0)</f>
        <v>0</v>
      </c>
      <c r="AT981" s="57">
        <f t="shared" si="382"/>
        <v>0</v>
      </c>
      <c r="AU981" s="57">
        <f t="shared" si="383"/>
        <v>0</v>
      </c>
      <c r="AV981" s="58">
        <f>IFERROR(IF($V981="BRAND.com",HLOOKUP($X981&amp;$Z981,PLANNING_FC!$BB$27:$BP$46,MATCH($W981,PLANNING_FC!$BA$27:$BA$46,0),FALSE),0),0)</f>
        <v>0</v>
      </c>
      <c r="AW981" s="58">
        <f>IFERROR(IF($V981="BRAND.com",HLOOKUP($X981&amp;$Z981,PLANNING_FC!$BB$4:$BP$23,MATCH($W981,PLANNING_FC!$BA$4:$BA$23,0),FALSE),0),0)</f>
        <v>0</v>
      </c>
      <c r="AX981" s="58">
        <f>IFERROR(IF($V981="BRAND.com",HLOOKUP($X981&amp;$Z981,PLANNING_FC!$T$27:$AH$46,MATCH($W981,PLANNING_FC!$B$27:$B$46,0),FALSE),0),0)</f>
        <v>0</v>
      </c>
      <c r="AY981" s="58">
        <f>IFERROR(IF($V981="BRAND.com",HLOOKUP($X981&amp;$Z981,PLANNING_FC!$T$4:$AH$23,MATCH($W981,PLANNING_FC!$B$4:$B$23,0),FALSE),0),0)</f>
        <v>0</v>
      </c>
      <c r="AZ981" s="58">
        <f>IFERROR(IF($V981="BRAND.com",HLOOKUP($X981&amp;$Z981,PLANNING_FC!$DA$27:$DO$46,MATCH($W981,PLANNING_FC!$CZ$27:$CZ$46,0),FALSE),0),0)</f>
        <v>0</v>
      </c>
      <c r="BA981" s="58">
        <f>IFERROR(IF($V981="BRAND.com",HLOOKUP($X981&amp;$Z981,PLANNING_FC!$DA$4:$DO$23,MATCH($W981,PLANNING_FC!$CZ$4:$CZ$23,0),FALSE),0),0)</f>
        <v>0</v>
      </c>
      <c r="BB981" s="883" t="str">
        <f>IF(V981="BRAND.com",IFERROR(HLOOKUP(X981&amp;Z981,PLANNING_FC!$AK$4:$AY$23,MATCH(W981,PLANNING_FC!$AJ$4:$AJ$23,0),FALSE)*1000,""),"")</f>
        <v/>
      </c>
      <c r="BC981" s="883" t="str">
        <f>IF(V981="BRAND.com",IFERROR(HLOOKUP(X981&amp;Z981,PLANNING_FC!$AK$27:$AY$46,MATCH(W981,PLANNING_FC!$AJ$27:$AJ$46,0),FALSE)*1000,""),"")</f>
        <v/>
      </c>
    </row>
    <row r="982" spans="14:55" x14ac:dyDescent="0.25">
      <c r="N982" s="56">
        <f t="shared" si="364"/>
        <v>0</v>
      </c>
      <c r="O982" s="57">
        <f t="shared" si="365"/>
        <v>0</v>
      </c>
      <c r="P982" s="57">
        <f ca="1">IFERROR(IF(ISBLANK(H982),SUMIFS($AC:$AC,$V:$V,V982,$W:$W,W982,$X:$X,X982,$Y:$Y,Y982)*J982/(1-J982)*VLOOKUP(_xlfn.CONCAT(C982,D982,E982,TIME!$M$12,Z982),HIS_SALES!$B$2:$W$4859,20,FALSE),AC982*J982/(1-J982)),0)</f>
        <v>0</v>
      </c>
      <c r="Q982" s="541" t="str">
        <f t="shared" si="366"/>
        <v/>
      </c>
      <c r="R982" s="346" t="str">
        <f t="shared" si="367"/>
        <v>00000</v>
      </c>
      <c r="S982" s="344">
        <f t="shared" si="368"/>
        <v>0</v>
      </c>
      <c r="T982" s="345" t="str">
        <f t="shared" si="381"/>
        <v>000</v>
      </c>
      <c r="U982" s="345">
        <f t="shared" si="369"/>
        <v>0</v>
      </c>
      <c r="V982" s="345">
        <f t="shared" si="370"/>
        <v>0</v>
      </c>
      <c r="W982" s="345">
        <f t="shared" si="371"/>
        <v>0</v>
      </c>
      <c r="X982" s="345">
        <f t="shared" si="372"/>
        <v>0</v>
      </c>
      <c r="Y982" s="345">
        <f t="shared" si="373"/>
        <v>0</v>
      </c>
      <c r="Z982" s="345">
        <f>IF(Q982&lt;&gt;"",VLOOKUP(Y982,TIME!$R$21:$V$24,MATCH(FC_DATA!Q982,TIME!$R$20:$V$20,0),FALSE),H982)</f>
        <v>0</v>
      </c>
      <c r="AA982" s="345" t="str">
        <f>IFERROR(VLOOKUP(X982&amp;Z982,TIME!$A$12:$D$71,4,FALSE),"")</f>
        <v/>
      </c>
      <c r="AB982" s="592">
        <f t="shared" ca="1" si="374"/>
        <v>0</v>
      </c>
      <c r="AC982" s="593" t="e">
        <f ca="1">IF(ISBLANK(H982)=FALSE,IF(D982="BRAND.com",I982,IF(ISNA(VLOOKUP(_xlfn.CONCAT(X982,Z982),TIME!$M$40:$M$42,1,FALSE)),I982,VLOOKUP(_xlfn.CONCAT(D982,G982,H982),M_BUSAREA_FC!$AF$5:$AJ$10,5,FALSE)*HLOOKUP(_xlfn.CONCAT(F982,H982),ST_OVERVIEW!$G$99:$I$130,MATCH(_xlfn.CONCAT(D982,E982),ST_OVERVIEW!$F$99:$F$130,0),FALSE))),IF(D982="BRAND.com",VLOOKUP(_xlfn.CONCAT(C982,D982,E982,TIME!$F$1,Z982),HIS_SALES!$B$2:$V$4859,19,FALSE)*I982,VLOOKUP(_xlfn.CONCAT(D982,F982,G982),Q_BUSAREA_FC!$AE$5:$AI$12,5,FALSE)*HLOOKUP(_xlfn.CONCAT(FC_DATA!F982,FC_DATA!G982),LT_OVERVIEW!$I$99:$M$130,MATCH(_xlfn.CONCAT(D982,FC_DATA!E982),LT_OVERVIEW!$H$99:$H$130,0),FALSE)*IFERROR(VLOOKUP(_xlfn.CONCAT(C982,D982,E982,TIME!$F$1,Z982),HIS_SALES!$B$2:$V$4859,19,FALSE),0)))</f>
        <v>#N/A</v>
      </c>
      <c r="AD982" s="341">
        <f t="shared" ca="1" si="375"/>
        <v>0</v>
      </c>
      <c r="AE982" s="363" t="str">
        <f t="shared" si="376"/>
        <v/>
      </c>
      <c r="AF982" s="342" t="str">
        <f t="shared" si="377"/>
        <v/>
      </c>
      <c r="AG982" s="411" t="e">
        <f ca="1">VLOOKUP(_xlfn.CONCAT(U982,V982,W982,VLOOKUP(X982&amp;Y982,TIME!$L$27:$O$34,4,FALSE),Y982),HIS_SALES!$A$2:$R$5093,18,FALSE)</f>
        <v>#N/A</v>
      </c>
      <c r="AH982" s="412" t="e">
        <f ca="1">IFERROR(IF(AND(V982=V981,W982=W981),0.5*(AB982+AB981)*AG982,(VLOOKUP(_xlfn.CONCAT(U982,V982,W982,X982,VLOOKUP(Z982,TIME!$S$28:$T$39,2,FALSE)),FC_DATA!$R$2:$AB$5000,MATCH("GS_I_M",FC_DATA!$R$1:$AB$1,0),FALSE)+FC_DATA!AB982)*0.5*FC_DATA!AG982),NA())</f>
        <v>#N/A</v>
      </c>
      <c r="AI982" s="491" t="e">
        <f ca="1">IF(V982="PARTNER.com",AH982,IF(AND(V982=V981,W982=W981),(1-AVERAGE(AD981,AD982))*AH982,(1-AVERAGE(AD982,VLOOKUP(_xlfn.CONCAT(U982,V982,W982,X982,M_BRAND_FC!$F$6),FC_DATA!$R$2:$AD$5000,MATCH("DISCOUNT_%_M",FC_DATA!$R$1:$AD$1,0),FALSE)))*AH982))</f>
        <v>#N/A</v>
      </c>
      <c r="AJ982" s="412" t="str">
        <f t="shared" ca="1" si="378"/>
        <v/>
      </c>
      <c r="AK982" s="413" t="str">
        <f>IFERROR(AE982/(Q_BRAND_FC!$T$24+1),"")</f>
        <v/>
      </c>
      <c r="AL982" s="88" t="str">
        <f t="shared" ca="1" si="379"/>
        <v/>
      </c>
      <c r="AM982" s="414" t="str">
        <f t="shared" ca="1" si="380"/>
        <v/>
      </c>
      <c r="AN982" s="58">
        <f>IFERROR(IF($V982="BRAND.com",HLOOKUP($X982&amp;$Z982,NWC_FC_NOOS!$C$4:$Q$23,MATCH(W982,NWC_FC_NOOS!$B$4:$B$23,0),FALSE),0),0)</f>
        <v>0</v>
      </c>
      <c r="AO982" s="57">
        <f>IFERROR(IF($V982="BRAND.com",HLOOKUP($X982&amp;$Z982,NWC_FC_NOOS!$T$4:$AH$23,MATCH(W982,NWC_FC_NOOS!$S$4:$S$23,0),FALSE),0),0)</f>
        <v>0</v>
      </c>
      <c r="AP982" s="57">
        <f>IFERROR(IF($V982="BRAND.com",HLOOKUP($X982&amp;$Z982,NWC_FC_NOOS!$C$50:$U$69,MATCH(W982,NWC_FC_NOOS!$B$50:$B$69,0),FALSE),0),0)</f>
        <v>0</v>
      </c>
      <c r="AQ982" s="58">
        <f>IFERROR(IF($V982="BRAND.com",HLOOKUP($X982&amp;$Z982,'NWC_FC_NON-NOOS'!$C$4:$Q$23,MATCH(W982,'NWC_FC_NON-NOOS'!$B$4:$B$23,0),FALSE),0),0)</f>
        <v>0</v>
      </c>
      <c r="AR982" s="57">
        <f>IFERROR(IF($V982="BRAND.com",HLOOKUP($X982&amp;$Z982,'NWC_FC_NON-NOOS'!$T$4:$AH$23,MATCH(W982,'NWC_FC_NON-NOOS'!$S$4:$S$23,0),FALSE),0),0)</f>
        <v>0</v>
      </c>
      <c r="AS982" s="57">
        <f>IFERROR(IF($V982="BRAND.com",HLOOKUP($X982&amp;$Z982,'NWC_FC_NON-NOOS'!$C$50:$U$69,MATCH(W982,'NWC_FC_NON-NOOS'!$B$50:$B$69,0),FALSE),0),0)</f>
        <v>0</v>
      </c>
      <c r="AT982" s="57">
        <f t="shared" si="382"/>
        <v>0</v>
      </c>
      <c r="AU982" s="57">
        <f t="shared" si="383"/>
        <v>0</v>
      </c>
      <c r="AV982" s="58">
        <f>IFERROR(IF($V982="BRAND.com",HLOOKUP($X982&amp;$Z982,PLANNING_FC!$BB$27:$BP$46,MATCH($W982,PLANNING_FC!$BA$27:$BA$46,0),FALSE),0),0)</f>
        <v>0</v>
      </c>
      <c r="AW982" s="58">
        <f>IFERROR(IF($V982="BRAND.com",HLOOKUP($X982&amp;$Z982,PLANNING_FC!$BB$4:$BP$23,MATCH($W982,PLANNING_FC!$BA$4:$BA$23,0),FALSE),0),0)</f>
        <v>0</v>
      </c>
      <c r="AX982" s="58">
        <f>IFERROR(IF($V982="BRAND.com",HLOOKUP($X982&amp;$Z982,PLANNING_FC!$T$27:$AH$46,MATCH($W982,PLANNING_FC!$B$27:$B$46,0),FALSE),0),0)</f>
        <v>0</v>
      </c>
      <c r="AY982" s="58">
        <f>IFERROR(IF($V982="BRAND.com",HLOOKUP($X982&amp;$Z982,PLANNING_FC!$T$4:$AH$23,MATCH($W982,PLANNING_FC!$B$4:$B$23,0),FALSE),0),0)</f>
        <v>0</v>
      </c>
      <c r="AZ982" s="58">
        <f>IFERROR(IF($V982="BRAND.com",HLOOKUP($X982&amp;$Z982,PLANNING_FC!$DA$27:$DO$46,MATCH($W982,PLANNING_FC!$CZ$27:$CZ$46,0),FALSE),0),0)</f>
        <v>0</v>
      </c>
      <c r="BA982" s="58">
        <f>IFERROR(IF($V982="BRAND.com",HLOOKUP($X982&amp;$Z982,PLANNING_FC!$DA$4:$DO$23,MATCH($W982,PLANNING_FC!$CZ$4:$CZ$23,0),FALSE),0),0)</f>
        <v>0</v>
      </c>
      <c r="BB982" s="883" t="str">
        <f>IF(V982="BRAND.com",IFERROR(HLOOKUP(X982&amp;Z982,PLANNING_FC!$AK$4:$AY$23,MATCH(W982,PLANNING_FC!$AJ$4:$AJ$23,0),FALSE)*1000,""),"")</f>
        <v/>
      </c>
      <c r="BC982" s="883" t="str">
        <f>IF(V982="BRAND.com",IFERROR(HLOOKUP(X982&amp;Z982,PLANNING_FC!$AK$27:$AY$46,MATCH(W982,PLANNING_FC!$AJ$27:$AJ$46,0),FALSE)*1000,""),"")</f>
        <v/>
      </c>
    </row>
    <row r="983" spans="14:55" x14ac:dyDescent="0.25">
      <c r="N983" s="56">
        <f t="shared" si="364"/>
        <v>0</v>
      </c>
      <c r="O983" s="57">
        <f t="shared" si="365"/>
        <v>0</v>
      </c>
      <c r="P983" s="57">
        <f ca="1">IFERROR(IF(ISBLANK(H983),SUMIFS($AC:$AC,$V:$V,V983,$W:$W,W983,$X:$X,X983,$Y:$Y,Y983)*J983/(1-J983)*VLOOKUP(_xlfn.CONCAT(C983,D983,E983,TIME!$M$12,Z983),HIS_SALES!$B$2:$W$4859,20,FALSE),AC983*J983/(1-J983)),0)</f>
        <v>0</v>
      </c>
      <c r="Q983" s="541" t="str">
        <f t="shared" si="366"/>
        <v/>
      </c>
      <c r="R983" s="346" t="str">
        <f t="shared" si="367"/>
        <v>00000</v>
      </c>
      <c r="S983" s="344">
        <f t="shared" si="368"/>
        <v>0</v>
      </c>
      <c r="T983" s="345" t="str">
        <f t="shared" si="381"/>
        <v>000</v>
      </c>
      <c r="U983" s="345">
        <f t="shared" si="369"/>
        <v>0</v>
      </c>
      <c r="V983" s="345">
        <f t="shared" si="370"/>
        <v>0</v>
      </c>
      <c r="W983" s="345">
        <f t="shared" si="371"/>
        <v>0</v>
      </c>
      <c r="X983" s="345">
        <f t="shared" si="372"/>
        <v>0</v>
      </c>
      <c r="Y983" s="345">
        <f t="shared" si="373"/>
        <v>0</v>
      </c>
      <c r="Z983" s="345">
        <f>IF(Q983&lt;&gt;"",VLOOKUP(Y983,TIME!$R$21:$V$24,MATCH(FC_DATA!Q983,TIME!$R$20:$V$20,0),FALSE),H983)</f>
        <v>0</v>
      </c>
      <c r="AA983" s="345" t="str">
        <f>IFERROR(VLOOKUP(X983&amp;Z983,TIME!$A$12:$D$71,4,FALSE),"")</f>
        <v/>
      </c>
      <c r="AB983" s="592">
        <f t="shared" ca="1" si="374"/>
        <v>0</v>
      </c>
      <c r="AC983" s="593" t="e">
        <f ca="1">IF(ISBLANK(H983)=FALSE,IF(D983="BRAND.com",I983,IF(ISNA(VLOOKUP(_xlfn.CONCAT(X983,Z983),TIME!$M$40:$M$42,1,FALSE)),I983,VLOOKUP(_xlfn.CONCAT(D983,G983,H983),M_BUSAREA_FC!$AF$5:$AJ$10,5,FALSE)*HLOOKUP(_xlfn.CONCAT(F983,H983),ST_OVERVIEW!$G$99:$I$130,MATCH(_xlfn.CONCAT(D983,E983),ST_OVERVIEW!$F$99:$F$130,0),FALSE))),IF(D983="BRAND.com",VLOOKUP(_xlfn.CONCAT(C983,D983,E983,TIME!$F$1,Z983),HIS_SALES!$B$2:$V$4859,19,FALSE)*I983,VLOOKUP(_xlfn.CONCAT(D983,F983,G983),Q_BUSAREA_FC!$AE$5:$AI$12,5,FALSE)*HLOOKUP(_xlfn.CONCAT(FC_DATA!F983,FC_DATA!G983),LT_OVERVIEW!$I$99:$M$130,MATCH(_xlfn.CONCAT(D983,FC_DATA!E983),LT_OVERVIEW!$H$99:$H$130,0),FALSE)*IFERROR(VLOOKUP(_xlfn.CONCAT(C983,D983,E983,TIME!$F$1,Z983),HIS_SALES!$B$2:$V$4859,19,FALSE),0)))</f>
        <v>#N/A</v>
      </c>
      <c r="AD983" s="341">
        <f t="shared" ca="1" si="375"/>
        <v>0</v>
      </c>
      <c r="AE983" s="363" t="str">
        <f t="shared" si="376"/>
        <v/>
      </c>
      <c r="AF983" s="342" t="str">
        <f t="shared" si="377"/>
        <v/>
      </c>
      <c r="AG983" s="411" t="e">
        <f ca="1">VLOOKUP(_xlfn.CONCAT(U983,V983,W983,VLOOKUP(X983&amp;Y983,TIME!$L$27:$O$34,4,FALSE),Y983),HIS_SALES!$A$2:$R$5093,18,FALSE)</f>
        <v>#N/A</v>
      </c>
      <c r="AH983" s="412" t="e">
        <f ca="1">IFERROR(IF(AND(V983=V982,W983=W982),0.5*(AB983+AB982)*AG983,(VLOOKUP(_xlfn.CONCAT(U983,V983,W983,X983,VLOOKUP(Z983,TIME!$S$28:$T$39,2,FALSE)),FC_DATA!$R$2:$AB$5000,MATCH("GS_I_M",FC_DATA!$R$1:$AB$1,0),FALSE)+FC_DATA!AB983)*0.5*FC_DATA!AG983),NA())</f>
        <v>#N/A</v>
      </c>
      <c r="AI983" s="491" t="e">
        <f ca="1">IF(V983="PARTNER.com",AH983,IF(AND(V983=V982,W983=W982),(1-AVERAGE(AD982,AD983))*AH983,(1-AVERAGE(AD983,VLOOKUP(_xlfn.CONCAT(U983,V983,W983,X983,M_BRAND_FC!$F$6),FC_DATA!$R$2:$AD$5000,MATCH("DISCOUNT_%_M",FC_DATA!$R$1:$AD$1,0),FALSE)))*AH983))</f>
        <v>#N/A</v>
      </c>
      <c r="AJ983" s="412" t="str">
        <f t="shared" ca="1" si="378"/>
        <v/>
      </c>
      <c r="AK983" s="413" t="str">
        <f>IFERROR(AE983/(Q_BRAND_FC!$T$24+1),"")</f>
        <v/>
      </c>
      <c r="AL983" s="88" t="str">
        <f t="shared" ca="1" si="379"/>
        <v/>
      </c>
      <c r="AM983" s="414" t="str">
        <f t="shared" ca="1" si="380"/>
        <v/>
      </c>
      <c r="AN983" s="58">
        <f>IFERROR(IF($V983="BRAND.com",HLOOKUP($X983&amp;$Z983,NWC_FC_NOOS!$C$4:$Q$23,MATCH(W983,NWC_FC_NOOS!$B$4:$B$23,0),FALSE),0),0)</f>
        <v>0</v>
      </c>
      <c r="AO983" s="57">
        <f>IFERROR(IF($V983="BRAND.com",HLOOKUP($X983&amp;$Z983,NWC_FC_NOOS!$T$4:$AH$23,MATCH(W983,NWC_FC_NOOS!$S$4:$S$23,0),FALSE),0),0)</f>
        <v>0</v>
      </c>
      <c r="AP983" s="57">
        <f>IFERROR(IF($V983="BRAND.com",HLOOKUP($X983&amp;$Z983,NWC_FC_NOOS!$C$50:$U$69,MATCH(W983,NWC_FC_NOOS!$B$50:$B$69,0),FALSE),0),0)</f>
        <v>0</v>
      </c>
      <c r="AQ983" s="58">
        <f>IFERROR(IF($V983="BRAND.com",HLOOKUP($X983&amp;$Z983,'NWC_FC_NON-NOOS'!$C$4:$Q$23,MATCH(W983,'NWC_FC_NON-NOOS'!$B$4:$B$23,0),FALSE),0),0)</f>
        <v>0</v>
      </c>
      <c r="AR983" s="57">
        <f>IFERROR(IF($V983="BRAND.com",HLOOKUP($X983&amp;$Z983,'NWC_FC_NON-NOOS'!$T$4:$AH$23,MATCH(W983,'NWC_FC_NON-NOOS'!$S$4:$S$23,0),FALSE),0),0)</f>
        <v>0</v>
      </c>
      <c r="AS983" s="57">
        <f>IFERROR(IF($V983="BRAND.com",HLOOKUP($X983&amp;$Z983,'NWC_FC_NON-NOOS'!$C$50:$U$69,MATCH(W983,'NWC_FC_NON-NOOS'!$B$50:$B$69,0),FALSE),0),0)</f>
        <v>0</v>
      </c>
      <c r="AT983" s="57">
        <f t="shared" si="382"/>
        <v>0</v>
      </c>
      <c r="AU983" s="57">
        <f t="shared" si="383"/>
        <v>0</v>
      </c>
      <c r="AV983" s="58">
        <f>IFERROR(IF($V983="BRAND.com",HLOOKUP($X983&amp;$Z983,PLANNING_FC!$BB$27:$BP$46,MATCH($W983,PLANNING_FC!$BA$27:$BA$46,0),FALSE),0),0)</f>
        <v>0</v>
      </c>
      <c r="AW983" s="58">
        <f>IFERROR(IF($V983="BRAND.com",HLOOKUP($X983&amp;$Z983,PLANNING_FC!$BB$4:$BP$23,MATCH($W983,PLANNING_FC!$BA$4:$BA$23,0),FALSE),0),0)</f>
        <v>0</v>
      </c>
      <c r="AX983" s="58">
        <f>IFERROR(IF($V983="BRAND.com",HLOOKUP($X983&amp;$Z983,PLANNING_FC!$T$27:$AH$46,MATCH($W983,PLANNING_FC!$B$27:$B$46,0),FALSE),0),0)</f>
        <v>0</v>
      </c>
      <c r="AY983" s="58">
        <f>IFERROR(IF($V983="BRAND.com",HLOOKUP($X983&amp;$Z983,PLANNING_FC!$T$4:$AH$23,MATCH($W983,PLANNING_FC!$B$4:$B$23,0),FALSE),0),0)</f>
        <v>0</v>
      </c>
      <c r="AZ983" s="58">
        <f>IFERROR(IF($V983="BRAND.com",HLOOKUP($X983&amp;$Z983,PLANNING_FC!$DA$27:$DO$46,MATCH($W983,PLANNING_FC!$CZ$27:$CZ$46,0),FALSE),0),0)</f>
        <v>0</v>
      </c>
      <c r="BA983" s="58">
        <f>IFERROR(IF($V983="BRAND.com",HLOOKUP($X983&amp;$Z983,PLANNING_FC!$DA$4:$DO$23,MATCH($W983,PLANNING_FC!$CZ$4:$CZ$23,0),FALSE),0),0)</f>
        <v>0</v>
      </c>
      <c r="BB983" s="883" t="str">
        <f>IF(V983="BRAND.com",IFERROR(HLOOKUP(X983&amp;Z983,PLANNING_FC!$AK$4:$AY$23,MATCH(W983,PLANNING_FC!$AJ$4:$AJ$23,0),FALSE)*1000,""),"")</f>
        <v/>
      </c>
      <c r="BC983" s="883" t="str">
        <f>IF(V983="BRAND.com",IFERROR(HLOOKUP(X983&amp;Z983,PLANNING_FC!$AK$27:$AY$46,MATCH(W983,PLANNING_FC!$AJ$27:$AJ$46,0),FALSE)*1000,""),"")</f>
        <v/>
      </c>
    </row>
    <row r="984" spans="14:55" x14ac:dyDescent="0.25">
      <c r="N984" s="56">
        <f t="shared" si="364"/>
        <v>0</v>
      </c>
      <c r="O984" s="57">
        <f t="shared" si="365"/>
        <v>0</v>
      </c>
      <c r="P984" s="57">
        <f ca="1">IFERROR(IF(ISBLANK(H984),SUMIFS($AC:$AC,$V:$V,V984,$W:$W,W984,$X:$X,X984,$Y:$Y,Y984)*J984/(1-J984)*VLOOKUP(_xlfn.CONCAT(C984,D984,E984,TIME!$M$12,Z984),HIS_SALES!$B$2:$W$4859,20,FALSE),AC984*J984/(1-J984)),0)</f>
        <v>0</v>
      </c>
      <c r="Q984" s="541" t="str">
        <f t="shared" si="366"/>
        <v/>
      </c>
      <c r="R984" s="346" t="str">
        <f t="shared" si="367"/>
        <v>00000</v>
      </c>
      <c r="S984" s="344">
        <f t="shared" si="368"/>
        <v>0</v>
      </c>
      <c r="T984" s="345" t="str">
        <f t="shared" si="381"/>
        <v>000</v>
      </c>
      <c r="U984" s="345">
        <f t="shared" si="369"/>
        <v>0</v>
      </c>
      <c r="V984" s="345">
        <f t="shared" si="370"/>
        <v>0</v>
      </c>
      <c r="W984" s="345">
        <f t="shared" si="371"/>
        <v>0</v>
      </c>
      <c r="X984" s="345">
        <f t="shared" si="372"/>
        <v>0</v>
      </c>
      <c r="Y984" s="345">
        <f t="shared" si="373"/>
        <v>0</v>
      </c>
      <c r="Z984" s="345">
        <f>IF(Q984&lt;&gt;"",VLOOKUP(Y984,TIME!$R$21:$V$24,MATCH(FC_DATA!Q984,TIME!$R$20:$V$20,0),FALSE),H984)</f>
        <v>0</v>
      </c>
      <c r="AA984" s="345" t="str">
        <f>IFERROR(VLOOKUP(X984&amp;Z984,TIME!$A$12:$D$71,4,FALSE),"")</f>
        <v/>
      </c>
      <c r="AB984" s="592">
        <f t="shared" ca="1" si="374"/>
        <v>0</v>
      </c>
      <c r="AC984" s="593" t="e">
        <f ca="1">IF(ISBLANK(H984)=FALSE,IF(D984="BRAND.com",I984,IF(ISNA(VLOOKUP(_xlfn.CONCAT(X984,Z984),TIME!$M$40:$M$42,1,FALSE)),I984,VLOOKUP(_xlfn.CONCAT(D984,G984,H984),M_BUSAREA_FC!$AF$5:$AJ$10,5,FALSE)*HLOOKUP(_xlfn.CONCAT(F984,H984),ST_OVERVIEW!$G$99:$I$130,MATCH(_xlfn.CONCAT(D984,E984),ST_OVERVIEW!$F$99:$F$130,0),FALSE))),IF(D984="BRAND.com",VLOOKUP(_xlfn.CONCAT(C984,D984,E984,TIME!$F$1,Z984),HIS_SALES!$B$2:$V$4859,19,FALSE)*I984,VLOOKUP(_xlfn.CONCAT(D984,F984,G984),Q_BUSAREA_FC!$AE$5:$AI$12,5,FALSE)*HLOOKUP(_xlfn.CONCAT(FC_DATA!F984,FC_DATA!G984),LT_OVERVIEW!$I$99:$M$130,MATCH(_xlfn.CONCAT(D984,FC_DATA!E984),LT_OVERVIEW!$H$99:$H$130,0),FALSE)*IFERROR(VLOOKUP(_xlfn.CONCAT(C984,D984,E984,TIME!$F$1,Z984),HIS_SALES!$B$2:$V$4859,19,FALSE),0)))</f>
        <v>#N/A</v>
      </c>
      <c r="AD984" s="341">
        <f t="shared" ca="1" si="375"/>
        <v>0</v>
      </c>
      <c r="AE984" s="363" t="str">
        <f t="shared" si="376"/>
        <v/>
      </c>
      <c r="AF984" s="342" t="str">
        <f t="shared" si="377"/>
        <v/>
      </c>
      <c r="AG984" s="411" t="e">
        <f ca="1">VLOOKUP(_xlfn.CONCAT(U984,V984,W984,VLOOKUP(X984&amp;Y984,TIME!$L$27:$O$34,4,FALSE),Y984),HIS_SALES!$A$2:$R$5093,18,FALSE)</f>
        <v>#N/A</v>
      </c>
      <c r="AH984" s="412" t="e">
        <f ca="1">IFERROR(IF(AND(V984=V983,W984=W983),0.5*(AB984+AB983)*AG984,(VLOOKUP(_xlfn.CONCAT(U984,V984,W984,X984,VLOOKUP(Z984,TIME!$S$28:$T$39,2,FALSE)),FC_DATA!$R$2:$AB$5000,MATCH("GS_I_M",FC_DATA!$R$1:$AB$1,0),FALSE)+FC_DATA!AB984)*0.5*FC_DATA!AG984),NA())</f>
        <v>#N/A</v>
      </c>
      <c r="AI984" s="491" t="e">
        <f ca="1">IF(V984="PARTNER.com",AH984,IF(AND(V984=V983,W984=W983),(1-AVERAGE(AD983,AD984))*AH984,(1-AVERAGE(AD984,VLOOKUP(_xlfn.CONCAT(U984,V984,W984,X984,M_BRAND_FC!$F$6),FC_DATA!$R$2:$AD$5000,MATCH("DISCOUNT_%_M",FC_DATA!$R$1:$AD$1,0),FALSE)))*AH984))</f>
        <v>#N/A</v>
      </c>
      <c r="AJ984" s="412" t="str">
        <f t="shared" ca="1" si="378"/>
        <v/>
      </c>
      <c r="AK984" s="413" t="str">
        <f>IFERROR(AE984/(Q_BRAND_FC!$T$24+1),"")</f>
        <v/>
      </c>
      <c r="AL984" s="88" t="str">
        <f t="shared" ca="1" si="379"/>
        <v/>
      </c>
      <c r="AM984" s="414" t="str">
        <f t="shared" ca="1" si="380"/>
        <v/>
      </c>
      <c r="AN984" s="58">
        <f>IFERROR(IF($V984="BRAND.com",HLOOKUP($X984&amp;$Z984,NWC_FC_NOOS!$C$4:$Q$23,MATCH(W984,NWC_FC_NOOS!$B$4:$B$23,0),FALSE),0),0)</f>
        <v>0</v>
      </c>
      <c r="AO984" s="57">
        <f>IFERROR(IF($V984="BRAND.com",HLOOKUP($X984&amp;$Z984,NWC_FC_NOOS!$T$4:$AH$23,MATCH(W984,NWC_FC_NOOS!$S$4:$S$23,0),FALSE),0),0)</f>
        <v>0</v>
      </c>
      <c r="AP984" s="57">
        <f>IFERROR(IF($V984="BRAND.com",HLOOKUP($X984&amp;$Z984,NWC_FC_NOOS!$C$50:$U$69,MATCH(W984,NWC_FC_NOOS!$B$50:$B$69,0),FALSE),0),0)</f>
        <v>0</v>
      </c>
      <c r="AQ984" s="58">
        <f>IFERROR(IF($V984="BRAND.com",HLOOKUP($X984&amp;$Z984,'NWC_FC_NON-NOOS'!$C$4:$Q$23,MATCH(W984,'NWC_FC_NON-NOOS'!$B$4:$B$23,0),FALSE),0),0)</f>
        <v>0</v>
      </c>
      <c r="AR984" s="57">
        <f>IFERROR(IF($V984="BRAND.com",HLOOKUP($X984&amp;$Z984,'NWC_FC_NON-NOOS'!$T$4:$AH$23,MATCH(W984,'NWC_FC_NON-NOOS'!$S$4:$S$23,0),FALSE),0),0)</f>
        <v>0</v>
      </c>
      <c r="AS984" s="57">
        <f>IFERROR(IF($V984="BRAND.com",HLOOKUP($X984&amp;$Z984,'NWC_FC_NON-NOOS'!$C$50:$U$69,MATCH(W984,'NWC_FC_NON-NOOS'!$B$50:$B$69,0),FALSE),0),0)</f>
        <v>0</v>
      </c>
      <c r="AT984" s="57">
        <f t="shared" si="382"/>
        <v>0</v>
      </c>
      <c r="AU984" s="57">
        <f t="shared" si="383"/>
        <v>0</v>
      </c>
      <c r="AV984" s="58">
        <f>IFERROR(IF($V984="BRAND.com",HLOOKUP($X984&amp;$Z984,PLANNING_FC!$BB$27:$BP$46,MATCH($W984,PLANNING_FC!$BA$27:$BA$46,0),FALSE),0),0)</f>
        <v>0</v>
      </c>
      <c r="AW984" s="58">
        <f>IFERROR(IF($V984="BRAND.com",HLOOKUP($X984&amp;$Z984,PLANNING_FC!$BB$4:$BP$23,MATCH($W984,PLANNING_FC!$BA$4:$BA$23,0),FALSE),0),0)</f>
        <v>0</v>
      </c>
      <c r="AX984" s="58">
        <f>IFERROR(IF($V984="BRAND.com",HLOOKUP($X984&amp;$Z984,PLANNING_FC!$T$27:$AH$46,MATCH($W984,PLANNING_FC!$B$27:$B$46,0),FALSE),0),0)</f>
        <v>0</v>
      </c>
      <c r="AY984" s="58">
        <f>IFERROR(IF($V984="BRAND.com",HLOOKUP($X984&amp;$Z984,PLANNING_FC!$T$4:$AH$23,MATCH($W984,PLANNING_FC!$B$4:$B$23,0),FALSE),0),0)</f>
        <v>0</v>
      </c>
      <c r="AZ984" s="58">
        <f>IFERROR(IF($V984="BRAND.com",HLOOKUP($X984&amp;$Z984,PLANNING_FC!$DA$27:$DO$46,MATCH($W984,PLANNING_FC!$CZ$27:$CZ$46,0),FALSE),0),0)</f>
        <v>0</v>
      </c>
      <c r="BA984" s="58">
        <f>IFERROR(IF($V984="BRAND.com",HLOOKUP($X984&amp;$Z984,PLANNING_FC!$DA$4:$DO$23,MATCH($W984,PLANNING_FC!$CZ$4:$CZ$23,0),FALSE),0),0)</f>
        <v>0</v>
      </c>
      <c r="BB984" s="883" t="str">
        <f>IF(V984="BRAND.com",IFERROR(HLOOKUP(X984&amp;Z984,PLANNING_FC!$AK$4:$AY$23,MATCH(W984,PLANNING_FC!$AJ$4:$AJ$23,0),FALSE)*1000,""),"")</f>
        <v/>
      </c>
      <c r="BC984" s="883" t="str">
        <f>IF(V984="BRAND.com",IFERROR(HLOOKUP(X984&amp;Z984,PLANNING_FC!$AK$27:$AY$46,MATCH(W984,PLANNING_FC!$AJ$27:$AJ$46,0),FALSE)*1000,""),"")</f>
        <v/>
      </c>
    </row>
    <row r="985" spans="14:55" x14ac:dyDescent="0.25">
      <c r="N985" s="56">
        <f t="shared" si="364"/>
        <v>0</v>
      </c>
      <c r="O985" s="57">
        <f t="shared" si="365"/>
        <v>0</v>
      </c>
      <c r="P985" s="57">
        <f ca="1">IFERROR(IF(ISBLANK(H985),SUMIFS($AC:$AC,$V:$V,V985,$W:$W,W985,$X:$X,X985,$Y:$Y,Y985)*J985/(1-J985)*VLOOKUP(_xlfn.CONCAT(C985,D985,E985,TIME!$M$12,Z985),HIS_SALES!$B$2:$W$4859,20,FALSE),AC985*J985/(1-J985)),0)</f>
        <v>0</v>
      </c>
      <c r="Q985" s="541" t="str">
        <f t="shared" si="366"/>
        <v/>
      </c>
      <c r="R985" s="346" t="str">
        <f t="shared" si="367"/>
        <v>00000</v>
      </c>
      <c r="S985" s="344">
        <f t="shared" si="368"/>
        <v>0</v>
      </c>
      <c r="T985" s="345" t="str">
        <f t="shared" si="381"/>
        <v>000</v>
      </c>
      <c r="U985" s="345">
        <f t="shared" si="369"/>
        <v>0</v>
      </c>
      <c r="V985" s="345">
        <f t="shared" si="370"/>
        <v>0</v>
      </c>
      <c r="W985" s="345">
        <f t="shared" si="371"/>
        <v>0</v>
      </c>
      <c r="X985" s="345">
        <f t="shared" si="372"/>
        <v>0</v>
      </c>
      <c r="Y985" s="345">
        <f t="shared" si="373"/>
        <v>0</v>
      </c>
      <c r="Z985" s="345">
        <f>IF(Q985&lt;&gt;"",VLOOKUP(Y985,TIME!$R$21:$V$24,MATCH(FC_DATA!Q985,TIME!$R$20:$V$20,0),FALSE),H985)</f>
        <v>0</v>
      </c>
      <c r="AA985" s="345" t="str">
        <f>IFERROR(VLOOKUP(X985&amp;Z985,TIME!$A$12:$D$71,4,FALSE),"")</f>
        <v/>
      </c>
      <c r="AB985" s="592">
        <f t="shared" ca="1" si="374"/>
        <v>0</v>
      </c>
      <c r="AC985" s="593" t="e">
        <f ca="1">IF(ISBLANK(H985)=FALSE,IF(D985="BRAND.com",I985,IF(ISNA(VLOOKUP(_xlfn.CONCAT(X985,Z985),TIME!$M$40:$M$42,1,FALSE)),I985,VLOOKUP(_xlfn.CONCAT(D985,G985,H985),M_BUSAREA_FC!$AF$5:$AJ$10,5,FALSE)*HLOOKUP(_xlfn.CONCAT(F985,H985),ST_OVERVIEW!$G$99:$I$130,MATCH(_xlfn.CONCAT(D985,E985),ST_OVERVIEW!$F$99:$F$130,0),FALSE))),IF(D985="BRAND.com",VLOOKUP(_xlfn.CONCAT(C985,D985,E985,TIME!$F$1,Z985),HIS_SALES!$B$2:$V$4859,19,FALSE)*I985,VLOOKUP(_xlfn.CONCAT(D985,F985,G985),Q_BUSAREA_FC!$AE$5:$AI$12,5,FALSE)*HLOOKUP(_xlfn.CONCAT(FC_DATA!F985,FC_DATA!G985),LT_OVERVIEW!$I$99:$M$130,MATCH(_xlfn.CONCAT(D985,FC_DATA!E985),LT_OVERVIEW!$H$99:$H$130,0),FALSE)*IFERROR(VLOOKUP(_xlfn.CONCAT(C985,D985,E985,TIME!$F$1,Z985),HIS_SALES!$B$2:$V$4859,19,FALSE),0)))</f>
        <v>#N/A</v>
      </c>
      <c r="AD985" s="341">
        <f t="shared" ca="1" si="375"/>
        <v>0</v>
      </c>
      <c r="AE985" s="363" t="str">
        <f t="shared" si="376"/>
        <v/>
      </c>
      <c r="AF985" s="342" t="str">
        <f t="shared" si="377"/>
        <v/>
      </c>
      <c r="AG985" s="411" t="e">
        <f ca="1">VLOOKUP(_xlfn.CONCAT(U985,V985,W985,VLOOKUP(X985&amp;Y985,TIME!$L$27:$O$34,4,FALSE),Y985),HIS_SALES!$A$2:$R$5093,18,FALSE)</f>
        <v>#N/A</v>
      </c>
      <c r="AH985" s="412" t="e">
        <f ca="1">IFERROR(IF(AND(V985=V984,W985=W984),0.5*(AB985+AB984)*AG985,(VLOOKUP(_xlfn.CONCAT(U985,V985,W985,X985,VLOOKUP(Z985,TIME!$S$28:$T$39,2,FALSE)),FC_DATA!$R$2:$AB$5000,MATCH("GS_I_M",FC_DATA!$R$1:$AB$1,0),FALSE)+FC_DATA!AB985)*0.5*FC_DATA!AG985),NA())</f>
        <v>#N/A</v>
      </c>
      <c r="AI985" s="491" t="e">
        <f ca="1">IF(V985="PARTNER.com",AH985,IF(AND(V985=V984,W985=W984),(1-AVERAGE(AD984,AD985))*AH985,(1-AVERAGE(AD985,VLOOKUP(_xlfn.CONCAT(U985,V985,W985,X985,M_BRAND_FC!$F$6),FC_DATA!$R$2:$AD$5000,MATCH("DISCOUNT_%_M",FC_DATA!$R$1:$AD$1,0),FALSE)))*AH985))</f>
        <v>#N/A</v>
      </c>
      <c r="AJ985" s="412" t="str">
        <f t="shared" ca="1" si="378"/>
        <v/>
      </c>
      <c r="AK985" s="413" t="str">
        <f>IFERROR(AE985/(Q_BRAND_FC!$T$24+1),"")</f>
        <v/>
      </c>
      <c r="AL985" s="88" t="str">
        <f t="shared" ca="1" si="379"/>
        <v/>
      </c>
      <c r="AM985" s="414" t="str">
        <f t="shared" ca="1" si="380"/>
        <v/>
      </c>
      <c r="AN985" s="58">
        <f>IFERROR(IF($V985="BRAND.com",HLOOKUP($X985&amp;$Z985,NWC_FC_NOOS!$C$4:$Q$23,MATCH(W985,NWC_FC_NOOS!$B$4:$B$23,0),FALSE),0),0)</f>
        <v>0</v>
      </c>
      <c r="AO985" s="57">
        <f>IFERROR(IF($V985="BRAND.com",HLOOKUP($X985&amp;$Z985,NWC_FC_NOOS!$T$4:$AH$23,MATCH(W985,NWC_FC_NOOS!$S$4:$S$23,0),FALSE),0),0)</f>
        <v>0</v>
      </c>
      <c r="AP985" s="57">
        <f>IFERROR(IF($V985="BRAND.com",HLOOKUP($X985&amp;$Z985,NWC_FC_NOOS!$C$50:$U$69,MATCH(W985,NWC_FC_NOOS!$B$50:$B$69,0),FALSE),0),0)</f>
        <v>0</v>
      </c>
      <c r="AQ985" s="58">
        <f>IFERROR(IF($V985="BRAND.com",HLOOKUP($X985&amp;$Z985,'NWC_FC_NON-NOOS'!$C$4:$Q$23,MATCH(W985,'NWC_FC_NON-NOOS'!$B$4:$B$23,0),FALSE),0),0)</f>
        <v>0</v>
      </c>
      <c r="AR985" s="57">
        <f>IFERROR(IF($V985="BRAND.com",HLOOKUP($X985&amp;$Z985,'NWC_FC_NON-NOOS'!$T$4:$AH$23,MATCH(W985,'NWC_FC_NON-NOOS'!$S$4:$S$23,0),FALSE),0),0)</f>
        <v>0</v>
      </c>
      <c r="AS985" s="57">
        <f>IFERROR(IF($V985="BRAND.com",HLOOKUP($X985&amp;$Z985,'NWC_FC_NON-NOOS'!$C$50:$U$69,MATCH(W985,'NWC_FC_NON-NOOS'!$B$50:$B$69,0),FALSE),0),0)</f>
        <v>0</v>
      </c>
      <c r="AT985" s="57">
        <f t="shared" si="382"/>
        <v>0</v>
      </c>
      <c r="AU985" s="57">
        <f t="shared" si="383"/>
        <v>0</v>
      </c>
      <c r="AV985" s="58">
        <f>IFERROR(IF($V985="BRAND.com",HLOOKUP($X985&amp;$Z985,PLANNING_FC!$BB$27:$BP$46,MATCH($W985,PLANNING_FC!$BA$27:$BA$46,0),FALSE),0),0)</f>
        <v>0</v>
      </c>
      <c r="AW985" s="58">
        <f>IFERROR(IF($V985="BRAND.com",HLOOKUP($X985&amp;$Z985,PLANNING_FC!$BB$4:$BP$23,MATCH($W985,PLANNING_FC!$BA$4:$BA$23,0),FALSE),0),0)</f>
        <v>0</v>
      </c>
      <c r="AX985" s="58">
        <f>IFERROR(IF($V985="BRAND.com",HLOOKUP($X985&amp;$Z985,PLANNING_FC!$T$27:$AH$46,MATCH($W985,PLANNING_FC!$B$27:$B$46,0),FALSE),0),0)</f>
        <v>0</v>
      </c>
      <c r="AY985" s="58">
        <f>IFERROR(IF($V985="BRAND.com",HLOOKUP($X985&amp;$Z985,PLANNING_FC!$T$4:$AH$23,MATCH($W985,PLANNING_FC!$B$4:$B$23,0),FALSE),0),0)</f>
        <v>0</v>
      </c>
      <c r="AZ985" s="58">
        <f>IFERROR(IF($V985="BRAND.com",HLOOKUP($X985&amp;$Z985,PLANNING_FC!$DA$27:$DO$46,MATCH($W985,PLANNING_FC!$CZ$27:$CZ$46,0),FALSE),0),0)</f>
        <v>0</v>
      </c>
      <c r="BA985" s="58">
        <f>IFERROR(IF($V985="BRAND.com",HLOOKUP($X985&amp;$Z985,PLANNING_FC!$DA$4:$DO$23,MATCH($W985,PLANNING_FC!$CZ$4:$CZ$23,0),FALSE),0),0)</f>
        <v>0</v>
      </c>
      <c r="BB985" s="883" t="str">
        <f>IF(V985="BRAND.com",IFERROR(HLOOKUP(X985&amp;Z985,PLANNING_FC!$AK$4:$AY$23,MATCH(W985,PLANNING_FC!$AJ$4:$AJ$23,0),FALSE)*1000,""),"")</f>
        <v/>
      </c>
      <c r="BC985" s="883" t="str">
        <f>IF(V985="BRAND.com",IFERROR(HLOOKUP(X985&amp;Z985,PLANNING_FC!$AK$27:$AY$46,MATCH(W985,PLANNING_FC!$AJ$27:$AJ$46,0),FALSE)*1000,""),"")</f>
        <v/>
      </c>
    </row>
    <row r="986" spans="14:55" x14ac:dyDescent="0.25">
      <c r="N986" s="56">
        <f t="shared" si="364"/>
        <v>0</v>
      </c>
      <c r="O986" s="57">
        <f t="shared" si="365"/>
        <v>0</v>
      </c>
      <c r="P986" s="57">
        <f ca="1">IFERROR(IF(ISBLANK(H986),SUMIFS($AC:$AC,$V:$V,V986,$W:$W,W986,$X:$X,X986,$Y:$Y,Y986)*J986/(1-J986)*VLOOKUP(_xlfn.CONCAT(C986,D986,E986,TIME!$M$12,Z986),HIS_SALES!$B$2:$W$4859,20,FALSE),AC986*J986/(1-J986)),0)</f>
        <v>0</v>
      </c>
      <c r="Q986" s="541" t="str">
        <f t="shared" si="366"/>
        <v/>
      </c>
      <c r="R986" s="346" t="str">
        <f t="shared" si="367"/>
        <v>00000</v>
      </c>
      <c r="S986" s="344">
        <f t="shared" si="368"/>
        <v>0</v>
      </c>
      <c r="T986" s="345" t="str">
        <f t="shared" si="381"/>
        <v>000</v>
      </c>
      <c r="U986" s="345">
        <f t="shared" si="369"/>
        <v>0</v>
      </c>
      <c r="V986" s="345">
        <f t="shared" si="370"/>
        <v>0</v>
      </c>
      <c r="W986" s="345">
        <f t="shared" si="371"/>
        <v>0</v>
      </c>
      <c r="X986" s="345">
        <f t="shared" si="372"/>
        <v>0</v>
      </c>
      <c r="Y986" s="345">
        <f t="shared" si="373"/>
        <v>0</v>
      </c>
      <c r="Z986" s="345">
        <f>IF(Q986&lt;&gt;"",VLOOKUP(Y986,TIME!$R$21:$V$24,MATCH(FC_DATA!Q986,TIME!$R$20:$V$20,0),FALSE),H986)</f>
        <v>0</v>
      </c>
      <c r="AA986" s="345" t="str">
        <f>IFERROR(VLOOKUP(X986&amp;Z986,TIME!$A$12:$D$71,4,FALSE),"")</f>
        <v/>
      </c>
      <c r="AB986" s="592">
        <f t="shared" ca="1" si="374"/>
        <v>0</v>
      </c>
      <c r="AC986" s="593" t="e">
        <f ca="1">IF(ISBLANK(H986)=FALSE,IF(D986="BRAND.com",I986,IF(ISNA(VLOOKUP(_xlfn.CONCAT(X986,Z986),TIME!$M$40:$M$42,1,FALSE)),I986,VLOOKUP(_xlfn.CONCAT(D986,G986,H986),M_BUSAREA_FC!$AF$5:$AJ$10,5,FALSE)*HLOOKUP(_xlfn.CONCAT(F986,H986),ST_OVERVIEW!$G$99:$I$130,MATCH(_xlfn.CONCAT(D986,E986),ST_OVERVIEW!$F$99:$F$130,0),FALSE))),IF(D986="BRAND.com",VLOOKUP(_xlfn.CONCAT(C986,D986,E986,TIME!$F$1,Z986),HIS_SALES!$B$2:$V$4859,19,FALSE)*I986,VLOOKUP(_xlfn.CONCAT(D986,F986,G986),Q_BUSAREA_FC!$AE$5:$AI$12,5,FALSE)*HLOOKUP(_xlfn.CONCAT(FC_DATA!F986,FC_DATA!G986),LT_OVERVIEW!$I$99:$M$130,MATCH(_xlfn.CONCAT(D986,FC_DATA!E986),LT_OVERVIEW!$H$99:$H$130,0),FALSE)*IFERROR(VLOOKUP(_xlfn.CONCAT(C986,D986,E986,TIME!$F$1,Z986),HIS_SALES!$B$2:$V$4859,19,FALSE),0)))</f>
        <v>#N/A</v>
      </c>
      <c r="AD986" s="341">
        <f t="shared" ca="1" si="375"/>
        <v>0</v>
      </c>
      <c r="AE986" s="363" t="str">
        <f t="shared" si="376"/>
        <v/>
      </c>
      <c r="AF986" s="342" t="str">
        <f t="shared" si="377"/>
        <v/>
      </c>
      <c r="AG986" s="411" t="e">
        <f ca="1">VLOOKUP(_xlfn.CONCAT(U986,V986,W986,VLOOKUP(X986&amp;Y986,TIME!$L$27:$O$34,4,FALSE),Y986),HIS_SALES!$A$2:$R$5093,18,FALSE)</f>
        <v>#N/A</v>
      </c>
      <c r="AH986" s="412" t="e">
        <f ca="1">IFERROR(IF(AND(V986=V985,W986=W985),0.5*(AB986+AB985)*AG986,(VLOOKUP(_xlfn.CONCAT(U986,V986,W986,X986,VLOOKUP(Z986,TIME!$S$28:$T$39,2,FALSE)),FC_DATA!$R$2:$AB$5000,MATCH("GS_I_M",FC_DATA!$R$1:$AB$1,0),FALSE)+FC_DATA!AB986)*0.5*FC_DATA!AG986),NA())</f>
        <v>#N/A</v>
      </c>
      <c r="AI986" s="491" t="e">
        <f ca="1">IF(V986="PARTNER.com",AH986,IF(AND(V986=V985,W986=W985),(1-AVERAGE(AD985,AD986))*AH986,(1-AVERAGE(AD986,VLOOKUP(_xlfn.CONCAT(U986,V986,W986,X986,M_BRAND_FC!$F$6),FC_DATA!$R$2:$AD$5000,MATCH("DISCOUNT_%_M",FC_DATA!$R$1:$AD$1,0),FALSE)))*AH986))</f>
        <v>#N/A</v>
      </c>
      <c r="AJ986" s="412" t="str">
        <f t="shared" ca="1" si="378"/>
        <v/>
      </c>
      <c r="AK986" s="413" t="str">
        <f>IFERROR(AE986/(Q_BRAND_FC!$T$24+1),"")</f>
        <v/>
      </c>
      <c r="AL986" s="88" t="str">
        <f t="shared" ca="1" si="379"/>
        <v/>
      </c>
      <c r="AM986" s="414" t="str">
        <f t="shared" ca="1" si="380"/>
        <v/>
      </c>
      <c r="AN986" s="58">
        <f>IFERROR(IF($V986="BRAND.com",HLOOKUP($X986&amp;$Z986,NWC_FC_NOOS!$C$4:$Q$23,MATCH(W986,NWC_FC_NOOS!$B$4:$B$23,0),FALSE),0),0)</f>
        <v>0</v>
      </c>
      <c r="AO986" s="57">
        <f>IFERROR(IF($V986="BRAND.com",HLOOKUP($X986&amp;$Z986,NWC_FC_NOOS!$T$4:$AH$23,MATCH(W986,NWC_FC_NOOS!$S$4:$S$23,0),FALSE),0),0)</f>
        <v>0</v>
      </c>
      <c r="AP986" s="57">
        <f>IFERROR(IF($V986="BRAND.com",HLOOKUP($X986&amp;$Z986,NWC_FC_NOOS!$C$50:$U$69,MATCH(W986,NWC_FC_NOOS!$B$50:$B$69,0),FALSE),0),0)</f>
        <v>0</v>
      </c>
      <c r="AQ986" s="58">
        <f>IFERROR(IF($V986="BRAND.com",HLOOKUP($X986&amp;$Z986,'NWC_FC_NON-NOOS'!$C$4:$Q$23,MATCH(W986,'NWC_FC_NON-NOOS'!$B$4:$B$23,0),FALSE),0),0)</f>
        <v>0</v>
      </c>
      <c r="AR986" s="57">
        <f>IFERROR(IF($V986="BRAND.com",HLOOKUP($X986&amp;$Z986,'NWC_FC_NON-NOOS'!$T$4:$AH$23,MATCH(W986,'NWC_FC_NON-NOOS'!$S$4:$S$23,0),FALSE),0),0)</f>
        <v>0</v>
      </c>
      <c r="AS986" s="57">
        <f>IFERROR(IF($V986="BRAND.com",HLOOKUP($X986&amp;$Z986,'NWC_FC_NON-NOOS'!$C$50:$U$69,MATCH(W986,'NWC_FC_NON-NOOS'!$B$50:$B$69,0),FALSE),0),0)</f>
        <v>0</v>
      </c>
      <c r="AT986" s="57">
        <f t="shared" si="382"/>
        <v>0</v>
      </c>
      <c r="AU986" s="57">
        <f t="shared" si="383"/>
        <v>0</v>
      </c>
      <c r="AV986" s="58">
        <f>IFERROR(IF($V986="BRAND.com",HLOOKUP($X986&amp;$Z986,PLANNING_FC!$BB$27:$BP$46,MATCH($W986,PLANNING_FC!$BA$27:$BA$46,0),FALSE),0),0)</f>
        <v>0</v>
      </c>
      <c r="AW986" s="58">
        <f>IFERROR(IF($V986="BRAND.com",HLOOKUP($X986&amp;$Z986,PLANNING_FC!$BB$4:$BP$23,MATCH($W986,PLANNING_FC!$BA$4:$BA$23,0),FALSE),0),0)</f>
        <v>0</v>
      </c>
      <c r="AX986" s="58">
        <f>IFERROR(IF($V986="BRAND.com",HLOOKUP($X986&amp;$Z986,PLANNING_FC!$T$27:$AH$46,MATCH($W986,PLANNING_FC!$B$27:$B$46,0),FALSE),0),0)</f>
        <v>0</v>
      </c>
      <c r="AY986" s="58">
        <f>IFERROR(IF($V986="BRAND.com",HLOOKUP($X986&amp;$Z986,PLANNING_FC!$T$4:$AH$23,MATCH($W986,PLANNING_FC!$B$4:$B$23,0),FALSE),0),0)</f>
        <v>0</v>
      </c>
      <c r="AZ986" s="58">
        <f>IFERROR(IF($V986="BRAND.com",HLOOKUP($X986&amp;$Z986,PLANNING_FC!$DA$27:$DO$46,MATCH($W986,PLANNING_FC!$CZ$27:$CZ$46,0),FALSE),0),0)</f>
        <v>0</v>
      </c>
      <c r="BA986" s="58">
        <f>IFERROR(IF($V986="BRAND.com",HLOOKUP($X986&amp;$Z986,PLANNING_FC!$DA$4:$DO$23,MATCH($W986,PLANNING_FC!$CZ$4:$CZ$23,0),FALSE),0),0)</f>
        <v>0</v>
      </c>
      <c r="BB986" s="883" t="str">
        <f>IF(V986="BRAND.com",IFERROR(HLOOKUP(X986&amp;Z986,PLANNING_FC!$AK$4:$AY$23,MATCH(W986,PLANNING_FC!$AJ$4:$AJ$23,0),FALSE)*1000,""),"")</f>
        <v/>
      </c>
      <c r="BC986" s="883" t="str">
        <f>IF(V986="BRAND.com",IFERROR(HLOOKUP(X986&amp;Z986,PLANNING_FC!$AK$27:$AY$46,MATCH(W986,PLANNING_FC!$AJ$27:$AJ$46,0),FALSE)*1000,""),"")</f>
        <v/>
      </c>
    </row>
    <row r="987" spans="14:55" x14ac:dyDescent="0.25">
      <c r="N987" s="56">
        <f t="shared" si="364"/>
        <v>0</v>
      </c>
      <c r="O987" s="57">
        <f t="shared" si="365"/>
        <v>0</v>
      </c>
      <c r="P987" s="57">
        <f ca="1">IFERROR(IF(ISBLANK(H987),SUMIFS($AC:$AC,$V:$V,V987,$W:$W,W987,$X:$X,X987,$Y:$Y,Y987)*J987/(1-J987)*VLOOKUP(_xlfn.CONCAT(C987,D987,E987,TIME!$M$12,Z987),HIS_SALES!$B$2:$W$4859,20,FALSE),AC987*J987/(1-J987)),0)</f>
        <v>0</v>
      </c>
      <c r="Q987" s="541" t="str">
        <f t="shared" si="366"/>
        <v/>
      </c>
      <c r="R987" s="346" t="str">
        <f t="shared" si="367"/>
        <v>00000</v>
      </c>
      <c r="S987" s="344">
        <f t="shared" si="368"/>
        <v>0</v>
      </c>
      <c r="T987" s="345" t="str">
        <f t="shared" si="381"/>
        <v>000</v>
      </c>
      <c r="U987" s="345">
        <f t="shared" si="369"/>
        <v>0</v>
      </c>
      <c r="V987" s="345">
        <f t="shared" si="370"/>
        <v>0</v>
      </c>
      <c r="W987" s="345">
        <f t="shared" si="371"/>
        <v>0</v>
      </c>
      <c r="X987" s="345">
        <f t="shared" si="372"/>
        <v>0</v>
      </c>
      <c r="Y987" s="345">
        <f t="shared" si="373"/>
        <v>0</v>
      </c>
      <c r="Z987" s="345">
        <f>IF(Q987&lt;&gt;"",VLOOKUP(Y987,TIME!$R$21:$V$24,MATCH(FC_DATA!Q987,TIME!$R$20:$V$20,0),FALSE),H987)</f>
        <v>0</v>
      </c>
      <c r="AA987" s="345" t="str">
        <f>IFERROR(VLOOKUP(X987&amp;Z987,TIME!$A$12:$D$71,4,FALSE),"")</f>
        <v/>
      </c>
      <c r="AB987" s="592">
        <f t="shared" ca="1" si="374"/>
        <v>0</v>
      </c>
      <c r="AC987" s="593" t="e">
        <f ca="1">IF(ISBLANK(H987)=FALSE,IF(D987="BRAND.com",I987,IF(ISNA(VLOOKUP(_xlfn.CONCAT(X987,Z987),TIME!$M$40:$M$42,1,FALSE)),I987,VLOOKUP(_xlfn.CONCAT(D987,G987,H987),M_BUSAREA_FC!$AF$5:$AJ$10,5,FALSE)*HLOOKUP(_xlfn.CONCAT(F987,H987),ST_OVERVIEW!$G$99:$I$130,MATCH(_xlfn.CONCAT(D987,E987),ST_OVERVIEW!$F$99:$F$130,0),FALSE))),IF(D987="BRAND.com",VLOOKUP(_xlfn.CONCAT(C987,D987,E987,TIME!$F$1,Z987),HIS_SALES!$B$2:$V$4859,19,FALSE)*I987,VLOOKUP(_xlfn.CONCAT(D987,F987,G987),Q_BUSAREA_FC!$AE$5:$AI$12,5,FALSE)*HLOOKUP(_xlfn.CONCAT(FC_DATA!F987,FC_DATA!G987),LT_OVERVIEW!$I$99:$M$130,MATCH(_xlfn.CONCAT(D987,FC_DATA!E987),LT_OVERVIEW!$H$99:$H$130,0),FALSE)*IFERROR(VLOOKUP(_xlfn.CONCAT(C987,D987,E987,TIME!$F$1,Z987),HIS_SALES!$B$2:$V$4859,19,FALSE),0)))</f>
        <v>#N/A</v>
      </c>
      <c r="AD987" s="341">
        <f t="shared" ca="1" si="375"/>
        <v>0</v>
      </c>
      <c r="AE987" s="363" t="str">
        <f t="shared" si="376"/>
        <v/>
      </c>
      <c r="AF987" s="342" t="str">
        <f t="shared" si="377"/>
        <v/>
      </c>
      <c r="AG987" s="411" t="e">
        <f ca="1">VLOOKUP(_xlfn.CONCAT(U987,V987,W987,VLOOKUP(X987&amp;Y987,TIME!$L$27:$O$34,4,FALSE),Y987),HIS_SALES!$A$2:$R$5093,18,FALSE)</f>
        <v>#N/A</v>
      </c>
      <c r="AH987" s="412" t="e">
        <f ca="1">IFERROR(IF(AND(V987=V986,W987=W986),0.5*(AB987+AB986)*AG987,(VLOOKUP(_xlfn.CONCAT(U987,V987,W987,X987,VLOOKUP(Z987,TIME!$S$28:$T$39,2,FALSE)),FC_DATA!$R$2:$AB$5000,MATCH("GS_I_M",FC_DATA!$R$1:$AB$1,0),FALSE)+FC_DATA!AB987)*0.5*FC_DATA!AG987),NA())</f>
        <v>#N/A</v>
      </c>
      <c r="AI987" s="491" t="e">
        <f ca="1">IF(V987="PARTNER.com",AH987,IF(AND(V987=V986,W987=W986),(1-AVERAGE(AD986,AD987))*AH987,(1-AVERAGE(AD987,VLOOKUP(_xlfn.CONCAT(U987,V987,W987,X987,M_BRAND_FC!$F$6),FC_DATA!$R$2:$AD$5000,MATCH("DISCOUNT_%_M",FC_DATA!$R$1:$AD$1,0),FALSE)))*AH987))</f>
        <v>#N/A</v>
      </c>
      <c r="AJ987" s="412" t="str">
        <f t="shared" ca="1" si="378"/>
        <v/>
      </c>
      <c r="AK987" s="413" t="str">
        <f>IFERROR(AE987/(Q_BRAND_FC!$T$24+1),"")</f>
        <v/>
      </c>
      <c r="AL987" s="88" t="str">
        <f t="shared" ca="1" si="379"/>
        <v/>
      </c>
      <c r="AM987" s="414" t="str">
        <f t="shared" ca="1" si="380"/>
        <v/>
      </c>
      <c r="AN987" s="58">
        <f>IFERROR(IF($V987="BRAND.com",HLOOKUP($X987&amp;$Z987,NWC_FC_NOOS!$C$4:$Q$23,MATCH(W987,NWC_FC_NOOS!$B$4:$B$23,0),FALSE),0),0)</f>
        <v>0</v>
      </c>
      <c r="AO987" s="57">
        <f>IFERROR(IF($V987="BRAND.com",HLOOKUP($X987&amp;$Z987,NWC_FC_NOOS!$T$4:$AH$23,MATCH(W987,NWC_FC_NOOS!$S$4:$S$23,0),FALSE),0),0)</f>
        <v>0</v>
      </c>
      <c r="AP987" s="57">
        <f>IFERROR(IF($V987="BRAND.com",HLOOKUP($X987&amp;$Z987,NWC_FC_NOOS!$C$50:$U$69,MATCH(W987,NWC_FC_NOOS!$B$50:$B$69,0),FALSE),0),0)</f>
        <v>0</v>
      </c>
      <c r="AQ987" s="58">
        <f>IFERROR(IF($V987="BRAND.com",HLOOKUP($X987&amp;$Z987,'NWC_FC_NON-NOOS'!$C$4:$Q$23,MATCH(W987,'NWC_FC_NON-NOOS'!$B$4:$B$23,0),FALSE),0),0)</f>
        <v>0</v>
      </c>
      <c r="AR987" s="57">
        <f>IFERROR(IF($V987="BRAND.com",HLOOKUP($X987&amp;$Z987,'NWC_FC_NON-NOOS'!$T$4:$AH$23,MATCH(W987,'NWC_FC_NON-NOOS'!$S$4:$S$23,0),FALSE),0),0)</f>
        <v>0</v>
      </c>
      <c r="AS987" s="57">
        <f>IFERROR(IF($V987="BRAND.com",HLOOKUP($X987&amp;$Z987,'NWC_FC_NON-NOOS'!$C$50:$U$69,MATCH(W987,'NWC_FC_NON-NOOS'!$B$50:$B$69,0),FALSE),0),0)</f>
        <v>0</v>
      </c>
      <c r="AT987" s="57">
        <f t="shared" si="382"/>
        <v>0</v>
      </c>
      <c r="AU987" s="57">
        <f t="shared" si="383"/>
        <v>0</v>
      </c>
      <c r="AV987" s="58">
        <f>IFERROR(IF($V987="BRAND.com",HLOOKUP($X987&amp;$Z987,PLANNING_FC!$BB$27:$BP$46,MATCH($W987,PLANNING_FC!$BA$27:$BA$46,0),FALSE),0),0)</f>
        <v>0</v>
      </c>
      <c r="AW987" s="58">
        <f>IFERROR(IF($V987="BRAND.com",HLOOKUP($X987&amp;$Z987,PLANNING_FC!$BB$4:$BP$23,MATCH($W987,PLANNING_FC!$BA$4:$BA$23,0),FALSE),0),0)</f>
        <v>0</v>
      </c>
      <c r="AX987" s="58">
        <f>IFERROR(IF($V987="BRAND.com",HLOOKUP($X987&amp;$Z987,PLANNING_FC!$T$27:$AH$46,MATCH($W987,PLANNING_FC!$B$27:$B$46,0),FALSE),0),0)</f>
        <v>0</v>
      </c>
      <c r="AY987" s="58">
        <f>IFERROR(IF($V987="BRAND.com",HLOOKUP($X987&amp;$Z987,PLANNING_FC!$T$4:$AH$23,MATCH($W987,PLANNING_FC!$B$4:$B$23,0),FALSE),0),0)</f>
        <v>0</v>
      </c>
      <c r="AZ987" s="58">
        <f>IFERROR(IF($V987="BRAND.com",HLOOKUP($X987&amp;$Z987,PLANNING_FC!$DA$27:$DO$46,MATCH($W987,PLANNING_FC!$CZ$27:$CZ$46,0),FALSE),0),0)</f>
        <v>0</v>
      </c>
      <c r="BA987" s="58">
        <f>IFERROR(IF($V987="BRAND.com",HLOOKUP($X987&amp;$Z987,PLANNING_FC!$DA$4:$DO$23,MATCH($W987,PLANNING_FC!$CZ$4:$CZ$23,0),FALSE),0),0)</f>
        <v>0</v>
      </c>
      <c r="BB987" s="883" t="str">
        <f>IF(V987="BRAND.com",IFERROR(HLOOKUP(X987&amp;Z987,PLANNING_FC!$AK$4:$AY$23,MATCH(W987,PLANNING_FC!$AJ$4:$AJ$23,0),FALSE)*1000,""),"")</f>
        <v/>
      </c>
      <c r="BC987" s="883" t="str">
        <f>IF(V987="BRAND.com",IFERROR(HLOOKUP(X987&amp;Z987,PLANNING_FC!$AK$27:$AY$46,MATCH(W987,PLANNING_FC!$AJ$27:$AJ$46,0),FALSE)*1000,""),"")</f>
        <v/>
      </c>
    </row>
    <row r="988" spans="14:55" x14ac:dyDescent="0.25">
      <c r="N988" s="56">
        <f t="shared" si="364"/>
        <v>0</v>
      </c>
      <c r="O988" s="57">
        <f t="shared" si="365"/>
        <v>0</v>
      </c>
      <c r="P988" s="57">
        <f ca="1">IFERROR(IF(ISBLANK(H988),SUMIFS($AC:$AC,$V:$V,V988,$W:$W,W988,$X:$X,X988,$Y:$Y,Y988)*J988/(1-J988)*VLOOKUP(_xlfn.CONCAT(C988,D988,E988,TIME!$M$12,Z988),HIS_SALES!$B$2:$W$4859,20,FALSE),AC988*J988/(1-J988)),0)</f>
        <v>0</v>
      </c>
      <c r="Q988" s="541" t="str">
        <f t="shared" si="366"/>
        <v/>
      </c>
      <c r="R988" s="346" t="str">
        <f t="shared" si="367"/>
        <v>00000</v>
      </c>
      <c r="S988" s="344">
        <f t="shared" si="368"/>
        <v>0</v>
      </c>
      <c r="T988" s="345" t="str">
        <f t="shared" si="381"/>
        <v>000</v>
      </c>
      <c r="U988" s="345">
        <f t="shared" si="369"/>
        <v>0</v>
      </c>
      <c r="V988" s="345">
        <f t="shared" si="370"/>
        <v>0</v>
      </c>
      <c r="W988" s="345">
        <f t="shared" si="371"/>
        <v>0</v>
      </c>
      <c r="X988" s="345">
        <f t="shared" si="372"/>
        <v>0</v>
      </c>
      <c r="Y988" s="345">
        <f t="shared" si="373"/>
        <v>0</v>
      </c>
      <c r="Z988" s="345">
        <f>IF(Q988&lt;&gt;"",VLOOKUP(Y988,TIME!$R$21:$V$24,MATCH(FC_DATA!Q988,TIME!$R$20:$V$20,0),FALSE),H988)</f>
        <v>0</v>
      </c>
      <c r="AA988" s="345" t="str">
        <f>IFERROR(VLOOKUP(X988&amp;Z988,TIME!$A$12:$D$71,4,FALSE),"")</f>
        <v/>
      </c>
      <c r="AB988" s="592">
        <f t="shared" ca="1" si="374"/>
        <v>0</v>
      </c>
      <c r="AC988" s="593" t="e">
        <f ca="1">IF(ISBLANK(H988)=FALSE,IF(D988="BRAND.com",I988,IF(ISNA(VLOOKUP(_xlfn.CONCAT(X988,Z988),TIME!$M$40:$M$42,1,FALSE)),I988,VLOOKUP(_xlfn.CONCAT(D988,G988,H988),M_BUSAREA_FC!$AF$5:$AJ$10,5,FALSE)*HLOOKUP(_xlfn.CONCAT(F988,H988),ST_OVERVIEW!$G$99:$I$130,MATCH(_xlfn.CONCAT(D988,E988),ST_OVERVIEW!$F$99:$F$130,0),FALSE))),IF(D988="BRAND.com",VLOOKUP(_xlfn.CONCAT(C988,D988,E988,TIME!$F$1,Z988),HIS_SALES!$B$2:$V$4859,19,FALSE)*I988,VLOOKUP(_xlfn.CONCAT(D988,F988,G988),Q_BUSAREA_FC!$AE$5:$AI$12,5,FALSE)*HLOOKUP(_xlfn.CONCAT(FC_DATA!F988,FC_DATA!G988),LT_OVERVIEW!$I$99:$M$130,MATCH(_xlfn.CONCAT(D988,FC_DATA!E988),LT_OVERVIEW!$H$99:$H$130,0),FALSE)*IFERROR(VLOOKUP(_xlfn.CONCAT(C988,D988,E988,TIME!$F$1,Z988),HIS_SALES!$B$2:$V$4859,19,FALSE),0)))</f>
        <v>#N/A</v>
      </c>
      <c r="AD988" s="341">
        <f t="shared" ca="1" si="375"/>
        <v>0</v>
      </c>
      <c r="AE988" s="363" t="str">
        <f t="shared" si="376"/>
        <v/>
      </c>
      <c r="AF988" s="342" t="str">
        <f t="shared" si="377"/>
        <v/>
      </c>
      <c r="AG988" s="411" t="e">
        <f ca="1">VLOOKUP(_xlfn.CONCAT(U988,V988,W988,VLOOKUP(X988&amp;Y988,TIME!$L$27:$O$34,4,FALSE),Y988),HIS_SALES!$A$2:$R$5093,18,FALSE)</f>
        <v>#N/A</v>
      </c>
      <c r="AH988" s="412" t="e">
        <f ca="1">IFERROR(IF(AND(V988=V987,W988=W987),0.5*(AB988+AB987)*AG988,(VLOOKUP(_xlfn.CONCAT(U988,V988,W988,X988,VLOOKUP(Z988,TIME!$S$28:$T$39,2,FALSE)),FC_DATA!$R$2:$AB$5000,MATCH("GS_I_M",FC_DATA!$R$1:$AB$1,0),FALSE)+FC_DATA!AB988)*0.5*FC_DATA!AG988),NA())</f>
        <v>#N/A</v>
      </c>
      <c r="AI988" s="491" t="e">
        <f ca="1">IF(V988="PARTNER.com",AH988,IF(AND(V988=V987,W988=W987),(1-AVERAGE(AD987,AD988))*AH988,(1-AVERAGE(AD988,VLOOKUP(_xlfn.CONCAT(U988,V988,W988,X988,M_BRAND_FC!$F$6),FC_DATA!$R$2:$AD$5000,MATCH("DISCOUNT_%_M",FC_DATA!$R$1:$AD$1,0),FALSE)))*AH988))</f>
        <v>#N/A</v>
      </c>
      <c r="AJ988" s="412" t="str">
        <f t="shared" ca="1" si="378"/>
        <v/>
      </c>
      <c r="AK988" s="413" t="str">
        <f>IFERROR(AE988/(Q_BRAND_FC!$T$24+1),"")</f>
        <v/>
      </c>
      <c r="AL988" s="88" t="str">
        <f t="shared" ca="1" si="379"/>
        <v/>
      </c>
      <c r="AM988" s="414" t="str">
        <f t="shared" ca="1" si="380"/>
        <v/>
      </c>
      <c r="AN988" s="58">
        <f>IFERROR(IF($V988="BRAND.com",HLOOKUP($X988&amp;$Z988,NWC_FC_NOOS!$C$4:$Q$23,MATCH(W988,NWC_FC_NOOS!$B$4:$B$23,0),FALSE),0),0)</f>
        <v>0</v>
      </c>
      <c r="AO988" s="57">
        <f>IFERROR(IF($V988="BRAND.com",HLOOKUP($X988&amp;$Z988,NWC_FC_NOOS!$T$4:$AH$23,MATCH(W988,NWC_FC_NOOS!$S$4:$S$23,0),FALSE),0),0)</f>
        <v>0</v>
      </c>
      <c r="AP988" s="57">
        <f>IFERROR(IF($V988="BRAND.com",HLOOKUP($X988&amp;$Z988,NWC_FC_NOOS!$C$50:$U$69,MATCH(W988,NWC_FC_NOOS!$B$50:$B$69,0),FALSE),0),0)</f>
        <v>0</v>
      </c>
      <c r="AQ988" s="58">
        <f>IFERROR(IF($V988="BRAND.com",HLOOKUP($X988&amp;$Z988,'NWC_FC_NON-NOOS'!$C$4:$Q$23,MATCH(W988,'NWC_FC_NON-NOOS'!$B$4:$B$23,0),FALSE),0),0)</f>
        <v>0</v>
      </c>
      <c r="AR988" s="57">
        <f>IFERROR(IF($V988="BRAND.com",HLOOKUP($X988&amp;$Z988,'NWC_FC_NON-NOOS'!$T$4:$AH$23,MATCH(W988,'NWC_FC_NON-NOOS'!$S$4:$S$23,0),FALSE),0),0)</f>
        <v>0</v>
      </c>
      <c r="AS988" s="57">
        <f>IFERROR(IF($V988="BRAND.com",HLOOKUP($X988&amp;$Z988,'NWC_FC_NON-NOOS'!$C$50:$U$69,MATCH(W988,'NWC_FC_NON-NOOS'!$B$50:$B$69,0),FALSE),0),0)</f>
        <v>0</v>
      </c>
      <c r="AT988" s="57">
        <f t="shared" si="382"/>
        <v>0</v>
      </c>
      <c r="AU988" s="57">
        <f t="shared" si="383"/>
        <v>0</v>
      </c>
      <c r="AV988" s="58">
        <f>IFERROR(IF($V988="BRAND.com",HLOOKUP($X988&amp;$Z988,PLANNING_FC!$BB$27:$BP$46,MATCH($W988,PLANNING_FC!$BA$27:$BA$46,0),FALSE),0),0)</f>
        <v>0</v>
      </c>
      <c r="AW988" s="58">
        <f>IFERROR(IF($V988="BRAND.com",HLOOKUP($X988&amp;$Z988,PLANNING_FC!$BB$4:$BP$23,MATCH($W988,PLANNING_FC!$BA$4:$BA$23,0),FALSE),0),0)</f>
        <v>0</v>
      </c>
      <c r="AX988" s="58">
        <f>IFERROR(IF($V988="BRAND.com",HLOOKUP($X988&amp;$Z988,PLANNING_FC!$T$27:$AH$46,MATCH($W988,PLANNING_FC!$B$27:$B$46,0),FALSE),0),0)</f>
        <v>0</v>
      </c>
      <c r="AY988" s="58">
        <f>IFERROR(IF($V988="BRAND.com",HLOOKUP($X988&amp;$Z988,PLANNING_FC!$T$4:$AH$23,MATCH($W988,PLANNING_FC!$B$4:$B$23,0),FALSE),0),0)</f>
        <v>0</v>
      </c>
      <c r="AZ988" s="58">
        <f>IFERROR(IF($V988="BRAND.com",HLOOKUP($X988&amp;$Z988,PLANNING_FC!$DA$27:$DO$46,MATCH($W988,PLANNING_FC!$CZ$27:$CZ$46,0),FALSE),0),0)</f>
        <v>0</v>
      </c>
      <c r="BA988" s="58">
        <f>IFERROR(IF($V988="BRAND.com",HLOOKUP($X988&amp;$Z988,PLANNING_FC!$DA$4:$DO$23,MATCH($W988,PLANNING_FC!$CZ$4:$CZ$23,0),FALSE),0),0)</f>
        <v>0</v>
      </c>
      <c r="BB988" s="883" t="str">
        <f>IF(V988="BRAND.com",IFERROR(HLOOKUP(X988&amp;Z988,PLANNING_FC!$AK$4:$AY$23,MATCH(W988,PLANNING_FC!$AJ$4:$AJ$23,0),FALSE)*1000,""),"")</f>
        <v/>
      </c>
      <c r="BC988" s="883" t="str">
        <f>IF(V988="BRAND.com",IFERROR(HLOOKUP(X988&amp;Z988,PLANNING_FC!$AK$27:$AY$46,MATCH(W988,PLANNING_FC!$AJ$27:$AJ$46,0),FALSE)*1000,""),"")</f>
        <v/>
      </c>
    </row>
    <row r="989" spans="14:55" x14ac:dyDescent="0.25">
      <c r="N989" s="56">
        <f t="shared" si="364"/>
        <v>0</v>
      </c>
      <c r="O989" s="57">
        <f t="shared" si="365"/>
        <v>0</v>
      </c>
      <c r="P989" s="57">
        <f ca="1">IFERROR(IF(ISBLANK(H989),SUMIFS($AC:$AC,$V:$V,V989,$W:$W,W989,$X:$X,X989,$Y:$Y,Y989)*J989/(1-J989)*VLOOKUP(_xlfn.CONCAT(C989,D989,E989,TIME!$M$12,Z989),HIS_SALES!$B$2:$W$4859,20,FALSE),AC989*J989/(1-J989)),0)</f>
        <v>0</v>
      </c>
      <c r="Q989" s="541" t="str">
        <f t="shared" si="366"/>
        <v/>
      </c>
      <c r="R989" s="346" t="str">
        <f t="shared" si="367"/>
        <v>00000</v>
      </c>
      <c r="S989" s="344">
        <f t="shared" si="368"/>
        <v>0</v>
      </c>
      <c r="T989" s="345" t="str">
        <f t="shared" si="381"/>
        <v>000</v>
      </c>
      <c r="U989" s="345">
        <f t="shared" si="369"/>
        <v>0</v>
      </c>
      <c r="V989" s="345">
        <f t="shared" si="370"/>
        <v>0</v>
      </c>
      <c r="W989" s="345">
        <f t="shared" si="371"/>
        <v>0</v>
      </c>
      <c r="X989" s="345">
        <f t="shared" si="372"/>
        <v>0</v>
      </c>
      <c r="Y989" s="345">
        <f t="shared" si="373"/>
        <v>0</v>
      </c>
      <c r="Z989" s="345">
        <f>IF(Q989&lt;&gt;"",VLOOKUP(Y989,TIME!$R$21:$V$24,MATCH(FC_DATA!Q989,TIME!$R$20:$V$20,0),FALSE),H989)</f>
        <v>0</v>
      </c>
      <c r="AA989" s="345" t="str">
        <f>IFERROR(VLOOKUP(X989&amp;Z989,TIME!$A$12:$D$71,4,FALSE),"")</f>
        <v/>
      </c>
      <c r="AB989" s="592">
        <f t="shared" ca="1" si="374"/>
        <v>0</v>
      </c>
      <c r="AC989" s="593" t="e">
        <f ca="1">IF(ISBLANK(H989)=FALSE,IF(D989="BRAND.com",I989,IF(ISNA(VLOOKUP(_xlfn.CONCAT(X989,Z989),TIME!$M$40:$M$42,1,FALSE)),I989,VLOOKUP(_xlfn.CONCAT(D989,G989,H989),M_BUSAREA_FC!$AF$5:$AJ$10,5,FALSE)*HLOOKUP(_xlfn.CONCAT(F989,H989),ST_OVERVIEW!$G$99:$I$130,MATCH(_xlfn.CONCAT(D989,E989),ST_OVERVIEW!$F$99:$F$130,0),FALSE))),IF(D989="BRAND.com",VLOOKUP(_xlfn.CONCAT(C989,D989,E989,TIME!$F$1,Z989),HIS_SALES!$B$2:$V$4859,19,FALSE)*I989,VLOOKUP(_xlfn.CONCAT(D989,F989,G989),Q_BUSAREA_FC!$AE$5:$AI$12,5,FALSE)*HLOOKUP(_xlfn.CONCAT(FC_DATA!F989,FC_DATA!G989),LT_OVERVIEW!$I$99:$M$130,MATCH(_xlfn.CONCAT(D989,FC_DATA!E989),LT_OVERVIEW!$H$99:$H$130,0),FALSE)*IFERROR(VLOOKUP(_xlfn.CONCAT(C989,D989,E989,TIME!$F$1,Z989),HIS_SALES!$B$2:$V$4859,19,FALSE),0)))</f>
        <v>#N/A</v>
      </c>
      <c r="AD989" s="341">
        <f t="shared" ca="1" si="375"/>
        <v>0</v>
      </c>
      <c r="AE989" s="363" t="str">
        <f t="shared" si="376"/>
        <v/>
      </c>
      <c r="AF989" s="342" t="str">
        <f t="shared" si="377"/>
        <v/>
      </c>
      <c r="AG989" s="411" t="e">
        <f ca="1">VLOOKUP(_xlfn.CONCAT(U989,V989,W989,VLOOKUP(X989&amp;Y989,TIME!$L$27:$O$34,4,FALSE),Y989),HIS_SALES!$A$2:$R$5093,18,FALSE)</f>
        <v>#N/A</v>
      </c>
      <c r="AH989" s="412" t="e">
        <f ca="1">IFERROR(IF(AND(V989=V988,W989=W988),0.5*(AB989+AB988)*AG989,(VLOOKUP(_xlfn.CONCAT(U989,V989,W989,X989,VLOOKUP(Z989,TIME!$S$28:$T$39,2,FALSE)),FC_DATA!$R$2:$AB$5000,MATCH("GS_I_M",FC_DATA!$R$1:$AB$1,0),FALSE)+FC_DATA!AB989)*0.5*FC_DATA!AG989),NA())</f>
        <v>#N/A</v>
      </c>
      <c r="AI989" s="491" t="e">
        <f ca="1">IF(V989="PARTNER.com",AH989,IF(AND(V989=V988,W989=W988),(1-AVERAGE(AD988,AD989))*AH989,(1-AVERAGE(AD989,VLOOKUP(_xlfn.CONCAT(U989,V989,W989,X989,M_BRAND_FC!$F$6),FC_DATA!$R$2:$AD$5000,MATCH("DISCOUNT_%_M",FC_DATA!$R$1:$AD$1,0),FALSE)))*AH989))</f>
        <v>#N/A</v>
      </c>
      <c r="AJ989" s="412" t="str">
        <f t="shared" ca="1" si="378"/>
        <v/>
      </c>
      <c r="AK989" s="413" t="str">
        <f>IFERROR(AE989/(Q_BRAND_FC!$T$24+1),"")</f>
        <v/>
      </c>
      <c r="AL989" s="88" t="str">
        <f t="shared" ca="1" si="379"/>
        <v/>
      </c>
      <c r="AM989" s="414" t="str">
        <f t="shared" ca="1" si="380"/>
        <v/>
      </c>
      <c r="AN989" s="58">
        <f>IFERROR(IF($V989="BRAND.com",HLOOKUP($X989&amp;$Z989,NWC_FC_NOOS!$C$4:$Q$23,MATCH(W989,NWC_FC_NOOS!$B$4:$B$23,0),FALSE),0),0)</f>
        <v>0</v>
      </c>
      <c r="AO989" s="57">
        <f>IFERROR(IF($V989="BRAND.com",HLOOKUP($X989&amp;$Z989,NWC_FC_NOOS!$T$4:$AH$23,MATCH(W989,NWC_FC_NOOS!$S$4:$S$23,0),FALSE),0),0)</f>
        <v>0</v>
      </c>
      <c r="AP989" s="57">
        <f>IFERROR(IF($V989="BRAND.com",HLOOKUP($X989&amp;$Z989,NWC_FC_NOOS!$C$50:$U$69,MATCH(W989,NWC_FC_NOOS!$B$50:$B$69,0),FALSE),0),0)</f>
        <v>0</v>
      </c>
      <c r="AQ989" s="58">
        <f>IFERROR(IF($V989="BRAND.com",HLOOKUP($X989&amp;$Z989,'NWC_FC_NON-NOOS'!$C$4:$Q$23,MATCH(W989,'NWC_FC_NON-NOOS'!$B$4:$B$23,0),FALSE),0),0)</f>
        <v>0</v>
      </c>
      <c r="AR989" s="57">
        <f>IFERROR(IF($V989="BRAND.com",HLOOKUP($X989&amp;$Z989,'NWC_FC_NON-NOOS'!$T$4:$AH$23,MATCH(W989,'NWC_FC_NON-NOOS'!$S$4:$S$23,0),FALSE),0),0)</f>
        <v>0</v>
      </c>
      <c r="AS989" s="57">
        <f>IFERROR(IF($V989="BRAND.com",HLOOKUP($X989&amp;$Z989,'NWC_FC_NON-NOOS'!$C$50:$U$69,MATCH(W989,'NWC_FC_NON-NOOS'!$B$50:$B$69,0),FALSE),0),0)</f>
        <v>0</v>
      </c>
      <c r="AT989" s="57">
        <f t="shared" si="382"/>
        <v>0</v>
      </c>
      <c r="AU989" s="57">
        <f t="shared" si="383"/>
        <v>0</v>
      </c>
      <c r="AV989" s="58">
        <f>IFERROR(IF($V989="BRAND.com",HLOOKUP($X989&amp;$Z989,PLANNING_FC!$BB$27:$BP$46,MATCH($W989,PLANNING_FC!$BA$27:$BA$46,0),FALSE),0),0)</f>
        <v>0</v>
      </c>
      <c r="AW989" s="58">
        <f>IFERROR(IF($V989="BRAND.com",HLOOKUP($X989&amp;$Z989,PLANNING_FC!$BB$4:$BP$23,MATCH($W989,PLANNING_FC!$BA$4:$BA$23,0),FALSE),0),0)</f>
        <v>0</v>
      </c>
      <c r="AX989" s="58">
        <f>IFERROR(IF($V989="BRAND.com",HLOOKUP($X989&amp;$Z989,PLANNING_FC!$T$27:$AH$46,MATCH($W989,PLANNING_FC!$B$27:$B$46,0),FALSE),0),0)</f>
        <v>0</v>
      </c>
      <c r="AY989" s="58">
        <f>IFERROR(IF($V989="BRAND.com",HLOOKUP($X989&amp;$Z989,PLANNING_FC!$T$4:$AH$23,MATCH($W989,PLANNING_FC!$B$4:$B$23,0),FALSE),0),0)</f>
        <v>0</v>
      </c>
      <c r="AZ989" s="58">
        <f>IFERROR(IF($V989="BRAND.com",HLOOKUP($X989&amp;$Z989,PLANNING_FC!$DA$27:$DO$46,MATCH($W989,PLANNING_FC!$CZ$27:$CZ$46,0),FALSE),0),0)</f>
        <v>0</v>
      </c>
      <c r="BA989" s="58">
        <f>IFERROR(IF($V989="BRAND.com",HLOOKUP($X989&amp;$Z989,PLANNING_FC!$DA$4:$DO$23,MATCH($W989,PLANNING_FC!$CZ$4:$CZ$23,0),FALSE),0),0)</f>
        <v>0</v>
      </c>
      <c r="BB989" s="883" t="str">
        <f>IF(V989="BRAND.com",IFERROR(HLOOKUP(X989&amp;Z989,PLANNING_FC!$AK$4:$AY$23,MATCH(W989,PLANNING_FC!$AJ$4:$AJ$23,0),FALSE)*1000,""),"")</f>
        <v/>
      </c>
      <c r="BC989" s="883" t="str">
        <f>IF(V989="BRAND.com",IFERROR(HLOOKUP(X989&amp;Z989,PLANNING_FC!$AK$27:$AY$46,MATCH(W989,PLANNING_FC!$AJ$27:$AJ$46,0),FALSE)*1000,""),"")</f>
        <v/>
      </c>
    </row>
    <row r="990" spans="14:55" x14ac:dyDescent="0.25">
      <c r="N990" s="56">
        <f t="shared" si="364"/>
        <v>0</v>
      </c>
      <c r="O990" s="57">
        <f t="shared" si="365"/>
        <v>0</v>
      </c>
      <c r="P990" s="57">
        <f ca="1">IFERROR(IF(ISBLANK(H990),SUMIFS($AC:$AC,$V:$V,V990,$W:$W,W990,$X:$X,X990,$Y:$Y,Y990)*J990/(1-J990)*VLOOKUP(_xlfn.CONCAT(C990,D990,E990,TIME!$M$12,Z990),HIS_SALES!$B$2:$W$4859,20,FALSE),AC990*J990/(1-J990)),0)</f>
        <v>0</v>
      </c>
      <c r="Q990" s="541" t="str">
        <f t="shared" si="366"/>
        <v/>
      </c>
      <c r="R990" s="346" t="str">
        <f t="shared" si="367"/>
        <v>00000</v>
      </c>
      <c r="S990" s="344">
        <f t="shared" si="368"/>
        <v>0</v>
      </c>
      <c r="T990" s="345" t="str">
        <f t="shared" si="381"/>
        <v>000</v>
      </c>
      <c r="U990" s="345">
        <f t="shared" si="369"/>
        <v>0</v>
      </c>
      <c r="V990" s="345">
        <f t="shared" si="370"/>
        <v>0</v>
      </c>
      <c r="W990" s="345">
        <f t="shared" si="371"/>
        <v>0</v>
      </c>
      <c r="X990" s="345">
        <f t="shared" si="372"/>
        <v>0</v>
      </c>
      <c r="Y990" s="345">
        <f t="shared" si="373"/>
        <v>0</v>
      </c>
      <c r="Z990" s="345">
        <f>IF(Q990&lt;&gt;"",VLOOKUP(Y990,TIME!$R$21:$V$24,MATCH(FC_DATA!Q990,TIME!$R$20:$V$20,0),FALSE),H990)</f>
        <v>0</v>
      </c>
      <c r="AA990" s="345" t="str">
        <f>IFERROR(VLOOKUP(X990&amp;Z990,TIME!$A$12:$D$71,4,FALSE),"")</f>
        <v/>
      </c>
      <c r="AB990" s="592">
        <f t="shared" ca="1" si="374"/>
        <v>0</v>
      </c>
      <c r="AC990" s="593" t="e">
        <f ca="1">IF(ISBLANK(H990)=FALSE,IF(D990="BRAND.com",I990,IF(ISNA(VLOOKUP(_xlfn.CONCAT(X990,Z990),TIME!$M$40:$M$42,1,FALSE)),I990,VLOOKUP(_xlfn.CONCAT(D990,G990,H990),M_BUSAREA_FC!$AF$5:$AJ$10,5,FALSE)*HLOOKUP(_xlfn.CONCAT(F990,H990),ST_OVERVIEW!$G$99:$I$130,MATCH(_xlfn.CONCAT(D990,E990),ST_OVERVIEW!$F$99:$F$130,0),FALSE))),IF(D990="BRAND.com",VLOOKUP(_xlfn.CONCAT(C990,D990,E990,TIME!$F$1,Z990),HIS_SALES!$B$2:$V$4859,19,FALSE)*I990,VLOOKUP(_xlfn.CONCAT(D990,F990,G990),Q_BUSAREA_FC!$AE$5:$AI$12,5,FALSE)*HLOOKUP(_xlfn.CONCAT(FC_DATA!F990,FC_DATA!G990),LT_OVERVIEW!$I$99:$M$130,MATCH(_xlfn.CONCAT(D990,FC_DATA!E990),LT_OVERVIEW!$H$99:$H$130,0),FALSE)*IFERROR(VLOOKUP(_xlfn.CONCAT(C990,D990,E990,TIME!$F$1,Z990),HIS_SALES!$B$2:$V$4859,19,FALSE),0)))</f>
        <v>#N/A</v>
      </c>
      <c r="AD990" s="341">
        <f t="shared" ca="1" si="375"/>
        <v>0</v>
      </c>
      <c r="AE990" s="363" t="str">
        <f t="shared" si="376"/>
        <v/>
      </c>
      <c r="AF990" s="342" t="str">
        <f t="shared" si="377"/>
        <v/>
      </c>
      <c r="AG990" s="411" t="e">
        <f ca="1">VLOOKUP(_xlfn.CONCAT(U990,V990,W990,VLOOKUP(X990&amp;Y990,TIME!$L$27:$O$34,4,FALSE),Y990),HIS_SALES!$A$2:$R$5093,18,FALSE)</f>
        <v>#N/A</v>
      </c>
      <c r="AH990" s="412" t="e">
        <f ca="1">IFERROR(IF(AND(V990=V989,W990=W989),0.5*(AB990+AB989)*AG990,(VLOOKUP(_xlfn.CONCAT(U990,V990,W990,X990,VLOOKUP(Z990,TIME!$S$28:$T$39,2,FALSE)),FC_DATA!$R$2:$AB$5000,MATCH("GS_I_M",FC_DATA!$R$1:$AB$1,0),FALSE)+FC_DATA!AB990)*0.5*FC_DATA!AG990),NA())</f>
        <v>#N/A</v>
      </c>
      <c r="AI990" s="491" t="e">
        <f ca="1">IF(V990="PARTNER.com",AH990,IF(AND(V990=V989,W990=W989),(1-AVERAGE(AD989,AD990))*AH990,(1-AVERAGE(AD990,VLOOKUP(_xlfn.CONCAT(U990,V990,W990,X990,M_BRAND_FC!$F$6),FC_DATA!$R$2:$AD$5000,MATCH("DISCOUNT_%_M",FC_DATA!$R$1:$AD$1,0),FALSE)))*AH990))</f>
        <v>#N/A</v>
      </c>
      <c r="AJ990" s="412" t="str">
        <f t="shared" ca="1" si="378"/>
        <v/>
      </c>
      <c r="AK990" s="413" t="str">
        <f>IFERROR(AE990/(Q_BRAND_FC!$T$24+1),"")</f>
        <v/>
      </c>
      <c r="AL990" s="88" t="str">
        <f t="shared" ca="1" si="379"/>
        <v/>
      </c>
      <c r="AM990" s="414" t="str">
        <f t="shared" ca="1" si="380"/>
        <v/>
      </c>
      <c r="AN990" s="58">
        <f>IFERROR(IF($V990="BRAND.com",HLOOKUP($X990&amp;$Z990,NWC_FC_NOOS!$C$4:$Q$23,MATCH(W990,NWC_FC_NOOS!$B$4:$B$23,0),FALSE),0),0)</f>
        <v>0</v>
      </c>
      <c r="AO990" s="57">
        <f>IFERROR(IF($V990="BRAND.com",HLOOKUP($X990&amp;$Z990,NWC_FC_NOOS!$T$4:$AH$23,MATCH(W990,NWC_FC_NOOS!$S$4:$S$23,0),FALSE),0),0)</f>
        <v>0</v>
      </c>
      <c r="AP990" s="57">
        <f>IFERROR(IF($V990="BRAND.com",HLOOKUP($X990&amp;$Z990,NWC_FC_NOOS!$C$50:$U$69,MATCH(W990,NWC_FC_NOOS!$B$50:$B$69,0),FALSE),0),0)</f>
        <v>0</v>
      </c>
      <c r="AQ990" s="58">
        <f>IFERROR(IF($V990="BRAND.com",HLOOKUP($X990&amp;$Z990,'NWC_FC_NON-NOOS'!$C$4:$Q$23,MATCH(W990,'NWC_FC_NON-NOOS'!$B$4:$B$23,0),FALSE),0),0)</f>
        <v>0</v>
      </c>
      <c r="AR990" s="57">
        <f>IFERROR(IF($V990="BRAND.com",HLOOKUP($X990&amp;$Z990,'NWC_FC_NON-NOOS'!$T$4:$AH$23,MATCH(W990,'NWC_FC_NON-NOOS'!$S$4:$S$23,0),FALSE),0),0)</f>
        <v>0</v>
      </c>
      <c r="AS990" s="57">
        <f>IFERROR(IF($V990="BRAND.com",HLOOKUP($X990&amp;$Z990,'NWC_FC_NON-NOOS'!$C$50:$U$69,MATCH(W990,'NWC_FC_NON-NOOS'!$B$50:$B$69,0),FALSE),0),0)</f>
        <v>0</v>
      </c>
      <c r="AT990" s="57">
        <f t="shared" si="382"/>
        <v>0</v>
      </c>
      <c r="AU990" s="57">
        <f t="shared" si="383"/>
        <v>0</v>
      </c>
      <c r="AV990" s="58">
        <f>IFERROR(IF($V990="BRAND.com",HLOOKUP($X990&amp;$Z990,PLANNING_FC!$BB$27:$BP$46,MATCH($W990,PLANNING_FC!$BA$27:$BA$46,0),FALSE),0),0)</f>
        <v>0</v>
      </c>
      <c r="AW990" s="58">
        <f>IFERROR(IF($V990="BRAND.com",HLOOKUP($X990&amp;$Z990,PLANNING_FC!$BB$4:$BP$23,MATCH($W990,PLANNING_FC!$BA$4:$BA$23,0),FALSE),0),0)</f>
        <v>0</v>
      </c>
      <c r="AX990" s="58">
        <f>IFERROR(IF($V990="BRAND.com",HLOOKUP($X990&amp;$Z990,PLANNING_FC!$T$27:$AH$46,MATCH($W990,PLANNING_FC!$B$27:$B$46,0),FALSE),0),0)</f>
        <v>0</v>
      </c>
      <c r="AY990" s="58">
        <f>IFERROR(IF($V990="BRAND.com",HLOOKUP($X990&amp;$Z990,PLANNING_FC!$T$4:$AH$23,MATCH($W990,PLANNING_FC!$B$4:$B$23,0),FALSE),0),0)</f>
        <v>0</v>
      </c>
      <c r="AZ990" s="58">
        <f>IFERROR(IF($V990="BRAND.com",HLOOKUP($X990&amp;$Z990,PLANNING_FC!$DA$27:$DO$46,MATCH($W990,PLANNING_FC!$CZ$27:$CZ$46,0),FALSE),0),0)</f>
        <v>0</v>
      </c>
      <c r="BA990" s="58">
        <f>IFERROR(IF($V990="BRAND.com",HLOOKUP($X990&amp;$Z990,PLANNING_FC!$DA$4:$DO$23,MATCH($W990,PLANNING_FC!$CZ$4:$CZ$23,0),FALSE),0),0)</f>
        <v>0</v>
      </c>
      <c r="BB990" s="883" t="str">
        <f>IF(V990="BRAND.com",IFERROR(HLOOKUP(X990&amp;Z990,PLANNING_FC!$AK$4:$AY$23,MATCH(W990,PLANNING_FC!$AJ$4:$AJ$23,0),FALSE)*1000,""),"")</f>
        <v/>
      </c>
      <c r="BC990" s="883" t="str">
        <f>IF(V990="BRAND.com",IFERROR(HLOOKUP(X990&amp;Z990,PLANNING_FC!$AK$27:$AY$46,MATCH(W990,PLANNING_FC!$AJ$27:$AJ$46,0),FALSE)*1000,""),"")</f>
        <v/>
      </c>
    </row>
    <row r="991" spans="14:55" x14ac:dyDescent="0.25">
      <c r="N991" s="56">
        <f t="shared" si="364"/>
        <v>0</v>
      </c>
      <c r="O991" s="57">
        <f t="shared" si="365"/>
        <v>0</v>
      </c>
      <c r="P991" s="57">
        <f ca="1">IFERROR(IF(ISBLANK(H991),SUMIFS($AC:$AC,$V:$V,V991,$W:$W,W991,$X:$X,X991,$Y:$Y,Y991)*J991/(1-J991)*VLOOKUP(_xlfn.CONCAT(C991,D991,E991,TIME!$M$12,Z991),HIS_SALES!$B$2:$W$4859,20,FALSE),AC991*J991/(1-J991)),0)</f>
        <v>0</v>
      </c>
      <c r="Q991" s="541" t="str">
        <f t="shared" si="366"/>
        <v/>
      </c>
      <c r="R991" s="346" t="str">
        <f t="shared" si="367"/>
        <v>00000</v>
      </c>
      <c r="S991" s="344">
        <f t="shared" si="368"/>
        <v>0</v>
      </c>
      <c r="T991" s="345" t="str">
        <f t="shared" si="381"/>
        <v>000</v>
      </c>
      <c r="U991" s="345">
        <f t="shared" si="369"/>
        <v>0</v>
      </c>
      <c r="V991" s="345">
        <f t="shared" si="370"/>
        <v>0</v>
      </c>
      <c r="W991" s="345">
        <f t="shared" si="371"/>
        <v>0</v>
      </c>
      <c r="X991" s="345">
        <f t="shared" si="372"/>
        <v>0</v>
      </c>
      <c r="Y991" s="345">
        <f t="shared" si="373"/>
        <v>0</v>
      </c>
      <c r="Z991" s="345">
        <f>IF(Q991&lt;&gt;"",VLOOKUP(Y991,TIME!$R$21:$V$24,MATCH(FC_DATA!Q991,TIME!$R$20:$V$20,0),FALSE),H991)</f>
        <v>0</v>
      </c>
      <c r="AA991" s="345" t="str">
        <f>IFERROR(VLOOKUP(X991&amp;Z991,TIME!$A$12:$D$71,4,FALSE),"")</f>
        <v/>
      </c>
      <c r="AB991" s="592">
        <f t="shared" ca="1" si="374"/>
        <v>0</v>
      </c>
      <c r="AC991" s="593" t="e">
        <f ca="1">IF(ISBLANK(H991)=FALSE,IF(D991="BRAND.com",I991,IF(ISNA(VLOOKUP(_xlfn.CONCAT(X991,Z991),TIME!$M$40:$M$42,1,FALSE)),I991,VLOOKUP(_xlfn.CONCAT(D991,G991,H991),M_BUSAREA_FC!$AF$5:$AJ$10,5,FALSE)*HLOOKUP(_xlfn.CONCAT(F991,H991),ST_OVERVIEW!$G$99:$I$130,MATCH(_xlfn.CONCAT(D991,E991),ST_OVERVIEW!$F$99:$F$130,0),FALSE))),IF(D991="BRAND.com",VLOOKUP(_xlfn.CONCAT(C991,D991,E991,TIME!$F$1,Z991),HIS_SALES!$B$2:$V$4859,19,FALSE)*I991,VLOOKUP(_xlfn.CONCAT(D991,F991,G991),Q_BUSAREA_FC!$AE$5:$AI$12,5,FALSE)*HLOOKUP(_xlfn.CONCAT(FC_DATA!F991,FC_DATA!G991),LT_OVERVIEW!$I$99:$M$130,MATCH(_xlfn.CONCAT(D991,FC_DATA!E991),LT_OVERVIEW!$H$99:$H$130,0),FALSE)*IFERROR(VLOOKUP(_xlfn.CONCAT(C991,D991,E991,TIME!$F$1,Z991),HIS_SALES!$B$2:$V$4859,19,FALSE),0)))</f>
        <v>#N/A</v>
      </c>
      <c r="AD991" s="341">
        <f t="shared" ca="1" si="375"/>
        <v>0</v>
      </c>
      <c r="AE991" s="363" t="str">
        <f t="shared" si="376"/>
        <v/>
      </c>
      <c r="AF991" s="342" t="str">
        <f t="shared" si="377"/>
        <v/>
      </c>
      <c r="AG991" s="411" t="e">
        <f ca="1">VLOOKUP(_xlfn.CONCAT(U991,V991,W991,VLOOKUP(X991&amp;Y991,TIME!$L$27:$O$34,4,FALSE),Y991),HIS_SALES!$A$2:$R$5093,18,FALSE)</f>
        <v>#N/A</v>
      </c>
      <c r="AH991" s="412" t="e">
        <f ca="1">IFERROR(IF(AND(V991=V990,W991=W990),0.5*(AB991+AB990)*AG991,(VLOOKUP(_xlfn.CONCAT(U991,V991,W991,X991,VLOOKUP(Z991,TIME!$S$28:$T$39,2,FALSE)),FC_DATA!$R$2:$AB$5000,MATCH("GS_I_M",FC_DATA!$R$1:$AB$1,0),FALSE)+FC_DATA!AB991)*0.5*FC_DATA!AG991),NA())</f>
        <v>#N/A</v>
      </c>
      <c r="AI991" s="491" t="e">
        <f ca="1">IF(V991="PARTNER.com",AH991,IF(AND(V991=V990,W991=W990),(1-AVERAGE(AD990,AD991))*AH991,(1-AVERAGE(AD991,VLOOKUP(_xlfn.CONCAT(U991,V991,W991,X991,M_BRAND_FC!$F$6),FC_DATA!$R$2:$AD$5000,MATCH("DISCOUNT_%_M",FC_DATA!$R$1:$AD$1,0),FALSE)))*AH991))</f>
        <v>#N/A</v>
      </c>
      <c r="AJ991" s="412" t="str">
        <f t="shared" ca="1" si="378"/>
        <v/>
      </c>
      <c r="AK991" s="413" t="str">
        <f>IFERROR(AE991/(Q_BRAND_FC!$T$24+1),"")</f>
        <v/>
      </c>
      <c r="AL991" s="88" t="str">
        <f t="shared" ca="1" si="379"/>
        <v/>
      </c>
      <c r="AM991" s="414" t="str">
        <f t="shared" ca="1" si="380"/>
        <v/>
      </c>
      <c r="AN991" s="58">
        <f>IFERROR(IF($V991="BRAND.com",HLOOKUP($X991&amp;$Z991,NWC_FC_NOOS!$C$4:$Q$23,MATCH(W991,NWC_FC_NOOS!$B$4:$B$23,0),FALSE),0),0)</f>
        <v>0</v>
      </c>
      <c r="AO991" s="57">
        <f>IFERROR(IF($V991="BRAND.com",HLOOKUP($X991&amp;$Z991,NWC_FC_NOOS!$T$4:$AH$23,MATCH(W991,NWC_FC_NOOS!$S$4:$S$23,0),FALSE),0),0)</f>
        <v>0</v>
      </c>
      <c r="AP991" s="57">
        <f>IFERROR(IF($V991="BRAND.com",HLOOKUP($X991&amp;$Z991,NWC_FC_NOOS!$C$50:$U$69,MATCH(W991,NWC_FC_NOOS!$B$50:$B$69,0),FALSE),0),0)</f>
        <v>0</v>
      </c>
      <c r="AQ991" s="58">
        <f>IFERROR(IF($V991="BRAND.com",HLOOKUP($X991&amp;$Z991,'NWC_FC_NON-NOOS'!$C$4:$Q$23,MATCH(W991,'NWC_FC_NON-NOOS'!$B$4:$B$23,0),FALSE),0),0)</f>
        <v>0</v>
      </c>
      <c r="AR991" s="57">
        <f>IFERROR(IF($V991="BRAND.com",HLOOKUP($X991&amp;$Z991,'NWC_FC_NON-NOOS'!$T$4:$AH$23,MATCH(W991,'NWC_FC_NON-NOOS'!$S$4:$S$23,0),FALSE),0),0)</f>
        <v>0</v>
      </c>
      <c r="AS991" s="57">
        <f>IFERROR(IF($V991="BRAND.com",HLOOKUP($X991&amp;$Z991,'NWC_FC_NON-NOOS'!$C$50:$U$69,MATCH(W991,'NWC_FC_NON-NOOS'!$B$50:$B$69,0),FALSE),0),0)</f>
        <v>0</v>
      </c>
      <c r="AT991" s="57">
        <f t="shared" si="382"/>
        <v>0</v>
      </c>
      <c r="AU991" s="57">
        <f t="shared" si="383"/>
        <v>0</v>
      </c>
      <c r="AV991" s="58">
        <f>IFERROR(IF($V991="BRAND.com",HLOOKUP($X991&amp;$Z991,PLANNING_FC!$BB$27:$BP$46,MATCH($W991,PLANNING_FC!$BA$27:$BA$46,0),FALSE),0),0)</f>
        <v>0</v>
      </c>
      <c r="AW991" s="58">
        <f>IFERROR(IF($V991="BRAND.com",HLOOKUP($X991&amp;$Z991,PLANNING_FC!$BB$4:$BP$23,MATCH($W991,PLANNING_FC!$BA$4:$BA$23,0),FALSE),0),0)</f>
        <v>0</v>
      </c>
      <c r="AX991" s="58">
        <f>IFERROR(IF($V991="BRAND.com",HLOOKUP($X991&amp;$Z991,PLANNING_FC!$T$27:$AH$46,MATCH($W991,PLANNING_FC!$B$27:$B$46,0),FALSE),0),0)</f>
        <v>0</v>
      </c>
      <c r="AY991" s="58">
        <f>IFERROR(IF($V991="BRAND.com",HLOOKUP($X991&amp;$Z991,PLANNING_FC!$T$4:$AH$23,MATCH($W991,PLANNING_FC!$B$4:$B$23,0),FALSE),0),0)</f>
        <v>0</v>
      </c>
      <c r="AZ991" s="58">
        <f>IFERROR(IF($V991="BRAND.com",HLOOKUP($X991&amp;$Z991,PLANNING_FC!$DA$27:$DO$46,MATCH($W991,PLANNING_FC!$CZ$27:$CZ$46,0),FALSE),0),0)</f>
        <v>0</v>
      </c>
      <c r="BA991" s="58">
        <f>IFERROR(IF($V991="BRAND.com",HLOOKUP($X991&amp;$Z991,PLANNING_FC!$DA$4:$DO$23,MATCH($W991,PLANNING_FC!$CZ$4:$CZ$23,0),FALSE),0),0)</f>
        <v>0</v>
      </c>
      <c r="BB991" s="883" t="str">
        <f>IF(V991="BRAND.com",IFERROR(HLOOKUP(X991&amp;Z991,PLANNING_FC!$AK$4:$AY$23,MATCH(W991,PLANNING_FC!$AJ$4:$AJ$23,0),FALSE)*1000,""),"")</f>
        <v/>
      </c>
      <c r="BC991" s="883" t="str">
        <f>IF(V991="BRAND.com",IFERROR(HLOOKUP(X991&amp;Z991,PLANNING_FC!$AK$27:$AY$46,MATCH(W991,PLANNING_FC!$AJ$27:$AJ$46,0),FALSE)*1000,""),"")</f>
        <v/>
      </c>
    </row>
    <row r="992" spans="14:55" x14ac:dyDescent="0.25">
      <c r="N992" s="56">
        <f t="shared" si="364"/>
        <v>0</v>
      </c>
      <c r="O992" s="57">
        <f t="shared" si="365"/>
        <v>0</v>
      </c>
      <c r="P992" s="57">
        <f ca="1">IFERROR(IF(ISBLANK(H992),SUMIFS($AC:$AC,$V:$V,V992,$W:$W,W992,$X:$X,X992,$Y:$Y,Y992)*J992/(1-J992)*VLOOKUP(_xlfn.CONCAT(C992,D992,E992,TIME!$M$12,Z992),HIS_SALES!$B$2:$W$4859,20,FALSE),AC992*J992/(1-J992)),0)</f>
        <v>0</v>
      </c>
      <c r="Q992" s="541" t="str">
        <f t="shared" si="366"/>
        <v/>
      </c>
      <c r="R992" s="346" t="str">
        <f t="shared" si="367"/>
        <v>00000</v>
      </c>
      <c r="S992" s="344">
        <f t="shared" si="368"/>
        <v>0</v>
      </c>
      <c r="T992" s="345" t="str">
        <f t="shared" si="381"/>
        <v>000</v>
      </c>
      <c r="U992" s="345">
        <f t="shared" si="369"/>
        <v>0</v>
      </c>
      <c r="V992" s="345">
        <f t="shared" si="370"/>
        <v>0</v>
      </c>
      <c r="W992" s="345">
        <f t="shared" si="371"/>
        <v>0</v>
      </c>
      <c r="X992" s="345">
        <f t="shared" si="372"/>
        <v>0</v>
      </c>
      <c r="Y992" s="345">
        <f t="shared" si="373"/>
        <v>0</v>
      </c>
      <c r="Z992" s="345">
        <f>IF(Q992&lt;&gt;"",VLOOKUP(Y992,TIME!$R$21:$V$24,MATCH(FC_DATA!Q992,TIME!$R$20:$V$20,0),FALSE),H992)</f>
        <v>0</v>
      </c>
      <c r="AA992" s="345" t="str">
        <f>IFERROR(VLOOKUP(X992&amp;Z992,TIME!$A$12:$D$71,4,FALSE),"")</f>
        <v/>
      </c>
      <c r="AB992" s="592">
        <f t="shared" ca="1" si="374"/>
        <v>0</v>
      </c>
      <c r="AC992" s="593" t="e">
        <f ca="1">IF(ISBLANK(H992)=FALSE,IF(D992="BRAND.com",I992,IF(ISNA(VLOOKUP(_xlfn.CONCAT(X992,Z992),TIME!$M$40:$M$42,1,FALSE)),I992,VLOOKUP(_xlfn.CONCAT(D992,G992,H992),M_BUSAREA_FC!$AF$5:$AJ$10,5,FALSE)*HLOOKUP(_xlfn.CONCAT(F992,H992),ST_OVERVIEW!$G$99:$I$130,MATCH(_xlfn.CONCAT(D992,E992),ST_OVERVIEW!$F$99:$F$130,0),FALSE))),IF(D992="BRAND.com",VLOOKUP(_xlfn.CONCAT(C992,D992,E992,TIME!$F$1,Z992),HIS_SALES!$B$2:$V$4859,19,FALSE)*I992,VLOOKUP(_xlfn.CONCAT(D992,F992,G992),Q_BUSAREA_FC!$AE$5:$AI$12,5,FALSE)*HLOOKUP(_xlfn.CONCAT(FC_DATA!F992,FC_DATA!G992),LT_OVERVIEW!$I$99:$M$130,MATCH(_xlfn.CONCAT(D992,FC_DATA!E992),LT_OVERVIEW!$H$99:$H$130,0),FALSE)*IFERROR(VLOOKUP(_xlfn.CONCAT(C992,D992,E992,TIME!$F$1,Z992),HIS_SALES!$B$2:$V$4859,19,FALSE),0)))</f>
        <v>#N/A</v>
      </c>
      <c r="AD992" s="341">
        <f t="shared" ca="1" si="375"/>
        <v>0</v>
      </c>
      <c r="AE992" s="363" t="str">
        <f t="shared" si="376"/>
        <v/>
      </c>
      <c r="AF992" s="342" t="str">
        <f t="shared" si="377"/>
        <v/>
      </c>
      <c r="AG992" s="411" t="e">
        <f ca="1">VLOOKUP(_xlfn.CONCAT(U992,V992,W992,VLOOKUP(X992&amp;Y992,TIME!$L$27:$O$34,4,FALSE),Y992),HIS_SALES!$A$2:$R$5093,18,FALSE)</f>
        <v>#N/A</v>
      </c>
      <c r="AH992" s="412" t="e">
        <f ca="1">IFERROR(IF(AND(V992=V991,W992=W991),0.5*(AB992+AB991)*AG992,(VLOOKUP(_xlfn.CONCAT(U992,V992,W992,X992,VLOOKUP(Z992,TIME!$S$28:$T$39,2,FALSE)),FC_DATA!$R$2:$AB$5000,MATCH("GS_I_M",FC_DATA!$R$1:$AB$1,0),FALSE)+FC_DATA!AB992)*0.5*FC_DATA!AG992),NA())</f>
        <v>#N/A</v>
      </c>
      <c r="AI992" s="491" t="e">
        <f ca="1">IF(V992="PARTNER.com",AH992,IF(AND(V992=V991,W992=W991),(1-AVERAGE(AD991,AD992))*AH992,(1-AVERAGE(AD992,VLOOKUP(_xlfn.CONCAT(U992,V992,W992,X992,M_BRAND_FC!$F$6),FC_DATA!$R$2:$AD$5000,MATCH("DISCOUNT_%_M",FC_DATA!$R$1:$AD$1,0),FALSE)))*AH992))</f>
        <v>#N/A</v>
      </c>
      <c r="AJ992" s="412" t="str">
        <f t="shared" ca="1" si="378"/>
        <v/>
      </c>
      <c r="AK992" s="413" t="str">
        <f>IFERROR(AE992/(Q_BRAND_FC!$T$24+1),"")</f>
        <v/>
      </c>
      <c r="AL992" s="88" t="str">
        <f t="shared" ca="1" si="379"/>
        <v/>
      </c>
      <c r="AM992" s="414" t="str">
        <f t="shared" ca="1" si="380"/>
        <v/>
      </c>
      <c r="AN992" s="58">
        <f>IFERROR(IF($V992="BRAND.com",HLOOKUP($X992&amp;$Z992,NWC_FC_NOOS!$C$4:$Q$23,MATCH(W992,NWC_FC_NOOS!$B$4:$B$23,0),FALSE),0),0)</f>
        <v>0</v>
      </c>
      <c r="AO992" s="57">
        <f>IFERROR(IF($V992="BRAND.com",HLOOKUP($X992&amp;$Z992,NWC_FC_NOOS!$T$4:$AH$23,MATCH(W992,NWC_FC_NOOS!$S$4:$S$23,0),FALSE),0),0)</f>
        <v>0</v>
      </c>
      <c r="AP992" s="57">
        <f>IFERROR(IF($V992="BRAND.com",HLOOKUP($X992&amp;$Z992,NWC_FC_NOOS!$C$50:$U$69,MATCH(W992,NWC_FC_NOOS!$B$50:$B$69,0),FALSE),0),0)</f>
        <v>0</v>
      </c>
      <c r="AQ992" s="58">
        <f>IFERROR(IF($V992="BRAND.com",HLOOKUP($X992&amp;$Z992,'NWC_FC_NON-NOOS'!$C$4:$Q$23,MATCH(W992,'NWC_FC_NON-NOOS'!$B$4:$B$23,0),FALSE),0),0)</f>
        <v>0</v>
      </c>
      <c r="AR992" s="57">
        <f>IFERROR(IF($V992="BRAND.com",HLOOKUP($X992&amp;$Z992,'NWC_FC_NON-NOOS'!$T$4:$AH$23,MATCH(W992,'NWC_FC_NON-NOOS'!$S$4:$S$23,0),FALSE),0),0)</f>
        <v>0</v>
      </c>
      <c r="AS992" s="57">
        <f>IFERROR(IF($V992="BRAND.com",HLOOKUP($X992&amp;$Z992,'NWC_FC_NON-NOOS'!$C$50:$U$69,MATCH(W992,'NWC_FC_NON-NOOS'!$B$50:$B$69,0),FALSE),0),0)</f>
        <v>0</v>
      </c>
      <c r="AT992" s="57">
        <f t="shared" si="382"/>
        <v>0</v>
      </c>
      <c r="AU992" s="57">
        <f t="shared" si="383"/>
        <v>0</v>
      </c>
      <c r="AV992" s="58">
        <f>IFERROR(IF($V992="BRAND.com",HLOOKUP($X992&amp;$Z992,PLANNING_FC!$BB$27:$BP$46,MATCH($W992,PLANNING_FC!$BA$27:$BA$46,0),FALSE),0),0)</f>
        <v>0</v>
      </c>
      <c r="AW992" s="58">
        <f>IFERROR(IF($V992="BRAND.com",HLOOKUP($X992&amp;$Z992,PLANNING_FC!$BB$4:$BP$23,MATCH($W992,PLANNING_FC!$BA$4:$BA$23,0),FALSE),0),0)</f>
        <v>0</v>
      </c>
      <c r="AX992" s="58">
        <f>IFERROR(IF($V992="BRAND.com",HLOOKUP($X992&amp;$Z992,PLANNING_FC!$T$27:$AH$46,MATCH($W992,PLANNING_FC!$B$27:$B$46,0),FALSE),0),0)</f>
        <v>0</v>
      </c>
      <c r="AY992" s="58">
        <f>IFERROR(IF($V992="BRAND.com",HLOOKUP($X992&amp;$Z992,PLANNING_FC!$T$4:$AH$23,MATCH($W992,PLANNING_FC!$B$4:$B$23,0),FALSE),0),0)</f>
        <v>0</v>
      </c>
      <c r="AZ992" s="58">
        <f>IFERROR(IF($V992="BRAND.com",HLOOKUP($X992&amp;$Z992,PLANNING_FC!$DA$27:$DO$46,MATCH($W992,PLANNING_FC!$CZ$27:$CZ$46,0),FALSE),0),0)</f>
        <v>0</v>
      </c>
      <c r="BA992" s="58">
        <f>IFERROR(IF($V992="BRAND.com",HLOOKUP($X992&amp;$Z992,PLANNING_FC!$DA$4:$DO$23,MATCH($W992,PLANNING_FC!$CZ$4:$CZ$23,0),FALSE),0),0)</f>
        <v>0</v>
      </c>
      <c r="BB992" s="883" t="str">
        <f>IF(V992="BRAND.com",IFERROR(HLOOKUP(X992&amp;Z992,PLANNING_FC!$AK$4:$AY$23,MATCH(W992,PLANNING_FC!$AJ$4:$AJ$23,0),FALSE)*1000,""),"")</f>
        <v/>
      </c>
      <c r="BC992" s="883" t="str">
        <f>IF(V992="BRAND.com",IFERROR(HLOOKUP(X992&amp;Z992,PLANNING_FC!$AK$27:$AY$46,MATCH(W992,PLANNING_FC!$AJ$27:$AJ$46,0),FALSE)*1000,""),"")</f>
        <v/>
      </c>
    </row>
    <row r="993" spans="14:55" x14ac:dyDescent="0.25">
      <c r="N993" s="56">
        <f t="shared" si="364"/>
        <v>0</v>
      </c>
      <c r="O993" s="57">
        <f t="shared" si="365"/>
        <v>0</v>
      </c>
      <c r="P993" s="57">
        <f ca="1">IFERROR(IF(ISBLANK(H993),SUMIFS($AC:$AC,$V:$V,V993,$W:$W,W993,$X:$X,X993,$Y:$Y,Y993)*J993/(1-J993)*VLOOKUP(_xlfn.CONCAT(C993,D993,E993,TIME!$M$12,Z993),HIS_SALES!$B$2:$W$4859,20,FALSE),AC993*J993/(1-J993)),0)</f>
        <v>0</v>
      </c>
      <c r="Q993" s="541" t="str">
        <f t="shared" si="366"/>
        <v/>
      </c>
      <c r="R993" s="346" t="str">
        <f t="shared" si="367"/>
        <v>00000</v>
      </c>
      <c r="S993" s="344">
        <f t="shared" si="368"/>
        <v>0</v>
      </c>
      <c r="T993" s="345" t="str">
        <f t="shared" si="381"/>
        <v>000</v>
      </c>
      <c r="U993" s="345">
        <f t="shared" si="369"/>
        <v>0</v>
      </c>
      <c r="V993" s="345">
        <f t="shared" si="370"/>
        <v>0</v>
      </c>
      <c r="W993" s="345">
        <f t="shared" si="371"/>
        <v>0</v>
      </c>
      <c r="X993" s="345">
        <f t="shared" si="372"/>
        <v>0</v>
      </c>
      <c r="Y993" s="345">
        <f t="shared" si="373"/>
        <v>0</v>
      </c>
      <c r="Z993" s="345">
        <f>IF(Q993&lt;&gt;"",VLOOKUP(Y993,TIME!$R$21:$V$24,MATCH(FC_DATA!Q993,TIME!$R$20:$V$20,0),FALSE),H993)</f>
        <v>0</v>
      </c>
      <c r="AA993" s="345" t="str">
        <f>IFERROR(VLOOKUP(X993&amp;Z993,TIME!$A$12:$D$71,4,FALSE),"")</f>
        <v/>
      </c>
      <c r="AB993" s="592">
        <f t="shared" ca="1" si="374"/>
        <v>0</v>
      </c>
      <c r="AC993" s="593" t="e">
        <f ca="1">IF(ISBLANK(H993)=FALSE,IF(D993="BRAND.com",I993,IF(ISNA(VLOOKUP(_xlfn.CONCAT(X993,Z993),TIME!$M$40:$M$42,1,FALSE)),I993,VLOOKUP(_xlfn.CONCAT(D993,G993,H993),M_BUSAREA_FC!$AF$5:$AJ$10,5,FALSE)*HLOOKUP(_xlfn.CONCAT(F993,H993),ST_OVERVIEW!$G$99:$I$130,MATCH(_xlfn.CONCAT(D993,E993),ST_OVERVIEW!$F$99:$F$130,0),FALSE))),IF(D993="BRAND.com",VLOOKUP(_xlfn.CONCAT(C993,D993,E993,TIME!$F$1,Z993),HIS_SALES!$B$2:$V$4859,19,FALSE)*I993,VLOOKUP(_xlfn.CONCAT(D993,F993,G993),Q_BUSAREA_FC!$AE$5:$AI$12,5,FALSE)*HLOOKUP(_xlfn.CONCAT(FC_DATA!F993,FC_DATA!G993),LT_OVERVIEW!$I$99:$M$130,MATCH(_xlfn.CONCAT(D993,FC_DATA!E993),LT_OVERVIEW!$H$99:$H$130,0),FALSE)*IFERROR(VLOOKUP(_xlfn.CONCAT(C993,D993,E993,TIME!$F$1,Z993),HIS_SALES!$B$2:$V$4859,19,FALSE),0)))</f>
        <v>#N/A</v>
      </c>
      <c r="AD993" s="341">
        <f t="shared" ca="1" si="375"/>
        <v>0</v>
      </c>
      <c r="AE993" s="363" t="str">
        <f t="shared" si="376"/>
        <v/>
      </c>
      <c r="AF993" s="342" t="str">
        <f t="shared" si="377"/>
        <v/>
      </c>
      <c r="AG993" s="411" t="e">
        <f ca="1">VLOOKUP(_xlfn.CONCAT(U993,V993,W993,VLOOKUP(X993&amp;Y993,TIME!$L$27:$O$34,4,FALSE),Y993),HIS_SALES!$A$2:$R$5093,18,FALSE)</f>
        <v>#N/A</v>
      </c>
      <c r="AH993" s="412" t="e">
        <f ca="1">IFERROR(IF(AND(V993=V992,W993=W992),0.5*(AB993+AB992)*AG993,(VLOOKUP(_xlfn.CONCAT(U993,V993,W993,X993,VLOOKUP(Z993,TIME!$S$28:$T$39,2,FALSE)),FC_DATA!$R$2:$AB$5000,MATCH("GS_I_M",FC_DATA!$R$1:$AB$1,0),FALSE)+FC_DATA!AB993)*0.5*FC_DATA!AG993),NA())</f>
        <v>#N/A</v>
      </c>
      <c r="AI993" s="491" t="e">
        <f ca="1">IF(V993="PARTNER.com",AH993,IF(AND(V993=V992,W993=W992),(1-AVERAGE(AD992,AD993))*AH993,(1-AVERAGE(AD993,VLOOKUP(_xlfn.CONCAT(U993,V993,W993,X993,M_BRAND_FC!$F$6),FC_DATA!$R$2:$AD$5000,MATCH("DISCOUNT_%_M",FC_DATA!$R$1:$AD$1,0),FALSE)))*AH993))</f>
        <v>#N/A</v>
      </c>
      <c r="AJ993" s="412" t="str">
        <f t="shared" ca="1" si="378"/>
        <v/>
      </c>
      <c r="AK993" s="413" t="str">
        <f>IFERROR(AE993/(Q_BRAND_FC!$T$24+1),"")</f>
        <v/>
      </c>
      <c r="AL993" s="88" t="str">
        <f t="shared" ca="1" si="379"/>
        <v/>
      </c>
      <c r="AM993" s="414" t="str">
        <f t="shared" ca="1" si="380"/>
        <v/>
      </c>
      <c r="AN993" s="58">
        <f>IFERROR(IF($V993="BRAND.com",HLOOKUP($X993&amp;$Z993,NWC_FC_NOOS!$C$4:$Q$23,MATCH(W993,NWC_FC_NOOS!$B$4:$B$23,0),FALSE),0),0)</f>
        <v>0</v>
      </c>
      <c r="AO993" s="57">
        <f>IFERROR(IF($V993="BRAND.com",HLOOKUP($X993&amp;$Z993,NWC_FC_NOOS!$T$4:$AH$23,MATCH(W993,NWC_FC_NOOS!$S$4:$S$23,0),FALSE),0),0)</f>
        <v>0</v>
      </c>
      <c r="AP993" s="57">
        <f>IFERROR(IF($V993="BRAND.com",HLOOKUP($X993&amp;$Z993,NWC_FC_NOOS!$C$50:$U$69,MATCH(W993,NWC_FC_NOOS!$B$50:$B$69,0),FALSE),0),0)</f>
        <v>0</v>
      </c>
      <c r="AQ993" s="58">
        <f>IFERROR(IF($V993="BRAND.com",HLOOKUP($X993&amp;$Z993,'NWC_FC_NON-NOOS'!$C$4:$Q$23,MATCH(W993,'NWC_FC_NON-NOOS'!$B$4:$B$23,0),FALSE),0),0)</f>
        <v>0</v>
      </c>
      <c r="AR993" s="57">
        <f>IFERROR(IF($V993="BRAND.com",HLOOKUP($X993&amp;$Z993,'NWC_FC_NON-NOOS'!$T$4:$AH$23,MATCH(W993,'NWC_FC_NON-NOOS'!$S$4:$S$23,0),FALSE),0),0)</f>
        <v>0</v>
      </c>
      <c r="AS993" s="57">
        <f>IFERROR(IF($V993="BRAND.com",HLOOKUP($X993&amp;$Z993,'NWC_FC_NON-NOOS'!$C$50:$U$69,MATCH(W993,'NWC_FC_NON-NOOS'!$B$50:$B$69,0),FALSE),0),0)</f>
        <v>0</v>
      </c>
      <c r="AT993" s="57">
        <f t="shared" si="382"/>
        <v>0</v>
      </c>
      <c r="AU993" s="57">
        <f t="shared" si="383"/>
        <v>0</v>
      </c>
      <c r="AV993" s="58">
        <f>IFERROR(IF($V993="BRAND.com",HLOOKUP($X993&amp;$Z993,PLANNING_FC!$BB$27:$BP$46,MATCH($W993,PLANNING_FC!$BA$27:$BA$46,0),FALSE),0),0)</f>
        <v>0</v>
      </c>
      <c r="AW993" s="58">
        <f>IFERROR(IF($V993="BRAND.com",HLOOKUP($X993&amp;$Z993,PLANNING_FC!$BB$4:$BP$23,MATCH($W993,PLANNING_FC!$BA$4:$BA$23,0),FALSE),0),0)</f>
        <v>0</v>
      </c>
      <c r="AX993" s="58">
        <f>IFERROR(IF($V993="BRAND.com",HLOOKUP($X993&amp;$Z993,PLANNING_FC!$T$27:$AH$46,MATCH($W993,PLANNING_FC!$B$27:$B$46,0),FALSE),0),0)</f>
        <v>0</v>
      </c>
      <c r="AY993" s="58">
        <f>IFERROR(IF($V993="BRAND.com",HLOOKUP($X993&amp;$Z993,PLANNING_FC!$T$4:$AH$23,MATCH($W993,PLANNING_FC!$B$4:$B$23,0),FALSE),0),0)</f>
        <v>0</v>
      </c>
      <c r="AZ993" s="58">
        <f>IFERROR(IF($V993="BRAND.com",HLOOKUP($X993&amp;$Z993,PLANNING_FC!$DA$27:$DO$46,MATCH($W993,PLANNING_FC!$CZ$27:$CZ$46,0),FALSE),0),0)</f>
        <v>0</v>
      </c>
      <c r="BA993" s="58">
        <f>IFERROR(IF($V993="BRAND.com",HLOOKUP($X993&amp;$Z993,PLANNING_FC!$DA$4:$DO$23,MATCH($W993,PLANNING_FC!$CZ$4:$CZ$23,0),FALSE),0),0)</f>
        <v>0</v>
      </c>
      <c r="BB993" s="883" t="str">
        <f>IF(V993="BRAND.com",IFERROR(HLOOKUP(X993&amp;Z993,PLANNING_FC!$AK$4:$AY$23,MATCH(W993,PLANNING_FC!$AJ$4:$AJ$23,0),FALSE)*1000,""),"")</f>
        <v/>
      </c>
      <c r="BC993" s="883" t="str">
        <f>IF(V993="BRAND.com",IFERROR(HLOOKUP(X993&amp;Z993,PLANNING_FC!$AK$27:$AY$46,MATCH(W993,PLANNING_FC!$AJ$27:$AJ$46,0),FALSE)*1000,""),"")</f>
        <v/>
      </c>
    </row>
    <row r="994" spans="14:55" x14ac:dyDescent="0.25">
      <c r="N994" s="56">
        <f t="shared" si="364"/>
        <v>0</v>
      </c>
      <c r="O994" s="57">
        <f t="shared" si="365"/>
        <v>0</v>
      </c>
      <c r="P994" s="57">
        <f ca="1">IFERROR(IF(ISBLANK(H994),SUMIFS($AC:$AC,$V:$V,V994,$W:$W,W994,$X:$X,X994,$Y:$Y,Y994)*J994/(1-J994)*VLOOKUP(_xlfn.CONCAT(C994,D994,E994,TIME!$M$12,Z994),HIS_SALES!$B$2:$W$4859,20,FALSE),AC994*J994/(1-J994)),0)</f>
        <v>0</v>
      </c>
      <c r="Q994" s="541" t="str">
        <f t="shared" si="366"/>
        <v/>
      </c>
      <c r="R994" s="346" t="str">
        <f t="shared" si="367"/>
        <v>00000</v>
      </c>
      <c r="S994" s="344">
        <f t="shared" si="368"/>
        <v>0</v>
      </c>
      <c r="T994" s="345" t="str">
        <f t="shared" si="381"/>
        <v>000</v>
      </c>
      <c r="U994" s="345">
        <f t="shared" si="369"/>
        <v>0</v>
      </c>
      <c r="V994" s="345">
        <f t="shared" si="370"/>
        <v>0</v>
      </c>
      <c r="W994" s="345">
        <f t="shared" si="371"/>
        <v>0</v>
      </c>
      <c r="X994" s="345">
        <f t="shared" si="372"/>
        <v>0</v>
      </c>
      <c r="Y994" s="345">
        <f t="shared" si="373"/>
        <v>0</v>
      </c>
      <c r="Z994" s="345">
        <f>IF(Q994&lt;&gt;"",VLOOKUP(Y994,TIME!$R$21:$V$24,MATCH(FC_DATA!Q994,TIME!$R$20:$V$20,0),FALSE),H994)</f>
        <v>0</v>
      </c>
      <c r="AA994" s="345" t="str">
        <f>IFERROR(VLOOKUP(X994&amp;Z994,TIME!$A$12:$D$71,4,FALSE),"")</f>
        <v/>
      </c>
      <c r="AB994" s="592">
        <f t="shared" ca="1" si="374"/>
        <v>0</v>
      </c>
      <c r="AC994" s="593" t="e">
        <f ca="1">IF(ISBLANK(H994)=FALSE,IF(D994="BRAND.com",I994,IF(ISNA(VLOOKUP(_xlfn.CONCAT(X994,Z994),TIME!$M$40:$M$42,1,FALSE)),I994,VLOOKUP(_xlfn.CONCAT(D994,G994,H994),M_BUSAREA_FC!$AF$5:$AJ$10,5,FALSE)*HLOOKUP(_xlfn.CONCAT(F994,H994),ST_OVERVIEW!$G$99:$I$130,MATCH(_xlfn.CONCAT(D994,E994),ST_OVERVIEW!$F$99:$F$130,0),FALSE))),IF(D994="BRAND.com",VLOOKUP(_xlfn.CONCAT(C994,D994,E994,TIME!$F$1,Z994),HIS_SALES!$B$2:$V$4859,19,FALSE)*I994,VLOOKUP(_xlfn.CONCAT(D994,F994,G994),Q_BUSAREA_FC!$AE$5:$AI$12,5,FALSE)*HLOOKUP(_xlfn.CONCAT(FC_DATA!F994,FC_DATA!G994),LT_OVERVIEW!$I$99:$M$130,MATCH(_xlfn.CONCAT(D994,FC_DATA!E994),LT_OVERVIEW!$H$99:$H$130,0),FALSE)*IFERROR(VLOOKUP(_xlfn.CONCAT(C994,D994,E994,TIME!$F$1,Z994),HIS_SALES!$B$2:$V$4859,19,FALSE),0)))</f>
        <v>#N/A</v>
      </c>
      <c r="AD994" s="341">
        <f t="shared" ca="1" si="375"/>
        <v>0</v>
      </c>
      <c r="AE994" s="363" t="str">
        <f t="shared" si="376"/>
        <v/>
      </c>
      <c r="AF994" s="342" t="str">
        <f t="shared" si="377"/>
        <v/>
      </c>
      <c r="AG994" s="411" t="e">
        <f ca="1">VLOOKUP(_xlfn.CONCAT(U994,V994,W994,VLOOKUP(X994&amp;Y994,TIME!$L$27:$O$34,4,FALSE),Y994),HIS_SALES!$A$2:$R$5093,18,FALSE)</f>
        <v>#N/A</v>
      </c>
      <c r="AH994" s="412" t="e">
        <f ca="1">IFERROR(IF(AND(V994=V993,W994=W993),0.5*(AB994+AB993)*AG994,(VLOOKUP(_xlfn.CONCAT(U994,V994,W994,X994,VLOOKUP(Z994,TIME!$S$28:$T$39,2,FALSE)),FC_DATA!$R$2:$AB$5000,MATCH("GS_I_M",FC_DATA!$R$1:$AB$1,0),FALSE)+FC_DATA!AB994)*0.5*FC_DATA!AG994),NA())</f>
        <v>#N/A</v>
      </c>
      <c r="AI994" s="491" t="e">
        <f ca="1">IF(V994="PARTNER.com",AH994,IF(AND(V994=V993,W994=W993),(1-AVERAGE(AD993,AD994))*AH994,(1-AVERAGE(AD994,VLOOKUP(_xlfn.CONCAT(U994,V994,W994,X994,M_BRAND_FC!$F$6),FC_DATA!$R$2:$AD$5000,MATCH("DISCOUNT_%_M",FC_DATA!$R$1:$AD$1,0),FALSE)))*AH994))</f>
        <v>#N/A</v>
      </c>
      <c r="AJ994" s="412" t="str">
        <f t="shared" ca="1" si="378"/>
        <v/>
      </c>
      <c r="AK994" s="413" t="str">
        <f>IFERROR(AE994/(Q_BRAND_FC!$T$24+1),"")</f>
        <v/>
      </c>
      <c r="AL994" s="88" t="str">
        <f t="shared" ca="1" si="379"/>
        <v/>
      </c>
      <c r="AM994" s="414" t="str">
        <f t="shared" ca="1" si="380"/>
        <v/>
      </c>
      <c r="AN994" s="58">
        <f>IFERROR(IF($V994="BRAND.com",HLOOKUP($X994&amp;$Z994,NWC_FC_NOOS!$C$4:$Q$23,MATCH(W994,NWC_FC_NOOS!$B$4:$B$23,0),FALSE),0),0)</f>
        <v>0</v>
      </c>
      <c r="AO994" s="57">
        <f>IFERROR(IF($V994="BRAND.com",HLOOKUP($X994&amp;$Z994,NWC_FC_NOOS!$T$4:$AH$23,MATCH(W994,NWC_FC_NOOS!$S$4:$S$23,0),FALSE),0),0)</f>
        <v>0</v>
      </c>
      <c r="AP994" s="57">
        <f>IFERROR(IF($V994="BRAND.com",HLOOKUP($X994&amp;$Z994,NWC_FC_NOOS!$C$50:$U$69,MATCH(W994,NWC_FC_NOOS!$B$50:$B$69,0),FALSE),0),0)</f>
        <v>0</v>
      </c>
      <c r="AQ994" s="58">
        <f>IFERROR(IF($V994="BRAND.com",HLOOKUP($X994&amp;$Z994,'NWC_FC_NON-NOOS'!$C$4:$Q$23,MATCH(W994,'NWC_FC_NON-NOOS'!$B$4:$B$23,0),FALSE),0),0)</f>
        <v>0</v>
      </c>
      <c r="AR994" s="57">
        <f>IFERROR(IF($V994="BRAND.com",HLOOKUP($X994&amp;$Z994,'NWC_FC_NON-NOOS'!$T$4:$AH$23,MATCH(W994,'NWC_FC_NON-NOOS'!$S$4:$S$23,0),FALSE),0),0)</f>
        <v>0</v>
      </c>
      <c r="AS994" s="57">
        <f>IFERROR(IF($V994="BRAND.com",HLOOKUP($X994&amp;$Z994,'NWC_FC_NON-NOOS'!$C$50:$U$69,MATCH(W994,'NWC_FC_NON-NOOS'!$B$50:$B$69,0),FALSE),0),0)</f>
        <v>0</v>
      </c>
      <c r="AT994" s="57">
        <f t="shared" si="382"/>
        <v>0</v>
      </c>
      <c r="AU994" s="57">
        <f t="shared" si="383"/>
        <v>0</v>
      </c>
      <c r="AV994" s="58">
        <f>IFERROR(IF($V994="BRAND.com",HLOOKUP($X994&amp;$Z994,PLANNING_FC!$BB$27:$BP$46,MATCH($W994,PLANNING_FC!$BA$27:$BA$46,0),FALSE),0),0)</f>
        <v>0</v>
      </c>
      <c r="AW994" s="58">
        <f>IFERROR(IF($V994="BRAND.com",HLOOKUP($X994&amp;$Z994,PLANNING_FC!$BB$4:$BP$23,MATCH($W994,PLANNING_FC!$BA$4:$BA$23,0),FALSE),0),0)</f>
        <v>0</v>
      </c>
      <c r="AX994" s="58">
        <f>IFERROR(IF($V994="BRAND.com",HLOOKUP($X994&amp;$Z994,PLANNING_FC!$T$27:$AH$46,MATCH($W994,PLANNING_FC!$B$27:$B$46,0),FALSE),0),0)</f>
        <v>0</v>
      </c>
      <c r="AY994" s="58">
        <f>IFERROR(IF($V994="BRAND.com",HLOOKUP($X994&amp;$Z994,PLANNING_FC!$T$4:$AH$23,MATCH($W994,PLANNING_FC!$B$4:$B$23,0),FALSE),0),0)</f>
        <v>0</v>
      </c>
      <c r="AZ994" s="58">
        <f>IFERROR(IF($V994="BRAND.com",HLOOKUP($X994&amp;$Z994,PLANNING_FC!$DA$27:$DO$46,MATCH($W994,PLANNING_FC!$CZ$27:$CZ$46,0),FALSE),0),0)</f>
        <v>0</v>
      </c>
      <c r="BA994" s="58">
        <f>IFERROR(IF($V994="BRAND.com",HLOOKUP($X994&amp;$Z994,PLANNING_FC!$DA$4:$DO$23,MATCH($W994,PLANNING_FC!$CZ$4:$CZ$23,0),FALSE),0),0)</f>
        <v>0</v>
      </c>
      <c r="BB994" s="883" t="str">
        <f>IF(V994="BRAND.com",IFERROR(HLOOKUP(X994&amp;Z994,PLANNING_FC!$AK$4:$AY$23,MATCH(W994,PLANNING_FC!$AJ$4:$AJ$23,0),FALSE)*1000,""),"")</f>
        <v/>
      </c>
      <c r="BC994" s="883" t="str">
        <f>IF(V994="BRAND.com",IFERROR(HLOOKUP(X994&amp;Z994,PLANNING_FC!$AK$27:$AY$46,MATCH(W994,PLANNING_FC!$AJ$27:$AJ$46,0),FALSE)*1000,""),"")</f>
        <v/>
      </c>
    </row>
    <row r="995" spans="14:55" x14ac:dyDescent="0.25">
      <c r="N995" s="56">
        <f t="shared" si="364"/>
        <v>0</v>
      </c>
      <c r="O995" s="57">
        <f t="shared" si="365"/>
        <v>0</v>
      </c>
      <c r="P995" s="57">
        <f ca="1">IFERROR(IF(ISBLANK(H995),SUMIFS($AC:$AC,$V:$V,V995,$W:$W,W995,$X:$X,X995,$Y:$Y,Y995)*J995/(1-J995)*VLOOKUP(_xlfn.CONCAT(C995,D995,E995,TIME!$M$12,Z995),HIS_SALES!$B$2:$W$4859,20,FALSE),AC995*J995/(1-J995)),0)</f>
        <v>0</v>
      </c>
      <c r="Q995" s="541" t="str">
        <f t="shared" si="366"/>
        <v/>
      </c>
      <c r="R995" s="346" t="str">
        <f t="shared" si="367"/>
        <v>00000</v>
      </c>
      <c r="S995" s="344">
        <f t="shared" si="368"/>
        <v>0</v>
      </c>
      <c r="T995" s="345" t="str">
        <f t="shared" si="381"/>
        <v>000</v>
      </c>
      <c r="U995" s="345">
        <f t="shared" si="369"/>
        <v>0</v>
      </c>
      <c r="V995" s="345">
        <f t="shared" si="370"/>
        <v>0</v>
      </c>
      <c r="W995" s="345">
        <f t="shared" si="371"/>
        <v>0</v>
      </c>
      <c r="X995" s="345">
        <f t="shared" si="372"/>
        <v>0</v>
      </c>
      <c r="Y995" s="345">
        <f t="shared" si="373"/>
        <v>0</v>
      </c>
      <c r="Z995" s="345">
        <f>IF(Q995&lt;&gt;"",VLOOKUP(Y995,TIME!$R$21:$V$24,MATCH(FC_DATA!Q995,TIME!$R$20:$V$20,0),FALSE),H995)</f>
        <v>0</v>
      </c>
      <c r="AA995" s="345" t="str">
        <f>IFERROR(VLOOKUP(X995&amp;Z995,TIME!$A$12:$D$71,4,FALSE),"")</f>
        <v/>
      </c>
      <c r="AB995" s="592">
        <f t="shared" ca="1" si="374"/>
        <v>0</v>
      </c>
      <c r="AC995" s="593" t="e">
        <f ca="1">IF(ISBLANK(H995)=FALSE,IF(D995="BRAND.com",I995,IF(ISNA(VLOOKUP(_xlfn.CONCAT(X995,Z995),TIME!$M$40:$M$42,1,FALSE)),I995,VLOOKUP(_xlfn.CONCAT(D995,G995,H995),M_BUSAREA_FC!$AF$5:$AJ$10,5,FALSE)*HLOOKUP(_xlfn.CONCAT(F995,H995),ST_OVERVIEW!$G$99:$I$130,MATCH(_xlfn.CONCAT(D995,E995),ST_OVERVIEW!$F$99:$F$130,0),FALSE))),IF(D995="BRAND.com",VLOOKUP(_xlfn.CONCAT(C995,D995,E995,TIME!$F$1,Z995),HIS_SALES!$B$2:$V$4859,19,FALSE)*I995,VLOOKUP(_xlfn.CONCAT(D995,F995,G995),Q_BUSAREA_FC!$AE$5:$AI$12,5,FALSE)*HLOOKUP(_xlfn.CONCAT(FC_DATA!F995,FC_DATA!G995),LT_OVERVIEW!$I$99:$M$130,MATCH(_xlfn.CONCAT(D995,FC_DATA!E995),LT_OVERVIEW!$H$99:$H$130,0),FALSE)*IFERROR(VLOOKUP(_xlfn.CONCAT(C995,D995,E995,TIME!$F$1,Z995),HIS_SALES!$B$2:$V$4859,19,FALSE),0)))</f>
        <v>#N/A</v>
      </c>
      <c r="AD995" s="341">
        <f t="shared" ca="1" si="375"/>
        <v>0</v>
      </c>
      <c r="AE995" s="363" t="str">
        <f t="shared" si="376"/>
        <v/>
      </c>
      <c r="AF995" s="342" t="str">
        <f t="shared" si="377"/>
        <v/>
      </c>
      <c r="AG995" s="411" t="e">
        <f ca="1">VLOOKUP(_xlfn.CONCAT(U995,V995,W995,VLOOKUP(X995&amp;Y995,TIME!$L$27:$O$34,4,FALSE),Y995),HIS_SALES!$A$2:$R$5093,18,FALSE)</f>
        <v>#N/A</v>
      </c>
      <c r="AH995" s="412" t="e">
        <f ca="1">IFERROR(IF(AND(V995=V994,W995=W994),0.5*(AB995+AB994)*AG995,(VLOOKUP(_xlfn.CONCAT(U995,V995,W995,X995,VLOOKUP(Z995,TIME!$S$28:$T$39,2,FALSE)),FC_DATA!$R$2:$AB$5000,MATCH("GS_I_M",FC_DATA!$R$1:$AB$1,0),FALSE)+FC_DATA!AB995)*0.5*FC_DATA!AG995),NA())</f>
        <v>#N/A</v>
      </c>
      <c r="AI995" s="491" t="e">
        <f ca="1">IF(V995="PARTNER.com",AH995,IF(AND(V995=V994,W995=W994),(1-AVERAGE(AD994,AD995))*AH995,(1-AVERAGE(AD995,VLOOKUP(_xlfn.CONCAT(U995,V995,W995,X995,M_BRAND_FC!$F$6),FC_DATA!$R$2:$AD$5000,MATCH("DISCOUNT_%_M",FC_DATA!$R$1:$AD$1,0),FALSE)))*AH995))</f>
        <v>#N/A</v>
      </c>
      <c r="AJ995" s="412" t="str">
        <f t="shared" ca="1" si="378"/>
        <v/>
      </c>
      <c r="AK995" s="413" t="str">
        <f>IFERROR(AE995/(Q_BRAND_FC!$T$24+1),"")</f>
        <v/>
      </c>
      <c r="AL995" s="88" t="str">
        <f t="shared" ca="1" si="379"/>
        <v/>
      </c>
      <c r="AM995" s="414" t="str">
        <f t="shared" ca="1" si="380"/>
        <v/>
      </c>
      <c r="AN995" s="58">
        <f>IFERROR(IF($V995="BRAND.com",HLOOKUP($X995&amp;$Z995,NWC_FC_NOOS!$C$4:$Q$23,MATCH(W995,NWC_FC_NOOS!$B$4:$B$23,0),FALSE),0),0)</f>
        <v>0</v>
      </c>
      <c r="AO995" s="57">
        <f>IFERROR(IF($V995="BRAND.com",HLOOKUP($X995&amp;$Z995,NWC_FC_NOOS!$T$4:$AH$23,MATCH(W995,NWC_FC_NOOS!$S$4:$S$23,0),FALSE),0),0)</f>
        <v>0</v>
      </c>
      <c r="AP995" s="57">
        <f>IFERROR(IF($V995="BRAND.com",HLOOKUP($X995&amp;$Z995,NWC_FC_NOOS!$C$50:$U$69,MATCH(W995,NWC_FC_NOOS!$B$50:$B$69,0),FALSE),0),0)</f>
        <v>0</v>
      </c>
      <c r="AQ995" s="58">
        <f>IFERROR(IF($V995="BRAND.com",HLOOKUP($X995&amp;$Z995,'NWC_FC_NON-NOOS'!$C$4:$Q$23,MATCH(W995,'NWC_FC_NON-NOOS'!$B$4:$B$23,0),FALSE),0),0)</f>
        <v>0</v>
      </c>
      <c r="AR995" s="57">
        <f>IFERROR(IF($V995="BRAND.com",HLOOKUP($X995&amp;$Z995,'NWC_FC_NON-NOOS'!$T$4:$AH$23,MATCH(W995,'NWC_FC_NON-NOOS'!$S$4:$S$23,0),FALSE),0),0)</f>
        <v>0</v>
      </c>
      <c r="AS995" s="57">
        <f>IFERROR(IF($V995="BRAND.com",HLOOKUP($X995&amp;$Z995,'NWC_FC_NON-NOOS'!$C$50:$U$69,MATCH(W995,'NWC_FC_NON-NOOS'!$B$50:$B$69,0),FALSE),0),0)</f>
        <v>0</v>
      </c>
      <c r="AT995" s="57">
        <f t="shared" si="382"/>
        <v>0</v>
      </c>
      <c r="AU995" s="57">
        <f t="shared" si="383"/>
        <v>0</v>
      </c>
      <c r="AV995" s="58">
        <f>IFERROR(IF($V995="BRAND.com",HLOOKUP($X995&amp;$Z995,PLANNING_FC!$BB$27:$BP$46,MATCH($W995,PLANNING_FC!$BA$27:$BA$46,0),FALSE),0),0)</f>
        <v>0</v>
      </c>
      <c r="AW995" s="58">
        <f>IFERROR(IF($V995="BRAND.com",HLOOKUP($X995&amp;$Z995,PLANNING_FC!$BB$4:$BP$23,MATCH($W995,PLANNING_FC!$BA$4:$BA$23,0),FALSE),0),0)</f>
        <v>0</v>
      </c>
      <c r="AX995" s="58">
        <f>IFERROR(IF($V995="BRAND.com",HLOOKUP($X995&amp;$Z995,PLANNING_FC!$T$27:$AH$46,MATCH($W995,PLANNING_FC!$B$27:$B$46,0),FALSE),0),0)</f>
        <v>0</v>
      </c>
      <c r="AY995" s="58">
        <f>IFERROR(IF($V995="BRAND.com",HLOOKUP($X995&amp;$Z995,PLANNING_FC!$T$4:$AH$23,MATCH($W995,PLANNING_FC!$B$4:$B$23,0),FALSE),0),0)</f>
        <v>0</v>
      </c>
      <c r="AZ995" s="58">
        <f>IFERROR(IF($V995="BRAND.com",HLOOKUP($X995&amp;$Z995,PLANNING_FC!$DA$27:$DO$46,MATCH($W995,PLANNING_FC!$CZ$27:$CZ$46,0),FALSE),0),0)</f>
        <v>0</v>
      </c>
      <c r="BA995" s="58">
        <f>IFERROR(IF($V995="BRAND.com",HLOOKUP($X995&amp;$Z995,PLANNING_FC!$DA$4:$DO$23,MATCH($W995,PLANNING_FC!$CZ$4:$CZ$23,0),FALSE),0),0)</f>
        <v>0</v>
      </c>
      <c r="BB995" s="883" t="str">
        <f>IF(V995="BRAND.com",IFERROR(HLOOKUP(X995&amp;Z995,PLANNING_FC!$AK$4:$AY$23,MATCH(W995,PLANNING_FC!$AJ$4:$AJ$23,0),FALSE)*1000,""),"")</f>
        <v/>
      </c>
      <c r="BC995" s="883" t="str">
        <f>IF(V995="BRAND.com",IFERROR(HLOOKUP(X995&amp;Z995,PLANNING_FC!$AK$27:$AY$46,MATCH(W995,PLANNING_FC!$AJ$27:$AJ$46,0),FALSE)*1000,""),"")</f>
        <v/>
      </c>
    </row>
    <row r="996" spans="14:55" x14ac:dyDescent="0.25">
      <c r="N996" s="56">
        <f t="shared" si="364"/>
        <v>0</v>
      </c>
      <c r="O996" s="57">
        <f t="shared" si="365"/>
        <v>0</v>
      </c>
      <c r="P996" s="57">
        <f ca="1">IFERROR(IF(ISBLANK(H996),SUMIFS($AC:$AC,$V:$V,V996,$W:$W,W996,$X:$X,X996,$Y:$Y,Y996)*J996/(1-J996)*VLOOKUP(_xlfn.CONCAT(C996,D996,E996,TIME!$M$12,Z996),HIS_SALES!$B$2:$W$4859,20,FALSE),AC996*J996/(1-J996)),0)</f>
        <v>0</v>
      </c>
      <c r="Q996" s="541" t="str">
        <f t="shared" si="366"/>
        <v/>
      </c>
      <c r="R996" s="346" t="str">
        <f t="shared" si="367"/>
        <v>00000</v>
      </c>
      <c r="S996" s="344">
        <f t="shared" si="368"/>
        <v>0</v>
      </c>
      <c r="T996" s="345" t="str">
        <f t="shared" si="381"/>
        <v>000</v>
      </c>
      <c r="U996" s="345">
        <f t="shared" si="369"/>
        <v>0</v>
      </c>
      <c r="V996" s="345">
        <f t="shared" si="370"/>
        <v>0</v>
      </c>
      <c r="W996" s="345">
        <f t="shared" si="371"/>
        <v>0</v>
      </c>
      <c r="X996" s="345">
        <f t="shared" si="372"/>
        <v>0</v>
      </c>
      <c r="Y996" s="345">
        <f t="shared" si="373"/>
        <v>0</v>
      </c>
      <c r="Z996" s="345">
        <f>IF(Q996&lt;&gt;"",VLOOKUP(Y996,TIME!$R$21:$V$24,MATCH(FC_DATA!Q996,TIME!$R$20:$V$20,0),FALSE),H996)</f>
        <v>0</v>
      </c>
      <c r="AA996" s="345" t="str">
        <f>IFERROR(VLOOKUP(X996&amp;Z996,TIME!$A$12:$D$71,4,FALSE),"")</f>
        <v/>
      </c>
      <c r="AB996" s="592">
        <f t="shared" ca="1" si="374"/>
        <v>0</v>
      </c>
      <c r="AC996" s="593" t="e">
        <f ca="1">IF(ISBLANK(H996)=FALSE,IF(D996="BRAND.com",I996,IF(ISNA(VLOOKUP(_xlfn.CONCAT(X996,Z996),TIME!$M$40:$M$42,1,FALSE)),I996,VLOOKUP(_xlfn.CONCAT(D996,G996,H996),M_BUSAREA_FC!$AF$5:$AJ$10,5,FALSE)*HLOOKUP(_xlfn.CONCAT(F996,H996),ST_OVERVIEW!$G$99:$I$130,MATCH(_xlfn.CONCAT(D996,E996),ST_OVERVIEW!$F$99:$F$130,0),FALSE))),IF(D996="BRAND.com",VLOOKUP(_xlfn.CONCAT(C996,D996,E996,TIME!$F$1,Z996),HIS_SALES!$B$2:$V$4859,19,FALSE)*I996,VLOOKUP(_xlfn.CONCAT(D996,F996,G996),Q_BUSAREA_FC!$AE$5:$AI$12,5,FALSE)*HLOOKUP(_xlfn.CONCAT(FC_DATA!F996,FC_DATA!G996),LT_OVERVIEW!$I$99:$M$130,MATCH(_xlfn.CONCAT(D996,FC_DATA!E996),LT_OVERVIEW!$H$99:$H$130,0),FALSE)*IFERROR(VLOOKUP(_xlfn.CONCAT(C996,D996,E996,TIME!$F$1,Z996),HIS_SALES!$B$2:$V$4859,19,FALSE),0)))</f>
        <v>#N/A</v>
      </c>
      <c r="AD996" s="341">
        <f t="shared" ca="1" si="375"/>
        <v>0</v>
      </c>
      <c r="AE996" s="363" t="str">
        <f t="shared" si="376"/>
        <v/>
      </c>
      <c r="AF996" s="342" t="str">
        <f t="shared" si="377"/>
        <v/>
      </c>
      <c r="AG996" s="411" t="e">
        <f ca="1">VLOOKUP(_xlfn.CONCAT(U996,V996,W996,VLOOKUP(X996&amp;Y996,TIME!$L$27:$O$34,4,FALSE),Y996),HIS_SALES!$A$2:$R$5093,18,FALSE)</f>
        <v>#N/A</v>
      </c>
      <c r="AH996" s="412" t="e">
        <f ca="1">IFERROR(IF(AND(V996=V995,W996=W995),0.5*(AB996+AB995)*AG996,(VLOOKUP(_xlfn.CONCAT(U996,V996,W996,X996,VLOOKUP(Z996,TIME!$S$28:$T$39,2,FALSE)),FC_DATA!$R$2:$AB$5000,MATCH("GS_I_M",FC_DATA!$R$1:$AB$1,0),FALSE)+FC_DATA!AB996)*0.5*FC_DATA!AG996),NA())</f>
        <v>#N/A</v>
      </c>
      <c r="AI996" s="491" t="e">
        <f ca="1">IF(V996="PARTNER.com",AH996,IF(AND(V996=V995,W996=W995),(1-AVERAGE(AD995,AD996))*AH996,(1-AVERAGE(AD996,VLOOKUP(_xlfn.CONCAT(U996,V996,W996,X996,M_BRAND_FC!$F$6),FC_DATA!$R$2:$AD$5000,MATCH("DISCOUNT_%_M",FC_DATA!$R$1:$AD$1,0),FALSE)))*AH996))</f>
        <v>#N/A</v>
      </c>
      <c r="AJ996" s="412" t="str">
        <f t="shared" ca="1" si="378"/>
        <v/>
      </c>
      <c r="AK996" s="413" t="str">
        <f>IFERROR(AE996/(Q_BRAND_FC!$T$24+1),"")</f>
        <v/>
      </c>
      <c r="AL996" s="88" t="str">
        <f t="shared" ca="1" si="379"/>
        <v/>
      </c>
      <c r="AM996" s="414" t="str">
        <f t="shared" ca="1" si="380"/>
        <v/>
      </c>
      <c r="AN996" s="58">
        <f>IFERROR(IF($V996="BRAND.com",HLOOKUP($X996&amp;$Z996,NWC_FC_NOOS!$C$4:$Q$23,MATCH(W996,NWC_FC_NOOS!$B$4:$B$23,0),FALSE),0),0)</f>
        <v>0</v>
      </c>
      <c r="AO996" s="57">
        <f>IFERROR(IF($V996="BRAND.com",HLOOKUP($X996&amp;$Z996,NWC_FC_NOOS!$T$4:$AH$23,MATCH(W996,NWC_FC_NOOS!$S$4:$S$23,0),FALSE),0),0)</f>
        <v>0</v>
      </c>
      <c r="AP996" s="57">
        <f>IFERROR(IF($V996="BRAND.com",HLOOKUP($X996&amp;$Z996,NWC_FC_NOOS!$C$50:$U$69,MATCH(W996,NWC_FC_NOOS!$B$50:$B$69,0),FALSE),0),0)</f>
        <v>0</v>
      </c>
      <c r="AQ996" s="58">
        <f>IFERROR(IF($V996="BRAND.com",HLOOKUP($X996&amp;$Z996,'NWC_FC_NON-NOOS'!$C$4:$Q$23,MATCH(W996,'NWC_FC_NON-NOOS'!$B$4:$B$23,0),FALSE),0),0)</f>
        <v>0</v>
      </c>
      <c r="AR996" s="57">
        <f>IFERROR(IF($V996="BRAND.com",HLOOKUP($X996&amp;$Z996,'NWC_FC_NON-NOOS'!$T$4:$AH$23,MATCH(W996,'NWC_FC_NON-NOOS'!$S$4:$S$23,0),FALSE),0),0)</f>
        <v>0</v>
      </c>
      <c r="AS996" s="57">
        <f>IFERROR(IF($V996="BRAND.com",HLOOKUP($X996&amp;$Z996,'NWC_FC_NON-NOOS'!$C$50:$U$69,MATCH(W996,'NWC_FC_NON-NOOS'!$B$50:$B$69,0),FALSE),0),0)</f>
        <v>0</v>
      </c>
      <c r="AT996" s="57">
        <f t="shared" si="382"/>
        <v>0</v>
      </c>
      <c r="AU996" s="57">
        <f t="shared" si="383"/>
        <v>0</v>
      </c>
      <c r="AV996" s="58">
        <f>IFERROR(IF($V996="BRAND.com",HLOOKUP($X996&amp;$Z996,PLANNING_FC!$BB$27:$BP$46,MATCH($W996,PLANNING_FC!$BA$27:$BA$46,0),FALSE),0),0)</f>
        <v>0</v>
      </c>
      <c r="AW996" s="58">
        <f>IFERROR(IF($V996="BRAND.com",HLOOKUP($X996&amp;$Z996,PLANNING_FC!$BB$4:$BP$23,MATCH($W996,PLANNING_FC!$BA$4:$BA$23,0),FALSE),0),0)</f>
        <v>0</v>
      </c>
      <c r="AX996" s="58">
        <f>IFERROR(IF($V996="BRAND.com",HLOOKUP($X996&amp;$Z996,PLANNING_FC!$T$27:$AH$46,MATCH($W996,PLANNING_FC!$B$27:$B$46,0),FALSE),0),0)</f>
        <v>0</v>
      </c>
      <c r="AY996" s="58">
        <f>IFERROR(IF($V996="BRAND.com",HLOOKUP($X996&amp;$Z996,PLANNING_FC!$T$4:$AH$23,MATCH($W996,PLANNING_FC!$B$4:$B$23,0),FALSE),0),0)</f>
        <v>0</v>
      </c>
      <c r="AZ996" s="58">
        <f>IFERROR(IF($V996="BRAND.com",HLOOKUP($X996&amp;$Z996,PLANNING_FC!$DA$27:$DO$46,MATCH($W996,PLANNING_FC!$CZ$27:$CZ$46,0),FALSE),0),0)</f>
        <v>0</v>
      </c>
      <c r="BA996" s="58">
        <f>IFERROR(IF($V996="BRAND.com",HLOOKUP($X996&amp;$Z996,PLANNING_FC!$DA$4:$DO$23,MATCH($W996,PLANNING_FC!$CZ$4:$CZ$23,0),FALSE),0),0)</f>
        <v>0</v>
      </c>
      <c r="BB996" s="883" t="str">
        <f>IF(V996="BRAND.com",IFERROR(HLOOKUP(X996&amp;Z996,PLANNING_FC!$AK$4:$AY$23,MATCH(W996,PLANNING_FC!$AJ$4:$AJ$23,0),FALSE)*1000,""),"")</f>
        <v/>
      </c>
      <c r="BC996" s="883" t="str">
        <f>IF(V996="BRAND.com",IFERROR(HLOOKUP(X996&amp;Z996,PLANNING_FC!$AK$27:$AY$46,MATCH(W996,PLANNING_FC!$AJ$27:$AJ$46,0),FALSE)*1000,""),"")</f>
        <v/>
      </c>
    </row>
    <row r="997" spans="14:55" x14ac:dyDescent="0.25">
      <c r="N997" s="56">
        <f t="shared" si="364"/>
        <v>0</v>
      </c>
      <c r="O997" s="57">
        <f t="shared" si="365"/>
        <v>0</v>
      </c>
      <c r="P997" s="57">
        <f ca="1">IFERROR(IF(ISBLANK(H997),SUMIFS($AC:$AC,$V:$V,V997,$W:$W,W997,$X:$X,X997,$Y:$Y,Y997)*J997/(1-J997)*VLOOKUP(_xlfn.CONCAT(C997,D997,E997,TIME!$M$12,Z997),HIS_SALES!$B$2:$W$4859,20,FALSE),AC997*J997/(1-J997)),0)</f>
        <v>0</v>
      </c>
      <c r="Q997" s="541" t="str">
        <f t="shared" si="366"/>
        <v/>
      </c>
      <c r="R997" s="346" t="str">
        <f t="shared" si="367"/>
        <v>00000</v>
      </c>
      <c r="S997" s="344">
        <f t="shared" si="368"/>
        <v>0</v>
      </c>
      <c r="T997" s="345" t="str">
        <f t="shared" si="381"/>
        <v>000</v>
      </c>
      <c r="U997" s="345">
        <f t="shared" si="369"/>
        <v>0</v>
      </c>
      <c r="V997" s="345">
        <f t="shared" si="370"/>
        <v>0</v>
      </c>
      <c r="W997" s="345">
        <f t="shared" si="371"/>
        <v>0</v>
      </c>
      <c r="X997" s="345">
        <f t="shared" si="372"/>
        <v>0</v>
      </c>
      <c r="Y997" s="345">
        <f t="shared" si="373"/>
        <v>0</v>
      </c>
      <c r="Z997" s="345">
        <f>IF(Q997&lt;&gt;"",VLOOKUP(Y997,TIME!$R$21:$V$24,MATCH(FC_DATA!Q997,TIME!$R$20:$V$20,0),FALSE),H997)</f>
        <v>0</v>
      </c>
      <c r="AA997" s="345" t="str">
        <f>IFERROR(VLOOKUP(X997&amp;Z997,TIME!$A$12:$D$71,4,FALSE),"")</f>
        <v/>
      </c>
      <c r="AB997" s="592">
        <f t="shared" ca="1" si="374"/>
        <v>0</v>
      </c>
      <c r="AC997" s="593" t="e">
        <f ca="1">IF(ISBLANK(H997)=FALSE,IF(D997="BRAND.com",I997,IF(ISNA(VLOOKUP(_xlfn.CONCAT(X997,Z997),TIME!$M$40:$M$42,1,FALSE)),I997,VLOOKUP(_xlfn.CONCAT(D997,G997,H997),M_BUSAREA_FC!$AF$5:$AJ$10,5,FALSE)*HLOOKUP(_xlfn.CONCAT(F997,H997),ST_OVERVIEW!$G$99:$I$130,MATCH(_xlfn.CONCAT(D997,E997),ST_OVERVIEW!$F$99:$F$130,0),FALSE))),IF(D997="BRAND.com",VLOOKUP(_xlfn.CONCAT(C997,D997,E997,TIME!$F$1,Z997),HIS_SALES!$B$2:$V$4859,19,FALSE)*I997,VLOOKUP(_xlfn.CONCAT(D997,F997,G997),Q_BUSAREA_FC!$AE$5:$AI$12,5,FALSE)*HLOOKUP(_xlfn.CONCAT(FC_DATA!F997,FC_DATA!G997),LT_OVERVIEW!$I$99:$M$130,MATCH(_xlfn.CONCAT(D997,FC_DATA!E997),LT_OVERVIEW!$H$99:$H$130,0),FALSE)*IFERROR(VLOOKUP(_xlfn.CONCAT(C997,D997,E997,TIME!$F$1,Z997),HIS_SALES!$B$2:$V$4859,19,FALSE),0)))</f>
        <v>#N/A</v>
      </c>
      <c r="AD997" s="341">
        <f t="shared" ca="1" si="375"/>
        <v>0</v>
      </c>
      <c r="AE997" s="363" t="str">
        <f t="shared" si="376"/>
        <v/>
      </c>
      <c r="AF997" s="342" t="str">
        <f t="shared" si="377"/>
        <v/>
      </c>
      <c r="AG997" s="411" t="e">
        <f ca="1">VLOOKUP(_xlfn.CONCAT(U997,V997,W997,VLOOKUP(X997&amp;Y997,TIME!$L$27:$O$34,4,FALSE),Y997),HIS_SALES!$A$2:$R$5093,18,FALSE)</f>
        <v>#N/A</v>
      </c>
      <c r="AH997" s="412" t="e">
        <f ca="1">IFERROR(IF(AND(V997=V996,W997=W996),0.5*(AB997+AB996)*AG997,(VLOOKUP(_xlfn.CONCAT(U997,V997,W997,X997,VLOOKUP(Z997,TIME!$S$28:$T$39,2,FALSE)),FC_DATA!$R$2:$AB$5000,MATCH("GS_I_M",FC_DATA!$R$1:$AB$1,0),FALSE)+FC_DATA!AB997)*0.5*FC_DATA!AG997),NA())</f>
        <v>#N/A</v>
      </c>
      <c r="AI997" s="491" t="e">
        <f ca="1">IF(V997="PARTNER.com",AH997,IF(AND(V997=V996,W997=W996),(1-AVERAGE(AD996,AD997))*AH997,(1-AVERAGE(AD997,VLOOKUP(_xlfn.CONCAT(U997,V997,W997,X997,M_BRAND_FC!$F$6),FC_DATA!$R$2:$AD$5000,MATCH("DISCOUNT_%_M",FC_DATA!$R$1:$AD$1,0),FALSE)))*AH997))</f>
        <v>#N/A</v>
      </c>
      <c r="AJ997" s="412" t="str">
        <f t="shared" ca="1" si="378"/>
        <v/>
      </c>
      <c r="AK997" s="413" t="str">
        <f>IFERROR(AE997/(Q_BRAND_FC!$T$24+1),"")</f>
        <v/>
      </c>
      <c r="AL997" s="88" t="str">
        <f t="shared" ca="1" si="379"/>
        <v/>
      </c>
      <c r="AM997" s="414" t="str">
        <f t="shared" ca="1" si="380"/>
        <v/>
      </c>
      <c r="AN997" s="58">
        <f>IFERROR(IF($V997="BRAND.com",HLOOKUP($X997&amp;$Z997,NWC_FC_NOOS!$C$4:$Q$23,MATCH(W997,NWC_FC_NOOS!$B$4:$B$23,0),FALSE),0),0)</f>
        <v>0</v>
      </c>
      <c r="AO997" s="57">
        <f>IFERROR(IF($V997="BRAND.com",HLOOKUP($X997&amp;$Z997,NWC_FC_NOOS!$T$4:$AH$23,MATCH(W997,NWC_FC_NOOS!$S$4:$S$23,0),FALSE),0),0)</f>
        <v>0</v>
      </c>
      <c r="AP997" s="57">
        <f>IFERROR(IF($V997="BRAND.com",HLOOKUP($X997&amp;$Z997,NWC_FC_NOOS!$C$50:$U$69,MATCH(W997,NWC_FC_NOOS!$B$50:$B$69,0),FALSE),0),0)</f>
        <v>0</v>
      </c>
      <c r="AQ997" s="58">
        <f>IFERROR(IF($V997="BRAND.com",HLOOKUP($X997&amp;$Z997,'NWC_FC_NON-NOOS'!$C$4:$Q$23,MATCH(W997,'NWC_FC_NON-NOOS'!$B$4:$B$23,0),FALSE),0),0)</f>
        <v>0</v>
      </c>
      <c r="AR997" s="57">
        <f>IFERROR(IF($V997="BRAND.com",HLOOKUP($X997&amp;$Z997,'NWC_FC_NON-NOOS'!$T$4:$AH$23,MATCH(W997,'NWC_FC_NON-NOOS'!$S$4:$S$23,0),FALSE),0),0)</f>
        <v>0</v>
      </c>
      <c r="AS997" s="57">
        <f>IFERROR(IF($V997="BRAND.com",HLOOKUP($X997&amp;$Z997,'NWC_FC_NON-NOOS'!$C$50:$U$69,MATCH(W997,'NWC_FC_NON-NOOS'!$B$50:$B$69,0),FALSE),0),0)</f>
        <v>0</v>
      </c>
      <c r="AT997" s="57">
        <f t="shared" si="382"/>
        <v>0</v>
      </c>
      <c r="AU997" s="57">
        <f t="shared" si="383"/>
        <v>0</v>
      </c>
      <c r="AV997" s="58">
        <f>IFERROR(IF($V997="BRAND.com",HLOOKUP($X997&amp;$Z997,PLANNING_FC!$BB$27:$BP$46,MATCH($W997,PLANNING_FC!$BA$27:$BA$46,0),FALSE),0),0)</f>
        <v>0</v>
      </c>
      <c r="AW997" s="58">
        <f>IFERROR(IF($V997="BRAND.com",HLOOKUP($X997&amp;$Z997,PLANNING_FC!$BB$4:$BP$23,MATCH($W997,PLANNING_FC!$BA$4:$BA$23,0),FALSE),0),0)</f>
        <v>0</v>
      </c>
      <c r="AX997" s="58">
        <f>IFERROR(IF($V997="BRAND.com",HLOOKUP($X997&amp;$Z997,PLANNING_FC!$T$27:$AH$46,MATCH($W997,PLANNING_FC!$B$27:$B$46,0),FALSE),0),0)</f>
        <v>0</v>
      </c>
      <c r="AY997" s="58">
        <f>IFERROR(IF($V997="BRAND.com",HLOOKUP($X997&amp;$Z997,PLANNING_FC!$T$4:$AH$23,MATCH($W997,PLANNING_FC!$B$4:$B$23,0),FALSE),0),0)</f>
        <v>0</v>
      </c>
      <c r="AZ997" s="58">
        <f>IFERROR(IF($V997="BRAND.com",HLOOKUP($X997&amp;$Z997,PLANNING_FC!$DA$27:$DO$46,MATCH($W997,PLANNING_FC!$CZ$27:$CZ$46,0),FALSE),0),0)</f>
        <v>0</v>
      </c>
      <c r="BA997" s="58">
        <f>IFERROR(IF($V997="BRAND.com",HLOOKUP($X997&amp;$Z997,PLANNING_FC!$DA$4:$DO$23,MATCH($W997,PLANNING_FC!$CZ$4:$CZ$23,0),FALSE),0),0)</f>
        <v>0</v>
      </c>
      <c r="BB997" s="883" t="str">
        <f>IF(V997="BRAND.com",IFERROR(HLOOKUP(X997&amp;Z997,PLANNING_FC!$AK$4:$AY$23,MATCH(W997,PLANNING_FC!$AJ$4:$AJ$23,0),FALSE)*1000,""),"")</f>
        <v/>
      </c>
      <c r="BC997" s="883" t="str">
        <f>IF(V997="BRAND.com",IFERROR(HLOOKUP(X997&amp;Z997,PLANNING_FC!$AK$27:$AY$46,MATCH(W997,PLANNING_FC!$AJ$27:$AJ$46,0),FALSE)*1000,""),"")</f>
        <v/>
      </c>
    </row>
    <row r="998" spans="14:55" x14ac:dyDescent="0.25">
      <c r="N998" s="56">
        <f t="shared" si="364"/>
        <v>0</v>
      </c>
      <c r="O998" s="57">
        <f t="shared" si="365"/>
        <v>0</v>
      </c>
      <c r="P998" s="57">
        <f ca="1">IFERROR(IF(ISBLANK(H998),SUMIFS($AC:$AC,$V:$V,V998,$W:$W,W998,$X:$X,X998,$Y:$Y,Y998)*J998/(1-J998)*VLOOKUP(_xlfn.CONCAT(C998,D998,E998,TIME!$M$12,Z998),HIS_SALES!$B$2:$W$4859,20,FALSE),AC998*J998/(1-J998)),0)</f>
        <v>0</v>
      </c>
      <c r="Q998" s="541" t="str">
        <f t="shared" si="366"/>
        <v/>
      </c>
      <c r="R998" s="346" t="str">
        <f t="shared" si="367"/>
        <v>00000</v>
      </c>
      <c r="S998" s="344">
        <f t="shared" si="368"/>
        <v>0</v>
      </c>
      <c r="T998" s="345" t="str">
        <f t="shared" si="381"/>
        <v>000</v>
      </c>
      <c r="U998" s="345">
        <f t="shared" si="369"/>
        <v>0</v>
      </c>
      <c r="V998" s="345">
        <f t="shared" si="370"/>
        <v>0</v>
      </c>
      <c r="W998" s="345">
        <f t="shared" si="371"/>
        <v>0</v>
      </c>
      <c r="X998" s="345">
        <f t="shared" si="372"/>
        <v>0</v>
      </c>
      <c r="Y998" s="345">
        <f t="shared" si="373"/>
        <v>0</v>
      </c>
      <c r="Z998" s="345">
        <f>IF(Q998&lt;&gt;"",VLOOKUP(Y998,TIME!$R$21:$V$24,MATCH(FC_DATA!Q998,TIME!$R$20:$V$20,0),FALSE),H998)</f>
        <v>0</v>
      </c>
      <c r="AA998" s="345" t="str">
        <f>IFERROR(VLOOKUP(X998&amp;Z998,TIME!$A$12:$D$71,4,FALSE),"")</f>
        <v/>
      </c>
      <c r="AB998" s="592">
        <f t="shared" ca="1" si="374"/>
        <v>0</v>
      </c>
      <c r="AC998" s="593" t="e">
        <f ca="1">IF(ISBLANK(H998)=FALSE,IF(D998="BRAND.com",I998,IF(ISNA(VLOOKUP(_xlfn.CONCAT(X998,Z998),TIME!$M$40:$M$42,1,FALSE)),I998,VLOOKUP(_xlfn.CONCAT(D998,G998,H998),M_BUSAREA_FC!$AF$5:$AJ$10,5,FALSE)*HLOOKUP(_xlfn.CONCAT(F998,H998),ST_OVERVIEW!$G$99:$I$130,MATCH(_xlfn.CONCAT(D998,E998),ST_OVERVIEW!$F$99:$F$130,0),FALSE))),IF(D998="BRAND.com",VLOOKUP(_xlfn.CONCAT(C998,D998,E998,TIME!$F$1,Z998),HIS_SALES!$B$2:$V$4859,19,FALSE)*I998,VLOOKUP(_xlfn.CONCAT(D998,F998,G998),Q_BUSAREA_FC!$AE$5:$AI$12,5,FALSE)*HLOOKUP(_xlfn.CONCAT(FC_DATA!F998,FC_DATA!G998),LT_OVERVIEW!$I$99:$M$130,MATCH(_xlfn.CONCAT(D998,FC_DATA!E998),LT_OVERVIEW!$H$99:$H$130,0),FALSE)*IFERROR(VLOOKUP(_xlfn.CONCAT(C998,D998,E998,TIME!$F$1,Z998),HIS_SALES!$B$2:$V$4859,19,FALSE),0)))</f>
        <v>#N/A</v>
      </c>
      <c r="AD998" s="341">
        <f t="shared" ca="1" si="375"/>
        <v>0</v>
      </c>
      <c r="AE998" s="363" t="str">
        <f t="shared" si="376"/>
        <v/>
      </c>
      <c r="AF998" s="342" t="str">
        <f t="shared" si="377"/>
        <v/>
      </c>
      <c r="AG998" s="411" t="e">
        <f ca="1">VLOOKUP(_xlfn.CONCAT(U998,V998,W998,VLOOKUP(X998&amp;Y998,TIME!$L$27:$O$34,4,FALSE),Y998),HIS_SALES!$A$2:$R$5093,18,FALSE)</f>
        <v>#N/A</v>
      </c>
      <c r="AH998" s="412" t="e">
        <f ca="1">IFERROR(IF(AND(V998=V997,W998=W997),0.5*(AB998+AB997)*AG998,(VLOOKUP(_xlfn.CONCAT(U998,V998,W998,X998,VLOOKUP(Z998,TIME!$S$28:$T$39,2,FALSE)),FC_DATA!$R$2:$AB$5000,MATCH("GS_I_M",FC_DATA!$R$1:$AB$1,0),FALSE)+FC_DATA!AB998)*0.5*FC_DATA!AG998),NA())</f>
        <v>#N/A</v>
      </c>
      <c r="AI998" s="491" t="e">
        <f ca="1">IF(V998="PARTNER.com",AH998,IF(AND(V998=V997,W998=W997),(1-AVERAGE(AD997,AD998))*AH998,(1-AVERAGE(AD998,VLOOKUP(_xlfn.CONCAT(U998,V998,W998,X998,M_BRAND_FC!$F$6),FC_DATA!$R$2:$AD$5000,MATCH("DISCOUNT_%_M",FC_DATA!$R$1:$AD$1,0),FALSE)))*AH998))</f>
        <v>#N/A</v>
      </c>
      <c r="AJ998" s="412" t="str">
        <f t="shared" ca="1" si="378"/>
        <v/>
      </c>
      <c r="AK998" s="413" t="str">
        <f>IFERROR(AE998/(Q_BRAND_FC!$T$24+1),"")</f>
        <v/>
      </c>
      <c r="AL998" s="88" t="str">
        <f t="shared" ca="1" si="379"/>
        <v/>
      </c>
      <c r="AM998" s="414" t="str">
        <f t="shared" ca="1" si="380"/>
        <v/>
      </c>
      <c r="AN998" s="58">
        <f>IFERROR(IF($V998="BRAND.com",HLOOKUP($X998&amp;$Z998,NWC_FC_NOOS!$C$4:$Q$23,MATCH(W998,NWC_FC_NOOS!$B$4:$B$23,0),FALSE),0),0)</f>
        <v>0</v>
      </c>
      <c r="AO998" s="57">
        <f>IFERROR(IF($V998="BRAND.com",HLOOKUP($X998&amp;$Z998,NWC_FC_NOOS!$T$4:$AH$23,MATCH(W998,NWC_FC_NOOS!$S$4:$S$23,0),FALSE),0),0)</f>
        <v>0</v>
      </c>
      <c r="AP998" s="57">
        <f>IFERROR(IF($V998="BRAND.com",HLOOKUP($X998&amp;$Z998,NWC_FC_NOOS!$C$50:$U$69,MATCH(W998,NWC_FC_NOOS!$B$50:$B$69,0),FALSE),0),0)</f>
        <v>0</v>
      </c>
      <c r="AQ998" s="58">
        <f>IFERROR(IF($V998="BRAND.com",HLOOKUP($X998&amp;$Z998,'NWC_FC_NON-NOOS'!$C$4:$Q$23,MATCH(W998,'NWC_FC_NON-NOOS'!$B$4:$B$23,0),FALSE),0),0)</f>
        <v>0</v>
      </c>
      <c r="AR998" s="57">
        <f>IFERROR(IF($V998="BRAND.com",HLOOKUP($X998&amp;$Z998,'NWC_FC_NON-NOOS'!$T$4:$AH$23,MATCH(W998,'NWC_FC_NON-NOOS'!$S$4:$S$23,0),FALSE),0),0)</f>
        <v>0</v>
      </c>
      <c r="AS998" s="57">
        <f>IFERROR(IF($V998="BRAND.com",HLOOKUP($X998&amp;$Z998,'NWC_FC_NON-NOOS'!$C$50:$U$69,MATCH(W998,'NWC_FC_NON-NOOS'!$B$50:$B$69,0),FALSE),0),0)</f>
        <v>0</v>
      </c>
      <c r="AT998" s="57">
        <f t="shared" si="382"/>
        <v>0</v>
      </c>
      <c r="AU998" s="57">
        <f t="shared" si="383"/>
        <v>0</v>
      </c>
      <c r="AV998" s="58">
        <f>IFERROR(IF($V998="BRAND.com",HLOOKUP($X998&amp;$Z998,PLANNING_FC!$BB$27:$BP$46,MATCH($W998,PLANNING_FC!$BA$27:$BA$46,0),FALSE),0),0)</f>
        <v>0</v>
      </c>
      <c r="AW998" s="58">
        <f>IFERROR(IF($V998="BRAND.com",HLOOKUP($X998&amp;$Z998,PLANNING_FC!$BB$4:$BP$23,MATCH($W998,PLANNING_FC!$BA$4:$BA$23,0),FALSE),0),0)</f>
        <v>0</v>
      </c>
      <c r="AX998" s="58">
        <f>IFERROR(IF($V998="BRAND.com",HLOOKUP($X998&amp;$Z998,PLANNING_FC!$T$27:$AH$46,MATCH($W998,PLANNING_FC!$B$27:$B$46,0),FALSE),0),0)</f>
        <v>0</v>
      </c>
      <c r="AY998" s="58">
        <f>IFERROR(IF($V998="BRAND.com",HLOOKUP($X998&amp;$Z998,PLANNING_FC!$T$4:$AH$23,MATCH($W998,PLANNING_FC!$B$4:$B$23,0),FALSE),0),0)</f>
        <v>0</v>
      </c>
      <c r="AZ998" s="58">
        <f>IFERROR(IF($V998="BRAND.com",HLOOKUP($X998&amp;$Z998,PLANNING_FC!$DA$27:$DO$46,MATCH($W998,PLANNING_FC!$CZ$27:$CZ$46,0),FALSE),0),0)</f>
        <v>0</v>
      </c>
      <c r="BA998" s="58">
        <f>IFERROR(IF($V998="BRAND.com",HLOOKUP($X998&amp;$Z998,PLANNING_FC!$DA$4:$DO$23,MATCH($W998,PLANNING_FC!$CZ$4:$CZ$23,0),FALSE),0),0)</f>
        <v>0</v>
      </c>
      <c r="BB998" s="883" t="str">
        <f>IF(V998="BRAND.com",IFERROR(HLOOKUP(X998&amp;Z998,PLANNING_FC!$AK$4:$AY$23,MATCH(W998,PLANNING_FC!$AJ$4:$AJ$23,0),FALSE)*1000,""),"")</f>
        <v/>
      </c>
      <c r="BC998" s="883" t="str">
        <f>IF(V998="BRAND.com",IFERROR(HLOOKUP(X998&amp;Z998,PLANNING_FC!$AK$27:$AY$46,MATCH(W998,PLANNING_FC!$AJ$27:$AJ$46,0),FALSE)*1000,""),"")</f>
        <v/>
      </c>
    </row>
    <row r="999" spans="14:55" x14ac:dyDescent="0.25">
      <c r="N999" s="56">
        <f t="shared" si="364"/>
        <v>0</v>
      </c>
      <c r="O999" s="57">
        <f t="shared" si="365"/>
        <v>0</v>
      </c>
      <c r="P999" s="57">
        <f ca="1">IFERROR(IF(ISBLANK(H999),SUMIFS($AC:$AC,$V:$V,V999,$W:$W,W999,$X:$X,X999,$Y:$Y,Y999)*J999/(1-J999)*VLOOKUP(_xlfn.CONCAT(C999,D999,E999,TIME!$M$12,Z999),HIS_SALES!$B$2:$W$4859,20,FALSE),AC999*J999/(1-J999)),0)</f>
        <v>0</v>
      </c>
      <c r="Q999" s="541" t="str">
        <f t="shared" si="366"/>
        <v/>
      </c>
      <c r="R999" s="346" t="str">
        <f t="shared" si="367"/>
        <v>00000</v>
      </c>
      <c r="S999" s="344">
        <f t="shared" si="368"/>
        <v>0</v>
      </c>
      <c r="T999" s="345" t="str">
        <f t="shared" si="381"/>
        <v>000</v>
      </c>
      <c r="U999" s="345">
        <f t="shared" si="369"/>
        <v>0</v>
      </c>
      <c r="V999" s="345">
        <f t="shared" si="370"/>
        <v>0</v>
      </c>
      <c r="W999" s="345">
        <f t="shared" si="371"/>
        <v>0</v>
      </c>
      <c r="X999" s="345">
        <f t="shared" si="372"/>
        <v>0</v>
      </c>
      <c r="Y999" s="345">
        <f t="shared" si="373"/>
        <v>0</v>
      </c>
      <c r="Z999" s="345">
        <f>IF(Q999&lt;&gt;"",VLOOKUP(Y999,TIME!$R$21:$V$24,MATCH(FC_DATA!Q999,TIME!$R$20:$V$20,0),FALSE),H999)</f>
        <v>0</v>
      </c>
      <c r="AA999" s="345" t="str">
        <f>IFERROR(VLOOKUP(X999&amp;Z999,TIME!$A$12:$D$71,4,FALSE),"")</f>
        <v/>
      </c>
      <c r="AB999" s="592">
        <f t="shared" ca="1" si="374"/>
        <v>0</v>
      </c>
      <c r="AC999" s="593" t="e">
        <f ca="1">IF(ISBLANK(H999)=FALSE,IF(D999="BRAND.com",I999,IF(ISNA(VLOOKUP(_xlfn.CONCAT(X999,Z999),TIME!$M$40:$M$42,1,FALSE)),I999,VLOOKUP(_xlfn.CONCAT(D999,G999,H999),M_BUSAREA_FC!$AF$5:$AJ$10,5,FALSE)*HLOOKUP(_xlfn.CONCAT(F999,H999),ST_OVERVIEW!$G$99:$I$130,MATCH(_xlfn.CONCAT(D999,E999),ST_OVERVIEW!$F$99:$F$130,0),FALSE))),IF(D999="BRAND.com",VLOOKUP(_xlfn.CONCAT(C999,D999,E999,TIME!$F$1,Z999),HIS_SALES!$B$2:$V$4859,19,FALSE)*I999,VLOOKUP(_xlfn.CONCAT(D999,F999,G999),Q_BUSAREA_FC!$AE$5:$AI$12,5,FALSE)*HLOOKUP(_xlfn.CONCAT(FC_DATA!F999,FC_DATA!G999),LT_OVERVIEW!$I$99:$M$130,MATCH(_xlfn.CONCAT(D999,FC_DATA!E999),LT_OVERVIEW!$H$99:$H$130,0),FALSE)*IFERROR(VLOOKUP(_xlfn.CONCAT(C999,D999,E999,TIME!$F$1,Z999),HIS_SALES!$B$2:$V$4859,19,FALSE),0)))</f>
        <v>#N/A</v>
      </c>
      <c r="AD999" s="341">
        <f t="shared" ca="1" si="375"/>
        <v>0</v>
      </c>
      <c r="AE999" s="363" t="str">
        <f t="shared" si="376"/>
        <v/>
      </c>
      <c r="AF999" s="342" t="str">
        <f t="shared" si="377"/>
        <v/>
      </c>
      <c r="AG999" s="411" t="e">
        <f ca="1">VLOOKUP(_xlfn.CONCAT(U999,V999,W999,VLOOKUP(X999&amp;Y999,TIME!$L$27:$O$34,4,FALSE),Y999),HIS_SALES!$A$2:$R$5093,18,FALSE)</f>
        <v>#N/A</v>
      </c>
      <c r="AH999" s="412" t="e">
        <f ca="1">IFERROR(IF(AND(V999=V998,W999=W998),0.5*(AB999+AB998)*AG999,(VLOOKUP(_xlfn.CONCAT(U999,V999,W999,X999,VLOOKUP(Z999,TIME!$S$28:$T$39,2,FALSE)),FC_DATA!$R$2:$AB$5000,MATCH("GS_I_M",FC_DATA!$R$1:$AB$1,0),FALSE)+FC_DATA!AB999)*0.5*FC_DATA!AG999),NA())</f>
        <v>#N/A</v>
      </c>
      <c r="AI999" s="491" t="e">
        <f ca="1">IF(V999="PARTNER.com",AH999,IF(AND(V999=V998,W999=W998),(1-AVERAGE(AD998,AD999))*AH999,(1-AVERAGE(AD999,VLOOKUP(_xlfn.CONCAT(U999,V999,W999,X999,M_BRAND_FC!$F$6),FC_DATA!$R$2:$AD$5000,MATCH("DISCOUNT_%_M",FC_DATA!$R$1:$AD$1,0),FALSE)))*AH999))</f>
        <v>#N/A</v>
      </c>
      <c r="AJ999" s="412" t="str">
        <f t="shared" ca="1" si="378"/>
        <v/>
      </c>
      <c r="AK999" s="413" t="str">
        <f>IFERROR(AE999/(Q_BRAND_FC!$T$24+1),"")</f>
        <v/>
      </c>
      <c r="AL999" s="88" t="str">
        <f t="shared" ca="1" si="379"/>
        <v/>
      </c>
      <c r="AM999" s="414" t="str">
        <f t="shared" ca="1" si="380"/>
        <v/>
      </c>
      <c r="AN999" s="58">
        <f>IFERROR(IF($V999="BRAND.com",HLOOKUP($X999&amp;$Z999,NWC_FC_NOOS!$C$4:$Q$23,MATCH(W999,NWC_FC_NOOS!$B$4:$B$23,0),FALSE),0),0)</f>
        <v>0</v>
      </c>
      <c r="AO999" s="57">
        <f>IFERROR(IF($V999="BRAND.com",HLOOKUP($X999&amp;$Z999,NWC_FC_NOOS!$T$4:$AH$23,MATCH(W999,NWC_FC_NOOS!$S$4:$S$23,0),FALSE),0),0)</f>
        <v>0</v>
      </c>
      <c r="AP999" s="57">
        <f>IFERROR(IF($V999="BRAND.com",HLOOKUP($X999&amp;$Z999,NWC_FC_NOOS!$C$50:$U$69,MATCH(W999,NWC_FC_NOOS!$B$50:$B$69,0),FALSE),0),0)</f>
        <v>0</v>
      </c>
      <c r="AQ999" s="58">
        <f>IFERROR(IF($V999="BRAND.com",HLOOKUP($X999&amp;$Z999,'NWC_FC_NON-NOOS'!$C$4:$Q$23,MATCH(W999,'NWC_FC_NON-NOOS'!$B$4:$B$23,0),FALSE),0),0)</f>
        <v>0</v>
      </c>
      <c r="AR999" s="57">
        <f>IFERROR(IF($V999="BRAND.com",HLOOKUP($X999&amp;$Z999,'NWC_FC_NON-NOOS'!$T$4:$AH$23,MATCH(W999,'NWC_FC_NON-NOOS'!$S$4:$S$23,0),FALSE),0),0)</f>
        <v>0</v>
      </c>
      <c r="AS999" s="57">
        <f>IFERROR(IF($V999="BRAND.com",HLOOKUP($X999&amp;$Z999,'NWC_FC_NON-NOOS'!$C$50:$U$69,MATCH(W999,'NWC_FC_NON-NOOS'!$B$50:$B$69,0),FALSE),0),0)</f>
        <v>0</v>
      </c>
      <c r="AT999" s="57">
        <f t="shared" si="382"/>
        <v>0</v>
      </c>
      <c r="AU999" s="57">
        <f t="shared" si="383"/>
        <v>0</v>
      </c>
      <c r="AV999" s="58">
        <f>IFERROR(IF($V999="BRAND.com",HLOOKUP($X999&amp;$Z999,PLANNING_FC!$BB$27:$BP$46,MATCH($W999,PLANNING_FC!$BA$27:$BA$46,0),FALSE),0),0)</f>
        <v>0</v>
      </c>
      <c r="AW999" s="58">
        <f>IFERROR(IF($V999="BRAND.com",HLOOKUP($X999&amp;$Z999,PLANNING_FC!$BB$4:$BP$23,MATCH($W999,PLANNING_FC!$BA$4:$BA$23,0),FALSE),0),0)</f>
        <v>0</v>
      </c>
      <c r="AX999" s="58">
        <f>IFERROR(IF($V999="BRAND.com",HLOOKUP($X999&amp;$Z999,PLANNING_FC!$T$27:$AH$46,MATCH($W999,PLANNING_FC!$B$27:$B$46,0),FALSE),0),0)</f>
        <v>0</v>
      </c>
      <c r="AY999" s="58">
        <f>IFERROR(IF($V999="BRAND.com",HLOOKUP($X999&amp;$Z999,PLANNING_FC!$T$4:$AH$23,MATCH($W999,PLANNING_FC!$B$4:$B$23,0),FALSE),0),0)</f>
        <v>0</v>
      </c>
      <c r="AZ999" s="58">
        <f>IFERROR(IF($V999="BRAND.com",HLOOKUP($X999&amp;$Z999,PLANNING_FC!$DA$27:$DO$46,MATCH($W999,PLANNING_FC!$CZ$27:$CZ$46,0),FALSE),0),0)</f>
        <v>0</v>
      </c>
      <c r="BA999" s="58">
        <f>IFERROR(IF($V999="BRAND.com",HLOOKUP($X999&amp;$Z999,PLANNING_FC!$DA$4:$DO$23,MATCH($W999,PLANNING_FC!$CZ$4:$CZ$23,0),FALSE),0),0)</f>
        <v>0</v>
      </c>
      <c r="BB999" s="883" t="str">
        <f>IF(V999="BRAND.com",IFERROR(HLOOKUP(X999&amp;Z999,PLANNING_FC!$AK$4:$AY$23,MATCH(W999,PLANNING_FC!$AJ$4:$AJ$23,0),FALSE)*1000,""),"")</f>
        <v/>
      </c>
      <c r="BC999" s="883" t="str">
        <f>IF(V999="BRAND.com",IFERROR(HLOOKUP(X999&amp;Z999,PLANNING_FC!$AK$27:$AY$46,MATCH(W999,PLANNING_FC!$AJ$27:$AJ$46,0),FALSE)*1000,""),"")</f>
        <v/>
      </c>
    </row>
    <row r="1000" spans="14:55" x14ac:dyDescent="0.25">
      <c r="N1000" s="56">
        <f t="shared" si="364"/>
        <v>0</v>
      </c>
      <c r="O1000" s="57">
        <f t="shared" si="365"/>
        <v>0</v>
      </c>
      <c r="P1000" s="57">
        <f ca="1">IFERROR(IF(ISBLANK(H1000),SUMIFS($AC:$AC,$V:$V,V1000,$W:$W,W1000,$X:$X,X1000,$Y:$Y,Y1000)*J1000/(1-J1000)*VLOOKUP(_xlfn.CONCAT(C1000,D1000,E1000,TIME!$M$12,Z1000),HIS_SALES!$B$2:$W$4859,20,FALSE),AC1000*J1000/(1-J1000)),0)</f>
        <v>0</v>
      </c>
      <c r="Q1000" s="541" t="str">
        <f t="shared" si="366"/>
        <v/>
      </c>
      <c r="R1000" s="346" t="str">
        <f t="shared" si="367"/>
        <v>00000</v>
      </c>
      <c r="S1000" s="344">
        <f t="shared" si="368"/>
        <v>0</v>
      </c>
      <c r="T1000" s="345" t="str">
        <f t="shared" si="381"/>
        <v>000</v>
      </c>
      <c r="U1000" s="345">
        <f t="shared" si="369"/>
        <v>0</v>
      </c>
      <c r="V1000" s="345">
        <f t="shared" si="370"/>
        <v>0</v>
      </c>
      <c r="W1000" s="345">
        <f t="shared" si="371"/>
        <v>0</v>
      </c>
      <c r="X1000" s="345">
        <f t="shared" si="372"/>
        <v>0</v>
      </c>
      <c r="Y1000" s="345">
        <f t="shared" si="373"/>
        <v>0</v>
      </c>
      <c r="Z1000" s="345">
        <f>IF(Q1000&lt;&gt;"",VLOOKUP(Y1000,TIME!$R$21:$V$24,MATCH(FC_DATA!Q1000,TIME!$R$20:$V$20,0),FALSE),H1000)</f>
        <v>0</v>
      </c>
      <c r="AA1000" s="345" t="str">
        <f>IFERROR(VLOOKUP(X1000&amp;Z1000,TIME!$A$12:$D$71,4,FALSE),"")</f>
        <v/>
      </c>
      <c r="AB1000" s="592">
        <f t="shared" ca="1" si="374"/>
        <v>0</v>
      </c>
      <c r="AC1000" s="593" t="e">
        <f ca="1">IF(ISBLANK(H1000)=FALSE,IF(D1000="BRAND.com",I1000,IF(ISNA(VLOOKUP(_xlfn.CONCAT(X1000,Z1000),TIME!$M$40:$M$42,1,FALSE)),I1000,VLOOKUP(_xlfn.CONCAT(D1000,G1000,H1000),M_BUSAREA_FC!$AF$5:$AJ$10,5,FALSE)*HLOOKUP(_xlfn.CONCAT(F1000,H1000),ST_OVERVIEW!$G$99:$I$130,MATCH(_xlfn.CONCAT(D1000,E1000),ST_OVERVIEW!$F$99:$F$130,0),FALSE))),IF(D1000="BRAND.com",VLOOKUP(_xlfn.CONCAT(C1000,D1000,E1000,TIME!$F$1,Z1000),HIS_SALES!$B$2:$V$4859,19,FALSE)*I1000,VLOOKUP(_xlfn.CONCAT(D1000,F1000,G1000),Q_BUSAREA_FC!$AE$5:$AI$12,5,FALSE)*HLOOKUP(_xlfn.CONCAT(FC_DATA!F1000,FC_DATA!G1000),LT_OVERVIEW!$I$99:$M$130,MATCH(_xlfn.CONCAT(D1000,FC_DATA!E1000),LT_OVERVIEW!$H$99:$H$130,0),FALSE)*IFERROR(VLOOKUP(_xlfn.CONCAT(C1000,D1000,E1000,TIME!$F$1,Z1000),HIS_SALES!$B$2:$V$4859,19,FALSE),0)))</f>
        <v>#N/A</v>
      </c>
      <c r="AD1000" s="341">
        <f t="shared" ca="1" si="375"/>
        <v>0</v>
      </c>
      <c r="AE1000" s="363" t="str">
        <f t="shared" si="376"/>
        <v/>
      </c>
      <c r="AF1000" s="342" t="str">
        <f t="shared" si="377"/>
        <v/>
      </c>
      <c r="AG1000" s="411" t="e">
        <f ca="1">VLOOKUP(_xlfn.CONCAT(U1000,V1000,W1000,VLOOKUP(X1000&amp;Y1000,TIME!$L$27:$O$34,4,FALSE),Y1000),HIS_SALES!$A$2:$R$5093,18,FALSE)</f>
        <v>#N/A</v>
      </c>
      <c r="AH1000" s="412" t="e">
        <f ca="1">IFERROR(IF(AND(V1000=V999,W1000=W999),0.5*(AB1000+AB999)*AG1000,(VLOOKUP(_xlfn.CONCAT(U1000,V1000,W1000,X1000,VLOOKUP(Z1000,TIME!$S$28:$T$39,2,FALSE)),FC_DATA!$R$2:$AB$5000,MATCH("GS_I_M",FC_DATA!$R$1:$AB$1,0),FALSE)+FC_DATA!AB1000)*0.5*FC_DATA!AG1000),NA())</f>
        <v>#N/A</v>
      </c>
      <c r="AI1000" s="491" t="e">
        <f ca="1">IF(V1000="PARTNER.com",AH1000,IF(AND(V1000=V999,W1000=W999),(1-AVERAGE(AD999,AD1000))*AH1000,(1-AVERAGE(AD1000,VLOOKUP(_xlfn.CONCAT(U1000,V1000,W1000,X1000,M_BRAND_FC!$F$6),FC_DATA!$R$2:$AD$5000,MATCH("DISCOUNT_%_M",FC_DATA!$R$1:$AD$1,0),FALSE)))*AH1000))</f>
        <v>#N/A</v>
      </c>
      <c r="AJ1000" s="412" t="str">
        <f t="shared" ca="1" si="378"/>
        <v/>
      </c>
      <c r="AK1000" s="413" t="str">
        <f>IFERROR(AE1000/(Q_BRAND_FC!$T$24+1),"")</f>
        <v/>
      </c>
      <c r="AL1000" s="88" t="str">
        <f t="shared" ca="1" si="379"/>
        <v/>
      </c>
      <c r="AM1000" s="414" t="str">
        <f t="shared" ca="1" si="380"/>
        <v/>
      </c>
      <c r="AN1000" s="58">
        <f>IFERROR(IF($V1000="BRAND.com",HLOOKUP($X1000&amp;$Z1000,NWC_FC_NOOS!$C$4:$Q$23,MATCH(W1000,NWC_FC_NOOS!$B$4:$B$23,0),FALSE),0),0)</f>
        <v>0</v>
      </c>
      <c r="AO1000" s="57">
        <f>IFERROR(IF($V1000="BRAND.com",HLOOKUP($X1000&amp;$Z1000,NWC_FC_NOOS!$T$4:$AH$23,MATCH(W1000,NWC_FC_NOOS!$S$4:$S$23,0),FALSE),0),0)</f>
        <v>0</v>
      </c>
      <c r="AP1000" s="57">
        <f>IFERROR(IF($V1000="BRAND.com",HLOOKUP($X1000&amp;$Z1000,NWC_FC_NOOS!$C$50:$U$69,MATCH(W1000,NWC_FC_NOOS!$B$50:$B$69,0),FALSE),0),0)</f>
        <v>0</v>
      </c>
      <c r="AQ1000" s="58">
        <f>IFERROR(IF($V1000="BRAND.com",HLOOKUP($X1000&amp;$Z1000,'NWC_FC_NON-NOOS'!$C$4:$Q$23,MATCH(W1000,'NWC_FC_NON-NOOS'!$B$4:$B$23,0),FALSE),0),0)</f>
        <v>0</v>
      </c>
      <c r="AR1000" s="57">
        <f>IFERROR(IF($V1000="BRAND.com",HLOOKUP($X1000&amp;$Z1000,'NWC_FC_NON-NOOS'!$T$4:$AH$23,MATCH(W1000,'NWC_FC_NON-NOOS'!$S$4:$S$23,0),FALSE),0),0)</f>
        <v>0</v>
      </c>
      <c r="AS1000" s="57">
        <f>IFERROR(IF($V1000="BRAND.com",HLOOKUP($X1000&amp;$Z1000,'NWC_FC_NON-NOOS'!$C$50:$U$69,MATCH(W1000,'NWC_FC_NON-NOOS'!$B$50:$B$69,0),FALSE),0),0)</f>
        <v>0</v>
      </c>
      <c r="AT1000" s="57">
        <f t="shared" si="382"/>
        <v>0</v>
      </c>
      <c r="AU1000" s="57">
        <f t="shared" si="383"/>
        <v>0</v>
      </c>
      <c r="AV1000" s="58">
        <f>IFERROR(IF($V1000="BRAND.com",HLOOKUP($X1000&amp;$Z1000,PLANNING_FC!$BB$27:$BP$46,MATCH($W1000,PLANNING_FC!$BA$27:$BA$46,0),FALSE),0),0)</f>
        <v>0</v>
      </c>
      <c r="AW1000" s="58">
        <f>IFERROR(IF($V1000="BRAND.com",HLOOKUP($X1000&amp;$Z1000,PLANNING_FC!$BB$4:$BP$23,MATCH($W1000,PLANNING_FC!$BA$4:$BA$23,0),FALSE),0),0)</f>
        <v>0</v>
      </c>
      <c r="AX1000" s="58">
        <f>IFERROR(IF($V1000="BRAND.com",HLOOKUP($X1000&amp;$Z1000,PLANNING_FC!$T$27:$AH$46,MATCH($W1000,PLANNING_FC!$B$27:$B$46,0),FALSE),0),0)</f>
        <v>0</v>
      </c>
      <c r="AY1000" s="58">
        <f>IFERROR(IF($V1000="BRAND.com",HLOOKUP($X1000&amp;$Z1000,PLANNING_FC!$T$4:$AH$23,MATCH($W1000,PLANNING_FC!$B$4:$B$23,0),FALSE),0),0)</f>
        <v>0</v>
      </c>
      <c r="AZ1000" s="58">
        <f>IFERROR(IF($V1000="BRAND.com",HLOOKUP($X1000&amp;$Z1000,PLANNING_FC!$DA$27:$DO$46,MATCH($W1000,PLANNING_FC!$CZ$27:$CZ$46,0),FALSE),0),0)</f>
        <v>0</v>
      </c>
      <c r="BA1000" s="58">
        <f>IFERROR(IF($V1000="BRAND.com",HLOOKUP($X1000&amp;$Z1000,PLANNING_FC!$DA$4:$DO$23,MATCH($W1000,PLANNING_FC!$CZ$4:$CZ$23,0),FALSE),0),0)</f>
        <v>0</v>
      </c>
      <c r="BB1000" s="883" t="str">
        <f>IF(V1000="BRAND.com",IFERROR(HLOOKUP(X1000&amp;Z1000,PLANNING_FC!$AK$4:$AY$23,MATCH(W1000,PLANNING_FC!$AJ$4:$AJ$23,0),FALSE)*1000,""),"")</f>
        <v/>
      </c>
      <c r="BC1000" s="883" t="str">
        <f>IF(V1000="BRAND.com",IFERROR(HLOOKUP(X1000&amp;Z1000,PLANNING_FC!$AK$27:$AY$46,MATCH(W1000,PLANNING_FC!$AJ$27:$AJ$46,0),FALSE)*1000,""),"")</f>
        <v/>
      </c>
    </row>
  </sheetData>
  <sheetProtection pivotTables="0"/>
  <protectedRanges>
    <protectedRange sqref="A2:M1048576" name="Range1"/>
  </protectedRanges>
  <autoFilter ref="A1:AM1000" xr:uid="{12727B58-16AB-48D5-980A-DC399A75F360}"/>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D12D5-725E-4DDD-BF47-5578F2509F94}">
  <sheetPr codeName="Sheet11"/>
  <dimension ref="A1:U1249"/>
  <sheetViews>
    <sheetView workbookViewId="0">
      <selection activeCell="A2" sqref="A2"/>
    </sheetView>
  </sheetViews>
  <sheetFormatPr defaultRowHeight="15" x14ac:dyDescent="0.25"/>
  <cols>
    <col min="1" max="1" width="39.28515625" bestFit="1" customWidth="1"/>
    <col min="2" max="2" width="40.5703125" bestFit="1" customWidth="1"/>
    <col min="3" max="3" width="6.140625" bestFit="1" customWidth="1"/>
    <col min="4" max="4" width="13.7109375" bestFit="1" customWidth="1"/>
    <col min="5" max="5" width="16.5703125" bestFit="1" customWidth="1"/>
    <col min="6" max="6" width="5.85546875" bestFit="1" customWidth="1"/>
    <col min="7" max="7" width="3.42578125" bestFit="1" customWidth="1"/>
    <col min="8" max="8" width="6.85546875" bestFit="1" customWidth="1"/>
    <col min="9" max="9" width="10.5703125" style="881" bestFit="1" customWidth="1"/>
    <col min="10" max="10" width="12.140625" style="881" bestFit="1" customWidth="1"/>
    <col min="11" max="11" width="11.28515625" style="60" bestFit="1" customWidth="1"/>
    <col min="12" max="12" width="16.28515625" style="880" bestFit="1" customWidth="1"/>
    <col min="13" max="13" width="11.5703125" bestFit="1" customWidth="1"/>
    <col min="14" max="14" width="8" style="60" bestFit="1" customWidth="1"/>
    <col min="15" max="15" width="10.5703125" style="881" bestFit="1" customWidth="1"/>
    <col min="16" max="16" width="10.7109375" style="60" bestFit="1" customWidth="1"/>
    <col min="17" max="17" width="15.7109375" style="880" bestFit="1" customWidth="1"/>
    <col min="18" max="18" width="7.85546875" style="60" bestFit="1" customWidth="1"/>
    <col min="19" max="19" width="7.42578125" style="60" bestFit="1" customWidth="1"/>
    <col min="20" max="20" width="9.85546875" style="60" bestFit="1" customWidth="1"/>
    <col min="21" max="21" width="13.140625" style="60" bestFit="1" customWidth="1"/>
    <col min="22" max="22" width="13.5703125" bestFit="1" customWidth="1"/>
    <col min="23" max="23" width="17.42578125" bestFit="1" customWidth="1"/>
  </cols>
  <sheetData>
    <row r="1" spans="1:21" x14ac:dyDescent="0.25">
      <c r="A1" t="s">
        <v>1720</v>
      </c>
      <c r="B1" t="s">
        <v>1721</v>
      </c>
      <c r="C1" t="s">
        <v>163</v>
      </c>
      <c r="D1" t="s">
        <v>1722</v>
      </c>
      <c r="E1" t="s">
        <v>1723</v>
      </c>
      <c r="F1" t="s">
        <v>1724</v>
      </c>
      <c r="G1" t="s">
        <v>1725</v>
      </c>
      <c r="H1" t="s">
        <v>1726</v>
      </c>
      <c r="I1" s="881" t="s">
        <v>1727</v>
      </c>
      <c r="J1" s="881" t="s">
        <v>1728</v>
      </c>
      <c r="K1" s="60" t="s">
        <v>1729</v>
      </c>
      <c r="L1" s="880" t="s">
        <v>1730</v>
      </c>
      <c r="M1" t="s">
        <v>1731</v>
      </c>
      <c r="N1" s="60" t="s">
        <v>1732</v>
      </c>
      <c r="O1" s="881" t="s">
        <v>1733</v>
      </c>
      <c r="P1" s="60" t="s">
        <v>1734</v>
      </c>
      <c r="Q1" s="880" t="s">
        <v>1735</v>
      </c>
      <c r="R1" s="60" t="s">
        <v>1736</v>
      </c>
      <c r="S1" s="60" t="s">
        <v>1737</v>
      </c>
      <c r="T1" s="60" t="s">
        <v>1738</v>
      </c>
      <c r="U1" s="60" t="s">
        <v>1739</v>
      </c>
    </row>
    <row r="2" spans="1:21" x14ac:dyDescent="0.25">
      <c r="A2" s="519" t="s">
        <v>405</v>
      </c>
      <c r="B2" s="519" t="s">
        <v>407</v>
      </c>
      <c r="C2" s="519" t="s">
        <v>284</v>
      </c>
      <c r="D2" s="519" t="s">
        <v>111</v>
      </c>
      <c r="E2" s="519" t="s">
        <v>2</v>
      </c>
      <c r="F2" s="519" t="s">
        <v>70</v>
      </c>
      <c r="G2" s="519" t="s">
        <v>56</v>
      </c>
      <c r="H2" s="519" t="s">
        <v>145</v>
      </c>
      <c r="I2" s="881">
        <v>48152.732300000003</v>
      </c>
      <c r="J2" s="881">
        <v>3507.3270770600002</v>
      </c>
      <c r="K2" s="60">
        <v>6.7892432168156699E-2</v>
      </c>
      <c r="L2" s="880">
        <v>3.1336663779349498</v>
      </c>
      <c r="M2">
        <v>0</v>
      </c>
      <c r="N2" s="60">
        <v>0.33215136994417305</v>
      </c>
      <c r="O2" s="881">
        <v>106016.46470000001</v>
      </c>
      <c r="P2" s="60">
        <v>9.7867160032970801E-2</v>
      </c>
      <c r="Q2" s="880">
        <v>3.07859100615127</v>
      </c>
      <c r="R2" s="60">
        <v>0.36277306664467202</v>
      </c>
      <c r="S2" s="60">
        <v>0.32498399090646202</v>
      </c>
      <c r="T2" s="60">
        <v>0.41938122501526404</v>
      </c>
      <c r="U2" s="60">
        <v>0.326748101442841</v>
      </c>
    </row>
    <row r="3" spans="1:21" x14ac:dyDescent="0.25">
      <c r="A3" s="519" t="s">
        <v>409</v>
      </c>
      <c r="B3" s="519" t="s">
        <v>410</v>
      </c>
      <c r="C3" s="519" t="s">
        <v>284</v>
      </c>
      <c r="D3" s="519" t="s">
        <v>111</v>
      </c>
      <c r="E3" s="519" t="s">
        <v>2</v>
      </c>
      <c r="F3" s="519" t="s">
        <v>70</v>
      </c>
      <c r="G3" s="519" t="s">
        <v>57</v>
      </c>
      <c r="H3" s="519" t="s">
        <v>147</v>
      </c>
      <c r="I3" s="881">
        <v>33149.090499999998</v>
      </c>
      <c r="J3" s="881">
        <v>3586.55962314</v>
      </c>
      <c r="K3" s="60">
        <v>9.7631581613981014E-2</v>
      </c>
      <c r="L3" s="880">
        <v>3.2480762253831199</v>
      </c>
      <c r="M3">
        <v>0</v>
      </c>
      <c r="N3" s="60">
        <v>0.35305867290687803</v>
      </c>
      <c r="O3" s="881">
        <v>96503.471400000097</v>
      </c>
      <c r="P3" s="60">
        <v>0.10924406137832901</v>
      </c>
      <c r="Q3" s="880">
        <v>3.2282332050054401</v>
      </c>
      <c r="R3" s="60">
        <v>0.36277306664467202</v>
      </c>
      <c r="S3" s="60">
        <v>0.37543164690757402</v>
      </c>
      <c r="T3" s="60">
        <v>0.33626771341516404</v>
      </c>
      <c r="U3" s="60">
        <v>0.27070386450375999</v>
      </c>
    </row>
    <row r="4" spans="1:21" x14ac:dyDescent="0.25">
      <c r="A4" s="519" t="s">
        <v>409</v>
      </c>
      <c r="B4" s="519" t="s">
        <v>412</v>
      </c>
      <c r="C4" s="519" t="s">
        <v>284</v>
      </c>
      <c r="D4" s="519" t="s">
        <v>111</v>
      </c>
      <c r="E4" s="519" t="s">
        <v>2</v>
      </c>
      <c r="F4" s="519" t="s">
        <v>70</v>
      </c>
      <c r="G4" s="519" t="s">
        <v>57</v>
      </c>
      <c r="H4" s="519" t="s">
        <v>149</v>
      </c>
      <c r="I4" s="881">
        <v>45495.599000000002</v>
      </c>
      <c r="J4" s="881">
        <v>4294.4799298500002</v>
      </c>
      <c r="K4" s="60">
        <v>8.6251719662878007E-2</v>
      </c>
      <c r="L4" s="880">
        <v>3.2360428806050501</v>
      </c>
      <c r="M4">
        <v>0</v>
      </c>
      <c r="N4" s="60">
        <v>0.34179388648119502</v>
      </c>
      <c r="O4" s="881">
        <v>96503.471400000097</v>
      </c>
      <c r="P4" s="60">
        <v>0.10924406137832901</v>
      </c>
      <c r="Q4" s="880">
        <v>3.2282332050054401</v>
      </c>
      <c r="R4" s="60">
        <v>0.36277306664467202</v>
      </c>
      <c r="S4" s="60">
        <v>0.37543164690757402</v>
      </c>
      <c r="T4" s="60">
        <v>0.48253953856258702</v>
      </c>
      <c r="U4" s="60">
        <v>0.38087694061595101</v>
      </c>
    </row>
    <row r="5" spans="1:21" x14ac:dyDescent="0.25">
      <c r="A5" s="519" t="s">
        <v>413</v>
      </c>
      <c r="B5" s="519" t="s">
        <v>415</v>
      </c>
      <c r="C5" s="519" t="s">
        <v>284</v>
      </c>
      <c r="D5" s="519" t="s">
        <v>111</v>
      </c>
      <c r="E5" s="519" t="s">
        <v>2</v>
      </c>
      <c r="F5" s="519" t="s">
        <v>70</v>
      </c>
      <c r="G5" s="519" t="s">
        <v>58</v>
      </c>
      <c r="H5" s="519" t="s">
        <v>151</v>
      </c>
      <c r="I5" s="881">
        <v>8880.0426000000007</v>
      </c>
      <c r="J5" s="881">
        <v>1162.2668159100001</v>
      </c>
      <c r="K5" s="60">
        <v>0.115737005082579</v>
      </c>
      <c r="L5" s="880">
        <v>3.17209391705281</v>
      </c>
      <c r="M5">
        <v>0</v>
      </c>
      <c r="N5" s="60">
        <v>0.52880862305773102</v>
      </c>
      <c r="O5" s="881">
        <v>29410.022800000002</v>
      </c>
      <c r="P5" s="60">
        <v>0.41921994030691101</v>
      </c>
      <c r="Q5" s="880">
        <v>3.8703658562494798</v>
      </c>
      <c r="R5" s="60">
        <v>0.36277306664467202</v>
      </c>
      <c r="S5" s="60">
        <v>0.35727664583789404</v>
      </c>
      <c r="T5" s="60">
        <v>0.295008933005035</v>
      </c>
      <c r="U5" s="60">
        <v>0.18832417328655301</v>
      </c>
    </row>
    <row r="6" spans="1:21" x14ac:dyDescent="0.25">
      <c r="A6" s="519" t="s">
        <v>417</v>
      </c>
      <c r="B6" s="519" t="s">
        <v>418</v>
      </c>
      <c r="C6" s="519" t="s">
        <v>284</v>
      </c>
      <c r="D6" s="519" t="s">
        <v>111</v>
      </c>
      <c r="E6" s="519" t="s">
        <v>2</v>
      </c>
      <c r="F6" s="519" t="s">
        <v>70</v>
      </c>
      <c r="G6" s="519" t="s">
        <v>59</v>
      </c>
      <c r="H6" s="519" t="s">
        <v>153</v>
      </c>
      <c r="I6" s="881">
        <v>4659.9930000000004</v>
      </c>
      <c r="J6" s="881">
        <v>295.80548551999999</v>
      </c>
      <c r="K6" s="60">
        <v>5.9688763855974596E-2</v>
      </c>
      <c r="L6" s="880">
        <v>3.26005453884716</v>
      </c>
      <c r="M6">
        <v>0</v>
      </c>
      <c r="N6" s="60">
        <v>0.15073816634488502</v>
      </c>
      <c r="O6" s="881">
        <v>17023.2948</v>
      </c>
      <c r="P6" s="60">
        <v>7.7548583274142893E-2</v>
      </c>
      <c r="Q6" s="880">
        <v>3.5130865827284001</v>
      </c>
      <c r="R6" s="60">
        <v>0.36277306664467202</v>
      </c>
      <c r="S6" s="60">
        <v>0.16068660221991801</v>
      </c>
      <c r="T6" s="60">
        <v>0.27232998378691303</v>
      </c>
      <c r="U6" s="60">
        <v>0.31411187639399901</v>
      </c>
    </row>
    <row r="7" spans="1:21" x14ac:dyDescent="0.25">
      <c r="A7" s="519" t="s">
        <v>417</v>
      </c>
      <c r="B7" s="519" t="s">
        <v>420</v>
      </c>
      <c r="C7" s="519" t="s">
        <v>284</v>
      </c>
      <c r="D7" s="519" t="s">
        <v>111</v>
      </c>
      <c r="E7" s="519" t="s">
        <v>2</v>
      </c>
      <c r="F7" s="519" t="s">
        <v>70</v>
      </c>
      <c r="G7" s="519" t="s">
        <v>59</v>
      </c>
      <c r="H7" s="519" t="s">
        <v>155</v>
      </c>
      <c r="I7" s="881">
        <v>8035.7542000000094</v>
      </c>
      <c r="J7" s="881">
        <v>920.16950026000097</v>
      </c>
      <c r="K7" s="60">
        <v>0.10274423175727701</v>
      </c>
      <c r="L7" s="880">
        <v>3.6341554435547598</v>
      </c>
      <c r="M7">
        <v>0</v>
      </c>
      <c r="N7" s="60">
        <v>0.16560897295738602</v>
      </c>
      <c r="O7" s="881">
        <v>17023.2948</v>
      </c>
      <c r="P7" s="60">
        <v>7.7548583274142893E-2</v>
      </c>
      <c r="Q7" s="880">
        <v>3.5130865827284001</v>
      </c>
      <c r="R7" s="60">
        <v>0.36277306664467202</v>
      </c>
      <c r="S7" s="60">
        <v>0.16068660221991801</v>
      </c>
      <c r="T7" s="60">
        <v>0.45619566855706606</v>
      </c>
      <c r="U7" s="60">
        <v>0.43918315170245603</v>
      </c>
    </row>
    <row r="8" spans="1:21" x14ac:dyDescent="0.25">
      <c r="A8" s="519" t="s">
        <v>421</v>
      </c>
      <c r="B8" s="519" t="s">
        <v>422</v>
      </c>
      <c r="C8" s="519" t="s">
        <v>284</v>
      </c>
      <c r="D8" s="519" t="s">
        <v>111</v>
      </c>
      <c r="E8" s="519" t="s">
        <v>2</v>
      </c>
      <c r="F8" s="519" t="s">
        <v>16</v>
      </c>
      <c r="G8" s="519" t="s">
        <v>56</v>
      </c>
      <c r="H8" s="519" t="s">
        <v>144</v>
      </c>
      <c r="I8" s="881">
        <v>19548.769100000001</v>
      </c>
      <c r="J8" s="881">
        <v>416.02001104999999</v>
      </c>
      <c r="K8" s="60">
        <v>2.0837686225282599E-2</v>
      </c>
      <c r="L8" s="880">
        <v>3.0661144105273599</v>
      </c>
      <c r="M8">
        <v>0</v>
      </c>
      <c r="N8" s="60">
        <v>0.28564675716590204</v>
      </c>
      <c r="O8" s="881">
        <v>67838.8287000001</v>
      </c>
      <c r="P8" s="60">
        <v>2.45846625122653E-2</v>
      </c>
      <c r="Q8" s="880">
        <v>3.1164602154088201</v>
      </c>
      <c r="R8" s="60">
        <v>0.36277306664467202</v>
      </c>
      <c r="S8" s="60">
        <v>0.25700265959927998</v>
      </c>
      <c r="T8" s="60">
        <v>0.25155312169417404</v>
      </c>
      <c r="U8" s="60">
        <v>0.22202298558495201</v>
      </c>
    </row>
    <row r="9" spans="1:21" x14ac:dyDescent="0.25">
      <c r="A9" s="519" t="s">
        <v>421</v>
      </c>
      <c r="B9" s="519" t="s">
        <v>424</v>
      </c>
      <c r="C9" s="519" t="s">
        <v>284</v>
      </c>
      <c r="D9" s="519" t="s">
        <v>111</v>
      </c>
      <c r="E9" s="519" t="s">
        <v>2</v>
      </c>
      <c r="F9" s="519" t="s">
        <v>16</v>
      </c>
      <c r="G9" s="519" t="s">
        <v>56</v>
      </c>
      <c r="H9" s="519" t="s">
        <v>146</v>
      </c>
      <c r="I9" s="881">
        <v>23975.2379</v>
      </c>
      <c r="J9" s="881">
        <v>593.68659693999894</v>
      </c>
      <c r="K9" s="60">
        <v>2.4164126395273801E-2</v>
      </c>
      <c r="L9" s="880">
        <v>3.1580279991385898</v>
      </c>
      <c r="M9">
        <v>0</v>
      </c>
      <c r="N9" s="60">
        <v>0.26734436282694801</v>
      </c>
      <c r="O9" s="881">
        <v>67838.8287000001</v>
      </c>
      <c r="P9" s="60">
        <v>2.45846625122653E-2</v>
      </c>
      <c r="Q9" s="880">
        <v>3.1164602154088201</v>
      </c>
      <c r="R9" s="60">
        <v>0.36277306664467202</v>
      </c>
      <c r="S9" s="60">
        <v>0.25700265959927998</v>
      </c>
      <c r="T9" s="60">
        <v>0.32906565329056203</v>
      </c>
      <c r="U9" s="60">
        <v>0.45122891297220602</v>
      </c>
    </row>
    <row r="10" spans="1:21" x14ac:dyDescent="0.25">
      <c r="A10" s="519" t="s">
        <v>425</v>
      </c>
      <c r="B10" s="519" t="s">
        <v>427</v>
      </c>
      <c r="C10" s="519" t="s">
        <v>284</v>
      </c>
      <c r="D10" s="519" t="s">
        <v>111</v>
      </c>
      <c r="E10" s="519" t="s">
        <v>2</v>
      </c>
      <c r="F10" s="519" t="s">
        <v>16</v>
      </c>
      <c r="G10" s="519" t="s">
        <v>57</v>
      </c>
      <c r="H10" s="519" t="s">
        <v>148</v>
      </c>
      <c r="I10" s="881">
        <v>10388.3717</v>
      </c>
      <c r="J10" s="881">
        <v>2068.9663423699999</v>
      </c>
      <c r="K10" s="60">
        <v>0.16608414537142802</v>
      </c>
      <c r="L10" s="880">
        <v>3.0373614796318003</v>
      </c>
      <c r="M10">
        <v>0</v>
      </c>
      <c r="N10" s="60">
        <v>0.131917642107473</v>
      </c>
      <c r="O10" s="881">
        <v>59392.136500000001</v>
      </c>
      <c r="P10" s="60">
        <v>8.4080518977595192E-2</v>
      </c>
      <c r="Q10" s="880">
        <v>3.0961123678415401</v>
      </c>
      <c r="R10" s="60">
        <v>0.36277306664467202</v>
      </c>
      <c r="S10" s="60">
        <v>0.19307653463518701</v>
      </c>
      <c r="T10" s="60">
        <v>0.18119274802224902</v>
      </c>
      <c r="U10" s="60">
        <v>0.34841919488028905</v>
      </c>
    </row>
    <row r="11" spans="1:21" x14ac:dyDescent="0.25">
      <c r="A11" s="519" t="s">
        <v>429</v>
      </c>
      <c r="B11" s="519" t="s">
        <v>430</v>
      </c>
      <c r="C11" s="519" t="s">
        <v>284</v>
      </c>
      <c r="D11" s="519" t="s">
        <v>111</v>
      </c>
      <c r="E11" s="519" t="s">
        <v>2</v>
      </c>
      <c r="F11" s="519" t="s">
        <v>16</v>
      </c>
      <c r="G11" s="519" t="s">
        <v>58</v>
      </c>
      <c r="H11" s="519" t="s">
        <v>150</v>
      </c>
      <c r="I11" s="881">
        <v>10502.1723</v>
      </c>
      <c r="J11" s="881">
        <v>320.04470742000001</v>
      </c>
      <c r="K11" s="60">
        <v>2.9572933826827599E-2</v>
      </c>
      <c r="L11" s="880">
        <v>3.1927646044181501</v>
      </c>
      <c r="M11">
        <v>0</v>
      </c>
      <c r="N11" s="60">
        <v>0.20469555617555402</v>
      </c>
      <c r="O11" s="881">
        <v>33025.238100000002</v>
      </c>
      <c r="P11" s="60">
        <v>0.113873602186445</v>
      </c>
      <c r="Q11" s="880">
        <v>3.05388384520151</v>
      </c>
      <c r="R11" s="60">
        <v>0.36277306664467202</v>
      </c>
      <c r="S11" s="60">
        <v>0.13588735034737001</v>
      </c>
      <c r="T11" s="60">
        <v>0.33573962369715998</v>
      </c>
      <c r="U11" s="60">
        <v>0.41070661450601503</v>
      </c>
    </row>
    <row r="12" spans="1:21" x14ac:dyDescent="0.25">
      <c r="A12" s="519" t="s">
        <v>429</v>
      </c>
      <c r="B12" s="519" t="s">
        <v>432</v>
      </c>
      <c r="C12" s="519" t="s">
        <v>284</v>
      </c>
      <c r="D12" s="519" t="s">
        <v>111</v>
      </c>
      <c r="E12" s="519" t="s">
        <v>2</v>
      </c>
      <c r="F12" s="519" t="s">
        <v>16</v>
      </c>
      <c r="G12" s="519" t="s">
        <v>58</v>
      </c>
      <c r="H12" s="519" t="s">
        <v>152</v>
      </c>
      <c r="I12" s="881">
        <v>12984.1487</v>
      </c>
      <c r="J12" s="881">
        <v>289.06059462000002</v>
      </c>
      <c r="K12" s="60">
        <v>2.17777470545246E-2</v>
      </c>
      <c r="L12" s="880">
        <v>3.0878923053845901</v>
      </c>
      <c r="M12">
        <v>0</v>
      </c>
      <c r="N12" s="60">
        <v>0.10916959846585801</v>
      </c>
      <c r="O12" s="881">
        <v>33025.238100000002</v>
      </c>
      <c r="P12" s="60">
        <v>0.113873602186445</v>
      </c>
      <c r="Q12" s="880">
        <v>3.05388384520151</v>
      </c>
      <c r="R12" s="60">
        <v>0.36277306664467202</v>
      </c>
      <c r="S12" s="60">
        <v>0.13588735034737001</v>
      </c>
      <c r="T12" s="60">
        <v>0.36925144329780502</v>
      </c>
      <c r="U12" s="60">
        <v>0.40096921220743104</v>
      </c>
    </row>
    <row r="13" spans="1:21" x14ac:dyDescent="0.25">
      <c r="A13" s="519" t="s">
        <v>433</v>
      </c>
      <c r="B13" s="519" t="s">
        <v>434</v>
      </c>
      <c r="C13" s="519" t="s">
        <v>284</v>
      </c>
      <c r="D13" s="519" t="s">
        <v>111</v>
      </c>
      <c r="E13" s="519" t="s">
        <v>2</v>
      </c>
      <c r="F13" s="519" t="s">
        <v>16</v>
      </c>
      <c r="G13" s="519" t="s">
        <v>59</v>
      </c>
      <c r="H13" s="519" t="s">
        <v>154</v>
      </c>
      <c r="I13" s="881">
        <v>5001.3715000000002</v>
      </c>
      <c r="J13" s="881">
        <v>404.92215263000003</v>
      </c>
      <c r="K13" s="60">
        <v>7.4898290519793895E-2</v>
      </c>
      <c r="L13" s="880">
        <v>3.3222638479947602</v>
      </c>
      <c r="M13">
        <v>0</v>
      </c>
      <c r="N13" s="60">
        <v>0.17715488641465602</v>
      </c>
      <c r="O13" s="881">
        <v>17340.611700000001</v>
      </c>
      <c r="P13" s="60">
        <v>5.8745186534799695E-2</v>
      </c>
      <c r="Q13" s="880">
        <v>3.2707929016606898</v>
      </c>
      <c r="R13" s="60">
        <v>0.36277306664467202</v>
      </c>
      <c r="S13" s="60">
        <v>0.19694073421873601</v>
      </c>
      <c r="T13" s="60">
        <v>0.27147434765602102</v>
      </c>
      <c r="U13" s="60">
        <v>0.24670497190354601</v>
      </c>
    </row>
    <row r="14" spans="1:21" x14ac:dyDescent="0.25">
      <c r="A14" s="519" t="s">
        <v>436</v>
      </c>
      <c r="B14" s="519" t="s">
        <v>1746</v>
      </c>
      <c r="C14" s="519" t="s">
        <v>284</v>
      </c>
      <c r="D14" s="519" t="s">
        <v>111</v>
      </c>
      <c r="E14" s="519" t="s">
        <v>2</v>
      </c>
      <c r="F14" s="519" t="s">
        <v>17</v>
      </c>
      <c r="G14" s="519" t="s">
        <v>56</v>
      </c>
      <c r="H14" s="519" t="s">
        <v>145</v>
      </c>
      <c r="I14" s="881">
        <v>21938.503100000002</v>
      </c>
      <c r="J14" s="881">
        <v>584.32391009999901</v>
      </c>
      <c r="K14" s="60">
        <v>2.5943630870048699E-2</v>
      </c>
      <c r="L14" s="880">
        <v>3.1981161990783198</v>
      </c>
      <c r="M14">
        <v>0</v>
      </c>
      <c r="N14" s="60">
        <v>0.343497063844798</v>
      </c>
      <c r="O14" s="881">
        <v>51252.678700000004</v>
      </c>
      <c r="P14" s="60">
        <v>2.7588489785651701E-2</v>
      </c>
      <c r="Q14" s="880">
        <v>3.1709740062373899</v>
      </c>
      <c r="R14" s="60">
        <v>0.36277306664467202</v>
      </c>
      <c r="S14" s="60">
        <v>0.3027443831926</v>
      </c>
      <c r="T14" s="60">
        <v>0.41938122501526404</v>
      </c>
      <c r="U14" s="60">
        <v>0.326748101442841</v>
      </c>
    </row>
    <row r="15" spans="1:21" x14ac:dyDescent="0.25">
      <c r="A15" s="519" t="s">
        <v>1796</v>
      </c>
      <c r="B15" s="519" t="s">
        <v>1797</v>
      </c>
      <c r="C15" s="519" t="s">
        <v>284</v>
      </c>
      <c r="D15" s="519" t="s">
        <v>111</v>
      </c>
      <c r="E15" s="519" t="s">
        <v>2</v>
      </c>
      <c r="F15" s="519" t="s">
        <v>17</v>
      </c>
      <c r="G15" s="519" t="s">
        <v>57</v>
      </c>
      <c r="H15" s="519" t="s">
        <v>149</v>
      </c>
      <c r="I15" s="881">
        <v>24538.9277</v>
      </c>
      <c r="J15" s="881">
        <v>2983.0039400199898</v>
      </c>
      <c r="K15" s="60">
        <v>0.10838643083039901</v>
      </c>
      <c r="L15" s="880">
        <v>3.16968482386328</v>
      </c>
      <c r="M15">
        <v>0</v>
      </c>
      <c r="N15" s="60">
        <v>0.30816334325806705</v>
      </c>
      <c r="O15" s="881">
        <v>24538.9277</v>
      </c>
      <c r="P15" s="60">
        <v>0.10838643083039901</v>
      </c>
      <c r="Q15" s="880">
        <v>3.16968482386328</v>
      </c>
      <c r="R15" s="60">
        <v>0.36277306664467202</v>
      </c>
      <c r="S15" s="60">
        <v>0.30816334325806705</v>
      </c>
      <c r="T15" s="60">
        <v>0.48253953856258702</v>
      </c>
      <c r="U15" s="60">
        <v>0.38087694061595101</v>
      </c>
    </row>
    <row r="16" spans="1:21" x14ac:dyDescent="0.25">
      <c r="A16" s="519" t="s">
        <v>437</v>
      </c>
      <c r="B16" s="519" t="s">
        <v>439</v>
      </c>
      <c r="C16" s="519" t="s">
        <v>284</v>
      </c>
      <c r="D16" s="519" t="s">
        <v>111</v>
      </c>
      <c r="E16" s="519" t="s">
        <v>285</v>
      </c>
      <c r="F16" s="519" t="s">
        <v>70</v>
      </c>
      <c r="G16" s="519" t="s">
        <v>56</v>
      </c>
      <c r="H16" s="519" t="s">
        <v>145</v>
      </c>
      <c r="I16" s="881">
        <v>340210.93970000203</v>
      </c>
      <c r="J16" s="881">
        <v>49713.468605450798</v>
      </c>
      <c r="K16" s="60">
        <v>0.127495144049839</v>
      </c>
      <c r="L16" s="880">
        <v>3.01760170292469</v>
      </c>
      <c r="M16">
        <v>0</v>
      </c>
      <c r="N16" s="60">
        <v>7.6547917074519009E-2</v>
      </c>
      <c r="O16" s="881">
        <v>1054816.0115</v>
      </c>
      <c r="P16" s="60">
        <v>0.12557227767263701</v>
      </c>
      <c r="Q16" s="880">
        <v>3.0169983473191002</v>
      </c>
      <c r="R16" s="60">
        <v>0.6377710327192091</v>
      </c>
      <c r="S16" s="60">
        <v>7.0281485673105604E-2</v>
      </c>
      <c r="T16" s="60">
        <v>0.32248741425541205</v>
      </c>
      <c r="U16" s="60">
        <v>0.33123556593978304</v>
      </c>
    </row>
    <row r="17" spans="1:21" x14ac:dyDescent="0.25">
      <c r="A17" s="519" t="s">
        <v>441</v>
      </c>
      <c r="B17" s="519" t="s">
        <v>442</v>
      </c>
      <c r="C17" s="519" t="s">
        <v>284</v>
      </c>
      <c r="D17" s="519" t="s">
        <v>111</v>
      </c>
      <c r="E17" s="519" t="s">
        <v>285</v>
      </c>
      <c r="F17" s="519" t="s">
        <v>70</v>
      </c>
      <c r="G17" s="519" t="s">
        <v>57</v>
      </c>
      <c r="H17" s="519" t="s">
        <v>147</v>
      </c>
      <c r="I17" s="881">
        <v>487318.59239999903</v>
      </c>
      <c r="J17" s="881">
        <v>22064.2593971202</v>
      </c>
      <c r="K17" s="60">
        <v>4.3315669774270801E-2</v>
      </c>
      <c r="L17" s="880">
        <v>3.03701482030168</v>
      </c>
      <c r="M17">
        <v>0</v>
      </c>
      <c r="N17" s="60">
        <v>6.2298813699027698E-2</v>
      </c>
      <c r="O17" s="881">
        <v>1238355.5079999999</v>
      </c>
      <c r="P17" s="60">
        <v>6.0636425950261301E-2</v>
      </c>
      <c r="Q17" s="880">
        <v>3.01730443473109</v>
      </c>
      <c r="R17" s="60">
        <v>0.6377710327192091</v>
      </c>
      <c r="S17" s="60">
        <v>6.0668945399482102E-2</v>
      </c>
      <c r="T17" s="60">
        <v>0.36834739418949103</v>
      </c>
      <c r="U17" s="60">
        <v>0.23317363221724</v>
      </c>
    </row>
    <row r="18" spans="1:21" x14ac:dyDescent="0.25">
      <c r="A18" s="519" t="s">
        <v>441</v>
      </c>
      <c r="B18" s="519" t="s">
        <v>444</v>
      </c>
      <c r="C18" s="519" t="s">
        <v>284</v>
      </c>
      <c r="D18" s="519" t="s">
        <v>111</v>
      </c>
      <c r="E18" s="519" t="s">
        <v>285</v>
      </c>
      <c r="F18" s="519" t="s">
        <v>70</v>
      </c>
      <c r="G18" s="519" t="s">
        <v>57</v>
      </c>
      <c r="H18" s="519" t="s">
        <v>149</v>
      </c>
      <c r="I18" s="881">
        <v>499717.32130000205</v>
      </c>
      <c r="J18" s="881">
        <v>43844.649313550202</v>
      </c>
      <c r="K18" s="60">
        <v>8.0661730738927101E-2</v>
      </c>
      <c r="L18" s="880">
        <v>3.0103146658212099</v>
      </c>
      <c r="M18">
        <v>0</v>
      </c>
      <c r="N18" s="60">
        <v>4.2272470854213602E-2</v>
      </c>
      <c r="O18" s="881">
        <v>1238355.5079999999</v>
      </c>
      <c r="P18" s="60">
        <v>6.0636425950261301E-2</v>
      </c>
      <c r="Q18" s="880">
        <v>3.01730443473109</v>
      </c>
      <c r="R18" s="60">
        <v>0.6377710327192091</v>
      </c>
      <c r="S18" s="60">
        <v>6.0668945399482102E-2</v>
      </c>
      <c r="T18" s="60">
        <v>0.42400724038071003</v>
      </c>
      <c r="U18" s="60">
        <v>0.48837287155375103</v>
      </c>
    </row>
    <row r="19" spans="1:21" x14ac:dyDescent="0.25">
      <c r="A19" s="519" t="s">
        <v>445</v>
      </c>
      <c r="B19" s="519" t="s">
        <v>447</v>
      </c>
      <c r="C19" s="519" t="s">
        <v>284</v>
      </c>
      <c r="D19" s="519" t="s">
        <v>111</v>
      </c>
      <c r="E19" s="519" t="s">
        <v>285</v>
      </c>
      <c r="F19" s="519" t="s">
        <v>70</v>
      </c>
      <c r="G19" s="519" t="s">
        <v>58</v>
      </c>
      <c r="H19" s="519" t="s">
        <v>151</v>
      </c>
      <c r="I19" s="881">
        <v>251815.75969999802</v>
      </c>
      <c r="J19" s="881">
        <v>9867.8881881799298</v>
      </c>
      <c r="K19" s="60">
        <v>3.7709227411858399E-2</v>
      </c>
      <c r="L19" s="880">
        <v>3.00277982155148</v>
      </c>
      <c r="M19">
        <v>0</v>
      </c>
      <c r="N19" s="60">
        <v>0.115904755265403</v>
      </c>
      <c r="O19" s="881">
        <v>1541929.1632999801</v>
      </c>
      <c r="P19" s="60">
        <v>3.2129150071987099E-2</v>
      </c>
      <c r="Q19" s="880">
        <v>3.0596204304773802</v>
      </c>
      <c r="R19" s="60">
        <v>0.6377710327192091</v>
      </c>
      <c r="S19" s="60">
        <v>7.9307367815968699E-2</v>
      </c>
      <c r="T19" s="60">
        <v>0.17676719730031701</v>
      </c>
      <c r="U19" s="60">
        <v>0.31706790351935404</v>
      </c>
    </row>
    <row r="20" spans="1:21" x14ac:dyDescent="0.25">
      <c r="A20" s="519" t="s">
        <v>449</v>
      </c>
      <c r="B20" s="519" t="s">
        <v>450</v>
      </c>
      <c r="C20" s="519" t="s">
        <v>284</v>
      </c>
      <c r="D20" s="519" t="s">
        <v>111</v>
      </c>
      <c r="E20" s="519" t="s">
        <v>285</v>
      </c>
      <c r="F20" s="519" t="s">
        <v>70</v>
      </c>
      <c r="G20" s="519" t="s">
        <v>59</v>
      </c>
      <c r="H20" s="519" t="s">
        <v>153</v>
      </c>
      <c r="I20" s="881">
        <v>523349.40579999104</v>
      </c>
      <c r="J20" s="881">
        <v>18311.727693880202</v>
      </c>
      <c r="K20" s="60">
        <v>3.3806611849301005E-2</v>
      </c>
      <c r="L20" s="880">
        <v>3.0531526712975299</v>
      </c>
      <c r="M20">
        <v>0</v>
      </c>
      <c r="N20" s="60">
        <v>4.2525980450822502E-2</v>
      </c>
      <c r="O20" s="881">
        <v>2174877.94749995</v>
      </c>
      <c r="P20" s="60">
        <v>2.9175795507639001E-2</v>
      </c>
      <c r="Q20" s="880">
        <v>3.02314375757273</v>
      </c>
      <c r="R20" s="60">
        <v>0.6377710327192091</v>
      </c>
      <c r="S20" s="60">
        <v>4.2226200511880502E-2</v>
      </c>
      <c r="T20" s="60">
        <v>0.25607673457742502</v>
      </c>
      <c r="U20" s="60">
        <v>0.32656667918188903</v>
      </c>
    </row>
    <row r="21" spans="1:21" x14ac:dyDescent="0.25">
      <c r="A21" s="519" t="s">
        <v>449</v>
      </c>
      <c r="B21" s="519" t="s">
        <v>452</v>
      </c>
      <c r="C21" s="519" t="s">
        <v>284</v>
      </c>
      <c r="D21" s="519" t="s">
        <v>111</v>
      </c>
      <c r="E21" s="519" t="s">
        <v>285</v>
      </c>
      <c r="F21" s="519" t="s">
        <v>70</v>
      </c>
      <c r="G21" s="519" t="s">
        <v>59</v>
      </c>
      <c r="H21" s="519" t="s">
        <v>155</v>
      </c>
      <c r="I21" s="881">
        <v>822540.62559997803</v>
      </c>
      <c r="J21" s="881">
        <v>22112.5289098904</v>
      </c>
      <c r="K21" s="60">
        <v>2.6179419080866198E-2</v>
      </c>
      <c r="L21" s="880">
        <v>3.0378836203302102</v>
      </c>
      <c r="M21">
        <v>0</v>
      </c>
      <c r="N21" s="60">
        <v>4.4793784833575497E-2</v>
      </c>
      <c r="O21" s="881">
        <v>2174877.94749995</v>
      </c>
      <c r="P21" s="60">
        <v>2.9175795507639001E-2</v>
      </c>
      <c r="Q21" s="880">
        <v>3.02314375757273</v>
      </c>
      <c r="R21" s="60">
        <v>0.6377710327192091</v>
      </c>
      <c r="S21" s="60">
        <v>4.2226200511880502E-2</v>
      </c>
      <c r="T21" s="60">
        <v>0.387216711116247</v>
      </c>
      <c r="U21" s="60">
        <v>0.28432021186869999</v>
      </c>
    </row>
    <row r="22" spans="1:21" x14ac:dyDescent="0.25">
      <c r="A22" s="519" t="s">
        <v>453</v>
      </c>
      <c r="B22" s="519" t="s">
        <v>454</v>
      </c>
      <c r="C22" s="519" t="s">
        <v>284</v>
      </c>
      <c r="D22" s="519" t="s">
        <v>111</v>
      </c>
      <c r="E22" s="519" t="s">
        <v>285</v>
      </c>
      <c r="F22" s="519" t="s">
        <v>16</v>
      </c>
      <c r="G22" s="519" t="s">
        <v>56</v>
      </c>
      <c r="H22" s="519" t="s">
        <v>144</v>
      </c>
      <c r="I22" s="881">
        <v>401017.49489999504</v>
      </c>
      <c r="J22" s="881">
        <v>20479.7292040801</v>
      </c>
      <c r="K22" s="60">
        <v>4.8588052383052097E-2</v>
      </c>
      <c r="L22" s="880">
        <v>3.1033759882728602</v>
      </c>
      <c r="M22">
        <v>0</v>
      </c>
      <c r="N22" s="60">
        <v>8.3515249648527093E-2</v>
      </c>
      <c r="O22" s="881">
        <v>1008667.65719999</v>
      </c>
      <c r="P22" s="60">
        <v>5.2078130625489098E-2</v>
      </c>
      <c r="Q22" s="880">
        <v>3.1323238814655499</v>
      </c>
      <c r="R22" s="60">
        <v>0.6377710327192091</v>
      </c>
      <c r="S22" s="60">
        <v>8.7203751872218502E-2</v>
      </c>
      <c r="T22" s="60">
        <v>0.37049235605636305</v>
      </c>
      <c r="U22" s="60">
        <v>0.34096107286340605</v>
      </c>
    </row>
    <row r="23" spans="1:21" x14ac:dyDescent="0.25">
      <c r="A23" s="519" t="s">
        <v>453</v>
      </c>
      <c r="B23" s="519" t="s">
        <v>456</v>
      </c>
      <c r="C23" s="519" t="s">
        <v>284</v>
      </c>
      <c r="D23" s="519" t="s">
        <v>111</v>
      </c>
      <c r="E23" s="519" t="s">
        <v>285</v>
      </c>
      <c r="F23" s="519" t="s">
        <v>16</v>
      </c>
      <c r="G23" s="519" t="s">
        <v>56</v>
      </c>
      <c r="H23" s="519" t="s">
        <v>146</v>
      </c>
      <c r="I23" s="881">
        <v>295123.97799999703</v>
      </c>
      <c r="J23" s="881">
        <v>15526.044516580001</v>
      </c>
      <c r="K23" s="60">
        <v>4.9979215809493202E-2</v>
      </c>
      <c r="L23" s="880">
        <v>3.1380926102419</v>
      </c>
      <c r="M23">
        <v>0</v>
      </c>
      <c r="N23" s="60">
        <v>0.10656267278967201</v>
      </c>
      <c r="O23" s="881">
        <v>1008667.65719999</v>
      </c>
      <c r="P23" s="60">
        <v>5.2078130625489098E-2</v>
      </c>
      <c r="Q23" s="880">
        <v>3.1323238814655499</v>
      </c>
      <c r="R23" s="60">
        <v>0.6377710327192091</v>
      </c>
      <c r="S23" s="60">
        <v>8.7203751872218502E-2</v>
      </c>
      <c r="T23" s="60">
        <v>0.30702022968822501</v>
      </c>
      <c r="U23" s="60">
        <v>0.32780336119681103</v>
      </c>
    </row>
    <row r="24" spans="1:21" x14ac:dyDescent="0.25">
      <c r="A24" s="519" t="s">
        <v>457</v>
      </c>
      <c r="B24" s="519" t="s">
        <v>459</v>
      </c>
      <c r="C24" s="519" t="s">
        <v>284</v>
      </c>
      <c r="D24" s="519" t="s">
        <v>111</v>
      </c>
      <c r="E24" s="519" t="s">
        <v>285</v>
      </c>
      <c r="F24" s="519" t="s">
        <v>16</v>
      </c>
      <c r="G24" s="519" t="s">
        <v>57</v>
      </c>
      <c r="H24" s="519" t="s">
        <v>148</v>
      </c>
      <c r="I24" s="881">
        <v>250152.99669999903</v>
      </c>
      <c r="J24" s="881">
        <v>34695.232209430302</v>
      </c>
      <c r="K24" s="60">
        <v>0.12180252038871602</v>
      </c>
      <c r="L24" s="880">
        <v>3.0933571847644199</v>
      </c>
      <c r="M24">
        <v>0</v>
      </c>
      <c r="N24" s="60">
        <v>9.6833763814751395E-2</v>
      </c>
      <c r="O24" s="881">
        <v>1176687.9963999901</v>
      </c>
      <c r="P24" s="60">
        <v>7.4733007424791192E-2</v>
      </c>
      <c r="Q24" s="880">
        <v>3.1003291631653198</v>
      </c>
      <c r="R24" s="60">
        <v>0.6377710327192091</v>
      </c>
      <c r="S24" s="60">
        <v>7.6724603358077598E-2</v>
      </c>
      <c r="T24" s="60">
        <v>0.20764536542979903</v>
      </c>
      <c r="U24" s="60">
        <v>0.278453496229009</v>
      </c>
    </row>
    <row r="25" spans="1:21" x14ac:dyDescent="0.25">
      <c r="A25" s="519" t="s">
        <v>461</v>
      </c>
      <c r="B25" s="519" t="s">
        <v>462</v>
      </c>
      <c r="C25" s="519" t="s">
        <v>284</v>
      </c>
      <c r="D25" s="519" t="s">
        <v>111</v>
      </c>
      <c r="E25" s="519" t="s">
        <v>285</v>
      </c>
      <c r="F25" s="519" t="s">
        <v>16</v>
      </c>
      <c r="G25" s="519" t="s">
        <v>58</v>
      </c>
      <c r="H25" s="519" t="s">
        <v>150</v>
      </c>
      <c r="I25" s="881">
        <v>738939.03349997406</v>
      </c>
      <c r="J25" s="881">
        <v>28984.799597470501</v>
      </c>
      <c r="K25" s="60">
        <v>3.7744367798245901E-2</v>
      </c>
      <c r="L25" s="880">
        <v>3.1199547452820502</v>
      </c>
      <c r="M25">
        <v>0</v>
      </c>
      <c r="N25" s="60">
        <v>0.21866564408524602</v>
      </c>
      <c r="O25" s="881">
        <v>1499146.3699999601</v>
      </c>
      <c r="P25" s="60">
        <v>4.6718667214655396E-2</v>
      </c>
      <c r="Q25" s="880">
        <v>3.1240388382618698</v>
      </c>
      <c r="R25" s="60">
        <v>0.6377710327192091</v>
      </c>
      <c r="S25" s="60">
        <v>0.21103153043022102</v>
      </c>
      <c r="T25" s="60">
        <v>0.48328122462159306</v>
      </c>
      <c r="U25" s="60">
        <v>0.44170650152182306</v>
      </c>
    </row>
    <row r="26" spans="1:21" x14ac:dyDescent="0.25">
      <c r="A26" s="519" t="s">
        <v>461</v>
      </c>
      <c r="B26" s="519" t="s">
        <v>464</v>
      </c>
      <c r="C26" s="519" t="s">
        <v>284</v>
      </c>
      <c r="D26" s="519" t="s">
        <v>111</v>
      </c>
      <c r="E26" s="519" t="s">
        <v>285</v>
      </c>
      <c r="F26" s="519" t="s">
        <v>16</v>
      </c>
      <c r="G26" s="519" t="s">
        <v>58</v>
      </c>
      <c r="H26" s="519" t="s">
        <v>152</v>
      </c>
      <c r="I26" s="881">
        <v>474460.69739998801</v>
      </c>
      <c r="J26" s="881">
        <v>14829.244181649801</v>
      </c>
      <c r="K26" s="60">
        <v>3.0307682462699801E-2</v>
      </c>
      <c r="L26" s="880">
        <v>3.1246091725254601</v>
      </c>
      <c r="M26">
        <v>0</v>
      </c>
      <c r="N26" s="60">
        <v>0.21960597151877601</v>
      </c>
      <c r="O26" s="881">
        <v>1499146.3699999601</v>
      </c>
      <c r="P26" s="60">
        <v>4.6718667214655396E-2</v>
      </c>
      <c r="Q26" s="880">
        <v>3.1240388382618698</v>
      </c>
      <c r="R26" s="60">
        <v>0.6377710327192091</v>
      </c>
      <c r="S26" s="60">
        <v>0.21103153043022102</v>
      </c>
      <c r="T26" s="60">
        <v>0.33995157807809001</v>
      </c>
      <c r="U26" s="60">
        <v>0.24122559495882301</v>
      </c>
    </row>
    <row r="27" spans="1:21" x14ac:dyDescent="0.25">
      <c r="A27" s="519" t="s">
        <v>465</v>
      </c>
      <c r="B27" s="519" t="s">
        <v>466</v>
      </c>
      <c r="C27" s="519" t="s">
        <v>284</v>
      </c>
      <c r="D27" s="519" t="s">
        <v>111</v>
      </c>
      <c r="E27" s="519" t="s">
        <v>285</v>
      </c>
      <c r="F27" s="519" t="s">
        <v>16</v>
      </c>
      <c r="G27" s="519" t="s">
        <v>59</v>
      </c>
      <c r="H27" s="519" t="s">
        <v>154</v>
      </c>
      <c r="I27" s="881">
        <v>796578.53159997705</v>
      </c>
      <c r="J27" s="881">
        <v>42013.963214070602</v>
      </c>
      <c r="K27" s="60">
        <v>5.0100571462167801E-2</v>
      </c>
      <c r="L27" s="880">
        <v>3.0497711328893002</v>
      </c>
      <c r="M27">
        <v>0</v>
      </c>
      <c r="N27" s="60">
        <v>0.27243344302050704</v>
      </c>
      <c r="O27" s="881">
        <v>2382275.34299993</v>
      </c>
      <c r="P27" s="60">
        <v>4.2868414924505098E-2</v>
      </c>
      <c r="Q27" s="880">
        <v>3.0581261080632598</v>
      </c>
      <c r="R27" s="60">
        <v>0.6377710327192091</v>
      </c>
      <c r="S27" s="60">
        <v>0.26979577347706402</v>
      </c>
      <c r="T27" s="60">
        <v>0.35670655430632803</v>
      </c>
      <c r="U27" s="60">
        <v>0.38911310894941104</v>
      </c>
    </row>
    <row r="28" spans="1:21" x14ac:dyDescent="0.25">
      <c r="A28" s="519" t="s">
        <v>468</v>
      </c>
      <c r="B28" s="519" t="s">
        <v>1766</v>
      </c>
      <c r="C28" s="519" t="s">
        <v>284</v>
      </c>
      <c r="D28" s="519" t="s">
        <v>111</v>
      </c>
      <c r="E28" s="519" t="s">
        <v>285</v>
      </c>
      <c r="F28" s="519" t="s">
        <v>17</v>
      </c>
      <c r="G28" s="519" t="s">
        <v>56</v>
      </c>
      <c r="H28" s="519" t="s">
        <v>145</v>
      </c>
      <c r="I28" s="881">
        <v>432443.45259999105</v>
      </c>
      <c r="J28" s="881">
        <v>22446.098589230201</v>
      </c>
      <c r="K28" s="60">
        <v>4.9344062818213096E-2</v>
      </c>
      <c r="L28" s="880">
        <v>3.0785256881190102</v>
      </c>
      <c r="M28">
        <v>0</v>
      </c>
      <c r="N28" s="60">
        <v>0.25847906524646802</v>
      </c>
      <c r="O28" s="881">
        <v>1301548.6662999701</v>
      </c>
      <c r="P28" s="60">
        <v>5.0729283265678396E-2</v>
      </c>
      <c r="Q28" s="880">
        <v>3.0764532711331398</v>
      </c>
      <c r="R28" s="60">
        <v>0.6377710327192091</v>
      </c>
      <c r="S28" s="60">
        <v>0.28525973489371903</v>
      </c>
      <c r="T28" s="60">
        <v>0.32248741425541205</v>
      </c>
      <c r="U28" s="60">
        <v>0.33123556593978304</v>
      </c>
    </row>
    <row r="29" spans="1:21" x14ac:dyDescent="0.25">
      <c r="A29" s="519" t="s">
        <v>1798</v>
      </c>
      <c r="B29" s="519" t="s">
        <v>1799</v>
      </c>
      <c r="C29" s="519" t="s">
        <v>284</v>
      </c>
      <c r="D29" s="519" t="s">
        <v>111</v>
      </c>
      <c r="E29" s="519" t="s">
        <v>285</v>
      </c>
      <c r="F29" s="519" t="s">
        <v>17</v>
      </c>
      <c r="G29" s="519" t="s">
        <v>57</v>
      </c>
      <c r="H29" s="519" t="s">
        <v>149</v>
      </c>
      <c r="I29" s="881">
        <v>547028.13719998999</v>
      </c>
      <c r="J29" s="881">
        <v>40707.101482800099</v>
      </c>
      <c r="K29" s="60">
        <v>6.9260950856087203E-2</v>
      </c>
      <c r="L29" s="880">
        <v>3.0953748875310598</v>
      </c>
      <c r="M29">
        <v>0</v>
      </c>
      <c r="N29" s="60">
        <v>0.25916894078918201</v>
      </c>
      <c r="O29" s="881">
        <v>547028.13719998999</v>
      </c>
      <c r="P29" s="60">
        <v>6.9260950856088493E-2</v>
      </c>
      <c r="Q29" s="880">
        <v>3.0953748875310598</v>
      </c>
      <c r="R29" s="60">
        <v>0.6377710327192091</v>
      </c>
      <c r="S29" s="60">
        <v>0.25916894078918201</v>
      </c>
      <c r="T29" s="60">
        <v>0.42400724038071003</v>
      </c>
      <c r="U29" s="60">
        <v>0.48837287155375103</v>
      </c>
    </row>
    <row r="30" spans="1:21" x14ac:dyDescent="0.25">
      <c r="A30" s="519" t="s">
        <v>469</v>
      </c>
      <c r="B30" s="519" t="s">
        <v>471</v>
      </c>
      <c r="C30" s="519" t="s">
        <v>284</v>
      </c>
      <c r="D30" s="519" t="s">
        <v>111</v>
      </c>
      <c r="E30" s="519" t="s">
        <v>280</v>
      </c>
      <c r="F30" s="519" t="s">
        <v>70</v>
      </c>
      <c r="G30" s="519" t="s">
        <v>56</v>
      </c>
      <c r="H30" s="519" t="s">
        <v>145</v>
      </c>
      <c r="I30" s="881">
        <v>360958.87270000705</v>
      </c>
      <c r="J30" s="881">
        <v>18780.4747273797</v>
      </c>
      <c r="K30" s="60">
        <v>4.9456225315107197E-2</v>
      </c>
      <c r="L30" s="880">
        <v>2.9450128153680999</v>
      </c>
      <c r="M30">
        <v>0</v>
      </c>
      <c r="N30" s="60">
        <v>0.70283659244151608</v>
      </c>
      <c r="O30" s="881">
        <v>947287.82200001704</v>
      </c>
      <c r="P30" s="60">
        <v>6.98498472878257E-2</v>
      </c>
      <c r="Q30" s="880">
        <v>2.9415801270858801</v>
      </c>
      <c r="R30" s="60">
        <v>0.60994967835037306</v>
      </c>
      <c r="S30" s="60">
        <v>0.67422712988280997</v>
      </c>
      <c r="T30" s="60">
        <v>0.37425856384780104</v>
      </c>
      <c r="U30" s="60">
        <v>0.27892411292003</v>
      </c>
    </row>
    <row r="31" spans="1:21" x14ac:dyDescent="0.25">
      <c r="A31" s="519" t="s">
        <v>473</v>
      </c>
      <c r="B31" s="519" t="s">
        <v>474</v>
      </c>
      <c r="C31" s="519" t="s">
        <v>284</v>
      </c>
      <c r="D31" s="519" t="s">
        <v>111</v>
      </c>
      <c r="E31" s="519" t="s">
        <v>280</v>
      </c>
      <c r="F31" s="519" t="s">
        <v>70</v>
      </c>
      <c r="G31" s="519" t="s">
        <v>57</v>
      </c>
      <c r="H31" s="519" t="s">
        <v>147</v>
      </c>
      <c r="I31" s="881">
        <v>268590.63270000403</v>
      </c>
      <c r="J31" s="881">
        <v>18403.943493210001</v>
      </c>
      <c r="K31" s="60">
        <v>6.4126450532014198E-2</v>
      </c>
      <c r="L31" s="880">
        <v>2.9659530748695602</v>
      </c>
      <c r="M31">
        <v>0</v>
      </c>
      <c r="N31" s="60">
        <v>0.76268038516742609</v>
      </c>
      <c r="O31" s="881">
        <v>943652.25760000607</v>
      </c>
      <c r="P31" s="60">
        <v>6.1288635022955701E-2</v>
      </c>
      <c r="Q31" s="880">
        <v>2.9747889310189102</v>
      </c>
      <c r="R31" s="60">
        <v>0.60994967835037306</v>
      </c>
      <c r="S31" s="60">
        <v>0.74676241266272203</v>
      </c>
      <c r="T31" s="60">
        <v>0.27078356912753998</v>
      </c>
      <c r="U31" s="60">
        <v>0.21442075204637701</v>
      </c>
    </row>
    <row r="32" spans="1:21" x14ac:dyDescent="0.25">
      <c r="A32" s="519" t="s">
        <v>473</v>
      </c>
      <c r="B32" s="519" t="s">
        <v>476</v>
      </c>
      <c r="C32" s="519" t="s">
        <v>284</v>
      </c>
      <c r="D32" s="519" t="s">
        <v>111</v>
      </c>
      <c r="E32" s="519" t="s">
        <v>280</v>
      </c>
      <c r="F32" s="519" t="s">
        <v>70</v>
      </c>
      <c r="G32" s="519" t="s">
        <v>57</v>
      </c>
      <c r="H32" s="519" t="s">
        <v>149</v>
      </c>
      <c r="I32" s="881">
        <v>350214.66330000304</v>
      </c>
      <c r="J32" s="881">
        <v>30378.5980259401</v>
      </c>
      <c r="K32" s="60">
        <v>7.9819064373618603E-2</v>
      </c>
      <c r="L32" s="880">
        <v>2.9503411791647003</v>
      </c>
      <c r="M32">
        <v>0</v>
      </c>
      <c r="N32" s="60">
        <v>0.73216297222926807</v>
      </c>
      <c r="O32" s="881">
        <v>943652.25760000607</v>
      </c>
      <c r="P32" s="60">
        <v>6.1288635022955701E-2</v>
      </c>
      <c r="Q32" s="880">
        <v>2.9747889310189102</v>
      </c>
      <c r="R32" s="60">
        <v>0.60994967835037306</v>
      </c>
      <c r="S32" s="60">
        <v>0.74676241266272203</v>
      </c>
      <c r="T32" s="60">
        <v>0.37973283909959105</v>
      </c>
      <c r="U32" s="60">
        <v>0.53238708119647105</v>
      </c>
    </row>
    <row r="33" spans="1:21" x14ac:dyDescent="0.25">
      <c r="A33" s="519" t="s">
        <v>477</v>
      </c>
      <c r="B33" s="519" t="s">
        <v>478</v>
      </c>
      <c r="C33" s="519" t="s">
        <v>284</v>
      </c>
      <c r="D33" s="519" t="s">
        <v>111</v>
      </c>
      <c r="E33" s="519" t="s">
        <v>280</v>
      </c>
      <c r="F33" s="519" t="s">
        <v>70</v>
      </c>
      <c r="G33" s="519" t="s">
        <v>58</v>
      </c>
      <c r="H33" s="519" t="s">
        <v>150</v>
      </c>
      <c r="I33" s="881">
        <v>357704.054799998</v>
      </c>
      <c r="J33" s="881">
        <v>16444.646228440102</v>
      </c>
      <c r="K33" s="60">
        <v>4.3952167101577698E-2</v>
      </c>
      <c r="L33" s="880">
        <v>2.97877753841072</v>
      </c>
      <c r="M33">
        <v>0</v>
      </c>
      <c r="N33" s="60">
        <v>0.63718368702149308</v>
      </c>
      <c r="O33" s="881">
        <v>1051130.1244999899</v>
      </c>
      <c r="P33" s="60">
        <v>3.3464673182368197E-2</v>
      </c>
      <c r="Q33" s="880">
        <v>2.9810780766792999</v>
      </c>
      <c r="R33" s="60">
        <v>0.60994967835037306</v>
      </c>
      <c r="S33" s="60">
        <v>0.65589102788577403</v>
      </c>
      <c r="T33" s="60">
        <v>0.33898413414719702</v>
      </c>
      <c r="U33" s="60">
        <v>0.43978237285026905</v>
      </c>
    </row>
    <row r="34" spans="1:21" x14ac:dyDescent="0.25">
      <c r="A34" s="519" t="s">
        <v>477</v>
      </c>
      <c r="B34" s="519" t="s">
        <v>480</v>
      </c>
      <c r="C34" s="519" t="s">
        <v>284</v>
      </c>
      <c r="D34" s="519" t="s">
        <v>111</v>
      </c>
      <c r="E34" s="519" t="s">
        <v>280</v>
      </c>
      <c r="F34" s="519" t="s">
        <v>70</v>
      </c>
      <c r="G34" s="519" t="s">
        <v>58</v>
      </c>
      <c r="H34" s="519" t="s">
        <v>152</v>
      </c>
      <c r="I34" s="881">
        <v>366977.66469999804</v>
      </c>
      <c r="J34" s="881">
        <v>6928.8774964598897</v>
      </c>
      <c r="K34" s="60">
        <v>1.8531041087853899E-2</v>
      </c>
      <c r="L34" s="880">
        <v>2.9879884557237699</v>
      </c>
      <c r="M34">
        <v>0</v>
      </c>
      <c r="N34" s="60">
        <v>0.62296166767231109</v>
      </c>
      <c r="O34" s="881">
        <v>1051130.1244999899</v>
      </c>
      <c r="P34" s="60">
        <v>3.3464673182368197E-2</v>
      </c>
      <c r="Q34" s="880">
        <v>2.9810780766792999</v>
      </c>
      <c r="R34" s="60">
        <v>0.60994967835037306</v>
      </c>
      <c r="S34" s="60">
        <v>0.65589102788577403</v>
      </c>
      <c r="T34" s="60">
        <v>0.35351310404640301</v>
      </c>
      <c r="U34" s="60">
        <v>0.22013599896944802</v>
      </c>
    </row>
    <row r="35" spans="1:21" x14ac:dyDescent="0.25">
      <c r="A35" s="519" t="s">
        <v>481</v>
      </c>
      <c r="B35" s="519" t="s">
        <v>483</v>
      </c>
      <c r="C35" s="519" t="s">
        <v>284</v>
      </c>
      <c r="D35" s="519" t="s">
        <v>111</v>
      </c>
      <c r="E35" s="519" t="s">
        <v>280</v>
      </c>
      <c r="F35" s="519" t="s">
        <v>70</v>
      </c>
      <c r="G35" s="519" t="s">
        <v>59</v>
      </c>
      <c r="H35" s="519" t="s">
        <v>154</v>
      </c>
      <c r="I35" s="881">
        <v>186804.07730000102</v>
      </c>
      <c r="J35" s="881">
        <v>15215.612855130101</v>
      </c>
      <c r="K35" s="60">
        <v>7.5317474467197901E-2</v>
      </c>
      <c r="L35" s="880">
        <v>2.98223786743679</v>
      </c>
      <c r="M35">
        <v>0</v>
      </c>
      <c r="N35" s="60">
        <v>0.61278010498756907</v>
      </c>
      <c r="O35" s="881">
        <v>691019.50190000306</v>
      </c>
      <c r="P35" s="60">
        <v>5.6175891106612197E-2</v>
      </c>
      <c r="Q35" s="880">
        <v>2.9952026354566899</v>
      </c>
      <c r="R35" s="60">
        <v>0.60994967835037306</v>
      </c>
      <c r="S35" s="60">
        <v>0.66284870953799202</v>
      </c>
      <c r="T35" s="60">
        <v>0.29205199891437</v>
      </c>
      <c r="U35" s="60">
        <v>0.30049693296114405</v>
      </c>
    </row>
    <row r="36" spans="1:21" x14ac:dyDescent="0.25">
      <c r="A36" s="519" t="s">
        <v>485</v>
      </c>
      <c r="B36" s="519" t="s">
        <v>487</v>
      </c>
      <c r="C36" s="519" t="s">
        <v>284</v>
      </c>
      <c r="D36" s="519" t="s">
        <v>111</v>
      </c>
      <c r="E36" s="519" t="s">
        <v>280</v>
      </c>
      <c r="F36" s="519" t="s">
        <v>16</v>
      </c>
      <c r="G36" s="519" t="s">
        <v>56</v>
      </c>
      <c r="H36" s="519" t="s">
        <v>145</v>
      </c>
      <c r="I36" s="881">
        <v>375178.050499996</v>
      </c>
      <c r="J36" s="881">
        <v>10457.1409371601</v>
      </c>
      <c r="K36" s="60">
        <v>2.7116666656352099E-2</v>
      </c>
      <c r="L36" s="880">
        <v>3.0335446007412199</v>
      </c>
      <c r="M36">
        <v>0</v>
      </c>
      <c r="N36" s="60">
        <v>0.70260409597176909</v>
      </c>
      <c r="O36" s="881">
        <v>1019857.8924</v>
      </c>
      <c r="P36" s="60">
        <v>2.8419412100540001E-2</v>
      </c>
      <c r="Q36" s="880">
        <v>3.0070637014062198</v>
      </c>
      <c r="R36" s="60">
        <v>0.60994967835037306</v>
      </c>
      <c r="S36" s="60">
        <v>0.73980178848690503</v>
      </c>
      <c r="T36" s="60">
        <v>0.37425856384780104</v>
      </c>
      <c r="U36" s="60">
        <v>0.27892411292003</v>
      </c>
    </row>
    <row r="37" spans="1:21" x14ac:dyDescent="0.25">
      <c r="A37" s="519" t="s">
        <v>489</v>
      </c>
      <c r="B37" s="519" t="s">
        <v>490</v>
      </c>
      <c r="C37" s="519" t="s">
        <v>284</v>
      </c>
      <c r="D37" s="519" t="s">
        <v>111</v>
      </c>
      <c r="E37" s="519" t="s">
        <v>280</v>
      </c>
      <c r="F37" s="519" t="s">
        <v>16</v>
      </c>
      <c r="G37" s="519" t="s">
        <v>57</v>
      </c>
      <c r="H37" s="519" t="s">
        <v>147</v>
      </c>
      <c r="I37" s="881">
        <v>342098.68139999802</v>
      </c>
      <c r="J37" s="881">
        <v>11665.2668908301</v>
      </c>
      <c r="K37" s="60">
        <v>3.2974719292877201E-2</v>
      </c>
      <c r="L37" s="880">
        <v>3.1014624971167799</v>
      </c>
      <c r="M37">
        <v>0</v>
      </c>
      <c r="N37" s="60">
        <v>0.73351267819298305</v>
      </c>
      <c r="O37" s="881">
        <v>1311614.9879999901</v>
      </c>
      <c r="P37" s="60">
        <v>5.6553886116996702E-2</v>
      </c>
      <c r="Q37" s="880">
        <v>3.03997098467203</v>
      </c>
      <c r="R37" s="60">
        <v>0.60994967835037306</v>
      </c>
      <c r="S37" s="60">
        <v>0.7349481594975561</v>
      </c>
      <c r="T37" s="60">
        <v>0.27078356912753998</v>
      </c>
      <c r="U37" s="60">
        <v>0.21442075204637701</v>
      </c>
    </row>
    <row r="38" spans="1:21" x14ac:dyDescent="0.25">
      <c r="A38" s="519" t="s">
        <v>489</v>
      </c>
      <c r="B38" s="519" t="s">
        <v>492</v>
      </c>
      <c r="C38" s="519" t="s">
        <v>284</v>
      </c>
      <c r="D38" s="519" t="s">
        <v>111</v>
      </c>
      <c r="E38" s="519" t="s">
        <v>280</v>
      </c>
      <c r="F38" s="519" t="s">
        <v>16</v>
      </c>
      <c r="G38" s="519" t="s">
        <v>57</v>
      </c>
      <c r="H38" s="519" t="s">
        <v>149</v>
      </c>
      <c r="I38" s="881">
        <v>506184.37079999805</v>
      </c>
      <c r="J38" s="881">
        <v>44280.496289610201</v>
      </c>
      <c r="K38" s="60">
        <v>8.0442002636295001E-2</v>
      </c>
      <c r="L38" s="880">
        <v>3.0234905487542401</v>
      </c>
      <c r="M38">
        <v>0</v>
      </c>
      <c r="N38" s="60">
        <v>0.71670449371370304</v>
      </c>
      <c r="O38" s="881">
        <v>1311614.9879999901</v>
      </c>
      <c r="P38" s="60">
        <v>5.6553886116996702E-2</v>
      </c>
      <c r="Q38" s="880">
        <v>3.03997098467203</v>
      </c>
      <c r="R38" s="60">
        <v>0.60994967835037306</v>
      </c>
      <c r="S38" s="60">
        <v>0.7349481594975561</v>
      </c>
      <c r="T38" s="60">
        <v>0.37973283909959105</v>
      </c>
      <c r="U38" s="60">
        <v>0.53238708119647105</v>
      </c>
    </row>
    <row r="39" spans="1:21" x14ac:dyDescent="0.25">
      <c r="A39" s="519" t="s">
        <v>493</v>
      </c>
      <c r="B39" s="519" t="s">
        <v>494</v>
      </c>
      <c r="C39" s="519" t="s">
        <v>284</v>
      </c>
      <c r="D39" s="519" t="s">
        <v>111</v>
      </c>
      <c r="E39" s="519" t="s">
        <v>280</v>
      </c>
      <c r="F39" s="519" t="s">
        <v>16</v>
      </c>
      <c r="G39" s="519" t="s">
        <v>58</v>
      </c>
      <c r="H39" s="519" t="s">
        <v>150</v>
      </c>
      <c r="I39" s="881">
        <v>512048.71929998999</v>
      </c>
      <c r="J39" s="881">
        <v>17551.869378720101</v>
      </c>
      <c r="K39" s="60">
        <v>3.3141710477530902E-2</v>
      </c>
      <c r="L39" s="880">
        <v>3.0437389632701102</v>
      </c>
      <c r="M39">
        <v>0</v>
      </c>
      <c r="N39" s="60">
        <v>0.78529469275835906</v>
      </c>
      <c r="O39" s="881">
        <v>1514632.35959997</v>
      </c>
      <c r="P39" s="60">
        <v>2.6299143205936099E-2</v>
      </c>
      <c r="Q39" s="880">
        <v>3.0578408780162398</v>
      </c>
      <c r="R39" s="60">
        <v>0.60994967835037306</v>
      </c>
      <c r="S39" s="60">
        <v>0.76533727729556</v>
      </c>
      <c r="T39" s="60">
        <v>0.33898413414719702</v>
      </c>
      <c r="U39" s="60">
        <v>0.43978237285026905</v>
      </c>
    </row>
    <row r="40" spans="1:21" x14ac:dyDescent="0.25">
      <c r="A40" s="519" t="s">
        <v>493</v>
      </c>
      <c r="B40" s="519" t="s">
        <v>496</v>
      </c>
      <c r="C40" s="519" t="s">
        <v>284</v>
      </c>
      <c r="D40" s="519" t="s">
        <v>111</v>
      </c>
      <c r="E40" s="519" t="s">
        <v>280</v>
      </c>
      <c r="F40" s="519" t="s">
        <v>16</v>
      </c>
      <c r="G40" s="519" t="s">
        <v>58</v>
      </c>
      <c r="H40" s="519" t="s">
        <v>152</v>
      </c>
      <c r="I40" s="881">
        <v>540052.99529998901</v>
      </c>
      <c r="J40" s="881">
        <v>10088.305061720201</v>
      </c>
      <c r="K40" s="60">
        <v>1.83376617154303E-2</v>
      </c>
      <c r="L40" s="880">
        <v>3.0675137419984102</v>
      </c>
      <c r="M40">
        <v>0</v>
      </c>
      <c r="N40" s="60">
        <v>0.743214562817192</v>
      </c>
      <c r="O40" s="881">
        <v>1514632.35959997</v>
      </c>
      <c r="P40" s="60">
        <v>2.6299143205936099E-2</v>
      </c>
      <c r="Q40" s="880">
        <v>3.0578408780162398</v>
      </c>
      <c r="R40" s="60">
        <v>0.60994967835037306</v>
      </c>
      <c r="S40" s="60">
        <v>0.76533727729556</v>
      </c>
      <c r="T40" s="60">
        <v>0.35351310404640301</v>
      </c>
      <c r="U40" s="60">
        <v>0.22013599896944802</v>
      </c>
    </row>
    <row r="41" spans="1:21" x14ac:dyDescent="0.25">
      <c r="A41" s="519" t="s">
        <v>497</v>
      </c>
      <c r="B41" s="519" t="s">
        <v>498</v>
      </c>
      <c r="C41" s="519" t="s">
        <v>284</v>
      </c>
      <c r="D41" s="519" t="s">
        <v>111</v>
      </c>
      <c r="E41" s="519" t="s">
        <v>280</v>
      </c>
      <c r="F41" s="519" t="s">
        <v>16</v>
      </c>
      <c r="G41" s="519" t="s">
        <v>59</v>
      </c>
      <c r="H41" s="519" t="s">
        <v>154</v>
      </c>
      <c r="I41" s="881">
        <v>279515.53259999602</v>
      </c>
      <c r="J41" s="881">
        <v>19927.899661240102</v>
      </c>
      <c r="K41" s="60">
        <v>6.6549797104431901E-2</v>
      </c>
      <c r="L41" s="880">
        <v>3.0661276375057498</v>
      </c>
      <c r="M41">
        <v>0</v>
      </c>
      <c r="N41" s="60">
        <v>0.72706739804270004</v>
      </c>
      <c r="O41" s="881">
        <v>905681.12549999205</v>
      </c>
      <c r="P41" s="60">
        <v>7.7251105496972297E-2</v>
      </c>
      <c r="Q41" s="880">
        <v>3.0744169672208002</v>
      </c>
      <c r="R41" s="60">
        <v>0.60994967835037306</v>
      </c>
      <c r="S41" s="60">
        <v>0.76184772562095704</v>
      </c>
      <c r="T41" s="60">
        <v>0.29205199891437</v>
      </c>
      <c r="U41" s="60">
        <v>0.30049693296114405</v>
      </c>
    </row>
    <row r="42" spans="1:21" x14ac:dyDescent="0.25">
      <c r="A42" s="519" t="s">
        <v>500</v>
      </c>
      <c r="B42" s="519" t="s">
        <v>1767</v>
      </c>
      <c r="C42" s="519" t="s">
        <v>284</v>
      </c>
      <c r="D42" s="519" t="s">
        <v>111</v>
      </c>
      <c r="E42" s="519" t="s">
        <v>280</v>
      </c>
      <c r="F42" s="519" t="s">
        <v>17</v>
      </c>
      <c r="G42" s="519" t="s">
        <v>56</v>
      </c>
      <c r="H42" s="519" t="s">
        <v>145</v>
      </c>
      <c r="I42" s="881">
        <v>524716.25369998708</v>
      </c>
      <c r="J42" s="881">
        <v>18986.893677760199</v>
      </c>
      <c r="K42" s="60">
        <v>3.4921434185791703E-2</v>
      </c>
      <c r="L42" s="880">
        <v>3.0591033343287899</v>
      </c>
      <c r="M42">
        <v>0</v>
      </c>
      <c r="N42" s="60">
        <v>0.7650895941743221</v>
      </c>
      <c r="O42" s="881">
        <v>1401790.3599999801</v>
      </c>
      <c r="P42" s="60">
        <v>4.8806101904090501E-2</v>
      </c>
      <c r="Q42" s="880">
        <v>3.0411669702295301</v>
      </c>
      <c r="R42" s="60">
        <v>0.60994967835037306</v>
      </c>
      <c r="S42" s="60">
        <v>0.77282127542952206</v>
      </c>
      <c r="T42" s="60">
        <v>0.37425856384780104</v>
      </c>
      <c r="U42" s="60">
        <v>0.27892411292003</v>
      </c>
    </row>
    <row r="43" spans="1:21" x14ac:dyDescent="0.25">
      <c r="A43" s="519" t="s">
        <v>1800</v>
      </c>
      <c r="B43" s="519" t="s">
        <v>1801</v>
      </c>
      <c r="C43" s="519" t="s">
        <v>284</v>
      </c>
      <c r="D43" s="519" t="s">
        <v>111</v>
      </c>
      <c r="E43" s="519" t="s">
        <v>280</v>
      </c>
      <c r="F43" s="519" t="s">
        <v>17</v>
      </c>
      <c r="G43" s="519" t="s">
        <v>57</v>
      </c>
      <c r="H43" s="519" t="s">
        <v>149</v>
      </c>
      <c r="I43" s="881">
        <v>553490.92529999302</v>
      </c>
      <c r="J43" s="881">
        <v>54133.194957740103</v>
      </c>
      <c r="K43" s="60">
        <v>8.9089937599544491E-2</v>
      </c>
      <c r="L43" s="880">
        <v>3.03867330364199</v>
      </c>
      <c r="M43">
        <v>0</v>
      </c>
      <c r="N43" s="60">
        <v>0.77304946105139705</v>
      </c>
      <c r="O43" s="881">
        <v>553490.92529999302</v>
      </c>
      <c r="P43" s="60">
        <v>8.9089937599545393E-2</v>
      </c>
      <c r="Q43" s="880">
        <v>3.03867330364199</v>
      </c>
      <c r="R43" s="60">
        <v>0.60994967835037306</v>
      </c>
      <c r="S43" s="60">
        <v>0.77304946105139705</v>
      </c>
      <c r="T43" s="60">
        <v>0.37973283909959105</v>
      </c>
      <c r="U43" s="60">
        <v>0.53238708119647105</v>
      </c>
    </row>
    <row r="44" spans="1:21" x14ac:dyDescent="0.25">
      <c r="A44" s="519" t="s">
        <v>501</v>
      </c>
      <c r="B44" s="519" t="s">
        <v>502</v>
      </c>
      <c r="C44" s="519" t="s">
        <v>284</v>
      </c>
      <c r="D44" s="519" t="s">
        <v>111</v>
      </c>
      <c r="E44" s="519" t="s">
        <v>289</v>
      </c>
      <c r="F44" s="519" t="s">
        <v>70</v>
      </c>
      <c r="G44" s="519" t="s">
        <v>56</v>
      </c>
      <c r="H44" s="519" t="s">
        <v>144</v>
      </c>
      <c r="I44" s="881">
        <v>165096.042500001</v>
      </c>
      <c r="J44" s="881">
        <v>14961.269747639901</v>
      </c>
      <c r="K44" s="60">
        <v>8.3091708750284696E-2</v>
      </c>
      <c r="L44" s="880">
        <v>3.01270024818175</v>
      </c>
      <c r="M44">
        <v>0</v>
      </c>
      <c r="N44" s="60">
        <v>0.23106378155611901</v>
      </c>
      <c r="O44" s="881">
        <v>881945.5638</v>
      </c>
      <c r="P44" s="60">
        <v>4.6192168236246396E-2</v>
      </c>
      <c r="Q44" s="880">
        <v>3.0424030871669498</v>
      </c>
      <c r="R44" s="60">
        <v>0.52829431666295701</v>
      </c>
      <c r="S44" s="60">
        <v>0.22596841322192301</v>
      </c>
      <c r="T44" s="60">
        <v>0.158597276083354</v>
      </c>
      <c r="U44" s="60">
        <v>0.25344923040816203</v>
      </c>
    </row>
    <row r="45" spans="1:21" x14ac:dyDescent="0.25">
      <c r="A45" s="519" t="s">
        <v>501</v>
      </c>
      <c r="B45" s="519" t="s">
        <v>504</v>
      </c>
      <c r="C45" s="519" t="s">
        <v>284</v>
      </c>
      <c r="D45" s="519" t="s">
        <v>111</v>
      </c>
      <c r="E45" s="519" t="s">
        <v>289</v>
      </c>
      <c r="F45" s="519" t="s">
        <v>70</v>
      </c>
      <c r="G45" s="519" t="s">
        <v>56</v>
      </c>
      <c r="H45" s="519" t="s">
        <v>146</v>
      </c>
      <c r="I45" s="881">
        <v>261894.59049999903</v>
      </c>
      <c r="J45" s="881">
        <v>13216.537819880001</v>
      </c>
      <c r="K45" s="60">
        <v>4.8040724126989003E-2</v>
      </c>
      <c r="L45" s="880">
        <v>3.0313086484194001</v>
      </c>
      <c r="M45">
        <v>0</v>
      </c>
      <c r="N45" s="60">
        <v>0.23246174456589302</v>
      </c>
      <c r="O45" s="881">
        <v>881945.5638</v>
      </c>
      <c r="P45" s="60">
        <v>4.6192168236246396E-2</v>
      </c>
      <c r="Q45" s="880">
        <v>3.0424030871669498</v>
      </c>
      <c r="R45" s="60">
        <v>0.52829431666295701</v>
      </c>
      <c r="S45" s="60">
        <v>0.22596841322192301</v>
      </c>
      <c r="T45" s="60">
        <v>0.376120809694028</v>
      </c>
      <c r="U45" s="60">
        <v>0.37500867715267405</v>
      </c>
    </row>
    <row r="46" spans="1:21" x14ac:dyDescent="0.25">
      <c r="A46" s="519" t="s">
        <v>505</v>
      </c>
      <c r="B46" s="519" t="s">
        <v>507</v>
      </c>
      <c r="C46" s="519" t="s">
        <v>284</v>
      </c>
      <c r="D46" s="519" t="s">
        <v>111</v>
      </c>
      <c r="E46" s="519" t="s">
        <v>289</v>
      </c>
      <c r="F46" s="519" t="s">
        <v>70</v>
      </c>
      <c r="G46" s="519" t="s">
        <v>57</v>
      </c>
      <c r="H46" s="519" t="s">
        <v>148</v>
      </c>
      <c r="I46" s="881">
        <v>304589.71879999503</v>
      </c>
      <c r="J46" s="881">
        <v>32123.280506449901</v>
      </c>
      <c r="K46" s="60">
        <v>9.54025552105702E-2</v>
      </c>
      <c r="L46" s="880">
        <v>3.0538487103604899</v>
      </c>
      <c r="M46">
        <v>0</v>
      </c>
      <c r="N46" s="60">
        <v>0.18261042302784702</v>
      </c>
      <c r="O46" s="881">
        <v>1109860.6599999901</v>
      </c>
      <c r="P46" s="60">
        <v>7.5367971815894497E-2</v>
      </c>
      <c r="Q46" s="880">
        <v>3.0474529686928098</v>
      </c>
      <c r="R46" s="60">
        <v>0.52829431666295701</v>
      </c>
      <c r="S46" s="60">
        <v>0.18387113847246603</v>
      </c>
      <c r="T46" s="60">
        <v>0.25948467416137799</v>
      </c>
      <c r="U46" s="60">
        <v>0.35529037228843002</v>
      </c>
    </row>
    <row r="47" spans="1:21" x14ac:dyDescent="0.25">
      <c r="A47" s="519" t="s">
        <v>509</v>
      </c>
      <c r="B47" s="519" t="s">
        <v>511</v>
      </c>
      <c r="C47" s="519" t="s">
        <v>284</v>
      </c>
      <c r="D47" s="519" t="s">
        <v>111</v>
      </c>
      <c r="E47" s="519" t="s">
        <v>289</v>
      </c>
      <c r="F47" s="519" t="s">
        <v>70</v>
      </c>
      <c r="G47" s="519" t="s">
        <v>58</v>
      </c>
      <c r="H47" s="519" t="s">
        <v>151</v>
      </c>
      <c r="I47" s="881">
        <v>213846.353699998</v>
      </c>
      <c r="J47" s="881">
        <v>13934.360031890001</v>
      </c>
      <c r="K47" s="60">
        <v>6.1174450652971599E-2</v>
      </c>
      <c r="L47" s="880">
        <v>3.1187056453517101</v>
      </c>
      <c r="M47">
        <v>0</v>
      </c>
      <c r="N47" s="60">
        <v>0.13556675200864202</v>
      </c>
      <c r="O47" s="881">
        <v>538085.29179999803</v>
      </c>
      <c r="P47" s="60">
        <v>8.3768226430277301E-2</v>
      </c>
      <c r="Q47" s="880">
        <v>3.0729454765770701</v>
      </c>
      <c r="R47" s="60">
        <v>0.52829431666295701</v>
      </c>
      <c r="S47" s="60">
        <v>0.14790265356218102</v>
      </c>
      <c r="T47" s="60">
        <v>0.40078910492640102</v>
      </c>
      <c r="U47" s="60">
        <v>0.33322475494751203</v>
      </c>
    </row>
    <row r="48" spans="1:21" x14ac:dyDescent="0.25">
      <c r="A48" s="519" t="s">
        <v>513</v>
      </c>
      <c r="B48" s="519" t="s">
        <v>514</v>
      </c>
      <c r="C48" s="519" t="s">
        <v>284</v>
      </c>
      <c r="D48" s="519" t="s">
        <v>111</v>
      </c>
      <c r="E48" s="519" t="s">
        <v>289</v>
      </c>
      <c r="F48" s="519" t="s">
        <v>70</v>
      </c>
      <c r="G48" s="519" t="s">
        <v>59</v>
      </c>
      <c r="H48" s="519" t="s">
        <v>153</v>
      </c>
      <c r="I48" s="881">
        <v>71320.125400000397</v>
      </c>
      <c r="J48" s="881">
        <v>10849.634770660001</v>
      </c>
      <c r="K48" s="60">
        <v>0.13203926539551999</v>
      </c>
      <c r="L48" s="880">
        <v>3.1104742517914601</v>
      </c>
      <c r="M48">
        <v>0</v>
      </c>
      <c r="N48" s="60">
        <v>0.25660458106821904</v>
      </c>
      <c r="O48" s="881">
        <v>210251.34410000101</v>
      </c>
      <c r="P48" s="60">
        <v>0.11640049469557401</v>
      </c>
      <c r="Q48" s="880">
        <v>3.0423741647803602</v>
      </c>
      <c r="R48" s="60">
        <v>0.52829431666295701</v>
      </c>
      <c r="S48" s="60">
        <v>0.208006401990939</v>
      </c>
      <c r="T48" s="60">
        <v>0.33585424574105999</v>
      </c>
      <c r="U48" s="60">
        <v>0.34517861639494002</v>
      </c>
    </row>
    <row r="49" spans="1:21" x14ac:dyDescent="0.25">
      <c r="A49" s="519" t="s">
        <v>513</v>
      </c>
      <c r="B49" s="519" t="s">
        <v>516</v>
      </c>
      <c r="C49" s="519" t="s">
        <v>284</v>
      </c>
      <c r="D49" s="519" t="s">
        <v>111</v>
      </c>
      <c r="E49" s="519" t="s">
        <v>289</v>
      </c>
      <c r="F49" s="519" t="s">
        <v>70</v>
      </c>
      <c r="G49" s="519" t="s">
        <v>59</v>
      </c>
      <c r="H49" s="519" t="s">
        <v>155</v>
      </c>
      <c r="I49" s="881">
        <v>86127.928200000402</v>
      </c>
      <c r="J49" s="881">
        <v>6267.9935747599793</v>
      </c>
      <c r="K49" s="60">
        <v>6.7838422458081402E-2</v>
      </c>
      <c r="L49" s="880">
        <v>2.9346828423267102</v>
      </c>
      <c r="M49">
        <v>0</v>
      </c>
      <c r="N49" s="60">
        <v>0.19290537166317101</v>
      </c>
      <c r="O49" s="881">
        <v>210251.34410000101</v>
      </c>
      <c r="P49" s="60">
        <v>0.11640049469557401</v>
      </c>
      <c r="Q49" s="880">
        <v>3.0423741647803602</v>
      </c>
      <c r="R49" s="60">
        <v>0.52829431666295701</v>
      </c>
      <c r="S49" s="60">
        <v>0.208006401990939</v>
      </c>
      <c r="T49" s="60">
        <v>0.37389444485698403</v>
      </c>
      <c r="U49" s="60">
        <v>0.22697516532887901</v>
      </c>
    </row>
    <row r="50" spans="1:21" x14ac:dyDescent="0.25">
      <c r="A50" s="519" t="s">
        <v>517</v>
      </c>
      <c r="B50" s="519" t="s">
        <v>519</v>
      </c>
      <c r="C50" s="519" t="s">
        <v>284</v>
      </c>
      <c r="D50" s="519" t="s">
        <v>111</v>
      </c>
      <c r="E50" s="519" t="s">
        <v>289</v>
      </c>
      <c r="F50" s="519" t="s">
        <v>16</v>
      </c>
      <c r="G50" s="519" t="s">
        <v>56</v>
      </c>
      <c r="H50" s="519" t="s">
        <v>145</v>
      </c>
      <c r="I50" s="881">
        <v>541090.22339998605</v>
      </c>
      <c r="J50" s="881">
        <v>11590.332382120101</v>
      </c>
      <c r="K50" s="60">
        <v>2.0971123845162698E-2</v>
      </c>
      <c r="L50" s="880">
        <v>3.1084218130284298</v>
      </c>
      <c r="M50">
        <v>0</v>
      </c>
      <c r="N50" s="60">
        <v>0.16634985074099701</v>
      </c>
      <c r="O50" s="881">
        <v>1250155.54409997</v>
      </c>
      <c r="P50" s="60">
        <v>2.74255650686842E-2</v>
      </c>
      <c r="Q50" s="880">
        <v>3.1095469149162902</v>
      </c>
      <c r="R50" s="60">
        <v>0.52829431666295701</v>
      </c>
      <c r="S50" s="60">
        <v>0.17948306973396702</v>
      </c>
      <c r="T50" s="60">
        <v>0.46528191422261805</v>
      </c>
      <c r="U50" s="60">
        <v>0.37154209243916403</v>
      </c>
    </row>
    <row r="51" spans="1:21" x14ac:dyDescent="0.25">
      <c r="A51" s="519" t="s">
        <v>521</v>
      </c>
      <c r="B51" s="519" t="s">
        <v>522</v>
      </c>
      <c r="C51" s="519" t="s">
        <v>284</v>
      </c>
      <c r="D51" s="519" t="s">
        <v>111</v>
      </c>
      <c r="E51" s="519" t="s">
        <v>289</v>
      </c>
      <c r="F51" s="519" t="s">
        <v>16</v>
      </c>
      <c r="G51" s="519" t="s">
        <v>57</v>
      </c>
      <c r="H51" s="519" t="s">
        <v>147</v>
      </c>
      <c r="I51" s="881">
        <v>428618.64339999302</v>
      </c>
      <c r="J51" s="881">
        <v>18972.690800499902</v>
      </c>
      <c r="K51" s="60">
        <v>4.2388422989443196E-2</v>
      </c>
      <c r="L51" s="880">
        <v>3.0746243204521302</v>
      </c>
      <c r="M51">
        <v>0</v>
      </c>
      <c r="N51" s="60">
        <v>0.184508084792285</v>
      </c>
      <c r="O51" s="881">
        <v>1327034.1274999799</v>
      </c>
      <c r="P51" s="60">
        <v>6.2336876033320901E-2</v>
      </c>
      <c r="Q51" s="880">
        <v>3.1020485778768498</v>
      </c>
      <c r="R51" s="60">
        <v>0.52829431666295701</v>
      </c>
      <c r="S51" s="60">
        <v>0.18917215465508402</v>
      </c>
      <c r="T51" s="60">
        <v>0.31322071421189701</v>
      </c>
      <c r="U51" s="60">
        <v>0.23926494356125999</v>
      </c>
    </row>
    <row r="52" spans="1:21" x14ac:dyDescent="0.25">
      <c r="A52" s="519" t="s">
        <v>521</v>
      </c>
      <c r="B52" s="519" t="s">
        <v>524</v>
      </c>
      <c r="C52" s="519" t="s">
        <v>284</v>
      </c>
      <c r="D52" s="519" t="s">
        <v>111</v>
      </c>
      <c r="E52" s="519" t="s">
        <v>289</v>
      </c>
      <c r="F52" s="519" t="s">
        <v>16</v>
      </c>
      <c r="G52" s="519" t="s">
        <v>57</v>
      </c>
      <c r="H52" s="519" t="s">
        <v>149</v>
      </c>
      <c r="I52" s="881">
        <v>570668.35299999209</v>
      </c>
      <c r="J52" s="881">
        <v>37886.836253870599</v>
      </c>
      <c r="K52" s="60">
        <v>6.2257026023099502E-2</v>
      </c>
      <c r="L52" s="880">
        <v>3.12546677818341</v>
      </c>
      <c r="M52">
        <v>0</v>
      </c>
      <c r="N52" s="60">
        <v>0.18991035096001202</v>
      </c>
      <c r="O52" s="881">
        <v>1327034.1274999799</v>
      </c>
      <c r="P52" s="60">
        <v>6.2336876033320901E-2</v>
      </c>
      <c r="Q52" s="880">
        <v>3.1020485778768498</v>
      </c>
      <c r="R52" s="60">
        <v>0.52829431666295701</v>
      </c>
      <c r="S52" s="60">
        <v>0.18917215465508402</v>
      </c>
      <c r="T52" s="60">
        <v>0.42729461162672405</v>
      </c>
      <c r="U52" s="60">
        <v>0.40544468415030999</v>
      </c>
    </row>
    <row r="53" spans="1:21" x14ac:dyDescent="0.25">
      <c r="A53" s="519" t="s">
        <v>525</v>
      </c>
      <c r="B53" s="519" t="s">
        <v>526</v>
      </c>
      <c r="C53" s="519" t="s">
        <v>284</v>
      </c>
      <c r="D53" s="519" t="s">
        <v>111</v>
      </c>
      <c r="E53" s="519" t="s">
        <v>289</v>
      </c>
      <c r="F53" s="519" t="s">
        <v>16</v>
      </c>
      <c r="G53" s="519" t="s">
        <v>58</v>
      </c>
      <c r="H53" s="519" t="s">
        <v>150</v>
      </c>
      <c r="I53" s="881">
        <v>141981.76810000002</v>
      </c>
      <c r="J53" s="881">
        <v>18508.586421079999</v>
      </c>
      <c r="K53" s="60">
        <v>0.11532522609418901</v>
      </c>
      <c r="L53" s="880">
        <v>3.0991279994391099</v>
      </c>
      <c r="M53">
        <v>0</v>
      </c>
      <c r="N53" s="60">
        <v>0.23538931827121001</v>
      </c>
      <c r="O53" s="881">
        <v>567090.52299999399</v>
      </c>
      <c r="P53" s="60">
        <v>7.6356079644739006E-2</v>
      </c>
      <c r="Q53" s="880">
        <v>3.1039274332543698</v>
      </c>
      <c r="R53" s="60">
        <v>0.52829431666295701</v>
      </c>
      <c r="S53" s="60">
        <v>0.22384479012004502</v>
      </c>
      <c r="T53" s="60">
        <v>0.26547384114906403</v>
      </c>
      <c r="U53" s="60">
        <v>0.41359577004146802</v>
      </c>
    </row>
    <row r="54" spans="1:21" x14ac:dyDescent="0.25">
      <c r="A54" s="519" t="s">
        <v>525</v>
      </c>
      <c r="B54" s="519" t="s">
        <v>528</v>
      </c>
      <c r="C54" s="519" t="s">
        <v>284</v>
      </c>
      <c r="D54" s="519" t="s">
        <v>111</v>
      </c>
      <c r="E54" s="519" t="s">
        <v>289</v>
      </c>
      <c r="F54" s="519" t="s">
        <v>16</v>
      </c>
      <c r="G54" s="519" t="s">
        <v>58</v>
      </c>
      <c r="H54" s="519" t="s">
        <v>152</v>
      </c>
      <c r="I54" s="881">
        <v>196012.68299999801</v>
      </c>
      <c r="J54" s="881">
        <v>10291.325327250001</v>
      </c>
      <c r="K54" s="60">
        <v>4.9884272296471799E-2</v>
      </c>
      <c r="L54" s="880">
        <v>3.14271932843705</v>
      </c>
      <c r="M54">
        <v>0</v>
      </c>
      <c r="N54" s="60">
        <v>0.22619753947248702</v>
      </c>
      <c r="O54" s="881">
        <v>567090.52299999399</v>
      </c>
      <c r="P54" s="60">
        <v>7.6356079644739006E-2</v>
      </c>
      <c r="Q54" s="880">
        <v>3.1039274332543698</v>
      </c>
      <c r="R54" s="60">
        <v>0.52829431666295701</v>
      </c>
      <c r="S54" s="60">
        <v>0.22384479012004502</v>
      </c>
      <c r="T54" s="60">
        <v>0.33373705392453501</v>
      </c>
      <c r="U54" s="60">
        <v>0.25317947501102001</v>
      </c>
    </row>
    <row r="55" spans="1:21" x14ac:dyDescent="0.25">
      <c r="A55" s="519" t="s">
        <v>529</v>
      </c>
      <c r="B55" s="519" t="s">
        <v>530</v>
      </c>
      <c r="C55" s="519" t="s">
        <v>284</v>
      </c>
      <c r="D55" s="519" t="s">
        <v>111</v>
      </c>
      <c r="E55" s="519" t="s">
        <v>289</v>
      </c>
      <c r="F55" s="519" t="s">
        <v>16</v>
      </c>
      <c r="G55" s="519" t="s">
        <v>59</v>
      </c>
      <c r="H55" s="519" t="s">
        <v>154</v>
      </c>
      <c r="I55" s="881">
        <v>72166.6248000005</v>
      </c>
      <c r="J55" s="881">
        <v>18766.083528359999</v>
      </c>
      <c r="K55" s="60">
        <v>0.206373304758451</v>
      </c>
      <c r="L55" s="880">
        <v>3.0998290115371199</v>
      </c>
      <c r="M55">
        <v>0</v>
      </c>
      <c r="N55" s="60">
        <v>0.32957201013507603</v>
      </c>
      <c r="O55" s="881">
        <v>220306.28390000103</v>
      </c>
      <c r="P55" s="60">
        <v>0.15655621111851001</v>
      </c>
      <c r="Q55" s="880">
        <v>3.1085848940554599</v>
      </c>
      <c r="R55" s="60">
        <v>0.52829431666295701</v>
      </c>
      <c r="S55" s="60">
        <v>0.28539289069275403</v>
      </c>
      <c r="T55" s="60">
        <v>0.29025130940195504</v>
      </c>
      <c r="U55" s="60">
        <v>0.42784621827618202</v>
      </c>
    </row>
    <row r="56" spans="1:21" x14ac:dyDescent="0.25">
      <c r="A56" s="519" t="s">
        <v>532</v>
      </c>
      <c r="B56" s="519" t="s">
        <v>338</v>
      </c>
      <c r="C56" s="519" t="s">
        <v>284</v>
      </c>
      <c r="D56" s="519" t="s">
        <v>111</v>
      </c>
      <c r="E56" s="519" t="s">
        <v>289</v>
      </c>
      <c r="F56" s="519" t="s">
        <v>17</v>
      </c>
      <c r="G56" s="519" t="s">
        <v>56</v>
      </c>
      <c r="H56" s="519" t="s">
        <v>144</v>
      </c>
      <c r="I56" s="881">
        <v>211048.89329999703</v>
      </c>
      <c r="J56" s="881">
        <v>8258.8049026700301</v>
      </c>
      <c r="K56" s="60">
        <v>3.7658527130396802E-2</v>
      </c>
      <c r="L56" s="880">
        <v>3.10975671180526</v>
      </c>
      <c r="M56">
        <v>0</v>
      </c>
      <c r="N56" s="60">
        <v>0.28828385142733703</v>
      </c>
      <c r="O56" s="881">
        <v>1482934.9428999701</v>
      </c>
      <c r="P56" s="60">
        <v>3.17470178566348E-2</v>
      </c>
      <c r="Q56" s="880">
        <v>3.1316819692984001</v>
      </c>
      <c r="R56" s="60">
        <v>0.52829431666295701</v>
      </c>
      <c r="S56" s="60">
        <v>0.308050778820181</v>
      </c>
      <c r="T56" s="60">
        <v>0.158597276083354</v>
      </c>
      <c r="U56" s="60">
        <v>0.25344923040816203</v>
      </c>
    </row>
    <row r="57" spans="1:21" x14ac:dyDescent="0.25">
      <c r="A57" s="519" t="s">
        <v>532</v>
      </c>
      <c r="B57" s="519" t="s">
        <v>339</v>
      </c>
      <c r="C57" s="519" t="s">
        <v>284</v>
      </c>
      <c r="D57" s="519" t="s">
        <v>111</v>
      </c>
      <c r="E57" s="519" t="s">
        <v>289</v>
      </c>
      <c r="F57" s="519" t="s">
        <v>17</v>
      </c>
      <c r="G57" s="519" t="s">
        <v>56</v>
      </c>
      <c r="H57" s="519" t="s">
        <v>146</v>
      </c>
      <c r="I57" s="881">
        <v>585920.31009998906</v>
      </c>
      <c r="J57" s="881">
        <v>19455.496080609999</v>
      </c>
      <c r="K57" s="60">
        <v>3.2137881762003398E-2</v>
      </c>
      <c r="L57" s="880">
        <v>3.12488546456165</v>
      </c>
      <c r="M57">
        <v>0</v>
      </c>
      <c r="N57" s="60">
        <v>0.33377692670633802</v>
      </c>
      <c r="O57" s="881">
        <v>1482934.9428999701</v>
      </c>
      <c r="P57" s="60">
        <v>3.17470178566348E-2</v>
      </c>
      <c r="Q57" s="880">
        <v>3.1316819692984001</v>
      </c>
      <c r="R57" s="60">
        <v>0.52829431666295701</v>
      </c>
      <c r="S57" s="60">
        <v>0.308050778820181</v>
      </c>
      <c r="T57" s="60">
        <v>0.376120809694028</v>
      </c>
      <c r="U57" s="60">
        <v>0.37500867715267405</v>
      </c>
    </row>
    <row r="58" spans="1:21" x14ac:dyDescent="0.25">
      <c r="A58" s="519" t="s">
        <v>533</v>
      </c>
      <c r="B58" s="519" t="s">
        <v>534</v>
      </c>
      <c r="C58" s="519" t="s">
        <v>284</v>
      </c>
      <c r="D58" s="519" t="s">
        <v>111</v>
      </c>
      <c r="E58" s="519" t="s">
        <v>3</v>
      </c>
      <c r="F58" s="519" t="s">
        <v>70</v>
      </c>
      <c r="G58" s="519" t="s">
        <v>56</v>
      </c>
      <c r="H58" s="519" t="s">
        <v>144</v>
      </c>
      <c r="I58" s="881">
        <v>327660.45520000299</v>
      </c>
      <c r="J58" s="881">
        <v>33266.127509039798</v>
      </c>
      <c r="K58" s="60">
        <v>9.2168682227148205E-2</v>
      </c>
      <c r="L58" s="880">
        <v>3.0035521090072299</v>
      </c>
      <c r="M58">
        <v>0</v>
      </c>
      <c r="N58" s="60">
        <v>0.12934437747188901</v>
      </c>
      <c r="O58" s="881">
        <v>2199657.5224000099</v>
      </c>
      <c r="P58" s="60">
        <v>4.7341348314656098E-2</v>
      </c>
      <c r="Q58" s="880">
        <v>3.0611246690732901</v>
      </c>
      <c r="R58" s="60">
        <v>0.54388487760263904</v>
      </c>
      <c r="S58" s="60">
        <v>7.2591889134531698E-2</v>
      </c>
      <c r="T58" s="60">
        <v>0.14344175039781101</v>
      </c>
      <c r="U58" s="60">
        <v>0.30153596020581702</v>
      </c>
    </row>
    <row r="59" spans="1:21" x14ac:dyDescent="0.25">
      <c r="A59" s="519" t="s">
        <v>533</v>
      </c>
      <c r="B59" s="519" t="s">
        <v>536</v>
      </c>
      <c r="C59" s="519" t="s">
        <v>284</v>
      </c>
      <c r="D59" s="519" t="s">
        <v>111</v>
      </c>
      <c r="E59" s="519" t="s">
        <v>3</v>
      </c>
      <c r="F59" s="519" t="s">
        <v>70</v>
      </c>
      <c r="G59" s="519" t="s">
        <v>56</v>
      </c>
      <c r="H59" s="519" t="s">
        <v>146</v>
      </c>
      <c r="I59" s="881">
        <v>568879.05140000302</v>
      </c>
      <c r="J59" s="881">
        <v>28183.333846000602</v>
      </c>
      <c r="K59" s="60">
        <v>4.7203331749644001E-2</v>
      </c>
      <c r="L59" s="880">
        <v>3.05263255878703</v>
      </c>
      <c r="M59">
        <v>0</v>
      </c>
      <c r="N59" s="60">
        <v>9.2364902118805103E-2</v>
      </c>
      <c r="O59" s="881">
        <v>2199657.5224000099</v>
      </c>
      <c r="P59" s="60">
        <v>4.7341348314656098E-2</v>
      </c>
      <c r="Q59" s="880">
        <v>3.0611246690732901</v>
      </c>
      <c r="R59" s="60">
        <v>0.54388487760263904</v>
      </c>
      <c r="S59" s="60">
        <v>7.2591889134531698E-2</v>
      </c>
      <c r="T59" s="60">
        <v>0.36065663656976904</v>
      </c>
      <c r="U59" s="60">
        <v>0.37991584412969404</v>
      </c>
    </row>
    <row r="60" spans="1:21" x14ac:dyDescent="0.25">
      <c r="A60" s="519" t="s">
        <v>537</v>
      </c>
      <c r="B60" s="519" t="s">
        <v>539</v>
      </c>
      <c r="C60" s="519" t="s">
        <v>284</v>
      </c>
      <c r="D60" s="519" t="s">
        <v>111</v>
      </c>
      <c r="E60" s="519" t="s">
        <v>3</v>
      </c>
      <c r="F60" s="519" t="s">
        <v>70</v>
      </c>
      <c r="G60" s="519" t="s">
        <v>57</v>
      </c>
      <c r="H60" s="519" t="s">
        <v>148</v>
      </c>
      <c r="I60" s="881">
        <v>510688.54579999705</v>
      </c>
      <c r="J60" s="881">
        <v>128854.05375433101</v>
      </c>
      <c r="K60" s="60">
        <v>0.20147845326351102</v>
      </c>
      <c r="L60" s="880">
        <v>3.0495422472412899</v>
      </c>
      <c r="M60">
        <v>0</v>
      </c>
      <c r="N60" s="60">
        <v>6.0724435186656898E-2</v>
      </c>
      <c r="O60" s="881">
        <v>2149587.1218999899</v>
      </c>
      <c r="P60" s="60">
        <v>0.109147955431209</v>
      </c>
      <c r="Q60" s="880">
        <v>3.0206468035245799</v>
      </c>
      <c r="R60" s="60">
        <v>0.54388487760263904</v>
      </c>
      <c r="S60" s="60">
        <v>4.3486024803394301E-2</v>
      </c>
      <c r="T60" s="60">
        <v>0.22474499730706102</v>
      </c>
      <c r="U60" s="60">
        <v>0.43577166249398502</v>
      </c>
    </row>
    <row r="61" spans="1:21" x14ac:dyDescent="0.25">
      <c r="A61" s="519" t="s">
        <v>541</v>
      </c>
      <c r="B61" s="519" t="s">
        <v>542</v>
      </c>
      <c r="C61" s="519" t="s">
        <v>284</v>
      </c>
      <c r="D61" s="519" t="s">
        <v>111</v>
      </c>
      <c r="E61" s="519" t="s">
        <v>3</v>
      </c>
      <c r="F61" s="519" t="s">
        <v>70</v>
      </c>
      <c r="G61" s="519" t="s">
        <v>58</v>
      </c>
      <c r="H61" s="519" t="s">
        <v>150</v>
      </c>
      <c r="I61" s="881">
        <v>582296.320499997</v>
      </c>
      <c r="J61" s="881">
        <v>81018.934139480509</v>
      </c>
      <c r="K61" s="60">
        <v>0.12214242560050101</v>
      </c>
      <c r="L61" s="880">
        <v>2.9963261072910101</v>
      </c>
      <c r="M61">
        <v>0</v>
      </c>
      <c r="N61" s="60">
        <v>0.15236879089982303</v>
      </c>
      <c r="O61" s="881">
        <v>1725985.0586000001</v>
      </c>
      <c r="P61" s="60">
        <v>9.5232524672861002E-2</v>
      </c>
      <c r="Q61" s="880">
        <v>3.0268485796156601</v>
      </c>
      <c r="R61" s="60">
        <v>0.54388487760263904</v>
      </c>
      <c r="S61" s="60">
        <v>0.12768318138209001</v>
      </c>
      <c r="T61" s="60">
        <v>0.37121714171189302</v>
      </c>
      <c r="U61" s="60">
        <v>0.45937940983991205</v>
      </c>
    </row>
    <row r="62" spans="1:21" x14ac:dyDescent="0.25">
      <c r="A62" s="519" t="s">
        <v>541</v>
      </c>
      <c r="B62" s="519" t="s">
        <v>544</v>
      </c>
      <c r="C62" s="519" t="s">
        <v>284</v>
      </c>
      <c r="D62" s="519" t="s">
        <v>111</v>
      </c>
      <c r="E62" s="519" t="s">
        <v>3</v>
      </c>
      <c r="F62" s="519" t="s">
        <v>70</v>
      </c>
      <c r="G62" s="519" t="s">
        <v>58</v>
      </c>
      <c r="H62" s="519" t="s">
        <v>152</v>
      </c>
      <c r="I62" s="881">
        <v>708292.18189999904</v>
      </c>
      <c r="J62" s="881">
        <v>57894.923612260201</v>
      </c>
      <c r="K62" s="60">
        <v>7.5562383125140603E-2</v>
      </c>
      <c r="L62" s="880">
        <v>3.03342048694202</v>
      </c>
      <c r="M62">
        <v>0</v>
      </c>
      <c r="N62" s="60">
        <v>0.123538072755904</v>
      </c>
      <c r="O62" s="881">
        <v>1725985.0586000001</v>
      </c>
      <c r="P62" s="60">
        <v>9.5232524672861002E-2</v>
      </c>
      <c r="Q62" s="880">
        <v>3.0268485796156601</v>
      </c>
      <c r="R62" s="60">
        <v>0.54388487760263904</v>
      </c>
      <c r="S62" s="60">
        <v>0.12768318138209001</v>
      </c>
      <c r="T62" s="60">
        <v>0.37487879086525505</v>
      </c>
      <c r="U62" s="60">
        <v>0.24376495879965401</v>
      </c>
    </row>
    <row r="63" spans="1:21" x14ac:dyDescent="0.25">
      <c r="A63" s="519" t="s">
        <v>545</v>
      </c>
      <c r="B63" s="519" t="s">
        <v>547</v>
      </c>
      <c r="C63" s="519" t="s">
        <v>284</v>
      </c>
      <c r="D63" s="519" t="s">
        <v>111</v>
      </c>
      <c r="E63" s="519" t="s">
        <v>3</v>
      </c>
      <c r="F63" s="519" t="s">
        <v>70</v>
      </c>
      <c r="G63" s="519" t="s">
        <v>59</v>
      </c>
      <c r="H63" s="519" t="s">
        <v>154</v>
      </c>
      <c r="I63" s="881">
        <v>163150.47</v>
      </c>
      <c r="J63" s="881">
        <v>33864.747779830002</v>
      </c>
      <c r="K63" s="60">
        <v>0.17188899497943702</v>
      </c>
      <c r="L63" s="880">
        <v>2.96626618587994</v>
      </c>
      <c r="M63">
        <v>0</v>
      </c>
      <c r="N63" s="60">
        <v>0.17972079393948401</v>
      </c>
      <c r="O63" s="881">
        <v>662713.01190000004</v>
      </c>
      <c r="P63" s="60">
        <v>0.13517945994359901</v>
      </c>
      <c r="Q63" s="880">
        <v>2.94719398735492</v>
      </c>
      <c r="R63" s="60">
        <v>0.54388487760263904</v>
      </c>
      <c r="S63" s="60">
        <v>0.167181588425969</v>
      </c>
      <c r="T63" s="60">
        <v>0.27882542957441103</v>
      </c>
      <c r="U63" s="60">
        <v>0.36961997401306401</v>
      </c>
    </row>
    <row r="64" spans="1:21" x14ac:dyDescent="0.25">
      <c r="A64" s="519" t="s">
        <v>549</v>
      </c>
      <c r="B64" s="519" t="s">
        <v>550</v>
      </c>
      <c r="C64" s="519" t="s">
        <v>284</v>
      </c>
      <c r="D64" s="519" t="s">
        <v>111</v>
      </c>
      <c r="E64" s="519" t="s">
        <v>3</v>
      </c>
      <c r="F64" s="519" t="s">
        <v>16</v>
      </c>
      <c r="G64" s="519" t="s">
        <v>56</v>
      </c>
      <c r="H64" s="519" t="s">
        <v>144</v>
      </c>
      <c r="I64" s="881">
        <v>324577.44130000001</v>
      </c>
      <c r="J64" s="881">
        <v>30937.729877590002</v>
      </c>
      <c r="K64" s="60">
        <v>8.7022249360310597E-2</v>
      </c>
      <c r="L64" s="880">
        <v>2.9601946648165001</v>
      </c>
      <c r="M64">
        <v>0</v>
      </c>
      <c r="N64" s="60">
        <v>0.15973030285885101</v>
      </c>
      <c r="O64" s="881">
        <v>2487947.9758999501</v>
      </c>
      <c r="P64" s="60">
        <v>3.9161337233355901E-2</v>
      </c>
      <c r="Q64" s="880">
        <v>3.0126127727812899</v>
      </c>
      <c r="R64" s="60">
        <v>0.54388487760263904</v>
      </c>
      <c r="S64" s="60">
        <v>7.4224236555108195E-2</v>
      </c>
      <c r="T64" s="60">
        <v>0.14344175039781101</v>
      </c>
      <c r="U64" s="60">
        <v>0.30153596020581702</v>
      </c>
    </row>
    <row r="65" spans="1:21" x14ac:dyDescent="0.25">
      <c r="A65" s="519" t="s">
        <v>549</v>
      </c>
      <c r="B65" s="519" t="s">
        <v>552</v>
      </c>
      <c r="C65" s="519" t="s">
        <v>284</v>
      </c>
      <c r="D65" s="519" t="s">
        <v>111</v>
      </c>
      <c r="E65" s="519" t="s">
        <v>3</v>
      </c>
      <c r="F65" s="519" t="s">
        <v>16</v>
      </c>
      <c r="G65" s="519" t="s">
        <v>56</v>
      </c>
      <c r="H65" s="519" t="s">
        <v>146</v>
      </c>
      <c r="I65" s="881">
        <v>1006400.08849997</v>
      </c>
      <c r="J65" s="881">
        <v>44875.703512270098</v>
      </c>
      <c r="K65" s="60">
        <v>4.2686898959570396E-2</v>
      </c>
      <c r="L65" s="880">
        <v>3.0374559762046398</v>
      </c>
      <c r="M65">
        <v>0</v>
      </c>
      <c r="N65" s="60">
        <v>8.1941445497003593E-2</v>
      </c>
      <c r="O65" s="881">
        <v>2487947.9758999501</v>
      </c>
      <c r="P65" s="60">
        <v>3.9161337233355901E-2</v>
      </c>
      <c r="Q65" s="880">
        <v>3.0126127727812899</v>
      </c>
      <c r="R65" s="60">
        <v>0.54388487760263904</v>
      </c>
      <c r="S65" s="60">
        <v>7.4224236555108195E-2</v>
      </c>
      <c r="T65" s="60">
        <v>0.36065663656976904</v>
      </c>
      <c r="U65" s="60">
        <v>0.37991584412969404</v>
      </c>
    </row>
    <row r="66" spans="1:21" x14ac:dyDescent="0.25">
      <c r="A66" s="519" t="s">
        <v>553</v>
      </c>
      <c r="B66" s="519" t="s">
        <v>555</v>
      </c>
      <c r="C66" s="519" t="s">
        <v>284</v>
      </c>
      <c r="D66" s="519" t="s">
        <v>111</v>
      </c>
      <c r="E66" s="519" t="s">
        <v>3</v>
      </c>
      <c r="F66" s="519" t="s">
        <v>16</v>
      </c>
      <c r="G66" s="519" t="s">
        <v>57</v>
      </c>
      <c r="H66" s="519" t="s">
        <v>148</v>
      </c>
      <c r="I66" s="881">
        <v>498277.58680000203</v>
      </c>
      <c r="J66" s="881">
        <v>88174.6816630588</v>
      </c>
      <c r="K66" s="60">
        <v>0.15035269945180901</v>
      </c>
      <c r="L66" s="880">
        <v>2.9364647283092702</v>
      </c>
      <c r="M66">
        <v>0</v>
      </c>
      <c r="N66" s="60">
        <v>9.41432947069894E-2</v>
      </c>
      <c r="O66" s="881">
        <v>2339794.82069998</v>
      </c>
      <c r="P66" s="60">
        <v>9.1150771599477404E-2</v>
      </c>
      <c r="Q66" s="880">
        <v>3.01410834481177</v>
      </c>
      <c r="R66" s="60">
        <v>0.54388487760263904</v>
      </c>
      <c r="S66" s="60">
        <v>5.8777758751879197E-2</v>
      </c>
      <c r="T66" s="60">
        <v>0.22474499730706102</v>
      </c>
      <c r="U66" s="60">
        <v>0.43577166249398502</v>
      </c>
    </row>
    <row r="67" spans="1:21" x14ac:dyDescent="0.25">
      <c r="A67" s="519" t="s">
        <v>557</v>
      </c>
      <c r="B67" s="519" t="s">
        <v>558</v>
      </c>
      <c r="C67" s="519" t="s">
        <v>284</v>
      </c>
      <c r="D67" s="519" t="s">
        <v>111</v>
      </c>
      <c r="E67" s="519" t="s">
        <v>3</v>
      </c>
      <c r="F67" s="519" t="s">
        <v>16</v>
      </c>
      <c r="G67" s="519" t="s">
        <v>58</v>
      </c>
      <c r="H67" s="519" t="s">
        <v>150</v>
      </c>
      <c r="I67" s="881">
        <v>732136.50239998999</v>
      </c>
      <c r="J67" s="881">
        <v>86169.842487709699</v>
      </c>
      <c r="K67" s="60">
        <v>0.10530266938054</v>
      </c>
      <c r="L67" s="880">
        <v>2.92463479356352</v>
      </c>
      <c r="M67">
        <v>0</v>
      </c>
      <c r="N67" s="60">
        <v>0.20406550200713403</v>
      </c>
      <c r="O67" s="881">
        <v>1814888.1264000002</v>
      </c>
      <c r="P67" s="60">
        <v>9.1266488255171793E-2</v>
      </c>
      <c r="Q67" s="880">
        <v>2.95342896489232</v>
      </c>
      <c r="R67" s="60">
        <v>0.54388487760263904</v>
      </c>
      <c r="S67" s="60">
        <v>0.17762906314201601</v>
      </c>
      <c r="T67" s="60">
        <v>0.37121714171189302</v>
      </c>
      <c r="U67" s="60">
        <v>0.45937940983991205</v>
      </c>
    </row>
    <row r="68" spans="1:21" x14ac:dyDescent="0.25">
      <c r="A68" s="519" t="s">
        <v>557</v>
      </c>
      <c r="B68" s="519" t="s">
        <v>560</v>
      </c>
      <c r="C68" s="519" t="s">
        <v>284</v>
      </c>
      <c r="D68" s="519" t="s">
        <v>111</v>
      </c>
      <c r="E68" s="519" t="s">
        <v>3</v>
      </c>
      <c r="F68" s="519" t="s">
        <v>16</v>
      </c>
      <c r="G68" s="519" t="s">
        <v>58</v>
      </c>
      <c r="H68" s="519" t="s">
        <v>152</v>
      </c>
      <c r="I68" s="881">
        <v>619106.07630000298</v>
      </c>
      <c r="J68" s="881">
        <v>30822.081053870203</v>
      </c>
      <c r="K68" s="60">
        <v>4.7423827857157701E-2</v>
      </c>
      <c r="L68" s="880">
        <v>2.9662183936152502</v>
      </c>
      <c r="M68">
        <v>0</v>
      </c>
      <c r="N68" s="60">
        <v>0.18943438772384</v>
      </c>
      <c r="O68" s="881">
        <v>1814888.1264000002</v>
      </c>
      <c r="P68" s="60">
        <v>9.1266488255171793E-2</v>
      </c>
      <c r="Q68" s="880">
        <v>2.95342896489232</v>
      </c>
      <c r="R68" s="60">
        <v>0.54388487760263904</v>
      </c>
      <c r="S68" s="60">
        <v>0.17762906314201601</v>
      </c>
      <c r="T68" s="60">
        <v>0.37487879086525505</v>
      </c>
      <c r="U68" s="60">
        <v>0.24376495879965401</v>
      </c>
    </row>
    <row r="69" spans="1:21" x14ac:dyDescent="0.25">
      <c r="A69" s="519" t="s">
        <v>561</v>
      </c>
      <c r="B69" s="519" t="s">
        <v>562</v>
      </c>
      <c r="C69" s="519" t="s">
        <v>284</v>
      </c>
      <c r="D69" s="519" t="s">
        <v>111</v>
      </c>
      <c r="E69" s="519" t="s">
        <v>3</v>
      </c>
      <c r="F69" s="519" t="s">
        <v>16</v>
      </c>
      <c r="G69" s="519" t="s">
        <v>59</v>
      </c>
      <c r="H69" s="519" t="s">
        <v>154</v>
      </c>
      <c r="I69" s="881">
        <v>187329.68019999901</v>
      </c>
      <c r="J69" s="881">
        <v>57138.662434829901</v>
      </c>
      <c r="K69" s="60">
        <v>0.23372622327701401</v>
      </c>
      <c r="L69" s="880">
        <v>2.9571646645641101</v>
      </c>
      <c r="M69">
        <v>0</v>
      </c>
      <c r="N69" s="60">
        <v>0.22451444242630203</v>
      </c>
      <c r="O69" s="881">
        <v>594274.74109999707</v>
      </c>
      <c r="P69" s="60">
        <v>0.19354173648707601</v>
      </c>
      <c r="Q69" s="880">
        <v>2.8859656893500798</v>
      </c>
      <c r="R69" s="60">
        <v>0.54388487760263904</v>
      </c>
      <c r="S69" s="60">
        <v>0.23264279320385403</v>
      </c>
      <c r="T69" s="60">
        <v>0.27882542957441103</v>
      </c>
      <c r="U69" s="60">
        <v>0.36961997401306401</v>
      </c>
    </row>
    <row r="70" spans="1:21" x14ac:dyDescent="0.25">
      <c r="A70" s="519" t="s">
        <v>564</v>
      </c>
      <c r="B70" s="519" t="s">
        <v>342</v>
      </c>
      <c r="C70" s="519" t="s">
        <v>284</v>
      </c>
      <c r="D70" s="519" t="s">
        <v>111</v>
      </c>
      <c r="E70" s="519" t="s">
        <v>3</v>
      </c>
      <c r="F70" s="519" t="s">
        <v>17</v>
      </c>
      <c r="G70" s="519" t="s">
        <v>56</v>
      </c>
      <c r="H70" s="519" t="s">
        <v>144</v>
      </c>
      <c r="I70" s="881">
        <v>402328.01539999904</v>
      </c>
      <c r="J70" s="881">
        <v>47375.838279389602</v>
      </c>
      <c r="K70" s="60">
        <v>0.105348971087904</v>
      </c>
      <c r="L70" s="880">
        <v>3.0121871250122401</v>
      </c>
      <c r="M70">
        <v>0</v>
      </c>
      <c r="N70" s="60">
        <v>0.24114207757454703</v>
      </c>
      <c r="O70" s="881">
        <v>2664270.1513999798</v>
      </c>
      <c r="P70" s="60">
        <v>5.64265352575017E-2</v>
      </c>
      <c r="Q70" s="880">
        <v>3.0324222720455798</v>
      </c>
      <c r="R70" s="60">
        <v>0.54388487760263904</v>
      </c>
      <c r="S70" s="60">
        <v>0.25777434485730399</v>
      </c>
      <c r="T70" s="60">
        <v>0.14344175039781101</v>
      </c>
      <c r="U70" s="60">
        <v>0.30153596020581702</v>
      </c>
    </row>
    <row r="71" spans="1:21" x14ac:dyDescent="0.25">
      <c r="A71" s="519" t="s">
        <v>564</v>
      </c>
      <c r="B71" s="519" t="s">
        <v>343</v>
      </c>
      <c r="C71" s="519" t="s">
        <v>284</v>
      </c>
      <c r="D71" s="519" t="s">
        <v>111</v>
      </c>
      <c r="E71" s="519" t="s">
        <v>3</v>
      </c>
      <c r="F71" s="519" t="s">
        <v>17</v>
      </c>
      <c r="G71" s="519" t="s">
        <v>56</v>
      </c>
      <c r="H71" s="519" t="s">
        <v>146</v>
      </c>
      <c r="I71" s="881">
        <v>1076223.6043999901</v>
      </c>
      <c r="J71" s="881">
        <v>67524.176125639206</v>
      </c>
      <c r="K71" s="60">
        <v>5.9037645602779298E-2</v>
      </c>
      <c r="L71" s="880">
        <v>3.03608797861482</v>
      </c>
      <c r="M71">
        <v>0</v>
      </c>
      <c r="N71" s="60">
        <v>0.26843257601756704</v>
      </c>
      <c r="O71" s="881">
        <v>2664270.1513999798</v>
      </c>
      <c r="P71" s="60">
        <v>5.64265352575017E-2</v>
      </c>
      <c r="Q71" s="880">
        <v>3.0324222720455798</v>
      </c>
      <c r="R71" s="60">
        <v>0.54388487760263904</v>
      </c>
      <c r="S71" s="60">
        <v>0.25777434485730399</v>
      </c>
      <c r="T71" s="60">
        <v>0.36065663656976904</v>
      </c>
      <c r="U71" s="60">
        <v>0.37991584412969404</v>
      </c>
    </row>
    <row r="72" spans="1:21" x14ac:dyDescent="0.25">
      <c r="A72" s="519" t="s">
        <v>565</v>
      </c>
      <c r="B72" s="519" t="s">
        <v>566</v>
      </c>
      <c r="C72" s="519" t="s">
        <v>284</v>
      </c>
      <c r="D72" s="519" t="s">
        <v>111</v>
      </c>
      <c r="E72" s="519" t="s">
        <v>286</v>
      </c>
      <c r="F72" s="519" t="s">
        <v>70</v>
      </c>
      <c r="G72" s="519" t="s">
        <v>56</v>
      </c>
      <c r="H72" s="519" t="s">
        <v>144</v>
      </c>
      <c r="I72" s="881">
        <v>182857.94190000102</v>
      </c>
      <c r="J72" s="881">
        <v>11903.307484789901</v>
      </c>
      <c r="K72" s="60">
        <v>6.11174323557181E-2</v>
      </c>
      <c r="L72" s="880">
        <v>2.9448883422732202</v>
      </c>
      <c r="M72">
        <v>0</v>
      </c>
      <c r="N72" s="60">
        <v>0.32047955747007001</v>
      </c>
      <c r="O72" s="881">
        <v>591106.77440000302</v>
      </c>
      <c r="P72" s="60">
        <v>6.8904258925027703E-2</v>
      </c>
      <c r="Q72" s="880">
        <v>2.9784415647218001</v>
      </c>
      <c r="R72" s="60">
        <v>0.54611489677995206</v>
      </c>
      <c r="S72" s="60">
        <v>0.45103239287118202</v>
      </c>
      <c r="T72" s="60">
        <v>0.287255960941111</v>
      </c>
      <c r="U72" s="60">
        <v>0.28070535285871501</v>
      </c>
    </row>
    <row r="73" spans="1:21" x14ac:dyDescent="0.25">
      <c r="A73" s="519" t="s">
        <v>565</v>
      </c>
      <c r="B73" s="519" t="s">
        <v>568</v>
      </c>
      <c r="C73" s="519" t="s">
        <v>284</v>
      </c>
      <c r="D73" s="519" t="s">
        <v>111</v>
      </c>
      <c r="E73" s="519" t="s">
        <v>286</v>
      </c>
      <c r="F73" s="519" t="s">
        <v>70</v>
      </c>
      <c r="G73" s="519" t="s">
        <v>56</v>
      </c>
      <c r="H73" s="519" t="s">
        <v>146</v>
      </c>
      <c r="I73" s="881">
        <v>183981.97130000102</v>
      </c>
      <c r="J73" s="881">
        <v>17109.199886789902</v>
      </c>
      <c r="K73" s="60">
        <v>8.5081805361298793E-2</v>
      </c>
      <c r="L73" s="880">
        <v>2.9893487086843002</v>
      </c>
      <c r="M73">
        <v>0</v>
      </c>
      <c r="N73" s="60">
        <v>0.46037754950394505</v>
      </c>
      <c r="O73" s="881">
        <v>591106.77440000302</v>
      </c>
      <c r="P73" s="60">
        <v>6.8904258925027703E-2</v>
      </c>
      <c r="Q73" s="880">
        <v>2.9784415647218001</v>
      </c>
      <c r="R73" s="60">
        <v>0.54611489677995206</v>
      </c>
      <c r="S73" s="60">
        <v>0.45103239287118202</v>
      </c>
      <c r="T73" s="60">
        <v>0.35434882046514404</v>
      </c>
      <c r="U73" s="60">
        <v>0.39500556943079901</v>
      </c>
    </row>
    <row r="74" spans="1:21" x14ac:dyDescent="0.25">
      <c r="A74" s="519" t="s">
        <v>569</v>
      </c>
      <c r="B74" s="519" t="s">
        <v>571</v>
      </c>
      <c r="C74" s="519" t="s">
        <v>284</v>
      </c>
      <c r="D74" s="519" t="s">
        <v>111</v>
      </c>
      <c r="E74" s="519" t="s">
        <v>286</v>
      </c>
      <c r="F74" s="519" t="s">
        <v>70</v>
      </c>
      <c r="G74" s="519" t="s">
        <v>57</v>
      </c>
      <c r="H74" s="519" t="s">
        <v>148</v>
      </c>
      <c r="I74" s="881">
        <v>215842.342</v>
      </c>
      <c r="J74" s="881">
        <v>8564.9106879698793</v>
      </c>
      <c r="K74" s="60">
        <v>3.8166817629014797E-2</v>
      </c>
      <c r="L74" s="880">
        <v>3.0260461584001201</v>
      </c>
      <c r="M74">
        <v>0</v>
      </c>
      <c r="N74" s="60">
        <v>0.46344226796797705</v>
      </c>
      <c r="O74" s="881">
        <v>701101.44360000209</v>
      </c>
      <c r="P74" s="60">
        <v>5.4443787377094301E-2</v>
      </c>
      <c r="Q74" s="880">
        <v>3.0031799906472298</v>
      </c>
      <c r="R74" s="60">
        <v>0.54611489677995206</v>
      </c>
      <c r="S74" s="60">
        <v>0.49574365232415002</v>
      </c>
      <c r="T74" s="60">
        <v>0.296746141713708</v>
      </c>
      <c r="U74" s="60">
        <v>0.26865244666835902</v>
      </c>
    </row>
    <row r="75" spans="1:21" x14ac:dyDescent="0.25">
      <c r="A75" s="519" t="s">
        <v>573</v>
      </c>
      <c r="B75" s="519" t="s">
        <v>575</v>
      </c>
      <c r="C75" s="519" t="s">
        <v>284</v>
      </c>
      <c r="D75" s="519" t="s">
        <v>111</v>
      </c>
      <c r="E75" s="519" t="s">
        <v>286</v>
      </c>
      <c r="F75" s="519" t="s">
        <v>70</v>
      </c>
      <c r="G75" s="519" t="s">
        <v>58</v>
      </c>
      <c r="H75" s="519" t="s">
        <v>151</v>
      </c>
      <c r="I75" s="881">
        <v>223569.56400000001</v>
      </c>
      <c r="J75" s="881">
        <v>6795.8309823700001</v>
      </c>
      <c r="K75" s="60">
        <v>2.9500224992083501E-2</v>
      </c>
      <c r="L75" s="880">
        <v>3.0466110275714202</v>
      </c>
      <c r="M75">
        <v>0</v>
      </c>
      <c r="N75" s="60">
        <v>0.37437049213013701</v>
      </c>
      <c r="O75" s="881">
        <v>729971.07189999602</v>
      </c>
      <c r="P75" s="60">
        <v>3.0794488880412699E-2</v>
      </c>
      <c r="Q75" s="880">
        <v>3.0829030708148202</v>
      </c>
      <c r="R75" s="60">
        <v>0.54611489677995206</v>
      </c>
      <c r="S75" s="60">
        <v>0.30128027104905503</v>
      </c>
      <c r="T75" s="60">
        <v>0.26625975607255997</v>
      </c>
      <c r="U75" s="60">
        <v>0.30052699353247603</v>
      </c>
    </row>
    <row r="76" spans="1:21" x14ac:dyDescent="0.25">
      <c r="A76" s="519" t="s">
        <v>577</v>
      </c>
      <c r="B76" s="519" t="s">
        <v>578</v>
      </c>
      <c r="C76" s="519" t="s">
        <v>284</v>
      </c>
      <c r="D76" s="519" t="s">
        <v>111</v>
      </c>
      <c r="E76" s="519" t="s">
        <v>286</v>
      </c>
      <c r="F76" s="519" t="s">
        <v>70</v>
      </c>
      <c r="G76" s="519" t="s">
        <v>59</v>
      </c>
      <c r="H76" s="519" t="s">
        <v>153</v>
      </c>
      <c r="I76" s="881">
        <v>151688.06460000001</v>
      </c>
      <c r="J76" s="881">
        <v>5681.6001898099894</v>
      </c>
      <c r="K76" s="60">
        <v>3.6103528576480297E-2</v>
      </c>
      <c r="L76" s="880">
        <v>3.0474745186273799</v>
      </c>
      <c r="M76">
        <v>0</v>
      </c>
      <c r="N76" s="60">
        <v>0.15045388416143102</v>
      </c>
      <c r="O76" s="881">
        <v>628017.70569999702</v>
      </c>
      <c r="P76" s="60">
        <v>3.03336489213707E-2</v>
      </c>
      <c r="Q76" s="880">
        <v>3.0691559525640799</v>
      </c>
      <c r="R76" s="60">
        <v>0.54611489677995206</v>
      </c>
      <c r="S76" s="60">
        <v>0.16056141647727501</v>
      </c>
      <c r="T76" s="60">
        <v>0.25541204706487802</v>
      </c>
      <c r="U76" s="60">
        <v>0.28609252921830003</v>
      </c>
    </row>
    <row r="77" spans="1:21" x14ac:dyDescent="0.25">
      <c r="A77" s="519" t="s">
        <v>577</v>
      </c>
      <c r="B77" s="519" t="s">
        <v>580</v>
      </c>
      <c r="C77" s="519" t="s">
        <v>284</v>
      </c>
      <c r="D77" s="519" t="s">
        <v>111</v>
      </c>
      <c r="E77" s="519" t="s">
        <v>286</v>
      </c>
      <c r="F77" s="519" t="s">
        <v>70</v>
      </c>
      <c r="G77" s="519" t="s">
        <v>59</v>
      </c>
      <c r="H77" s="519" t="s">
        <v>155</v>
      </c>
      <c r="I77" s="881">
        <v>265253.36039999902</v>
      </c>
      <c r="J77" s="881">
        <v>6696.0730994299493</v>
      </c>
      <c r="K77" s="60">
        <v>2.46224932821714E-2</v>
      </c>
      <c r="L77" s="880">
        <v>3.10330172671509</v>
      </c>
      <c r="M77">
        <v>0</v>
      </c>
      <c r="N77" s="60">
        <v>0.17809420068708101</v>
      </c>
      <c r="O77" s="881">
        <v>628017.70569999702</v>
      </c>
      <c r="P77" s="60">
        <v>3.03336489213707E-2</v>
      </c>
      <c r="Q77" s="880">
        <v>3.0691559525640799</v>
      </c>
      <c r="R77" s="60">
        <v>0.54611489677995206</v>
      </c>
      <c r="S77" s="60">
        <v>0.16056141647727501</v>
      </c>
      <c r="T77" s="60">
        <v>0.40253016941244102</v>
      </c>
      <c r="U77" s="60">
        <v>0.34250445711100702</v>
      </c>
    </row>
    <row r="78" spans="1:21" x14ac:dyDescent="0.25">
      <c r="A78" s="519" t="s">
        <v>581</v>
      </c>
      <c r="B78" s="519" t="s">
        <v>583</v>
      </c>
      <c r="C78" s="519" t="s">
        <v>284</v>
      </c>
      <c r="D78" s="519" t="s">
        <v>111</v>
      </c>
      <c r="E78" s="519" t="s">
        <v>286</v>
      </c>
      <c r="F78" s="519" t="s">
        <v>16</v>
      </c>
      <c r="G78" s="519" t="s">
        <v>56</v>
      </c>
      <c r="H78" s="519" t="s">
        <v>145</v>
      </c>
      <c r="I78" s="881">
        <v>217132.01810000202</v>
      </c>
      <c r="J78" s="881">
        <v>6006.4573731599594</v>
      </c>
      <c r="K78" s="60">
        <v>2.6918071213059201E-2</v>
      </c>
      <c r="L78" s="880">
        <v>3.1533993933864699</v>
      </c>
      <c r="M78">
        <v>0</v>
      </c>
      <c r="N78" s="60">
        <v>0.36012528960140505</v>
      </c>
      <c r="O78" s="881">
        <v>593484.48340000107</v>
      </c>
      <c r="P78" s="60">
        <v>3.3697764551629698E-2</v>
      </c>
      <c r="Q78" s="880">
        <v>3.0775354516941902</v>
      </c>
      <c r="R78" s="60">
        <v>0.54611489677995206</v>
      </c>
      <c r="S78" s="60">
        <v>0.25149739138066302</v>
      </c>
      <c r="T78" s="60">
        <v>0.35839521859374501</v>
      </c>
      <c r="U78" s="60">
        <v>0.32428907771048604</v>
      </c>
    </row>
    <row r="79" spans="1:21" x14ac:dyDescent="0.25">
      <c r="A79" s="519" t="s">
        <v>585</v>
      </c>
      <c r="B79" s="519" t="s">
        <v>586</v>
      </c>
      <c r="C79" s="519" t="s">
        <v>284</v>
      </c>
      <c r="D79" s="519" t="s">
        <v>111</v>
      </c>
      <c r="E79" s="519" t="s">
        <v>286</v>
      </c>
      <c r="F79" s="519" t="s">
        <v>16</v>
      </c>
      <c r="G79" s="519" t="s">
        <v>57</v>
      </c>
      <c r="H79" s="519" t="s">
        <v>147</v>
      </c>
      <c r="I79" s="881">
        <v>222295.05530000202</v>
      </c>
      <c r="J79" s="881">
        <v>5794.4566443199892</v>
      </c>
      <c r="K79" s="60">
        <v>2.54043098909979E-2</v>
      </c>
      <c r="L79" s="880">
        <v>3.1061625465881102</v>
      </c>
      <c r="M79">
        <v>0</v>
      </c>
      <c r="N79" s="60">
        <v>0.48847297774328902</v>
      </c>
      <c r="O79" s="881">
        <v>680164.24610000709</v>
      </c>
      <c r="P79" s="60">
        <v>5.5154862186245698E-2</v>
      </c>
      <c r="Q79" s="880">
        <v>3.1611935280435501</v>
      </c>
      <c r="R79" s="60">
        <v>0.54611489677995206</v>
      </c>
      <c r="S79" s="60">
        <v>0.48723891280706305</v>
      </c>
      <c r="T79" s="60">
        <v>0.321579485259258</v>
      </c>
      <c r="U79" s="60">
        <v>0.18719783227901202</v>
      </c>
    </row>
    <row r="80" spans="1:21" x14ac:dyDescent="0.25">
      <c r="A80" s="519" t="s">
        <v>585</v>
      </c>
      <c r="B80" s="519" t="s">
        <v>588</v>
      </c>
      <c r="C80" s="519" t="s">
        <v>284</v>
      </c>
      <c r="D80" s="519" t="s">
        <v>111</v>
      </c>
      <c r="E80" s="519" t="s">
        <v>286</v>
      </c>
      <c r="F80" s="519" t="s">
        <v>16</v>
      </c>
      <c r="G80" s="519" t="s">
        <v>57</v>
      </c>
      <c r="H80" s="519" t="s">
        <v>149</v>
      </c>
      <c r="I80" s="881">
        <v>263826.26870000304</v>
      </c>
      <c r="J80" s="881">
        <v>20962.981393000202</v>
      </c>
      <c r="K80" s="60">
        <v>7.3608752388492696E-2</v>
      </c>
      <c r="L80" s="880">
        <v>3.2097774280249198</v>
      </c>
      <c r="M80">
        <v>0</v>
      </c>
      <c r="N80" s="60">
        <v>0.4790523139442</v>
      </c>
      <c r="O80" s="881">
        <v>680164.24610000709</v>
      </c>
      <c r="P80" s="60">
        <v>5.5154862186245698E-2</v>
      </c>
      <c r="Q80" s="880">
        <v>3.1611935280435501</v>
      </c>
      <c r="R80" s="60">
        <v>0.54611489677995206</v>
      </c>
      <c r="S80" s="60">
        <v>0.48723891280706305</v>
      </c>
      <c r="T80" s="60">
        <v>0.38167437302703405</v>
      </c>
      <c r="U80" s="60">
        <v>0.54414972105262904</v>
      </c>
    </row>
    <row r="81" spans="1:21" x14ac:dyDescent="0.25">
      <c r="A81" s="519" t="s">
        <v>589</v>
      </c>
      <c r="B81" s="519" t="s">
        <v>590</v>
      </c>
      <c r="C81" s="519" t="s">
        <v>284</v>
      </c>
      <c r="D81" s="519" t="s">
        <v>111</v>
      </c>
      <c r="E81" s="519" t="s">
        <v>286</v>
      </c>
      <c r="F81" s="519" t="s">
        <v>16</v>
      </c>
      <c r="G81" s="519" t="s">
        <v>58</v>
      </c>
      <c r="H81" s="519" t="s">
        <v>150</v>
      </c>
      <c r="I81" s="881">
        <v>437665.20219998504</v>
      </c>
      <c r="J81" s="881">
        <v>14535.50807347</v>
      </c>
      <c r="K81" s="60">
        <v>3.2143930213376498E-2</v>
      </c>
      <c r="L81" s="880">
        <v>3.2726786852643599</v>
      </c>
      <c r="M81">
        <v>0</v>
      </c>
      <c r="N81" s="60">
        <v>0.558937148464967</v>
      </c>
      <c r="O81" s="881">
        <v>1046034.18279998</v>
      </c>
      <c r="P81" s="60">
        <v>2.7727107160735901E-2</v>
      </c>
      <c r="Q81" s="880">
        <v>3.2208344414746302</v>
      </c>
      <c r="R81" s="60">
        <v>0.54611489677995206</v>
      </c>
      <c r="S81" s="60">
        <v>0.50500707814920209</v>
      </c>
      <c r="T81" s="60">
        <v>0.39129949675592801</v>
      </c>
      <c r="U81" s="60">
        <v>0.46946167757978402</v>
      </c>
    </row>
    <row r="82" spans="1:21" x14ac:dyDescent="0.25">
      <c r="A82" s="519" t="s">
        <v>589</v>
      </c>
      <c r="B82" s="519" t="s">
        <v>592</v>
      </c>
      <c r="C82" s="519" t="s">
        <v>284</v>
      </c>
      <c r="D82" s="519" t="s">
        <v>111</v>
      </c>
      <c r="E82" s="519" t="s">
        <v>286</v>
      </c>
      <c r="F82" s="519" t="s">
        <v>16</v>
      </c>
      <c r="G82" s="519" t="s">
        <v>58</v>
      </c>
      <c r="H82" s="519" t="s">
        <v>152</v>
      </c>
      <c r="I82" s="881">
        <v>359059.81869999302</v>
      </c>
      <c r="J82" s="881">
        <v>6155.8190123699005</v>
      </c>
      <c r="K82" s="60">
        <v>1.6855299655098299E-2</v>
      </c>
      <c r="L82" s="880">
        <v>3.1838679179157801</v>
      </c>
      <c r="M82">
        <v>0</v>
      </c>
      <c r="N82" s="60">
        <v>0.47943718938887103</v>
      </c>
      <c r="O82" s="881">
        <v>1046034.18279998</v>
      </c>
      <c r="P82" s="60">
        <v>2.7727107160735901E-2</v>
      </c>
      <c r="Q82" s="880">
        <v>3.2208344414746302</v>
      </c>
      <c r="R82" s="60">
        <v>0.54611489677995206</v>
      </c>
      <c r="S82" s="60">
        <v>0.50500707814920209</v>
      </c>
      <c r="T82" s="60">
        <v>0.34244074717151202</v>
      </c>
      <c r="U82" s="60">
        <v>0.23001132888774001</v>
      </c>
    </row>
    <row r="83" spans="1:21" x14ac:dyDescent="0.25">
      <c r="A83" s="519" t="s">
        <v>593</v>
      </c>
      <c r="B83" s="519" t="s">
        <v>594</v>
      </c>
      <c r="C83" s="519" t="s">
        <v>284</v>
      </c>
      <c r="D83" s="519" t="s">
        <v>111</v>
      </c>
      <c r="E83" s="519" t="s">
        <v>286</v>
      </c>
      <c r="F83" s="519" t="s">
        <v>16</v>
      </c>
      <c r="G83" s="519" t="s">
        <v>59</v>
      </c>
      <c r="H83" s="519" t="s">
        <v>154</v>
      </c>
      <c r="I83" s="881">
        <v>361634.68299999402</v>
      </c>
      <c r="J83" s="881">
        <v>9088.8718994198789</v>
      </c>
      <c r="K83" s="60">
        <v>2.4516575165788101E-2</v>
      </c>
      <c r="L83" s="880">
        <v>3.3267021654542801</v>
      </c>
      <c r="M83">
        <v>0</v>
      </c>
      <c r="N83" s="60">
        <v>0.44551212141343405</v>
      </c>
      <c r="O83" s="881">
        <v>1046292.86779999</v>
      </c>
      <c r="P83" s="60">
        <v>2.2785009653517398E-2</v>
      </c>
      <c r="Q83" s="880">
        <v>3.31775066390288</v>
      </c>
      <c r="R83" s="60">
        <v>0.54611489677995206</v>
      </c>
      <c r="S83" s="60">
        <v>0.48942358718046702</v>
      </c>
      <c r="T83" s="60">
        <v>0.34205778352268101</v>
      </c>
      <c r="U83" s="60">
        <v>0.37140301367069301</v>
      </c>
    </row>
    <row r="84" spans="1:21" x14ac:dyDescent="0.25">
      <c r="A84" s="519" t="s">
        <v>596</v>
      </c>
      <c r="B84" s="519" t="s">
        <v>346</v>
      </c>
      <c r="C84" s="519" t="s">
        <v>284</v>
      </c>
      <c r="D84" s="519" t="s">
        <v>111</v>
      </c>
      <c r="E84" s="519" t="s">
        <v>286</v>
      </c>
      <c r="F84" s="519" t="s">
        <v>17</v>
      </c>
      <c r="G84" s="519" t="s">
        <v>56</v>
      </c>
      <c r="H84" s="519" t="s">
        <v>144</v>
      </c>
      <c r="I84" s="881">
        <v>328906.305699997</v>
      </c>
      <c r="J84" s="881">
        <v>8322.9868163799201</v>
      </c>
      <c r="K84" s="60">
        <v>2.46804978128514E-2</v>
      </c>
      <c r="L84" s="880">
        <v>3.2330875980031899</v>
      </c>
      <c r="M84">
        <v>0</v>
      </c>
      <c r="N84" s="60">
        <v>0.52736262027828995</v>
      </c>
      <c r="O84" s="881">
        <v>1187030.68719998</v>
      </c>
      <c r="P84" s="60">
        <v>2.67122373742496E-2</v>
      </c>
      <c r="Q84" s="880">
        <v>3.22870870785568</v>
      </c>
      <c r="R84" s="60">
        <v>0.54611489677995206</v>
      </c>
      <c r="S84" s="60">
        <v>0.51145341729293403</v>
      </c>
      <c r="T84" s="60">
        <v>0.287255960941111</v>
      </c>
      <c r="U84" s="60">
        <v>0.28070535285871501</v>
      </c>
    </row>
    <row r="85" spans="1:21" x14ac:dyDescent="0.25">
      <c r="A85" s="519" t="s">
        <v>596</v>
      </c>
      <c r="B85" s="519" t="s">
        <v>347</v>
      </c>
      <c r="C85" s="519" t="s">
        <v>284</v>
      </c>
      <c r="D85" s="519" t="s">
        <v>111</v>
      </c>
      <c r="E85" s="519" t="s">
        <v>286</v>
      </c>
      <c r="F85" s="519" t="s">
        <v>17</v>
      </c>
      <c r="G85" s="519" t="s">
        <v>56</v>
      </c>
      <c r="H85" s="519" t="s">
        <v>146</v>
      </c>
      <c r="I85" s="881">
        <v>449545.29539999203</v>
      </c>
      <c r="J85" s="881">
        <v>13531.189001699999</v>
      </c>
      <c r="K85" s="60">
        <v>2.9220203265519499E-2</v>
      </c>
      <c r="L85" s="880">
        <v>3.2539459777067301</v>
      </c>
      <c r="M85">
        <v>0</v>
      </c>
      <c r="N85" s="60">
        <v>0.52200397490803507</v>
      </c>
      <c r="O85" s="881">
        <v>1187030.68719998</v>
      </c>
      <c r="P85" s="60">
        <v>2.67122373742496E-2</v>
      </c>
      <c r="Q85" s="880">
        <v>3.22870870785568</v>
      </c>
      <c r="R85" s="60">
        <v>0.54611489677995206</v>
      </c>
      <c r="S85" s="60">
        <v>0.51145341729293403</v>
      </c>
      <c r="T85" s="60">
        <v>0.35434882046514404</v>
      </c>
      <c r="U85" s="60">
        <v>0.39500556943079901</v>
      </c>
    </row>
    <row r="86" spans="1:21" x14ac:dyDescent="0.25">
      <c r="A86" s="519" t="s">
        <v>597</v>
      </c>
      <c r="B86" s="519" t="s">
        <v>599</v>
      </c>
      <c r="C86" s="519" t="s">
        <v>284</v>
      </c>
      <c r="D86" s="519" t="s">
        <v>111</v>
      </c>
      <c r="E86" s="519" t="s">
        <v>287</v>
      </c>
      <c r="F86" s="519" t="s">
        <v>70</v>
      </c>
      <c r="G86" s="519" t="s">
        <v>56</v>
      </c>
      <c r="H86" s="519" t="s">
        <v>145</v>
      </c>
      <c r="I86" s="881">
        <v>110284.44500000001</v>
      </c>
      <c r="J86" s="881">
        <v>10509.4857167301</v>
      </c>
      <c r="K86" s="60">
        <v>8.7003425208303703E-2</v>
      </c>
      <c r="L86" s="880">
        <v>2.9477731414915</v>
      </c>
      <c r="M86">
        <v>0</v>
      </c>
      <c r="N86" s="60">
        <v>0.35687196775574404</v>
      </c>
      <c r="O86" s="881">
        <v>278550.95420000103</v>
      </c>
      <c r="P86" s="60">
        <v>5.6647095779577099E-2</v>
      </c>
      <c r="Q86" s="880">
        <v>2.9429916895538</v>
      </c>
      <c r="R86" s="60">
        <v>0.52839381146605502</v>
      </c>
      <c r="S86" s="60">
        <v>0.34026339946388101</v>
      </c>
      <c r="T86" s="60">
        <v>0.38820929328578901</v>
      </c>
      <c r="U86" s="60">
        <v>0.48122211296412304</v>
      </c>
    </row>
    <row r="87" spans="1:21" x14ac:dyDescent="0.25">
      <c r="A87" s="519" t="s">
        <v>601</v>
      </c>
      <c r="B87" s="519" t="s">
        <v>602</v>
      </c>
      <c r="C87" s="519" t="s">
        <v>284</v>
      </c>
      <c r="D87" s="519" t="s">
        <v>111</v>
      </c>
      <c r="E87" s="519" t="s">
        <v>287</v>
      </c>
      <c r="F87" s="519" t="s">
        <v>70</v>
      </c>
      <c r="G87" s="519" t="s">
        <v>57</v>
      </c>
      <c r="H87" s="519" t="s">
        <v>147</v>
      </c>
      <c r="I87" s="881">
        <v>103204.3202</v>
      </c>
      <c r="J87" s="881">
        <v>3462.27757805999</v>
      </c>
      <c r="K87" s="60">
        <v>3.2458873257248701E-2</v>
      </c>
      <c r="L87" s="880">
        <v>2.9931778917697001</v>
      </c>
      <c r="M87">
        <v>0</v>
      </c>
      <c r="N87" s="60">
        <v>0.37948077099974103</v>
      </c>
      <c r="O87" s="881">
        <v>327402.71950000001</v>
      </c>
      <c r="P87" s="60">
        <v>4.8335648460412897E-2</v>
      </c>
      <c r="Q87" s="880">
        <v>2.9705299806414001</v>
      </c>
      <c r="R87" s="60">
        <v>0.52839381146605502</v>
      </c>
      <c r="S87" s="60">
        <v>0.39574901392961803</v>
      </c>
      <c r="T87" s="60">
        <v>0.30540664056483402</v>
      </c>
      <c r="U87" s="60">
        <v>0.19150882959666801</v>
      </c>
    </row>
    <row r="88" spans="1:21" x14ac:dyDescent="0.25">
      <c r="A88" s="519" t="s">
        <v>601</v>
      </c>
      <c r="B88" s="519" t="s">
        <v>604</v>
      </c>
      <c r="C88" s="519" t="s">
        <v>284</v>
      </c>
      <c r="D88" s="519" t="s">
        <v>111</v>
      </c>
      <c r="E88" s="519" t="s">
        <v>287</v>
      </c>
      <c r="F88" s="519" t="s">
        <v>70</v>
      </c>
      <c r="G88" s="519" t="s">
        <v>57</v>
      </c>
      <c r="H88" s="519" t="s">
        <v>149</v>
      </c>
      <c r="I88" s="881">
        <v>119396.41320000001</v>
      </c>
      <c r="J88" s="881">
        <v>9081.41799041999</v>
      </c>
      <c r="K88" s="60">
        <v>7.06847080642279E-2</v>
      </c>
      <c r="L88" s="880">
        <v>2.9484802069192</v>
      </c>
      <c r="M88">
        <v>0</v>
      </c>
      <c r="N88" s="60">
        <v>0.41357264156072804</v>
      </c>
      <c r="O88" s="881">
        <v>327402.71950000001</v>
      </c>
      <c r="P88" s="60">
        <v>4.8335648460412897E-2</v>
      </c>
      <c r="Q88" s="880">
        <v>2.9705299806414001</v>
      </c>
      <c r="R88" s="60">
        <v>0.52839381146605502</v>
      </c>
      <c r="S88" s="60">
        <v>0.39574901392961803</v>
      </c>
      <c r="T88" s="60">
        <v>0.38891298182328604</v>
      </c>
      <c r="U88" s="60">
        <v>0.48926791355268001</v>
      </c>
    </row>
    <row r="89" spans="1:21" x14ac:dyDescent="0.25">
      <c r="A89" s="519" t="s">
        <v>605</v>
      </c>
      <c r="B89" s="519" t="s">
        <v>606</v>
      </c>
      <c r="C89" s="519" t="s">
        <v>284</v>
      </c>
      <c r="D89" s="519" t="s">
        <v>111</v>
      </c>
      <c r="E89" s="519" t="s">
        <v>287</v>
      </c>
      <c r="F89" s="519" t="s">
        <v>70</v>
      </c>
      <c r="G89" s="519" t="s">
        <v>58</v>
      </c>
      <c r="H89" s="519" t="s">
        <v>150</v>
      </c>
      <c r="I89" s="881">
        <v>99232.752200000206</v>
      </c>
      <c r="J89" s="881">
        <v>5950.8342204399896</v>
      </c>
      <c r="K89" s="60">
        <v>5.6575692301014696E-2</v>
      </c>
      <c r="L89" s="880">
        <v>3.0186820932000802</v>
      </c>
      <c r="M89">
        <v>0</v>
      </c>
      <c r="N89" s="60">
        <v>0.32102067405926504</v>
      </c>
      <c r="O89" s="881">
        <v>314634.724400001</v>
      </c>
      <c r="P89" s="60">
        <v>3.85518780755243E-2</v>
      </c>
      <c r="Q89" s="880">
        <v>3.0087225008482901</v>
      </c>
      <c r="R89" s="60">
        <v>0.52839381146605502</v>
      </c>
      <c r="S89" s="60">
        <v>0.35315412979890404</v>
      </c>
      <c r="T89" s="60">
        <v>0.32774669272819501</v>
      </c>
      <c r="U89" s="60">
        <v>0.51750412744980501</v>
      </c>
    </row>
    <row r="90" spans="1:21" x14ac:dyDescent="0.25">
      <c r="A90" s="519" t="s">
        <v>605</v>
      </c>
      <c r="B90" s="519" t="s">
        <v>608</v>
      </c>
      <c r="C90" s="519" t="s">
        <v>284</v>
      </c>
      <c r="D90" s="519" t="s">
        <v>111</v>
      </c>
      <c r="E90" s="519" t="s">
        <v>287</v>
      </c>
      <c r="F90" s="519" t="s">
        <v>70</v>
      </c>
      <c r="G90" s="519" t="s">
        <v>58</v>
      </c>
      <c r="H90" s="519" t="s">
        <v>152</v>
      </c>
      <c r="I90" s="881">
        <v>114977.51330000001</v>
      </c>
      <c r="J90" s="881">
        <v>3842.9341262500002</v>
      </c>
      <c r="K90" s="60">
        <v>3.2342363704995006E-2</v>
      </c>
      <c r="L90" s="880">
        <v>3.0052158198769399</v>
      </c>
      <c r="M90">
        <v>0</v>
      </c>
      <c r="N90" s="60">
        <v>0.36515294508461105</v>
      </c>
      <c r="O90" s="881">
        <v>314634.724400001</v>
      </c>
      <c r="P90" s="60">
        <v>3.85518780755243E-2</v>
      </c>
      <c r="Q90" s="880">
        <v>3.0087225008482901</v>
      </c>
      <c r="R90" s="60">
        <v>0.52839381146605502</v>
      </c>
      <c r="S90" s="60">
        <v>0.35315412979890404</v>
      </c>
      <c r="T90" s="60">
        <v>0.37762979675149405</v>
      </c>
      <c r="U90" s="60">
        <v>0.23181391508944102</v>
      </c>
    </row>
    <row r="91" spans="1:21" x14ac:dyDescent="0.25">
      <c r="A91" s="519" t="s">
        <v>609</v>
      </c>
      <c r="B91" s="519" t="s">
        <v>611</v>
      </c>
      <c r="C91" s="519" t="s">
        <v>284</v>
      </c>
      <c r="D91" s="519" t="s">
        <v>111</v>
      </c>
      <c r="E91" s="519" t="s">
        <v>287</v>
      </c>
      <c r="F91" s="519" t="s">
        <v>70</v>
      </c>
      <c r="G91" s="519" t="s">
        <v>59</v>
      </c>
      <c r="H91" s="519" t="s">
        <v>154</v>
      </c>
      <c r="I91" s="881">
        <v>50670.818100000099</v>
      </c>
      <c r="J91" s="881">
        <v>4330.5844510500001</v>
      </c>
      <c r="K91" s="60">
        <v>7.8735891271691394E-2</v>
      </c>
      <c r="L91" s="880">
        <v>3.0249447057757002</v>
      </c>
      <c r="M91">
        <v>0</v>
      </c>
      <c r="N91" s="60">
        <v>0.44184380950423102</v>
      </c>
      <c r="O91" s="881">
        <v>193879.03810000102</v>
      </c>
      <c r="P91" s="60">
        <v>5.6721077708079201E-2</v>
      </c>
      <c r="Q91" s="880">
        <v>3.0064321256216502</v>
      </c>
      <c r="R91" s="60">
        <v>0.52839381146605502</v>
      </c>
      <c r="S91" s="60">
        <v>0.43049826901322902</v>
      </c>
      <c r="T91" s="60">
        <v>0.29954091589030302</v>
      </c>
      <c r="U91" s="60">
        <v>0.43195666112444103</v>
      </c>
    </row>
    <row r="92" spans="1:21" x14ac:dyDescent="0.25">
      <c r="A92" s="519" t="s">
        <v>613</v>
      </c>
      <c r="B92" s="519" t="s">
        <v>615</v>
      </c>
      <c r="C92" s="519" t="s">
        <v>284</v>
      </c>
      <c r="D92" s="519" t="s">
        <v>111</v>
      </c>
      <c r="E92" s="519" t="s">
        <v>287</v>
      </c>
      <c r="F92" s="519" t="s">
        <v>16</v>
      </c>
      <c r="G92" s="519" t="s">
        <v>56</v>
      </c>
      <c r="H92" s="519" t="s">
        <v>145</v>
      </c>
      <c r="I92" s="881">
        <v>135904.76659999901</v>
      </c>
      <c r="J92" s="881">
        <v>9293.301666130079</v>
      </c>
      <c r="K92" s="60">
        <v>6.4004306511135395E-2</v>
      </c>
      <c r="L92" s="880">
        <v>3.0228614070950499</v>
      </c>
      <c r="M92">
        <v>0</v>
      </c>
      <c r="N92" s="60">
        <v>0.309709916384937</v>
      </c>
      <c r="O92" s="881">
        <v>299307.60490000003</v>
      </c>
      <c r="P92" s="60">
        <v>5.6589858343992598E-2</v>
      </c>
      <c r="Q92" s="880">
        <v>3.01783713996989</v>
      </c>
      <c r="R92" s="60">
        <v>0.52839381146605502</v>
      </c>
      <c r="S92" s="60">
        <v>0.38269803681824305</v>
      </c>
      <c r="T92" s="60">
        <v>0.38820929328578901</v>
      </c>
      <c r="U92" s="60">
        <v>0.48122211296412304</v>
      </c>
    </row>
    <row r="93" spans="1:21" x14ac:dyDescent="0.25">
      <c r="A93" s="519" t="s">
        <v>617</v>
      </c>
      <c r="B93" s="519" t="s">
        <v>618</v>
      </c>
      <c r="C93" s="519" t="s">
        <v>284</v>
      </c>
      <c r="D93" s="519" t="s">
        <v>111</v>
      </c>
      <c r="E93" s="519" t="s">
        <v>287</v>
      </c>
      <c r="F93" s="519" t="s">
        <v>16</v>
      </c>
      <c r="G93" s="519" t="s">
        <v>57</v>
      </c>
      <c r="H93" s="519" t="s">
        <v>147</v>
      </c>
      <c r="I93" s="881">
        <v>80491.153800000509</v>
      </c>
      <c r="J93" s="881">
        <v>3744.8509870299999</v>
      </c>
      <c r="K93" s="60">
        <v>4.4456654805720301E-2</v>
      </c>
      <c r="L93" s="880">
        <v>3.0070722726724899</v>
      </c>
      <c r="M93">
        <v>0</v>
      </c>
      <c r="N93" s="60">
        <v>0.32325748820362704</v>
      </c>
      <c r="O93" s="881">
        <v>274075.60350000102</v>
      </c>
      <c r="P93" s="60">
        <v>7.11820667888617E-2</v>
      </c>
      <c r="Q93" s="880">
        <v>3.0236385044052798</v>
      </c>
      <c r="R93" s="60">
        <v>0.52839381146605502</v>
      </c>
      <c r="S93" s="60">
        <v>0.34635074478637401</v>
      </c>
      <c r="T93" s="60">
        <v>0.30540664056483402</v>
      </c>
      <c r="U93" s="60">
        <v>0.19150882959666801</v>
      </c>
    </row>
    <row r="94" spans="1:21" x14ac:dyDescent="0.25">
      <c r="A94" s="519" t="s">
        <v>617</v>
      </c>
      <c r="B94" s="519" t="s">
        <v>620</v>
      </c>
      <c r="C94" s="519" t="s">
        <v>284</v>
      </c>
      <c r="D94" s="519" t="s">
        <v>111</v>
      </c>
      <c r="E94" s="519" t="s">
        <v>287</v>
      </c>
      <c r="F94" s="519" t="s">
        <v>16</v>
      </c>
      <c r="G94" s="519" t="s">
        <v>57</v>
      </c>
      <c r="H94" s="519" t="s">
        <v>149</v>
      </c>
      <c r="I94" s="881">
        <v>114526.31490000001</v>
      </c>
      <c r="J94" s="881">
        <v>9331.3975605600008</v>
      </c>
      <c r="K94" s="60">
        <v>7.5339656894853793E-2</v>
      </c>
      <c r="L94" s="880">
        <v>2.9992803961006498</v>
      </c>
      <c r="M94">
        <v>0</v>
      </c>
      <c r="N94" s="60">
        <v>0.30345246880898402</v>
      </c>
      <c r="O94" s="881">
        <v>274075.60350000102</v>
      </c>
      <c r="P94" s="60">
        <v>7.11820667888617E-2</v>
      </c>
      <c r="Q94" s="880">
        <v>3.0236385044052798</v>
      </c>
      <c r="R94" s="60">
        <v>0.52839381146605502</v>
      </c>
      <c r="S94" s="60">
        <v>0.34635074478637401</v>
      </c>
      <c r="T94" s="60">
        <v>0.38891298182328604</v>
      </c>
      <c r="U94" s="60">
        <v>0.48926791355268001</v>
      </c>
    </row>
    <row r="95" spans="1:21" x14ac:dyDescent="0.25">
      <c r="A95" s="519" t="s">
        <v>621</v>
      </c>
      <c r="B95" s="519" t="s">
        <v>622</v>
      </c>
      <c r="C95" s="519" t="s">
        <v>284</v>
      </c>
      <c r="D95" s="519" t="s">
        <v>111</v>
      </c>
      <c r="E95" s="519" t="s">
        <v>287</v>
      </c>
      <c r="F95" s="519" t="s">
        <v>16</v>
      </c>
      <c r="G95" s="519" t="s">
        <v>58</v>
      </c>
      <c r="H95" s="519" t="s">
        <v>150</v>
      </c>
      <c r="I95" s="881">
        <v>98558.68450000041</v>
      </c>
      <c r="J95" s="881">
        <v>6819.0669811200196</v>
      </c>
      <c r="K95" s="60">
        <v>6.4710689735506005E-2</v>
      </c>
      <c r="L95" s="880">
        <v>3.0198155089315502</v>
      </c>
      <c r="M95">
        <v>0</v>
      </c>
      <c r="N95" s="60">
        <v>0.62130524783942309</v>
      </c>
      <c r="O95" s="881">
        <v>288854.00970000104</v>
      </c>
      <c r="P95" s="60">
        <v>4.0077274378223102E-2</v>
      </c>
      <c r="Q95" s="880">
        <v>3.0342587772729002</v>
      </c>
      <c r="R95" s="60">
        <v>0.52839381146605502</v>
      </c>
      <c r="S95" s="60">
        <v>0.51217169446133504</v>
      </c>
      <c r="T95" s="60">
        <v>0.32774669272819501</v>
      </c>
      <c r="U95" s="60">
        <v>0.51750412744980501</v>
      </c>
    </row>
    <row r="96" spans="1:21" x14ac:dyDescent="0.25">
      <c r="A96" s="519" t="s">
        <v>621</v>
      </c>
      <c r="B96" s="519" t="s">
        <v>624</v>
      </c>
      <c r="C96" s="519" t="s">
        <v>284</v>
      </c>
      <c r="D96" s="519" t="s">
        <v>111</v>
      </c>
      <c r="E96" s="519" t="s">
        <v>287</v>
      </c>
      <c r="F96" s="519" t="s">
        <v>16</v>
      </c>
      <c r="G96" s="519" t="s">
        <v>58</v>
      </c>
      <c r="H96" s="519" t="s">
        <v>152</v>
      </c>
      <c r="I96" s="881">
        <v>112917.8147</v>
      </c>
      <c r="J96" s="881">
        <v>1877.2923141200199</v>
      </c>
      <c r="K96" s="60">
        <v>1.6353417518824298E-2</v>
      </c>
      <c r="L96" s="880">
        <v>3.0513185593728198</v>
      </c>
      <c r="M96">
        <v>0</v>
      </c>
      <c r="N96" s="60">
        <v>0.46578841912356</v>
      </c>
      <c r="O96" s="881">
        <v>288854.00970000104</v>
      </c>
      <c r="P96" s="60">
        <v>4.0077274378223102E-2</v>
      </c>
      <c r="Q96" s="880">
        <v>3.0342587772729002</v>
      </c>
      <c r="R96" s="60">
        <v>0.52839381146605502</v>
      </c>
      <c r="S96" s="60">
        <v>0.51217169446133504</v>
      </c>
      <c r="T96" s="60">
        <v>0.37762979675149405</v>
      </c>
      <c r="U96" s="60">
        <v>0.23181391508944102</v>
      </c>
    </row>
    <row r="97" spans="1:21" x14ac:dyDescent="0.25">
      <c r="A97" s="519" t="s">
        <v>625</v>
      </c>
      <c r="B97" s="519" t="s">
        <v>626</v>
      </c>
      <c r="C97" s="519" t="s">
        <v>284</v>
      </c>
      <c r="D97" s="519" t="s">
        <v>111</v>
      </c>
      <c r="E97" s="519" t="s">
        <v>287</v>
      </c>
      <c r="F97" s="519" t="s">
        <v>16</v>
      </c>
      <c r="G97" s="519" t="s">
        <v>59</v>
      </c>
      <c r="H97" s="519" t="s">
        <v>154</v>
      </c>
      <c r="I97" s="881">
        <v>70769.223300000405</v>
      </c>
      <c r="J97" s="881">
        <v>9262.8352343500101</v>
      </c>
      <c r="K97" s="60">
        <v>0.11573906012144301</v>
      </c>
      <c r="L97" s="880">
        <v>3.0412310092823098</v>
      </c>
      <c r="M97">
        <v>0</v>
      </c>
      <c r="N97" s="60">
        <v>0.56393076593225699</v>
      </c>
      <c r="O97" s="881">
        <v>211541.507000001</v>
      </c>
      <c r="P97" s="60">
        <v>8.5631654196207399E-2</v>
      </c>
      <c r="Q97" s="880">
        <v>3.02631396124479</v>
      </c>
      <c r="R97" s="60">
        <v>0.52839381146605502</v>
      </c>
      <c r="S97" s="60">
        <v>0.64052319387135603</v>
      </c>
      <c r="T97" s="60">
        <v>0.29954091589030302</v>
      </c>
      <c r="U97" s="60">
        <v>0.43195666112444103</v>
      </c>
    </row>
    <row r="98" spans="1:21" x14ac:dyDescent="0.25">
      <c r="A98" s="519" t="s">
        <v>628</v>
      </c>
      <c r="B98" s="519" t="s">
        <v>1769</v>
      </c>
      <c r="C98" s="519" t="s">
        <v>284</v>
      </c>
      <c r="D98" s="519" t="s">
        <v>111</v>
      </c>
      <c r="E98" s="519" t="s">
        <v>287</v>
      </c>
      <c r="F98" s="519" t="s">
        <v>17</v>
      </c>
      <c r="G98" s="519" t="s">
        <v>56</v>
      </c>
      <c r="H98" s="519" t="s">
        <v>145</v>
      </c>
      <c r="I98" s="881">
        <v>95468.213900000599</v>
      </c>
      <c r="J98" s="881">
        <v>5038.4896752300401</v>
      </c>
      <c r="K98" s="60">
        <v>5.0130881782016502E-2</v>
      </c>
      <c r="L98" s="880">
        <v>3.1312130538742098</v>
      </c>
      <c r="M98">
        <v>0</v>
      </c>
      <c r="N98" s="60">
        <v>0.31231186152944101</v>
      </c>
      <c r="O98" s="881">
        <v>302227.08390000201</v>
      </c>
      <c r="P98" s="60">
        <v>5.30781284899055E-2</v>
      </c>
      <c r="Q98" s="880">
        <v>3.0710592999497499</v>
      </c>
      <c r="R98" s="60">
        <v>0.52839381146605502</v>
      </c>
      <c r="S98" s="60">
        <v>0.40005379279642905</v>
      </c>
      <c r="T98" s="60">
        <v>0.38820929328578901</v>
      </c>
      <c r="U98" s="60">
        <v>0.48122211296412304</v>
      </c>
    </row>
    <row r="99" spans="1:21" x14ac:dyDescent="0.25">
      <c r="A99" s="519" t="s">
        <v>1802</v>
      </c>
      <c r="B99" s="519" t="s">
        <v>1803</v>
      </c>
      <c r="C99" s="519" t="s">
        <v>284</v>
      </c>
      <c r="D99" s="519" t="s">
        <v>111</v>
      </c>
      <c r="E99" s="519" t="s">
        <v>287</v>
      </c>
      <c r="F99" s="519" t="s">
        <v>17</v>
      </c>
      <c r="G99" s="519" t="s">
        <v>57</v>
      </c>
      <c r="H99" s="519" t="s">
        <v>149</v>
      </c>
      <c r="I99" s="881">
        <v>73395.949400000201</v>
      </c>
      <c r="J99" s="881">
        <v>7912.3188659000198</v>
      </c>
      <c r="K99" s="60">
        <v>9.7312598517343904E-2</v>
      </c>
      <c r="L99" s="880">
        <v>3.0691476462045202</v>
      </c>
      <c r="M99">
        <v>0</v>
      </c>
      <c r="N99" s="60">
        <v>0.29561140604306901</v>
      </c>
      <c r="O99" s="881">
        <v>73395.949400000201</v>
      </c>
      <c r="P99" s="60">
        <v>9.7312598517343599E-2</v>
      </c>
      <c r="Q99" s="880">
        <v>3.0691476462045202</v>
      </c>
      <c r="R99" s="60">
        <v>0.52839381146605502</v>
      </c>
      <c r="S99" s="60">
        <v>0.29561140604306901</v>
      </c>
      <c r="T99" s="60">
        <v>0.38891298182328604</v>
      </c>
      <c r="U99" s="60">
        <v>0.48926791355268001</v>
      </c>
    </row>
    <row r="100" spans="1:21" x14ac:dyDescent="0.25">
      <c r="A100" s="519" t="s">
        <v>629</v>
      </c>
      <c r="B100" s="519" t="s">
        <v>631</v>
      </c>
      <c r="C100" s="519" t="s">
        <v>284</v>
      </c>
      <c r="D100" s="519" t="s">
        <v>111</v>
      </c>
      <c r="E100" s="519" t="s">
        <v>4</v>
      </c>
      <c r="F100" s="519" t="s">
        <v>70</v>
      </c>
      <c r="G100" s="519" t="s">
        <v>56</v>
      </c>
      <c r="H100" s="519" t="s">
        <v>145</v>
      </c>
      <c r="I100" s="881">
        <v>21282.698100000001</v>
      </c>
      <c r="J100" s="881">
        <v>1635.50319941</v>
      </c>
      <c r="K100" s="60">
        <v>7.1362633482589394E-2</v>
      </c>
      <c r="L100" s="880">
        <v>2.8317570141725201</v>
      </c>
      <c r="M100">
        <v>0</v>
      </c>
      <c r="N100" s="60">
        <v>0</v>
      </c>
      <c r="O100" s="881">
        <v>40815.2183</v>
      </c>
      <c r="P100" s="60">
        <v>9.2302143695188396E-2</v>
      </c>
      <c r="Q100" s="880">
        <v>2.8164242196210698</v>
      </c>
      <c r="R100" s="60">
        <v>0.60477848347916308</v>
      </c>
      <c r="S100" s="60">
        <v>0</v>
      </c>
      <c r="T100" s="60">
        <v>0.40341146552226503</v>
      </c>
      <c r="U100" s="60">
        <v>0.33983103864219305</v>
      </c>
    </row>
    <row r="101" spans="1:21" x14ac:dyDescent="0.25">
      <c r="A101" s="519" t="s">
        <v>633</v>
      </c>
      <c r="B101" s="519" t="s">
        <v>634</v>
      </c>
      <c r="C101" s="519" t="s">
        <v>284</v>
      </c>
      <c r="D101" s="519" t="s">
        <v>111</v>
      </c>
      <c r="E101" s="519" t="s">
        <v>4</v>
      </c>
      <c r="F101" s="519" t="s">
        <v>70</v>
      </c>
      <c r="G101" s="519" t="s">
        <v>57</v>
      </c>
      <c r="H101" s="519" t="s">
        <v>147</v>
      </c>
      <c r="I101" s="881">
        <v>10956.949000000001</v>
      </c>
      <c r="J101" s="881">
        <v>1665.81979256</v>
      </c>
      <c r="K101" s="60">
        <v>0.13196944505090302</v>
      </c>
      <c r="L101" s="880">
        <v>2.6784704028743902</v>
      </c>
      <c r="M101">
        <v>0</v>
      </c>
      <c r="N101" s="60">
        <v>0</v>
      </c>
      <c r="O101" s="881">
        <v>37850.598400000003</v>
      </c>
      <c r="P101" s="60">
        <v>0.17648173083611901</v>
      </c>
      <c r="Q101" s="880">
        <v>2.7415239315961299</v>
      </c>
      <c r="R101" s="60">
        <v>0.60477848347916308</v>
      </c>
      <c r="S101" s="60">
        <v>0</v>
      </c>
      <c r="T101" s="60">
        <v>0.30536210183796902</v>
      </c>
      <c r="U101" s="60">
        <v>0.19935120846906901</v>
      </c>
    </row>
    <row r="102" spans="1:21" x14ac:dyDescent="0.25">
      <c r="A102" s="519" t="s">
        <v>633</v>
      </c>
      <c r="B102" s="519" t="s">
        <v>636</v>
      </c>
      <c r="C102" s="519" t="s">
        <v>284</v>
      </c>
      <c r="D102" s="519" t="s">
        <v>111</v>
      </c>
      <c r="E102" s="519" t="s">
        <v>4</v>
      </c>
      <c r="F102" s="519" t="s">
        <v>70</v>
      </c>
      <c r="G102" s="519" t="s">
        <v>57</v>
      </c>
      <c r="H102" s="519" t="s">
        <v>149</v>
      </c>
      <c r="I102" s="881">
        <v>18008.763800000001</v>
      </c>
      <c r="J102" s="881">
        <v>3179.0988579999998</v>
      </c>
      <c r="K102" s="60">
        <v>0.15004339556636001</v>
      </c>
      <c r="L102" s="880">
        <v>2.7535714695565798</v>
      </c>
      <c r="M102">
        <v>0</v>
      </c>
      <c r="N102" s="60">
        <v>0</v>
      </c>
      <c r="O102" s="881">
        <v>37850.598400000003</v>
      </c>
      <c r="P102" s="60">
        <v>0.17648173083611901</v>
      </c>
      <c r="Q102" s="880">
        <v>2.7415239315961299</v>
      </c>
      <c r="R102" s="60">
        <v>0.60477848347916308</v>
      </c>
      <c r="S102" s="60">
        <v>0</v>
      </c>
      <c r="T102" s="60">
        <v>0.46301435722495105</v>
      </c>
      <c r="U102" s="60">
        <v>0.37876816935642205</v>
      </c>
    </row>
    <row r="103" spans="1:21" x14ac:dyDescent="0.25">
      <c r="A103" s="519" t="s">
        <v>637</v>
      </c>
      <c r="B103" s="519" t="s">
        <v>638</v>
      </c>
      <c r="C103" s="519" t="s">
        <v>284</v>
      </c>
      <c r="D103" s="519" t="s">
        <v>111</v>
      </c>
      <c r="E103" s="519" t="s">
        <v>4</v>
      </c>
      <c r="F103" s="519" t="s">
        <v>70</v>
      </c>
      <c r="G103" s="519" t="s">
        <v>58</v>
      </c>
      <c r="H103" s="519" t="s">
        <v>150</v>
      </c>
      <c r="I103" s="881">
        <v>4253.5808000000006</v>
      </c>
      <c r="J103" s="881">
        <v>576.79361682000001</v>
      </c>
      <c r="K103" s="60">
        <v>0.11940971176303201</v>
      </c>
      <c r="L103" s="880">
        <v>2.7551932668199601</v>
      </c>
      <c r="M103">
        <v>0</v>
      </c>
      <c r="N103" s="60">
        <v>0</v>
      </c>
      <c r="O103" s="881">
        <v>18580.2307</v>
      </c>
      <c r="P103" s="60">
        <v>0.15673275927290101</v>
      </c>
      <c r="Q103" s="880">
        <v>2.7671297247105602</v>
      </c>
      <c r="R103" s="60">
        <v>0.60477848347916308</v>
      </c>
      <c r="S103" s="60">
        <v>0</v>
      </c>
      <c r="T103" s="60">
        <v>0.37715292267114203</v>
      </c>
      <c r="U103" s="60">
        <v>0.27114037552929804</v>
      </c>
    </row>
    <row r="104" spans="1:21" x14ac:dyDescent="0.25">
      <c r="A104" s="519" t="s">
        <v>637</v>
      </c>
      <c r="B104" s="519" t="s">
        <v>640</v>
      </c>
      <c r="C104" s="519" t="s">
        <v>284</v>
      </c>
      <c r="D104" s="519" t="s">
        <v>111</v>
      </c>
      <c r="E104" s="519" t="s">
        <v>4</v>
      </c>
      <c r="F104" s="519" t="s">
        <v>70</v>
      </c>
      <c r="G104" s="519" t="s">
        <v>58</v>
      </c>
      <c r="H104" s="519" t="s">
        <v>152</v>
      </c>
      <c r="I104" s="881">
        <v>9313.4718000000012</v>
      </c>
      <c r="J104" s="881">
        <v>1494.60186933</v>
      </c>
      <c r="K104" s="60">
        <v>0.13828568485531501</v>
      </c>
      <c r="L104" s="880">
        <v>2.7688827244314003</v>
      </c>
      <c r="M104">
        <v>0</v>
      </c>
      <c r="N104" s="60">
        <v>0</v>
      </c>
      <c r="O104" s="881">
        <v>18580.2307</v>
      </c>
      <c r="P104" s="60">
        <v>0.15673275927290101</v>
      </c>
      <c r="Q104" s="880">
        <v>2.7671297247105602</v>
      </c>
      <c r="R104" s="60">
        <v>0.60477848347916308</v>
      </c>
      <c r="S104" s="60">
        <v>0</v>
      </c>
      <c r="T104" s="60">
        <v>0.47936562749001405</v>
      </c>
      <c r="U104" s="60">
        <v>0.37181192983776201</v>
      </c>
    </row>
    <row r="105" spans="1:21" x14ac:dyDescent="0.25">
      <c r="A105" s="519" t="s">
        <v>641</v>
      </c>
      <c r="B105" s="519" t="s">
        <v>643</v>
      </c>
      <c r="C105" s="519" t="s">
        <v>284</v>
      </c>
      <c r="D105" s="519" t="s">
        <v>111</v>
      </c>
      <c r="E105" s="519" t="s">
        <v>4</v>
      </c>
      <c r="F105" s="519" t="s">
        <v>70</v>
      </c>
      <c r="G105" s="519" t="s">
        <v>59</v>
      </c>
      <c r="H105" s="519" t="s">
        <v>154</v>
      </c>
      <c r="I105" s="881">
        <v>3015.1415000000002</v>
      </c>
      <c r="J105" s="881">
        <v>367.46528198999999</v>
      </c>
      <c r="K105" s="60">
        <v>0.10863375664783</v>
      </c>
      <c r="L105" s="880">
        <v>2.7021068094750902</v>
      </c>
      <c r="M105">
        <v>0</v>
      </c>
      <c r="N105" s="60">
        <v>0</v>
      </c>
      <c r="O105" s="881">
        <v>8715.8911000000007</v>
      </c>
      <c r="P105" s="60">
        <v>0.11772260259648301</v>
      </c>
      <c r="Q105" s="880">
        <v>2.7871176163538003</v>
      </c>
      <c r="R105" s="60">
        <v>0.60477848347916308</v>
      </c>
      <c r="S105" s="60">
        <v>0</v>
      </c>
      <c r="T105" s="60">
        <v>0.3163855485789</v>
      </c>
      <c r="U105" s="60">
        <v>0.32434991761616</v>
      </c>
    </row>
    <row r="106" spans="1:21" x14ac:dyDescent="0.25">
      <c r="A106" s="519" t="s">
        <v>645</v>
      </c>
      <c r="B106" s="519" t="s">
        <v>646</v>
      </c>
      <c r="C106" s="519" t="s">
        <v>284</v>
      </c>
      <c r="D106" s="519" t="s">
        <v>111</v>
      </c>
      <c r="E106" s="519" t="s">
        <v>4</v>
      </c>
      <c r="F106" s="519" t="s">
        <v>16</v>
      </c>
      <c r="G106" s="519" t="s">
        <v>56</v>
      </c>
      <c r="H106" s="519" t="s">
        <v>144</v>
      </c>
      <c r="I106" s="881">
        <v>3857.6997000000001</v>
      </c>
      <c r="J106" s="881">
        <v>250.83340429999998</v>
      </c>
      <c r="K106" s="60">
        <v>6.1051815315173501E-2</v>
      </c>
      <c r="L106" s="880">
        <v>2.78256458133905</v>
      </c>
      <c r="M106">
        <v>0</v>
      </c>
      <c r="N106" s="60">
        <v>0</v>
      </c>
      <c r="O106" s="881">
        <v>14919.992100000001</v>
      </c>
      <c r="P106" s="60">
        <v>3.5455440803788006E-2</v>
      </c>
      <c r="Q106" s="880">
        <v>2.8081510753843699</v>
      </c>
      <c r="R106" s="60">
        <v>0.60477848347916308</v>
      </c>
      <c r="S106" s="60">
        <v>0</v>
      </c>
      <c r="T106" s="60">
        <v>0.22105129277995303</v>
      </c>
      <c r="U106" s="60">
        <v>0.35939156898410302</v>
      </c>
    </row>
    <row r="107" spans="1:21" x14ac:dyDescent="0.25">
      <c r="A107" s="519" t="s">
        <v>645</v>
      </c>
      <c r="B107" s="519" t="s">
        <v>648</v>
      </c>
      <c r="C107" s="519" t="s">
        <v>284</v>
      </c>
      <c r="D107" s="519" t="s">
        <v>111</v>
      </c>
      <c r="E107" s="519" t="s">
        <v>4</v>
      </c>
      <c r="F107" s="519" t="s">
        <v>16</v>
      </c>
      <c r="G107" s="519" t="s">
        <v>56</v>
      </c>
      <c r="H107" s="519" t="s">
        <v>146</v>
      </c>
      <c r="I107" s="881">
        <v>7602.8317000000006</v>
      </c>
      <c r="J107" s="881">
        <v>242.63293917000001</v>
      </c>
      <c r="K107" s="60">
        <v>3.09265225616604E-2</v>
      </c>
      <c r="L107" s="880">
        <v>2.8247383411548701</v>
      </c>
      <c r="M107">
        <v>0</v>
      </c>
      <c r="N107" s="60">
        <v>0</v>
      </c>
      <c r="O107" s="881">
        <v>14919.992100000001</v>
      </c>
      <c r="P107" s="60">
        <v>3.5455440803788006E-2</v>
      </c>
      <c r="Q107" s="880">
        <v>2.8081510753843699</v>
      </c>
      <c r="R107" s="60">
        <v>0.60477848347916308</v>
      </c>
      <c r="S107" s="60">
        <v>0</v>
      </c>
      <c r="T107" s="60">
        <v>0.37553724169778202</v>
      </c>
      <c r="U107" s="60">
        <v>0.30077739237370404</v>
      </c>
    </row>
    <row r="108" spans="1:21" x14ac:dyDescent="0.25">
      <c r="A108" s="519" t="s">
        <v>649</v>
      </c>
      <c r="B108" s="519" t="s">
        <v>651</v>
      </c>
      <c r="C108" s="519" t="s">
        <v>284</v>
      </c>
      <c r="D108" s="519" t="s">
        <v>111</v>
      </c>
      <c r="E108" s="519" t="s">
        <v>4</v>
      </c>
      <c r="F108" s="519" t="s">
        <v>16</v>
      </c>
      <c r="G108" s="519" t="s">
        <v>57</v>
      </c>
      <c r="H108" s="519" t="s">
        <v>148</v>
      </c>
      <c r="I108" s="881">
        <v>2302.6304</v>
      </c>
      <c r="J108" s="881">
        <v>684.45057953000003</v>
      </c>
      <c r="K108" s="60">
        <v>0.2291369347602</v>
      </c>
      <c r="L108" s="880">
        <v>3.1315176124281301</v>
      </c>
      <c r="M108">
        <v>0</v>
      </c>
      <c r="N108" s="60">
        <v>0</v>
      </c>
      <c r="O108" s="881">
        <v>10449.8289</v>
      </c>
      <c r="P108" s="60">
        <v>0.10712423872599101</v>
      </c>
      <c r="Q108" s="880">
        <v>2.8010429332083899</v>
      </c>
      <c r="R108" s="60">
        <v>0.60477848347916308</v>
      </c>
      <c r="S108" s="60">
        <v>0</v>
      </c>
      <c r="T108" s="60">
        <v>0.23162354093708001</v>
      </c>
      <c r="U108" s="60">
        <v>0.42188062217450906</v>
      </c>
    </row>
    <row r="109" spans="1:21" x14ac:dyDescent="0.25">
      <c r="A109" s="519" t="s">
        <v>653</v>
      </c>
      <c r="B109" s="519" t="s">
        <v>655</v>
      </c>
      <c r="C109" s="519" t="s">
        <v>284</v>
      </c>
      <c r="D109" s="519" t="s">
        <v>111</v>
      </c>
      <c r="E109" s="519" t="s">
        <v>4</v>
      </c>
      <c r="F109" s="519" t="s">
        <v>16</v>
      </c>
      <c r="G109" s="519" t="s">
        <v>58</v>
      </c>
      <c r="H109" s="519" t="s">
        <v>151</v>
      </c>
      <c r="I109" s="881">
        <v>1858.1016000000002</v>
      </c>
      <c r="J109" s="881">
        <v>109.01495428</v>
      </c>
      <c r="K109" s="60">
        <v>5.5418655311912299E-2</v>
      </c>
      <c r="L109" s="880">
        <v>2.7957735537847301</v>
      </c>
      <c r="M109">
        <v>0</v>
      </c>
      <c r="N109" s="60">
        <v>0</v>
      </c>
      <c r="O109" s="881">
        <v>29309.442200000001</v>
      </c>
      <c r="P109" s="60">
        <v>2.4059329042163399E-2</v>
      </c>
      <c r="Q109" s="880">
        <v>2.7742155516817899</v>
      </c>
      <c r="R109" s="60">
        <v>0.60477848347916308</v>
      </c>
      <c r="S109" s="60">
        <v>0</v>
      </c>
      <c r="T109" s="60">
        <v>0.14348144983884401</v>
      </c>
      <c r="U109" s="60">
        <v>0.35704769463294</v>
      </c>
    </row>
    <row r="110" spans="1:21" x14ac:dyDescent="0.25">
      <c r="A110" s="519" t="s">
        <v>657</v>
      </c>
      <c r="B110" s="519" t="s">
        <v>298</v>
      </c>
      <c r="C110" s="519" t="s">
        <v>284</v>
      </c>
      <c r="D110" s="519" t="s">
        <v>111</v>
      </c>
      <c r="E110" s="519" t="s">
        <v>4</v>
      </c>
      <c r="F110" s="519" t="s">
        <v>16</v>
      </c>
      <c r="G110" s="519" t="s">
        <v>59</v>
      </c>
      <c r="H110" s="519" t="s">
        <v>153</v>
      </c>
      <c r="I110" s="881">
        <v>12189.0517</v>
      </c>
      <c r="J110" s="881">
        <v>1167.3885280300001</v>
      </c>
      <c r="K110" s="60">
        <v>8.7402669281602799E-2</v>
      </c>
      <c r="L110" s="880">
        <v>2.7548299597641699</v>
      </c>
      <c r="M110">
        <v>0</v>
      </c>
      <c r="N110" s="60">
        <v>0</v>
      </c>
      <c r="O110" s="881">
        <v>33577.231200000002</v>
      </c>
      <c r="P110" s="60">
        <v>6.8450153179049497E-2</v>
      </c>
      <c r="Q110" s="880">
        <v>2.7560364081002202</v>
      </c>
      <c r="R110" s="60">
        <v>0.60477848347916308</v>
      </c>
      <c r="S110" s="60">
        <v>0</v>
      </c>
      <c r="T110" s="60">
        <v>0.34085105605929705</v>
      </c>
      <c r="U110" s="60">
        <v>0.42385404883119804</v>
      </c>
    </row>
    <row r="111" spans="1:21" x14ac:dyDescent="0.25">
      <c r="A111" s="519" t="s">
        <v>657</v>
      </c>
      <c r="B111" s="519" t="s">
        <v>659</v>
      </c>
      <c r="C111" s="519" t="s">
        <v>284</v>
      </c>
      <c r="D111" s="519" t="s">
        <v>111</v>
      </c>
      <c r="E111" s="519" t="s">
        <v>4</v>
      </c>
      <c r="F111" s="519" t="s">
        <v>16</v>
      </c>
      <c r="G111" s="519" t="s">
        <v>59</v>
      </c>
      <c r="H111" s="519" t="s">
        <v>155</v>
      </c>
      <c r="I111" s="881">
        <v>11022.388300000001</v>
      </c>
      <c r="J111" s="881">
        <v>489.86713430999998</v>
      </c>
      <c r="K111" s="60">
        <v>4.2551795093952502E-2</v>
      </c>
      <c r="L111" s="880">
        <v>2.7349252835323701</v>
      </c>
      <c r="M111">
        <v>0</v>
      </c>
      <c r="N111" s="60">
        <v>0</v>
      </c>
      <c r="O111" s="881">
        <v>33577.231200000002</v>
      </c>
      <c r="P111" s="60">
        <v>6.8450153179049497E-2</v>
      </c>
      <c r="Q111" s="880">
        <v>2.7560364081002202</v>
      </c>
      <c r="R111" s="60">
        <v>0.60477848347916308</v>
      </c>
      <c r="S111" s="60">
        <v>0</v>
      </c>
      <c r="T111" s="60">
        <v>0.342763395361803</v>
      </c>
      <c r="U111" s="60">
        <v>0.25179603355264102</v>
      </c>
    </row>
    <row r="112" spans="1:21" x14ac:dyDescent="0.25">
      <c r="A112" s="519" t="s">
        <v>660</v>
      </c>
      <c r="B112" s="519" t="s">
        <v>1749</v>
      </c>
      <c r="C112" s="519" t="s">
        <v>284</v>
      </c>
      <c r="D112" s="519" t="s">
        <v>111</v>
      </c>
      <c r="E112" s="519" t="s">
        <v>4</v>
      </c>
      <c r="F112" s="519" t="s">
        <v>17</v>
      </c>
      <c r="G112" s="519" t="s">
        <v>56</v>
      </c>
      <c r="H112" s="519" t="s">
        <v>145</v>
      </c>
      <c r="I112" s="881">
        <v>20058.287200000002</v>
      </c>
      <c r="J112" s="881">
        <v>487.64547949000001</v>
      </c>
      <c r="K112" s="60">
        <v>2.3734404619012099E-2</v>
      </c>
      <c r="L112" s="880">
        <v>2.7799684761372601</v>
      </c>
      <c r="M112">
        <v>0</v>
      </c>
      <c r="N112" s="60">
        <v>0</v>
      </c>
      <c r="O112" s="881">
        <v>55318.762600000002</v>
      </c>
      <c r="P112" s="60">
        <v>2.9994431215967499E-2</v>
      </c>
      <c r="Q112" s="880">
        <v>2.7538074529930898</v>
      </c>
      <c r="R112" s="60">
        <v>0.60477848347916308</v>
      </c>
      <c r="S112" s="60">
        <v>0</v>
      </c>
      <c r="T112" s="60">
        <v>0.40341146552226503</v>
      </c>
      <c r="U112" s="60">
        <v>0.33983103864219305</v>
      </c>
    </row>
    <row r="113" spans="1:21" x14ac:dyDescent="0.25">
      <c r="A113" s="519" t="s">
        <v>1804</v>
      </c>
      <c r="B113" s="519" t="s">
        <v>1805</v>
      </c>
      <c r="C113" s="519" t="s">
        <v>284</v>
      </c>
      <c r="D113" s="519" t="s">
        <v>111</v>
      </c>
      <c r="E113" s="519" t="s">
        <v>4</v>
      </c>
      <c r="F113" s="519" t="s">
        <v>17</v>
      </c>
      <c r="G113" s="519" t="s">
        <v>57</v>
      </c>
      <c r="H113" s="519" t="s">
        <v>149</v>
      </c>
      <c r="I113" s="881">
        <v>17984.781800000001</v>
      </c>
      <c r="J113" s="881">
        <v>1336.21813494</v>
      </c>
      <c r="K113" s="60">
        <v>6.9158849926995197E-2</v>
      </c>
      <c r="L113" s="880">
        <v>2.7751526000521101</v>
      </c>
      <c r="M113">
        <v>0</v>
      </c>
      <c r="N113" s="60">
        <v>0</v>
      </c>
      <c r="O113" s="881">
        <v>17984.781800000001</v>
      </c>
      <c r="P113" s="60">
        <v>6.9158849926995197E-2</v>
      </c>
      <c r="Q113" s="880">
        <v>2.7751526000521101</v>
      </c>
      <c r="R113" s="60">
        <v>0.60477848347916308</v>
      </c>
      <c r="S113" s="60">
        <v>0</v>
      </c>
      <c r="T113" s="60">
        <v>0.46301435722495105</v>
      </c>
      <c r="U113" s="60">
        <v>0.37876816935642205</v>
      </c>
    </row>
    <row r="114" spans="1:21" x14ac:dyDescent="0.25">
      <c r="A114" s="519" t="s">
        <v>661</v>
      </c>
      <c r="B114" s="519" t="s">
        <v>663</v>
      </c>
      <c r="C114" s="519" t="s">
        <v>284</v>
      </c>
      <c r="D114" s="519" t="s">
        <v>111</v>
      </c>
      <c r="E114" s="519" t="s">
        <v>290</v>
      </c>
      <c r="F114" s="519" t="s">
        <v>70</v>
      </c>
      <c r="G114" s="519" t="s">
        <v>56</v>
      </c>
      <c r="H114" s="519" t="s">
        <v>145</v>
      </c>
      <c r="I114" s="881">
        <v>2059.1372000000001</v>
      </c>
      <c r="J114" s="881">
        <v>2364.3791167899999</v>
      </c>
      <c r="K114" s="60">
        <v>0.53450218049738207</v>
      </c>
      <c r="L114" s="880">
        <v>3.4224400808379398</v>
      </c>
      <c r="M114">
        <v>0</v>
      </c>
      <c r="N114" s="60">
        <v>0</v>
      </c>
      <c r="O114" s="881">
        <v>46539.243999999999</v>
      </c>
      <c r="P114" s="60">
        <v>0.19369709425360901</v>
      </c>
      <c r="Q114" s="880">
        <v>2.4320935358765601</v>
      </c>
      <c r="R114" s="60">
        <v>0.56836250833403601</v>
      </c>
      <c r="S114" s="60">
        <v>9.1075654344535698E-2</v>
      </c>
      <c r="T114" s="60">
        <v>7.1251981151893601E-2</v>
      </c>
      <c r="U114" s="60">
        <v>0.21166476803416501</v>
      </c>
    </row>
    <row r="115" spans="1:21" x14ac:dyDescent="0.25">
      <c r="A115" s="519" t="s">
        <v>665</v>
      </c>
      <c r="B115" s="519" t="s">
        <v>666</v>
      </c>
      <c r="C115" s="519" t="s">
        <v>284</v>
      </c>
      <c r="D115" s="519" t="s">
        <v>111</v>
      </c>
      <c r="E115" s="519" t="s">
        <v>290</v>
      </c>
      <c r="F115" s="519" t="s">
        <v>70</v>
      </c>
      <c r="G115" s="519" t="s">
        <v>57</v>
      </c>
      <c r="H115" s="519" t="s">
        <v>147</v>
      </c>
      <c r="I115" s="881">
        <v>167.6722</v>
      </c>
      <c r="J115" s="881">
        <v>208.37995698</v>
      </c>
      <c r="K115" s="60">
        <v>0.55412514756851305</v>
      </c>
      <c r="L115" s="880">
        <v>2.74351317374167</v>
      </c>
      <c r="M115">
        <v>0</v>
      </c>
      <c r="N115" s="60">
        <v>0</v>
      </c>
      <c r="O115" s="881">
        <v>562.50170000000003</v>
      </c>
      <c r="P115" s="60">
        <v>0.56698741253457507</v>
      </c>
      <c r="Q115" s="880">
        <v>3.0933221143657499</v>
      </c>
      <c r="R115" s="60">
        <v>0.56836250833403601</v>
      </c>
      <c r="S115" s="60">
        <v>0</v>
      </c>
      <c r="T115" s="60">
        <v>0.16926954867035901</v>
      </c>
      <c r="U115" s="60">
        <v>0.21360312098839401</v>
      </c>
    </row>
    <row r="116" spans="1:21" x14ac:dyDescent="0.25">
      <c r="A116" s="519" t="s">
        <v>665</v>
      </c>
      <c r="B116" s="519" t="s">
        <v>668</v>
      </c>
      <c r="C116" s="519" t="s">
        <v>284</v>
      </c>
      <c r="D116" s="519" t="s">
        <v>111</v>
      </c>
      <c r="E116" s="519" t="s">
        <v>290</v>
      </c>
      <c r="F116" s="519" t="s">
        <v>70</v>
      </c>
      <c r="G116" s="519" t="s">
        <v>57</v>
      </c>
      <c r="H116" s="519" t="s">
        <v>149</v>
      </c>
      <c r="I116" s="881">
        <v>379.98610000000002</v>
      </c>
      <c r="J116" s="881">
        <v>493.51347795999999</v>
      </c>
      <c r="K116" s="60">
        <v>0.56498422027010908</v>
      </c>
      <c r="L116" s="880">
        <v>3.0576823199837202</v>
      </c>
      <c r="M116">
        <v>0</v>
      </c>
      <c r="N116" s="60">
        <v>0</v>
      </c>
      <c r="O116" s="881">
        <v>562.50170000000003</v>
      </c>
      <c r="P116" s="60">
        <v>0.56698741253457507</v>
      </c>
      <c r="Q116" s="880">
        <v>3.0933221143657499</v>
      </c>
      <c r="R116" s="60">
        <v>0.56836250833403601</v>
      </c>
      <c r="S116" s="60">
        <v>0</v>
      </c>
      <c r="T116" s="60">
        <v>0.34758456215618405</v>
      </c>
      <c r="U116" s="60">
        <v>0.40793376922542501</v>
      </c>
    </row>
    <row r="117" spans="1:21" x14ac:dyDescent="0.25">
      <c r="A117" s="519" t="s">
        <v>669</v>
      </c>
      <c r="B117" s="519" t="s">
        <v>670</v>
      </c>
      <c r="C117" s="519" t="s">
        <v>284</v>
      </c>
      <c r="D117" s="519" t="s">
        <v>111</v>
      </c>
      <c r="E117" s="519" t="s">
        <v>290</v>
      </c>
      <c r="F117" s="519" t="s">
        <v>70</v>
      </c>
      <c r="G117" s="519" t="s">
        <v>58</v>
      </c>
      <c r="H117" s="519" t="s">
        <v>150</v>
      </c>
      <c r="I117" s="881">
        <v>81966.559400000406</v>
      </c>
      <c r="J117" s="881">
        <v>2067.06105707999</v>
      </c>
      <c r="K117" s="60">
        <v>2.4598024526811198E-2</v>
      </c>
      <c r="L117" s="880">
        <v>3.0428175390868599</v>
      </c>
      <c r="M117">
        <v>0</v>
      </c>
      <c r="N117" s="60">
        <v>0.17042946662953301</v>
      </c>
      <c r="O117" s="881">
        <v>132858.1789</v>
      </c>
      <c r="P117" s="60">
        <v>1.79836075700214E-2</v>
      </c>
      <c r="Q117" s="880">
        <v>3.05072577018103</v>
      </c>
      <c r="R117" s="60">
        <v>0.56836250833403601</v>
      </c>
      <c r="S117" s="60">
        <v>0.16698500373618999</v>
      </c>
      <c r="T117" s="60">
        <v>0.610412321214028</v>
      </c>
      <c r="U117" s="60">
        <v>0.74359966316623305</v>
      </c>
    </row>
    <row r="118" spans="1:21" x14ac:dyDescent="0.25">
      <c r="A118" s="519" t="s">
        <v>669</v>
      </c>
      <c r="B118" s="519" t="s">
        <v>672</v>
      </c>
      <c r="C118" s="519" t="s">
        <v>284</v>
      </c>
      <c r="D118" s="519" t="s">
        <v>111</v>
      </c>
      <c r="E118" s="519" t="s">
        <v>290</v>
      </c>
      <c r="F118" s="519" t="s">
        <v>70</v>
      </c>
      <c r="G118" s="519" t="s">
        <v>58</v>
      </c>
      <c r="H118" s="519" t="s">
        <v>152</v>
      </c>
      <c r="I118" s="881">
        <v>46960.789800000101</v>
      </c>
      <c r="J118" s="881">
        <v>300.22154331000002</v>
      </c>
      <c r="K118" s="60">
        <v>6.3524147024521605E-3</v>
      </c>
      <c r="L118" s="880">
        <v>3.06778984452811</v>
      </c>
      <c r="M118">
        <v>0</v>
      </c>
      <c r="N118" s="60">
        <v>0.13290906576703301</v>
      </c>
      <c r="O118" s="881">
        <v>132858.1789</v>
      </c>
      <c r="P118" s="60">
        <v>1.79836075700214E-2</v>
      </c>
      <c r="Q118" s="880">
        <v>3.05072577018103</v>
      </c>
      <c r="R118" s="60">
        <v>0.56836250833403601</v>
      </c>
      <c r="S118" s="60">
        <v>0.16698500373618999</v>
      </c>
      <c r="T118" s="60">
        <v>0.337211497851924</v>
      </c>
      <c r="U118" s="60">
        <v>0.157337485368437</v>
      </c>
    </row>
    <row r="119" spans="1:21" x14ac:dyDescent="0.25">
      <c r="A119" s="519" t="s">
        <v>673</v>
      </c>
      <c r="B119" s="519" t="s">
        <v>675</v>
      </c>
      <c r="C119" s="519" t="s">
        <v>284</v>
      </c>
      <c r="D119" s="519" t="s">
        <v>111</v>
      </c>
      <c r="E119" s="519" t="s">
        <v>290</v>
      </c>
      <c r="F119" s="519" t="s">
        <v>70</v>
      </c>
      <c r="G119" s="519" t="s">
        <v>59</v>
      </c>
      <c r="H119" s="519" t="s">
        <v>154</v>
      </c>
      <c r="I119" s="881">
        <v>117817.1976</v>
      </c>
      <c r="J119" s="881">
        <v>1895.1357086600001</v>
      </c>
      <c r="K119" s="60">
        <v>1.58307473948711E-2</v>
      </c>
      <c r="L119" s="880">
        <v>3.0480445441680102</v>
      </c>
      <c r="M119">
        <v>0</v>
      </c>
      <c r="N119" s="60">
        <v>0.11543044544457901</v>
      </c>
      <c r="O119" s="881">
        <v>293058.25910000002</v>
      </c>
      <c r="P119" s="60">
        <v>1.5483535895584001E-2</v>
      </c>
      <c r="Q119" s="880">
        <v>3.0502453022650098</v>
      </c>
      <c r="R119" s="60">
        <v>0.56836250833403601</v>
      </c>
      <c r="S119" s="60">
        <v>0.113452255541635</v>
      </c>
      <c r="T119" s="60">
        <v>0.36139490106181504</v>
      </c>
      <c r="U119" s="60">
        <v>0.35260433950317505</v>
      </c>
    </row>
    <row r="120" spans="1:21" x14ac:dyDescent="0.25">
      <c r="A120" s="519" t="s">
        <v>677</v>
      </c>
      <c r="B120" s="519" t="s">
        <v>679</v>
      </c>
      <c r="C120" s="519" t="s">
        <v>284</v>
      </c>
      <c r="D120" s="519" t="s">
        <v>111</v>
      </c>
      <c r="E120" s="519" t="s">
        <v>290</v>
      </c>
      <c r="F120" s="519" t="s">
        <v>16</v>
      </c>
      <c r="G120" s="519" t="s">
        <v>56</v>
      </c>
      <c r="H120" s="519" t="s">
        <v>145</v>
      </c>
      <c r="I120" s="881">
        <v>2769.5686000000001</v>
      </c>
      <c r="J120" s="881">
        <v>1612.30529981</v>
      </c>
      <c r="K120" s="60">
        <v>0.36794881292223203</v>
      </c>
      <c r="L120" s="880">
        <v>3.0439683849053001</v>
      </c>
      <c r="M120">
        <v>0</v>
      </c>
      <c r="N120" s="60">
        <v>0.11895545753948801</v>
      </c>
      <c r="O120" s="881">
        <v>31714.647300000001</v>
      </c>
      <c r="P120" s="60">
        <v>0.19198392232148601</v>
      </c>
      <c r="Q120" s="880">
        <v>2.9735237313743799</v>
      </c>
      <c r="R120" s="60">
        <v>0.56836250833403601</v>
      </c>
      <c r="S120" s="60">
        <v>0.100264630721591</v>
      </c>
      <c r="T120" s="60">
        <v>7.1251981151893601E-2</v>
      </c>
      <c r="U120" s="60">
        <v>0.21166476803416501</v>
      </c>
    </row>
    <row r="121" spans="1:21" x14ac:dyDescent="0.25">
      <c r="A121" s="519" t="s">
        <v>681</v>
      </c>
      <c r="B121" s="519" t="s">
        <v>682</v>
      </c>
      <c r="C121" s="519" t="s">
        <v>284</v>
      </c>
      <c r="D121" s="519" t="s">
        <v>111</v>
      </c>
      <c r="E121" s="519" t="s">
        <v>290</v>
      </c>
      <c r="F121" s="519" t="s">
        <v>16</v>
      </c>
      <c r="G121" s="519" t="s">
        <v>57</v>
      </c>
      <c r="H121" s="519" t="s">
        <v>147</v>
      </c>
      <c r="I121" s="881">
        <v>491.75460000000004</v>
      </c>
      <c r="J121" s="881">
        <v>374.49222041000002</v>
      </c>
      <c r="K121" s="60">
        <v>0.43231583838051002</v>
      </c>
      <c r="L121" s="880">
        <v>2.9595815266115899</v>
      </c>
      <c r="M121">
        <v>0</v>
      </c>
      <c r="N121" s="60">
        <v>0.162854399328446</v>
      </c>
      <c r="O121" s="881">
        <v>3333.2184999999999</v>
      </c>
      <c r="P121" s="60">
        <v>0.37409522536157402</v>
      </c>
      <c r="Q121" s="880">
        <v>2.9629244634476199</v>
      </c>
      <c r="R121" s="60">
        <v>0.56836250833403601</v>
      </c>
      <c r="S121" s="60">
        <v>0.12435446401128501</v>
      </c>
      <c r="T121" s="60">
        <v>0.16926954867035901</v>
      </c>
      <c r="U121" s="60">
        <v>0.21360312098839401</v>
      </c>
    </row>
    <row r="122" spans="1:21" x14ac:dyDescent="0.25">
      <c r="A122" s="519" t="s">
        <v>681</v>
      </c>
      <c r="B122" s="519" t="s">
        <v>684</v>
      </c>
      <c r="C122" s="519" t="s">
        <v>284</v>
      </c>
      <c r="D122" s="519" t="s">
        <v>111</v>
      </c>
      <c r="E122" s="519" t="s">
        <v>290</v>
      </c>
      <c r="F122" s="519" t="s">
        <v>16</v>
      </c>
      <c r="G122" s="519" t="s">
        <v>57</v>
      </c>
      <c r="H122" s="519" t="s">
        <v>149</v>
      </c>
      <c r="I122" s="881">
        <v>974.10610000000008</v>
      </c>
      <c r="J122" s="881">
        <v>619.64087671000004</v>
      </c>
      <c r="K122" s="60">
        <v>0.38879501311377301</v>
      </c>
      <c r="L122" s="880">
        <v>-0.86598856245963207</v>
      </c>
      <c r="M122">
        <v>0</v>
      </c>
      <c r="N122" s="60">
        <v>5.8363149558348898E-2</v>
      </c>
      <c r="O122" s="881">
        <v>3333.2184999999999</v>
      </c>
      <c r="P122" s="60">
        <v>0.37409522536157402</v>
      </c>
      <c r="Q122" s="880">
        <v>2.9629244634476199</v>
      </c>
      <c r="R122" s="60">
        <v>0.56836250833403601</v>
      </c>
      <c r="S122" s="60">
        <v>0.12435446401128501</v>
      </c>
      <c r="T122" s="60">
        <v>0.34758456215618405</v>
      </c>
      <c r="U122" s="60">
        <v>0.40793376922542501</v>
      </c>
    </row>
    <row r="123" spans="1:21" x14ac:dyDescent="0.25">
      <c r="A123" s="519" t="s">
        <v>685</v>
      </c>
      <c r="B123" s="519" t="s">
        <v>686</v>
      </c>
      <c r="C123" s="519" t="s">
        <v>284</v>
      </c>
      <c r="D123" s="519" t="s">
        <v>111</v>
      </c>
      <c r="E123" s="519" t="s">
        <v>290</v>
      </c>
      <c r="F123" s="519" t="s">
        <v>16</v>
      </c>
      <c r="G123" s="519" t="s">
        <v>58</v>
      </c>
      <c r="H123" s="519" t="s">
        <v>150</v>
      </c>
      <c r="I123" s="881">
        <v>116566.6048</v>
      </c>
      <c r="J123" s="881">
        <v>2028.85652428</v>
      </c>
      <c r="K123" s="60">
        <v>1.71073707343018E-2</v>
      </c>
      <c r="L123" s="880">
        <v>3.0902735898999198</v>
      </c>
      <c r="M123">
        <v>0</v>
      </c>
      <c r="N123" s="60">
        <v>0.42325124579763101</v>
      </c>
      <c r="O123" s="881">
        <v>192386.1802</v>
      </c>
      <c r="P123" s="60">
        <v>1.5733059308860601E-2</v>
      </c>
      <c r="Q123" s="880">
        <v>3.0957148191403299</v>
      </c>
      <c r="R123" s="60">
        <v>0.56836250833403601</v>
      </c>
      <c r="S123" s="60">
        <v>0.45383431080773706</v>
      </c>
      <c r="T123" s="60">
        <v>0.610412321214028</v>
      </c>
      <c r="U123" s="60">
        <v>0.74359966316623305</v>
      </c>
    </row>
    <row r="124" spans="1:21" x14ac:dyDescent="0.25">
      <c r="A124" s="519" t="s">
        <v>685</v>
      </c>
      <c r="B124" s="519" t="s">
        <v>688</v>
      </c>
      <c r="C124" s="519" t="s">
        <v>284</v>
      </c>
      <c r="D124" s="519" t="s">
        <v>111</v>
      </c>
      <c r="E124" s="519" t="s">
        <v>290</v>
      </c>
      <c r="F124" s="519" t="s">
        <v>16</v>
      </c>
      <c r="G124" s="519" t="s">
        <v>58</v>
      </c>
      <c r="H124" s="519" t="s">
        <v>152</v>
      </c>
      <c r="I124" s="881">
        <v>62715.347700000202</v>
      </c>
      <c r="J124" s="881">
        <v>566.42943093000099</v>
      </c>
      <c r="K124" s="60">
        <v>8.9509090390754598E-3</v>
      </c>
      <c r="L124" s="880">
        <v>3.10339262912035</v>
      </c>
      <c r="M124">
        <v>0</v>
      </c>
      <c r="N124" s="60">
        <v>0.44785874957367</v>
      </c>
      <c r="O124" s="881">
        <v>192386.1802</v>
      </c>
      <c r="P124" s="60">
        <v>1.5733059308860601E-2</v>
      </c>
      <c r="Q124" s="880">
        <v>3.0957148191403299</v>
      </c>
      <c r="R124" s="60">
        <v>0.56836250833403601</v>
      </c>
      <c r="S124" s="60">
        <v>0.45383431080773706</v>
      </c>
      <c r="T124" s="60">
        <v>0.337211497851924</v>
      </c>
      <c r="U124" s="60">
        <v>0.157337485368437</v>
      </c>
    </row>
    <row r="125" spans="1:21" x14ac:dyDescent="0.25">
      <c r="A125" s="519" t="s">
        <v>689</v>
      </c>
      <c r="B125" s="519" t="s">
        <v>690</v>
      </c>
      <c r="C125" s="519" t="s">
        <v>284</v>
      </c>
      <c r="D125" s="519" t="s">
        <v>111</v>
      </c>
      <c r="E125" s="519" t="s">
        <v>290</v>
      </c>
      <c r="F125" s="519" t="s">
        <v>16</v>
      </c>
      <c r="G125" s="519" t="s">
        <v>59</v>
      </c>
      <c r="H125" s="519" t="s">
        <v>154</v>
      </c>
      <c r="I125" s="881">
        <v>108386.3909</v>
      </c>
      <c r="J125" s="881">
        <v>1052.57018713</v>
      </c>
      <c r="K125" s="60">
        <v>9.6178744450251506E-3</v>
      </c>
      <c r="L125" s="880">
        <v>3.01007781777058</v>
      </c>
      <c r="M125">
        <v>0</v>
      </c>
      <c r="N125" s="60">
        <v>0.36397187665744202</v>
      </c>
      <c r="O125" s="881">
        <v>332859.7819</v>
      </c>
      <c r="P125" s="60">
        <v>1.1143054833865001E-2</v>
      </c>
      <c r="Q125" s="880">
        <v>3.0342554232332399</v>
      </c>
      <c r="R125" s="60">
        <v>0.56836250833403601</v>
      </c>
      <c r="S125" s="60">
        <v>0.41143029842260603</v>
      </c>
      <c r="T125" s="60">
        <v>0.36139490106181504</v>
      </c>
      <c r="U125" s="60">
        <v>0.35260433950317505</v>
      </c>
    </row>
    <row r="126" spans="1:21" x14ac:dyDescent="0.25">
      <c r="A126" s="519" t="s">
        <v>692</v>
      </c>
      <c r="B126" s="519" t="s">
        <v>1770</v>
      </c>
      <c r="C126" s="519" t="s">
        <v>284</v>
      </c>
      <c r="D126" s="519" t="s">
        <v>111</v>
      </c>
      <c r="E126" s="519" t="s">
        <v>290</v>
      </c>
      <c r="F126" s="519" t="s">
        <v>17</v>
      </c>
      <c r="G126" s="519" t="s">
        <v>56</v>
      </c>
      <c r="H126" s="519" t="s">
        <v>145</v>
      </c>
      <c r="I126" s="881">
        <v>3259.1362000000004</v>
      </c>
      <c r="J126" s="881">
        <v>1115.2418167999999</v>
      </c>
      <c r="K126" s="60">
        <v>0.25494866070487304</v>
      </c>
      <c r="L126" s="880">
        <v>3.1735624127838502</v>
      </c>
      <c r="M126">
        <v>0</v>
      </c>
      <c r="N126" s="60">
        <v>0.29899315039365304</v>
      </c>
      <c r="O126" s="881">
        <v>35256.524400000002</v>
      </c>
      <c r="P126" s="60">
        <v>0.131562432012857</v>
      </c>
      <c r="Q126" s="880">
        <v>2.6134604761829099</v>
      </c>
      <c r="R126" s="60">
        <v>0.56836250833403601</v>
      </c>
      <c r="S126" s="60">
        <v>0.42980349191765505</v>
      </c>
      <c r="T126" s="60">
        <v>7.1251981151893601E-2</v>
      </c>
      <c r="U126" s="60">
        <v>0.21166476803416501</v>
      </c>
    </row>
    <row r="127" spans="1:21" x14ac:dyDescent="0.25">
      <c r="A127" s="519" t="s">
        <v>1806</v>
      </c>
      <c r="B127" s="519" t="s">
        <v>1807</v>
      </c>
      <c r="C127" s="519" t="s">
        <v>284</v>
      </c>
      <c r="D127" s="519" t="s">
        <v>111</v>
      </c>
      <c r="E127" s="519" t="s">
        <v>290</v>
      </c>
      <c r="F127" s="519" t="s">
        <v>17</v>
      </c>
      <c r="G127" s="519" t="s">
        <v>57</v>
      </c>
      <c r="H127" s="519" t="s">
        <v>149</v>
      </c>
      <c r="I127" s="881">
        <v>1138.1600000000001</v>
      </c>
      <c r="J127" s="881">
        <v>258.29780139000002</v>
      </c>
      <c r="K127" s="60">
        <v>0.18496642084916301</v>
      </c>
      <c r="L127" s="880">
        <v>1.5184775682124101</v>
      </c>
      <c r="M127">
        <v>0</v>
      </c>
      <c r="N127" s="60">
        <v>0.75338063189709703</v>
      </c>
      <c r="O127" s="881">
        <v>1138.1600000000001</v>
      </c>
      <c r="P127" s="60">
        <v>0.18496642084916301</v>
      </c>
      <c r="Q127" s="880">
        <v>1.5184775682124101</v>
      </c>
      <c r="R127" s="60">
        <v>0.56836250833403601</v>
      </c>
      <c r="S127" s="60">
        <v>0.75338063189709703</v>
      </c>
      <c r="T127" s="60">
        <v>0.34758456215618405</v>
      </c>
      <c r="U127" s="60">
        <v>0.40793376922542501</v>
      </c>
    </row>
    <row r="128" spans="1:21" x14ac:dyDescent="0.25">
      <c r="A128" s="519" t="s">
        <v>693</v>
      </c>
      <c r="B128" s="519" t="s">
        <v>694</v>
      </c>
      <c r="C128" s="519" t="s">
        <v>284</v>
      </c>
      <c r="D128" s="519" t="s">
        <v>111</v>
      </c>
      <c r="E128" s="519" t="s">
        <v>288</v>
      </c>
      <c r="F128" s="519" t="s">
        <v>70</v>
      </c>
      <c r="G128" s="519" t="s">
        <v>56</v>
      </c>
      <c r="H128" s="519" t="s">
        <v>144</v>
      </c>
      <c r="I128" s="881">
        <v>42906.564300000005</v>
      </c>
      <c r="J128" s="881">
        <v>4589.9644853699901</v>
      </c>
      <c r="K128" s="60">
        <v>9.6637893394512703E-2</v>
      </c>
      <c r="L128" s="880">
        <v>3.0666246605440501</v>
      </c>
      <c r="M128">
        <v>0</v>
      </c>
      <c r="N128" s="60">
        <v>3.8022415138934798E-2</v>
      </c>
      <c r="O128" s="881">
        <v>148968.88990000001</v>
      </c>
      <c r="P128" s="60">
        <v>8.6792106172336791E-2</v>
      </c>
      <c r="Q128" s="880">
        <v>3.0243368934393002</v>
      </c>
      <c r="R128" s="60">
        <v>0.55592062236262407</v>
      </c>
      <c r="S128" s="60">
        <v>5.4692844965611796E-2</v>
      </c>
      <c r="T128" s="60">
        <v>0.28298960751823404</v>
      </c>
      <c r="U128" s="60">
        <v>0.328655476437061</v>
      </c>
    </row>
    <row r="129" spans="1:21" x14ac:dyDescent="0.25">
      <c r="A129" s="519" t="s">
        <v>693</v>
      </c>
      <c r="B129" s="519" t="s">
        <v>696</v>
      </c>
      <c r="C129" s="519" t="s">
        <v>284</v>
      </c>
      <c r="D129" s="519" t="s">
        <v>111</v>
      </c>
      <c r="E129" s="519" t="s">
        <v>288</v>
      </c>
      <c r="F129" s="519" t="s">
        <v>70</v>
      </c>
      <c r="G129" s="519" t="s">
        <v>56</v>
      </c>
      <c r="H129" s="519" t="s">
        <v>146</v>
      </c>
      <c r="I129" s="881">
        <v>46748.631500000003</v>
      </c>
      <c r="J129" s="881">
        <v>4179.8148150999896</v>
      </c>
      <c r="K129" s="60">
        <v>8.2072301778833193E-2</v>
      </c>
      <c r="L129" s="880">
        <v>2.9956275571936701</v>
      </c>
      <c r="M129">
        <v>0</v>
      </c>
      <c r="N129" s="60">
        <v>7.2485110072152498E-2</v>
      </c>
      <c r="O129" s="881">
        <v>148968.88990000001</v>
      </c>
      <c r="P129" s="60">
        <v>8.6792106172336791E-2</v>
      </c>
      <c r="Q129" s="880">
        <v>3.0243368934393002</v>
      </c>
      <c r="R129" s="60">
        <v>0.55592062236262407</v>
      </c>
      <c r="S129" s="60">
        <v>5.4692844965611796E-2</v>
      </c>
      <c r="T129" s="60">
        <v>0.31901244988779903</v>
      </c>
      <c r="U129" s="60">
        <v>0.32768614455148803</v>
      </c>
    </row>
    <row r="130" spans="1:21" x14ac:dyDescent="0.25">
      <c r="A130" s="519" t="s">
        <v>697</v>
      </c>
      <c r="B130" s="519" t="s">
        <v>699</v>
      </c>
      <c r="C130" s="519" t="s">
        <v>284</v>
      </c>
      <c r="D130" s="519" t="s">
        <v>111</v>
      </c>
      <c r="E130" s="519" t="s">
        <v>288</v>
      </c>
      <c r="F130" s="519" t="s">
        <v>70</v>
      </c>
      <c r="G130" s="519" t="s">
        <v>57</v>
      </c>
      <c r="H130" s="519" t="s">
        <v>148</v>
      </c>
      <c r="I130" s="881">
        <v>42231.489099999999</v>
      </c>
      <c r="J130" s="881">
        <v>1869.76693239001</v>
      </c>
      <c r="K130" s="60">
        <v>4.2397135605769701E-2</v>
      </c>
      <c r="L130" s="880">
        <v>2.9300126909833502</v>
      </c>
      <c r="M130">
        <v>0</v>
      </c>
      <c r="N130" s="60">
        <v>1.9684401798656898E-2</v>
      </c>
      <c r="O130" s="881">
        <v>216087.9927</v>
      </c>
      <c r="P130" s="60">
        <v>4.24588418604167E-2</v>
      </c>
      <c r="Q130" s="880">
        <v>3.0103708330818599</v>
      </c>
      <c r="R130" s="60">
        <v>0.55592062236262407</v>
      </c>
      <c r="S130" s="60">
        <v>2.2503021288882499E-2</v>
      </c>
      <c r="T130" s="60">
        <v>0.21905854346177403</v>
      </c>
      <c r="U130" s="60">
        <v>0.34833571033926503</v>
      </c>
    </row>
    <row r="131" spans="1:21" x14ac:dyDescent="0.25">
      <c r="A131" s="519" t="s">
        <v>701</v>
      </c>
      <c r="B131" s="519" t="s">
        <v>703</v>
      </c>
      <c r="C131" s="519" t="s">
        <v>284</v>
      </c>
      <c r="D131" s="519" t="s">
        <v>111</v>
      </c>
      <c r="E131" s="519" t="s">
        <v>288</v>
      </c>
      <c r="F131" s="519" t="s">
        <v>70</v>
      </c>
      <c r="G131" s="519" t="s">
        <v>58</v>
      </c>
      <c r="H131" s="519" t="s">
        <v>151</v>
      </c>
      <c r="I131" s="881">
        <v>39143.5026</v>
      </c>
      <c r="J131" s="881">
        <v>2922.8963832700001</v>
      </c>
      <c r="K131" s="60">
        <v>6.9482923518897899E-2</v>
      </c>
      <c r="L131" s="880">
        <v>2.9814573121786299</v>
      </c>
      <c r="M131">
        <v>0</v>
      </c>
      <c r="N131" s="60">
        <v>3.8148032261170202E-2</v>
      </c>
      <c r="O131" s="881">
        <v>150895.3866</v>
      </c>
      <c r="P131" s="60">
        <v>6.4728806570554298E-2</v>
      </c>
      <c r="Q131" s="880">
        <v>2.99841606595876</v>
      </c>
      <c r="R131" s="60">
        <v>0.55592062236262407</v>
      </c>
      <c r="S131" s="60">
        <v>6.76260728040044E-2</v>
      </c>
      <c r="T131" s="60">
        <v>0.250694621365457</v>
      </c>
      <c r="U131" s="60">
        <v>0.33182996425752603</v>
      </c>
    </row>
    <row r="132" spans="1:21" x14ac:dyDescent="0.25">
      <c r="A132" s="519" t="s">
        <v>705</v>
      </c>
      <c r="B132" s="519" t="s">
        <v>706</v>
      </c>
      <c r="C132" s="519" t="s">
        <v>284</v>
      </c>
      <c r="D132" s="519" t="s">
        <v>111</v>
      </c>
      <c r="E132" s="519" t="s">
        <v>288</v>
      </c>
      <c r="F132" s="519" t="s">
        <v>70</v>
      </c>
      <c r="G132" s="519" t="s">
        <v>59</v>
      </c>
      <c r="H132" s="519" t="s">
        <v>153</v>
      </c>
      <c r="I132" s="881">
        <v>63917.179500000304</v>
      </c>
      <c r="J132" s="881">
        <v>4598.54491203</v>
      </c>
      <c r="K132" s="60">
        <v>6.7116635655429011E-2</v>
      </c>
      <c r="L132" s="880">
        <v>3.12683915654218</v>
      </c>
      <c r="M132">
        <v>0</v>
      </c>
      <c r="N132" s="60">
        <v>0.23836434772595</v>
      </c>
      <c r="O132" s="881">
        <v>234045.41460000002</v>
      </c>
      <c r="P132" s="60">
        <v>6.5881040144891392E-2</v>
      </c>
      <c r="Q132" s="880">
        <v>3.06773960002818</v>
      </c>
      <c r="R132" s="60">
        <v>0.55592062236262407</v>
      </c>
      <c r="S132" s="60">
        <v>0.17626179162922101</v>
      </c>
      <c r="T132" s="60">
        <v>0.257593365322764</v>
      </c>
      <c r="U132" s="60">
        <v>0.25598800580856101</v>
      </c>
    </row>
    <row r="133" spans="1:21" x14ac:dyDescent="0.25">
      <c r="A133" s="519" t="s">
        <v>705</v>
      </c>
      <c r="B133" s="519" t="s">
        <v>708</v>
      </c>
      <c r="C133" s="519" t="s">
        <v>284</v>
      </c>
      <c r="D133" s="519" t="s">
        <v>111</v>
      </c>
      <c r="E133" s="519" t="s">
        <v>288</v>
      </c>
      <c r="F133" s="519" t="s">
        <v>70</v>
      </c>
      <c r="G133" s="519" t="s">
        <v>59</v>
      </c>
      <c r="H133" s="519" t="s">
        <v>155</v>
      </c>
      <c r="I133" s="881">
        <v>88034.388100000011</v>
      </c>
      <c r="J133" s="881">
        <v>5215.7593933099797</v>
      </c>
      <c r="K133" s="60">
        <v>5.59329881347818E-2</v>
      </c>
      <c r="L133" s="880">
        <v>3.05300604335347</v>
      </c>
      <c r="M133">
        <v>0</v>
      </c>
      <c r="N133" s="60">
        <v>0.11990560311510801</v>
      </c>
      <c r="O133" s="881">
        <v>234045.41460000002</v>
      </c>
      <c r="P133" s="60">
        <v>6.5881040144891392E-2</v>
      </c>
      <c r="Q133" s="880">
        <v>3.06773960002818</v>
      </c>
      <c r="R133" s="60">
        <v>0.55592062236262407</v>
      </c>
      <c r="S133" s="60">
        <v>0.17626179162922101</v>
      </c>
      <c r="T133" s="60">
        <v>0.38952715395542903</v>
      </c>
      <c r="U133" s="60">
        <v>0.34364314116249001</v>
      </c>
    </row>
    <row r="134" spans="1:21" x14ac:dyDescent="0.25">
      <c r="A134" s="519" t="s">
        <v>709</v>
      </c>
      <c r="B134" s="519" t="s">
        <v>711</v>
      </c>
      <c r="C134" s="519" t="s">
        <v>284</v>
      </c>
      <c r="D134" s="519" t="s">
        <v>111</v>
      </c>
      <c r="E134" s="519" t="s">
        <v>288</v>
      </c>
      <c r="F134" s="519" t="s">
        <v>16</v>
      </c>
      <c r="G134" s="519" t="s">
        <v>56</v>
      </c>
      <c r="H134" s="519" t="s">
        <v>145</v>
      </c>
      <c r="I134" s="881">
        <v>80956.704000000405</v>
      </c>
      <c r="J134" s="881">
        <v>3105.0959472700001</v>
      </c>
      <c r="K134" s="60">
        <v>3.6938251967216403E-2</v>
      </c>
      <c r="L134" s="880">
        <v>3.1560469222481</v>
      </c>
      <c r="M134">
        <v>0</v>
      </c>
      <c r="N134" s="60">
        <v>0.29578266180401602</v>
      </c>
      <c r="O134" s="881">
        <v>207423.06300000101</v>
      </c>
      <c r="P134" s="60">
        <v>5.10955269041461E-2</v>
      </c>
      <c r="Q134" s="880">
        <v>3.1060406039105399</v>
      </c>
      <c r="R134" s="60">
        <v>0.55592062236262407</v>
      </c>
      <c r="S134" s="60">
        <v>0.26993591498549802</v>
      </c>
      <c r="T134" s="60">
        <v>0.39799794259396704</v>
      </c>
      <c r="U134" s="60">
        <v>0.34365837901145202</v>
      </c>
    </row>
    <row r="135" spans="1:21" x14ac:dyDescent="0.25">
      <c r="A135" s="519" t="s">
        <v>713</v>
      </c>
      <c r="B135" s="519" t="s">
        <v>714</v>
      </c>
      <c r="C135" s="519" t="s">
        <v>284</v>
      </c>
      <c r="D135" s="519" t="s">
        <v>111</v>
      </c>
      <c r="E135" s="519" t="s">
        <v>288</v>
      </c>
      <c r="F135" s="519" t="s">
        <v>16</v>
      </c>
      <c r="G135" s="519" t="s">
        <v>57</v>
      </c>
      <c r="H135" s="519" t="s">
        <v>147</v>
      </c>
      <c r="I135" s="881">
        <v>91368.180900000501</v>
      </c>
      <c r="J135" s="881">
        <v>2563.6912883499999</v>
      </c>
      <c r="K135" s="60">
        <v>2.7293092627913899E-2</v>
      </c>
      <c r="L135" s="880">
        <v>3.0459275731981199</v>
      </c>
      <c r="M135">
        <v>0</v>
      </c>
      <c r="N135" s="60">
        <v>0.44412082740721204</v>
      </c>
      <c r="O135" s="881">
        <v>251157.37460000103</v>
      </c>
      <c r="P135" s="60">
        <v>6.2716131376954393E-2</v>
      </c>
      <c r="Q135" s="880">
        <v>3.0814062861357301</v>
      </c>
      <c r="R135" s="60">
        <v>0.55592062236262407</v>
      </c>
      <c r="S135" s="60">
        <v>0.39181747283641</v>
      </c>
      <c r="T135" s="60">
        <v>0.38148829710183901</v>
      </c>
      <c r="U135" s="60">
        <v>0.17663233416359903</v>
      </c>
    </row>
    <row r="136" spans="1:21" x14ac:dyDescent="0.25">
      <c r="A136" s="519" t="s">
        <v>713</v>
      </c>
      <c r="B136" s="519" t="s">
        <v>716</v>
      </c>
      <c r="C136" s="519" t="s">
        <v>284</v>
      </c>
      <c r="D136" s="519" t="s">
        <v>111</v>
      </c>
      <c r="E136" s="519" t="s">
        <v>288</v>
      </c>
      <c r="F136" s="519" t="s">
        <v>16</v>
      </c>
      <c r="G136" s="519" t="s">
        <v>57</v>
      </c>
      <c r="H136" s="519" t="s">
        <v>149</v>
      </c>
      <c r="I136" s="881">
        <v>99666.5932000006</v>
      </c>
      <c r="J136" s="881">
        <v>6920.0470656100006</v>
      </c>
      <c r="K136" s="60">
        <v>6.4924150422280905E-2</v>
      </c>
      <c r="L136" s="880">
        <v>3.12255969189231</v>
      </c>
      <c r="M136">
        <v>0</v>
      </c>
      <c r="N136" s="60">
        <v>0.34015573836228802</v>
      </c>
      <c r="O136" s="881">
        <v>251157.37460000103</v>
      </c>
      <c r="P136" s="60">
        <v>6.2716131376954393E-2</v>
      </c>
      <c r="Q136" s="880">
        <v>3.0814062861357301</v>
      </c>
      <c r="R136" s="60">
        <v>0.55592062236262407</v>
      </c>
      <c r="S136" s="60">
        <v>0.39181747283641</v>
      </c>
      <c r="T136" s="60">
        <v>0.39945315943638704</v>
      </c>
      <c r="U136" s="60">
        <v>0.47503195549713706</v>
      </c>
    </row>
    <row r="137" spans="1:21" x14ac:dyDescent="0.25">
      <c r="A137" s="519" t="s">
        <v>717</v>
      </c>
      <c r="B137" s="519" t="s">
        <v>718</v>
      </c>
      <c r="C137" s="519" t="s">
        <v>284</v>
      </c>
      <c r="D137" s="519" t="s">
        <v>111</v>
      </c>
      <c r="E137" s="519" t="s">
        <v>288</v>
      </c>
      <c r="F137" s="519" t="s">
        <v>16</v>
      </c>
      <c r="G137" s="519" t="s">
        <v>58</v>
      </c>
      <c r="H137" s="519" t="s">
        <v>150</v>
      </c>
      <c r="I137" s="881">
        <v>101445.3729</v>
      </c>
      <c r="J137" s="881">
        <v>3784.8648775299898</v>
      </c>
      <c r="K137" s="60">
        <v>3.5967464841537899E-2</v>
      </c>
      <c r="L137" s="880">
        <v>3.07544687599052</v>
      </c>
      <c r="M137">
        <v>0</v>
      </c>
      <c r="N137" s="60">
        <v>0.34141633482033101</v>
      </c>
      <c r="O137" s="881">
        <v>244311.97190000102</v>
      </c>
      <c r="P137" s="60">
        <v>4.19222319799736E-2</v>
      </c>
      <c r="Q137" s="880">
        <v>3.0767126709180599</v>
      </c>
      <c r="R137" s="60">
        <v>0.55592062236262407</v>
      </c>
      <c r="S137" s="60">
        <v>0.33290020651664803</v>
      </c>
      <c r="T137" s="60">
        <v>0.42093193388756206</v>
      </c>
      <c r="U137" s="60">
        <v>0.42485095387183602</v>
      </c>
    </row>
    <row r="138" spans="1:21" x14ac:dyDescent="0.25">
      <c r="A138" s="519" t="s">
        <v>717</v>
      </c>
      <c r="B138" s="519" t="s">
        <v>720</v>
      </c>
      <c r="C138" s="519" t="s">
        <v>284</v>
      </c>
      <c r="D138" s="519" t="s">
        <v>111</v>
      </c>
      <c r="E138" s="519" t="s">
        <v>288</v>
      </c>
      <c r="F138" s="519" t="s">
        <v>16</v>
      </c>
      <c r="G138" s="519" t="s">
        <v>58</v>
      </c>
      <c r="H138" s="519" t="s">
        <v>152</v>
      </c>
      <c r="I138" s="881">
        <v>82933.7425000004</v>
      </c>
      <c r="J138" s="881">
        <v>2815.5589097500001</v>
      </c>
      <c r="K138" s="60">
        <v>3.2834773735309401E-2</v>
      </c>
      <c r="L138" s="880">
        <v>3.0726234750771302</v>
      </c>
      <c r="M138">
        <v>0</v>
      </c>
      <c r="N138" s="60">
        <v>0.326474003027174</v>
      </c>
      <c r="O138" s="881">
        <v>244311.97190000102</v>
      </c>
      <c r="P138" s="60">
        <v>4.19222319799736E-2</v>
      </c>
      <c r="Q138" s="880">
        <v>3.0767126709180599</v>
      </c>
      <c r="R138" s="60">
        <v>0.55592062236262407</v>
      </c>
      <c r="S138" s="60">
        <v>0.33290020651664803</v>
      </c>
      <c r="T138" s="60">
        <v>0.32837344474698105</v>
      </c>
      <c r="U138" s="60">
        <v>0.24331908187063803</v>
      </c>
    </row>
    <row r="139" spans="1:21" x14ac:dyDescent="0.25">
      <c r="A139" s="519" t="s">
        <v>721</v>
      </c>
      <c r="B139" s="519" t="s">
        <v>722</v>
      </c>
      <c r="C139" s="519" t="s">
        <v>284</v>
      </c>
      <c r="D139" s="519" t="s">
        <v>111</v>
      </c>
      <c r="E139" s="519" t="s">
        <v>288</v>
      </c>
      <c r="F139" s="519" t="s">
        <v>16</v>
      </c>
      <c r="G139" s="519" t="s">
        <v>59</v>
      </c>
      <c r="H139" s="519" t="s">
        <v>154</v>
      </c>
      <c r="I139" s="881">
        <v>109782.05660000001</v>
      </c>
      <c r="J139" s="881">
        <v>2900.70093245001</v>
      </c>
      <c r="K139" s="60">
        <v>2.5742189807652398E-2</v>
      </c>
      <c r="L139" s="880">
        <v>3.0343517937801798</v>
      </c>
      <c r="M139">
        <v>0</v>
      </c>
      <c r="N139" s="60">
        <v>0.47534704865421301</v>
      </c>
      <c r="O139" s="881">
        <v>309698.02780000103</v>
      </c>
      <c r="P139" s="60">
        <v>2.3502433589401701E-2</v>
      </c>
      <c r="Q139" s="880">
        <v>3.0377101306571901</v>
      </c>
      <c r="R139" s="60">
        <v>0.55592062236262407</v>
      </c>
      <c r="S139" s="60">
        <v>0.46111299614804802</v>
      </c>
      <c r="T139" s="60">
        <v>0.35287948072180703</v>
      </c>
      <c r="U139" s="60">
        <v>0.40036885302894903</v>
      </c>
    </row>
    <row r="140" spans="1:21" x14ac:dyDescent="0.25">
      <c r="A140" s="519" t="s">
        <v>724</v>
      </c>
      <c r="B140" s="519" t="s">
        <v>362</v>
      </c>
      <c r="C140" s="519" t="s">
        <v>284</v>
      </c>
      <c r="D140" s="519" t="s">
        <v>111</v>
      </c>
      <c r="E140" s="519" t="s">
        <v>288</v>
      </c>
      <c r="F140" s="519" t="s">
        <v>17</v>
      </c>
      <c r="G140" s="519" t="s">
        <v>56</v>
      </c>
      <c r="H140" s="519" t="s">
        <v>144</v>
      </c>
      <c r="I140" s="881">
        <v>80734.991000000402</v>
      </c>
      <c r="J140" s="881">
        <v>1128.32140637001</v>
      </c>
      <c r="K140" s="60">
        <v>1.3782992322238499E-2</v>
      </c>
      <c r="L140" s="880">
        <v>3.0314754319328698</v>
      </c>
      <c r="M140">
        <v>0</v>
      </c>
      <c r="N140" s="60">
        <v>0.46366982440116705</v>
      </c>
      <c r="O140" s="881">
        <v>303307.87190000201</v>
      </c>
      <c r="P140" s="60">
        <v>1.6957954735267698E-2</v>
      </c>
      <c r="Q140" s="880">
        <v>3.0713163492772102</v>
      </c>
      <c r="R140" s="60">
        <v>0.55592062236262407</v>
      </c>
      <c r="S140" s="60">
        <v>0.46701718129723002</v>
      </c>
      <c r="T140" s="60">
        <v>0.28298960751823404</v>
      </c>
      <c r="U140" s="60">
        <v>0.328655476437061</v>
      </c>
    </row>
    <row r="141" spans="1:21" x14ac:dyDescent="0.25">
      <c r="A141" s="519" t="s">
        <v>724</v>
      </c>
      <c r="B141" s="519" t="s">
        <v>363</v>
      </c>
      <c r="C141" s="519" t="s">
        <v>284</v>
      </c>
      <c r="D141" s="519" t="s">
        <v>111</v>
      </c>
      <c r="E141" s="519" t="s">
        <v>288</v>
      </c>
      <c r="F141" s="519" t="s">
        <v>17</v>
      </c>
      <c r="G141" s="519" t="s">
        <v>56</v>
      </c>
      <c r="H141" s="519" t="s">
        <v>146</v>
      </c>
      <c r="I141" s="881">
        <v>100284.106000001</v>
      </c>
      <c r="J141" s="881">
        <v>2095.3388826400101</v>
      </c>
      <c r="K141" s="60">
        <v>2.0466402069692299E-2</v>
      </c>
      <c r="L141" s="880">
        <v>3.0859491538933099</v>
      </c>
      <c r="M141">
        <v>0</v>
      </c>
      <c r="N141" s="60">
        <v>0.46843796563335605</v>
      </c>
      <c r="O141" s="881">
        <v>303307.87190000201</v>
      </c>
      <c r="P141" s="60">
        <v>1.6957954735267698E-2</v>
      </c>
      <c r="Q141" s="880">
        <v>3.0713163492772102</v>
      </c>
      <c r="R141" s="60">
        <v>0.55592062236262407</v>
      </c>
      <c r="S141" s="60">
        <v>0.46701718129723002</v>
      </c>
      <c r="T141" s="60">
        <v>0.31901244988779903</v>
      </c>
      <c r="U141" s="60">
        <v>0.32768614455148803</v>
      </c>
    </row>
    <row r="142" spans="1:21" x14ac:dyDescent="0.25">
      <c r="A142" s="519" t="s">
        <v>725</v>
      </c>
      <c r="B142" s="519" t="s">
        <v>727</v>
      </c>
      <c r="C142" s="519" t="s">
        <v>284</v>
      </c>
      <c r="D142" s="519" t="s">
        <v>111</v>
      </c>
      <c r="E142" s="519" t="s">
        <v>281</v>
      </c>
      <c r="F142" s="519" t="s">
        <v>70</v>
      </c>
      <c r="G142" s="519" t="s">
        <v>56</v>
      </c>
      <c r="H142" s="519" t="s">
        <v>145</v>
      </c>
      <c r="I142" s="881">
        <v>21935.131300000001</v>
      </c>
      <c r="J142" s="881">
        <v>674.11399379000102</v>
      </c>
      <c r="K142" s="60">
        <v>2.9815855639160001E-2</v>
      </c>
      <c r="L142" s="880">
        <v>3.0690634578181402</v>
      </c>
      <c r="M142">
        <v>0</v>
      </c>
      <c r="N142" s="60">
        <v>0</v>
      </c>
      <c r="O142" s="881">
        <v>73092.678100000005</v>
      </c>
      <c r="P142" s="60">
        <v>3.0163517869477598E-2</v>
      </c>
      <c r="Q142" s="880">
        <v>3.1251253455216101</v>
      </c>
      <c r="R142" s="60">
        <v>0.48909603966738602</v>
      </c>
      <c r="S142" s="60">
        <v>0</v>
      </c>
      <c r="T142" s="60">
        <v>0.351031225890161</v>
      </c>
      <c r="U142" s="60">
        <v>0.36889215241544304</v>
      </c>
    </row>
    <row r="143" spans="1:21" x14ac:dyDescent="0.25">
      <c r="A143" s="519" t="s">
        <v>729</v>
      </c>
      <c r="B143" s="519" t="s">
        <v>730</v>
      </c>
      <c r="C143" s="519" t="s">
        <v>284</v>
      </c>
      <c r="D143" s="519" t="s">
        <v>111</v>
      </c>
      <c r="E143" s="519" t="s">
        <v>281</v>
      </c>
      <c r="F143" s="519" t="s">
        <v>70</v>
      </c>
      <c r="G143" s="519" t="s">
        <v>57</v>
      </c>
      <c r="H143" s="519" t="s">
        <v>147</v>
      </c>
      <c r="I143" s="881">
        <v>50003.138799999899</v>
      </c>
      <c r="J143" s="881">
        <v>1117.7269561000001</v>
      </c>
      <c r="K143" s="60">
        <v>2.1864398021597002E-2</v>
      </c>
      <c r="L143" s="880">
        <v>3.03255888617884</v>
      </c>
      <c r="M143">
        <v>0</v>
      </c>
      <c r="N143" s="60">
        <v>0</v>
      </c>
      <c r="O143" s="881">
        <v>137565.72839999999</v>
      </c>
      <c r="P143" s="60">
        <v>3.79461251286069E-2</v>
      </c>
      <c r="Q143" s="880">
        <v>3.0563086629074001</v>
      </c>
      <c r="R143" s="60">
        <v>0.48909603966738602</v>
      </c>
      <c r="S143" s="60">
        <v>0</v>
      </c>
      <c r="T143" s="60">
        <v>0.34161441107806201</v>
      </c>
      <c r="U143" s="60">
        <v>0.19108215105214801</v>
      </c>
    </row>
    <row r="144" spans="1:21" x14ac:dyDescent="0.25">
      <c r="A144" s="519" t="s">
        <v>729</v>
      </c>
      <c r="B144" s="519" t="s">
        <v>732</v>
      </c>
      <c r="C144" s="519" t="s">
        <v>284</v>
      </c>
      <c r="D144" s="519" t="s">
        <v>111</v>
      </c>
      <c r="E144" s="519" t="s">
        <v>281</v>
      </c>
      <c r="F144" s="519" t="s">
        <v>70</v>
      </c>
      <c r="G144" s="519" t="s">
        <v>57</v>
      </c>
      <c r="H144" s="519" t="s">
        <v>149</v>
      </c>
      <c r="I144" s="881">
        <v>28792.473700000002</v>
      </c>
      <c r="J144" s="881">
        <v>2504.6363897599999</v>
      </c>
      <c r="K144" s="60">
        <v>8.0027720852714895E-2</v>
      </c>
      <c r="L144" s="880">
        <v>3.2233936362726299</v>
      </c>
      <c r="M144">
        <v>0</v>
      </c>
      <c r="N144" s="60">
        <v>0</v>
      </c>
      <c r="O144" s="881">
        <v>137565.72839999999</v>
      </c>
      <c r="P144" s="60">
        <v>3.79461251286069E-2</v>
      </c>
      <c r="Q144" s="880">
        <v>3.0563086629074001</v>
      </c>
      <c r="R144" s="60">
        <v>0.48909603966738602</v>
      </c>
      <c r="S144" s="60">
        <v>0</v>
      </c>
      <c r="T144" s="60">
        <v>0.27825367890746699</v>
      </c>
      <c r="U144" s="60">
        <v>0.43651391149775703</v>
      </c>
    </row>
    <row r="145" spans="1:21" x14ac:dyDescent="0.25">
      <c r="A145" s="519" t="s">
        <v>733</v>
      </c>
      <c r="B145" s="519" t="s">
        <v>734</v>
      </c>
      <c r="C145" s="519" t="s">
        <v>284</v>
      </c>
      <c r="D145" s="519" t="s">
        <v>111</v>
      </c>
      <c r="E145" s="519" t="s">
        <v>281</v>
      </c>
      <c r="F145" s="519" t="s">
        <v>70</v>
      </c>
      <c r="G145" s="519" t="s">
        <v>58</v>
      </c>
      <c r="H145" s="519" t="s">
        <v>150</v>
      </c>
      <c r="I145" s="881">
        <v>19741.053</v>
      </c>
      <c r="J145" s="881">
        <v>2500.2176856900001</v>
      </c>
      <c r="K145" s="60">
        <v>0.112413437209711</v>
      </c>
      <c r="L145" s="880">
        <v>3.0983375685433101</v>
      </c>
      <c r="M145">
        <v>0</v>
      </c>
      <c r="N145" s="60">
        <v>0</v>
      </c>
      <c r="O145" s="881">
        <v>70198.907699999996</v>
      </c>
      <c r="P145" s="60">
        <v>6.4867460942178004E-2</v>
      </c>
      <c r="Q145" s="880">
        <v>3.0318591277243199</v>
      </c>
      <c r="R145" s="60">
        <v>0.48909603966738602</v>
      </c>
      <c r="S145" s="60">
        <v>0</v>
      </c>
      <c r="T145" s="60">
        <v>0.28703517188634503</v>
      </c>
      <c r="U145" s="60">
        <v>0.43550556310009103</v>
      </c>
    </row>
    <row r="146" spans="1:21" x14ac:dyDescent="0.25">
      <c r="A146" s="519" t="s">
        <v>733</v>
      </c>
      <c r="B146" s="519" t="s">
        <v>736</v>
      </c>
      <c r="C146" s="519" t="s">
        <v>284</v>
      </c>
      <c r="D146" s="519" t="s">
        <v>111</v>
      </c>
      <c r="E146" s="519" t="s">
        <v>281</v>
      </c>
      <c r="F146" s="519" t="s">
        <v>70</v>
      </c>
      <c r="G146" s="519" t="s">
        <v>58</v>
      </c>
      <c r="H146" s="519" t="s">
        <v>152</v>
      </c>
      <c r="I146" s="881">
        <v>20080.124500000002</v>
      </c>
      <c r="J146" s="881">
        <v>1064.40525637</v>
      </c>
      <c r="K146" s="60">
        <v>5.0339509491779399E-2</v>
      </c>
      <c r="L146" s="880">
        <v>3.0100843349534099</v>
      </c>
      <c r="M146">
        <v>0</v>
      </c>
      <c r="N146" s="60">
        <v>0</v>
      </c>
      <c r="O146" s="881">
        <v>70198.907699999996</v>
      </c>
      <c r="P146" s="60">
        <v>6.4867460942178004E-2</v>
      </c>
      <c r="Q146" s="880">
        <v>3.0318591277243199</v>
      </c>
      <c r="R146" s="60">
        <v>0.48909603966738602</v>
      </c>
      <c r="S146" s="60">
        <v>0</v>
      </c>
      <c r="T146" s="60">
        <v>0.32826853422329805</v>
      </c>
      <c r="U146" s="60">
        <v>0.23756327134031402</v>
      </c>
    </row>
    <row r="147" spans="1:21" x14ac:dyDescent="0.25">
      <c r="A147" s="519" t="s">
        <v>737</v>
      </c>
      <c r="B147" s="519" t="s">
        <v>739</v>
      </c>
      <c r="C147" s="519" t="s">
        <v>284</v>
      </c>
      <c r="D147" s="519" t="s">
        <v>111</v>
      </c>
      <c r="E147" s="519" t="s">
        <v>281</v>
      </c>
      <c r="F147" s="519" t="s">
        <v>70</v>
      </c>
      <c r="G147" s="519" t="s">
        <v>59</v>
      </c>
      <c r="H147" s="519" t="s">
        <v>154</v>
      </c>
      <c r="I147" s="881">
        <v>11901.504300000001</v>
      </c>
      <c r="J147" s="881">
        <v>1382.5877001599999</v>
      </c>
      <c r="K147" s="60">
        <v>0.10407844963309101</v>
      </c>
      <c r="L147" s="880">
        <v>3.10030825120409</v>
      </c>
      <c r="M147">
        <v>0</v>
      </c>
      <c r="N147" s="60">
        <v>9.0019906139092012E-2</v>
      </c>
      <c r="O147" s="881">
        <v>42260.3987000001</v>
      </c>
      <c r="P147" s="60">
        <v>7.5614614905245001E-2</v>
      </c>
      <c r="Q147" s="880">
        <v>3.1061135445730499</v>
      </c>
      <c r="R147" s="60">
        <v>0.48909603966738602</v>
      </c>
      <c r="S147" s="60">
        <v>5.6362395369450202E-2</v>
      </c>
      <c r="T147" s="60">
        <v>0.33847451865261302</v>
      </c>
      <c r="U147" s="60">
        <v>0.43829464588062106</v>
      </c>
    </row>
    <row r="148" spans="1:21" x14ac:dyDescent="0.25">
      <c r="A148" s="519" t="s">
        <v>741</v>
      </c>
      <c r="B148" s="519" t="s">
        <v>742</v>
      </c>
      <c r="C148" s="519" t="s">
        <v>284</v>
      </c>
      <c r="D148" s="519" t="s">
        <v>111</v>
      </c>
      <c r="E148" s="519" t="s">
        <v>281</v>
      </c>
      <c r="F148" s="519" t="s">
        <v>16</v>
      </c>
      <c r="G148" s="519" t="s">
        <v>56</v>
      </c>
      <c r="H148" s="519" t="s">
        <v>144</v>
      </c>
      <c r="I148" s="881">
        <v>23210.047999999999</v>
      </c>
      <c r="J148" s="881">
        <v>1322.8606810799999</v>
      </c>
      <c r="K148" s="60">
        <v>5.3921885018885007E-2</v>
      </c>
      <c r="L148" s="880">
        <v>3.15102668636314</v>
      </c>
      <c r="M148">
        <v>0</v>
      </c>
      <c r="N148" s="60">
        <v>3.0707131669869801E-2</v>
      </c>
      <c r="O148" s="881">
        <v>88554.007300000099</v>
      </c>
      <c r="P148" s="60">
        <v>6.1223519031786196E-2</v>
      </c>
      <c r="Q148" s="880">
        <v>3.2141707615642598</v>
      </c>
      <c r="R148" s="60">
        <v>0.48909603966738602</v>
      </c>
      <c r="S148" s="60">
        <v>4.9082869680590897E-2</v>
      </c>
      <c r="T148" s="60">
        <v>0.27348299743224003</v>
      </c>
      <c r="U148" s="60">
        <v>0.33502729204124404</v>
      </c>
    </row>
    <row r="149" spans="1:21" x14ac:dyDescent="0.25">
      <c r="A149" s="519" t="s">
        <v>741</v>
      </c>
      <c r="B149" s="519" t="s">
        <v>744</v>
      </c>
      <c r="C149" s="519" t="s">
        <v>284</v>
      </c>
      <c r="D149" s="519" t="s">
        <v>111</v>
      </c>
      <c r="E149" s="519" t="s">
        <v>281</v>
      </c>
      <c r="F149" s="519" t="s">
        <v>16</v>
      </c>
      <c r="G149" s="519" t="s">
        <v>56</v>
      </c>
      <c r="H149" s="519" t="s">
        <v>146</v>
      </c>
      <c r="I149" s="881">
        <v>34949.057500000104</v>
      </c>
      <c r="J149" s="881">
        <v>1574.5617354200001</v>
      </c>
      <c r="K149" s="60">
        <v>4.3110780595725297E-2</v>
      </c>
      <c r="L149" s="880">
        <v>3.2483373500719099</v>
      </c>
      <c r="M149">
        <v>0</v>
      </c>
      <c r="N149" s="60">
        <v>4.52819221233648E-2</v>
      </c>
      <c r="O149" s="881">
        <v>88554.007300000099</v>
      </c>
      <c r="P149" s="60">
        <v>6.1223519031786196E-2</v>
      </c>
      <c r="Q149" s="880">
        <v>3.2141707615642598</v>
      </c>
      <c r="R149" s="60">
        <v>0.48909603966738602</v>
      </c>
      <c r="S149" s="60">
        <v>4.9082869680590897E-2</v>
      </c>
      <c r="T149" s="60">
        <v>0.37548577667759903</v>
      </c>
      <c r="U149" s="60">
        <v>0.29608055554331303</v>
      </c>
    </row>
    <row r="150" spans="1:21" x14ac:dyDescent="0.25">
      <c r="A150" s="519" t="s">
        <v>745</v>
      </c>
      <c r="B150" s="519" t="s">
        <v>747</v>
      </c>
      <c r="C150" s="519" t="s">
        <v>284</v>
      </c>
      <c r="D150" s="519" t="s">
        <v>111</v>
      </c>
      <c r="E150" s="519" t="s">
        <v>281</v>
      </c>
      <c r="F150" s="519" t="s">
        <v>16</v>
      </c>
      <c r="G150" s="519" t="s">
        <v>57</v>
      </c>
      <c r="H150" s="519" t="s">
        <v>148</v>
      </c>
      <c r="I150" s="881">
        <v>12359.925300000001</v>
      </c>
      <c r="J150" s="881">
        <v>2406.5219652000001</v>
      </c>
      <c r="K150" s="60">
        <v>0.162972306200655</v>
      </c>
      <c r="L150" s="880">
        <v>3.1661923192205701</v>
      </c>
      <c r="M150">
        <v>0</v>
      </c>
      <c r="N150" s="60">
        <v>5.8319082235877298E-2</v>
      </c>
      <c r="O150" s="881">
        <v>49553.635500000004</v>
      </c>
      <c r="P150" s="60">
        <v>0.10606186958301901</v>
      </c>
      <c r="Q150" s="880">
        <v>3.1883154011663599</v>
      </c>
      <c r="R150" s="60">
        <v>0.48909603966738602</v>
      </c>
      <c r="S150" s="60">
        <v>6.7485698400473595E-2</v>
      </c>
      <c r="T150" s="60">
        <v>0.38013191001447205</v>
      </c>
      <c r="U150" s="60">
        <v>0.37240393745009504</v>
      </c>
    </row>
    <row r="151" spans="1:21" x14ac:dyDescent="0.25">
      <c r="A151" s="519" t="s">
        <v>749</v>
      </c>
      <c r="B151" s="519" t="s">
        <v>751</v>
      </c>
      <c r="C151" s="519" t="s">
        <v>284</v>
      </c>
      <c r="D151" s="519" t="s">
        <v>111</v>
      </c>
      <c r="E151" s="519" t="s">
        <v>281</v>
      </c>
      <c r="F151" s="519" t="s">
        <v>16</v>
      </c>
      <c r="G151" s="519" t="s">
        <v>58</v>
      </c>
      <c r="H151" s="519" t="s">
        <v>151</v>
      </c>
      <c r="I151" s="881">
        <v>14868.8449</v>
      </c>
      <c r="J151" s="881">
        <v>1829.3168482900001</v>
      </c>
      <c r="K151" s="60">
        <v>0.10955198996544201</v>
      </c>
      <c r="L151" s="880">
        <v>3.1405195599558402</v>
      </c>
      <c r="M151">
        <v>0</v>
      </c>
      <c r="N151" s="60">
        <v>2.5636207961252003E-2</v>
      </c>
      <c r="O151" s="881">
        <v>47417.445299999905</v>
      </c>
      <c r="P151" s="60">
        <v>9.0481138718520399E-2</v>
      </c>
      <c r="Q151" s="880">
        <v>3.1473273186333701</v>
      </c>
      <c r="R151" s="60">
        <v>0.48909603966738602</v>
      </c>
      <c r="S151" s="60">
        <v>2.3890302247050899E-2</v>
      </c>
      <c r="T151" s="60">
        <v>0.38469629389035703</v>
      </c>
      <c r="U151" s="60">
        <v>0.32693116555959401</v>
      </c>
    </row>
    <row r="152" spans="1:21" x14ac:dyDescent="0.25">
      <c r="A152" s="519" t="s">
        <v>753</v>
      </c>
      <c r="B152" s="519" t="s">
        <v>301</v>
      </c>
      <c r="C152" s="519" t="s">
        <v>284</v>
      </c>
      <c r="D152" s="519" t="s">
        <v>111</v>
      </c>
      <c r="E152" s="519" t="s">
        <v>281</v>
      </c>
      <c r="F152" s="519" t="s">
        <v>16</v>
      </c>
      <c r="G152" s="519" t="s">
        <v>59</v>
      </c>
      <c r="H152" s="519" t="s">
        <v>153</v>
      </c>
      <c r="I152" s="881">
        <v>12555.1358</v>
      </c>
      <c r="J152" s="881">
        <v>1550.1086423700001</v>
      </c>
      <c r="K152" s="60">
        <v>0.10989590777411201</v>
      </c>
      <c r="L152" s="880">
        <v>3.2605831453893099</v>
      </c>
      <c r="M152">
        <v>0</v>
      </c>
      <c r="N152" s="60">
        <v>3.96013239458549E-3</v>
      </c>
      <c r="O152" s="881">
        <v>41233.453399999999</v>
      </c>
      <c r="P152" s="60">
        <v>9.9103128264133894E-2</v>
      </c>
      <c r="Q152" s="880">
        <v>3.1689259006633801</v>
      </c>
      <c r="R152" s="60">
        <v>0.48909603966738602</v>
      </c>
      <c r="S152" s="60">
        <v>7.1352112360300209E-3</v>
      </c>
      <c r="T152" s="60">
        <v>0.37462411558802705</v>
      </c>
      <c r="U152" s="60">
        <v>0.38274331179172305</v>
      </c>
    </row>
    <row r="153" spans="1:21" x14ac:dyDescent="0.25">
      <c r="A153" s="519" t="s">
        <v>753</v>
      </c>
      <c r="B153" s="519" t="s">
        <v>755</v>
      </c>
      <c r="C153" s="519" t="s">
        <v>284</v>
      </c>
      <c r="D153" s="519" t="s">
        <v>111</v>
      </c>
      <c r="E153" s="519" t="s">
        <v>281</v>
      </c>
      <c r="F153" s="519" t="s">
        <v>16</v>
      </c>
      <c r="G153" s="519" t="s">
        <v>59</v>
      </c>
      <c r="H153" s="519" t="s">
        <v>155</v>
      </c>
      <c r="I153" s="881">
        <v>12319.280500000001</v>
      </c>
      <c r="J153" s="881">
        <v>865.17087303000005</v>
      </c>
      <c r="K153" s="60">
        <v>6.5620544120613605E-2</v>
      </c>
      <c r="L153" s="880">
        <v>3.0476615951433002</v>
      </c>
      <c r="M153">
        <v>0</v>
      </c>
      <c r="N153" s="60">
        <v>1.45479924740735E-2</v>
      </c>
      <c r="O153" s="881">
        <v>41233.453399999999</v>
      </c>
      <c r="P153" s="60">
        <v>9.9103128264133894E-2</v>
      </c>
      <c r="Q153" s="880">
        <v>3.1689259006633801</v>
      </c>
      <c r="R153" s="60">
        <v>0.48909603966738602</v>
      </c>
      <c r="S153" s="60">
        <v>7.1352112360300209E-3</v>
      </c>
      <c r="T153" s="60">
        <v>0.28690136575935998</v>
      </c>
      <c r="U153" s="60">
        <v>0.178962042327656</v>
      </c>
    </row>
    <row r="154" spans="1:21" x14ac:dyDescent="0.25">
      <c r="A154" s="519" t="s">
        <v>756</v>
      </c>
      <c r="B154" s="519" t="s">
        <v>1771</v>
      </c>
      <c r="C154" s="519" t="s">
        <v>284</v>
      </c>
      <c r="D154" s="519" t="s">
        <v>111</v>
      </c>
      <c r="E154" s="519" t="s">
        <v>281</v>
      </c>
      <c r="F154" s="519" t="s">
        <v>17</v>
      </c>
      <c r="G154" s="519" t="s">
        <v>56</v>
      </c>
      <c r="H154" s="519" t="s">
        <v>145</v>
      </c>
      <c r="I154" s="881">
        <v>22986.761399999999</v>
      </c>
      <c r="J154" s="881">
        <v>641.41766776000202</v>
      </c>
      <c r="K154" s="60">
        <v>2.7146301283758098E-2</v>
      </c>
      <c r="L154" s="880">
        <v>3.0902647928371101</v>
      </c>
      <c r="M154">
        <v>0</v>
      </c>
      <c r="N154" s="60">
        <v>6.2233473219937907E-3</v>
      </c>
      <c r="O154" s="881">
        <v>52911.9889999999</v>
      </c>
      <c r="P154" s="60">
        <v>5.9020024911098097E-2</v>
      </c>
      <c r="Q154" s="880">
        <v>3.1031558158572401</v>
      </c>
      <c r="R154" s="60">
        <v>0.48909603966738602</v>
      </c>
      <c r="S154" s="60">
        <v>9.3703829580097705E-3</v>
      </c>
      <c r="T154" s="60">
        <v>0.351031225890161</v>
      </c>
      <c r="U154" s="60">
        <v>0.36889215241544304</v>
      </c>
    </row>
    <row r="155" spans="1:21" x14ac:dyDescent="0.25">
      <c r="A155" s="519" t="s">
        <v>1808</v>
      </c>
      <c r="B155" s="519" t="s">
        <v>1809</v>
      </c>
      <c r="C155" s="519" t="s">
        <v>284</v>
      </c>
      <c r="D155" s="519" t="s">
        <v>111</v>
      </c>
      <c r="E155" s="519" t="s">
        <v>281</v>
      </c>
      <c r="F155" s="519" t="s">
        <v>17</v>
      </c>
      <c r="G155" s="519" t="s">
        <v>57</v>
      </c>
      <c r="H155" s="519" t="s">
        <v>149</v>
      </c>
      <c r="I155" s="881">
        <v>17376.406200000001</v>
      </c>
      <c r="J155" s="881">
        <v>1757.9820664599999</v>
      </c>
      <c r="K155" s="60">
        <v>9.1875530170018802E-2</v>
      </c>
      <c r="L155" s="880">
        <v>3.1321159942786201</v>
      </c>
      <c r="M155">
        <v>0</v>
      </c>
      <c r="N155" s="60">
        <v>2.6983945621621101E-3</v>
      </c>
      <c r="O155" s="881">
        <v>17376.406200000001</v>
      </c>
      <c r="P155" s="60">
        <v>9.1875530170018802E-2</v>
      </c>
      <c r="Q155" s="880">
        <v>3.1321159942786201</v>
      </c>
      <c r="R155" s="60">
        <v>0.48909603966738602</v>
      </c>
      <c r="S155" s="60">
        <v>2.6983945621621101E-3</v>
      </c>
      <c r="T155" s="60">
        <v>0.27825367890746699</v>
      </c>
      <c r="U155" s="60">
        <v>0.43651391149775703</v>
      </c>
    </row>
    <row r="156" spans="1:21" x14ac:dyDescent="0.25">
      <c r="A156" s="519" t="s">
        <v>1810</v>
      </c>
      <c r="B156" s="519" t="s">
        <v>1811</v>
      </c>
      <c r="C156" s="519" t="s">
        <v>284</v>
      </c>
      <c r="D156" s="519" t="s">
        <v>111</v>
      </c>
      <c r="E156" s="519" t="s">
        <v>1812</v>
      </c>
      <c r="F156" s="519" t="s">
        <v>70</v>
      </c>
      <c r="G156" s="519" t="s">
        <v>56</v>
      </c>
      <c r="H156" s="519" t="s">
        <v>144</v>
      </c>
      <c r="I156" s="881">
        <v>23783.866100000003</v>
      </c>
      <c r="J156" s="881">
        <v>260.57653936000003</v>
      </c>
      <c r="K156" s="60">
        <v>1.0837287570702299E-2</v>
      </c>
      <c r="L156" s="880">
        <v>2.9192854786805502</v>
      </c>
      <c r="M156">
        <v>0</v>
      </c>
      <c r="N156" s="60">
        <v>0.6064480072060271</v>
      </c>
      <c r="O156" s="881">
        <v>114032.50840000001</v>
      </c>
      <c r="P156" s="60">
        <v>1.08482866718119E-2</v>
      </c>
      <c r="Q156" s="880">
        <v>2.9343596383101098</v>
      </c>
      <c r="R156" s="60">
        <v>0.287613937730893</v>
      </c>
      <c r="S156" s="60">
        <v>0.47373940166697204</v>
      </c>
      <c r="T156" s="60">
        <v>0.25971187502104304</v>
      </c>
      <c r="U156" s="60">
        <v>0.33465455329980803</v>
      </c>
    </row>
    <row r="157" spans="1:21" x14ac:dyDescent="0.25">
      <c r="A157" s="519" t="s">
        <v>1810</v>
      </c>
      <c r="B157" s="519" t="s">
        <v>1813</v>
      </c>
      <c r="C157" s="519" t="s">
        <v>284</v>
      </c>
      <c r="D157" s="519" t="s">
        <v>111</v>
      </c>
      <c r="E157" s="519" t="s">
        <v>1812</v>
      </c>
      <c r="F157" s="519" t="s">
        <v>70</v>
      </c>
      <c r="G157" s="519" t="s">
        <v>56</v>
      </c>
      <c r="H157" s="519" t="s">
        <v>146</v>
      </c>
      <c r="I157" s="881">
        <v>30961.2747000001</v>
      </c>
      <c r="J157" s="881">
        <v>227.12144122000001</v>
      </c>
      <c r="K157" s="60">
        <v>7.2822417732416305E-3</v>
      </c>
      <c r="L157" s="880">
        <v>2.9090631454656601</v>
      </c>
      <c r="M157">
        <v>0</v>
      </c>
      <c r="N157" s="60">
        <v>0.56191543043930203</v>
      </c>
      <c r="O157" s="881">
        <v>114032.50840000001</v>
      </c>
      <c r="P157" s="60">
        <v>1.08482866718119E-2</v>
      </c>
      <c r="Q157" s="880">
        <v>2.9343596383101098</v>
      </c>
      <c r="R157" s="60">
        <v>0.287613937730893</v>
      </c>
      <c r="S157" s="60">
        <v>0.47373940166697204</v>
      </c>
      <c r="T157" s="60">
        <v>0.35298869638568903</v>
      </c>
      <c r="U157" s="60">
        <v>0.38228342931211601</v>
      </c>
    </row>
    <row r="158" spans="1:21" x14ac:dyDescent="0.25">
      <c r="A158" s="519" t="s">
        <v>1814</v>
      </c>
      <c r="B158" s="519" t="s">
        <v>1815</v>
      </c>
      <c r="C158" s="519" t="s">
        <v>284</v>
      </c>
      <c r="D158" s="519" t="s">
        <v>111</v>
      </c>
      <c r="E158" s="519" t="s">
        <v>1812</v>
      </c>
      <c r="F158" s="519" t="s">
        <v>70</v>
      </c>
      <c r="G158" s="519" t="s">
        <v>57</v>
      </c>
      <c r="H158" s="519" t="s">
        <v>148</v>
      </c>
      <c r="I158" s="881">
        <v>52705.639800000004</v>
      </c>
      <c r="J158" s="881">
        <v>277.31105664999899</v>
      </c>
      <c r="K158" s="60">
        <v>5.2339677606913102E-3</v>
      </c>
      <c r="L158" s="880">
        <v>2.9506026852095499</v>
      </c>
      <c r="M158">
        <v>0</v>
      </c>
      <c r="N158" s="60">
        <v>0.43768852607686104</v>
      </c>
      <c r="O158" s="881">
        <v>142575.72779999999</v>
      </c>
      <c r="P158" s="60">
        <v>2.36751337730556E-2</v>
      </c>
      <c r="Q158" s="880">
        <v>2.9458604984290799</v>
      </c>
      <c r="R158" s="60">
        <v>0.287613937730893</v>
      </c>
      <c r="S158" s="60">
        <v>0.43494211361830404</v>
      </c>
      <c r="T158" s="60">
        <v>0.37138420087160701</v>
      </c>
      <c r="U158" s="60">
        <v>8.9292845611109603E-2</v>
      </c>
    </row>
    <row r="159" spans="1:21" x14ac:dyDescent="0.25">
      <c r="A159" s="519" t="s">
        <v>1816</v>
      </c>
      <c r="B159" s="519" t="s">
        <v>1817</v>
      </c>
      <c r="C159" s="519" t="s">
        <v>284</v>
      </c>
      <c r="D159" s="519" t="s">
        <v>111</v>
      </c>
      <c r="E159" s="519" t="s">
        <v>1812</v>
      </c>
      <c r="F159" s="519" t="s">
        <v>70</v>
      </c>
      <c r="G159" s="519" t="s">
        <v>58</v>
      </c>
      <c r="H159" s="519" t="s">
        <v>150</v>
      </c>
      <c r="I159" s="881">
        <v>55102.799800000001</v>
      </c>
      <c r="J159" s="881">
        <v>871.50495768000394</v>
      </c>
      <c r="K159" s="60">
        <v>1.5569732602358499E-2</v>
      </c>
      <c r="L159" s="880">
        <v>2.9397540077165201</v>
      </c>
      <c r="M159">
        <v>0</v>
      </c>
      <c r="N159" s="60">
        <v>0.64487048442137607</v>
      </c>
      <c r="O159" s="881">
        <v>157295.93040000001</v>
      </c>
      <c r="P159" s="60">
        <v>1.15785221760912E-2</v>
      </c>
      <c r="Q159" s="880">
        <v>2.9459032833816301</v>
      </c>
      <c r="R159" s="60">
        <v>0.287613937730893</v>
      </c>
      <c r="S159" s="60">
        <v>0.6082033963416531</v>
      </c>
      <c r="T159" s="60">
        <v>0.35211585813312701</v>
      </c>
      <c r="U159" s="60">
        <v>0.51029659499258606</v>
      </c>
    </row>
    <row r="160" spans="1:21" x14ac:dyDescent="0.25">
      <c r="A160" s="519" t="s">
        <v>1816</v>
      </c>
      <c r="B160" s="519" t="s">
        <v>1818</v>
      </c>
      <c r="C160" s="519" t="s">
        <v>284</v>
      </c>
      <c r="D160" s="519" t="s">
        <v>111</v>
      </c>
      <c r="E160" s="519" t="s">
        <v>1812</v>
      </c>
      <c r="F160" s="519" t="s">
        <v>70</v>
      </c>
      <c r="G160" s="519" t="s">
        <v>58</v>
      </c>
      <c r="H160" s="519" t="s">
        <v>152</v>
      </c>
      <c r="I160" s="881">
        <v>54973.627500000002</v>
      </c>
      <c r="J160" s="881">
        <v>528.746785829999</v>
      </c>
      <c r="K160" s="60">
        <v>9.5265615684658814E-3</v>
      </c>
      <c r="L160" s="880">
        <v>2.95761164533259</v>
      </c>
      <c r="M160">
        <v>0</v>
      </c>
      <c r="N160" s="60">
        <v>0.57790200946808701</v>
      </c>
      <c r="O160" s="881">
        <v>157295.93040000001</v>
      </c>
      <c r="P160" s="60">
        <v>1.15785221760912E-2</v>
      </c>
      <c r="Q160" s="880">
        <v>2.9459032833816301</v>
      </c>
      <c r="R160" s="60">
        <v>0.287613937730893</v>
      </c>
      <c r="S160" s="60">
        <v>0.6082033963416531</v>
      </c>
      <c r="T160" s="60">
        <v>0.34876008455785901</v>
      </c>
      <c r="U160" s="60">
        <v>0.27618831962985102</v>
      </c>
    </row>
    <row r="161" spans="1:21" x14ac:dyDescent="0.25">
      <c r="A161" s="519" t="s">
        <v>1819</v>
      </c>
      <c r="B161" s="519" t="s">
        <v>1820</v>
      </c>
      <c r="C161" s="519" t="s">
        <v>284</v>
      </c>
      <c r="D161" s="519" t="s">
        <v>111</v>
      </c>
      <c r="E161" s="519" t="s">
        <v>1812</v>
      </c>
      <c r="F161" s="519" t="s">
        <v>70</v>
      </c>
      <c r="G161" s="519" t="s">
        <v>59</v>
      </c>
      <c r="H161" s="519" t="s">
        <v>154</v>
      </c>
      <c r="I161" s="881">
        <v>40215.540000000103</v>
      </c>
      <c r="J161" s="881">
        <v>648.07517190999999</v>
      </c>
      <c r="K161" s="60">
        <v>1.58594673815226E-2</v>
      </c>
      <c r="L161" s="880">
        <v>2.9260944018252801</v>
      </c>
      <c r="M161">
        <v>0</v>
      </c>
      <c r="N161" s="60">
        <v>0.80352568683648107</v>
      </c>
      <c r="O161" s="881">
        <v>138791.8204</v>
      </c>
      <c r="P161" s="60">
        <v>1.15659265025788E-2</v>
      </c>
      <c r="Q161" s="880">
        <v>2.92993519318969</v>
      </c>
      <c r="R161" s="60">
        <v>0.287613937730893</v>
      </c>
      <c r="S161" s="60">
        <v>0.77762885657777603</v>
      </c>
      <c r="T161" s="60">
        <v>0.29984894728390304</v>
      </c>
      <c r="U161" s="60">
        <v>0.33226754903343103</v>
      </c>
    </row>
    <row r="162" spans="1:21" x14ac:dyDescent="0.25">
      <c r="A162" s="519" t="s">
        <v>1821</v>
      </c>
      <c r="B162" s="519" t="s">
        <v>1822</v>
      </c>
      <c r="C162" s="519" t="s">
        <v>284</v>
      </c>
      <c r="D162" s="519" t="s">
        <v>111</v>
      </c>
      <c r="E162" s="519" t="s">
        <v>1812</v>
      </c>
      <c r="F162" s="519" t="s">
        <v>16</v>
      </c>
      <c r="G162" s="519" t="s">
        <v>56</v>
      </c>
      <c r="H162" s="519" t="s">
        <v>145</v>
      </c>
      <c r="I162" s="881">
        <v>47108.106899999999</v>
      </c>
      <c r="J162" s="881">
        <v>438.24955389999997</v>
      </c>
      <c r="K162" s="60">
        <v>9.2173109904839113E-3</v>
      </c>
      <c r="L162" s="880">
        <v>2.9693050185302199</v>
      </c>
      <c r="M162">
        <v>0</v>
      </c>
      <c r="N162" s="60">
        <v>0.61097249484249705</v>
      </c>
      <c r="O162" s="881">
        <v>144883.87390000001</v>
      </c>
      <c r="P162" s="60">
        <v>1.0756261693312001E-2</v>
      </c>
      <c r="Q162" s="880">
        <v>2.94925146742619</v>
      </c>
      <c r="R162" s="60">
        <v>0.287613937730893</v>
      </c>
      <c r="S162" s="60">
        <v>0.6473993832104481</v>
      </c>
      <c r="T162" s="60">
        <v>0.38729942859326705</v>
      </c>
      <c r="U162" s="60">
        <v>0.28306201738807601</v>
      </c>
    </row>
    <row r="163" spans="1:21" x14ac:dyDescent="0.25">
      <c r="A163" s="519" t="s">
        <v>1823</v>
      </c>
      <c r="B163" s="519" t="s">
        <v>1824</v>
      </c>
      <c r="C163" s="519" t="s">
        <v>284</v>
      </c>
      <c r="D163" s="519" t="s">
        <v>111</v>
      </c>
      <c r="E163" s="519" t="s">
        <v>1812</v>
      </c>
      <c r="F163" s="519" t="s">
        <v>16</v>
      </c>
      <c r="G163" s="519" t="s">
        <v>57</v>
      </c>
      <c r="H163" s="519" t="s">
        <v>147</v>
      </c>
      <c r="I163" s="881">
        <v>68027.6660999999</v>
      </c>
      <c r="J163" s="881">
        <v>459.91738802999998</v>
      </c>
      <c r="K163" s="60">
        <v>6.7153396952657901E-3</v>
      </c>
      <c r="L163" s="880">
        <v>2.9711890708347299</v>
      </c>
      <c r="M163">
        <v>0</v>
      </c>
      <c r="N163" s="60">
        <v>0.71144808979416108</v>
      </c>
      <c r="O163" s="881">
        <v>237827.36599999902</v>
      </c>
      <c r="P163" s="60">
        <v>3.1090866447739299E-2</v>
      </c>
      <c r="Q163" s="880">
        <v>2.9843403574385601</v>
      </c>
      <c r="R163" s="60">
        <v>0.287613937730893</v>
      </c>
      <c r="S163" s="60">
        <v>0.71328484880920007</v>
      </c>
      <c r="T163" s="60">
        <v>0.28734871293520503</v>
      </c>
      <c r="U163" s="60">
        <v>6.7854555089730303E-2</v>
      </c>
    </row>
    <row r="164" spans="1:21" x14ac:dyDescent="0.25">
      <c r="A164" s="519" t="s">
        <v>1823</v>
      </c>
      <c r="B164" s="519" t="s">
        <v>1825</v>
      </c>
      <c r="C164" s="519" t="s">
        <v>284</v>
      </c>
      <c r="D164" s="519" t="s">
        <v>111</v>
      </c>
      <c r="E164" s="519" t="s">
        <v>1812</v>
      </c>
      <c r="F164" s="519" t="s">
        <v>16</v>
      </c>
      <c r="G164" s="519" t="s">
        <v>57</v>
      </c>
      <c r="H164" s="519" t="s">
        <v>149</v>
      </c>
      <c r="I164" s="881">
        <v>81229.6406999998</v>
      </c>
      <c r="J164" s="881">
        <v>6458.7655449399799</v>
      </c>
      <c r="K164" s="60">
        <v>7.3655866511004003E-2</v>
      </c>
      <c r="L164" s="880">
        <v>2.9784281113337601</v>
      </c>
      <c r="M164">
        <v>0</v>
      </c>
      <c r="N164" s="60">
        <v>0.639145563769558</v>
      </c>
      <c r="O164" s="881">
        <v>237827.36599999902</v>
      </c>
      <c r="P164" s="60">
        <v>3.1090866447739299E-2</v>
      </c>
      <c r="Q164" s="880">
        <v>2.9843403574385601</v>
      </c>
      <c r="R164" s="60">
        <v>0.287613937730893</v>
      </c>
      <c r="S164" s="60">
        <v>0.71328484880920007</v>
      </c>
      <c r="T164" s="60">
        <v>0.34126708619318802</v>
      </c>
      <c r="U164" s="60">
        <v>0.84285259929916001</v>
      </c>
    </row>
    <row r="165" spans="1:21" x14ac:dyDescent="0.25">
      <c r="A165" s="519" t="s">
        <v>1826</v>
      </c>
      <c r="B165" s="519" t="s">
        <v>1827</v>
      </c>
      <c r="C165" s="519" t="s">
        <v>284</v>
      </c>
      <c r="D165" s="519" t="s">
        <v>111</v>
      </c>
      <c r="E165" s="519" t="s">
        <v>1812</v>
      </c>
      <c r="F165" s="519" t="s">
        <v>16</v>
      </c>
      <c r="G165" s="519" t="s">
        <v>58</v>
      </c>
      <c r="H165" s="519" t="s">
        <v>151</v>
      </c>
      <c r="I165" s="881">
        <v>82577.943699999596</v>
      </c>
      <c r="J165" s="881">
        <v>637.83012209000003</v>
      </c>
      <c r="K165" s="60">
        <v>7.6647742704843407E-3</v>
      </c>
      <c r="L165" s="880">
        <v>2.9994093764490501</v>
      </c>
      <c r="M165">
        <v>0</v>
      </c>
      <c r="N165" s="60">
        <v>0.82094440552169001</v>
      </c>
      <c r="O165" s="881">
        <v>276629.20409999904</v>
      </c>
      <c r="P165" s="60">
        <v>1.1493427774625399E-2</v>
      </c>
      <c r="Q165" s="880">
        <v>3.0036983460164599</v>
      </c>
      <c r="R165" s="60">
        <v>0.287613937730893</v>
      </c>
      <c r="S165" s="60">
        <v>0.86268122223903709</v>
      </c>
      <c r="T165" s="60">
        <v>0.29912405730901503</v>
      </c>
      <c r="U165" s="60">
        <v>0.21351508537756303</v>
      </c>
    </row>
    <row r="166" spans="1:21" x14ac:dyDescent="0.25">
      <c r="A166" s="519" t="s">
        <v>1828</v>
      </c>
      <c r="B166" s="519" t="s">
        <v>1829</v>
      </c>
      <c r="C166" s="519" t="s">
        <v>284</v>
      </c>
      <c r="D166" s="519" t="s">
        <v>111</v>
      </c>
      <c r="E166" s="519" t="s">
        <v>1812</v>
      </c>
      <c r="F166" s="519" t="s">
        <v>16</v>
      </c>
      <c r="G166" s="519" t="s">
        <v>59</v>
      </c>
      <c r="H166" s="519" t="s">
        <v>153</v>
      </c>
      <c r="I166" s="881">
        <v>64561.693099999706</v>
      </c>
      <c r="J166" s="881">
        <v>772.73089889000198</v>
      </c>
      <c r="K166" s="60">
        <v>1.1827316314951099E-2</v>
      </c>
      <c r="L166" s="880">
        <v>3.0088313083475899</v>
      </c>
      <c r="M166">
        <v>0</v>
      </c>
      <c r="N166" s="60">
        <v>0.86292912600212301</v>
      </c>
      <c r="O166" s="881">
        <v>190002.00260000001</v>
      </c>
      <c r="P166" s="60">
        <v>1.1663073340068499E-2</v>
      </c>
      <c r="Q166" s="880">
        <v>3.0107636222164498</v>
      </c>
      <c r="R166" s="60">
        <v>0.287613937730893</v>
      </c>
      <c r="S166" s="60">
        <v>0.8537138929082021</v>
      </c>
      <c r="T166" s="60">
        <v>0.31492578192382803</v>
      </c>
      <c r="U166" s="60">
        <v>0.31431360344071901</v>
      </c>
    </row>
    <row r="167" spans="1:21" x14ac:dyDescent="0.25">
      <c r="A167" s="519" t="s">
        <v>1828</v>
      </c>
      <c r="B167" s="519" t="s">
        <v>1830</v>
      </c>
      <c r="C167" s="519" t="s">
        <v>284</v>
      </c>
      <c r="D167" s="519" t="s">
        <v>111</v>
      </c>
      <c r="E167" s="519" t="s">
        <v>1812</v>
      </c>
      <c r="F167" s="519" t="s">
        <v>16</v>
      </c>
      <c r="G167" s="519" t="s">
        <v>59</v>
      </c>
      <c r="H167" s="519" t="s">
        <v>155</v>
      </c>
      <c r="I167" s="881">
        <v>67067.367800000007</v>
      </c>
      <c r="J167" s="881">
        <v>832.89012766999997</v>
      </c>
      <c r="K167" s="60">
        <v>1.2266376492372499E-2</v>
      </c>
      <c r="L167" s="880">
        <v>3.0263834357658399</v>
      </c>
      <c r="M167">
        <v>0</v>
      </c>
      <c r="N167" s="60">
        <v>0.81701927326869106</v>
      </c>
      <c r="O167" s="881">
        <v>190002.00260000001</v>
      </c>
      <c r="P167" s="60">
        <v>1.1663073340068499E-2</v>
      </c>
      <c r="Q167" s="880">
        <v>3.0107636222164498</v>
      </c>
      <c r="R167" s="60">
        <v>0.287613937730893</v>
      </c>
      <c r="S167" s="60">
        <v>0.8537138929082021</v>
      </c>
      <c r="T167" s="60">
        <v>0.38522527079226804</v>
      </c>
      <c r="U167" s="60">
        <v>0.35341884752585101</v>
      </c>
    </row>
    <row r="168" spans="1:21" x14ac:dyDescent="0.25">
      <c r="A168" s="519" t="s">
        <v>1831</v>
      </c>
      <c r="B168" s="519" t="s">
        <v>1832</v>
      </c>
      <c r="C168" s="519" t="s">
        <v>284</v>
      </c>
      <c r="D168" s="519" t="s">
        <v>111</v>
      </c>
      <c r="E168" s="519" t="s">
        <v>1812</v>
      </c>
      <c r="F168" s="519" t="s">
        <v>17</v>
      </c>
      <c r="G168" s="519" t="s">
        <v>56</v>
      </c>
      <c r="H168" s="519" t="s">
        <v>144</v>
      </c>
      <c r="I168" s="881">
        <v>72060.155499999804</v>
      </c>
      <c r="J168" s="881">
        <v>1742.2018697600099</v>
      </c>
      <c r="K168" s="60">
        <v>2.3606317356928599E-2</v>
      </c>
      <c r="L168" s="880">
        <v>3.0186912265443802</v>
      </c>
      <c r="M168">
        <v>0</v>
      </c>
      <c r="N168" s="60">
        <v>0.82527509949655908</v>
      </c>
      <c r="O168" s="881">
        <v>271653.98529999901</v>
      </c>
      <c r="P168" s="60">
        <v>1.5971405703106199E-2</v>
      </c>
      <c r="Q168" s="880">
        <v>3.0275607904406301</v>
      </c>
      <c r="R168" s="60">
        <v>0.287613937730893</v>
      </c>
      <c r="S168" s="60">
        <v>0.76831835789011005</v>
      </c>
      <c r="T168" s="60">
        <v>0.25971187502104304</v>
      </c>
      <c r="U168" s="60">
        <v>0.33465455329980803</v>
      </c>
    </row>
    <row r="169" spans="1:21" x14ac:dyDescent="0.25">
      <c r="A169" s="519" t="s">
        <v>1831</v>
      </c>
      <c r="B169" s="519" t="s">
        <v>1833</v>
      </c>
      <c r="C169" s="519" t="s">
        <v>284</v>
      </c>
      <c r="D169" s="519" t="s">
        <v>111</v>
      </c>
      <c r="E169" s="519" t="s">
        <v>1812</v>
      </c>
      <c r="F169" s="519" t="s">
        <v>17</v>
      </c>
      <c r="G169" s="519" t="s">
        <v>56</v>
      </c>
      <c r="H169" s="519" t="s">
        <v>146</v>
      </c>
      <c r="I169" s="881">
        <v>100499.7041</v>
      </c>
      <c r="J169" s="881">
        <v>1820.1096491999999</v>
      </c>
      <c r="K169" s="60">
        <v>1.77884378646481E-2</v>
      </c>
      <c r="L169" s="880">
        <v>3.0367302448290898</v>
      </c>
      <c r="M169">
        <v>0</v>
      </c>
      <c r="N169" s="60">
        <v>0.76932131385250502</v>
      </c>
      <c r="O169" s="881">
        <v>271653.98529999901</v>
      </c>
      <c r="P169" s="60">
        <v>1.5971405703106199E-2</v>
      </c>
      <c r="Q169" s="880">
        <v>3.0275607904406301</v>
      </c>
      <c r="R169" s="60">
        <v>0.287613937730893</v>
      </c>
      <c r="S169" s="60">
        <v>0.76831835789011005</v>
      </c>
      <c r="T169" s="60">
        <v>0.35298869638568903</v>
      </c>
      <c r="U169" s="60">
        <v>0.38228342931211601</v>
      </c>
    </row>
    <row r="170" spans="1:21" x14ac:dyDescent="0.25">
      <c r="A170" s="519" t="s">
        <v>757</v>
      </c>
      <c r="B170" s="519" t="s">
        <v>759</v>
      </c>
      <c r="C170" s="519" t="s">
        <v>284</v>
      </c>
      <c r="D170" s="519" t="s">
        <v>111</v>
      </c>
      <c r="E170" s="519" t="s">
        <v>282</v>
      </c>
      <c r="F170" s="519" t="s">
        <v>70</v>
      </c>
      <c r="G170" s="519" t="s">
        <v>56</v>
      </c>
      <c r="H170" s="519" t="s">
        <v>145</v>
      </c>
      <c r="I170" s="881">
        <v>573097.67639999604</v>
      </c>
      <c r="J170" s="881">
        <v>40345.392003250701</v>
      </c>
      <c r="K170" s="60">
        <v>6.5768763364246294E-2</v>
      </c>
      <c r="L170" s="880">
        <v>3.0694865284194801</v>
      </c>
      <c r="M170">
        <v>0</v>
      </c>
      <c r="N170" s="60">
        <v>5.47380596568759E-2</v>
      </c>
      <c r="O170" s="881">
        <v>1585074.55180001</v>
      </c>
      <c r="P170" s="60">
        <v>5.6613099660998006E-2</v>
      </c>
      <c r="Q170" s="880">
        <v>3.0556980819392798</v>
      </c>
      <c r="R170" s="60">
        <v>0.55295862026804998</v>
      </c>
      <c r="S170" s="60">
        <v>6.5037135435006693E-2</v>
      </c>
      <c r="T170" s="60">
        <v>0.36027435185567303</v>
      </c>
      <c r="U170" s="60">
        <v>0.42165681275314804</v>
      </c>
    </row>
    <row r="171" spans="1:21" x14ac:dyDescent="0.25">
      <c r="A171" s="519" t="s">
        <v>761</v>
      </c>
      <c r="B171" s="519" t="s">
        <v>762</v>
      </c>
      <c r="C171" s="519" t="s">
        <v>284</v>
      </c>
      <c r="D171" s="519" t="s">
        <v>111</v>
      </c>
      <c r="E171" s="519" t="s">
        <v>282</v>
      </c>
      <c r="F171" s="519" t="s">
        <v>70</v>
      </c>
      <c r="G171" s="519" t="s">
        <v>57</v>
      </c>
      <c r="H171" s="519" t="s">
        <v>147</v>
      </c>
      <c r="I171" s="881">
        <v>549688.986399994</v>
      </c>
      <c r="J171" s="881">
        <v>37750.9980327905</v>
      </c>
      <c r="K171" s="60">
        <v>6.4263582720268497E-2</v>
      </c>
      <c r="L171" s="880">
        <v>3.0635110309912501</v>
      </c>
      <c r="M171">
        <v>0</v>
      </c>
      <c r="N171" s="60">
        <v>6.3907308622038694E-2</v>
      </c>
      <c r="O171" s="881">
        <v>1606140.57729998</v>
      </c>
      <c r="P171" s="60">
        <v>7.33546399663626E-2</v>
      </c>
      <c r="Q171" s="880">
        <v>3.0410486228646101</v>
      </c>
      <c r="R171" s="60">
        <v>0.55295862026804998</v>
      </c>
      <c r="S171" s="60">
        <v>8.4122721453892102E-2</v>
      </c>
      <c r="T171" s="60">
        <v>0.32124970176758905</v>
      </c>
      <c r="U171" s="60">
        <v>0.24671490623534503</v>
      </c>
    </row>
    <row r="172" spans="1:21" x14ac:dyDescent="0.25">
      <c r="A172" s="519" t="s">
        <v>761</v>
      </c>
      <c r="B172" s="519" t="s">
        <v>764</v>
      </c>
      <c r="C172" s="519" t="s">
        <v>284</v>
      </c>
      <c r="D172" s="519" t="s">
        <v>111</v>
      </c>
      <c r="E172" s="519" t="s">
        <v>282</v>
      </c>
      <c r="F172" s="519" t="s">
        <v>70</v>
      </c>
      <c r="G172" s="519" t="s">
        <v>57</v>
      </c>
      <c r="H172" s="519" t="s">
        <v>149</v>
      </c>
      <c r="I172" s="881">
        <v>598844.24169999408</v>
      </c>
      <c r="J172" s="881">
        <v>61058.836075620304</v>
      </c>
      <c r="K172" s="60">
        <v>9.2526975751400703E-2</v>
      </c>
      <c r="L172" s="880">
        <v>3.0354100405997699</v>
      </c>
      <c r="M172">
        <v>0</v>
      </c>
      <c r="N172" s="60">
        <v>4.8818851654995006E-2</v>
      </c>
      <c r="O172" s="881">
        <v>1606140.57729998</v>
      </c>
      <c r="P172" s="60">
        <v>7.33546399663626E-2</v>
      </c>
      <c r="Q172" s="880">
        <v>3.0410486228646101</v>
      </c>
      <c r="R172" s="60">
        <v>0.55295862026804998</v>
      </c>
      <c r="S172" s="60">
        <v>8.4122721453892102E-2</v>
      </c>
      <c r="T172" s="60">
        <v>0.38848367999544903</v>
      </c>
      <c r="U172" s="60">
        <v>0.40106252667427206</v>
      </c>
    </row>
    <row r="173" spans="1:21" x14ac:dyDescent="0.25">
      <c r="A173" s="519" t="s">
        <v>765</v>
      </c>
      <c r="B173" s="519" t="s">
        <v>766</v>
      </c>
      <c r="C173" s="519" t="s">
        <v>284</v>
      </c>
      <c r="D173" s="519" t="s">
        <v>111</v>
      </c>
      <c r="E173" s="519" t="s">
        <v>282</v>
      </c>
      <c r="F173" s="519" t="s">
        <v>70</v>
      </c>
      <c r="G173" s="519" t="s">
        <v>58</v>
      </c>
      <c r="H173" s="519" t="s">
        <v>150</v>
      </c>
      <c r="I173" s="881">
        <v>644834.67329998105</v>
      </c>
      <c r="J173" s="881">
        <v>26994.334719340502</v>
      </c>
      <c r="K173" s="60">
        <v>4.01803649397693E-2</v>
      </c>
      <c r="L173" s="880">
        <v>3.0474138626322902</v>
      </c>
      <c r="M173">
        <v>0</v>
      </c>
      <c r="N173" s="60">
        <v>0.111569746446515</v>
      </c>
      <c r="O173" s="881">
        <v>1690415.24999996</v>
      </c>
      <c r="P173" s="60">
        <v>3.2855737940069102E-2</v>
      </c>
      <c r="Q173" s="880">
        <v>3.0513639545453901</v>
      </c>
      <c r="R173" s="60">
        <v>0.55295862026804998</v>
      </c>
      <c r="S173" s="60">
        <v>0.13551838141545702</v>
      </c>
      <c r="T173" s="60">
        <v>0.40787272837766403</v>
      </c>
      <c r="U173" s="60">
        <v>0.46523535255842602</v>
      </c>
    </row>
    <row r="174" spans="1:21" x14ac:dyDescent="0.25">
      <c r="A174" s="519" t="s">
        <v>765</v>
      </c>
      <c r="B174" s="519" t="s">
        <v>768</v>
      </c>
      <c r="C174" s="519" t="s">
        <v>284</v>
      </c>
      <c r="D174" s="519" t="s">
        <v>111</v>
      </c>
      <c r="E174" s="519" t="s">
        <v>282</v>
      </c>
      <c r="F174" s="519" t="s">
        <v>70</v>
      </c>
      <c r="G174" s="519" t="s">
        <v>58</v>
      </c>
      <c r="H174" s="519" t="s">
        <v>152</v>
      </c>
      <c r="I174" s="881">
        <v>590723.67829998408</v>
      </c>
      <c r="J174" s="881">
        <v>16986.4615831802</v>
      </c>
      <c r="K174" s="60">
        <v>2.7951584922452002E-2</v>
      </c>
      <c r="L174" s="880">
        <v>3.07109703582864</v>
      </c>
      <c r="M174">
        <v>0</v>
      </c>
      <c r="N174" s="60">
        <v>0.14002793038201802</v>
      </c>
      <c r="O174" s="881">
        <v>1690415.24999996</v>
      </c>
      <c r="P174" s="60">
        <v>3.2855737940069102E-2</v>
      </c>
      <c r="Q174" s="880">
        <v>3.0513639545453901</v>
      </c>
      <c r="R174" s="60">
        <v>0.55295862026804998</v>
      </c>
      <c r="S174" s="60">
        <v>0.13551838141545702</v>
      </c>
      <c r="T174" s="60">
        <v>0.34469570129981802</v>
      </c>
      <c r="U174" s="60">
        <v>0.23437721713601201</v>
      </c>
    </row>
    <row r="175" spans="1:21" x14ac:dyDescent="0.25">
      <c r="A175" s="519" t="s">
        <v>769</v>
      </c>
      <c r="B175" s="519" t="s">
        <v>771</v>
      </c>
      <c r="C175" s="519" t="s">
        <v>284</v>
      </c>
      <c r="D175" s="519" t="s">
        <v>111</v>
      </c>
      <c r="E175" s="519" t="s">
        <v>282</v>
      </c>
      <c r="F175" s="519" t="s">
        <v>70</v>
      </c>
      <c r="G175" s="519" t="s">
        <v>59</v>
      </c>
      <c r="H175" s="519" t="s">
        <v>154</v>
      </c>
      <c r="I175" s="881">
        <v>589763.89139998402</v>
      </c>
      <c r="J175" s="881">
        <v>20522.353951260502</v>
      </c>
      <c r="K175" s="60">
        <v>3.3627423373188296E-2</v>
      </c>
      <c r="L175" s="880">
        <v>3.0307893097285201</v>
      </c>
      <c r="M175">
        <v>0</v>
      </c>
      <c r="N175" s="60">
        <v>8.8526080116680492E-2</v>
      </c>
      <c r="O175" s="881">
        <v>1717758.0197999601</v>
      </c>
      <c r="P175" s="60">
        <v>3.04330189837098E-2</v>
      </c>
      <c r="Q175" s="880">
        <v>3.0385527623608199</v>
      </c>
      <c r="R175" s="60">
        <v>0.55295862026804998</v>
      </c>
      <c r="S175" s="60">
        <v>9.1535941900775492E-2</v>
      </c>
      <c r="T175" s="60">
        <v>0.35401238725921902</v>
      </c>
      <c r="U175" s="60">
        <v>0.42165510536834405</v>
      </c>
    </row>
    <row r="176" spans="1:21" x14ac:dyDescent="0.25">
      <c r="A176" s="519" t="s">
        <v>773</v>
      </c>
      <c r="B176" s="519" t="s">
        <v>775</v>
      </c>
      <c r="C176" s="519" t="s">
        <v>284</v>
      </c>
      <c r="D176" s="519" t="s">
        <v>111</v>
      </c>
      <c r="E176" s="519" t="s">
        <v>282</v>
      </c>
      <c r="F176" s="519" t="s">
        <v>16</v>
      </c>
      <c r="G176" s="519" t="s">
        <v>56</v>
      </c>
      <c r="H176" s="519" t="s">
        <v>145</v>
      </c>
      <c r="I176" s="881">
        <v>515348.74409999803</v>
      </c>
      <c r="J176" s="881">
        <v>19925.780186610002</v>
      </c>
      <c r="K176" s="60">
        <v>3.7225347522686601E-2</v>
      </c>
      <c r="L176" s="880">
        <v>3.12650637166232</v>
      </c>
      <c r="M176">
        <v>0</v>
      </c>
      <c r="N176" s="60">
        <v>6.3285187891467393E-2</v>
      </c>
      <c r="O176" s="881">
        <v>1387665.9716999901</v>
      </c>
      <c r="P176" s="60">
        <v>4.0923741886611596E-2</v>
      </c>
      <c r="Q176" s="880">
        <v>3.0971706757926198</v>
      </c>
      <c r="R176" s="60">
        <v>0.55295862026804998</v>
      </c>
      <c r="S176" s="60">
        <v>9.2578624049285699E-2</v>
      </c>
      <c r="T176" s="60">
        <v>0.36027435185567303</v>
      </c>
      <c r="U176" s="60">
        <v>0.42165681275314804</v>
      </c>
    </row>
    <row r="177" spans="1:21" x14ac:dyDescent="0.25">
      <c r="A177" s="519" t="s">
        <v>777</v>
      </c>
      <c r="B177" s="519" t="s">
        <v>778</v>
      </c>
      <c r="C177" s="519" t="s">
        <v>284</v>
      </c>
      <c r="D177" s="519" t="s">
        <v>111</v>
      </c>
      <c r="E177" s="519" t="s">
        <v>282</v>
      </c>
      <c r="F177" s="519" t="s">
        <v>16</v>
      </c>
      <c r="G177" s="519" t="s">
        <v>57</v>
      </c>
      <c r="H177" s="519" t="s">
        <v>147</v>
      </c>
      <c r="I177" s="881">
        <v>387892.09379999503</v>
      </c>
      <c r="J177" s="881">
        <v>25767.6177441402</v>
      </c>
      <c r="K177" s="60">
        <v>6.22918235086335E-2</v>
      </c>
      <c r="L177" s="880">
        <v>3.0295720517474698</v>
      </c>
      <c r="M177">
        <v>0</v>
      </c>
      <c r="N177" s="60">
        <v>7.2146185620451594E-2</v>
      </c>
      <c r="O177" s="881">
        <v>1312402.4595999899</v>
      </c>
      <c r="P177" s="60">
        <v>9.0324840974863901E-2</v>
      </c>
      <c r="Q177" s="880">
        <v>3.09607254742102</v>
      </c>
      <c r="R177" s="60">
        <v>0.55295862026804998</v>
      </c>
      <c r="S177" s="60">
        <v>8.8730368682403193E-2</v>
      </c>
      <c r="T177" s="60">
        <v>0.32124970176758905</v>
      </c>
      <c r="U177" s="60">
        <v>0.24671490623534503</v>
      </c>
    </row>
    <row r="178" spans="1:21" x14ac:dyDescent="0.25">
      <c r="A178" s="519" t="s">
        <v>777</v>
      </c>
      <c r="B178" s="519" t="s">
        <v>780</v>
      </c>
      <c r="C178" s="519" t="s">
        <v>284</v>
      </c>
      <c r="D178" s="519" t="s">
        <v>111</v>
      </c>
      <c r="E178" s="519" t="s">
        <v>282</v>
      </c>
      <c r="F178" s="519" t="s">
        <v>16</v>
      </c>
      <c r="G178" s="519" t="s">
        <v>57</v>
      </c>
      <c r="H178" s="519" t="s">
        <v>149</v>
      </c>
      <c r="I178" s="881">
        <v>534962.09750000003</v>
      </c>
      <c r="J178" s="881">
        <v>42197.740201320303</v>
      </c>
      <c r="K178" s="60">
        <v>7.31127452828019E-2</v>
      </c>
      <c r="L178" s="880">
        <v>3.1092141101781201</v>
      </c>
      <c r="M178">
        <v>0</v>
      </c>
      <c r="N178" s="60">
        <v>7.3360247545388099E-2</v>
      </c>
      <c r="O178" s="881">
        <v>1312402.4595999899</v>
      </c>
      <c r="P178" s="60">
        <v>9.0324840974863901E-2</v>
      </c>
      <c r="Q178" s="880">
        <v>3.09607254742102</v>
      </c>
      <c r="R178" s="60">
        <v>0.55295862026804998</v>
      </c>
      <c r="S178" s="60">
        <v>8.8730368682403193E-2</v>
      </c>
      <c r="T178" s="60">
        <v>0.38848367999544903</v>
      </c>
      <c r="U178" s="60">
        <v>0.40106252667427206</v>
      </c>
    </row>
    <row r="179" spans="1:21" x14ac:dyDescent="0.25">
      <c r="A179" s="519" t="s">
        <v>781</v>
      </c>
      <c r="B179" s="519" t="s">
        <v>782</v>
      </c>
      <c r="C179" s="519" t="s">
        <v>284</v>
      </c>
      <c r="D179" s="519" t="s">
        <v>111</v>
      </c>
      <c r="E179" s="519" t="s">
        <v>282</v>
      </c>
      <c r="F179" s="519" t="s">
        <v>16</v>
      </c>
      <c r="G179" s="519" t="s">
        <v>58</v>
      </c>
      <c r="H179" s="519" t="s">
        <v>150</v>
      </c>
      <c r="I179" s="881">
        <v>703951.11249999807</v>
      </c>
      <c r="J179" s="881">
        <v>37225.056369371305</v>
      </c>
      <c r="K179" s="60">
        <v>5.0224302848479098E-2</v>
      </c>
      <c r="L179" s="880">
        <v>3.1395951547612899</v>
      </c>
      <c r="M179">
        <v>0</v>
      </c>
      <c r="N179" s="60">
        <v>0.16833797602670802</v>
      </c>
      <c r="O179" s="881">
        <v>1616463.8129</v>
      </c>
      <c r="P179" s="60">
        <v>4.7499248591321007E-2</v>
      </c>
      <c r="Q179" s="880">
        <v>3.13896871146251</v>
      </c>
      <c r="R179" s="60">
        <v>0.55295862026804998</v>
      </c>
      <c r="S179" s="60">
        <v>0.16541254549973602</v>
      </c>
      <c r="T179" s="60">
        <v>0.40787272837766403</v>
      </c>
      <c r="U179" s="60">
        <v>0.46523535255842602</v>
      </c>
    </row>
    <row r="180" spans="1:21" x14ac:dyDescent="0.25">
      <c r="A180" s="519" t="s">
        <v>781</v>
      </c>
      <c r="B180" s="519" t="s">
        <v>784</v>
      </c>
      <c r="C180" s="519" t="s">
        <v>284</v>
      </c>
      <c r="D180" s="519" t="s">
        <v>111</v>
      </c>
      <c r="E180" s="519" t="s">
        <v>282</v>
      </c>
      <c r="F180" s="519" t="s">
        <v>16</v>
      </c>
      <c r="G180" s="519" t="s">
        <v>58</v>
      </c>
      <c r="H180" s="519" t="s">
        <v>152</v>
      </c>
      <c r="I180" s="881">
        <v>549143.31940000202</v>
      </c>
      <c r="J180" s="881">
        <v>15366.114562999999</v>
      </c>
      <c r="K180" s="60">
        <v>2.7220297197029699E-2</v>
      </c>
      <c r="L180" s="880">
        <v>3.1353575959203899</v>
      </c>
      <c r="M180">
        <v>0</v>
      </c>
      <c r="N180" s="60">
        <v>0.177899065778928</v>
      </c>
      <c r="O180" s="881">
        <v>1616463.8129</v>
      </c>
      <c r="P180" s="60">
        <v>4.7499248591321007E-2</v>
      </c>
      <c r="Q180" s="880">
        <v>3.13896871146251</v>
      </c>
      <c r="R180" s="60">
        <v>0.55295862026804998</v>
      </c>
      <c r="S180" s="60">
        <v>0.16541254549973602</v>
      </c>
      <c r="T180" s="60">
        <v>0.34469570129981802</v>
      </c>
      <c r="U180" s="60">
        <v>0.23437721713601201</v>
      </c>
    </row>
    <row r="181" spans="1:21" x14ac:dyDescent="0.25">
      <c r="A181" s="519" t="s">
        <v>785</v>
      </c>
      <c r="B181" s="519" t="s">
        <v>786</v>
      </c>
      <c r="C181" s="519" t="s">
        <v>284</v>
      </c>
      <c r="D181" s="519" t="s">
        <v>111</v>
      </c>
      <c r="E181" s="519" t="s">
        <v>282</v>
      </c>
      <c r="F181" s="519" t="s">
        <v>16</v>
      </c>
      <c r="G181" s="519" t="s">
        <v>59</v>
      </c>
      <c r="H181" s="519" t="s">
        <v>154</v>
      </c>
      <c r="I181" s="881">
        <v>587853.15929999505</v>
      </c>
      <c r="J181" s="881">
        <v>40204.444412860605</v>
      </c>
      <c r="K181" s="60">
        <v>6.4013944222927305E-2</v>
      </c>
      <c r="L181" s="880">
        <v>3.1060560124102898</v>
      </c>
      <c r="M181">
        <v>0</v>
      </c>
      <c r="N181" s="60">
        <v>8.8281664015887301E-2</v>
      </c>
      <c r="O181" s="881">
        <v>1608727.41709999</v>
      </c>
      <c r="P181" s="60">
        <v>5.3038053085033801E-2</v>
      </c>
      <c r="Q181" s="880">
        <v>3.1048666973461598</v>
      </c>
      <c r="R181" s="60">
        <v>0.55295862026804998</v>
      </c>
      <c r="S181" s="60">
        <v>0.10744568598923501</v>
      </c>
      <c r="T181" s="60">
        <v>0.35401238725921902</v>
      </c>
      <c r="U181" s="60">
        <v>0.42165510536834405</v>
      </c>
    </row>
    <row r="182" spans="1:21" x14ac:dyDescent="0.25">
      <c r="A182" s="519" t="s">
        <v>788</v>
      </c>
      <c r="B182" s="519" t="s">
        <v>1751</v>
      </c>
      <c r="C182" s="519" t="s">
        <v>284</v>
      </c>
      <c r="D182" s="519" t="s">
        <v>111</v>
      </c>
      <c r="E182" s="519" t="s">
        <v>282</v>
      </c>
      <c r="F182" s="519" t="s">
        <v>17</v>
      </c>
      <c r="G182" s="519" t="s">
        <v>56</v>
      </c>
      <c r="H182" s="519" t="s">
        <v>145</v>
      </c>
      <c r="I182" s="881">
        <v>438889.77659999701</v>
      </c>
      <c r="J182" s="881">
        <v>40904.577768351301</v>
      </c>
      <c r="K182" s="60">
        <v>8.5254395755035392E-2</v>
      </c>
      <c r="L182" s="880">
        <v>3.1234238688034099</v>
      </c>
      <c r="M182">
        <v>0</v>
      </c>
      <c r="N182" s="60">
        <v>4.8863100585606396E-2</v>
      </c>
      <c r="O182" s="881">
        <v>1266629.2490999901</v>
      </c>
      <c r="P182" s="60">
        <v>6.331352121132601E-2</v>
      </c>
      <c r="Q182" s="880">
        <v>3.1248757279427801</v>
      </c>
      <c r="R182" s="60">
        <v>0.55295862026804998</v>
      </c>
      <c r="S182" s="60">
        <v>5.3899193428945301E-2</v>
      </c>
      <c r="T182" s="60">
        <v>0.36027435185567303</v>
      </c>
      <c r="U182" s="60">
        <v>0.42165681275314804</v>
      </c>
    </row>
    <row r="183" spans="1:21" x14ac:dyDescent="0.25">
      <c r="A183" s="519" t="s">
        <v>1834</v>
      </c>
      <c r="B183" s="519" t="s">
        <v>1835</v>
      </c>
      <c r="C183" s="519" t="s">
        <v>284</v>
      </c>
      <c r="D183" s="519" t="s">
        <v>111</v>
      </c>
      <c r="E183" s="519" t="s">
        <v>282</v>
      </c>
      <c r="F183" s="519" t="s">
        <v>17</v>
      </c>
      <c r="G183" s="519" t="s">
        <v>57</v>
      </c>
      <c r="H183" s="519" t="s">
        <v>149</v>
      </c>
      <c r="I183" s="881">
        <v>401222.36389999301</v>
      </c>
      <c r="J183" s="881">
        <v>46597.304460140302</v>
      </c>
      <c r="K183" s="60">
        <v>0.10405372464048701</v>
      </c>
      <c r="L183" s="880">
        <v>3.1248896223476499</v>
      </c>
      <c r="M183">
        <v>0</v>
      </c>
      <c r="N183" s="60">
        <v>3.82478953835809E-2</v>
      </c>
      <c r="O183" s="881">
        <v>401222.36389999301</v>
      </c>
      <c r="P183" s="60">
        <v>0.10405372464048901</v>
      </c>
      <c r="Q183" s="880">
        <v>3.1248896223476499</v>
      </c>
      <c r="R183" s="60">
        <v>0.55295862026804998</v>
      </c>
      <c r="S183" s="60">
        <v>3.82478953835809E-2</v>
      </c>
      <c r="T183" s="60">
        <v>0.38848367999544903</v>
      </c>
      <c r="U183" s="60">
        <v>0.40106252667427206</v>
      </c>
    </row>
    <row r="184" spans="1:21" x14ac:dyDescent="0.25">
      <c r="A184" s="519" t="s">
        <v>789</v>
      </c>
      <c r="B184" s="519" t="s">
        <v>790</v>
      </c>
      <c r="C184" s="519" t="s">
        <v>284</v>
      </c>
      <c r="D184" s="519" t="s">
        <v>111</v>
      </c>
      <c r="E184" s="519" t="s">
        <v>1</v>
      </c>
      <c r="F184" s="519" t="s">
        <v>70</v>
      </c>
      <c r="G184" s="519" t="s">
        <v>56</v>
      </c>
      <c r="H184" s="519" t="s">
        <v>144</v>
      </c>
      <c r="I184" s="881">
        <v>133008.8377</v>
      </c>
      <c r="J184" s="881">
        <v>10233.419912679901</v>
      </c>
      <c r="K184" s="60">
        <v>7.1441347569029201E-2</v>
      </c>
      <c r="L184" s="880">
        <v>2.9515707604181003</v>
      </c>
      <c r="M184">
        <v>0</v>
      </c>
      <c r="N184" s="60">
        <v>0.129852342886837</v>
      </c>
      <c r="O184" s="881">
        <v>407901.92100000003</v>
      </c>
      <c r="P184" s="60">
        <v>7.6567205003485905E-2</v>
      </c>
      <c r="Q184" s="880">
        <v>2.9761148042545003</v>
      </c>
      <c r="R184" s="60">
        <v>0.57323704003244602</v>
      </c>
      <c r="S184" s="60">
        <v>0.14043145337381202</v>
      </c>
      <c r="T184" s="60">
        <v>0.28829369642577601</v>
      </c>
      <c r="U184" s="60">
        <v>0.270825481080404</v>
      </c>
    </row>
    <row r="185" spans="1:21" x14ac:dyDescent="0.25">
      <c r="A185" s="519" t="s">
        <v>789</v>
      </c>
      <c r="B185" s="519" t="s">
        <v>792</v>
      </c>
      <c r="C185" s="519" t="s">
        <v>284</v>
      </c>
      <c r="D185" s="519" t="s">
        <v>111</v>
      </c>
      <c r="E185" s="519" t="s">
        <v>1</v>
      </c>
      <c r="F185" s="519" t="s">
        <v>70</v>
      </c>
      <c r="G185" s="519" t="s">
        <v>56</v>
      </c>
      <c r="H185" s="519" t="s">
        <v>146</v>
      </c>
      <c r="I185" s="881">
        <v>113110.27560000001</v>
      </c>
      <c r="J185" s="881">
        <v>7179.4565128599197</v>
      </c>
      <c r="K185" s="60">
        <v>5.9684699489760802E-2</v>
      </c>
      <c r="L185" s="880">
        <v>2.98046250477356</v>
      </c>
      <c r="M185">
        <v>0</v>
      </c>
      <c r="N185" s="60">
        <v>0.13792512410782301</v>
      </c>
      <c r="O185" s="881">
        <v>407901.92100000003</v>
      </c>
      <c r="P185" s="60">
        <v>7.6567205003485905E-2</v>
      </c>
      <c r="Q185" s="880">
        <v>2.9761148042545003</v>
      </c>
      <c r="R185" s="60">
        <v>0.57323704003244602</v>
      </c>
      <c r="S185" s="60">
        <v>0.14043145337381202</v>
      </c>
      <c r="T185" s="60">
        <v>0.34009292723754303</v>
      </c>
      <c r="U185" s="60">
        <v>0.278688957711273</v>
      </c>
    </row>
    <row r="186" spans="1:21" x14ac:dyDescent="0.25">
      <c r="A186" s="519" t="s">
        <v>793</v>
      </c>
      <c r="B186" s="519" t="s">
        <v>795</v>
      </c>
      <c r="C186" s="519" t="s">
        <v>284</v>
      </c>
      <c r="D186" s="519" t="s">
        <v>111</v>
      </c>
      <c r="E186" s="519" t="s">
        <v>1</v>
      </c>
      <c r="F186" s="519" t="s">
        <v>70</v>
      </c>
      <c r="G186" s="519" t="s">
        <v>57</v>
      </c>
      <c r="H186" s="519" t="s">
        <v>148</v>
      </c>
      <c r="I186" s="881">
        <v>119517.74340000001</v>
      </c>
      <c r="J186" s="881">
        <v>9031.2619674499292</v>
      </c>
      <c r="K186" s="60">
        <v>7.025540136724201E-2</v>
      </c>
      <c r="L186" s="880">
        <v>3.04979009398836</v>
      </c>
      <c r="M186">
        <v>0</v>
      </c>
      <c r="N186" s="60">
        <v>0.20444440971598801</v>
      </c>
      <c r="O186" s="881">
        <v>426540.47770000203</v>
      </c>
      <c r="P186" s="60">
        <v>7.3684252368874006E-2</v>
      </c>
      <c r="Q186" s="880">
        <v>3.0881788905431198</v>
      </c>
      <c r="R186" s="60">
        <v>0.57323704003244602</v>
      </c>
      <c r="S186" s="60">
        <v>0.15734641097111401</v>
      </c>
      <c r="T186" s="60">
        <v>0.310186765132617</v>
      </c>
      <c r="U186" s="60">
        <v>0.30732249102721904</v>
      </c>
    </row>
    <row r="187" spans="1:21" x14ac:dyDescent="0.25">
      <c r="A187" s="519" t="s">
        <v>797</v>
      </c>
      <c r="B187" s="519" t="s">
        <v>798</v>
      </c>
      <c r="C187" s="519" t="s">
        <v>284</v>
      </c>
      <c r="D187" s="519" t="s">
        <v>111</v>
      </c>
      <c r="E187" s="519" t="s">
        <v>1</v>
      </c>
      <c r="F187" s="519" t="s">
        <v>70</v>
      </c>
      <c r="G187" s="519" t="s">
        <v>58</v>
      </c>
      <c r="H187" s="519" t="s">
        <v>150</v>
      </c>
      <c r="I187" s="881">
        <v>233179.210000002</v>
      </c>
      <c r="J187" s="881">
        <v>9524.5910477298803</v>
      </c>
      <c r="K187" s="60">
        <v>3.92436830680572E-2</v>
      </c>
      <c r="L187" s="880">
        <v>3.04393324182919</v>
      </c>
      <c r="M187">
        <v>0</v>
      </c>
      <c r="N187" s="60">
        <v>0.20498035566721301</v>
      </c>
      <c r="O187" s="881">
        <v>634991.22770000505</v>
      </c>
      <c r="P187" s="60">
        <v>3.1536795347271801E-2</v>
      </c>
      <c r="Q187" s="880">
        <v>3.0473761633534102</v>
      </c>
      <c r="R187" s="60">
        <v>0.57323704003244602</v>
      </c>
      <c r="S187" s="60">
        <v>0.20736796802208701</v>
      </c>
      <c r="T187" s="60">
        <v>0.37975002041392902</v>
      </c>
      <c r="U187" s="60">
        <v>0.45633300302163804</v>
      </c>
    </row>
    <row r="188" spans="1:21" x14ac:dyDescent="0.25">
      <c r="A188" s="519" t="s">
        <v>797</v>
      </c>
      <c r="B188" s="519" t="s">
        <v>800</v>
      </c>
      <c r="C188" s="519" t="s">
        <v>284</v>
      </c>
      <c r="D188" s="519" t="s">
        <v>111</v>
      </c>
      <c r="E188" s="519" t="s">
        <v>1</v>
      </c>
      <c r="F188" s="519" t="s">
        <v>70</v>
      </c>
      <c r="G188" s="519" t="s">
        <v>58</v>
      </c>
      <c r="H188" s="519" t="s">
        <v>152</v>
      </c>
      <c r="I188" s="881">
        <v>228758.07580000203</v>
      </c>
      <c r="J188" s="881">
        <v>5944.0336936899294</v>
      </c>
      <c r="K188" s="60">
        <v>2.5325863949466201E-2</v>
      </c>
      <c r="L188" s="880">
        <v>3.0494896946546</v>
      </c>
      <c r="M188">
        <v>0</v>
      </c>
      <c r="N188" s="60">
        <v>0.21874991265335503</v>
      </c>
      <c r="O188" s="881">
        <v>634991.22770000505</v>
      </c>
      <c r="P188" s="60">
        <v>3.1536795347271801E-2</v>
      </c>
      <c r="Q188" s="880">
        <v>3.0473761633534102</v>
      </c>
      <c r="R188" s="60">
        <v>0.57323704003244602</v>
      </c>
      <c r="S188" s="60">
        <v>0.20736796802208701</v>
      </c>
      <c r="T188" s="60">
        <v>0.36531585855538201</v>
      </c>
      <c r="U188" s="60">
        <v>0.25331013711512401</v>
      </c>
    </row>
    <row r="189" spans="1:21" x14ac:dyDescent="0.25">
      <c r="A189" s="519" t="s">
        <v>801</v>
      </c>
      <c r="B189" s="519" t="s">
        <v>803</v>
      </c>
      <c r="C189" s="519" t="s">
        <v>284</v>
      </c>
      <c r="D189" s="519" t="s">
        <v>111</v>
      </c>
      <c r="E189" s="519" t="s">
        <v>1</v>
      </c>
      <c r="F189" s="519" t="s">
        <v>70</v>
      </c>
      <c r="G189" s="519" t="s">
        <v>59</v>
      </c>
      <c r="H189" s="519" t="s">
        <v>154</v>
      </c>
      <c r="I189" s="881">
        <v>95264.019000000204</v>
      </c>
      <c r="J189" s="881">
        <v>6751.23096858999</v>
      </c>
      <c r="K189" s="60">
        <v>6.6178644571950399E-2</v>
      </c>
      <c r="L189" s="880">
        <v>3.01306418063119</v>
      </c>
      <c r="M189">
        <v>0</v>
      </c>
      <c r="N189" s="60">
        <v>0.21720183147007402</v>
      </c>
      <c r="O189" s="881">
        <v>350968.95560000202</v>
      </c>
      <c r="P189" s="60">
        <v>4.93079199668238E-2</v>
      </c>
      <c r="Q189" s="880">
        <v>3.0221173131518899</v>
      </c>
      <c r="R189" s="60">
        <v>0.57323704003244602</v>
      </c>
      <c r="S189" s="60">
        <v>0.23158382302232203</v>
      </c>
      <c r="T189" s="60">
        <v>0.30064539210688801</v>
      </c>
      <c r="U189" s="60">
        <v>0.43463167119590501</v>
      </c>
    </row>
    <row r="190" spans="1:21" x14ac:dyDescent="0.25">
      <c r="A190" s="519" t="s">
        <v>805</v>
      </c>
      <c r="B190" s="519" t="s">
        <v>807</v>
      </c>
      <c r="C190" s="519" t="s">
        <v>284</v>
      </c>
      <c r="D190" s="519" t="s">
        <v>111</v>
      </c>
      <c r="E190" s="519" t="s">
        <v>1</v>
      </c>
      <c r="F190" s="519" t="s">
        <v>16</v>
      </c>
      <c r="G190" s="519" t="s">
        <v>56</v>
      </c>
      <c r="H190" s="519" t="s">
        <v>145</v>
      </c>
      <c r="I190" s="881">
        <v>126237.930100001</v>
      </c>
      <c r="J190" s="881">
        <v>16993.681976430002</v>
      </c>
      <c r="K190" s="60">
        <v>0.11864477212867</v>
      </c>
      <c r="L190" s="880">
        <v>3.0468872421908499</v>
      </c>
      <c r="M190">
        <v>0</v>
      </c>
      <c r="N190" s="60">
        <v>0.24618251959123202</v>
      </c>
      <c r="O190" s="881">
        <v>364747.304400002</v>
      </c>
      <c r="P190" s="60">
        <v>8.3366693835093791E-2</v>
      </c>
      <c r="Q190" s="880">
        <v>3.0220015616114702</v>
      </c>
      <c r="R190" s="60">
        <v>0.57323704003244602</v>
      </c>
      <c r="S190" s="60">
        <v>0.24974216588069001</v>
      </c>
      <c r="T190" s="60">
        <v>0.37161337633668101</v>
      </c>
      <c r="U190" s="60">
        <v>0.45048556120832306</v>
      </c>
    </row>
    <row r="191" spans="1:21" x14ac:dyDescent="0.25">
      <c r="A191" s="519" t="s">
        <v>809</v>
      </c>
      <c r="B191" s="519" t="s">
        <v>810</v>
      </c>
      <c r="C191" s="519" t="s">
        <v>284</v>
      </c>
      <c r="D191" s="519" t="s">
        <v>111</v>
      </c>
      <c r="E191" s="519" t="s">
        <v>1</v>
      </c>
      <c r="F191" s="519" t="s">
        <v>16</v>
      </c>
      <c r="G191" s="519" t="s">
        <v>57</v>
      </c>
      <c r="H191" s="519" t="s">
        <v>147</v>
      </c>
      <c r="I191" s="881">
        <v>83972.790300000401</v>
      </c>
      <c r="J191" s="881">
        <v>8181.8878135999894</v>
      </c>
      <c r="K191" s="60">
        <v>8.8784291596289006E-2</v>
      </c>
      <c r="L191" s="880">
        <v>2.9209364692243498</v>
      </c>
      <c r="M191">
        <v>0</v>
      </c>
      <c r="N191" s="60">
        <v>0.26011189841335902</v>
      </c>
      <c r="O191" s="881">
        <v>330777.85050000105</v>
      </c>
      <c r="P191" s="60">
        <v>9.4178935369358896E-2</v>
      </c>
      <c r="Q191" s="880">
        <v>2.9939721878472301</v>
      </c>
      <c r="R191" s="60">
        <v>0.57323704003244602</v>
      </c>
      <c r="S191" s="60">
        <v>0.24505153255417203</v>
      </c>
      <c r="T191" s="60">
        <v>0.28395369713435603</v>
      </c>
      <c r="U191" s="60">
        <v>0.23690858226955902</v>
      </c>
    </row>
    <row r="192" spans="1:21" x14ac:dyDescent="0.25">
      <c r="A192" s="519" t="s">
        <v>809</v>
      </c>
      <c r="B192" s="519" t="s">
        <v>812</v>
      </c>
      <c r="C192" s="519" t="s">
        <v>284</v>
      </c>
      <c r="D192" s="519" t="s">
        <v>111</v>
      </c>
      <c r="E192" s="519" t="s">
        <v>1</v>
      </c>
      <c r="F192" s="519" t="s">
        <v>16</v>
      </c>
      <c r="G192" s="519" t="s">
        <v>57</v>
      </c>
      <c r="H192" s="519" t="s">
        <v>149</v>
      </c>
      <c r="I192" s="881">
        <v>131412.68119999999</v>
      </c>
      <c r="J192" s="881">
        <v>14244.1490284501</v>
      </c>
      <c r="K192" s="60">
        <v>9.7792523743029394E-2</v>
      </c>
      <c r="L192" s="880">
        <v>3.0033530644706699</v>
      </c>
      <c r="M192">
        <v>0</v>
      </c>
      <c r="N192" s="60">
        <v>0.19992085436576501</v>
      </c>
      <c r="O192" s="881">
        <v>330777.85050000105</v>
      </c>
      <c r="P192" s="60">
        <v>9.4178935369358896E-2</v>
      </c>
      <c r="Q192" s="880">
        <v>2.9939721878472301</v>
      </c>
      <c r="R192" s="60">
        <v>0.57323704003244602</v>
      </c>
      <c r="S192" s="60">
        <v>0.24505153255417203</v>
      </c>
      <c r="T192" s="60">
        <v>0.40585953773302702</v>
      </c>
      <c r="U192" s="60">
        <v>0.45576892670322205</v>
      </c>
    </row>
    <row r="193" spans="1:21" x14ac:dyDescent="0.25">
      <c r="A193" s="519" t="s">
        <v>813</v>
      </c>
      <c r="B193" s="519" t="s">
        <v>815</v>
      </c>
      <c r="C193" s="519" t="s">
        <v>284</v>
      </c>
      <c r="D193" s="519" t="s">
        <v>111</v>
      </c>
      <c r="E193" s="519" t="s">
        <v>1</v>
      </c>
      <c r="F193" s="519" t="s">
        <v>16</v>
      </c>
      <c r="G193" s="519" t="s">
        <v>58</v>
      </c>
      <c r="H193" s="519" t="s">
        <v>151</v>
      </c>
      <c r="I193" s="881">
        <v>125756.321</v>
      </c>
      <c r="J193" s="881">
        <v>6955.4102468199399</v>
      </c>
      <c r="K193" s="60">
        <v>5.2409912684238502E-2</v>
      </c>
      <c r="L193" s="880">
        <v>3.0203023566605198</v>
      </c>
      <c r="M193">
        <v>0</v>
      </c>
      <c r="N193" s="60">
        <v>0.288125171855178</v>
      </c>
      <c r="O193" s="881">
        <v>537116.53760000109</v>
      </c>
      <c r="P193" s="60">
        <v>3.8000996210260797E-2</v>
      </c>
      <c r="Q193" s="880">
        <v>3.0281904372117801</v>
      </c>
      <c r="R193" s="60">
        <v>0.57323704003244602</v>
      </c>
      <c r="S193" s="60">
        <v>0.25116746656657102</v>
      </c>
      <c r="T193" s="60">
        <v>0.25493412103068902</v>
      </c>
      <c r="U193" s="60">
        <v>0.290356859863238</v>
      </c>
    </row>
    <row r="194" spans="1:21" x14ac:dyDescent="0.25">
      <c r="A194" s="519" t="s">
        <v>817</v>
      </c>
      <c r="B194" s="519" t="s">
        <v>303</v>
      </c>
      <c r="C194" s="519" t="s">
        <v>284</v>
      </c>
      <c r="D194" s="519" t="s">
        <v>111</v>
      </c>
      <c r="E194" s="519" t="s">
        <v>1</v>
      </c>
      <c r="F194" s="519" t="s">
        <v>16</v>
      </c>
      <c r="G194" s="519" t="s">
        <v>59</v>
      </c>
      <c r="H194" s="519" t="s">
        <v>153</v>
      </c>
      <c r="I194" s="881">
        <v>79962.869900000296</v>
      </c>
      <c r="J194" s="881">
        <v>17496.403144079999</v>
      </c>
      <c r="K194" s="60">
        <v>0.17952527858653999</v>
      </c>
      <c r="L194" s="880">
        <v>3.04047031035878</v>
      </c>
      <c r="M194">
        <v>0</v>
      </c>
      <c r="N194" s="60">
        <v>0.165312856035948</v>
      </c>
      <c r="O194" s="881">
        <v>314571.13300000102</v>
      </c>
      <c r="P194" s="60">
        <v>0.120203492537908</v>
      </c>
      <c r="Q194" s="880">
        <v>3.0068750168802301</v>
      </c>
      <c r="R194" s="60">
        <v>0.57323704003244602</v>
      </c>
      <c r="S194" s="60">
        <v>0.19635080470018801</v>
      </c>
      <c r="T194" s="60">
        <v>0.259160612342413</v>
      </c>
      <c r="U194" s="60">
        <v>0.41793025338436401</v>
      </c>
    </row>
    <row r="195" spans="1:21" x14ac:dyDescent="0.25">
      <c r="A195" s="519" t="s">
        <v>817</v>
      </c>
      <c r="B195" s="519" t="s">
        <v>819</v>
      </c>
      <c r="C195" s="519" t="s">
        <v>284</v>
      </c>
      <c r="D195" s="519" t="s">
        <v>111</v>
      </c>
      <c r="E195" s="519" t="s">
        <v>1</v>
      </c>
      <c r="F195" s="519" t="s">
        <v>16</v>
      </c>
      <c r="G195" s="519" t="s">
        <v>59</v>
      </c>
      <c r="H195" s="519" t="s">
        <v>155</v>
      </c>
      <c r="I195" s="881">
        <v>129780.7212</v>
      </c>
      <c r="J195" s="881">
        <v>5642.0018804299898</v>
      </c>
      <c r="K195" s="60">
        <v>4.1662150576304201E-2</v>
      </c>
      <c r="L195" s="880">
        <v>2.9978153377887002</v>
      </c>
      <c r="M195">
        <v>0</v>
      </c>
      <c r="N195" s="60">
        <v>0.22399668480190202</v>
      </c>
      <c r="O195" s="881">
        <v>314571.13300000102</v>
      </c>
      <c r="P195" s="60">
        <v>0.120203492537908</v>
      </c>
      <c r="Q195" s="880">
        <v>3.0068750168802301</v>
      </c>
      <c r="R195" s="60">
        <v>0.57323704003244602</v>
      </c>
      <c r="S195" s="60">
        <v>0.19635080470018801</v>
      </c>
      <c r="T195" s="60">
        <v>0.44019399555069905</v>
      </c>
      <c r="U195" s="60">
        <v>0.147438075419731</v>
      </c>
    </row>
    <row r="196" spans="1:21" x14ac:dyDescent="0.25">
      <c r="A196" s="519" t="s">
        <v>820</v>
      </c>
      <c r="B196" s="519" t="s">
        <v>370</v>
      </c>
      <c r="C196" s="519" t="s">
        <v>284</v>
      </c>
      <c r="D196" s="519" t="s">
        <v>111</v>
      </c>
      <c r="E196" s="519" t="s">
        <v>1</v>
      </c>
      <c r="F196" s="519" t="s">
        <v>17</v>
      </c>
      <c r="G196" s="519" t="s">
        <v>56</v>
      </c>
      <c r="H196" s="519" t="s">
        <v>144</v>
      </c>
      <c r="I196" s="881">
        <v>85825.601800000208</v>
      </c>
      <c r="J196" s="881">
        <v>16795.25616022</v>
      </c>
      <c r="K196" s="60">
        <v>0.16366318206704802</v>
      </c>
      <c r="L196" s="880">
        <v>2.9929788329922</v>
      </c>
      <c r="M196">
        <v>0</v>
      </c>
      <c r="N196" s="60">
        <v>0.12921441583180301</v>
      </c>
      <c r="O196" s="881">
        <v>343688.70460000105</v>
      </c>
      <c r="P196" s="60">
        <v>0.13790255080915401</v>
      </c>
      <c r="Q196" s="880">
        <v>2.9948115545545599</v>
      </c>
      <c r="R196" s="60">
        <v>0.57323704003244602</v>
      </c>
      <c r="S196" s="60">
        <v>0.136327619362792</v>
      </c>
      <c r="T196" s="60">
        <v>0.28829369642577601</v>
      </c>
      <c r="U196" s="60">
        <v>0.270825481080404</v>
      </c>
    </row>
    <row r="197" spans="1:21" x14ac:dyDescent="0.25">
      <c r="A197" s="519" t="s">
        <v>820</v>
      </c>
      <c r="B197" s="519" t="s">
        <v>371</v>
      </c>
      <c r="C197" s="519" t="s">
        <v>284</v>
      </c>
      <c r="D197" s="519" t="s">
        <v>111</v>
      </c>
      <c r="E197" s="519" t="s">
        <v>1</v>
      </c>
      <c r="F197" s="519" t="s">
        <v>17</v>
      </c>
      <c r="G197" s="519" t="s">
        <v>56</v>
      </c>
      <c r="H197" s="519" t="s">
        <v>146</v>
      </c>
      <c r="I197" s="881">
        <v>131037.73330000001</v>
      </c>
      <c r="J197" s="881">
        <v>16637.529942960002</v>
      </c>
      <c r="K197" s="60">
        <v>0.11266294420337401</v>
      </c>
      <c r="L197" s="880">
        <v>2.99374230477593</v>
      </c>
      <c r="M197">
        <v>0</v>
      </c>
      <c r="N197" s="60">
        <v>0.13941353791717301</v>
      </c>
      <c r="O197" s="881">
        <v>343688.70460000105</v>
      </c>
      <c r="P197" s="60">
        <v>0.13790255080915401</v>
      </c>
      <c r="Q197" s="880">
        <v>2.9948115545545599</v>
      </c>
      <c r="R197" s="60">
        <v>0.57323704003244602</v>
      </c>
      <c r="S197" s="60">
        <v>0.136327619362792</v>
      </c>
      <c r="T197" s="60">
        <v>0.34009292723754303</v>
      </c>
      <c r="U197" s="60">
        <v>0.278688957711273</v>
      </c>
    </row>
    <row r="198" spans="1:21" x14ac:dyDescent="0.25">
      <c r="A198" s="519" t="s">
        <v>1836</v>
      </c>
      <c r="B198" s="519" t="s">
        <v>1837</v>
      </c>
      <c r="C198" s="519" t="s">
        <v>284</v>
      </c>
      <c r="D198" s="519" t="s">
        <v>111</v>
      </c>
      <c r="E198" s="519" t="s">
        <v>1838</v>
      </c>
      <c r="F198" s="519" t="s">
        <v>70</v>
      </c>
      <c r="G198" s="519" t="s">
        <v>57</v>
      </c>
      <c r="H198" s="519" t="s">
        <v>148</v>
      </c>
      <c r="I198" s="881">
        <v>2706.9032999999999</v>
      </c>
      <c r="J198" s="881">
        <v>3.3351421800000001</v>
      </c>
      <c r="K198" s="60">
        <v>1.23057149809939E-3</v>
      </c>
      <c r="L198" s="880">
        <v>2.97646090571688</v>
      </c>
      <c r="M198">
        <v>0</v>
      </c>
      <c r="N198" s="60">
        <v>1</v>
      </c>
      <c r="O198" s="881">
        <v>10257.003700000001</v>
      </c>
      <c r="P198" s="60">
        <v>5.1402959098622407E-3</v>
      </c>
      <c r="Q198" s="880">
        <v>2.98676238944075</v>
      </c>
      <c r="R198" s="60">
        <v>0.542820052853484</v>
      </c>
      <c r="S198" s="60">
        <v>1</v>
      </c>
      <c r="T198" s="60">
        <v>0.24878538042441001</v>
      </c>
      <c r="U198" s="60">
        <v>3.9854976754852299E-2</v>
      </c>
    </row>
    <row r="199" spans="1:21" x14ac:dyDescent="0.25">
      <c r="A199" s="519" t="s">
        <v>1839</v>
      </c>
      <c r="B199" s="519" t="s">
        <v>1840</v>
      </c>
      <c r="C199" s="519" t="s">
        <v>284</v>
      </c>
      <c r="D199" s="519" t="s">
        <v>111</v>
      </c>
      <c r="E199" s="519" t="s">
        <v>1838</v>
      </c>
      <c r="F199" s="519" t="s">
        <v>70</v>
      </c>
      <c r="G199" s="519" t="s">
        <v>58</v>
      </c>
      <c r="H199" s="519" t="s">
        <v>151</v>
      </c>
      <c r="I199" s="881">
        <v>1125.8396</v>
      </c>
      <c r="J199" s="881">
        <v>5.3947219999999998</v>
      </c>
      <c r="K199" s="60">
        <v>4.7688811195740902E-3</v>
      </c>
      <c r="L199" s="880">
        <v>2.9998298620159898</v>
      </c>
      <c r="M199">
        <v>0</v>
      </c>
      <c r="N199" s="60">
        <v>1</v>
      </c>
      <c r="O199" s="881">
        <v>37596.768700000001</v>
      </c>
      <c r="P199" s="60">
        <v>1.6998070710394698E-2</v>
      </c>
      <c r="Q199" s="880">
        <v>2.9922215094568601</v>
      </c>
      <c r="R199" s="60">
        <v>0.542820052853484</v>
      </c>
      <c r="S199" s="60">
        <v>1</v>
      </c>
      <c r="T199" s="60">
        <v>0.17862113109283301</v>
      </c>
      <c r="U199" s="60">
        <v>8.2471760218511894E-2</v>
      </c>
    </row>
    <row r="200" spans="1:21" x14ac:dyDescent="0.25">
      <c r="A200" s="519" t="s">
        <v>1841</v>
      </c>
      <c r="B200" s="519" t="s">
        <v>1842</v>
      </c>
      <c r="C200" s="519" t="s">
        <v>284</v>
      </c>
      <c r="D200" s="519" t="s">
        <v>111</v>
      </c>
      <c r="E200" s="519" t="s">
        <v>1838</v>
      </c>
      <c r="F200" s="519" t="s">
        <v>70</v>
      </c>
      <c r="G200" s="519" t="s">
        <v>59</v>
      </c>
      <c r="H200" s="519" t="s">
        <v>153</v>
      </c>
      <c r="I200" s="881">
        <v>31323.934800000003</v>
      </c>
      <c r="J200" s="881">
        <v>173.13496846000001</v>
      </c>
      <c r="K200" s="60">
        <v>5.4968595406729107E-3</v>
      </c>
      <c r="L200" s="880">
        <v>3.07494699511187</v>
      </c>
      <c r="M200">
        <v>0</v>
      </c>
      <c r="N200" s="60">
        <v>0.69872063454812205</v>
      </c>
      <c r="O200" s="881">
        <v>96706.863700000002</v>
      </c>
      <c r="P200" s="60">
        <v>8.1259836214955701E-3</v>
      </c>
      <c r="Q200" s="880">
        <v>3.0399239919438799</v>
      </c>
      <c r="R200" s="60">
        <v>0.542820052853484</v>
      </c>
      <c r="S200" s="60">
        <v>0.69466270675883801</v>
      </c>
      <c r="T200" s="60">
        <v>0.27133827106413905</v>
      </c>
      <c r="U200" s="60">
        <v>0.24432135414707301</v>
      </c>
    </row>
    <row r="201" spans="1:21" x14ac:dyDescent="0.25">
      <c r="A201" s="519" t="s">
        <v>1841</v>
      </c>
      <c r="B201" s="519" t="s">
        <v>1843</v>
      </c>
      <c r="C201" s="519" t="s">
        <v>284</v>
      </c>
      <c r="D201" s="519" t="s">
        <v>111</v>
      </c>
      <c r="E201" s="519" t="s">
        <v>1838</v>
      </c>
      <c r="F201" s="519" t="s">
        <v>70</v>
      </c>
      <c r="G201" s="519" t="s">
        <v>59</v>
      </c>
      <c r="H201" s="519" t="s">
        <v>155</v>
      </c>
      <c r="I201" s="881">
        <v>24297.180500000002</v>
      </c>
      <c r="J201" s="881">
        <v>225.38807145000001</v>
      </c>
      <c r="K201" s="60">
        <v>9.1910466390704298E-3</v>
      </c>
      <c r="L201" s="880">
        <v>2.9918026160810398</v>
      </c>
      <c r="M201">
        <v>0</v>
      </c>
      <c r="N201" s="60">
        <v>1</v>
      </c>
      <c r="O201" s="881">
        <v>96706.863700000002</v>
      </c>
      <c r="P201" s="60">
        <v>8.1259836214955701E-3</v>
      </c>
      <c r="Q201" s="880">
        <v>3.0399239919438799</v>
      </c>
      <c r="R201" s="60">
        <v>0.542820052853484</v>
      </c>
      <c r="S201" s="60">
        <v>0.69466270675883801</v>
      </c>
      <c r="T201" s="60">
        <v>0.35724869674627902</v>
      </c>
      <c r="U201" s="60">
        <v>0.32449113498182403</v>
      </c>
    </row>
    <row r="202" spans="1:21" x14ac:dyDescent="0.25">
      <c r="A202" s="519" t="s">
        <v>1844</v>
      </c>
      <c r="B202" s="519" t="s">
        <v>1845</v>
      </c>
      <c r="C202" s="519" t="s">
        <v>284</v>
      </c>
      <c r="D202" s="519" t="s">
        <v>111</v>
      </c>
      <c r="E202" s="519" t="s">
        <v>1838</v>
      </c>
      <c r="F202" s="519" t="s">
        <v>16</v>
      </c>
      <c r="G202" s="519" t="s">
        <v>56</v>
      </c>
      <c r="H202" s="519" t="s">
        <v>145</v>
      </c>
      <c r="I202" s="881">
        <v>32195.754999999903</v>
      </c>
      <c r="J202" s="881">
        <v>474.84252831999999</v>
      </c>
      <c r="K202" s="60">
        <v>1.45342468226481E-2</v>
      </c>
      <c r="L202" s="880">
        <v>2.99731265228501</v>
      </c>
      <c r="M202">
        <v>0</v>
      </c>
      <c r="N202" s="60">
        <v>0.98285257792525804</v>
      </c>
      <c r="O202" s="881">
        <v>108509.5114</v>
      </c>
      <c r="P202" s="60">
        <v>1.65470021584113E-2</v>
      </c>
      <c r="Q202" s="880">
        <v>3.0221738728769201</v>
      </c>
      <c r="R202" s="60">
        <v>0.542820052853484</v>
      </c>
      <c r="S202" s="60">
        <v>0.94471418935907203</v>
      </c>
      <c r="T202" s="60">
        <v>0.33733357385488205</v>
      </c>
      <c r="U202" s="60">
        <v>0.37575351089085601</v>
      </c>
    </row>
    <row r="203" spans="1:21" x14ac:dyDescent="0.25">
      <c r="A203" s="519" t="s">
        <v>1846</v>
      </c>
      <c r="B203" s="519" t="s">
        <v>1847</v>
      </c>
      <c r="C203" s="519" t="s">
        <v>284</v>
      </c>
      <c r="D203" s="519" t="s">
        <v>111</v>
      </c>
      <c r="E203" s="519" t="s">
        <v>1838</v>
      </c>
      <c r="F203" s="519" t="s">
        <v>16</v>
      </c>
      <c r="G203" s="519" t="s">
        <v>57</v>
      </c>
      <c r="H203" s="519" t="s">
        <v>147</v>
      </c>
      <c r="I203" s="881">
        <v>26017.188499999902</v>
      </c>
      <c r="J203" s="881">
        <v>184.29262925</v>
      </c>
      <c r="K203" s="60">
        <v>7.0336721936022509E-3</v>
      </c>
      <c r="L203" s="880">
        <v>2.7761613544607799</v>
      </c>
      <c r="M203">
        <v>0</v>
      </c>
      <c r="N203" s="60">
        <v>0.9939621685102521</v>
      </c>
      <c r="O203" s="881">
        <v>92434.655899999911</v>
      </c>
      <c r="P203" s="60">
        <v>4.8455473871726697E-2</v>
      </c>
      <c r="Q203" s="880">
        <v>3.0501254308769701</v>
      </c>
      <c r="R203" s="60">
        <v>0.542820052853484</v>
      </c>
      <c r="S203" s="60">
        <v>0.99630142291685708</v>
      </c>
      <c r="T203" s="60">
        <v>0.32687453908866404</v>
      </c>
      <c r="U203" s="60">
        <v>4.9149535779318597E-2</v>
      </c>
    </row>
    <row r="204" spans="1:21" x14ac:dyDescent="0.25">
      <c r="A204" s="519" t="s">
        <v>1846</v>
      </c>
      <c r="B204" s="519" t="s">
        <v>1848</v>
      </c>
      <c r="C204" s="519" t="s">
        <v>284</v>
      </c>
      <c r="D204" s="519" t="s">
        <v>111</v>
      </c>
      <c r="E204" s="519" t="s">
        <v>1838</v>
      </c>
      <c r="F204" s="519" t="s">
        <v>16</v>
      </c>
      <c r="G204" s="519" t="s">
        <v>57</v>
      </c>
      <c r="H204" s="519" t="s">
        <v>149</v>
      </c>
      <c r="I204" s="881">
        <v>43576.187099999901</v>
      </c>
      <c r="J204" s="881">
        <v>4336.3783407700002</v>
      </c>
      <c r="K204" s="60">
        <v>9.0506077077643798E-2</v>
      </c>
      <c r="L204" s="880">
        <v>3.05958011359481</v>
      </c>
      <c r="M204">
        <v>0</v>
      </c>
      <c r="N204" s="60">
        <v>0.99750902024192911</v>
      </c>
      <c r="O204" s="881">
        <v>92434.655899999911</v>
      </c>
      <c r="P204" s="60">
        <v>4.8455473871726697E-2</v>
      </c>
      <c r="Q204" s="880">
        <v>3.0501254308769701</v>
      </c>
      <c r="R204" s="60">
        <v>0.542820052853484</v>
      </c>
      <c r="S204" s="60">
        <v>0.99630142291685708</v>
      </c>
      <c r="T204" s="60">
        <v>0.42434008048692601</v>
      </c>
      <c r="U204" s="60">
        <v>0.91099548746582903</v>
      </c>
    </row>
    <row r="205" spans="1:21" x14ac:dyDescent="0.25">
      <c r="A205" s="519" t="s">
        <v>1849</v>
      </c>
      <c r="B205" s="519" t="s">
        <v>1850</v>
      </c>
      <c r="C205" s="519" t="s">
        <v>284</v>
      </c>
      <c r="D205" s="519" t="s">
        <v>111</v>
      </c>
      <c r="E205" s="519" t="s">
        <v>1838</v>
      </c>
      <c r="F205" s="519" t="s">
        <v>16</v>
      </c>
      <c r="G205" s="519" t="s">
        <v>58</v>
      </c>
      <c r="H205" s="519" t="s">
        <v>151</v>
      </c>
      <c r="I205" s="881">
        <v>21880.116300000002</v>
      </c>
      <c r="J205" s="881">
        <v>120.43844104</v>
      </c>
      <c r="K205" s="60">
        <v>5.4743365545839402E-3</v>
      </c>
      <c r="L205" s="880">
        <v>3.03063850184239</v>
      </c>
      <c r="M205">
        <v>0</v>
      </c>
      <c r="N205" s="60">
        <v>0.99630715856843999</v>
      </c>
      <c r="O205" s="881">
        <v>91200.735599999796</v>
      </c>
      <c r="P205" s="60">
        <v>9.5100318949542413E-3</v>
      </c>
      <c r="Q205" s="880">
        <v>3.0593430600610501</v>
      </c>
      <c r="R205" s="60">
        <v>0.542820052853484</v>
      </c>
      <c r="S205" s="60">
        <v>0.96096268657727812</v>
      </c>
      <c r="T205" s="60">
        <v>0.17862113109283301</v>
      </c>
      <c r="U205" s="60">
        <v>8.2471760218511894E-2</v>
      </c>
    </row>
    <row r="206" spans="1:21" x14ac:dyDescent="0.25">
      <c r="A206" s="519" t="s">
        <v>1851</v>
      </c>
      <c r="B206" s="519" t="s">
        <v>1852</v>
      </c>
      <c r="C206" s="519" t="s">
        <v>284</v>
      </c>
      <c r="D206" s="519" t="s">
        <v>111</v>
      </c>
      <c r="E206" s="519" t="s">
        <v>1838</v>
      </c>
      <c r="F206" s="519" t="s">
        <v>16</v>
      </c>
      <c r="G206" s="519" t="s">
        <v>59</v>
      </c>
      <c r="H206" s="519" t="s">
        <v>153</v>
      </c>
      <c r="I206" s="881">
        <v>30798.709500000103</v>
      </c>
      <c r="J206" s="881">
        <v>289.3950317</v>
      </c>
      <c r="K206" s="60">
        <v>9.3088670428558215E-3</v>
      </c>
      <c r="L206" s="880">
        <v>3.0167145952636201</v>
      </c>
      <c r="M206">
        <v>0</v>
      </c>
      <c r="N206" s="60">
        <v>0.53630176615029801</v>
      </c>
      <c r="O206" s="881">
        <v>132242.20440000002</v>
      </c>
      <c r="P206" s="60">
        <v>8.2557362752490506E-3</v>
      </c>
      <c r="Q206" s="880">
        <v>3.09747622430229</v>
      </c>
      <c r="R206" s="60">
        <v>0.542820052853484</v>
      </c>
      <c r="S206" s="60">
        <v>0.52484831839357804</v>
      </c>
      <c r="T206" s="60">
        <v>0.27133827106413905</v>
      </c>
      <c r="U206" s="60">
        <v>0.24432135414707301</v>
      </c>
    </row>
    <row r="207" spans="1:21" x14ac:dyDescent="0.25">
      <c r="A207" s="519" t="s">
        <v>1851</v>
      </c>
      <c r="B207" s="519" t="s">
        <v>1853</v>
      </c>
      <c r="C207" s="519" t="s">
        <v>284</v>
      </c>
      <c r="D207" s="519" t="s">
        <v>111</v>
      </c>
      <c r="E207" s="519" t="s">
        <v>1838</v>
      </c>
      <c r="F207" s="519" t="s">
        <v>16</v>
      </c>
      <c r="G207" s="519" t="s">
        <v>59</v>
      </c>
      <c r="H207" s="519" t="s">
        <v>155</v>
      </c>
      <c r="I207" s="881">
        <v>57494.575700000103</v>
      </c>
      <c r="J207" s="881">
        <v>388.91306173999897</v>
      </c>
      <c r="K207" s="60">
        <v>6.7188946288438602E-3</v>
      </c>
      <c r="L207" s="880">
        <v>3.1166642467213901</v>
      </c>
      <c r="M207">
        <v>0</v>
      </c>
      <c r="N207" s="60">
        <v>0.559549976816334</v>
      </c>
      <c r="O207" s="881">
        <v>132242.20440000002</v>
      </c>
      <c r="P207" s="60">
        <v>8.2557362752490506E-3</v>
      </c>
      <c r="Q207" s="880">
        <v>3.09747622430229</v>
      </c>
      <c r="R207" s="60">
        <v>0.542820052853484</v>
      </c>
      <c r="S207" s="60">
        <v>0.52484831839357804</v>
      </c>
      <c r="T207" s="60">
        <v>0.35724869674627902</v>
      </c>
      <c r="U207" s="60">
        <v>0.32449113498182403</v>
      </c>
    </row>
    <row r="208" spans="1:21" x14ac:dyDescent="0.25">
      <c r="A208" s="519" t="s">
        <v>1854</v>
      </c>
      <c r="B208" s="519" t="s">
        <v>1855</v>
      </c>
      <c r="C208" s="519" t="s">
        <v>284</v>
      </c>
      <c r="D208" s="519" t="s">
        <v>111</v>
      </c>
      <c r="E208" s="519" t="s">
        <v>1838</v>
      </c>
      <c r="F208" s="519" t="s">
        <v>17</v>
      </c>
      <c r="G208" s="519" t="s">
        <v>56</v>
      </c>
      <c r="H208" s="519" t="s">
        <v>145</v>
      </c>
      <c r="I208" s="881">
        <v>33754.694000000098</v>
      </c>
      <c r="J208" s="881">
        <v>747.65989491000096</v>
      </c>
      <c r="K208" s="60">
        <v>2.1669822794910799E-2</v>
      </c>
      <c r="L208" s="880">
        <v>3.04135638775394</v>
      </c>
      <c r="M208">
        <v>0</v>
      </c>
      <c r="N208" s="60">
        <v>0.32976839013856701</v>
      </c>
      <c r="O208" s="881">
        <v>86995.63280000021</v>
      </c>
      <c r="P208" s="60">
        <v>1.6146767093701098E-2</v>
      </c>
      <c r="Q208" s="880">
        <v>3.0278993672922399</v>
      </c>
      <c r="R208" s="60">
        <v>0.542820052853484</v>
      </c>
      <c r="S208" s="60">
        <v>0.48151424677032706</v>
      </c>
      <c r="T208" s="60">
        <v>0.33733357385488205</v>
      </c>
      <c r="U208" s="60">
        <v>0.37575351089085601</v>
      </c>
    </row>
    <row r="209" spans="1:21" x14ac:dyDescent="0.25">
      <c r="A209" s="519" t="s">
        <v>1856</v>
      </c>
      <c r="B209" s="519" t="s">
        <v>1857</v>
      </c>
      <c r="C209" s="519" t="s">
        <v>284</v>
      </c>
      <c r="D209" s="519" t="s">
        <v>111</v>
      </c>
      <c r="E209" s="519" t="s">
        <v>1838</v>
      </c>
      <c r="F209" s="519" t="s">
        <v>17</v>
      </c>
      <c r="G209" s="519" t="s">
        <v>57</v>
      </c>
      <c r="H209" s="519" t="s">
        <v>149</v>
      </c>
      <c r="I209" s="881">
        <v>42181.077299999903</v>
      </c>
      <c r="J209" s="881">
        <v>3046.0586531399999</v>
      </c>
      <c r="K209" s="60">
        <v>6.7350244249293603E-2</v>
      </c>
      <c r="L209" s="880">
        <v>3.0417082088407201</v>
      </c>
      <c r="M209">
        <v>0</v>
      </c>
      <c r="N209" s="60">
        <v>0.17156699314552701</v>
      </c>
      <c r="O209" s="881">
        <v>42181.077299999903</v>
      </c>
      <c r="P209" s="60">
        <v>6.7350244249293895E-2</v>
      </c>
      <c r="Q209" s="880">
        <v>3.0417082088407201</v>
      </c>
      <c r="R209" s="60">
        <v>0.542820052853484</v>
      </c>
      <c r="S209" s="60">
        <v>0.17156699314552701</v>
      </c>
      <c r="T209" s="60">
        <v>0.42434008048692601</v>
      </c>
      <c r="U209" s="60">
        <v>0.91099548746582903</v>
      </c>
    </row>
    <row r="210" spans="1:21" x14ac:dyDescent="0.25">
      <c r="A210" s="519" t="s">
        <v>821</v>
      </c>
      <c r="B210" s="519" t="s">
        <v>822</v>
      </c>
      <c r="C210" s="519" t="s">
        <v>284</v>
      </c>
      <c r="D210" s="519" t="s">
        <v>110</v>
      </c>
      <c r="E210" s="519" t="s">
        <v>2</v>
      </c>
      <c r="F210" s="519" t="s">
        <v>70</v>
      </c>
      <c r="G210" s="519" t="s">
        <v>56</v>
      </c>
      <c r="H210" s="519" t="s">
        <v>144</v>
      </c>
      <c r="I210" s="881">
        <v>5383.6514000000006</v>
      </c>
      <c r="J210" s="881">
        <v>473.27853746</v>
      </c>
      <c r="K210" s="60">
        <v>8.0806590229633005E-2</v>
      </c>
      <c r="L210" s="880">
        <v>3.0286813669688999</v>
      </c>
      <c r="M210">
        <v>0</v>
      </c>
      <c r="N210" s="60">
        <v>0.21872645023041401</v>
      </c>
      <c r="O210" s="881">
        <v>31861.803067280001</v>
      </c>
      <c r="P210" s="60">
        <v>6.8837966980638793E-2</v>
      </c>
      <c r="Q210" s="880">
        <v>3.0421471494401202</v>
      </c>
      <c r="R210" s="60">
        <v>0.45183110211441602</v>
      </c>
      <c r="S210" s="60">
        <v>0.27880523414516101</v>
      </c>
      <c r="T210" s="60">
        <v>0.264177738288221</v>
      </c>
      <c r="U210" s="60">
        <v>0.217564705206401</v>
      </c>
    </row>
    <row r="211" spans="1:21" x14ac:dyDescent="0.25">
      <c r="A211" s="519" t="s">
        <v>821</v>
      </c>
      <c r="B211" s="519" t="s">
        <v>824</v>
      </c>
      <c r="C211" s="519" t="s">
        <v>284</v>
      </c>
      <c r="D211" s="519" t="s">
        <v>110</v>
      </c>
      <c r="E211" s="519" t="s">
        <v>2</v>
      </c>
      <c r="F211" s="519" t="s">
        <v>70</v>
      </c>
      <c r="G211" s="519" t="s">
        <v>56</v>
      </c>
      <c r="H211" s="519" t="s">
        <v>146</v>
      </c>
      <c r="I211" s="881">
        <v>11261.49335669</v>
      </c>
      <c r="J211" s="881">
        <v>1053.2422968600001</v>
      </c>
      <c r="K211" s="60">
        <v>8.5526991929898294E-2</v>
      </c>
      <c r="L211" s="880">
        <v>3.02331663546118</v>
      </c>
      <c r="M211">
        <v>0</v>
      </c>
      <c r="N211" s="60">
        <v>0.30878984645444002</v>
      </c>
      <c r="O211" s="881">
        <v>31861.803067280001</v>
      </c>
      <c r="P211" s="60">
        <v>6.8837966980638793E-2</v>
      </c>
      <c r="Q211" s="880">
        <v>3.0421471494401202</v>
      </c>
      <c r="R211" s="60">
        <v>0.45183110211441602</v>
      </c>
      <c r="S211" s="60">
        <v>0.27880523414516101</v>
      </c>
      <c r="T211" s="60">
        <v>0.341009497784655</v>
      </c>
      <c r="U211" s="60">
        <v>0.40744909207309205</v>
      </c>
    </row>
    <row r="212" spans="1:21" x14ac:dyDescent="0.25">
      <c r="A212" s="519" t="s">
        <v>825</v>
      </c>
      <c r="B212" s="519" t="s">
        <v>827</v>
      </c>
      <c r="C212" s="519" t="s">
        <v>284</v>
      </c>
      <c r="D212" s="519" t="s">
        <v>110</v>
      </c>
      <c r="E212" s="519" t="s">
        <v>2</v>
      </c>
      <c r="F212" s="519" t="s">
        <v>70</v>
      </c>
      <c r="G212" s="519" t="s">
        <v>57</v>
      </c>
      <c r="H212" s="519" t="s">
        <v>148</v>
      </c>
      <c r="I212" s="881">
        <v>5133.2975774799997</v>
      </c>
      <c r="J212" s="881">
        <v>963.43496805000007</v>
      </c>
      <c r="K212" s="60">
        <v>0.15802480441041702</v>
      </c>
      <c r="L212" s="880">
        <v>3.1550176445857399</v>
      </c>
      <c r="M212">
        <v>0</v>
      </c>
      <c r="N212" s="60">
        <v>0.44452538462034902</v>
      </c>
      <c r="O212" s="881">
        <v>30712.732643740001</v>
      </c>
      <c r="P212" s="60">
        <v>9.7354794079701795E-2</v>
      </c>
      <c r="Q212" s="880">
        <v>3.1863487064382201</v>
      </c>
      <c r="R212" s="60">
        <v>0.45183110211441602</v>
      </c>
      <c r="S212" s="60">
        <v>0.306905891312515</v>
      </c>
      <c r="T212" s="60">
        <v>0.18130949879590103</v>
      </c>
      <c r="U212" s="60">
        <v>0.30469431739521102</v>
      </c>
    </row>
    <row r="213" spans="1:21" x14ac:dyDescent="0.25">
      <c r="A213" s="519" t="s">
        <v>829</v>
      </c>
      <c r="B213" s="519" t="s">
        <v>830</v>
      </c>
      <c r="C213" s="519" t="s">
        <v>284</v>
      </c>
      <c r="D213" s="519" t="s">
        <v>110</v>
      </c>
      <c r="E213" s="519" t="s">
        <v>2</v>
      </c>
      <c r="F213" s="519" t="s">
        <v>70</v>
      </c>
      <c r="G213" s="519" t="s">
        <v>58</v>
      </c>
      <c r="H213" s="519" t="s">
        <v>150</v>
      </c>
      <c r="I213" s="881">
        <v>5246.2016715500004</v>
      </c>
      <c r="J213" s="881">
        <v>2503.9203539300001</v>
      </c>
      <c r="K213" s="60">
        <v>0.32308141029236503</v>
      </c>
      <c r="L213" s="880">
        <v>4.2532258889852201</v>
      </c>
      <c r="M213">
        <v>0</v>
      </c>
      <c r="N213" s="60">
        <v>7.0564881637618093E-2</v>
      </c>
      <c r="O213" s="881">
        <v>11037.160692540001</v>
      </c>
      <c r="P213" s="60">
        <v>0.34809722148593802</v>
      </c>
      <c r="Q213" s="880">
        <v>4.0396485768372603</v>
      </c>
      <c r="R213" s="60">
        <v>0.45183110211441602</v>
      </c>
      <c r="S213" s="60">
        <v>0.157019508149534</v>
      </c>
      <c r="T213" s="60">
        <v>0.44030805968813103</v>
      </c>
      <c r="U213" s="60">
        <v>0.37569791554303406</v>
      </c>
    </row>
    <row r="214" spans="1:21" x14ac:dyDescent="0.25">
      <c r="A214" s="519" t="s">
        <v>829</v>
      </c>
      <c r="B214" s="519" t="s">
        <v>832</v>
      </c>
      <c r="C214" s="519" t="s">
        <v>284</v>
      </c>
      <c r="D214" s="519" t="s">
        <v>110</v>
      </c>
      <c r="E214" s="519" t="s">
        <v>2</v>
      </c>
      <c r="F214" s="519" t="s">
        <v>70</v>
      </c>
      <c r="G214" s="519" t="s">
        <v>58</v>
      </c>
      <c r="H214" s="519" t="s">
        <v>152</v>
      </c>
      <c r="I214" s="881">
        <v>3653.3591809899999</v>
      </c>
      <c r="J214" s="881">
        <v>3131.7528300000004</v>
      </c>
      <c r="K214" s="60">
        <v>0.46156243624680504</v>
      </c>
      <c r="L214" s="880">
        <v>4.0372319098479803</v>
      </c>
      <c r="M214">
        <v>0</v>
      </c>
      <c r="N214" s="60">
        <v>0.11866728176245701</v>
      </c>
      <c r="O214" s="881">
        <v>11037.160692540001</v>
      </c>
      <c r="P214" s="60">
        <v>0.34809722148593802</v>
      </c>
      <c r="Q214" s="880">
        <v>4.0396485768372603</v>
      </c>
      <c r="R214" s="60">
        <v>0.45183110211441602</v>
      </c>
      <c r="S214" s="60">
        <v>0.157019508149534</v>
      </c>
      <c r="T214" s="60">
        <v>0.34583678241796301</v>
      </c>
      <c r="U214" s="60">
        <v>0.44913070446818304</v>
      </c>
    </row>
    <row r="215" spans="1:21" x14ac:dyDescent="0.25">
      <c r="A215" s="519" t="s">
        <v>833</v>
      </c>
      <c r="B215" s="519" t="s">
        <v>835</v>
      </c>
      <c r="C215" s="519" t="s">
        <v>284</v>
      </c>
      <c r="D215" s="519" t="s">
        <v>110</v>
      </c>
      <c r="E215" s="519" t="s">
        <v>2</v>
      </c>
      <c r="F215" s="519" t="s">
        <v>70</v>
      </c>
      <c r="G215" s="519" t="s">
        <v>59</v>
      </c>
      <c r="H215" s="519" t="s">
        <v>154</v>
      </c>
      <c r="I215" s="881">
        <v>3800.3146846200002</v>
      </c>
      <c r="J215" s="881">
        <v>76.580895980000008</v>
      </c>
      <c r="K215" s="60">
        <v>1.9753148979098401E-2</v>
      </c>
      <c r="L215" s="880">
        <v>4.14371993870878</v>
      </c>
      <c r="M215">
        <v>0</v>
      </c>
      <c r="N215" s="60">
        <v>4.9520057052543198E-2</v>
      </c>
      <c r="O215" s="881">
        <v>11537.908442</v>
      </c>
      <c r="P215" s="60">
        <v>4.7987282510435901E-2</v>
      </c>
      <c r="Q215" s="880">
        <v>3.7382868855551399</v>
      </c>
      <c r="R215" s="60">
        <v>0.45183110211441602</v>
      </c>
      <c r="S215" s="60">
        <v>8.0683422362002502E-2</v>
      </c>
      <c r="T215" s="60">
        <v>0.29330496410384205</v>
      </c>
      <c r="U215" s="60">
        <v>0.22248055329642902</v>
      </c>
    </row>
    <row r="216" spans="1:21" x14ac:dyDescent="0.25">
      <c r="A216" s="519" t="s">
        <v>837</v>
      </c>
      <c r="B216" s="519" t="s">
        <v>839</v>
      </c>
      <c r="C216" s="519" t="s">
        <v>284</v>
      </c>
      <c r="D216" s="519" t="s">
        <v>110</v>
      </c>
      <c r="E216" s="519" t="s">
        <v>2</v>
      </c>
      <c r="F216" s="519" t="s">
        <v>16</v>
      </c>
      <c r="G216" s="519" t="s">
        <v>56</v>
      </c>
      <c r="H216" s="519" t="s">
        <v>145</v>
      </c>
      <c r="I216" s="881">
        <v>7326.3119485800098</v>
      </c>
      <c r="J216" s="881">
        <v>246.03282082000001</v>
      </c>
      <c r="K216" s="60">
        <v>3.2490969219233598E-2</v>
      </c>
      <c r="L216" s="880">
        <v>3.0620086762098802</v>
      </c>
      <c r="M216">
        <v>0</v>
      </c>
      <c r="N216" s="60">
        <v>0.13667570900991702</v>
      </c>
      <c r="O216" s="881">
        <v>26856.4064253</v>
      </c>
      <c r="P216" s="60">
        <v>1.9982165428306099E-2</v>
      </c>
      <c r="Q216" s="880">
        <v>3.0454705817187602</v>
      </c>
      <c r="R216" s="60">
        <v>0.45183110211441602</v>
      </c>
      <c r="S216" s="60">
        <v>0.19472053696184602</v>
      </c>
      <c r="T216" s="60">
        <v>0.39481276392712505</v>
      </c>
      <c r="U216" s="60">
        <v>0.37498620272050703</v>
      </c>
    </row>
    <row r="217" spans="1:21" x14ac:dyDescent="0.25">
      <c r="A217" s="519" t="s">
        <v>841</v>
      </c>
      <c r="B217" s="519" t="s">
        <v>842</v>
      </c>
      <c r="C217" s="519" t="s">
        <v>284</v>
      </c>
      <c r="D217" s="519" t="s">
        <v>110</v>
      </c>
      <c r="E217" s="519" t="s">
        <v>2</v>
      </c>
      <c r="F217" s="519" t="s">
        <v>16</v>
      </c>
      <c r="G217" s="519" t="s">
        <v>57</v>
      </c>
      <c r="H217" s="519" t="s">
        <v>147</v>
      </c>
      <c r="I217" s="881">
        <v>5424.8741005399997</v>
      </c>
      <c r="J217" s="881">
        <v>165.61459959000001</v>
      </c>
      <c r="K217" s="60">
        <v>2.9624351013561399E-2</v>
      </c>
      <c r="L217" s="880">
        <v>3.1049067832327499</v>
      </c>
      <c r="M217">
        <v>0</v>
      </c>
      <c r="N217" s="60">
        <v>0.12358572154389</v>
      </c>
      <c r="O217" s="881">
        <v>18014.00617674</v>
      </c>
      <c r="P217" s="60">
        <v>6.5095718424609594E-2</v>
      </c>
      <c r="Q217" s="880">
        <v>3.07508391751329</v>
      </c>
      <c r="R217" s="60">
        <v>0.45183110211441602</v>
      </c>
      <c r="S217" s="60">
        <v>0.11297063740478201</v>
      </c>
      <c r="T217" s="60">
        <v>0.28858918399213102</v>
      </c>
      <c r="U217" s="60">
        <v>0.19517853661196802</v>
      </c>
    </row>
    <row r="218" spans="1:21" x14ac:dyDescent="0.25">
      <c r="A218" s="519" t="s">
        <v>841</v>
      </c>
      <c r="B218" s="519" t="s">
        <v>844</v>
      </c>
      <c r="C218" s="519" t="s">
        <v>284</v>
      </c>
      <c r="D218" s="519" t="s">
        <v>110</v>
      </c>
      <c r="E218" s="519" t="s">
        <v>2</v>
      </c>
      <c r="F218" s="519" t="s">
        <v>16</v>
      </c>
      <c r="G218" s="519" t="s">
        <v>57</v>
      </c>
      <c r="H218" s="519" t="s">
        <v>149</v>
      </c>
      <c r="I218" s="881">
        <v>8887.8090601799995</v>
      </c>
      <c r="J218" s="881">
        <v>660.62404558000003</v>
      </c>
      <c r="K218" s="60">
        <v>6.9186644370109796E-2</v>
      </c>
      <c r="L218" s="880">
        <v>3.0428989584893</v>
      </c>
      <c r="M218">
        <v>0</v>
      </c>
      <c r="N218" s="60">
        <v>7.9294514005426503E-2</v>
      </c>
      <c r="O218" s="881">
        <v>18014.00617674</v>
      </c>
      <c r="P218" s="60">
        <v>6.5095718424609594E-2</v>
      </c>
      <c r="Q218" s="880">
        <v>3.07508391751329</v>
      </c>
      <c r="R218" s="60">
        <v>0.45183110211441602</v>
      </c>
      <c r="S218" s="60">
        <v>0.11297063740478201</v>
      </c>
      <c r="T218" s="60">
        <v>0.53010131721196807</v>
      </c>
      <c r="U218" s="60">
        <v>0.50012714599282004</v>
      </c>
    </row>
    <row r="219" spans="1:21" x14ac:dyDescent="0.25">
      <c r="A219" s="519" t="s">
        <v>845</v>
      </c>
      <c r="B219" s="519" t="s">
        <v>847</v>
      </c>
      <c r="C219" s="519" t="s">
        <v>284</v>
      </c>
      <c r="D219" s="519" t="s">
        <v>110</v>
      </c>
      <c r="E219" s="519" t="s">
        <v>2</v>
      </c>
      <c r="F219" s="519" t="s">
        <v>16</v>
      </c>
      <c r="G219" s="519" t="s">
        <v>58</v>
      </c>
      <c r="H219" s="519" t="s">
        <v>151</v>
      </c>
      <c r="I219" s="881">
        <v>3389.7938446399999</v>
      </c>
      <c r="J219" s="881">
        <v>994.803515320001</v>
      </c>
      <c r="K219" s="60">
        <v>0.22688594496829201</v>
      </c>
      <c r="L219" s="880">
        <v>3.0320155175213301</v>
      </c>
      <c r="M219">
        <v>0</v>
      </c>
      <c r="N219" s="60">
        <v>0.19536565654196303</v>
      </c>
      <c r="O219" s="881">
        <v>14809.27546114</v>
      </c>
      <c r="P219" s="60">
        <v>7.8267094297221104E-2</v>
      </c>
      <c r="Q219" s="880">
        <v>3.1565282945956001</v>
      </c>
      <c r="R219" s="60">
        <v>0.45183110211441602</v>
      </c>
      <c r="S219" s="60">
        <v>0.26851538112411399</v>
      </c>
      <c r="T219" s="60">
        <v>0.21385515789390602</v>
      </c>
      <c r="U219" s="60">
        <v>0.17517137998878302</v>
      </c>
    </row>
    <row r="220" spans="1:21" x14ac:dyDescent="0.25">
      <c r="A220" s="519" t="s">
        <v>849</v>
      </c>
      <c r="B220" s="519" t="s">
        <v>304</v>
      </c>
      <c r="C220" s="519" t="s">
        <v>284</v>
      </c>
      <c r="D220" s="519" t="s">
        <v>110</v>
      </c>
      <c r="E220" s="519" t="s">
        <v>2</v>
      </c>
      <c r="F220" s="519" t="s">
        <v>16</v>
      </c>
      <c r="G220" s="519" t="s">
        <v>59</v>
      </c>
      <c r="H220" s="519" t="s">
        <v>153</v>
      </c>
      <c r="I220" s="881">
        <v>2511.2661725600001</v>
      </c>
      <c r="J220" s="881">
        <v>182.16570428</v>
      </c>
      <c r="K220" s="60">
        <v>6.7633306729005305E-2</v>
      </c>
      <c r="L220" s="880">
        <v>3.2631601515570599</v>
      </c>
      <c r="M220">
        <v>0</v>
      </c>
      <c r="N220" s="60">
        <v>9.1949408837299601E-2</v>
      </c>
      <c r="O220" s="881">
        <v>10648.68927486</v>
      </c>
      <c r="P220" s="60">
        <v>4.7601517006002798E-2</v>
      </c>
      <c r="Q220" s="880">
        <v>3.4928151212910499</v>
      </c>
      <c r="R220" s="60">
        <v>0.45183110211441602</v>
      </c>
      <c r="S220" s="60">
        <v>0.39171955044155804</v>
      </c>
      <c r="T220" s="60">
        <v>0.22535723757052101</v>
      </c>
      <c r="U220" s="60">
        <v>0.23658313880697301</v>
      </c>
    </row>
    <row r="221" spans="1:21" x14ac:dyDescent="0.25">
      <c r="A221" s="519" t="s">
        <v>849</v>
      </c>
      <c r="B221" s="519" t="s">
        <v>851</v>
      </c>
      <c r="C221" s="519" t="s">
        <v>284</v>
      </c>
      <c r="D221" s="519" t="s">
        <v>110</v>
      </c>
      <c r="E221" s="519" t="s">
        <v>2</v>
      </c>
      <c r="F221" s="519" t="s">
        <v>16</v>
      </c>
      <c r="G221" s="519" t="s">
        <v>59</v>
      </c>
      <c r="H221" s="519" t="s">
        <v>155</v>
      </c>
      <c r="I221" s="881">
        <v>5430.2985399899999</v>
      </c>
      <c r="J221" s="881">
        <v>178.84277337</v>
      </c>
      <c r="K221" s="60">
        <v>3.1884162544457098E-2</v>
      </c>
      <c r="L221" s="880">
        <v>3.65399138037214</v>
      </c>
      <c r="M221">
        <v>0</v>
      </c>
      <c r="N221" s="60">
        <v>0.54013355465266999</v>
      </c>
      <c r="O221" s="881">
        <v>10648.68927486</v>
      </c>
      <c r="P221" s="60">
        <v>4.7601517006002798E-2</v>
      </c>
      <c r="Q221" s="880">
        <v>3.4928151212910499</v>
      </c>
      <c r="R221" s="60">
        <v>0.45183110211441602</v>
      </c>
      <c r="S221" s="60">
        <v>0.39171955044155804</v>
      </c>
      <c r="T221" s="60">
        <v>0.48133779832563706</v>
      </c>
      <c r="U221" s="60">
        <v>0.54093630789659808</v>
      </c>
    </row>
    <row r="222" spans="1:21" x14ac:dyDescent="0.25">
      <c r="A222" s="519" t="s">
        <v>852</v>
      </c>
      <c r="B222" s="519" t="s">
        <v>332</v>
      </c>
      <c r="C222" s="519" t="s">
        <v>284</v>
      </c>
      <c r="D222" s="519" t="s">
        <v>110</v>
      </c>
      <c r="E222" s="519" t="s">
        <v>2</v>
      </c>
      <c r="F222" s="519" t="s">
        <v>17</v>
      </c>
      <c r="G222" s="519" t="s">
        <v>56</v>
      </c>
      <c r="H222" s="519" t="s">
        <v>144</v>
      </c>
      <c r="I222" s="881">
        <v>5407.8988439699997</v>
      </c>
      <c r="J222" s="881">
        <v>171.88775115999999</v>
      </c>
      <c r="K222" s="60">
        <v>3.0805434621822701E-2</v>
      </c>
      <c r="L222" s="880">
        <v>3.07343176133242</v>
      </c>
      <c r="M222">
        <v>0</v>
      </c>
      <c r="N222" s="60">
        <v>0.21366898555959901</v>
      </c>
      <c r="O222" s="881">
        <v>20659.333903040002</v>
      </c>
      <c r="P222" s="60">
        <v>2.5748706181480899E-2</v>
      </c>
      <c r="Q222" s="880">
        <v>3.12213616057688</v>
      </c>
      <c r="R222" s="60">
        <v>0.45183110211441602</v>
      </c>
      <c r="S222" s="60">
        <v>0.31577516933593103</v>
      </c>
      <c r="T222" s="60">
        <v>0.264177738288221</v>
      </c>
      <c r="U222" s="60">
        <v>0.217564705206401</v>
      </c>
    </row>
    <row r="223" spans="1:21" x14ac:dyDescent="0.25">
      <c r="A223" s="519" t="s">
        <v>852</v>
      </c>
      <c r="B223" s="519" t="s">
        <v>333</v>
      </c>
      <c r="C223" s="519" t="s">
        <v>284</v>
      </c>
      <c r="D223" s="519" t="s">
        <v>110</v>
      </c>
      <c r="E223" s="519" t="s">
        <v>2</v>
      </c>
      <c r="F223" s="519" t="s">
        <v>17</v>
      </c>
      <c r="G223" s="519" t="s">
        <v>56</v>
      </c>
      <c r="H223" s="519" t="s">
        <v>146</v>
      </c>
      <c r="I223" s="881">
        <v>6455.1380164700004</v>
      </c>
      <c r="J223" s="881">
        <v>155.73513331000001</v>
      </c>
      <c r="K223" s="60">
        <v>2.35574227158152E-2</v>
      </c>
      <c r="L223" s="880">
        <v>3.1319681765003802</v>
      </c>
      <c r="M223">
        <v>0</v>
      </c>
      <c r="N223" s="60">
        <v>0.33653125557615204</v>
      </c>
      <c r="O223" s="881">
        <v>20659.333903040002</v>
      </c>
      <c r="P223" s="60">
        <v>2.5748706181480899E-2</v>
      </c>
      <c r="Q223" s="880">
        <v>3.12213616057688</v>
      </c>
      <c r="R223" s="60">
        <v>0.45183110211441602</v>
      </c>
      <c r="S223" s="60">
        <v>0.31577516933593103</v>
      </c>
      <c r="T223" s="60">
        <v>0.341009497784655</v>
      </c>
      <c r="U223" s="60">
        <v>0.40744909207309205</v>
      </c>
    </row>
    <row r="224" spans="1:21" x14ac:dyDescent="0.25">
      <c r="A224" s="519" t="s">
        <v>853</v>
      </c>
      <c r="B224" s="519" t="s">
        <v>854</v>
      </c>
      <c r="C224" s="519" t="s">
        <v>284</v>
      </c>
      <c r="D224" s="519" t="s">
        <v>110</v>
      </c>
      <c r="E224" s="519" t="s">
        <v>285</v>
      </c>
      <c r="F224" s="519" t="s">
        <v>70</v>
      </c>
      <c r="G224" s="519" t="s">
        <v>56</v>
      </c>
      <c r="H224" s="519" t="s">
        <v>144</v>
      </c>
      <c r="I224" s="881">
        <v>74622.627097279998</v>
      </c>
      <c r="J224" s="881">
        <v>8542.048790759949</v>
      </c>
      <c r="K224" s="60">
        <v>0.102712464150761</v>
      </c>
      <c r="L224" s="880">
        <v>2.9516889854938202</v>
      </c>
      <c r="M224">
        <v>0</v>
      </c>
      <c r="N224" s="60">
        <v>4.9740471816427101E-2</v>
      </c>
      <c r="O224" s="881">
        <v>246321.2955101</v>
      </c>
      <c r="P224" s="60">
        <v>0.110047485687062</v>
      </c>
      <c r="Q224" s="880">
        <v>2.98140019123709</v>
      </c>
      <c r="R224" s="60">
        <v>0.67624146991175804</v>
      </c>
      <c r="S224" s="60">
        <v>6.3587499879513204E-2</v>
      </c>
      <c r="T224" s="60">
        <v>0.37691230285193306</v>
      </c>
      <c r="U224" s="60">
        <v>0.35325570674163803</v>
      </c>
    </row>
    <row r="225" spans="1:21" x14ac:dyDescent="0.25">
      <c r="A225" s="519" t="s">
        <v>853</v>
      </c>
      <c r="B225" s="519" t="s">
        <v>856</v>
      </c>
      <c r="C225" s="519" t="s">
        <v>284</v>
      </c>
      <c r="D225" s="519" t="s">
        <v>110</v>
      </c>
      <c r="E225" s="519" t="s">
        <v>285</v>
      </c>
      <c r="F225" s="519" t="s">
        <v>70</v>
      </c>
      <c r="G225" s="519" t="s">
        <v>56</v>
      </c>
      <c r="H225" s="519" t="s">
        <v>146</v>
      </c>
      <c r="I225" s="881">
        <v>96611.900673559809</v>
      </c>
      <c r="J225" s="881">
        <v>13967.785940989901</v>
      </c>
      <c r="K225" s="60">
        <v>0.12631421166599802</v>
      </c>
      <c r="L225" s="880">
        <v>3.00386294986256</v>
      </c>
      <c r="M225">
        <v>0</v>
      </c>
      <c r="N225" s="60">
        <v>6.4206329414422003E-2</v>
      </c>
      <c r="O225" s="881">
        <v>246321.2955101</v>
      </c>
      <c r="P225" s="60">
        <v>0.110047485687062</v>
      </c>
      <c r="Q225" s="880">
        <v>2.98140019123709</v>
      </c>
      <c r="R225" s="60">
        <v>0.67624146991175804</v>
      </c>
      <c r="S225" s="60">
        <v>6.3587499879513204E-2</v>
      </c>
      <c r="T225" s="60">
        <v>0.32291744842033704</v>
      </c>
      <c r="U225" s="60">
        <v>0.34656250689061202</v>
      </c>
    </row>
    <row r="226" spans="1:21" x14ac:dyDescent="0.25">
      <c r="A226" s="519" t="s">
        <v>857</v>
      </c>
      <c r="B226" s="519" t="s">
        <v>859</v>
      </c>
      <c r="C226" s="519" t="s">
        <v>284</v>
      </c>
      <c r="D226" s="519" t="s">
        <v>110</v>
      </c>
      <c r="E226" s="519" t="s">
        <v>285</v>
      </c>
      <c r="F226" s="519" t="s">
        <v>70</v>
      </c>
      <c r="G226" s="519" t="s">
        <v>57</v>
      </c>
      <c r="H226" s="519" t="s">
        <v>148</v>
      </c>
      <c r="I226" s="881">
        <v>73192.228924600102</v>
      </c>
      <c r="J226" s="881">
        <v>4131.9542594100003</v>
      </c>
      <c r="K226" s="60">
        <v>5.3436765695631196E-2</v>
      </c>
      <c r="L226" s="880">
        <v>3.0125623852927901</v>
      </c>
      <c r="M226">
        <v>0</v>
      </c>
      <c r="N226" s="60">
        <v>8.4344322760816007E-2</v>
      </c>
      <c r="O226" s="881">
        <v>308555.42185838002</v>
      </c>
      <c r="P226" s="60">
        <v>6.1369098151445402E-2</v>
      </c>
      <c r="Q226" s="880">
        <v>3.0084729934767802</v>
      </c>
      <c r="R226" s="60">
        <v>0.67624146991175804</v>
      </c>
      <c r="S226" s="60">
        <v>6.2027299750786101E-2</v>
      </c>
      <c r="T226" s="60">
        <v>0.23583162086385601</v>
      </c>
      <c r="U226" s="60">
        <v>0.28781352326607401</v>
      </c>
    </row>
    <row r="227" spans="1:21" x14ac:dyDescent="0.25">
      <c r="A227" s="519" t="s">
        <v>861</v>
      </c>
      <c r="B227" s="519" t="s">
        <v>862</v>
      </c>
      <c r="C227" s="519" t="s">
        <v>284</v>
      </c>
      <c r="D227" s="519" t="s">
        <v>110</v>
      </c>
      <c r="E227" s="519" t="s">
        <v>285</v>
      </c>
      <c r="F227" s="519" t="s">
        <v>70</v>
      </c>
      <c r="G227" s="519" t="s">
        <v>58</v>
      </c>
      <c r="H227" s="519" t="s">
        <v>150</v>
      </c>
      <c r="I227" s="881">
        <v>214111.860844568</v>
      </c>
      <c r="J227" s="881">
        <v>7778.3799134899091</v>
      </c>
      <c r="K227" s="60">
        <v>3.5055078974704501E-2</v>
      </c>
      <c r="L227" s="880">
        <v>2.9987116409685202</v>
      </c>
      <c r="M227">
        <v>0</v>
      </c>
      <c r="N227" s="60">
        <v>5.5057113766797096E-2</v>
      </c>
      <c r="O227" s="881">
        <v>439216.623988976</v>
      </c>
      <c r="P227" s="60">
        <v>3.0131903062375301E-2</v>
      </c>
      <c r="Q227" s="880">
        <v>3.05338036762164</v>
      </c>
      <c r="R227" s="60">
        <v>0.67624146991175804</v>
      </c>
      <c r="S227" s="60">
        <v>8.0374745025375005E-2</v>
      </c>
      <c r="T227" s="60">
        <v>0.50948329785499102</v>
      </c>
      <c r="U227" s="60">
        <v>0.52723374189639904</v>
      </c>
    </row>
    <row r="228" spans="1:21" x14ac:dyDescent="0.25">
      <c r="A228" s="519" t="s">
        <v>861</v>
      </c>
      <c r="B228" s="519" t="s">
        <v>864</v>
      </c>
      <c r="C228" s="519" t="s">
        <v>284</v>
      </c>
      <c r="D228" s="519" t="s">
        <v>110</v>
      </c>
      <c r="E228" s="519" t="s">
        <v>285</v>
      </c>
      <c r="F228" s="519" t="s">
        <v>70</v>
      </c>
      <c r="G228" s="519" t="s">
        <v>58</v>
      </c>
      <c r="H228" s="519" t="s">
        <v>152</v>
      </c>
      <c r="I228" s="881">
        <v>156816.74196592902</v>
      </c>
      <c r="J228" s="881">
        <v>3579.1641852600196</v>
      </c>
      <c r="K228" s="60">
        <v>2.2314560708839401E-2</v>
      </c>
      <c r="L228" s="880">
        <v>3.1184687312907098</v>
      </c>
      <c r="M228">
        <v>0</v>
      </c>
      <c r="N228" s="60">
        <v>9.2884983325598594E-2</v>
      </c>
      <c r="O228" s="881">
        <v>439216.623988976</v>
      </c>
      <c r="P228" s="60">
        <v>3.0131903062375301E-2</v>
      </c>
      <c r="Q228" s="880">
        <v>3.05338036762164</v>
      </c>
      <c r="R228" s="60">
        <v>0.67624146991175804</v>
      </c>
      <c r="S228" s="60">
        <v>8.0374745025375005E-2</v>
      </c>
      <c r="T228" s="60">
        <v>0.32078827764290002</v>
      </c>
      <c r="U228" s="60">
        <v>0.2300937028028</v>
      </c>
    </row>
    <row r="229" spans="1:21" x14ac:dyDescent="0.25">
      <c r="A229" s="519" t="s">
        <v>865</v>
      </c>
      <c r="B229" s="519" t="s">
        <v>867</v>
      </c>
      <c r="C229" s="519" t="s">
        <v>284</v>
      </c>
      <c r="D229" s="519" t="s">
        <v>110</v>
      </c>
      <c r="E229" s="519" t="s">
        <v>285</v>
      </c>
      <c r="F229" s="519" t="s">
        <v>70</v>
      </c>
      <c r="G229" s="519" t="s">
        <v>59</v>
      </c>
      <c r="H229" s="519" t="s">
        <v>154</v>
      </c>
      <c r="I229" s="881">
        <v>244647.94976724702</v>
      </c>
      <c r="J229" s="881">
        <v>5973.3815110999494</v>
      </c>
      <c r="K229" s="60">
        <v>2.3834290084692299E-2</v>
      </c>
      <c r="L229" s="880">
        <v>2.9629640635125098</v>
      </c>
      <c r="M229">
        <v>0</v>
      </c>
      <c r="N229" s="60">
        <v>3.12692593061909E-2</v>
      </c>
      <c r="O229" s="881">
        <v>682559.28409791202</v>
      </c>
      <c r="P229" s="60">
        <v>2.3332974476755499E-2</v>
      </c>
      <c r="Q229" s="880">
        <v>3.0003354907825202</v>
      </c>
      <c r="R229" s="60">
        <v>0.67624146991175804</v>
      </c>
      <c r="S229" s="60">
        <v>3.6728244632716602E-2</v>
      </c>
      <c r="T229" s="60">
        <v>0.33078140978894705</v>
      </c>
      <c r="U229" s="60">
        <v>0.40348205227164902</v>
      </c>
    </row>
    <row r="230" spans="1:21" x14ac:dyDescent="0.25">
      <c r="A230" s="519" t="s">
        <v>869</v>
      </c>
      <c r="B230" s="519" t="s">
        <v>870</v>
      </c>
      <c r="C230" s="519" t="s">
        <v>284</v>
      </c>
      <c r="D230" s="519" t="s">
        <v>110</v>
      </c>
      <c r="E230" s="519" t="s">
        <v>285</v>
      </c>
      <c r="F230" s="519" t="s">
        <v>16</v>
      </c>
      <c r="G230" s="519" t="s">
        <v>56</v>
      </c>
      <c r="H230" s="519" t="s">
        <v>144</v>
      </c>
      <c r="I230" s="881">
        <v>145837.065391999</v>
      </c>
      <c r="J230" s="881">
        <v>7846.4113414699395</v>
      </c>
      <c r="K230" s="60">
        <v>5.1055660037401696E-2</v>
      </c>
      <c r="L230" s="880">
        <v>3.0969061036370999</v>
      </c>
      <c r="M230">
        <v>0</v>
      </c>
      <c r="N230" s="60">
        <v>8.2849441927009895E-2</v>
      </c>
      <c r="O230" s="881">
        <v>341186.19917157001</v>
      </c>
      <c r="P230" s="60">
        <v>5.2970328531685096E-2</v>
      </c>
      <c r="Q230" s="880">
        <v>3.1085568488952302</v>
      </c>
      <c r="R230" s="60">
        <v>0.67624146991175804</v>
      </c>
      <c r="S230" s="60">
        <v>7.9028790700590504E-2</v>
      </c>
      <c r="T230" s="60">
        <v>0.37691230285193306</v>
      </c>
      <c r="U230" s="60">
        <v>0.35325570674163803</v>
      </c>
    </row>
    <row r="231" spans="1:21" x14ac:dyDescent="0.25">
      <c r="A231" s="519" t="s">
        <v>869</v>
      </c>
      <c r="B231" s="519" t="s">
        <v>872</v>
      </c>
      <c r="C231" s="519" t="s">
        <v>284</v>
      </c>
      <c r="D231" s="519" t="s">
        <v>110</v>
      </c>
      <c r="E231" s="519" t="s">
        <v>285</v>
      </c>
      <c r="F231" s="519" t="s">
        <v>16</v>
      </c>
      <c r="G231" s="519" t="s">
        <v>56</v>
      </c>
      <c r="H231" s="519" t="s">
        <v>146</v>
      </c>
      <c r="I231" s="881">
        <v>96768.760514030408</v>
      </c>
      <c r="J231" s="881">
        <v>4537.8641758100002</v>
      </c>
      <c r="K231" s="60">
        <v>4.4793360648458298E-2</v>
      </c>
      <c r="L231" s="880">
        <v>3.10973270630525</v>
      </c>
      <c r="M231">
        <v>0</v>
      </c>
      <c r="N231" s="60">
        <v>8.7123428804253791E-2</v>
      </c>
      <c r="O231" s="881">
        <v>341186.19917157001</v>
      </c>
      <c r="P231" s="60">
        <v>5.2970328531685096E-2</v>
      </c>
      <c r="Q231" s="880">
        <v>3.1085568488952302</v>
      </c>
      <c r="R231" s="60">
        <v>0.67624146991175804</v>
      </c>
      <c r="S231" s="60">
        <v>7.9028790700590504E-2</v>
      </c>
      <c r="T231" s="60">
        <v>0.32291744842033704</v>
      </c>
      <c r="U231" s="60">
        <v>0.34656250689061202</v>
      </c>
    </row>
    <row r="232" spans="1:21" x14ac:dyDescent="0.25">
      <c r="A232" s="519" t="s">
        <v>873</v>
      </c>
      <c r="B232" s="519" t="s">
        <v>875</v>
      </c>
      <c r="C232" s="519" t="s">
        <v>284</v>
      </c>
      <c r="D232" s="519" t="s">
        <v>110</v>
      </c>
      <c r="E232" s="519" t="s">
        <v>285</v>
      </c>
      <c r="F232" s="519" t="s">
        <v>16</v>
      </c>
      <c r="G232" s="519" t="s">
        <v>57</v>
      </c>
      <c r="H232" s="519" t="s">
        <v>148</v>
      </c>
      <c r="I232" s="881">
        <v>84779.828465310202</v>
      </c>
      <c r="J232" s="881">
        <v>10122.905095099999</v>
      </c>
      <c r="K232" s="60">
        <v>0.10666610660541501</v>
      </c>
      <c r="L232" s="880">
        <v>2.9603239754051698</v>
      </c>
      <c r="M232">
        <v>0</v>
      </c>
      <c r="N232" s="60">
        <v>8.7694220405294898E-2</v>
      </c>
      <c r="O232" s="881">
        <v>361295.62191283103</v>
      </c>
      <c r="P232" s="60">
        <v>7.5142193544922894E-2</v>
      </c>
      <c r="Q232" s="880">
        <v>3.03544588823573</v>
      </c>
      <c r="R232" s="60">
        <v>0.67624146991175804</v>
      </c>
      <c r="S232" s="60">
        <v>7.1595345380827499E-2</v>
      </c>
      <c r="T232" s="60">
        <v>0.23583162086385601</v>
      </c>
      <c r="U232" s="60">
        <v>0.28781352326607401</v>
      </c>
    </row>
    <row r="233" spans="1:21" x14ac:dyDescent="0.25">
      <c r="A233" s="519" t="s">
        <v>877</v>
      </c>
      <c r="B233" s="519" t="s">
        <v>878</v>
      </c>
      <c r="C233" s="519" t="s">
        <v>284</v>
      </c>
      <c r="D233" s="519" t="s">
        <v>110</v>
      </c>
      <c r="E233" s="519" t="s">
        <v>285</v>
      </c>
      <c r="F233" s="519" t="s">
        <v>16</v>
      </c>
      <c r="G233" s="519" t="s">
        <v>58</v>
      </c>
      <c r="H233" s="519" t="s">
        <v>150</v>
      </c>
      <c r="I233" s="881">
        <v>263788.87862494</v>
      </c>
      <c r="J233" s="881">
        <v>10202.426770889901</v>
      </c>
      <c r="K233" s="60">
        <v>3.7236315788016006E-2</v>
      </c>
      <c r="L233" s="880">
        <v>3.0759603198686398</v>
      </c>
      <c r="M233">
        <v>0</v>
      </c>
      <c r="N233" s="60">
        <v>0.20580818622899802</v>
      </c>
      <c r="O233" s="881">
        <v>498793.98692123103</v>
      </c>
      <c r="P233" s="60">
        <v>3.9399816650156502E-2</v>
      </c>
      <c r="Q233" s="880">
        <v>3.08295603265374</v>
      </c>
      <c r="R233" s="60">
        <v>0.67624146991175804</v>
      </c>
      <c r="S233" s="60">
        <v>0.20524256505844202</v>
      </c>
      <c r="T233" s="60">
        <v>0.50948329785499102</v>
      </c>
      <c r="U233" s="60">
        <v>0.52723374189639904</v>
      </c>
    </row>
    <row r="234" spans="1:21" x14ac:dyDescent="0.25">
      <c r="A234" s="519" t="s">
        <v>877</v>
      </c>
      <c r="B234" s="519" t="s">
        <v>880</v>
      </c>
      <c r="C234" s="519" t="s">
        <v>284</v>
      </c>
      <c r="D234" s="519" t="s">
        <v>110</v>
      </c>
      <c r="E234" s="519" t="s">
        <v>285</v>
      </c>
      <c r="F234" s="519" t="s">
        <v>16</v>
      </c>
      <c r="G234" s="519" t="s">
        <v>58</v>
      </c>
      <c r="H234" s="519" t="s">
        <v>152</v>
      </c>
      <c r="I234" s="881">
        <v>144086.06631872102</v>
      </c>
      <c r="J234" s="881">
        <v>4267.9633041700099</v>
      </c>
      <c r="K234" s="60">
        <v>2.87687723415334E-2</v>
      </c>
      <c r="L234" s="880">
        <v>3.09628674352563</v>
      </c>
      <c r="M234">
        <v>0</v>
      </c>
      <c r="N234" s="60">
        <v>0.22560400721118601</v>
      </c>
      <c r="O234" s="881">
        <v>498793.98692123103</v>
      </c>
      <c r="P234" s="60">
        <v>3.9399816650156502E-2</v>
      </c>
      <c r="Q234" s="880">
        <v>3.08295603265374</v>
      </c>
      <c r="R234" s="60">
        <v>0.67624146991175804</v>
      </c>
      <c r="S234" s="60">
        <v>0.20524256505844202</v>
      </c>
      <c r="T234" s="60">
        <v>0.32078827764290002</v>
      </c>
      <c r="U234" s="60">
        <v>0.2300937028028</v>
      </c>
    </row>
    <row r="235" spans="1:21" x14ac:dyDescent="0.25">
      <c r="A235" s="519" t="s">
        <v>881</v>
      </c>
      <c r="B235" s="519" t="s">
        <v>882</v>
      </c>
      <c r="C235" s="519" t="s">
        <v>284</v>
      </c>
      <c r="D235" s="519" t="s">
        <v>110</v>
      </c>
      <c r="E235" s="519" t="s">
        <v>285</v>
      </c>
      <c r="F235" s="519" t="s">
        <v>16</v>
      </c>
      <c r="G235" s="519" t="s">
        <v>59</v>
      </c>
      <c r="H235" s="519" t="s">
        <v>154</v>
      </c>
      <c r="I235" s="881">
        <v>266126.79041533003</v>
      </c>
      <c r="J235" s="881">
        <v>14737.785116139999</v>
      </c>
      <c r="K235" s="60">
        <v>5.2472922540167798E-2</v>
      </c>
      <c r="L235" s="880">
        <v>2.9428798021845202</v>
      </c>
      <c r="M235">
        <v>0</v>
      </c>
      <c r="N235" s="60">
        <v>0.254783923553772</v>
      </c>
      <c r="O235" s="881">
        <v>861586.56287841301</v>
      </c>
      <c r="P235" s="60">
        <v>3.9063152200376802E-2</v>
      </c>
      <c r="Q235" s="880">
        <v>3.0265471800438299</v>
      </c>
      <c r="R235" s="60">
        <v>0.67624146991175804</v>
      </c>
      <c r="S235" s="60">
        <v>0.25265766079933599</v>
      </c>
      <c r="T235" s="60">
        <v>0.33078140978894705</v>
      </c>
      <c r="U235" s="60">
        <v>0.40348205227164902</v>
      </c>
    </row>
    <row r="236" spans="1:21" x14ac:dyDescent="0.25">
      <c r="A236" s="519" t="s">
        <v>884</v>
      </c>
      <c r="B236" s="519" t="s">
        <v>328</v>
      </c>
      <c r="C236" s="519" t="s">
        <v>284</v>
      </c>
      <c r="D236" s="519" t="s">
        <v>110</v>
      </c>
      <c r="E236" s="519" t="s">
        <v>285</v>
      </c>
      <c r="F236" s="519" t="s">
        <v>17</v>
      </c>
      <c r="G236" s="519" t="s">
        <v>56</v>
      </c>
      <c r="H236" s="519" t="s">
        <v>144</v>
      </c>
      <c r="I236" s="881">
        <v>189815.82952734001</v>
      </c>
      <c r="J236" s="881">
        <v>8255.5091036599188</v>
      </c>
      <c r="K236" s="60">
        <v>4.1679473470110001E-2</v>
      </c>
      <c r="L236" s="880">
        <v>3.00501779776295</v>
      </c>
      <c r="M236">
        <v>0</v>
      </c>
      <c r="N236" s="60">
        <v>0.29411154404269002</v>
      </c>
      <c r="O236" s="881">
        <v>501009.6986077</v>
      </c>
      <c r="P236" s="60">
        <v>3.8792558106432597E-2</v>
      </c>
      <c r="Q236" s="880">
        <v>3.0395718320205698</v>
      </c>
      <c r="R236" s="60">
        <v>0.67624146991175804</v>
      </c>
      <c r="S236" s="60">
        <v>0.300525656593918</v>
      </c>
      <c r="T236" s="60">
        <v>0.37691230285193306</v>
      </c>
      <c r="U236" s="60">
        <v>0.35325570674163803</v>
      </c>
    </row>
    <row r="237" spans="1:21" x14ac:dyDescent="0.25">
      <c r="A237" s="519" t="s">
        <v>884</v>
      </c>
      <c r="B237" s="519" t="s">
        <v>329</v>
      </c>
      <c r="C237" s="519" t="s">
        <v>284</v>
      </c>
      <c r="D237" s="519" t="s">
        <v>110</v>
      </c>
      <c r="E237" s="519" t="s">
        <v>285</v>
      </c>
      <c r="F237" s="519" t="s">
        <v>17</v>
      </c>
      <c r="G237" s="519" t="s">
        <v>56</v>
      </c>
      <c r="H237" s="519" t="s">
        <v>146</v>
      </c>
      <c r="I237" s="881">
        <v>158120.53343108</v>
      </c>
      <c r="J237" s="881">
        <v>5671.3853708999995</v>
      </c>
      <c r="K237" s="60">
        <v>3.4625550591153402E-2</v>
      </c>
      <c r="L237" s="880">
        <v>3.0532601560189501</v>
      </c>
      <c r="M237">
        <v>0</v>
      </c>
      <c r="N237" s="60">
        <v>0.337889111996307</v>
      </c>
      <c r="O237" s="881">
        <v>501009.6986077</v>
      </c>
      <c r="P237" s="60">
        <v>3.8792558106432597E-2</v>
      </c>
      <c r="Q237" s="880">
        <v>3.0395718320205698</v>
      </c>
      <c r="R237" s="60">
        <v>0.67624146991175804</v>
      </c>
      <c r="S237" s="60">
        <v>0.300525656593918</v>
      </c>
      <c r="T237" s="60">
        <v>0.32291744842033704</v>
      </c>
      <c r="U237" s="60">
        <v>0.34656250689061202</v>
      </c>
    </row>
    <row r="238" spans="1:21" x14ac:dyDescent="0.25">
      <c r="A238" s="519" t="s">
        <v>885</v>
      </c>
      <c r="B238" s="519" t="s">
        <v>887</v>
      </c>
      <c r="C238" s="519" t="s">
        <v>284</v>
      </c>
      <c r="D238" s="519" t="s">
        <v>110</v>
      </c>
      <c r="E238" s="519" t="s">
        <v>280</v>
      </c>
      <c r="F238" s="519" t="s">
        <v>70</v>
      </c>
      <c r="G238" s="519" t="s">
        <v>56</v>
      </c>
      <c r="H238" s="519" t="s">
        <v>145</v>
      </c>
      <c r="I238" s="881">
        <v>67144.425147919901</v>
      </c>
      <c r="J238" s="881">
        <v>3442.3810300799796</v>
      </c>
      <c r="K238" s="60">
        <v>4.8768051941594497E-2</v>
      </c>
      <c r="L238" s="880">
        <v>2.93449110482219</v>
      </c>
      <c r="M238">
        <v>0</v>
      </c>
      <c r="N238" s="60">
        <v>0.71383906546819109</v>
      </c>
      <c r="O238" s="881">
        <v>172824.21522084001</v>
      </c>
      <c r="P238" s="60">
        <v>6.0914047313119099E-2</v>
      </c>
      <c r="Q238" s="880">
        <v>2.92941085503108</v>
      </c>
      <c r="R238" s="60">
        <v>0.67623382396972997</v>
      </c>
      <c r="S238" s="60">
        <v>0.67689724355180303</v>
      </c>
      <c r="T238" s="60">
        <v>0.38443486542625505</v>
      </c>
      <c r="U238" s="60">
        <v>0.35535340046575403</v>
      </c>
    </row>
    <row r="239" spans="1:21" x14ac:dyDescent="0.25">
      <c r="A239" s="519" t="s">
        <v>889</v>
      </c>
      <c r="B239" s="519" t="s">
        <v>890</v>
      </c>
      <c r="C239" s="519" t="s">
        <v>284</v>
      </c>
      <c r="D239" s="519" t="s">
        <v>110</v>
      </c>
      <c r="E239" s="519" t="s">
        <v>280</v>
      </c>
      <c r="F239" s="519" t="s">
        <v>70</v>
      </c>
      <c r="G239" s="519" t="s">
        <v>57</v>
      </c>
      <c r="H239" s="519" t="s">
        <v>147</v>
      </c>
      <c r="I239" s="881">
        <v>57401.826955889999</v>
      </c>
      <c r="J239" s="881">
        <v>2894.6057492600003</v>
      </c>
      <c r="K239" s="60">
        <v>4.8006252101424299E-2</v>
      </c>
      <c r="L239" s="880">
        <v>2.9992306187230899</v>
      </c>
      <c r="M239">
        <v>0</v>
      </c>
      <c r="N239" s="60">
        <v>0.78752491224064602</v>
      </c>
      <c r="O239" s="881">
        <v>200360.78466171</v>
      </c>
      <c r="P239" s="60">
        <v>6.01139795115231E-2</v>
      </c>
      <c r="Q239" s="880">
        <v>2.9488551177602802</v>
      </c>
      <c r="R239" s="60">
        <v>0.67623382396972997</v>
      </c>
      <c r="S239" s="60">
        <v>0.75824926614081711</v>
      </c>
      <c r="T239" s="60">
        <v>0.275446743210983</v>
      </c>
      <c r="U239" s="60">
        <v>0.21054005928119102</v>
      </c>
    </row>
    <row r="240" spans="1:21" x14ac:dyDescent="0.25">
      <c r="A240" s="519" t="s">
        <v>889</v>
      </c>
      <c r="B240" s="519" t="s">
        <v>892</v>
      </c>
      <c r="C240" s="519" t="s">
        <v>284</v>
      </c>
      <c r="D240" s="519" t="s">
        <v>110</v>
      </c>
      <c r="E240" s="519" t="s">
        <v>280</v>
      </c>
      <c r="F240" s="519" t="s">
        <v>70</v>
      </c>
      <c r="G240" s="519" t="s">
        <v>57</v>
      </c>
      <c r="H240" s="519" t="s">
        <v>149</v>
      </c>
      <c r="I240" s="881">
        <v>76233.303463590099</v>
      </c>
      <c r="J240" s="881">
        <v>6372.7153678299892</v>
      </c>
      <c r="K240" s="60">
        <v>7.7145896364225405E-2</v>
      </c>
      <c r="L240" s="880">
        <v>2.9036610975279502</v>
      </c>
      <c r="M240">
        <v>0</v>
      </c>
      <c r="N240" s="60">
        <v>0.72457010631057706</v>
      </c>
      <c r="O240" s="881">
        <v>200360.78466171</v>
      </c>
      <c r="P240" s="60">
        <v>6.01139795115231E-2</v>
      </c>
      <c r="Q240" s="880">
        <v>2.9488551177602802</v>
      </c>
      <c r="R240" s="60">
        <v>0.67623382396972997</v>
      </c>
      <c r="S240" s="60">
        <v>0.75824926614081711</v>
      </c>
      <c r="T240" s="60">
        <v>0.37646221322801904</v>
      </c>
      <c r="U240" s="60">
        <v>0.47722391096689804</v>
      </c>
    </row>
    <row r="241" spans="1:21" x14ac:dyDescent="0.25">
      <c r="A241" s="519" t="s">
        <v>893</v>
      </c>
      <c r="B241" s="519" t="s">
        <v>894</v>
      </c>
      <c r="C241" s="519" t="s">
        <v>284</v>
      </c>
      <c r="D241" s="519" t="s">
        <v>110</v>
      </c>
      <c r="E241" s="519" t="s">
        <v>280</v>
      </c>
      <c r="F241" s="519" t="s">
        <v>70</v>
      </c>
      <c r="G241" s="519" t="s">
        <v>58</v>
      </c>
      <c r="H241" s="519" t="s">
        <v>150</v>
      </c>
      <c r="I241" s="881">
        <v>67179.702080770003</v>
      </c>
      <c r="J241" s="881">
        <v>3822.2159497900197</v>
      </c>
      <c r="K241" s="60">
        <v>5.3832573200978798E-2</v>
      </c>
      <c r="L241" s="880">
        <v>2.94600957898288</v>
      </c>
      <c r="M241">
        <v>0</v>
      </c>
      <c r="N241" s="60">
        <v>0.65229324212876505</v>
      </c>
      <c r="O241" s="881">
        <v>204968.79408968001</v>
      </c>
      <c r="P241" s="60">
        <v>3.3359789410781798E-2</v>
      </c>
      <c r="Q241" s="880">
        <v>2.9433375342247299</v>
      </c>
      <c r="R241" s="60">
        <v>0.67623382396972997</v>
      </c>
      <c r="S241" s="60">
        <v>0.66046596658781809</v>
      </c>
      <c r="T241" s="60">
        <v>0.35818595831593703</v>
      </c>
      <c r="U241" s="60">
        <v>0.47797487429912505</v>
      </c>
    </row>
    <row r="242" spans="1:21" x14ac:dyDescent="0.25">
      <c r="A242" s="519" t="s">
        <v>893</v>
      </c>
      <c r="B242" s="519" t="s">
        <v>896</v>
      </c>
      <c r="C242" s="519" t="s">
        <v>284</v>
      </c>
      <c r="D242" s="519" t="s">
        <v>110</v>
      </c>
      <c r="E242" s="519" t="s">
        <v>280</v>
      </c>
      <c r="F242" s="519" t="s">
        <v>70</v>
      </c>
      <c r="G242" s="519" t="s">
        <v>58</v>
      </c>
      <c r="H242" s="519" t="s">
        <v>152</v>
      </c>
      <c r="I242" s="881">
        <v>73880.366174090203</v>
      </c>
      <c r="J242" s="881">
        <v>1345.2595320600001</v>
      </c>
      <c r="K242" s="60">
        <v>1.7882995580720401E-2</v>
      </c>
      <c r="L242" s="880">
        <v>2.94709099133929</v>
      </c>
      <c r="M242">
        <v>0</v>
      </c>
      <c r="N242" s="60">
        <v>0.63219464393504998</v>
      </c>
      <c r="O242" s="881">
        <v>204968.79408968001</v>
      </c>
      <c r="P242" s="60">
        <v>3.3359789410781798E-2</v>
      </c>
      <c r="Q242" s="880">
        <v>2.9433375342247299</v>
      </c>
      <c r="R242" s="60">
        <v>0.67623382396972997</v>
      </c>
      <c r="S242" s="60">
        <v>0.66046596658781809</v>
      </c>
      <c r="T242" s="60">
        <v>0.35364448612751903</v>
      </c>
      <c r="U242" s="60">
        <v>0.26614338531363801</v>
      </c>
    </row>
    <row r="243" spans="1:21" x14ac:dyDescent="0.25">
      <c r="A243" s="519" t="s">
        <v>897</v>
      </c>
      <c r="B243" s="519" t="s">
        <v>899</v>
      </c>
      <c r="C243" s="519" t="s">
        <v>284</v>
      </c>
      <c r="D243" s="519" t="s">
        <v>110</v>
      </c>
      <c r="E243" s="519" t="s">
        <v>280</v>
      </c>
      <c r="F243" s="519" t="s">
        <v>70</v>
      </c>
      <c r="G243" s="519" t="s">
        <v>59</v>
      </c>
      <c r="H243" s="519" t="s">
        <v>154</v>
      </c>
      <c r="I243" s="881">
        <v>35901.416004499995</v>
      </c>
      <c r="J243" s="881">
        <v>3401.6576846400098</v>
      </c>
      <c r="K243" s="60">
        <v>8.6549406073040291E-2</v>
      </c>
      <c r="L243" s="880">
        <v>2.9319442698200202</v>
      </c>
      <c r="M243">
        <v>0</v>
      </c>
      <c r="N243" s="60">
        <v>0.60211361449059508</v>
      </c>
      <c r="O243" s="881">
        <v>143790.96028391999</v>
      </c>
      <c r="P243" s="60">
        <v>5.49602280210333E-2</v>
      </c>
      <c r="Q243" s="880">
        <v>2.9723684458002202</v>
      </c>
      <c r="R243" s="60">
        <v>0.67623382396972997</v>
      </c>
      <c r="S243" s="60">
        <v>0.66868942931312003</v>
      </c>
      <c r="T243" s="60">
        <v>0.29660027627702701</v>
      </c>
      <c r="U243" s="60">
        <v>0.41143102886904603</v>
      </c>
    </row>
    <row r="244" spans="1:21" x14ac:dyDescent="0.25">
      <c r="A244" s="519" t="s">
        <v>901</v>
      </c>
      <c r="B244" s="519" t="s">
        <v>902</v>
      </c>
      <c r="C244" s="519" t="s">
        <v>284</v>
      </c>
      <c r="D244" s="519" t="s">
        <v>110</v>
      </c>
      <c r="E244" s="519" t="s">
        <v>280</v>
      </c>
      <c r="F244" s="519" t="s">
        <v>16</v>
      </c>
      <c r="G244" s="519" t="s">
        <v>56</v>
      </c>
      <c r="H244" s="519" t="s">
        <v>144</v>
      </c>
      <c r="I244" s="881">
        <v>66616.183378140209</v>
      </c>
      <c r="J244" s="881">
        <v>1835.82668156</v>
      </c>
      <c r="K244" s="60">
        <v>2.6819178574287398E-2</v>
      </c>
      <c r="L244" s="880">
        <v>2.95369935587326</v>
      </c>
      <c r="M244">
        <v>0</v>
      </c>
      <c r="N244" s="60">
        <v>0.78627601156249904</v>
      </c>
      <c r="O244" s="881">
        <v>234591.291628381</v>
      </c>
      <c r="P244" s="60">
        <v>2.99428934070958E-2</v>
      </c>
      <c r="Q244" s="880">
        <v>2.9909753653092102</v>
      </c>
      <c r="R244" s="60">
        <v>0.67623382396972997</v>
      </c>
      <c r="S244" s="60">
        <v>0.74631818464325705</v>
      </c>
      <c r="T244" s="60">
        <v>0.26637284926132204</v>
      </c>
      <c r="U244" s="60">
        <v>0.321591855498365</v>
      </c>
    </row>
    <row r="245" spans="1:21" x14ac:dyDescent="0.25">
      <c r="A245" s="519" t="s">
        <v>901</v>
      </c>
      <c r="B245" s="519" t="s">
        <v>904</v>
      </c>
      <c r="C245" s="519" t="s">
        <v>284</v>
      </c>
      <c r="D245" s="519" t="s">
        <v>110</v>
      </c>
      <c r="E245" s="519" t="s">
        <v>280</v>
      </c>
      <c r="F245" s="519" t="s">
        <v>16</v>
      </c>
      <c r="G245" s="519" t="s">
        <v>56</v>
      </c>
      <c r="H245" s="519" t="s">
        <v>146</v>
      </c>
      <c r="I245" s="881">
        <v>78147.857993560407</v>
      </c>
      <c r="J245" s="881">
        <v>1843.7646598600099</v>
      </c>
      <c r="K245" s="60">
        <v>2.3049471915934198E-2</v>
      </c>
      <c r="L245" s="880">
        <v>2.97856041727503</v>
      </c>
      <c r="M245">
        <v>0</v>
      </c>
      <c r="N245" s="60">
        <v>0.74496717810189206</v>
      </c>
      <c r="O245" s="881">
        <v>234591.291628381</v>
      </c>
      <c r="P245" s="60">
        <v>2.99428934070958E-2</v>
      </c>
      <c r="Q245" s="880">
        <v>2.9909753653092102</v>
      </c>
      <c r="R245" s="60">
        <v>0.67623382396972997</v>
      </c>
      <c r="S245" s="60">
        <v>0.74631818464325705</v>
      </c>
      <c r="T245" s="60">
        <v>0.34919228531242302</v>
      </c>
      <c r="U245" s="60">
        <v>0.32305474403588103</v>
      </c>
    </row>
    <row r="246" spans="1:21" x14ac:dyDescent="0.25">
      <c r="A246" s="519" t="s">
        <v>905</v>
      </c>
      <c r="B246" s="519" t="s">
        <v>907</v>
      </c>
      <c r="C246" s="519" t="s">
        <v>284</v>
      </c>
      <c r="D246" s="519" t="s">
        <v>110</v>
      </c>
      <c r="E246" s="519" t="s">
        <v>280</v>
      </c>
      <c r="F246" s="519" t="s">
        <v>16</v>
      </c>
      <c r="G246" s="519" t="s">
        <v>57</v>
      </c>
      <c r="H246" s="519" t="s">
        <v>148</v>
      </c>
      <c r="I246" s="881">
        <v>102039.71483131101</v>
      </c>
      <c r="J246" s="881">
        <v>6774.2905702800299</v>
      </c>
      <c r="K246" s="60">
        <v>6.2255686161710198E-2</v>
      </c>
      <c r="L246" s="880">
        <v>3.0056176238146102</v>
      </c>
      <c r="M246">
        <v>0</v>
      </c>
      <c r="N246" s="60">
        <v>0.74606364783381907</v>
      </c>
      <c r="O246" s="881">
        <v>284470.33120688202</v>
      </c>
      <c r="P246" s="60">
        <v>6.6432511781045298E-2</v>
      </c>
      <c r="Q246" s="880">
        <v>3.0159604898386498</v>
      </c>
      <c r="R246" s="60">
        <v>0.67623382396972997</v>
      </c>
      <c r="S246" s="60">
        <v>0.74466998927073402</v>
      </c>
      <c r="T246" s="60">
        <v>0.34809104356099702</v>
      </c>
      <c r="U246" s="60">
        <v>0.312236029751911</v>
      </c>
    </row>
    <row r="247" spans="1:21" x14ac:dyDescent="0.25">
      <c r="A247" s="519" t="s">
        <v>909</v>
      </c>
      <c r="B247" s="519" t="s">
        <v>911</v>
      </c>
      <c r="C247" s="519" t="s">
        <v>284</v>
      </c>
      <c r="D247" s="519" t="s">
        <v>110</v>
      </c>
      <c r="E247" s="519" t="s">
        <v>280</v>
      </c>
      <c r="F247" s="519" t="s">
        <v>16</v>
      </c>
      <c r="G247" s="519" t="s">
        <v>58</v>
      </c>
      <c r="H247" s="519" t="s">
        <v>151</v>
      </c>
      <c r="I247" s="881">
        <v>103892.12586234101</v>
      </c>
      <c r="J247" s="881">
        <v>3086.2670390000198</v>
      </c>
      <c r="K247" s="60">
        <v>2.8849442913638598E-2</v>
      </c>
      <c r="L247" s="880">
        <v>3.0224776789857599</v>
      </c>
      <c r="M247">
        <v>0</v>
      </c>
      <c r="N247" s="60">
        <v>0.74687502157992702</v>
      </c>
      <c r="O247" s="881">
        <v>377330.23251320404</v>
      </c>
      <c r="P247" s="60">
        <v>3.1909314678717396E-2</v>
      </c>
      <c r="Q247" s="880">
        <v>3.0325397661706899</v>
      </c>
      <c r="R247" s="60">
        <v>0.67623382396972997</v>
      </c>
      <c r="S247" s="60">
        <v>0.7498091826462171</v>
      </c>
      <c r="T247" s="60">
        <v>0.288169555556544</v>
      </c>
      <c r="U247" s="60">
        <v>0.25588174038723704</v>
      </c>
    </row>
    <row r="248" spans="1:21" x14ac:dyDescent="0.25">
      <c r="A248" s="519" t="s">
        <v>913</v>
      </c>
      <c r="B248" s="519" t="s">
        <v>306</v>
      </c>
      <c r="C248" s="519" t="s">
        <v>284</v>
      </c>
      <c r="D248" s="519" t="s">
        <v>110</v>
      </c>
      <c r="E248" s="519" t="s">
        <v>280</v>
      </c>
      <c r="F248" s="519" t="s">
        <v>16</v>
      </c>
      <c r="G248" s="519" t="s">
        <v>59</v>
      </c>
      <c r="H248" s="519" t="s">
        <v>153</v>
      </c>
      <c r="I248" s="881">
        <v>58863.750309440205</v>
      </c>
      <c r="J248" s="881">
        <v>4754.8987812900095</v>
      </c>
      <c r="K248" s="60">
        <v>7.4740643651656197E-2</v>
      </c>
      <c r="L248" s="880">
        <v>3.0500616338336899</v>
      </c>
      <c r="M248">
        <v>0</v>
      </c>
      <c r="N248" s="60">
        <v>0.74760210054663601</v>
      </c>
      <c r="O248" s="881">
        <v>240518.88295431202</v>
      </c>
      <c r="P248" s="60">
        <v>6.2776072882044093E-2</v>
      </c>
      <c r="Q248" s="880">
        <v>3.03954606432284</v>
      </c>
      <c r="R248" s="60">
        <v>0.67623382396972997</v>
      </c>
      <c r="S248" s="60">
        <v>0.74395340510454211</v>
      </c>
      <c r="T248" s="60">
        <v>0.28519503702648502</v>
      </c>
      <c r="U248" s="60">
        <v>0.33111140928917604</v>
      </c>
    </row>
    <row r="249" spans="1:21" x14ac:dyDescent="0.25">
      <c r="A249" s="519" t="s">
        <v>913</v>
      </c>
      <c r="B249" s="519" t="s">
        <v>915</v>
      </c>
      <c r="C249" s="519" t="s">
        <v>284</v>
      </c>
      <c r="D249" s="519" t="s">
        <v>110</v>
      </c>
      <c r="E249" s="519" t="s">
        <v>280</v>
      </c>
      <c r="F249" s="519" t="s">
        <v>16</v>
      </c>
      <c r="G249" s="519" t="s">
        <v>59</v>
      </c>
      <c r="H249" s="519" t="s">
        <v>155</v>
      </c>
      <c r="I249" s="881">
        <v>103570.142968931</v>
      </c>
      <c r="J249" s="881">
        <v>4688.1578017400197</v>
      </c>
      <c r="K249" s="60">
        <v>4.3305296391740002E-2</v>
      </c>
      <c r="L249" s="880">
        <v>3.0256034732737902</v>
      </c>
      <c r="M249">
        <v>0</v>
      </c>
      <c r="N249" s="60">
        <v>0.78952548178011406</v>
      </c>
      <c r="O249" s="881">
        <v>240518.88295431202</v>
      </c>
      <c r="P249" s="60">
        <v>6.2776072882044093E-2</v>
      </c>
      <c r="Q249" s="880">
        <v>3.03954606432284</v>
      </c>
      <c r="R249" s="60">
        <v>0.67623382396972997</v>
      </c>
      <c r="S249" s="60">
        <v>0.74395340510454211</v>
      </c>
      <c r="T249" s="60">
        <v>0.41820468669648803</v>
      </c>
      <c r="U249" s="60">
        <v>0.25745756184177804</v>
      </c>
    </row>
    <row r="250" spans="1:21" x14ac:dyDescent="0.25">
      <c r="A250" s="519" t="s">
        <v>916</v>
      </c>
      <c r="B250" s="519" t="s">
        <v>1773</v>
      </c>
      <c r="C250" s="519" t="s">
        <v>284</v>
      </c>
      <c r="D250" s="519" t="s">
        <v>110</v>
      </c>
      <c r="E250" s="519" t="s">
        <v>280</v>
      </c>
      <c r="F250" s="519" t="s">
        <v>17</v>
      </c>
      <c r="G250" s="519" t="s">
        <v>56</v>
      </c>
      <c r="H250" s="519" t="s">
        <v>145</v>
      </c>
      <c r="I250" s="881">
        <v>144366.240709201</v>
      </c>
      <c r="J250" s="881">
        <v>5232.7106082400296</v>
      </c>
      <c r="K250" s="60">
        <v>3.4978257281607299E-2</v>
      </c>
      <c r="L250" s="880">
        <v>3.0092467028755299</v>
      </c>
      <c r="M250">
        <v>0</v>
      </c>
      <c r="N250" s="60">
        <v>0.76761760237529608</v>
      </c>
      <c r="O250" s="881">
        <v>376430.97330726101</v>
      </c>
      <c r="P250" s="60">
        <v>4.0731768475323199E-2</v>
      </c>
      <c r="Q250" s="880">
        <v>3.0043191953800901</v>
      </c>
      <c r="R250" s="60">
        <v>0.67623382396972997</v>
      </c>
      <c r="S250" s="60">
        <v>0.76827771330179506</v>
      </c>
      <c r="T250" s="60">
        <v>0.38443486542625505</v>
      </c>
      <c r="U250" s="60">
        <v>0.35535340046575403</v>
      </c>
    </row>
    <row r="251" spans="1:21" x14ac:dyDescent="0.25">
      <c r="A251" s="519" t="s">
        <v>1858</v>
      </c>
      <c r="B251" s="519" t="s">
        <v>1859</v>
      </c>
      <c r="C251" s="519" t="s">
        <v>284</v>
      </c>
      <c r="D251" s="519" t="s">
        <v>110</v>
      </c>
      <c r="E251" s="519" t="s">
        <v>280</v>
      </c>
      <c r="F251" s="519" t="s">
        <v>17</v>
      </c>
      <c r="G251" s="519" t="s">
        <v>57</v>
      </c>
      <c r="H251" s="519" t="s">
        <v>149</v>
      </c>
      <c r="I251" s="881">
        <v>142230.693148841</v>
      </c>
      <c r="J251" s="881">
        <v>13390.97204031</v>
      </c>
      <c r="K251" s="60">
        <v>8.6048250569958101E-2</v>
      </c>
      <c r="L251" s="880">
        <v>3.0114967914373501</v>
      </c>
      <c r="M251">
        <v>0</v>
      </c>
      <c r="N251" s="60">
        <v>0.78466584741206402</v>
      </c>
      <c r="O251" s="881">
        <v>142230.693148841</v>
      </c>
      <c r="P251" s="60">
        <v>8.6048250569957199E-2</v>
      </c>
      <c r="Q251" s="880">
        <v>3.0114967914373501</v>
      </c>
      <c r="R251" s="60">
        <v>0.67623382396972997</v>
      </c>
      <c r="S251" s="60">
        <v>0.78466584741206402</v>
      </c>
      <c r="T251" s="60">
        <v>0.37646221322801904</v>
      </c>
      <c r="U251" s="60">
        <v>0.47722391096689804</v>
      </c>
    </row>
    <row r="252" spans="1:21" x14ac:dyDescent="0.25">
      <c r="A252" s="519" t="s">
        <v>917</v>
      </c>
      <c r="B252" s="519" t="s">
        <v>918</v>
      </c>
      <c r="C252" s="519" t="s">
        <v>284</v>
      </c>
      <c r="D252" s="519" t="s">
        <v>110</v>
      </c>
      <c r="E252" s="519" t="s">
        <v>289</v>
      </c>
      <c r="F252" s="519" t="s">
        <v>70</v>
      </c>
      <c r="G252" s="519" t="s">
        <v>56</v>
      </c>
      <c r="H252" s="519" t="s">
        <v>144</v>
      </c>
      <c r="I252" s="881">
        <v>35188.868154279902</v>
      </c>
      <c r="J252" s="881">
        <v>2913.7123911500003</v>
      </c>
      <c r="K252" s="60">
        <v>7.64702114513202E-2</v>
      </c>
      <c r="L252" s="880">
        <v>3.01534916183595</v>
      </c>
      <c r="M252">
        <v>0</v>
      </c>
      <c r="N252" s="60">
        <v>0.21451343879646501</v>
      </c>
      <c r="O252" s="881">
        <v>229786.79916354999</v>
      </c>
      <c r="P252" s="60">
        <v>4.2841876892874296E-2</v>
      </c>
      <c r="Q252" s="880">
        <v>3.02488377358919</v>
      </c>
      <c r="R252" s="60">
        <v>0.58913629703887305</v>
      </c>
      <c r="S252" s="60">
        <v>0.20887820875910201</v>
      </c>
      <c r="T252" s="60">
        <v>0.17163127439431902</v>
      </c>
      <c r="U252" s="60">
        <v>0.22129253226598103</v>
      </c>
    </row>
    <row r="253" spans="1:21" x14ac:dyDescent="0.25">
      <c r="A253" s="519" t="s">
        <v>917</v>
      </c>
      <c r="B253" s="519" t="s">
        <v>920</v>
      </c>
      <c r="C253" s="519" t="s">
        <v>284</v>
      </c>
      <c r="D253" s="519" t="s">
        <v>110</v>
      </c>
      <c r="E253" s="519" t="s">
        <v>289</v>
      </c>
      <c r="F253" s="519" t="s">
        <v>70</v>
      </c>
      <c r="G253" s="519" t="s">
        <v>56</v>
      </c>
      <c r="H253" s="519" t="s">
        <v>146</v>
      </c>
      <c r="I253" s="881">
        <v>78418.205861499897</v>
      </c>
      <c r="J253" s="881">
        <v>3587.23514285997</v>
      </c>
      <c r="K253" s="60">
        <v>4.3743867466906901E-2</v>
      </c>
      <c r="L253" s="880">
        <v>3.0223864044292701</v>
      </c>
      <c r="M253">
        <v>0</v>
      </c>
      <c r="N253" s="60">
        <v>0.20451812267645803</v>
      </c>
      <c r="O253" s="881">
        <v>229786.79916354999</v>
      </c>
      <c r="P253" s="60">
        <v>4.2841876892874296E-2</v>
      </c>
      <c r="Q253" s="880">
        <v>3.02488377358919</v>
      </c>
      <c r="R253" s="60">
        <v>0.58913629703887305</v>
      </c>
      <c r="S253" s="60">
        <v>0.20887820875910201</v>
      </c>
      <c r="T253" s="60">
        <v>0.37993231702243102</v>
      </c>
      <c r="U253" s="60">
        <v>0.35705433139522602</v>
      </c>
    </row>
    <row r="254" spans="1:21" x14ac:dyDescent="0.25">
      <c r="A254" s="519" t="s">
        <v>921</v>
      </c>
      <c r="B254" s="519" t="s">
        <v>923</v>
      </c>
      <c r="C254" s="519" t="s">
        <v>284</v>
      </c>
      <c r="D254" s="519" t="s">
        <v>110</v>
      </c>
      <c r="E254" s="519" t="s">
        <v>289</v>
      </c>
      <c r="F254" s="519" t="s">
        <v>70</v>
      </c>
      <c r="G254" s="519" t="s">
        <v>57</v>
      </c>
      <c r="H254" s="519" t="s">
        <v>148</v>
      </c>
      <c r="I254" s="881">
        <v>101441.68322707</v>
      </c>
      <c r="J254" s="881">
        <v>9746.5052538299587</v>
      </c>
      <c r="K254" s="60">
        <v>8.7657739432496093E-2</v>
      </c>
      <c r="L254" s="880">
        <v>3.02520388462561</v>
      </c>
      <c r="M254">
        <v>0</v>
      </c>
      <c r="N254" s="60">
        <v>0.15306039338133301</v>
      </c>
      <c r="O254" s="881">
        <v>310685.44450110104</v>
      </c>
      <c r="P254" s="60">
        <v>6.8878272575262092E-2</v>
      </c>
      <c r="Q254" s="880">
        <v>3.0131233810157898</v>
      </c>
      <c r="R254" s="60">
        <v>0.58913629703887305</v>
      </c>
      <c r="S254" s="60">
        <v>0.16490902936512902</v>
      </c>
      <c r="T254" s="60">
        <v>0.29966777418078705</v>
      </c>
      <c r="U254" s="60">
        <v>0.39149607285207805</v>
      </c>
    </row>
    <row r="255" spans="1:21" x14ac:dyDescent="0.25">
      <c r="A255" s="519" t="s">
        <v>925</v>
      </c>
      <c r="B255" s="519" t="s">
        <v>927</v>
      </c>
      <c r="C255" s="519" t="s">
        <v>284</v>
      </c>
      <c r="D255" s="519" t="s">
        <v>110</v>
      </c>
      <c r="E255" s="519" t="s">
        <v>289</v>
      </c>
      <c r="F255" s="519" t="s">
        <v>70</v>
      </c>
      <c r="G255" s="519" t="s">
        <v>58</v>
      </c>
      <c r="H255" s="519" t="s">
        <v>151</v>
      </c>
      <c r="I255" s="881">
        <v>70401.636739160196</v>
      </c>
      <c r="J255" s="881">
        <v>3146.6497221099999</v>
      </c>
      <c r="K255" s="60">
        <v>4.2783453884639701E-2</v>
      </c>
      <c r="L255" s="880">
        <v>3.0545668367729402</v>
      </c>
      <c r="M255">
        <v>0</v>
      </c>
      <c r="N255" s="60">
        <v>0.106170107939868</v>
      </c>
      <c r="O255" s="881">
        <v>170579.206304691</v>
      </c>
      <c r="P255" s="60">
        <v>5.9858375340131796E-2</v>
      </c>
      <c r="Q255" s="880">
        <v>3.01189894739248</v>
      </c>
      <c r="R255" s="60">
        <v>0.58913629703887305</v>
      </c>
      <c r="S255" s="60">
        <v>0.12348527126955401</v>
      </c>
      <c r="T255" s="60">
        <v>0.40473614689758802</v>
      </c>
      <c r="U255" s="60">
        <v>0.28064867075127903</v>
      </c>
    </row>
    <row r="256" spans="1:21" x14ac:dyDescent="0.25">
      <c r="A256" s="519" t="s">
        <v>929</v>
      </c>
      <c r="B256" s="519" t="s">
        <v>930</v>
      </c>
      <c r="C256" s="519" t="s">
        <v>284</v>
      </c>
      <c r="D256" s="519" t="s">
        <v>110</v>
      </c>
      <c r="E256" s="519" t="s">
        <v>289</v>
      </c>
      <c r="F256" s="519" t="s">
        <v>70</v>
      </c>
      <c r="G256" s="519" t="s">
        <v>59</v>
      </c>
      <c r="H256" s="519" t="s">
        <v>153</v>
      </c>
      <c r="I256" s="881">
        <v>27205.678927929999</v>
      </c>
      <c r="J256" s="881">
        <v>3224.48998690999</v>
      </c>
      <c r="K256" s="60">
        <v>0.10596359145865601</v>
      </c>
      <c r="L256" s="880">
        <v>3.0846602484340901</v>
      </c>
      <c r="M256">
        <v>0</v>
      </c>
      <c r="N256" s="60">
        <v>0.340176258783561</v>
      </c>
      <c r="O256" s="881">
        <v>72132.997480079997</v>
      </c>
      <c r="P256" s="60">
        <v>9.3154438842976001E-2</v>
      </c>
      <c r="Q256" s="880">
        <v>3.0135194057039998</v>
      </c>
      <c r="R256" s="60">
        <v>0.58913629703887305</v>
      </c>
      <c r="S256" s="60">
        <v>0.24683569448014403</v>
      </c>
      <c r="T256" s="60">
        <v>0.33379291822543</v>
      </c>
      <c r="U256" s="60">
        <v>0.24671665906717702</v>
      </c>
    </row>
    <row r="257" spans="1:21" x14ac:dyDescent="0.25">
      <c r="A257" s="519" t="s">
        <v>929</v>
      </c>
      <c r="B257" s="519" t="s">
        <v>932</v>
      </c>
      <c r="C257" s="519" t="s">
        <v>284</v>
      </c>
      <c r="D257" s="519" t="s">
        <v>110</v>
      </c>
      <c r="E257" s="519" t="s">
        <v>289</v>
      </c>
      <c r="F257" s="519" t="s">
        <v>70</v>
      </c>
      <c r="G257" s="519" t="s">
        <v>59</v>
      </c>
      <c r="H257" s="519" t="s">
        <v>155</v>
      </c>
      <c r="I257" s="881">
        <v>27611.918098590002</v>
      </c>
      <c r="J257" s="881">
        <v>1291.9639484700001</v>
      </c>
      <c r="K257" s="60">
        <v>4.4698630667205301E-2</v>
      </c>
      <c r="L257" s="880">
        <v>2.8727708925636999</v>
      </c>
      <c r="M257">
        <v>0</v>
      </c>
      <c r="N257" s="60">
        <v>0.20183855799733702</v>
      </c>
      <c r="O257" s="881">
        <v>72132.997480079997</v>
      </c>
      <c r="P257" s="60">
        <v>9.3154438842976001E-2</v>
      </c>
      <c r="Q257" s="880">
        <v>3.0135194057039998</v>
      </c>
      <c r="R257" s="60">
        <v>0.58913629703887305</v>
      </c>
      <c r="S257" s="60">
        <v>0.24683569448014403</v>
      </c>
      <c r="T257" s="60">
        <v>0.38279056746231405</v>
      </c>
      <c r="U257" s="60">
        <v>0.31069320651024401</v>
      </c>
    </row>
    <row r="258" spans="1:21" x14ac:dyDescent="0.25">
      <c r="A258" s="519" t="s">
        <v>933</v>
      </c>
      <c r="B258" s="519" t="s">
        <v>934</v>
      </c>
      <c r="C258" s="519" t="s">
        <v>284</v>
      </c>
      <c r="D258" s="519" t="s">
        <v>110</v>
      </c>
      <c r="E258" s="519" t="s">
        <v>289</v>
      </c>
      <c r="F258" s="519" t="s">
        <v>16</v>
      </c>
      <c r="G258" s="519" t="s">
        <v>56</v>
      </c>
      <c r="H258" s="519" t="s">
        <v>144</v>
      </c>
      <c r="I258" s="881">
        <v>75590.553866010407</v>
      </c>
      <c r="J258" s="881">
        <v>2298.3873284800097</v>
      </c>
      <c r="K258" s="60">
        <v>2.95085193511734E-2</v>
      </c>
      <c r="L258" s="880">
        <v>3.1598601332959899</v>
      </c>
      <c r="M258">
        <v>0</v>
      </c>
      <c r="N258" s="60">
        <v>0.25746465650387401</v>
      </c>
      <c r="O258" s="881">
        <v>417376.82412716903</v>
      </c>
      <c r="P258" s="60">
        <v>2.7933011565022901E-2</v>
      </c>
      <c r="Q258" s="880">
        <v>3.0978321346339399</v>
      </c>
      <c r="R258" s="60">
        <v>0.58913629703887305</v>
      </c>
      <c r="S258" s="60">
        <v>0.183456592130952</v>
      </c>
      <c r="T258" s="60">
        <v>0.17163127439431902</v>
      </c>
      <c r="U258" s="60">
        <v>0.22129253226598103</v>
      </c>
    </row>
    <row r="259" spans="1:21" x14ac:dyDescent="0.25">
      <c r="A259" s="519" t="s">
        <v>933</v>
      </c>
      <c r="B259" s="519" t="s">
        <v>936</v>
      </c>
      <c r="C259" s="519" t="s">
        <v>284</v>
      </c>
      <c r="D259" s="519" t="s">
        <v>110</v>
      </c>
      <c r="E259" s="519" t="s">
        <v>289</v>
      </c>
      <c r="F259" s="519" t="s">
        <v>16</v>
      </c>
      <c r="G259" s="519" t="s">
        <v>56</v>
      </c>
      <c r="H259" s="519" t="s">
        <v>146</v>
      </c>
      <c r="I259" s="881">
        <v>161178.23105765</v>
      </c>
      <c r="J259" s="881">
        <v>4106.77736585</v>
      </c>
      <c r="K259" s="60">
        <v>2.4846641598174901E-2</v>
      </c>
      <c r="L259" s="880">
        <v>3.05264031892357</v>
      </c>
      <c r="M259">
        <v>0</v>
      </c>
      <c r="N259" s="60">
        <v>0.17638868245514602</v>
      </c>
      <c r="O259" s="881">
        <v>417376.82412716903</v>
      </c>
      <c r="P259" s="60">
        <v>2.7933011565022901E-2</v>
      </c>
      <c r="Q259" s="880">
        <v>3.0978321346339399</v>
      </c>
      <c r="R259" s="60">
        <v>0.58913629703887305</v>
      </c>
      <c r="S259" s="60">
        <v>0.183456592130952</v>
      </c>
      <c r="T259" s="60">
        <v>0.37993231702243102</v>
      </c>
      <c r="U259" s="60">
        <v>0.35705433139522602</v>
      </c>
    </row>
    <row r="260" spans="1:21" x14ac:dyDescent="0.25">
      <c r="A260" s="519" t="s">
        <v>937</v>
      </c>
      <c r="B260" s="519" t="s">
        <v>939</v>
      </c>
      <c r="C260" s="519" t="s">
        <v>284</v>
      </c>
      <c r="D260" s="519" t="s">
        <v>110</v>
      </c>
      <c r="E260" s="519" t="s">
        <v>289</v>
      </c>
      <c r="F260" s="519" t="s">
        <v>16</v>
      </c>
      <c r="G260" s="519" t="s">
        <v>57</v>
      </c>
      <c r="H260" s="519" t="s">
        <v>148</v>
      </c>
      <c r="I260" s="881">
        <v>120083.5703695</v>
      </c>
      <c r="J260" s="881">
        <v>10182.258218360001</v>
      </c>
      <c r="K260" s="60">
        <v>7.8165228200981304E-2</v>
      </c>
      <c r="L260" s="880">
        <v>3.0397547557762001</v>
      </c>
      <c r="M260">
        <v>0</v>
      </c>
      <c r="N260" s="60">
        <v>0.20514516057308102</v>
      </c>
      <c r="O260" s="881">
        <v>428550.711946361</v>
      </c>
      <c r="P260" s="60">
        <v>6.1168328526233599E-2</v>
      </c>
      <c r="Q260" s="880">
        <v>3.0711790621635702</v>
      </c>
      <c r="R260" s="60">
        <v>0.58913629703887305</v>
      </c>
      <c r="S260" s="60">
        <v>0.19625066798982901</v>
      </c>
      <c r="T260" s="60">
        <v>0.29966777418078705</v>
      </c>
      <c r="U260" s="60">
        <v>0.39149607285207805</v>
      </c>
    </row>
    <row r="261" spans="1:21" x14ac:dyDescent="0.25">
      <c r="A261" s="519" t="s">
        <v>941</v>
      </c>
      <c r="B261" s="519" t="s">
        <v>943</v>
      </c>
      <c r="C261" s="519" t="s">
        <v>284</v>
      </c>
      <c r="D261" s="519" t="s">
        <v>110</v>
      </c>
      <c r="E261" s="519" t="s">
        <v>289</v>
      </c>
      <c r="F261" s="519" t="s">
        <v>16</v>
      </c>
      <c r="G261" s="519" t="s">
        <v>58</v>
      </c>
      <c r="H261" s="519" t="s">
        <v>151</v>
      </c>
      <c r="I261" s="881">
        <v>82631.767265370407</v>
      </c>
      <c r="J261" s="881">
        <v>4903.3094134100002</v>
      </c>
      <c r="K261" s="60">
        <v>5.6015366633004202E-2</v>
      </c>
      <c r="L261" s="880">
        <v>3.0507008817330199</v>
      </c>
      <c r="M261">
        <v>0</v>
      </c>
      <c r="N261" s="60">
        <v>0.22348972232715802</v>
      </c>
      <c r="O261" s="881">
        <v>207527.382833871</v>
      </c>
      <c r="P261" s="60">
        <v>7.9088967604961896E-2</v>
      </c>
      <c r="Q261" s="880">
        <v>3.0701327319273801</v>
      </c>
      <c r="R261" s="60">
        <v>0.58913629703887305</v>
      </c>
      <c r="S261" s="60">
        <v>0.23024432830466701</v>
      </c>
      <c r="T261" s="60">
        <v>0.40473614689758802</v>
      </c>
      <c r="U261" s="60">
        <v>0.28064867075127903</v>
      </c>
    </row>
    <row r="262" spans="1:21" x14ac:dyDescent="0.25">
      <c r="A262" s="519" t="s">
        <v>945</v>
      </c>
      <c r="B262" s="519" t="s">
        <v>307</v>
      </c>
      <c r="C262" s="519" t="s">
        <v>284</v>
      </c>
      <c r="D262" s="519" t="s">
        <v>110</v>
      </c>
      <c r="E262" s="519" t="s">
        <v>289</v>
      </c>
      <c r="F262" s="519" t="s">
        <v>16</v>
      </c>
      <c r="G262" s="519" t="s">
        <v>59</v>
      </c>
      <c r="H262" s="519" t="s">
        <v>153</v>
      </c>
      <c r="I262" s="881">
        <v>25578.23790928</v>
      </c>
      <c r="J262" s="881">
        <v>2491.4104654099897</v>
      </c>
      <c r="K262" s="60">
        <v>8.8758164411366594E-2</v>
      </c>
      <c r="L262" s="880">
        <v>3.0545742849702302</v>
      </c>
      <c r="M262">
        <v>0</v>
      </c>
      <c r="N262" s="60">
        <v>0.33577630614202703</v>
      </c>
      <c r="O262" s="881">
        <v>86000.725421619907</v>
      </c>
      <c r="P262" s="60">
        <v>0.15485743697906201</v>
      </c>
      <c r="Q262" s="880">
        <v>3.0598416258827599</v>
      </c>
      <c r="R262" s="60">
        <v>0.58913629703887305</v>
      </c>
      <c r="S262" s="60">
        <v>0.32040623798602103</v>
      </c>
      <c r="T262" s="60">
        <v>0.33379291822543</v>
      </c>
      <c r="U262" s="60">
        <v>0.24671665906717702</v>
      </c>
    </row>
    <row r="263" spans="1:21" x14ac:dyDescent="0.25">
      <c r="A263" s="519" t="s">
        <v>945</v>
      </c>
      <c r="B263" s="519" t="s">
        <v>947</v>
      </c>
      <c r="C263" s="519" t="s">
        <v>284</v>
      </c>
      <c r="D263" s="519" t="s">
        <v>110</v>
      </c>
      <c r="E263" s="519" t="s">
        <v>289</v>
      </c>
      <c r="F263" s="519" t="s">
        <v>16</v>
      </c>
      <c r="G263" s="519" t="s">
        <v>59</v>
      </c>
      <c r="H263" s="519" t="s">
        <v>155</v>
      </c>
      <c r="I263" s="881">
        <v>32920.17942588</v>
      </c>
      <c r="J263" s="881">
        <v>5906.1370891300003</v>
      </c>
      <c r="K263" s="60">
        <v>0.15211685318762402</v>
      </c>
      <c r="L263" s="880">
        <v>3.0509914695959099</v>
      </c>
      <c r="M263">
        <v>0</v>
      </c>
      <c r="N263" s="60">
        <v>0.29430001054774102</v>
      </c>
      <c r="O263" s="881">
        <v>86000.725421619907</v>
      </c>
      <c r="P263" s="60">
        <v>0.15485743697906201</v>
      </c>
      <c r="Q263" s="880">
        <v>3.0598416258827599</v>
      </c>
      <c r="R263" s="60">
        <v>0.58913629703887305</v>
      </c>
      <c r="S263" s="60">
        <v>0.32040623798602103</v>
      </c>
      <c r="T263" s="60">
        <v>0.38279056746231405</v>
      </c>
      <c r="U263" s="60">
        <v>0.31069320651024401</v>
      </c>
    </row>
    <row r="264" spans="1:21" x14ac:dyDescent="0.25">
      <c r="A264" s="519" t="s">
        <v>948</v>
      </c>
      <c r="B264" s="519" t="s">
        <v>340</v>
      </c>
      <c r="C264" s="519" t="s">
        <v>284</v>
      </c>
      <c r="D264" s="519" t="s">
        <v>110</v>
      </c>
      <c r="E264" s="519" t="s">
        <v>289</v>
      </c>
      <c r="F264" s="519" t="s">
        <v>17</v>
      </c>
      <c r="G264" s="519" t="s">
        <v>56</v>
      </c>
      <c r="H264" s="519" t="s">
        <v>144</v>
      </c>
      <c r="I264" s="881">
        <v>94661.651323040205</v>
      </c>
      <c r="J264" s="881">
        <v>2888.3800175699798</v>
      </c>
      <c r="K264" s="60">
        <v>2.9609216705269899E-2</v>
      </c>
      <c r="L264" s="880">
        <v>3.0913796935196798</v>
      </c>
      <c r="M264">
        <v>0</v>
      </c>
      <c r="N264" s="60">
        <v>0.25849895458029204</v>
      </c>
      <c r="O264" s="881">
        <v>549827.27518233005</v>
      </c>
      <c r="P264" s="60">
        <v>2.53947746891755E-2</v>
      </c>
      <c r="Q264" s="880">
        <v>3.1221911094786701</v>
      </c>
      <c r="R264" s="60">
        <v>0.58913629703887305</v>
      </c>
      <c r="S264" s="60">
        <v>0.29346862474827701</v>
      </c>
      <c r="T264" s="60">
        <v>0.17163127439431902</v>
      </c>
      <c r="U264" s="60">
        <v>0.22129253226598103</v>
      </c>
    </row>
    <row r="265" spans="1:21" x14ac:dyDescent="0.25">
      <c r="A265" s="519" t="s">
        <v>948</v>
      </c>
      <c r="B265" s="519" t="s">
        <v>341</v>
      </c>
      <c r="C265" s="519" t="s">
        <v>284</v>
      </c>
      <c r="D265" s="519" t="s">
        <v>110</v>
      </c>
      <c r="E265" s="519" t="s">
        <v>289</v>
      </c>
      <c r="F265" s="519" t="s">
        <v>17</v>
      </c>
      <c r="G265" s="519" t="s">
        <v>56</v>
      </c>
      <c r="H265" s="519" t="s">
        <v>146</v>
      </c>
      <c r="I265" s="881">
        <v>215179.08859247802</v>
      </c>
      <c r="J265" s="881">
        <v>5376.0687404400005</v>
      </c>
      <c r="K265" s="60">
        <v>2.4375166763047199E-2</v>
      </c>
      <c r="L265" s="880">
        <v>3.1157703834457799</v>
      </c>
      <c r="M265">
        <v>0</v>
      </c>
      <c r="N265" s="60">
        <v>0.32075555838018804</v>
      </c>
      <c r="O265" s="881">
        <v>549827.27518233005</v>
      </c>
      <c r="P265" s="60">
        <v>2.53947746891755E-2</v>
      </c>
      <c r="Q265" s="880">
        <v>3.1221911094786701</v>
      </c>
      <c r="R265" s="60">
        <v>0.58913629703887305</v>
      </c>
      <c r="S265" s="60">
        <v>0.29346862474827701</v>
      </c>
      <c r="T265" s="60">
        <v>0.37993231702243102</v>
      </c>
      <c r="U265" s="60">
        <v>0.35705433139522602</v>
      </c>
    </row>
    <row r="266" spans="1:21" x14ac:dyDescent="0.25">
      <c r="A266" s="519" t="s">
        <v>949</v>
      </c>
      <c r="B266" s="519" t="s">
        <v>950</v>
      </c>
      <c r="C266" s="519" t="s">
        <v>284</v>
      </c>
      <c r="D266" s="519" t="s">
        <v>110</v>
      </c>
      <c r="E266" s="519" t="s">
        <v>3</v>
      </c>
      <c r="F266" s="519" t="s">
        <v>70</v>
      </c>
      <c r="G266" s="519" t="s">
        <v>56</v>
      </c>
      <c r="H266" s="519" t="s">
        <v>144</v>
      </c>
      <c r="I266" s="881">
        <v>51697.31849772</v>
      </c>
      <c r="J266" s="881">
        <v>5670.7505354499899</v>
      </c>
      <c r="K266" s="60">
        <v>9.8848551659829892E-2</v>
      </c>
      <c r="L266" s="880">
        <v>2.9980806587161899</v>
      </c>
      <c r="M266">
        <v>0</v>
      </c>
      <c r="N266" s="60">
        <v>0.11842148176931101</v>
      </c>
      <c r="O266" s="881">
        <v>410538.12556380901</v>
      </c>
      <c r="P266" s="60">
        <v>5.2434400836057007E-2</v>
      </c>
      <c r="Q266" s="880">
        <v>3.0667193004507798</v>
      </c>
      <c r="R266" s="60">
        <v>0.61661852919238302</v>
      </c>
      <c r="S266" s="60">
        <v>5.5430152220303501E-2</v>
      </c>
      <c r="T266" s="60">
        <v>0.15363054886117702</v>
      </c>
      <c r="U266" s="60">
        <v>0.310954922631762</v>
      </c>
    </row>
    <row r="267" spans="1:21" x14ac:dyDescent="0.25">
      <c r="A267" s="519" t="s">
        <v>949</v>
      </c>
      <c r="B267" s="519" t="s">
        <v>952</v>
      </c>
      <c r="C267" s="519" t="s">
        <v>284</v>
      </c>
      <c r="D267" s="519" t="s">
        <v>110</v>
      </c>
      <c r="E267" s="519" t="s">
        <v>3</v>
      </c>
      <c r="F267" s="519" t="s">
        <v>70</v>
      </c>
      <c r="G267" s="519" t="s">
        <v>56</v>
      </c>
      <c r="H267" s="519" t="s">
        <v>146</v>
      </c>
      <c r="I267" s="881">
        <v>122383.99835532</v>
      </c>
      <c r="J267" s="881">
        <v>7002.7055503899592</v>
      </c>
      <c r="K267" s="60">
        <v>5.4122296488000196E-2</v>
      </c>
      <c r="L267" s="880">
        <v>3.0685099770545099</v>
      </c>
      <c r="M267">
        <v>0</v>
      </c>
      <c r="N267" s="60">
        <v>6.1722512759133395E-2</v>
      </c>
      <c r="O267" s="881">
        <v>410538.12556380901</v>
      </c>
      <c r="P267" s="60">
        <v>5.2434400836057007E-2</v>
      </c>
      <c r="Q267" s="880">
        <v>3.0667193004507798</v>
      </c>
      <c r="R267" s="60">
        <v>0.61661852919238302</v>
      </c>
      <c r="S267" s="60">
        <v>5.5430152220303501E-2</v>
      </c>
      <c r="T267" s="60">
        <v>0.36266777907661801</v>
      </c>
      <c r="U267" s="60">
        <v>0.34331949227109404</v>
      </c>
    </row>
    <row r="268" spans="1:21" x14ac:dyDescent="0.25">
      <c r="A268" s="519" t="s">
        <v>953</v>
      </c>
      <c r="B268" s="519" t="s">
        <v>955</v>
      </c>
      <c r="C268" s="519" t="s">
        <v>284</v>
      </c>
      <c r="D268" s="519" t="s">
        <v>110</v>
      </c>
      <c r="E268" s="519" t="s">
        <v>3</v>
      </c>
      <c r="F268" s="519" t="s">
        <v>70</v>
      </c>
      <c r="G268" s="519" t="s">
        <v>57</v>
      </c>
      <c r="H268" s="519" t="s">
        <v>148</v>
      </c>
      <c r="I268" s="881">
        <v>103978.50866552</v>
      </c>
      <c r="J268" s="881">
        <v>25145.845026970001</v>
      </c>
      <c r="K268" s="60">
        <v>0.19474130408315501</v>
      </c>
      <c r="L268" s="880">
        <v>3.0399270913926699</v>
      </c>
      <c r="M268">
        <v>0</v>
      </c>
      <c r="N268" s="60">
        <v>5.1718222855635702E-2</v>
      </c>
      <c r="O268" s="881">
        <v>378167.25989777001</v>
      </c>
      <c r="P268" s="60">
        <v>0.11478036880028102</v>
      </c>
      <c r="Q268" s="880">
        <v>2.9768129654221398</v>
      </c>
      <c r="R268" s="60">
        <v>0.61661852919238302</v>
      </c>
      <c r="S268" s="60">
        <v>4.1083639965712501E-2</v>
      </c>
      <c r="T268" s="60">
        <v>0.27182036569568702</v>
      </c>
      <c r="U268" s="60">
        <v>0.46960659280454603</v>
      </c>
    </row>
    <row r="269" spans="1:21" x14ac:dyDescent="0.25">
      <c r="A269" s="519" t="s">
        <v>957</v>
      </c>
      <c r="B269" s="519" t="s">
        <v>958</v>
      </c>
      <c r="C269" s="519" t="s">
        <v>284</v>
      </c>
      <c r="D269" s="519" t="s">
        <v>110</v>
      </c>
      <c r="E269" s="519" t="s">
        <v>3</v>
      </c>
      <c r="F269" s="519" t="s">
        <v>70</v>
      </c>
      <c r="G269" s="519" t="s">
        <v>58</v>
      </c>
      <c r="H269" s="519" t="s">
        <v>150</v>
      </c>
      <c r="I269" s="881">
        <v>121742.59385071001</v>
      </c>
      <c r="J269" s="881">
        <v>17434.405188709999</v>
      </c>
      <c r="K269" s="60">
        <v>0.125267862570969</v>
      </c>
      <c r="L269" s="880">
        <v>2.9524177389283102</v>
      </c>
      <c r="M269">
        <v>0</v>
      </c>
      <c r="N269" s="60">
        <v>0.13307088966821401</v>
      </c>
      <c r="O269" s="881">
        <v>349666.65086181101</v>
      </c>
      <c r="P269" s="60">
        <v>9.53512016499235E-2</v>
      </c>
      <c r="Q269" s="880">
        <v>2.9888678545658798</v>
      </c>
      <c r="R269" s="60">
        <v>0.61661852919238302</v>
      </c>
      <c r="S269" s="60">
        <v>0.11233141018939501</v>
      </c>
      <c r="T269" s="60">
        <v>0.38854502673660402</v>
      </c>
      <c r="U269" s="60">
        <v>0.49033605972166305</v>
      </c>
    </row>
    <row r="270" spans="1:21" x14ac:dyDescent="0.25">
      <c r="A270" s="519" t="s">
        <v>957</v>
      </c>
      <c r="B270" s="519" t="s">
        <v>960</v>
      </c>
      <c r="C270" s="519" t="s">
        <v>284</v>
      </c>
      <c r="D270" s="519" t="s">
        <v>110</v>
      </c>
      <c r="E270" s="519" t="s">
        <v>3</v>
      </c>
      <c r="F270" s="519" t="s">
        <v>70</v>
      </c>
      <c r="G270" s="519" t="s">
        <v>58</v>
      </c>
      <c r="H270" s="519" t="s">
        <v>152</v>
      </c>
      <c r="I270" s="881">
        <v>134935.32291178001</v>
      </c>
      <c r="J270" s="881">
        <v>10078.493401259901</v>
      </c>
      <c r="K270" s="60">
        <v>6.9500228719611007E-2</v>
      </c>
      <c r="L270" s="880">
        <v>2.9956452344920299</v>
      </c>
      <c r="M270">
        <v>0</v>
      </c>
      <c r="N270" s="60">
        <v>0.11634600185589701</v>
      </c>
      <c r="O270" s="881">
        <v>349666.65086181101</v>
      </c>
      <c r="P270" s="60">
        <v>9.53512016499235E-2</v>
      </c>
      <c r="Q270" s="880">
        <v>2.9888678545658798</v>
      </c>
      <c r="R270" s="60">
        <v>0.61661852919238302</v>
      </c>
      <c r="S270" s="60">
        <v>0.11233141018939501</v>
      </c>
      <c r="T270" s="60">
        <v>0.35346695318679999</v>
      </c>
      <c r="U270" s="60">
        <v>0.24053342206810999</v>
      </c>
    </row>
    <row r="271" spans="1:21" x14ac:dyDescent="0.25">
      <c r="A271" s="519" t="s">
        <v>961</v>
      </c>
      <c r="B271" s="519" t="s">
        <v>963</v>
      </c>
      <c r="C271" s="519" t="s">
        <v>284</v>
      </c>
      <c r="D271" s="519" t="s">
        <v>110</v>
      </c>
      <c r="E271" s="519" t="s">
        <v>3</v>
      </c>
      <c r="F271" s="519" t="s">
        <v>70</v>
      </c>
      <c r="G271" s="519" t="s">
        <v>59</v>
      </c>
      <c r="H271" s="519" t="s">
        <v>154</v>
      </c>
      <c r="I271" s="881">
        <v>43810.563272740001</v>
      </c>
      <c r="J271" s="881">
        <v>10173.70185252</v>
      </c>
      <c r="K271" s="60">
        <v>0.18845679993816503</v>
      </c>
      <c r="L271" s="880">
        <v>2.97383803101535</v>
      </c>
      <c r="M271">
        <v>0</v>
      </c>
      <c r="N271" s="60">
        <v>0.14082294124186301</v>
      </c>
      <c r="O271" s="881">
        <v>176282.52548363002</v>
      </c>
      <c r="P271" s="60">
        <v>0.14173552864886702</v>
      </c>
      <c r="Q271" s="880">
        <v>2.9114586325686198</v>
      </c>
      <c r="R271" s="60">
        <v>0.61661852919238302</v>
      </c>
      <c r="S271" s="60">
        <v>0.136126645491917</v>
      </c>
      <c r="T271" s="60">
        <v>0.26833167654865303</v>
      </c>
      <c r="U271" s="60">
        <v>0.41315008458551206</v>
      </c>
    </row>
    <row r="272" spans="1:21" x14ac:dyDescent="0.25">
      <c r="A272" s="519" t="s">
        <v>965</v>
      </c>
      <c r="B272" s="519" t="s">
        <v>966</v>
      </c>
      <c r="C272" s="519" t="s">
        <v>284</v>
      </c>
      <c r="D272" s="519" t="s">
        <v>110</v>
      </c>
      <c r="E272" s="519" t="s">
        <v>3</v>
      </c>
      <c r="F272" s="519" t="s">
        <v>16</v>
      </c>
      <c r="G272" s="519" t="s">
        <v>56</v>
      </c>
      <c r="H272" s="519" t="s">
        <v>144</v>
      </c>
      <c r="I272" s="881">
        <v>86198.284515170206</v>
      </c>
      <c r="J272" s="881">
        <v>7529.5832141799792</v>
      </c>
      <c r="K272" s="60">
        <v>8.0334519461410694E-2</v>
      </c>
      <c r="L272" s="880">
        <v>2.9294446981792199</v>
      </c>
      <c r="M272">
        <v>0</v>
      </c>
      <c r="N272" s="60">
        <v>0.13900156235581801</v>
      </c>
      <c r="O272" s="881">
        <v>540803.74274242204</v>
      </c>
      <c r="P272" s="60">
        <v>4.1039994638141702E-2</v>
      </c>
      <c r="Q272" s="880">
        <v>2.9878941448649501</v>
      </c>
      <c r="R272" s="60">
        <v>0.61661852919238302</v>
      </c>
      <c r="S272" s="60">
        <v>6.5916021198338004E-2</v>
      </c>
      <c r="T272" s="60">
        <v>0.15363054886117702</v>
      </c>
      <c r="U272" s="60">
        <v>0.310954922631762</v>
      </c>
    </row>
    <row r="273" spans="1:21" x14ac:dyDescent="0.25">
      <c r="A273" s="519" t="s">
        <v>965</v>
      </c>
      <c r="B273" s="519" t="s">
        <v>968</v>
      </c>
      <c r="C273" s="519" t="s">
        <v>284</v>
      </c>
      <c r="D273" s="519" t="s">
        <v>110</v>
      </c>
      <c r="E273" s="519" t="s">
        <v>3</v>
      </c>
      <c r="F273" s="519" t="s">
        <v>16</v>
      </c>
      <c r="G273" s="519" t="s">
        <v>56</v>
      </c>
      <c r="H273" s="519" t="s">
        <v>146</v>
      </c>
      <c r="I273" s="881">
        <v>208845.725417871</v>
      </c>
      <c r="J273" s="881">
        <v>7594.3077330999595</v>
      </c>
      <c r="K273" s="60">
        <v>3.5087352476068097E-2</v>
      </c>
      <c r="L273" s="880">
        <v>3.01696901535469</v>
      </c>
      <c r="M273">
        <v>0</v>
      </c>
      <c r="N273" s="60">
        <v>6.5313527642030397E-2</v>
      </c>
      <c r="O273" s="881">
        <v>540803.74274242204</v>
      </c>
      <c r="P273" s="60">
        <v>4.1039994638141702E-2</v>
      </c>
      <c r="Q273" s="880">
        <v>2.9878941448649501</v>
      </c>
      <c r="R273" s="60">
        <v>0.61661852919238302</v>
      </c>
      <c r="S273" s="60">
        <v>6.5916021198338004E-2</v>
      </c>
      <c r="T273" s="60">
        <v>0.36266777907661801</v>
      </c>
      <c r="U273" s="60">
        <v>0.34331949227109404</v>
      </c>
    </row>
    <row r="274" spans="1:21" x14ac:dyDescent="0.25">
      <c r="A274" s="519" t="s">
        <v>969</v>
      </c>
      <c r="B274" s="519" t="s">
        <v>971</v>
      </c>
      <c r="C274" s="519" t="s">
        <v>284</v>
      </c>
      <c r="D274" s="519" t="s">
        <v>110</v>
      </c>
      <c r="E274" s="519" t="s">
        <v>3</v>
      </c>
      <c r="F274" s="519" t="s">
        <v>16</v>
      </c>
      <c r="G274" s="519" t="s">
        <v>57</v>
      </c>
      <c r="H274" s="519" t="s">
        <v>148</v>
      </c>
      <c r="I274" s="881">
        <v>120152.76162001</v>
      </c>
      <c r="J274" s="881">
        <v>20988.272689200101</v>
      </c>
      <c r="K274" s="60">
        <v>0.148704257354522</v>
      </c>
      <c r="L274" s="880">
        <v>2.9597133666005799</v>
      </c>
      <c r="M274">
        <v>0</v>
      </c>
      <c r="N274" s="60">
        <v>9.5942966142196301E-2</v>
      </c>
      <c r="O274" s="881">
        <v>446389.31706031103</v>
      </c>
      <c r="P274" s="60">
        <v>9.9285867796620492E-2</v>
      </c>
      <c r="Q274" s="880">
        <v>2.9708559277736901</v>
      </c>
      <c r="R274" s="60">
        <v>0.61661852919238302</v>
      </c>
      <c r="S274" s="60">
        <v>6.1962758505403399E-2</v>
      </c>
      <c r="T274" s="60">
        <v>0.27182036569568702</v>
      </c>
      <c r="U274" s="60">
        <v>0.46960659280454603</v>
      </c>
    </row>
    <row r="275" spans="1:21" x14ac:dyDescent="0.25">
      <c r="A275" s="519" t="s">
        <v>973</v>
      </c>
      <c r="B275" s="519" t="s">
        <v>974</v>
      </c>
      <c r="C275" s="519" t="s">
        <v>284</v>
      </c>
      <c r="D275" s="519" t="s">
        <v>110</v>
      </c>
      <c r="E275" s="519" t="s">
        <v>3</v>
      </c>
      <c r="F275" s="519" t="s">
        <v>16</v>
      </c>
      <c r="G275" s="519" t="s">
        <v>58</v>
      </c>
      <c r="H275" s="519" t="s">
        <v>150</v>
      </c>
      <c r="I275" s="881">
        <v>195003.08701918001</v>
      </c>
      <c r="J275" s="881">
        <v>22970.673726780002</v>
      </c>
      <c r="K275" s="60">
        <v>0.10538274720851201</v>
      </c>
      <c r="L275" s="880">
        <v>2.8992144958155199</v>
      </c>
      <c r="M275">
        <v>0</v>
      </c>
      <c r="N275" s="60">
        <v>0.20025570799701803</v>
      </c>
      <c r="O275" s="881">
        <v>465543.06506286102</v>
      </c>
      <c r="P275" s="60">
        <v>8.9118245634488905E-2</v>
      </c>
      <c r="Q275" s="880">
        <v>2.9158393711636799</v>
      </c>
      <c r="R275" s="60">
        <v>0.61661852919238302</v>
      </c>
      <c r="S275" s="60">
        <v>0.16556264794856901</v>
      </c>
      <c r="T275" s="60">
        <v>0.38854502673660402</v>
      </c>
      <c r="U275" s="60">
        <v>0.49033605972166305</v>
      </c>
    </row>
    <row r="276" spans="1:21" x14ac:dyDescent="0.25">
      <c r="A276" s="519" t="s">
        <v>973</v>
      </c>
      <c r="B276" s="519" t="s">
        <v>976</v>
      </c>
      <c r="C276" s="519" t="s">
        <v>284</v>
      </c>
      <c r="D276" s="519" t="s">
        <v>110</v>
      </c>
      <c r="E276" s="519" t="s">
        <v>3</v>
      </c>
      <c r="F276" s="519" t="s">
        <v>16</v>
      </c>
      <c r="G276" s="519" t="s">
        <v>58</v>
      </c>
      <c r="H276" s="519" t="s">
        <v>152</v>
      </c>
      <c r="I276" s="881">
        <v>153214.37158439</v>
      </c>
      <c r="J276" s="881">
        <v>9742.1412589600004</v>
      </c>
      <c r="K276" s="60">
        <v>5.9783687616862195E-2</v>
      </c>
      <c r="L276" s="880">
        <v>2.9192250042196402</v>
      </c>
      <c r="M276">
        <v>0</v>
      </c>
      <c r="N276" s="60">
        <v>0.16550619102087902</v>
      </c>
      <c r="O276" s="881">
        <v>465543.06506286102</v>
      </c>
      <c r="P276" s="60">
        <v>8.9118245634488905E-2</v>
      </c>
      <c r="Q276" s="880">
        <v>2.9158393711636799</v>
      </c>
      <c r="R276" s="60">
        <v>0.61661852919238302</v>
      </c>
      <c r="S276" s="60">
        <v>0.16556264794856901</v>
      </c>
      <c r="T276" s="60">
        <v>0.35346695318679999</v>
      </c>
      <c r="U276" s="60">
        <v>0.24053342206810999</v>
      </c>
    </row>
    <row r="277" spans="1:21" x14ac:dyDescent="0.25">
      <c r="A277" s="519" t="s">
        <v>977</v>
      </c>
      <c r="B277" s="519" t="s">
        <v>978</v>
      </c>
      <c r="C277" s="519" t="s">
        <v>284</v>
      </c>
      <c r="D277" s="519" t="s">
        <v>110</v>
      </c>
      <c r="E277" s="519" t="s">
        <v>3</v>
      </c>
      <c r="F277" s="519" t="s">
        <v>16</v>
      </c>
      <c r="G277" s="519" t="s">
        <v>59</v>
      </c>
      <c r="H277" s="519" t="s">
        <v>154</v>
      </c>
      <c r="I277" s="881">
        <v>53454.646898530002</v>
      </c>
      <c r="J277" s="881">
        <v>17356.456171760001</v>
      </c>
      <c r="K277" s="60">
        <v>0.24510924726777999</v>
      </c>
      <c r="L277" s="880">
        <v>2.96384504677071</v>
      </c>
      <c r="M277">
        <v>0</v>
      </c>
      <c r="N277" s="60">
        <v>0.24086666390390202</v>
      </c>
      <c r="O277" s="881">
        <v>186198.75672024</v>
      </c>
      <c r="P277" s="60">
        <v>0.16772214167083502</v>
      </c>
      <c r="Q277" s="880">
        <v>2.84172056970344</v>
      </c>
      <c r="R277" s="60">
        <v>0.61661852919238302</v>
      </c>
      <c r="S277" s="60">
        <v>0.24654905895555801</v>
      </c>
      <c r="T277" s="60">
        <v>0.26833167654865303</v>
      </c>
      <c r="U277" s="60">
        <v>0.41315008458551206</v>
      </c>
    </row>
    <row r="278" spans="1:21" x14ac:dyDescent="0.25">
      <c r="A278" s="519" t="s">
        <v>980</v>
      </c>
      <c r="B278" s="519" t="s">
        <v>344</v>
      </c>
      <c r="C278" s="519" t="s">
        <v>284</v>
      </c>
      <c r="D278" s="519" t="s">
        <v>110</v>
      </c>
      <c r="E278" s="519" t="s">
        <v>3</v>
      </c>
      <c r="F278" s="519" t="s">
        <v>17</v>
      </c>
      <c r="G278" s="519" t="s">
        <v>56</v>
      </c>
      <c r="H278" s="519" t="s">
        <v>144</v>
      </c>
      <c r="I278" s="881">
        <v>109544.10633779</v>
      </c>
      <c r="J278" s="881">
        <v>12939.80086336</v>
      </c>
      <c r="K278" s="60">
        <v>0.10564490600475</v>
      </c>
      <c r="L278" s="880">
        <v>3.0022712065867201</v>
      </c>
      <c r="M278">
        <v>0</v>
      </c>
      <c r="N278" s="60">
        <v>0.225034604567274</v>
      </c>
      <c r="O278" s="881">
        <v>659273.41091320699</v>
      </c>
      <c r="P278" s="60">
        <v>5.47720066266527E-2</v>
      </c>
      <c r="Q278" s="880">
        <v>3.0009204338660802</v>
      </c>
      <c r="R278" s="60">
        <v>0.61661852919238302</v>
      </c>
      <c r="S278" s="60">
        <v>0.23669021579705901</v>
      </c>
      <c r="T278" s="60">
        <v>0.15363054886117702</v>
      </c>
      <c r="U278" s="60">
        <v>0.310954922631762</v>
      </c>
    </row>
    <row r="279" spans="1:21" x14ac:dyDescent="0.25">
      <c r="A279" s="519" t="s">
        <v>980</v>
      </c>
      <c r="B279" s="519" t="s">
        <v>345</v>
      </c>
      <c r="C279" s="519" t="s">
        <v>284</v>
      </c>
      <c r="D279" s="519" t="s">
        <v>110</v>
      </c>
      <c r="E279" s="519" t="s">
        <v>3</v>
      </c>
      <c r="F279" s="519" t="s">
        <v>17</v>
      </c>
      <c r="G279" s="519" t="s">
        <v>56</v>
      </c>
      <c r="H279" s="519" t="s">
        <v>146</v>
      </c>
      <c r="I279" s="881">
        <v>252888.54248819</v>
      </c>
      <c r="J279" s="881">
        <v>14263.8185929601</v>
      </c>
      <c r="K279" s="60">
        <v>5.3392073853419007E-2</v>
      </c>
      <c r="L279" s="880">
        <v>3.00661578432367</v>
      </c>
      <c r="M279">
        <v>0</v>
      </c>
      <c r="N279" s="60">
        <v>0.24731943177283702</v>
      </c>
      <c r="O279" s="881">
        <v>659273.41091320699</v>
      </c>
      <c r="P279" s="60">
        <v>5.47720066266527E-2</v>
      </c>
      <c r="Q279" s="880">
        <v>3.0009204338660802</v>
      </c>
      <c r="R279" s="60">
        <v>0.61661852919238302</v>
      </c>
      <c r="S279" s="60">
        <v>0.23669021579705901</v>
      </c>
      <c r="T279" s="60">
        <v>0.36266777907661801</v>
      </c>
      <c r="U279" s="60">
        <v>0.34331949227109404</v>
      </c>
    </row>
    <row r="280" spans="1:21" x14ac:dyDescent="0.25">
      <c r="A280" s="519" t="s">
        <v>981</v>
      </c>
      <c r="B280" s="519" t="s">
        <v>983</v>
      </c>
      <c r="C280" s="519" t="s">
        <v>284</v>
      </c>
      <c r="D280" s="519" t="s">
        <v>110</v>
      </c>
      <c r="E280" s="519" t="s">
        <v>286</v>
      </c>
      <c r="F280" s="519" t="s">
        <v>70</v>
      </c>
      <c r="G280" s="519" t="s">
        <v>56</v>
      </c>
      <c r="H280" s="519" t="s">
        <v>145</v>
      </c>
      <c r="I280" s="881">
        <v>52581.3432180499</v>
      </c>
      <c r="J280" s="881">
        <v>3138.2294985999897</v>
      </c>
      <c r="K280" s="60">
        <v>5.6321851471453008E-2</v>
      </c>
      <c r="L280" s="880">
        <v>2.96789629335959</v>
      </c>
      <c r="M280">
        <v>0</v>
      </c>
      <c r="N280" s="60">
        <v>0.55744278398765201</v>
      </c>
      <c r="O280" s="881">
        <v>131034.41058479001</v>
      </c>
      <c r="P280" s="60">
        <v>6.84546809968717E-2</v>
      </c>
      <c r="Q280" s="880">
        <v>2.9735871511247298</v>
      </c>
      <c r="R280" s="60">
        <v>0.59496901142443903</v>
      </c>
      <c r="S280" s="60">
        <v>0.46062072580853902</v>
      </c>
      <c r="T280" s="60">
        <v>0.34431826646190905</v>
      </c>
      <c r="U280" s="60">
        <v>0.33762942645274102</v>
      </c>
    </row>
    <row r="281" spans="1:21" x14ac:dyDescent="0.25">
      <c r="A281" s="519" t="s">
        <v>985</v>
      </c>
      <c r="B281" s="519" t="s">
        <v>986</v>
      </c>
      <c r="C281" s="519" t="s">
        <v>284</v>
      </c>
      <c r="D281" s="519" t="s">
        <v>110</v>
      </c>
      <c r="E281" s="519" t="s">
        <v>286</v>
      </c>
      <c r="F281" s="519" t="s">
        <v>70</v>
      </c>
      <c r="G281" s="519" t="s">
        <v>57</v>
      </c>
      <c r="H281" s="519" t="s">
        <v>147</v>
      </c>
      <c r="I281" s="881">
        <v>56254.616274960004</v>
      </c>
      <c r="J281" s="881">
        <v>1839.1139924300001</v>
      </c>
      <c r="K281" s="60">
        <v>3.1657701854658798E-2</v>
      </c>
      <c r="L281" s="880">
        <v>2.9832905940132002</v>
      </c>
      <c r="M281">
        <v>0</v>
      </c>
      <c r="N281" s="60">
        <v>0.51509443835843904</v>
      </c>
      <c r="O281" s="881">
        <v>175361.39550204002</v>
      </c>
      <c r="P281" s="60">
        <v>5.4110726199781002E-2</v>
      </c>
      <c r="Q281" s="880">
        <v>3.0031117397962102</v>
      </c>
      <c r="R281" s="60">
        <v>0.59496901142443903</v>
      </c>
      <c r="S281" s="60">
        <v>0.48342991843894106</v>
      </c>
      <c r="T281" s="60">
        <v>0.32109959850488701</v>
      </c>
      <c r="U281" s="60">
        <v>0.16244428777648001</v>
      </c>
    </row>
    <row r="282" spans="1:21" x14ac:dyDescent="0.25">
      <c r="A282" s="519" t="s">
        <v>985</v>
      </c>
      <c r="B282" s="519" t="s">
        <v>988</v>
      </c>
      <c r="C282" s="519" t="s">
        <v>284</v>
      </c>
      <c r="D282" s="519" t="s">
        <v>110</v>
      </c>
      <c r="E282" s="519" t="s">
        <v>286</v>
      </c>
      <c r="F282" s="519" t="s">
        <v>70</v>
      </c>
      <c r="G282" s="519" t="s">
        <v>57</v>
      </c>
      <c r="H282" s="519" t="s">
        <v>149</v>
      </c>
      <c r="I282" s="881">
        <v>66634.010883969997</v>
      </c>
      <c r="J282" s="881">
        <v>6199.8787913599799</v>
      </c>
      <c r="K282" s="60">
        <v>8.5123543710174499E-2</v>
      </c>
      <c r="L282" s="880">
        <v>2.9871054638071701</v>
      </c>
      <c r="M282">
        <v>0</v>
      </c>
      <c r="N282" s="60">
        <v>0.49601263405893997</v>
      </c>
      <c r="O282" s="881">
        <v>175361.39550204002</v>
      </c>
      <c r="P282" s="60">
        <v>5.4110726199781002E-2</v>
      </c>
      <c r="Q282" s="880">
        <v>3.0031117397962102</v>
      </c>
      <c r="R282" s="60">
        <v>0.59496901142443903</v>
      </c>
      <c r="S282" s="60">
        <v>0.48342991843894106</v>
      </c>
      <c r="T282" s="60">
        <v>0.37526539175144202</v>
      </c>
      <c r="U282" s="60">
        <v>0.54423345630296904</v>
      </c>
    </row>
    <row r="283" spans="1:21" x14ac:dyDescent="0.25">
      <c r="A283" s="519" t="s">
        <v>989</v>
      </c>
      <c r="B283" s="519" t="s">
        <v>990</v>
      </c>
      <c r="C283" s="519" t="s">
        <v>284</v>
      </c>
      <c r="D283" s="519" t="s">
        <v>110</v>
      </c>
      <c r="E283" s="519" t="s">
        <v>286</v>
      </c>
      <c r="F283" s="519" t="s">
        <v>70</v>
      </c>
      <c r="G283" s="519" t="s">
        <v>58</v>
      </c>
      <c r="H283" s="519" t="s">
        <v>150</v>
      </c>
      <c r="I283" s="881">
        <v>65769.255963299991</v>
      </c>
      <c r="J283" s="881">
        <v>3455.5687467599796</v>
      </c>
      <c r="K283" s="60">
        <v>4.9918057015430901E-2</v>
      </c>
      <c r="L283" s="880">
        <v>3.1276268743746898</v>
      </c>
      <c r="M283">
        <v>0</v>
      </c>
      <c r="N283" s="60">
        <v>0.19230707379535603</v>
      </c>
      <c r="O283" s="881">
        <v>181469.97867777001</v>
      </c>
      <c r="P283" s="60">
        <v>3.3948567561044501E-2</v>
      </c>
      <c r="Q283" s="880">
        <v>3.1142988270510199</v>
      </c>
      <c r="R283" s="60">
        <v>0.59496901142443903</v>
      </c>
      <c r="S283" s="60">
        <v>0.24451724157531701</v>
      </c>
      <c r="T283" s="60">
        <v>0.42549338331942704</v>
      </c>
      <c r="U283" s="60">
        <v>0.50684187999479302</v>
      </c>
    </row>
    <row r="284" spans="1:21" x14ac:dyDescent="0.25">
      <c r="A284" s="519" t="s">
        <v>989</v>
      </c>
      <c r="B284" s="519" t="s">
        <v>992</v>
      </c>
      <c r="C284" s="519" t="s">
        <v>284</v>
      </c>
      <c r="D284" s="519" t="s">
        <v>110</v>
      </c>
      <c r="E284" s="519" t="s">
        <v>286</v>
      </c>
      <c r="F284" s="519" t="s">
        <v>70</v>
      </c>
      <c r="G284" s="519" t="s">
        <v>58</v>
      </c>
      <c r="H284" s="519" t="s">
        <v>152</v>
      </c>
      <c r="I284" s="881">
        <v>62797.095014630002</v>
      </c>
      <c r="J284" s="881">
        <v>1553.81304249</v>
      </c>
      <c r="K284" s="60">
        <v>2.41459380978865E-2</v>
      </c>
      <c r="L284" s="880">
        <v>3.1440718911827101</v>
      </c>
      <c r="M284">
        <v>0</v>
      </c>
      <c r="N284" s="60">
        <v>0.24816413439426402</v>
      </c>
      <c r="O284" s="881">
        <v>181469.97867777001</v>
      </c>
      <c r="P284" s="60">
        <v>3.3948567561044501E-2</v>
      </c>
      <c r="Q284" s="880">
        <v>3.1142988270510199</v>
      </c>
      <c r="R284" s="60">
        <v>0.59496901142443903</v>
      </c>
      <c r="S284" s="60">
        <v>0.24451724157531701</v>
      </c>
      <c r="T284" s="60">
        <v>0.33391937943900701</v>
      </c>
      <c r="U284" s="60">
        <v>0.24511157454065602</v>
      </c>
    </row>
    <row r="285" spans="1:21" x14ac:dyDescent="0.25">
      <c r="A285" s="519" t="s">
        <v>993</v>
      </c>
      <c r="B285" s="519" t="s">
        <v>995</v>
      </c>
      <c r="C285" s="519" t="s">
        <v>284</v>
      </c>
      <c r="D285" s="519" t="s">
        <v>110</v>
      </c>
      <c r="E285" s="519" t="s">
        <v>286</v>
      </c>
      <c r="F285" s="519" t="s">
        <v>70</v>
      </c>
      <c r="G285" s="519" t="s">
        <v>59</v>
      </c>
      <c r="H285" s="519" t="s">
        <v>154</v>
      </c>
      <c r="I285" s="881">
        <v>71777.535506020198</v>
      </c>
      <c r="J285" s="881">
        <v>1803.1913881600001</v>
      </c>
      <c r="K285" s="60">
        <v>2.4506300280959001E-2</v>
      </c>
      <c r="L285" s="880">
        <v>2.9836638553177202</v>
      </c>
      <c r="M285">
        <v>0</v>
      </c>
      <c r="N285" s="60">
        <v>0.13225660063633402</v>
      </c>
      <c r="O285" s="881">
        <v>215524.27931223102</v>
      </c>
      <c r="P285" s="60">
        <v>2.5400618329409999E-2</v>
      </c>
      <c r="Q285" s="880">
        <v>3.0638356937623699</v>
      </c>
      <c r="R285" s="60">
        <v>0.59496901142443903</v>
      </c>
      <c r="S285" s="60">
        <v>0.14143519964346801</v>
      </c>
      <c r="T285" s="60">
        <v>0.31192364043508103</v>
      </c>
      <c r="U285" s="60">
        <v>0.32921785466632203</v>
      </c>
    </row>
    <row r="286" spans="1:21" x14ac:dyDescent="0.25">
      <c r="A286" s="519" t="s">
        <v>997</v>
      </c>
      <c r="B286" s="519" t="s">
        <v>998</v>
      </c>
      <c r="C286" s="519" t="s">
        <v>284</v>
      </c>
      <c r="D286" s="519" t="s">
        <v>110</v>
      </c>
      <c r="E286" s="519" t="s">
        <v>286</v>
      </c>
      <c r="F286" s="519" t="s">
        <v>16</v>
      </c>
      <c r="G286" s="519" t="s">
        <v>56</v>
      </c>
      <c r="H286" s="519" t="s">
        <v>144</v>
      </c>
      <c r="I286" s="881">
        <v>63517.464052600102</v>
      </c>
      <c r="J286" s="881">
        <v>2794.3370185700096</v>
      </c>
      <c r="K286" s="60">
        <v>4.2139362427676297E-2</v>
      </c>
      <c r="L286" s="880">
        <v>3.00840321173819</v>
      </c>
      <c r="M286">
        <v>0</v>
      </c>
      <c r="N286" s="60">
        <v>0.16141267318685301</v>
      </c>
      <c r="O286" s="881">
        <v>192233.06838273001</v>
      </c>
      <c r="P286" s="60">
        <v>3.6836740168868197E-2</v>
      </c>
      <c r="Q286" s="880">
        <v>3.0595187542250599</v>
      </c>
      <c r="R286" s="60">
        <v>0.59496901142443903</v>
      </c>
      <c r="S286" s="60">
        <v>0.26099256999534604</v>
      </c>
      <c r="T286" s="60">
        <v>0.29982781175254303</v>
      </c>
      <c r="U286" s="60">
        <v>0.27900245754449104</v>
      </c>
    </row>
    <row r="287" spans="1:21" x14ac:dyDescent="0.25">
      <c r="A287" s="519" t="s">
        <v>997</v>
      </c>
      <c r="B287" s="519" t="s">
        <v>1000</v>
      </c>
      <c r="C287" s="519" t="s">
        <v>284</v>
      </c>
      <c r="D287" s="519" t="s">
        <v>110</v>
      </c>
      <c r="E287" s="519" t="s">
        <v>286</v>
      </c>
      <c r="F287" s="519" t="s">
        <v>16</v>
      </c>
      <c r="G287" s="519" t="s">
        <v>56</v>
      </c>
      <c r="H287" s="519" t="s">
        <v>146</v>
      </c>
      <c r="I287" s="881">
        <v>61088.182749560103</v>
      </c>
      <c r="J287" s="881">
        <v>1828.6548212200098</v>
      </c>
      <c r="K287" s="60">
        <v>2.9064633440338099E-2</v>
      </c>
      <c r="L287" s="880">
        <v>2.9987058854440698</v>
      </c>
      <c r="M287">
        <v>0</v>
      </c>
      <c r="N287" s="60">
        <v>0.24682415306221603</v>
      </c>
      <c r="O287" s="881">
        <v>192233.06838273001</v>
      </c>
      <c r="P287" s="60">
        <v>3.6836740168868197E-2</v>
      </c>
      <c r="Q287" s="880">
        <v>3.0595187542250599</v>
      </c>
      <c r="R287" s="60">
        <v>0.59496901142443903</v>
      </c>
      <c r="S287" s="60">
        <v>0.26099256999534604</v>
      </c>
      <c r="T287" s="60">
        <v>0.35585392178554703</v>
      </c>
      <c r="U287" s="60">
        <v>0.38336811600276804</v>
      </c>
    </row>
    <row r="288" spans="1:21" x14ac:dyDescent="0.25">
      <c r="A288" s="519" t="s">
        <v>1001</v>
      </c>
      <c r="B288" s="519" t="s">
        <v>1003</v>
      </c>
      <c r="C288" s="519" t="s">
        <v>284</v>
      </c>
      <c r="D288" s="519" t="s">
        <v>110</v>
      </c>
      <c r="E288" s="519" t="s">
        <v>286</v>
      </c>
      <c r="F288" s="519" t="s">
        <v>16</v>
      </c>
      <c r="G288" s="519" t="s">
        <v>57</v>
      </c>
      <c r="H288" s="519" t="s">
        <v>148</v>
      </c>
      <c r="I288" s="881">
        <v>64455.904379640204</v>
      </c>
      <c r="J288" s="881">
        <v>5270.0580117899699</v>
      </c>
      <c r="K288" s="60">
        <v>7.5582434878485205E-2</v>
      </c>
      <c r="L288" s="880">
        <v>3.1111474797695999</v>
      </c>
      <c r="M288">
        <v>0</v>
      </c>
      <c r="N288" s="60">
        <v>0.48360776764705804</v>
      </c>
      <c r="O288" s="881">
        <v>209734.75273680102</v>
      </c>
      <c r="P288" s="60">
        <v>6.56177887519757E-2</v>
      </c>
      <c r="Q288" s="880">
        <v>3.1459028956250101</v>
      </c>
      <c r="R288" s="60">
        <v>0.59496901142443903</v>
      </c>
      <c r="S288" s="60">
        <v>0.47939890560010101</v>
      </c>
      <c r="T288" s="60">
        <v>0.30363500974367003</v>
      </c>
      <c r="U288" s="60">
        <v>0.293322255920551</v>
      </c>
    </row>
    <row r="289" spans="1:21" x14ac:dyDescent="0.25">
      <c r="A289" s="519" t="s">
        <v>1005</v>
      </c>
      <c r="B289" s="519" t="s">
        <v>1007</v>
      </c>
      <c r="C289" s="519" t="s">
        <v>284</v>
      </c>
      <c r="D289" s="519" t="s">
        <v>110</v>
      </c>
      <c r="E289" s="519" t="s">
        <v>286</v>
      </c>
      <c r="F289" s="519" t="s">
        <v>16</v>
      </c>
      <c r="G289" s="519" t="s">
        <v>58</v>
      </c>
      <c r="H289" s="519" t="s">
        <v>151</v>
      </c>
      <c r="I289" s="881">
        <v>80175.004056940306</v>
      </c>
      <c r="J289" s="881">
        <v>3107.3861794200097</v>
      </c>
      <c r="K289" s="60">
        <v>3.7311443278718097E-2</v>
      </c>
      <c r="L289" s="880">
        <v>3.1904328339801098</v>
      </c>
      <c r="M289">
        <v>0</v>
      </c>
      <c r="N289" s="60">
        <v>0.40244245582931204</v>
      </c>
      <c r="O289" s="881">
        <v>371670.88316753204</v>
      </c>
      <c r="P289" s="60">
        <v>3.0428747266021398E-2</v>
      </c>
      <c r="Q289" s="880">
        <v>3.2161145245193201</v>
      </c>
      <c r="R289" s="60">
        <v>0.59496901142443903</v>
      </c>
      <c r="S289" s="60">
        <v>0.47948329425157504</v>
      </c>
      <c r="T289" s="60">
        <v>0.24058723724156603</v>
      </c>
      <c r="U289" s="60">
        <v>0.24804654546455102</v>
      </c>
    </row>
    <row r="290" spans="1:21" x14ac:dyDescent="0.25">
      <c r="A290" s="519" t="s">
        <v>1009</v>
      </c>
      <c r="B290" s="519" t="s">
        <v>309</v>
      </c>
      <c r="C290" s="519" t="s">
        <v>284</v>
      </c>
      <c r="D290" s="519" t="s">
        <v>110</v>
      </c>
      <c r="E290" s="519" t="s">
        <v>286</v>
      </c>
      <c r="F290" s="519" t="s">
        <v>16</v>
      </c>
      <c r="G290" s="519" t="s">
        <v>59</v>
      </c>
      <c r="H290" s="519" t="s">
        <v>153</v>
      </c>
      <c r="I290" s="881">
        <v>101558.67970250999</v>
      </c>
      <c r="J290" s="881">
        <v>2053.3570166300301</v>
      </c>
      <c r="K290" s="60">
        <v>1.9817745907225501E-2</v>
      </c>
      <c r="L290" s="880">
        <v>3.3381507265057899</v>
      </c>
      <c r="M290">
        <v>0</v>
      </c>
      <c r="N290" s="60">
        <v>0.50671767158477599</v>
      </c>
      <c r="O290" s="881">
        <v>375012.244389561</v>
      </c>
      <c r="P290" s="60">
        <v>2.7797585991392499E-2</v>
      </c>
      <c r="Q290" s="880">
        <v>3.2598539079285702</v>
      </c>
      <c r="R290" s="60">
        <v>0.59496901142443903</v>
      </c>
      <c r="S290" s="60">
        <v>0.46078941748721902</v>
      </c>
      <c r="T290" s="60">
        <v>0.26774701514205601</v>
      </c>
      <c r="U290" s="60">
        <v>0.226019336483744</v>
      </c>
    </row>
    <row r="291" spans="1:21" x14ac:dyDescent="0.25">
      <c r="A291" s="519" t="s">
        <v>1009</v>
      </c>
      <c r="B291" s="519" t="s">
        <v>1011</v>
      </c>
      <c r="C291" s="519" t="s">
        <v>284</v>
      </c>
      <c r="D291" s="519" t="s">
        <v>110</v>
      </c>
      <c r="E291" s="519" t="s">
        <v>286</v>
      </c>
      <c r="F291" s="519" t="s">
        <v>16</v>
      </c>
      <c r="G291" s="519" t="s">
        <v>59</v>
      </c>
      <c r="H291" s="519" t="s">
        <v>155</v>
      </c>
      <c r="I291" s="881">
        <v>161028.79791013</v>
      </c>
      <c r="J291" s="881">
        <v>5093.0332936999694</v>
      </c>
      <c r="K291" s="60">
        <v>3.0658422537197499E-2</v>
      </c>
      <c r="L291" s="880">
        <v>3.2289738470396601</v>
      </c>
      <c r="M291">
        <v>0</v>
      </c>
      <c r="N291" s="60">
        <v>0.46330421170291103</v>
      </c>
      <c r="O291" s="881">
        <v>375012.244389561</v>
      </c>
      <c r="P291" s="60">
        <v>2.7797585991392499E-2</v>
      </c>
      <c r="Q291" s="880">
        <v>3.2598539079285702</v>
      </c>
      <c r="R291" s="60">
        <v>0.59496901142443903</v>
      </c>
      <c r="S291" s="60">
        <v>0.46078941748721902</v>
      </c>
      <c r="T291" s="60">
        <v>0.42032934442286302</v>
      </c>
      <c r="U291" s="60">
        <v>0.44476280884993402</v>
      </c>
    </row>
    <row r="292" spans="1:21" x14ac:dyDescent="0.25">
      <c r="A292" s="519" t="s">
        <v>1012</v>
      </c>
      <c r="B292" s="519" t="s">
        <v>1755</v>
      </c>
      <c r="C292" s="519" t="s">
        <v>284</v>
      </c>
      <c r="D292" s="519" t="s">
        <v>110</v>
      </c>
      <c r="E292" s="519" t="s">
        <v>286</v>
      </c>
      <c r="F292" s="519" t="s">
        <v>17</v>
      </c>
      <c r="G292" s="519" t="s">
        <v>56</v>
      </c>
      <c r="H292" s="519" t="s">
        <v>145</v>
      </c>
      <c r="I292" s="881">
        <v>136330.32030127101</v>
      </c>
      <c r="J292" s="881">
        <v>4204.6132128000099</v>
      </c>
      <c r="K292" s="60">
        <v>2.99186338062991E-2</v>
      </c>
      <c r="L292" s="880">
        <v>3.1676920257419598</v>
      </c>
      <c r="M292">
        <v>0</v>
      </c>
      <c r="N292" s="60">
        <v>0.50988456822317307</v>
      </c>
      <c r="O292" s="881">
        <v>421796.34740450105</v>
      </c>
      <c r="P292" s="60">
        <v>2.9564569758397601E-2</v>
      </c>
      <c r="Q292" s="880">
        <v>3.19430363597683</v>
      </c>
      <c r="R292" s="60">
        <v>0.59496901142443903</v>
      </c>
      <c r="S292" s="60">
        <v>0.51639223119575606</v>
      </c>
      <c r="T292" s="60">
        <v>0.34431826646190905</v>
      </c>
      <c r="U292" s="60">
        <v>0.33762942645274102</v>
      </c>
    </row>
    <row r="293" spans="1:21" x14ac:dyDescent="0.25">
      <c r="A293" s="519" t="s">
        <v>1860</v>
      </c>
      <c r="B293" s="519" t="s">
        <v>1861</v>
      </c>
      <c r="C293" s="519" t="s">
        <v>284</v>
      </c>
      <c r="D293" s="519" t="s">
        <v>110</v>
      </c>
      <c r="E293" s="519" t="s">
        <v>286</v>
      </c>
      <c r="F293" s="519" t="s">
        <v>17</v>
      </c>
      <c r="G293" s="519" t="s">
        <v>57</v>
      </c>
      <c r="H293" s="519" t="s">
        <v>149</v>
      </c>
      <c r="I293" s="881">
        <v>121997.08395938101</v>
      </c>
      <c r="J293" s="881">
        <v>9813.9774460600001</v>
      </c>
      <c r="K293" s="60">
        <v>7.4454885207797805E-2</v>
      </c>
      <c r="L293" s="880">
        <v>3.2017387809704201</v>
      </c>
      <c r="M293">
        <v>0</v>
      </c>
      <c r="N293" s="60">
        <v>0.51818145085646605</v>
      </c>
      <c r="O293" s="881">
        <v>121997.08395938101</v>
      </c>
      <c r="P293" s="60">
        <v>7.4454885207797E-2</v>
      </c>
      <c r="Q293" s="880">
        <v>3.2017387809704201</v>
      </c>
      <c r="R293" s="60">
        <v>0.59496901142443903</v>
      </c>
      <c r="S293" s="60">
        <v>0.51818145085646605</v>
      </c>
      <c r="T293" s="60">
        <v>0.37526539175144202</v>
      </c>
      <c r="U293" s="60">
        <v>0.54423345630296904</v>
      </c>
    </row>
    <row r="294" spans="1:21" x14ac:dyDescent="0.25">
      <c r="A294" s="519" t="s">
        <v>1013</v>
      </c>
      <c r="B294" s="519" t="s">
        <v>1014</v>
      </c>
      <c r="C294" s="519" t="s">
        <v>284</v>
      </c>
      <c r="D294" s="519" t="s">
        <v>110</v>
      </c>
      <c r="E294" s="519" t="s">
        <v>287</v>
      </c>
      <c r="F294" s="519" t="s">
        <v>70</v>
      </c>
      <c r="G294" s="519" t="s">
        <v>56</v>
      </c>
      <c r="H294" s="519" t="s">
        <v>144</v>
      </c>
      <c r="I294" s="881">
        <v>19818.583334679999</v>
      </c>
      <c r="J294" s="881">
        <v>973.42009125000197</v>
      </c>
      <c r="K294" s="60">
        <v>4.6817041691905197E-2</v>
      </c>
      <c r="L294" s="880">
        <v>2.9077557416046003</v>
      </c>
      <c r="M294">
        <v>0</v>
      </c>
      <c r="N294" s="60">
        <v>0.2935115446537</v>
      </c>
      <c r="O294" s="881">
        <v>94173.079619740107</v>
      </c>
      <c r="P294" s="60">
        <v>4.6161701764258802E-2</v>
      </c>
      <c r="Q294" s="880">
        <v>2.93936189033152</v>
      </c>
      <c r="R294" s="60">
        <v>0.60653542459787702</v>
      </c>
      <c r="S294" s="60">
        <v>0.29735164579676998</v>
      </c>
      <c r="T294" s="60">
        <v>0.298349749205433</v>
      </c>
      <c r="U294" s="60">
        <v>0.27682485482975905</v>
      </c>
    </row>
    <row r="295" spans="1:21" x14ac:dyDescent="0.25">
      <c r="A295" s="519" t="s">
        <v>1013</v>
      </c>
      <c r="B295" s="519" t="s">
        <v>1016</v>
      </c>
      <c r="C295" s="519" t="s">
        <v>284</v>
      </c>
      <c r="D295" s="519" t="s">
        <v>110</v>
      </c>
      <c r="E295" s="519" t="s">
        <v>287</v>
      </c>
      <c r="F295" s="519" t="s">
        <v>70</v>
      </c>
      <c r="G295" s="519" t="s">
        <v>56</v>
      </c>
      <c r="H295" s="519" t="s">
        <v>146</v>
      </c>
      <c r="I295" s="881">
        <v>33824.75443786</v>
      </c>
      <c r="J295" s="881">
        <v>1224.96822509</v>
      </c>
      <c r="K295" s="60">
        <v>3.4949441308557802E-2</v>
      </c>
      <c r="L295" s="880">
        <v>2.96691785546659</v>
      </c>
      <c r="M295">
        <v>0</v>
      </c>
      <c r="N295" s="60">
        <v>0.279525089158287</v>
      </c>
      <c r="O295" s="881">
        <v>94173.079619740107</v>
      </c>
      <c r="P295" s="60">
        <v>4.6161701764258802E-2</v>
      </c>
      <c r="Q295" s="880">
        <v>2.93936189033152</v>
      </c>
      <c r="R295" s="60">
        <v>0.60653542459787702</v>
      </c>
      <c r="S295" s="60">
        <v>0.29735164579676998</v>
      </c>
      <c r="T295" s="60">
        <v>0.31826839462756601</v>
      </c>
      <c r="U295" s="60">
        <v>0.28803273718018702</v>
      </c>
    </row>
    <row r="296" spans="1:21" x14ac:dyDescent="0.25">
      <c r="A296" s="519" t="s">
        <v>1017</v>
      </c>
      <c r="B296" s="519" t="s">
        <v>1019</v>
      </c>
      <c r="C296" s="519" t="s">
        <v>284</v>
      </c>
      <c r="D296" s="519" t="s">
        <v>110</v>
      </c>
      <c r="E296" s="519" t="s">
        <v>287</v>
      </c>
      <c r="F296" s="519" t="s">
        <v>70</v>
      </c>
      <c r="G296" s="519" t="s">
        <v>57</v>
      </c>
      <c r="H296" s="519" t="s">
        <v>148</v>
      </c>
      <c r="I296" s="881">
        <v>38830.860314550104</v>
      </c>
      <c r="J296" s="881">
        <v>1238.63374024</v>
      </c>
      <c r="K296" s="60">
        <v>3.0912138260251701E-2</v>
      </c>
      <c r="L296" s="880">
        <v>3.00887612790389</v>
      </c>
      <c r="M296">
        <v>0</v>
      </c>
      <c r="N296" s="60">
        <v>0.35506775454196404</v>
      </c>
      <c r="O296" s="881">
        <v>118742.97621009</v>
      </c>
      <c r="P296" s="60">
        <v>4.7119487770484005E-2</v>
      </c>
      <c r="Q296" s="880">
        <v>2.9947544401439798</v>
      </c>
      <c r="R296" s="60">
        <v>0.60653542459787702</v>
      </c>
      <c r="S296" s="60">
        <v>0.365406556454688</v>
      </c>
      <c r="T296" s="60">
        <v>0.31103092365219304</v>
      </c>
      <c r="U296" s="60">
        <v>0.28958477280671102</v>
      </c>
    </row>
    <row r="297" spans="1:21" x14ac:dyDescent="0.25">
      <c r="A297" s="519" t="s">
        <v>1021</v>
      </c>
      <c r="B297" s="519" t="s">
        <v>1023</v>
      </c>
      <c r="C297" s="519" t="s">
        <v>284</v>
      </c>
      <c r="D297" s="519" t="s">
        <v>110</v>
      </c>
      <c r="E297" s="519" t="s">
        <v>287</v>
      </c>
      <c r="F297" s="519" t="s">
        <v>70</v>
      </c>
      <c r="G297" s="519" t="s">
        <v>58</v>
      </c>
      <c r="H297" s="519" t="s">
        <v>151</v>
      </c>
      <c r="I297" s="881">
        <v>40795.498387530104</v>
      </c>
      <c r="J297" s="881">
        <v>796.95658527000194</v>
      </c>
      <c r="K297" s="60">
        <v>1.91610854851243E-2</v>
      </c>
      <c r="L297" s="880">
        <v>3.0147355638525801</v>
      </c>
      <c r="M297">
        <v>0</v>
      </c>
      <c r="N297" s="60">
        <v>0.28005190729186502</v>
      </c>
      <c r="O297" s="881">
        <v>128873.62719432</v>
      </c>
      <c r="P297" s="60">
        <v>3.4643114169358398E-2</v>
      </c>
      <c r="Q297" s="880">
        <v>3.0155354725607801</v>
      </c>
      <c r="R297" s="60">
        <v>0.60653542459787702</v>
      </c>
      <c r="S297" s="60">
        <v>0.27046967467503802</v>
      </c>
      <c r="T297" s="60">
        <v>0.29661468680476999</v>
      </c>
      <c r="U297" s="60">
        <v>0.17822769370183703</v>
      </c>
    </row>
    <row r="298" spans="1:21" x14ac:dyDescent="0.25">
      <c r="A298" s="519" t="s">
        <v>1025</v>
      </c>
      <c r="B298" s="519" t="s">
        <v>1026</v>
      </c>
      <c r="C298" s="519" t="s">
        <v>284</v>
      </c>
      <c r="D298" s="519" t="s">
        <v>110</v>
      </c>
      <c r="E298" s="519" t="s">
        <v>287</v>
      </c>
      <c r="F298" s="519" t="s">
        <v>70</v>
      </c>
      <c r="G298" s="519" t="s">
        <v>59</v>
      </c>
      <c r="H298" s="519" t="s">
        <v>153</v>
      </c>
      <c r="I298" s="881">
        <v>33458.39326533</v>
      </c>
      <c r="J298" s="881">
        <v>1973.29576965</v>
      </c>
      <c r="K298" s="60">
        <v>5.5692963654706495E-2</v>
      </c>
      <c r="L298" s="880">
        <v>3.0006501990863099</v>
      </c>
      <c r="M298">
        <v>0</v>
      </c>
      <c r="N298" s="60">
        <v>0.35045692221779001</v>
      </c>
      <c r="O298" s="881">
        <v>88596.372424109999</v>
      </c>
      <c r="P298" s="60">
        <v>4.6847637061000598E-2</v>
      </c>
      <c r="Q298" s="880">
        <v>2.9734643214523402</v>
      </c>
      <c r="R298" s="60">
        <v>0.60653542459787702</v>
      </c>
      <c r="S298" s="60">
        <v>0.34942823531288603</v>
      </c>
      <c r="T298" s="60">
        <v>0.32797511011626901</v>
      </c>
      <c r="U298" s="60">
        <v>0.30841782357278802</v>
      </c>
    </row>
    <row r="299" spans="1:21" x14ac:dyDescent="0.25">
      <c r="A299" s="519" t="s">
        <v>1025</v>
      </c>
      <c r="B299" s="519" t="s">
        <v>1028</v>
      </c>
      <c r="C299" s="519" t="s">
        <v>284</v>
      </c>
      <c r="D299" s="519" t="s">
        <v>110</v>
      </c>
      <c r="E299" s="519" t="s">
        <v>287</v>
      </c>
      <c r="F299" s="519" t="s">
        <v>70</v>
      </c>
      <c r="G299" s="519" t="s">
        <v>59</v>
      </c>
      <c r="H299" s="519" t="s">
        <v>155</v>
      </c>
      <c r="I299" s="881">
        <v>32956.496186980003</v>
      </c>
      <c r="J299" s="881">
        <v>595.24940864000303</v>
      </c>
      <c r="K299" s="60">
        <v>1.7741235159988499E-2</v>
      </c>
      <c r="L299" s="880">
        <v>2.9284846790785499</v>
      </c>
      <c r="M299">
        <v>0</v>
      </c>
      <c r="N299" s="60">
        <v>0.35036584661301901</v>
      </c>
      <c r="O299" s="881">
        <v>88596.372424109999</v>
      </c>
      <c r="P299" s="60">
        <v>4.6847637061000598E-2</v>
      </c>
      <c r="Q299" s="880">
        <v>2.9734643214523402</v>
      </c>
      <c r="R299" s="60">
        <v>0.60653542459787702</v>
      </c>
      <c r="S299" s="60">
        <v>0.34942823531288603</v>
      </c>
      <c r="T299" s="60">
        <v>0.39508703253055105</v>
      </c>
      <c r="U299" s="60">
        <v>0.24649973803618302</v>
      </c>
    </row>
    <row r="300" spans="1:21" x14ac:dyDescent="0.25">
      <c r="A300" s="519" t="s">
        <v>1029</v>
      </c>
      <c r="B300" s="519" t="s">
        <v>1030</v>
      </c>
      <c r="C300" s="519" t="s">
        <v>284</v>
      </c>
      <c r="D300" s="519" t="s">
        <v>110</v>
      </c>
      <c r="E300" s="519" t="s">
        <v>287</v>
      </c>
      <c r="F300" s="519" t="s">
        <v>16</v>
      </c>
      <c r="G300" s="519" t="s">
        <v>56</v>
      </c>
      <c r="H300" s="519" t="s">
        <v>144</v>
      </c>
      <c r="I300" s="881">
        <v>39879.801233110098</v>
      </c>
      <c r="J300" s="881">
        <v>1398.9600196700001</v>
      </c>
      <c r="K300" s="60">
        <v>3.38905523618587E-2</v>
      </c>
      <c r="L300" s="880">
        <v>2.98988042193547</v>
      </c>
      <c r="M300">
        <v>0</v>
      </c>
      <c r="N300" s="60">
        <v>0.39678288691024</v>
      </c>
      <c r="O300" s="881">
        <v>130753.62426761001</v>
      </c>
      <c r="P300" s="60">
        <v>3.8609165827582802E-2</v>
      </c>
      <c r="Q300" s="880">
        <v>2.9827832852573199</v>
      </c>
      <c r="R300" s="60">
        <v>0.60653542459787702</v>
      </c>
      <c r="S300" s="60">
        <v>0.33165613221538998</v>
      </c>
      <c r="T300" s="60">
        <v>0.298349749205433</v>
      </c>
      <c r="U300" s="60">
        <v>0.27682485482975905</v>
      </c>
    </row>
    <row r="301" spans="1:21" x14ac:dyDescent="0.25">
      <c r="A301" s="519" t="s">
        <v>1029</v>
      </c>
      <c r="B301" s="519" t="s">
        <v>1032</v>
      </c>
      <c r="C301" s="519" t="s">
        <v>284</v>
      </c>
      <c r="D301" s="519" t="s">
        <v>110</v>
      </c>
      <c r="E301" s="519" t="s">
        <v>287</v>
      </c>
      <c r="F301" s="519" t="s">
        <v>16</v>
      </c>
      <c r="G301" s="519" t="s">
        <v>56</v>
      </c>
      <c r="H301" s="519" t="s">
        <v>146</v>
      </c>
      <c r="I301" s="881">
        <v>37421.844588790103</v>
      </c>
      <c r="J301" s="881">
        <v>1232.49255335</v>
      </c>
      <c r="K301" s="60">
        <v>3.1884974480816397E-2</v>
      </c>
      <c r="L301" s="880">
        <v>2.97100230583932</v>
      </c>
      <c r="M301">
        <v>0</v>
      </c>
      <c r="N301" s="60">
        <v>0.36158716574525401</v>
      </c>
      <c r="O301" s="881">
        <v>130753.62426761001</v>
      </c>
      <c r="P301" s="60">
        <v>3.8609165827582802E-2</v>
      </c>
      <c r="Q301" s="880">
        <v>2.9827832852573199</v>
      </c>
      <c r="R301" s="60">
        <v>0.60653542459787702</v>
      </c>
      <c r="S301" s="60">
        <v>0.33165613221538998</v>
      </c>
      <c r="T301" s="60">
        <v>0.31826839462756601</v>
      </c>
      <c r="U301" s="60">
        <v>0.28803273718018702</v>
      </c>
    </row>
    <row r="302" spans="1:21" x14ac:dyDescent="0.25">
      <c r="A302" s="519" t="s">
        <v>1033</v>
      </c>
      <c r="B302" s="519" t="s">
        <v>1035</v>
      </c>
      <c r="C302" s="519" t="s">
        <v>284</v>
      </c>
      <c r="D302" s="519" t="s">
        <v>110</v>
      </c>
      <c r="E302" s="519" t="s">
        <v>287</v>
      </c>
      <c r="F302" s="519" t="s">
        <v>16</v>
      </c>
      <c r="G302" s="519" t="s">
        <v>57</v>
      </c>
      <c r="H302" s="519" t="s">
        <v>148</v>
      </c>
      <c r="I302" s="881">
        <v>33505.75417932</v>
      </c>
      <c r="J302" s="881">
        <v>2526.9342365799998</v>
      </c>
      <c r="K302" s="60">
        <v>7.0128939795259401E-2</v>
      </c>
      <c r="L302" s="880">
        <v>3.06085765675321</v>
      </c>
      <c r="M302">
        <v>0</v>
      </c>
      <c r="N302" s="60">
        <v>0.34937990377859302</v>
      </c>
      <c r="O302" s="881">
        <v>113827.51435232001</v>
      </c>
      <c r="P302" s="60">
        <v>5.8958390939500796E-2</v>
      </c>
      <c r="Q302" s="880">
        <v>2.9937181890564499</v>
      </c>
      <c r="R302" s="60">
        <v>0.60653542459787702</v>
      </c>
      <c r="S302" s="60">
        <v>0.30438577632775804</v>
      </c>
      <c r="T302" s="60">
        <v>0.31103092365219304</v>
      </c>
      <c r="U302" s="60">
        <v>0.28958477280671102</v>
      </c>
    </row>
    <row r="303" spans="1:21" x14ac:dyDescent="0.25">
      <c r="A303" s="519" t="s">
        <v>1037</v>
      </c>
      <c r="B303" s="519" t="s">
        <v>1039</v>
      </c>
      <c r="C303" s="519" t="s">
        <v>284</v>
      </c>
      <c r="D303" s="519" t="s">
        <v>110</v>
      </c>
      <c r="E303" s="519" t="s">
        <v>287</v>
      </c>
      <c r="F303" s="519" t="s">
        <v>16</v>
      </c>
      <c r="G303" s="519" t="s">
        <v>58</v>
      </c>
      <c r="H303" s="519" t="s">
        <v>151</v>
      </c>
      <c r="I303" s="881">
        <v>39024.884046730098</v>
      </c>
      <c r="J303" s="881">
        <v>993.11652818000493</v>
      </c>
      <c r="K303" s="60">
        <v>2.4816745312424598E-2</v>
      </c>
      <c r="L303" s="880">
        <v>3.0168739590276301</v>
      </c>
      <c r="M303">
        <v>0</v>
      </c>
      <c r="N303" s="60">
        <v>0.38506757139971903</v>
      </c>
      <c r="O303" s="881">
        <v>140230.99231765</v>
      </c>
      <c r="P303" s="60">
        <v>3.7205245122923503E-2</v>
      </c>
      <c r="Q303" s="880">
        <v>3.0201767867487801</v>
      </c>
      <c r="R303" s="60">
        <v>0.60653542459787702</v>
      </c>
      <c r="S303" s="60">
        <v>0.40316019185713203</v>
      </c>
      <c r="T303" s="60">
        <v>0.29661468680476999</v>
      </c>
      <c r="U303" s="60">
        <v>0.17822769370183703</v>
      </c>
    </row>
    <row r="304" spans="1:21" x14ac:dyDescent="0.25">
      <c r="A304" s="519" t="s">
        <v>1041</v>
      </c>
      <c r="B304" s="519" t="s">
        <v>310</v>
      </c>
      <c r="C304" s="519" t="s">
        <v>284</v>
      </c>
      <c r="D304" s="519" t="s">
        <v>110</v>
      </c>
      <c r="E304" s="519" t="s">
        <v>287</v>
      </c>
      <c r="F304" s="519" t="s">
        <v>16</v>
      </c>
      <c r="G304" s="519" t="s">
        <v>59</v>
      </c>
      <c r="H304" s="519" t="s">
        <v>153</v>
      </c>
      <c r="I304" s="881">
        <v>26456.6322282</v>
      </c>
      <c r="J304" s="881">
        <v>1989.2811360999999</v>
      </c>
      <c r="K304" s="60">
        <v>6.9932053529930802E-2</v>
      </c>
      <c r="L304" s="880">
        <v>3.0231566523159001</v>
      </c>
      <c r="M304">
        <v>0</v>
      </c>
      <c r="N304" s="60">
        <v>0.52052236076484604</v>
      </c>
      <c r="O304" s="881">
        <v>94085.250801170099</v>
      </c>
      <c r="P304" s="60">
        <v>8.2800246269221292E-2</v>
      </c>
      <c r="Q304" s="880">
        <v>2.99443367299031</v>
      </c>
      <c r="R304" s="60">
        <v>0.60653542459787702</v>
      </c>
      <c r="S304" s="60">
        <v>0.59885619843263704</v>
      </c>
      <c r="T304" s="60">
        <v>0.32797511011626901</v>
      </c>
      <c r="U304" s="60">
        <v>0.30841782357278802</v>
      </c>
    </row>
    <row r="305" spans="1:21" x14ac:dyDescent="0.25">
      <c r="A305" s="519" t="s">
        <v>1041</v>
      </c>
      <c r="B305" s="519" t="s">
        <v>1043</v>
      </c>
      <c r="C305" s="519" t="s">
        <v>284</v>
      </c>
      <c r="D305" s="519" t="s">
        <v>110</v>
      </c>
      <c r="E305" s="519" t="s">
        <v>287</v>
      </c>
      <c r="F305" s="519" t="s">
        <v>16</v>
      </c>
      <c r="G305" s="519" t="s">
        <v>59</v>
      </c>
      <c r="H305" s="519" t="s">
        <v>155</v>
      </c>
      <c r="I305" s="881">
        <v>39218.644230960104</v>
      </c>
      <c r="J305" s="881">
        <v>2571.7989736500099</v>
      </c>
      <c r="K305" s="60">
        <v>6.1540361298831801E-2</v>
      </c>
      <c r="L305" s="880">
        <v>2.9627441297393502</v>
      </c>
      <c r="M305">
        <v>0</v>
      </c>
      <c r="N305" s="60">
        <v>0.71634343478584506</v>
      </c>
      <c r="O305" s="881">
        <v>94085.250801170099</v>
      </c>
      <c r="P305" s="60">
        <v>8.2800246269221292E-2</v>
      </c>
      <c r="Q305" s="880">
        <v>2.99443367299031</v>
      </c>
      <c r="R305" s="60">
        <v>0.60653542459787702</v>
      </c>
      <c r="S305" s="60">
        <v>0.59885619843263704</v>
      </c>
      <c r="T305" s="60">
        <v>0.39508703253055105</v>
      </c>
      <c r="U305" s="60">
        <v>0.24649973803618302</v>
      </c>
    </row>
    <row r="306" spans="1:21" x14ac:dyDescent="0.25">
      <c r="A306" s="519" t="s">
        <v>1044</v>
      </c>
      <c r="B306" s="519" t="s">
        <v>352</v>
      </c>
      <c r="C306" s="519" t="s">
        <v>284</v>
      </c>
      <c r="D306" s="519" t="s">
        <v>110</v>
      </c>
      <c r="E306" s="519" t="s">
        <v>287</v>
      </c>
      <c r="F306" s="519" t="s">
        <v>17</v>
      </c>
      <c r="G306" s="519" t="s">
        <v>56</v>
      </c>
      <c r="H306" s="519" t="s">
        <v>144</v>
      </c>
      <c r="I306" s="881">
        <v>51472.055734950205</v>
      </c>
      <c r="J306" s="881">
        <v>1983.80502826001</v>
      </c>
      <c r="K306" s="60">
        <v>3.7111085668371298E-2</v>
      </c>
      <c r="L306" s="880">
        <v>3.0126297697661899</v>
      </c>
      <c r="M306">
        <v>0</v>
      </c>
      <c r="N306" s="60">
        <v>0.40827740107746702</v>
      </c>
      <c r="O306" s="881">
        <v>147691.14009881101</v>
      </c>
      <c r="P306" s="60">
        <v>3.8586744276294202E-2</v>
      </c>
      <c r="Q306" s="880">
        <v>3.0466905498506498</v>
      </c>
      <c r="R306" s="60">
        <v>0.60653542459787702</v>
      </c>
      <c r="S306" s="60">
        <v>0.37438607430944504</v>
      </c>
      <c r="T306" s="60">
        <v>0.298349749205433</v>
      </c>
      <c r="U306" s="60">
        <v>0.27682485482975905</v>
      </c>
    </row>
    <row r="307" spans="1:21" x14ac:dyDescent="0.25">
      <c r="A307" s="519" t="s">
        <v>1044</v>
      </c>
      <c r="B307" s="519" t="s">
        <v>353</v>
      </c>
      <c r="C307" s="519" t="s">
        <v>284</v>
      </c>
      <c r="D307" s="519" t="s">
        <v>110</v>
      </c>
      <c r="E307" s="519" t="s">
        <v>287</v>
      </c>
      <c r="F307" s="519" t="s">
        <v>17</v>
      </c>
      <c r="G307" s="519" t="s">
        <v>56</v>
      </c>
      <c r="H307" s="519" t="s">
        <v>146</v>
      </c>
      <c r="I307" s="881">
        <v>47345.883988410205</v>
      </c>
      <c r="J307" s="881">
        <v>2075.09440008</v>
      </c>
      <c r="K307" s="60">
        <v>4.1988128680254796E-2</v>
      </c>
      <c r="L307" s="880">
        <v>3.0468913095685499</v>
      </c>
      <c r="M307">
        <v>0</v>
      </c>
      <c r="N307" s="60">
        <v>0.42769253755145603</v>
      </c>
      <c r="O307" s="881">
        <v>147691.14009881101</v>
      </c>
      <c r="P307" s="60">
        <v>3.8586744276294202E-2</v>
      </c>
      <c r="Q307" s="880">
        <v>3.0466905498506498</v>
      </c>
      <c r="R307" s="60">
        <v>0.60653542459787702</v>
      </c>
      <c r="S307" s="60">
        <v>0.37438607430944504</v>
      </c>
      <c r="T307" s="60">
        <v>0.31826839462756601</v>
      </c>
      <c r="U307" s="60">
        <v>0.28803273718018702</v>
      </c>
    </row>
    <row r="308" spans="1:21" x14ac:dyDescent="0.25">
      <c r="A308" s="519" t="s">
        <v>1045</v>
      </c>
      <c r="B308" s="519" t="s">
        <v>1047</v>
      </c>
      <c r="C308" s="519" t="s">
        <v>284</v>
      </c>
      <c r="D308" s="519" t="s">
        <v>110</v>
      </c>
      <c r="E308" s="519" t="s">
        <v>4</v>
      </c>
      <c r="F308" s="519" t="s">
        <v>70</v>
      </c>
      <c r="G308" s="519" t="s">
        <v>56</v>
      </c>
      <c r="H308" s="519" t="s">
        <v>145</v>
      </c>
      <c r="I308" s="881">
        <v>5080.8082031399999</v>
      </c>
      <c r="J308" s="881">
        <v>385.31312646999999</v>
      </c>
      <c r="K308" s="60">
        <v>7.0491140469707003E-2</v>
      </c>
      <c r="L308" s="880">
        <v>2.6209232468033199</v>
      </c>
      <c r="M308">
        <v>0</v>
      </c>
      <c r="N308" s="60">
        <v>0</v>
      </c>
      <c r="O308" s="881">
        <v>12144.39691311</v>
      </c>
      <c r="P308" s="60">
        <v>8.1732198749662296E-2</v>
      </c>
      <c r="Q308" s="880">
        <v>2.6926074713083299</v>
      </c>
      <c r="R308" s="60">
        <v>0.56763980134930803</v>
      </c>
      <c r="S308" s="60">
        <v>0</v>
      </c>
      <c r="T308" s="60">
        <v>0.33755310470044203</v>
      </c>
      <c r="U308" s="60">
        <v>0.31249302539413903</v>
      </c>
    </row>
    <row r="309" spans="1:21" x14ac:dyDescent="0.25">
      <c r="A309" s="519" t="s">
        <v>1049</v>
      </c>
      <c r="B309" s="519" t="s">
        <v>1050</v>
      </c>
      <c r="C309" s="519" t="s">
        <v>284</v>
      </c>
      <c r="D309" s="519" t="s">
        <v>110</v>
      </c>
      <c r="E309" s="519" t="s">
        <v>4</v>
      </c>
      <c r="F309" s="519" t="s">
        <v>70</v>
      </c>
      <c r="G309" s="519" t="s">
        <v>57</v>
      </c>
      <c r="H309" s="519" t="s">
        <v>147</v>
      </c>
      <c r="I309" s="881">
        <v>3987.2678000000001</v>
      </c>
      <c r="J309" s="881">
        <v>366.48460574000001</v>
      </c>
      <c r="K309" s="60">
        <v>8.4176721959849002E-2</v>
      </c>
      <c r="L309" s="880">
        <v>2.6826253119417101</v>
      </c>
      <c r="M309">
        <v>0</v>
      </c>
      <c r="N309" s="60">
        <v>0</v>
      </c>
      <c r="O309" s="881">
        <v>12573.87706085</v>
      </c>
      <c r="P309" s="60">
        <v>0.14122499299126301</v>
      </c>
      <c r="Q309" s="880">
        <v>2.71528869853466</v>
      </c>
      <c r="R309" s="60">
        <v>0.56763980134930803</v>
      </c>
      <c r="S309" s="60">
        <v>0</v>
      </c>
      <c r="T309" s="60">
        <v>0.30889710452218805</v>
      </c>
      <c r="U309" s="60">
        <v>0.15136983196786402</v>
      </c>
    </row>
    <row r="310" spans="1:21" x14ac:dyDescent="0.25">
      <c r="A310" s="519" t="s">
        <v>1049</v>
      </c>
      <c r="B310" s="519" t="s">
        <v>1052</v>
      </c>
      <c r="C310" s="519" t="s">
        <v>284</v>
      </c>
      <c r="D310" s="519" t="s">
        <v>110</v>
      </c>
      <c r="E310" s="519" t="s">
        <v>4</v>
      </c>
      <c r="F310" s="519" t="s">
        <v>70</v>
      </c>
      <c r="G310" s="519" t="s">
        <v>57</v>
      </c>
      <c r="H310" s="519" t="s">
        <v>149</v>
      </c>
      <c r="I310" s="881">
        <v>6229.38315126</v>
      </c>
      <c r="J310" s="881">
        <v>941.42908718000001</v>
      </c>
      <c r="K310" s="60">
        <v>0.13128625543050101</v>
      </c>
      <c r="L310" s="880">
        <v>2.7484221270134102</v>
      </c>
      <c r="M310">
        <v>0</v>
      </c>
      <c r="N310" s="60">
        <v>0</v>
      </c>
      <c r="O310" s="881">
        <v>12573.87706085</v>
      </c>
      <c r="P310" s="60">
        <v>0.14122499299126301</v>
      </c>
      <c r="Q310" s="880">
        <v>2.71528869853466</v>
      </c>
      <c r="R310" s="60">
        <v>0.56763980134930803</v>
      </c>
      <c r="S310" s="60">
        <v>0</v>
      </c>
      <c r="T310" s="60">
        <v>0.46546962041679801</v>
      </c>
      <c r="U310" s="60">
        <v>0.46590631021064205</v>
      </c>
    </row>
    <row r="311" spans="1:21" x14ac:dyDescent="0.25">
      <c r="A311" s="519" t="s">
        <v>1053</v>
      </c>
      <c r="B311" s="519" t="s">
        <v>1055</v>
      </c>
      <c r="C311" s="519" t="s">
        <v>284</v>
      </c>
      <c r="D311" s="519" t="s">
        <v>110</v>
      </c>
      <c r="E311" s="519" t="s">
        <v>4</v>
      </c>
      <c r="F311" s="519" t="s">
        <v>70</v>
      </c>
      <c r="G311" s="519" t="s">
        <v>58</v>
      </c>
      <c r="H311" s="519" t="s">
        <v>151</v>
      </c>
      <c r="I311" s="881">
        <v>1183.99712</v>
      </c>
      <c r="J311" s="881">
        <v>141.4379481</v>
      </c>
      <c r="K311" s="60">
        <v>0.106710582437471</v>
      </c>
      <c r="L311" s="880">
        <v>3.3341726751277299</v>
      </c>
      <c r="M311">
        <v>0</v>
      </c>
      <c r="N311" s="60">
        <v>0</v>
      </c>
      <c r="O311" s="881">
        <v>7728.6362516099998</v>
      </c>
      <c r="P311" s="60">
        <v>8.1447773390406902E-2</v>
      </c>
      <c r="Q311" s="880">
        <v>2.70639783100652</v>
      </c>
      <c r="R311" s="60">
        <v>0.56763980134930803</v>
      </c>
      <c r="S311" s="60">
        <v>0</v>
      </c>
      <c r="T311" s="60">
        <v>8.9971056354691395E-2</v>
      </c>
      <c r="U311" s="60">
        <v>0.15292087684677502</v>
      </c>
    </row>
    <row r="312" spans="1:21" x14ac:dyDescent="0.25">
      <c r="A312" s="519" t="s">
        <v>1057</v>
      </c>
      <c r="B312" s="519" t="s">
        <v>1058</v>
      </c>
      <c r="C312" s="519" t="s">
        <v>284</v>
      </c>
      <c r="D312" s="519" t="s">
        <v>110</v>
      </c>
      <c r="E312" s="519" t="s">
        <v>4</v>
      </c>
      <c r="F312" s="519" t="s">
        <v>70</v>
      </c>
      <c r="G312" s="519" t="s">
        <v>59</v>
      </c>
      <c r="H312" s="519" t="s">
        <v>153</v>
      </c>
      <c r="I312" s="881">
        <v>902.58766000000003</v>
      </c>
      <c r="J312" s="881">
        <v>13.43066709</v>
      </c>
      <c r="K312" s="60">
        <v>1.4662006962968099E-2</v>
      </c>
      <c r="L312" s="880">
        <v>2.7055846175436802</v>
      </c>
      <c r="M312">
        <v>0</v>
      </c>
      <c r="N312" s="60">
        <v>0</v>
      </c>
      <c r="O312" s="881">
        <v>3412.40468134</v>
      </c>
      <c r="P312" s="60">
        <v>6.2832847549974702E-2</v>
      </c>
      <c r="Q312" s="880">
        <v>2.65286304752318</v>
      </c>
      <c r="R312" s="60">
        <v>0.56763980134930803</v>
      </c>
      <c r="S312" s="60">
        <v>0</v>
      </c>
      <c r="T312" s="60">
        <v>0.35503505492467202</v>
      </c>
      <c r="U312" s="60">
        <v>0.23587183195050102</v>
      </c>
    </row>
    <row r="313" spans="1:21" x14ac:dyDescent="0.25">
      <c r="A313" s="519" t="s">
        <v>1057</v>
      </c>
      <c r="B313" s="519" t="s">
        <v>1060</v>
      </c>
      <c r="C313" s="519" t="s">
        <v>284</v>
      </c>
      <c r="D313" s="519" t="s">
        <v>110</v>
      </c>
      <c r="E313" s="519" t="s">
        <v>4</v>
      </c>
      <c r="F313" s="519" t="s">
        <v>70</v>
      </c>
      <c r="G313" s="519" t="s">
        <v>59</v>
      </c>
      <c r="H313" s="519" t="s">
        <v>155</v>
      </c>
      <c r="I313" s="881">
        <v>1391.87462134</v>
      </c>
      <c r="J313" s="881">
        <v>73.336647119999995</v>
      </c>
      <c r="K313" s="60">
        <v>5.0051926775774802E-2</v>
      </c>
      <c r="L313" s="880">
        <v>2.6531359765306499</v>
      </c>
      <c r="M313">
        <v>0</v>
      </c>
      <c r="N313" s="60">
        <v>0</v>
      </c>
      <c r="O313" s="881">
        <v>3412.40468134</v>
      </c>
      <c r="P313" s="60">
        <v>6.2832847549974702E-2</v>
      </c>
      <c r="Q313" s="880">
        <v>2.65286304752318</v>
      </c>
      <c r="R313" s="60">
        <v>0.56763980134930803</v>
      </c>
      <c r="S313" s="60">
        <v>0</v>
      </c>
      <c r="T313" s="60">
        <v>0.38172409582690803</v>
      </c>
      <c r="U313" s="60">
        <v>0.282893850441925</v>
      </c>
    </row>
    <row r="314" spans="1:21" x14ac:dyDescent="0.25">
      <c r="A314" s="519" t="s">
        <v>1061</v>
      </c>
      <c r="B314" s="519" t="s">
        <v>1062</v>
      </c>
      <c r="C314" s="519" t="s">
        <v>284</v>
      </c>
      <c r="D314" s="519" t="s">
        <v>110</v>
      </c>
      <c r="E314" s="519" t="s">
        <v>4</v>
      </c>
      <c r="F314" s="519" t="s">
        <v>16</v>
      </c>
      <c r="G314" s="519" t="s">
        <v>56</v>
      </c>
      <c r="H314" s="519" t="s">
        <v>144</v>
      </c>
      <c r="I314" s="881">
        <v>786.68676000000005</v>
      </c>
      <c r="J314" s="881">
        <v>33.03020609</v>
      </c>
      <c r="K314" s="60">
        <v>4.0294647367800702E-2</v>
      </c>
      <c r="L314" s="880">
        <v>2.77576103971785</v>
      </c>
      <c r="M314">
        <v>0</v>
      </c>
      <c r="N314" s="60">
        <v>0</v>
      </c>
      <c r="O314" s="881">
        <v>5206.59141043</v>
      </c>
      <c r="P314" s="60">
        <v>3.0983568885070801E-2</v>
      </c>
      <c r="Q314" s="880">
        <v>2.7611680221327299</v>
      </c>
      <c r="R314" s="60">
        <v>0.56763980134930803</v>
      </c>
      <c r="S314" s="60">
        <v>0</v>
      </c>
      <c r="T314" s="60">
        <v>0.26335528720090101</v>
      </c>
      <c r="U314" s="60">
        <v>0.334114534055996</v>
      </c>
    </row>
    <row r="315" spans="1:21" x14ac:dyDescent="0.25">
      <c r="A315" s="519" t="s">
        <v>1061</v>
      </c>
      <c r="B315" s="519" t="s">
        <v>1064</v>
      </c>
      <c r="C315" s="519" t="s">
        <v>284</v>
      </c>
      <c r="D315" s="519" t="s">
        <v>110</v>
      </c>
      <c r="E315" s="519" t="s">
        <v>4</v>
      </c>
      <c r="F315" s="519" t="s">
        <v>16</v>
      </c>
      <c r="G315" s="519" t="s">
        <v>56</v>
      </c>
      <c r="H315" s="519" t="s">
        <v>146</v>
      </c>
      <c r="I315" s="881">
        <v>2649.6661419900001</v>
      </c>
      <c r="J315" s="881">
        <v>64.815149919999996</v>
      </c>
      <c r="K315" s="60">
        <v>2.38775452655243E-2</v>
      </c>
      <c r="L315" s="880">
        <v>2.7841918477376701</v>
      </c>
      <c r="M315">
        <v>0</v>
      </c>
      <c r="N315" s="60">
        <v>0</v>
      </c>
      <c r="O315" s="881">
        <v>5206.59141043</v>
      </c>
      <c r="P315" s="60">
        <v>3.0983568885070801E-2</v>
      </c>
      <c r="Q315" s="880">
        <v>2.7611680221327299</v>
      </c>
      <c r="R315" s="60">
        <v>0.56763980134930803</v>
      </c>
      <c r="S315" s="60">
        <v>0</v>
      </c>
      <c r="T315" s="60">
        <v>0.39909160809865601</v>
      </c>
      <c r="U315" s="60">
        <v>0.35339244054986602</v>
      </c>
    </row>
    <row r="316" spans="1:21" x14ac:dyDescent="0.25">
      <c r="A316" s="519" t="s">
        <v>1065</v>
      </c>
      <c r="B316" s="519" t="s">
        <v>1067</v>
      </c>
      <c r="C316" s="519" t="s">
        <v>284</v>
      </c>
      <c r="D316" s="519" t="s">
        <v>110</v>
      </c>
      <c r="E316" s="519" t="s">
        <v>4</v>
      </c>
      <c r="F316" s="519" t="s">
        <v>16</v>
      </c>
      <c r="G316" s="519" t="s">
        <v>57</v>
      </c>
      <c r="H316" s="519" t="s">
        <v>148</v>
      </c>
      <c r="I316" s="881">
        <v>1866.6256636400001</v>
      </c>
      <c r="J316" s="881">
        <v>207.48115935000001</v>
      </c>
      <c r="K316" s="60">
        <v>0.10003397947020801</v>
      </c>
      <c r="L316" s="880">
        <v>2.7065674445154402</v>
      </c>
      <c r="M316">
        <v>0</v>
      </c>
      <c r="N316" s="60">
        <v>0</v>
      </c>
      <c r="O316" s="881">
        <v>6146.1090408800001</v>
      </c>
      <c r="P316" s="60">
        <v>6.9594638294858097E-2</v>
      </c>
      <c r="Q316" s="880">
        <v>2.6824302526806001</v>
      </c>
      <c r="R316" s="60">
        <v>0.56763980134930803</v>
      </c>
      <c r="S316" s="60">
        <v>0</v>
      </c>
      <c r="T316" s="60">
        <v>0.22563327506101402</v>
      </c>
      <c r="U316" s="60">
        <v>0.38272385782149404</v>
      </c>
    </row>
    <row r="317" spans="1:21" x14ac:dyDescent="0.25">
      <c r="A317" s="519" t="s">
        <v>1069</v>
      </c>
      <c r="B317" s="519" t="s">
        <v>1070</v>
      </c>
      <c r="C317" s="519" t="s">
        <v>284</v>
      </c>
      <c r="D317" s="519" t="s">
        <v>110</v>
      </c>
      <c r="E317" s="519" t="s">
        <v>4</v>
      </c>
      <c r="F317" s="519" t="s">
        <v>16</v>
      </c>
      <c r="G317" s="519" t="s">
        <v>58</v>
      </c>
      <c r="H317" s="519" t="s">
        <v>150</v>
      </c>
      <c r="I317" s="881">
        <v>7555.66407463</v>
      </c>
      <c r="J317" s="881">
        <v>242.92605757000001</v>
      </c>
      <c r="K317" s="60">
        <v>3.1149996788133499E-2</v>
      </c>
      <c r="L317" s="880">
        <v>2.6758705045579498</v>
      </c>
      <c r="M317">
        <v>0</v>
      </c>
      <c r="N317" s="60">
        <v>0</v>
      </c>
      <c r="O317" s="881">
        <v>17922.60996786</v>
      </c>
      <c r="P317" s="60">
        <v>1.9586165320565001E-2</v>
      </c>
      <c r="Q317" s="880">
        <v>2.7338401319775101</v>
      </c>
      <c r="R317" s="60">
        <v>0.56763980134930803</v>
      </c>
      <c r="S317" s="60">
        <v>0</v>
      </c>
      <c r="T317" s="60">
        <v>0.37131762071662805</v>
      </c>
      <c r="U317" s="60">
        <v>0.40989643466161702</v>
      </c>
    </row>
    <row r="318" spans="1:21" x14ac:dyDescent="0.25">
      <c r="A318" s="519" t="s">
        <v>1069</v>
      </c>
      <c r="B318" s="519" t="s">
        <v>1072</v>
      </c>
      <c r="C318" s="519" t="s">
        <v>284</v>
      </c>
      <c r="D318" s="519" t="s">
        <v>110</v>
      </c>
      <c r="E318" s="519" t="s">
        <v>4</v>
      </c>
      <c r="F318" s="519" t="s">
        <v>16</v>
      </c>
      <c r="G318" s="519" t="s">
        <v>58</v>
      </c>
      <c r="H318" s="519" t="s">
        <v>152</v>
      </c>
      <c r="I318" s="881">
        <v>9243.0732940499893</v>
      </c>
      <c r="J318" s="881">
        <v>97.010793919999898</v>
      </c>
      <c r="K318" s="60">
        <v>1.0386501128501599E-2</v>
      </c>
      <c r="L318" s="880">
        <v>2.7657999267253199</v>
      </c>
      <c r="M318">
        <v>0</v>
      </c>
      <c r="N318" s="60">
        <v>0</v>
      </c>
      <c r="O318" s="881">
        <v>17922.60996786</v>
      </c>
      <c r="P318" s="60">
        <v>1.9586165320565001E-2</v>
      </c>
      <c r="Q318" s="880">
        <v>2.7338401319775101</v>
      </c>
      <c r="R318" s="60">
        <v>0.56763980134930803</v>
      </c>
      <c r="S318" s="60">
        <v>0</v>
      </c>
      <c r="T318" s="60">
        <v>0.53871132292868107</v>
      </c>
      <c r="U318" s="60">
        <v>0.43718268849160802</v>
      </c>
    </row>
    <row r="319" spans="1:21" x14ac:dyDescent="0.25">
      <c r="A319" s="519" t="s">
        <v>1073</v>
      </c>
      <c r="B319" s="519" t="s">
        <v>1074</v>
      </c>
      <c r="C319" s="519" t="s">
        <v>284</v>
      </c>
      <c r="D319" s="519" t="s">
        <v>110</v>
      </c>
      <c r="E319" s="519" t="s">
        <v>4</v>
      </c>
      <c r="F319" s="519" t="s">
        <v>16</v>
      </c>
      <c r="G319" s="519" t="s">
        <v>59</v>
      </c>
      <c r="H319" s="519" t="s">
        <v>154</v>
      </c>
      <c r="I319" s="881">
        <v>4682.1279793599997</v>
      </c>
      <c r="J319" s="881">
        <v>400.73496526000002</v>
      </c>
      <c r="K319" s="60">
        <v>7.8840403454939006E-2</v>
      </c>
      <c r="L319" s="880">
        <v>2.7424716698803202</v>
      </c>
      <c r="M319">
        <v>0</v>
      </c>
      <c r="N319" s="60">
        <v>0</v>
      </c>
      <c r="O319" s="881">
        <v>18620.917259080001</v>
      </c>
      <c r="P319" s="60">
        <v>4.6058014631240297E-2</v>
      </c>
      <c r="Q319" s="880">
        <v>2.6972211639034298</v>
      </c>
      <c r="R319" s="60">
        <v>0.56763980134930803</v>
      </c>
      <c r="S319" s="60">
        <v>0</v>
      </c>
      <c r="T319" s="60">
        <v>0.26324084924842001</v>
      </c>
      <c r="U319" s="60">
        <v>0.48123431760757401</v>
      </c>
    </row>
    <row r="320" spans="1:21" x14ac:dyDescent="0.25">
      <c r="A320" s="519" t="s">
        <v>1076</v>
      </c>
      <c r="B320" s="519" t="s">
        <v>1756</v>
      </c>
      <c r="C320" s="519" t="s">
        <v>284</v>
      </c>
      <c r="D320" s="519" t="s">
        <v>110</v>
      </c>
      <c r="E320" s="519" t="s">
        <v>4</v>
      </c>
      <c r="F320" s="519" t="s">
        <v>17</v>
      </c>
      <c r="G320" s="519" t="s">
        <v>56</v>
      </c>
      <c r="H320" s="519" t="s">
        <v>145</v>
      </c>
      <c r="I320" s="881">
        <v>6612.0597822300006</v>
      </c>
      <c r="J320" s="881">
        <v>192.15180598000001</v>
      </c>
      <c r="K320" s="60">
        <v>2.8240127969117099E-2</v>
      </c>
      <c r="L320" s="880">
        <v>2.7523010508229899</v>
      </c>
      <c r="M320">
        <v>0</v>
      </c>
      <c r="N320" s="60">
        <v>0</v>
      </c>
      <c r="O320" s="881">
        <v>22533.421881360002</v>
      </c>
      <c r="P320" s="60">
        <v>3.5118507462357798E-2</v>
      </c>
      <c r="Q320" s="880">
        <v>2.7019036322946501</v>
      </c>
      <c r="R320" s="60">
        <v>0.56763980134930803</v>
      </c>
      <c r="S320" s="60">
        <v>0</v>
      </c>
      <c r="T320" s="60">
        <v>0.33755310470044203</v>
      </c>
      <c r="U320" s="60">
        <v>0.31249302539413903</v>
      </c>
    </row>
    <row r="321" spans="1:21" x14ac:dyDescent="0.25">
      <c r="A321" s="519" t="s">
        <v>1862</v>
      </c>
      <c r="B321" s="519" t="s">
        <v>1863</v>
      </c>
      <c r="C321" s="519" t="s">
        <v>284</v>
      </c>
      <c r="D321" s="519" t="s">
        <v>110</v>
      </c>
      <c r="E321" s="519" t="s">
        <v>4</v>
      </c>
      <c r="F321" s="519" t="s">
        <v>17</v>
      </c>
      <c r="G321" s="519" t="s">
        <v>57</v>
      </c>
      <c r="H321" s="519" t="s">
        <v>149</v>
      </c>
      <c r="I321" s="881">
        <v>5291.9179636899999</v>
      </c>
      <c r="J321" s="881">
        <v>376.04484457000001</v>
      </c>
      <c r="K321" s="60">
        <v>6.6345679619136594E-2</v>
      </c>
      <c r="L321" s="880">
        <v>2.69695125784538</v>
      </c>
      <c r="M321">
        <v>0</v>
      </c>
      <c r="N321" s="60">
        <v>0</v>
      </c>
      <c r="O321" s="881">
        <v>5291.9179636899999</v>
      </c>
      <c r="P321" s="60">
        <v>6.6345679619136594E-2</v>
      </c>
      <c r="Q321" s="880">
        <v>2.69695125784538</v>
      </c>
      <c r="R321" s="60">
        <v>0.56763980134930803</v>
      </c>
      <c r="S321" s="60">
        <v>0</v>
      </c>
      <c r="T321" s="60">
        <v>0.46546962041679801</v>
      </c>
      <c r="U321" s="60">
        <v>0.46590631021064205</v>
      </c>
    </row>
    <row r="322" spans="1:21" x14ac:dyDescent="0.25">
      <c r="A322" s="519" t="s">
        <v>1077</v>
      </c>
      <c r="B322" s="519" t="s">
        <v>1078</v>
      </c>
      <c r="C322" s="519" t="s">
        <v>284</v>
      </c>
      <c r="D322" s="519" t="s">
        <v>110</v>
      </c>
      <c r="E322" s="519" t="s">
        <v>290</v>
      </c>
      <c r="F322" s="519" t="s">
        <v>70</v>
      </c>
      <c r="G322" s="519" t="s">
        <v>56</v>
      </c>
      <c r="H322" s="519" t="s">
        <v>144</v>
      </c>
      <c r="I322" s="881">
        <v>5163.9729966499999</v>
      </c>
      <c r="J322" s="881">
        <v>673.89441890000001</v>
      </c>
      <c r="K322" s="60">
        <v>0.11543503319465401</v>
      </c>
      <c r="L322" s="880">
        <v>2.9807941471116499</v>
      </c>
      <c r="M322">
        <v>0</v>
      </c>
      <c r="N322" s="60">
        <v>0.12166645728155101</v>
      </c>
      <c r="O322" s="881">
        <v>9293.2555166500006</v>
      </c>
      <c r="P322" s="60">
        <v>0.22610423076124603</v>
      </c>
      <c r="Q322" s="880">
        <v>3.0276663818064899</v>
      </c>
      <c r="R322" s="60">
        <v>0.57809617808115099</v>
      </c>
      <c r="S322" s="60">
        <v>0.10852382119409901</v>
      </c>
      <c r="T322" s="60">
        <v>0.72635044801100102</v>
      </c>
      <c r="U322" s="60">
        <v>0.45449833176952503</v>
      </c>
    </row>
    <row r="323" spans="1:21" x14ac:dyDescent="0.25">
      <c r="A323" s="519" t="s">
        <v>1077</v>
      </c>
      <c r="B323" s="519" t="s">
        <v>1080</v>
      </c>
      <c r="C323" s="519" t="s">
        <v>284</v>
      </c>
      <c r="D323" s="519" t="s">
        <v>110</v>
      </c>
      <c r="E323" s="519" t="s">
        <v>290</v>
      </c>
      <c r="F323" s="519" t="s">
        <v>70</v>
      </c>
      <c r="G323" s="519" t="s">
        <v>56</v>
      </c>
      <c r="H323" s="519" t="s">
        <v>146</v>
      </c>
      <c r="I323" s="881">
        <v>3491.2486200000003</v>
      </c>
      <c r="J323" s="881">
        <v>1173.77721643</v>
      </c>
      <c r="K323" s="60">
        <v>0.25161215769991502</v>
      </c>
      <c r="L323" s="880">
        <v>3.4804140321503199</v>
      </c>
      <c r="M323">
        <v>0</v>
      </c>
      <c r="N323" s="60">
        <v>0.108917278999168</v>
      </c>
      <c r="O323" s="881">
        <v>9293.2555166500006</v>
      </c>
      <c r="P323" s="60">
        <v>0.22610423076124603</v>
      </c>
      <c r="Q323" s="880">
        <v>3.0276663818064899</v>
      </c>
      <c r="R323" s="60">
        <v>0.57809617808115099</v>
      </c>
      <c r="S323" s="60">
        <v>0.10852382119409901</v>
      </c>
      <c r="T323" s="60">
        <v>0.196885399042034</v>
      </c>
      <c r="U323" s="60">
        <v>0.30500371427872802</v>
      </c>
    </row>
    <row r="324" spans="1:21" x14ac:dyDescent="0.25">
      <c r="A324" s="519" t="s">
        <v>1081</v>
      </c>
      <c r="B324" s="519" t="s">
        <v>1718</v>
      </c>
      <c r="C324" s="519" t="s">
        <v>284</v>
      </c>
      <c r="D324" s="519" t="s">
        <v>110</v>
      </c>
      <c r="E324" s="519" t="s">
        <v>290</v>
      </c>
      <c r="F324" s="519" t="s">
        <v>70</v>
      </c>
      <c r="G324" s="519" t="s">
        <v>57</v>
      </c>
      <c r="H324" s="519" t="s">
        <v>148</v>
      </c>
      <c r="I324" s="881">
        <v>0</v>
      </c>
      <c r="J324" s="881">
        <v>0</v>
      </c>
      <c r="L324" s="880">
        <v>3.11441810702489</v>
      </c>
      <c r="M324">
        <v>0</v>
      </c>
      <c r="O324" s="881">
        <v>74.580500000000001</v>
      </c>
      <c r="P324" s="60">
        <v>0.70309294624104002</v>
      </c>
      <c r="Q324" s="880">
        <v>3.1272821025608302</v>
      </c>
      <c r="R324" s="60">
        <v>0.57809617808115099</v>
      </c>
      <c r="S324" s="60">
        <v>0</v>
      </c>
      <c r="T324" s="60">
        <v>0.53979886576331304</v>
      </c>
      <c r="U324" s="60">
        <v>0.40546808208090701</v>
      </c>
    </row>
    <row r="325" spans="1:21" x14ac:dyDescent="0.25">
      <c r="A325" s="519" t="s">
        <v>1084</v>
      </c>
      <c r="B325" s="519" t="s">
        <v>1086</v>
      </c>
      <c r="C325" s="519" t="s">
        <v>284</v>
      </c>
      <c r="D325" s="519" t="s">
        <v>110</v>
      </c>
      <c r="E325" s="519" t="s">
        <v>290</v>
      </c>
      <c r="F325" s="519" t="s">
        <v>70</v>
      </c>
      <c r="G325" s="519" t="s">
        <v>58</v>
      </c>
      <c r="H325" s="519" t="s">
        <v>151</v>
      </c>
      <c r="I325" s="881">
        <v>2175.9865</v>
      </c>
      <c r="J325" s="881">
        <v>10.580781740000001</v>
      </c>
      <c r="K325" s="60">
        <v>4.8389920714354403E-3</v>
      </c>
      <c r="L325" s="880">
        <v>2.9677813572198199</v>
      </c>
      <c r="M325">
        <v>0</v>
      </c>
      <c r="N325" s="60">
        <v>0.57988112518161306</v>
      </c>
      <c r="O325" s="881">
        <v>56549.289666470104</v>
      </c>
      <c r="P325" s="60">
        <v>1.8832892129288799E-2</v>
      </c>
      <c r="Q325" s="880">
        <v>3.0172314438322299</v>
      </c>
      <c r="R325" s="60">
        <v>0.57809617808115099</v>
      </c>
      <c r="S325" s="60">
        <v>0.14173090282993001</v>
      </c>
      <c r="T325" s="60">
        <v>6.8289940873396904E-2</v>
      </c>
      <c r="U325" s="60">
        <v>5.2657573353239798E-2</v>
      </c>
    </row>
    <row r="326" spans="1:21" x14ac:dyDescent="0.25">
      <c r="A326" s="519" t="s">
        <v>1088</v>
      </c>
      <c r="B326" s="519" t="s">
        <v>1089</v>
      </c>
      <c r="C326" s="519" t="s">
        <v>284</v>
      </c>
      <c r="D326" s="519" t="s">
        <v>110</v>
      </c>
      <c r="E326" s="519" t="s">
        <v>290</v>
      </c>
      <c r="F326" s="519" t="s">
        <v>70</v>
      </c>
      <c r="G326" s="519" t="s">
        <v>59</v>
      </c>
      <c r="H326" s="519" t="s">
        <v>153</v>
      </c>
      <c r="I326" s="881">
        <v>26795.751614860103</v>
      </c>
      <c r="J326" s="881">
        <v>549.64479997000103</v>
      </c>
      <c r="K326" s="60">
        <v>2.0100085280603801E-2</v>
      </c>
      <c r="L326" s="880">
        <v>2.92213838170278</v>
      </c>
      <c r="M326">
        <v>0</v>
      </c>
      <c r="N326" s="60">
        <v>0.12404059294297801</v>
      </c>
      <c r="O326" s="881">
        <v>132210.83895852999</v>
      </c>
      <c r="P326" s="60">
        <v>1.3729791909677899E-2</v>
      </c>
      <c r="Q326" s="880">
        <v>2.9931614157412398</v>
      </c>
      <c r="R326" s="60">
        <v>0.57809617808115099</v>
      </c>
      <c r="S326" s="60">
        <v>0.125571414674158</v>
      </c>
      <c r="T326" s="60">
        <v>0.18964423214578302</v>
      </c>
      <c r="U326" s="60">
        <v>0.208009115018913</v>
      </c>
    </row>
    <row r="327" spans="1:21" x14ac:dyDescent="0.25">
      <c r="A327" s="519" t="s">
        <v>1088</v>
      </c>
      <c r="B327" s="519" t="s">
        <v>1091</v>
      </c>
      <c r="C327" s="519" t="s">
        <v>284</v>
      </c>
      <c r="D327" s="519" t="s">
        <v>110</v>
      </c>
      <c r="E327" s="519" t="s">
        <v>290</v>
      </c>
      <c r="F327" s="519" t="s">
        <v>70</v>
      </c>
      <c r="G327" s="519" t="s">
        <v>59</v>
      </c>
      <c r="H327" s="519" t="s">
        <v>155</v>
      </c>
      <c r="I327" s="881">
        <v>52498.276573720104</v>
      </c>
      <c r="J327" s="881">
        <v>627.176283700005</v>
      </c>
      <c r="K327" s="60">
        <v>1.1805570587478002E-2</v>
      </c>
      <c r="L327" s="880">
        <v>3.0037619164954199</v>
      </c>
      <c r="M327">
        <v>0</v>
      </c>
      <c r="N327" s="60">
        <v>0.114191253044313</v>
      </c>
      <c r="O327" s="881">
        <v>132210.83895852999</v>
      </c>
      <c r="P327" s="60">
        <v>1.3729791909677899E-2</v>
      </c>
      <c r="Q327" s="880">
        <v>2.9931614157412398</v>
      </c>
      <c r="R327" s="60">
        <v>0.57809617808115099</v>
      </c>
      <c r="S327" s="60">
        <v>0.125571414674158</v>
      </c>
      <c r="T327" s="60">
        <v>0.44910754587804103</v>
      </c>
      <c r="U327" s="60">
        <v>0.49748080826249302</v>
      </c>
    </row>
    <row r="328" spans="1:21" x14ac:dyDescent="0.25">
      <c r="A328" s="519" t="s">
        <v>1092</v>
      </c>
      <c r="B328" s="519" t="s">
        <v>1093</v>
      </c>
      <c r="C328" s="519" t="s">
        <v>284</v>
      </c>
      <c r="D328" s="519" t="s">
        <v>110</v>
      </c>
      <c r="E328" s="519" t="s">
        <v>290</v>
      </c>
      <c r="F328" s="519" t="s">
        <v>16</v>
      </c>
      <c r="G328" s="519" t="s">
        <v>56</v>
      </c>
      <c r="H328" s="519" t="s">
        <v>144</v>
      </c>
      <c r="I328" s="881">
        <v>11472.59366</v>
      </c>
      <c r="J328" s="881">
        <v>1478.1047552300001</v>
      </c>
      <c r="K328" s="60">
        <v>0.11413320794280502</v>
      </c>
      <c r="L328" s="880">
        <v>4.3576966690846097</v>
      </c>
      <c r="M328">
        <v>0</v>
      </c>
      <c r="N328" s="60">
        <v>0.130360743553084</v>
      </c>
      <c r="O328" s="881">
        <v>14076.654560000001</v>
      </c>
      <c r="P328" s="60">
        <v>0.154601728656825</v>
      </c>
      <c r="Q328" s="880">
        <v>3.3549886866665499</v>
      </c>
      <c r="R328" s="60">
        <v>0.57809617808115099</v>
      </c>
      <c r="S328" s="60">
        <v>0.12899813178337999</v>
      </c>
      <c r="T328" s="60">
        <v>0.72635044801100102</v>
      </c>
      <c r="U328" s="60">
        <v>0.45449833176952503</v>
      </c>
    </row>
    <row r="329" spans="1:21" x14ac:dyDescent="0.25">
      <c r="A329" s="519" t="s">
        <v>1092</v>
      </c>
      <c r="B329" s="519" t="s">
        <v>1095</v>
      </c>
      <c r="C329" s="519" t="s">
        <v>284</v>
      </c>
      <c r="D329" s="519" t="s">
        <v>110</v>
      </c>
      <c r="E329" s="519" t="s">
        <v>290</v>
      </c>
      <c r="F329" s="519" t="s">
        <v>16</v>
      </c>
      <c r="G329" s="519" t="s">
        <v>56</v>
      </c>
      <c r="H329" s="519" t="s">
        <v>146</v>
      </c>
      <c r="I329" s="881">
        <v>1780.4982</v>
      </c>
      <c r="J329" s="881">
        <v>605.61605009999994</v>
      </c>
      <c r="K329" s="60">
        <v>0.25380848803640405</v>
      </c>
      <c r="L329" s="880">
        <v>3.0578519335365302</v>
      </c>
      <c r="M329">
        <v>0</v>
      </c>
      <c r="N329" s="60">
        <v>0.16155135680564001</v>
      </c>
      <c r="O329" s="881">
        <v>14076.654560000001</v>
      </c>
      <c r="P329" s="60">
        <v>0.154601728656825</v>
      </c>
      <c r="Q329" s="880">
        <v>3.3549886866665499</v>
      </c>
      <c r="R329" s="60">
        <v>0.57809617808115099</v>
      </c>
      <c r="S329" s="60">
        <v>0.12899813178337999</v>
      </c>
      <c r="T329" s="60">
        <v>0.196885399042034</v>
      </c>
      <c r="U329" s="60">
        <v>0.30500371427872802</v>
      </c>
    </row>
    <row r="330" spans="1:21" x14ac:dyDescent="0.25">
      <c r="A330" s="519" t="s">
        <v>1096</v>
      </c>
      <c r="B330" s="519" t="s">
        <v>1098</v>
      </c>
      <c r="C330" s="519" t="s">
        <v>284</v>
      </c>
      <c r="D330" s="519" t="s">
        <v>110</v>
      </c>
      <c r="E330" s="519" t="s">
        <v>290</v>
      </c>
      <c r="F330" s="519" t="s">
        <v>16</v>
      </c>
      <c r="G330" s="519" t="s">
        <v>57</v>
      </c>
      <c r="H330" s="519" t="s">
        <v>148</v>
      </c>
      <c r="I330" s="881">
        <v>858.46850000000006</v>
      </c>
      <c r="J330" s="881">
        <v>417.49644031000003</v>
      </c>
      <c r="K330" s="60">
        <v>0.32720055788411201</v>
      </c>
      <c r="L330" s="880">
        <v>2.98370007096961</v>
      </c>
      <c r="M330">
        <v>0</v>
      </c>
      <c r="N330" s="60">
        <v>0.18582871706999102</v>
      </c>
      <c r="O330" s="881">
        <v>1515.7683400000001</v>
      </c>
      <c r="P330" s="60">
        <v>0.36011746396097105</v>
      </c>
      <c r="Q330" s="880">
        <v>2.9429358804462402</v>
      </c>
      <c r="R330" s="60">
        <v>0.57809617808115099</v>
      </c>
      <c r="S330" s="60">
        <v>0.15305155403892401</v>
      </c>
      <c r="T330" s="60">
        <v>0.53979886576331304</v>
      </c>
      <c r="U330" s="60">
        <v>0.40546808208090701</v>
      </c>
    </row>
    <row r="331" spans="1:21" x14ac:dyDescent="0.25">
      <c r="A331" s="519" t="s">
        <v>1100</v>
      </c>
      <c r="B331" s="519" t="s">
        <v>1102</v>
      </c>
      <c r="C331" s="519" t="s">
        <v>284</v>
      </c>
      <c r="D331" s="519" t="s">
        <v>110</v>
      </c>
      <c r="E331" s="519" t="s">
        <v>290</v>
      </c>
      <c r="F331" s="519" t="s">
        <v>16</v>
      </c>
      <c r="G331" s="519" t="s">
        <v>58</v>
      </c>
      <c r="H331" s="519" t="s">
        <v>151</v>
      </c>
      <c r="I331" s="881">
        <v>8278.4417793299999</v>
      </c>
      <c r="J331" s="881">
        <v>177.37835654</v>
      </c>
      <c r="K331" s="60">
        <v>2.0977073032520201E-2</v>
      </c>
      <c r="L331" s="880">
        <v>3.1156628397912201</v>
      </c>
      <c r="M331">
        <v>0</v>
      </c>
      <c r="N331" s="60">
        <v>0.69848274028666102</v>
      </c>
      <c r="O331" s="881">
        <v>96539.556884320205</v>
      </c>
      <c r="P331" s="60">
        <v>2.5085257822869099E-2</v>
      </c>
      <c r="Q331" s="880">
        <v>3.0851633802886003</v>
      </c>
      <c r="R331" s="60">
        <v>0.57809617808115099</v>
      </c>
      <c r="S331" s="60">
        <v>0.48167905364306302</v>
      </c>
      <c r="T331" s="60">
        <v>6.8289940873396904E-2</v>
      </c>
      <c r="U331" s="60">
        <v>5.2657573353239798E-2</v>
      </c>
    </row>
    <row r="332" spans="1:21" x14ac:dyDescent="0.25">
      <c r="A332" s="519" t="s">
        <v>1104</v>
      </c>
      <c r="B332" s="519" t="s">
        <v>312</v>
      </c>
      <c r="C332" s="519" t="s">
        <v>284</v>
      </c>
      <c r="D332" s="519" t="s">
        <v>110</v>
      </c>
      <c r="E332" s="519" t="s">
        <v>290</v>
      </c>
      <c r="F332" s="519" t="s">
        <v>16</v>
      </c>
      <c r="G332" s="519" t="s">
        <v>59</v>
      </c>
      <c r="H332" s="519" t="s">
        <v>153</v>
      </c>
      <c r="I332" s="881">
        <v>33170.422705320103</v>
      </c>
      <c r="J332" s="881">
        <v>796.25675582000099</v>
      </c>
      <c r="K332" s="60">
        <v>2.3442290163540099E-2</v>
      </c>
      <c r="L332" s="880">
        <v>2.9859594597231198</v>
      </c>
      <c r="M332">
        <v>0</v>
      </c>
      <c r="N332" s="60">
        <v>0.55503935988030406</v>
      </c>
      <c r="O332" s="881">
        <v>183992.68403648102</v>
      </c>
      <c r="P332" s="60">
        <v>2.4545841551946099E-2</v>
      </c>
      <c r="Q332" s="880">
        <v>2.9922229865710301</v>
      </c>
      <c r="R332" s="60">
        <v>0.57809617808115099</v>
      </c>
      <c r="S332" s="60">
        <v>0.47477421344481302</v>
      </c>
      <c r="T332" s="60">
        <v>0.18964423214578302</v>
      </c>
      <c r="U332" s="60">
        <v>0.208009115018913</v>
      </c>
    </row>
    <row r="333" spans="1:21" x14ac:dyDescent="0.25">
      <c r="A333" s="519" t="s">
        <v>1104</v>
      </c>
      <c r="B333" s="519" t="s">
        <v>1106</v>
      </c>
      <c r="C333" s="519" t="s">
        <v>284</v>
      </c>
      <c r="D333" s="519" t="s">
        <v>110</v>
      </c>
      <c r="E333" s="519" t="s">
        <v>290</v>
      </c>
      <c r="F333" s="519" t="s">
        <v>16</v>
      </c>
      <c r="G333" s="519" t="s">
        <v>59</v>
      </c>
      <c r="H333" s="519" t="s">
        <v>155</v>
      </c>
      <c r="I333" s="881">
        <v>89511.111636560003</v>
      </c>
      <c r="J333" s="881">
        <v>2591.72205042</v>
      </c>
      <c r="K333" s="60">
        <v>2.8139438784567799E-2</v>
      </c>
      <c r="L333" s="880">
        <v>2.9969828995208001</v>
      </c>
      <c r="M333">
        <v>0</v>
      </c>
      <c r="N333" s="60">
        <v>0.46627448785914805</v>
      </c>
      <c r="O333" s="881">
        <v>183992.68403648102</v>
      </c>
      <c r="P333" s="60">
        <v>2.4545841551946099E-2</v>
      </c>
      <c r="Q333" s="880">
        <v>2.9922229865710301</v>
      </c>
      <c r="R333" s="60">
        <v>0.57809617808115099</v>
      </c>
      <c r="S333" s="60">
        <v>0.47477421344481302</v>
      </c>
      <c r="T333" s="60">
        <v>0.44910754587804103</v>
      </c>
      <c r="U333" s="60">
        <v>0.49748080826249302</v>
      </c>
    </row>
    <row r="334" spans="1:21" x14ac:dyDescent="0.25">
      <c r="A334" s="519" t="s">
        <v>1107</v>
      </c>
      <c r="B334" s="519" t="s">
        <v>360</v>
      </c>
      <c r="C334" s="519" t="s">
        <v>284</v>
      </c>
      <c r="D334" s="519" t="s">
        <v>110</v>
      </c>
      <c r="E334" s="519" t="s">
        <v>290</v>
      </c>
      <c r="F334" s="519" t="s">
        <v>17</v>
      </c>
      <c r="G334" s="519" t="s">
        <v>56</v>
      </c>
      <c r="H334" s="519" t="s">
        <v>144</v>
      </c>
      <c r="I334" s="881">
        <v>12894.248440000001</v>
      </c>
      <c r="J334" s="881">
        <v>1413.6052117199999</v>
      </c>
      <c r="K334" s="60">
        <v>9.8799250127224097E-2</v>
      </c>
      <c r="L334" s="880">
        <v>3.0779195016316798</v>
      </c>
      <c r="M334">
        <v>0</v>
      </c>
      <c r="N334" s="60">
        <v>0.52470443325815208</v>
      </c>
      <c r="O334" s="881">
        <v>17286.518480000002</v>
      </c>
      <c r="P334" s="60">
        <v>0.12880248642573602</v>
      </c>
      <c r="Q334" s="880">
        <v>3.13101822849656</v>
      </c>
      <c r="R334" s="60">
        <v>0.57809617808115099</v>
      </c>
      <c r="S334" s="60">
        <v>0.509947409607028</v>
      </c>
      <c r="T334" s="60">
        <v>0.72635044801100102</v>
      </c>
      <c r="U334" s="60">
        <v>0.45449833176952503</v>
      </c>
    </row>
    <row r="335" spans="1:21" x14ac:dyDescent="0.25">
      <c r="A335" s="519" t="s">
        <v>1107</v>
      </c>
      <c r="B335" s="519" t="s">
        <v>361</v>
      </c>
      <c r="C335" s="519" t="s">
        <v>284</v>
      </c>
      <c r="D335" s="519" t="s">
        <v>110</v>
      </c>
      <c r="E335" s="519" t="s">
        <v>290</v>
      </c>
      <c r="F335" s="519" t="s">
        <v>17</v>
      </c>
      <c r="G335" s="519" t="s">
        <v>56</v>
      </c>
      <c r="H335" s="519" t="s">
        <v>146</v>
      </c>
      <c r="I335" s="881">
        <v>2732.9103400000004</v>
      </c>
      <c r="J335" s="881">
        <v>613.40447399999994</v>
      </c>
      <c r="K335" s="60">
        <v>0.18330746151966801</v>
      </c>
      <c r="L335" s="880">
        <v>3.2309784237035402</v>
      </c>
      <c r="M335">
        <v>0</v>
      </c>
      <c r="N335" s="60">
        <v>0.44378287214501105</v>
      </c>
      <c r="O335" s="881">
        <v>17286.518480000002</v>
      </c>
      <c r="P335" s="60">
        <v>0.12880248642573602</v>
      </c>
      <c r="Q335" s="880">
        <v>3.13101822849656</v>
      </c>
      <c r="R335" s="60">
        <v>0.57809617808115099</v>
      </c>
      <c r="S335" s="60">
        <v>0.509947409607028</v>
      </c>
      <c r="T335" s="60">
        <v>0.196885399042034</v>
      </c>
      <c r="U335" s="60">
        <v>0.30500371427872802</v>
      </c>
    </row>
    <row r="336" spans="1:21" x14ac:dyDescent="0.25">
      <c r="A336" s="519" t="s">
        <v>1108</v>
      </c>
      <c r="B336" s="519" t="s">
        <v>1109</v>
      </c>
      <c r="C336" s="519" t="s">
        <v>284</v>
      </c>
      <c r="D336" s="519" t="s">
        <v>110</v>
      </c>
      <c r="E336" s="519" t="s">
        <v>288</v>
      </c>
      <c r="F336" s="519" t="s">
        <v>70</v>
      </c>
      <c r="G336" s="519" t="s">
        <v>56</v>
      </c>
      <c r="H336" s="519" t="s">
        <v>144</v>
      </c>
      <c r="I336" s="881">
        <v>10483.003349890001</v>
      </c>
      <c r="J336" s="881">
        <v>1036.25349048</v>
      </c>
      <c r="K336" s="60">
        <v>8.9958363186102494E-2</v>
      </c>
      <c r="L336" s="880">
        <v>3.00128277533502</v>
      </c>
      <c r="M336">
        <v>0</v>
      </c>
      <c r="N336" s="60">
        <v>2.85732565184331E-2</v>
      </c>
      <c r="O336" s="881">
        <v>50594.304533199997</v>
      </c>
      <c r="P336" s="60">
        <v>6.2060772482615802E-2</v>
      </c>
      <c r="Q336" s="880">
        <v>3.0173099683211499</v>
      </c>
      <c r="R336" s="60">
        <v>0.58523220049471403</v>
      </c>
      <c r="S336" s="60">
        <v>5.98342867192393E-2</v>
      </c>
      <c r="T336" s="60">
        <v>0.31076253675963</v>
      </c>
      <c r="U336" s="60">
        <v>0.35177892735157801</v>
      </c>
    </row>
    <row r="337" spans="1:21" x14ac:dyDescent="0.25">
      <c r="A337" s="519" t="s">
        <v>1108</v>
      </c>
      <c r="B337" s="519" t="s">
        <v>1111</v>
      </c>
      <c r="C337" s="519" t="s">
        <v>284</v>
      </c>
      <c r="D337" s="519" t="s">
        <v>110</v>
      </c>
      <c r="E337" s="519" t="s">
        <v>288</v>
      </c>
      <c r="F337" s="519" t="s">
        <v>70</v>
      </c>
      <c r="G337" s="519" t="s">
        <v>56</v>
      </c>
      <c r="H337" s="519" t="s">
        <v>146</v>
      </c>
      <c r="I337" s="881">
        <v>19412.4009324</v>
      </c>
      <c r="J337" s="881">
        <v>1325.70061132</v>
      </c>
      <c r="K337" s="60">
        <v>6.3925842417405593E-2</v>
      </c>
      <c r="L337" s="880">
        <v>3.0131555427443901</v>
      </c>
      <c r="M337">
        <v>0</v>
      </c>
      <c r="N337" s="60">
        <v>8.9569154586023297E-2</v>
      </c>
      <c r="O337" s="881">
        <v>50594.304533199997</v>
      </c>
      <c r="P337" s="60">
        <v>6.2060772482615802E-2</v>
      </c>
      <c r="Q337" s="880">
        <v>3.0173099683211499</v>
      </c>
      <c r="R337" s="60">
        <v>0.58523220049471403</v>
      </c>
      <c r="S337" s="60">
        <v>5.98342867192393E-2</v>
      </c>
      <c r="T337" s="60">
        <v>0.322749689580974</v>
      </c>
      <c r="U337" s="60">
        <v>0.31974367819647603</v>
      </c>
    </row>
    <row r="338" spans="1:21" x14ac:dyDescent="0.25">
      <c r="A338" s="519" t="s">
        <v>1112</v>
      </c>
      <c r="B338" s="519" t="s">
        <v>1114</v>
      </c>
      <c r="C338" s="519" t="s">
        <v>284</v>
      </c>
      <c r="D338" s="519" t="s">
        <v>110</v>
      </c>
      <c r="E338" s="519" t="s">
        <v>288</v>
      </c>
      <c r="F338" s="519" t="s">
        <v>70</v>
      </c>
      <c r="G338" s="519" t="s">
        <v>57</v>
      </c>
      <c r="H338" s="519" t="s">
        <v>148</v>
      </c>
      <c r="I338" s="881">
        <v>16064.187277410001</v>
      </c>
      <c r="J338" s="881">
        <v>717.18563022000103</v>
      </c>
      <c r="K338" s="60">
        <v>4.27370057365161E-2</v>
      </c>
      <c r="L338" s="880">
        <v>2.9166560386185001</v>
      </c>
      <c r="M338">
        <v>0</v>
      </c>
      <c r="N338" s="60">
        <v>2.2843209784788099E-2</v>
      </c>
      <c r="O338" s="881">
        <v>80026.957393710007</v>
      </c>
      <c r="P338" s="60">
        <v>4.004729108966E-2</v>
      </c>
      <c r="Q338" s="880">
        <v>2.99495693031264</v>
      </c>
      <c r="R338" s="60">
        <v>0.58523220049471403</v>
      </c>
      <c r="S338" s="60">
        <v>2.2805464551416799E-2</v>
      </c>
      <c r="T338" s="60">
        <v>0.24297638505513902</v>
      </c>
      <c r="U338" s="60">
        <v>0.36741043441558802</v>
      </c>
    </row>
    <row r="339" spans="1:21" x14ac:dyDescent="0.25">
      <c r="A339" s="519" t="s">
        <v>1116</v>
      </c>
      <c r="B339" s="519" t="s">
        <v>1117</v>
      </c>
      <c r="C339" s="519" t="s">
        <v>284</v>
      </c>
      <c r="D339" s="519" t="s">
        <v>110</v>
      </c>
      <c r="E339" s="519" t="s">
        <v>288</v>
      </c>
      <c r="F339" s="519" t="s">
        <v>70</v>
      </c>
      <c r="G339" s="519" t="s">
        <v>58</v>
      </c>
      <c r="H339" s="519" t="s">
        <v>150</v>
      </c>
      <c r="I339" s="881">
        <v>28627.738850080103</v>
      </c>
      <c r="J339" s="881">
        <v>2173.8579458600002</v>
      </c>
      <c r="K339" s="60">
        <v>7.0576144485682793E-2</v>
      </c>
      <c r="L339" s="880">
        <v>2.9966584166102099</v>
      </c>
      <c r="M339">
        <v>0</v>
      </c>
      <c r="N339" s="60">
        <v>8.6071114903757392E-2</v>
      </c>
      <c r="O339" s="881">
        <v>61847.25591824</v>
      </c>
      <c r="P339" s="60">
        <v>6.0058701528520601E-2</v>
      </c>
      <c r="Q339" s="880">
        <v>2.9799792130610299</v>
      </c>
      <c r="R339" s="60">
        <v>0.58523220049471403</v>
      </c>
      <c r="S339" s="60">
        <v>6.86750236035511E-2</v>
      </c>
      <c r="T339" s="60">
        <v>0.45230885922553998</v>
      </c>
      <c r="U339" s="60">
        <v>0.48826122511420705</v>
      </c>
    </row>
    <row r="340" spans="1:21" x14ac:dyDescent="0.25">
      <c r="A340" s="519" t="s">
        <v>1116</v>
      </c>
      <c r="B340" s="519" t="s">
        <v>1119</v>
      </c>
      <c r="C340" s="519" t="s">
        <v>284</v>
      </c>
      <c r="D340" s="519" t="s">
        <v>110</v>
      </c>
      <c r="E340" s="519" t="s">
        <v>288</v>
      </c>
      <c r="F340" s="519" t="s">
        <v>70</v>
      </c>
      <c r="G340" s="519" t="s">
        <v>58</v>
      </c>
      <c r="H340" s="519" t="s">
        <v>152</v>
      </c>
      <c r="I340" s="881">
        <v>18310.475905989999</v>
      </c>
      <c r="J340" s="881">
        <v>951.96256323000102</v>
      </c>
      <c r="K340" s="60">
        <v>4.9420667313287897E-2</v>
      </c>
      <c r="L340" s="880">
        <v>2.9576981910052398</v>
      </c>
      <c r="M340">
        <v>0</v>
      </c>
      <c r="N340" s="60">
        <v>7.8595224252429999E-2</v>
      </c>
      <c r="O340" s="881">
        <v>61847.25591824</v>
      </c>
      <c r="P340" s="60">
        <v>6.0058701528520601E-2</v>
      </c>
      <c r="Q340" s="880">
        <v>2.9799792130610299</v>
      </c>
      <c r="R340" s="60">
        <v>0.58523220049471403</v>
      </c>
      <c r="S340" s="60">
        <v>6.86750236035511E-2</v>
      </c>
      <c r="T340" s="60">
        <v>0.31823014472849903</v>
      </c>
      <c r="U340" s="60">
        <v>0.280025865722417</v>
      </c>
    </row>
    <row r="341" spans="1:21" x14ac:dyDescent="0.25">
      <c r="A341" s="519" t="s">
        <v>1120</v>
      </c>
      <c r="B341" s="519" t="s">
        <v>1122</v>
      </c>
      <c r="C341" s="519" t="s">
        <v>284</v>
      </c>
      <c r="D341" s="519" t="s">
        <v>110</v>
      </c>
      <c r="E341" s="519" t="s">
        <v>288</v>
      </c>
      <c r="F341" s="519" t="s">
        <v>70</v>
      </c>
      <c r="G341" s="519" t="s">
        <v>59</v>
      </c>
      <c r="H341" s="519" t="s">
        <v>154</v>
      </c>
      <c r="I341" s="881">
        <v>36959.163277220003</v>
      </c>
      <c r="J341" s="881">
        <v>2634.9117709900002</v>
      </c>
      <c r="K341" s="60">
        <v>6.6548132966402399E-2</v>
      </c>
      <c r="L341" s="880">
        <v>3.0128106651492801</v>
      </c>
      <c r="M341">
        <v>0</v>
      </c>
      <c r="N341" s="60">
        <v>0.18131050788074102</v>
      </c>
      <c r="O341" s="881">
        <v>101480.92617464</v>
      </c>
      <c r="P341" s="60">
        <v>6.297181251842901E-2</v>
      </c>
      <c r="Q341" s="880">
        <v>3.0301291564674799</v>
      </c>
      <c r="R341" s="60">
        <v>0.58523220049471403</v>
      </c>
      <c r="S341" s="60">
        <v>0.16148139631834701</v>
      </c>
      <c r="T341" s="60">
        <v>0.34968600301214303</v>
      </c>
      <c r="U341" s="60">
        <v>0.38482990342714102</v>
      </c>
    </row>
    <row r="342" spans="1:21" x14ac:dyDescent="0.25">
      <c r="A342" s="519" t="s">
        <v>1124</v>
      </c>
      <c r="B342" s="519" t="s">
        <v>1125</v>
      </c>
      <c r="C342" s="519" t="s">
        <v>284</v>
      </c>
      <c r="D342" s="519" t="s">
        <v>110</v>
      </c>
      <c r="E342" s="519" t="s">
        <v>288</v>
      </c>
      <c r="F342" s="519" t="s">
        <v>16</v>
      </c>
      <c r="G342" s="519" t="s">
        <v>56</v>
      </c>
      <c r="H342" s="519" t="s">
        <v>144</v>
      </c>
      <c r="I342" s="881">
        <v>29651.51234433</v>
      </c>
      <c r="J342" s="881">
        <v>1873.77693408</v>
      </c>
      <c r="K342" s="60">
        <v>5.9437263764087096E-2</v>
      </c>
      <c r="L342" s="880">
        <v>3.02585877513595</v>
      </c>
      <c r="M342">
        <v>0</v>
      </c>
      <c r="N342" s="60">
        <v>0.17229772021550602</v>
      </c>
      <c r="O342" s="881">
        <v>85412.66354152</v>
      </c>
      <c r="P342" s="60">
        <v>4.43397421505346E-2</v>
      </c>
      <c r="Q342" s="880">
        <v>3.07710115312649</v>
      </c>
      <c r="R342" s="60">
        <v>0.58523220049471403</v>
      </c>
      <c r="S342" s="60">
        <v>0.21367232899367802</v>
      </c>
      <c r="T342" s="60">
        <v>0.31076253675963</v>
      </c>
      <c r="U342" s="60">
        <v>0.35177892735157801</v>
      </c>
    </row>
    <row r="343" spans="1:21" x14ac:dyDescent="0.25">
      <c r="A343" s="519" t="s">
        <v>1124</v>
      </c>
      <c r="B343" s="519" t="s">
        <v>1127</v>
      </c>
      <c r="C343" s="519" t="s">
        <v>284</v>
      </c>
      <c r="D343" s="519" t="s">
        <v>110</v>
      </c>
      <c r="E343" s="519" t="s">
        <v>288</v>
      </c>
      <c r="F343" s="519" t="s">
        <v>16</v>
      </c>
      <c r="G343" s="519" t="s">
        <v>56</v>
      </c>
      <c r="H343" s="519" t="s">
        <v>146</v>
      </c>
      <c r="I343" s="881">
        <v>25037.329163130002</v>
      </c>
      <c r="J343" s="881">
        <v>937.01679718000196</v>
      </c>
      <c r="K343" s="60">
        <v>3.6074702270147897E-2</v>
      </c>
      <c r="L343" s="880">
        <v>3.0482743947977</v>
      </c>
      <c r="M343">
        <v>0</v>
      </c>
      <c r="N343" s="60">
        <v>0.22120202033632702</v>
      </c>
      <c r="O343" s="881">
        <v>85412.66354152</v>
      </c>
      <c r="P343" s="60">
        <v>4.43397421505346E-2</v>
      </c>
      <c r="Q343" s="880">
        <v>3.07710115312649</v>
      </c>
      <c r="R343" s="60">
        <v>0.58523220049471403</v>
      </c>
      <c r="S343" s="60">
        <v>0.21367232899367802</v>
      </c>
      <c r="T343" s="60">
        <v>0.322749689580974</v>
      </c>
      <c r="U343" s="60">
        <v>0.31974367819647603</v>
      </c>
    </row>
    <row r="344" spans="1:21" x14ac:dyDescent="0.25">
      <c r="A344" s="519" t="s">
        <v>1128</v>
      </c>
      <c r="B344" s="519" t="s">
        <v>1130</v>
      </c>
      <c r="C344" s="519" t="s">
        <v>284</v>
      </c>
      <c r="D344" s="519" t="s">
        <v>110</v>
      </c>
      <c r="E344" s="519" t="s">
        <v>288</v>
      </c>
      <c r="F344" s="519" t="s">
        <v>16</v>
      </c>
      <c r="G344" s="519" t="s">
        <v>57</v>
      </c>
      <c r="H344" s="519" t="s">
        <v>148</v>
      </c>
      <c r="I344" s="881">
        <v>25539.764460009999</v>
      </c>
      <c r="J344" s="881">
        <v>3089.5436877399898</v>
      </c>
      <c r="K344" s="60">
        <v>0.10791541562218301</v>
      </c>
      <c r="L344" s="880">
        <v>2.9944730096918799</v>
      </c>
      <c r="M344">
        <v>0</v>
      </c>
      <c r="N344" s="60">
        <v>0.35202901379328105</v>
      </c>
      <c r="O344" s="881">
        <v>91199.360455980001</v>
      </c>
      <c r="P344" s="60">
        <v>7.1495443669750094E-2</v>
      </c>
      <c r="Q344" s="880">
        <v>3.0311081011144898</v>
      </c>
      <c r="R344" s="60">
        <v>0.58523220049471403</v>
      </c>
      <c r="S344" s="60">
        <v>0.34443241604223601</v>
      </c>
      <c r="T344" s="60">
        <v>0.24297638505513902</v>
      </c>
      <c r="U344" s="60">
        <v>0.36741043441558802</v>
      </c>
    </row>
    <row r="345" spans="1:21" x14ac:dyDescent="0.25">
      <c r="A345" s="519" t="s">
        <v>1132</v>
      </c>
      <c r="B345" s="519" t="s">
        <v>1133</v>
      </c>
      <c r="C345" s="519" t="s">
        <v>284</v>
      </c>
      <c r="D345" s="519" t="s">
        <v>110</v>
      </c>
      <c r="E345" s="519" t="s">
        <v>288</v>
      </c>
      <c r="F345" s="519" t="s">
        <v>16</v>
      </c>
      <c r="G345" s="519" t="s">
        <v>58</v>
      </c>
      <c r="H345" s="519" t="s">
        <v>150</v>
      </c>
      <c r="I345" s="881">
        <v>50329.611117879998</v>
      </c>
      <c r="J345" s="881">
        <v>2166.4090094999997</v>
      </c>
      <c r="K345" s="60">
        <v>4.12680619262807E-2</v>
      </c>
      <c r="L345" s="880">
        <v>3.0252134570828799</v>
      </c>
      <c r="M345">
        <v>0</v>
      </c>
      <c r="N345" s="60">
        <v>0.353237489149685</v>
      </c>
      <c r="O345" s="881">
        <v>112717.8633747</v>
      </c>
      <c r="P345" s="60">
        <v>4.1965177359405796E-2</v>
      </c>
      <c r="Q345" s="880">
        <v>3.03714845051016</v>
      </c>
      <c r="R345" s="60">
        <v>0.58523220049471403</v>
      </c>
      <c r="S345" s="60">
        <v>0.34526885693368503</v>
      </c>
      <c r="T345" s="60">
        <v>0.45230885922553998</v>
      </c>
      <c r="U345" s="60">
        <v>0.48826122511420705</v>
      </c>
    </row>
    <row r="346" spans="1:21" x14ac:dyDescent="0.25">
      <c r="A346" s="519" t="s">
        <v>1132</v>
      </c>
      <c r="B346" s="519" t="s">
        <v>1135</v>
      </c>
      <c r="C346" s="519" t="s">
        <v>284</v>
      </c>
      <c r="D346" s="519" t="s">
        <v>110</v>
      </c>
      <c r="E346" s="519" t="s">
        <v>288</v>
      </c>
      <c r="F346" s="519" t="s">
        <v>16</v>
      </c>
      <c r="G346" s="519" t="s">
        <v>58</v>
      </c>
      <c r="H346" s="519" t="s">
        <v>152</v>
      </c>
      <c r="I346" s="881">
        <v>37241.407271149998</v>
      </c>
      <c r="J346" s="881">
        <v>1537.25212171001</v>
      </c>
      <c r="K346" s="60">
        <v>3.9641703601363897E-2</v>
      </c>
      <c r="L346" s="880">
        <v>3.0521877137354898</v>
      </c>
      <c r="M346">
        <v>0</v>
      </c>
      <c r="N346" s="60">
        <v>0.34265653855287104</v>
      </c>
      <c r="O346" s="881">
        <v>112717.8633747</v>
      </c>
      <c r="P346" s="60">
        <v>4.1965177359405796E-2</v>
      </c>
      <c r="Q346" s="880">
        <v>3.03714845051016</v>
      </c>
      <c r="R346" s="60">
        <v>0.58523220049471403</v>
      </c>
      <c r="S346" s="60">
        <v>0.34526885693368503</v>
      </c>
      <c r="T346" s="60">
        <v>0.31823014472849903</v>
      </c>
      <c r="U346" s="60">
        <v>0.280025865722417</v>
      </c>
    </row>
    <row r="347" spans="1:21" x14ac:dyDescent="0.25">
      <c r="A347" s="519" t="s">
        <v>1136</v>
      </c>
      <c r="B347" s="519" t="s">
        <v>1137</v>
      </c>
      <c r="C347" s="519" t="s">
        <v>284</v>
      </c>
      <c r="D347" s="519" t="s">
        <v>110</v>
      </c>
      <c r="E347" s="519" t="s">
        <v>288</v>
      </c>
      <c r="F347" s="519" t="s">
        <v>16</v>
      </c>
      <c r="G347" s="519" t="s">
        <v>59</v>
      </c>
      <c r="H347" s="519" t="s">
        <v>154</v>
      </c>
      <c r="I347" s="881">
        <v>59709.111141970199</v>
      </c>
      <c r="J347" s="881">
        <v>2101.4098415999997</v>
      </c>
      <c r="K347" s="60">
        <v>3.3997607659035499E-2</v>
      </c>
      <c r="L347" s="880">
        <v>2.9625881022919498</v>
      </c>
      <c r="M347">
        <v>0</v>
      </c>
      <c r="N347" s="60">
        <v>0.49709949219854704</v>
      </c>
      <c r="O347" s="881">
        <v>174962.15014670001</v>
      </c>
      <c r="P347" s="60">
        <v>3.0411071096018399E-2</v>
      </c>
      <c r="Q347" s="880">
        <v>2.98884501841043</v>
      </c>
      <c r="R347" s="60">
        <v>0.58523220049471403</v>
      </c>
      <c r="S347" s="60">
        <v>0.48830822303746801</v>
      </c>
      <c r="T347" s="60">
        <v>0.34968600301214303</v>
      </c>
      <c r="U347" s="60">
        <v>0.38482990342714102</v>
      </c>
    </row>
    <row r="348" spans="1:21" x14ac:dyDescent="0.25">
      <c r="A348" s="519" t="s">
        <v>1139</v>
      </c>
      <c r="B348" s="519" t="s">
        <v>364</v>
      </c>
      <c r="C348" s="519" t="s">
        <v>284</v>
      </c>
      <c r="D348" s="519" t="s">
        <v>110</v>
      </c>
      <c r="E348" s="519" t="s">
        <v>288</v>
      </c>
      <c r="F348" s="519" t="s">
        <v>17</v>
      </c>
      <c r="G348" s="519" t="s">
        <v>56</v>
      </c>
      <c r="H348" s="519" t="s">
        <v>144</v>
      </c>
      <c r="I348" s="881">
        <v>44895.424099800104</v>
      </c>
      <c r="J348" s="881">
        <v>452.32728593000098</v>
      </c>
      <c r="K348" s="60">
        <v>9.9746353922267605E-3</v>
      </c>
      <c r="L348" s="880">
        <v>2.98293738481871</v>
      </c>
      <c r="M348">
        <v>0</v>
      </c>
      <c r="N348" s="60">
        <v>0.49642989272372606</v>
      </c>
      <c r="O348" s="881">
        <v>137610.11807935999</v>
      </c>
      <c r="P348" s="60">
        <v>1.6070514839452099E-2</v>
      </c>
      <c r="Q348" s="880">
        <v>3.0242742359279902</v>
      </c>
      <c r="R348" s="60">
        <v>0.58523220049471403</v>
      </c>
      <c r="S348" s="60">
        <v>0.50178954776724805</v>
      </c>
      <c r="T348" s="60">
        <v>0.31076253675963</v>
      </c>
      <c r="U348" s="60">
        <v>0.35177892735157801</v>
      </c>
    </row>
    <row r="349" spans="1:21" x14ac:dyDescent="0.25">
      <c r="A349" s="519" t="s">
        <v>1139</v>
      </c>
      <c r="B349" s="519" t="s">
        <v>365</v>
      </c>
      <c r="C349" s="519" t="s">
        <v>284</v>
      </c>
      <c r="D349" s="519" t="s">
        <v>110</v>
      </c>
      <c r="E349" s="519" t="s">
        <v>288</v>
      </c>
      <c r="F349" s="519" t="s">
        <v>17</v>
      </c>
      <c r="G349" s="519" t="s">
        <v>56</v>
      </c>
      <c r="H349" s="519" t="s">
        <v>146</v>
      </c>
      <c r="I349" s="881">
        <v>43860.099524750105</v>
      </c>
      <c r="J349" s="881">
        <v>793.44240715000103</v>
      </c>
      <c r="K349" s="60">
        <v>1.7768857134783701E-2</v>
      </c>
      <c r="L349" s="880">
        <v>3.0403553857257402</v>
      </c>
      <c r="M349">
        <v>0</v>
      </c>
      <c r="N349" s="60">
        <v>0.48975119409495604</v>
      </c>
      <c r="O349" s="881">
        <v>137610.11807935999</v>
      </c>
      <c r="P349" s="60">
        <v>1.6070514839452099E-2</v>
      </c>
      <c r="Q349" s="880">
        <v>3.0242742359279902</v>
      </c>
      <c r="R349" s="60">
        <v>0.58523220049471403</v>
      </c>
      <c r="S349" s="60">
        <v>0.50178954776724805</v>
      </c>
      <c r="T349" s="60">
        <v>0.322749689580974</v>
      </c>
      <c r="U349" s="60">
        <v>0.31974367819647603</v>
      </c>
    </row>
    <row r="350" spans="1:21" x14ac:dyDescent="0.25">
      <c r="A350" s="519" t="s">
        <v>1140</v>
      </c>
      <c r="B350" s="519" t="s">
        <v>1142</v>
      </c>
      <c r="C350" s="519" t="s">
        <v>284</v>
      </c>
      <c r="D350" s="519" t="s">
        <v>110</v>
      </c>
      <c r="E350" s="519" t="s">
        <v>281</v>
      </c>
      <c r="F350" s="519" t="s">
        <v>70</v>
      </c>
      <c r="G350" s="519" t="s">
        <v>56</v>
      </c>
      <c r="H350" s="519" t="s">
        <v>145</v>
      </c>
      <c r="I350" s="881">
        <v>7427.593280000001</v>
      </c>
      <c r="J350" s="881">
        <v>334.33849679999997</v>
      </c>
      <c r="K350" s="60">
        <v>4.3074134946576102E-2</v>
      </c>
      <c r="L350" s="880">
        <v>3.0519282107010302</v>
      </c>
      <c r="M350">
        <v>0</v>
      </c>
      <c r="N350" s="60">
        <v>0</v>
      </c>
      <c r="O350" s="881">
        <v>21557.013333170002</v>
      </c>
      <c r="P350" s="60">
        <v>3.90281383674944E-2</v>
      </c>
      <c r="Q350" s="880">
        <v>3.0993393404141201</v>
      </c>
      <c r="R350" s="60">
        <v>0.55297390745089603</v>
      </c>
      <c r="S350" s="60">
        <v>0</v>
      </c>
      <c r="T350" s="60">
        <v>0.34105239024635403</v>
      </c>
      <c r="U350" s="60">
        <v>0.41656257806664604</v>
      </c>
    </row>
    <row r="351" spans="1:21" x14ac:dyDescent="0.25">
      <c r="A351" s="519" t="s">
        <v>1144</v>
      </c>
      <c r="B351" s="519" t="s">
        <v>1145</v>
      </c>
      <c r="C351" s="519" t="s">
        <v>284</v>
      </c>
      <c r="D351" s="519" t="s">
        <v>110</v>
      </c>
      <c r="E351" s="519" t="s">
        <v>281</v>
      </c>
      <c r="F351" s="519" t="s">
        <v>70</v>
      </c>
      <c r="G351" s="519" t="s">
        <v>57</v>
      </c>
      <c r="H351" s="519" t="s">
        <v>147</v>
      </c>
      <c r="I351" s="881">
        <v>20568.15615535</v>
      </c>
      <c r="J351" s="881">
        <v>396.269046900001</v>
      </c>
      <c r="K351" s="60">
        <v>1.8901975278457498E-2</v>
      </c>
      <c r="L351" s="880">
        <v>3.0101955384849202</v>
      </c>
      <c r="M351">
        <v>0</v>
      </c>
      <c r="N351" s="60">
        <v>0</v>
      </c>
      <c r="O351" s="881">
        <v>51572.568725599995</v>
      </c>
      <c r="P351" s="60">
        <v>3.11836110021694E-2</v>
      </c>
      <c r="Q351" s="880">
        <v>3.01535496460435</v>
      </c>
      <c r="R351" s="60">
        <v>0.55297390745089603</v>
      </c>
      <c r="S351" s="60">
        <v>0</v>
      </c>
      <c r="T351" s="60">
        <v>0.35101696916020303</v>
      </c>
      <c r="U351" s="60">
        <v>0.21322449740799801</v>
      </c>
    </row>
    <row r="352" spans="1:21" x14ac:dyDescent="0.25">
      <c r="A352" s="519" t="s">
        <v>1144</v>
      </c>
      <c r="B352" s="519" t="s">
        <v>1147</v>
      </c>
      <c r="C352" s="519" t="s">
        <v>284</v>
      </c>
      <c r="D352" s="519" t="s">
        <v>110</v>
      </c>
      <c r="E352" s="519" t="s">
        <v>281</v>
      </c>
      <c r="F352" s="519" t="s">
        <v>70</v>
      </c>
      <c r="G352" s="519" t="s">
        <v>57</v>
      </c>
      <c r="H352" s="519" t="s">
        <v>149</v>
      </c>
      <c r="I352" s="881">
        <v>7635.7082388200006</v>
      </c>
      <c r="J352" s="881">
        <v>577.38740680000001</v>
      </c>
      <c r="K352" s="60">
        <v>7.0300825865569697E-2</v>
      </c>
      <c r="L352" s="880">
        <v>3.2625112375570899</v>
      </c>
      <c r="M352">
        <v>0</v>
      </c>
      <c r="N352" s="60">
        <v>0</v>
      </c>
      <c r="O352" s="881">
        <v>51572.568725599995</v>
      </c>
      <c r="P352" s="60">
        <v>3.11836110021694E-2</v>
      </c>
      <c r="Q352" s="880">
        <v>3.01535496460435</v>
      </c>
      <c r="R352" s="60">
        <v>0.55297390745089603</v>
      </c>
      <c r="S352" s="60">
        <v>0</v>
      </c>
      <c r="T352" s="60">
        <v>0.22859562718228302</v>
      </c>
      <c r="U352" s="60">
        <v>0.30453373809728901</v>
      </c>
    </row>
    <row r="353" spans="1:21" x14ac:dyDescent="0.25">
      <c r="A353" s="519" t="s">
        <v>1148</v>
      </c>
      <c r="B353" s="519" t="s">
        <v>1149</v>
      </c>
      <c r="C353" s="519" t="s">
        <v>284</v>
      </c>
      <c r="D353" s="519" t="s">
        <v>110</v>
      </c>
      <c r="E353" s="519" t="s">
        <v>281</v>
      </c>
      <c r="F353" s="519" t="s">
        <v>70</v>
      </c>
      <c r="G353" s="519" t="s">
        <v>58</v>
      </c>
      <c r="H353" s="519" t="s">
        <v>150</v>
      </c>
      <c r="I353" s="881">
        <v>6627.4917953700005</v>
      </c>
      <c r="J353" s="881">
        <v>713.23239954000098</v>
      </c>
      <c r="K353" s="60">
        <v>9.7161040328221301E-2</v>
      </c>
      <c r="L353" s="880">
        <v>3.0975536303540299</v>
      </c>
      <c r="M353">
        <v>0</v>
      </c>
      <c r="N353" s="60">
        <v>0</v>
      </c>
      <c r="O353" s="881">
        <v>27884.12246545</v>
      </c>
      <c r="P353" s="60">
        <v>4.4071536135287498E-2</v>
      </c>
      <c r="Q353" s="880">
        <v>3.0124489253832003</v>
      </c>
      <c r="R353" s="60">
        <v>0.55297390745089603</v>
      </c>
      <c r="S353" s="60">
        <v>0</v>
      </c>
      <c r="T353" s="60">
        <v>0.27539552364359604</v>
      </c>
      <c r="U353" s="60">
        <v>0.47706954716631206</v>
      </c>
    </row>
    <row r="354" spans="1:21" x14ac:dyDescent="0.25">
      <c r="A354" s="519" t="s">
        <v>1148</v>
      </c>
      <c r="B354" s="519" t="s">
        <v>1151</v>
      </c>
      <c r="C354" s="519" t="s">
        <v>284</v>
      </c>
      <c r="D354" s="519" t="s">
        <v>110</v>
      </c>
      <c r="E354" s="519" t="s">
        <v>281</v>
      </c>
      <c r="F354" s="519" t="s">
        <v>70</v>
      </c>
      <c r="G354" s="519" t="s">
        <v>58</v>
      </c>
      <c r="H354" s="519" t="s">
        <v>152</v>
      </c>
      <c r="I354" s="881">
        <v>9224.3404600000013</v>
      </c>
      <c r="J354" s="881">
        <v>264.77539844</v>
      </c>
      <c r="K354" s="60">
        <v>2.7903063087220899E-2</v>
      </c>
      <c r="L354" s="880">
        <v>2.9736009002055299</v>
      </c>
      <c r="M354">
        <v>0</v>
      </c>
      <c r="N354" s="60">
        <v>0</v>
      </c>
      <c r="O354" s="881">
        <v>27884.12246545</v>
      </c>
      <c r="P354" s="60">
        <v>4.4071536135287498E-2</v>
      </c>
      <c r="Q354" s="880">
        <v>3.0124489253832003</v>
      </c>
      <c r="R354" s="60">
        <v>0.55297390745089603</v>
      </c>
      <c r="S354" s="60">
        <v>0</v>
      </c>
      <c r="T354" s="60">
        <v>0.33389029051416502</v>
      </c>
      <c r="U354" s="60">
        <v>0.20526357893021502</v>
      </c>
    </row>
    <row r="355" spans="1:21" x14ac:dyDescent="0.25">
      <c r="A355" s="519" t="s">
        <v>1152</v>
      </c>
      <c r="B355" s="519" t="s">
        <v>1154</v>
      </c>
      <c r="C355" s="519" t="s">
        <v>284</v>
      </c>
      <c r="D355" s="519" t="s">
        <v>110</v>
      </c>
      <c r="E355" s="519" t="s">
        <v>281</v>
      </c>
      <c r="F355" s="519" t="s">
        <v>70</v>
      </c>
      <c r="G355" s="519" t="s">
        <v>59</v>
      </c>
      <c r="H355" s="519" t="s">
        <v>154</v>
      </c>
      <c r="I355" s="881">
        <v>5151.5861624999998</v>
      </c>
      <c r="J355" s="881">
        <v>420.46984821000001</v>
      </c>
      <c r="K355" s="60">
        <v>7.54604489620741E-2</v>
      </c>
      <c r="L355" s="880">
        <v>3.0905930957325798</v>
      </c>
      <c r="M355">
        <v>0</v>
      </c>
      <c r="N355" s="60">
        <v>9.4903426971459398E-2</v>
      </c>
      <c r="O355" s="881">
        <v>19945.199893240002</v>
      </c>
      <c r="P355" s="60">
        <v>6.2889066041167604E-2</v>
      </c>
      <c r="Q355" s="880">
        <v>3.1051127472776301</v>
      </c>
      <c r="R355" s="60">
        <v>0.55297390745089603</v>
      </c>
      <c r="S355" s="60">
        <v>5.5606074055737899E-2</v>
      </c>
      <c r="T355" s="60">
        <v>0.34221304095195204</v>
      </c>
      <c r="U355" s="60">
        <v>0.41323935135912604</v>
      </c>
    </row>
    <row r="356" spans="1:21" x14ac:dyDescent="0.25">
      <c r="A356" s="519" t="s">
        <v>1156</v>
      </c>
      <c r="B356" s="519" t="s">
        <v>1157</v>
      </c>
      <c r="C356" s="519" t="s">
        <v>284</v>
      </c>
      <c r="D356" s="519" t="s">
        <v>110</v>
      </c>
      <c r="E356" s="519" t="s">
        <v>281</v>
      </c>
      <c r="F356" s="519" t="s">
        <v>16</v>
      </c>
      <c r="G356" s="519" t="s">
        <v>56</v>
      </c>
      <c r="H356" s="519" t="s">
        <v>144</v>
      </c>
      <c r="I356" s="881">
        <v>11583.13495258</v>
      </c>
      <c r="J356" s="881">
        <v>449.61740108999999</v>
      </c>
      <c r="K356" s="60">
        <v>3.7366131029270798E-2</v>
      </c>
      <c r="L356" s="880">
        <v>3.10803481226184</v>
      </c>
      <c r="M356">
        <v>0</v>
      </c>
      <c r="N356" s="60">
        <v>1.9789744394624598E-2</v>
      </c>
      <c r="O356" s="881">
        <v>39049.481698590003</v>
      </c>
      <c r="P356" s="60">
        <v>3.9104417771974598E-2</v>
      </c>
      <c r="Q356" s="880">
        <v>3.19232428364927</v>
      </c>
      <c r="R356" s="60">
        <v>0.55297390745089603</v>
      </c>
      <c r="S356" s="60">
        <v>3.7484047866705797E-2</v>
      </c>
      <c r="T356" s="60">
        <v>0.25619170808604402</v>
      </c>
      <c r="U356" s="60">
        <v>0.33076594344825305</v>
      </c>
    </row>
    <row r="357" spans="1:21" x14ac:dyDescent="0.25">
      <c r="A357" s="519" t="s">
        <v>1156</v>
      </c>
      <c r="B357" s="519" t="s">
        <v>1159</v>
      </c>
      <c r="C357" s="519" t="s">
        <v>284</v>
      </c>
      <c r="D357" s="519" t="s">
        <v>110</v>
      </c>
      <c r="E357" s="519" t="s">
        <v>281</v>
      </c>
      <c r="F357" s="519" t="s">
        <v>16</v>
      </c>
      <c r="G357" s="519" t="s">
        <v>56</v>
      </c>
      <c r="H357" s="519" t="s">
        <v>146</v>
      </c>
      <c r="I357" s="881">
        <v>16195.29368626</v>
      </c>
      <c r="J357" s="881">
        <v>314.56227094000002</v>
      </c>
      <c r="K357" s="60">
        <v>1.9052999114920699E-2</v>
      </c>
      <c r="L357" s="880">
        <v>3.2402354829059301</v>
      </c>
      <c r="M357">
        <v>0</v>
      </c>
      <c r="N357" s="60">
        <v>3.8554757455849201E-2</v>
      </c>
      <c r="O357" s="881">
        <v>39049.481698590003</v>
      </c>
      <c r="P357" s="60">
        <v>3.9104417771974598E-2</v>
      </c>
      <c r="Q357" s="880">
        <v>3.19232428364927</v>
      </c>
      <c r="R357" s="60">
        <v>0.55297390745089603</v>
      </c>
      <c r="S357" s="60">
        <v>3.7484047866705797E-2</v>
      </c>
      <c r="T357" s="60">
        <v>0.40275590166760206</v>
      </c>
      <c r="U357" s="60">
        <v>0.25267147848510102</v>
      </c>
    </row>
    <row r="358" spans="1:21" x14ac:dyDescent="0.25">
      <c r="A358" s="519" t="s">
        <v>1160</v>
      </c>
      <c r="B358" s="519" t="s">
        <v>1162</v>
      </c>
      <c r="C358" s="519" t="s">
        <v>284</v>
      </c>
      <c r="D358" s="519" t="s">
        <v>110</v>
      </c>
      <c r="E358" s="519" t="s">
        <v>281</v>
      </c>
      <c r="F358" s="519" t="s">
        <v>16</v>
      </c>
      <c r="G358" s="519" t="s">
        <v>57</v>
      </c>
      <c r="H358" s="519" t="s">
        <v>148</v>
      </c>
      <c r="I358" s="881">
        <v>6829.7207074500002</v>
      </c>
      <c r="J358" s="881">
        <v>1192.94067782</v>
      </c>
      <c r="K358" s="60">
        <v>0.14869637649300502</v>
      </c>
      <c r="L358" s="880">
        <v>3.1352414908367598</v>
      </c>
      <c r="M358">
        <v>0</v>
      </c>
      <c r="N358" s="60">
        <v>4.4788525392601398E-2</v>
      </c>
      <c r="O358" s="881">
        <v>20262.183638869999</v>
      </c>
      <c r="P358" s="60">
        <v>9.9424116932525397E-2</v>
      </c>
      <c r="Q358" s="880">
        <v>3.1338197041150702</v>
      </c>
      <c r="R358" s="60">
        <v>0.55297390745089603</v>
      </c>
      <c r="S358" s="60">
        <v>5.0922535187700201E-2</v>
      </c>
      <c r="T358" s="60">
        <v>0.42038740365751404</v>
      </c>
      <c r="U358" s="60">
        <v>0.48224176449471301</v>
      </c>
    </row>
    <row r="359" spans="1:21" x14ac:dyDescent="0.25">
      <c r="A359" s="519" t="s">
        <v>1164</v>
      </c>
      <c r="B359" s="519" t="s">
        <v>1166</v>
      </c>
      <c r="C359" s="519" t="s">
        <v>284</v>
      </c>
      <c r="D359" s="519" t="s">
        <v>110</v>
      </c>
      <c r="E359" s="519" t="s">
        <v>281</v>
      </c>
      <c r="F359" s="519" t="s">
        <v>16</v>
      </c>
      <c r="G359" s="519" t="s">
        <v>58</v>
      </c>
      <c r="H359" s="519" t="s">
        <v>151</v>
      </c>
      <c r="I359" s="881">
        <v>9095.4780646399886</v>
      </c>
      <c r="J359" s="881">
        <v>793.26248116000102</v>
      </c>
      <c r="K359" s="60">
        <v>8.0218757635108495E-2</v>
      </c>
      <c r="L359" s="880">
        <v>3.0658959867757498</v>
      </c>
      <c r="M359">
        <v>0</v>
      </c>
      <c r="N359" s="60">
        <v>1.0566107610507899E-2</v>
      </c>
      <c r="O359" s="881">
        <v>26190.61820253</v>
      </c>
      <c r="P359" s="60">
        <v>7.6831442291213498E-2</v>
      </c>
      <c r="Q359" s="880">
        <v>3.0852945004737302</v>
      </c>
      <c r="R359" s="60">
        <v>0.55297390745089603</v>
      </c>
      <c r="S359" s="60">
        <v>1.53861362635218E-2</v>
      </c>
      <c r="T359" s="60">
        <v>0.39071418584223905</v>
      </c>
      <c r="U359" s="60">
        <v>0.31766687390347303</v>
      </c>
    </row>
    <row r="360" spans="1:21" x14ac:dyDescent="0.25">
      <c r="A360" s="519" t="s">
        <v>1168</v>
      </c>
      <c r="B360" s="519" t="s">
        <v>314</v>
      </c>
      <c r="C360" s="519" t="s">
        <v>284</v>
      </c>
      <c r="D360" s="519" t="s">
        <v>110</v>
      </c>
      <c r="E360" s="519" t="s">
        <v>281</v>
      </c>
      <c r="F360" s="519" t="s">
        <v>16</v>
      </c>
      <c r="G360" s="519" t="s">
        <v>59</v>
      </c>
      <c r="H360" s="519" t="s">
        <v>153</v>
      </c>
      <c r="I360" s="881">
        <v>5485.5441656200001</v>
      </c>
      <c r="J360" s="881">
        <v>399.86128342000001</v>
      </c>
      <c r="K360" s="60">
        <v>6.7941161723229004E-2</v>
      </c>
      <c r="L360" s="880">
        <v>3.2901935338335599</v>
      </c>
      <c r="M360">
        <v>0</v>
      </c>
      <c r="N360" s="60">
        <v>1.5806245782035398E-2</v>
      </c>
      <c r="O360" s="881">
        <v>18747.55666287</v>
      </c>
      <c r="P360" s="60">
        <v>9.8863635322164495E-2</v>
      </c>
      <c r="Q360" s="880">
        <v>3.1357461288096502</v>
      </c>
      <c r="R360" s="60">
        <v>0.55297390745089603</v>
      </c>
      <c r="S360" s="60">
        <v>9.7918444857175106E-3</v>
      </c>
      <c r="T360" s="60">
        <v>0.38600812465276502</v>
      </c>
      <c r="U360" s="60">
        <v>0.31537708551580201</v>
      </c>
    </row>
    <row r="361" spans="1:21" x14ac:dyDescent="0.25">
      <c r="A361" s="519" t="s">
        <v>1168</v>
      </c>
      <c r="B361" s="519" t="s">
        <v>1170</v>
      </c>
      <c r="C361" s="519" t="s">
        <v>284</v>
      </c>
      <c r="D361" s="519" t="s">
        <v>110</v>
      </c>
      <c r="E361" s="519" t="s">
        <v>281</v>
      </c>
      <c r="F361" s="519" t="s">
        <v>16</v>
      </c>
      <c r="G361" s="519" t="s">
        <v>59</v>
      </c>
      <c r="H361" s="519" t="s">
        <v>155</v>
      </c>
      <c r="I361" s="881">
        <v>5172.4327758700001</v>
      </c>
      <c r="J361" s="881">
        <v>674.32800807000001</v>
      </c>
      <c r="K361" s="60">
        <v>0.11533360658815701</v>
      </c>
      <c r="L361" s="880">
        <v>3.0067777325469001</v>
      </c>
      <c r="M361">
        <v>0</v>
      </c>
      <c r="N361" s="60">
        <v>3.0604554347905301E-3</v>
      </c>
      <c r="O361" s="881">
        <v>18747.55666287</v>
      </c>
      <c r="P361" s="60">
        <v>9.8863635322164495E-2</v>
      </c>
      <c r="Q361" s="880">
        <v>3.1357461288096502</v>
      </c>
      <c r="R361" s="60">
        <v>0.55297390745089603</v>
      </c>
      <c r="S361" s="60">
        <v>9.7918444857175106E-3</v>
      </c>
      <c r="T361" s="60">
        <v>0.271778834395282</v>
      </c>
      <c r="U361" s="60">
        <v>0.271383563125072</v>
      </c>
    </row>
    <row r="362" spans="1:21" x14ac:dyDescent="0.25">
      <c r="A362" s="519" t="s">
        <v>1171</v>
      </c>
      <c r="B362" s="519" t="s">
        <v>1777</v>
      </c>
      <c r="C362" s="519" t="s">
        <v>284</v>
      </c>
      <c r="D362" s="519" t="s">
        <v>110</v>
      </c>
      <c r="E362" s="519" t="s">
        <v>281</v>
      </c>
      <c r="F362" s="519" t="s">
        <v>17</v>
      </c>
      <c r="G362" s="519" t="s">
        <v>56</v>
      </c>
      <c r="H362" s="519" t="s">
        <v>145</v>
      </c>
      <c r="I362" s="881">
        <v>9009.3023490899886</v>
      </c>
      <c r="J362" s="881">
        <v>276.63135632000001</v>
      </c>
      <c r="K362" s="60">
        <v>2.9790365201383499E-2</v>
      </c>
      <c r="L362" s="880">
        <v>3.0566785160214001</v>
      </c>
      <c r="M362">
        <v>0</v>
      </c>
      <c r="N362" s="60">
        <v>1.05036323938622E-2</v>
      </c>
      <c r="O362" s="881">
        <v>20636.004599529999</v>
      </c>
      <c r="P362" s="60">
        <v>4.5445781974017496E-2</v>
      </c>
      <c r="Q362" s="880">
        <v>3.0625955119010801</v>
      </c>
      <c r="R362" s="60">
        <v>0.55297390745089603</v>
      </c>
      <c r="S362" s="60">
        <v>8.4794030896845913E-3</v>
      </c>
      <c r="T362" s="60">
        <v>0.34105239024635403</v>
      </c>
      <c r="U362" s="60">
        <v>0.41656257806664604</v>
      </c>
    </row>
    <row r="363" spans="1:21" x14ac:dyDescent="0.25">
      <c r="A363" s="519" t="s">
        <v>1864</v>
      </c>
      <c r="B363" s="519" t="s">
        <v>1865</v>
      </c>
      <c r="C363" s="519" t="s">
        <v>284</v>
      </c>
      <c r="D363" s="519" t="s">
        <v>110</v>
      </c>
      <c r="E363" s="519" t="s">
        <v>281</v>
      </c>
      <c r="F363" s="519" t="s">
        <v>17</v>
      </c>
      <c r="G363" s="519" t="s">
        <v>57</v>
      </c>
      <c r="H363" s="519" t="s">
        <v>149</v>
      </c>
      <c r="I363" s="881">
        <v>7354.1651593400002</v>
      </c>
      <c r="J363" s="881">
        <v>614.35343454999997</v>
      </c>
      <c r="K363" s="60">
        <v>7.7097571814799495E-2</v>
      </c>
      <c r="L363" s="880">
        <v>3.1297903029838299</v>
      </c>
      <c r="M363">
        <v>0</v>
      </c>
      <c r="N363" s="60">
        <v>3.9344506647708702E-3</v>
      </c>
      <c r="O363" s="881">
        <v>7354.1651593400002</v>
      </c>
      <c r="P363" s="60">
        <v>7.7097571814799593E-2</v>
      </c>
      <c r="Q363" s="880">
        <v>3.1297903029838299</v>
      </c>
      <c r="R363" s="60">
        <v>0.55297390745089603</v>
      </c>
      <c r="S363" s="60">
        <v>3.9344506647708702E-3</v>
      </c>
      <c r="T363" s="60">
        <v>0.22859562718228302</v>
      </c>
      <c r="U363" s="60">
        <v>0.30453373809728901</v>
      </c>
    </row>
    <row r="364" spans="1:21" x14ac:dyDescent="0.25">
      <c r="A364" s="519" t="s">
        <v>1866</v>
      </c>
      <c r="B364" s="519" t="s">
        <v>1867</v>
      </c>
      <c r="C364" s="519" t="s">
        <v>284</v>
      </c>
      <c r="D364" s="519" t="s">
        <v>110</v>
      </c>
      <c r="E364" s="519" t="s">
        <v>1812</v>
      </c>
      <c r="F364" s="519" t="s">
        <v>70</v>
      </c>
      <c r="G364" s="519" t="s">
        <v>56</v>
      </c>
      <c r="H364" s="519" t="s">
        <v>145</v>
      </c>
      <c r="I364" s="881">
        <v>15946.55815916</v>
      </c>
      <c r="J364" s="881">
        <v>344.99347778000003</v>
      </c>
      <c r="K364" s="60">
        <v>2.11762197652034E-2</v>
      </c>
      <c r="L364" s="880">
        <v>2.9270745640956699</v>
      </c>
      <c r="M364">
        <v>0</v>
      </c>
      <c r="N364" s="60">
        <v>0.37575003756896103</v>
      </c>
      <c r="O364" s="881">
        <v>30111.578491060001</v>
      </c>
      <c r="P364" s="60">
        <v>1.9355133758272001E-2</v>
      </c>
      <c r="Q364" s="880">
        <v>2.9175442754856098</v>
      </c>
      <c r="R364" s="60">
        <v>0.34237659552125604</v>
      </c>
      <c r="S364" s="60">
        <v>0.50912024634814501</v>
      </c>
      <c r="T364" s="60">
        <v>0.37157379772019705</v>
      </c>
      <c r="U364" s="60">
        <v>0.35398596979761504</v>
      </c>
    </row>
    <row r="365" spans="1:21" x14ac:dyDescent="0.25">
      <c r="A365" s="519" t="s">
        <v>1868</v>
      </c>
      <c r="B365" s="519" t="s">
        <v>1869</v>
      </c>
      <c r="C365" s="519" t="s">
        <v>284</v>
      </c>
      <c r="D365" s="519" t="s">
        <v>110</v>
      </c>
      <c r="E365" s="519" t="s">
        <v>1812</v>
      </c>
      <c r="F365" s="519" t="s">
        <v>70</v>
      </c>
      <c r="G365" s="519" t="s">
        <v>57</v>
      </c>
      <c r="H365" s="519" t="s">
        <v>147</v>
      </c>
      <c r="I365" s="881">
        <v>13301.680340340001</v>
      </c>
      <c r="J365" s="881">
        <v>204.12783483000001</v>
      </c>
      <c r="K365" s="60">
        <v>1.5114077749548002E-2</v>
      </c>
      <c r="L365" s="880">
        <v>2.9772344388677898</v>
      </c>
      <c r="M365">
        <v>0</v>
      </c>
      <c r="N365" s="60">
        <v>0.45058238074805401</v>
      </c>
      <c r="O365" s="881">
        <v>42404.913602690001</v>
      </c>
      <c r="P365" s="60">
        <v>3.3754339853695699E-2</v>
      </c>
      <c r="Q365" s="880">
        <v>2.9628461223783003</v>
      </c>
      <c r="R365" s="60">
        <v>0.34237659552125604</v>
      </c>
      <c r="S365" s="60">
        <v>0.46384147373153106</v>
      </c>
      <c r="T365" s="60">
        <v>0.29357162435873302</v>
      </c>
      <c r="U365" s="60">
        <v>0.10913568048179301</v>
      </c>
    </row>
    <row r="366" spans="1:21" x14ac:dyDescent="0.25">
      <c r="A366" s="519" t="s">
        <v>1868</v>
      </c>
      <c r="B366" s="519" t="s">
        <v>1870</v>
      </c>
      <c r="C366" s="519" t="s">
        <v>284</v>
      </c>
      <c r="D366" s="519" t="s">
        <v>110</v>
      </c>
      <c r="E366" s="519" t="s">
        <v>1812</v>
      </c>
      <c r="F366" s="519" t="s">
        <v>70</v>
      </c>
      <c r="G366" s="519" t="s">
        <v>57</v>
      </c>
      <c r="H366" s="519" t="s">
        <v>149</v>
      </c>
      <c r="I366" s="881">
        <v>14225.42314046</v>
      </c>
      <c r="J366" s="881">
        <v>1165.52827417</v>
      </c>
      <c r="K366" s="60">
        <v>7.5728149792097799E-2</v>
      </c>
      <c r="L366" s="880">
        <v>2.9779328377633898</v>
      </c>
      <c r="M366">
        <v>0</v>
      </c>
      <c r="N366" s="60">
        <v>0.45003943671393504</v>
      </c>
      <c r="O366" s="881">
        <v>42404.913602690001</v>
      </c>
      <c r="P366" s="60">
        <v>3.3754339853695699E-2</v>
      </c>
      <c r="Q366" s="880">
        <v>2.9628461223783003</v>
      </c>
      <c r="R366" s="60">
        <v>0.34237659552125604</v>
      </c>
      <c r="S366" s="60">
        <v>0.46384147373153106</v>
      </c>
      <c r="T366" s="60">
        <v>0.34097099950574505</v>
      </c>
      <c r="U366" s="60">
        <v>0.80511965552082609</v>
      </c>
    </row>
    <row r="367" spans="1:21" x14ac:dyDescent="0.25">
      <c r="A367" s="519" t="s">
        <v>1871</v>
      </c>
      <c r="B367" s="519" t="s">
        <v>1872</v>
      </c>
      <c r="C367" s="519" t="s">
        <v>284</v>
      </c>
      <c r="D367" s="519" t="s">
        <v>110</v>
      </c>
      <c r="E367" s="519" t="s">
        <v>1812</v>
      </c>
      <c r="F367" s="519" t="s">
        <v>70</v>
      </c>
      <c r="G367" s="519" t="s">
        <v>58</v>
      </c>
      <c r="H367" s="519" t="s">
        <v>151</v>
      </c>
      <c r="I367" s="881">
        <v>14468.409456650001</v>
      </c>
      <c r="J367" s="881">
        <v>169.51329405999999</v>
      </c>
      <c r="K367" s="60">
        <v>1.1580420046401601E-2</v>
      </c>
      <c r="L367" s="880">
        <v>2.9283100638006698</v>
      </c>
      <c r="M367">
        <v>0</v>
      </c>
      <c r="N367" s="60">
        <v>0.67302217887152604</v>
      </c>
      <c r="O367" s="881">
        <v>46856.242511850105</v>
      </c>
      <c r="P367" s="60">
        <v>1.2665018768900299E-2</v>
      </c>
      <c r="Q367" s="880">
        <v>2.9398909097717199</v>
      </c>
      <c r="R367" s="60">
        <v>0.34237659552125604</v>
      </c>
      <c r="S367" s="60">
        <v>0.63432710004100701</v>
      </c>
      <c r="T367" s="60">
        <v>0.301649233353804</v>
      </c>
      <c r="U367" s="60">
        <v>0.24147926985251503</v>
      </c>
    </row>
    <row r="368" spans="1:21" x14ac:dyDescent="0.25">
      <c r="A368" s="519" t="s">
        <v>1873</v>
      </c>
      <c r="B368" s="519" t="s">
        <v>1874</v>
      </c>
      <c r="C368" s="519" t="s">
        <v>284</v>
      </c>
      <c r="D368" s="519" t="s">
        <v>110</v>
      </c>
      <c r="E368" s="519" t="s">
        <v>1812</v>
      </c>
      <c r="F368" s="519" t="s">
        <v>70</v>
      </c>
      <c r="G368" s="519" t="s">
        <v>59</v>
      </c>
      <c r="H368" s="519" t="s">
        <v>153</v>
      </c>
      <c r="I368" s="881">
        <v>12690.42465092</v>
      </c>
      <c r="J368" s="881">
        <v>172.44576040999999</v>
      </c>
      <c r="K368" s="60">
        <v>1.34064757628363E-2</v>
      </c>
      <c r="L368" s="880">
        <v>2.92323207733943</v>
      </c>
      <c r="M368">
        <v>0</v>
      </c>
      <c r="N368" s="60">
        <v>0.77885194568358707</v>
      </c>
      <c r="O368" s="881">
        <v>47886.327019860102</v>
      </c>
      <c r="P368" s="60">
        <v>1.26201803995188E-2</v>
      </c>
      <c r="Q368" s="880">
        <v>2.9089589151730402</v>
      </c>
      <c r="R368" s="60">
        <v>0.34237659552125604</v>
      </c>
      <c r="S368" s="60">
        <v>0.77477855892273606</v>
      </c>
      <c r="T368" s="60">
        <v>0.309209005410641</v>
      </c>
      <c r="U368" s="60">
        <v>0.30349480927476502</v>
      </c>
    </row>
    <row r="369" spans="1:21" x14ac:dyDescent="0.25">
      <c r="A369" s="519" t="s">
        <v>1873</v>
      </c>
      <c r="B369" s="519" t="s">
        <v>1875</v>
      </c>
      <c r="C369" s="519" t="s">
        <v>284</v>
      </c>
      <c r="D369" s="519" t="s">
        <v>110</v>
      </c>
      <c r="E369" s="519" t="s">
        <v>1812</v>
      </c>
      <c r="F369" s="519" t="s">
        <v>70</v>
      </c>
      <c r="G369" s="519" t="s">
        <v>59</v>
      </c>
      <c r="H369" s="519" t="s">
        <v>155</v>
      </c>
      <c r="I369" s="881">
        <v>19505.294302319999</v>
      </c>
      <c r="J369" s="881">
        <v>175.81800569000001</v>
      </c>
      <c r="K369" s="60">
        <v>8.9333368428797712E-3</v>
      </c>
      <c r="L369" s="880">
        <v>2.9247690671002302</v>
      </c>
      <c r="M369">
        <v>0</v>
      </c>
      <c r="N369" s="60">
        <v>0.76474018960256307</v>
      </c>
      <c r="O369" s="881">
        <v>47886.327019860102</v>
      </c>
      <c r="P369" s="60">
        <v>1.26201803995188E-2</v>
      </c>
      <c r="Q369" s="880">
        <v>2.9089589151730402</v>
      </c>
      <c r="R369" s="60">
        <v>0.34237659552125604</v>
      </c>
      <c r="S369" s="60">
        <v>0.77477855892273606</v>
      </c>
      <c r="T369" s="60">
        <v>0.37454317337594401</v>
      </c>
      <c r="U369" s="60">
        <v>0.40939894241843205</v>
      </c>
    </row>
    <row r="370" spans="1:21" x14ac:dyDescent="0.25">
      <c r="A370" s="519" t="s">
        <v>1876</v>
      </c>
      <c r="B370" s="519" t="s">
        <v>1877</v>
      </c>
      <c r="C370" s="519" t="s">
        <v>284</v>
      </c>
      <c r="D370" s="519" t="s">
        <v>110</v>
      </c>
      <c r="E370" s="519" t="s">
        <v>1812</v>
      </c>
      <c r="F370" s="519" t="s">
        <v>16</v>
      </c>
      <c r="G370" s="519" t="s">
        <v>56</v>
      </c>
      <c r="H370" s="519" t="s">
        <v>145</v>
      </c>
      <c r="I370" s="881">
        <v>15060.19703816</v>
      </c>
      <c r="J370" s="881">
        <v>416.20981253000002</v>
      </c>
      <c r="K370" s="60">
        <v>2.6893181120490099E-2</v>
      </c>
      <c r="L370" s="880">
        <v>2.9477290794172299</v>
      </c>
      <c r="M370">
        <v>0</v>
      </c>
      <c r="N370" s="60">
        <v>0.67686659487925405</v>
      </c>
      <c r="O370" s="881">
        <v>48018.6441740101</v>
      </c>
      <c r="P370" s="60">
        <v>1.7693520856855199E-2</v>
      </c>
      <c r="Q370" s="880">
        <v>2.9319113648684199</v>
      </c>
      <c r="R370" s="60">
        <v>0.34237659552125604</v>
      </c>
      <c r="S370" s="60">
        <v>0.71357123745063411</v>
      </c>
      <c r="T370" s="60">
        <v>0.37157379772019705</v>
      </c>
      <c r="U370" s="60">
        <v>0.35398596979761504</v>
      </c>
    </row>
    <row r="371" spans="1:21" x14ac:dyDescent="0.25">
      <c r="A371" s="519" t="s">
        <v>1878</v>
      </c>
      <c r="B371" s="519" t="s">
        <v>1879</v>
      </c>
      <c r="C371" s="519" t="s">
        <v>284</v>
      </c>
      <c r="D371" s="519" t="s">
        <v>110</v>
      </c>
      <c r="E371" s="519" t="s">
        <v>1812</v>
      </c>
      <c r="F371" s="519" t="s">
        <v>16</v>
      </c>
      <c r="G371" s="519" t="s">
        <v>57</v>
      </c>
      <c r="H371" s="519" t="s">
        <v>147</v>
      </c>
      <c r="I371" s="881">
        <v>20731.92914231</v>
      </c>
      <c r="J371" s="881">
        <v>267.31175854000003</v>
      </c>
      <c r="K371" s="60">
        <v>1.2729591502956699E-2</v>
      </c>
      <c r="L371" s="880">
        <v>2.92594940981202</v>
      </c>
      <c r="M371">
        <v>0</v>
      </c>
      <c r="N371" s="60">
        <v>0.77303160416475702</v>
      </c>
      <c r="O371" s="881">
        <v>73524.579096040106</v>
      </c>
      <c r="P371" s="60">
        <v>3.71699047238691E-2</v>
      </c>
      <c r="Q371" s="880">
        <v>2.9769790424470499</v>
      </c>
      <c r="R371" s="60">
        <v>0.34237659552125604</v>
      </c>
      <c r="S371" s="60">
        <v>0.78221245767930603</v>
      </c>
      <c r="T371" s="60">
        <v>0.29357162435873302</v>
      </c>
      <c r="U371" s="60">
        <v>0.10913568048179301</v>
      </c>
    </row>
    <row r="372" spans="1:21" x14ac:dyDescent="0.25">
      <c r="A372" s="519" t="s">
        <v>1878</v>
      </c>
      <c r="B372" s="519" t="s">
        <v>1880</v>
      </c>
      <c r="C372" s="519" t="s">
        <v>284</v>
      </c>
      <c r="D372" s="519" t="s">
        <v>110</v>
      </c>
      <c r="E372" s="519" t="s">
        <v>1812</v>
      </c>
      <c r="F372" s="519" t="s">
        <v>16</v>
      </c>
      <c r="G372" s="519" t="s">
        <v>57</v>
      </c>
      <c r="H372" s="519" t="s">
        <v>149</v>
      </c>
      <c r="I372" s="881">
        <v>25303.171857220001</v>
      </c>
      <c r="J372" s="881">
        <v>2312.39279928</v>
      </c>
      <c r="K372" s="60">
        <v>8.3735126478238303E-2</v>
      </c>
      <c r="L372" s="880">
        <v>2.9875353832643099</v>
      </c>
      <c r="M372">
        <v>0</v>
      </c>
      <c r="N372" s="60">
        <v>0.72449943752087909</v>
      </c>
      <c r="O372" s="881">
        <v>73524.579096040106</v>
      </c>
      <c r="P372" s="60">
        <v>3.71699047238691E-2</v>
      </c>
      <c r="Q372" s="880">
        <v>2.9769790424470499</v>
      </c>
      <c r="R372" s="60">
        <v>0.34237659552125604</v>
      </c>
      <c r="S372" s="60">
        <v>0.78221245767930603</v>
      </c>
      <c r="T372" s="60">
        <v>0.34097099950574505</v>
      </c>
      <c r="U372" s="60">
        <v>0.80511965552082609</v>
      </c>
    </row>
    <row r="373" spans="1:21" x14ac:dyDescent="0.25">
      <c r="A373" s="519" t="s">
        <v>1881</v>
      </c>
      <c r="B373" s="519" t="s">
        <v>1882</v>
      </c>
      <c r="C373" s="519" t="s">
        <v>284</v>
      </c>
      <c r="D373" s="519" t="s">
        <v>110</v>
      </c>
      <c r="E373" s="519" t="s">
        <v>1812</v>
      </c>
      <c r="F373" s="519" t="s">
        <v>16</v>
      </c>
      <c r="G373" s="519" t="s">
        <v>58</v>
      </c>
      <c r="H373" s="519" t="s">
        <v>151</v>
      </c>
      <c r="I373" s="881">
        <v>28385.39285145</v>
      </c>
      <c r="J373" s="881">
        <v>243.39971217000002</v>
      </c>
      <c r="K373" s="60">
        <v>8.5019202828448912E-3</v>
      </c>
      <c r="L373" s="880">
        <v>2.9461128033269799</v>
      </c>
      <c r="M373">
        <v>0</v>
      </c>
      <c r="N373" s="60">
        <v>0.88233618894623211</v>
      </c>
      <c r="O373" s="881">
        <v>95208.770654740205</v>
      </c>
      <c r="P373" s="60">
        <v>1.15127804905085E-2</v>
      </c>
      <c r="Q373" s="880">
        <v>2.9602842045387101</v>
      </c>
      <c r="R373" s="60">
        <v>0.34237659552125604</v>
      </c>
      <c r="S373" s="60">
        <v>0.90709536944283997</v>
      </c>
      <c r="T373" s="60">
        <v>0.301649233353804</v>
      </c>
      <c r="U373" s="60">
        <v>0.24147926985251503</v>
      </c>
    </row>
    <row r="374" spans="1:21" x14ac:dyDescent="0.25">
      <c r="A374" s="519" t="s">
        <v>1883</v>
      </c>
      <c r="B374" s="519" t="s">
        <v>1884</v>
      </c>
      <c r="C374" s="519" t="s">
        <v>284</v>
      </c>
      <c r="D374" s="519" t="s">
        <v>110</v>
      </c>
      <c r="E374" s="519" t="s">
        <v>1812</v>
      </c>
      <c r="F374" s="519" t="s">
        <v>16</v>
      </c>
      <c r="G374" s="519" t="s">
        <v>59</v>
      </c>
      <c r="H374" s="519" t="s">
        <v>153</v>
      </c>
      <c r="I374" s="881">
        <v>24126.4747320801</v>
      </c>
      <c r="J374" s="881">
        <v>332.07587891000003</v>
      </c>
      <c r="K374" s="60">
        <v>1.3577087383125099E-2</v>
      </c>
      <c r="L374" s="880">
        <v>2.9826606878722499</v>
      </c>
      <c r="M374">
        <v>0</v>
      </c>
      <c r="N374" s="60">
        <v>0.8440868082978441</v>
      </c>
      <c r="O374" s="881">
        <v>71181.677917790206</v>
      </c>
      <c r="P374" s="60">
        <v>1.4540853629766599E-2</v>
      </c>
      <c r="Q374" s="880">
        <v>2.9872876136102899</v>
      </c>
      <c r="R374" s="60">
        <v>0.34237659552125604</v>
      </c>
      <c r="S374" s="60">
        <v>0.86086203936582406</v>
      </c>
      <c r="T374" s="60">
        <v>0.309209005410641</v>
      </c>
      <c r="U374" s="60">
        <v>0.30349480927476502</v>
      </c>
    </row>
    <row r="375" spans="1:21" x14ac:dyDescent="0.25">
      <c r="A375" s="519" t="s">
        <v>1883</v>
      </c>
      <c r="B375" s="519" t="s">
        <v>1885</v>
      </c>
      <c r="C375" s="519" t="s">
        <v>284</v>
      </c>
      <c r="D375" s="519" t="s">
        <v>110</v>
      </c>
      <c r="E375" s="519" t="s">
        <v>1812</v>
      </c>
      <c r="F375" s="519" t="s">
        <v>16</v>
      </c>
      <c r="G375" s="519" t="s">
        <v>59</v>
      </c>
      <c r="H375" s="519" t="s">
        <v>155</v>
      </c>
      <c r="I375" s="881">
        <v>25090.814114570101</v>
      </c>
      <c r="J375" s="881">
        <v>504.75582704999999</v>
      </c>
      <c r="K375" s="60">
        <v>1.97204370991261E-2</v>
      </c>
      <c r="L375" s="880">
        <v>3.0010331667575101</v>
      </c>
      <c r="M375">
        <v>0</v>
      </c>
      <c r="N375" s="60">
        <v>0.84249346067630604</v>
      </c>
      <c r="O375" s="881">
        <v>71181.677917790206</v>
      </c>
      <c r="P375" s="60">
        <v>1.4540853629766599E-2</v>
      </c>
      <c r="Q375" s="880">
        <v>2.9872876136102899</v>
      </c>
      <c r="R375" s="60">
        <v>0.34237659552125604</v>
      </c>
      <c r="S375" s="60">
        <v>0.86086203936582406</v>
      </c>
      <c r="T375" s="60">
        <v>0.37454317337594401</v>
      </c>
      <c r="U375" s="60">
        <v>0.40939894241843205</v>
      </c>
    </row>
    <row r="376" spans="1:21" x14ac:dyDescent="0.25">
      <c r="A376" s="519" t="s">
        <v>1886</v>
      </c>
      <c r="B376" s="519" t="s">
        <v>1887</v>
      </c>
      <c r="C376" s="519" t="s">
        <v>284</v>
      </c>
      <c r="D376" s="519" t="s">
        <v>110</v>
      </c>
      <c r="E376" s="519" t="s">
        <v>1812</v>
      </c>
      <c r="F376" s="519" t="s">
        <v>17</v>
      </c>
      <c r="G376" s="519" t="s">
        <v>56</v>
      </c>
      <c r="H376" s="519" t="s">
        <v>145</v>
      </c>
      <c r="I376" s="881">
        <v>33588.201406760003</v>
      </c>
      <c r="J376" s="881">
        <v>464.29532938999898</v>
      </c>
      <c r="K376" s="60">
        <v>1.3634692721286002E-2</v>
      </c>
      <c r="L376" s="880">
        <v>3.03201123551711</v>
      </c>
      <c r="M376">
        <v>0</v>
      </c>
      <c r="N376" s="60">
        <v>0.79675982923556998</v>
      </c>
      <c r="O376" s="881">
        <v>95711.304914120206</v>
      </c>
      <c r="P376" s="60">
        <v>2.0496114197489299E-2</v>
      </c>
      <c r="Q376" s="880">
        <v>3.01115770367706</v>
      </c>
      <c r="R376" s="60">
        <v>0.34237659552125604</v>
      </c>
      <c r="S376" s="60">
        <v>0.82829037871151812</v>
      </c>
      <c r="T376" s="60">
        <v>0.37157379772019705</v>
      </c>
      <c r="U376" s="60">
        <v>0.35398596979761504</v>
      </c>
    </row>
    <row r="377" spans="1:21" x14ac:dyDescent="0.25">
      <c r="A377" s="519" t="s">
        <v>1888</v>
      </c>
      <c r="B377" s="519" t="s">
        <v>1889</v>
      </c>
      <c r="C377" s="519" t="s">
        <v>284</v>
      </c>
      <c r="D377" s="519" t="s">
        <v>110</v>
      </c>
      <c r="E377" s="519" t="s">
        <v>1812</v>
      </c>
      <c r="F377" s="519" t="s">
        <v>17</v>
      </c>
      <c r="G377" s="519" t="s">
        <v>57</v>
      </c>
      <c r="H377" s="519" t="s">
        <v>149</v>
      </c>
      <c r="I377" s="881">
        <v>31219.988828410002</v>
      </c>
      <c r="J377" s="881">
        <v>2462.6154256200002</v>
      </c>
      <c r="K377" s="60">
        <v>7.3112381900379692E-2</v>
      </c>
      <c r="L377" s="880">
        <v>3.0541850957697001</v>
      </c>
      <c r="M377">
        <v>0</v>
      </c>
      <c r="N377" s="60">
        <v>0.72351250709081105</v>
      </c>
      <c r="O377" s="881">
        <v>31219.988828410002</v>
      </c>
      <c r="P377" s="60">
        <v>7.3112381900379803E-2</v>
      </c>
      <c r="Q377" s="880">
        <v>3.0541850957697001</v>
      </c>
      <c r="R377" s="60">
        <v>0.34237659552125604</v>
      </c>
      <c r="S377" s="60">
        <v>0.72351250709081105</v>
      </c>
      <c r="T377" s="60">
        <v>0.34097099950574505</v>
      </c>
      <c r="U377" s="60">
        <v>0.80511965552082609</v>
      </c>
    </row>
    <row r="378" spans="1:21" x14ac:dyDescent="0.25">
      <c r="A378" s="519" t="s">
        <v>1172</v>
      </c>
      <c r="B378" s="519" t="s">
        <v>1173</v>
      </c>
      <c r="C378" s="519" t="s">
        <v>284</v>
      </c>
      <c r="D378" s="519" t="s">
        <v>110</v>
      </c>
      <c r="E378" s="519" t="s">
        <v>282</v>
      </c>
      <c r="F378" s="519" t="s">
        <v>70</v>
      </c>
      <c r="G378" s="519" t="s">
        <v>56</v>
      </c>
      <c r="H378" s="519" t="s">
        <v>144</v>
      </c>
      <c r="I378" s="881">
        <v>120867.63558348001</v>
      </c>
      <c r="J378" s="881">
        <v>6960.2536054799793</v>
      </c>
      <c r="K378" s="60">
        <v>5.44501958816756E-2</v>
      </c>
      <c r="L378" s="880">
        <v>3.0051878102976701</v>
      </c>
      <c r="M378">
        <v>0</v>
      </c>
      <c r="N378" s="60">
        <v>4.8184487726555696E-2</v>
      </c>
      <c r="O378" s="881">
        <v>474485.47950613702</v>
      </c>
      <c r="P378" s="60">
        <v>5.2312046041181101E-2</v>
      </c>
      <c r="Q378" s="880">
        <v>3.02547408732236</v>
      </c>
      <c r="R378" s="60">
        <v>0.60859474786257806</v>
      </c>
      <c r="S378" s="60">
        <v>6.0276921176699798E-2</v>
      </c>
      <c r="T378" s="60">
        <v>0.326197287493874</v>
      </c>
      <c r="U378" s="60">
        <v>0.29961431754576801</v>
      </c>
    </row>
    <row r="379" spans="1:21" x14ac:dyDescent="0.25">
      <c r="A379" s="519" t="s">
        <v>1172</v>
      </c>
      <c r="B379" s="519" t="s">
        <v>1175</v>
      </c>
      <c r="C379" s="519" t="s">
        <v>284</v>
      </c>
      <c r="D379" s="519" t="s">
        <v>110</v>
      </c>
      <c r="E379" s="519" t="s">
        <v>282</v>
      </c>
      <c r="F379" s="519" t="s">
        <v>70</v>
      </c>
      <c r="G379" s="519" t="s">
        <v>56</v>
      </c>
      <c r="H379" s="519" t="s">
        <v>146</v>
      </c>
      <c r="I379" s="881">
        <v>173245.808632239</v>
      </c>
      <c r="J379" s="881">
        <v>9111.5080863098901</v>
      </c>
      <c r="K379" s="60">
        <v>4.9965135758015797E-2</v>
      </c>
      <c r="L379" s="880">
        <v>3.02782721719471</v>
      </c>
      <c r="M379">
        <v>0</v>
      </c>
      <c r="N379" s="60">
        <v>7.7982010454745204E-2</v>
      </c>
      <c r="O379" s="881">
        <v>474485.47950613702</v>
      </c>
      <c r="P379" s="60">
        <v>5.2312046041181101E-2</v>
      </c>
      <c r="Q379" s="880">
        <v>3.02547408732236</v>
      </c>
      <c r="R379" s="60">
        <v>0.60859474786257806</v>
      </c>
      <c r="S379" s="60">
        <v>6.0276921176699798E-2</v>
      </c>
      <c r="T379" s="60">
        <v>0.32361869321214903</v>
      </c>
      <c r="U379" s="60">
        <v>0.28286983808689903</v>
      </c>
    </row>
    <row r="380" spans="1:21" x14ac:dyDescent="0.25">
      <c r="A380" s="519" t="s">
        <v>1176</v>
      </c>
      <c r="B380" s="519" t="s">
        <v>1178</v>
      </c>
      <c r="C380" s="519" t="s">
        <v>284</v>
      </c>
      <c r="D380" s="519" t="s">
        <v>110</v>
      </c>
      <c r="E380" s="519" t="s">
        <v>282</v>
      </c>
      <c r="F380" s="519" t="s">
        <v>70</v>
      </c>
      <c r="G380" s="519" t="s">
        <v>57</v>
      </c>
      <c r="H380" s="519" t="s">
        <v>148</v>
      </c>
      <c r="I380" s="881">
        <v>150963.28960225001</v>
      </c>
      <c r="J380" s="881">
        <v>7221.4106687099493</v>
      </c>
      <c r="K380" s="60">
        <v>4.5651764401615197E-2</v>
      </c>
      <c r="L380" s="880">
        <v>2.9934268696056199</v>
      </c>
      <c r="M380">
        <v>0</v>
      </c>
      <c r="N380" s="60">
        <v>0.14973960284701701</v>
      </c>
      <c r="O380" s="881">
        <v>524178.78589964804</v>
      </c>
      <c r="P380" s="60">
        <v>6.0780017608046397E-2</v>
      </c>
      <c r="Q380" s="880">
        <v>3.01798212710615</v>
      </c>
      <c r="R380" s="60">
        <v>0.60859474786257806</v>
      </c>
      <c r="S380" s="60">
        <v>8.5336101078523505E-2</v>
      </c>
      <c r="T380" s="60">
        <v>0.30542083156508204</v>
      </c>
      <c r="U380" s="60">
        <v>0.38083324541322805</v>
      </c>
    </row>
    <row r="381" spans="1:21" x14ac:dyDescent="0.25">
      <c r="A381" s="519" t="s">
        <v>1180</v>
      </c>
      <c r="B381" s="519" t="s">
        <v>1181</v>
      </c>
      <c r="C381" s="519" t="s">
        <v>284</v>
      </c>
      <c r="D381" s="519" t="s">
        <v>110</v>
      </c>
      <c r="E381" s="519" t="s">
        <v>282</v>
      </c>
      <c r="F381" s="519" t="s">
        <v>70</v>
      </c>
      <c r="G381" s="519" t="s">
        <v>58</v>
      </c>
      <c r="H381" s="519" t="s">
        <v>150</v>
      </c>
      <c r="I381" s="881">
        <v>228639.93449554802</v>
      </c>
      <c r="J381" s="881">
        <v>11048.3967049</v>
      </c>
      <c r="K381" s="60">
        <v>4.6094845959189196E-2</v>
      </c>
      <c r="L381" s="880">
        <v>3.0262890696160598</v>
      </c>
      <c r="M381">
        <v>0</v>
      </c>
      <c r="N381" s="60">
        <v>8.7188046904458014E-2</v>
      </c>
      <c r="O381" s="881">
        <v>593617.919760574</v>
      </c>
      <c r="P381" s="60">
        <v>3.2437379537720301E-2</v>
      </c>
      <c r="Q381" s="880">
        <v>3.0271982125144201</v>
      </c>
      <c r="R381" s="60">
        <v>0.60859474786257806</v>
      </c>
      <c r="S381" s="60">
        <v>0.112137931137505</v>
      </c>
      <c r="T381" s="60">
        <v>0.41744366092384805</v>
      </c>
      <c r="U381" s="60">
        <v>0.52376008329965906</v>
      </c>
    </row>
    <row r="382" spans="1:21" x14ac:dyDescent="0.25">
      <c r="A382" s="519" t="s">
        <v>1180</v>
      </c>
      <c r="B382" s="519" t="s">
        <v>1183</v>
      </c>
      <c r="C382" s="519" t="s">
        <v>284</v>
      </c>
      <c r="D382" s="519" t="s">
        <v>110</v>
      </c>
      <c r="E382" s="519" t="s">
        <v>282</v>
      </c>
      <c r="F382" s="519" t="s">
        <v>70</v>
      </c>
      <c r="G382" s="519" t="s">
        <v>58</v>
      </c>
      <c r="H382" s="519" t="s">
        <v>152</v>
      </c>
      <c r="I382" s="881">
        <v>201330.24283924801</v>
      </c>
      <c r="J382" s="881">
        <v>5385.2237291599195</v>
      </c>
      <c r="K382" s="60">
        <v>2.6051382697954699E-2</v>
      </c>
      <c r="L382" s="880">
        <v>3.0494619046897702</v>
      </c>
      <c r="M382">
        <v>0</v>
      </c>
      <c r="N382" s="60">
        <v>0.115885686276746</v>
      </c>
      <c r="O382" s="881">
        <v>593617.919760574</v>
      </c>
      <c r="P382" s="60">
        <v>3.2437379537720301E-2</v>
      </c>
      <c r="Q382" s="880">
        <v>3.0271982125144201</v>
      </c>
      <c r="R382" s="60">
        <v>0.60859474786257806</v>
      </c>
      <c r="S382" s="60">
        <v>0.112137931137505</v>
      </c>
      <c r="T382" s="60">
        <v>0.32658303173853104</v>
      </c>
      <c r="U382" s="60">
        <v>0.21876973005974501</v>
      </c>
    </row>
    <row r="383" spans="1:21" x14ac:dyDescent="0.25">
      <c r="A383" s="519" t="s">
        <v>1184</v>
      </c>
      <c r="B383" s="519" t="s">
        <v>1186</v>
      </c>
      <c r="C383" s="519" t="s">
        <v>284</v>
      </c>
      <c r="D383" s="519" t="s">
        <v>110</v>
      </c>
      <c r="E383" s="519" t="s">
        <v>282</v>
      </c>
      <c r="F383" s="519" t="s">
        <v>70</v>
      </c>
      <c r="G383" s="519" t="s">
        <v>59</v>
      </c>
      <c r="H383" s="519" t="s">
        <v>154</v>
      </c>
      <c r="I383" s="881">
        <v>245137.57860904702</v>
      </c>
      <c r="J383" s="881">
        <v>7731.7472852399005</v>
      </c>
      <c r="K383" s="60">
        <v>3.0576058436095198E-2</v>
      </c>
      <c r="L383" s="880">
        <v>2.9987271153714699</v>
      </c>
      <c r="M383">
        <v>0</v>
      </c>
      <c r="N383" s="60">
        <v>6.5254555067754197E-2</v>
      </c>
      <c r="O383" s="881">
        <v>711806.01199371309</v>
      </c>
      <c r="P383" s="60">
        <v>2.8806086328333598E-2</v>
      </c>
      <c r="Q383" s="880">
        <v>3.0092161231475001</v>
      </c>
      <c r="R383" s="60">
        <v>0.60859474786257806</v>
      </c>
      <c r="S383" s="60">
        <v>6.1154287514046002E-2</v>
      </c>
      <c r="T383" s="60">
        <v>0.34444835277653901</v>
      </c>
      <c r="U383" s="60">
        <v>0.42305745245955906</v>
      </c>
    </row>
    <row r="384" spans="1:21" x14ac:dyDescent="0.25">
      <c r="A384" s="519" t="s">
        <v>1188</v>
      </c>
      <c r="B384" s="519" t="s">
        <v>1190</v>
      </c>
      <c r="C384" s="519" t="s">
        <v>284</v>
      </c>
      <c r="D384" s="519" t="s">
        <v>110</v>
      </c>
      <c r="E384" s="519" t="s">
        <v>282</v>
      </c>
      <c r="F384" s="519" t="s">
        <v>16</v>
      </c>
      <c r="G384" s="519" t="s">
        <v>56</v>
      </c>
      <c r="H384" s="519" t="s">
        <v>145</v>
      </c>
      <c r="I384" s="881">
        <v>192163.47280602902</v>
      </c>
      <c r="J384" s="881">
        <v>9120.2157478899589</v>
      </c>
      <c r="K384" s="60">
        <v>4.5310257445162198E-2</v>
      </c>
      <c r="L384" s="880">
        <v>3.0947862032895301</v>
      </c>
      <c r="M384">
        <v>0</v>
      </c>
      <c r="N384" s="60">
        <v>4.8503537760832896E-2</v>
      </c>
      <c r="O384" s="881">
        <v>541128.778960397</v>
      </c>
      <c r="P384" s="60">
        <v>4.0591219432229098E-2</v>
      </c>
      <c r="Q384" s="880">
        <v>3.07376635616545</v>
      </c>
      <c r="R384" s="60">
        <v>0.60859474786257806</v>
      </c>
      <c r="S384" s="60">
        <v>7.1805685998182101E-2</v>
      </c>
      <c r="T384" s="60">
        <v>0.35018401929397702</v>
      </c>
      <c r="U384" s="60">
        <v>0.41751584436733302</v>
      </c>
    </row>
    <row r="385" spans="1:21" x14ac:dyDescent="0.25">
      <c r="A385" s="519" t="s">
        <v>1192</v>
      </c>
      <c r="B385" s="519" t="s">
        <v>1193</v>
      </c>
      <c r="C385" s="519" t="s">
        <v>284</v>
      </c>
      <c r="D385" s="519" t="s">
        <v>110</v>
      </c>
      <c r="E385" s="519" t="s">
        <v>282</v>
      </c>
      <c r="F385" s="519" t="s">
        <v>16</v>
      </c>
      <c r="G385" s="519" t="s">
        <v>57</v>
      </c>
      <c r="H385" s="519" t="s">
        <v>147</v>
      </c>
      <c r="I385" s="881">
        <v>131584.2171713</v>
      </c>
      <c r="J385" s="881">
        <v>8396.4921612399394</v>
      </c>
      <c r="K385" s="60">
        <v>5.9983209124145301E-2</v>
      </c>
      <c r="L385" s="880">
        <v>2.9242095103002401</v>
      </c>
      <c r="M385">
        <v>0</v>
      </c>
      <c r="N385" s="60">
        <v>6.8230542253271007E-2</v>
      </c>
      <c r="O385" s="881">
        <v>464992.82083184103</v>
      </c>
      <c r="P385" s="60">
        <v>9.3610792701920395E-2</v>
      </c>
      <c r="Q385" s="880">
        <v>3.0469702796528901</v>
      </c>
      <c r="R385" s="60">
        <v>0.60859474786257806</v>
      </c>
      <c r="S385" s="60">
        <v>7.4207424882928794E-2</v>
      </c>
      <c r="T385" s="60">
        <v>0.31342342359335001</v>
      </c>
      <c r="U385" s="60">
        <v>0.20986621100788203</v>
      </c>
    </row>
    <row r="386" spans="1:21" x14ac:dyDescent="0.25">
      <c r="A386" s="519" t="s">
        <v>1192</v>
      </c>
      <c r="B386" s="519" t="s">
        <v>1195</v>
      </c>
      <c r="C386" s="519" t="s">
        <v>284</v>
      </c>
      <c r="D386" s="519" t="s">
        <v>110</v>
      </c>
      <c r="E386" s="519" t="s">
        <v>282</v>
      </c>
      <c r="F386" s="519" t="s">
        <v>16</v>
      </c>
      <c r="G386" s="519" t="s">
        <v>57</v>
      </c>
      <c r="H386" s="519" t="s">
        <v>149</v>
      </c>
      <c r="I386" s="881">
        <v>182258.27857429101</v>
      </c>
      <c r="J386" s="881">
        <v>15641.3499474699</v>
      </c>
      <c r="K386" s="60">
        <v>7.9036782758539301E-2</v>
      </c>
      <c r="L386" s="880">
        <v>3.05831071641598</v>
      </c>
      <c r="M386">
        <v>0</v>
      </c>
      <c r="N386" s="60">
        <v>6.2874547549339299E-2</v>
      </c>
      <c r="O386" s="881">
        <v>464992.82083184103</v>
      </c>
      <c r="P386" s="60">
        <v>9.3610792701920395E-2</v>
      </c>
      <c r="Q386" s="880">
        <v>3.0469702796528901</v>
      </c>
      <c r="R386" s="60">
        <v>0.60859474786257806</v>
      </c>
      <c r="S386" s="60">
        <v>7.4207424882928794E-2</v>
      </c>
      <c r="T386" s="60">
        <v>0.38115574484156806</v>
      </c>
      <c r="U386" s="60">
        <v>0.40930054357889001</v>
      </c>
    </row>
    <row r="387" spans="1:21" x14ac:dyDescent="0.25">
      <c r="A387" s="519" t="s">
        <v>1196</v>
      </c>
      <c r="B387" s="519" t="s">
        <v>1198</v>
      </c>
      <c r="C387" s="519" t="s">
        <v>284</v>
      </c>
      <c r="D387" s="519" t="s">
        <v>110</v>
      </c>
      <c r="E387" s="519" t="s">
        <v>282</v>
      </c>
      <c r="F387" s="519" t="s">
        <v>16</v>
      </c>
      <c r="G387" s="519" t="s">
        <v>58</v>
      </c>
      <c r="H387" s="519" t="s">
        <v>151</v>
      </c>
      <c r="I387" s="881">
        <v>139077.89797803</v>
      </c>
      <c r="J387" s="881">
        <v>9389.2215040899391</v>
      </c>
      <c r="K387" s="60">
        <v>6.3241083526381012E-2</v>
      </c>
      <c r="L387" s="880">
        <v>3.1353810856329298</v>
      </c>
      <c r="M387">
        <v>0</v>
      </c>
      <c r="N387" s="60">
        <v>0.109723664116067</v>
      </c>
      <c r="O387" s="881">
        <v>589027.42538286501</v>
      </c>
      <c r="P387" s="60">
        <v>4.8514101444984699E-2</v>
      </c>
      <c r="Q387" s="880">
        <v>3.1135408957336601</v>
      </c>
      <c r="R387" s="60">
        <v>0.60859474786257806</v>
      </c>
      <c r="S387" s="60">
        <v>0.13113709615606201</v>
      </c>
      <c r="T387" s="60">
        <v>0.25597330733762103</v>
      </c>
      <c r="U387" s="60">
        <v>0.25747018664059701</v>
      </c>
    </row>
    <row r="388" spans="1:21" x14ac:dyDescent="0.25">
      <c r="A388" s="519" t="s">
        <v>1200</v>
      </c>
      <c r="B388" s="519" t="s">
        <v>315</v>
      </c>
      <c r="C388" s="519" t="s">
        <v>284</v>
      </c>
      <c r="D388" s="519" t="s">
        <v>110</v>
      </c>
      <c r="E388" s="519" t="s">
        <v>282</v>
      </c>
      <c r="F388" s="519" t="s">
        <v>16</v>
      </c>
      <c r="G388" s="519" t="s">
        <v>59</v>
      </c>
      <c r="H388" s="519" t="s">
        <v>153</v>
      </c>
      <c r="I388" s="881">
        <v>175793.634173108</v>
      </c>
      <c r="J388" s="881">
        <v>6773.8802686899098</v>
      </c>
      <c r="K388" s="60">
        <v>3.7103426036121497E-2</v>
      </c>
      <c r="L388" s="880">
        <v>3.0640065564767398</v>
      </c>
      <c r="M388">
        <v>0</v>
      </c>
      <c r="N388" s="60">
        <v>7.2236058891787594E-2</v>
      </c>
      <c r="O388" s="881">
        <v>657921.75394176308</v>
      </c>
      <c r="P388" s="60">
        <v>4.8387812284200901E-2</v>
      </c>
      <c r="Q388" s="880">
        <v>3.0582529554679301</v>
      </c>
      <c r="R388" s="60">
        <v>0.60859474786257806</v>
      </c>
      <c r="S388" s="60">
        <v>9.0517045547154104E-2</v>
      </c>
      <c r="T388" s="60">
        <v>0.26962773170377202</v>
      </c>
      <c r="U388" s="60">
        <v>0.30107780745845703</v>
      </c>
    </row>
    <row r="389" spans="1:21" x14ac:dyDescent="0.25">
      <c r="A389" s="519" t="s">
        <v>1200</v>
      </c>
      <c r="B389" s="519" t="s">
        <v>1202</v>
      </c>
      <c r="C389" s="519" t="s">
        <v>284</v>
      </c>
      <c r="D389" s="519" t="s">
        <v>110</v>
      </c>
      <c r="E389" s="519" t="s">
        <v>282</v>
      </c>
      <c r="F389" s="519" t="s">
        <v>16</v>
      </c>
      <c r="G389" s="519" t="s">
        <v>59</v>
      </c>
      <c r="H389" s="519" t="s">
        <v>155</v>
      </c>
      <c r="I389" s="881">
        <v>255465.22564893801</v>
      </c>
      <c r="J389" s="881">
        <v>11327.1935953999</v>
      </c>
      <c r="K389" s="60">
        <v>4.2456954464758598E-2</v>
      </c>
      <c r="L389" s="880">
        <v>3.06370604025147</v>
      </c>
      <c r="M389">
        <v>0</v>
      </c>
      <c r="N389" s="60">
        <v>0.11565842237418</v>
      </c>
      <c r="O389" s="881">
        <v>657921.75394176308</v>
      </c>
      <c r="P389" s="60">
        <v>4.8387812284200901E-2</v>
      </c>
      <c r="Q389" s="880">
        <v>3.0582529554679301</v>
      </c>
      <c r="R389" s="60">
        <v>0.60859474786257806</v>
      </c>
      <c r="S389" s="60">
        <v>9.0517045547154104E-2</v>
      </c>
      <c r="T389" s="60">
        <v>0.38592391551968902</v>
      </c>
      <c r="U389" s="60">
        <v>0.27586474008198403</v>
      </c>
    </row>
    <row r="390" spans="1:21" x14ac:dyDescent="0.25">
      <c r="A390" s="519" t="s">
        <v>1203</v>
      </c>
      <c r="B390" s="519" t="s">
        <v>376</v>
      </c>
      <c r="C390" s="519" t="s">
        <v>284</v>
      </c>
      <c r="D390" s="519" t="s">
        <v>110</v>
      </c>
      <c r="E390" s="519" t="s">
        <v>282</v>
      </c>
      <c r="F390" s="519" t="s">
        <v>17</v>
      </c>
      <c r="G390" s="519" t="s">
        <v>56</v>
      </c>
      <c r="H390" s="519" t="s">
        <v>144</v>
      </c>
      <c r="I390" s="881">
        <v>174547.356561608</v>
      </c>
      <c r="J390" s="881">
        <v>6273.5876504799398</v>
      </c>
      <c r="K390" s="60">
        <v>3.4695027602120398E-2</v>
      </c>
      <c r="L390" s="880">
        <v>3.0988062272712802</v>
      </c>
      <c r="M390">
        <v>0</v>
      </c>
      <c r="N390" s="60">
        <v>4.4104303212078796E-2</v>
      </c>
      <c r="O390" s="881">
        <v>513694.14262547501</v>
      </c>
      <c r="P390" s="60">
        <v>4.2512026718302398E-2</v>
      </c>
      <c r="Q390" s="880">
        <v>3.0972232795049601</v>
      </c>
      <c r="R390" s="60">
        <v>0.60859474786257806</v>
      </c>
      <c r="S390" s="60">
        <v>4.4914760796643298E-2</v>
      </c>
      <c r="T390" s="60">
        <v>0.326197287493874</v>
      </c>
      <c r="U390" s="60">
        <v>0.29961431754576801</v>
      </c>
    </row>
    <row r="391" spans="1:21" x14ac:dyDescent="0.25">
      <c r="A391" s="519" t="s">
        <v>1203</v>
      </c>
      <c r="B391" s="519" t="s">
        <v>377</v>
      </c>
      <c r="C391" s="519" t="s">
        <v>284</v>
      </c>
      <c r="D391" s="519" t="s">
        <v>110</v>
      </c>
      <c r="E391" s="519" t="s">
        <v>282</v>
      </c>
      <c r="F391" s="519" t="s">
        <v>17</v>
      </c>
      <c r="G391" s="519" t="s">
        <v>56</v>
      </c>
      <c r="H391" s="519" t="s">
        <v>146</v>
      </c>
      <c r="I391" s="881">
        <v>176142.93152586801</v>
      </c>
      <c r="J391" s="881">
        <v>5757.3647256699596</v>
      </c>
      <c r="K391" s="60">
        <v>3.1651211374105898E-2</v>
      </c>
      <c r="L391" s="880">
        <v>3.1023657002433298</v>
      </c>
      <c r="M391">
        <v>0</v>
      </c>
      <c r="N391" s="60">
        <v>4.3302133409082198E-2</v>
      </c>
      <c r="O391" s="881">
        <v>513694.14262547501</v>
      </c>
      <c r="P391" s="60">
        <v>4.2512026718302398E-2</v>
      </c>
      <c r="Q391" s="880">
        <v>3.0972232795049601</v>
      </c>
      <c r="R391" s="60">
        <v>0.60859474786257806</v>
      </c>
      <c r="S391" s="60">
        <v>4.4914760796643298E-2</v>
      </c>
      <c r="T391" s="60">
        <v>0.32361869321214903</v>
      </c>
      <c r="U391" s="60">
        <v>0.28286983808689903</v>
      </c>
    </row>
    <row r="392" spans="1:21" x14ac:dyDescent="0.25">
      <c r="A392" s="519" t="s">
        <v>1204</v>
      </c>
      <c r="B392" s="519" t="s">
        <v>1205</v>
      </c>
      <c r="C392" s="519" t="s">
        <v>284</v>
      </c>
      <c r="D392" s="519" t="s">
        <v>110</v>
      </c>
      <c r="E392" s="519" t="s">
        <v>1</v>
      </c>
      <c r="F392" s="519" t="s">
        <v>70</v>
      </c>
      <c r="G392" s="519" t="s">
        <v>56</v>
      </c>
      <c r="H392" s="519" t="s">
        <v>144</v>
      </c>
      <c r="I392" s="881">
        <v>28444.58498643</v>
      </c>
      <c r="J392" s="881">
        <v>1751.8696202900001</v>
      </c>
      <c r="K392" s="60">
        <v>5.8015738705302598E-2</v>
      </c>
      <c r="L392" s="880">
        <v>2.9209397286805698</v>
      </c>
      <c r="M392">
        <v>0</v>
      </c>
      <c r="N392" s="60">
        <v>9.4420973316407891E-2</v>
      </c>
      <c r="O392" s="881">
        <v>113977.1733746</v>
      </c>
      <c r="P392" s="60">
        <v>6.87775153813487E-2</v>
      </c>
      <c r="Q392" s="880">
        <v>2.9606930678087502</v>
      </c>
      <c r="R392" s="60">
        <v>0.62924965978935909</v>
      </c>
      <c r="S392" s="60">
        <v>0.12664468117698402</v>
      </c>
      <c r="T392" s="60">
        <v>0.285000955412543</v>
      </c>
      <c r="U392" s="60">
        <v>0.27604468495154999</v>
      </c>
    </row>
    <row r="393" spans="1:21" x14ac:dyDescent="0.25">
      <c r="A393" s="519" t="s">
        <v>1204</v>
      </c>
      <c r="B393" s="519" t="s">
        <v>1207</v>
      </c>
      <c r="C393" s="519" t="s">
        <v>284</v>
      </c>
      <c r="D393" s="519" t="s">
        <v>110</v>
      </c>
      <c r="E393" s="519" t="s">
        <v>1</v>
      </c>
      <c r="F393" s="519" t="s">
        <v>70</v>
      </c>
      <c r="G393" s="519" t="s">
        <v>56</v>
      </c>
      <c r="H393" s="519" t="s">
        <v>146</v>
      </c>
      <c r="I393" s="881">
        <v>37188.909823980001</v>
      </c>
      <c r="J393" s="881">
        <v>3250.9954669799899</v>
      </c>
      <c r="K393" s="60">
        <v>8.0390778454832792E-2</v>
      </c>
      <c r="L393" s="880">
        <v>2.9795524459265601</v>
      </c>
      <c r="M393">
        <v>0</v>
      </c>
      <c r="N393" s="60">
        <v>0.11316622455241401</v>
      </c>
      <c r="O393" s="881">
        <v>113977.1733746</v>
      </c>
      <c r="P393" s="60">
        <v>6.87775153813487E-2</v>
      </c>
      <c r="Q393" s="880">
        <v>2.9606930678087502</v>
      </c>
      <c r="R393" s="60">
        <v>0.62924965978935909</v>
      </c>
      <c r="S393" s="60">
        <v>0.12664468117698402</v>
      </c>
      <c r="T393" s="60">
        <v>0.35388603557264503</v>
      </c>
      <c r="U393" s="60">
        <v>0.348449906173108</v>
      </c>
    </row>
    <row r="394" spans="1:21" x14ac:dyDescent="0.25">
      <c r="A394" s="519" t="s">
        <v>1208</v>
      </c>
      <c r="B394" s="519" t="s">
        <v>1210</v>
      </c>
      <c r="C394" s="519" t="s">
        <v>284</v>
      </c>
      <c r="D394" s="519" t="s">
        <v>110</v>
      </c>
      <c r="E394" s="519" t="s">
        <v>1</v>
      </c>
      <c r="F394" s="519" t="s">
        <v>70</v>
      </c>
      <c r="G394" s="519" t="s">
        <v>57</v>
      </c>
      <c r="H394" s="519" t="s">
        <v>148</v>
      </c>
      <c r="I394" s="881">
        <v>43182.874255430099</v>
      </c>
      <c r="J394" s="881">
        <v>3008.65102428</v>
      </c>
      <c r="K394" s="60">
        <v>6.5134264479496801E-2</v>
      </c>
      <c r="L394" s="880">
        <v>3.0343404540544201</v>
      </c>
      <c r="M394">
        <v>0</v>
      </c>
      <c r="N394" s="60">
        <v>0.19564137570364901</v>
      </c>
      <c r="O394" s="881">
        <v>142225.44859771</v>
      </c>
      <c r="P394" s="60">
        <v>7.0027972847374595E-2</v>
      </c>
      <c r="Q394" s="880">
        <v>3.0707598876884599</v>
      </c>
      <c r="R394" s="60">
        <v>0.62924965978935909</v>
      </c>
      <c r="S394" s="60">
        <v>0.14868736455530801</v>
      </c>
      <c r="T394" s="60">
        <v>0.31833270157464505</v>
      </c>
      <c r="U394" s="60">
        <v>0.30615657537184404</v>
      </c>
    </row>
    <row r="395" spans="1:21" x14ac:dyDescent="0.25">
      <c r="A395" s="519" t="s">
        <v>1212</v>
      </c>
      <c r="B395" s="519" t="s">
        <v>1214</v>
      </c>
      <c r="C395" s="519" t="s">
        <v>284</v>
      </c>
      <c r="D395" s="519" t="s">
        <v>110</v>
      </c>
      <c r="E395" s="519" t="s">
        <v>1</v>
      </c>
      <c r="F395" s="519" t="s">
        <v>70</v>
      </c>
      <c r="G395" s="519" t="s">
        <v>58</v>
      </c>
      <c r="H395" s="519" t="s">
        <v>151</v>
      </c>
      <c r="I395" s="881">
        <v>59924.816670150205</v>
      </c>
      <c r="J395" s="881">
        <v>1217.33832437001</v>
      </c>
      <c r="K395" s="60">
        <v>1.99099675907582E-2</v>
      </c>
      <c r="L395" s="880">
        <v>3.0108644763934702</v>
      </c>
      <c r="M395">
        <v>0</v>
      </c>
      <c r="N395" s="60">
        <v>0.19847064389676</v>
      </c>
      <c r="O395" s="881">
        <v>228002.61248570101</v>
      </c>
      <c r="P395" s="60">
        <v>2.8516635652164099E-2</v>
      </c>
      <c r="Q395" s="880">
        <v>3.0111008623034001</v>
      </c>
      <c r="R395" s="60">
        <v>0.62924965978935909</v>
      </c>
      <c r="S395" s="60">
        <v>0.18448404969297402</v>
      </c>
      <c r="T395" s="60">
        <v>0.22732884379809301</v>
      </c>
      <c r="U395" s="60">
        <v>0.18053739162002</v>
      </c>
    </row>
    <row r="396" spans="1:21" x14ac:dyDescent="0.25">
      <c r="A396" s="519" t="s">
        <v>1216</v>
      </c>
      <c r="B396" s="519" t="s">
        <v>1217</v>
      </c>
      <c r="C396" s="519" t="s">
        <v>284</v>
      </c>
      <c r="D396" s="519" t="s">
        <v>110</v>
      </c>
      <c r="E396" s="519" t="s">
        <v>1</v>
      </c>
      <c r="F396" s="519" t="s">
        <v>70</v>
      </c>
      <c r="G396" s="519" t="s">
        <v>59</v>
      </c>
      <c r="H396" s="519" t="s">
        <v>153</v>
      </c>
      <c r="I396" s="881">
        <v>37486.574815890104</v>
      </c>
      <c r="J396" s="881">
        <v>2355.6340011500001</v>
      </c>
      <c r="K396" s="60">
        <v>5.91240814977739E-2</v>
      </c>
      <c r="L396" s="880">
        <v>3.0453729942729999</v>
      </c>
      <c r="M396">
        <v>0</v>
      </c>
      <c r="N396" s="60">
        <v>0.21250136245158702</v>
      </c>
      <c r="O396" s="881">
        <v>143520.44300003001</v>
      </c>
      <c r="P396" s="60">
        <v>3.7130937847851701E-2</v>
      </c>
      <c r="Q396" s="880">
        <v>2.98052452185873</v>
      </c>
      <c r="R396" s="60">
        <v>0.62924965978935909</v>
      </c>
      <c r="S396" s="60">
        <v>0.19530894732546303</v>
      </c>
      <c r="T396" s="60">
        <v>0.26054525923352501</v>
      </c>
      <c r="U396" s="60">
        <v>0.29617023281867999</v>
      </c>
    </row>
    <row r="397" spans="1:21" x14ac:dyDescent="0.25">
      <c r="A397" s="519" t="s">
        <v>1216</v>
      </c>
      <c r="B397" s="519" t="s">
        <v>1219</v>
      </c>
      <c r="C397" s="519" t="s">
        <v>284</v>
      </c>
      <c r="D397" s="519" t="s">
        <v>110</v>
      </c>
      <c r="E397" s="519" t="s">
        <v>1</v>
      </c>
      <c r="F397" s="519" t="s">
        <v>70</v>
      </c>
      <c r="G397" s="519" t="s">
        <v>59</v>
      </c>
      <c r="H397" s="519" t="s">
        <v>155</v>
      </c>
      <c r="I397" s="881">
        <v>66056.761491950107</v>
      </c>
      <c r="J397" s="881">
        <v>997.10448520000898</v>
      </c>
      <c r="K397" s="60">
        <v>1.48702013026333E-2</v>
      </c>
      <c r="L397" s="880">
        <v>2.94697579513771</v>
      </c>
      <c r="M397">
        <v>0</v>
      </c>
      <c r="N397" s="60">
        <v>0.18396838060977203</v>
      </c>
      <c r="O397" s="881">
        <v>143520.44300003001</v>
      </c>
      <c r="P397" s="60">
        <v>3.7130937847851701E-2</v>
      </c>
      <c r="Q397" s="880">
        <v>2.98052452185873</v>
      </c>
      <c r="R397" s="60">
        <v>0.62924965978935909</v>
      </c>
      <c r="S397" s="60">
        <v>0.19530894732546303</v>
      </c>
      <c r="T397" s="60">
        <v>0.44854659554646903</v>
      </c>
      <c r="U397" s="60">
        <v>0.21008652061189501</v>
      </c>
    </row>
    <row r="398" spans="1:21" x14ac:dyDescent="0.25">
      <c r="A398" s="519" t="s">
        <v>1220</v>
      </c>
      <c r="B398" s="519" t="s">
        <v>1221</v>
      </c>
      <c r="C398" s="519" t="s">
        <v>284</v>
      </c>
      <c r="D398" s="519" t="s">
        <v>110</v>
      </c>
      <c r="E398" s="519" t="s">
        <v>1</v>
      </c>
      <c r="F398" s="519" t="s">
        <v>16</v>
      </c>
      <c r="G398" s="519" t="s">
        <v>56</v>
      </c>
      <c r="H398" s="519" t="s">
        <v>144</v>
      </c>
      <c r="I398" s="881">
        <v>44549.668181340101</v>
      </c>
      <c r="J398" s="881">
        <v>1899.98179536001</v>
      </c>
      <c r="K398" s="60">
        <v>4.09041143757395E-2</v>
      </c>
      <c r="L398" s="880">
        <v>2.99362597016008</v>
      </c>
      <c r="M398">
        <v>0</v>
      </c>
      <c r="N398" s="60">
        <v>0.19207205910422601</v>
      </c>
      <c r="O398" s="881">
        <v>132990.54823146001</v>
      </c>
      <c r="P398" s="60">
        <v>4.9093054989434698E-2</v>
      </c>
      <c r="Q398" s="880">
        <v>2.9829926137891198</v>
      </c>
      <c r="R398" s="60">
        <v>0.62924965978935909</v>
      </c>
      <c r="S398" s="60">
        <v>0.18914085440283701</v>
      </c>
      <c r="T398" s="60">
        <v>0.285000955412543</v>
      </c>
      <c r="U398" s="60">
        <v>0.27604468495154999</v>
      </c>
    </row>
    <row r="399" spans="1:21" x14ac:dyDescent="0.25">
      <c r="A399" s="519" t="s">
        <v>1220</v>
      </c>
      <c r="B399" s="519" t="s">
        <v>1223</v>
      </c>
      <c r="C399" s="519" t="s">
        <v>284</v>
      </c>
      <c r="D399" s="519" t="s">
        <v>110</v>
      </c>
      <c r="E399" s="519" t="s">
        <v>1</v>
      </c>
      <c r="F399" s="519" t="s">
        <v>16</v>
      </c>
      <c r="G399" s="519" t="s">
        <v>56</v>
      </c>
      <c r="H399" s="519" t="s">
        <v>146</v>
      </c>
      <c r="I399" s="881">
        <v>45961.397335740003</v>
      </c>
      <c r="J399" s="881">
        <v>1696.8360370300099</v>
      </c>
      <c r="K399" s="60">
        <v>3.5604258004232101E-2</v>
      </c>
      <c r="L399" s="880">
        <v>2.9595148020625599</v>
      </c>
      <c r="M399">
        <v>0</v>
      </c>
      <c r="N399" s="60">
        <v>0.18659441177022501</v>
      </c>
      <c r="O399" s="881">
        <v>132990.54823146001</v>
      </c>
      <c r="P399" s="60">
        <v>4.9093054989434698E-2</v>
      </c>
      <c r="Q399" s="880">
        <v>2.9829926137891198</v>
      </c>
      <c r="R399" s="60">
        <v>0.62924965978935909</v>
      </c>
      <c r="S399" s="60">
        <v>0.18914085440283701</v>
      </c>
      <c r="T399" s="60">
        <v>0.35388603557264503</v>
      </c>
      <c r="U399" s="60">
        <v>0.348449906173108</v>
      </c>
    </row>
    <row r="400" spans="1:21" x14ac:dyDescent="0.25">
      <c r="A400" s="519" t="s">
        <v>1224</v>
      </c>
      <c r="B400" s="519" t="s">
        <v>1226</v>
      </c>
      <c r="C400" s="519" t="s">
        <v>284</v>
      </c>
      <c r="D400" s="519" t="s">
        <v>110</v>
      </c>
      <c r="E400" s="519" t="s">
        <v>1</v>
      </c>
      <c r="F400" s="519" t="s">
        <v>16</v>
      </c>
      <c r="G400" s="519" t="s">
        <v>57</v>
      </c>
      <c r="H400" s="519" t="s">
        <v>148</v>
      </c>
      <c r="I400" s="881">
        <v>44577.673780340003</v>
      </c>
      <c r="J400" s="881">
        <v>3915.3082704600097</v>
      </c>
      <c r="K400" s="60">
        <v>8.0739688608104793E-2</v>
      </c>
      <c r="L400" s="880">
        <v>2.9735263256439102</v>
      </c>
      <c r="M400">
        <v>0</v>
      </c>
      <c r="N400" s="60">
        <v>0.18033041442205802</v>
      </c>
      <c r="O400" s="881">
        <v>133462.68398075001</v>
      </c>
      <c r="P400" s="60">
        <v>8.1902125090164299E-2</v>
      </c>
      <c r="Q400" s="880">
        <v>2.9705382663056401</v>
      </c>
      <c r="R400" s="60">
        <v>0.62924965978935909</v>
      </c>
      <c r="S400" s="60">
        <v>0.17042243330653101</v>
      </c>
      <c r="T400" s="60">
        <v>0.31833270157464505</v>
      </c>
      <c r="U400" s="60">
        <v>0.30615657537184404</v>
      </c>
    </row>
    <row r="401" spans="1:21" x14ac:dyDescent="0.25">
      <c r="A401" s="519" t="s">
        <v>1228</v>
      </c>
      <c r="B401" s="519" t="s">
        <v>1230</v>
      </c>
      <c r="C401" s="519" t="s">
        <v>284</v>
      </c>
      <c r="D401" s="519" t="s">
        <v>110</v>
      </c>
      <c r="E401" s="519" t="s">
        <v>1</v>
      </c>
      <c r="F401" s="519" t="s">
        <v>16</v>
      </c>
      <c r="G401" s="519" t="s">
        <v>58</v>
      </c>
      <c r="H401" s="519" t="s">
        <v>151</v>
      </c>
      <c r="I401" s="881">
        <v>42739.436627370102</v>
      </c>
      <c r="J401" s="881">
        <v>1460.3064868400099</v>
      </c>
      <c r="K401" s="60">
        <v>3.3038800317609099E-2</v>
      </c>
      <c r="L401" s="880">
        <v>2.9702022061233602</v>
      </c>
      <c r="M401">
        <v>0</v>
      </c>
      <c r="N401" s="60">
        <v>0.27490120476870999</v>
      </c>
      <c r="O401" s="881">
        <v>223608.593475931</v>
      </c>
      <c r="P401" s="60">
        <v>3.5119287799343202E-2</v>
      </c>
      <c r="Q401" s="880">
        <v>3.0165898975977101</v>
      </c>
      <c r="R401" s="60">
        <v>0.62924965978935909</v>
      </c>
      <c r="S401" s="60">
        <v>0.22066005111758402</v>
      </c>
      <c r="T401" s="60">
        <v>0.22732884379809301</v>
      </c>
      <c r="U401" s="60">
        <v>0.18053739162002</v>
      </c>
    </row>
    <row r="402" spans="1:21" x14ac:dyDescent="0.25">
      <c r="A402" s="519" t="s">
        <v>1232</v>
      </c>
      <c r="B402" s="519" t="s">
        <v>316</v>
      </c>
      <c r="C402" s="519" t="s">
        <v>284</v>
      </c>
      <c r="D402" s="519" t="s">
        <v>110</v>
      </c>
      <c r="E402" s="519" t="s">
        <v>1</v>
      </c>
      <c r="F402" s="519" t="s">
        <v>16</v>
      </c>
      <c r="G402" s="519" t="s">
        <v>59</v>
      </c>
      <c r="H402" s="519" t="s">
        <v>153</v>
      </c>
      <c r="I402" s="881">
        <v>37470.6444672301</v>
      </c>
      <c r="J402" s="881">
        <v>5005.4026263900005</v>
      </c>
      <c r="K402" s="60">
        <v>0.11784059414374801</v>
      </c>
      <c r="L402" s="880">
        <v>2.9612858335662602</v>
      </c>
      <c r="M402">
        <v>0</v>
      </c>
      <c r="N402" s="60">
        <v>0.11824101431387801</v>
      </c>
      <c r="O402" s="881">
        <v>144173.2172248</v>
      </c>
      <c r="P402" s="60">
        <v>0.11816745841381901</v>
      </c>
      <c r="Q402" s="880">
        <v>2.9672494995954</v>
      </c>
      <c r="R402" s="60">
        <v>0.62924965978935909</v>
      </c>
      <c r="S402" s="60">
        <v>0.12802369361030602</v>
      </c>
      <c r="T402" s="60">
        <v>0.26054525923352501</v>
      </c>
      <c r="U402" s="60">
        <v>0.29617023281867999</v>
      </c>
    </row>
    <row r="403" spans="1:21" x14ac:dyDescent="0.25">
      <c r="A403" s="519" t="s">
        <v>1232</v>
      </c>
      <c r="B403" s="519" t="s">
        <v>1234</v>
      </c>
      <c r="C403" s="519" t="s">
        <v>284</v>
      </c>
      <c r="D403" s="519" t="s">
        <v>110</v>
      </c>
      <c r="E403" s="519" t="s">
        <v>1</v>
      </c>
      <c r="F403" s="519" t="s">
        <v>16</v>
      </c>
      <c r="G403" s="519" t="s">
        <v>59</v>
      </c>
      <c r="H403" s="519" t="s">
        <v>155</v>
      </c>
      <c r="I403" s="881">
        <v>62987.250362200204</v>
      </c>
      <c r="J403" s="881">
        <v>4224.40126323001</v>
      </c>
      <c r="K403" s="60">
        <v>6.2852216261141194E-2</v>
      </c>
      <c r="L403" s="880">
        <v>2.9048813683808801</v>
      </c>
      <c r="M403">
        <v>0</v>
      </c>
      <c r="N403" s="60">
        <v>0.15706674863738901</v>
      </c>
      <c r="O403" s="881">
        <v>144173.2172248</v>
      </c>
      <c r="P403" s="60">
        <v>0.11816745841381901</v>
      </c>
      <c r="Q403" s="880">
        <v>2.9672494995954</v>
      </c>
      <c r="R403" s="60">
        <v>0.62924965978935909</v>
      </c>
      <c r="S403" s="60">
        <v>0.12802369361030602</v>
      </c>
      <c r="T403" s="60">
        <v>0.44854659554646903</v>
      </c>
      <c r="U403" s="60">
        <v>0.21008652061189501</v>
      </c>
    </row>
    <row r="404" spans="1:21" x14ac:dyDescent="0.25">
      <c r="A404" s="519" t="s">
        <v>1235</v>
      </c>
      <c r="B404" s="519" t="s">
        <v>372</v>
      </c>
      <c r="C404" s="519" t="s">
        <v>284</v>
      </c>
      <c r="D404" s="519" t="s">
        <v>110</v>
      </c>
      <c r="E404" s="519" t="s">
        <v>1</v>
      </c>
      <c r="F404" s="519" t="s">
        <v>17</v>
      </c>
      <c r="G404" s="519" t="s">
        <v>56</v>
      </c>
      <c r="H404" s="519" t="s">
        <v>144</v>
      </c>
      <c r="I404" s="881">
        <v>37331.156061330003</v>
      </c>
      <c r="J404" s="881">
        <v>6639.0858054499795</v>
      </c>
      <c r="K404" s="60">
        <v>0.150990431791686</v>
      </c>
      <c r="L404" s="880">
        <v>2.9597187203634499</v>
      </c>
      <c r="M404">
        <v>0</v>
      </c>
      <c r="N404" s="60">
        <v>0.106755683468593</v>
      </c>
      <c r="O404" s="881">
        <v>140137.67974041001</v>
      </c>
      <c r="P404" s="60">
        <v>0.13566553909550302</v>
      </c>
      <c r="Q404" s="880">
        <v>2.9597166477634702</v>
      </c>
      <c r="R404" s="60">
        <v>0.62924965978935909</v>
      </c>
      <c r="S404" s="60">
        <v>0.11615616335416</v>
      </c>
      <c r="T404" s="60">
        <v>0.285000955412543</v>
      </c>
      <c r="U404" s="60">
        <v>0.27604468495154999</v>
      </c>
    </row>
    <row r="405" spans="1:21" x14ac:dyDescent="0.25">
      <c r="A405" s="519" t="s">
        <v>1235</v>
      </c>
      <c r="B405" s="519" t="s">
        <v>373</v>
      </c>
      <c r="C405" s="519" t="s">
        <v>284</v>
      </c>
      <c r="D405" s="519" t="s">
        <v>110</v>
      </c>
      <c r="E405" s="519" t="s">
        <v>1</v>
      </c>
      <c r="F405" s="519" t="s">
        <v>17</v>
      </c>
      <c r="G405" s="519" t="s">
        <v>56</v>
      </c>
      <c r="H405" s="519" t="s">
        <v>146</v>
      </c>
      <c r="I405" s="881">
        <v>53840.88867154</v>
      </c>
      <c r="J405" s="881">
        <v>8042.3700995999598</v>
      </c>
      <c r="K405" s="60">
        <v>0.12996035210981202</v>
      </c>
      <c r="L405" s="880">
        <v>2.9608939013204001</v>
      </c>
      <c r="M405">
        <v>0</v>
      </c>
      <c r="N405" s="60">
        <v>9.8594988882603901E-2</v>
      </c>
      <c r="O405" s="881">
        <v>140137.67974041001</v>
      </c>
      <c r="P405" s="60">
        <v>0.13566553909550302</v>
      </c>
      <c r="Q405" s="880">
        <v>2.9597166477634702</v>
      </c>
      <c r="R405" s="60">
        <v>0.62924965978935909</v>
      </c>
      <c r="S405" s="60">
        <v>0.11615616335416</v>
      </c>
      <c r="T405" s="60">
        <v>0.35388603557264503</v>
      </c>
      <c r="U405" s="60">
        <v>0.348449906173108</v>
      </c>
    </row>
    <row r="406" spans="1:21" x14ac:dyDescent="0.25">
      <c r="A406" s="519" t="s">
        <v>1890</v>
      </c>
      <c r="B406" s="519" t="s">
        <v>1891</v>
      </c>
      <c r="C406" s="519" t="s">
        <v>284</v>
      </c>
      <c r="D406" s="519" t="s">
        <v>110</v>
      </c>
      <c r="E406" s="519" t="s">
        <v>1838</v>
      </c>
      <c r="F406" s="519" t="s">
        <v>70</v>
      </c>
      <c r="G406" s="519" t="s">
        <v>57</v>
      </c>
      <c r="H406" s="519" t="s">
        <v>147</v>
      </c>
      <c r="I406" s="881">
        <v>1888.1882200000002</v>
      </c>
      <c r="J406" s="881">
        <v>7.7266962599999998</v>
      </c>
      <c r="K406" s="60">
        <v>4.0754446276746303E-3</v>
      </c>
      <c r="L406" s="880">
        <v>2.9793460841610901</v>
      </c>
      <c r="M406">
        <v>0</v>
      </c>
      <c r="N406" s="60">
        <v>1</v>
      </c>
      <c r="O406" s="881">
        <v>2485.9754200000002</v>
      </c>
      <c r="P406" s="60">
        <v>4.46806975738623E-3</v>
      </c>
      <c r="Q406" s="880">
        <v>2.9627901046649798</v>
      </c>
      <c r="R406" s="60">
        <v>0.591872607487541</v>
      </c>
      <c r="S406" s="60">
        <v>1</v>
      </c>
      <c r="T406" s="60">
        <v>0.33972423535717999</v>
      </c>
      <c r="U406" s="60">
        <v>5.3608453259568596E-2</v>
      </c>
    </row>
    <row r="407" spans="1:21" x14ac:dyDescent="0.25">
      <c r="A407" s="519" t="s">
        <v>1892</v>
      </c>
      <c r="B407" s="519" t="s">
        <v>1893</v>
      </c>
      <c r="C407" s="519" t="s">
        <v>284</v>
      </c>
      <c r="D407" s="519" t="s">
        <v>110</v>
      </c>
      <c r="E407" s="519" t="s">
        <v>1838</v>
      </c>
      <c r="F407" s="519" t="s">
        <v>70</v>
      </c>
      <c r="G407" s="519" t="s">
        <v>58</v>
      </c>
      <c r="H407" s="519" t="s">
        <v>150</v>
      </c>
      <c r="I407" s="881">
        <v>8777.2566604900094</v>
      </c>
      <c r="J407" s="881">
        <v>178.37796918000001</v>
      </c>
      <c r="K407" s="60">
        <v>1.9917959648446799E-2</v>
      </c>
      <c r="L407" s="880">
        <v>2.97219460580488</v>
      </c>
      <c r="M407">
        <v>0</v>
      </c>
      <c r="N407" s="60">
        <v>1</v>
      </c>
      <c r="O407" s="881">
        <v>11314.291620489999</v>
      </c>
      <c r="P407" s="60">
        <v>1.73231941887944E-2</v>
      </c>
      <c r="Q407" s="880">
        <v>2.9687921378404698</v>
      </c>
      <c r="R407" s="60">
        <v>0.591872607487541</v>
      </c>
      <c r="S407" s="60">
        <v>1</v>
      </c>
      <c r="T407" s="60">
        <v>0.56979889204888001</v>
      </c>
      <c r="U407" s="60">
        <v>0.75166383706725703</v>
      </c>
    </row>
    <row r="408" spans="1:21" x14ac:dyDescent="0.25">
      <c r="A408" s="519" t="s">
        <v>1892</v>
      </c>
      <c r="B408" s="519" t="s">
        <v>1894</v>
      </c>
      <c r="C408" s="519" t="s">
        <v>284</v>
      </c>
      <c r="D408" s="519" t="s">
        <v>110</v>
      </c>
      <c r="E408" s="519" t="s">
        <v>1838</v>
      </c>
      <c r="F408" s="519" t="s">
        <v>70</v>
      </c>
      <c r="G408" s="519" t="s">
        <v>58</v>
      </c>
      <c r="H408" s="519" t="s">
        <v>152</v>
      </c>
      <c r="I408" s="881">
        <v>2398.7581600000003</v>
      </c>
      <c r="J408" s="881">
        <v>20.15546174</v>
      </c>
      <c r="K408" s="60">
        <v>8.3324437709774712E-3</v>
      </c>
      <c r="L408" s="880">
        <v>2.95536170394002</v>
      </c>
      <c r="M408">
        <v>0</v>
      </c>
      <c r="N408" s="60">
        <v>1</v>
      </c>
      <c r="O408" s="881">
        <v>11314.291620489999</v>
      </c>
      <c r="P408" s="60">
        <v>1.73231941887944E-2</v>
      </c>
      <c r="Q408" s="880">
        <v>2.9687921378404698</v>
      </c>
      <c r="R408" s="60">
        <v>0.591872607487541</v>
      </c>
      <c r="S408" s="60">
        <v>1</v>
      </c>
      <c r="T408" s="60">
        <v>0.27811652743686999</v>
      </c>
      <c r="U408" s="60">
        <v>0.16953440307808801</v>
      </c>
    </row>
    <row r="409" spans="1:21" x14ac:dyDescent="0.25">
      <c r="A409" s="519" t="s">
        <v>1895</v>
      </c>
      <c r="B409" s="519" t="s">
        <v>1896</v>
      </c>
      <c r="C409" s="519" t="s">
        <v>284</v>
      </c>
      <c r="D409" s="519" t="s">
        <v>110</v>
      </c>
      <c r="E409" s="519" t="s">
        <v>1838</v>
      </c>
      <c r="F409" s="519" t="s">
        <v>70</v>
      </c>
      <c r="G409" s="519" t="s">
        <v>59</v>
      </c>
      <c r="H409" s="519" t="s">
        <v>154</v>
      </c>
      <c r="I409" s="881">
        <v>16511.47258175</v>
      </c>
      <c r="J409" s="881">
        <v>180.53232166999899</v>
      </c>
      <c r="K409" s="60">
        <v>1.08154965634481E-2</v>
      </c>
      <c r="L409" s="880">
        <v>3.0038507165662298</v>
      </c>
      <c r="M409">
        <v>0</v>
      </c>
      <c r="N409" s="60">
        <v>0.36897139789661998</v>
      </c>
      <c r="O409" s="881">
        <v>36133.458593770003</v>
      </c>
      <c r="P409" s="60">
        <v>8.7599140239049203E-3</v>
      </c>
      <c r="Q409" s="880">
        <v>2.9934120993706101</v>
      </c>
      <c r="R409" s="60">
        <v>0.591872607487541</v>
      </c>
      <c r="S409" s="60">
        <v>0.58695544841912106</v>
      </c>
      <c r="T409" s="60">
        <v>0.35435042584098503</v>
      </c>
      <c r="U409" s="60">
        <v>0.37006821841911303</v>
      </c>
    </row>
    <row r="410" spans="1:21" x14ac:dyDescent="0.25">
      <c r="A410" s="519" t="s">
        <v>1897</v>
      </c>
      <c r="B410" s="519" t="s">
        <v>1898</v>
      </c>
      <c r="C410" s="519" t="s">
        <v>284</v>
      </c>
      <c r="D410" s="519" t="s">
        <v>110</v>
      </c>
      <c r="E410" s="519" t="s">
        <v>1838</v>
      </c>
      <c r="F410" s="519" t="s">
        <v>16</v>
      </c>
      <c r="G410" s="519" t="s">
        <v>56</v>
      </c>
      <c r="H410" s="519" t="s">
        <v>145</v>
      </c>
      <c r="I410" s="881">
        <v>8058.3077603100091</v>
      </c>
      <c r="J410" s="881">
        <v>238.18272291999901</v>
      </c>
      <c r="K410" s="60">
        <v>2.8708852665045199E-2</v>
      </c>
      <c r="L410" s="880">
        <v>3.0122787986148003</v>
      </c>
      <c r="M410">
        <v>0</v>
      </c>
      <c r="N410" s="60">
        <v>0.98677252058738707</v>
      </c>
      <c r="O410" s="881">
        <v>33316.806598970099</v>
      </c>
      <c r="P410" s="60">
        <v>1.7421627980261499E-2</v>
      </c>
      <c r="Q410" s="880">
        <v>3.03181368058334</v>
      </c>
      <c r="R410" s="60">
        <v>0.591872607487541</v>
      </c>
      <c r="S410" s="60">
        <v>0.91758126362311998</v>
      </c>
      <c r="T410" s="60">
        <v>0.30523477502894902</v>
      </c>
      <c r="U410" s="60">
        <v>0.45473994577243998</v>
      </c>
    </row>
    <row r="411" spans="1:21" x14ac:dyDescent="0.25">
      <c r="A411" s="519" t="s">
        <v>1899</v>
      </c>
      <c r="B411" s="519" t="s">
        <v>1900</v>
      </c>
      <c r="C411" s="519" t="s">
        <v>284</v>
      </c>
      <c r="D411" s="519" t="s">
        <v>110</v>
      </c>
      <c r="E411" s="519" t="s">
        <v>1838</v>
      </c>
      <c r="F411" s="519" t="s">
        <v>16</v>
      </c>
      <c r="G411" s="519" t="s">
        <v>57</v>
      </c>
      <c r="H411" s="519" t="s">
        <v>147</v>
      </c>
      <c r="I411" s="881">
        <v>5653.1853394300006</v>
      </c>
      <c r="J411" s="881">
        <v>48.44802293</v>
      </c>
      <c r="K411" s="60">
        <v>8.4972182269444502E-3</v>
      </c>
      <c r="L411" s="880">
        <v>3.5030191251754799</v>
      </c>
      <c r="M411">
        <v>0</v>
      </c>
      <c r="N411" s="60">
        <v>0.99734022518329213</v>
      </c>
      <c r="O411" s="881">
        <v>19712.539653560001</v>
      </c>
      <c r="P411" s="60">
        <v>4.9963880182437401E-2</v>
      </c>
      <c r="Q411" s="880">
        <v>3.0641264269903798</v>
      </c>
      <c r="R411" s="60">
        <v>0.591872607487541</v>
      </c>
      <c r="S411" s="60">
        <v>0.99450179419269102</v>
      </c>
      <c r="T411" s="60">
        <v>0.33972423535717999</v>
      </c>
      <c r="U411" s="60">
        <v>5.3608453259568596E-2</v>
      </c>
    </row>
    <row r="412" spans="1:21" x14ac:dyDescent="0.25">
      <c r="A412" s="519" t="s">
        <v>1899</v>
      </c>
      <c r="B412" s="519" t="s">
        <v>1901</v>
      </c>
      <c r="C412" s="519" t="s">
        <v>284</v>
      </c>
      <c r="D412" s="519" t="s">
        <v>110</v>
      </c>
      <c r="E412" s="519" t="s">
        <v>1838</v>
      </c>
      <c r="F412" s="519" t="s">
        <v>16</v>
      </c>
      <c r="G412" s="519" t="s">
        <v>57</v>
      </c>
      <c r="H412" s="519" t="s">
        <v>149</v>
      </c>
      <c r="I412" s="881">
        <v>8644.4573600000003</v>
      </c>
      <c r="J412" s="881">
        <v>941.57862304999901</v>
      </c>
      <c r="K412" s="60">
        <v>9.8223981707860897E-2</v>
      </c>
      <c r="L412" s="880">
        <v>3.05728730259119</v>
      </c>
      <c r="M412">
        <v>0</v>
      </c>
      <c r="N412" s="60">
        <v>0.98920147371748912</v>
      </c>
      <c r="O412" s="881">
        <v>19712.539653560001</v>
      </c>
      <c r="P412" s="60">
        <v>4.9963880182437401E-2</v>
      </c>
      <c r="Q412" s="880">
        <v>3.0641264269903798</v>
      </c>
      <c r="R412" s="60">
        <v>0.591872607487541</v>
      </c>
      <c r="S412" s="60">
        <v>0.99450179419269102</v>
      </c>
      <c r="T412" s="60">
        <v>0.38941601865505704</v>
      </c>
      <c r="U412" s="60">
        <v>0.89856387947855509</v>
      </c>
    </row>
    <row r="413" spans="1:21" x14ac:dyDescent="0.25">
      <c r="A413" s="519" t="s">
        <v>1902</v>
      </c>
      <c r="B413" s="519" t="s">
        <v>1903</v>
      </c>
      <c r="C413" s="519" t="s">
        <v>284</v>
      </c>
      <c r="D413" s="519" t="s">
        <v>110</v>
      </c>
      <c r="E413" s="519" t="s">
        <v>1838</v>
      </c>
      <c r="F413" s="519" t="s">
        <v>16</v>
      </c>
      <c r="G413" s="519" t="s">
        <v>58</v>
      </c>
      <c r="H413" s="519" t="s">
        <v>151</v>
      </c>
      <c r="I413" s="881">
        <v>4009.4366915999999</v>
      </c>
      <c r="J413" s="881">
        <v>27.703126130000001</v>
      </c>
      <c r="K413" s="60">
        <v>6.8620675480040505E-3</v>
      </c>
      <c r="L413" s="880">
        <v>3.14136344486844</v>
      </c>
      <c r="M413">
        <v>0</v>
      </c>
      <c r="N413" s="60">
        <v>0.99249959475279803</v>
      </c>
      <c r="O413" s="881">
        <v>15958.121385320001</v>
      </c>
      <c r="P413" s="60">
        <v>1.01596419918629E-2</v>
      </c>
      <c r="Q413" s="880">
        <v>3.1612618469694298</v>
      </c>
      <c r="R413" s="60">
        <v>0.591872607487541</v>
      </c>
      <c r="S413" s="60">
        <v>0.88883284710242005</v>
      </c>
      <c r="T413" s="60">
        <v>0.15208458051425</v>
      </c>
      <c r="U413" s="60">
        <v>7.8801759854654804E-2</v>
      </c>
    </row>
    <row r="414" spans="1:21" x14ac:dyDescent="0.25">
      <c r="A414" s="519" t="s">
        <v>1904</v>
      </c>
      <c r="B414" s="519" t="s">
        <v>1905</v>
      </c>
      <c r="C414" s="519" t="s">
        <v>284</v>
      </c>
      <c r="D414" s="519" t="s">
        <v>110</v>
      </c>
      <c r="E414" s="519" t="s">
        <v>1838</v>
      </c>
      <c r="F414" s="519" t="s">
        <v>16</v>
      </c>
      <c r="G414" s="519" t="s">
        <v>59</v>
      </c>
      <c r="H414" s="519" t="s">
        <v>153</v>
      </c>
      <c r="I414" s="881">
        <v>12014.10571276</v>
      </c>
      <c r="J414" s="881">
        <v>126.67764477</v>
      </c>
      <c r="K414" s="60">
        <v>1.0434058580860099E-2</v>
      </c>
      <c r="L414" s="880">
        <v>3.01355175233323</v>
      </c>
      <c r="M414">
        <v>0</v>
      </c>
      <c r="N414" s="60">
        <v>0.41469453756083602</v>
      </c>
      <c r="O414" s="881">
        <v>54436.947122130099</v>
      </c>
      <c r="P414" s="60">
        <v>1.18186956981107E-2</v>
      </c>
      <c r="Q414" s="880">
        <v>3.06387480968601</v>
      </c>
      <c r="R414" s="60">
        <v>0.591872607487541</v>
      </c>
      <c r="S414" s="60">
        <v>0.37622908108368203</v>
      </c>
      <c r="T414" s="60">
        <v>0.24947076773625801</v>
      </c>
      <c r="U414" s="60">
        <v>0.19241834117880502</v>
      </c>
    </row>
    <row r="415" spans="1:21" x14ac:dyDescent="0.25">
      <c r="A415" s="519" t="s">
        <v>1904</v>
      </c>
      <c r="B415" s="519" t="s">
        <v>1906</v>
      </c>
      <c r="C415" s="519" t="s">
        <v>284</v>
      </c>
      <c r="D415" s="519" t="s">
        <v>110</v>
      </c>
      <c r="E415" s="519" t="s">
        <v>1838</v>
      </c>
      <c r="F415" s="519" t="s">
        <v>16</v>
      </c>
      <c r="G415" s="519" t="s">
        <v>59</v>
      </c>
      <c r="H415" s="519" t="s">
        <v>155</v>
      </c>
      <c r="I415" s="881">
        <v>26840.652157100099</v>
      </c>
      <c r="J415" s="881">
        <v>345.81203214999999</v>
      </c>
      <c r="K415" s="60">
        <v>1.2720007638460699E-2</v>
      </c>
      <c r="L415" s="880">
        <v>3.0625549904473601</v>
      </c>
      <c r="M415">
        <v>0</v>
      </c>
      <c r="N415" s="60">
        <v>0.38755480899328104</v>
      </c>
      <c r="O415" s="881">
        <v>54436.947122130099</v>
      </c>
      <c r="P415" s="60">
        <v>1.18186956981107E-2</v>
      </c>
      <c r="Q415" s="880">
        <v>3.06387480968601</v>
      </c>
      <c r="R415" s="60">
        <v>0.591872607487541</v>
      </c>
      <c r="S415" s="60">
        <v>0.37622908108368203</v>
      </c>
      <c r="T415" s="60">
        <v>0.39617880642275605</v>
      </c>
      <c r="U415" s="60">
        <v>0.43751344040208201</v>
      </c>
    </row>
    <row r="416" spans="1:21" x14ac:dyDescent="0.25">
      <c r="A416" s="519" t="s">
        <v>1907</v>
      </c>
      <c r="B416" s="519" t="s">
        <v>1908</v>
      </c>
      <c r="C416" s="519" t="s">
        <v>284</v>
      </c>
      <c r="D416" s="519" t="s">
        <v>110</v>
      </c>
      <c r="E416" s="519" t="s">
        <v>1838</v>
      </c>
      <c r="F416" s="519" t="s">
        <v>17</v>
      </c>
      <c r="G416" s="519" t="s">
        <v>56</v>
      </c>
      <c r="H416" s="519" t="s">
        <v>144</v>
      </c>
      <c r="I416" s="881">
        <v>12431.426723279999</v>
      </c>
      <c r="J416" s="881">
        <v>71.185663409999904</v>
      </c>
      <c r="K416" s="60">
        <v>5.6936631488137997E-3</v>
      </c>
      <c r="L416" s="880">
        <v>2.9624133253293201</v>
      </c>
      <c r="M416">
        <v>0</v>
      </c>
      <c r="N416" s="60">
        <v>0.61743387412131401</v>
      </c>
      <c r="O416" s="881">
        <v>33340.430468400002</v>
      </c>
      <c r="P416" s="60">
        <v>1.17405267906956E-2</v>
      </c>
      <c r="Q416" s="880">
        <v>2.9856043668343899</v>
      </c>
      <c r="R416" s="60">
        <v>0.591872607487541</v>
      </c>
      <c r="S416" s="60">
        <v>0.44282483580178406</v>
      </c>
      <c r="T416" s="60">
        <v>0.38456155684989002</v>
      </c>
      <c r="U416" s="60">
        <v>0.133413789382647</v>
      </c>
    </row>
    <row r="417" spans="1:21" x14ac:dyDescent="0.25">
      <c r="A417" s="519" t="s">
        <v>1907</v>
      </c>
      <c r="B417" s="519" t="s">
        <v>1909</v>
      </c>
      <c r="C417" s="519" t="s">
        <v>284</v>
      </c>
      <c r="D417" s="519" t="s">
        <v>110</v>
      </c>
      <c r="E417" s="519" t="s">
        <v>1838</v>
      </c>
      <c r="F417" s="519" t="s">
        <v>17</v>
      </c>
      <c r="G417" s="519" t="s">
        <v>56</v>
      </c>
      <c r="H417" s="519" t="s">
        <v>146</v>
      </c>
      <c r="I417" s="881">
        <v>8621.2047451199887</v>
      </c>
      <c r="J417" s="881">
        <v>114.34011482</v>
      </c>
      <c r="K417" s="60">
        <v>1.3089065038673001E-2</v>
      </c>
      <c r="L417" s="880">
        <v>2.9814444339931598</v>
      </c>
      <c r="M417">
        <v>0</v>
      </c>
      <c r="N417" s="60">
        <v>0.50999868059145603</v>
      </c>
      <c r="O417" s="881">
        <v>33340.430468400002</v>
      </c>
      <c r="P417" s="60">
        <v>1.17405267906956E-2</v>
      </c>
      <c r="Q417" s="880">
        <v>2.9856043668343899</v>
      </c>
      <c r="R417" s="60">
        <v>0.591872607487541</v>
      </c>
      <c r="S417" s="60">
        <v>0.44282483580178406</v>
      </c>
      <c r="T417" s="60">
        <v>0.31020366812116101</v>
      </c>
      <c r="U417" s="60">
        <v>0.41184626484491305</v>
      </c>
    </row>
    <row r="418" spans="1:21" x14ac:dyDescent="0.25">
      <c r="A418" s="519" t="s">
        <v>1236</v>
      </c>
      <c r="B418" s="519" t="s">
        <v>1238</v>
      </c>
      <c r="C418" s="519" t="s">
        <v>284</v>
      </c>
      <c r="D418" s="519" t="s">
        <v>109</v>
      </c>
      <c r="E418" s="519" t="s">
        <v>2</v>
      </c>
      <c r="F418" s="519" t="s">
        <v>70</v>
      </c>
      <c r="G418" s="519" t="s">
        <v>56</v>
      </c>
      <c r="H418" s="519" t="s">
        <v>145</v>
      </c>
      <c r="I418" s="881">
        <v>36401.623299849998</v>
      </c>
      <c r="J418" s="881">
        <v>0.93924107000000001</v>
      </c>
      <c r="K418" s="60">
        <v>2.5801509686143699E-5</v>
      </c>
      <c r="L418" s="880">
        <v>3.0621000215640501</v>
      </c>
      <c r="M418">
        <v>0</v>
      </c>
      <c r="N418" s="60">
        <v>0.59095420066001902</v>
      </c>
      <c r="O418" s="881">
        <v>79845.050470050104</v>
      </c>
      <c r="P418" s="60">
        <v>3.4981615800567598E-5</v>
      </c>
      <c r="Q418" s="880">
        <v>3.0769756155254999</v>
      </c>
      <c r="R418" s="60">
        <v>0.30817345630374804</v>
      </c>
      <c r="S418" s="60">
        <v>0.52159577411115499</v>
      </c>
      <c r="T418" s="60">
        <v>0.41008061741974106</v>
      </c>
      <c r="U418" s="60">
        <v>1.4221224346659199E-2</v>
      </c>
    </row>
    <row r="419" spans="1:21" x14ac:dyDescent="0.25">
      <c r="A419" s="519" t="s">
        <v>1240</v>
      </c>
      <c r="B419" s="519" t="s">
        <v>1241</v>
      </c>
      <c r="C419" s="519" t="s">
        <v>284</v>
      </c>
      <c r="D419" s="519" t="s">
        <v>109</v>
      </c>
      <c r="E419" s="519" t="s">
        <v>2</v>
      </c>
      <c r="F419" s="519" t="s">
        <v>70</v>
      </c>
      <c r="G419" s="519" t="s">
        <v>57</v>
      </c>
      <c r="H419" s="519" t="s">
        <v>147</v>
      </c>
      <c r="I419" s="881">
        <v>27343.369719049999</v>
      </c>
      <c r="J419" s="881">
        <v>0.42976846999999901</v>
      </c>
      <c r="K419" s="60">
        <v>1.5717218457374598E-5</v>
      </c>
      <c r="L419" s="880">
        <v>3.2192888193271298</v>
      </c>
      <c r="M419">
        <v>0</v>
      </c>
      <c r="N419" s="60">
        <v>0.66719985748464106</v>
      </c>
      <c r="O419" s="881">
        <v>70433.494001009996</v>
      </c>
      <c r="P419" s="60">
        <v>1.52464801349497E-5</v>
      </c>
      <c r="Q419" s="880">
        <v>3.1717546326325099</v>
      </c>
      <c r="R419" s="60">
        <v>0.30817345630374804</v>
      </c>
      <c r="S419" s="60">
        <v>0.58901877793049806</v>
      </c>
      <c r="T419" s="60">
        <v>0.35463048385479701</v>
      </c>
      <c r="U419" s="60">
        <v>0.65344607355885997</v>
      </c>
    </row>
    <row r="420" spans="1:21" x14ac:dyDescent="0.25">
      <c r="A420" s="519" t="s">
        <v>1240</v>
      </c>
      <c r="B420" s="519" t="s">
        <v>1243</v>
      </c>
      <c r="C420" s="519" t="s">
        <v>284</v>
      </c>
      <c r="D420" s="519" t="s">
        <v>109</v>
      </c>
      <c r="E420" s="519" t="s">
        <v>2</v>
      </c>
      <c r="F420" s="519" t="s">
        <v>70</v>
      </c>
      <c r="G420" s="519" t="s">
        <v>57</v>
      </c>
      <c r="H420" s="519" t="s">
        <v>149</v>
      </c>
      <c r="I420" s="881">
        <v>35311.338192119998</v>
      </c>
      <c r="J420" s="881">
        <v>0.53577790999999997</v>
      </c>
      <c r="K420" s="60">
        <v>1.5172740774242899E-5</v>
      </c>
      <c r="L420" s="880">
        <v>3.1394643498960799</v>
      </c>
      <c r="M420">
        <v>0</v>
      </c>
      <c r="N420" s="60">
        <v>0.51028183760566204</v>
      </c>
      <c r="O420" s="881">
        <v>70433.494001009996</v>
      </c>
      <c r="P420" s="60">
        <v>1.52464801349497E-5</v>
      </c>
      <c r="Q420" s="880">
        <v>3.1717546326325099</v>
      </c>
      <c r="R420" s="60">
        <v>0.30817345630374804</v>
      </c>
      <c r="S420" s="60">
        <v>0.58901877793049806</v>
      </c>
      <c r="T420" s="60">
        <v>0.50692084052543307</v>
      </c>
      <c r="U420" s="60">
        <v>0.84636666207783706</v>
      </c>
    </row>
    <row r="421" spans="1:21" x14ac:dyDescent="0.25">
      <c r="A421" s="519" t="s">
        <v>1244</v>
      </c>
      <c r="B421" s="519" t="s">
        <v>1246</v>
      </c>
      <c r="C421" s="519" t="s">
        <v>284</v>
      </c>
      <c r="D421" s="519" t="s">
        <v>109</v>
      </c>
      <c r="E421" s="519" t="s">
        <v>2</v>
      </c>
      <c r="F421" s="519" t="s">
        <v>70</v>
      </c>
      <c r="G421" s="519" t="s">
        <v>58</v>
      </c>
      <c r="H421" s="519" t="s">
        <v>151</v>
      </c>
      <c r="I421" s="881">
        <v>3750.3227226200001</v>
      </c>
      <c r="J421" s="881">
        <v>-1.0357710000000001E-2</v>
      </c>
      <c r="K421" s="60">
        <v>-2.7618259473297399E-6</v>
      </c>
      <c r="L421" s="880">
        <v>3.0822789245025799</v>
      </c>
      <c r="M421">
        <v>0</v>
      </c>
      <c r="N421" s="60">
        <v>0.54108821591288203</v>
      </c>
      <c r="O421" s="881">
        <v>15780.705688940001</v>
      </c>
      <c r="P421" s="60">
        <v>-1.4307844334862001E-5</v>
      </c>
      <c r="Q421" s="880">
        <v>3.3556258711978399</v>
      </c>
      <c r="R421" s="60">
        <v>0.30817345630374804</v>
      </c>
      <c r="S421" s="60">
        <v>0.26901383968305603</v>
      </c>
      <c r="T421" s="60">
        <v>0.29239385481211999</v>
      </c>
      <c r="U421" s="60">
        <v>0.42795685529903105</v>
      </c>
    </row>
    <row r="422" spans="1:21" x14ac:dyDescent="0.25">
      <c r="A422" s="519" t="s">
        <v>1248</v>
      </c>
      <c r="B422" s="519" t="s">
        <v>1249</v>
      </c>
      <c r="C422" s="519" t="s">
        <v>284</v>
      </c>
      <c r="D422" s="519" t="s">
        <v>109</v>
      </c>
      <c r="E422" s="519" t="s">
        <v>2</v>
      </c>
      <c r="F422" s="519" t="s">
        <v>70</v>
      </c>
      <c r="G422" s="519" t="s">
        <v>59</v>
      </c>
      <c r="H422" s="519" t="s">
        <v>153</v>
      </c>
      <c r="I422" s="881">
        <v>4263.3877965800002</v>
      </c>
      <c r="J422" s="881">
        <v>-0.31881962000000003</v>
      </c>
      <c r="K422" s="60">
        <v>-7.4786408975101898E-5</v>
      </c>
      <c r="L422" s="880">
        <v>3.47788363898451</v>
      </c>
      <c r="M422">
        <v>0</v>
      </c>
      <c r="N422" s="60">
        <v>0.10532859314843999</v>
      </c>
      <c r="O422" s="881">
        <v>24087.269176050002</v>
      </c>
      <c r="P422" s="60">
        <v>-9.7162667494142494E-5</v>
      </c>
      <c r="Q422" s="880">
        <v>3.8937360517928399</v>
      </c>
      <c r="R422" s="60">
        <v>0.30817345630374804</v>
      </c>
      <c r="S422" s="60">
        <v>9.0885319698120901E-2</v>
      </c>
      <c r="T422" s="60">
        <v>0.25617045169562502</v>
      </c>
      <c r="U422" s="60">
        <v>1.8024248214465199</v>
      </c>
    </row>
    <row r="423" spans="1:21" x14ac:dyDescent="0.25">
      <c r="A423" s="519" t="s">
        <v>1248</v>
      </c>
      <c r="B423" s="519" t="s">
        <v>1251</v>
      </c>
      <c r="C423" s="519" t="s">
        <v>284</v>
      </c>
      <c r="D423" s="519" t="s">
        <v>109</v>
      </c>
      <c r="E423" s="519" t="s">
        <v>2</v>
      </c>
      <c r="F423" s="519" t="s">
        <v>70</v>
      </c>
      <c r="G423" s="519" t="s">
        <v>59</v>
      </c>
      <c r="H423" s="519" t="s">
        <v>155</v>
      </c>
      <c r="I423" s="881">
        <v>11817.76182924</v>
      </c>
      <c r="J423" s="881">
        <v>-1.3026949800000001</v>
      </c>
      <c r="K423" s="60">
        <v>-1.1024410656344901E-4</v>
      </c>
      <c r="L423" s="880">
        <v>4.0778074534393101</v>
      </c>
      <c r="M423">
        <v>0</v>
      </c>
      <c r="N423" s="60">
        <v>9.8817841414824095E-2</v>
      </c>
      <c r="O423" s="881">
        <v>24087.269176050002</v>
      </c>
      <c r="P423" s="60">
        <v>-9.7162667494142494E-5</v>
      </c>
      <c r="Q423" s="880">
        <v>3.8937360517928399</v>
      </c>
      <c r="R423" s="60">
        <v>0.30817345630374804</v>
      </c>
      <c r="S423" s="60">
        <v>9.0885319698120901E-2</v>
      </c>
      <c r="T423" s="60">
        <v>0.46444128332241202</v>
      </c>
      <c r="U423" s="60">
        <v>-0.53132226125337001</v>
      </c>
    </row>
    <row r="424" spans="1:21" x14ac:dyDescent="0.25">
      <c r="A424" s="519" t="s">
        <v>1252</v>
      </c>
      <c r="B424" s="519" t="s">
        <v>1254</v>
      </c>
      <c r="C424" s="519" t="s">
        <v>284</v>
      </c>
      <c r="D424" s="519" t="s">
        <v>109</v>
      </c>
      <c r="E424" s="519" t="s">
        <v>2</v>
      </c>
      <c r="F424" s="519" t="s">
        <v>16</v>
      </c>
      <c r="G424" s="519" t="s">
        <v>56</v>
      </c>
      <c r="H424" s="519" t="s">
        <v>145</v>
      </c>
      <c r="I424" s="881">
        <v>8719.66695119</v>
      </c>
      <c r="J424" s="881">
        <v>-0.27309962999999998</v>
      </c>
      <c r="K424" s="60">
        <v>-3.1320942103233301E-5</v>
      </c>
      <c r="L424" s="880">
        <v>3.17276866742325</v>
      </c>
      <c r="M424">
        <v>0</v>
      </c>
      <c r="N424" s="60">
        <v>0.18820329178811501</v>
      </c>
      <c r="O424" s="881">
        <v>29887.084088560001</v>
      </c>
      <c r="P424" s="60">
        <v>-2.88541879710272E-5</v>
      </c>
      <c r="Q424" s="880">
        <v>3.09166173430566</v>
      </c>
      <c r="R424" s="60">
        <v>0.30817345630374804</v>
      </c>
      <c r="S424" s="60">
        <v>0.320320588917688</v>
      </c>
      <c r="T424" s="60">
        <v>0.41008061741974106</v>
      </c>
      <c r="U424" s="60">
        <v>1.4221224346659199E-2</v>
      </c>
    </row>
    <row r="425" spans="1:21" x14ac:dyDescent="0.25">
      <c r="A425" s="519" t="s">
        <v>1256</v>
      </c>
      <c r="B425" s="519" t="s">
        <v>1257</v>
      </c>
      <c r="C425" s="519" t="s">
        <v>284</v>
      </c>
      <c r="D425" s="519" t="s">
        <v>109</v>
      </c>
      <c r="E425" s="519" t="s">
        <v>2</v>
      </c>
      <c r="F425" s="519" t="s">
        <v>16</v>
      </c>
      <c r="G425" s="519" t="s">
        <v>57</v>
      </c>
      <c r="H425" s="519" t="s">
        <v>147</v>
      </c>
      <c r="I425" s="881">
        <v>6897.5739672099999</v>
      </c>
      <c r="J425" s="881">
        <v>-0.201455</v>
      </c>
      <c r="K425" s="60">
        <v>-2.9207498890827799E-5</v>
      </c>
      <c r="L425" s="880">
        <v>3.1851256178396299</v>
      </c>
      <c r="M425">
        <v>0</v>
      </c>
      <c r="N425" s="60">
        <v>0.48282473546667604</v>
      </c>
      <c r="O425" s="881">
        <v>26120.370500609999</v>
      </c>
      <c r="P425" s="60">
        <v>-2.7736981559100201E-5</v>
      </c>
      <c r="Q425" s="880">
        <v>3.18828624282198</v>
      </c>
      <c r="R425" s="60">
        <v>0.30817345630374804</v>
      </c>
      <c r="S425" s="60">
        <v>0.35912842944440404</v>
      </c>
      <c r="T425" s="60">
        <v>0.35463048385479701</v>
      </c>
      <c r="U425" s="60">
        <v>0.65344607355885997</v>
      </c>
    </row>
    <row r="426" spans="1:21" x14ac:dyDescent="0.25">
      <c r="A426" s="519" t="s">
        <v>1256</v>
      </c>
      <c r="B426" s="519" t="s">
        <v>1259</v>
      </c>
      <c r="C426" s="519" t="s">
        <v>284</v>
      </c>
      <c r="D426" s="519" t="s">
        <v>109</v>
      </c>
      <c r="E426" s="519" t="s">
        <v>2</v>
      </c>
      <c r="F426" s="519" t="s">
        <v>16</v>
      </c>
      <c r="G426" s="519" t="s">
        <v>57</v>
      </c>
      <c r="H426" s="519" t="s">
        <v>149</v>
      </c>
      <c r="I426" s="881">
        <v>13633.827957020001</v>
      </c>
      <c r="J426" s="881">
        <v>-0.24005815999999999</v>
      </c>
      <c r="K426" s="60">
        <v>-1.7607849216278098E-5</v>
      </c>
      <c r="L426" s="880">
        <v>3.16160105864954</v>
      </c>
      <c r="M426">
        <v>0</v>
      </c>
      <c r="N426" s="60">
        <v>0.31789063482412605</v>
      </c>
      <c r="O426" s="881">
        <v>26120.370500609999</v>
      </c>
      <c r="P426" s="60">
        <v>-2.7736981559100201E-5</v>
      </c>
      <c r="Q426" s="880">
        <v>3.18828624282198</v>
      </c>
      <c r="R426" s="60">
        <v>0.30817345630374804</v>
      </c>
      <c r="S426" s="60">
        <v>0.35912842944440404</v>
      </c>
      <c r="T426" s="60">
        <v>0.50692084052543307</v>
      </c>
      <c r="U426" s="60">
        <v>0.84636666207783706</v>
      </c>
    </row>
    <row r="427" spans="1:21" x14ac:dyDescent="0.25">
      <c r="A427" s="519" t="s">
        <v>1260</v>
      </c>
      <c r="B427" s="519" t="s">
        <v>1262</v>
      </c>
      <c r="C427" s="519" t="s">
        <v>284</v>
      </c>
      <c r="D427" s="519" t="s">
        <v>109</v>
      </c>
      <c r="E427" s="519" t="s">
        <v>2</v>
      </c>
      <c r="F427" s="519" t="s">
        <v>16</v>
      </c>
      <c r="G427" s="519" t="s">
        <v>58</v>
      </c>
      <c r="H427" s="519" t="s">
        <v>151</v>
      </c>
      <c r="I427" s="881">
        <v>7464.3750956400099</v>
      </c>
      <c r="J427" s="881">
        <v>-0.50131381000000108</v>
      </c>
      <c r="K427" s="60">
        <v>-6.7165365419280594E-5</v>
      </c>
      <c r="L427" s="880">
        <v>3.3724760214630098</v>
      </c>
      <c r="M427">
        <v>0</v>
      </c>
      <c r="N427" s="60">
        <v>0.37881247744524804</v>
      </c>
      <c r="O427" s="881">
        <v>22574.060095950001</v>
      </c>
      <c r="P427" s="60">
        <v>-4.2963992460809005E-5</v>
      </c>
      <c r="Q427" s="880">
        <v>3.3265667753906198</v>
      </c>
      <c r="R427" s="60">
        <v>0.30817345630374804</v>
      </c>
      <c r="S427" s="60">
        <v>0.327640012275281</v>
      </c>
      <c r="T427" s="60">
        <v>0.29239385481211999</v>
      </c>
      <c r="U427" s="60">
        <v>0.42795685529903105</v>
      </c>
    </row>
    <row r="428" spans="1:21" x14ac:dyDescent="0.25">
      <c r="A428" s="519" t="s">
        <v>1264</v>
      </c>
      <c r="B428" s="519" t="s">
        <v>1265</v>
      </c>
      <c r="C428" s="519" t="s">
        <v>284</v>
      </c>
      <c r="D428" s="519" t="s">
        <v>109</v>
      </c>
      <c r="E428" s="519" t="s">
        <v>2</v>
      </c>
      <c r="F428" s="519" t="s">
        <v>16</v>
      </c>
      <c r="G428" s="519" t="s">
        <v>59</v>
      </c>
      <c r="H428" s="519" t="s">
        <v>153</v>
      </c>
      <c r="I428" s="881">
        <v>5120.5176489200003</v>
      </c>
      <c r="J428" s="881">
        <v>6.3306736063970197</v>
      </c>
      <c r="K428" s="60">
        <v>1.2348080551908001E-3</v>
      </c>
      <c r="L428" s="880">
        <v>3.2876052636397501</v>
      </c>
      <c r="M428">
        <v>0</v>
      </c>
      <c r="N428" s="60">
        <v>1.1158470056645799E-2</v>
      </c>
      <c r="O428" s="881">
        <v>12544.22123741</v>
      </c>
      <c r="P428" s="60">
        <v>4.5224129604282603E-4</v>
      </c>
      <c r="Q428" s="880">
        <v>3.4985794967536901</v>
      </c>
      <c r="R428" s="60">
        <v>0.30817345630374804</v>
      </c>
      <c r="S428" s="60">
        <v>0.14794419284677501</v>
      </c>
      <c r="T428" s="60">
        <v>0.25617045169562502</v>
      </c>
      <c r="U428" s="60">
        <v>1.8024248214465199</v>
      </c>
    </row>
    <row r="429" spans="1:21" x14ac:dyDescent="0.25">
      <c r="A429" s="519" t="s">
        <v>1264</v>
      </c>
      <c r="B429" s="519" t="s">
        <v>1267</v>
      </c>
      <c r="C429" s="519" t="s">
        <v>284</v>
      </c>
      <c r="D429" s="519" t="s">
        <v>109</v>
      </c>
      <c r="E429" s="519" t="s">
        <v>2</v>
      </c>
      <c r="F429" s="519" t="s">
        <v>16</v>
      </c>
      <c r="G429" s="519" t="s">
        <v>59</v>
      </c>
      <c r="H429" s="519" t="s">
        <v>155</v>
      </c>
      <c r="I429" s="881">
        <v>5195.4145884</v>
      </c>
      <c r="J429" s="881">
        <v>-0.46949092000000003</v>
      </c>
      <c r="K429" s="60">
        <v>-9.0374568198563597E-5</v>
      </c>
      <c r="L429" s="880">
        <v>3.7575314908926898</v>
      </c>
      <c r="M429">
        <v>0</v>
      </c>
      <c r="N429" s="60">
        <v>0.27469593841393702</v>
      </c>
      <c r="O429" s="881">
        <v>12544.22123741</v>
      </c>
      <c r="P429" s="60">
        <v>4.5224129604282603E-4</v>
      </c>
      <c r="Q429" s="880">
        <v>3.4985794967536901</v>
      </c>
      <c r="R429" s="60">
        <v>0.30817345630374804</v>
      </c>
      <c r="S429" s="60">
        <v>0.14794419284677501</v>
      </c>
      <c r="T429" s="60">
        <v>0.46444128332241202</v>
      </c>
      <c r="U429" s="60">
        <v>-0.53132226125337001</v>
      </c>
    </row>
    <row r="430" spans="1:21" x14ac:dyDescent="0.25">
      <c r="A430" s="519" t="s">
        <v>1268</v>
      </c>
      <c r="B430" s="519" t="s">
        <v>1779</v>
      </c>
      <c r="C430" s="519" t="s">
        <v>284</v>
      </c>
      <c r="D430" s="519" t="s">
        <v>109</v>
      </c>
      <c r="E430" s="519" t="s">
        <v>2</v>
      </c>
      <c r="F430" s="519" t="s">
        <v>17</v>
      </c>
      <c r="G430" s="519" t="s">
        <v>56</v>
      </c>
      <c r="H430" s="519" t="s">
        <v>145</v>
      </c>
      <c r="I430" s="881">
        <v>9999.959805980001</v>
      </c>
      <c r="J430" s="881">
        <v>-0.32954836386499997</v>
      </c>
      <c r="K430" s="60">
        <v>-3.2956054911530598E-5</v>
      </c>
      <c r="L430" s="880">
        <v>3.4565205902465901</v>
      </c>
      <c r="M430">
        <v>0</v>
      </c>
      <c r="N430" s="60">
        <v>0.40169905442998305</v>
      </c>
      <c r="O430" s="881">
        <v>24683.508891810001</v>
      </c>
      <c r="P430" s="60">
        <v>8.7987373368021704E-4</v>
      </c>
      <c r="Q430" s="880">
        <v>3.3030174349955699</v>
      </c>
      <c r="R430" s="60">
        <v>0.30817345630374804</v>
      </c>
      <c r="S430" s="60">
        <v>0.332026404394202</v>
      </c>
      <c r="T430" s="60">
        <v>0.41008061741974106</v>
      </c>
      <c r="U430" s="60">
        <v>1.4221224346659199E-2</v>
      </c>
    </row>
    <row r="431" spans="1:21" x14ac:dyDescent="0.25">
      <c r="A431" s="519" t="s">
        <v>1910</v>
      </c>
      <c r="B431" s="519" t="s">
        <v>1911</v>
      </c>
      <c r="C431" s="519" t="s">
        <v>284</v>
      </c>
      <c r="D431" s="519" t="s">
        <v>109</v>
      </c>
      <c r="E431" s="519" t="s">
        <v>2</v>
      </c>
      <c r="F431" s="519" t="s">
        <v>17</v>
      </c>
      <c r="G431" s="519" t="s">
        <v>57</v>
      </c>
      <c r="H431" s="519" t="s">
        <v>149</v>
      </c>
      <c r="I431" s="881">
        <v>21003.642138850002</v>
      </c>
      <c r="J431" s="881">
        <v>-0.27074660572600001</v>
      </c>
      <c r="K431" s="60">
        <v>-1.28906260175914E-5</v>
      </c>
      <c r="L431" s="880">
        <v>3.2883981891952101</v>
      </c>
      <c r="M431">
        <v>0</v>
      </c>
      <c r="N431" s="60">
        <v>0.32979377551036804</v>
      </c>
      <c r="O431" s="881">
        <v>21003.642138850002</v>
      </c>
      <c r="P431" s="60">
        <v>-1.28906260175915E-5</v>
      </c>
      <c r="Q431" s="880">
        <v>3.2883981891952101</v>
      </c>
      <c r="R431" s="60">
        <v>0.30817345630374804</v>
      </c>
      <c r="S431" s="60">
        <v>0.32979377551036804</v>
      </c>
      <c r="T431" s="60">
        <v>0.50692084052543307</v>
      </c>
      <c r="U431" s="60">
        <v>0.84636666207783706</v>
      </c>
    </row>
    <row r="432" spans="1:21" x14ac:dyDescent="0.25">
      <c r="A432" s="519" t="s">
        <v>1271</v>
      </c>
      <c r="B432" s="519" t="s">
        <v>1273</v>
      </c>
      <c r="C432" s="519" t="s">
        <v>284</v>
      </c>
      <c r="D432" s="519" t="s">
        <v>109</v>
      </c>
      <c r="E432" s="519" t="s">
        <v>285</v>
      </c>
      <c r="F432" s="519" t="s">
        <v>70</v>
      </c>
      <c r="G432" s="519" t="s">
        <v>56</v>
      </c>
      <c r="H432" s="519" t="s">
        <v>145</v>
      </c>
      <c r="I432" s="881">
        <v>131785.9327</v>
      </c>
      <c r="J432" s="881">
        <v>15.7849873299999</v>
      </c>
      <c r="K432" s="60">
        <v>1.1976313819707801E-4</v>
      </c>
      <c r="L432" s="880">
        <v>2.96871879225059</v>
      </c>
      <c r="M432">
        <v>0</v>
      </c>
      <c r="N432" s="60">
        <v>2.6204617816541803E-3</v>
      </c>
      <c r="O432" s="881">
        <v>549348.54930000403</v>
      </c>
      <c r="P432" s="60">
        <v>4.68639794154115E-5</v>
      </c>
      <c r="Q432" s="880">
        <v>2.9418536788282101</v>
      </c>
      <c r="R432" s="60">
        <v>0.70090443375016709</v>
      </c>
      <c r="S432" s="60">
        <v>8.6735741926896211E-3</v>
      </c>
      <c r="T432" s="60">
        <v>0.26823471307180502</v>
      </c>
      <c r="U432" s="60">
        <v>7.2586086315488504E-2</v>
      </c>
    </row>
    <row r="433" spans="1:21" x14ac:dyDescent="0.25">
      <c r="A433" s="519" t="s">
        <v>1275</v>
      </c>
      <c r="B433" s="519" t="s">
        <v>1276</v>
      </c>
      <c r="C433" s="519" t="s">
        <v>284</v>
      </c>
      <c r="D433" s="519" t="s">
        <v>109</v>
      </c>
      <c r="E433" s="519" t="s">
        <v>285</v>
      </c>
      <c r="F433" s="519" t="s">
        <v>70</v>
      </c>
      <c r="G433" s="519" t="s">
        <v>57</v>
      </c>
      <c r="H433" s="519" t="s">
        <v>147</v>
      </c>
      <c r="I433" s="881">
        <v>171340.56541676002</v>
      </c>
      <c r="J433" s="881">
        <v>2.1371422100000101</v>
      </c>
      <c r="K433" s="60">
        <v>1.24729105942781E-5</v>
      </c>
      <c r="L433" s="880">
        <v>2.9892342059482999</v>
      </c>
      <c r="M433">
        <v>0</v>
      </c>
      <c r="N433" s="60">
        <v>0.13181092664802602</v>
      </c>
      <c r="O433" s="881">
        <v>590238.28005029005</v>
      </c>
      <c r="P433" s="60">
        <v>1.71297387620525E-5</v>
      </c>
      <c r="Q433" s="880">
        <v>3.13924883208476</v>
      </c>
      <c r="R433" s="60">
        <v>0.70090443375016709</v>
      </c>
      <c r="S433" s="60">
        <v>0.11791184332203999</v>
      </c>
      <c r="T433" s="60">
        <v>0.29783141622005205</v>
      </c>
      <c r="U433" s="60">
        <v>0.31284301567644501</v>
      </c>
    </row>
    <row r="434" spans="1:21" x14ac:dyDescent="0.25">
      <c r="A434" s="519" t="s">
        <v>1275</v>
      </c>
      <c r="B434" s="519" t="s">
        <v>1278</v>
      </c>
      <c r="C434" s="519" t="s">
        <v>284</v>
      </c>
      <c r="D434" s="519" t="s">
        <v>109</v>
      </c>
      <c r="E434" s="519" t="s">
        <v>285</v>
      </c>
      <c r="F434" s="519" t="s">
        <v>70</v>
      </c>
      <c r="G434" s="519" t="s">
        <v>57</v>
      </c>
      <c r="H434" s="519" t="s">
        <v>149</v>
      </c>
      <c r="I434" s="881">
        <v>187920.54147141101</v>
      </c>
      <c r="J434" s="881">
        <v>3.5282372799999999</v>
      </c>
      <c r="K434" s="60">
        <v>1.8774802426689101E-5</v>
      </c>
      <c r="L434" s="880">
        <v>3.0058141708039199</v>
      </c>
      <c r="M434">
        <v>0</v>
      </c>
      <c r="N434" s="60">
        <v>7.8992342177549198E-3</v>
      </c>
      <c r="O434" s="881">
        <v>590238.28005029005</v>
      </c>
      <c r="P434" s="60">
        <v>1.71297387620525E-5</v>
      </c>
      <c r="Q434" s="880">
        <v>3.13924883208476</v>
      </c>
      <c r="R434" s="60">
        <v>0.70090443375016709</v>
      </c>
      <c r="S434" s="60">
        <v>0.11791184332203999</v>
      </c>
      <c r="T434" s="60">
        <v>0.37578789244078903</v>
      </c>
      <c r="U434" s="60">
        <v>0.17863142093921902</v>
      </c>
    </row>
    <row r="435" spans="1:21" x14ac:dyDescent="0.25">
      <c r="A435" s="519" t="s">
        <v>1279</v>
      </c>
      <c r="B435" s="519" t="s">
        <v>1281</v>
      </c>
      <c r="C435" s="519" t="s">
        <v>284</v>
      </c>
      <c r="D435" s="519" t="s">
        <v>109</v>
      </c>
      <c r="E435" s="519" t="s">
        <v>285</v>
      </c>
      <c r="F435" s="519" t="s">
        <v>70</v>
      </c>
      <c r="G435" s="519" t="s">
        <v>58</v>
      </c>
      <c r="H435" s="519" t="s">
        <v>151</v>
      </c>
      <c r="I435" s="881">
        <v>292078.41717814904</v>
      </c>
      <c r="J435" s="881">
        <v>5.0818298500000401</v>
      </c>
      <c r="K435" s="60">
        <v>1.7398551671900099E-5</v>
      </c>
      <c r="L435" s="880">
        <v>3.1728412673997699</v>
      </c>
      <c r="M435">
        <v>0</v>
      </c>
      <c r="N435" s="60">
        <v>0.23821810037255101</v>
      </c>
      <c r="O435" s="881">
        <v>826586.3903942561</v>
      </c>
      <c r="P435" s="60">
        <v>2.1543270319201303E-3</v>
      </c>
      <c r="Q435" s="880">
        <v>3.1745621672092401</v>
      </c>
      <c r="R435" s="60">
        <v>0.70090443375016709</v>
      </c>
      <c r="S435" s="60">
        <v>0.16970794442077802</v>
      </c>
      <c r="T435" s="60">
        <v>0.25412890181410103</v>
      </c>
      <c r="U435" s="60">
        <v>2.5363458351670403E-3</v>
      </c>
    </row>
    <row r="436" spans="1:21" x14ac:dyDescent="0.25">
      <c r="A436" s="519" t="s">
        <v>1283</v>
      </c>
      <c r="B436" s="519" t="s">
        <v>1284</v>
      </c>
      <c r="C436" s="519" t="s">
        <v>284</v>
      </c>
      <c r="D436" s="519" t="s">
        <v>109</v>
      </c>
      <c r="E436" s="519" t="s">
        <v>285</v>
      </c>
      <c r="F436" s="519" t="s">
        <v>70</v>
      </c>
      <c r="G436" s="519" t="s">
        <v>59</v>
      </c>
      <c r="H436" s="519" t="s">
        <v>153</v>
      </c>
      <c r="I436" s="881">
        <v>140111.98346052101</v>
      </c>
      <c r="J436" s="881">
        <v>-2.3468609799999798</v>
      </c>
      <c r="K436" s="60">
        <v>-1.67501753409565E-5</v>
      </c>
      <c r="L436" s="880">
        <v>3.0706356486909998</v>
      </c>
      <c r="M436">
        <v>0</v>
      </c>
      <c r="N436" s="60">
        <v>0.12618389493416601</v>
      </c>
      <c r="O436" s="881">
        <v>546049.33466230205</v>
      </c>
      <c r="P436" s="60">
        <v>-1.7568001127086199E-5</v>
      </c>
      <c r="Q436" s="880">
        <v>3.05037840562365</v>
      </c>
      <c r="R436" s="60">
        <v>0.70090443375016709</v>
      </c>
      <c r="S436" s="60">
        <v>9.6140687970010102E-2</v>
      </c>
      <c r="T436" s="60">
        <v>0.31932910026619704</v>
      </c>
      <c r="U436" s="60">
        <v>1.01311208709788</v>
      </c>
    </row>
    <row r="437" spans="1:21" x14ac:dyDescent="0.25">
      <c r="A437" s="519" t="s">
        <v>1283</v>
      </c>
      <c r="B437" s="519" t="s">
        <v>1286</v>
      </c>
      <c r="C437" s="519" t="s">
        <v>284</v>
      </c>
      <c r="D437" s="519" t="s">
        <v>109</v>
      </c>
      <c r="E437" s="519" t="s">
        <v>285</v>
      </c>
      <c r="F437" s="519" t="s">
        <v>70</v>
      </c>
      <c r="G437" s="519" t="s">
        <v>59</v>
      </c>
      <c r="H437" s="519" t="s">
        <v>155</v>
      </c>
      <c r="I437" s="881">
        <v>205817.14836639102</v>
      </c>
      <c r="J437" s="881">
        <v>-4.6506495799999898</v>
      </c>
      <c r="K437" s="60">
        <v>-2.2596536321128298E-5</v>
      </c>
      <c r="L437" s="880">
        <v>2.8359797216031999</v>
      </c>
      <c r="M437">
        <v>0</v>
      </c>
      <c r="N437" s="60">
        <v>7.2322864825148298E-2</v>
      </c>
      <c r="O437" s="881">
        <v>546049.33466230205</v>
      </c>
      <c r="P437" s="60">
        <v>-1.7568001127086199E-5</v>
      </c>
      <c r="Q437" s="880">
        <v>3.05037840562365</v>
      </c>
      <c r="R437" s="60">
        <v>0.70090443375016709</v>
      </c>
      <c r="S437" s="60">
        <v>9.6140687970010102E-2</v>
      </c>
      <c r="T437" s="60">
        <v>0.32363890764210801</v>
      </c>
      <c r="U437" s="60">
        <v>-8.5081295021970701E-3</v>
      </c>
    </row>
    <row r="438" spans="1:21" x14ac:dyDescent="0.25">
      <c r="A438" s="519" t="s">
        <v>1287</v>
      </c>
      <c r="B438" s="519" t="s">
        <v>1288</v>
      </c>
      <c r="C438" s="519" t="s">
        <v>284</v>
      </c>
      <c r="D438" s="519" t="s">
        <v>109</v>
      </c>
      <c r="E438" s="519" t="s">
        <v>285</v>
      </c>
      <c r="F438" s="519" t="s">
        <v>16</v>
      </c>
      <c r="G438" s="519" t="s">
        <v>56</v>
      </c>
      <c r="H438" s="519" t="s">
        <v>144</v>
      </c>
      <c r="I438" s="881">
        <v>79948.3028873804</v>
      </c>
      <c r="J438" s="881">
        <v>6.2970090000001602E-2</v>
      </c>
      <c r="K438" s="60">
        <v>7.8763448539102295E-7</v>
      </c>
      <c r="L438" s="880">
        <v>3.4550419492009401</v>
      </c>
      <c r="M438">
        <v>0</v>
      </c>
      <c r="N438" s="60">
        <v>0.13061098888752301</v>
      </c>
      <c r="O438" s="881">
        <v>349204.17238735105</v>
      </c>
      <c r="P438" s="60">
        <v>4.2558246799048898E-6</v>
      </c>
      <c r="Q438" s="880">
        <v>3.12401284977736</v>
      </c>
      <c r="R438" s="60">
        <v>0.70090443375016709</v>
      </c>
      <c r="S438" s="60">
        <v>9.3599433989935601E-2</v>
      </c>
      <c r="T438" s="60">
        <v>0.39633574736397303</v>
      </c>
      <c r="U438" s="60">
        <v>0.54056841923092402</v>
      </c>
    </row>
    <row r="439" spans="1:21" x14ac:dyDescent="0.25">
      <c r="A439" s="519" t="s">
        <v>1287</v>
      </c>
      <c r="B439" s="519" t="s">
        <v>1290</v>
      </c>
      <c r="C439" s="519" t="s">
        <v>284</v>
      </c>
      <c r="D439" s="519" t="s">
        <v>109</v>
      </c>
      <c r="E439" s="519" t="s">
        <v>285</v>
      </c>
      <c r="F439" s="519" t="s">
        <v>16</v>
      </c>
      <c r="G439" s="519" t="s">
        <v>56</v>
      </c>
      <c r="H439" s="519" t="s">
        <v>146</v>
      </c>
      <c r="I439" s="881">
        <v>132997.40692604001</v>
      </c>
      <c r="J439" s="881">
        <v>2.7726734999999998</v>
      </c>
      <c r="K439" s="60">
        <v>2.08471410215269E-5</v>
      </c>
      <c r="L439" s="880">
        <v>3.0745017642610701</v>
      </c>
      <c r="M439">
        <v>0</v>
      </c>
      <c r="N439" s="60">
        <v>7.9964306068870492E-2</v>
      </c>
      <c r="O439" s="881">
        <v>349204.17238735105</v>
      </c>
      <c r="P439" s="60">
        <v>4.2558246799048898E-6</v>
      </c>
      <c r="Q439" s="880">
        <v>3.12401284977736</v>
      </c>
      <c r="R439" s="60">
        <v>0.70090443375016709</v>
      </c>
      <c r="S439" s="60">
        <v>9.3599433989935601E-2</v>
      </c>
      <c r="T439" s="60">
        <v>0.335429539564223</v>
      </c>
      <c r="U439" s="60">
        <v>0.38684549445358801</v>
      </c>
    </row>
    <row r="440" spans="1:21" x14ac:dyDescent="0.25">
      <c r="A440" s="519" t="s">
        <v>1291</v>
      </c>
      <c r="B440" s="519" t="s">
        <v>1293</v>
      </c>
      <c r="C440" s="519" t="s">
        <v>284</v>
      </c>
      <c r="D440" s="519" t="s">
        <v>109</v>
      </c>
      <c r="E440" s="519" t="s">
        <v>285</v>
      </c>
      <c r="F440" s="519" t="s">
        <v>16</v>
      </c>
      <c r="G440" s="519" t="s">
        <v>57</v>
      </c>
      <c r="H440" s="519" t="s">
        <v>148</v>
      </c>
      <c r="I440" s="881">
        <v>141667.7237</v>
      </c>
      <c r="J440" s="881">
        <v>-0.148920379999986</v>
      </c>
      <c r="K440" s="60">
        <v>-1.05119594396706E-6</v>
      </c>
      <c r="L440" s="880">
        <v>2.7161009095005899</v>
      </c>
      <c r="M440">
        <v>0</v>
      </c>
      <c r="N440" s="60">
        <v>0.154332330109995</v>
      </c>
      <c r="O440" s="881">
        <v>551510.93107226898</v>
      </c>
      <c r="P440" s="60">
        <v>-3.0133000527486397E-6</v>
      </c>
      <c r="Q440" s="880">
        <v>3.0700520396412698</v>
      </c>
      <c r="R440" s="60">
        <v>0.70090443375016709</v>
      </c>
      <c r="S440" s="60">
        <v>9.0734984894510901E-2</v>
      </c>
      <c r="T440" s="60">
        <v>0.32638069133915804</v>
      </c>
      <c r="U440" s="60">
        <v>0.50852556338433608</v>
      </c>
    </row>
    <row r="441" spans="1:21" x14ac:dyDescent="0.25">
      <c r="A441" s="519" t="s">
        <v>1295</v>
      </c>
      <c r="B441" s="519" t="s">
        <v>1296</v>
      </c>
      <c r="C441" s="519" t="s">
        <v>284</v>
      </c>
      <c r="D441" s="519" t="s">
        <v>109</v>
      </c>
      <c r="E441" s="519" t="s">
        <v>285</v>
      </c>
      <c r="F441" s="519" t="s">
        <v>16</v>
      </c>
      <c r="G441" s="519" t="s">
        <v>58</v>
      </c>
      <c r="H441" s="519" t="s">
        <v>150</v>
      </c>
      <c r="I441" s="881">
        <v>400682.05199999304</v>
      </c>
      <c r="J441" s="881">
        <v>-11.0672754900001</v>
      </c>
      <c r="K441" s="60">
        <v>-2.7621854119557899E-5</v>
      </c>
      <c r="L441" s="880">
        <v>3.10801782024128</v>
      </c>
      <c r="M441">
        <v>0</v>
      </c>
      <c r="N441" s="60">
        <v>0.35432494565542305</v>
      </c>
      <c r="O441" s="881">
        <v>722148.17725463409</v>
      </c>
      <c r="P441" s="60">
        <v>-2.5048983590089599E-5</v>
      </c>
      <c r="Q441" s="880">
        <v>3.1114817299446398</v>
      </c>
      <c r="R441" s="60">
        <v>0.70090443375016709</v>
      </c>
      <c r="S441" s="60">
        <v>0.32194207826411703</v>
      </c>
      <c r="T441" s="60">
        <v>0.42775336297005806</v>
      </c>
      <c r="U441" s="60">
        <v>-8.9603255390906106E-3</v>
      </c>
    </row>
    <row r="442" spans="1:21" x14ac:dyDescent="0.25">
      <c r="A442" s="519" t="s">
        <v>1295</v>
      </c>
      <c r="B442" s="519" t="s">
        <v>1298</v>
      </c>
      <c r="C442" s="519" t="s">
        <v>284</v>
      </c>
      <c r="D442" s="519" t="s">
        <v>109</v>
      </c>
      <c r="E442" s="519" t="s">
        <v>285</v>
      </c>
      <c r="F442" s="519" t="s">
        <v>16</v>
      </c>
      <c r="G442" s="519" t="s">
        <v>58</v>
      </c>
      <c r="H442" s="519" t="s">
        <v>152</v>
      </c>
      <c r="I442" s="881">
        <v>219966.327554641</v>
      </c>
      <c r="J442" s="881">
        <v>-6.4199574600000497</v>
      </c>
      <c r="K442" s="60">
        <v>-2.91869437941262E-5</v>
      </c>
      <c r="L442" s="880">
        <v>3.10306831073013</v>
      </c>
      <c r="M442">
        <v>0</v>
      </c>
      <c r="N442" s="60">
        <v>0.30330711769249002</v>
      </c>
      <c r="O442" s="881">
        <v>722148.17725463409</v>
      </c>
      <c r="P442" s="60">
        <v>-2.5048983590089599E-5</v>
      </c>
      <c r="Q442" s="880">
        <v>3.1114817299446398</v>
      </c>
      <c r="R442" s="60">
        <v>0.70090443375016709</v>
      </c>
      <c r="S442" s="60">
        <v>0.32194207826411703</v>
      </c>
      <c r="T442" s="60">
        <v>0.31811773521584102</v>
      </c>
      <c r="U442" s="60">
        <v>1.0064239797039201</v>
      </c>
    </row>
    <row r="443" spans="1:21" x14ac:dyDescent="0.25">
      <c r="A443" s="519" t="s">
        <v>1299</v>
      </c>
      <c r="B443" s="519" t="s">
        <v>1301</v>
      </c>
      <c r="C443" s="519" t="s">
        <v>284</v>
      </c>
      <c r="D443" s="519" t="s">
        <v>109</v>
      </c>
      <c r="E443" s="519" t="s">
        <v>285</v>
      </c>
      <c r="F443" s="519" t="s">
        <v>16</v>
      </c>
      <c r="G443" s="519" t="s">
        <v>59</v>
      </c>
      <c r="H443" s="519" t="s">
        <v>154</v>
      </c>
      <c r="I443" s="881">
        <v>590668.11097152904</v>
      </c>
      <c r="J443" s="881">
        <v>-7.3494704941751001</v>
      </c>
      <c r="K443" s="60">
        <v>-1.24427945331903E-5</v>
      </c>
      <c r="L443" s="880">
        <v>3.05615559471451</v>
      </c>
      <c r="M443">
        <v>0</v>
      </c>
      <c r="N443" s="60">
        <v>0.47081088694103201</v>
      </c>
      <c r="O443" s="881">
        <v>1668845.4963976101</v>
      </c>
      <c r="P443" s="60">
        <v>1.29839912240771E-3</v>
      </c>
      <c r="Q443" s="880">
        <v>3.0805899124086502</v>
      </c>
      <c r="R443" s="60">
        <v>0.70090443375016709</v>
      </c>
      <c r="S443" s="60">
        <v>0.48755222875373605</v>
      </c>
      <c r="T443" s="60">
        <v>0.35703199209169501</v>
      </c>
      <c r="U443" s="60">
        <v>-4.6039575956783804E-3</v>
      </c>
    </row>
    <row r="444" spans="1:21" x14ac:dyDescent="0.25">
      <c r="A444" s="519" t="s">
        <v>1303</v>
      </c>
      <c r="B444" s="519" t="s">
        <v>1759</v>
      </c>
      <c r="C444" s="519" t="s">
        <v>284</v>
      </c>
      <c r="D444" s="519" t="s">
        <v>109</v>
      </c>
      <c r="E444" s="519" t="s">
        <v>285</v>
      </c>
      <c r="F444" s="519" t="s">
        <v>17</v>
      </c>
      <c r="G444" s="519" t="s">
        <v>56</v>
      </c>
      <c r="H444" s="519" t="s">
        <v>145</v>
      </c>
      <c r="I444" s="881">
        <v>268426.15261597501</v>
      </c>
      <c r="J444" s="881">
        <v>518.99682851819898</v>
      </c>
      <c r="K444" s="60">
        <v>1.9297497262553E-3</v>
      </c>
      <c r="L444" s="880">
        <v>3.10086965243242</v>
      </c>
      <c r="M444">
        <v>0</v>
      </c>
      <c r="N444" s="60">
        <v>0.37236920853608402</v>
      </c>
      <c r="O444" s="881">
        <v>1101451.4602706099</v>
      </c>
      <c r="P444" s="60">
        <v>6.6034507535486205E-3</v>
      </c>
      <c r="Q444" s="880">
        <v>3.1040209210421201</v>
      </c>
      <c r="R444" s="60">
        <v>0.70090443375016709</v>
      </c>
      <c r="S444" s="60">
        <v>0.39795309408578605</v>
      </c>
      <c r="T444" s="60">
        <v>0.26823471307180502</v>
      </c>
      <c r="U444" s="60">
        <v>7.2586086315488504E-2</v>
      </c>
    </row>
    <row r="445" spans="1:21" x14ac:dyDescent="0.25">
      <c r="A445" s="519" t="s">
        <v>1912</v>
      </c>
      <c r="B445" s="519" t="s">
        <v>1913</v>
      </c>
      <c r="C445" s="519" t="s">
        <v>284</v>
      </c>
      <c r="D445" s="519" t="s">
        <v>109</v>
      </c>
      <c r="E445" s="519" t="s">
        <v>285</v>
      </c>
      <c r="F445" s="519" t="s">
        <v>17</v>
      </c>
      <c r="G445" s="519" t="s">
        <v>57</v>
      </c>
      <c r="H445" s="519" t="s">
        <v>149</v>
      </c>
      <c r="I445" s="881">
        <v>398277.61840010103</v>
      </c>
      <c r="J445" s="881">
        <v>9.6787792187058805</v>
      </c>
      <c r="K445" s="60">
        <v>2.4300999020685101E-5</v>
      </c>
      <c r="L445" s="880">
        <v>3.1272957526472598</v>
      </c>
      <c r="M445">
        <v>0</v>
      </c>
      <c r="N445" s="60">
        <v>0.27653501930540003</v>
      </c>
      <c r="O445" s="881">
        <v>398277.61840010103</v>
      </c>
      <c r="P445" s="60">
        <v>2.4300999020684901E-5</v>
      </c>
      <c r="Q445" s="880">
        <v>3.1272957526472598</v>
      </c>
      <c r="R445" s="60">
        <v>0.70090443375016709</v>
      </c>
      <c r="S445" s="60">
        <v>0.27653501930540003</v>
      </c>
      <c r="T445" s="60">
        <v>0.37578789244078903</v>
      </c>
      <c r="U445" s="60">
        <v>0.17863142093921902</v>
      </c>
    </row>
    <row r="446" spans="1:21" x14ac:dyDescent="0.25">
      <c r="A446" s="519" t="s">
        <v>1306</v>
      </c>
      <c r="B446" s="519" t="s">
        <v>1308</v>
      </c>
      <c r="C446" s="519" t="s">
        <v>284</v>
      </c>
      <c r="D446" s="519" t="s">
        <v>109</v>
      </c>
      <c r="E446" s="519" t="s">
        <v>280</v>
      </c>
      <c r="F446" s="519" t="s">
        <v>70</v>
      </c>
      <c r="G446" s="519" t="s">
        <v>56</v>
      </c>
      <c r="H446" s="519" t="s">
        <v>145</v>
      </c>
      <c r="I446" s="881">
        <v>212537.519327752</v>
      </c>
      <c r="J446" s="881">
        <v>4.7555288599999903</v>
      </c>
      <c r="K446" s="60">
        <v>2.2374508145301E-5</v>
      </c>
      <c r="L446" s="880">
        <v>2.90226451306278</v>
      </c>
      <c r="M446">
        <v>0</v>
      </c>
      <c r="N446" s="60">
        <v>0.74778369297358405</v>
      </c>
      <c r="O446" s="881">
        <v>622789.35585342802</v>
      </c>
      <c r="P446" s="60">
        <v>3.3845883564372599E-5</v>
      </c>
      <c r="Q446" s="880">
        <v>2.9743263168286802</v>
      </c>
      <c r="R446" s="60">
        <v>0.6278706845041121</v>
      </c>
      <c r="S446" s="60">
        <v>0.73961744433411702</v>
      </c>
      <c r="T446" s="60">
        <v>0.36824896689204301</v>
      </c>
      <c r="U446" s="60">
        <v>0.16550388620957901</v>
      </c>
    </row>
    <row r="447" spans="1:21" x14ac:dyDescent="0.25">
      <c r="A447" s="519" t="s">
        <v>1310</v>
      </c>
      <c r="B447" s="519" t="s">
        <v>1311</v>
      </c>
      <c r="C447" s="519" t="s">
        <v>284</v>
      </c>
      <c r="D447" s="519" t="s">
        <v>109</v>
      </c>
      <c r="E447" s="519" t="s">
        <v>280</v>
      </c>
      <c r="F447" s="519" t="s">
        <v>70</v>
      </c>
      <c r="G447" s="519" t="s">
        <v>57</v>
      </c>
      <c r="H447" s="519" t="s">
        <v>147</v>
      </c>
      <c r="I447" s="881">
        <v>219854.862768091</v>
      </c>
      <c r="J447" s="881">
        <v>4.4260800400000102</v>
      </c>
      <c r="K447" s="60">
        <v>2.0131421616020099E-5</v>
      </c>
      <c r="L447" s="880">
        <v>2.8103361645312299</v>
      </c>
      <c r="M447">
        <v>0</v>
      </c>
      <c r="N447" s="60">
        <v>0.81788513599990309</v>
      </c>
      <c r="O447" s="881">
        <v>726210.05823397706</v>
      </c>
      <c r="P447" s="60">
        <v>2.0214747223583701E-5</v>
      </c>
      <c r="Q447" s="880">
        <v>3.02153145840966</v>
      </c>
      <c r="R447" s="60">
        <v>0.6278706845041121</v>
      </c>
      <c r="S447" s="60">
        <v>0.7985239800267091</v>
      </c>
      <c r="T447" s="60">
        <v>0.26773201807098201</v>
      </c>
      <c r="U447" s="60">
        <v>0.15906346019769602</v>
      </c>
    </row>
    <row r="448" spans="1:21" x14ac:dyDescent="0.25">
      <c r="A448" s="519" t="s">
        <v>1310</v>
      </c>
      <c r="B448" s="519" t="s">
        <v>1313</v>
      </c>
      <c r="C448" s="519" t="s">
        <v>284</v>
      </c>
      <c r="D448" s="519" t="s">
        <v>109</v>
      </c>
      <c r="E448" s="519" t="s">
        <v>280</v>
      </c>
      <c r="F448" s="519" t="s">
        <v>70</v>
      </c>
      <c r="G448" s="519" t="s">
        <v>57</v>
      </c>
      <c r="H448" s="519" t="s">
        <v>149</v>
      </c>
      <c r="I448" s="881">
        <v>246286.04985637401</v>
      </c>
      <c r="J448" s="881">
        <v>6.6303622199999896</v>
      </c>
      <c r="K448" s="60">
        <v>2.6920662904457899E-5</v>
      </c>
      <c r="L448" s="880">
        <v>2.9770205982138598</v>
      </c>
      <c r="M448">
        <v>0</v>
      </c>
      <c r="N448" s="60">
        <v>0.76147199032389001</v>
      </c>
      <c r="O448" s="881">
        <v>726210.05823397706</v>
      </c>
      <c r="P448" s="60">
        <v>2.0214747223583701E-5</v>
      </c>
      <c r="Q448" s="880">
        <v>3.02153145840966</v>
      </c>
      <c r="R448" s="60">
        <v>0.6278706845041121</v>
      </c>
      <c r="S448" s="60">
        <v>0.7985239800267091</v>
      </c>
      <c r="T448" s="60">
        <v>0.32849571186896903</v>
      </c>
      <c r="U448" s="60">
        <v>0.5234098684070061</v>
      </c>
    </row>
    <row r="449" spans="1:21" x14ac:dyDescent="0.25">
      <c r="A449" s="519" t="s">
        <v>1314</v>
      </c>
      <c r="B449" s="519" t="s">
        <v>1316</v>
      </c>
      <c r="C449" s="519" t="s">
        <v>284</v>
      </c>
      <c r="D449" s="519" t="s">
        <v>109</v>
      </c>
      <c r="E449" s="519" t="s">
        <v>280</v>
      </c>
      <c r="F449" s="519" t="s">
        <v>70</v>
      </c>
      <c r="G449" s="519" t="s">
        <v>58</v>
      </c>
      <c r="H449" s="519" t="s">
        <v>151</v>
      </c>
      <c r="I449" s="881">
        <v>268026.71987742203</v>
      </c>
      <c r="J449" s="881">
        <v>2.5905864300000299</v>
      </c>
      <c r="K449" s="60">
        <v>9.66531020624868E-6</v>
      </c>
      <c r="L449" s="880">
        <v>3.0281786466336702</v>
      </c>
      <c r="M449">
        <v>0</v>
      </c>
      <c r="N449" s="60">
        <v>0.77318590824451106</v>
      </c>
      <c r="O449" s="881">
        <v>777434.72789549211</v>
      </c>
      <c r="P449" s="60">
        <v>2.74635773920456E-3</v>
      </c>
      <c r="Q449" s="880">
        <v>3.0309052160824499</v>
      </c>
      <c r="R449" s="60">
        <v>0.6278706845041121</v>
      </c>
      <c r="S449" s="60">
        <v>0.70969230204509304</v>
      </c>
      <c r="T449" s="60">
        <v>0.32896995815666502</v>
      </c>
      <c r="U449" s="60">
        <v>2.72945929140584E-3</v>
      </c>
    </row>
    <row r="450" spans="1:21" x14ac:dyDescent="0.25">
      <c r="A450" s="519" t="s">
        <v>1318</v>
      </c>
      <c r="B450" s="519" t="s">
        <v>1319</v>
      </c>
      <c r="C450" s="519" t="s">
        <v>284</v>
      </c>
      <c r="D450" s="519" t="s">
        <v>109</v>
      </c>
      <c r="E450" s="519" t="s">
        <v>280</v>
      </c>
      <c r="F450" s="519" t="s">
        <v>70</v>
      </c>
      <c r="G450" s="519" t="s">
        <v>59</v>
      </c>
      <c r="H450" s="519" t="s">
        <v>153</v>
      </c>
      <c r="I450" s="881">
        <v>84450.829298280209</v>
      </c>
      <c r="J450" s="881">
        <v>-1.10678861</v>
      </c>
      <c r="K450" s="60">
        <v>-1.3105888061068201E-5</v>
      </c>
      <c r="L450" s="880">
        <v>2.9832896601741501</v>
      </c>
      <c r="M450">
        <v>0</v>
      </c>
      <c r="N450" s="60">
        <v>0.70690651510305202</v>
      </c>
      <c r="O450" s="881">
        <v>277359.29980666103</v>
      </c>
      <c r="P450" s="60">
        <v>-6.9626810326310396E-6</v>
      </c>
      <c r="Q450" s="880">
        <v>2.9997313805214398</v>
      </c>
      <c r="R450" s="60">
        <v>0.6278706845041121</v>
      </c>
      <c r="S450" s="60">
        <v>0.69688105894738206</v>
      </c>
      <c r="T450" s="60">
        <v>0.31815988235671405</v>
      </c>
      <c r="U450" s="60">
        <v>0.93872516397151606</v>
      </c>
    </row>
    <row r="451" spans="1:21" x14ac:dyDescent="0.25">
      <c r="A451" s="519" t="s">
        <v>1318</v>
      </c>
      <c r="B451" s="519" t="s">
        <v>1321</v>
      </c>
      <c r="C451" s="519" t="s">
        <v>284</v>
      </c>
      <c r="D451" s="519" t="s">
        <v>109</v>
      </c>
      <c r="E451" s="519" t="s">
        <v>280</v>
      </c>
      <c r="F451" s="519" t="s">
        <v>70</v>
      </c>
      <c r="G451" s="519" t="s">
        <v>59</v>
      </c>
      <c r="H451" s="519" t="s">
        <v>155</v>
      </c>
      <c r="I451" s="881">
        <v>136111.09595547101</v>
      </c>
      <c r="J451" s="881">
        <v>-0.32947141999999102</v>
      </c>
      <c r="K451" s="60">
        <v>-2.4206124798996E-6</v>
      </c>
      <c r="L451" s="880">
        <v>2.9957543967665701</v>
      </c>
      <c r="M451">
        <v>0</v>
      </c>
      <c r="N451" s="60">
        <v>0.70254168817929408</v>
      </c>
      <c r="O451" s="881">
        <v>277359.29980666103</v>
      </c>
      <c r="P451" s="60">
        <v>-6.9626810326310396E-6</v>
      </c>
      <c r="Q451" s="880">
        <v>2.9997313805214398</v>
      </c>
      <c r="R451" s="60">
        <v>0.6278706845041121</v>
      </c>
      <c r="S451" s="60">
        <v>0.69688105894738206</v>
      </c>
      <c r="T451" s="60">
        <v>0.40846688327714104</v>
      </c>
      <c r="U451" s="60">
        <v>5.8615125050582005E-5</v>
      </c>
    </row>
    <row r="452" spans="1:21" x14ac:dyDescent="0.25">
      <c r="A452" s="519" t="s">
        <v>1322</v>
      </c>
      <c r="B452" s="519" t="s">
        <v>1323</v>
      </c>
      <c r="C452" s="519" t="s">
        <v>284</v>
      </c>
      <c r="D452" s="519" t="s">
        <v>109</v>
      </c>
      <c r="E452" s="519" t="s">
        <v>280</v>
      </c>
      <c r="F452" s="519" t="s">
        <v>16</v>
      </c>
      <c r="G452" s="519" t="s">
        <v>56</v>
      </c>
      <c r="H452" s="519" t="s">
        <v>144</v>
      </c>
      <c r="I452" s="881">
        <v>105549.26635766101</v>
      </c>
      <c r="J452" s="881">
        <v>-1.26172734</v>
      </c>
      <c r="K452" s="60">
        <v>-1.1954061513708199E-5</v>
      </c>
      <c r="L452" s="880">
        <v>3.0199067119856702</v>
      </c>
      <c r="M452">
        <v>0</v>
      </c>
      <c r="N452" s="60">
        <v>0.74810357080913203</v>
      </c>
      <c r="O452" s="881">
        <v>666535.00390610599</v>
      </c>
      <c r="P452" s="60">
        <v>-4.8467770915724002E-6</v>
      </c>
      <c r="Q452" s="880">
        <v>3.0190357193632198</v>
      </c>
      <c r="R452" s="60">
        <v>0.6278706845041121</v>
      </c>
      <c r="S452" s="60">
        <v>0.75951212262639711</v>
      </c>
      <c r="T452" s="60">
        <v>0.23799179820944502</v>
      </c>
      <c r="U452" s="60">
        <v>0.42547681010358601</v>
      </c>
    </row>
    <row r="453" spans="1:21" x14ac:dyDescent="0.25">
      <c r="A453" s="519" t="s">
        <v>1322</v>
      </c>
      <c r="B453" s="519" t="s">
        <v>1325</v>
      </c>
      <c r="C453" s="519" t="s">
        <v>284</v>
      </c>
      <c r="D453" s="519" t="s">
        <v>109</v>
      </c>
      <c r="E453" s="519" t="s">
        <v>280</v>
      </c>
      <c r="F453" s="519" t="s">
        <v>16</v>
      </c>
      <c r="G453" s="519" t="s">
        <v>56</v>
      </c>
      <c r="H453" s="519" t="s">
        <v>146</v>
      </c>
      <c r="I453" s="881">
        <v>298330.94471344701</v>
      </c>
      <c r="J453" s="881">
        <v>-1.9373009099999901</v>
      </c>
      <c r="K453" s="60">
        <v>-6.4938402296261696E-6</v>
      </c>
      <c r="L453" s="880">
        <v>3.0186744469160298</v>
      </c>
      <c r="M453">
        <v>0</v>
      </c>
      <c r="N453" s="60">
        <v>0.743379155616952</v>
      </c>
      <c r="O453" s="881">
        <v>666535.00390610599</v>
      </c>
      <c r="P453" s="60">
        <v>-4.8467770915724002E-6</v>
      </c>
      <c r="Q453" s="880">
        <v>3.0190357193632198</v>
      </c>
      <c r="R453" s="60">
        <v>0.6278706845041121</v>
      </c>
      <c r="S453" s="60">
        <v>0.75951212262639711</v>
      </c>
      <c r="T453" s="60">
        <v>0.39375923489851206</v>
      </c>
      <c r="U453" s="60">
        <v>0.40901930368683503</v>
      </c>
    </row>
    <row r="454" spans="1:21" x14ac:dyDescent="0.25">
      <c r="A454" s="519" t="s">
        <v>1326</v>
      </c>
      <c r="B454" s="519" t="s">
        <v>1328</v>
      </c>
      <c r="C454" s="519" t="s">
        <v>284</v>
      </c>
      <c r="D454" s="519" t="s">
        <v>109</v>
      </c>
      <c r="E454" s="519" t="s">
        <v>280</v>
      </c>
      <c r="F454" s="519" t="s">
        <v>16</v>
      </c>
      <c r="G454" s="519" t="s">
        <v>57</v>
      </c>
      <c r="H454" s="519" t="s">
        <v>148</v>
      </c>
      <c r="I454" s="881">
        <v>469477.16063635203</v>
      </c>
      <c r="J454" s="881">
        <v>3.8802197899994399</v>
      </c>
      <c r="K454" s="60">
        <v>8.2649126425284996E-6</v>
      </c>
      <c r="L454" s="880">
        <v>3.0234696892102599</v>
      </c>
      <c r="M454">
        <v>0</v>
      </c>
      <c r="N454" s="60">
        <v>0.83578688887806807</v>
      </c>
      <c r="O454" s="881">
        <v>1080616.1166724099</v>
      </c>
      <c r="P454" s="60">
        <v>8.2849511934115595E-6</v>
      </c>
      <c r="Q454" s="880">
        <v>3.0275633440913299</v>
      </c>
      <c r="R454" s="60">
        <v>0.6278706845041121</v>
      </c>
      <c r="S454" s="60">
        <v>0.78425280239784811</v>
      </c>
      <c r="T454" s="60">
        <v>0.40377227006004901</v>
      </c>
      <c r="U454" s="60">
        <v>0.317526671395297</v>
      </c>
    </row>
    <row r="455" spans="1:21" x14ac:dyDescent="0.25">
      <c r="A455" s="519" t="s">
        <v>1330</v>
      </c>
      <c r="B455" s="519" t="s">
        <v>1331</v>
      </c>
      <c r="C455" s="519" t="s">
        <v>284</v>
      </c>
      <c r="D455" s="519" t="s">
        <v>109</v>
      </c>
      <c r="E455" s="519" t="s">
        <v>280</v>
      </c>
      <c r="F455" s="519" t="s">
        <v>16</v>
      </c>
      <c r="G455" s="519" t="s">
        <v>58</v>
      </c>
      <c r="H455" s="519" t="s">
        <v>150</v>
      </c>
      <c r="I455" s="881">
        <v>336893.64527046302</v>
      </c>
      <c r="J455" s="881">
        <v>0.60035125000017997</v>
      </c>
      <c r="K455" s="60">
        <v>1.78201693202644E-6</v>
      </c>
      <c r="L455" s="880">
        <v>3.0975804967480198</v>
      </c>
      <c r="M455">
        <v>0</v>
      </c>
      <c r="N455" s="60">
        <v>0.82144198470091712</v>
      </c>
      <c r="O455" s="881">
        <v>1111275.2856262999</v>
      </c>
      <c r="P455" s="60">
        <v>5.5752367013652495E-6</v>
      </c>
      <c r="Q455" s="880">
        <v>3.06181506593449</v>
      </c>
      <c r="R455" s="60">
        <v>0.6278706845041121</v>
      </c>
      <c r="S455" s="60">
        <v>0.80876318679281112</v>
      </c>
      <c r="T455" s="60">
        <v>0.30038778026815904</v>
      </c>
      <c r="U455" s="60">
        <v>-1.1463594665942702E-3</v>
      </c>
    </row>
    <row r="456" spans="1:21" x14ac:dyDescent="0.25">
      <c r="A456" s="519" t="s">
        <v>1330</v>
      </c>
      <c r="B456" s="519" t="s">
        <v>1333</v>
      </c>
      <c r="C456" s="519" t="s">
        <v>284</v>
      </c>
      <c r="D456" s="519" t="s">
        <v>109</v>
      </c>
      <c r="E456" s="519" t="s">
        <v>280</v>
      </c>
      <c r="F456" s="519" t="s">
        <v>16</v>
      </c>
      <c r="G456" s="519" t="s">
        <v>58</v>
      </c>
      <c r="H456" s="519" t="s">
        <v>152</v>
      </c>
      <c r="I456" s="881">
        <v>421079.50611492002</v>
      </c>
      <c r="J456" s="881">
        <v>2.3252262199998501</v>
      </c>
      <c r="K456" s="60">
        <v>5.5220293228847599E-6</v>
      </c>
      <c r="L456" s="880">
        <v>3.0548851557467698</v>
      </c>
      <c r="M456">
        <v>0</v>
      </c>
      <c r="N456" s="60">
        <v>0.7997978525446251</v>
      </c>
      <c r="O456" s="881">
        <v>1111275.2856262999</v>
      </c>
      <c r="P456" s="60">
        <v>5.5752367013652495E-6</v>
      </c>
      <c r="Q456" s="880">
        <v>3.06181506593449</v>
      </c>
      <c r="R456" s="60">
        <v>0.6278706845041121</v>
      </c>
      <c r="S456" s="60">
        <v>0.80876318679281112</v>
      </c>
      <c r="T456" s="60">
        <v>0.37064226157517605</v>
      </c>
      <c r="U456" s="60">
        <v>0.99841690017518803</v>
      </c>
    </row>
    <row r="457" spans="1:21" x14ac:dyDescent="0.25">
      <c r="A457" s="519" t="s">
        <v>1334</v>
      </c>
      <c r="B457" s="519" t="s">
        <v>1336</v>
      </c>
      <c r="C457" s="519" t="s">
        <v>284</v>
      </c>
      <c r="D457" s="519" t="s">
        <v>109</v>
      </c>
      <c r="E457" s="519" t="s">
        <v>280</v>
      </c>
      <c r="F457" s="519" t="s">
        <v>16</v>
      </c>
      <c r="G457" s="519" t="s">
        <v>59</v>
      </c>
      <c r="H457" s="519" t="s">
        <v>154</v>
      </c>
      <c r="I457" s="881">
        <v>190893.67905643</v>
      </c>
      <c r="J457" s="881">
        <v>177.43311152850299</v>
      </c>
      <c r="K457" s="60">
        <v>9.2862342985963308E-4</v>
      </c>
      <c r="L457" s="880">
        <v>3.0742226670209698</v>
      </c>
      <c r="M457">
        <v>0</v>
      </c>
      <c r="N457" s="60">
        <v>0.76073276952372504</v>
      </c>
      <c r="O457" s="881">
        <v>628695.2164068491</v>
      </c>
      <c r="P457" s="60">
        <v>4.5794325047160507E-3</v>
      </c>
      <c r="Q457" s="880">
        <v>3.0628617792083102</v>
      </c>
      <c r="R457" s="60">
        <v>0.6278706845041121</v>
      </c>
      <c r="S457" s="60">
        <v>0.77135526903973994</v>
      </c>
      <c r="T457" s="60">
        <v>0.27337323436614502</v>
      </c>
      <c r="U457" s="60">
        <v>6.1216220903433802E-2</v>
      </c>
    </row>
    <row r="458" spans="1:21" x14ac:dyDescent="0.25">
      <c r="A458" s="519" t="s">
        <v>1338</v>
      </c>
      <c r="B458" s="519" t="s">
        <v>1780</v>
      </c>
      <c r="C458" s="519" t="s">
        <v>284</v>
      </c>
      <c r="D458" s="519" t="s">
        <v>109</v>
      </c>
      <c r="E458" s="519" t="s">
        <v>280</v>
      </c>
      <c r="F458" s="519" t="s">
        <v>17</v>
      </c>
      <c r="G458" s="519" t="s">
        <v>56</v>
      </c>
      <c r="H458" s="519" t="s">
        <v>145</v>
      </c>
      <c r="I458" s="881">
        <v>450940.38342773903</v>
      </c>
      <c r="J458" s="881">
        <v>2009.3635861457799</v>
      </c>
      <c r="K458" s="60">
        <v>4.4361733269368802E-3</v>
      </c>
      <c r="L458" s="880">
        <v>3.0485299263624399</v>
      </c>
      <c r="M458">
        <v>0</v>
      </c>
      <c r="N458" s="60">
        <v>0.80605028107198806</v>
      </c>
      <c r="O458" s="881">
        <v>1225639.0993558799</v>
      </c>
      <c r="P458" s="60">
        <v>9.81715170976135E-3</v>
      </c>
      <c r="Q458" s="880">
        <v>3.06713158763647</v>
      </c>
      <c r="R458" s="60">
        <v>0.6278706845041121</v>
      </c>
      <c r="S458" s="60">
        <v>0.77826820464868407</v>
      </c>
      <c r="T458" s="60">
        <v>0.36824896689204301</v>
      </c>
      <c r="U458" s="60">
        <v>0.16550388620957901</v>
      </c>
    </row>
    <row r="459" spans="1:21" x14ac:dyDescent="0.25">
      <c r="A459" s="519" t="s">
        <v>1914</v>
      </c>
      <c r="B459" s="519" t="s">
        <v>1915</v>
      </c>
      <c r="C459" s="519" t="s">
        <v>284</v>
      </c>
      <c r="D459" s="519" t="s">
        <v>109</v>
      </c>
      <c r="E459" s="519" t="s">
        <v>280</v>
      </c>
      <c r="F459" s="519" t="s">
        <v>17</v>
      </c>
      <c r="G459" s="519" t="s">
        <v>57</v>
      </c>
      <c r="H459" s="519" t="s">
        <v>149</v>
      </c>
      <c r="I459" s="881">
        <v>362288.77008944401</v>
      </c>
      <c r="J459" s="881">
        <v>6.9647078182589199</v>
      </c>
      <c r="K459" s="60">
        <v>1.92238195190359E-5</v>
      </c>
      <c r="L459" s="880">
        <v>3.0272990107608799</v>
      </c>
      <c r="M459">
        <v>0</v>
      </c>
      <c r="N459" s="60">
        <v>0.78227737526752905</v>
      </c>
      <c r="O459" s="881">
        <v>362288.77008944401</v>
      </c>
      <c r="P459" s="60">
        <v>1.9223819519035501E-5</v>
      </c>
      <c r="Q459" s="880">
        <v>3.0272990107608799</v>
      </c>
      <c r="R459" s="60">
        <v>0.6278706845041121</v>
      </c>
      <c r="S459" s="60">
        <v>0.78227737526752905</v>
      </c>
      <c r="T459" s="60">
        <v>0.32849571186896903</v>
      </c>
      <c r="U459" s="60">
        <v>0.5234098684070061</v>
      </c>
    </row>
    <row r="460" spans="1:21" x14ac:dyDescent="0.25">
      <c r="A460" s="519" t="s">
        <v>1341</v>
      </c>
      <c r="B460" s="519" t="s">
        <v>1342</v>
      </c>
      <c r="C460" s="519" t="s">
        <v>284</v>
      </c>
      <c r="D460" s="519" t="s">
        <v>109</v>
      </c>
      <c r="E460" s="519" t="s">
        <v>289</v>
      </c>
      <c r="F460" s="519" t="s">
        <v>70</v>
      </c>
      <c r="G460" s="519" t="s">
        <v>56</v>
      </c>
      <c r="H460" s="519" t="s">
        <v>144</v>
      </c>
      <c r="I460" s="881">
        <v>74683.257169299992</v>
      </c>
      <c r="J460" s="881">
        <v>-0.60693738999999802</v>
      </c>
      <c r="K460" s="60">
        <v>-8.1268860721370901E-6</v>
      </c>
      <c r="L460" s="880">
        <v>3.0627152358389398</v>
      </c>
      <c r="M460">
        <v>0</v>
      </c>
      <c r="N460" s="60">
        <v>0.27168837650951905</v>
      </c>
      <c r="O460" s="881">
        <v>652173.98327206308</v>
      </c>
      <c r="P460" s="60">
        <v>7.4503679133142795E-6</v>
      </c>
      <c r="Q460" s="880">
        <v>3.07551921367223</v>
      </c>
      <c r="R460" s="60">
        <v>0.49418251100359306</v>
      </c>
      <c r="S460" s="60">
        <v>0.17213864472998702</v>
      </c>
      <c r="T460" s="60">
        <v>0.10941925795669501</v>
      </c>
      <c r="U460" s="60">
        <v>0.45131331990311702</v>
      </c>
    </row>
    <row r="461" spans="1:21" x14ac:dyDescent="0.25">
      <c r="A461" s="519" t="s">
        <v>1341</v>
      </c>
      <c r="B461" s="519" t="s">
        <v>1344</v>
      </c>
      <c r="C461" s="519" t="s">
        <v>284</v>
      </c>
      <c r="D461" s="519" t="s">
        <v>109</v>
      </c>
      <c r="E461" s="519" t="s">
        <v>289</v>
      </c>
      <c r="F461" s="519" t="s">
        <v>70</v>
      </c>
      <c r="G461" s="519" t="s">
        <v>56</v>
      </c>
      <c r="H461" s="519" t="s">
        <v>146</v>
      </c>
      <c r="I461" s="881">
        <v>254081.11737922201</v>
      </c>
      <c r="J461" s="881">
        <v>1.58916017</v>
      </c>
      <c r="K461" s="60">
        <v>6.2544995353850897E-6</v>
      </c>
      <c r="L461" s="880">
        <v>3.1132303823161198</v>
      </c>
      <c r="M461">
        <v>0</v>
      </c>
      <c r="N461" s="60">
        <v>0.16490177146802901</v>
      </c>
      <c r="O461" s="881">
        <v>652173.98327206308</v>
      </c>
      <c r="P461" s="60">
        <v>7.4503679133142795E-6</v>
      </c>
      <c r="Q461" s="880">
        <v>3.07551921367223</v>
      </c>
      <c r="R461" s="60">
        <v>0.49418251100359306</v>
      </c>
      <c r="S461" s="60">
        <v>0.17213864472998702</v>
      </c>
      <c r="T461" s="60">
        <v>0.38510794549074001</v>
      </c>
      <c r="U461" s="60">
        <v>0.41384615468712205</v>
      </c>
    </row>
    <row r="462" spans="1:21" x14ac:dyDescent="0.25">
      <c r="A462" s="519" t="s">
        <v>1345</v>
      </c>
      <c r="B462" s="519" t="s">
        <v>1347</v>
      </c>
      <c r="C462" s="519" t="s">
        <v>284</v>
      </c>
      <c r="D462" s="519" t="s">
        <v>109</v>
      </c>
      <c r="E462" s="519" t="s">
        <v>289</v>
      </c>
      <c r="F462" s="519" t="s">
        <v>70</v>
      </c>
      <c r="G462" s="519" t="s">
        <v>57</v>
      </c>
      <c r="H462" s="519" t="s">
        <v>148</v>
      </c>
      <c r="I462" s="881">
        <v>219695.09096119</v>
      </c>
      <c r="J462" s="881">
        <v>5.45778179000005</v>
      </c>
      <c r="K462" s="60">
        <v>2.48419124177289E-5</v>
      </c>
      <c r="L462" s="880">
        <v>3.2270786815927801</v>
      </c>
      <c r="M462">
        <v>0</v>
      </c>
      <c r="N462" s="60">
        <v>0.21416120432923902</v>
      </c>
      <c r="O462" s="881">
        <v>923477.84864947805</v>
      </c>
      <c r="P462" s="60">
        <v>2.08185601235486E-5</v>
      </c>
      <c r="Q462" s="880">
        <v>3.0288540731985401</v>
      </c>
      <c r="R462" s="60">
        <v>0.49418251100359306</v>
      </c>
      <c r="S462" s="60">
        <v>0.20992456405832402</v>
      </c>
      <c r="T462" s="60">
        <v>0.22777741567936102</v>
      </c>
      <c r="U462" s="60">
        <v>0.46510080091759304</v>
      </c>
    </row>
    <row r="463" spans="1:21" x14ac:dyDescent="0.25">
      <c r="A463" s="519" t="s">
        <v>1349</v>
      </c>
      <c r="B463" s="519" t="s">
        <v>1351</v>
      </c>
      <c r="C463" s="519" t="s">
        <v>284</v>
      </c>
      <c r="D463" s="519" t="s">
        <v>109</v>
      </c>
      <c r="E463" s="519" t="s">
        <v>289</v>
      </c>
      <c r="F463" s="519" t="s">
        <v>70</v>
      </c>
      <c r="G463" s="519" t="s">
        <v>58</v>
      </c>
      <c r="H463" s="519" t="s">
        <v>151</v>
      </c>
      <c r="I463" s="881">
        <v>175792.50447009999</v>
      </c>
      <c r="J463" s="881">
        <v>1.61789227000002</v>
      </c>
      <c r="K463" s="60">
        <v>9.2033354031314903E-6</v>
      </c>
      <c r="L463" s="880">
        <v>3.0389854723434899</v>
      </c>
      <c r="M463">
        <v>0</v>
      </c>
      <c r="N463" s="60">
        <v>0.16379833442237302</v>
      </c>
      <c r="O463" s="881">
        <v>431699.94196916104</v>
      </c>
      <c r="P463" s="60">
        <v>3.5465491953516103E-3</v>
      </c>
      <c r="Q463" s="880">
        <v>3.0308691489939199</v>
      </c>
      <c r="R463" s="60">
        <v>0.49418251100359306</v>
      </c>
      <c r="S463" s="60">
        <v>0.14723566208206901</v>
      </c>
      <c r="T463" s="60">
        <v>0.41145297776499201</v>
      </c>
      <c r="U463" s="60">
        <v>1.4733009551222802E-3</v>
      </c>
    </row>
    <row r="464" spans="1:21" x14ac:dyDescent="0.25">
      <c r="A464" s="519" t="s">
        <v>1353</v>
      </c>
      <c r="B464" s="519" t="s">
        <v>1354</v>
      </c>
      <c r="C464" s="519" t="s">
        <v>284</v>
      </c>
      <c r="D464" s="519" t="s">
        <v>109</v>
      </c>
      <c r="E464" s="519" t="s">
        <v>289</v>
      </c>
      <c r="F464" s="519" t="s">
        <v>70</v>
      </c>
      <c r="G464" s="519" t="s">
        <v>59</v>
      </c>
      <c r="H464" s="519" t="s">
        <v>153</v>
      </c>
      <c r="I464" s="881">
        <v>30685.235285580002</v>
      </c>
      <c r="J464" s="881">
        <v>0.61159151999999906</v>
      </c>
      <c r="K464" s="60">
        <v>1.9930736226687298E-5</v>
      </c>
      <c r="L464" s="880">
        <v>3.06490421106193</v>
      </c>
      <c r="M464">
        <v>0</v>
      </c>
      <c r="N464" s="60">
        <v>0.21053401244786601</v>
      </c>
      <c r="O464" s="881">
        <v>119652.12394351</v>
      </c>
      <c r="P464" s="60">
        <v>1.41498881690694E-5</v>
      </c>
      <c r="Q464" s="880">
        <v>3.0092903228528498</v>
      </c>
      <c r="R464" s="60">
        <v>0.49418251100359306</v>
      </c>
      <c r="S464" s="60">
        <v>0.20397238728835601</v>
      </c>
      <c r="T464" s="60">
        <v>0.31624731608940404</v>
      </c>
      <c r="U464" s="60">
        <v>0.96332680701850903</v>
      </c>
    </row>
    <row r="465" spans="1:21" x14ac:dyDescent="0.25">
      <c r="A465" s="519" t="s">
        <v>1353</v>
      </c>
      <c r="B465" s="519" t="s">
        <v>1356</v>
      </c>
      <c r="C465" s="519" t="s">
        <v>284</v>
      </c>
      <c r="D465" s="519" t="s">
        <v>109</v>
      </c>
      <c r="E465" s="519" t="s">
        <v>289</v>
      </c>
      <c r="F465" s="519" t="s">
        <v>70</v>
      </c>
      <c r="G465" s="519" t="s">
        <v>59</v>
      </c>
      <c r="H465" s="519" t="s">
        <v>155</v>
      </c>
      <c r="I465" s="881">
        <v>63698.542577220105</v>
      </c>
      <c r="J465" s="881">
        <v>0.62922387999999996</v>
      </c>
      <c r="K465" s="60">
        <v>9.8780543327116587E-6</v>
      </c>
      <c r="L465" s="880">
        <v>2.9734160867865498</v>
      </c>
      <c r="M465">
        <v>0</v>
      </c>
      <c r="N465" s="60">
        <v>0.20754167997962603</v>
      </c>
      <c r="O465" s="881">
        <v>119652.12394351</v>
      </c>
      <c r="P465" s="60">
        <v>1.41498881690694E-5</v>
      </c>
      <c r="Q465" s="880">
        <v>3.0092903228528498</v>
      </c>
      <c r="R465" s="60">
        <v>0.49418251100359306</v>
      </c>
      <c r="S465" s="60">
        <v>0.20397238728835601</v>
      </c>
      <c r="T465" s="60">
        <v>0.42674897858922606</v>
      </c>
      <c r="U465" s="60">
        <v>6.5000470711985207E-4</v>
      </c>
    </row>
    <row r="466" spans="1:21" x14ac:dyDescent="0.25">
      <c r="A466" s="519" t="s">
        <v>1357</v>
      </c>
      <c r="B466" s="519" t="s">
        <v>1359</v>
      </c>
      <c r="C466" s="519" t="s">
        <v>284</v>
      </c>
      <c r="D466" s="519" t="s">
        <v>109</v>
      </c>
      <c r="E466" s="519" t="s">
        <v>289</v>
      </c>
      <c r="F466" s="519" t="s">
        <v>16</v>
      </c>
      <c r="G466" s="519" t="s">
        <v>56</v>
      </c>
      <c r="H466" s="519" t="s">
        <v>145</v>
      </c>
      <c r="I466" s="881">
        <v>285422.491110706</v>
      </c>
      <c r="J466" s="881">
        <v>3.0975318500000499</v>
      </c>
      <c r="K466" s="60">
        <v>1.08523270976911E-5</v>
      </c>
      <c r="L466" s="880">
        <v>3.13055736992415</v>
      </c>
      <c r="M466">
        <v>0</v>
      </c>
      <c r="N466" s="60">
        <v>0.20405375694678601</v>
      </c>
      <c r="O466" s="881">
        <v>557428.89195055503</v>
      </c>
      <c r="P466" s="60">
        <v>1.1157005011717E-5</v>
      </c>
      <c r="Q466" s="880">
        <v>3.11742129670131</v>
      </c>
      <c r="R466" s="60">
        <v>0.49418251100359306</v>
      </c>
      <c r="S466" s="60">
        <v>0.20364810446595902</v>
      </c>
      <c r="T466" s="60">
        <v>0.50547279655256505</v>
      </c>
      <c r="U466" s="60">
        <v>0.13484052540976102</v>
      </c>
    </row>
    <row r="467" spans="1:21" x14ac:dyDescent="0.25">
      <c r="A467" s="519" t="s">
        <v>1361</v>
      </c>
      <c r="B467" s="519" t="s">
        <v>1362</v>
      </c>
      <c r="C467" s="519" t="s">
        <v>284</v>
      </c>
      <c r="D467" s="519" t="s">
        <v>109</v>
      </c>
      <c r="E467" s="519" t="s">
        <v>289</v>
      </c>
      <c r="F467" s="519" t="s">
        <v>16</v>
      </c>
      <c r="G467" s="519" t="s">
        <v>57</v>
      </c>
      <c r="H467" s="519" t="s">
        <v>147</v>
      </c>
      <c r="I467" s="881">
        <v>276668.88972273603</v>
      </c>
      <c r="J467" s="881">
        <v>-0.13763115999994602</v>
      </c>
      <c r="K467" s="60">
        <v>-4.9745827441470897E-7</v>
      </c>
      <c r="L467" s="880">
        <v>3.1789946878425099</v>
      </c>
      <c r="M467">
        <v>0</v>
      </c>
      <c r="N467" s="60">
        <v>0.41178932772876603</v>
      </c>
      <c r="O467" s="881">
        <v>973520.56567298807</v>
      </c>
      <c r="P467" s="60">
        <v>4.98309522539384E-7</v>
      </c>
      <c r="Q467" s="880">
        <v>3.1005527394071901</v>
      </c>
      <c r="R467" s="60">
        <v>0.49418251100359306</v>
      </c>
      <c r="S467" s="60">
        <v>0.33939474835033601</v>
      </c>
      <c r="T467" s="60">
        <v>0.291959520501201</v>
      </c>
      <c r="U467" s="60">
        <v>0.295569278586233</v>
      </c>
    </row>
    <row r="468" spans="1:21" x14ac:dyDescent="0.25">
      <c r="A468" s="519" t="s">
        <v>1361</v>
      </c>
      <c r="B468" s="519" t="s">
        <v>1364</v>
      </c>
      <c r="C468" s="519" t="s">
        <v>284</v>
      </c>
      <c r="D468" s="519" t="s">
        <v>109</v>
      </c>
      <c r="E468" s="519" t="s">
        <v>289</v>
      </c>
      <c r="F468" s="519" t="s">
        <v>16</v>
      </c>
      <c r="G468" s="519" t="s">
        <v>57</v>
      </c>
      <c r="H468" s="519" t="s">
        <v>149</v>
      </c>
      <c r="I468" s="881">
        <v>484453.37054922304</v>
      </c>
      <c r="J468" s="881">
        <v>-3.08707141999998</v>
      </c>
      <c r="K468" s="60">
        <v>-6.3723183271527701E-6</v>
      </c>
      <c r="L468" s="880">
        <v>3.0958940988880799</v>
      </c>
      <c r="M468">
        <v>0</v>
      </c>
      <c r="N468" s="60">
        <v>0.26031760616347405</v>
      </c>
      <c r="O468" s="881">
        <v>973520.56567298807</v>
      </c>
      <c r="P468" s="60">
        <v>4.98309522539384E-7</v>
      </c>
      <c r="Q468" s="880">
        <v>3.1005527394071901</v>
      </c>
      <c r="R468" s="60">
        <v>0.49418251100359306</v>
      </c>
      <c r="S468" s="60">
        <v>0.33939474835033601</v>
      </c>
      <c r="T468" s="60">
        <v>0.48026306381943806</v>
      </c>
      <c r="U468" s="60">
        <v>0.23932992049617502</v>
      </c>
    </row>
    <row r="469" spans="1:21" x14ac:dyDescent="0.25">
      <c r="A469" s="519" t="s">
        <v>1365</v>
      </c>
      <c r="B469" s="519" t="s">
        <v>1366</v>
      </c>
      <c r="C469" s="519" t="s">
        <v>284</v>
      </c>
      <c r="D469" s="519" t="s">
        <v>109</v>
      </c>
      <c r="E469" s="519" t="s">
        <v>289</v>
      </c>
      <c r="F469" s="519" t="s">
        <v>16</v>
      </c>
      <c r="G469" s="519" t="s">
        <v>58</v>
      </c>
      <c r="H469" s="519" t="s">
        <v>150</v>
      </c>
      <c r="I469" s="881">
        <v>74463.249656920205</v>
      </c>
      <c r="J469" s="881">
        <v>1.33663687</v>
      </c>
      <c r="K469" s="60">
        <v>1.7949967045092699E-5</v>
      </c>
      <c r="L469" s="880">
        <v>3.1140733302805099</v>
      </c>
      <c r="M469">
        <v>0</v>
      </c>
      <c r="N469" s="60">
        <v>0.31937097124124603</v>
      </c>
      <c r="O469" s="881">
        <v>327785.773255862</v>
      </c>
      <c r="P469" s="60">
        <v>1.38149780115699E-5</v>
      </c>
      <c r="Q469" s="880">
        <v>3.1213366382440899</v>
      </c>
      <c r="R469" s="60">
        <v>0.49418251100359306</v>
      </c>
      <c r="S469" s="60">
        <v>0.34358829622425102</v>
      </c>
      <c r="T469" s="60">
        <v>0.24336746479800103</v>
      </c>
      <c r="U469" s="60">
        <v>1.2368452117465501E-3</v>
      </c>
    </row>
    <row r="470" spans="1:21" x14ac:dyDescent="0.25">
      <c r="A470" s="519" t="s">
        <v>1365</v>
      </c>
      <c r="B470" s="519" t="s">
        <v>1368</v>
      </c>
      <c r="C470" s="519" t="s">
        <v>284</v>
      </c>
      <c r="D470" s="519" t="s">
        <v>109</v>
      </c>
      <c r="E470" s="519" t="s">
        <v>289</v>
      </c>
      <c r="F470" s="519" t="s">
        <v>16</v>
      </c>
      <c r="G470" s="519" t="s">
        <v>58</v>
      </c>
      <c r="H470" s="519" t="s">
        <v>152</v>
      </c>
      <c r="I470" s="881">
        <v>116622.368969731</v>
      </c>
      <c r="J470" s="881">
        <v>2.5392809200000102</v>
      </c>
      <c r="K470" s="60">
        <v>2.17730582436351E-5</v>
      </c>
      <c r="L470" s="880">
        <v>3.1824878280592199</v>
      </c>
      <c r="M470">
        <v>0</v>
      </c>
      <c r="N470" s="60">
        <v>0.34657355799306805</v>
      </c>
      <c r="O470" s="881">
        <v>327785.773255862</v>
      </c>
      <c r="P470" s="60">
        <v>1.38149780115699E-5</v>
      </c>
      <c r="Q470" s="880">
        <v>3.1213366382440899</v>
      </c>
      <c r="R470" s="60">
        <v>0.49418251100359306</v>
      </c>
      <c r="S470" s="60">
        <v>0.34358829622425102</v>
      </c>
      <c r="T470" s="60">
        <v>0.34517955743700701</v>
      </c>
      <c r="U470" s="60">
        <v>0.99728985383313107</v>
      </c>
    </row>
    <row r="471" spans="1:21" x14ac:dyDescent="0.25">
      <c r="A471" s="519" t="s">
        <v>1369</v>
      </c>
      <c r="B471" s="519" t="s">
        <v>1371</v>
      </c>
      <c r="C471" s="519" t="s">
        <v>284</v>
      </c>
      <c r="D471" s="519" t="s">
        <v>109</v>
      </c>
      <c r="E471" s="519" t="s">
        <v>289</v>
      </c>
      <c r="F471" s="519" t="s">
        <v>16</v>
      </c>
      <c r="G471" s="519" t="s">
        <v>59</v>
      </c>
      <c r="H471" s="519" t="s">
        <v>154</v>
      </c>
      <c r="I471" s="881">
        <v>35320.651963869903</v>
      </c>
      <c r="J471" s="881">
        <v>81.524092610107999</v>
      </c>
      <c r="K471" s="60">
        <v>2.3027989149606402E-3</v>
      </c>
      <c r="L471" s="880">
        <v>3.0515176738614098</v>
      </c>
      <c r="M471">
        <v>0</v>
      </c>
      <c r="N471" s="60">
        <v>0.35572052420697703</v>
      </c>
      <c r="O471" s="881">
        <v>116099.33329255</v>
      </c>
      <c r="P471" s="60">
        <v>1.92100960449034E-2</v>
      </c>
      <c r="Q471" s="880">
        <v>3.08098095860784</v>
      </c>
      <c r="R471" s="60">
        <v>0.49418251100359306</v>
      </c>
      <c r="S471" s="60">
        <v>0.41741609472713204</v>
      </c>
      <c r="T471" s="60">
        <v>0.25700370532137001</v>
      </c>
      <c r="U471" s="60">
        <v>3.6023188274371301E-2</v>
      </c>
    </row>
    <row r="472" spans="1:21" x14ac:dyDescent="0.25">
      <c r="A472" s="519" t="s">
        <v>1373</v>
      </c>
      <c r="B472" s="519" t="s">
        <v>1374</v>
      </c>
      <c r="C472" s="519" t="s">
        <v>284</v>
      </c>
      <c r="D472" s="519" t="s">
        <v>109</v>
      </c>
      <c r="E472" s="519" t="s">
        <v>289</v>
      </c>
      <c r="F472" s="519" t="s">
        <v>17</v>
      </c>
      <c r="G472" s="519" t="s">
        <v>56</v>
      </c>
      <c r="H472" s="519" t="s">
        <v>144</v>
      </c>
      <c r="I472" s="881">
        <v>107726.14389746101</v>
      </c>
      <c r="J472" s="881">
        <v>4439.4929486187593</v>
      </c>
      <c r="K472" s="60">
        <v>3.9579795322795201E-2</v>
      </c>
      <c r="L472" s="880">
        <v>3.1396128490027402</v>
      </c>
      <c r="M472">
        <v>0</v>
      </c>
      <c r="N472" s="60">
        <v>0.38595315493976401</v>
      </c>
      <c r="O472" s="881">
        <v>933192.79263308609</v>
      </c>
      <c r="P472" s="60">
        <v>1.0417883397016001E-2</v>
      </c>
      <c r="Q472" s="880">
        <v>3.1583179097007701</v>
      </c>
      <c r="R472" s="60">
        <v>0.49418251100359306</v>
      </c>
      <c r="S472" s="60">
        <v>0.46080358898996104</v>
      </c>
      <c r="T472" s="60">
        <v>0.10941925795669501</v>
      </c>
      <c r="U472" s="60">
        <v>0.45131331990311702</v>
      </c>
    </row>
    <row r="473" spans="1:21" x14ac:dyDescent="0.25">
      <c r="A473" s="519" t="s">
        <v>1373</v>
      </c>
      <c r="B473" s="519" t="s">
        <v>1375</v>
      </c>
      <c r="C473" s="519" t="s">
        <v>284</v>
      </c>
      <c r="D473" s="519" t="s">
        <v>109</v>
      </c>
      <c r="E473" s="519" t="s">
        <v>289</v>
      </c>
      <c r="F473" s="519" t="s">
        <v>17</v>
      </c>
      <c r="G473" s="519" t="s">
        <v>56</v>
      </c>
      <c r="H473" s="519" t="s">
        <v>146</v>
      </c>
      <c r="I473" s="881">
        <v>351173.82989812799</v>
      </c>
      <c r="J473" s="881">
        <v>4065.5231488664299</v>
      </c>
      <c r="K473" s="60">
        <v>1.14444616397233E-2</v>
      </c>
      <c r="L473" s="880">
        <v>3.15736010649873</v>
      </c>
      <c r="M473">
        <v>0</v>
      </c>
      <c r="N473" s="60">
        <v>0.48514794777820802</v>
      </c>
      <c r="O473" s="881">
        <v>933192.79263308609</v>
      </c>
      <c r="P473" s="60">
        <v>1.0417883397016001E-2</v>
      </c>
      <c r="Q473" s="880">
        <v>3.1583179097007701</v>
      </c>
      <c r="R473" s="60">
        <v>0.49418251100359306</v>
      </c>
      <c r="S473" s="60">
        <v>0.46080358898996104</v>
      </c>
      <c r="T473" s="60">
        <v>0.38510794549074001</v>
      </c>
      <c r="U473" s="60">
        <v>0.41384615468712205</v>
      </c>
    </row>
    <row r="474" spans="1:21" x14ac:dyDescent="0.25">
      <c r="A474" s="519" t="s">
        <v>1376</v>
      </c>
      <c r="B474" s="519" t="s">
        <v>1378</v>
      </c>
      <c r="C474" s="519" t="s">
        <v>284</v>
      </c>
      <c r="D474" s="519" t="s">
        <v>109</v>
      </c>
      <c r="E474" s="519" t="s">
        <v>3</v>
      </c>
      <c r="F474" s="519" t="s">
        <v>70</v>
      </c>
      <c r="G474" s="519" t="s">
        <v>56</v>
      </c>
      <c r="H474" s="519" t="s">
        <v>145</v>
      </c>
      <c r="I474" s="881">
        <v>582519.79840159509</v>
      </c>
      <c r="J474" s="881">
        <v>11.6882314300001</v>
      </c>
      <c r="K474" s="60">
        <v>2.0064548780971298E-5</v>
      </c>
      <c r="L474" s="880">
        <v>3.07083404588872</v>
      </c>
      <c r="M474">
        <v>0</v>
      </c>
      <c r="N474" s="60">
        <v>0.11771390441651</v>
      </c>
      <c r="O474" s="881">
        <v>1314703.99194531</v>
      </c>
      <c r="P474" s="60">
        <v>2.8427573530667004E-5</v>
      </c>
      <c r="Q474" s="880">
        <v>3.1418456961038301</v>
      </c>
      <c r="R474" s="60">
        <v>0.64682501869604003</v>
      </c>
      <c r="S474" s="60">
        <v>0.16010217025354301</v>
      </c>
      <c r="T474" s="60">
        <v>0.44887132489480203</v>
      </c>
      <c r="U474" s="60">
        <v>0.132066512982076</v>
      </c>
    </row>
    <row r="475" spans="1:21" x14ac:dyDescent="0.25">
      <c r="A475" s="519" t="s">
        <v>1380</v>
      </c>
      <c r="B475" s="519" t="s">
        <v>1381</v>
      </c>
      <c r="C475" s="519" t="s">
        <v>284</v>
      </c>
      <c r="D475" s="519" t="s">
        <v>109</v>
      </c>
      <c r="E475" s="519" t="s">
        <v>3</v>
      </c>
      <c r="F475" s="519" t="s">
        <v>70</v>
      </c>
      <c r="G475" s="519" t="s">
        <v>57</v>
      </c>
      <c r="H475" s="519" t="s">
        <v>147</v>
      </c>
      <c r="I475" s="881">
        <v>185125.53850923001</v>
      </c>
      <c r="J475" s="881">
        <v>0.87073615000000204</v>
      </c>
      <c r="K475" s="60">
        <v>4.7034680440750298E-6</v>
      </c>
      <c r="L475" s="880">
        <v>-25.809104081938102</v>
      </c>
      <c r="M475">
        <v>0</v>
      </c>
      <c r="N475" s="60">
        <v>2.37482822053252E-2</v>
      </c>
      <c r="O475" s="881">
        <v>744385.57813593908</v>
      </c>
      <c r="P475" s="60">
        <v>4.4618535583680001E-6</v>
      </c>
      <c r="Q475" s="880">
        <v>3.60329563022397</v>
      </c>
      <c r="R475" s="60">
        <v>0.64682501869604003</v>
      </c>
      <c r="S475" s="60">
        <v>2.6915533088352098E-2</v>
      </c>
      <c r="T475" s="60">
        <v>0.21990029467865901</v>
      </c>
      <c r="U475" s="60">
        <v>0.18160939000037701</v>
      </c>
    </row>
    <row r="476" spans="1:21" x14ac:dyDescent="0.25">
      <c r="A476" s="519" t="s">
        <v>1380</v>
      </c>
      <c r="B476" s="519" t="s">
        <v>1383</v>
      </c>
      <c r="C476" s="519" t="s">
        <v>284</v>
      </c>
      <c r="D476" s="519" t="s">
        <v>109</v>
      </c>
      <c r="E476" s="519" t="s">
        <v>3</v>
      </c>
      <c r="F476" s="519" t="s">
        <v>70</v>
      </c>
      <c r="G476" s="519" t="s">
        <v>57</v>
      </c>
      <c r="H476" s="519" t="s">
        <v>149</v>
      </c>
      <c r="I476" s="881">
        <v>379705.37881509901</v>
      </c>
      <c r="J476" s="881">
        <v>4.0865638099999702</v>
      </c>
      <c r="K476" s="60">
        <v>1.07623437986251E-5</v>
      </c>
      <c r="L476" s="880">
        <v>3.1902161051646698</v>
      </c>
      <c r="M476">
        <v>0</v>
      </c>
      <c r="N476" s="60">
        <v>1.6648503525382899E-2</v>
      </c>
      <c r="O476" s="881">
        <v>744385.57813593908</v>
      </c>
      <c r="P476" s="60">
        <v>4.4618535583680001E-6</v>
      </c>
      <c r="Q476" s="880">
        <v>3.60329563022397</v>
      </c>
      <c r="R476" s="60">
        <v>0.64682501869604003</v>
      </c>
      <c r="S476" s="60">
        <v>2.6915533088352098E-2</v>
      </c>
      <c r="T476" s="60">
        <v>0.56801728623499703</v>
      </c>
      <c r="U476" s="60">
        <v>0.50908337226315203</v>
      </c>
    </row>
    <row r="477" spans="1:21" x14ac:dyDescent="0.25">
      <c r="A477" s="519" t="s">
        <v>1384</v>
      </c>
      <c r="B477" s="519" t="s">
        <v>1386</v>
      </c>
      <c r="C477" s="519" t="s">
        <v>284</v>
      </c>
      <c r="D477" s="519" t="s">
        <v>109</v>
      </c>
      <c r="E477" s="519" t="s">
        <v>3</v>
      </c>
      <c r="F477" s="519" t="s">
        <v>70</v>
      </c>
      <c r="G477" s="519" t="s">
        <v>58</v>
      </c>
      <c r="H477" s="519" t="s">
        <v>151</v>
      </c>
      <c r="I477" s="881">
        <v>316082.95857828204</v>
      </c>
      <c r="J477" s="881">
        <v>-1.4276698400000001</v>
      </c>
      <c r="K477" s="60">
        <v>-4.5167771615657894E-6</v>
      </c>
      <c r="L477" s="880">
        <v>3.2081622668651799</v>
      </c>
      <c r="M477">
        <v>0</v>
      </c>
      <c r="N477" s="60">
        <v>5.4207020767608402E-2</v>
      </c>
      <c r="O477" s="881">
        <v>915853.69869063306</v>
      </c>
      <c r="P477" s="60">
        <v>1.31790567519099E-3</v>
      </c>
      <c r="Q477" s="880">
        <v>3.0822898806588799</v>
      </c>
      <c r="R477" s="60">
        <v>0.64682501869604003</v>
      </c>
      <c r="S477" s="60">
        <v>8.917431455841901E-2</v>
      </c>
      <c r="T477" s="60">
        <v>0.26021099886167104</v>
      </c>
      <c r="U477" s="60">
        <v>-7.7865351393717102E-3</v>
      </c>
    </row>
    <row r="478" spans="1:21" x14ac:dyDescent="0.25">
      <c r="A478" s="519" t="s">
        <v>1388</v>
      </c>
      <c r="B478" s="519" t="s">
        <v>1389</v>
      </c>
      <c r="C478" s="519" t="s">
        <v>284</v>
      </c>
      <c r="D478" s="519" t="s">
        <v>109</v>
      </c>
      <c r="E478" s="519" t="s">
        <v>3</v>
      </c>
      <c r="F478" s="519" t="s">
        <v>70</v>
      </c>
      <c r="G478" s="519" t="s">
        <v>59</v>
      </c>
      <c r="H478" s="519" t="s">
        <v>153</v>
      </c>
      <c r="I478" s="881">
        <v>50547.969056310001</v>
      </c>
      <c r="J478" s="881">
        <v>1.04562900000002E-2</v>
      </c>
      <c r="K478" s="60">
        <v>2.0685871326259099E-7</v>
      </c>
      <c r="L478" s="880">
        <v>2.9293390776675601</v>
      </c>
      <c r="M478">
        <v>0</v>
      </c>
      <c r="N478" s="60">
        <v>0.22036776272556302</v>
      </c>
      <c r="O478" s="881">
        <v>276344.88731761102</v>
      </c>
      <c r="P478" s="60">
        <v>-1.1220214743568399E-6</v>
      </c>
      <c r="Q478" s="880">
        <v>2.57996155651001</v>
      </c>
      <c r="R478" s="60">
        <v>0.64682501869604003</v>
      </c>
      <c r="S478" s="60">
        <v>0.137157518847734</v>
      </c>
      <c r="T478" s="60">
        <v>0.22762449767893303</v>
      </c>
      <c r="U478" s="60">
        <v>0.96887345403560909</v>
      </c>
    </row>
    <row r="479" spans="1:21" x14ac:dyDescent="0.25">
      <c r="A479" s="519" t="s">
        <v>1388</v>
      </c>
      <c r="B479" s="519" t="s">
        <v>1391</v>
      </c>
      <c r="C479" s="519" t="s">
        <v>284</v>
      </c>
      <c r="D479" s="519" t="s">
        <v>109</v>
      </c>
      <c r="E479" s="519" t="s">
        <v>3</v>
      </c>
      <c r="F479" s="519" t="s">
        <v>70</v>
      </c>
      <c r="G479" s="519" t="s">
        <v>59</v>
      </c>
      <c r="H479" s="519" t="s">
        <v>155</v>
      </c>
      <c r="I479" s="881">
        <v>181391.901026031</v>
      </c>
      <c r="J479" s="881">
        <v>-0.12893510999999802</v>
      </c>
      <c r="K479" s="60">
        <v>-7.1081013495678794E-7</v>
      </c>
      <c r="L479" s="880">
        <v>5.2767428538452403</v>
      </c>
      <c r="M479">
        <v>0</v>
      </c>
      <c r="N479" s="60">
        <v>0.119011080487447</v>
      </c>
      <c r="O479" s="881">
        <v>276344.88731761102</v>
      </c>
      <c r="P479" s="60">
        <v>-1.1220214743568399E-6</v>
      </c>
      <c r="Q479" s="880">
        <v>2.57996155651001</v>
      </c>
      <c r="R479" s="60">
        <v>0.64682501869604003</v>
      </c>
      <c r="S479" s="60">
        <v>0.137157518847734</v>
      </c>
      <c r="T479" s="60">
        <v>0.50614660618812901</v>
      </c>
      <c r="U479" s="60">
        <v>-2.6955358034371E-3</v>
      </c>
    </row>
    <row r="480" spans="1:21" x14ac:dyDescent="0.25">
      <c r="A480" s="519" t="s">
        <v>1392</v>
      </c>
      <c r="B480" s="519" t="s">
        <v>1394</v>
      </c>
      <c r="C480" s="519" t="s">
        <v>284</v>
      </c>
      <c r="D480" s="519" t="s">
        <v>109</v>
      </c>
      <c r="E480" s="519" t="s">
        <v>3</v>
      </c>
      <c r="F480" s="519" t="s">
        <v>16</v>
      </c>
      <c r="G480" s="519" t="s">
        <v>56</v>
      </c>
      <c r="H480" s="519" t="s">
        <v>145</v>
      </c>
      <c r="I480" s="881">
        <v>549011.57711943006</v>
      </c>
      <c r="J480" s="881">
        <v>-7.90170616999995</v>
      </c>
      <c r="K480" s="60">
        <v>-1.43928110573248E-5</v>
      </c>
      <c r="L480" s="880">
        <v>3.0588292949835698</v>
      </c>
      <c r="M480">
        <v>0</v>
      </c>
      <c r="N480" s="60">
        <v>0.106522806262987</v>
      </c>
      <c r="O480" s="881">
        <v>1296240.9414440801</v>
      </c>
      <c r="P480" s="60">
        <v>-1.3326767717757099E-5</v>
      </c>
      <c r="Q480" s="880">
        <v>3.1115817195080999</v>
      </c>
      <c r="R480" s="60">
        <v>0.64682501869604003</v>
      </c>
      <c r="S480" s="60">
        <v>8.4426651847126E-2</v>
      </c>
      <c r="T480" s="60">
        <v>0.44887132489480203</v>
      </c>
      <c r="U480" s="60">
        <v>0.132066512982076</v>
      </c>
    </row>
    <row r="481" spans="1:21" x14ac:dyDescent="0.25">
      <c r="A481" s="519" t="s">
        <v>1396</v>
      </c>
      <c r="B481" s="519" t="s">
        <v>1397</v>
      </c>
      <c r="C481" s="519" t="s">
        <v>284</v>
      </c>
      <c r="D481" s="519" t="s">
        <v>109</v>
      </c>
      <c r="E481" s="519" t="s">
        <v>3</v>
      </c>
      <c r="F481" s="519" t="s">
        <v>16</v>
      </c>
      <c r="G481" s="519" t="s">
        <v>57</v>
      </c>
      <c r="H481" s="519" t="s">
        <v>147</v>
      </c>
      <c r="I481" s="881">
        <v>352670.11668650998</v>
      </c>
      <c r="J481" s="881">
        <v>-5.2483613499999597</v>
      </c>
      <c r="K481" s="60">
        <v>-1.4882007881661001E-5</v>
      </c>
      <c r="L481" s="880">
        <v>3.22304863028931</v>
      </c>
      <c r="M481">
        <v>0</v>
      </c>
      <c r="N481" s="60">
        <v>3.5732135496446597E-2</v>
      </c>
      <c r="O481" s="881">
        <v>1701248.50335369</v>
      </c>
      <c r="P481" s="60">
        <v>-1.6121345946545201E-5</v>
      </c>
      <c r="Q481" s="880">
        <v>3.0632057423844499</v>
      </c>
      <c r="R481" s="60">
        <v>0.64682501869604003</v>
      </c>
      <c r="S481" s="60">
        <v>5.1925757544713201E-2</v>
      </c>
      <c r="T481" s="60">
        <v>0.21990029467865901</v>
      </c>
      <c r="U481" s="60">
        <v>0.18160939000037701</v>
      </c>
    </row>
    <row r="482" spans="1:21" x14ac:dyDescent="0.25">
      <c r="A482" s="519" t="s">
        <v>1396</v>
      </c>
      <c r="B482" s="519" t="s">
        <v>1399</v>
      </c>
      <c r="C482" s="519" t="s">
        <v>284</v>
      </c>
      <c r="D482" s="519" t="s">
        <v>109</v>
      </c>
      <c r="E482" s="519" t="s">
        <v>3</v>
      </c>
      <c r="F482" s="519" t="s">
        <v>16</v>
      </c>
      <c r="G482" s="519" t="s">
        <v>57</v>
      </c>
      <c r="H482" s="519" t="s">
        <v>149</v>
      </c>
      <c r="I482" s="881">
        <v>1009457.05527646</v>
      </c>
      <c r="J482" s="881">
        <v>-16.357824670000099</v>
      </c>
      <c r="K482" s="60">
        <v>-1.62048396813139E-5</v>
      </c>
      <c r="L482" s="880">
        <v>3.1674193075744399</v>
      </c>
      <c r="M482">
        <v>0</v>
      </c>
      <c r="N482" s="60">
        <v>3.3676740680870003E-2</v>
      </c>
      <c r="O482" s="881">
        <v>1701248.50335369</v>
      </c>
      <c r="P482" s="60">
        <v>-1.6121345946545201E-5</v>
      </c>
      <c r="Q482" s="880">
        <v>3.0632057423844499</v>
      </c>
      <c r="R482" s="60">
        <v>0.64682501869604003</v>
      </c>
      <c r="S482" s="60">
        <v>5.1925757544713201E-2</v>
      </c>
      <c r="T482" s="60">
        <v>0.56801728623499703</v>
      </c>
      <c r="U482" s="60">
        <v>0.50908337226315203</v>
      </c>
    </row>
    <row r="483" spans="1:21" x14ac:dyDescent="0.25">
      <c r="A483" s="519" t="s">
        <v>1400</v>
      </c>
      <c r="B483" s="519" t="s">
        <v>1402</v>
      </c>
      <c r="C483" s="519" t="s">
        <v>284</v>
      </c>
      <c r="D483" s="519" t="s">
        <v>109</v>
      </c>
      <c r="E483" s="519" t="s">
        <v>3</v>
      </c>
      <c r="F483" s="519" t="s">
        <v>16</v>
      </c>
      <c r="G483" s="519" t="s">
        <v>58</v>
      </c>
      <c r="H483" s="519" t="s">
        <v>151</v>
      </c>
      <c r="I483" s="881">
        <v>388751.207382183</v>
      </c>
      <c r="J483" s="881">
        <v>-7.7594673199999296</v>
      </c>
      <c r="K483" s="60">
        <v>-1.9960380970071799E-5</v>
      </c>
      <c r="L483" s="880">
        <v>3.1698758217363201</v>
      </c>
      <c r="M483">
        <v>0</v>
      </c>
      <c r="N483" s="60">
        <v>0.15003125194021802</v>
      </c>
      <c r="O483" s="881">
        <v>1792848.7352720301</v>
      </c>
      <c r="P483" s="60">
        <v>-1.6023213018172301E-5</v>
      </c>
      <c r="Q483" s="880">
        <v>3.0460077637169198</v>
      </c>
      <c r="R483" s="60">
        <v>0.64682501869604003</v>
      </c>
      <c r="S483" s="60">
        <v>0.19460992660669302</v>
      </c>
      <c r="T483" s="60">
        <v>0.26021099886167104</v>
      </c>
      <c r="U483" s="60">
        <v>-7.7865351393717102E-3</v>
      </c>
    </row>
    <row r="484" spans="1:21" x14ac:dyDescent="0.25">
      <c r="A484" s="519" t="s">
        <v>1404</v>
      </c>
      <c r="B484" s="519" t="s">
        <v>1405</v>
      </c>
      <c r="C484" s="519" t="s">
        <v>284</v>
      </c>
      <c r="D484" s="519" t="s">
        <v>109</v>
      </c>
      <c r="E484" s="519" t="s">
        <v>3</v>
      </c>
      <c r="F484" s="519" t="s">
        <v>16</v>
      </c>
      <c r="G484" s="519" t="s">
        <v>59</v>
      </c>
      <c r="H484" s="519" t="s">
        <v>153</v>
      </c>
      <c r="I484" s="881">
        <v>145156.65649064002</v>
      </c>
      <c r="J484" s="881">
        <v>1046.8786345572498</v>
      </c>
      <c r="K484" s="60">
        <v>7.1604194362386202E-3</v>
      </c>
      <c r="L484" s="880">
        <v>2.9269965085616798</v>
      </c>
      <c r="M484">
        <v>0</v>
      </c>
      <c r="N484" s="60">
        <v>0.29090026355107501</v>
      </c>
      <c r="O484" s="881">
        <v>583424.72246751003</v>
      </c>
      <c r="P484" s="60">
        <v>1.8491390970943101E-3</v>
      </c>
      <c r="Q484" s="880">
        <v>2.8494494959302101</v>
      </c>
      <c r="R484" s="60">
        <v>0.64682501869604003</v>
      </c>
      <c r="S484" s="60">
        <v>0.31339712676996201</v>
      </c>
      <c r="T484" s="60">
        <v>0.22762449767893303</v>
      </c>
      <c r="U484" s="60">
        <v>0.96887345403560909</v>
      </c>
    </row>
    <row r="485" spans="1:21" x14ac:dyDescent="0.25">
      <c r="A485" s="519" t="s">
        <v>1404</v>
      </c>
      <c r="B485" s="519" t="s">
        <v>1407</v>
      </c>
      <c r="C485" s="519" t="s">
        <v>284</v>
      </c>
      <c r="D485" s="519" t="s">
        <v>109</v>
      </c>
      <c r="E485" s="519" t="s">
        <v>3</v>
      </c>
      <c r="F485" s="519" t="s">
        <v>16</v>
      </c>
      <c r="G485" s="519" t="s">
        <v>59</v>
      </c>
      <c r="H485" s="519" t="s">
        <v>155</v>
      </c>
      <c r="I485" s="881">
        <v>253777.5690704</v>
      </c>
      <c r="J485" s="881">
        <v>-2.7836506511770001</v>
      </c>
      <c r="K485" s="60">
        <v>-1.09689804153426E-5</v>
      </c>
      <c r="L485" s="880">
        <v>3.26873768966913</v>
      </c>
      <c r="M485">
        <v>0</v>
      </c>
      <c r="N485" s="60">
        <v>0.32584446328032501</v>
      </c>
      <c r="O485" s="881">
        <v>583424.72246751003</v>
      </c>
      <c r="P485" s="60">
        <v>1.8491390970943101E-3</v>
      </c>
      <c r="Q485" s="880">
        <v>2.8494494959302101</v>
      </c>
      <c r="R485" s="60">
        <v>0.64682501869604003</v>
      </c>
      <c r="S485" s="60">
        <v>0.31339712676996201</v>
      </c>
      <c r="T485" s="60">
        <v>0.50614660618812901</v>
      </c>
      <c r="U485" s="60">
        <v>-2.6955358034371E-3</v>
      </c>
    </row>
    <row r="486" spans="1:21" x14ac:dyDescent="0.25">
      <c r="A486" s="519" t="s">
        <v>1408</v>
      </c>
      <c r="B486" s="519" t="s">
        <v>1781</v>
      </c>
      <c r="C486" s="519" t="s">
        <v>284</v>
      </c>
      <c r="D486" s="519" t="s">
        <v>109</v>
      </c>
      <c r="E486" s="519" t="s">
        <v>3</v>
      </c>
      <c r="F486" s="519" t="s">
        <v>17</v>
      </c>
      <c r="G486" s="519" t="s">
        <v>56</v>
      </c>
      <c r="H486" s="519" t="s">
        <v>145</v>
      </c>
      <c r="I486" s="881">
        <v>1058973.17928338</v>
      </c>
      <c r="J486" s="881">
        <v>1389.55308886689</v>
      </c>
      <c r="K486" s="60">
        <v>1.3104507037494E-3</v>
      </c>
      <c r="L486" s="880">
        <v>3.1829599182275699</v>
      </c>
      <c r="M486">
        <v>0</v>
      </c>
      <c r="N486" s="60">
        <v>0.25715766040118704</v>
      </c>
      <c r="O486" s="881">
        <v>2269082.8904368998</v>
      </c>
      <c r="P486" s="60">
        <v>4.6192867834094703E-3</v>
      </c>
      <c r="Q486" s="880">
        <v>3.1172571411482499</v>
      </c>
      <c r="R486" s="60">
        <v>0.64682501869604003</v>
      </c>
      <c r="S486" s="60">
        <v>0.26031250602420702</v>
      </c>
      <c r="T486" s="60">
        <v>0.44887132489480203</v>
      </c>
      <c r="U486" s="60">
        <v>0.132066512982076</v>
      </c>
    </row>
    <row r="487" spans="1:21" x14ac:dyDescent="0.25">
      <c r="A487" s="519" t="s">
        <v>1916</v>
      </c>
      <c r="B487" s="519" t="s">
        <v>1917</v>
      </c>
      <c r="C487" s="519" t="s">
        <v>284</v>
      </c>
      <c r="D487" s="519" t="s">
        <v>109</v>
      </c>
      <c r="E487" s="519" t="s">
        <v>3</v>
      </c>
      <c r="F487" s="519" t="s">
        <v>17</v>
      </c>
      <c r="G487" s="519" t="s">
        <v>57</v>
      </c>
      <c r="H487" s="519" t="s">
        <v>149</v>
      </c>
      <c r="I487" s="881">
        <v>874400.92646374111</v>
      </c>
      <c r="J487" s="881">
        <v>-1.9238640601049799</v>
      </c>
      <c r="K487" s="60">
        <v>-2.20021300846076E-6</v>
      </c>
      <c r="L487" s="880">
        <v>3.0666067964299901</v>
      </c>
      <c r="M487">
        <v>0</v>
      </c>
      <c r="N487" s="60">
        <v>0.23737266773140503</v>
      </c>
      <c r="O487" s="881">
        <v>874400.92646374111</v>
      </c>
      <c r="P487" s="60">
        <v>-2.2002130084608099E-6</v>
      </c>
      <c r="Q487" s="880">
        <v>3.0666067964299901</v>
      </c>
      <c r="R487" s="60">
        <v>0.64682501869604003</v>
      </c>
      <c r="S487" s="60">
        <v>0.23737266773140503</v>
      </c>
      <c r="T487" s="60">
        <v>0.56801728623499703</v>
      </c>
      <c r="U487" s="60">
        <v>0.50908337226315203</v>
      </c>
    </row>
    <row r="488" spans="1:21" x14ac:dyDescent="0.25">
      <c r="A488" s="519" t="s">
        <v>1411</v>
      </c>
      <c r="B488" s="519" t="s">
        <v>1412</v>
      </c>
      <c r="C488" s="519" t="s">
        <v>284</v>
      </c>
      <c r="D488" s="519" t="s">
        <v>109</v>
      </c>
      <c r="E488" s="519" t="s">
        <v>286</v>
      </c>
      <c r="F488" s="519" t="s">
        <v>70</v>
      </c>
      <c r="G488" s="519" t="s">
        <v>56</v>
      </c>
      <c r="H488" s="519" t="s">
        <v>144</v>
      </c>
      <c r="I488" s="881">
        <v>101566.57743126</v>
      </c>
      <c r="J488" s="881">
        <v>2.0592598900000101</v>
      </c>
      <c r="K488" s="60">
        <v>2.0274564640084901E-5</v>
      </c>
      <c r="L488" s="880">
        <v>3.0064821372711301</v>
      </c>
      <c r="M488">
        <v>0</v>
      </c>
      <c r="N488" s="60">
        <v>0.40851547416541806</v>
      </c>
      <c r="O488" s="881">
        <v>394935.45574869105</v>
      </c>
      <c r="P488" s="60">
        <v>2.03116363556069E-5</v>
      </c>
      <c r="Q488" s="880">
        <v>2.9695859013610901</v>
      </c>
      <c r="R488" s="60">
        <v>0.578526652000936</v>
      </c>
      <c r="S488" s="60">
        <v>0.54003488440274505</v>
      </c>
      <c r="T488" s="60">
        <v>0.267137590194095</v>
      </c>
      <c r="U488" s="60">
        <v>0.52610758999868701</v>
      </c>
    </row>
    <row r="489" spans="1:21" x14ac:dyDescent="0.25">
      <c r="A489" s="519" t="s">
        <v>1411</v>
      </c>
      <c r="B489" s="519" t="s">
        <v>1414</v>
      </c>
      <c r="C489" s="519" t="s">
        <v>284</v>
      </c>
      <c r="D489" s="519" t="s">
        <v>109</v>
      </c>
      <c r="E489" s="519" t="s">
        <v>286</v>
      </c>
      <c r="F489" s="519" t="s">
        <v>70</v>
      </c>
      <c r="G489" s="519" t="s">
        <v>56</v>
      </c>
      <c r="H489" s="519" t="s">
        <v>146</v>
      </c>
      <c r="I489" s="881">
        <v>147882.48400886101</v>
      </c>
      <c r="J489" s="881">
        <v>3.1080570600000001</v>
      </c>
      <c r="K489" s="60">
        <v>2.10166319556986E-5</v>
      </c>
      <c r="L489" s="880">
        <v>2.9864154121862598</v>
      </c>
      <c r="M489">
        <v>0</v>
      </c>
      <c r="N489" s="60">
        <v>0.523973795224707</v>
      </c>
      <c r="O489" s="881">
        <v>394935.45574869105</v>
      </c>
      <c r="P489" s="60">
        <v>2.03116363556069E-5</v>
      </c>
      <c r="Q489" s="880">
        <v>2.9695859013610901</v>
      </c>
      <c r="R489" s="60">
        <v>0.578526652000936</v>
      </c>
      <c r="S489" s="60">
        <v>0.54003488440274505</v>
      </c>
      <c r="T489" s="60">
        <v>0.39623752263688605</v>
      </c>
      <c r="U489" s="60">
        <v>0.39614796842386502</v>
      </c>
    </row>
    <row r="490" spans="1:21" x14ac:dyDescent="0.25">
      <c r="A490" s="519" t="s">
        <v>1415</v>
      </c>
      <c r="B490" s="519" t="s">
        <v>1417</v>
      </c>
      <c r="C490" s="519" t="s">
        <v>284</v>
      </c>
      <c r="D490" s="519" t="s">
        <v>109</v>
      </c>
      <c r="E490" s="519" t="s">
        <v>286</v>
      </c>
      <c r="F490" s="519" t="s">
        <v>70</v>
      </c>
      <c r="G490" s="519" t="s">
        <v>57</v>
      </c>
      <c r="H490" s="519" t="s">
        <v>148</v>
      </c>
      <c r="I490" s="881">
        <v>134556.69854419</v>
      </c>
      <c r="J490" s="881">
        <v>1.4074207700000001</v>
      </c>
      <c r="K490" s="60">
        <v>1.0459576254488299E-5</v>
      </c>
      <c r="L490" s="880">
        <v>3.3512475475475298</v>
      </c>
      <c r="M490">
        <v>0</v>
      </c>
      <c r="N490" s="60">
        <v>0.44884313120179103</v>
      </c>
      <c r="O490" s="881">
        <v>481076.66785778</v>
      </c>
      <c r="P490" s="60">
        <v>7.8796223839755392E-6</v>
      </c>
      <c r="Q490" s="880">
        <v>2.9761514053298401</v>
      </c>
      <c r="R490" s="60">
        <v>0.578526652000936</v>
      </c>
      <c r="S490" s="60">
        <v>0.586039130469586</v>
      </c>
      <c r="T490" s="60">
        <v>0.27467916188985803</v>
      </c>
      <c r="U490" s="60">
        <v>0.21960719972206602</v>
      </c>
    </row>
    <row r="491" spans="1:21" x14ac:dyDescent="0.25">
      <c r="A491" s="519" t="s">
        <v>1419</v>
      </c>
      <c r="B491" s="519" t="s">
        <v>1421</v>
      </c>
      <c r="C491" s="519" t="s">
        <v>284</v>
      </c>
      <c r="D491" s="519" t="s">
        <v>109</v>
      </c>
      <c r="E491" s="519" t="s">
        <v>286</v>
      </c>
      <c r="F491" s="519" t="s">
        <v>70</v>
      </c>
      <c r="G491" s="519" t="s">
        <v>58</v>
      </c>
      <c r="H491" s="519" t="s">
        <v>151</v>
      </c>
      <c r="I491" s="881">
        <v>150980.55562299999</v>
      </c>
      <c r="J491" s="881">
        <v>0.17955646000001702</v>
      </c>
      <c r="K491" s="60">
        <v>1.1892673577631799E-6</v>
      </c>
      <c r="L491" s="880">
        <v>2.99789823951579</v>
      </c>
      <c r="M491">
        <v>0</v>
      </c>
      <c r="N491" s="60">
        <v>0.50181073775282903</v>
      </c>
      <c r="O491" s="881">
        <v>386277.67085505999</v>
      </c>
      <c r="P491" s="60">
        <v>5.0552832913728805E-3</v>
      </c>
      <c r="Q491" s="880">
        <v>3.0740833402511099</v>
      </c>
      <c r="R491" s="60">
        <v>0.578526652000936</v>
      </c>
      <c r="S491" s="60">
        <v>0.38013476560853604</v>
      </c>
      <c r="T491" s="60">
        <v>0.25284189105636501</v>
      </c>
      <c r="U491" s="60">
        <v>-1.3741549078449E-3</v>
      </c>
    </row>
    <row r="492" spans="1:21" x14ac:dyDescent="0.25">
      <c r="A492" s="519" t="s">
        <v>1423</v>
      </c>
      <c r="B492" s="519" t="s">
        <v>1424</v>
      </c>
      <c r="C492" s="519" t="s">
        <v>284</v>
      </c>
      <c r="D492" s="519" t="s">
        <v>109</v>
      </c>
      <c r="E492" s="519" t="s">
        <v>286</v>
      </c>
      <c r="F492" s="519" t="s">
        <v>70</v>
      </c>
      <c r="G492" s="519" t="s">
        <v>59</v>
      </c>
      <c r="H492" s="519" t="s">
        <v>153</v>
      </c>
      <c r="I492" s="881">
        <v>75762.544376150196</v>
      </c>
      <c r="J492" s="881">
        <v>-2.34177607999999</v>
      </c>
      <c r="K492" s="60">
        <v>-3.09103724598254E-5</v>
      </c>
      <c r="L492" s="880">
        <v>3.1242622991877198</v>
      </c>
      <c r="M492">
        <v>0</v>
      </c>
      <c r="N492" s="60">
        <v>0.28504351724607901</v>
      </c>
      <c r="O492" s="881">
        <v>234971.28135645101</v>
      </c>
      <c r="P492" s="60">
        <v>-7.5252127231898794E-6</v>
      </c>
      <c r="Q492" s="880">
        <v>3.0956087575716298</v>
      </c>
      <c r="R492" s="60">
        <v>0.578526652000936</v>
      </c>
      <c r="S492" s="60">
        <v>0.23068824826775802</v>
      </c>
      <c r="T492" s="60">
        <v>0.30426709599788304</v>
      </c>
      <c r="U492" s="60">
        <v>0.95899255921285509</v>
      </c>
    </row>
    <row r="493" spans="1:21" x14ac:dyDescent="0.25">
      <c r="A493" s="519" t="s">
        <v>1423</v>
      </c>
      <c r="B493" s="519" t="s">
        <v>1426</v>
      </c>
      <c r="C493" s="519" t="s">
        <v>284</v>
      </c>
      <c r="D493" s="519" t="s">
        <v>109</v>
      </c>
      <c r="E493" s="519" t="s">
        <v>286</v>
      </c>
      <c r="F493" s="519" t="s">
        <v>70</v>
      </c>
      <c r="G493" s="519" t="s">
        <v>59</v>
      </c>
      <c r="H493" s="519" t="s">
        <v>155</v>
      </c>
      <c r="I493" s="881">
        <v>97665.787477270409</v>
      </c>
      <c r="J493" s="881">
        <v>0.62772744999999908</v>
      </c>
      <c r="K493" s="60">
        <v>6.4272600635971997E-6</v>
      </c>
      <c r="L493" s="880">
        <v>3.0814063336908402</v>
      </c>
      <c r="M493">
        <v>0</v>
      </c>
      <c r="N493" s="60">
        <v>0.21867162219677302</v>
      </c>
      <c r="O493" s="881">
        <v>234971.28135645101</v>
      </c>
      <c r="P493" s="60">
        <v>-7.5252127231898794E-6</v>
      </c>
      <c r="Q493" s="880">
        <v>3.0956087575716298</v>
      </c>
      <c r="R493" s="60">
        <v>0.578526652000936</v>
      </c>
      <c r="S493" s="60">
        <v>0.23068824826775802</v>
      </c>
      <c r="T493" s="60">
        <v>0.39049112246270901</v>
      </c>
      <c r="U493" s="60">
        <v>-1.17964912701716E-2</v>
      </c>
    </row>
    <row r="494" spans="1:21" x14ac:dyDescent="0.25">
      <c r="A494" s="519" t="s">
        <v>1427</v>
      </c>
      <c r="B494" s="519" t="s">
        <v>1428</v>
      </c>
      <c r="C494" s="519" t="s">
        <v>284</v>
      </c>
      <c r="D494" s="519" t="s">
        <v>109</v>
      </c>
      <c r="E494" s="519" t="s">
        <v>286</v>
      </c>
      <c r="F494" s="519" t="s">
        <v>16</v>
      </c>
      <c r="G494" s="519" t="s">
        <v>56</v>
      </c>
      <c r="H494" s="519" t="s">
        <v>144</v>
      </c>
      <c r="I494" s="881">
        <v>79748.452673090505</v>
      </c>
      <c r="J494" s="881">
        <v>-4.2319020599999702</v>
      </c>
      <c r="K494" s="60">
        <v>-5.30684483349716E-5</v>
      </c>
      <c r="L494" s="880">
        <v>3.0344097898968099</v>
      </c>
      <c r="M494">
        <v>0</v>
      </c>
      <c r="N494" s="60">
        <v>0.33463266720853702</v>
      </c>
      <c r="O494" s="881">
        <v>277953.03739059099</v>
      </c>
      <c r="P494" s="60">
        <v>-4.5236176049172201E-5</v>
      </c>
      <c r="Q494" s="880">
        <v>3.0525092703695398</v>
      </c>
      <c r="R494" s="60">
        <v>0.578526652000936</v>
      </c>
      <c r="S494" s="60">
        <v>0.34507814280513105</v>
      </c>
      <c r="T494" s="60">
        <v>0.267137590194095</v>
      </c>
      <c r="U494" s="60">
        <v>0.52610758999868701</v>
      </c>
    </row>
    <row r="495" spans="1:21" x14ac:dyDescent="0.25">
      <c r="A495" s="519" t="s">
        <v>1427</v>
      </c>
      <c r="B495" s="519" t="s">
        <v>1430</v>
      </c>
      <c r="C495" s="519" t="s">
        <v>284</v>
      </c>
      <c r="D495" s="519" t="s">
        <v>109</v>
      </c>
      <c r="E495" s="519" t="s">
        <v>286</v>
      </c>
      <c r="F495" s="519" t="s">
        <v>16</v>
      </c>
      <c r="G495" s="519" t="s">
        <v>56</v>
      </c>
      <c r="H495" s="519" t="s">
        <v>146</v>
      </c>
      <c r="I495" s="881">
        <v>114185.31700486</v>
      </c>
      <c r="J495" s="881">
        <v>-4.1147518299999604</v>
      </c>
      <c r="K495" s="60">
        <v>-3.6037033669356102E-5</v>
      </c>
      <c r="L495" s="880">
        <v>3.0540536881290001</v>
      </c>
      <c r="M495">
        <v>0</v>
      </c>
      <c r="N495" s="60">
        <v>0.28819750560809404</v>
      </c>
      <c r="O495" s="881">
        <v>277953.03739059099</v>
      </c>
      <c r="P495" s="60">
        <v>-4.5236176049172201E-5</v>
      </c>
      <c r="Q495" s="880">
        <v>3.0525092703695398</v>
      </c>
      <c r="R495" s="60">
        <v>0.578526652000936</v>
      </c>
      <c r="S495" s="60">
        <v>0.34507814280513105</v>
      </c>
      <c r="T495" s="60">
        <v>0.39623752263688605</v>
      </c>
      <c r="U495" s="60">
        <v>0.39614796842386502</v>
      </c>
    </row>
    <row r="496" spans="1:21" x14ac:dyDescent="0.25">
      <c r="A496" s="519" t="s">
        <v>1431</v>
      </c>
      <c r="B496" s="519" t="s">
        <v>1433</v>
      </c>
      <c r="C496" s="519" t="s">
        <v>284</v>
      </c>
      <c r="D496" s="519" t="s">
        <v>109</v>
      </c>
      <c r="E496" s="519" t="s">
        <v>286</v>
      </c>
      <c r="F496" s="519" t="s">
        <v>16</v>
      </c>
      <c r="G496" s="519" t="s">
        <v>57</v>
      </c>
      <c r="H496" s="519" t="s">
        <v>148</v>
      </c>
      <c r="I496" s="881">
        <v>57683.643123070404</v>
      </c>
      <c r="J496" s="881">
        <v>-3.2198163499999799</v>
      </c>
      <c r="K496" s="60">
        <v>-5.5821649104035299E-5</v>
      </c>
      <c r="L496" s="880">
        <v>3.0964543335922801</v>
      </c>
      <c r="M496">
        <v>0</v>
      </c>
      <c r="N496" s="60">
        <v>0.41050769833310702</v>
      </c>
      <c r="O496" s="881">
        <v>218795.64988413101</v>
      </c>
      <c r="P496" s="60">
        <v>-5.5048133935454699E-5</v>
      </c>
      <c r="Q496" s="880">
        <v>3.1728097185779003</v>
      </c>
      <c r="R496" s="60">
        <v>0.578526652000936</v>
      </c>
      <c r="S496" s="60">
        <v>0.38357391514709904</v>
      </c>
      <c r="T496" s="60">
        <v>0.27467916188985803</v>
      </c>
      <c r="U496" s="60">
        <v>0.21960719972206602</v>
      </c>
    </row>
    <row r="497" spans="1:21" x14ac:dyDescent="0.25">
      <c r="A497" s="519" t="s">
        <v>1435</v>
      </c>
      <c r="B497" s="519" t="s">
        <v>1437</v>
      </c>
      <c r="C497" s="519" t="s">
        <v>284</v>
      </c>
      <c r="D497" s="519" t="s">
        <v>109</v>
      </c>
      <c r="E497" s="519" t="s">
        <v>286</v>
      </c>
      <c r="F497" s="519" t="s">
        <v>16</v>
      </c>
      <c r="G497" s="519" t="s">
        <v>58</v>
      </c>
      <c r="H497" s="519" t="s">
        <v>151</v>
      </c>
      <c r="I497" s="881">
        <v>67496.335906890497</v>
      </c>
      <c r="J497" s="881">
        <v>-2.8391884299999601</v>
      </c>
      <c r="K497" s="60">
        <v>-4.2066103669857699E-5</v>
      </c>
      <c r="L497" s="880">
        <v>3.1207263407400498</v>
      </c>
      <c r="M497">
        <v>0</v>
      </c>
      <c r="N497" s="60">
        <v>0.39776930411505801</v>
      </c>
      <c r="O497" s="881">
        <v>477807.35325665202</v>
      </c>
      <c r="P497" s="60">
        <v>-5.6924765948614802E-5</v>
      </c>
      <c r="Q497" s="880">
        <v>3.2945750678399199</v>
      </c>
      <c r="R497" s="60">
        <v>0.578526652000936</v>
      </c>
      <c r="S497" s="60">
        <v>0.55831191186936402</v>
      </c>
      <c r="T497" s="60">
        <v>0.25284189105636501</v>
      </c>
      <c r="U497" s="60">
        <v>-1.3741549078449E-3</v>
      </c>
    </row>
    <row r="498" spans="1:21" x14ac:dyDescent="0.25">
      <c r="A498" s="519" t="s">
        <v>1439</v>
      </c>
      <c r="B498" s="519" t="s">
        <v>1440</v>
      </c>
      <c r="C498" s="519" t="s">
        <v>284</v>
      </c>
      <c r="D498" s="519" t="s">
        <v>109</v>
      </c>
      <c r="E498" s="519" t="s">
        <v>286</v>
      </c>
      <c r="F498" s="519" t="s">
        <v>16</v>
      </c>
      <c r="G498" s="519" t="s">
        <v>59</v>
      </c>
      <c r="H498" s="519" t="s">
        <v>153</v>
      </c>
      <c r="I498" s="881">
        <v>144650.942608021</v>
      </c>
      <c r="J498" s="881">
        <v>1224.4535626879599</v>
      </c>
      <c r="K498" s="60">
        <v>8.3938319609091101E-3</v>
      </c>
      <c r="L498" s="880">
        <v>3.45226789279512</v>
      </c>
      <c r="M498">
        <v>0</v>
      </c>
      <c r="N498" s="60">
        <v>0.51198343349097608</v>
      </c>
      <c r="O498" s="881">
        <v>489436.61513757205</v>
      </c>
      <c r="P498" s="60">
        <v>2.6005817933287901E-3</v>
      </c>
      <c r="Q498" s="880">
        <v>3.3702060279200401</v>
      </c>
      <c r="R498" s="60">
        <v>0.578526652000936</v>
      </c>
      <c r="S498" s="60">
        <v>0.61262274904470004</v>
      </c>
      <c r="T498" s="60">
        <v>0.30426709599788304</v>
      </c>
      <c r="U498" s="60">
        <v>0.95899255921285509</v>
      </c>
    </row>
    <row r="499" spans="1:21" x14ac:dyDescent="0.25">
      <c r="A499" s="519" t="s">
        <v>1439</v>
      </c>
      <c r="B499" s="519" t="s">
        <v>1442</v>
      </c>
      <c r="C499" s="519" t="s">
        <v>284</v>
      </c>
      <c r="D499" s="519" t="s">
        <v>109</v>
      </c>
      <c r="E499" s="519" t="s">
        <v>286</v>
      </c>
      <c r="F499" s="519" t="s">
        <v>16</v>
      </c>
      <c r="G499" s="519" t="s">
        <v>59</v>
      </c>
      <c r="H499" s="519" t="s">
        <v>155</v>
      </c>
      <c r="I499" s="881">
        <v>185209.065145531</v>
      </c>
      <c r="J499" s="881">
        <v>-15.660827429136301</v>
      </c>
      <c r="K499" s="60">
        <v>-8.4564714854727197E-5</v>
      </c>
      <c r="L499" s="880">
        <v>3.3463419560736001</v>
      </c>
      <c r="M499">
        <v>0</v>
      </c>
      <c r="N499" s="60">
        <v>0.68323803502106706</v>
      </c>
      <c r="O499" s="881">
        <v>489436.61513757205</v>
      </c>
      <c r="P499" s="60">
        <v>2.6005817933287901E-3</v>
      </c>
      <c r="Q499" s="880">
        <v>3.3702060279200401</v>
      </c>
      <c r="R499" s="60">
        <v>0.578526652000936</v>
      </c>
      <c r="S499" s="60">
        <v>0.61262274904470004</v>
      </c>
      <c r="T499" s="60">
        <v>0.39049112246270901</v>
      </c>
      <c r="U499" s="60">
        <v>-1.17964912701716E-2</v>
      </c>
    </row>
    <row r="500" spans="1:21" x14ac:dyDescent="0.25">
      <c r="A500" s="519" t="s">
        <v>1443</v>
      </c>
      <c r="B500" s="519" t="s">
        <v>1444</v>
      </c>
      <c r="C500" s="519" t="s">
        <v>284</v>
      </c>
      <c r="D500" s="519" t="s">
        <v>109</v>
      </c>
      <c r="E500" s="519" t="s">
        <v>286</v>
      </c>
      <c r="F500" s="519" t="s">
        <v>17</v>
      </c>
      <c r="G500" s="519" t="s">
        <v>56</v>
      </c>
      <c r="H500" s="519" t="s">
        <v>144</v>
      </c>
      <c r="I500" s="881">
        <v>222191.14218036001</v>
      </c>
      <c r="J500" s="881">
        <v>1968.6687341320298</v>
      </c>
      <c r="K500" s="60">
        <v>8.7824339523689399E-3</v>
      </c>
      <c r="L500" s="880">
        <v>3.2701977360365602</v>
      </c>
      <c r="M500">
        <v>0</v>
      </c>
      <c r="N500" s="60">
        <v>0.57068248007948408</v>
      </c>
      <c r="O500" s="881">
        <v>837592.19956867502</v>
      </c>
      <c r="P500" s="60">
        <v>4.4481378982696804E-3</v>
      </c>
      <c r="Q500" s="880">
        <v>3.2470851644175398</v>
      </c>
      <c r="R500" s="60">
        <v>0.578526652000936</v>
      </c>
      <c r="S500" s="60">
        <v>0.56153199440574408</v>
      </c>
      <c r="T500" s="60">
        <v>0.267137590194095</v>
      </c>
      <c r="U500" s="60">
        <v>0.52610758999868701</v>
      </c>
    </row>
    <row r="501" spans="1:21" x14ac:dyDescent="0.25">
      <c r="A501" s="519" t="s">
        <v>1443</v>
      </c>
      <c r="B501" s="519" t="s">
        <v>1445</v>
      </c>
      <c r="C501" s="519" t="s">
        <v>284</v>
      </c>
      <c r="D501" s="519" t="s">
        <v>109</v>
      </c>
      <c r="E501" s="519" t="s">
        <v>286</v>
      </c>
      <c r="F501" s="519" t="s">
        <v>17</v>
      </c>
      <c r="G501" s="519" t="s">
        <v>56</v>
      </c>
      <c r="H501" s="519" t="s">
        <v>146</v>
      </c>
      <c r="I501" s="881">
        <v>336441.326655727</v>
      </c>
      <c r="J501" s="881">
        <v>1481.73696088566</v>
      </c>
      <c r="K501" s="60">
        <v>4.3848352492647704E-3</v>
      </c>
      <c r="L501" s="880">
        <v>3.2494575064780902</v>
      </c>
      <c r="M501">
        <v>0</v>
      </c>
      <c r="N501" s="60">
        <v>0.53256130553282799</v>
      </c>
      <c r="O501" s="881">
        <v>837592.19956867502</v>
      </c>
      <c r="P501" s="60">
        <v>4.4481378982696804E-3</v>
      </c>
      <c r="Q501" s="880">
        <v>3.2470851644175398</v>
      </c>
      <c r="R501" s="60">
        <v>0.578526652000936</v>
      </c>
      <c r="S501" s="60">
        <v>0.56153199440574408</v>
      </c>
      <c r="T501" s="60">
        <v>0.39623752263688605</v>
      </c>
      <c r="U501" s="60">
        <v>0.39614796842386502</v>
      </c>
    </row>
    <row r="502" spans="1:21" x14ac:dyDescent="0.25">
      <c r="A502" s="519" t="s">
        <v>1446</v>
      </c>
      <c r="B502" s="519" t="s">
        <v>1447</v>
      </c>
      <c r="C502" s="519" t="s">
        <v>284</v>
      </c>
      <c r="D502" s="519" t="s">
        <v>109</v>
      </c>
      <c r="E502" s="519" t="s">
        <v>287</v>
      </c>
      <c r="F502" s="519" t="s">
        <v>70</v>
      </c>
      <c r="G502" s="519" t="s">
        <v>56</v>
      </c>
      <c r="H502" s="519" t="s">
        <v>144</v>
      </c>
      <c r="I502" s="881">
        <v>37420.117801330001</v>
      </c>
      <c r="J502" s="881">
        <v>-0.52416760999999701</v>
      </c>
      <c r="K502" s="60">
        <v>-1.40078381163299E-5</v>
      </c>
      <c r="L502" s="880">
        <v>2.9865368726136001</v>
      </c>
      <c r="M502">
        <v>0</v>
      </c>
      <c r="N502" s="60">
        <v>0.36896782942434403</v>
      </c>
      <c r="O502" s="881">
        <v>167771.82688221001</v>
      </c>
      <c r="P502" s="60">
        <v>-1.8511231333043199E-5</v>
      </c>
      <c r="Q502" s="880">
        <v>2.92480306350163</v>
      </c>
      <c r="R502" s="60">
        <v>0.50021859360353005</v>
      </c>
      <c r="S502" s="60">
        <v>0.46427551068205802</v>
      </c>
      <c r="T502" s="60">
        <v>0.25898386187619804</v>
      </c>
      <c r="U502" s="60">
        <v>0.55819379606518704</v>
      </c>
    </row>
    <row r="503" spans="1:21" x14ac:dyDescent="0.25">
      <c r="A503" s="519" t="s">
        <v>1446</v>
      </c>
      <c r="B503" s="519" t="s">
        <v>1449</v>
      </c>
      <c r="C503" s="519" t="s">
        <v>284</v>
      </c>
      <c r="D503" s="519" t="s">
        <v>109</v>
      </c>
      <c r="E503" s="519" t="s">
        <v>287</v>
      </c>
      <c r="F503" s="519" t="s">
        <v>70</v>
      </c>
      <c r="G503" s="519" t="s">
        <v>56</v>
      </c>
      <c r="H503" s="519" t="s">
        <v>146</v>
      </c>
      <c r="I503" s="881">
        <v>75858.323219180296</v>
      </c>
      <c r="J503" s="881">
        <v>-1.0714204700000001</v>
      </c>
      <c r="K503" s="60">
        <v>-1.41241667025197E-5</v>
      </c>
      <c r="L503" s="880">
        <v>2.9749005717624502</v>
      </c>
      <c r="M503">
        <v>0</v>
      </c>
      <c r="N503" s="60">
        <v>0.42009458424665502</v>
      </c>
      <c r="O503" s="881">
        <v>167771.82688221001</v>
      </c>
      <c r="P503" s="60">
        <v>-1.8511231333043199E-5</v>
      </c>
      <c r="Q503" s="880">
        <v>2.92480306350163</v>
      </c>
      <c r="R503" s="60">
        <v>0.50021859360353005</v>
      </c>
      <c r="S503" s="60">
        <v>0.46427551068205802</v>
      </c>
      <c r="T503" s="60">
        <v>0.39298385635713801</v>
      </c>
      <c r="U503" s="60">
        <v>0.37363673400357805</v>
      </c>
    </row>
    <row r="504" spans="1:21" x14ac:dyDescent="0.25">
      <c r="A504" s="519" t="s">
        <v>1450</v>
      </c>
      <c r="B504" s="519" t="s">
        <v>1452</v>
      </c>
      <c r="C504" s="519" t="s">
        <v>284</v>
      </c>
      <c r="D504" s="519" t="s">
        <v>109</v>
      </c>
      <c r="E504" s="519" t="s">
        <v>287</v>
      </c>
      <c r="F504" s="519" t="s">
        <v>70</v>
      </c>
      <c r="G504" s="519" t="s">
        <v>57</v>
      </c>
      <c r="H504" s="519" t="s">
        <v>148</v>
      </c>
      <c r="I504" s="881">
        <v>53241.450365410004</v>
      </c>
      <c r="J504" s="881">
        <v>-0.98050899999999708</v>
      </c>
      <c r="K504" s="60">
        <v>-1.8416610571703E-5</v>
      </c>
      <c r="L504" s="880">
        <v>3.0999466844105901</v>
      </c>
      <c r="M504">
        <v>0</v>
      </c>
      <c r="N504" s="60">
        <v>0.57817846162656605</v>
      </c>
      <c r="O504" s="881">
        <v>145957.40793305001</v>
      </c>
      <c r="P504" s="60">
        <v>-2.3990459286789599E-5</v>
      </c>
      <c r="Q504" s="880">
        <v>3.0186079193137298</v>
      </c>
      <c r="R504" s="60">
        <v>0.50021859360353005</v>
      </c>
      <c r="S504" s="60">
        <v>0.53555932046056609</v>
      </c>
      <c r="T504" s="60">
        <v>0.31349132264401303</v>
      </c>
      <c r="U504" s="60">
        <v>0.65835723019972703</v>
      </c>
    </row>
    <row r="505" spans="1:21" x14ac:dyDescent="0.25">
      <c r="A505" s="519" t="s">
        <v>405</v>
      </c>
      <c r="B505" s="519" t="s">
        <v>406</v>
      </c>
      <c r="C505" s="519" t="s">
        <v>284</v>
      </c>
      <c r="D505" s="519" t="s">
        <v>111</v>
      </c>
      <c r="E505" s="519" t="s">
        <v>2</v>
      </c>
      <c r="F505" s="519" t="s">
        <v>70</v>
      </c>
      <c r="G505" s="519" t="s">
        <v>56</v>
      </c>
      <c r="H505" s="519" t="s">
        <v>144</v>
      </c>
      <c r="I505" s="881">
        <v>24949.2844</v>
      </c>
      <c r="J505" s="881">
        <v>2528.5229483900098</v>
      </c>
      <c r="K505" s="60">
        <v>9.2020550123631195E-2</v>
      </c>
      <c r="L505" s="880">
        <v>3.06418534044876</v>
      </c>
      <c r="M505">
        <v>0</v>
      </c>
      <c r="N505" s="60">
        <v>0.300079211891144</v>
      </c>
      <c r="O505" s="881">
        <v>106016.46470000001</v>
      </c>
      <c r="P505" s="60">
        <v>9.7867160032970801E-2</v>
      </c>
      <c r="Q505" s="880">
        <v>3.07859100615127</v>
      </c>
      <c r="R505" s="60">
        <v>0.36277306664467202</v>
      </c>
      <c r="S505" s="60">
        <v>0.32498399090646202</v>
      </c>
      <c r="T505" s="60">
        <v>0.25155312169417404</v>
      </c>
      <c r="U505" s="60">
        <v>0.22202298558495201</v>
      </c>
    </row>
    <row r="506" spans="1:21" x14ac:dyDescent="0.25">
      <c r="A506" s="519" t="s">
        <v>405</v>
      </c>
      <c r="B506" s="519" t="s">
        <v>408</v>
      </c>
      <c r="C506" s="519" t="s">
        <v>284</v>
      </c>
      <c r="D506" s="519" t="s">
        <v>111</v>
      </c>
      <c r="E506" s="519" t="s">
        <v>2</v>
      </c>
      <c r="F506" s="519" t="s">
        <v>70</v>
      </c>
      <c r="G506" s="519" t="s">
        <v>56</v>
      </c>
      <c r="H506" s="519" t="s">
        <v>146</v>
      </c>
      <c r="I506" s="881">
        <v>32914.448000000004</v>
      </c>
      <c r="J506" s="881">
        <v>5465.26140433</v>
      </c>
      <c r="K506" s="60">
        <v>0.142399759903169</v>
      </c>
      <c r="L506" s="880">
        <v>3.01386764857366</v>
      </c>
      <c r="M506">
        <v>0</v>
      </c>
      <c r="N506" s="60">
        <v>0.33337627901279104</v>
      </c>
      <c r="O506" s="881">
        <v>106016.46470000001</v>
      </c>
      <c r="P506" s="60">
        <v>9.7867160032970801E-2</v>
      </c>
      <c r="Q506" s="880">
        <v>3.07859100615127</v>
      </c>
      <c r="R506" s="60">
        <v>0.36277306664467202</v>
      </c>
      <c r="S506" s="60">
        <v>0.32498399090646202</v>
      </c>
      <c r="T506" s="60">
        <v>0.32906565329056203</v>
      </c>
      <c r="U506" s="60">
        <v>0.45122891297220602</v>
      </c>
    </row>
    <row r="507" spans="1:21" x14ac:dyDescent="0.25">
      <c r="A507" s="519" t="s">
        <v>409</v>
      </c>
      <c r="B507" s="519" t="s">
        <v>411</v>
      </c>
      <c r="C507" s="519" t="s">
        <v>284</v>
      </c>
      <c r="D507" s="519" t="s">
        <v>111</v>
      </c>
      <c r="E507" s="519" t="s">
        <v>2</v>
      </c>
      <c r="F507" s="519" t="s">
        <v>70</v>
      </c>
      <c r="G507" s="519" t="s">
        <v>57</v>
      </c>
      <c r="H507" s="519" t="s">
        <v>148</v>
      </c>
      <c r="I507" s="881">
        <v>17858.781900000002</v>
      </c>
      <c r="J507" s="881">
        <v>3954.3361046300001</v>
      </c>
      <c r="K507" s="60">
        <v>0.18128247890974</v>
      </c>
      <c r="L507" s="880">
        <v>3.17636926844719</v>
      </c>
      <c r="M507">
        <v>0</v>
      </c>
      <c r="N507" s="60">
        <v>0.50265274251431402</v>
      </c>
      <c r="O507" s="881">
        <v>96503.471400000097</v>
      </c>
      <c r="P507" s="60">
        <v>0.10924406137832901</v>
      </c>
      <c r="Q507" s="880">
        <v>3.2282332050054401</v>
      </c>
      <c r="R507" s="60">
        <v>0.36277306664467202</v>
      </c>
      <c r="S507" s="60">
        <v>0.37543164690757402</v>
      </c>
      <c r="T507" s="60">
        <v>0.18119274802224902</v>
      </c>
      <c r="U507" s="60">
        <v>0.34841919488028905</v>
      </c>
    </row>
    <row r="508" spans="1:21" x14ac:dyDescent="0.25">
      <c r="A508" s="519" t="s">
        <v>413</v>
      </c>
      <c r="B508" s="519" t="s">
        <v>414</v>
      </c>
      <c r="C508" s="519" t="s">
        <v>284</v>
      </c>
      <c r="D508" s="519" t="s">
        <v>111</v>
      </c>
      <c r="E508" s="519" t="s">
        <v>2</v>
      </c>
      <c r="F508" s="519" t="s">
        <v>70</v>
      </c>
      <c r="G508" s="519" t="s">
        <v>58</v>
      </c>
      <c r="H508" s="519" t="s">
        <v>150</v>
      </c>
      <c r="I508" s="881">
        <v>10459.8187</v>
      </c>
      <c r="J508" s="881">
        <v>10141.79760267</v>
      </c>
      <c r="K508" s="60">
        <v>0.49228164691891602</v>
      </c>
      <c r="L508" s="880">
        <v>4.1314720311797197</v>
      </c>
      <c r="M508">
        <v>0</v>
      </c>
      <c r="N508" s="60">
        <v>0.24773921750670502</v>
      </c>
      <c r="O508" s="881">
        <v>29410.022800000002</v>
      </c>
      <c r="P508" s="60">
        <v>0.41921994030691101</v>
      </c>
      <c r="Q508" s="880">
        <v>3.8703658562494798</v>
      </c>
      <c r="R508" s="60">
        <v>0.36277306664467202</v>
      </c>
      <c r="S508" s="60">
        <v>0.35727664583789404</v>
      </c>
      <c r="T508" s="60">
        <v>0.33573962369715998</v>
      </c>
      <c r="U508" s="60">
        <v>0.41070661450601503</v>
      </c>
    </row>
    <row r="509" spans="1:21" x14ac:dyDescent="0.25">
      <c r="A509" s="519" t="s">
        <v>413</v>
      </c>
      <c r="B509" s="519" t="s">
        <v>416</v>
      </c>
      <c r="C509" s="519" t="s">
        <v>284</v>
      </c>
      <c r="D509" s="519" t="s">
        <v>111</v>
      </c>
      <c r="E509" s="519" t="s">
        <v>2</v>
      </c>
      <c r="F509" s="519" t="s">
        <v>70</v>
      </c>
      <c r="G509" s="519" t="s">
        <v>58</v>
      </c>
      <c r="H509" s="519" t="s">
        <v>152</v>
      </c>
      <c r="I509" s="881">
        <v>10070.1615</v>
      </c>
      <c r="J509" s="881">
        <v>9924.742936059989</v>
      </c>
      <c r="K509" s="60">
        <v>0.49636360942846602</v>
      </c>
      <c r="L509" s="880">
        <v>3.9707410977128399</v>
      </c>
      <c r="M509">
        <v>0</v>
      </c>
      <c r="N509" s="60">
        <v>0.31979267661198901</v>
      </c>
      <c r="O509" s="881">
        <v>29410.022800000002</v>
      </c>
      <c r="P509" s="60">
        <v>0.41921994030691101</v>
      </c>
      <c r="Q509" s="880">
        <v>3.8703658562494798</v>
      </c>
      <c r="R509" s="60">
        <v>0.36277306664467202</v>
      </c>
      <c r="S509" s="60">
        <v>0.35727664583789404</v>
      </c>
      <c r="T509" s="60">
        <v>0.36925144329780502</v>
      </c>
      <c r="U509" s="60">
        <v>0.40096921220743104</v>
      </c>
    </row>
    <row r="510" spans="1:21" x14ac:dyDescent="0.25">
      <c r="A510" s="519" t="s">
        <v>417</v>
      </c>
      <c r="B510" s="519" t="s">
        <v>419</v>
      </c>
      <c r="C510" s="519" t="s">
        <v>284</v>
      </c>
      <c r="D510" s="519" t="s">
        <v>111</v>
      </c>
      <c r="E510" s="519" t="s">
        <v>2</v>
      </c>
      <c r="F510" s="519" t="s">
        <v>70</v>
      </c>
      <c r="G510" s="519" t="s">
        <v>59</v>
      </c>
      <c r="H510" s="519" t="s">
        <v>154</v>
      </c>
      <c r="I510" s="881">
        <v>4327.5475999999999</v>
      </c>
      <c r="J510" s="881">
        <v>215.13820941</v>
      </c>
      <c r="K510" s="60">
        <v>4.7359253630165098E-2</v>
      </c>
      <c r="L510" s="880">
        <v>3.73139322343305</v>
      </c>
      <c r="M510">
        <v>0</v>
      </c>
      <c r="N510" s="60">
        <v>0.16225901247163602</v>
      </c>
      <c r="O510" s="881">
        <v>17023.2948</v>
      </c>
      <c r="P510" s="60">
        <v>7.7548583274142893E-2</v>
      </c>
      <c r="Q510" s="880">
        <v>3.5130865827284001</v>
      </c>
      <c r="R510" s="60">
        <v>0.36277306664467202</v>
      </c>
      <c r="S510" s="60">
        <v>0.16068660221991801</v>
      </c>
      <c r="T510" s="60">
        <v>0.27147434765602102</v>
      </c>
      <c r="U510" s="60">
        <v>0.24670497190354601</v>
      </c>
    </row>
    <row r="511" spans="1:21" x14ac:dyDescent="0.25">
      <c r="A511" s="519" t="s">
        <v>421</v>
      </c>
      <c r="B511" s="519" t="s">
        <v>423</v>
      </c>
      <c r="C511" s="519" t="s">
        <v>284</v>
      </c>
      <c r="D511" s="519" t="s">
        <v>111</v>
      </c>
      <c r="E511" s="519" t="s">
        <v>2</v>
      </c>
      <c r="F511" s="519" t="s">
        <v>16</v>
      </c>
      <c r="G511" s="519" t="s">
        <v>56</v>
      </c>
      <c r="H511" s="519" t="s">
        <v>145</v>
      </c>
      <c r="I511" s="881">
        <v>24314.8217</v>
      </c>
      <c r="J511" s="881">
        <v>700.12370194999903</v>
      </c>
      <c r="K511" s="60">
        <v>2.79882162723178E-2</v>
      </c>
      <c r="L511" s="880">
        <v>3.1226484489705699</v>
      </c>
      <c r="M511">
        <v>0</v>
      </c>
      <c r="N511" s="60">
        <v>0.22377594485918001</v>
      </c>
      <c r="O511" s="881">
        <v>67838.8287000001</v>
      </c>
      <c r="P511" s="60">
        <v>2.45846625122653E-2</v>
      </c>
      <c r="Q511" s="880">
        <v>3.1164602154088201</v>
      </c>
      <c r="R511" s="60">
        <v>0.36277306664467202</v>
      </c>
      <c r="S511" s="60">
        <v>0.25700265959927998</v>
      </c>
      <c r="T511" s="60">
        <v>0.41938122501526404</v>
      </c>
      <c r="U511" s="60">
        <v>0.326748101442841</v>
      </c>
    </row>
    <row r="512" spans="1:21" x14ac:dyDescent="0.25">
      <c r="A512" s="519" t="s">
        <v>425</v>
      </c>
      <c r="B512" s="519" t="s">
        <v>426</v>
      </c>
      <c r="C512" s="519" t="s">
        <v>284</v>
      </c>
      <c r="D512" s="519" t="s">
        <v>111</v>
      </c>
      <c r="E512" s="519" t="s">
        <v>2</v>
      </c>
      <c r="F512" s="519" t="s">
        <v>16</v>
      </c>
      <c r="G512" s="519" t="s">
        <v>57</v>
      </c>
      <c r="H512" s="519" t="s">
        <v>147</v>
      </c>
      <c r="I512" s="881">
        <v>19273.569100000001</v>
      </c>
      <c r="J512" s="881">
        <v>1093.23779743</v>
      </c>
      <c r="K512" s="60">
        <v>5.3677427342228599E-2</v>
      </c>
      <c r="L512" s="880">
        <v>3.10316039765915</v>
      </c>
      <c r="M512">
        <v>0</v>
      </c>
      <c r="N512" s="60">
        <v>0.21729984614007</v>
      </c>
      <c r="O512" s="881">
        <v>59392.136500000001</v>
      </c>
      <c r="P512" s="60">
        <v>8.4080518977595192E-2</v>
      </c>
      <c r="Q512" s="880">
        <v>3.0961123678415401</v>
      </c>
      <c r="R512" s="60">
        <v>0.36277306664467202</v>
      </c>
      <c r="S512" s="60">
        <v>0.19307653463518701</v>
      </c>
      <c r="T512" s="60">
        <v>0.33626771341516404</v>
      </c>
      <c r="U512" s="60">
        <v>0.27070386450375999</v>
      </c>
    </row>
    <row r="513" spans="1:21" x14ac:dyDescent="0.25">
      <c r="A513" s="519" t="s">
        <v>425</v>
      </c>
      <c r="B513" s="519" t="s">
        <v>428</v>
      </c>
      <c r="C513" s="519" t="s">
        <v>284</v>
      </c>
      <c r="D513" s="519" t="s">
        <v>111</v>
      </c>
      <c r="E513" s="519" t="s">
        <v>2</v>
      </c>
      <c r="F513" s="519" t="s">
        <v>16</v>
      </c>
      <c r="G513" s="519" t="s">
        <v>57</v>
      </c>
      <c r="H513" s="519" t="s">
        <v>149</v>
      </c>
      <c r="I513" s="881">
        <v>29730.1957</v>
      </c>
      <c r="J513" s="881">
        <v>2289.93631968</v>
      </c>
      <c r="K513" s="60">
        <v>7.151551774591601E-2</v>
      </c>
      <c r="L513" s="880">
        <v>3.1099559624175499</v>
      </c>
      <c r="M513">
        <v>0</v>
      </c>
      <c r="N513" s="60">
        <v>0.19874321917093901</v>
      </c>
      <c r="O513" s="881">
        <v>59392.136500000001</v>
      </c>
      <c r="P513" s="60">
        <v>8.4080518977595192E-2</v>
      </c>
      <c r="Q513" s="880">
        <v>3.0961123678415401</v>
      </c>
      <c r="R513" s="60">
        <v>0.36277306664467202</v>
      </c>
      <c r="S513" s="60">
        <v>0.19307653463518701</v>
      </c>
      <c r="T513" s="60">
        <v>0.48253953856258702</v>
      </c>
      <c r="U513" s="60">
        <v>0.38087694061595101</v>
      </c>
    </row>
    <row r="514" spans="1:21" x14ac:dyDescent="0.25">
      <c r="A514" s="519" t="s">
        <v>429</v>
      </c>
      <c r="B514" s="519" t="s">
        <v>431</v>
      </c>
      <c r="C514" s="519" t="s">
        <v>284</v>
      </c>
      <c r="D514" s="519" t="s">
        <v>111</v>
      </c>
      <c r="E514" s="519" t="s">
        <v>2</v>
      </c>
      <c r="F514" s="519" t="s">
        <v>16</v>
      </c>
      <c r="G514" s="519" t="s">
        <v>58</v>
      </c>
      <c r="H514" s="519" t="s">
        <v>151</v>
      </c>
      <c r="I514" s="881">
        <v>9538.9171000000006</v>
      </c>
      <c r="J514" s="881">
        <v>3634.8748285500001</v>
      </c>
      <c r="K514" s="60">
        <v>0.275917127601854</v>
      </c>
      <c r="L514" s="880">
        <v>2.9412679834534199</v>
      </c>
      <c r="M514">
        <v>0</v>
      </c>
      <c r="N514" s="60">
        <v>9.64983540951415E-2</v>
      </c>
      <c r="O514" s="881">
        <v>33025.238100000002</v>
      </c>
      <c r="P514" s="60">
        <v>0.113873602186445</v>
      </c>
      <c r="Q514" s="880">
        <v>3.05388384520151</v>
      </c>
      <c r="R514" s="60">
        <v>0.36277306664467202</v>
      </c>
      <c r="S514" s="60">
        <v>0.13588735034737001</v>
      </c>
      <c r="T514" s="60">
        <v>0.295008933005035</v>
      </c>
      <c r="U514" s="60">
        <v>0.18832417328655301</v>
      </c>
    </row>
    <row r="515" spans="1:21" x14ac:dyDescent="0.25">
      <c r="A515" s="519" t="s">
        <v>433</v>
      </c>
      <c r="B515" s="519" t="s">
        <v>291</v>
      </c>
      <c r="C515" s="519" t="s">
        <v>284</v>
      </c>
      <c r="D515" s="519" t="s">
        <v>111</v>
      </c>
      <c r="E515" s="519" t="s">
        <v>2</v>
      </c>
      <c r="F515" s="519" t="s">
        <v>16</v>
      </c>
      <c r="G515" s="519" t="s">
        <v>59</v>
      </c>
      <c r="H515" s="519" t="s">
        <v>153</v>
      </c>
      <c r="I515" s="881">
        <v>4698.3290999999999</v>
      </c>
      <c r="J515" s="881">
        <v>493.673227840001</v>
      </c>
      <c r="K515" s="60">
        <v>9.5083398786799195E-2</v>
      </c>
      <c r="L515" s="880">
        <v>3.1917323459496898</v>
      </c>
      <c r="M515">
        <v>0</v>
      </c>
      <c r="N515" s="60">
        <v>5.8356363329252502E-2</v>
      </c>
      <c r="O515" s="881">
        <v>17340.611700000001</v>
      </c>
      <c r="P515" s="60">
        <v>5.8745186534799695E-2</v>
      </c>
      <c r="Q515" s="880">
        <v>3.2707929016606898</v>
      </c>
      <c r="R515" s="60">
        <v>0.36277306664467202</v>
      </c>
      <c r="S515" s="60">
        <v>0.19694073421873601</v>
      </c>
      <c r="T515" s="60">
        <v>0.27232998378691303</v>
      </c>
      <c r="U515" s="60">
        <v>0.31411187639399901</v>
      </c>
    </row>
    <row r="516" spans="1:21" x14ac:dyDescent="0.25">
      <c r="A516" s="519" t="s">
        <v>433</v>
      </c>
      <c r="B516" s="519" t="s">
        <v>435</v>
      </c>
      <c r="C516" s="519" t="s">
        <v>284</v>
      </c>
      <c r="D516" s="519" t="s">
        <v>111</v>
      </c>
      <c r="E516" s="519" t="s">
        <v>2</v>
      </c>
      <c r="F516" s="519" t="s">
        <v>16</v>
      </c>
      <c r="G516" s="519" t="s">
        <v>59</v>
      </c>
      <c r="H516" s="519" t="s">
        <v>155</v>
      </c>
      <c r="I516" s="881">
        <v>7640.9111000000003</v>
      </c>
      <c r="J516" s="881">
        <v>183.65934415000001</v>
      </c>
      <c r="K516" s="60">
        <v>2.34721312129424E-2</v>
      </c>
      <c r="L516" s="880">
        <v>3.29835393821172</v>
      </c>
      <c r="M516">
        <v>0</v>
      </c>
      <c r="N516" s="60">
        <v>0.29510590693824401</v>
      </c>
      <c r="O516" s="881">
        <v>17340.611700000001</v>
      </c>
      <c r="P516" s="60">
        <v>5.8745186534799695E-2</v>
      </c>
      <c r="Q516" s="880">
        <v>3.2707929016606898</v>
      </c>
      <c r="R516" s="60">
        <v>0.36277306664467202</v>
      </c>
      <c r="S516" s="60">
        <v>0.19694073421873601</v>
      </c>
      <c r="T516" s="60">
        <v>0.45619566855706606</v>
      </c>
      <c r="U516" s="60">
        <v>0.43918315170245603</v>
      </c>
    </row>
    <row r="517" spans="1:21" x14ac:dyDescent="0.25">
      <c r="A517" s="519" t="s">
        <v>436</v>
      </c>
      <c r="B517" s="519" t="s">
        <v>330</v>
      </c>
      <c r="C517" s="519" t="s">
        <v>284</v>
      </c>
      <c r="D517" s="519" t="s">
        <v>111</v>
      </c>
      <c r="E517" s="519" t="s">
        <v>2</v>
      </c>
      <c r="F517" s="519" t="s">
        <v>17</v>
      </c>
      <c r="G517" s="519" t="s">
        <v>56</v>
      </c>
      <c r="H517" s="519" t="s">
        <v>144</v>
      </c>
      <c r="I517" s="881">
        <v>12128.559600000001</v>
      </c>
      <c r="J517" s="881">
        <v>311.43348856</v>
      </c>
      <c r="K517" s="60">
        <v>2.50348602561845E-2</v>
      </c>
      <c r="L517" s="880">
        <v>3.1265890841102899</v>
      </c>
      <c r="M517">
        <v>0</v>
      </c>
      <c r="N517" s="60">
        <v>0.19954920285835101</v>
      </c>
      <c r="O517" s="881">
        <v>51252.678700000004</v>
      </c>
      <c r="P517" s="60">
        <v>2.7588489785651701E-2</v>
      </c>
      <c r="Q517" s="880">
        <v>3.1709740062373899</v>
      </c>
      <c r="R517" s="60">
        <v>0.36277306664467202</v>
      </c>
      <c r="S517" s="60">
        <v>0.3027443831926</v>
      </c>
      <c r="T517" s="60">
        <v>0.25155312169417404</v>
      </c>
      <c r="U517" s="60">
        <v>0.22202298558495201</v>
      </c>
    </row>
    <row r="518" spans="1:21" x14ac:dyDescent="0.25">
      <c r="A518" s="519" t="s">
        <v>436</v>
      </c>
      <c r="B518" s="519" t="s">
        <v>331</v>
      </c>
      <c r="C518" s="519" t="s">
        <v>284</v>
      </c>
      <c r="D518" s="519" t="s">
        <v>111</v>
      </c>
      <c r="E518" s="519" t="s">
        <v>2</v>
      </c>
      <c r="F518" s="519" t="s">
        <v>17</v>
      </c>
      <c r="G518" s="519" t="s">
        <v>56</v>
      </c>
      <c r="H518" s="519" t="s">
        <v>146</v>
      </c>
      <c r="I518" s="881">
        <v>17185.616000000002</v>
      </c>
      <c r="J518" s="881">
        <v>558.34303922000004</v>
      </c>
      <c r="K518" s="60">
        <v>3.1466655101371602E-2</v>
      </c>
      <c r="L518" s="880">
        <v>3.1720201657771101</v>
      </c>
      <c r="M518">
        <v>0</v>
      </c>
      <c r="N518" s="60">
        <v>0.32354992686907502</v>
      </c>
      <c r="O518" s="881">
        <v>51252.678700000004</v>
      </c>
      <c r="P518" s="60">
        <v>2.7588489785651701E-2</v>
      </c>
      <c r="Q518" s="880">
        <v>3.1709740062373899</v>
      </c>
      <c r="R518" s="60">
        <v>0.36277306664467202</v>
      </c>
      <c r="S518" s="60">
        <v>0.3027443831926</v>
      </c>
      <c r="T518" s="60">
        <v>0.32906565329056203</v>
      </c>
      <c r="U518" s="60">
        <v>0.45122891297220602</v>
      </c>
    </row>
    <row r="519" spans="1:21" x14ac:dyDescent="0.25">
      <c r="A519" s="519" t="s">
        <v>437</v>
      </c>
      <c r="B519" s="519" t="s">
        <v>438</v>
      </c>
      <c r="C519" s="519" t="s">
        <v>284</v>
      </c>
      <c r="D519" s="519" t="s">
        <v>111</v>
      </c>
      <c r="E519" s="519" t="s">
        <v>285</v>
      </c>
      <c r="F519" s="519" t="s">
        <v>70</v>
      </c>
      <c r="G519" s="519" t="s">
        <v>56</v>
      </c>
      <c r="H519" s="519" t="s">
        <v>144</v>
      </c>
      <c r="I519" s="881">
        <v>367871.57249999902</v>
      </c>
      <c r="J519" s="881">
        <v>45244.5978472801</v>
      </c>
      <c r="K519" s="60">
        <v>0.10952027805943</v>
      </c>
      <c r="L519" s="880">
        <v>3.0142548944138698</v>
      </c>
      <c r="M519">
        <v>0</v>
      </c>
      <c r="N519" s="60">
        <v>5.8754682926743497E-2</v>
      </c>
      <c r="O519" s="881">
        <v>1054816.0115</v>
      </c>
      <c r="P519" s="60">
        <v>0.12557227767263701</v>
      </c>
      <c r="Q519" s="880">
        <v>3.0169983473191002</v>
      </c>
      <c r="R519" s="60">
        <v>0.6377710327192091</v>
      </c>
      <c r="S519" s="60">
        <v>7.0281485673105604E-2</v>
      </c>
      <c r="T519" s="60">
        <v>0.37049235605636305</v>
      </c>
      <c r="U519" s="60">
        <v>0.34096107286340605</v>
      </c>
    </row>
    <row r="520" spans="1:21" x14ac:dyDescent="0.25">
      <c r="A520" s="519" t="s">
        <v>437</v>
      </c>
      <c r="B520" s="519" t="s">
        <v>440</v>
      </c>
      <c r="C520" s="519" t="s">
        <v>284</v>
      </c>
      <c r="D520" s="519" t="s">
        <v>111</v>
      </c>
      <c r="E520" s="519" t="s">
        <v>285</v>
      </c>
      <c r="F520" s="519" t="s">
        <v>70</v>
      </c>
      <c r="G520" s="519" t="s">
        <v>56</v>
      </c>
      <c r="H520" s="519" t="s">
        <v>146</v>
      </c>
      <c r="I520" s="881">
        <v>346733.49930000299</v>
      </c>
      <c r="J520" s="881">
        <v>56518.888940540499</v>
      </c>
      <c r="K520" s="60">
        <v>0.14015760498565902</v>
      </c>
      <c r="L520" s="880">
        <v>3.01774524328669</v>
      </c>
      <c r="M520">
        <v>0</v>
      </c>
      <c r="N520" s="60">
        <v>7.6362451431585002E-2</v>
      </c>
      <c r="O520" s="881">
        <v>1054816.0115</v>
      </c>
      <c r="P520" s="60">
        <v>0.12557227767263701</v>
      </c>
      <c r="Q520" s="880">
        <v>3.0169983473191002</v>
      </c>
      <c r="R520" s="60">
        <v>0.6377710327192091</v>
      </c>
      <c r="S520" s="60">
        <v>7.0281485673105604E-2</v>
      </c>
      <c r="T520" s="60">
        <v>0.30702022968822501</v>
      </c>
      <c r="U520" s="60">
        <v>0.32780336119681103</v>
      </c>
    </row>
    <row r="521" spans="1:21" x14ac:dyDescent="0.25">
      <c r="A521" s="519" t="s">
        <v>441</v>
      </c>
      <c r="B521" s="519" t="s">
        <v>443</v>
      </c>
      <c r="C521" s="519" t="s">
        <v>284</v>
      </c>
      <c r="D521" s="519" t="s">
        <v>111</v>
      </c>
      <c r="E521" s="519" t="s">
        <v>285</v>
      </c>
      <c r="F521" s="519" t="s">
        <v>70</v>
      </c>
      <c r="G521" s="519" t="s">
        <v>57</v>
      </c>
      <c r="H521" s="519" t="s">
        <v>148</v>
      </c>
      <c r="I521" s="881">
        <v>251319.59429999802</v>
      </c>
      <c r="J521" s="881">
        <v>14027.608028230001</v>
      </c>
      <c r="K521" s="60">
        <v>5.28651061897321E-2</v>
      </c>
      <c r="L521" s="880">
        <v>2.99750419374383</v>
      </c>
      <c r="M521">
        <v>0</v>
      </c>
      <c r="N521" s="60">
        <v>9.4087636365407498E-2</v>
      </c>
      <c r="O521" s="881">
        <v>1238355.5079999999</v>
      </c>
      <c r="P521" s="60">
        <v>6.0636425950261301E-2</v>
      </c>
      <c r="Q521" s="880">
        <v>3.01730443473109</v>
      </c>
      <c r="R521" s="60">
        <v>0.6377710327192091</v>
      </c>
      <c r="S521" s="60">
        <v>6.0668945399482102E-2</v>
      </c>
      <c r="T521" s="60">
        <v>0.20764536542979903</v>
      </c>
      <c r="U521" s="60">
        <v>0.278453496229009</v>
      </c>
    </row>
    <row r="522" spans="1:21" x14ac:dyDescent="0.25">
      <c r="A522" s="519" t="s">
        <v>445</v>
      </c>
      <c r="B522" s="519" t="s">
        <v>446</v>
      </c>
      <c r="C522" s="519" t="s">
        <v>284</v>
      </c>
      <c r="D522" s="519" t="s">
        <v>111</v>
      </c>
      <c r="E522" s="519" t="s">
        <v>285</v>
      </c>
      <c r="F522" s="519" t="s">
        <v>70</v>
      </c>
      <c r="G522" s="519" t="s">
        <v>58</v>
      </c>
      <c r="H522" s="519" t="s">
        <v>150</v>
      </c>
      <c r="I522" s="881">
        <v>730755.67439998209</v>
      </c>
      <c r="J522" s="881">
        <v>26076.5593418403</v>
      </c>
      <c r="K522" s="60">
        <v>3.4454874117762296E-2</v>
      </c>
      <c r="L522" s="880">
        <v>3.0314210366386298</v>
      </c>
      <c r="M522">
        <v>0</v>
      </c>
      <c r="N522" s="60">
        <v>6.3090525349468504E-2</v>
      </c>
      <c r="O522" s="881">
        <v>1541929.1632999801</v>
      </c>
      <c r="P522" s="60">
        <v>3.2129150071987099E-2</v>
      </c>
      <c r="Q522" s="880">
        <v>3.0596204304773802</v>
      </c>
      <c r="R522" s="60">
        <v>0.6377710327192091</v>
      </c>
      <c r="S522" s="60">
        <v>7.9307367815968699E-2</v>
      </c>
      <c r="T522" s="60">
        <v>0.48328122462159306</v>
      </c>
      <c r="U522" s="60">
        <v>0.44170650152182306</v>
      </c>
    </row>
    <row r="523" spans="1:21" x14ac:dyDescent="0.25">
      <c r="A523" s="519" t="s">
        <v>445</v>
      </c>
      <c r="B523" s="519" t="s">
        <v>448</v>
      </c>
      <c r="C523" s="519" t="s">
        <v>284</v>
      </c>
      <c r="D523" s="519" t="s">
        <v>111</v>
      </c>
      <c r="E523" s="519" t="s">
        <v>285</v>
      </c>
      <c r="F523" s="519" t="s">
        <v>70</v>
      </c>
      <c r="G523" s="519" t="s">
        <v>58</v>
      </c>
      <c r="H523" s="519" t="s">
        <v>152</v>
      </c>
      <c r="I523" s="881">
        <v>559357.72919999505</v>
      </c>
      <c r="J523" s="881">
        <v>15240.9699166599</v>
      </c>
      <c r="K523" s="60">
        <v>2.6524546505395801E-2</v>
      </c>
      <c r="L523" s="880">
        <v>3.1075180717628599</v>
      </c>
      <c r="M523">
        <v>0</v>
      </c>
      <c r="N523" s="60">
        <v>8.4017682149873193E-2</v>
      </c>
      <c r="O523" s="881">
        <v>1541929.1632999801</v>
      </c>
      <c r="P523" s="60">
        <v>3.2129150071987099E-2</v>
      </c>
      <c r="Q523" s="880">
        <v>3.0596204304773802</v>
      </c>
      <c r="R523" s="60">
        <v>0.6377710327192091</v>
      </c>
      <c r="S523" s="60">
        <v>7.9307367815968699E-2</v>
      </c>
      <c r="T523" s="60">
        <v>0.33995157807809001</v>
      </c>
      <c r="U523" s="60">
        <v>0.24122559495882301</v>
      </c>
    </row>
    <row r="524" spans="1:21" x14ac:dyDescent="0.25">
      <c r="A524" s="519" t="s">
        <v>449</v>
      </c>
      <c r="B524" s="519" t="s">
        <v>451</v>
      </c>
      <c r="C524" s="519" t="s">
        <v>284</v>
      </c>
      <c r="D524" s="519" t="s">
        <v>111</v>
      </c>
      <c r="E524" s="519" t="s">
        <v>285</v>
      </c>
      <c r="F524" s="519" t="s">
        <v>70</v>
      </c>
      <c r="G524" s="519" t="s">
        <v>59</v>
      </c>
      <c r="H524" s="519" t="s">
        <v>154</v>
      </c>
      <c r="I524" s="881">
        <v>828987.91609997803</v>
      </c>
      <c r="J524" s="881">
        <v>24936.4894063803</v>
      </c>
      <c r="K524" s="60">
        <v>2.9202221233614198E-2</v>
      </c>
      <c r="L524" s="880">
        <v>2.9895767040451902</v>
      </c>
      <c r="M524">
        <v>0</v>
      </c>
      <c r="N524" s="60">
        <v>3.9489330621378896E-2</v>
      </c>
      <c r="O524" s="881">
        <v>2174877.94749995</v>
      </c>
      <c r="P524" s="60">
        <v>2.9175795507639001E-2</v>
      </c>
      <c r="Q524" s="880">
        <v>3.02314375757273</v>
      </c>
      <c r="R524" s="60">
        <v>0.6377710327192091</v>
      </c>
      <c r="S524" s="60">
        <v>4.2226200511880502E-2</v>
      </c>
      <c r="T524" s="60">
        <v>0.35670655430632803</v>
      </c>
      <c r="U524" s="60">
        <v>0.38911310894941104</v>
      </c>
    </row>
    <row r="525" spans="1:21" x14ac:dyDescent="0.25">
      <c r="A525" s="519" t="s">
        <v>453</v>
      </c>
      <c r="B525" s="519" t="s">
        <v>455</v>
      </c>
      <c r="C525" s="519" t="s">
        <v>284</v>
      </c>
      <c r="D525" s="519" t="s">
        <v>111</v>
      </c>
      <c r="E525" s="519" t="s">
        <v>285</v>
      </c>
      <c r="F525" s="519" t="s">
        <v>16</v>
      </c>
      <c r="G525" s="519" t="s">
        <v>56</v>
      </c>
      <c r="H525" s="519" t="s">
        <v>145</v>
      </c>
      <c r="I525" s="881">
        <v>312526.18429999903</v>
      </c>
      <c r="J525" s="881">
        <v>19409.685829850001</v>
      </c>
      <c r="K525" s="60">
        <v>5.8474204135446899E-2</v>
      </c>
      <c r="L525" s="880">
        <v>3.1438693190281901</v>
      </c>
      <c r="M525">
        <v>0</v>
      </c>
      <c r="N525" s="60">
        <v>7.3655678008417297E-2</v>
      </c>
      <c r="O525" s="881">
        <v>1008667.65719999</v>
      </c>
      <c r="P525" s="60">
        <v>5.2078130625489098E-2</v>
      </c>
      <c r="Q525" s="880">
        <v>3.1323238814655499</v>
      </c>
      <c r="R525" s="60">
        <v>0.6377710327192091</v>
      </c>
      <c r="S525" s="60">
        <v>8.7203751872218502E-2</v>
      </c>
      <c r="T525" s="60">
        <v>0.32248741425541205</v>
      </c>
      <c r="U525" s="60">
        <v>0.33123556593978304</v>
      </c>
    </row>
    <row r="526" spans="1:21" x14ac:dyDescent="0.25">
      <c r="A526" s="519" t="s">
        <v>457</v>
      </c>
      <c r="B526" s="519" t="s">
        <v>458</v>
      </c>
      <c r="C526" s="519" t="s">
        <v>284</v>
      </c>
      <c r="D526" s="519" t="s">
        <v>111</v>
      </c>
      <c r="E526" s="519" t="s">
        <v>285</v>
      </c>
      <c r="F526" s="519" t="s">
        <v>16</v>
      </c>
      <c r="G526" s="519" t="s">
        <v>57</v>
      </c>
      <c r="H526" s="519" t="s">
        <v>147</v>
      </c>
      <c r="I526" s="881">
        <v>402256.38929999201</v>
      </c>
      <c r="J526" s="881">
        <v>18735.6651289199</v>
      </c>
      <c r="K526" s="60">
        <v>4.4503607447734302E-2</v>
      </c>
      <c r="L526" s="880">
        <v>3.0044822499959598</v>
      </c>
      <c r="M526">
        <v>0</v>
      </c>
      <c r="N526" s="60">
        <v>7.0917244719574599E-2</v>
      </c>
      <c r="O526" s="881">
        <v>1176687.9963999901</v>
      </c>
      <c r="P526" s="60">
        <v>7.4733007424791192E-2</v>
      </c>
      <c r="Q526" s="880">
        <v>3.1003291631653198</v>
      </c>
      <c r="R526" s="60">
        <v>0.6377710327192091</v>
      </c>
      <c r="S526" s="60">
        <v>7.6724603358077598E-2</v>
      </c>
      <c r="T526" s="60">
        <v>0.36834739418949103</v>
      </c>
      <c r="U526" s="60">
        <v>0.23317363221724</v>
      </c>
    </row>
    <row r="527" spans="1:21" x14ac:dyDescent="0.25">
      <c r="A527" s="519" t="s">
        <v>457</v>
      </c>
      <c r="B527" s="519" t="s">
        <v>460</v>
      </c>
      <c r="C527" s="519" t="s">
        <v>284</v>
      </c>
      <c r="D527" s="519" t="s">
        <v>111</v>
      </c>
      <c r="E527" s="519" t="s">
        <v>285</v>
      </c>
      <c r="F527" s="519" t="s">
        <v>16</v>
      </c>
      <c r="G527" s="519" t="s">
        <v>57</v>
      </c>
      <c r="H527" s="519" t="s">
        <v>149</v>
      </c>
      <c r="I527" s="881">
        <v>524278.61039999506</v>
      </c>
      <c r="J527" s="881">
        <v>41609.165127160202</v>
      </c>
      <c r="K527" s="60">
        <v>7.3529005090096702E-2</v>
      </c>
      <c r="L527" s="880">
        <v>3.1189991011464402</v>
      </c>
      <c r="M527">
        <v>0</v>
      </c>
      <c r="N527" s="60">
        <v>7.1585504454141594E-2</v>
      </c>
      <c r="O527" s="881">
        <v>1176687.9963999901</v>
      </c>
      <c r="P527" s="60">
        <v>7.4733007424791192E-2</v>
      </c>
      <c r="Q527" s="880">
        <v>3.1003291631653198</v>
      </c>
      <c r="R527" s="60">
        <v>0.6377710327192091</v>
      </c>
      <c r="S527" s="60">
        <v>7.6724603358077598E-2</v>
      </c>
      <c r="T527" s="60">
        <v>0.42400724038071003</v>
      </c>
      <c r="U527" s="60">
        <v>0.48837287155375103</v>
      </c>
    </row>
    <row r="528" spans="1:21" x14ac:dyDescent="0.25">
      <c r="A528" s="519" t="s">
        <v>461</v>
      </c>
      <c r="B528" s="519" t="s">
        <v>463</v>
      </c>
      <c r="C528" s="519" t="s">
        <v>284</v>
      </c>
      <c r="D528" s="519" t="s">
        <v>111</v>
      </c>
      <c r="E528" s="519" t="s">
        <v>285</v>
      </c>
      <c r="F528" s="519" t="s">
        <v>16</v>
      </c>
      <c r="G528" s="519" t="s">
        <v>58</v>
      </c>
      <c r="H528" s="519" t="s">
        <v>151</v>
      </c>
      <c r="I528" s="881">
        <v>285746.639099997</v>
      </c>
      <c r="J528" s="881">
        <v>29656.5235731701</v>
      </c>
      <c r="K528" s="60">
        <v>9.4027350017099012E-2</v>
      </c>
      <c r="L528" s="880">
        <v>3.1334930542360202</v>
      </c>
      <c r="M528">
        <v>0</v>
      </c>
      <c r="N528" s="60">
        <v>0.17705254857711702</v>
      </c>
      <c r="O528" s="881">
        <v>1499146.3699999601</v>
      </c>
      <c r="P528" s="60">
        <v>4.6718667214655396E-2</v>
      </c>
      <c r="Q528" s="880">
        <v>3.1240388382618698</v>
      </c>
      <c r="R528" s="60">
        <v>0.6377710327192091</v>
      </c>
      <c r="S528" s="60">
        <v>0.21103153043022102</v>
      </c>
      <c r="T528" s="60">
        <v>0.17676719730031701</v>
      </c>
      <c r="U528" s="60">
        <v>0.31706790351935404</v>
      </c>
    </row>
    <row r="529" spans="1:21" x14ac:dyDescent="0.25">
      <c r="A529" s="519" t="s">
        <v>465</v>
      </c>
      <c r="B529" s="519" t="s">
        <v>292</v>
      </c>
      <c r="C529" s="519" t="s">
        <v>284</v>
      </c>
      <c r="D529" s="519" t="s">
        <v>111</v>
      </c>
      <c r="E529" s="519" t="s">
        <v>285</v>
      </c>
      <c r="F529" s="519" t="s">
        <v>16</v>
      </c>
      <c r="G529" s="519" t="s">
        <v>59</v>
      </c>
      <c r="H529" s="519" t="s">
        <v>153</v>
      </c>
      <c r="I529" s="881">
        <v>643631.527799982</v>
      </c>
      <c r="J529" s="881">
        <v>37877.0423041709</v>
      </c>
      <c r="K529" s="60">
        <v>5.5578233298490896E-2</v>
      </c>
      <c r="L529" s="880">
        <v>3.0417165888372599</v>
      </c>
      <c r="M529">
        <v>0</v>
      </c>
      <c r="N529" s="60">
        <v>0.33150759228548604</v>
      </c>
      <c r="O529" s="881">
        <v>2382275.34299993</v>
      </c>
      <c r="P529" s="60">
        <v>4.2868414924505098E-2</v>
      </c>
      <c r="Q529" s="880">
        <v>3.0581261080632598</v>
      </c>
      <c r="R529" s="60">
        <v>0.6377710327192091</v>
      </c>
      <c r="S529" s="60">
        <v>0.26979577347706402</v>
      </c>
      <c r="T529" s="60">
        <v>0.25607673457742502</v>
      </c>
      <c r="U529" s="60">
        <v>0.32656667918188903</v>
      </c>
    </row>
    <row r="530" spans="1:21" x14ac:dyDescent="0.25">
      <c r="A530" s="519" t="s">
        <v>465</v>
      </c>
      <c r="B530" s="519" t="s">
        <v>467</v>
      </c>
      <c r="C530" s="519" t="s">
        <v>284</v>
      </c>
      <c r="D530" s="519" t="s">
        <v>111</v>
      </c>
      <c r="E530" s="519" t="s">
        <v>285</v>
      </c>
      <c r="F530" s="519" t="s">
        <v>16</v>
      </c>
      <c r="G530" s="519" t="s">
        <v>59</v>
      </c>
      <c r="H530" s="519" t="s">
        <v>155</v>
      </c>
      <c r="I530" s="881">
        <v>942065.28359996807</v>
      </c>
      <c r="J530" s="881">
        <v>26807.3518033209</v>
      </c>
      <c r="K530" s="60">
        <v>2.7668602480614698E-2</v>
      </c>
      <c r="L530" s="880">
        <v>3.0743287863461801</v>
      </c>
      <c r="M530">
        <v>0</v>
      </c>
      <c r="N530" s="60">
        <v>0.22540311419666903</v>
      </c>
      <c r="O530" s="881">
        <v>2382275.34299993</v>
      </c>
      <c r="P530" s="60">
        <v>4.2868414924505098E-2</v>
      </c>
      <c r="Q530" s="880">
        <v>3.0581261080632598</v>
      </c>
      <c r="R530" s="60">
        <v>0.6377710327192091</v>
      </c>
      <c r="S530" s="60">
        <v>0.26979577347706402</v>
      </c>
      <c r="T530" s="60">
        <v>0.387216711116247</v>
      </c>
      <c r="U530" s="60">
        <v>0.28432021186869999</v>
      </c>
    </row>
    <row r="531" spans="1:21" x14ac:dyDescent="0.25">
      <c r="A531" s="519" t="s">
        <v>468</v>
      </c>
      <c r="B531" s="519" t="s">
        <v>326</v>
      </c>
      <c r="C531" s="519" t="s">
        <v>284</v>
      </c>
      <c r="D531" s="519" t="s">
        <v>111</v>
      </c>
      <c r="E531" s="519" t="s">
        <v>285</v>
      </c>
      <c r="F531" s="519" t="s">
        <v>17</v>
      </c>
      <c r="G531" s="519" t="s">
        <v>56</v>
      </c>
      <c r="H531" s="519" t="s">
        <v>144</v>
      </c>
      <c r="I531" s="881">
        <v>477829.69059998705</v>
      </c>
      <c r="J531" s="881">
        <v>28533.5183100305</v>
      </c>
      <c r="K531" s="60">
        <v>5.6349904195152498E-2</v>
      </c>
      <c r="L531" s="880">
        <v>3.0779726162101801</v>
      </c>
      <c r="M531">
        <v>0</v>
      </c>
      <c r="N531" s="60">
        <v>0.29298496107308403</v>
      </c>
      <c r="O531" s="881">
        <v>1301548.6662999701</v>
      </c>
      <c r="P531" s="60">
        <v>5.0729283265678396E-2</v>
      </c>
      <c r="Q531" s="880">
        <v>3.0764532711331398</v>
      </c>
      <c r="R531" s="60">
        <v>0.6377710327192091</v>
      </c>
      <c r="S531" s="60">
        <v>0.28525973489371903</v>
      </c>
      <c r="T531" s="60">
        <v>0.37049235605636305</v>
      </c>
      <c r="U531" s="60">
        <v>0.34096107286340605</v>
      </c>
    </row>
    <row r="532" spans="1:21" x14ac:dyDescent="0.25">
      <c r="A532" s="519" t="s">
        <v>468</v>
      </c>
      <c r="B532" s="519" t="s">
        <v>327</v>
      </c>
      <c r="C532" s="519" t="s">
        <v>284</v>
      </c>
      <c r="D532" s="519" t="s">
        <v>111</v>
      </c>
      <c r="E532" s="519" t="s">
        <v>285</v>
      </c>
      <c r="F532" s="519" t="s">
        <v>17</v>
      </c>
      <c r="G532" s="519" t="s">
        <v>56</v>
      </c>
      <c r="H532" s="519" t="s">
        <v>146</v>
      </c>
      <c r="I532" s="881">
        <v>391275.52309999301</v>
      </c>
      <c r="J532" s="881">
        <v>18575.495054410101</v>
      </c>
      <c r="K532" s="60">
        <v>4.5322554371236799E-2</v>
      </c>
      <c r="L532" s="880">
        <v>3.0729090298888999</v>
      </c>
      <c r="M532">
        <v>0</v>
      </c>
      <c r="N532" s="60">
        <v>0.30542399855014801</v>
      </c>
      <c r="O532" s="881">
        <v>1301548.6662999701</v>
      </c>
      <c r="P532" s="60">
        <v>5.0729283265678396E-2</v>
      </c>
      <c r="Q532" s="880">
        <v>3.0764532711331398</v>
      </c>
      <c r="R532" s="60">
        <v>0.6377710327192091</v>
      </c>
      <c r="S532" s="60">
        <v>0.28525973489371903</v>
      </c>
      <c r="T532" s="60">
        <v>0.30702022968822501</v>
      </c>
      <c r="U532" s="60">
        <v>0.32780336119681103</v>
      </c>
    </row>
    <row r="533" spans="1:21" x14ac:dyDescent="0.25">
      <c r="A533" s="519" t="s">
        <v>469</v>
      </c>
      <c r="B533" s="519" t="s">
        <v>470</v>
      </c>
      <c r="C533" s="519" t="s">
        <v>284</v>
      </c>
      <c r="D533" s="519" t="s">
        <v>111</v>
      </c>
      <c r="E533" s="519" t="s">
        <v>280</v>
      </c>
      <c r="F533" s="519" t="s">
        <v>70</v>
      </c>
      <c r="G533" s="519" t="s">
        <v>56</v>
      </c>
      <c r="H533" s="519" t="s">
        <v>144</v>
      </c>
      <c r="I533" s="881">
        <v>288530.399100004</v>
      </c>
      <c r="J533" s="881">
        <v>22623.307244149601</v>
      </c>
      <c r="K533" s="60">
        <v>7.2707818621089493E-2</v>
      </c>
      <c r="L533" s="880">
        <v>2.9323566173404898</v>
      </c>
      <c r="M533">
        <v>0</v>
      </c>
      <c r="N533" s="60">
        <v>0.66651242468683103</v>
      </c>
      <c r="O533" s="881">
        <v>947287.82200001704</v>
      </c>
      <c r="P533" s="60">
        <v>6.98498472878257E-2</v>
      </c>
      <c r="Q533" s="880">
        <v>2.9415801270858801</v>
      </c>
      <c r="R533" s="60">
        <v>0.60994967835037306</v>
      </c>
      <c r="S533" s="60">
        <v>0.67422712988280997</v>
      </c>
      <c r="T533" s="60">
        <v>0.270794897187975</v>
      </c>
      <c r="U533" s="60">
        <v>0.37995214279122103</v>
      </c>
    </row>
    <row r="534" spans="1:21" x14ac:dyDescent="0.25">
      <c r="A534" s="519" t="s">
        <v>469</v>
      </c>
      <c r="B534" s="519" t="s">
        <v>472</v>
      </c>
      <c r="C534" s="519" t="s">
        <v>284</v>
      </c>
      <c r="D534" s="519" t="s">
        <v>111</v>
      </c>
      <c r="E534" s="519" t="s">
        <v>280</v>
      </c>
      <c r="F534" s="519" t="s">
        <v>70</v>
      </c>
      <c r="G534" s="519" t="s">
        <v>56</v>
      </c>
      <c r="H534" s="519" t="s">
        <v>146</v>
      </c>
      <c r="I534" s="881">
        <v>297798.550200005</v>
      </c>
      <c r="J534" s="881">
        <v>29733.022673809701</v>
      </c>
      <c r="K534" s="60">
        <v>9.0779103867540803E-2</v>
      </c>
      <c r="L534" s="880">
        <v>2.94561576161817</v>
      </c>
      <c r="M534">
        <v>0</v>
      </c>
      <c r="N534" s="60">
        <v>0.64702447097406801</v>
      </c>
      <c r="O534" s="881">
        <v>947287.82200001704</v>
      </c>
      <c r="P534" s="60">
        <v>6.98498472878257E-2</v>
      </c>
      <c r="Q534" s="880">
        <v>2.9415801270858801</v>
      </c>
      <c r="R534" s="60">
        <v>0.60994967835037306</v>
      </c>
      <c r="S534" s="60">
        <v>0.67422712988280997</v>
      </c>
      <c r="T534" s="60">
        <v>0.35494653896422401</v>
      </c>
      <c r="U534" s="60">
        <v>0.34112374428874903</v>
      </c>
    </row>
    <row r="535" spans="1:21" x14ac:dyDescent="0.25">
      <c r="A535" s="519" t="s">
        <v>473</v>
      </c>
      <c r="B535" s="519" t="s">
        <v>475</v>
      </c>
      <c r="C535" s="519" t="s">
        <v>284</v>
      </c>
      <c r="D535" s="519" t="s">
        <v>111</v>
      </c>
      <c r="E535" s="519" t="s">
        <v>280</v>
      </c>
      <c r="F535" s="519" t="s">
        <v>70</v>
      </c>
      <c r="G535" s="519" t="s">
        <v>57</v>
      </c>
      <c r="H535" s="519" t="s">
        <v>148</v>
      </c>
      <c r="I535" s="881">
        <v>324846.96159999905</v>
      </c>
      <c r="J535" s="881">
        <v>12828.6852779701</v>
      </c>
      <c r="K535" s="60">
        <v>3.7991147411961398E-2</v>
      </c>
      <c r="L535" s="880">
        <v>3.0012003391494599</v>
      </c>
      <c r="M535">
        <v>0</v>
      </c>
      <c r="N535" s="60">
        <v>0.7493406107326861</v>
      </c>
      <c r="O535" s="881">
        <v>943652.25760000607</v>
      </c>
      <c r="P535" s="60">
        <v>6.1288635022955701E-2</v>
      </c>
      <c r="Q535" s="880">
        <v>2.9747889310189102</v>
      </c>
      <c r="R535" s="60">
        <v>0.60994967835037306</v>
      </c>
      <c r="S535" s="60">
        <v>0.74676241266272203</v>
      </c>
      <c r="T535" s="60">
        <v>0.34948359177286903</v>
      </c>
      <c r="U535" s="60">
        <v>0.253192166757151</v>
      </c>
    </row>
    <row r="536" spans="1:21" x14ac:dyDescent="0.25">
      <c r="A536" s="519" t="s">
        <v>477</v>
      </c>
      <c r="B536" s="519" t="s">
        <v>479</v>
      </c>
      <c r="C536" s="519" t="s">
        <v>284</v>
      </c>
      <c r="D536" s="519" t="s">
        <v>111</v>
      </c>
      <c r="E536" s="519" t="s">
        <v>280</v>
      </c>
      <c r="F536" s="519" t="s">
        <v>70</v>
      </c>
      <c r="G536" s="519" t="s">
        <v>58</v>
      </c>
      <c r="H536" s="519" t="s">
        <v>151</v>
      </c>
      <c r="I536" s="881">
        <v>326448.40499999805</v>
      </c>
      <c r="J536" s="881">
        <v>13020.10319441</v>
      </c>
      <c r="K536" s="60">
        <v>3.83543771516906E-2</v>
      </c>
      <c r="L536" s="880">
        <v>2.9771285694881202</v>
      </c>
      <c r="M536">
        <v>0</v>
      </c>
      <c r="N536" s="60">
        <v>0.71340710425588405</v>
      </c>
      <c r="O536" s="881">
        <v>1051130.1244999899</v>
      </c>
      <c r="P536" s="60">
        <v>3.3464673182368197E-2</v>
      </c>
      <c r="Q536" s="880">
        <v>2.9810780766792999</v>
      </c>
      <c r="R536" s="60">
        <v>0.60994967835037306</v>
      </c>
      <c r="S536" s="60">
        <v>0.65589102788577403</v>
      </c>
      <c r="T536" s="60">
        <v>0.30750276180640002</v>
      </c>
      <c r="U536" s="60">
        <v>0.34008162818028403</v>
      </c>
    </row>
    <row r="537" spans="1:21" x14ac:dyDescent="0.25">
      <c r="A537" s="519" t="s">
        <v>481</v>
      </c>
      <c r="B537" s="519" t="s">
        <v>482</v>
      </c>
      <c r="C537" s="519" t="s">
        <v>284</v>
      </c>
      <c r="D537" s="519" t="s">
        <v>111</v>
      </c>
      <c r="E537" s="519" t="s">
        <v>280</v>
      </c>
      <c r="F537" s="519" t="s">
        <v>70</v>
      </c>
      <c r="G537" s="519" t="s">
        <v>59</v>
      </c>
      <c r="H537" s="519" t="s">
        <v>153</v>
      </c>
      <c r="I537" s="881">
        <v>240805.68700000102</v>
      </c>
      <c r="J537" s="881">
        <v>18159.560753630099</v>
      </c>
      <c r="K537" s="60">
        <v>7.01235432597756E-2</v>
      </c>
      <c r="L537" s="880">
        <v>3.0136458938371402</v>
      </c>
      <c r="M537">
        <v>0</v>
      </c>
      <c r="N537" s="60">
        <v>0.7288045103353421</v>
      </c>
      <c r="O537" s="881">
        <v>691019.50190000306</v>
      </c>
      <c r="P537" s="60">
        <v>5.6175891106612197E-2</v>
      </c>
      <c r="Q537" s="880">
        <v>2.9952026354566899</v>
      </c>
      <c r="R537" s="60">
        <v>0.60994967835037306</v>
      </c>
      <c r="S537" s="60">
        <v>0.66284870953799202</v>
      </c>
      <c r="T537" s="60">
        <v>0.30830096102710602</v>
      </c>
      <c r="U537" s="60">
        <v>0.39092697809843802</v>
      </c>
    </row>
    <row r="538" spans="1:21" x14ac:dyDescent="0.25">
      <c r="A538" s="519" t="s">
        <v>481</v>
      </c>
      <c r="B538" s="519" t="s">
        <v>484</v>
      </c>
      <c r="C538" s="519" t="s">
        <v>284</v>
      </c>
      <c r="D538" s="519" t="s">
        <v>111</v>
      </c>
      <c r="E538" s="519" t="s">
        <v>280</v>
      </c>
      <c r="F538" s="519" t="s">
        <v>70</v>
      </c>
      <c r="G538" s="519" t="s">
        <v>59</v>
      </c>
      <c r="H538" s="519" t="s">
        <v>155</v>
      </c>
      <c r="I538" s="881">
        <v>263409.73760000104</v>
      </c>
      <c r="J538" s="881">
        <v>7753.9265334198699</v>
      </c>
      <c r="K538" s="60">
        <v>2.8595005743855099E-2</v>
      </c>
      <c r="L538" s="880">
        <v>2.96714009599232</v>
      </c>
      <c r="M538">
        <v>0</v>
      </c>
      <c r="N538" s="60">
        <v>0.63806028482980404</v>
      </c>
      <c r="O538" s="881">
        <v>691019.50190000306</v>
      </c>
      <c r="P538" s="60">
        <v>5.6175891106612197E-2</v>
      </c>
      <c r="Q538" s="880">
        <v>2.9952026354566899</v>
      </c>
      <c r="R538" s="60">
        <v>0.60994967835037306</v>
      </c>
      <c r="S538" s="60">
        <v>0.66284870953799202</v>
      </c>
      <c r="T538" s="60">
        <v>0.39964704005852503</v>
      </c>
      <c r="U538" s="60">
        <v>0.30857608894041705</v>
      </c>
    </row>
    <row r="539" spans="1:21" x14ac:dyDescent="0.25">
      <c r="A539" s="519" t="s">
        <v>485</v>
      </c>
      <c r="B539" s="519" t="s">
        <v>486</v>
      </c>
      <c r="C539" s="519" t="s">
        <v>284</v>
      </c>
      <c r="D539" s="519" t="s">
        <v>111</v>
      </c>
      <c r="E539" s="519" t="s">
        <v>280</v>
      </c>
      <c r="F539" s="519" t="s">
        <v>16</v>
      </c>
      <c r="G539" s="519" t="s">
        <v>56</v>
      </c>
      <c r="H539" s="519" t="s">
        <v>144</v>
      </c>
      <c r="I539" s="881">
        <v>274786.03300000104</v>
      </c>
      <c r="J539" s="881">
        <v>9479.1673339999688</v>
      </c>
      <c r="K539" s="60">
        <v>3.3346210942677201E-2</v>
      </c>
      <c r="L539" s="880">
        <v>2.9827115667848698</v>
      </c>
      <c r="M539">
        <v>0</v>
      </c>
      <c r="N539" s="60">
        <v>0.76640478957676905</v>
      </c>
      <c r="O539" s="881">
        <v>1019857.8924</v>
      </c>
      <c r="P539" s="60">
        <v>2.8419412100540001E-2</v>
      </c>
      <c r="Q539" s="880">
        <v>3.0070637014062198</v>
      </c>
      <c r="R539" s="60">
        <v>0.60994967835037306</v>
      </c>
      <c r="S539" s="60">
        <v>0.73980178848690503</v>
      </c>
      <c r="T539" s="60">
        <v>0.270794897187975</v>
      </c>
      <c r="U539" s="60">
        <v>0.37995214279122103</v>
      </c>
    </row>
    <row r="540" spans="1:21" x14ac:dyDescent="0.25">
      <c r="A540" s="519" t="s">
        <v>485</v>
      </c>
      <c r="B540" s="519" t="s">
        <v>488</v>
      </c>
      <c r="C540" s="519" t="s">
        <v>284</v>
      </c>
      <c r="D540" s="519" t="s">
        <v>111</v>
      </c>
      <c r="E540" s="519" t="s">
        <v>280</v>
      </c>
      <c r="F540" s="519" t="s">
        <v>16</v>
      </c>
      <c r="G540" s="519" t="s">
        <v>56</v>
      </c>
      <c r="H540" s="519" t="s">
        <v>146</v>
      </c>
      <c r="I540" s="881">
        <v>369893.80889999901</v>
      </c>
      <c r="J540" s="881">
        <v>9895.2487700999991</v>
      </c>
      <c r="K540" s="60">
        <v>2.6054591543012099E-2</v>
      </c>
      <c r="L540" s="880">
        <v>2.9984895687062298</v>
      </c>
      <c r="M540">
        <v>0</v>
      </c>
      <c r="N540" s="60">
        <v>0.75776809250619004</v>
      </c>
      <c r="O540" s="881">
        <v>1019857.8924</v>
      </c>
      <c r="P540" s="60">
        <v>2.8419412100540001E-2</v>
      </c>
      <c r="Q540" s="880">
        <v>3.0070637014062198</v>
      </c>
      <c r="R540" s="60">
        <v>0.60994967835037306</v>
      </c>
      <c r="S540" s="60">
        <v>0.73980178848690503</v>
      </c>
      <c r="T540" s="60">
        <v>0.35494653896422401</v>
      </c>
      <c r="U540" s="60">
        <v>0.34112374428874903</v>
      </c>
    </row>
    <row r="541" spans="1:21" x14ac:dyDescent="0.25">
      <c r="A541" s="519" t="s">
        <v>489</v>
      </c>
      <c r="B541" s="519" t="s">
        <v>491</v>
      </c>
      <c r="C541" s="519" t="s">
        <v>284</v>
      </c>
      <c r="D541" s="519" t="s">
        <v>111</v>
      </c>
      <c r="E541" s="519" t="s">
        <v>280</v>
      </c>
      <c r="F541" s="519" t="s">
        <v>16</v>
      </c>
      <c r="G541" s="519" t="s">
        <v>57</v>
      </c>
      <c r="H541" s="519" t="s">
        <v>148</v>
      </c>
      <c r="I541" s="881">
        <v>463331.93579999305</v>
      </c>
      <c r="J541" s="881">
        <v>22677.6192991403</v>
      </c>
      <c r="K541" s="60">
        <v>4.6660850720340701E-2</v>
      </c>
      <c r="L541" s="880">
        <v>3.05212403337433</v>
      </c>
      <c r="M541">
        <v>0</v>
      </c>
      <c r="N541" s="60">
        <v>0.7559390172301681</v>
      </c>
      <c r="O541" s="881">
        <v>1311614.9879999901</v>
      </c>
      <c r="P541" s="60">
        <v>5.6553886116996702E-2</v>
      </c>
      <c r="Q541" s="880">
        <v>3.03997098467203</v>
      </c>
      <c r="R541" s="60">
        <v>0.60994967835037306</v>
      </c>
      <c r="S541" s="60">
        <v>0.7349481594975561</v>
      </c>
      <c r="T541" s="60">
        <v>0.34948359177286903</v>
      </c>
      <c r="U541" s="60">
        <v>0.253192166757151</v>
      </c>
    </row>
    <row r="542" spans="1:21" x14ac:dyDescent="0.25">
      <c r="A542" s="519" t="s">
        <v>493</v>
      </c>
      <c r="B542" s="519" t="s">
        <v>495</v>
      </c>
      <c r="C542" s="519" t="s">
        <v>284</v>
      </c>
      <c r="D542" s="519" t="s">
        <v>111</v>
      </c>
      <c r="E542" s="519" t="s">
        <v>280</v>
      </c>
      <c r="F542" s="519" t="s">
        <v>16</v>
      </c>
      <c r="G542" s="519" t="s">
        <v>58</v>
      </c>
      <c r="H542" s="519" t="s">
        <v>151</v>
      </c>
      <c r="I542" s="881">
        <v>462530.64499999001</v>
      </c>
      <c r="J542" s="881">
        <v>13269.241476700301</v>
      </c>
      <c r="K542" s="60">
        <v>2.78882821409627E-2</v>
      </c>
      <c r="L542" s="880">
        <v>3.0598306506118003</v>
      </c>
      <c r="M542">
        <v>0</v>
      </c>
      <c r="N542" s="60">
        <v>0.76907382796226309</v>
      </c>
      <c r="O542" s="881">
        <v>1514632.35959997</v>
      </c>
      <c r="P542" s="60">
        <v>2.6299143205936099E-2</v>
      </c>
      <c r="Q542" s="880">
        <v>3.0578408780162398</v>
      </c>
      <c r="R542" s="60">
        <v>0.60994967835037306</v>
      </c>
      <c r="S542" s="60">
        <v>0.76533727729556</v>
      </c>
      <c r="T542" s="60">
        <v>0.30750276180640002</v>
      </c>
      <c r="U542" s="60">
        <v>0.34008162818028403</v>
      </c>
    </row>
    <row r="543" spans="1:21" x14ac:dyDescent="0.25">
      <c r="A543" s="519" t="s">
        <v>497</v>
      </c>
      <c r="B543" s="519" t="s">
        <v>293</v>
      </c>
      <c r="C543" s="519" t="s">
        <v>284</v>
      </c>
      <c r="D543" s="519" t="s">
        <v>111</v>
      </c>
      <c r="E543" s="519" t="s">
        <v>280</v>
      </c>
      <c r="F543" s="519" t="s">
        <v>16</v>
      </c>
      <c r="G543" s="519" t="s">
        <v>59</v>
      </c>
      <c r="H543" s="519" t="s">
        <v>153</v>
      </c>
      <c r="I543" s="881">
        <v>251458.65089999902</v>
      </c>
      <c r="J543" s="881">
        <v>27559.864773969999</v>
      </c>
      <c r="K543" s="60">
        <v>9.8774322225173197E-2</v>
      </c>
      <c r="L543" s="880">
        <v>3.08296432439281</v>
      </c>
      <c r="M543">
        <v>0</v>
      </c>
      <c r="N543" s="60">
        <v>0.74086282827504502</v>
      </c>
      <c r="O543" s="881">
        <v>905681.12549999205</v>
      </c>
      <c r="P543" s="60">
        <v>7.7251105496972297E-2</v>
      </c>
      <c r="Q543" s="880">
        <v>3.0744169672208002</v>
      </c>
      <c r="R543" s="60">
        <v>0.60994967835037306</v>
      </c>
      <c r="S543" s="60">
        <v>0.76184772562095704</v>
      </c>
      <c r="T543" s="60">
        <v>0.30830096102710602</v>
      </c>
      <c r="U543" s="60">
        <v>0.39092697809843802</v>
      </c>
    </row>
    <row r="544" spans="1:21" x14ac:dyDescent="0.25">
      <c r="A544" s="519" t="s">
        <v>497</v>
      </c>
      <c r="B544" s="519" t="s">
        <v>499</v>
      </c>
      <c r="C544" s="519" t="s">
        <v>284</v>
      </c>
      <c r="D544" s="519" t="s">
        <v>111</v>
      </c>
      <c r="E544" s="519" t="s">
        <v>280</v>
      </c>
      <c r="F544" s="519" t="s">
        <v>16</v>
      </c>
      <c r="G544" s="519" t="s">
        <v>59</v>
      </c>
      <c r="H544" s="519" t="s">
        <v>155</v>
      </c>
      <c r="I544" s="881">
        <v>374706.94199999602</v>
      </c>
      <c r="J544" s="881">
        <v>28334.453927130002</v>
      </c>
      <c r="K544" s="60">
        <v>7.0301597338286503E-2</v>
      </c>
      <c r="L544" s="880">
        <v>3.0717671871215302</v>
      </c>
      <c r="M544">
        <v>0</v>
      </c>
      <c r="N544" s="60">
        <v>0.80187494177783702</v>
      </c>
      <c r="O544" s="881">
        <v>905681.12549999205</v>
      </c>
      <c r="P544" s="60">
        <v>7.7251105496972297E-2</v>
      </c>
      <c r="Q544" s="880">
        <v>3.0744169672208002</v>
      </c>
      <c r="R544" s="60">
        <v>0.60994967835037306</v>
      </c>
      <c r="S544" s="60">
        <v>0.76184772562095704</v>
      </c>
      <c r="T544" s="60">
        <v>0.39964704005852503</v>
      </c>
      <c r="U544" s="60">
        <v>0.30857608894041705</v>
      </c>
    </row>
    <row r="545" spans="1:21" x14ac:dyDescent="0.25">
      <c r="A545" s="519" t="s">
        <v>500</v>
      </c>
      <c r="B545" s="519" t="s">
        <v>334</v>
      </c>
      <c r="C545" s="519" t="s">
        <v>284</v>
      </c>
      <c r="D545" s="519" t="s">
        <v>111</v>
      </c>
      <c r="E545" s="519" t="s">
        <v>280</v>
      </c>
      <c r="F545" s="519" t="s">
        <v>17</v>
      </c>
      <c r="G545" s="519" t="s">
        <v>56</v>
      </c>
      <c r="H545" s="519" t="s">
        <v>144</v>
      </c>
      <c r="I545" s="881">
        <v>348974.26579999999</v>
      </c>
      <c r="J545" s="881">
        <v>33589.248764950098</v>
      </c>
      <c r="K545" s="60">
        <v>8.7800450085125895E-2</v>
      </c>
      <c r="L545" s="880">
        <v>3.0217617433714299</v>
      </c>
      <c r="M545">
        <v>0</v>
      </c>
      <c r="N545" s="60">
        <v>0.78632631054023205</v>
      </c>
      <c r="O545" s="881">
        <v>1401790.3599999801</v>
      </c>
      <c r="P545" s="60">
        <v>4.8806101904090501E-2</v>
      </c>
      <c r="Q545" s="880">
        <v>3.0411669702295301</v>
      </c>
      <c r="R545" s="60">
        <v>0.60994967835037306</v>
      </c>
      <c r="S545" s="60">
        <v>0.77282127542952206</v>
      </c>
      <c r="T545" s="60">
        <v>0.270794897187975</v>
      </c>
      <c r="U545" s="60">
        <v>0.37995214279122103</v>
      </c>
    </row>
    <row r="546" spans="1:21" x14ac:dyDescent="0.25">
      <c r="A546" s="519" t="s">
        <v>500</v>
      </c>
      <c r="B546" s="519" t="s">
        <v>335</v>
      </c>
      <c r="C546" s="519" t="s">
        <v>284</v>
      </c>
      <c r="D546" s="519" t="s">
        <v>111</v>
      </c>
      <c r="E546" s="519" t="s">
        <v>280</v>
      </c>
      <c r="F546" s="519" t="s">
        <v>17</v>
      </c>
      <c r="G546" s="519" t="s">
        <v>56</v>
      </c>
      <c r="H546" s="519" t="s">
        <v>146</v>
      </c>
      <c r="I546" s="881">
        <v>528099.84049999109</v>
      </c>
      <c r="J546" s="881">
        <v>19350.226403100201</v>
      </c>
      <c r="K546" s="60">
        <v>3.5346102910469003E-2</v>
      </c>
      <c r="L546" s="880">
        <v>3.0446396336545298</v>
      </c>
      <c r="M546">
        <v>0</v>
      </c>
      <c r="N546" s="60">
        <v>0.77157914119840409</v>
      </c>
      <c r="O546" s="881">
        <v>1401790.3599999801</v>
      </c>
      <c r="P546" s="60">
        <v>4.8806101904090501E-2</v>
      </c>
      <c r="Q546" s="880">
        <v>3.0411669702295301</v>
      </c>
      <c r="R546" s="60">
        <v>0.60994967835037306</v>
      </c>
      <c r="S546" s="60">
        <v>0.77282127542952206</v>
      </c>
      <c r="T546" s="60">
        <v>0.35494653896422401</v>
      </c>
      <c r="U546" s="60">
        <v>0.34112374428874903</v>
      </c>
    </row>
    <row r="547" spans="1:21" x14ac:dyDescent="0.25">
      <c r="A547" s="519" t="s">
        <v>501</v>
      </c>
      <c r="B547" s="519" t="s">
        <v>503</v>
      </c>
      <c r="C547" s="519" t="s">
        <v>284</v>
      </c>
      <c r="D547" s="519" t="s">
        <v>111</v>
      </c>
      <c r="E547" s="519" t="s">
        <v>289</v>
      </c>
      <c r="F547" s="519" t="s">
        <v>70</v>
      </c>
      <c r="G547" s="519" t="s">
        <v>56</v>
      </c>
      <c r="H547" s="519" t="s">
        <v>145</v>
      </c>
      <c r="I547" s="881">
        <v>454954.93080000003</v>
      </c>
      <c r="J547" s="881">
        <v>14534.1271656301</v>
      </c>
      <c r="K547" s="60">
        <v>3.0957328864295801E-2</v>
      </c>
      <c r="L547" s="880">
        <v>3.0607774540184201</v>
      </c>
      <c r="M547">
        <v>0</v>
      </c>
      <c r="N547" s="60">
        <v>0.22038150047894903</v>
      </c>
      <c r="O547" s="881">
        <v>881945.5638</v>
      </c>
      <c r="P547" s="60">
        <v>4.6192168236246396E-2</v>
      </c>
      <c r="Q547" s="880">
        <v>3.0424030871669498</v>
      </c>
      <c r="R547" s="60">
        <v>0.52829431666295701</v>
      </c>
      <c r="S547" s="60">
        <v>0.22596841322192301</v>
      </c>
      <c r="T547" s="60">
        <v>0.46528191422261805</v>
      </c>
      <c r="U547" s="60">
        <v>0.37154209243916403</v>
      </c>
    </row>
    <row r="548" spans="1:21" x14ac:dyDescent="0.25">
      <c r="A548" s="519" t="s">
        <v>505</v>
      </c>
      <c r="B548" s="519" t="s">
        <v>506</v>
      </c>
      <c r="C548" s="519" t="s">
        <v>284</v>
      </c>
      <c r="D548" s="519" t="s">
        <v>111</v>
      </c>
      <c r="E548" s="519" t="s">
        <v>289</v>
      </c>
      <c r="F548" s="519" t="s">
        <v>70</v>
      </c>
      <c r="G548" s="519" t="s">
        <v>57</v>
      </c>
      <c r="H548" s="519" t="s">
        <v>147</v>
      </c>
      <c r="I548" s="881">
        <v>334667.28239999805</v>
      </c>
      <c r="J548" s="881">
        <v>23781.2963180101</v>
      </c>
      <c r="K548" s="60">
        <v>6.6345070757607899E-2</v>
      </c>
      <c r="L548" s="880">
        <v>3.0592336839581402</v>
      </c>
      <c r="M548">
        <v>0</v>
      </c>
      <c r="N548" s="60">
        <v>0.17486694271492501</v>
      </c>
      <c r="O548" s="881">
        <v>1109860.6599999901</v>
      </c>
      <c r="P548" s="60">
        <v>7.5367971815894497E-2</v>
      </c>
      <c r="Q548" s="880">
        <v>3.0474529686928098</v>
      </c>
      <c r="R548" s="60">
        <v>0.52829431666295701</v>
      </c>
      <c r="S548" s="60">
        <v>0.18387113847246603</v>
      </c>
      <c r="T548" s="60">
        <v>0.31322071421189701</v>
      </c>
      <c r="U548" s="60">
        <v>0.23926494356125999</v>
      </c>
    </row>
    <row r="549" spans="1:21" x14ac:dyDescent="0.25">
      <c r="A549" s="519" t="s">
        <v>505</v>
      </c>
      <c r="B549" s="519" t="s">
        <v>508</v>
      </c>
      <c r="C549" s="519" t="s">
        <v>284</v>
      </c>
      <c r="D549" s="519" t="s">
        <v>111</v>
      </c>
      <c r="E549" s="519" t="s">
        <v>289</v>
      </c>
      <c r="F549" s="519" t="s">
        <v>70</v>
      </c>
      <c r="G549" s="519" t="s">
        <v>57</v>
      </c>
      <c r="H549" s="519" t="s">
        <v>149</v>
      </c>
      <c r="I549" s="881">
        <v>470603.65879999805</v>
      </c>
      <c r="J549" s="881">
        <v>34561.624207670102</v>
      </c>
      <c r="K549" s="60">
        <v>6.8416467580464102E-2</v>
      </c>
      <c r="L549" s="880">
        <v>3.0362490931885899</v>
      </c>
      <c r="M549">
        <v>0</v>
      </c>
      <c r="N549" s="60">
        <v>0.19109039957171001</v>
      </c>
      <c r="O549" s="881">
        <v>1109860.6599999901</v>
      </c>
      <c r="P549" s="60">
        <v>7.5367971815894497E-2</v>
      </c>
      <c r="Q549" s="880">
        <v>3.0474529686928098</v>
      </c>
      <c r="R549" s="60">
        <v>0.52829431666295701</v>
      </c>
      <c r="S549" s="60">
        <v>0.18387113847246603</v>
      </c>
      <c r="T549" s="60">
        <v>0.42729461162672405</v>
      </c>
      <c r="U549" s="60">
        <v>0.40544468415030999</v>
      </c>
    </row>
    <row r="550" spans="1:21" x14ac:dyDescent="0.25">
      <c r="A550" s="519" t="s">
        <v>509</v>
      </c>
      <c r="B550" s="519" t="s">
        <v>510</v>
      </c>
      <c r="C550" s="519" t="s">
        <v>284</v>
      </c>
      <c r="D550" s="519" t="s">
        <v>111</v>
      </c>
      <c r="E550" s="519" t="s">
        <v>289</v>
      </c>
      <c r="F550" s="519" t="s">
        <v>70</v>
      </c>
      <c r="G550" s="519" t="s">
        <v>58</v>
      </c>
      <c r="H550" s="519" t="s">
        <v>150</v>
      </c>
      <c r="I550" s="881">
        <v>151413.5006</v>
      </c>
      <c r="J550" s="881">
        <v>21227.991720760099</v>
      </c>
      <c r="K550" s="60">
        <v>0.12295996423223501</v>
      </c>
      <c r="L550" s="880">
        <v>3.0470870843457298</v>
      </c>
      <c r="M550">
        <v>0</v>
      </c>
      <c r="N550" s="60">
        <v>0.186539459084403</v>
      </c>
      <c r="O550" s="881">
        <v>538085.29179999803</v>
      </c>
      <c r="P550" s="60">
        <v>8.3768226430277301E-2</v>
      </c>
      <c r="Q550" s="880">
        <v>3.0729454765770701</v>
      </c>
      <c r="R550" s="60">
        <v>0.52829431666295701</v>
      </c>
      <c r="S550" s="60">
        <v>0.14790265356218102</v>
      </c>
      <c r="T550" s="60">
        <v>0.26547384114906403</v>
      </c>
      <c r="U550" s="60">
        <v>0.41359577004146802</v>
      </c>
    </row>
    <row r="551" spans="1:21" x14ac:dyDescent="0.25">
      <c r="A551" s="519" t="s">
        <v>509</v>
      </c>
      <c r="B551" s="519" t="s">
        <v>512</v>
      </c>
      <c r="C551" s="519" t="s">
        <v>284</v>
      </c>
      <c r="D551" s="519" t="s">
        <v>111</v>
      </c>
      <c r="E551" s="519" t="s">
        <v>289</v>
      </c>
      <c r="F551" s="519" t="s">
        <v>70</v>
      </c>
      <c r="G551" s="519" t="s">
        <v>58</v>
      </c>
      <c r="H551" s="519" t="s">
        <v>152</v>
      </c>
      <c r="I551" s="881">
        <v>172825.43749999901</v>
      </c>
      <c r="J551" s="881">
        <v>14033.115881799999</v>
      </c>
      <c r="K551" s="60">
        <v>7.5100206160361796E-2</v>
      </c>
      <c r="L551" s="880">
        <v>3.0476855262579301</v>
      </c>
      <c r="M551">
        <v>0</v>
      </c>
      <c r="N551" s="60">
        <v>0.12931657933746102</v>
      </c>
      <c r="O551" s="881">
        <v>538085.29179999803</v>
      </c>
      <c r="P551" s="60">
        <v>8.3768226430277301E-2</v>
      </c>
      <c r="Q551" s="880">
        <v>3.0729454765770701</v>
      </c>
      <c r="R551" s="60">
        <v>0.52829431666295701</v>
      </c>
      <c r="S551" s="60">
        <v>0.14790265356218102</v>
      </c>
      <c r="T551" s="60">
        <v>0.33373705392453501</v>
      </c>
      <c r="U551" s="60">
        <v>0.25317947501102001</v>
      </c>
    </row>
    <row r="552" spans="1:21" x14ac:dyDescent="0.25">
      <c r="A552" s="519" t="s">
        <v>513</v>
      </c>
      <c r="B552" s="519" t="s">
        <v>515</v>
      </c>
      <c r="C552" s="519" t="s">
        <v>284</v>
      </c>
      <c r="D552" s="519" t="s">
        <v>111</v>
      </c>
      <c r="E552" s="519" t="s">
        <v>289</v>
      </c>
      <c r="F552" s="519" t="s">
        <v>70</v>
      </c>
      <c r="G552" s="519" t="s">
        <v>59</v>
      </c>
      <c r="H552" s="519" t="s">
        <v>154</v>
      </c>
      <c r="I552" s="881">
        <v>52803.290500000105</v>
      </c>
      <c r="J552" s="881">
        <v>10579.716794240001</v>
      </c>
      <c r="K552" s="60">
        <v>0.16691724242629102</v>
      </c>
      <c r="L552" s="880">
        <v>3.0255440130680502</v>
      </c>
      <c r="M552">
        <v>0</v>
      </c>
      <c r="N552" s="60">
        <v>0.16699744687312601</v>
      </c>
      <c r="O552" s="881">
        <v>210251.34410000101</v>
      </c>
      <c r="P552" s="60">
        <v>0.11640049469557401</v>
      </c>
      <c r="Q552" s="880">
        <v>3.0423741647803602</v>
      </c>
      <c r="R552" s="60">
        <v>0.52829431666295701</v>
      </c>
      <c r="S552" s="60">
        <v>0.208006401990939</v>
      </c>
      <c r="T552" s="60">
        <v>0.29025130940195504</v>
      </c>
      <c r="U552" s="60">
        <v>0.42784621827618202</v>
      </c>
    </row>
    <row r="553" spans="1:21" x14ac:dyDescent="0.25">
      <c r="A553" s="519" t="s">
        <v>517</v>
      </c>
      <c r="B553" s="519" t="s">
        <v>518</v>
      </c>
      <c r="C553" s="519" t="s">
        <v>284</v>
      </c>
      <c r="D553" s="519" t="s">
        <v>111</v>
      </c>
      <c r="E553" s="519" t="s">
        <v>289</v>
      </c>
      <c r="F553" s="519" t="s">
        <v>16</v>
      </c>
      <c r="G553" s="519" t="s">
        <v>56</v>
      </c>
      <c r="H553" s="519" t="s">
        <v>144</v>
      </c>
      <c r="I553" s="881">
        <v>197189.934799999</v>
      </c>
      <c r="J553" s="881">
        <v>8863.3967469500003</v>
      </c>
      <c r="K553" s="60">
        <v>4.3015061588220299E-2</v>
      </c>
      <c r="L553" s="880">
        <v>3.1435817543598898</v>
      </c>
      <c r="M553">
        <v>0</v>
      </c>
      <c r="N553" s="60">
        <v>0.21164994319984001</v>
      </c>
      <c r="O553" s="881">
        <v>1250155.54409997</v>
      </c>
      <c r="P553" s="60">
        <v>2.74255650686842E-2</v>
      </c>
      <c r="Q553" s="880">
        <v>3.1095469149162902</v>
      </c>
      <c r="R553" s="60">
        <v>0.52829431666295701</v>
      </c>
      <c r="S553" s="60">
        <v>0.17948306973396702</v>
      </c>
      <c r="T553" s="60">
        <v>0.158597276083354</v>
      </c>
      <c r="U553" s="60">
        <v>0.25344923040816203</v>
      </c>
    </row>
    <row r="554" spans="1:21" x14ac:dyDescent="0.25">
      <c r="A554" s="519" t="s">
        <v>517</v>
      </c>
      <c r="B554" s="519" t="s">
        <v>520</v>
      </c>
      <c r="C554" s="519" t="s">
        <v>284</v>
      </c>
      <c r="D554" s="519" t="s">
        <v>111</v>
      </c>
      <c r="E554" s="519" t="s">
        <v>289</v>
      </c>
      <c r="F554" s="519" t="s">
        <v>16</v>
      </c>
      <c r="G554" s="519" t="s">
        <v>56</v>
      </c>
      <c r="H554" s="519" t="s">
        <v>146</v>
      </c>
      <c r="I554" s="881">
        <v>511875.385899988</v>
      </c>
      <c r="J554" s="881">
        <v>14799.32810671</v>
      </c>
      <c r="K554" s="60">
        <v>2.80995607214998E-2</v>
      </c>
      <c r="L554" s="880">
        <v>3.0968016319657701</v>
      </c>
      <c r="M554">
        <v>0</v>
      </c>
      <c r="N554" s="60">
        <v>0.18097419968167802</v>
      </c>
      <c r="O554" s="881">
        <v>1250155.54409997</v>
      </c>
      <c r="P554" s="60">
        <v>2.74255650686842E-2</v>
      </c>
      <c r="Q554" s="880">
        <v>3.1095469149162902</v>
      </c>
      <c r="R554" s="60">
        <v>0.52829431666295701</v>
      </c>
      <c r="S554" s="60">
        <v>0.17948306973396702</v>
      </c>
      <c r="T554" s="60">
        <v>0.376120809694028</v>
      </c>
      <c r="U554" s="60">
        <v>0.37500867715267405</v>
      </c>
    </row>
    <row r="555" spans="1:21" x14ac:dyDescent="0.25">
      <c r="A555" s="519" t="s">
        <v>521</v>
      </c>
      <c r="B555" s="519" t="s">
        <v>523</v>
      </c>
      <c r="C555" s="519" t="s">
        <v>284</v>
      </c>
      <c r="D555" s="519" t="s">
        <v>111</v>
      </c>
      <c r="E555" s="519" t="s">
        <v>289</v>
      </c>
      <c r="F555" s="519" t="s">
        <v>16</v>
      </c>
      <c r="G555" s="519" t="s">
        <v>57</v>
      </c>
      <c r="H555" s="519" t="s">
        <v>148</v>
      </c>
      <c r="I555" s="881">
        <v>327747.13109999703</v>
      </c>
      <c r="J555" s="881">
        <v>31363.1616528503</v>
      </c>
      <c r="K555" s="60">
        <v>8.7335735805366396E-2</v>
      </c>
      <c r="L555" s="880">
        <v>3.0744600946542699</v>
      </c>
      <c r="M555">
        <v>0</v>
      </c>
      <c r="N555" s="60">
        <v>0.19398636011432302</v>
      </c>
      <c r="O555" s="881">
        <v>1327034.1274999799</v>
      </c>
      <c r="P555" s="60">
        <v>6.2336876033320901E-2</v>
      </c>
      <c r="Q555" s="880">
        <v>3.1020485778768498</v>
      </c>
      <c r="R555" s="60">
        <v>0.52829431666295701</v>
      </c>
      <c r="S555" s="60">
        <v>0.18917215465508402</v>
      </c>
      <c r="T555" s="60">
        <v>0.25948467416137799</v>
      </c>
      <c r="U555" s="60">
        <v>0.35529037228843002</v>
      </c>
    </row>
    <row r="556" spans="1:21" x14ac:dyDescent="0.25">
      <c r="A556" s="519" t="s">
        <v>525</v>
      </c>
      <c r="B556" s="519" t="s">
        <v>527</v>
      </c>
      <c r="C556" s="519" t="s">
        <v>284</v>
      </c>
      <c r="D556" s="519" t="s">
        <v>111</v>
      </c>
      <c r="E556" s="519" t="s">
        <v>289</v>
      </c>
      <c r="F556" s="519" t="s">
        <v>16</v>
      </c>
      <c r="G556" s="519" t="s">
        <v>58</v>
      </c>
      <c r="H556" s="519" t="s">
        <v>151</v>
      </c>
      <c r="I556" s="881">
        <v>229096.07189999701</v>
      </c>
      <c r="J556" s="881">
        <v>18080.501997380099</v>
      </c>
      <c r="K556" s="60">
        <v>7.31481212490903E-2</v>
      </c>
      <c r="L556" s="880">
        <v>3.07785885739955</v>
      </c>
      <c r="M556">
        <v>0</v>
      </c>
      <c r="N556" s="60">
        <v>0.21467710245799601</v>
      </c>
      <c r="O556" s="881">
        <v>567090.52299999399</v>
      </c>
      <c r="P556" s="60">
        <v>7.6356079644739006E-2</v>
      </c>
      <c r="Q556" s="880">
        <v>3.1039274332543698</v>
      </c>
      <c r="R556" s="60">
        <v>0.52829431666295701</v>
      </c>
      <c r="S556" s="60">
        <v>0.22384479012004502</v>
      </c>
      <c r="T556" s="60">
        <v>0.40078910492640102</v>
      </c>
      <c r="U556" s="60">
        <v>0.33322475494751203</v>
      </c>
    </row>
    <row r="557" spans="1:21" x14ac:dyDescent="0.25">
      <c r="A557" s="519" t="s">
        <v>529</v>
      </c>
      <c r="B557" s="519" t="s">
        <v>294</v>
      </c>
      <c r="C557" s="519" t="s">
        <v>284</v>
      </c>
      <c r="D557" s="519" t="s">
        <v>111</v>
      </c>
      <c r="E557" s="519" t="s">
        <v>289</v>
      </c>
      <c r="F557" s="519" t="s">
        <v>16</v>
      </c>
      <c r="G557" s="519" t="s">
        <v>59</v>
      </c>
      <c r="H557" s="519" t="s">
        <v>153</v>
      </c>
      <c r="I557" s="881">
        <v>73284.482000000309</v>
      </c>
      <c r="J557" s="881">
        <v>12826.02793163</v>
      </c>
      <c r="K557" s="60">
        <v>0.14894846101612502</v>
      </c>
      <c r="L557" s="880">
        <v>3.1397412651037402</v>
      </c>
      <c r="M557">
        <v>0</v>
      </c>
      <c r="N557" s="60">
        <v>0.27877248282931</v>
      </c>
      <c r="O557" s="881">
        <v>220306.28390000103</v>
      </c>
      <c r="P557" s="60">
        <v>0.15655621111851001</v>
      </c>
      <c r="Q557" s="880">
        <v>3.1085848940554599</v>
      </c>
      <c r="R557" s="60">
        <v>0.52829431666295701</v>
      </c>
      <c r="S557" s="60">
        <v>0.28539289069275403</v>
      </c>
      <c r="T557" s="60">
        <v>0.33585424574105999</v>
      </c>
      <c r="U557" s="60">
        <v>0.34517861639494002</v>
      </c>
    </row>
    <row r="558" spans="1:21" x14ac:dyDescent="0.25">
      <c r="A558" s="519" t="s">
        <v>529</v>
      </c>
      <c r="B558" s="519" t="s">
        <v>531</v>
      </c>
      <c r="C558" s="519" t="s">
        <v>284</v>
      </c>
      <c r="D558" s="519" t="s">
        <v>111</v>
      </c>
      <c r="E558" s="519" t="s">
        <v>289</v>
      </c>
      <c r="F558" s="519" t="s">
        <v>16</v>
      </c>
      <c r="G558" s="519" t="s">
        <v>59</v>
      </c>
      <c r="H558" s="519" t="s">
        <v>155</v>
      </c>
      <c r="I558" s="881">
        <v>74855.177100000306</v>
      </c>
      <c r="J558" s="881">
        <v>9300.141880000001</v>
      </c>
      <c r="K558" s="60">
        <v>0.11051163482857501</v>
      </c>
      <c r="L558" s="880">
        <v>3.0638954786250401</v>
      </c>
      <c r="M558">
        <v>0</v>
      </c>
      <c r="N558" s="60">
        <v>0.24928203128918802</v>
      </c>
      <c r="O558" s="881">
        <v>220306.28390000103</v>
      </c>
      <c r="P558" s="60">
        <v>0.15655621111851001</v>
      </c>
      <c r="Q558" s="880">
        <v>3.1085848940554599</v>
      </c>
      <c r="R558" s="60">
        <v>0.52829431666295701</v>
      </c>
      <c r="S558" s="60">
        <v>0.28539289069275403</v>
      </c>
      <c r="T558" s="60">
        <v>0.37389444485698403</v>
      </c>
      <c r="U558" s="60">
        <v>0.22697516532887901</v>
      </c>
    </row>
    <row r="559" spans="1:21" x14ac:dyDescent="0.25">
      <c r="A559" s="519" t="s">
        <v>532</v>
      </c>
      <c r="B559" s="519" t="s">
        <v>1747</v>
      </c>
      <c r="C559" s="519" t="s">
        <v>284</v>
      </c>
      <c r="D559" s="519" t="s">
        <v>111</v>
      </c>
      <c r="E559" s="519" t="s">
        <v>289</v>
      </c>
      <c r="F559" s="519" t="s">
        <v>17</v>
      </c>
      <c r="G559" s="519" t="s">
        <v>56</v>
      </c>
      <c r="H559" s="519" t="s">
        <v>145</v>
      </c>
      <c r="I559" s="881">
        <v>685965.73949998501</v>
      </c>
      <c r="J559" s="881">
        <v>20908.0766191701</v>
      </c>
      <c r="K559" s="60">
        <v>2.9578230431504701E-2</v>
      </c>
      <c r="L559" s="880">
        <v>3.1535664778753398</v>
      </c>
      <c r="M559">
        <v>0</v>
      </c>
      <c r="N559" s="60">
        <v>0.29215831689506999</v>
      </c>
      <c r="O559" s="881">
        <v>1482934.9428999701</v>
      </c>
      <c r="P559" s="60">
        <v>3.17470178566348E-2</v>
      </c>
      <c r="Q559" s="880">
        <v>3.1316819692984001</v>
      </c>
      <c r="R559" s="60">
        <v>0.52829431666295701</v>
      </c>
      <c r="S559" s="60">
        <v>0.308050778820181</v>
      </c>
      <c r="T559" s="60">
        <v>0.46528191422261805</v>
      </c>
      <c r="U559" s="60">
        <v>0.37154209243916403</v>
      </c>
    </row>
    <row r="560" spans="1:21" x14ac:dyDescent="0.25">
      <c r="A560" s="519" t="s">
        <v>1918</v>
      </c>
      <c r="B560" s="519" t="s">
        <v>1919</v>
      </c>
      <c r="C560" s="519" t="s">
        <v>284</v>
      </c>
      <c r="D560" s="519" t="s">
        <v>111</v>
      </c>
      <c r="E560" s="519" t="s">
        <v>289</v>
      </c>
      <c r="F560" s="519" t="s">
        <v>17</v>
      </c>
      <c r="G560" s="519" t="s">
        <v>57</v>
      </c>
      <c r="H560" s="519" t="s">
        <v>149</v>
      </c>
      <c r="I560" s="881">
        <v>664421.01099998807</v>
      </c>
      <c r="J560" s="881">
        <v>63615.740002269806</v>
      </c>
      <c r="K560" s="60">
        <v>8.7379847122676602E-2</v>
      </c>
      <c r="L560" s="880">
        <v>3.1995995134276898</v>
      </c>
      <c r="M560">
        <v>0</v>
      </c>
      <c r="N560" s="60">
        <v>0.22020496639592702</v>
      </c>
      <c r="O560" s="881">
        <v>664421.01099998807</v>
      </c>
      <c r="P560" s="60">
        <v>8.7379847122679793E-2</v>
      </c>
      <c r="Q560" s="880">
        <v>3.1995995134276898</v>
      </c>
      <c r="R560" s="60">
        <v>0.52829431666295701</v>
      </c>
      <c r="S560" s="60">
        <v>0.22020496639592702</v>
      </c>
      <c r="T560" s="60">
        <v>0.42729461162672405</v>
      </c>
      <c r="U560" s="60">
        <v>0.40544468415030999</v>
      </c>
    </row>
    <row r="561" spans="1:21" x14ac:dyDescent="0.25">
      <c r="A561" s="519" t="s">
        <v>533</v>
      </c>
      <c r="B561" s="519" t="s">
        <v>535</v>
      </c>
      <c r="C561" s="519" t="s">
        <v>284</v>
      </c>
      <c r="D561" s="519" t="s">
        <v>111</v>
      </c>
      <c r="E561" s="519" t="s">
        <v>3</v>
      </c>
      <c r="F561" s="519" t="s">
        <v>70</v>
      </c>
      <c r="G561" s="519" t="s">
        <v>56</v>
      </c>
      <c r="H561" s="519" t="s">
        <v>145</v>
      </c>
      <c r="I561" s="881">
        <v>1303118.0158000002</v>
      </c>
      <c r="J561" s="881">
        <v>47860.156267880404</v>
      </c>
      <c r="K561" s="60">
        <v>3.5426298705199602E-2</v>
      </c>
      <c r="L561" s="880">
        <v>3.0821651947937001</v>
      </c>
      <c r="M561">
        <v>0</v>
      </c>
      <c r="N561" s="60">
        <v>4.9689896628624199E-2</v>
      </c>
      <c r="O561" s="881">
        <v>2199657.5224000099</v>
      </c>
      <c r="P561" s="60">
        <v>4.7341348314656098E-2</v>
      </c>
      <c r="Q561" s="880">
        <v>3.0611246690732901</v>
      </c>
      <c r="R561" s="60">
        <v>0.54388487760263904</v>
      </c>
      <c r="S561" s="60">
        <v>7.2591889134531698E-2</v>
      </c>
      <c r="T561" s="60">
        <v>0.49590161303241997</v>
      </c>
      <c r="U561" s="60">
        <v>0.31854819566449</v>
      </c>
    </row>
    <row r="562" spans="1:21" x14ac:dyDescent="0.25">
      <c r="A562" s="519" t="s">
        <v>537</v>
      </c>
      <c r="B562" s="519" t="s">
        <v>538</v>
      </c>
      <c r="C562" s="519" t="s">
        <v>284</v>
      </c>
      <c r="D562" s="519" t="s">
        <v>111</v>
      </c>
      <c r="E562" s="519" t="s">
        <v>3</v>
      </c>
      <c r="F562" s="519" t="s">
        <v>70</v>
      </c>
      <c r="G562" s="519" t="s">
        <v>57</v>
      </c>
      <c r="H562" s="519" t="s">
        <v>147</v>
      </c>
      <c r="I562" s="881">
        <v>566054.60179999901</v>
      </c>
      <c r="J562" s="881">
        <v>66939.187919389995</v>
      </c>
      <c r="K562" s="60">
        <v>0.10575014953790401</v>
      </c>
      <c r="L562" s="880">
        <v>2.9836879281176003</v>
      </c>
      <c r="M562">
        <v>0</v>
      </c>
      <c r="N562" s="60">
        <v>4.84810919524973E-2</v>
      </c>
      <c r="O562" s="881">
        <v>2149587.1218999899</v>
      </c>
      <c r="P562" s="60">
        <v>0.109147955431209</v>
      </c>
      <c r="Q562" s="880">
        <v>3.0206468035245799</v>
      </c>
      <c r="R562" s="60">
        <v>0.54388487760263904</v>
      </c>
      <c r="S562" s="60">
        <v>4.3486024803394301E-2</v>
      </c>
      <c r="T562" s="60">
        <v>0.27465853401768903</v>
      </c>
      <c r="U562" s="60">
        <v>0.26324252085216998</v>
      </c>
    </row>
    <row r="563" spans="1:21" x14ac:dyDescent="0.25">
      <c r="A563" s="519" t="s">
        <v>537</v>
      </c>
      <c r="B563" s="519" t="s">
        <v>540</v>
      </c>
      <c r="C563" s="519" t="s">
        <v>284</v>
      </c>
      <c r="D563" s="519" t="s">
        <v>111</v>
      </c>
      <c r="E563" s="519" t="s">
        <v>3</v>
      </c>
      <c r="F563" s="519" t="s">
        <v>70</v>
      </c>
      <c r="G563" s="519" t="s">
        <v>57</v>
      </c>
      <c r="H563" s="519" t="s">
        <v>149</v>
      </c>
      <c r="I563" s="881">
        <v>1072843.9743000001</v>
      </c>
      <c r="J563" s="881">
        <v>67576.013419819807</v>
      </c>
      <c r="K563" s="60">
        <v>5.9255374465098001E-2</v>
      </c>
      <c r="L563" s="880">
        <v>3.0151287825378099</v>
      </c>
      <c r="M563">
        <v>0</v>
      </c>
      <c r="N563" s="60">
        <v>3.2644803008612201E-2</v>
      </c>
      <c r="O563" s="881">
        <v>2149587.1218999899</v>
      </c>
      <c r="P563" s="60">
        <v>0.109147955431209</v>
      </c>
      <c r="Q563" s="880">
        <v>3.0206468035245799</v>
      </c>
      <c r="R563" s="60">
        <v>0.54388487760263904</v>
      </c>
      <c r="S563" s="60">
        <v>4.3486024803394301E-2</v>
      </c>
      <c r="T563" s="60">
        <v>0.50059646867524998</v>
      </c>
      <c r="U563" s="60">
        <v>0.30098581665384505</v>
      </c>
    </row>
    <row r="564" spans="1:21" x14ac:dyDescent="0.25">
      <c r="A564" s="519" t="s">
        <v>541</v>
      </c>
      <c r="B564" s="519" t="s">
        <v>543</v>
      </c>
      <c r="C564" s="519" t="s">
        <v>284</v>
      </c>
      <c r="D564" s="519" t="s">
        <v>111</v>
      </c>
      <c r="E564" s="519" t="s">
        <v>3</v>
      </c>
      <c r="F564" s="519" t="s">
        <v>70</v>
      </c>
      <c r="G564" s="519" t="s">
        <v>58</v>
      </c>
      <c r="H564" s="519" t="s">
        <v>151</v>
      </c>
      <c r="I564" s="881">
        <v>435396.55620000104</v>
      </c>
      <c r="J564" s="881">
        <v>42757.034671400404</v>
      </c>
      <c r="K564" s="60">
        <v>8.9421130548195796E-2</v>
      </c>
      <c r="L564" s="880">
        <v>3.0526169117800901</v>
      </c>
      <c r="M564">
        <v>0</v>
      </c>
      <c r="N564" s="60">
        <v>0.101411977819405</v>
      </c>
      <c r="O564" s="881">
        <v>1725985.0586000001</v>
      </c>
      <c r="P564" s="60">
        <v>9.5232524672861002E-2</v>
      </c>
      <c r="Q564" s="880">
        <v>3.0268485796156601</v>
      </c>
      <c r="R564" s="60">
        <v>0.54388487760263904</v>
      </c>
      <c r="S564" s="60">
        <v>0.12768318138209001</v>
      </c>
      <c r="T564" s="60">
        <v>0.25390406742285104</v>
      </c>
      <c r="U564" s="60">
        <v>0.29685563136043402</v>
      </c>
    </row>
    <row r="565" spans="1:21" x14ac:dyDescent="0.25">
      <c r="A565" s="519" t="s">
        <v>545</v>
      </c>
      <c r="B565" s="519" t="s">
        <v>546</v>
      </c>
      <c r="C565" s="519" t="s">
        <v>284</v>
      </c>
      <c r="D565" s="519" t="s">
        <v>111</v>
      </c>
      <c r="E565" s="519" t="s">
        <v>3</v>
      </c>
      <c r="F565" s="519" t="s">
        <v>70</v>
      </c>
      <c r="G565" s="519" t="s">
        <v>59</v>
      </c>
      <c r="H565" s="519" t="s">
        <v>153</v>
      </c>
      <c r="I565" s="881">
        <v>158773.17890000102</v>
      </c>
      <c r="J565" s="881">
        <v>38520.197665430103</v>
      </c>
      <c r="K565" s="60">
        <v>0.195243237943446</v>
      </c>
      <c r="L565" s="880">
        <v>3.0202255625218801</v>
      </c>
      <c r="M565">
        <v>0</v>
      </c>
      <c r="N565" s="60">
        <v>0.15272297542944702</v>
      </c>
      <c r="O565" s="881">
        <v>662713.01190000004</v>
      </c>
      <c r="P565" s="60">
        <v>0.13517945994359901</v>
      </c>
      <c r="Q565" s="880">
        <v>2.94719398735492</v>
      </c>
      <c r="R565" s="60">
        <v>0.54388487760263904</v>
      </c>
      <c r="S565" s="60">
        <v>0.167181588425969</v>
      </c>
      <c r="T565" s="60">
        <v>0.25250076959182705</v>
      </c>
      <c r="U565" s="60">
        <v>0.40996515586577503</v>
      </c>
    </row>
    <row r="566" spans="1:21" x14ac:dyDescent="0.25">
      <c r="A566" s="519" t="s">
        <v>545</v>
      </c>
      <c r="B566" s="519" t="s">
        <v>548</v>
      </c>
      <c r="C566" s="519" t="s">
        <v>284</v>
      </c>
      <c r="D566" s="519" t="s">
        <v>111</v>
      </c>
      <c r="E566" s="519" t="s">
        <v>3</v>
      </c>
      <c r="F566" s="519" t="s">
        <v>70</v>
      </c>
      <c r="G566" s="519" t="s">
        <v>59</v>
      </c>
      <c r="H566" s="519" t="s">
        <v>155</v>
      </c>
      <c r="I566" s="881">
        <v>340789.36300000001</v>
      </c>
      <c r="J566" s="881">
        <v>31203.236029239903</v>
      </c>
      <c r="K566" s="60">
        <v>8.3881335571375004E-2</v>
      </c>
      <c r="L566" s="880">
        <v>2.8536564673631002</v>
      </c>
      <c r="M566">
        <v>0</v>
      </c>
      <c r="N566" s="60">
        <v>0.16791477643625902</v>
      </c>
      <c r="O566" s="881">
        <v>662713.01190000004</v>
      </c>
      <c r="P566" s="60">
        <v>0.13517945994359901</v>
      </c>
      <c r="Q566" s="880">
        <v>2.94719398735492</v>
      </c>
      <c r="R566" s="60">
        <v>0.54388487760263904</v>
      </c>
      <c r="S566" s="60">
        <v>0.167181588425969</v>
      </c>
      <c r="T566" s="60">
        <v>0.46867380083376203</v>
      </c>
      <c r="U566" s="60">
        <v>0.22041487012116101</v>
      </c>
    </row>
    <row r="567" spans="1:21" x14ac:dyDescent="0.25">
      <c r="A567" s="519" t="s">
        <v>549</v>
      </c>
      <c r="B567" s="519" t="s">
        <v>551</v>
      </c>
      <c r="C567" s="519" t="s">
        <v>284</v>
      </c>
      <c r="D567" s="519" t="s">
        <v>111</v>
      </c>
      <c r="E567" s="519" t="s">
        <v>3</v>
      </c>
      <c r="F567" s="519" t="s">
        <v>16</v>
      </c>
      <c r="G567" s="519" t="s">
        <v>56</v>
      </c>
      <c r="H567" s="519" t="s">
        <v>145</v>
      </c>
      <c r="I567" s="881">
        <v>1156970.44609997</v>
      </c>
      <c r="J567" s="881">
        <v>25588.9908451499</v>
      </c>
      <c r="K567" s="60">
        <v>2.16386509174138E-2</v>
      </c>
      <c r="L567" s="880">
        <v>3.0036993589432601</v>
      </c>
      <c r="M567">
        <v>0</v>
      </c>
      <c r="N567" s="60">
        <v>4.3523417793205101E-2</v>
      </c>
      <c r="O567" s="881">
        <v>2487947.9758999501</v>
      </c>
      <c r="P567" s="60">
        <v>3.9161337233355901E-2</v>
      </c>
      <c r="Q567" s="880">
        <v>3.0126127727812899</v>
      </c>
      <c r="R567" s="60">
        <v>0.54388487760263904</v>
      </c>
      <c r="S567" s="60">
        <v>7.4224236555108195E-2</v>
      </c>
      <c r="T567" s="60">
        <v>0.49590161303241997</v>
      </c>
      <c r="U567" s="60">
        <v>0.31854819566449</v>
      </c>
    </row>
    <row r="568" spans="1:21" x14ac:dyDescent="0.25">
      <c r="A568" s="519" t="s">
        <v>553</v>
      </c>
      <c r="B568" s="519" t="s">
        <v>554</v>
      </c>
      <c r="C568" s="519" t="s">
        <v>284</v>
      </c>
      <c r="D568" s="519" t="s">
        <v>111</v>
      </c>
      <c r="E568" s="519" t="s">
        <v>3</v>
      </c>
      <c r="F568" s="519" t="s">
        <v>16</v>
      </c>
      <c r="G568" s="519" t="s">
        <v>57</v>
      </c>
      <c r="H568" s="519" t="s">
        <v>147</v>
      </c>
      <c r="I568" s="881">
        <v>666992.46119999408</v>
      </c>
      <c r="J568" s="881">
        <v>64164.314960219803</v>
      </c>
      <c r="K568" s="60">
        <v>8.7757259526729303E-2</v>
      </c>
      <c r="L568" s="880">
        <v>3.0183434553681301</v>
      </c>
      <c r="M568">
        <v>0</v>
      </c>
      <c r="N568" s="60">
        <v>5.4364516406621599E-2</v>
      </c>
      <c r="O568" s="881">
        <v>2339794.82069998</v>
      </c>
      <c r="P568" s="60">
        <v>9.1150771599477404E-2</v>
      </c>
      <c r="Q568" s="880">
        <v>3.01410834481177</v>
      </c>
      <c r="R568" s="60">
        <v>0.54388487760263904</v>
      </c>
      <c r="S568" s="60">
        <v>5.8777758751879197E-2</v>
      </c>
      <c r="T568" s="60">
        <v>0.27465853401768903</v>
      </c>
      <c r="U568" s="60">
        <v>0.26324252085216998</v>
      </c>
    </row>
    <row r="569" spans="1:21" x14ac:dyDescent="0.25">
      <c r="A569" s="519" t="s">
        <v>553</v>
      </c>
      <c r="B569" s="519" t="s">
        <v>556</v>
      </c>
      <c r="C569" s="519" t="s">
        <v>284</v>
      </c>
      <c r="D569" s="519" t="s">
        <v>111</v>
      </c>
      <c r="E569" s="519" t="s">
        <v>3</v>
      </c>
      <c r="F569" s="519" t="s">
        <v>16</v>
      </c>
      <c r="G569" s="519" t="s">
        <v>57</v>
      </c>
      <c r="H569" s="519" t="s">
        <v>149</v>
      </c>
      <c r="I569" s="881">
        <v>1174524.7726999901</v>
      </c>
      <c r="J569" s="881">
        <v>82324.902103470609</v>
      </c>
      <c r="K569" s="60">
        <v>6.5500993280157696E-2</v>
      </c>
      <c r="L569" s="880">
        <v>3.04124179275636</v>
      </c>
      <c r="M569">
        <v>0</v>
      </c>
      <c r="N569" s="60">
        <v>4.6280572758838602E-2</v>
      </c>
      <c r="O569" s="881">
        <v>2339794.82069998</v>
      </c>
      <c r="P569" s="60">
        <v>9.1150771599477404E-2</v>
      </c>
      <c r="Q569" s="880">
        <v>3.01410834481177</v>
      </c>
      <c r="R569" s="60">
        <v>0.54388487760263904</v>
      </c>
      <c r="S569" s="60">
        <v>5.8777758751879197E-2</v>
      </c>
      <c r="T569" s="60">
        <v>0.50059646867524998</v>
      </c>
      <c r="U569" s="60">
        <v>0.30098581665384505</v>
      </c>
    </row>
    <row r="570" spans="1:21" x14ac:dyDescent="0.25">
      <c r="A570" s="519" t="s">
        <v>557</v>
      </c>
      <c r="B570" s="519" t="s">
        <v>559</v>
      </c>
      <c r="C570" s="519" t="s">
        <v>284</v>
      </c>
      <c r="D570" s="519" t="s">
        <v>111</v>
      </c>
      <c r="E570" s="519" t="s">
        <v>3</v>
      </c>
      <c r="F570" s="519" t="s">
        <v>16</v>
      </c>
      <c r="G570" s="519" t="s">
        <v>58</v>
      </c>
      <c r="H570" s="519" t="s">
        <v>151</v>
      </c>
      <c r="I570" s="881">
        <v>463645.54770000401</v>
      </c>
      <c r="J570" s="881">
        <v>65282.047575100303</v>
      </c>
      <c r="K570" s="60">
        <v>0.12342341023282301</v>
      </c>
      <c r="L570" s="880">
        <v>2.9867712101264501</v>
      </c>
      <c r="M570">
        <v>0</v>
      </c>
      <c r="N570" s="60">
        <v>0.12011998061078201</v>
      </c>
      <c r="O570" s="881">
        <v>1814888.1264000002</v>
      </c>
      <c r="P570" s="60">
        <v>9.1266488255171793E-2</v>
      </c>
      <c r="Q570" s="880">
        <v>2.95342896489232</v>
      </c>
      <c r="R570" s="60">
        <v>0.54388487760263904</v>
      </c>
      <c r="S570" s="60">
        <v>0.17762906314201601</v>
      </c>
      <c r="T570" s="60">
        <v>0.25390406742285104</v>
      </c>
      <c r="U570" s="60">
        <v>0.29685563136043402</v>
      </c>
    </row>
    <row r="571" spans="1:21" x14ac:dyDescent="0.25">
      <c r="A571" s="519" t="s">
        <v>561</v>
      </c>
      <c r="B571" s="519" t="s">
        <v>295</v>
      </c>
      <c r="C571" s="519" t="s">
        <v>284</v>
      </c>
      <c r="D571" s="519" t="s">
        <v>111</v>
      </c>
      <c r="E571" s="519" t="s">
        <v>3</v>
      </c>
      <c r="F571" s="519" t="s">
        <v>16</v>
      </c>
      <c r="G571" s="519" t="s">
        <v>59</v>
      </c>
      <c r="H571" s="519" t="s">
        <v>153</v>
      </c>
      <c r="I571" s="881">
        <v>158617.1961</v>
      </c>
      <c r="J571" s="881">
        <v>62416.520791380004</v>
      </c>
      <c r="K571" s="60">
        <v>0.282384613846279</v>
      </c>
      <c r="L571" s="880">
        <v>2.9399940223435399</v>
      </c>
      <c r="M571">
        <v>0</v>
      </c>
      <c r="N571" s="60">
        <v>0.20367849006505101</v>
      </c>
      <c r="O571" s="881">
        <v>594274.74109999707</v>
      </c>
      <c r="P571" s="60">
        <v>0.19354173648707601</v>
      </c>
      <c r="Q571" s="880">
        <v>2.8859656893500798</v>
      </c>
      <c r="R571" s="60">
        <v>0.54388487760263904</v>
      </c>
      <c r="S571" s="60">
        <v>0.23264279320385403</v>
      </c>
      <c r="T571" s="60">
        <v>0.25250076959182705</v>
      </c>
      <c r="U571" s="60">
        <v>0.40996515586577503</v>
      </c>
    </row>
    <row r="572" spans="1:21" x14ac:dyDescent="0.25">
      <c r="A572" s="519" t="s">
        <v>561</v>
      </c>
      <c r="B572" s="519" t="s">
        <v>563</v>
      </c>
      <c r="C572" s="519" t="s">
        <v>284</v>
      </c>
      <c r="D572" s="519" t="s">
        <v>111</v>
      </c>
      <c r="E572" s="519" t="s">
        <v>3</v>
      </c>
      <c r="F572" s="519" t="s">
        <v>16</v>
      </c>
      <c r="G572" s="519" t="s">
        <v>59</v>
      </c>
      <c r="H572" s="519" t="s">
        <v>155</v>
      </c>
      <c r="I572" s="881">
        <v>248327.86479999902</v>
      </c>
      <c r="J572" s="881">
        <v>23064.6776477901</v>
      </c>
      <c r="K572" s="60">
        <v>8.4986409131810894E-2</v>
      </c>
      <c r="L572" s="880">
        <v>3.6884642501720499</v>
      </c>
      <c r="M572">
        <v>0</v>
      </c>
      <c r="N572" s="60">
        <v>0.25727521980449303</v>
      </c>
      <c r="O572" s="881">
        <v>594274.74109999707</v>
      </c>
      <c r="P572" s="60">
        <v>0.19354173648707601</v>
      </c>
      <c r="Q572" s="880">
        <v>2.8859656893500798</v>
      </c>
      <c r="R572" s="60">
        <v>0.54388487760263904</v>
      </c>
      <c r="S572" s="60">
        <v>0.23264279320385403</v>
      </c>
      <c r="T572" s="60">
        <v>0.46867380083376203</v>
      </c>
      <c r="U572" s="60">
        <v>0.22041487012116101</v>
      </c>
    </row>
    <row r="573" spans="1:21" x14ac:dyDescent="0.25">
      <c r="A573" s="519" t="s">
        <v>564</v>
      </c>
      <c r="B573" s="519" t="s">
        <v>1768</v>
      </c>
      <c r="C573" s="519" t="s">
        <v>284</v>
      </c>
      <c r="D573" s="519" t="s">
        <v>111</v>
      </c>
      <c r="E573" s="519" t="s">
        <v>3</v>
      </c>
      <c r="F573" s="519" t="s">
        <v>17</v>
      </c>
      <c r="G573" s="519" t="s">
        <v>56</v>
      </c>
      <c r="H573" s="519" t="s">
        <v>145</v>
      </c>
      <c r="I573" s="881">
        <v>1185718.5315999901</v>
      </c>
      <c r="J573" s="881">
        <v>44425.7183025001</v>
      </c>
      <c r="K573" s="60">
        <v>3.6114234819225897E-2</v>
      </c>
      <c r="L573" s="880">
        <v>3.0403258950132699</v>
      </c>
      <c r="M573">
        <v>0</v>
      </c>
      <c r="N573" s="60">
        <v>0.25374386650937303</v>
      </c>
      <c r="O573" s="881">
        <v>2664270.1513999798</v>
      </c>
      <c r="P573" s="60">
        <v>5.64265352575017E-2</v>
      </c>
      <c r="Q573" s="880">
        <v>3.0324222720455798</v>
      </c>
      <c r="R573" s="60">
        <v>0.54388487760263904</v>
      </c>
      <c r="S573" s="60">
        <v>0.25777434485730399</v>
      </c>
      <c r="T573" s="60">
        <v>0.49590161303241997</v>
      </c>
      <c r="U573" s="60">
        <v>0.31854819566449</v>
      </c>
    </row>
    <row r="574" spans="1:21" x14ac:dyDescent="0.25">
      <c r="A574" s="519" t="s">
        <v>1920</v>
      </c>
      <c r="B574" s="519" t="s">
        <v>1921</v>
      </c>
      <c r="C574" s="519" t="s">
        <v>284</v>
      </c>
      <c r="D574" s="519" t="s">
        <v>111</v>
      </c>
      <c r="E574" s="519" t="s">
        <v>3</v>
      </c>
      <c r="F574" s="519" t="s">
        <v>17</v>
      </c>
      <c r="G574" s="519" t="s">
        <v>57</v>
      </c>
      <c r="H574" s="519" t="s">
        <v>149</v>
      </c>
      <c r="I574" s="881">
        <v>1090145.06729998</v>
      </c>
      <c r="J574" s="881">
        <v>94932.688614750601</v>
      </c>
      <c r="K574" s="60">
        <v>8.0106717167661198E-2</v>
      </c>
      <c r="L574" s="880">
        <v>3.0215951399383001</v>
      </c>
      <c r="M574">
        <v>0</v>
      </c>
      <c r="N574" s="60">
        <v>0.27400879420555402</v>
      </c>
      <c r="O574" s="881">
        <v>1090145.06729998</v>
      </c>
      <c r="P574" s="60">
        <v>8.0106717167663197E-2</v>
      </c>
      <c r="Q574" s="880">
        <v>3.0215951399383001</v>
      </c>
      <c r="R574" s="60">
        <v>0.54388487760263904</v>
      </c>
      <c r="S574" s="60">
        <v>0.27400879420555402</v>
      </c>
      <c r="T574" s="60">
        <v>0.50059646867524998</v>
      </c>
      <c r="U574" s="60">
        <v>0.30098581665384505</v>
      </c>
    </row>
    <row r="575" spans="1:21" x14ac:dyDescent="0.25">
      <c r="A575" s="519" t="s">
        <v>565</v>
      </c>
      <c r="B575" s="519" t="s">
        <v>567</v>
      </c>
      <c r="C575" s="519" t="s">
        <v>284</v>
      </c>
      <c r="D575" s="519" t="s">
        <v>111</v>
      </c>
      <c r="E575" s="519" t="s">
        <v>286</v>
      </c>
      <c r="F575" s="519" t="s">
        <v>70</v>
      </c>
      <c r="G575" s="519" t="s">
        <v>56</v>
      </c>
      <c r="H575" s="519" t="s">
        <v>145</v>
      </c>
      <c r="I575" s="881">
        <v>224266.861200001</v>
      </c>
      <c r="J575" s="881">
        <v>14731.409004379901</v>
      </c>
      <c r="K575" s="60">
        <v>6.16381406935812E-2</v>
      </c>
      <c r="L575" s="880">
        <v>2.9909995789524002</v>
      </c>
      <c r="M575">
        <v>0</v>
      </c>
      <c r="N575" s="60">
        <v>0.54981329314649108</v>
      </c>
      <c r="O575" s="881">
        <v>591106.77440000302</v>
      </c>
      <c r="P575" s="60">
        <v>6.8904258925027703E-2</v>
      </c>
      <c r="Q575" s="880">
        <v>2.9784415647218001</v>
      </c>
      <c r="R575" s="60">
        <v>0.54611489677995206</v>
      </c>
      <c r="S575" s="60">
        <v>0.45103239287118202</v>
      </c>
      <c r="T575" s="60">
        <v>0.35839521859374501</v>
      </c>
      <c r="U575" s="60">
        <v>0.32428907771048604</v>
      </c>
    </row>
    <row r="576" spans="1:21" x14ac:dyDescent="0.25">
      <c r="A576" s="519" t="s">
        <v>569</v>
      </c>
      <c r="B576" s="519" t="s">
        <v>570</v>
      </c>
      <c r="C576" s="519" t="s">
        <v>284</v>
      </c>
      <c r="D576" s="519" t="s">
        <v>111</v>
      </c>
      <c r="E576" s="519" t="s">
        <v>286</v>
      </c>
      <c r="F576" s="519" t="s">
        <v>70</v>
      </c>
      <c r="G576" s="519" t="s">
        <v>57</v>
      </c>
      <c r="H576" s="519" t="s">
        <v>147</v>
      </c>
      <c r="I576" s="881">
        <v>221891.65420000101</v>
      </c>
      <c r="J576" s="881">
        <v>9194.97465240987</v>
      </c>
      <c r="K576" s="60">
        <v>3.9790163100620599E-2</v>
      </c>
      <c r="L576" s="880">
        <v>2.99010340453819</v>
      </c>
      <c r="M576">
        <v>0</v>
      </c>
      <c r="N576" s="60">
        <v>0.50032922238676503</v>
      </c>
      <c r="O576" s="881">
        <v>701101.44360000209</v>
      </c>
      <c r="P576" s="60">
        <v>5.4443787377094301E-2</v>
      </c>
      <c r="Q576" s="880">
        <v>3.0031799906472298</v>
      </c>
      <c r="R576" s="60">
        <v>0.54611489677995206</v>
      </c>
      <c r="S576" s="60">
        <v>0.49574365232415002</v>
      </c>
      <c r="T576" s="60">
        <v>0.321579485259258</v>
      </c>
      <c r="U576" s="60">
        <v>0.18719783227901202</v>
      </c>
    </row>
    <row r="577" spans="1:21" x14ac:dyDescent="0.25">
      <c r="A577" s="519" t="s">
        <v>569</v>
      </c>
      <c r="B577" s="519" t="s">
        <v>572</v>
      </c>
      <c r="C577" s="519" t="s">
        <v>284</v>
      </c>
      <c r="D577" s="519" t="s">
        <v>111</v>
      </c>
      <c r="E577" s="519" t="s">
        <v>286</v>
      </c>
      <c r="F577" s="519" t="s">
        <v>70</v>
      </c>
      <c r="G577" s="519" t="s">
        <v>57</v>
      </c>
      <c r="H577" s="519" t="s">
        <v>149</v>
      </c>
      <c r="I577" s="881">
        <v>263367.44740000204</v>
      </c>
      <c r="J577" s="881">
        <v>22608.5426975999</v>
      </c>
      <c r="K577" s="60">
        <v>7.9057485524866009E-2</v>
      </c>
      <c r="L577" s="880">
        <v>2.9920636879710698</v>
      </c>
      <c r="M577">
        <v>0</v>
      </c>
      <c r="N577" s="60">
        <v>0.51835277422367998</v>
      </c>
      <c r="O577" s="881">
        <v>701101.44360000209</v>
      </c>
      <c r="P577" s="60">
        <v>5.4443787377094301E-2</v>
      </c>
      <c r="Q577" s="880">
        <v>3.0031799906472298</v>
      </c>
      <c r="R577" s="60">
        <v>0.54611489677995206</v>
      </c>
      <c r="S577" s="60">
        <v>0.49574365232415002</v>
      </c>
      <c r="T577" s="60">
        <v>0.38167437302703405</v>
      </c>
      <c r="U577" s="60">
        <v>0.54414972105262904</v>
      </c>
    </row>
    <row r="578" spans="1:21" x14ac:dyDescent="0.25">
      <c r="A578" s="519" t="s">
        <v>573</v>
      </c>
      <c r="B578" s="519" t="s">
        <v>574</v>
      </c>
      <c r="C578" s="519" t="s">
        <v>284</v>
      </c>
      <c r="D578" s="519" t="s">
        <v>111</v>
      </c>
      <c r="E578" s="519" t="s">
        <v>286</v>
      </c>
      <c r="F578" s="519" t="s">
        <v>70</v>
      </c>
      <c r="G578" s="519" t="s">
        <v>58</v>
      </c>
      <c r="H578" s="519" t="s">
        <v>150</v>
      </c>
      <c r="I578" s="881">
        <v>257284.76019999801</v>
      </c>
      <c r="J578" s="881">
        <v>10357.195475389901</v>
      </c>
      <c r="K578" s="60">
        <v>3.86979517066144E-2</v>
      </c>
      <c r="L578" s="880">
        <v>3.1011944497394901</v>
      </c>
      <c r="M578">
        <v>0</v>
      </c>
      <c r="N578" s="60">
        <v>0.23509218522302702</v>
      </c>
      <c r="O578" s="881">
        <v>729971.07189999602</v>
      </c>
      <c r="P578" s="60">
        <v>3.0794488880412699E-2</v>
      </c>
      <c r="Q578" s="880">
        <v>3.0829030708148202</v>
      </c>
      <c r="R578" s="60">
        <v>0.54611489677995206</v>
      </c>
      <c r="S578" s="60">
        <v>0.30128027104905503</v>
      </c>
      <c r="T578" s="60">
        <v>0.39129949675592801</v>
      </c>
      <c r="U578" s="60">
        <v>0.46946167757978402</v>
      </c>
    </row>
    <row r="579" spans="1:21" x14ac:dyDescent="0.25">
      <c r="A579" s="519" t="s">
        <v>573</v>
      </c>
      <c r="B579" s="519" t="s">
        <v>576</v>
      </c>
      <c r="C579" s="519" t="s">
        <v>284</v>
      </c>
      <c r="D579" s="519" t="s">
        <v>111</v>
      </c>
      <c r="E579" s="519" t="s">
        <v>286</v>
      </c>
      <c r="F579" s="519" t="s">
        <v>70</v>
      </c>
      <c r="G579" s="519" t="s">
        <v>58</v>
      </c>
      <c r="H579" s="519" t="s">
        <v>152</v>
      </c>
      <c r="I579" s="881">
        <v>249116.74769999803</v>
      </c>
      <c r="J579" s="881">
        <v>6040.2857951599399</v>
      </c>
      <c r="K579" s="60">
        <v>2.3672817137038098E-2</v>
      </c>
      <c r="L579" s="880">
        <v>3.09648731136663</v>
      </c>
      <c r="M579">
        <v>0</v>
      </c>
      <c r="N579" s="60">
        <v>0.30404378228000001</v>
      </c>
      <c r="O579" s="881">
        <v>729971.07189999602</v>
      </c>
      <c r="P579" s="60">
        <v>3.0794488880412699E-2</v>
      </c>
      <c r="Q579" s="880">
        <v>3.0829030708148202</v>
      </c>
      <c r="R579" s="60">
        <v>0.54611489677995206</v>
      </c>
      <c r="S579" s="60">
        <v>0.30128027104905503</v>
      </c>
      <c r="T579" s="60">
        <v>0.34244074717151202</v>
      </c>
      <c r="U579" s="60">
        <v>0.23001132888774001</v>
      </c>
    </row>
    <row r="580" spans="1:21" x14ac:dyDescent="0.25">
      <c r="A580" s="519" t="s">
        <v>577</v>
      </c>
      <c r="B580" s="519" t="s">
        <v>579</v>
      </c>
      <c r="C580" s="519" t="s">
        <v>284</v>
      </c>
      <c r="D580" s="519" t="s">
        <v>111</v>
      </c>
      <c r="E580" s="519" t="s">
        <v>286</v>
      </c>
      <c r="F580" s="519" t="s">
        <v>70</v>
      </c>
      <c r="G580" s="519" t="s">
        <v>59</v>
      </c>
      <c r="H580" s="519" t="s">
        <v>154</v>
      </c>
      <c r="I580" s="881">
        <v>211076.28069999901</v>
      </c>
      <c r="J580" s="881">
        <v>7268.3302870599591</v>
      </c>
      <c r="K580" s="60">
        <v>3.3288342928192501E-2</v>
      </c>
      <c r="L580" s="880">
        <v>3.0192092154871002</v>
      </c>
      <c r="M580">
        <v>0</v>
      </c>
      <c r="N580" s="60">
        <v>0.14579216858448402</v>
      </c>
      <c r="O580" s="881">
        <v>628017.70569999702</v>
      </c>
      <c r="P580" s="60">
        <v>3.03336489213707E-2</v>
      </c>
      <c r="Q580" s="880">
        <v>3.0691559525640799</v>
      </c>
      <c r="R580" s="60">
        <v>0.54611489677995206</v>
      </c>
      <c r="S580" s="60">
        <v>0.16056141647727501</v>
      </c>
      <c r="T580" s="60">
        <v>0.34205778352268101</v>
      </c>
      <c r="U580" s="60">
        <v>0.37140301367069301</v>
      </c>
    </row>
    <row r="581" spans="1:21" x14ac:dyDescent="0.25">
      <c r="A581" s="519" t="s">
        <v>581</v>
      </c>
      <c r="B581" s="519" t="s">
        <v>582</v>
      </c>
      <c r="C581" s="519" t="s">
        <v>284</v>
      </c>
      <c r="D581" s="519" t="s">
        <v>111</v>
      </c>
      <c r="E581" s="519" t="s">
        <v>286</v>
      </c>
      <c r="F581" s="519" t="s">
        <v>16</v>
      </c>
      <c r="G581" s="519" t="s">
        <v>56</v>
      </c>
      <c r="H581" s="519" t="s">
        <v>144</v>
      </c>
      <c r="I581" s="881">
        <v>169498.29319999903</v>
      </c>
      <c r="J581" s="881">
        <v>7007.4396048499893</v>
      </c>
      <c r="K581" s="60">
        <v>3.97009178880195E-2</v>
      </c>
      <c r="L581" s="880">
        <v>3.05051540163034</v>
      </c>
      <c r="M581">
        <v>0</v>
      </c>
      <c r="N581" s="60">
        <v>0.13489801264854401</v>
      </c>
      <c r="O581" s="881">
        <v>593484.48340000107</v>
      </c>
      <c r="P581" s="60">
        <v>3.3697764551629698E-2</v>
      </c>
      <c r="Q581" s="880">
        <v>3.0775354516941902</v>
      </c>
      <c r="R581" s="60">
        <v>0.54611489677995206</v>
      </c>
      <c r="S581" s="60">
        <v>0.25149739138066302</v>
      </c>
      <c r="T581" s="60">
        <v>0.287255960941111</v>
      </c>
      <c r="U581" s="60">
        <v>0.28070535285871501</v>
      </c>
    </row>
    <row r="582" spans="1:21" x14ac:dyDescent="0.25">
      <c r="A582" s="519" t="s">
        <v>581</v>
      </c>
      <c r="B582" s="519" t="s">
        <v>584</v>
      </c>
      <c r="C582" s="519" t="s">
        <v>284</v>
      </c>
      <c r="D582" s="519" t="s">
        <v>111</v>
      </c>
      <c r="E582" s="519" t="s">
        <v>286</v>
      </c>
      <c r="F582" s="519" t="s">
        <v>16</v>
      </c>
      <c r="G582" s="519" t="s">
        <v>56</v>
      </c>
      <c r="H582" s="519" t="s">
        <v>146</v>
      </c>
      <c r="I582" s="881">
        <v>206854.1721</v>
      </c>
      <c r="J582" s="881">
        <v>7682.6301053400002</v>
      </c>
      <c r="K582" s="60">
        <v>3.58103133185829E-2</v>
      </c>
      <c r="L582" s="880">
        <v>3.0290104435447098</v>
      </c>
      <c r="M582">
        <v>0</v>
      </c>
      <c r="N582" s="60">
        <v>0.23301480995364401</v>
      </c>
      <c r="O582" s="881">
        <v>593484.48340000107</v>
      </c>
      <c r="P582" s="60">
        <v>3.3697764551629698E-2</v>
      </c>
      <c r="Q582" s="880">
        <v>3.0775354516941902</v>
      </c>
      <c r="R582" s="60">
        <v>0.54611489677995206</v>
      </c>
      <c r="S582" s="60">
        <v>0.25149739138066302</v>
      </c>
      <c r="T582" s="60">
        <v>0.35434882046514404</v>
      </c>
      <c r="U582" s="60">
        <v>0.39500556943079901</v>
      </c>
    </row>
    <row r="583" spans="1:21" x14ac:dyDescent="0.25">
      <c r="A583" s="519" t="s">
        <v>585</v>
      </c>
      <c r="B583" s="519" t="s">
        <v>587</v>
      </c>
      <c r="C583" s="519" t="s">
        <v>284</v>
      </c>
      <c r="D583" s="519" t="s">
        <v>111</v>
      </c>
      <c r="E583" s="519" t="s">
        <v>286</v>
      </c>
      <c r="F583" s="519" t="s">
        <v>16</v>
      </c>
      <c r="G583" s="519" t="s">
        <v>57</v>
      </c>
      <c r="H583" s="519" t="s">
        <v>148</v>
      </c>
      <c r="I583" s="881">
        <v>194042.922100002</v>
      </c>
      <c r="J583" s="881">
        <v>12946.809522720001</v>
      </c>
      <c r="K583" s="60">
        <v>6.2548076280025802E-2</v>
      </c>
      <c r="L583" s="880">
        <v>3.1272226652951498</v>
      </c>
      <c r="M583">
        <v>0</v>
      </c>
      <c r="N583" s="60">
        <v>0.49695590365467907</v>
      </c>
      <c r="O583" s="881">
        <v>680164.24610000709</v>
      </c>
      <c r="P583" s="60">
        <v>5.5154862186245698E-2</v>
      </c>
      <c r="Q583" s="880">
        <v>3.1611935280435501</v>
      </c>
      <c r="R583" s="60">
        <v>0.54611489677995206</v>
      </c>
      <c r="S583" s="60">
        <v>0.48723891280706305</v>
      </c>
      <c r="T583" s="60">
        <v>0.296746141713708</v>
      </c>
      <c r="U583" s="60">
        <v>0.26865244666835902</v>
      </c>
    </row>
    <row r="584" spans="1:21" x14ac:dyDescent="0.25">
      <c r="A584" s="519" t="s">
        <v>589</v>
      </c>
      <c r="B584" s="519" t="s">
        <v>591</v>
      </c>
      <c r="C584" s="519" t="s">
        <v>284</v>
      </c>
      <c r="D584" s="519" t="s">
        <v>111</v>
      </c>
      <c r="E584" s="519" t="s">
        <v>286</v>
      </c>
      <c r="F584" s="519" t="s">
        <v>16</v>
      </c>
      <c r="G584" s="519" t="s">
        <v>58</v>
      </c>
      <c r="H584" s="519" t="s">
        <v>151</v>
      </c>
      <c r="I584" s="881">
        <v>249309.16190000103</v>
      </c>
      <c r="J584" s="881">
        <v>9139.2915541499297</v>
      </c>
      <c r="K584" s="60">
        <v>3.5362144489563797E-2</v>
      </c>
      <c r="L584" s="880">
        <v>3.18702875923075</v>
      </c>
      <c r="M584">
        <v>0</v>
      </c>
      <c r="N584" s="60">
        <v>0.44715843994821203</v>
      </c>
      <c r="O584" s="881">
        <v>1046034.18279998</v>
      </c>
      <c r="P584" s="60">
        <v>2.7727107160735901E-2</v>
      </c>
      <c r="Q584" s="880">
        <v>3.2208344414746302</v>
      </c>
      <c r="R584" s="60">
        <v>0.54611489677995206</v>
      </c>
      <c r="S584" s="60">
        <v>0.50500707814920209</v>
      </c>
      <c r="T584" s="60">
        <v>0.26625975607255997</v>
      </c>
      <c r="U584" s="60">
        <v>0.30052699353247603</v>
      </c>
    </row>
    <row r="585" spans="1:21" x14ac:dyDescent="0.25">
      <c r="A585" s="519" t="s">
        <v>593</v>
      </c>
      <c r="B585" s="519" t="s">
        <v>296</v>
      </c>
      <c r="C585" s="519" t="s">
        <v>284</v>
      </c>
      <c r="D585" s="519" t="s">
        <v>111</v>
      </c>
      <c r="E585" s="519" t="s">
        <v>286</v>
      </c>
      <c r="F585" s="519" t="s">
        <v>16</v>
      </c>
      <c r="G585" s="519" t="s">
        <v>59</v>
      </c>
      <c r="H585" s="519" t="s">
        <v>153</v>
      </c>
      <c r="I585" s="881">
        <v>275951.02640000003</v>
      </c>
      <c r="J585" s="881">
        <v>6918.3873499098599</v>
      </c>
      <c r="K585" s="60">
        <v>2.44578841458853E-2</v>
      </c>
      <c r="L585" s="880">
        <v>3.3513566072732401</v>
      </c>
      <c r="M585">
        <v>0</v>
      </c>
      <c r="N585" s="60">
        <v>0.52117348167254807</v>
      </c>
      <c r="O585" s="881">
        <v>1046292.86779999</v>
      </c>
      <c r="P585" s="60">
        <v>2.2785009653517398E-2</v>
      </c>
      <c r="Q585" s="880">
        <v>3.31775066390288</v>
      </c>
      <c r="R585" s="60">
        <v>0.54611489677995206</v>
      </c>
      <c r="S585" s="60">
        <v>0.48942358718046702</v>
      </c>
      <c r="T585" s="60">
        <v>0.25541204706487802</v>
      </c>
      <c r="U585" s="60">
        <v>0.28609252921830003</v>
      </c>
    </row>
    <row r="586" spans="1:21" x14ac:dyDescent="0.25">
      <c r="A586" s="519" t="s">
        <v>593</v>
      </c>
      <c r="B586" s="519" t="s">
        <v>595</v>
      </c>
      <c r="C586" s="519" t="s">
        <v>284</v>
      </c>
      <c r="D586" s="519" t="s">
        <v>111</v>
      </c>
      <c r="E586" s="519" t="s">
        <v>286</v>
      </c>
      <c r="F586" s="519" t="s">
        <v>16</v>
      </c>
      <c r="G586" s="519" t="s">
        <v>59</v>
      </c>
      <c r="H586" s="519" t="s">
        <v>155</v>
      </c>
      <c r="I586" s="881">
        <v>408707.15839999105</v>
      </c>
      <c r="J586" s="881">
        <v>8388.3889230098794</v>
      </c>
      <c r="K586" s="60">
        <v>2.01114324447908E-2</v>
      </c>
      <c r="L586" s="880">
        <v>3.2898686170220799</v>
      </c>
      <c r="M586">
        <v>0</v>
      </c>
      <c r="N586" s="60">
        <v>0.50684068615522404</v>
      </c>
      <c r="O586" s="881">
        <v>1046292.86779999</v>
      </c>
      <c r="P586" s="60">
        <v>2.2785009653517398E-2</v>
      </c>
      <c r="Q586" s="880">
        <v>3.31775066390288</v>
      </c>
      <c r="R586" s="60">
        <v>0.54611489677995206</v>
      </c>
      <c r="S586" s="60">
        <v>0.48942358718046702</v>
      </c>
      <c r="T586" s="60">
        <v>0.40253016941244102</v>
      </c>
      <c r="U586" s="60">
        <v>0.34250445711100702</v>
      </c>
    </row>
    <row r="587" spans="1:21" x14ac:dyDescent="0.25">
      <c r="A587" s="519" t="s">
        <v>596</v>
      </c>
      <c r="B587" s="519" t="s">
        <v>1748</v>
      </c>
      <c r="C587" s="519" t="s">
        <v>284</v>
      </c>
      <c r="D587" s="519" t="s">
        <v>111</v>
      </c>
      <c r="E587" s="519" t="s">
        <v>286</v>
      </c>
      <c r="F587" s="519" t="s">
        <v>17</v>
      </c>
      <c r="G587" s="519" t="s">
        <v>56</v>
      </c>
      <c r="H587" s="519" t="s">
        <v>145</v>
      </c>
      <c r="I587" s="881">
        <v>408579.08609998802</v>
      </c>
      <c r="J587" s="881">
        <v>10724.31402285</v>
      </c>
      <c r="K587" s="60">
        <v>2.5576501453858699E-2</v>
      </c>
      <c r="L587" s="880">
        <v>3.1887575140586502</v>
      </c>
      <c r="M587">
        <v>0</v>
      </c>
      <c r="N587" s="60">
        <v>0.48703809340673204</v>
      </c>
      <c r="O587" s="881">
        <v>1187030.68719998</v>
      </c>
      <c r="P587" s="60">
        <v>2.67122373742496E-2</v>
      </c>
      <c r="Q587" s="880">
        <v>3.22870870785568</v>
      </c>
      <c r="R587" s="60">
        <v>0.54611489677995206</v>
      </c>
      <c r="S587" s="60">
        <v>0.51145341729293403</v>
      </c>
      <c r="T587" s="60">
        <v>0.35839521859374501</v>
      </c>
      <c r="U587" s="60">
        <v>0.32428907771048604</v>
      </c>
    </row>
    <row r="588" spans="1:21" x14ac:dyDescent="0.25">
      <c r="A588" s="519" t="s">
        <v>1922</v>
      </c>
      <c r="B588" s="519" t="s">
        <v>1923</v>
      </c>
      <c r="C588" s="519" t="s">
        <v>284</v>
      </c>
      <c r="D588" s="519" t="s">
        <v>111</v>
      </c>
      <c r="E588" s="519" t="s">
        <v>286</v>
      </c>
      <c r="F588" s="519" t="s">
        <v>17</v>
      </c>
      <c r="G588" s="519" t="s">
        <v>57</v>
      </c>
      <c r="H588" s="519" t="s">
        <v>149</v>
      </c>
      <c r="I588" s="881">
        <v>381504.41679999605</v>
      </c>
      <c r="J588" s="881">
        <v>30180.3268424202</v>
      </c>
      <c r="K588" s="60">
        <v>7.3309315704529296E-2</v>
      </c>
      <c r="L588" s="880">
        <v>3.2292617325592801</v>
      </c>
      <c r="M588">
        <v>0</v>
      </c>
      <c r="N588" s="60">
        <v>0.49858034146881502</v>
      </c>
      <c r="O588" s="881">
        <v>381504.41679999605</v>
      </c>
      <c r="P588" s="60">
        <v>7.3309315704529698E-2</v>
      </c>
      <c r="Q588" s="880">
        <v>3.2292617325592801</v>
      </c>
      <c r="R588" s="60">
        <v>0.54611489677995206</v>
      </c>
      <c r="S588" s="60">
        <v>0.49858034146881502</v>
      </c>
      <c r="T588" s="60">
        <v>0.38167437302703405</v>
      </c>
      <c r="U588" s="60">
        <v>0.54414972105262904</v>
      </c>
    </row>
    <row r="589" spans="1:21" x14ac:dyDescent="0.25">
      <c r="A589" s="519" t="s">
        <v>597</v>
      </c>
      <c r="B589" s="519" t="s">
        <v>598</v>
      </c>
      <c r="C589" s="519" t="s">
        <v>284</v>
      </c>
      <c r="D589" s="519" t="s">
        <v>111</v>
      </c>
      <c r="E589" s="519" t="s">
        <v>287</v>
      </c>
      <c r="F589" s="519" t="s">
        <v>70</v>
      </c>
      <c r="G589" s="519" t="s">
        <v>56</v>
      </c>
      <c r="H589" s="519" t="s">
        <v>144</v>
      </c>
      <c r="I589" s="881">
        <v>83636.9787000004</v>
      </c>
      <c r="J589" s="881">
        <v>3361.4641362999896</v>
      </c>
      <c r="K589" s="60">
        <v>3.8638210371478299E-2</v>
      </c>
      <c r="L589" s="880">
        <v>2.9178412613210298</v>
      </c>
      <c r="M589">
        <v>0</v>
      </c>
      <c r="N589" s="60">
        <v>0.30810890350824999</v>
      </c>
      <c r="O589" s="881">
        <v>278550.95420000103</v>
      </c>
      <c r="P589" s="60">
        <v>5.6647095779577099E-2</v>
      </c>
      <c r="Q589" s="880">
        <v>2.9429916895538</v>
      </c>
      <c r="R589" s="60">
        <v>0.52839381146605502</v>
      </c>
      <c r="S589" s="60">
        <v>0.34026339946388101</v>
      </c>
      <c r="T589" s="60">
        <v>0.28763137430251301</v>
      </c>
      <c r="U589" s="60">
        <v>0.25907863571707901</v>
      </c>
    </row>
    <row r="590" spans="1:21" x14ac:dyDescent="0.25">
      <c r="A590" s="519" t="s">
        <v>597</v>
      </c>
      <c r="B590" s="519" t="s">
        <v>600</v>
      </c>
      <c r="C590" s="519" t="s">
        <v>284</v>
      </c>
      <c r="D590" s="519" t="s">
        <v>111</v>
      </c>
      <c r="E590" s="519" t="s">
        <v>287</v>
      </c>
      <c r="F590" s="519" t="s">
        <v>70</v>
      </c>
      <c r="G590" s="519" t="s">
        <v>56</v>
      </c>
      <c r="H590" s="519" t="s">
        <v>146</v>
      </c>
      <c r="I590" s="881">
        <v>84629.530500000299</v>
      </c>
      <c r="J590" s="881">
        <v>2855.66699572999</v>
      </c>
      <c r="K590" s="60">
        <v>3.2641716284281898E-2</v>
      </c>
      <c r="L590" s="880">
        <v>2.9619572097753002</v>
      </c>
      <c r="M590">
        <v>0</v>
      </c>
      <c r="N590" s="60">
        <v>0.35039742894473302</v>
      </c>
      <c r="O590" s="881">
        <v>278550.95420000103</v>
      </c>
      <c r="P590" s="60">
        <v>5.6647095779577099E-2</v>
      </c>
      <c r="Q590" s="880">
        <v>2.9429916895538</v>
      </c>
      <c r="R590" s="60">
        <v>0.52839381146605502</v>
      </c>
      <c r="S590" s="60">
        <v>0.34026339946388101</v>
      </c>
      <c r="T590" s="60">
        <v>0.32415933241169803</v>
      </c>
      <c r="U590" s="60">
        <v>0.25969925131879801</v>
      </c>
    </row>
    <row r="591" spans="1:21" x14ac:dyDescent="0.25">
      <c r="A591" s="519" t="s">
        <v>601</v>
      </c>
      <c r="B591" s="519" t="s">
        <v>603</v>
      </c>
      <c r="C591" s="519" t="s">
        <v>284</v>
      </c>
      <c r="D591" s="519" t="s">
        <v>111</v>
      </c>
      <c r="E591" s="519" t="s">
        <v>287</v>
      </c>
      <c r="F591" s="519" t="s">
        <v>70</v>
      </c>
      <c r="G591" s="519" t="s">
        <v>57</v>
      </c>
      <c r="H591" s="519" t="s">
        <v>148</v>
      </c>
      <c r="I591" s="881">
        <v>104801.98610000001</v>
      </c>
      <c r="J591" s="881">
        <v>4085.3004941899999</v>
      </c>
      <c r="K591" s="60">
        <v>3.7518617847604498E-2</v>
      </c>
      <c r="L591" s="880">
        <v>2.9786241038304002</v>
      </c>
      <c r="M591">
        <v>0</v>
      </c>
      <c r="N591" s="60">
        <v>0.39146355834185903</v>
      </c>
      <c r="O591" s="881">
        <v>327402.71950000001</v>
      </c>
      <c r="P591" s="60">
        <v>4.8335648460412897E-2</v>
      </c>
      <c r="Q591" s="880">
        <v>2.9705299806414001</v>
      </c>
      <c r="R591" s="60">
        <v>0.52839381146605502</v>
      </c>
      <c r="S591" s="60">
        <v>0.39574901392961803</v>
      </c>
      <c r="T591" s="60">
        <v>0.30568037761187999</v>
      </c>
      <c r="U591" s="60">
        <v>0.319223256850652</v>
      </c>
    </row>
    <row r="592" spans="1:21" x14ac:dyDescent="0.25">
      <c r="A592" s="519" t="s">
        <v>605</v>
      </c>
      <c r="B592" s="519" t="s">
        <v>607</v>
      </c>
      <c r="C592" s="519" t="s">
        <v>284</v>
      </c>
      <c r="D592" s="519" t="s">
        <v>111</v>
      </c>
      <c r="E592" s="519" t="s">
        <v>287</v>
      </c>
      <c r="F592" s="519" t="s">
        <v>70</v>
      </c>
      <c r="G592" s="519" t="s">
        <v>58</v>
      </c>
      <c r="H592" s="519" t="s">
        <v>151</v>
      </c>
      <c r="I592" s="881">
        <v>100424.4589</v>
      </c>
      <c r="J592" s="881">
        <v>2822.3668942999998</v>
      </c>
      <c r="K592" s="60">
        <v>2.73361129757447E-2</v>
      </c>
      <c r="L592" s="880">
        <v>3.0034178341434599</v>
      </c>
      <c r="M592">
        <v>0</v>
      </c>
      <c r="N592" s="60">
        <v>0.37116863867911704</v>
      </c>
      <c r="O592" s="881">
        <v>314634.724400001</v>
      </c>
      <c r="P592" s="60">
        <v>3.85518780755243E-2</v>
      </c>
      <c r="Q592" s="880">
        <v>3.0087225008482901</v>
      </c>
      <c r="R592" s="60">
        <v>0.52839381146605502</v>
      </c>
      <c r="S592" s="60">
        <v>0.35315412979890404</v>
      </c>
      <c r="T592" s="60">
        <v>0.29462351052031105</v>
      </c>
      <c r="U592" s="60">
        <v>0.250681957460754</v>
      </c>
    </row>
    <row r="593" spans="1:21" x14ac:dyDescent="0.25">
      <c r="A593" s="519" t="s">
        <v>609</v>
      </c>
      <c r="B593" s="519" t="s">
        <v>610</v>
      </c>
      <c r="C593" s="519" t="s">
        <v>284</v>
      </c>
      <c r="D593" s="519" t="s">
        <v>111</v>
      </c>
      <c r="E593" s="519" t="s">
        <v>287</v>
      </c>
      <c r="F593" s="519" t="s">
        <v>70</v>
      </c>
      <c r="G593" s="519" t="s">
        <v>59</v>
      </c>
      <c r="H593" s="519" t="s">
        <v>153</v>
      </c>
      <c r="I593" s="881">
        <v>68501.595100000297</v>
      </c>
      <c r="J593" s="881">
        <v>4756.0283389199894</v>
      </c>
      <c r="K593" s="60">
        <v>6.4921957820340895E-2</v>
      </c>
      <c r="L593" s="880">
        <v>3.0235217976895199</v>
      </c>
      <c r="M593">
        <v>0</v>
      </c>
      <c r="N593" s="60">
        <v>0.36123468313221702</v>
      </c>
      <c r="O593" s="881">
        <v>193879.03810000102</v>
      </c>
      <c r="P593" s="60">
        <v>5.6721077708079201E-2</v>
      </c>
      <c r="Q593" s="880">
        <v>3.0064321256216502</v>
      </c>
      <c r="R593" s="60">
        <v>0.52839381146605502</v>
      </c>
      <c r="S593" s="60">
        <v>0.43049826901322902</v>
      </c>
      <c r="T593" s="60">
        <v>0.31405393125450703</v>
      </c>
      <c r="U593" s="60">
        <v>0.35151119842071304</v>
      </c>
    </row>
    <row r="594" spans="1:21" x14ac:dyDescent="0.25">
      <c r="A594" s="519" t="s">
        <v>609</v>
      </c>
      <c r="B594" s="519" t="s">
        <v>612</v>
      </c>
      <c r="C594" s="519" t="s">
        <v>284</v>
      </c>
      <c r="D594" s="519" t="s">
        <v>111</v>
      </c>
      <c r="E594" s="519" t="s">
        <v>287</v>
      </c>
      <c r="F594" s="519" t="s">
        <v>70</v>
      </c>
      <c r="G594" s="519" t="s">
        <v>59</v>
      </c>
      <c r="H594" s="519" t="s">
        <v>155</v>
      </c>
      <c r="I594" s="881">
        <v>74706.624900000301</v>
      </c>
      <c r="J594" s="881">
        <v>2571.6864958000001</v>
      </c>
      <c r="K594" s="60">
        <v>3.3278243912816301E-2</v>
      </c>
      <c r="L594" s="880">
        <v>2.96939612009403</v>
      </c>
      <c r="M594">
        <v>0</v>
      </c>
      <c r="N594" s="60">
        <v>0.48631364418659406</v>
      </c>
      <c r="O594" s="881">
        <v>193879.03810000102</v>
      </c>
      <c r="P594" s="60">
        <v>5.6721077708079201E-2</v>
      </c>
      <c r="Q594" s="880">
        <v>3.0064321256216502</v>
      </c>
      <c r="R594" s="60">
        <v>0.52839381146605502</v>
      </c>
      <c r="S594" s="60">
        <v>0.43049826901322902</v>
      </c>
      <c r="T594" s="60">
        <v>0.38640515285519</v>
      </c>
      <c r="U594" s="60">
        <v>0.21653214045484701</v>
      </c>
    </row>
    <row r="595" spans="1:21" x14ac:dyDescent="0.25">
      <c r="A595" s="519" t="s">
        <v>613</v>
      </c>
      <c r="B595" s="519" t="s">
        <v>614</v>
      </c>
      <c r="C595" s="519" t="s">
        <v>284</v>
      </c>
      <c r="D595" s="519" t="s">
        <v>111</v>
      </c>
      <c r="E595" s="519" t="s">
        <v>287</v>
      </c>
      <c r="F595" s="519" t="s">
        <v>16</v>
      </c>
      <c r="G595" s="519" t="s">
        <v>56</v>
      </c>
      <c r="H595" s="519" t="s">
        <v>144</v>
      </c>
      <c r="I595" s="881">
        <v>73802.220100000399</v>
      </c>
      <c r="J595" s="881">
        <v>3794.3189679400002</v>
      </c>
      <c r="K595" s="60">
        <v>4.8898043824066005E-2</v>
      </c>
      <c r="L595" s="880">
        <v>3.02001873089073</v>
      </c>
      <c r="M595">
        <v>0</v>
      </c>
      <c r="N595" s="60">
        <v>0.44452922629626801</v>
      </c>
      <c r="O595" s="881">
        <v>299307.60490000003</v>
      </c>
      <c r="P595" s="60">
        <v>5.6589858343992598E-2</v>
      </c>
      <c r="Q595" s="880">
        <v>3.01783713996989</v>
      </c>
      <c r="R595" s="60">
        <v>0.52839381146605502</v>
      </c>
      <c r="S595" s="60">
        <v>0.38269803681824305</v>
      </c>
      <c r="T595" s="60">
        <v>0.28763137430251301</v>
      </c>
      <c r="U595" s="60">
        <v>0.25907863571707901</v>
      </c>
    </row>
    <row r="596" spans="1:21" x14ac:dyDescent="0.25">
      <c r="A596" s="519" t="s">
        <v>613</v>
      </c>
      <c r="B596" s="519" t="s">
        <v>616</v>
      </c>
      <c r="C596" s="519" t="s">
        <v>284</v>
      </c>
      <c r="D596" s="519" t="s">
        <v>111</v>
      </c>
      <c r="E596" s="519" t="s">
        <v>287</v>
      </c>
      <c r="F596" s="519" t="s">
        <v>16</v>
      </c>
      <c r="G596" s="519" t="s">
        <v>56</v>
      </c>
      <c r="H596" s="519" t="s">
        <v>146</v>
      </c>
      <c r="I596" s="881">
        <v>89600.618200000099</v>
      </c>
      <c r="J596" s="881">
        <v>4866.1560052600098</v>
      </c>
      <c r="K596" s="60">
        <v>5.15118256783774E-2</v>
      </c>
      <c r="L596" s="880">
        <v>3.0092762742411501</v>
      </c>
      <c r="M596">
        <v>0</v>
      </c>
      <c r="N596" s="60">
        <v>0.44247613349614101</v>
      </c>
      <c r="O596" s="881">
        <v>299307.60490000003</v>
      </c>
      <c r="P596" s="60">
        <v>5.6589858343992598E-2</v>
      </c>
      <c r="Q596" s="880">
        <v>3.01783713996989</v>
      </c>
      <c r="R596" s="60">
        <v>0.52839381146605502</v>
      </c>
      <c r="S596" s="60">
        <v>0.38269803681824305</v>
      </c>
      <c r="T596" s="60">
        <v>0.32415933241169803</v>
      </c>
      <c r="U596" s="60">
        <v>0.25969925131879801</v>
      </c>
    </row>
    <row r="597" spans="1:21" x14ac:dyDescent="0.25">
      <c r="A597" s="519" t="s">
        <v>617</v>
      </c>
      <c r="B597" s="519" t="s">
        <v>619</v>
      </c>
      <c r="C597" s="519" t="s">
        <v>284</v>
      </c>
      <c r="D597" s="519" t="s">
        <v>111</v>
      </c>
      <c r="E597" s="519" t="s">
        <v>287</v>
      </c>
      <c r="F597" s="519" t="s">
        <v>16</v>
      </c>
      <c r="G597" s="519" t="s">
        <v>57</v>
      </c>
      <c r="H597" s="519" t="s">
        <v>148</v>
      </c>
      <c r="I597" s="881">
        <v>79058.134800000407</v>
      </c>
      <c r="J597" s="881">
        <v>7928.1563157900191</v>
      </c>
      <c r="K597" s="60">
        <v>9.1142595161766399E-2</v>
      </c>
      <c r="L597" s="880">
        <v>3.0655229317062802</v>
      </c>
      <c r="M597">
        <v>0</v>
      </c>
      <c r="N597" s="60">
        <v>0.43200650111972805</v>
      </c>
      <c r="O597" s="881">
        <v>274075.60350000102</v>
      </c>
      <c r="P597" s="60">
        <v>7.11820667888617E-2</v>
      </c>
      <c r="Q597" s="880">
        <v>3.0236385044052798</v>
      </c>
      <c r="R597" s="60">
        <v>0.52839381146605502</v>
      </c>
      <c r="S597" s="60">
        <v>0.34635074478637401</v>
      </c>
      <c r="T597" s="60">
        <v>0.30568037761187999</v>
      </c>
      <c r="U597" s="60">
        <v>0.319223256850652</v>
      </c>
    </row>
    <row r="598" spans="1:21" x14ac:dyDescent="0.25">
      <c r="A598" s="519" t="s">
        <v>621</v>
      </c>
      <c r="B598" s="519" t="s">
        <v>623</v>
      </c>
      <c r="C598" s="519" t="s">
        <v>284</v>
      </c>
      <c r="D598" s="519" t="s">
        <v>111</v>
      </c>
      <c r="E598" s="519" t="s">
        <v>287</v>
      </c>
      <c r="F598" s="519" t="s">
        <v>16</v>
      </c>
      <c r="G598" s="519" t="s">
        <v>58</v>
      </c>
      <c r="H598" s="519" t="s">
        <v>151</v>
      </c>
      <c r="I598" s="881">
        <v>77377.51050000031</v>
      </c>
      <c r="J598" s="881">
        <v>3363.4462422300003</v>
      </c>
      <c r="K598" s="60">
        <v>4.1657250272225499E-2</v>
      </c>
      <c r="L598" s="880">
        <v>3.0275864011140898</v>
      </c>
      <c r="M598">
        <v>0</v>
      </c>
      <c r="N598" s="60">
        <v>0.44085172913387904</v>
      </c>
      <c r="O598" s="881">
        <v>288854.00970000104</v>
      </c>
      <c r="P598" s="60">
        <v>4.0077274378223102E-2</v>
      </c>
      <c r="Q598" s="880">
        <v>3.0342587772729002</v>
      </c>
      <c r="R598" s="60">
        <v>0.52839381146605502</v>
      </c>
      <c r="S598" s="60">
        <v>0.51217169446133504</v>
      </c>
      <c r="T598" s="60">
        <v>0.29462351052031105</v>
      </c>
      <c r="U598" s="60">
        <v>0.250681957460754</v>
      </c>
    </row>
    <row r="599" spans="1:21" x14ac:dyDescent="0.25">
      <c r="A599" s="519" t="s">
        <v>625</v>
      </c>
      <c r="B599" s="519" t="s">
        <v>297</v>
      </c>
      <c r="C599" s="519" t="s">
        <v>284</v>
      </c>
      <c r="D599" s="519" t="s">
        <v>111</v>
      </c>
      <c r="E599" s="519" t="s">
        <v>287</v>
      </c>
      <c r="F599" s="519" t="s">
        <v>16</v>
      </c>
      <c r="G599" s="519" t="s">
        <v>59</v>
      </c>
      <c r="H599" s="519" t="s">
        <v>153</v>
      </c>
      <c r="I599" s="881">
        <v>58822.320900000203</v>
      </c>
      <c r="J599" s="881">
        <v>6305.82039334002</v>
      </c>
      <c r="K599" s="60">
        <v>9.6821746607788903E-2</v>
      </c>
      <c r="L599" s="880">
        <v>3.0309641674734999</v>
      </c>
      <c r="M599">
        <v>0</v>
      </c>
      <c r="N599" s="60">
        <v>0.59608822575376996</v>
      </c>
      <c r="O599" s="881">
        <v>211541.507000001</v>
      </c>
      <c r="P599" s="60">
        <v>8.5631654196207399E-2</v>
      </c>
      <c r="Q599" s="880">
        <v>3.02631396124479</v>
      </c>
      <c r="R599" s="60">
        <v>0.52839381146605502</v>
      </c>
      <c r="S599" s="60">
        <v>0.64052319387135603</v>
      </c>
      <c r="T599" s="60">
        <v>0.31405393125450703</v>
      </c>
      <c r="U599" s="60">
        <v>0.35151119842071304</v>
      </c>
    </row>
    <row r="600" spans="1:21" x14ac:dyDescent="0.25">
      <c r="A600" s="519" t="s">
        <v>625</v>
      </c>
      <c r="B600" s="519" t="s">
        <v>627</v>
      </c>
      <c r="C600" s="519" t="s">
        <v>284</v>
      </c>
      <c r="D600" s="519" t="s">
        <v>111</v>
      </c>
      <c r="E600" s="519" t="s">
        <v>287</v>
      </c>
      <c r="F600" s="519" t="s">
        <v>16</v>
      </c>
      <c r="G600" s="519" t="s">
        <v>59</v>
      </c>
      <c r="H600" s="519" t="s">
        <v>155</v>
      </c>
      <c r="I600" s="881">
        <v>81949.962800000503</v>
      </c>
      <c r="J600" s="881">
        <v>4242.4514154400094</v>
      </c>
      <c r="K600" s="60">
        <v>4.9220705256449802E-2</v>
      </c>
      <c r="L600" s="880">
        <v>3.006427119879</v>
      </c>
      <c r="M600">
        <v>0</v>
      </c>
      <c r="N600" s="60">
        <v>0.73856051219586305</v>
      </c>
      <c r="O600" s="881">
        <v>211541.507000001</v>
      </c>
      <c r="P600" s="60">
        <v>8.5631654196207399E-2</v>
      </c>
      <c r="Q600" s="880">
        <v>3.02631396124479</v>
      </c>
      <c r="R600" s="60">
        <v>0.52839381146605502</v>
      </c>
      <c r="S600" s="60">
        <v>0.64052319387135603</v>
      </c>
      <c r="T600" s="60">
        <v>0.38640515285519</v>
      </c>
      <c r="U600" s="60">
        <v>0.21653214045484701</v>
      </c>
    </row>
    <row r="601" spans="1:21" x14ac:dyDescent="0.25">
      <c r="A601" s="519" t="s">
        <v>628</v>
      </c>
      <c r="B601" s="519" t="s">
        <v>350</v>
      </c>
      <c r="C601" s="519" t="s">
        <v>284</v>
      </c>
      <c r="D601" s="519" t="s">
        <v>111</v>
      </c>
      <c r="E601" s="519" t="s">
        <v>287</v>
      </c>
      <c r="F601" s="519" t="s">
        <v>17</v>
      </c>
      <c r="G601" s="519" t="s">
        <v>56</v>
      </c>
      <c r="H601" s="519" t="s">
        <v>144</v>
      </c>
      <c r="I601" s="881">
        <v>95701.044200000499</v>
      </c>
      <c r="J601" s="881">
        <v>6218.1745679000196</v>
      </c>
      <c r="K601" s="60">
        <v>6.10108146733409E-2</v>
      </c>
      <c r="L601" s="880">
        <v>3.0486508131290502</v>
      </c>
      <c r="M601">
        <v>0</v>
      </c>
      <c r="N601" s="60">
        <v>0.43457191243478505</v>
      </c>
      <c r="O601" s="881">
        <v>302227.08390000201</v>
      </c>
      <c r="P601" s="60">
        <v>5.30781284899055E-2</v>
      </c>
      <c r="Q601" s="880">
        <v>3.0710592999497499</v>
      </c>
      <c r="R601" s="60">
        <v>0.52839381146605502</v>
      </c>
      <c r="S601" s="60">
        <v>0.40005379279642905</v>
      </c>
      <c r="T601" s="60">
        <v>0.28763137430251301</v>
      </c>
      <c r="U601" s="60">
        <v>0.25907863571707901</v>
      </c>
    </row>
    <row r="602" spans="1:21" x14ac:dyDescent="0.25">
      <c r="A602" s="519" t="s">
        <v>628</v>
      </c>
      <c r="B602" s="519" t="s">
        <v>351</v>
      </c>
      <c r="C602" s="519" t="s">
        <v>284</v>
      </c>
      <c r="D602" s="519" t="s">
        <v>111</v>
      </c>
      <c r="E602" s="519" t="s">
        <v>287</v>
      </c>
      <c r="F602" s="519" t="s">
        <v>17</v>
      </c>
      <c r="G602" s="519" t="s">
        <v>56</v>
      </c>
      <c r="H602" s="519" t="s">
        <v>146</v>
      </c>
      <c r="I602" s="881">
        <v>111057.82580000101</v>
      </c>
      <c r="J602" s="881">
        <v>5684.1716114600094</v>
      </c>
      <c r="K602" s="60">
        <v>4.8690032186326199E-2</v>
      </c>
      <c r="L602" s="880">
        <v>3.0595386749866198</v>
      </c>
      <c r="M602">
        <v>0</v>
      </c>
      <c r="N602" s="60">
        <v>0.44573400787754203</v>
      </c>
      <c r="O602" s="881">
        <v>302227.08390000201</v>
      </c>
      <c r="P602" s="60">
        <v>5.30781284899055E-2</v>
      </c>
      <c r="Q602" s="880">
        <v>3.0710592999497499</v>
      </c>
      <c r="R602" s="60">
        <v>0.52839381146605502</v>
      </c>
      <c r="S602" s="60">
        <v>0.40005379279642905</v>
      </c>
      <c r="T602" s="60">
        <v>0.32415933241169803</v>
      </c>
      <c r="U602" s="60">
        <v>0.25969925131879801</v>
      </c>
    </row>
    <row r="603" spans="1:21" x14ac:dyDescent="0.25">
      <c r="A603" s="519" t="s">
        <v>629</v>
      </c>
      <c r="B603" s="519" t="s">
        <v>630</v>
      </c>
      <c r="C603" s="519" t="s">
        <v>284</v>
      </c>
      <c r="D603" s="519" t="s">
        <v>111</v>
      </c>
      <c r="E603" s="519" t="s">
        <v>4</v>
      </c>
      <c r="F603" s="519" t="s">
        <v>70</v>
      </c>
      <c r="G603" s="519" t="s">
        <v>56</v>
      </c>
      <c r="H603" s="519" t="s">
        <v>144</v>
      </c>
      <c r="I603" s="881">
        <v>6908.4297000000006</v>
      </c>
      <c r="J603" s="881">
        <v>1341.4183526500001</v>
      </c>
      <c r="K603" s="60">
        <v>0.16259915868621502</v>
      </c>
      <c r="L603" s="880">
        <v>2.7603226912588901</v>
      </c>
      <c r="M603">
        <v>0</v>
      </c>
      <c r="N603" s="60">
        <v>0</v>
      </c>
      <c r="O603" s="881">
        <v>40815.2183</v>
      </c>
      <c r="P603" s="60">
        <v>9.2302143695188396E-2</v>
      </c>
      <c r="Q603" s="880">
        <v>2.8164242196210698</v>
      </c>
      <c r="R603" s="60">
        <v>0.60477848347916308</v>
      </c>
      <c r="S603" s="60">
        <v>0</v>
      </c>
      <c r="T603" s="60">
        <v>0.22105129277995303</v>
      </c>
      <c r="U603" s="60">
        <v>0.35939156898410302</v>
      </c>
    </row>
    <row r="604" spans="1:21" x14ac:dyDescent="0.25">
      <c r="A604" s="519" t="s">
        <v>629</v>
      </c>
      <c r="B604" s="519" t="s">
        <v>632</v>
      </c>
      <c r="C604" s="519" t="s">
        <v>284</v>
      </c>
      <c r="D604" s="519" t="s">
        <v>111</v>
      </c>
      <c r="E604" s="519" t="s">
        <v>4</v>
      </c>
      <c r="F604" s="519" t="s">
        <v>70</v>
      </c>
      <c r="G604" s="519" t="s">
        <v>56</v>
      </c>
      <c r="H604" s="519" t="s">
        <v>146</v>
      </c>
      <c r="I604" s="881">
        <v>12624.0905</v>
      </c>
      <c r="J604" s="881">
        <v>1173.5037445400001</v>
      </c>
      <c r="K604" s="60">
        <v>8.5051330234934303E-2</v>
      </c>
      <c r="L604" s="880">
        <v>2.8165978016112101</v>
      </c>
      <c r="M604">
        <v>0</v>
      </c>
      <c r="N604" s="60">
        <v>0</v>
      </c>
      <c r="O604" s="881">
        <v>40815.2183</v>
      </c>
      <c r="P604" s="60">
        <v>9.2302143695188396E-2</v>
      </c>
      <c r="Q604" s="880">
        <v>2.8164242196210698</v>
      </c>
      <c r="R604" s="60">
        <v>0.60477848347916308</v>
      </c>
      <c r="S604" s="60">
        <v>0</v>
      </c>
      <c r="T604" s="60">
        <v>0.37553724169778202</v>
      </c>
      <c r="U604" s="60">
        <v>0.30077739237370404</v>
      </c>
    </row>
    <row r="605" spans="1:21" x14ac:dyDescent="0.25">
      <c r="A605" s="519" t="s">
        <v>633</v>
      </c>
      <c r="B605" s="519" t="s">
        <v>635</v>
      </c>
      <c r="C605" s="519" t="s">
        <v>284</v>
      </c>
      <c r="D605" s="519" t="s">
        <v>111</v>
      </c>
      <c r="E605" s="519" t="s">
        <v>4</v>
      </c>
      <c r="F605" s="519" t="s">
        <v>70</v>
      </c>
      <c r="G605" s="519" t="s">
        <v>57</v>
      </c>
      <c r="H605" s="519" t="s">
        <v>148</v>
      </c>
      <c r="I605" s="881">
        <v>8884.8855999999996</v>
      </c>
      <c r="J605" s="881">
        <v>3266.5457442699999</v>
      </c>
      <c r="K605" s="60">
        <v>0.26881983296645401</v>
      </c>
      <c r="L605" s="880">
        <v>2.77197467860237</v>
      </c>
      <c r="M605">
        <v>0</v>
      </c>
      <c r="N605" s="60">
        <v>0</v>
      </c>
      <c r="O605" s="881">
        <v>37850.598400000003</v>
      </c>
      <c r="P605" s="60">
        <v>0.17648173083611901</v>
      </c>
      <c r="Q605" s="880">
        <v>2.7415239315961299</v>
      </c>
      <c r="R605" s="60">
        <v>0.60477848347916308</v>
      </c>
      <c r="S605" s="60">
        <v>0</v>
      </c>
      <c r="T605" s="60">
        <v>0.23162354093708001</v>
      </c>
      <c r="U605" s="60">
        <v>0.42188062217450906</v>
      </c>
    </row>
    <row r="606" spans="1:21" x14ac:dyDescent="0.25">
      <c r="A606" s="519" t="s">
        <v>637</v>
      </c>
      <c r="B606" s="519" t="s">
        <v>639</v>
      </c>
      <c r="C606" s="519" t="s">
        <v>284</v>
      </c>
      <c r="D606" s="519" t="s">
        <v>111</v>
      </c>
      <c r="E606" s="519" t="s">
        <v>4</v>
      </c>
      <c r="F606" s="519" t="s">
        <v>70</v>
      </c>
      <c r="G606" s="519" t="s">
        <v>58</v>
      </c>
      <c r="H606" s="519" t="s">
        <v>151</v>
      </c>
      <c r="I606" s="881">
        <v>5013.1781000000001</v>
      </c>
      <c r="J606" s="881">
        <v>1381.99471436</v>
      </c>
      <c r="K606" s="60">
        <v>0.21609966680756601</v>
      </c>
      <c r="L606" s="880">
        <v>2.76747246323671</v>
      </c>
      <c r="M606">
        <v>0</v>
      </c>
      <c r="N606" s="60">
        <v>0</v>
      </c>
      <c r="O606" s="881">
        <v>18580.2307</v>
      </c>
      <c r="P606" s="60">
        <v>0.15673275927290101</v>
      </c>
      <c r="Q606" s="880">
        <v>2.7671297247105602</v>
      </c>
      <c r="R606" s="60">
        <v>0.60477848347916308</v>
      </c>
      <c r="S606" s="60">
        <v>0</v>
      </c>
      <c r="T606" s="60">
        <v>0.14348144983884401</v>
      </c>
      <c r="U606" s="60">
        <v>0.35704769463294</v>
      </c>
    </row>
    <row r="607" spans="1:21" x14ac:dyDescent="0.25">
      <c r="A607" s="519" t="s">
        <v>641</v>
      </c>
      <c r="B607" s="519" t="s">
        <v>642</v>
      </c>
      <c r="C607" s="519" t="s">
        <v>284</v>
      </c>
      <c r="D607" s="519" t="s">
        <v>111</v>
      </c>
      <c r="E607" s="519" t="s">
        <v>4</v>
      </c>
      <c r="F607" s="519" t="s">
        <v>70</v>
      </c>
      <c r="G607" s="519" t="s">
        <v>59</v>
      </c>
      <c r="H607" s="519" t="s">
        <v>153</v>
      </c>
      <c r="I607" s="881">
        <v>2226.6037000000001</v>
      </c>
      <c r="J607" s="881">
        <v>371.29274809999998</v>
      </c>
      <c r="K607" s="60">
        <v>0.14292053417739101</v>
      </c>
      <c r="L607" s="880">
        <v>2.8899164146597598</v>
      </c>
      <c r="M607">
        <v>0</v>
      </c>
      <c r="N607" s="60">
        <v>0</v>
      </c>
      <c r="O607" s="881">
        <v>8715.8911000000007</v>
      </c>
      <c r="P607" s="60">
        <v>0.11772260259648301</v>
      </c>
      <c r="Q607" s="880">
        <v>2.7871176163538003</v>
      </c>
      <c r="R607" s="60">
        <v>0.60477848347916308</v>
      </c>
      <c r="S607" s="60">
        <v>0</v>
      </c>
      <c r="T607" s="60">
        <v>0.34085105605929705</v>
      </c>
      <c r="U607" s="60">
        <v>0.42385404883119804</v>
      </c>
    </row>
    <row r="608" spans="1:21" x14ac:dyDescent="0.25">
      <c r="A608" s="519" t="s">
        <v>641</v>
      </c>
      <c r="B608" s="519" t="s">
        <v>644</v>
      </c>
      <c r="C608" s="519" t="s">
        <v>284</v>
      </c>
      <c r="D608" s="519" t="s">
        <v>111</v>
      </c>
      <c r="E608" s="519" t="s">
        <v>4</v>
      </c>
      <c r="F608" s="519" t="s">
        <v>70</v>
      </c>
      <c r="G608" s="519" t="s">
        <v>59</v>
      </c>
      <c r="H608" s="519" t="s">
        <v>155</v>
      </c>
      <c r="I608" s="881">
        <v>3474.1459</v>
      </c>
      <c r="J608" s="881">
        <v>424.20657408</v>
      </c>
      <c r="K608" s="60">
        <v>0.10881688531258601</v>
      </c>
      <c r="L608" s="880">
        <v>2.7839275283274101</v>
      </c>
      <c r="M608">
        <v>0</v>
      </c>
      <c r="N608" s="60">
        <v>0</v>
      </c>
      <c r="O608" s="881">
        <v>8715.8911000000007</v>
      </c>
      <c r="P608" s="60">
        <v>0.11772260259648301</v>
      </c>
      <c r="Q608" s="880">
        <v>2.7871176163538003</v>
      </c>
      <c r="R608" s="60">
        <v>0.60477848347916308</v>
      </c>
      <c r="S608" s="60">
        <v>0</v>
      </c>
      <c r="T608" s="60">
        <v>0.342763395361803</v>
      </c>
      <c r="U608" s="60">
        <v>0.25179603355264102</v>
      </c>
    </row>
    <row r="609" spans="1:21" x14ac:dyDescent="0.25">
      <c r="A609" s="519" t="s">
        <v>645</v>
      </c>
      <c r="B609" s="519" t="s">
        <v>647</v>
      </c>
      <c r="C609" s="519" t="s">
        <v>284</v>
      </c>
      <c r="D609" s="519" t="s">
        <v>111</v>
      </c>
      <c r="E609" s="519" t="s">
        <v>4</v>
      </c>
      <c r="F609" s="519" t="s">
        <v>16</v>
      </c>
      <c r="G609" s="519" t="s">
        <v>56</v>
      </c>
      <c r="H609" s="519" t="s">
        <v>145</v>
      </c>
      <c r="I609" s="881">
        <v>3459.4607000000001</v>
      </c>
      <c r="J609" s="881">
        <v>54.973738070000003</v>
      </c>
      <c r="K609" s="60">
        <v>1.5642271619723098E-2</v>
      </c>
      <c r="L609" s="880">
        <v>2.8224042479770501</v>
      </c>
      <c r="M609">
        <v>0</v>
      </c>
      <c r="N609" s="60">
        <v>0</v>
      </c>
      <c r="O609" s="881">
        <v>14919.992100000001</v>
      </c>
      <c r="P609" s="60">
        <v>3.5455440803788006E-2</v>
      </c>
      <c r="Q609" s="880">
        <v>2.8081510753843699</v>
      </c>
      <c r="R609" s="60">
        <v>0.60477848347916308</v>
      </c>
      <c r="S609" s="60">
        <v>0</v>
      </c>
      <c r="T609" s="60">
        <v>0.40341146552226503</v>
      </c>
      <c r="U609" s="60">
        <v>0.33983103864219305</v>
      </c>
    </row>
    <row r="610" spans="1:21" x14ac:dyDescent="0.25">
      <c r="A610" s="519" t="s">
        <v>649</v>
      </c>
      <c r="B610" s="519" t="s">
        <v>650</v>
      </c>
      <c r="C610" s="519" t="s">
        <v>284</v>
      </c>
      <c r="D610" s="519" t="s">
        <v>111</v>
      </c>
      <c r="E610" s="519" t="s">
        <v>4</v>
      </c>
      <c r="F610" s="519" t="s">
        <v>16</v>
      </c>
      <c r="G610" s="519" t="s">
        <v>57</v>
      </c>
      <c r="H610" s="519" t="s">
        <v>147</v>
      </c>
      <c r="I610" s="881">
        <v>3792.1710000000003</v>
      </c>
      <c r="J610" s="881">
        <v>201.14410767000001</v>
      </c>
      <c r="K610" s="60">
        <v>5.0370206769723896E-2</v>
      </c>
      <c r="L610" s="880">
        <v>2.7564439391790501</v>
      </c>
      <c r="M610">
        <v>0</v>
      </c>
      <c r="N610" s="60">
        <v>0</v>
      </c>
      <c r="O610" s="881">
        <v>10449.8289</v>
      </c>
      <c r="P610" s="60">
        <v>0.10712423872599101</v>
      </c>
      <c r="Q610" s="880">
        <v>2.8010429332083899</v>
      </c>
      <c r="R610" s="60">
        <v>0.60477848347916308</v>
      </c>
      <c r="S610" s="60">
        <v>0</v>
      </c>
      <c r="T610" s="60">
        <v>0.30536210183796902</v>
      </c>
      <c r="U610" s="60">
        <v>0.19935120846906901</v>
      </c>
    </row>
    <row r="611" spans="1:21" x14ac:dyDescent="0.25">
      <c r="A611" s="519" t="s">
        <v>649</v>
      </c>
      <c r="B611" s="519" t="s">
        <v>652</v>
      </c>
      <c r="C611" s="519" t="s">
        <v>284</v>
      </c>
      <c r="D611" s="519" t="s">
        <v>111</v>
      </c>
      <c r="E611" s="519" t="s">
        <v>4</v>
      </c>
      <c r="F611" s="519" t="s">
        <v>16</v>
      </c>
      <c r="G611" s="519" t="s">
        <v>57</v>
      </c>
      <c r="H611" s="519" t="s">
        <v>149</v>
      </c>
      <c r="I611" s="881">
        <v>4355.0275000000001</v>
      </c>
      <c r="J611" s="881">
        <v>368.14073073999998</v>
      </c>
      <c r="K611" s="60">
        <v>7.79435990325337E-2</v>
      </c>
      <c r="L611" s="880">
        <v>2.72795124871047</v>
      </c>
      <c r="M611">
        <v>0</v>
      </c>
      <c r="N611" s="60">
        <v>0</v>
      </c>
      <c r="O611" s="881">
        <v>10449.8289</v>
      </c>
      <c r="P611" s="60">
        <v>0.10712423872599101</v>
      </c>
      <c r="Q611" s="880">
        <v>2.8010429332083899</v>
      </c>
      <c r="R611" s="60">
        <v>0.60477848347916308</v>
      </c>
      <c r="S611" s="60">
        <v>0</v>
      </c>
      <c r="T611" s="60">
        <v>0.46301435722495105</v>
      </c>
      <c r="U611" s="60">
        <v>0.37876816935642205</v>
      </c>
    </row>
    <row r="612" spans="1:21" x14ac:dyDescent="0.25">
      <c r="A612" s="519" t="s">
        <v>653</v>
      </c>
      <c r="B612" s="519" t="s">
        <v>654</v>
      </c>
      <c r="C612" s="519" t="s">
        <v>284</v>
      </c>
      <c r="D612" s="519" t="s">
        <v>111</v>
      </c>
      <c r="E612" s="519" t="s">
        <v>4</v>
      </c>
      <c r="F612" s="519" t="s">
        <v>16</v>
      </c>
      <c r="G612" s="519" t="s">
        <v>58</v>
      </c>
      <c r="H612" s="519" t="s">
        <v>150</v>
      </c>
      <c r="I612" s="881">
        <v>13808.149300000001</v>
      </c>
      <c r="J612" s="881">
        <v>555.47226124000099</v>
      </c>
      <c r="K612" s="60">
        <v>3.8672159306879401E-2</v>
      </c>
      <c r="L612" s="880">
        <v>2.7503176234478599</v>
      </c>
      <c r="M612">
        <v>0</v>
      </c>
      <c r="N612" s="60">
        <v>0</v>
      </c>
      <c r="O612" s="881">
        <v>29309.442200000001</v>
      </c>
      <c r="P612" s="60">
        <v>2.4059329042163399E-2</v>
      </c>
      <c r="Q612" s="880">
        <v>2.7742155516817899</v>
      </c>
      <c r="R612" s="60">
        <v>0.60477848347916308</v>
      </c>
      <c r="S612" s="60">
        <v>0</v>
      </c>
      <c r="T612" s="60">
        <v>0.37715292267114203</v>
      </c>
      <c r="U612" s="60">
        <v>0.27114037552929804</v>
      </c>
    </row>
    <row r="613" spans="1:21" x14ac:dyDescent="0.25">
      <c r="A613" s="519" t="s">
        <v>653</v>
      </c>
      <c r="B613" s="519" t="s">
        <v>656</v>
      </c>
      <c r="C613" s="519" t="s">
        <v>284</v>
      </c>
      <c r="D613" s="519" t="s">
        <v>111</v>
      </c>
      <c r="E613" s="519" t="s">
        <v>4</v>
      </c>
      <c r="F613" s="519" t="s">
        <v>16</v>
      </c>
      <c r="G613" s="519" t="s">
        <v>58</v>
      </c>
      <c r="H613" s="519" t="s">
        <v>152</v>
      </c>
      <c r="I613" s="881">
        <v>13643.1913</v>
      </c>
      <c r="J613" s="881">
        <v>58.062356309999998</v>
      </c>
      <c r="K613" s="60">
        <v>4.2377404116783002E-3</v>
      </c>
      <c r="L613" s="880">
        <v>2.7884552457599301</v>
      </c>
      <c r="M613">
        <v>0</v>
      </c>
      <c r="N613" s="60">
        <v>0</v>
      </c>
      <c r="O613" s="881">
        <v>29309.442200000001</v>
      </c>
      <c r="P613" s="60">
        <v>2.4059329042163399E-2</v>
      </c>
      <c r="Q613" s="880">
        <v>2.7742155516817899</v>
      </c>
      <c r="R613" s="60">
        <v>0.60477848347916308</v>
      </c>
      <c r="S613" s="60">
        <v>0</v>
      </c>
      <c r="T613" s="60">
        <v>0.47936562749001405</v>
      </c>
      <c r="U613" s="60">
        <v>0.37181192983776201</v>
      </c>
    </row>
    <row r="614" spans="1:21" x14ac:dyDescent="0.25">
      <c r="A614" s="519" t="s">
        <v>657</v>
      </c>
      <c r="B614" s="519" t="s">
        <v>658</v>
      </c>
      <c r="C614" s="519" t="s">
        <v>284</v>
      </c>
      <c r="D614" s="519" t="s">
        <v>111</v>
      </c>
      <c r="E614" s="519" t="s">
        <v>4</v>
      </c>
      <c r="F614" s="519" t="s">
        <v>16</v>
      </c>
      <c r="G614" s="519" t="s">
        <v>59</v>
      </c>
      <c r="H614" s="519" t="s">
        <v>154</v>
      </c>
      <c r="I614" s="881">
        <v>10365.7912</v>
      </c>
      <c r="J614" s="881">
        <v>809.99461612000096</v>
      </c>
      <c r="K614" s="60">
        <v>7.2477643133752795E-2</v>
      </c>
      <c r="L614" s="880">
        <v>2.7804528563854101</v>
      </c>
      <c r="M614">
        <v>0</v>
      </c>
      <c r="N614" s="60">
        <v>0</v>
      </c>
      <c r="O614" s="881">
        <v>33577.231200000002</v>
      </c>
      <c r="P614" s="60">
        <v>6.8450153179049497E-2</v>
      </c>
      <c r="Q614" s="880">
        <v>2.7560364081002202</v>
      </c>
      <c r="R614" s="60">
        <v>0.60477848347916308</v>
      </c>
      <c r="S614" s="60">
        <v>0</v>
      </c>
      <c r="T614" s="60">
        <v>0.3163855485789</v>
      </c>
      <c r="U614" s="60">
        <v>0.32434991761616</v>
      </c>
    </row>
    <row r="615" spans="1:21" x14ac:dyDescent="0.25">
      <c r="A615" s="519" t="s">
        <v>660</v>
      </c>
      <c r="B615" s="519" t="s">
        <v>354</v>
      </c>
      <c r="C615" s="519" t="s">
        <v>284</v>
      </c>
      <c r="D615" s="519" t="s">
        <v>111</v>
      </c>
      <c r="E615" s="519" t="s">
        <v>4</v>
      </c>
      <c r="F615" s="519" t="s">
        <v>17</v>
      </c>
      <c r="G615" s="519" t="s">
        <v>56</v>
      </c>
      <c r="H615" s="519" t="s">
        <v>144</v>
      </c>
      <c r="I615" s="881">
        <v>13782.494900000002</v>
      </c>
      <c r="J615" s="881">
        <v>711.24246183000002</v>
      </c>
      <c r="K615" s="60">
        <v>4.9072398931630498E-2</v>
      </c>
      <c r="L615" s="880">
        <v>2.76688137074661</v>
      </c>
      <c r="M615">
        <v>0</v>
      </c>
      <c r="N615" s="60">
        <v>0</v>
      </c>
      <c r="O615" s="881">
        <v>55318.762600000002</v>
      </c>
      <c r="P615" s="60">
        <v>2.9994431215967499E-2</v>
      </c>
      <c r="Q615" s="880">
        <v>2.7538074529930898</v>
      </c>
      <c r="R615" s="60">
        <v>0.60477848347916308</v>
      </c>
      <c r="S615" s="60">
        <v>0</v>
      </c>
      <c r="T615" s="60">
        <v>0.22105129277995303</v>
      </c>
      <c r="U615" s="60">
        <v>0.35939156898410302</v>
      </c>
    </row>
    <row r="616" spans="1:21" x14ac:dyDescent="0.25">
      <c r="A616" s="519" t="s">
        <v>660</v>
      </c>
      <c r="B616" s="519" t="s">
        <v>355</v>
      </c>
      <c r="C616" s="519" t="s">
        <v>284</v>
      </c>
      <c r="D616" s="519" t="s">
        <v>111</v>
      </c>
      <c r="E616" s="519" t="s">
        <v>4</v>
      </c>
      <c r="F616" s="519" t="s">
        <v>17</v>
      </c>
      <c r="G616" s="519" t="s">
        <v>56</v>
      </c>
      <c r="H616" s="519" t="s">
        <v>146</v>
      </c>
      <c r="I616" s="881">
        <v>21477.980500000001</v>
      </c>
      <c r="J616" s="881">
        <v>511.67421745000001</v>
      </c>
      <c r="K616" s="60">
        <v>2.32688609268593E-2</v>
      </c>
      <c r="L616" s="880">
        <v>2.7362087795924199</v>
      </c>
      <c r="M616">
        <v>0</v>
      </c>
      <c r="N616" s="60">
        <v>0</v>
      </c>
      <c r="O616" s="881">
        <v>55318.762600000002</v>
      </c>
      <c r="P616" s="60">
        <v>2.9994431215967499E-2</v>
      </c>
      <c r="Q616" s="880">
        <v>2.7538074529930898</v>
      </c>
      <c r="R616" s="60">
        <v>0.60477848347916308</v>
      </c>
      <c r="S616" s="60">
        <v>0</v>
      </c>
      <c r="T616" s="60">
        <v>0.37553724169778202</v>
      </c>
      <c r="U616" s="60">
        <v>0.30077739237370404</v>
      </c>
    </row>
    <row r="617" spans="1:21" x14ac:dyDescent="0.25">
      <c r="A617" s="519" t="s">
        <v>661</v>
      </c>
      <c r="B617" s="519" t="s">
        <v>662</v>
      </c>
      <c r="C617" s="519" t="s">
        <v>284</v>
      </c>
      <c r="D617" s="519" t="s">
        <v>111</v>
      </c>
      <c r="E617" s="519" t="s">
        <v>290</v>
      </c>
      <c r="F617" s="519" t="s">
        <v>70</v>
      </c>
      <c r="G617" s="519" t="s">
        <v>56</v>
      </c>
      <c r="H617" s="519" t="s">
        <v>144</v>
      </c>
      <c r="I617" s="881">
        <v>31599.643100000001</v>
      </c>
      <c r="J617" s="881">
        <v>4249.5086660500001</v>
      </c>
      <c r="K617" s="60">
        <v>0.11853861128380601</v>
      </c>
      <c r="L617" s="880">
        <v>2.7186884231957502</v>
      </c>
      <c r="M617">
        <v>0</v>
      </c>
      <c r="N617" s="60">
        <v>0.10589955049207501</v>
      </c>
      <c r="O617" s="881">
        <v>46539.243999999999</v>
      </c>
      <c r="P617" s="60">
        <v>0.19369709425360901</v>
      </c>
      <c r="Q617" s="880">
        <v>2.4320935358765601</v>
      </c>
      <c r="R617" s="60">
        <v>0.56836250833403601</v>
      </c>
      <c r="S617" s="60">
        <v>9.1075654344535698E-2</v>
      </c>
      <c r="T617" s="60">
        <v>0.70994026938445998</v>
      </c>
      <c r="U617" s="60">
        <v>0.46664245323972903</v>
      </c>
    </row>
    <row r="618" spans="1:21" x14ac:dyDescent="0.25">
      <c r="A618" s="519" t="s">
        <v>661</v>
      </c>
      <c r="B618" s="519" t="s">
        <v>664</v>
      </c>
      <c r="C618" s="519" t="s">
        <v>284</v>
      </c>
      <c r="D618" s="519" t="s">
        <v>111</v>
      </c>
      <c r="E618" s="519" t="s">
        <v>290</v>
      </c>
      <c r="F618" s="519" t="s">
        <v>70</v>
      </c>
      <c r="G618" s="519" t="s">
        <v>56</v>
      </c>
      <c r="H618" s="519" t="s">
        <v>146</v>
      </c>
      <c r="I618" s="881">
        <v>12880.4637</v>
      </c>
      <c r="J618" s="881">
        <v>4566.1740367499997</v>
      </c>
      <c r="K618" s="60">
        <v>0.26172229318040502</v>
      </c>
      <c r="L618" s="880">
        <v>3.18456809415071</v>
      </c>
      <c r="M618">
        <v>0</v>
      </c>
      <c r="N618" s="60">
        <v>6.9268010902433605E-2</v>
      </c>
      <c r="O618" s="881">
        <v>46539.243999999999</v>
      </c>
      <c r="P618" s="60">
        <v>0.19369709425360901</v>
      </c>
      <c r="Q618" s="880">
        <v>2.4320935358765601</v>
      </c>
      <c r="R618" s="60">
        <v>0.56836250833403601</v>
      </c>
      <c r="S618" s="60">
        <v>9.1075654344535698E-2</v>
      </c>
      <c r="T618" s="60">
        <v>0.21880774946364701</v>
      </c>
      <c r="U618" s="60">
        <v>0.32169277872610602</v>
      </c>
    </row>
    <row r="619" spans="1:21" x14ac:dyDescent="0.25">
      <c r="A619" s="519" t="s">
        <v>665</v>
      </c>
      <c r="B619" s="519" t="s">
        <v>667</v>
      </c>
      <c r="C619" s="519" t="s">
        <v>284</v>
      </c>
      <c r="D619" s="519" t="s">
        <v>111</v>
      </c>
      <c r="E619" s="519" t="s">
        <v>290</v>
      </c>
      <c r="F619" s="519" t="s">
        <v>70</v>
      </c>
      <c r="G619" s="519" t="s">
        <v>57</v>
      </c>
      <c r="H619" s="519" t="s">
        <v>148</v>
      </c>
      <c r="I619" s="881">
        <v>14.843400000000001</v>
      </c>
      <c r="J619" s="881">
        <v>34.647240000000004</v>
      </c>
      <c r="K619" s="60">
        <v>0.700076620548855</v>
      </c>
      <c r="L619" s="880">
        <v>6.7281404293439504</v>
      </c>
      <c r="M619">
        <v>0</v>
      </c>
      <c r="N619" s="60">
        <v>0</v>
      </c>
      <c r="O619" s="881">
        <v>562.50170000000003</v>
      </c>
      <c r="P619" s="60">
        <v>0.56698741253457507</v>
      </c>
      <c r="Q619" s="880">
        <v>3.0933221143657499</v>
      </c>
      <c r="R619" s="60">
        <v>0.56836250833403601</v>
      </c>
      <c r="S619" s="60">
        <v>0</v>
      </c>
      <c r="T619" s="60">
        <v>0.48314588917345802</v>
      </c>
      <c r="U619" s="60">
        <v>0.37846310978618103</v>
      </c>
    </row>
    <row r="620" spans="1:21" x14ac:dyDescent="0.25">
      <c r="A620" s="519" t="s">
        <v>669</v>
      </c>
      <c r="B620" s="519" t="s">
        <v>671</v>
      </c>
      <c r="C620" s="519" t="s">
        <v>284</v>
      </c>
      <c r="D620" s="519" t="s">
        <v>111</v>
      </c>
      <c r="E620" s="519" t="s">
        <v>290</v>
      </c>
      <c r="F620" s="519" t="s">
        <v>70</v>
      </c>
      <c r="G620" s="519" t="s">
        <v>58</v>
      </c>
      <c r="H620" s="519" t="s">
        <v>151</v>
      </c>
      <c r="I620" s="881">
        <v>3930.8297000000002</v>
      </c>
      <c r="J620" s="881">
        <v>65.741298420000007</v>
      </c>
      <c r="K620" s="60">
        <v>1.6449425881834699E-2</v>
      </c>
      <c r="L620" s="880">
        <v>2.98419251717625</v>
      </c>
      <c r="M620">
        <v>0</v>
      </c>
      <c r="N620" s="60">
        <v>0.50225828913422499</v>
      </c>
      <c r="O620" s="881">
        <v>132858.1789</v>
      </c>
      <c r="P620" s="60">
        <v>1.79836075700214E-2</v>
      </c>
      <c r="Q620" s="880">
        <v>3.05072577018103</v>
      </c>
      <c r="R620" s="60">
        <v>0.56836250833403601</v>
      </c>
      <c r="S620" s="60">
        <v>0.16698500373618999</v>
      </c>
      <c r="T620" s="60">
        <v>5.2376180934047702E-2</v>
      </c>
      <c r="U620" s="60">
        <v>9.9062851465329699E-2</v>
      </c>
    </row>
    <row r="621" spans="1:21" x14ac:dyDescent="0.25">
      <c r="A621" s="519" t="s">
        <v>673</v>
      </c>
      <c r="B621" s="519" t="s">
        <v>674</v>
      </c>
      <c r="C621" s="519" t="s">
        <v>284</v>
      </c>
      <c r="D621" s="519" t="s">
        <v>111</v>
      </c>
      <c r="E621" s="519" t="s">
        <v>290</v>
      </c>
      <c r="F621" s="519" t="s">
        <v>70</v>
      </c>
      <c r="G621" s="519" t="s">
        <v>59</v>
      </c>
      <c r="H621" s="519" t="s">
        <v>153</v>
      </c>
      <c r="I621" s="881">
        <v>53396.9100000002</v>
      </c>
      <c r="J621" s="881">
        <v>1166.2642784100001</v>
      </c>
      <c r="K621" s="60">
        <v>2.1374567990841399E-2</v>
      </c>
      <c r="L621" s="880">
        <v>2.94553719086713</v>
      </c>
      <c r="M621">
        <v>0</v>
      </c>
      <c r="N621" s="60">
        <v>0.10885492812224501</v>
      </c>
      <c r="O621" s="881">
        <v>293058.25910000002</v>
      </c>
      <c r="P621" s="60">
        <v>1.5483535895584001E-2</v>
      </c>
      <c r="Q621" s="880">
        <v>3.0502453022650098</v>
      </c>
      <c r="R621" s="60">
        <v>0.56836250833403601</v>
      </c>
      <c r="S621" s="60">
        <v>0.113452255541635</v>
      </c>
      <c r="T621" s="60">
        <v>0.18747757983221403</v>
      </c>
      <c r="U621" s="60">
        <v>0.27555059926735997</v>
      </c>
    </row>
    <row r="622" spans="1:21" x14ac:dyDescent="0.25">
      <c r="A622" s="519" t="s">
        <v>673</v>
      </c>
      <c r="B622" s="519" t="s">
        <v>676</v>
      </c>
      <c r="C622" s="519" t="s">
        <v>284</v>
      </c>
      <c r="D622" s="519" t="s">
        <v>111</v>
      </c>
      <c r="E622" s="519" t="s">
        <v>290</v>
      </c>
      <c r="F622" s="519" t="s">
        <v>70</v>
      </c>
      <c r="G622" s="519" t="s">
        <v>59</v>
      </c>
      <c r="H622" s="519" t="s">
        <v>155</v>
      </c>
      <c r="I622" s="881">
        <v>121844.15150000001</v>
      </c>
      <c r="J622" s="881">
        <v>1547.54078712</v>
      </c>
      <c r="K622" s="60">
        <v>1.25416935162785E-2</v>
      </c>
      <c r="L622" s="880">
        <v>3.0674729802928002</v>
      </c>
      <c r="M622">
        <v>0</v>
      </c>
      <c r="N622" s="60">
        <v>0.113554174982293</v>
      </c>
      <c r="O622" s="881">
        <v>293058.25910000002</v>
      </c>
      <c r="P622" s="60">
        <v>1.5483535895584001E-2</v>
      </c>
      <c r="Q622" s="880">
        <v>3.0502453022650098</v>
      </c>
      <c r="R622" s="60">
        <v>0.56836250833403601</v>
      </c>
      <c r="S622" s="60">
        <v>0.113452255541635</v>
      </c>
      <c r="T622" s="60">
        <v>0.45112751910597104</v>
      </c>
      <c r="U622" s="60">
        <v>0.37184506122946503</v>
      </c>
    </row>
    <row r="623" spans="1:21" x14ac:dyDescent="0.25">
      <c r="A623" s="519" t="s">
        <v>677</v>
      </c>
      <c r="B623" s="519" t="s">
        <v>678</v>
      </c>
      <c r="C623" s="519" t="s">
        <v>284</v>
      </c>
      <c r="D623" s="519" t="s">
        <v>111</v>
      </c>
      <c r="E623" s="519" t="s">
        <v>290</v>
      </c>
      <c r="F623" s="519" t="s">
        <v>16</v>
      </c>
      <c r="G623" s="519" t="s">
        <v>56</v>
      </c>
      <c r="H623" s="519" t="s">
        <v>144</v>
      </c>
      <c r="I623" s="881">
        <v>23531.586500000001</v>
      </c>
      <c r="J623" s="881">
        <v>3977.6846102200002</v>
      </c>
      <c r="K623" s="60">
        <v>0.14459432946379502</v>
      </c>
      <c r="L623" s="880">
        <v>2.9401039758635101</v>
      </c>
      <c r="M623">
        <v>0</v>
      </c>
      <c r="N623" s="60">
        <v>9.9665294560568801E-2</v>
      </c>
      <c r="O623" s="881">
        <v>31714.647300000001</v>
      </c>
      <c r="P623" s="60">
        <v>0.19198392232148601</v>
      </c>
      <c r="Q623" s="880">
        <v>2.9735237313743799</v>
      </c>
      <c r="R623" s="60">
        <v>0.56836250833403601</v>
      </c>
      <c r="S623" s="60">
        <v>0.100264630721591</v>
      </c>
      <c r="T623" s="60">
        <v>0.70994026938445998</v>
      </c>
      <c r="U623" s="60">
        <v>0.46664245323972903</v>
      </c>
    </row>
    <row r="624" spans="1:21" x14ac:dyDescent="0.25">
      <c r="A624" s="519" t="s">
        <v>677</v>
      </c>
      <c r="B624" s="519" t="s">
        <v>680</v>
      </c>
      <c r="C624" s="519" t="s">
        <v>284</v>
      </c>
      <c r="D624" s="519" t="s">
        <v>111</v>
      </c>
      <c r="E624" s="519" t="s">
        <v>290</v>
      </c>
      <c r="F624" s="519" t="s">
        <v>16</v>
      </c>
      <c r="G624" s="519" t="s">
        <v>56</v>
      </c>
      <c r="H624" s="519" t="s">
        <v>146</v>
      </c>
      <c r="I624" s="881">
        <v>5413.4922000000006</v>
      </c>
      <c r="J624" s="881">
        <v>1945.3829023400001</v>
      </c>
      <c r="K624" s="60">
        <v>0.26435873354086403</v>
      </c>
      <c r="L624" s="880">
        <v>3.0133732483030902</v>
      </c>
      <c r="M624">
        <v>0</v>
      </c>
      <c r="N624" s="60">
        <v>9.3307532612682098E-2</v>
      </c>
      <c r="O624" s="881">
        <v>31714.647300000001</v>
      </c>
      <c r="P624" s="60">
        <v>0.19198392232148601</v>
      </c>
      <c r="Q624" s="880">
        <v>2.9735237313743799</v>
      </c>
      <c r="R624" s="60">
        <v>0.56836250833403601</v>
      </c>
      <c r="S624" s="60">
        <v>0.100264630721591</v>
      </c>
      <c r="T624" s="60">
        <v>0.21880774946364701</v>
      </c>
      <c r="U624" s="60">
        <v>0.32169277872610602</v>
      </c>
    </row>
    <row r="625" spans="1:21" x14ac:dyDescent="0.25">
      <c r="A625" s="519" t="s">
        <v>681</v>
      </c>
      <c r="B625" s="519" t="s">
        <v>683</v>
      </c>
      <c r="C625" s="519" t="s">
        <v>284</v>
      </c>
      <c r="D625" s="519" t="s">
        <v>111</v>
      </c>
      <c r="E625" s="519" t="s">
        <v>290</v>
      </c>
      <c r="F625" s="519" t="s">
        <v>16</v>
      </c>
      <c r="G625" s="519" t="s">
        <v>57</v>
      </c>
      <c r="H625" s="519" t="s">
        <v>148</v>
      </c>
      <c r="I625" s="881">
        <v>1867.3578</v>
      </c>
      <c r="J625" s="881">
        <v>998.08868559000007</v>
      </c>
      <c r="K625" s="60">
        <v>0.34831873169129901</v>
      </c>
      <c r="L625" s="880">
        <v>3.0128410361871101</v>
      </c>
      <c r="M625">
        <v>0</v>
      </c>
      <c r="N625" s="60">
        <v>0.14864012670737201</v>
      </c>
      <c r="O625" s="881">
        <v>3333.2184999999999</v>
      </c>
      <c r="P625" s="60">
        <v>0.37409522536157402</v>
      </c>
      <c r="Q625" s="880">
        <v>2.9629244634476199</v>
      </c>
      <c r="R625" s="60">
        <v>0.56836250833403601</v>
      </c>
      <c r="S625" s="60">
        <v>0.12435446401128501</v>
      </c>
      <c r="T625" s="60">
        <v>0.48314588917345802</v>
      </c>
      <c r="U625" s="60">
        <v>0.37846310978618103</v>
      </c>
    </row>
    <row r="626" spans="1:21" x14ac:dyDescent="0.25">
      <c r="A626" s="519" t="s">
        <v>685</v>
      </c>
      <c r="B626" s="519" t="s">
        <v>687</v>
      </c>
      <c r="C626" s="519" t="s">
        <v>284</v>
      </c>
      <c r="D626" s="519" t="s">
        <v>111</v>
      </c>
      <c r="E626" s="519" t="s">
        <v>290</v>
      </c>
      <c r="F626" s="519" t="s">
        <v>16</v>
      </c>
      <c r="G626" s="519" t="s">
        <v>58</v>
      </c>
      <c r="H626" s="519" t="s">
        <v>151</v>
      </c>
      <c r="I626" s="881">
        <v>13104.227700000001</v>
      </c>
      <c r="J626" s="881">
        <v>479.91961978</v>
      </c>
      <c r="K626" s="60">
        <v>3.5329388623545399E-2</v>
      </c>
      <c r="L626" s="880">
        <v>3.1017218597341301</v>
      </c>
      <c r="M626">
        <v>0</v>
      </c>
      <c r="N626" s="60">
        <v>0.75447953334937901</v>
      </c>
      <c r="O626" s="881">
        <v>192386.1802</v>
      </c>
      <c r="P626" s="60">
        <v>1.5733059308860601E-2</v>
      </c>
      <c r="Q626" s="880">
        <v>3.0957148191403299</v>
      </c>
      <c r="R626" s="60">
        <v>0.56836250833403601</v>
      </c>
      <c r="S626" s="60">
        <v>0.45383431080773706</v>
      </c>
      <c r="T626" s="60">
        <v>5.2376180934047702E-2</v>
      </c>
      <c r="U626" s="60">
        <v>9.9062851465329699E-2</v>
      </c>
    </row>
    <row r="627" spans="1:21" x14ac:dyDescent="0.25">
      <c r="A627" s="519" t="s">
        <v>689</v>
      </c>
      <c r="B627" s="519" t="s">
        <v>299</v>
      </c>
      <c r="C627" s="519" t="s">
        <v>284</v>
      </c>
      <c r="D627" s="519" t="s">
        <v>111</v>
      </c>
      <c r="E627" s="519" t="s">
        <v>290</v>
      </c>
      <c r="F627" s="519" t="s">
        <v>16</v>
      </c>
      <c r="G627" s="519" t="s">
        <v>59</v>
      </c>
      <c r="H627" s="519" t="s">
        <v>153</v>
      </c>
      <c r="I627" s="881">
        <v>63948.689500000401</v>
      </c>
      <c r="J627" s="881">
        <v>1137.2868553999999</v>
      </c>
      <c r="K627" s="60">
        <v>1.7473608280682298E-2</v>
      </c>
      <c r="L627" s="880">
        <v>3.0423571193021299</v>
      </c>
      <c r="M627">
        <v>0</v>
      </c>
      <c r="N627" s="60">
        <v>0.49572968966001801</v>
      </c>
      <c r="O627" s="881">
        <v>332859.7819</v>
      </c>
      <c r="P627" s="60">
        <v>1.1143054833865001E-2</v>
      </c>
      <c r="Q627" s="880">
        <v>3.0342554232332399</v>
      </c>
      <c r="R627" s="60">
        <v>0.56836250833403601</v>
      </c>
      <c r="S627" s="60">
        <v>0.41143029842260603</v>
      </c>
      <c r="T627" s="60">
        <v>0.18747757983221403</v>
      </c>
      <c r="U627" s="60">
        <v>0.27555059926735997</v>
      </c>
    </row>
    <row r="628" spans="1:21" x14ac:dyDescent="0.25">
      <c r="A628" s="519" t="s">
        <v>689</v>
      </c>
      <c r="B628" s="519" t="s">
        <v>691</v>
      </c>
      <c r="C628" s="519" t="s">
        <v>284</v>
      </c>
      <c r="D628" s="519" t="s">
        <v>111</v>
      </c>
      <c r="E628" s="519" t="s">
        <v>290</v>
      </c>
      <c r="F628" s="519" t="s">
        <v>16</v>
      </c>
      <c r="G628" s="519" t="s">
        <v>59</v>
      </c>
      <c r="H628" s="519" t="s">
        <v>155</v>
      </c>
      <c r="I628" s="881">
        <v>160524.70149999901</v>
      </c>
      <c r="J628" s="881">
        <v>1561.0139199800199</v>
      </c>
      <c r="K628" s="60">
        <v>9.6307926700097499E-3</v>
      </c>
      <c r="L628" s="880">
        <v>3.0391040720965701</v>
      </c>
      <c r="M628">
        <v>0</v>
      </c>
      <c r="N628" s="60">
        <v>0.40989166580073305</v>
      </c>
      <c r="O628" s="881">
        <v>332859.7819</v>
      </c>
      <c r="P628" s="60">
        <v>1.1143054833865001E-2</v>
      </c>
      <c r="Q628" s="880">
        <v>3.0342554232332399</v>
      </c>
      <c r="R628" s="60">
        <v>0.56836250833403601</v>
      </c>
      <c r="S628" s="60">
        <v>0.41143029842260603</v>
      </c>
      <c r="T628" s="60">
        <v>0.45112751910597104</v>
      </c>
      <c r="U628" s="60">
        <v>0.37184506122946503</v>
      </c>
    </row>
    <row r="629" spans="1:21" x14ac:dyDescent="0.25">
      <c r="A629" s="519" t="s">
        <v>692</v>
      </c>
      <c r="B629" s="519" t="s">
        <v>358</v>
      </c>
      <c r="C629" s="519" t="s">
        <v>284</v>
      </c>
      <c r="D629" s="519" t="s">
        <v>111</v>
      </c>
      <c r="E629" s="519" t="s">
        <v>290</v>
      </c>
      <c r="F629" s="519" t="s">
        <v>17</v>
      </c>
      <c r="G629" s="519" t="s">
        <v>56</v>
      </c>
      <c r="H629" s="519" t="s">
        <v>144</v>
      </c>
      <c r="I629" s="881">
        <v>25454.3855</v>
      </c>
      <c r="J629" s="881">
        <v>2998.61898969</v>
      </c>
      <c r="K629" s="60">
        <v>0.105388483341946</v>
      </c>
      <c r="L629" s="880">
        <v>2.8618977796971099</v>
      </c>
      <c r="M629">
        <v>0</v>
      </c>
      <c r="N629" s="60">
        <v>0.46309119110339703</v>
      </c>
      <c r="O629" s="881">
        <v>35256.524400000002</v>
      </c>
      <c r="P629" s="60">
        <v>0.131562432012857</v>
      </c>
      <c r="Q629" s="880">
        <v>2.6134604761829099</v>
      </c>
      <c r="R629" s="60">
        <v>0.56836250833403601</v>
      </c>
      <c r="S629" s="60">
        <v>0.42980349191765505</v>
      </c>
      <c r="T629" s="60">
        <v>0.70994026938445998</v>
      </c>
      <c r="U629" s="60">
        <v>0.46664245323972903</v>
      </c>
    </row>
    <row r="630" spans="1:21" x14ac:dyDescent="0.25">
      <c r="A630" s="519" t="s">
        <v>692</v>
      </c>
      <c r="B630" s="519" t="s">
        <v>359</v>
      </c>
      <c r="C630" s="519" t="s">
        <v>284</v>
      </c>
      <c r="D630" s="519" t="s">
        <v>111</v>
      </c>
      <c r="E630" s="519" t="s">
        <v>290</v>
      </c>
      <c r="F630" s="519" t="s">
        <v>17</v>
      </c>
      <c r="G630" s="519" t="s">
        <v>56</v>
      </c>
      <c r="H630" s="519" t="s">
        <v>146</v>
      </c>
      <c r="I630" s="881">
        <v>6543.0027</v>
      </c>
      <c r="J630" s="881">
        <v>1227.26475667</v>
      </c>
      <c r="K630" s="60">
        <v>0.15794369544081999</v>
      </c>
      <c r="L630" s="880">
        <v>5.58658744954006</v>
      </c>
      <c r="M630">
        <v>0</v>
      </c>
      <c r="N630" s="60">
        <v>0.365461594567277</v>
      </c>
      <c r="O630" s="881">
        <v>35256.524400000002</v>
      </c>
      <c r="P630" s="60">
        <v>0.131562432012857</v>
      </c>
      <c r="Q630" s="880">
        <v>2.6134604761829099</v>
      </c>
      <c r="R630" s="60">
        <v>0.56836250833403601</v>
      </c>
      <c r="S630" s="60">
        <v>0.42980349191765505</v>
      </c>
      <c r="T630" s="60">
        <v>0.21880774946364701</v>
      </c>
      <c r="U630" s="60">
        <v>0.32169277872610602</v>
      </c>
    </row>
    <row r="631" spans="1:21" x14ac:dyDescent="0.25">
      <c r="A631" s="519" t="s">
        <v>693</v>
      </c>
      <c r="B631" s="519" t="s">
        <v>695</v>
      </c>
      <c r="C631" s="519" t="s">
        <v>284</v>
      </c>
      <c r="D631" s="519" t="s">
        <v>111</v>
      </c>
      <c r="E631" s="519" t="s">
        <v>288</v>
      </c>
      <c r="F631" s="519" t="s">
        <v>70</v>
      </c>
      <c r="G631" s="519" t="s">
        <v>56</v>
      </c>
      <c r="H631" s="519" t="s">
        <v>145</v>
      </c>
      <c r="I631" s="881">
        <v>59313.694100000102</v>
      </c>
      <c r="J631" s="881">
        <v>5388.35905549996</v>
      </c>
      <c r="K631" s="60">
        <v>8.3279568309061192E-2</v>
      </c>
      <c r="L631" s="880">
        <v>3.0228332221917</v>
      </c>
      <c r="M631">
        <v>0</v>
      </c>
      <c r="N631" s="60">
        <v>5.2728826748290401E-2</v>
      </c>
      <c r="O631" s="881">
        <v>148968.88990000001</v>
      </c>
      <c r="P631" s="60">
        <v>8.6792106172336791E-2</v>
      </c>
      <c r="Q631" s="880">
        <v>3.0243368934393002</v>
      </c>
      <c r="R631" s="60">
        <v>0.55592062236262407</v>
      </c>
      <c r="S631" s="60">
        <v>5.4692844965611796E-2</v>
      </c>
      <c r="T631" s="60">
        <v>0.39799794259396704</v>
      </c>
      <c r="U631" s="60">
        <v>0.34365837901145202</v>
      </c>
    </row>
    <row r="632" spans="1:21" x14ac:dyDescent="0.25">
      <c r="A632" s="519" t="s">
        <v>697</v>
      </c>
      <c r="B632" s="519" t="s">
        <v>698</v>
      </c>
      <c r="C632" s="519" t="s">
        <v>284</v>
      </c>
      <c r="D632" s="519" t="s">
        <v>111</v>
      </c>
      <c r="E632" s="519" t="s">
        <v>288</v>
      </c>
      <c r="F632" s="519" t="s">
        <v>70</v>
      </c>
      <c r="G632" s="519" t="s">
        <v>57</v>
      </c>
      <c r="H632" s="519" t="s">
        <v>147</v>
      </c>
      <c r="I632" s="881">
        <v>86880.458600000202</v>
      </c>
      <c r="J632" s="881">
        <v>2097.1544799500098</v>
      </c>
      <c r="K632" s="60">
        <v>2.3569462108020699E-2</v>
      </c>
      <c r="L632" s="880">
        <v>2.96998300806063</v>
      </c>
      <c r="M632">
        <v>0</v>
      </c>
      <c r="N632" s="60">
        <v>1.86755828197251E-2</v>
      </c>
      <c r="O632" s="881">
        <v>216087.9927</v>
      </c>
      <c r="P632" s="60">
        <v>4.24588418604167E-2</v>
      </c>
      <c r="Q632" s="880">
        <v>3.0103708330818599</v>
      </c>
      <c r="R632" s="60">
        <v>0.55592062236262407</v>
      </c>
      <c r="S632" s="60">
        <v>2.2503021288882499E-2</v>
      </c>
      <c r="T632" s="60">
        <v>0.38148829710183901</v>
      </c>
      <c r="U632" s="60">
        <v>0.17663233416359903</v>
      </c>
    </row>
    <row r="633" spans="1:21" x14ac:dyDescent="0.25">
      <c r="A633" s="519" t="s">
        <v>697</v>
      </c>
      <c r="B633" s="519" t="s">
        <v>700</v>
      </c>
      <c r="C633" s="519" t="s">
        <v>284</v>
      </c>
      <c r="D633" s="519" t="s">
        <v>111</v>
      </c>
      <c r="E633" s="519" t="s">
        <v>288</v>
      </c>
      <c r="F633" s="519" t="s">
        <v>70</v>
      </c>
      <c r="G633" s="519" t="s">
        <v>57</v>
      </c>
      <c r="H633" s="519" t="s">
        <v>149</v>
      </c>
      <c r="I633" s="881">
        <v>86976.045000000202</v>
      </c>
      <c r="J633" s="881">
        <v>5614.7512207299897</v>
      </c>
      <c r="K633" s="60">
        <v>6.0640489658872899E-2</v>
      </c>
      <c r="L633" s="880">
        <v>3.0549346222964702</v>
      </c>
      <c r="M633">
        <v>0</v>
      </c>
      <c r="N633" s="60">
        <v>2.7694842873115199E-2</v>
      </c>
      <c r="O633" s="881">
        <v>216087.9927</v>
      </c>
      <c r="P633" s="60">
        <v>4.24588418604167E-2</v>
      </c>
      <c r="Q633" s="880">
        <v>3.0103708330818599</v>
      </c>
      <c r="R633" s="60">
        <v>0.55592062236262407</v>
      </c>
      <c r="S633" s="60">
        <v>2.2503021288882499E-2</v>
      </c>
      <c r="T633" s="60">
        <v>0.39945315943638704</v>
      </c>
      <c r="U633" s="60">
        <v>0.47503195549713706</v>
      </c>
    </row>
    <row r="634" spans="1:21" x14ac:dyDescent="0.25">
      <c r="A634" s="519" t="s">
        <v>701</v>
      </c>
      <c r="B634" s="519" t="s">
        <v>702</v>
      </c>
      <c r="C634" s="519" t="s">
        <v>284</v>
      </c>
      <c r="D634" s="519" t="s">
        <v>111</v>
      </c>
      <c r="E634" s="519" t="s">
        <v>288</v>
      </c>
      <c r="F634" s="519" t="s">
        <v>70</v>
      </c>
      <c r="G634" s="519" t="s">
        <v>58</v>
      </c>
      <c r="H634" s="519" t="s">
        <v>150</v>
      </c>
      <c r="I634" s="881">
        <v>64910.024800000203</v>
      </c>
      <c r="J634" s="881">
        <v>5193.7315731500003</v>
      </c>
      <c r="K634" s="60">
        <v>7.4086352028052194E-2</v>
      </c>
      <c r="L634" s="880">
        <v>3.00764903109858</v>
      </c>
      <c r="M634">
        <v>0</v>
      </c>
      <c r="N634" s="60">
        <v>7.5743446642466697E-2</v>
      </c>
      <c r="O634" s="881">
        <v>150895.3866</v>
      </c>
      <c r="P634" s="60">
        <v>6.4728806570554298E-2</v>
      </c>
      <c r="Q634" s="880">
        <v>2.99841606595876</v>
      </c>
      <c r="R634" s="60">
        <v>0.55592062236262407</v>
      </c>
      <c r="S634" s="60">
        <v>6.76260728040044E-2</v>
      </c>
      <c r="T634" s="60">
        <v>0.42093193388756206</v>
      </c>
      <c r="U634" s="60">
        <v>0.42485095387183602</v>
      </c>
    </row>
    <row r="635" spans="1:21" x14ac:dyDescent="0.25">
      <c r="A635" s="519" t="s">
        <v>701</v>
      </c>
      <c r="B635" s="519" t="s">
        <v>704</v>
      </c>
      <c r="C635" s="519" t="s">
        <v>284</v>
      </c>
      <c r="D635" s="519" t="s">
        <v>111</v>
      </c>
      <c r="E635" s="519" t="s">
        <v>288</v>
      </c>
      <c r="F635" s="519" t="s">
        <v>70</v>
      </c>
      <c r="G635" s="519" t="s">
        <v>58</v>
      </c>
      <c r="H635" s="519" t="s">
        <v>152</v>
      </c>
      <c r="I635" s="881">
        <v>46841.859200000101</v>
      </c>
      <c r="J635" s="881">
        <v>2326.62995662</v>
      </c>
      <c r="K635" s="60">
        <v>4.73195332321239E-2</v>
      </c>
      <c r="L635" s="880">
        <v>2.9961245275273001</v>
      </c>
      <c r="M635">
        <v>0</v>
      </c>
      <c r="N635" s="60">
        <v>8.1010998811934298E-2</v>
      </c>
      <c r="O635" s="881">
        <v>150895.3866</v>
      </c>
      <c r="P635" s="60">
        <v>6.4728806570554298E-2</v>
      </c>
      <c r="Q635" s="880">
        <v>2.99841606595876</v>
      </c>
      <c r="R635" s="60">
        <v>0.55592062236262407</v>
      </c>
      <c r="S635" s="60">
        <v>6.76260728040044E-2</v>
      </c>
      <c r="T635" s="60">
        <v>0.32837344474698105</v>
      </c>
      <c r="U635" s="60">
        <v>0.24331908187063803</v>
      </c>
    </row>
    <row r="636" spans="1:21" x14ac:dyDescent="0.25">
      <c r="A636" s="519" t="s">
        <v>705</v>
      </c>
      <c r="B636" s="519" t="s">
        <v>707</v>
      </c>
      <c r="C636" s="519" t="s">
        <v>284</v>
      </c>
      <c r="D636" s="519" t="s">
        <v>111</v>
      </c>
      <c r="E636" s="519" t="s">
        <v>288</v>
      </c>
      <c r="F636" s="519" t="s">
        <v>70</v>
      </c>
      <c r="G636" s="519" t="s">
        <v>59</v>
      </c>
      <c r="H636" s="519" t="s">
        <v>154</v>
      </c>
      <c r="I636" s="881">
        <v>82093.847000000096</v>
      </c>
      <c r="J636" s="881">
        <v>6692.3249545800099</v>
      </c>
      <c r="K636" s="60">
        <v>7.53757573645992E-2</v>
      </c>
      <c r="L636" s="880">
        <v>3.0431021118828698</v>
      </c>
      <c r="M636">
        <v>0</v>
      </c>
      <c r="N636" s="60">
        <v>0.18834384628119602</v>
      </c>
      <c r="O636" s="881">
        <v>234045.41460000002</v>
      </c>
      <c r="P636" s="60">
        <v>6.5881040144891392E-2</v>
      </c>
      <c r="Q636" s="880">
        <v>3.06773960002818</v>
      </c>
      <c r="R636" s="60">
        <v>0.55592062236262407</v>
      </c>
      <c r="S636" s="60">
        <v>0.17626179162922101</v>
      </c>
      <c r="T636" s="60">
        <v>0.35287948072180703</v>
      </c>
      <c r="U636" s="60">
        <v>0.40036885302894903</v>
      </c>
    </row>
    <row r="637" spans="1:21" x14ac:dyDescent="0.25">
      <c r="A637" s="519" t="s">
        <v>709</v>
      </c>
      <c r="B637" s="519" t="s">
        <v>710</v>
      </c>
      <c r="C637" s="519" t="s">
        <v>284</v>
      </c>
      <c r="D637" s="519" t="s">
        <v>111</v>
      </c>
      <c r="E637" s="519" t="s">
        <v>288</v>
      </c>
      <c r="F637" s="519" t="s">
        <v>16</v>
      </c>
      <c r="G637" s="519" t="s">
        <v>56</v>
      </c>
      <c r="H637" s="519" t="s">
        <v>144</v>
      </c>
      <c r="I637" s="881">
        <v>63046.639200000202</v>
      </c>
      <c r="J637" s="881">
        <v>4325.2374245999999</v>
      </c>
      <c r="K637" s="60">
        <v>6.4199449997518698E-2</v>
      </c>
      <c r="L637" s="880">
        <v>3.0628478955276499</v>
      </c>
      <c r="M637">
        <v>0</v>
      </c>
      <c r="N637" s="60">
        <v>0.223233126754835</v>
      </c>
      <c r="O637" s="881">
        <v>207423.06300000101</v>
      </c>
      <c r="P637" s="60">
        <v>5.10955269041461E-2</v>
      </c>
      <c r="Q637" s="880">
        <v>3.1060406039105399</v>
      </c>
      <c r="R637" s="60">
        <v>0.55592062236262407</v>
      </c>
      <c r="S637" s="60">
        <v>0.26993591498549802</v>
      </c>
      <c r="T637" s="60">
        <v>0.28298960751823404</v>
      </c>
      <c r="U637" s="60">
        <v>0.328655476437061</v>
      </c>
    </row>
    <row r="638" spans="1:21" x14ac:dyDescent="0.25">
      <c r="A638" s="519" t="s">
        <v>709</v>
      </c>
      <c r="B638" s="519" t="s">
        <v>712</v>
      </c>
      <c r="C638" s="519" t="s">
        <v>284</v>
      </c>
      <c r="D638" s="519" t="s">
        <v>111</v>
      </c>
      <c r="E638" s="519" t="s">
        <v>288</v>
      </c>
      <c r="F638" s="519" t="s">
        <v>16</v>
      </c>
      <c r="G638" s="519" t="s">
        <v>56</v>
      </c>
      <c r="H638" s="519" t="s">
        <v>146</v>
      </c>
      <c r="I638" s="881">
        <v>63419.719800000203</v>
      </c>
      <c r="J638" s="881">
        <v>3738.7473907900003</v>
      </c>
      <c r="K638" s="60">
        <v>5.5670528932243599E-2</v>
      </c>
      <c r="L638" s="880">
        <v>3.0743823227435798</v>
      </c>
      <c r="M638">
        <v>0</v>
      </c>
      <c r="N638" s="60">
        <v>0.28337000788830302</v>
      </c>
      <c r="O638" s="881">
        <v>207423.06300000101</v>
      </c>
      <c r="P638" s="60">
        <v>5.10955269041461E-2</v>
      </c>
      <c r="Q638" s="880">
        <v>3.1060406039105399</v>
      </c>
      <c r="R638" s="60">
        <v>0.55592062236262407</v>
      </c>
      <c r="S638" s="60">
        <v>0.26993591498549802</v>
      </c>
      <c r="T638" s="60">
        <v>0.31901244988779903</v>
      </c>
      <c r="U638" s="60">
        <v>0.32768614455148803</v>
      </c>
    </row>
    <row r="639" spans="1:21" x14ac:dyDescent="0.25">
      <c r="A639" s="519" t="s">
        <v>713</v>
      </c>
      <c r="B639" s="519" t="s">
        <v>715</v>
      </c>
      <c r="C639" s="519" t="s">
        <v>284</v>
      </c>
      <c r="D639" s="519" t="s">
        <v>111</v>
      </c>
      <c r="E639" s="519" t="s">
        <v>288</v>
      </c>
      <c r="F639" s="519" t="s">
        <v>16</v>
      </c>
      <c r="G639" s="519" t="s">
        <v>57</v>
      </c>
      <c r="H639" s="519" t="s">
        <v>148</v>
      </c>
      <c r="I639" s="881">
        <v>60122.600500000102</v>
      </c>
      <c r="J639" s="881">
        <v>7321.8628401000096</v>
      </c>
      <c r="K639" s="60">
        <v>0.10856136260108201</v>
      </c>
      <c r="L639" s="880">
        <v>3.0224305207924398</v>
      </c>
      <c r="M639">
        <v>0</v>
      </c>
      <c r="N639" s="60">
        <v>0.39797300683958203</v>
      </c>
      <c r="O639" s="881">
        <v>251157.37460000103</v>
      </c>
      <c r="P639" s="60">
        <v>6.2716131376954393E-2</v>
      </c>
      <c r="Q639" s="880">
        <v>3.0814062861357301</v>
      </c>
      <c r="R639" s="60">
        <v>0.55592062236262407</v>
      </c>
      <c r="S639" s="60">
        <v>0.39181747283641</v>
      </c>
      <c r="T639" s="60">
        <v>0.21905854346177403</v>
      </c>
      <c r="U639" s="60">
        <v>0.34833571033926503</v>
      </c>
    </row>
    <row r="640" spans="1:21" x14ac:dyDescent="0.25">
      <c r="A640" s="519" t="s">
        <v>717</v>
      </c>
      <c r="B640" s="519" t="s">
        <v>719</v>
      </c>
      <c r="C640" s="519" t="s">
        <v>284</v>
      </c>
      <c r="D640" s="519" t="s">
        <v>111</v>
      </c>
      <c r="E640" s="519" t="s">
        <v>288</v>
      </c>
      <c r="F640" s="519" t="s">
        <v>16</v>
      </c>
      <c r="G640" s="519" t="s">
        <v>58</v>
      </c>
      <c r="H640" s="519" t="s">
        <v>151</v>
      </c>
      <c r="I640" s="881">
        <v>59932.8565000003</v>
      </c>
      <c r="J640" s="881">
        <v>4089.8390529099897</v>
      </c>
      <c r="K640" s="60">
        <v>6.3881081819337798E-2</v>
      </c>
      <c r="L640" s="880">
        <v>3.0847662027130598</v>
      </c>
      <c r="M640">
        <v>0</v>
      </c>
      <c r="N640" s="60">
        <v>0.327377814871879</v>
      </c>
      <c r="O640" s="881">
        <v>244311.97190000102</v>
      </c>
      <c r="P640" s="60">
        <v>4.19222319799736E-2</v>
      </c>
      <c r="Q640" s="880">
        <v>3.0767126709180599</v>
      </c>
      <c r="R640" s="60">
        <v>0.55592062236262407</v>
      </c>
      <c r="S640" s="60">
        <v>0.33290020651664803</v>
      </c>
      <c r="T640" s="60">
        <v>0.250694621365457</v>
      </c>
      <c r="U640" s="60">
        <v>0.33182996425752603</v>
      </c>
    </row>
    <row r="641" spans="1:21" x14ac:dyDescent="0.25">
      <c r="A641" s="519" t="s">
        <v>721</v>
      </c>
      <c r="B641" s="519" t="s">
        <v>300</v>
      </c>
      <c r="C641" s="519" t="s">
        <v>284</v>
      </c>
      <c r="D641" s="519" t="s">
        <v>111</v>
      </c>
      <c r="E641" s="519" t="s">
        <v>288</v>
      </c>
      <c r="F641" s="519" t="s">
        <v>16</v>
      </c>
      <c r="G641" s="519" t="s">
        <v>59</v>
      </c>
      <c r="H641" s="519" t="s">
        <v>153</v>
      </c>
      <c r="I641" s="881">
        <v>76147.523700000398</v>
      </c>
      <c r="J641" s="881">
        <v>1535.0480183700099</v>
      </c>
      <c r="K641" s="60">
        <v>1.9760520080812499E-2</v>
      </c>
      <c r="L641" s="880">
        <v>3.0383375959894798</v>
      </c>
      <c r="M641">
        <v>0</v>
      </c>
      <c r="N641" s="60">
        <v>0.46903635554467504</v>
      </c>
      <c r="O641" s="881">
        <v>309698.02780000103</v>
      </c>
      <c r="P641" s="60">
        <v>2.3502433589401701E-2</v>
      </c>
      <c r="Q641" s="880">
        <v>3.0377101306571901</v>
      </c>
      <c r="R641" s="60">
        <v>0.55592062236262407</v>
      </c>
      <c r="S641" s="60">
        <v>0.46111299614804802</v>
      </c>
      <c r="T641" s="60">
        <v>0.257593365322764</v>
      </c>
      <c r="U641" s="60">
        <v>0.25598800580856101</v>
      </c>
    </row>
    <row r="642" spans="1:21" x14ac:dyDescent="0.25">
      <c r="A642" s="519" t="s">
        <v>721</v>
      </c>
      <c r="B642" s="519" t="s">
        <v>723</v>
      </c>
      <c r="C642" s="519" t="s">
        <v>284</v>
      </c>
      <c r="D642" s="519" t="s">
        <v>111</v>
      </c>
      <c r="E642" s="519" t="s">
        <v>288</v>
      </c>
      <c r="F642" s="519" t="s">
        <v>16</v>
      </c>
      <c r="G642" s="519" t="s">
        <v>59</v>
      </c>
      <c r="H642" s="519" t="s">
        <v>155</v>
      </c>
      <c r="I642" s="881">
        <v>123768.44750000001</v>
      </c>
      <c r="J642" s="881">
        <v>3018.09177700999</v>
      </c>
      <c r="K642" s="60">
        <v>2.38045126416449E-2</v>
      </c>
      <c r="L642" s="880">
        <v>3.0399817708279899</v>
      </c>
      <c r="M642">
        <v>0</v>
      </c>
      <c r="N642" s="60">
        <v>0.44361267357740602</v>
      </c>
      <c r="O642" s="881">
        <v>309698.02780000103</v>
      </c>
      <c r="P642" s="60">
        <v>2.3502433589401701E-2</v>
      </c>
      <c r="Q642" s="880">
        <v>3.0377101306571901</v>
      </c>
      <c r="R642" s="60">
        <v>0.55592062236262407</v>
      </c>
      <c r="S642" s="60">
        <v>0.46111299614804802</v>
      </c>
      <c r="T642" s="60">
        <v>0.38952715395542903</v>
      </c>
      <c r="U642" s="60">
        <v>0.34364314116249001</v>
      </c>
    </row>
    <row r="643" spans="1:21" x14ac:dyDescent="0.25">
      <c r="A643" s="519" t="s">
        <v>724</v>
      </c>
      <c r="B643" s="519" t="s">
        <v>1750</v>
      </c>
      <c r="C643" s="519" t="s">
        <v>284</v>
      </c>
      <c r="D643" s="519" t="s">
        <v>111</v>
      </c>
      <c r="E643" s="519" t="s">
        <v>288</v>
      </c>
      <c r="F643" s="519" t="s">
        <v>17</v>
      </c>
      <c r="G643" s="519" t="s">
        <v>56</v>
      </c>
      <c r="H643" s="519" t="s">
        <v>145</v>
      </c>
      <c r="I643" s="881">
        <v>122288.77490000101</v>
      </c>
      <c r="J643" s="881">
        <v>2008.54843218</v>
      </c>
      <c r="K643" s="60">
        <v>1.61592251412545E-2</v>
      </c>
      <c r="L643" s="880">
        <v>3.08557647674193</v>
      </c>
      <c r="M643">
        <v>0</v>
      </c>
      <c r="N643" s="60">
        <v>0.46806197663526999</v>
      </c>
      <c r="O643" s="881">
        <v>303307.87190000201</v>
      </c>
      <c r="P643" s="60">
        <v>1.6957954735267698E-2</v>
      </c>
      <c r="Q643" s="880">
        <v>3.0713163492772102</v>
      </c>
      <c r="R643" s="60">
        <v>0.55592062236262407</v>
      </c>
      <c r="S643" s="60">
        <v>0.46701718129723002</v>
      </c>
      <c r="T643" s="60">
        <v>0.39799794259396704</v>
      </c>
      <c r="U643" s="60">
        <v>0.34365837901145202</v>
      </c>
    </row>
    <row r="644" spans="1:21" x14ac:dyDescent="0.25">
      <c r="A644" s="519" t="s">
        <v>1924</v>
      </c>
      <c r="B644" s="519" t="s">
        <v>1925</v>
      </c>
      <c r="C644" s="519" t="s">
        <v>284</v>
      </c>
      <c r="D644" s="519" t="s">
        <v>111</v>
      </c>
      <c r="E644" s="519" t="s">
        <v>288</v>
      </c>
      <c r="F644" s="519" t="s">
        <v>17</v>
      </c>
      <c r="G644" s="519" t="s">
        <v>57</v>
      </c>
      <c r="H644" s="519" t="s">
        <v>149</v>
      </c>
      <c r="I644" s="881">
        <v>144902.03720000002</v>
      </c>
      <c r="J644" s="881">
        <v>10766.921614639999</v>
      </c>
      <c r="K644" s="60">
        <v>6.9165501565797594E-2</v>
      </c>
      <c r="L644" s="880">
        <v>3.1103666956503</v>
      </c>
      <c r="M644">
        <v>0</v>
      </c>
      <c r="N644" s="60">
        <v>0.45534077694802705</v>
      </c>
      <c r="O644" s="881">
        <v>144902.03720000002</v>
      </c>
      <c r="P644" s="60">
        <v>6.9165501565797011E-2</v>
      </c>
      <c r="Q644" s="880">
        <v>3.1103666956503</v>
      </c>
      <c r="R644" s="60">
        <v>0.55592062236262407</v>
      </c>
      <c r="S644" s="60">
        <v>0.45534077694802705</v>
      </c>
      <c r="T644" s="60">
        <v>0.39945315943638704</v>
      </c>
      <c r="U644" s="60">
        <v>0.47503195549713706</v>
      </c>
    </row>
    <row r="645" spans="1:21" x14ac:dyDescent="0.25">
      <c r="A645" s="519" t="s">
        <v>725</v>
      </c>
      <c r="B645" s="519" t="s">
        <v>726</v>
      </c>
      <c r="C645" s="519" t="s">
        <v>284</v>
      </c>
      <c r="D645" s="519" t="s">
        <v>111</v>
      </c>
      <c r="E645" s="519" t="s">
        <v>281</v>
      </c>
      <c r="F645" s="519" t="s">
        <v>70</v>
      </c>
      <c r="G645" s="519" t="s">
        <v>56</v>
      </c>
      <c r="H645" s="519" t="s">
        <v>144</v>
      </c>
      <c r="I645" s="881">
        <v>23048.650799999999</v>
      </c>
      <c r="J645" s="881">
        <v>1092.75133992</v>
      </c>
      <c r="K645" s="60">
        <v>4.5264617754452396E-2</v>
      </c>
      <c r="L645" s="880">
        <v>3.10951413821364</v>
      </c>
      <c r="M645">
        <v>0</v>
      </c>
      <c r="N645" s="60">
        <v>0</v>
      </c>
      <c r="O645" s="881">
        <v>73092.678100000005</v>
      </c>
      <c r="P645" s="60">
        <v>3.0163517869477598E-2</v>
      </c>
      <c r="Q645" s="880">
        <v>3.1251253455216101</v>
      </c>
      <c r="R645" s="60">
        <v>0.48909603966738602</v>
      </c>
      <c r="S645" s="60">
        <v>0</v>
      </c>
      <c r="T645" s="60">
        <v>0.27348299743224003</v>
      </c>
      <c r="U645" s="60">
        <v>0.33502729204124404</v>
      </c>
    </row>
    <row r="646" spans="1:21" x14ac:dyDescent="0.25">
      <c r="A646" s="519" t="s">
        <v>725</v>
      </c>
      <c r="B646" s="519" t="s">
        <v>728</v>
      </c>
      <c r="C646" s="519" t="s">
        <v>284</v>
      </c>
      <c r="D646" s="519" t="s">
        <v>111</v>
      </c>
      <c r="E646" s="519" t="s">
        <v>281</v>
      </c>
      <c r="F646" s="519" t="s">
        <v>70</v>
      </c>
      <c r="G646" s="519" t="s">
        <v>56</v>
      </c>
      <c r="H646" s="519" t="s">
        <v>146</v>
      </c>
      <c r="I646" s="881">
        <v>28108.896000000001</v>
      </c>
      <c r="J646" s="881">
        <v>506.43778761000101</v>
      </c>
      <c r="K646" s="60">
        <v>1.76981261644161E-2</v>
      </c>
      <c r="L646" s="880">
        <v>3.1970406288013002</v>
      </c>
      <c r="M646">
        <v>0</v>
      </c>
      <c r="N646" s="60">
        <v>0</v>
      </c>
      <c r="O646" s="881">
        <v>73092.678100000005</v>
      </c>
      <c r="P646" s="60">
        <v>3.0163517869477598E-2</v>
      </c>
      <c r="Q646" s="880">
        <v>3.1251253455216101</v>
      </c>
      <c r="R646" s="60">
        <v>0.48909603966738602</v>
      </c>
      <c r="S646" s="60">
        <v>0</v>
      </c>
      <c r="T646" s="60">
        <v>0.37548577667759903</v>
      </c>
      <c r="U646" s="60">
        <v>0.29608055554331303</v>
      </c>
    </row>
    <row r="647" spans="1:21" x14ac:dyDescent="0.25">
      <c r="A647" s="519" t="s">
        <v>729</v>
      </c>
      <c r="B647" s="519" t="s">
        <v>731</v>
      </c>
      <c r="C647" s="519" t="s">
        <v>284</v>
      </c>
      <c r="D647" s="519" t="s">
        <v>111</v>
      </c>
      <c r="E647" s="519" t="s">
        <v>281</v>
      </c>
      <c r="F647" s="519" t="s">
        <v>70</v>
      </c>
      <c r="G647" s="519" t="s">
        <v>57</v>
      </c>
      <c r="H647" s="519" t="s">
        <v>148</v>
      </c>
      <c r="I647" s="881">
        <v>58770.115899999902</v>
      </c>
      <c r="J647" s="881">
        <v>1803.6179631100001</v>
      </c>
      <c r="K647" s="60">
        <v>2.9775578424568898E-2</v>
      </c>
      <c r="L647" s="880">
        <v>2.96692544394939</v>
      </c>
      <c r="M647">
        <v>0</v>
      </c>
      <c r="N647" s="60">
        <v>0</v>
      </c>
      <c r="O647" s="881">
        <v>137565.72839999999</v>
      </c>
      <c r="P647" s="60">
        <v>3.79461251286069E-2</v>
      </c>
      <c r="Q647" s="880">
        <v>3.0563086629074001</v>
      </c>
      <c r="R647" s="60">
        <v>0.48909603966738602</v>
      </c>
      <c r="S647" s="60">
        <v>0</v>
      </c>
      <c r="T647" s="60">
        <v>0.38013191001447205</v>
      </c>
      <c r="U647" s="60">
        <v>0.37240393745009504</v>
      </c>
    </row>
    <row r="648" spans="1:21" x14ac:dyDescent="0.25">
      <c r="A648" s="519" t="s">
        <v>733</v>
      </c>
      <c r="B648" s="519" t="s">
        <v>735</v>
      </c>
      <c r="C648" s="519" t="s">
        <v>284</v>
      </c>
      <c r="D648" s="519" t="s">
        <v>111</v>
      </c>
      <c r="E648" s="519" t="s">
        <v>281</v>
      </c>
      <c r="F648" s="519" t="s">
        <v>70</v>
      </c>
      <c r="G648" s="519" t="s">
        <v>58</v>
      </c>
      <c r="H648" s="519" t="s">
        <v>151</v>
      </c>
      <c r="I648" s="881">
        <v>30377.730200000002</v>
      </c>
      <c r="J648" s="881">
        <v>1304.87385462</v>
      </c>
      <c r="K648" s="60">
        <v>4.1185814536280799E-2</v>
      </c>
      <c r="L648" s="880">
        <v>2.97742757273623</v>
      </c>
      <c r="M648">
        <v>0</v>
      </c>
      <c r="N648" s="60">
        <v>0</v>
      </c>
      <c r="O648" s="881">
        <v>70198.907699999996</v>
      </c>
      <c r="P648" s="60">
        <v>6.4867460942178004E-2</v>
      </c>
      <c r="Q648" s="880">
        <v>3.0318591277243199</v>
      </c>
      <c r="R648" s="60">
        <v>0.48909603966738602</v>
      </c>
      <c r="S648" s="60">
        <v>0</v>
      </c>
      <c r="T648" s="60">
        <v>0.38469629389035703</v>
      </c>
      <c r="U648" s="60">
        <v>0.32693116555959401</v>
      </c>
    </row>
    <row r="649" spans="1:21" x14ac:dyDescent="0.25">
      <c r="A649" s="519" t="s">
        <v>737</v>
      </c>
      <c r="B649" s="519" t="s">
        <v>738</v>
      </c>
      <c r="C649" s="519" t="s">
        <v>284</v>
      </c>
      <c r="D649" s="519" t="s">
        <v>111</v>
      </c>
      <c r="E649" s="519" t="s">
        <v>281</v>
      </c>
      <c r="F649" s="519" t="s">
        <v>70</v>
      </c>
      <c r="G649" s="519" t="s">
        <v>59</v>
      </c>
      <c r="H649" s="519" t="s">
        <v>153</v>
      </c>
      <c r="I649" s="881">
        <v>18723.6747</v>
      </c>
      <c r="J649" s="881">
        <v>1509.07451216</v>
      </c>
      <c r="K649" s="60">
        <v>7.4585737031378802E-2</v>
      </c>
      <c r="L649" s="880">
        <v>3.1548619773426099</v>
      </c>
      <c r="M649">
        <v>0</v>
      </c>
      <c r="N649" s="60">
        <v>6.9992937871324795E-2</v>
      </c>
      <c r="O649" s="881">
        <v>42260.3987000001</v>
      </c>
      <c r="P649" s="60">
        <v>7.5614614905245001E-2</v>
      </c>
      <c r="Q649" s="880">
        <v>3.1061135445730499</v>
      </c>
      <c r="R649" s="60">
        <v>0.48909603966738602</v>
      </c>
      <c r="S649" s="60">
        <v>5.6362395369450202E-2</v>
      </c>
      <c r="T649" s="60">
        <v>0.37462411558802705</v>
      </c>
      <c r="U649" s="60">
        <v>0.38274331179172305</v>
      </c>
    </row>
    <row r="650" spans="1:21" x14ac:dyDescent="0.25">
      <c r="A650" s="519" t="s">
        <v>737</v>
      </c>
      <c r="B650" s="519" t="s">
        <v>740</v>
      </c>
      <c r="C650" s="519" t="s">
        <v>284</v>
      </c>
      <c r="D650" s="519" t="s">
        <v>111</v>
      </c>
      <c r="E650" s="519" t="s">
        <v>281</v>
      </c>
      <c r="F650" s="519" t="s">
        <v>70</v>
      </c>
      <c r="G650" s="519" t="s">
        <v>59</v>
      </c>
      <c r="H650" s="519" t="s">
        <v>155</v>
      </c>
      <c r="I650" s="881">
        <v>11635.219700000001</v>
      </c>
      <c r="J650" s="881">
        <v>565.23339093000004</v>
      </c>
      <c r="K650" s="60">
        <v>4.6328885223959698E-2</v>
      </c>
      <c r="L650" s="880">
        <v>2.9625340931492201</v>
      </c>
      <c r="M650">
        <v>0</v>
      </c>
      <c r="N650" s="60">
        <v>0</v>
      </c>
      <c r="O650" s="881">
        <v>42260.3987000001</v>
      </c>
      <c r="P650" s="60">
        <v>7.5614614905245001E-2</v>
      </c>
      <c r="Q650" s="880">
        <v>3.1061135445730499</v>
      </c>
      <c r="R650" s="60">
        <v>0.48909603966738602</v>
      </c>
      <c r="S650" s="60">
        <v>5.6362395369450202E-2</v>
      </c>
      <c r="T650" s="60">
        <v>0.28690136575935998</v>
      </c>
      <c r="U650" s="60">
        <v>0.178962042327656</v>
      </c>
    </row>
    <row r="651" spans="1:21" x14ac:dyDescent="0.25">
      <c r="A651" s="519" t="s">
        <v>741</v>
      </c>
      <c r="B651" s="519" t="s">
        <v>743</v>
      </c>
      <c r="C651" s="519" t="s">
        <v>284</v>
      </c>
      <c r="D651" s="519" t="s">
        <v>111</v>
      </c>
      <c r="E651" s="519" t="s">
        <v>281</v>
      </c>
      <c r="F651" s="519" t="s">
        <v>16</v>
      </c>
      <c r="G651" s="519" t="s">
        <v>56</v>
      </c>
      <c r="H651" s="519" t="s">
        <v>145</v>
      </c>
      <c r="I651" s="881">
        <v>30394.9018</v>
      </c>
      <c r="J651" s="881">
        <v>2877.7413857300003</v>
      </c>
      <c r="K651" s="60">
        <v>8.6489713776758598E-2</v>
      </c>
      <c r="L651" s="880">
        <v>3.2218030667617601</v>
      </c>
      <c r="M651">
        <v>0</v>
      </c>
      <c r="N651" s="60">
        <v>6.7485340584321096E-2</v>
      </c>
      <c r="O651" s="881">
        <v>88554.007300000099</v>
      </c>
      <c r="P651" s="60">
        <v>6.1223519031786196E-2</v>
      </c>
      <c r="Q651" s="880">
        <v>3.2141707615642598</v>
      </c>
      <c r="R651" s="60">
        <v>0.48909603966738602</v>
      </c>
      <c r="S651" s="60">
        <v>4.9082869680590897E-2</v>
      </c>
      <c r="T651" s="60">
        <v>0.351031225890161</v>
      </c>
      <c r="U651" s="60">
        <v>0.36889215241544304</v>
      </c>
    </row>
    <row r="652" spans="1:21" x14ac:dyDescent="0.25">
      <c r="A652" s="519" t="s">
        <v>745</v>
      </c>
      <c r="B652" s="519" t="s">
        <v>746</v>
      </c>
      <c r="C652" s="519" t="s">
        <v>284</v>
      </c>
      <c r="D652" s="519" t="s">
        <v>111</v>
      </c>
      <c r="E652" s="519" t="s">
        <v>281</v>
      </c>
      <c r="F652" s="519" t="s">
        <v>16</v>
      </c>
      <c r="G652" s="519" t="s">
        <v>57</v>
      </c>
      <c r="H652" s="519" t="s">
        <v>147</v>
      </c>
      <c r="I652" s="881">
        <v>13919.532500000001</v>
      </c>
      <c r="J652" s="881">
        <v>1042.5149555200001</v>
      </c>
      <c r="K652" s="60">
        <v>6.9677292403947197E-2</v>
      </c>
      <c r="L652" s="880">
        <v>3.0869209292406601</v>
      </c>
      <c r="M652">
        <v>0</v>
      </c>
      <c r="N652" s="60">
        <v>5.6762258358892398E-2</v>
      </c>
      <c r="O652" s="881">
        <v>49553.635500000004</v>
      </c>
      <c r="P652" s="60">
        <v>0.10606186958301901</v>
      </c>
      <c r="Q652" s="880">
        <v>3.1883154011663599</v>
      </c>
      <c r="R652" s="60">
        <v>0.48909603966738602</v>
      </c>
      <c r="S652" s="60">
        <v>6.7485698400473595E-2</v>
      </c>
      <c r="T652" s="60">
        <v>0.34161441107806201</v>
      </c>
      <c r="U652" s="60">
        <v>0.19108215105214801</v>
      </c>
    </row>
    <row r="653" spans="1:21" x14ac:dyDescent="0.25">
      <c r="A653" s="519" t="s">
        <v>745</v>
      </c>
      <c r="B653" s="519" t="s">
        <v>748</v>
      </c>
      <c r="C653" s="519" t="s">
        <v>284</v>
      </c>
      <c r="D653" s="519" t="s">
        <v>111</v>
      </c>
      <c r="E653" s="519" t="s">
        <v>281</v>
      </c>
      <c r="F653" s="519" t="s">
        <v>16</v>
      </c>
      <c r="G653" s="519" t="s">
        <v>57</v>
      </c>
      <c r="H653" s="519" t="s">
        <v>149</v>
      </c>
      <c r="I653" s="881">
        <v>23274.1777</v>
      </c>
      <c r="J653" s="881">
        <v>2430.2863198200002</v>
      </c>
      <c r="K653" s="60">
        <v>9.4547247433211301E-2</v>
      </c>
      <c r="L653" s="880">
        <v>3.2340441700246099</v>
      </c>
      <c r="M653">
        <v>0</v>
      </c>
      <c r="N653" s="60">
        <v>7.8767040607411201E-2</v>
      </c>
      <c r="O653" s="881">
        <v>49553.635500000004</v>
      </c>
      <c r="P653" s="60">
        <v>0.10606186958301901</v>
      </c>
      <c r="Q653" s="880">
        <v>3.1883154011663599</v>
      </c>
      <c r="R653" s="60">
        <v>0.48909603966738602</v>
      </c>
      <c r="S653" s="60">
        <v>6.7485698400473595E-2</v>
      </c>
      <c r="T653" s="60">
        <v>0.27825367890746699</v>
      </c>
      <c r="U653" s="60">
        <v>0.43651391149775703</v>
      </c>
    </row>
    <row r="654" spans="1:21" x14ac:dyDescent="0.25">
      <c r="A654" s="519" t="s">
        <v>749</v>
      </c>
      <c r="B654" s="519" t="s">
        <v>750</v>
      </c>
      <c r="C654" s="519" t="s">
        <v>284</v>
      </c>
      <c r="D654" s="519" t="s">
        <v>111</v>
      </c>
      <c r="E654" s="519" t="s">
        <v>281</v>
      </c>
      <c r="F654" s="519" t="s">
        <v>16</v>
      </c>
      <c r="G654" s="519" t="s">
        <v>58</v>
      </c>
      <c r="H654" s="519" t="s">
        <v>150</v>
      </c>
      <c r="I654" s="881">
        <v>14018.9771</v>
      </c>
      <c r="J654" s="881">
        <v>1674.8430938399999</v>
      </c>
      <c r="K654" s="60">
        <v>0.10671991096835701</v>
      </c>
      <c r="L654" s="880">
        <v>3.1538254315396501</v>
      </c>
      <c r="M654">
        <v>0</v>
      </c>
      <c r="N654" s="60">
        <v>2.4438459208268499E-2</v>
      </c>
      <c r="O654" s="881">
        <v>47417.445299999905</v>
      </c>
      <c r="P654" s="60">
        <v>9.0481138718520399E-2</v>
      </c>
      <c r="Q654" s="880">
        <v>3.1473273186333701</v>
      </c>
      <c r="R654" s="60">
        <v>0.48909603966738602</v>
      </c>
      <c r="S654" s="60">
        <v>2.3890302247050899E-2</v>
      </c>
      <c r="T654" s="60">
        <v>0.28703517188634503</v>
      </c>
      <c r="U654" s="60">
        <v>0.43550556310009103</v>
      </c>
    </row>
    <row r="655" spans="1:21" x14ac:dyDescent="0.25">
      <c r="A655" s="519" t="s">
        <v>749</v>
      </c>
      <c r="B655" s="519" t="s">
        <v>752</v>
      </c>
      <c r="C655" s="519" t="s">
        <v>284</v>
      </c>
      <c r="D655" s="519" t="s">
        <v>111</v>
      </c>
      <c r="E655" s="519" t="s">
        <v>281</v>
      </c>
      <c r="F655" s="519" t="s">
        <v>16</v>
      </c>
      <c r="G655" s="519" t="s">
        <v>58</v>
      </c>
      <c r="H655" s="519" t="s">
        <v>152</v>
      </c>
      <c r="I655" s="881">
        <v>18529.623299999999</v>
      </c>
      <c r="J655" s="881">
        <v>1213.04233757</v>
      </c>
      <c r="K655" s="60">
        <v>6.1442682555571497E-2</v>
      </c>
      <c r="L655" s="880">
        <v>3.1495357934663102</v>
      </c>
      <c r="M655">
        <v>0</v>
      </c>
      <c r="N655" s="60">
        <v>2.2074604182590201E-2</v>
      </c>
      <c r="O655" s="881">
        <v>47417.445299999905</v>
      </c>
      <c r="P655" s="60">
        <v>9.0481138718520399E-2</v>
      </c>
      <c r="Q655" s="880">
        <v>3.1473273186333701</v>
      </c>
      <c r="R655" s="60">
        <v>0.48909603966738602</v>
      </c>
      <c r="S655" s="60">
        <v>2.3890302247050899E-2</v>
      </c>
      <c r="T655" s="60">
        <v>0.32826853422329805</v>
      </c>
      <c r="U655" s="60">
        <v>0.23756327134031402</v>
      </c>
    </row>
    <row r="656" spans="1:21" x14ac:dyDescent="0.25">
      <c r="A656" s="519" t="s">
        <v>753</v>
      </c>
      <c r="B656" s="519" t="s">
        <v>754</v>
      </c>
      <c r="C656" s="519" t="s">
        <v>284</v>
      </c>
      <c r="D656" s="519" t="s">
        <v>111</v>
      </c>
      <c r="E656" s="519" t="s">
        <v>281</v>
      </c>
      <c r="F656" s="519" t="s">
        <v>16</v>
      </c>
      <c r="G656" s="519" t="s">
        <v>59</v>
      </c>
      <c r="H656" s="519" t="s">
        <v>154</v>
      </c>
      <c r="I656" s="881">
        <v>16359.037100000001</v>
      </c>
      <c r="J656" s="881">
        <v>2120.60505616</v>
      </c>
      <c r="K656" s="60">
        <v>0.11475357792321302</v>
      </c>
      <c r="L656" s="880">
        <v>3.1971429847903901</v>
      </c>
      <c r="M656">
        <v>0</v>
      </c>
      <c r="N656" s="60">
        <v>3.98975805244674E-3</v>
      </c>
      <c r="O656" s="881">
        <v>41233.453399999999</v>
      </c>
      <c r="P656" s="60">
        <v>9.9103128264133894E-2</v>
      </c>
      <c r="Q656" s="880">
        <v>3.1689259006633801</v>
      </c>
      <c r="R656" s="60">
        <v>0.48909603966738602</v>
      </c>
      <c r="S656" s="60">
        <v>7.1352112360300209E-3</v>
      </c>
      <c r="T656" s="60">
        <v>0.33847451865261302</v>
      </c>
      <c r="U656" s="60">
        <v>0.43829464588062106</v>
      </c>
    </row>
    <row r="657" spans="1:21" x14ac:dyDescent="0.25">
      <c r="A657" s="519" t="s">
        <v>756</v>
      </c>
      <c r="B657" s="519" t="s">
        <v>366</v>
      </c>
      <c r="C657" s="519" t="s">
        <v>284</v>
      </c>
      <c r="D657" s="519" t="s">
        <v>111</v>
      </c>
      <c r="E657" s="519" t="s">
        <v>281</v>
      </c>
      <c r="F657" s="519" t="s">
        <v>17</v>
      </c>
      <c r="G657" s="519" t="s">
        <v>56</v>
      </c>
      <c r="H657" s="519" t="s">
        <v>144</v>
      </c>
      <c r="I657" s="881">
        <v>12419.4506</v>
      </c>
      <c r="J657" s="881">
        <v>1392.7121860100001</v>
      </c>
      <c r="K657" s="60">
        <v>0.10083230320892601</v>
      </c>
      <c r="L657" s="880">
        <v>3.0742792143953901</v>
      </c>
      <c r="M657">
        <v>0</v>
      </c>
      <c r="N657" s="60">
        <v>1.31118843534029E-2</v>
      </c>
      <c r="O657" s="881">
        <v>52911.9889999999</v>
      </c>
      <c r="P657" s="60">
        <v>5.9020024911098097E-2</v>
      </c>
      <c r="Q657" s="880">
        <v>3.1031558158572401</v>
      </c>
      <c r="R657" s="60">
        <v>0.48909603966738602</v>
      </c>
      <c r="S657" s="60">
        <v>9.3703829580097705E-3</v>
      </c>
      <c r="T657" s="60">
        <v>0.27348299743224003</v>
      </c>
      <c r="U657" s="60">
        <v>0.33502729204124404</v>
      </c>
    </row>
    <row r="658" spans="1:21" x14ac:dyDescent="0.25">
      <c r="A658" s="519" t="s">
        <v>756</v>
      </c>
      <c r="B658" s="519" t="s">
        <v>367</v>
      </c>
      <c r="C658" s="519" t="s">
        <v>284</v>
      </c>
      <c r="D658" s="519" t="s">
        <v>111</v>
      </c>
      <c r="E658" s="519" t="s">
        <v>281</v>
      </c>
      <c r="F658" s="519" t="s">
        <v>17</v>
      </c>
      <c r="G658" s="519" t="s">
        <v>56</v>
      </c>
      <c r="H658" s="519" t="s">
        <v>146</v>
      </c>
      <c r="I658" s="881">
        <v>17505.777000000002</v>
      </c>
      <c r="J658" s="881">
        <v>1284.60911151</v>
      </c>
      <c r="K658" s="60">
        <v>6.8365232299463896E-2</v>
      </c>
      <c r="L658" s="880">
        <v>3.1410735291249798</v>
      </c>
      <c r="M658">
        <v>0</v>
      </c>
      <c r="N658" s="60">
        <v>1.0848338808383099E-2</v>
      </c>
      <c r="O658" s="881">
        <v>52911.9889999999</v>
      </c>
      <c r="P658" s="60">
        <v>5.9020024911098097E-2</v>
      </c>
      <c r="Q658" s="880">
        <v>3.1031558158572401</v>
      </c>
      <c r="R658" s="60">
        <v>0.48909603966738602</v>
      </c>
      <c r="S658" s="60">
        <v>9.3703829580097705E-3</v>
      </c>
      <c r="T658" s="60">
        <v>0.37548577667759903</v>
      </c>
      <c r="U658" s="60">
        <v>0.29608055554331303</v>
      </c>
    </row>
    <row r="659" spans="1:21" x14ac:dyDescent="0.25">
      <c r="A659" s="519" t="s">
        <v>1810</v>
      </c>
      <c r="B659" s="519" t="s">
        <v>1926</v>
      </c>
      <c r="C659" s="519" t="s">
        <v>284</v>
      </c>
      <c r="D659" s="519" t="s">
        <v>111</v>
      </c>
      <c r="E659" s="519" t="s">
        <v>1812</v>
      </c>
      <c r="F659" s="519" t="s">
        <v>70</v>
      </c>
      <c r="G659" s="519" t="s">
        <v>56</v>
      </c>
      <c r="H659" s="519" t="s">
        <v>145</v>
      </c>
      <c r="I659" s="881">
        <v>59287.367600000005</v>
      </c>
      <c r="J659" s="881">
        <v>762.92649326000196</v>
      </c>
      <c r="K659" s="60">
        <v>1.27047919544766E-2</v>
      </c>
      <c r="L659" s="880">
        <v>2.95355028636593</v>
      </c>
      <c r="M659">
        <v>0</v>
      </c>
      <c r="N659" s="60">
        <v>0.37445407004375103</v>
      </c>
      <c r="O659" s="881">
        <v>114032.50840000001</v>
      </c>
      <c r="P659" s="60">
        <v>1.08482866718119E-2</v>
      </c>
      <c r="Q659" s="880">
        <v>2.9343596383101098</v>
      </c>
      <c r="R659" s="60">
        <v>0.287613937730893</v>
      </c>
      <c r="S659" s="60">
        <v>0.47373940166697204</v>
      </c>
      <c r="T659" s="60">
        <v>0.38729942859326705</v>
      </c>
      <c r="U659" s="60">
        <v>0.28306201738807601</v>
      </c>
    </row>
    <row r="660" spans="1:21" x14ac:dyDescent="0.25">
      <c r="A660" s="519" t="s">
        <v>1814</v>
      </c>
      <c r="B660" s="519" t="s">
        <v>1927</v>
      </c>
      <c r="C660" s="519" t="s">
        <v>284</v>
      </c>
      <c r="D660" s="519" t="s">
        <v>111</v>
      </c>
      <c r="E660" s="519" t="s">
        <v>1812</v>
      </c>
      <c r="F660" s="519" t="s">
        <v>70</v>
      </c>
      <c r="G660" s="519" t="s">
        <v>57</v>
      </c>
      <c r="H660" s="519" t="s">
        <v>147</v>
      </c>
      <c r="I660" s="881">
        <v>41280.6732999999</v>
      </c>
      <c r="J660" s="881">
        <v>292.51379790999999</v>
      </c>
      <c r="K660" s="60">
        <v>7.0361167456585204E-3</v>
      </c>
      <c r="L660" s="880">
        <v>2.9479188532866298</v>
      </c>
      <c r="M660">
        <v>0</v>
      </c>
      <c r="N660" s="60">
        <v>0.42333183068503999</v>
      </c>
      <c r="O660" s="881">
        <v>142575.72779999999</v>
      </c>
      <c r="P660" s="60">
        <v>2.36751337730556E-2</v>
      </c>
      <c r="Q660" s="880">
        <v>2.9458604984290799</v>
      </c>
      <c r="R660" s="60">
        <v>0.287613937730893</v>
      </c>
      <c r="S660" s="60">
        <v>0.43494211361830404</v>
      </c>
      <c r="T660" s="60">
        <v>0.28734871293520503</v>
      </c>
      <c r="U660" s="60">
        <v>6.7854555089730303E-2</v>
      </c>
    </row>
    <row r="661" spans="1:21" x14ac:dyDescent="0.25">
      <c r="A661" s="519" t="s">
        <v>1814</v>
      </c>
      <c r="B661" s="519" t="s">
        <v>1928</v>
      </c>
      <c r="C661" s="519" t="s">
        <v>284</v>
      </c>
      <c r="D661" s="519" t="s">
        <v>111</v>
      </c>
      <c r="E661" s="519" t="s">
        <v>1812</v>
      </c>
      <c r="F661" s="519" t="s">
        <v>70</v>
      </c>
      <c r="G661" s="519" t="s">
        <v>57</v>
      </c>
      <c r="H661" s="519" t="s">
        <v>149</v>
      </c>
      <c r="I661" s="881">
        <v>48589.414699999899</v>
      </c>
      <c r="J661" s="881">
        <v>2887.5278619600099</v>
      </c>
      <c r="K661" s="60">
        <v>5.6093616253227202E-2</v>
      </c>
      <c r="L661" s="880">
        <v>2.93882629203521</v>
      </c>
      <c r="M661">
        <v>0</v>
      </c>
      <c r="N661" s="60">
        <v>0.44182692326195105</v>
      </c>
      <c r="O661" s="881">
        <v>142575.72779999999</v>
      </c>
      <c r="P661" s="60">
        <v>2.36751337730556E-2</v>
      </c>
      <c r="Q661" s="880">
        <v>2.9458604984290799</v>
      </c>
      <c r="R661" s="60">
        <v>0.287613937730893</v>
      </c>
      <c r="S661" s="60">
        <v>0.43494211361830404</v>
      </c>
      <c r="T661" s="60">
        <v>0.34126708619318802</v>
      </c>
      <c r="U661" s="60">
        <v>0.84285259929916001</v>
      </c>
    </row>
    <row r="662" spans="1:21" x14ac:dyDescent="0.25">
      <c r="A662" s="519" t="s">
        <v>1816</v>
      </c>
      <c r="B662" s="519" t="s">
        <v>1929</v>
      </c>
      <c r="C662" s="519" t="s">
        <v>284</v>
      </c>
      <c r="D662" s="519" t="s">
        <v>111</v>
      </c>
      <c r="E662" s="519" t="s">
        <v>1812</v>
      </c>
      <c r="F662" s="519" t="s">
        <v>70</v>
      </c>
      <c r="G662" s="519" t="s">
        <v>58</v>
      </c>
      <c r="H662" s="519" t="s">
        <v>151</v>
      </c>
      <c r="I662" s="881">
        <v>47219.5030999999</v>
      </c>
      <c r="J662" s="881">
        <v>442.33713098000101</v>
      </c>
      <c r="K662" s="60">
        <v>9.2807396616734605E-3</v>
      </c>
      <c r="L662" s="880">
        <v>2.9395203204415399</v>
      </c>
      <c r="M662">
        <v>0</v>
      </c>
      <c r="N662" s="60">
        <v>0.60069204963743206</v>
      </c>
      <c r="O662" s="881">
        <v>157295.93040000001</v>
      </c>
      <c r="P662" s="60">
        <v>1.15785221760912E-2</v>
      </c>
      <c r="Q662" s="880">
        <v>2.9459032833816301</v>
      </c>
      <c r="R662" s="60">
        <v>0.287613937730893</v>
      </c>
      <c r="S662" s="60">
        <v>0.6082033963416531</v>
      </c>
      <c r="T662" s="60">
        <v>0.29912405730901503</v>
      </c>
      <c r="U662" s="60">
        <v>0.21351508537756303</v>
      </c>
    </row>
    <row r="663" spans="1:21" x14ac:dyDescent="0.25">
      <c r="A663" s="519" t="s">
        <v>1819</v>
      </c>
      <c r="B663" s="519" t="s">
        <v>1930</v>
      </c>
      <c r="C663" s="519" t="s">
        <v>284</v>
      </c>
      <c r="D663" s="519" t="s">
        <v>111</v>
      </c>
      <c r="E663" s="519" t="s">
        <v>1812</v>
      </c>
      <c r="F663" s="519" t="s">
        <v>70</v>
      </c>
      <c r="G663" s="519" t="s">
        <v>59</v>
      </c>
      <c r="H663" s="519" t="s">
        <v>153</v>
      </c>
      <c r="I663" s="881">
        <v>38983.958700000003</v>
      </c>
      <c r="J663" s="881">
        <v>442.46749251999898</v>
      </c>
      <c r="K663" s="60">
        <v>1.12226122235736E-2</v>
      </c>
      <c r="L663" s="880">
        <v>2.9253210911277598</v>
      </c>
      <c r="M663">
        <v>0</v>
      </c>
      <c r="N663" s="60">
        <v>0.78823309701485111</v>
      </c>
      <c r="O663" s="881">
        <v>138791.8204</v>
      </c>
      <c r="P663" s="60">
        <v>1.15659265025788E-2</v>
      </c>
      <c r="Q663" s="880">
        <v>2.92993519318969</v>
      </c>
      <c r="R663" s="60">
        <v>0.287613937730893</v>
      </c>
      <c r="S663" s="60">
        <v>0.77762885657777603</v>
      </c>
      <c r="T663" s="60">
        <v>0.31492578192382803</v>
      </c>
      <c r="U663" s="60">
        <v>0.31431360344071901</v>
      </c>
    </row>
    <row r="664" spans="1:21" x14ac:dyDescent="0.25">
      <c r="A664" s="519" t="s">
        <v>1819</v>
      </c>
      <c r="B664" s="519" t="s">
        <v>1931</v>
      </c>
      <c r="C664" s="519" t="s">
        <v>284</v>
      </c>
      <c r="D664" s="519" t="s">
        <v>111</v>
      </c>
      <c r="E664" s="519" t="s">
        <v>1812</v>
      </c>
      <c r="F664" s="519" t="s">
        <v>70</v>
      </c>
      <c r="G664" s="519" t="s">
        <v>59</v>
      </c>
      <c r="H664" s="519" t="s">
        <v>155</v>
      </c>
      <c r="I664" s="881">
        <v>59592.321700000102</v>
      </c>
      <c r="J664" s="881">
        <v>533.49685114999897</v>
      </c>
      <c r="K664" s="60">
        <v>8.8730077029412005E-3</v>
      </c>
      <c r="L664" s="880">
        <v>2.9348361000310401</v>
      </c>
      <c r="M664">
        <v>0</v>
      </c>
      <c r="N664" s="60">
        <v>0.753215471717392</v>
      </c>
      <c r="O664" s="881">
        <v>138791.8204</v>
      </c>
      <c r="P664" s="60">
        <v>1.15659265025788E-2</v>
      </c>
      <c r="Q664" s="880">
        <v>2.92993519318969</v>
      </c>
      <c r="R664" s="60">
        <v>0.287613937730893</v>
      </c>
      <c r="S664" s="60">
        <v>0.77762885657777603</v>
      </c>
      <c r="T664" s="60">
        <v>0.38522527079226804</v>
      </c>
      <c r="U664" s="60">
        <v>0.35341884752585101</v>
      </c>
    </row>
    <row r="665" spans="1:21" x14ac:dyDescent="0.25">
      <c r="A665" s="519" t="s">
        <v>1821</v>
      </c>
      <c r="B665" s="519" t="s">
        <v>1932</v>
      </c>
      <c r="C665" s="519" t="s">
        <v>284</v>
      </c>
      <c r="D665" s="519" t="s">
        <v>111</v>
      </c>
      <c r="E665" s="519" t="s">
        <v>1812</v>
      </c>
      <c r="F665" s="519" t="s">
        <v>16</v>
      </c>
      <c r="G665" s="519" t="s">
        <v>56</v>
      </c>
      <c r="H665" s="519" t="s">
        <v>144</v>
      </c>
      <c r="I665" s="881">
        <v>41951.403400000003</v>
      </c>
      <c r="J665" s="881">
        <v>418.47875534999901</v>
      </c>
      <c r="K665" s="60">
        <v>9.8767977172000802E-3</v>
      </c>
      <c r="L665" s="880">
        <v>2.9357156289613702</v>
      </c>
      <c r="M665">
        <v>0</v>
      </c>
      <c r="N665" s="60">
        <v>0.72686595509699004</v>
      </c>
      <c r="O665" s="881">
        <v>144883.87390000001</v>
      </c>
      <c r="P665" s="60">
        <v>1.0756261693312001E-2</v>
      </c>
      <c r="Q665" s="880">
        <v>2.94925146742619</v>
      </c>
      <c r="R665" s="60">
        <v>0.287613937730893</v>
      </c>
      <c r="S665" s="60">
        <v>0.6473993832104481</v>
      </c>
      <c r="T665" s="60">
        <v>0.25971187502104304</v>
      </c>
      <c r="U665" s="60">
        <v>0.33465455329980803</v>
      </c>
    </row>
    <row r="666" spans="1:21" x14ac:dyDescent="0.25">
      <c r="A666" s="519" t="s">
        <v>1821</v>
      </c>
      <c r="B666" s="519" t="s">
        <v>1933</v>
      </c>
      <c r="C666" s="519" t="s">
        <v>284</v>
      </c>
      <c r="D666" s="519" t="s">
        <v>111</v>
      </c>
      <c r="E666" s="519" t="s">
        <v>1812</v>
      </c>
      <c r="F666" s="519" t="s">
        <v>16</v>
      </c>
      <c r="G666" s="519" t="s">
        <v>56</v>
      </c>
      <c r="H666" s="519" t="s">
        <v>146</v>
      </c>
      <c r="I666" s="881">
        <v>55824.363599999902</v>
      </c>
      <c r="J666" s="881">
        <v>718.62547107999899</v>
      </c>
      <c r="K666" s="60">
        <v>1.2709364730906199E-2</v>
      </c>
      <c r="L666" s="880">
        <v>2.9427276247779099</v>
      </c>
      <c r="M666">
        <v>0</v>
      </c>
      <c r="N666" s="60">
        <v>0.61842041491719002</v>
      </c>
      <c r="O666" s="881">
        <v>144883.87390000001</v>
      </c>
      <c r="P666" s="60">
        <v>1.0756261693312001E-2</v>
      </c>
      <c r="Q666" s="880">
        <v>2.94925146742619</v>
      </c>
      <c r="R666" s="60">
        <v>0.287613937730893</v>
      </c>
      <c r="S666" s="60">
        <v>0.6473993832104481</v>
      </c>
      <c r="T666" s="60">
        <v>0.35298869638568903</v>
      </c>
      <c r="U666" s="60">
        <v>0.38228342931211601</v>
      </c>
    </row>
    <row r="667" spans="1:21" x14ac:dyDescent="0.25">
      <c r="A667" s="519" t="s">
        <v>1823</v>
      </c>
      <c r="B667" s="519" t="s">
        <v>1934</v>
      </c>
      <c r="C667" s="519" t="s">
        <v>284</v>
      </c>
      <c r="D667" s="519" t="s">
        <v>111</v>
      </c>
      <c r="E667" s="519" t="s">
        <v>1812</v>
      </c>
      <c r="F667" s="519" t="s">
        <v>16</v>
      </c>
      <c r="G667" s="519" t="s">
        <v>57</v>
      </c>
      <c r="H667" s="519" t="s">
        <v>148</v>
      </c>
      <c r="I667" s="881">
        <v>88570.059199999698</v>
      </c>
      <c r="J667" s="881">
        <v>712.84681308000302</v>
      </c>
      <c r="K667" s="60">
        <v>7.9841354287412212E-3</v>
      </c>
      <c r="L667" s="880">
        <v>2.99988284305303</v>
      </c>
      <c r="M667">
        <v>0</v>
      </c>
      <c r="N667" s="60">
        <v>0.78269044670571997</v>
      </c>
      <c r="O667" s="881">
        <v>237827.36599999902</v>
      </c>
      <c r="P667" s="60">
        <v>3.1090866447739299E-2</v>
      </c>
      <c r="Q667" s="880">
        <v>2.9843403574385601</v>
      </c>
      <c r="R667" s="60">
        <v>0.287613937730893</v>
      </c>
      <c r="S667" s="60">
        <v>0.71328484880920007</v>
      </c>
      <c r="T667" s="60">
        <v>0.37138420087160701</v>
      </c>
      <c r="U667" s="60">
        <v>8.9292845611109603E-2</v>
      </c>
    </row>
    <row r="668" spans="1:21" x14ac:dyDescent="0.25">
      <c r="A668" s="519" t="s">
        <v>1826</v>
      </c>
      <c r="B668" s="519" t="s">
        <v>1935</v>
      </c>
      <c r="C668" s="519" t="s">
        <v>284</v>
      </c>
      <c r="D668" s="519" t="s">
        <v>111</v>
      </c>
      <c r="E668" s="519" t="s">
        <v>1812</v>
      </c>
      <c r="F668" s="519" t="s">
        <v>16</v>
      </c>
      <c r="G668" s="519" t="s">
        <v>58</v>
      </c>
      <c r="H668" s="519" t="s">
        <v>150</v>
      </c>
      <c r="I668" s="881">
        <v>97689.121299999606</v>
      </c>
      <c r="J668" s="881">
        <v>1710.0722188900099</v>
      </c>
      <c r="K668" s="60">
        <v>1.7204085449295199E-2</v>
      </c>
      <c r="L668" s="880">
        <v>3.0168036923539399</v>
      </c>
      <c r="M668">
        <v>0</v>
      </c>
      <c r="N668" s="60">
        <v>0.88697829755174606</v>
      </c>
      <c r="O668" s="881">
        <v>276629.20409999904</v>
      </c>
      <c r="P668" s="60">
        <v>1.1493427774625399E-2</v>
      </c>
      <c r="Q668" s="880">
        <v>3.0036983460164599</v>
      </c>
      <c r="R668" s="60">
        <v>0.287613937730893</v>
      </c>
      <c r="S668" s="60">
        <v>0.86268122223903709</v>
      </c>
      <c r="T668" s="60">
        <v>0.35211585813312701</v>
      </c>
      <c r="U668" s="60">
        <v>0.51029659499258606</v>
      </c>
    </row>
    <row r="669" spans="1:21" x14ac:dyDescent="0.25">
      <c r="A669" s="519" t="s">
        <v>1826</v>
      </c>
      <c r="B669" s="519" t="s">
        <v>1936</v>
      </c>
      <c r="C669" s="519" t="s">
        <v>284</v>
      </c>
      <c r="D669" s="519" t="s">
        <v>111</v>
      </c>
      <c r="E669" s="519" t="s">
        <v>1812</v>
      </c>
      <c r="F669" s="519" t="s">
        <v>16</v>
      </c>
      <c r="G669" s="519" t="s">
        <v>58</v>
      </c>
      <c r="H669" s="519" t="s">
        <v>152</v>
      </c>
      <c r="I669" s="881">
        <v>96362.139099999709</v>
      </c>
      <c r="J669" s="881">
        <v>868.48272615999701</v>
      </c>
      <c r="K669" s="60">
        <v>8.9321934782313206E-3</v>
      </c>
      <c r="L669" s="880">
        <v>2.9938563099236299</v>
      </c>
      <c r="M669">
        <v>0</v>
      </c>
      <c r="N669" s="60">
        <v>0.87381609921110603</v>
      </c>
      <c r="O669" s="881">
        <v>276629.20409999904</v>
      </c>
      <c r="P669" s="60">
        <v>1.1493427774625399E-2</v>
      </c>
      <c r="Q669" s="880">
        <v>3.0036983460164599</v>
      </c>
      <c r="R669" s="60">
        <v>0.287613937730893</v>
      </c>
      <c r="S669" s="60">
        <v>0.86268122223903709</v>
      </c>
      <c r="T669" s="60">
        <v>0.34876008455785901</v>
      </c>
      <c r="U669" s="60">
        <v>0.27618831962985102</v>
      </c>
    </row>
    <row r="670" spans="1:21" x14ac:dyDescent="0.25">
      <c r="A670" s="519" t="s">
        <v>1828</v>
      </c>
      <c r="B670" s="519" t="s">
        <v>1937</v>
      </c>
      <c r="C670" s="519" t="s">
        <v>284</v>
      </c>
      <c r="D670" s="519" t="s">
        <v>111</v>
      </c>
      <c r="E670" s="519" t="s">
        <v>1812</v>
      </c>
      <c r="F670" s="519" t="s">
        <v>16</v>
      </c>
      <c r="G670" s="519" t="s">
        <v>59</v>
      </c>
      <c r="H670" s="519" t="s">
        <v>154</v>
      </c>
      <c r="I670" s="881">
        <v>58372.941699999901</v>
      </c>
      <c r="J670" s="881">
        <v>636.53671469999904</v>
      </c>
      <c r="K670" s="60">
        <v>1.0787024928887199E-2</v>
      </c>
      <c r="L670" s="880">
        <v>2.9972076579102001</v>
      </c>
      <c r="M670">
        <v>0</v>
      </c>
      <c r="N670" s="60">
        <v>0.8856817952691951</v>
      </c>
      <c r="O670" s="881">
        <v>190002.00260000001</v>
      </c>
      <c r="P670" s="60">
        <v>1.1663073340068499E-2</v>
      </c>
      <c r="Q670" s="880">
        <v>3.0107636222164498</v>
      </c>
      <c r="R670" s="60">
        <v>0.287613937730893</v>
      </c>
      <c r="S670" s="60">
        <v>0.8537138929082021</v>
      </c>
      <c r="T670" s="60">
        <v>0.29984894728390304</v>
      </c>
      <c r="U670" s="60">
        <v>0.33226754903343103</v>
      </c>
    </row>
    <row r="671" spans="1:21" x14ac:dyDescent="0.25">
      <c r="A671" s="519" t="s">
        <v>1831</v>
      </c>
      <c r="B671" s="519" t="s">
        <v>1938</v>
      </c>
      <c r="C671" s="519" t="s">
        <v>284</v>
      </c>
      <c r="D671" s="519" t="s">
        <v>111</v>
      </c>
      <c r="E671" s="519" t="s">
        <v>1812</v>
      </c>
      <c r="F671" s="519" t="s">
        <v>17</v>
      </c>
      <c r="G671" s="519" t="s">
        <v>56</v>
      </c>
      <c r="H671" s="519" t="s">
        <v>145</v>
      </c>
      <c r="I671" s="881">
        <v>99094.125699999509</v>
      </c>
      <c r="J671" s="881">
        <v>846.80426815999601</v>
      </c>
      <c r="K671" s="60">
        <v>8.4730477135822706E-3</v>
      </c>
      <c r="L671" s="880">
        <v>3.0242911038615699</v>
      </c>
      <c r="M671">
        <v>0</v>
      </c>
      <c r="N671" s="60">
        <v>0.72588286128851709</v>
      </c>
      <c r="O671" s="881">
        <v>271653.98529999901</v>
      </c>
      <c r="P671" s="60">
        <v>1.5971405703106199E-2</v>
      </c>
      <c r="Q671" s="880">
        <v>3.0275607904406301</v>
      </c>
      <c r="R671" s="60">
        <v>0.287613937730893</v>
      </c>
      <c r="S671" s="60">
        <v>0.76831835789011005</v>
      </c>
      <c r="T671" s="60">
        <v>0.38729942859326705</v>
      </c>
      <c r="U671" s="60">
        <v>0.28306201738807601</v>
      </c>
    </row>
    <row r="672" spans="1:21" x14ac:dyDescent="0.25">
      <c r="A672" s="519" t="s">
        <v>1939</v>
      </c>
      <c r="B672" s="519" t="s">
        <v>1940</v>
      </c>
      <c r="C672" s="519" t="s">
        <v>284</v>
      </c>
      <c r="D672" s="519" t="s">
        <v>111</v>
      </c>
      <c r="E672" s="519" t="s">
        <v>1812</v>
      </c>
      <c r="F672" s="519" t="s">
        <v>17</v>
      </c>
      <c r="G672" s="519" t="s">
        <v>57</v>
      </c>
      <c r="H672" s="519" t="s">
        <v>149</v>
      </c>
      <c r="I672" s="881">
        <v>92791.018799999903</v>
      </c>
      <c r="J672" s="881">
        <v>7239.6244901599894</v>
      </c>
      <c r="K672" s="60">
        <v>7.23740671062163E-2</v>
      </c>
      <c r="L672" s="880">
        <v>3.04158651244067</v>
      </c>
      <c r="M672">
        <v>0</v>
      </c>
      <c r="N672" s="60">
        <v>0.64627363375818403</v>
      </c>
      <c r="O672" s="881">
        <v>92791.018799999903</v>
      </c>
      <c r="P672" s="60">
        <v>7.2374067106216092E-2</v>
      </c>
      <c r="Q672" s="880">
        <v>3.04158651244067</v>
      </c>
      <c r="R672" s="60">
        <v>0.287613937730893</v>
      </c>
      <c r="S672" s="60">
        <v>0.64627363375818403</v>
      </c>
      <c r="T672" s="60">
        <v>0.34126708619318802</v>
      </c>
      <c r="U672" s="60">
        <v>0.84285259929916001</v>
      </c>
    </row>
    <row r="673" spans="1:21" x14ac:dyDescent="0.25">
      <c r="A673" s="519" t="s">
        <v>757</v>
      </c>
      <c r="B673" s="519" t="s">
        <v>758</v>
      </c>
      <c r="C673" s="519" t="s">
        <v>284</v>
      </c>
      <c r="D673" s="519" t="s">
        <v>111</v>
      </c>
      <c r="E673" s="519" t="s">
        <v>282</v>
      </c>
      <c r="F673" s="519" t="s">
        <v>70</v>
      </c>
      <c r="G673" s="519" t="s">
        <v>56</v>
      </c>
      <c r="H673" s="519" t="s">
        <v>144</v>
      </c>
      <c r="I673" s="881">
        <v>512775.06830000406</v>
      </c>
      <c r="J673" s="881">
        <v>27519.6496288694</v>
      </c>
      <c r="K673" s="60">
        <v>5.09345153962662E-2</v>
      </c>
      <c r="L673" s="880">
        <v>3.0284721352766999</v>
      </c>
      <c r="M673">
        <v>0</v>
      </c>
      <c r="N673" s="60">
        <v>5.4876409832657597E-2</v>
      </c>
      <c r="O673" s="881">
        <v>1585074.55180001</v>
      </c>
      <c r="P673" s="60">
        <v>5.6613099660998006E-2</v>
      </c>
      <c r="Q673" s="880">
        <v>3.0556980819392798</v>
      </c>
      <c r="R673" s="60">
        <v>0.55295862026804998</v>
      </c>
      <c r="S673" s="60">
        <v>6.5037135435006693E-2</v>
      </c>
      <c r="T673" s="60">
        <v>0.31982822953149603</v>
      </c>
      <c r="U673" s="60">
        <v>0.29801779294778002</v>
      </c>
    </row>
    <row r="674" spans="1:21" x14ac:dyDescent="0.25">
      <c r="A674" s="519" t="s">
        <v>757</v>
      </c>
      <c r="B674" s="519" t="s">
        <v>760</v>
      </c>
      <c r="C674" s="519" t="s">
        <v>284</v>
      </c>
      <c r="D674" s="519" t="s">
        <v>111</v>
      </c>
      <c r="E674" s="519" t="s">
        <v>282</v>
      </c>
      <c r="F674" s="519" t="s">
        <v>70</v>
      </c>
      <c r="G674" s="519" t="s">
        <v>56</v>
      </c>
      <c r="H674" s="519" t="s">
        <v>146</v>
      </c>
      <c r="I674" s="881">
        <v>499201.80710000906</v>
      </c>
      <c r="J674" s="881">
        <v>27256.041286160202</v>
      </c>
      <c r="K674" s="60">
        <v>5.1772504426922196E-2</v>
      </c>
      <c r="L674" s="880">
        <v>3.0598867980851701</v>
      </c>
      <c r="M674">
        <v>0</v>
      </c>
      <c r="N674" s="60">
        <v>8.7297758301722594E-2</v>
      </c>
      <c r="O674" s="881">
        <v>1585074.55180001</v>
      </c>
      <c r="P674" s="60">
        <v>5.6613099660998006E-2</v>
      </c>
      <c r="Q674" s="880">
        <v>3.0556980819392798</v>
      </c>
      <c r="R674" s="60">
        <v>0.55295862026804998</v>
      </c>
      <c r="S674" s="60">
        <v>6.5037135435006693E-2</v>
      </c>
      <c r="T674" s="60">
        <v>0.31989741861283205</v>
      </c>
      <c r="U674" s="60">
        <v>0.28032539429907299</v>
      </c>
    </row>
    <row r="675" spans="1:21" x14ac:dyDescent="0.25">
      <c r="A675" s="519" t="s">
        <v>761</v>
      </c>
      <c r="B675" s="519" t="s">
        <v>763</v>
      </c>
      <c r="C675" s="519" t="s">
        <v>284</v>
      </c>
      <c r="D675" s="519" t="s">
        <v>111</v>
      </c>
      <c r="E675" s="519" t="s">
        <v>282</v>
      </c>
      <c r="F675" s="519" t="s">
        <v>70</v>
      </c>
      <c r="G675" s="519" t="s">
        <v>57</v>
      </c>
      <c r="H675" s="519" t="s">
        <v>148</v>
      </c>
      <c r="I675" s="881">
        <v>457607.34919999301</v>
      </c>
      <c r="J675" s="881">
        <v>28334.668917999599</v>
      </c>
      <c r="K675" s="60">
        <v>5.8308744380114796E-2</v>
      </c>
      <c r="L675" s="880">
        <v>3.0259241375426003</v>
      </c>
      <c r="M675">
        <v>0</v>
      </c>
      <c r="N675" s="60">
        <v>0.15460609324497401</v>
      </c>
      <c r="O675" s="881">
        <v>1606140.57729998</v>
      </c>
      <c r="P675" s="60">
        <v>7.33546399663626E-2</v>
      </c>
      <c r="Q675" s="880">
        <v>3.0410486228646101</v>
      </c>
      <c r="R675" s="60">
        <v>0.55295862026804998</v>
      </c>
      <c r="S675" s="60">
        <v>8.4122721453892102E-2</v>
      </c>
      <c r="T675" s="60">
        <v>0.29026661823696304</v>
      </c>
      <c r="U675" s="60">
        <v>0.35222256709038302</v>
      </c>
    </row>
    <row r="676" spans="1:21" x14ac:dyDescent="0.25">
      <c r="A676" s="519" t="s">
        <v>765</v>
      </c>
      <c r="B676" s="519" t="s">
        <v>767</v>
      </c>
      <c r="C676" s="519" t="s">
        <v>284</v>
      </c>
      <c r="D676" s="519" t="s">
        <v>111</v>
      </c>
      <c r="E676" s="519" t="s">
        <v>282</v>
      </c>
      <c r="F676" s="519" t="s">
        <v>70</v>
      </c>
      <c r="G676" s="519" t="s">
        <v>58</v>
      </c>
      <c r="H676" s="519" t="s">
        <v>151</v>
      </c>
      <c r="I676" s="881">
        <v>454856.89839999401</v>
      </c>
      <c r="J676" s="881">
        <v>13445.8386294802</v>
      </c>
      <c r="K676" s="60">
        <v>2.8711851471911701E-2</v>
      </c>
      <c r="L676" s="880">
        <v>3.0298123837633599</v>
      </c>
      <c r="M676">
        <v>0</v>
      </c>
      <c r="N676" s="60">
        <v>0.16361295994802202</v>
      </c>
      <c r="O676" s="881">
        <v>1690415.24999996</v>
      </c>
      <c r="P676" s="60">
        <v>3.2855737940069102E-2</v>
      </c>
      <c r="Q676" s="880">
        <v>3.0513639545453901</v>
      </c>
      <c r="R676" s="60">
        <v>0.55295862026804998</v>
      </c>
      <c r="S676" s="60">
        <v>0.13551838141545702</v>
      </c>
      <c r="T676" s="60">
        <v>0.24743157032251803</v>
      </c>
      <c r="U676" s="60">
        <v>0.30038743030556203</v>
      </c>
    </row>
    <row r="677" spans="1:21" x14ac:dyDescent="0.25">
      <c r="A677" s="519" t="s">
        <v>769</v>
      </c>
      <c r="B677" s="519" t="s">
        <v>770</v>
      </c>
      <c r="C677" s="519" t="s">
        <v>284</v>
      </c>
      <c r="D677" s="519" t="s">
        <v>111</v>
      </c>
      <c r="E677" s="519" t="s">
        <v>282</v>
      </c>
      <c r="F677" s="519" t="s">
        <v>70</v>
      </c>
      <c r="G677" s="519" t="s">
        <v>59</v>
      </c>
      <c r="H677" s="519" t="s">
        <v>153</v>
      </c>
      <c r="I677" s="881">
        <v>459112.49859999202</v>
      </c>
      <c r="J677" s="881">
        <v>19865.143798000499</v>
      </c>
      <c r="K677" s="60">
        <v>4.1474052313894005E-2</v>
      </c>
      <c r="L677" s="880">
        <v>3.0453088051124699</v>
      </c>
      <c r="M677">
        <v>0</v>
      </c>
      <c r="N677" s="60">
        <v>8.6768694429964405E-2</v>
      </c>
      <c r="O677" s="881">
        <v>1717758.0197999601</v>
      </c>
      <c r="P677" s="60">
        <v>3.04330189837098E-2</v>
      </c>
      <c r="Q677" s="880">
        <v>3.0385527623608199</v>
      </c>
      <c r="R677" s="60">
        <v>0.55295862026804998</v>
      </c>
      <c r="S677" s="60">
        <v>9.1535941900775492E-2</v>
      </c>
      <c r="T677" s="60">
        <v>0.26621624982229702</v>
      </c>
      <c r="U677" s="60">
        <v>0.34965041194095303</v>
      </c>
    </row>
    <row r="678" spans="1:21" x14ac:dyDescent="0.25">
      <c r="A678" s="519" t="s">
        <v>769</v>
      </c>
      <c r="B678" s="519" t="s">
        <v>772</v>
      </c>
      <c r="C678" s="519" t="s">
        <v>284</v>
      </c>
      <c r="D678" s="519" t="s">
        <v>111</v>
      </c>
      <c r="E678" s="519" t="s">
        <v>282</v>
      </c>
      <c r="F678" s="519" t="s">
        <v>70</v>
      </c>
      <c r="G678" s="519" t="s">
        <v>59</v>
      </c>
      <c r="H678" s="519" t="s">
        <v>155</v>
      </c>
      <c r="I678" s="881">
        <v>668881.62979998707</v>
      </c>
      <c r="J678" s="881">
        <v>13529.9349289809</v>
      </c>
      <c r="K678" s="60">
        <v>1.9826649529825002E-2</v>
      </c>
      <c r="L678" s="880">
        <v>3.0394229731653799</v>
      </c>
      <c r="M678">
        <v>0</v>
      </c>
      <c r="N678" s="60">
        <v>9.7461969047488703E-2</v>
      </c>
      <c r="O678" s="881">
        <v>1717758.0197999601</v>
      </c>
      <c r="P678" s="60">
        <v>3.04330189837098E-2</v>
      </c>
      <c r="Q678" s="880">
        <v>3.0385527623608199</v>
      </c>
      <c r="R678" s="60">
        <v>0.55295862026804998</v>
      </c>
      <c r="S678" s="60">
        <v>9.1535941900775492E-2</v>
      </c>
      <c r="T678" s="60">
        <v>0.37977136291848401</v>
      </c>
      <c r="U678" s="60">
        <v>0.22869448269070403</v>
      </c>
    </row>
    <row r="679" spans="1:21" x14ac:dyDescent="0.25">
      <c r="A679" s="519" t="s">
        <v>773</v>
      </c>
      <c r="B679" s="519" t="s">
        <v>774</v>
      </c>
      <c r="C679" s="519" t="s">
        <v>284</v>
      </c>
      <c r="D679" s="519" t="s">
        <v>111</v>
      </c>
      <c r="E679" s="519" t="s">
        <v>282</v>
      </c>
      <c r="F679" s="519" t="s">
        <v>16</v>
      </c>
      <c r="G679" s="519" t="s">
        <v>56</v>
      </c>
      <c r="H679" s="519" t="s">
        <v>144</v>
      </c>
      <c r="I679" s="881">
        <v>455079.64829999604</v>
      </c>
      <c r="J679" s="881">
        <v>20918.691627939999</v>
      </c>
      <c r="K679" s="60">
        <v>4.3946984418279003E-2</v>
      </c>
      <c r="L679" s="880">
        <v>3.0904800687023699</v>
      </c>
      <c r="M679">
        <v>0</v>
      </c>
      <c r="N679" s="60">
        <v>0.11365340109849201</v>
      </c>
      <c r="O679" s="881">
        <v>1387665.9716999901</v>
      </c>
      <c r="P679" s="60">
        <v>4.0923741886611596E-2</v>
      </c>
      <c r="Q679" s="880">
        <v>3.0971706757926198</v>
      </c>
      <c r="R679" s="60">
        <v>0.55295862026804998</v>
      </c>
      <c r="S679" s="60">
        <v>9.2578624049285699E-2</v>
      </c>
      <c r="T679" s="60">
        <v>0.31982822953149603</v>
      </c>
      <c r="U679" s="60">
        <v>0.29801779294778002</v>
      </c>
    </row>
    <row r="680" spans="1:21" x14ac:dyDescent="0.25">
      <c r="A680" s="519" t="s">
        <v>773</v>
      </c>
      <c r="B680" s="519" t="s">
        <v>776</v>
      </c>
      <c r="C680" s="519" t="s">
        <v>284</v>
      </c>
      <c r="D680" s="519" t="s">
        <v>111</v>
      </c>
      <c r="E680" s="519" t="s">
        <v>282</v>
      </c>
      <c r="F680" s="519" t="s">
        <v>16</v>
      </c>
      <c r="G680" s="519" t="s">
        <v>56</v>
      </c>
      <c r="H680" s="519" t="s">
        <v>146</v>
      </c>
      <c r="I680" s="881">
        <v>417237.57930000103</v>
      </c>
      <c r="J680" s="881">
        <v>18367.174360900201</v>
      </c>
      <c r="K680" s="60">
        <v>4.2164770256842496E-2</v>
      </c>
      <c r="L680" s="880">
        <v>3.0659335647966999</v>
      </c>
      <c r="M680">
        <v>0</v>
      </c>
      <c r="N680" s="60">
        <v>0.105774063961453</v>
      </c>
      <c r="O680" s="881">
        <v>1387665.9716999901</v>
      </c>
      <c r="P680" s="60">
        <v>4.0923741886611596E-2</v>
      </c>
      <c r="Q680" s="880">
        <v>3.0971706757926198</v>
      </c>
      <c r="R680" s="60">
        <v>0.55295862026804998</v>
      </c>
      <c r="S680" s="60">
        <v>9.2578624049285699E-2</v>
      </c>
      <c r="T680" s="60">
        <v>0.31989741861283205</v>
      </c>
      <c r="U680" s="60">
        <v>0.28032539429907299</v>
      </c>
    </row>
    <row r="681" spans="1:21" x14ac:dyDescent="0.25">
      <c r="A681" s="519" t="s">
        <v>777</v>
      </c>
      <c r="B681" s="519" t="s">
        <v>779</v>
      </c>
      <c r="C681" s="519" t="s">
        <v>284</v>
      </c>
      <c r="D681" s="519" t="s">
        <v>111</v>
      </c>
      <c r="E681" s="519" t="s">
        <v>282</v>
      </c>
      <c r="F681" s="519" t="s">
        <v>16</v>
      </c>
      <c r="G681" s="519" t="s">
        <v>57</v>
      </c>
      <c r="H681" s="519" t="s">
        <v>148</v>
      </c>
      <c r="I681" s="881">
        <v>389548.26829999802</v>
      </c>
      <c r="J681" s="881">
        <v>62347.690929510602</v>
      </c>
      <c r="K681" s="60">
        <v>0.137969126866755</v>
      </c>
      <c r="L681" s="880">
        <v>3.1138080079599999</v>
      </c>
      <c r="M681">
        <v>0</v>
      </c>
      <c r="N681" s="60">
        <v>0.12635165191414702</v>
      </c>
      <c r="O681" s="881">
        <v>1312402.4595999899</v>
      </c>
      <c r="P681" s="60">
        <v>9.0324840974863901E-2</v>
      </c>
      <c r="Q681" s="880">
        <v>3.09607254742102</v>
      </c>
      <c r="R681" s="60">
        <v>0.55295862026804998</v>
      </c>
      <c r="S681" s="60">
        <v>8.8730368682403193E-2</v>
      </c>
      <c r="T681" s="60">
        <v>0.29026661823696304</v>
      </c>
      <c r="U681" s="60">
        <v>0.35222256709038302</v>
      </c>
    </row>
    <row r="682" spans="1:21" x14ac:dyDescent="0.25">
      <c r="A682" s="519" t="s">
        <v>781</v>
      </c>
      <c r="B682" s="519" t="s">
        <v>783</v>
      </c>
      <c r="C682" s="519" t="s">
        <v>284</v>
      </c>
      <c r="D682" s="519" t="s">
        <v>111</v>
      </c>
      <c r="E682" s="519" t="s">
        <v>282</v>
      </c>
      <c r="F682" s="519" t="s">
        <v>16</v>
      </c>
      <c r="G682" s="519" t="s">
        <v>58</v>
      </c>
      <c r="H682" s="519" t="s">
        <v>151</v>
      </c>
      <c r="I682" s="881">
        <v>363369.38099999999</v>
      </c>
      <c r="J682" s="881">
        <v>28018.5465657602</v>
      </c>
      <c r="K682" s="60">
        <v>7.1587661735050295E-2</v>
      </c>
      <c r="L682" s="880">
        <v>3.1432424327132602</v>
      </c>
      <c r="M682">
        <v>0</v>
      </c>
      <c r="N682" s="60">
        <v>0.140874844377711</v>
      </c>
      <c r="O682" s="881">
        <v>1616463.8129</v>
      </c>
      <c r="P682" s="60">
        <v>4.7499248591321007E-2</v>
      </c>
      <c r="Q682" s="880">
        <v>3.13896871146251</v>
      </c>
      <c r="R682" s="60">
        <v>0.55295862026804998</v>
      </c>
      <c r="S682" s="60">
        <v>0.16541254549973602</v>
      </c>
      <c r="T682" s="60">
        <v>0.24743157032251803</v>
      </c>
      <c r="U682" s="60">
        <v>0.30038743030556203</v>
      </c>
    </row>
    <row r="683" spans="1:21" x14ac:dyDescent="0.25">
      <c r="A683" s="519" t="s">
        <v>785</v>
      </c>
      <c r="B683" s="519" t="s">
        <v>302</v>
      </c>
      <c r="C683" s="519" t="s">
        <v>284</v>
      </c>
      <c r="D683" s="519" t="s">
        <v>111</v>
      </c>
      <c r="E683" s="519" t="s">
        <v>282</v>
      </c>
      <c r="F683" s="519" t="s">
        <v>16</v>
      </c>
      <c r="G683" s="519" t="s">
        <v>59</v>
      </c>
      <c r="H683" s="519" t="s">
        <v>153</v>
      </c>
      <c r="I683" s="881">
        <v>426451.97950000002</v>
      </c>
      <c r="J683" s="881">
        <v>30491.533480510301</v>
      </c>
      <c r="K683" s="60">
        <v>6.6729327836656596E-2</v>
      </c>
      <c r="L683" s="880">
        <v>3.0916662182886001</v>
      </c>
      <c r="M683">
        <v>0</v>
      </c>
      <c r="N683" s="60">
        <v>8.9066284660076198E-2</v>
      </c>
      <c r="O683" s="881">
        <v>1608727.41709999</v>
      </c>
      <c r="P683" s="60">
        <v>5.3038053085033801E-2</v>
      </c>
      <c r="Q683" s="880">
        <v>3.1048666973461598</v>
      </c>
      <c r="R683" s="60">
        <v>0.55295862026804998</v>
      </c>
      <c r="S683" s="60">
        <v>0.10744568598923501</v>
      </c>
      <c r="T683" s="60">
        <v>0.26621624982229702</v>
      </c>
      <c r="U683" s="60">
        <v>0.34965041194095303</v>
      </c>
    </row>
    <row r="684" spans="1:21" x14ac:dyDescent="0.25">
      <c r="A684" s="519" t="s">
        <v>785</v>
      </c>
      <c r="B684" s="519" t="s">
        <v>787</v>
      </c>
      <c r="C684" s="519" t="s">
        <v>284</v>
      </c>
      <c r="D684" s="519" t="s">
        <v>111</v>
      </c>
      <c r="E684" s="519" t="s">
        <v>282</v>
      </c>
      <c r="F684" s="519" t="s">
        <v>16</v>
      </c>
      <c r="G684" s="519" t="s">
        <v>59</v>
      </c>
      <c r="H684" s="519" t="s">
        <v>155</v>
      </c>
      <c r="I684" s="881">
        <v>594422.27829999803</v>
      </c>
      <c r="J684" s="881">
        <v>19406.660787590201</v>
      </c>
      <c r="K684" s="60">
        <v>3.1615747567125797E-2</v>
      </c>
      <c r="L684" s="880">
        <v>3.1136565732853101</v>
      </c>
      <c r="M684">
        <v>0</v>
      </c>
      <c r="N684" s="60">
        <v>0.13958371923288701</v>
      </c>
      <c r="O684" s="881">
        <v>1608727.41709999</v>
      </c>
      <c r="P684" s="60">
        <v>5.3038053085033801E-2</v>
      </c>
      <c r="Q684" s="880">
        <v>3.1048666973461598</v>
      </c>
      <c r="R684" s="60">
        <v>0.55295862026804998</v>
      </c>
      <c r="S684" s="60">
        <v>0.10744568598923501</v>
      </c>
      <c r="T684" s="60">
        <v>0.37977136291848401</v>
      </c>
      <c r="U684" s="60">
        <v>0.22869448269070403</v>
      </c>
    </row>
    <row r="685" spans="1:21" x14ac:dyDescent="0.25">
      <c r="A685" s="519" t="s">
        <v>788</v>
      </c>
      <c r="B685" s="519" t="s">
        <v>374</v>
      </c>
      <c r="C685" s="519" t="s">
        <v>284</v>
      </c>
      <c r="D685" s="519" t="s">
        <v>111</v>
      </c>
      <c r="E685" s="519" t="s">
        <v>282</v>
      </c>
      <c r="F685" s="519" t="s">
        <v>17</v>
      </c>
      <c r="G685" s="519" t="s">
        <v>56</v>
      </c>
      <c r="H685" s="519" t="s">
        <v>144</v>
      </c>
      <c r="I685" s="881">
        <v>388015.41209999402</v>
      </c>
      <c r="J685" s="881">
        <v>23070.461139880103</v>
      </c>
      <c r="K685" s="60">
        <v>5.6120783129946498E-2</v>
      </c>
      <c r="L685" s="880">
        <v>3.1210119459787502</v>
      </c>
      <c r="M685">
        <v>0</v>
      </c>
      <c r="N685" s="60">
        <v>6.0125443403747598E-2</v>
      </c>
      <c r="O685" s="881">
        <v>1266629.2490999901</v>
      </c>
      <c r="P685" s="60">
        <v>6.331352121132601E-2</v>
      </c>
      <c r="Q685" s="880">
        <v>3.1248757279427801</v>
      </c>
      <c r="R685" s="60">
        <v>0.55295862026804998</v>
      </c>
      <c r="S685" s="60">
        <v>5.3899193428945301E-2</v>
      </c>
      <c r="T685" s="60">
        <v>0.31982822953149603</v>
      </c>
      <c r="U685" s="60">
        <v>0.29801779294778002</v>
      </c>
    </row>
    <row r="686" spans="1:21" x14ac:dyDescent="0.25">
      <c r="A686" s="519" t="s">
        <v>788</v>
      </c>
      <c r="B686" s="519" t="s">
        <v>375</v>
      </c>
      <c r="C686" s="519" t="s">
        <v>284</v>
      </c>
      <c r="D686" s="519" t="s">
        <v>111</v>
      </c>
      <c r="E686" s="519" t="s">
        <v>282</v>
      </c>
      <c r="F686" s="519" t="s">
        <v>17</v>
      </c>
      <c r="G686" s="519" t="s">
        <v>56</v>
      </c>
      <c r="H686" s="519" t="s">
        <v>146</v>
      </c>
      <c r="I686" s="881">
        <v>439724.060399996</v>
      </c>
      <c r="J686" s="881">
        <v>21640.329356170201</v>
      </c>
      <c r="K686" s="60">
        <v>4.6905070778451102E-2</v>
      </c>
      <c r="L686" s="880">
        <v>3.12879047781272</v>
      </c>
      <c r="M686">
        <v>0</v>
      </c>
      <c r="N686" s="60">
        <v>5.3431647289501498E-2</v>
      </c>
      <c r="O686" s="881">
        <v>1266629.2490999901</v>
      </c>
      <c r="P686" s="60">
        <v>6.331352121132601E-2</v>
      </c>
      <c r="Q686" s="880">
        <v>3.1248757279427801</v>
      </c>
      <c r="R686" s="60">
        <v>0.55295862026804998</v>
      </c>
      <c r="S686" s="60">
        <v>5.3899193428945301E-2</v>
      </c>
      <c r="T686" s="60">
        <v>0.31989741861283205</v>
      </c>
      <c r="U686" s="60">
        <v>0.28032539429907299</v>
      </c>
    </row>
    <row r="687" spans="1:21" x14ac:dyDescent="0.25">
      <c r="A687" s="519" t="s">
        <v>789</v>
      </c>
      <c r="B687" s="519" t="s">
        <v>791</v>
      </c>
      <c r="C687" s="519" t="s">
        <v>284</v>
      </c>
      <c r="D687" s="519" t="s">
        <v>111</v>
      </c>
      <c r="E687" s="519" t="s">
        <v>1</v>
      </c>
      <c r="F687" s="519" t="s">
        <v>70</v>
      </c>
      <c r="G687" s="519" t="s">
        <v>56</v>
      </c>
      <c r="H687" s="519" t="s">
        <v>145</v>
      </c>
      <c r="I687" s="881">
        <v>161782.80770000102</v>
      </c>
      <c r="J687" s="881">
        <v>16408.653604309999</v>
      </c>
      <c r="K687" s="60">
        <v>9.2084398905555795E-2</v>
      </c>
      <c r="L687" s="880">
        <v>2.9918339377135501</v>
      </c>
      <c r="M687">
        <v>0</v>
      </c>
      <c r="N687" s="60">
        <v>0.15088130776704201</v>
      </c>
      <c r="O687" s="881">
        <v>407901.92100000003</v>
      </c>
      <c r="P687" s="60">
        <v>7.6567205003485905E-2</v>
      </c>
      <c r="Q687" s="880">
        <v>2.9761148042545003</v>
      </c>
      <c r="R687" s="60">
        <v>0.57323704003244602</v>
      </c>
      <c r="S687" s="60">
        <v>0.14043145337381202</v>
      </c>
      <c r="T687" s="60">
        <v>0.37161337633668101</v>
      </c>
      <c r="U687" s="60">
        <v>0.45048556120832306</v>
      </c>
    </row>
    <row r="688" spans="1:21" x14ac:dyDescent="0.25">
      <c r="A688" s="519" t="s">
        <v>793</v>
      </c>
      <c r="B688" s="519" t="s">
        <v>794</v>
      </c>
      <c r="C688" s="519" t="s">
        <v>284</v>
      </c>
      <c r="D688" s="519" t="s">
        <v>111</v>
      </c>
      <c r="E688" s="519" t="s">
        <v>1</v>
      </c>
      <c r="F688" s="519" t="s">
        <v>70</v>
      </c>
      <c r="G688" s="519" t="s">
        <v>57</v>
      </c>
      <c r="H688" s="519" t="s">
        <v>147</v>
      </c>
      <c r="I688" s="881">
        <v>131070.54890000001</v>
      </c>
      <c r="J688" s="881">
        <v>8003.8516941499092</v>
      </c>
      <c r="K688" s="60">
        <v>5.7550862415772196E-2</v>
      </c>
      <c r="L688" s="880">
        <v>2.9959556751847201</v>
      </c>
      <c r="M688">
        <v>0</v>
      </c>
      <c r="N688" s="60">
        <v>0.15407145365208702</v>
      </c>
      <c r="O688" s="881">
        <v>426540.47770000203</v>
      </c>
      <c r="P688" s="60">
        <v>7.3684252368874006E-2</v>
      </c>
      <c r="Q688" s="880">
        <v>3.0881788905431198</v>
      </c>
      <c r="R688" s="60">
        <v>0.57323704003244602</v>
      </c>
      <c r="S688" s="60">
        <v>0.15734641097111401</v>
      </c>
      <c r="T688" s="60">
        <v>0.28395369713435603</v>
      </c>
      <c r="U688" s="60">
        <v>0.23690858226955902</v>
      </c>
    </row>
    <row r="689" spans="1:21" x14ac:dyDescent="0.25">
      <c r="A689" s="519" t="s">
        <v>793</v>
      </c>
      <c r="B689" s="519" t="s">
        <v>796</v>
      </c>
      <c r="C689" s="519" t="s">
        <v>284</v>
      </c>
      <c r="D689" s="519" t="s">
        <v>111</v>
      </c>
      <c r="E689" s="519" t="s">
        <v>1</v>
      </c>
      <c r="F689" s="519" t="s">
        <v>70</v>
      </c>
      <c r="G689" s="519" t="s">
        <v>57</v>
      </c>
      <c r="H689" s="519" t="s">
        <v>149</v>
      </c>
      <c r="I689" s="881">
        <v>175952.18540000202</v>
      </c>
      <c r="J689" s="881">
        <v>16894.26331894</v>
      </c>
      <c r="K689" s="60">
        <v>8.7604741654134302E-2</v>
      </c>
      <c r="L689" s="880">
        <v>3.1573333279960001</v>
      </c>
      <c r="M689">
        <v>0</v>
      </c>
      <c r="N689" s="60">
        <v>0.12779408649504501</v>
      </c>
      <c r="O689" s="881">
        <v>426540.47770000203</v>
      </c>
      <c r="P689" s="60">
        <v>7.3684252368874006E-2</v>
      </c>
      <c r="Q689" s="880">
        <v>3.0881788905431198</v>
      </c>
      <c r="R689" s="60">
        <v>0.57323704003244602</v>
      </c>
      <c r="S689" s="60">
        <v>0.15734641097111401</v>
      </c>
      <c r="T689" s="60">
        <v>0.40585953773302702</v>
      </c>
      <c r="U689" s="60">
        <v>0.45576892670322205</v>
      </c>
    </row>
    <row r="690" spans="1:21" x14ac:dyDescent="0.25">
      <c r="A690" s="519" t="s">
        <v>797</v>
      </c>
      <c r="B690" s="519" t="s">
        <v>799</v>
      </c>
      <c r="C690" s="519" t="s">
        <v>284</v>
      </c>
      <c r="D690" s="519" t="s">
        <v>111</v>
      </c>
      <c r="E690" s="519" t="s">
        <v>1</v>
      </c>
      <c r="F690" s="519" t="s">
        <v>70</v>
      </c>
      <c r="G690" s="519" t="s">
        <v>58</v>
      </c>
      <c r="H690" s="519" t="s">
        <v>151</v>
      </c>
      <c r="I690" s="881">
        <v>173053.94190000102</v>
      </c>
      <c r="J690" s="881">
        <v>5209.0719424399795</v>
      </c>
      <c r="K690" s="60">
        <v>2.9221271592794199E-2</v>
      </c>
      <c r="L690" s="880">
        <v>3.0489306872773199</v>
      </c>
      <c r="M690">
        <v>0</v>
      </c>
      <c r="N690" s="60">
        <v>0.19553945855537802</v>
      </c>
      <c r="O690" s="881">
        <v>634991.22770000505</v>
      </c>
      <c r="P690" s="60">
        <v>3.1536795347271801E-2</v>
      </c>
      <c r="Q690" s="880">
        <v>3.0473761633534102</v>
      </c>
      <c r="R690" s="60">
        <v>0.57323704003244602</v>
      </c>
      <c r="S690" s="60">
        <v>0.20736796802208701</v>
      </c>
      <c r="T690" s="60">
        <v>0.25493412103068902</v>
      </c>
      <c r="U690" s="60">
        <v>0.290356859863238</v>
      </c>
    </row>
    <row r="691" spans="1:21" x14ac:dyDescent="0.25">
      <c r="A691" s="519" t="s">
        <v>801</v>
      </c>
      <c r="B691" s="519" t="s">
        <v>802</v>
      </c>
      <c r="C691" s="519" t="s">
        <v>284</v>
      </c>
      <c r="D691" s="519" t="s">
        <v>111</v>
      </c>
      <c r="E691" s="519" t="s">
        <v>1</v>
      </c>
      <c r="F691" s="519" t="s">
        <v>70</v>
      </c>
      <c r="G691" s="519" t="s">
        <v>59</v>
      </c>
      <c r="H691" s="519" t="s">
        <v>153</v>
      </c>
      <c r="I691" s="881">
        <v>92518.907000000399</v>
      </c>
      <c r="J691" s="881">
        <v>8073.3431210499793</v>
      </c>
      <c r="K691" s="60">
        <v>8.0258102501283693E-2</v>
      </c>
      <c r="L691" s="880">
        <v>3.0662482167815099</v>
      </c>
      <c r="M691">
        <v>0</v>
      </c>
      <c r="N691" s="60">
        <v>0.22741643608046402</v>
      </c>
      <c r="O691" s="881">
        <v>350968.95560000202</v>
      </c>
      <c r="P691" s="60">
        <v>4.93079199668238E-2</v>
      </c>
      <c r="Q691" s="880">
        <v>3.0221173131518899</v>
      </c>
      <c r="R691" s="60">
        <v>0.57323704003244602</v>
      </c>
      <c r="S691" s="60">
        <v>0.23158382302232203</v>
      </c>
      <c r="T691" s="60">
        <v>0.259160612342413</v>
      </c>
      <c r="U691" s="60">
        <v>0.41793025338436401</v>
      </c>
    </row>
    <row r="692" spans="1:21" x14ac:dyDescent="0.25">
      <c r="A692" s="519" t="s">
        <v>801</v>
      </c>
      <c r="B692" s="519" t="s">
        <v>804</v>
      </c>
      <c r="C692" s="519" t="s">
        <v>284</v>
      </c>
      <c r="D692" s="519" t="s">
        <v>111</v>
      </c>
      <c r="E692" s="519" t="s">
        <v>1</v>
      </c>
      <c r="F692" s="519" t="s">
        <v>70</v>
      </c>
      <c r="G692" s="519" t="s">
        <v>59</v>
      </c>
      <c r="H692" s="519" t="s">
        <v>155</v>
      </c>
      <c r="I692" s="881">
        <v>163186.029600001</v>
      </c>
      <c r="J692" s="881">
        <v>3378.5324019600398</v>
      </c>
      <c r="K692" s="60">
        <v>2.0283620725519598E-2</v>
      </c>
      <c r="L692" s="880">
        <v>2.9825746075804398</v>
      </c>
      <c r="M692">
        <v>0</v>
      </c>
      <c r="N692" s="60">
        <v>0.24234239350596801</v>
      </c>
      <c r="O692" s="881">
        <v>350968.95560000202</v>
      </c>
      <c r="P692" s="60">
        <v>4.93079199668238E-2</v>
      </c>
      <c r="Q692" s="880">
        <v>3.0221173131518899</v>
      </c>
      <c r="R692" s="60">
        <v>0.57323704003244602</v>
      </c>
      <c r="S692" s="60">
        <v>0.23158382302232203</v>
      </c>
      <c r="T692" s="60">
        <v>0.44019399555069905</v>
      </c>
      <c r="U692" s="60">
        <v>0.147438075419731</v>
      </c>
    </row>
    <row r="693" spans="1:21" x14ac:dyDescent="0.25">
      <c r="A693" s="519" t="s">
        <v>805</v>
      </c>
      <c r="B693" s="519" t="s">
        <v>806</v>
      </c>
      <c r="C693" s="519" t="s">
        <v>284</v>
      </c>
      <c r="D693" s="519" t="s">
        <v>111</v>
      </c>
      <c r="E693" s="519" t="s">
        <v>1</v>
      </c>
      <c r="F693" s="519" t="s">
        <v>16</v>
      </c>
      <c r="G693" s="519" t="s">
        <v>56</v>
      </c>
      <c r="H693" s="519" t="s">
        <v>144</v>
      </c>
      <c r="I693" s="881">
        <v>102998.7488</v>
      </c>
      <c r="J693" s="881">
        <v>6004.4164421299893</v>
      </c>
      <c r="K693" s="60">
        <v>5.50847897746118E-2</v>
      </c>
      <c r="L693" s="880">
        <v>3.00812332002275</v>
      </c>
      <c r="M693">
        <v>0</v>
      </c>
      <c r="N693" s="60">
        <v>0.22930885156538802</v>
      </c>
      <c r="O693" s="881">
        <v>364747.304400002</v>
      </c>
      <c r="P693" s="60">
        <v>8.3366693835093791E-2</v>
      </c>
      <c r="Q693" s="880">
        <v>3.0220015616114702</v>
      </c>
      <c r="R693" s="60">
        <v>0.57323704003244602</v>
      </c>
      <c r="S693" s="60">
        <v>0.24974216588069001</v>
      </c>
      <c r="T693" s="60">
        <v>0.28829369642577601</v>
      </c>
      <c r="U693" s="60">
        <v>0.270825481080404</v>
      </c>
    </row>
    <row r="694" spans="1:21" x14ac:dyDescent="0.25">
      <c r="A694" s="519" t="s">
        <v>805</v>
      </c>
      <c r="B694" s="519" t="s">
        <v>808</v>
      </c>
      <c r="C694" s="519" t="s">
        <v>284</v>
      </c>
      <c r="D694" s="519" t="s">
        <v>111</v>
      </c>
      <c r="E694" s="519" t="s">
        <v>1</v>
      </c>
      <c r="F694" s="519" t="s">
        <v>16</v>
      </c>
      <c r="G694" s="519" t="s">
        <v>56</v>
      </c>
      <c r="H694" s="519" t="s">
        <v>146</v>
      </c>
      <c r="I694" s="881">
        <v>135510.62550000101</v>
      </c>
      <c r="J694" s="881">
        <v>10175.229070830001</v>
      </c>
      <c r="K694" s="60">
        <v>6.9843631015549204E-2</v>
      </c>
      <c r="L694" s="880">
        <v>3.0148942182366398</v>
      </c>
      <c r="M694">
        <v>0</v>
      </c>
      <c r="N694" s="60">
        <v>0.26858916166688102</v>
      </c>
      <c r="O694" s="881">
        <v>364747.304400002</v>
      </c>
      <c r="P694" s="60">
        <v>8.3366693835093791E-2</v>
      </c>
      <c r="Q694" s="880">
        <v>3.0220015616114702</v>
      </c>
      <c r="R694" s="60">
        <v>0.57323704003244602</v>
      </c>
      <c r="S694" s="60">
        <v>0.24974216588069001</v>
      </c>
      <c r="T694" s="60">
        <v>0.34009292723754303</v>
      </c>
      <c r="U694" s="60">
        <v>0.278688957711273</v>
      </c>
    </row>
    <row r="695" spans="1:21" x14ac:dyDescent="0.25">
      <c r="A695" s="519" t="s">
        <v>809</v>
      </c>
      <c r="B695" s="519" t="s">
        <v>811</v>
      </c>
      <c r="C695" s="519" t="s">
        <v>284</v>
      </c>
      <c r="D695" s="519" t="s">
        <v>111</v>
      </c>
      <c r="E695" s="519" t="s">
        <v>1</v>
      </c>
      <c r="F695" s="519" t="s">
        <v>16</v>
      </c>
      <c r="G695" s="519" t="s">
        <v>57</v>
      </c>
      <c r="H695" s="519" t="s">
        <v>148</v>
      </c>
      <c r="I695" s="881">
        <v>115392.379</v>
      </c>
      <c r="J695" s="881">
        <v>11965.198933150001</v>
      </c>
      <c r="K695" s="60">
        <v>9.3949642630849692E-2</v>
      </c>
      <c r="L695" s="880">
        <v>3.0002309583937699</v>
      </c>
      <c r="M695">
        <v>0</v>
      </c>
      <c r="N695" s="60">
        <v>0.28548819328874303</v>
      </c>
      <c r="O695" s="881">
        <v>330777.85050000105</v>
      </c>
      <c r="P695" s="60">
        <v>9.4178935369358896E-2</v>
      </c>
      <c r="Q695" s="880">
        <v>2.9939721878472301</v>
      </c>
      <c r="R695" s="60">
        <v>0.57323704003244602</v>
      </c>
      <c r="S695" s="60">
        <v>0.24505153255417203</v>
      </c>
      <c r="T695" s="60">
        <v>0.310186765132617</v>
      </c>
      <c r="U695" s="60">
        <v>0.30732249102721904</v>
      </c>
    </row>
    <row r="696" spans="1:21" x14ac:dyDescent="0.25">
      <c r="A696" s="519" t="s">
        <v>813</v>
      </c>
      <c r="B696" s="519" t="s">
        <v>814</v>
      </c>
      <c r="C696" s="519" t="s">
        <v>284</v>
      </c>
      <c r="D696" s="519" t="s">
        <v>111</v>
      </c>
      <c r="E696" s="519" t="s">
        <v>1</v>
      </c>
      <c r="F696" s="519" t="s">
        <v>16</v>
      </c>
      <c r="G696" s="519" t="s">
        <v>58</v>
      </c>
      <c r="H696" s="519" t="s">
        <v>150</v>
      </c>
      <c r="I696" s="881">
        <v>211928.7378</v>
      </c>
      <c r="J696" s="881">
        <v>9593.451109919939</v>
      </c>
      <c r="K696" s="60">
        <v>4.3306953389762003E-2</v>
      </c>
      <c r="L696" s="880">
        <v>3.0237099723268699</v>
      </c>
      <c r="M696">
        <v>0</v>
      </c>
      <c r="N696" s="60">
        <v>0.216705339619118</v>
      </c>
      <c r="O696" s="881">
        <v>537116.53760000109</v>
      </c>
      <c r="P696" s="60">
        <v>3.8000996210260797E-2</v>
      </c>
      <c r="Q696" s="880">
        <v>3.0281904372117801</v>
      </c>
      <c r="R696" s="60">
        <v>0.57323704003244602</v>
      </c>
      <c r="S696" s="60">
        <v>0.25116746656657102</v>
      </c>
      <c r="T696" s="60">
        <v>0.37975002041392902</v>
      </c>
      <c r="U696" s="60">
        <v>0.45633300302163804</v>
      </c>
    </row>
    <row r="697" spans="1:21" x14ac:dyDescent="0.25">
      <c r="A697" s="519" t="s">
        <v>813</v>
      </c>
      <c r="B697" s="519" t="s">
        <v>816</v>
      </c>
      <c r="C697" s="519" t="s">
        <v>284</v>
      </c>
      <c r="D697" s="519" t="s">
        <v>111</v>
      </c>
      <c r="E697" s="519" t="s">
        <v>1</v>
      </c>
      <c r="F697" s="519" t="s">
        <v>16</v>
      </c>
      <c r="G697" s="519" t="s">
        <v>58</v>
      </c>
      <c r="H697" s="519" t="s">
        <v>152</v>
      </c>
      <c r="I697" s="881">
        <v>199431.47880000001</v>
      </c>
      <c r="J697" s="881">
        <v>4668.3784006800297</v>
      </c>
      <c r="K697" s="60">
        <v>2.28730115969158E-2</v>
      </c>
      <c r="L697" s="880">
        <v>3.0378848023621798</v>
      </c>
      <c r="M697">
        <v>0</v>
      </c>
      <c r="N697" s="60">
        <v>0.26448457193107999</v>
      </c>
      <c r="O697" s="881">
        <v>537116.53760000109</v>
      </c>
      <c r="P697" s="60">
        <v>3.8000996210260797E-2</v>
      </c>
      <c r="Q697" s="880">
        <v>3.0281904372117801</v>
      </c>
      <c r="R697" s="60">
        <v>0.57323704003244602</v>
      </c>
      <c r="S697" s="60">
        <v>0.25116746656657102</v>
      </c>
      <c r="T697" s="60">
        <v>0.36531585855538201</v>
      </c>
      <c r="U697" s="60">
        <v>0.25331013711512401</v>
      </c>
    </row>
    <row r="698" spans="1:21" x14ac:dyDescent="0.25">
      <c r="A698" s="519" t="s">
        <v>817</v>
      </c>
      <c r="B698" s="519" t="s">
        <v>818</v>
      </c>
      <c r="C698" s="519" t="s">
        <v>284</v>
      </c>
      <c r="D698" s="519" t="s">
        <v>111</v>
      </c>
      <c r="E698" s="519" t="s">
        <v>1</v>
      </c>
      <c r="F698" s="519" t="s">
        <v>16</v>
      </c>
      <c r="G698" s="519" t="s">
        <v>59</v>
      </c>
      <c r="H698" s="519" t="s">
        <v>154</v>
      </c>
      <c r="I698" s="881">
        <v>104827.54190000001</v>
      </c>
      <c r="J698" s="881">
        <v>19840.338943549999</v>
      </c>
      <c r="K698" s="60">
        <v>0.15914555384516701</v>
      </c>
      <c r="L698" s="880">
        <v>2.9954633926092602</v>
      </c>
      <c r="M698">
        <v>0</v>
      </c>
      <c r="N698" s="60">
        <v>0.18579996293893802</v>
      </c>
      <c r="O698" s="881">
        <v>314571.13300000102</v>
      </c>
      <c r="P698" s="60">
        <v>0.120203492537908</v>
      </c>
      <c r="Q698" s="880">
        <v>3.0068750168802301</v>
      </c>
      <c r="R698" s="60">
        <v>0.57323704003244602</v>
      </c>
      <c r="S698" s="60">
        <v>0.19635080470018801</v>
      </c>
      <c r="T698" s="60">
        <v>0.30064539210688801</v>
      </c>
      <c r="U698" s="60">
        <v>0.43463167119590501</v>
      </c>
    </row>
    <row r="699" spans="1:21" x14ac:dyDescent="0.25">
      <c r="A699" s="519" t="s">
        <v>820</v>
      </c>
      <c r="B699" s="519" t="s">
        <v>1772</v>
      </c>
      <c r="C699" s="519" t="s">
        <v>284</v>
      </c>
      <c r="D699" s="519" t="s">
        <v>111</v>
      </c>
      <c r="E699" s="519" t="s">
        <v>1</v>
      </c>
      <c r="F699" s="519" t="s">
        <v>17</v>
      </c>
      <c r="G699" s="519" t="s">
        <v>56</v>
      </c>
      <c r="H699" s="519" t="s">
        <v>145</v>
      </c>
      <c r="I699" s="881">
        <v>126825.369500001</v>
      </c>
      <c r="J699" s="881">
        <v>21544.234294130099</v>
      </c>
      <c r="K699" s="60">
        <v>0.14520652305592102</v>
      </c>
      <c r="L699" s="880">
        <v>2.9978925150419302</v>
      </c>
      <c r="M699">
        <v>0</v>
      </c>
      <c r="N699" s="60">
        <v>0.137952871487592</v>
      </c>
      <c r="O699" s="881">
        <v>343688.70460000105</v>
      </c>
      <c r="P699" s="60">
        <v>0.13790255080915401</v>
      </c>
      <c r="Q699" s="880">
        <v>2.9948115545545599</v>
      </c>
      <c r="R699" s="60">
        <v>0.57323704003244602</v>
      </c>
      <c r="S699" s="60">
        <v>0.136327619362792</v>
      </c>
      <c r="T699" s="60">
        <v>0.37161337633668101</v>
      </c>
      <c r="U699" s="60">
        <v>0.45048556120832306</v>
      </c>
    </row>
    <row r="700" spans="1:21" x14ac:dyDescent="0.25">
      <c r="A700" s="519" t="s">
        <v>1941</v>
      </c>
      <c r="B700" s="519" t="s">
        <v>1942</v>
      </c>
      <c r="C700" s="519" t="s">
        <v>284</v>
      </c>
      <c r="D700" s="519" t="s">
        <v>111</v>
      </c>
      <c r="E700" s="519" t="s">
        <v>1</v>
      </c>
      <c r="F700" s="519" t="s">
        <v>17</v>
      </c>
      <c r="G700" s="519" t="s">
        <v>57</v>
      </c>
      <c r="H700" s="519" t="s">
        <v>149</v>
      </c>
      <c r="I700" s="881">
        <v>115946.31300000101</v>
      </c>
      <c r="J700" s="881">
        <v>19830.1171249</v>
      </c>
      <c r="K700" s="60">
        <v>0.14604977540401101</v>
      </c>
      <c r="L700" s="880">
        <v>2.9884748328270501</v>
      </c>
      <c r="M700">
        <v>0</v>
      </c>
      <c r="N700" s="60">
        <v>0.15127578312904102</v>
      </c>
      <c r="O700" s="881">
        <v>115946.31300000101</v>
      </c>
      <c r="P700" s="60">
        <v>0.14604977540401001</v>
      </c>
      <c r="Q700" s="880">
        <v>2.9884748328270501</v>
      </c>
      <c r="R700" s="60">
        <v>0.57323704003244602</v>
      </c>
      <c r="S700" s="60">
        <v>0.15127578312904102</v>
      </c>
      <c r="T700" s="60">
        <v>0.40585953773302702</v>
      </c>
      <c r="U700" s="60">
        <v>0.45576892670322205</v>
      </c>
    </row>
    <row r="701" spans="1:21" x14ac:dyDescent="0.25">
      <c r="A701" s="519" t="s">
        <v>1836</v>
      </c>
      <c r="B701" s="519" t="s">
        <v>1943</v>
      </c>
      <c r="C701" s="519" t="s">
        <v>284</v>
      </c>
      <c r="D701" s="519" t="s">
        <v>111</v>
      </c>
      <c r="E701" s="519" t="s">
        <v>1838</v>
      </c>
      <c r="F701" s="519" t="s">
        <v>70</v>
      </c>
      <c r="G701" s="519" t="s">
        <v>57</v>
      </c>
      <c r="H701" s="519" t="s">
        <v>147</v>
      </c>
      <c r="I701" s="881">
        <v>7550.1004000000094</v>
      </c>
      <c r="J701" s="881">
        <v>49.661309430000003</v>
      </c>
      <c r="K701" s="60">
        <v>6.5345877053459307E-3</v>
      </c>
      <c r="L701" s="880">
        <v>2.9885686255949002</v>
      </c>
      <c r="M701">
        <v>0</v>
      </c>
      <c r="N701" s="60">
        <v>1</v>
      </c>
      <c r="O701" s="881">
        <v>10257.003700000001</v>
      </c>
      <c r="P701" s="60">
        <v>5.1402959098622407E-3</v>
      </c>
      <c r="Q701" s="880">
        <v>2.98676238944075</v>
      </c>
      <c r="R701" s="60">
        <v>0.542820052853484</v>
      </c>
      <c r="S701" s="60">
        <v>1</v>
      </c>
      <c r="T701" s="60">
        <v>0.32687453908866404</v>
      </c>
      <c r="U701" s="60">
        <v>4.9149535779318597E-2</v>
      </c>
    </row>
    <row r="702" spans="1:21" x14ac:dyDescent="0.25">
      <c r="A702" s="519" t="s">
        <v>1839</v>
      </c>
      <c r="B702" s="519" t="s">
        <v>1944</v>
      </c>
      <c r="C702" s="519" t="s">
        <v>284</v>
      </c>
      <c r="D702" s="519" t="s">
        <v>111</v>
      </c>
      <c r="E702" s="519" t="s">
        <v>1838</v>
      </c>
      <c r="F702" s="519" t="s">
        <v>70</v>
      </c>
      <c r="G702" s="519" t="s">
        <v>58</v>
      </c>
      <c r="H702" s="519" t="s">
        <v>150</v>
      </c>
      <c r="I702" s="881">
        <v>26835.236000000001</v>
      </c>
      <c r="J702" s="881">
        <v>551.70011291000003</v>
      </c>
      <c r="K702" s="60">
        <v>2.01446452657379E-2</v>
      </c>
      <c r="L702" s="880">
        <v>2.9907312486376201</v>
      </c>
      <c r="M702">
        <v>0</v>
      </c>
      <c r="N702" s="60">
        <v>1</v>
      </c>
      <c r="O702" s="881">
        <v>37596.768700000001</v>
      </c>
      <c r="P702" s="60">
        <v>1.6998070710394698E-2</v>
      </c>
      <c r="Q702" s="880">
        <v>2.9922215094568601</v>
      </c>
      <c r="R702" s="60">
        <v>0.542820052853484</v>
      </c>
      <c r="S702" s="60">
        <v>1</v>
      </c>
      <c r="T702" s="60">
        <v>0.49783381245221803</v>
      </c>
      <c r="U702" s="60">
        <v>0.72396323880150504</v>
      </c>
    </row>
    <row r="703" spans="1:21" x14ac:dyDescent="0.25">
      <c r="A703" s="519" t="s">
        <v>1839</v>
      </c>
      <c r="B703" s="519" t="s">
        <v>1945</v>
      </c>
      <c r="C703" s="519" t="s">
        <v>284</v>
      </c>
      <c r="D703" s="519" t="s">
        <v>111</v>
      </c>
      <c r="E703" s="519" t="s">
        <v>1838</v>
      </c>
      <c r="F703" s="519" t="s">
        <v>70</v>
      </c>
      <c r="G703" s="519" t="s">
        <v>58</v>
      </c>
      <c r="H703" s="519" t="s">
        <v>152</v>
      </c>
      <c r="I703" s="881">
        <v>9635.6931000000004</v>
      </c>
      <c r="J703" s="881">
        <v>93.028541050000001</v>
      </c>
      <c r="K703" s="60">
        <v>9.5622574560535814E-3</v>
      </c>
      <c r="L703" s="880">
        <v>2.9950460095697098</v>
      </c>
      <c r="M703">
        <v>0</v>
      </c>
      <c r="N703" s="60">
        <v>1</v>
      </c>
      <c r="O703" s="881">
        <v>37596.768700000001</v>
      </c>
      <c r="P703" s="60">
        <v>1.6998070710394698E-2</v>
      </c>
      <c r="Q703" s="880">
        <v>2.9922215094568601</v>
      </c>
      <c r="R703" s="60">
        <v>0.542820052853484</v>
      </c>
      <c r="S703" s="60">
        <v>1</v>
      </c>
      <c r="T703" s="60">
        <v>0.32354505645494902</v>
      </c>
      <c r="U703" s="60">
        <v>0.19356500097998303</v>
      </c>
    </row>
    <row r="704" spans="1:21" x14ac:dyDescent="0.25">
      <c r="A704" s="519" t="s">
        <v>1841</v>
      </c>
      <c r="B704" s="519" t="s">
        <v>1946</v>
      </c>
      <c r="C704" s="519" t="s">
        <v>284</v>
      </c>
      <c r="D704" s="519" t="s">
        <v>111</v>
      </c>
      <c r="E704" s="519" t="s">
        <v>1838</v>
      </c>
      <c r="F704" s="519" t="s">
        <v>70</v>
      </c>
      <c r="G704" s="519" t="s">
        <v>59</v>
      </c>
      <c r="H704" s="519" t="s">
        <v>154</v>
      </c>
      <c r="I704" s="881">
        <v>41085.748400000004</v>
      </c>
      <c r="J704" s="881">
        <v>393.75337577999898</v>
      </c>
      <c r="K704" s="60">
        <v>9.4927219210216001E-3</v>
      </c>
      <c r="L704" s="880">
        <v>3.0404755509745698</v>
      </c>
      <c r="M704">
        <v>0</v>
      </c>
      <c r="N704" s="60">
        <v>0.51099937125643302</v>
      </c>
      <c r="O704" s="881">
        <v>96706.863700000002</v>
      </c>
      <c r="P704" s="60">
        <v>8.1259836214955701E-3</v>
      </c>
      <c r="Q704" s="880">
        <v>3.0399239919438799</v>
      </c>
      <c r="R704" s="60">
        <v>0.542820052853484</v>
      </c>
      <c r="S704" s="60">
        <v>0.69466270675883801</v>
      </c>
      <c r="T704" s="60">
        <v>0.37141303218958205</v>
      </c>
      <c r="U704" s="60">
        <v>0.43118751087110302</v>
      </c>
    </row>
    <row r="705" spans="1:21" x14ac:dyDescent="0.25">
      <c r="A705" s="519" t="s">
        <v>1844</v>
      </c>
      <c r="B705" s="519" t="s">
        <v>1947</v>
      </c>
      <c r="C705" s="519" t="s">
        <v>284</v>
      </c>
      <c r="D705" s="519" t="s">
        <v>111</v>
      </c>
      <c r="E705" s="519" t="s">
        <v>1838</v>
      </c>
      <c r="F705" s="519" t="s">
        <v>16</v>
      </c>
      <c r="G705" s="519" t="s">
        <v>56</v>
      </c>
      <c r="H705" s="519" t="s">
        <v>144</v>
      </c>
      <c r="I705" s="881">
        <v>32981.221299999903</v>
      </c>
      <c r="J705" s="881">
        <v>235.66632718999901</v>
      </c>
      <c r="K705" s="60">
        <v>7.0947744964850708E-3</v>
      </c>
      <c r="L705" s="880">
        <v>3.0218756721725599</v>
      </c>
      <c r="M705">
        <v>0</v>
      </c>
      <c r="N705" s="60">
        <v>0.85966266506935107</v>
      </c>
      <c r="O705" s="881">
        <v>108509.5114</v>
      </c>
      <c r="P705" s="60">
        <v>1.65470021584113E-2</v>
      </c>
      <c r="Q705" s="880">
        <v>3.0221738728769201</v>
      </c>
      <c r="R705" s="60">
        <v>0.542820052853484</v>
      </c>
      <c r="S705" s="60">
        <v>0.94471418935907203</v>
      </c>
      <c r="T705" s="60">
        <v>0.30851369792243</v>
      </c>
      <c r="U705" s="60">
        <v>0.14867417512856201</v>
      </c>
    </row>
    <row r="706" spans="1:21" x14ac:dyDescent="0.25">
      <c r="A706" s="519" t="s">
        <v>1844</v>
      </c>
      <c r="B706" s="519" t="s">
        <v>1948</v>
      </c>
      <c r="C706" s="519" t="s">
        <v>284</v>
      </c>
      <c r="D706" s="519" t="s">
        <v>111</v>
      </c>
      <c r="E706" s="519" t="s">
        <v>1838</v>
      </c>
      <c r="F706" s="519" t="s">
        <v>16</v>
      </c>
      <c r="G706" s="519" t="s">
        <v>56</v>
      </c>
      <c r="H706" s="519" t="s">
        <v>146</v>
      </c>
      <c r="I706" s="881">
        <v>43332.535099999805</v>
      </c>
      <c r="J706" s="881">
        <v>1115.20841139</v>
      </c>
      <c r="K706" s="60">
        <v>2.5090326826247501E-2</v>
      </c>
      <c r="L706" s="880">
        <v>3.0323777052767298</v>
      </c>
      <c r="M706">
        <v>0</v>
      </c>
      <c r="N706" s="60">
        <v>0.98111198899138508</v>
      </c>
      <c r="O706" s="881">
        <v>108509.5114</v>
      </c>
      <c r="P706" s="60">
        <v>1.65470021584113E-2</v>
      </c>
      <c r="Q706" s="880">
        <v>3.0221738728769201</v>
      </c>
      <c r="R706" s="60">
        <v>0.542820052853484</v>
      </c>
      <c r="S706" s="60">
        <v>0.94471418935907203</v>
      </c>
      <c r="T706" s="60">
        <v>0.35415272822268801</v>
      </c>
      <c r="U706" s="60">
        <v>0.47557231398058203</v>
      </c>
    </row>
    <row r="707" spans="1:21" x14ac:dyDescent="0.25">
      <c r="A707" s="519" t="s">
        <v>1846</v>
      </c>
      <c r="B707" s="519" t="s">
        <v>1949</v>
      </c>
      <c r="C707" s="519" t="s">
        <v>284</v>
      </c>
      <c r="D707" s="519" t="s">
        <v>111</v>
      </c>
      <c r="E707" s="519" t="s">
        <v>1838</v>
      </c>
      <c r="F707" s="519" t="s">
        <v>16</v>
      </c>
      <c r="G707" s="519" t="s">
        <v>57</v>
      </c>
      <c r="H707" s="519" t="s">
        <v>148</v>
      </c>
      <c r="I707" s="881">
        <v>22841.280300000002</v>
      </c>
      <c r="J707" s="881">
        <v>186.37628927</v>
      </c>
      <c r="K707" s="60">
        <v>8.0935847096505701E-3</v>
      </c>
      <c r="L707" s="880">
        <v>3.0620034243336001</v>
      </c>
      <c r="M707">
        <v>0</v>
      </c>
      <c r="N707" s="60">
        <v>0.99666210041649905</v>
      </c>
      <c r="O707" s="881">
        <v>92434.655899999911</v>
      </c>
      <c r="P707" s="60">
        <v>4.8455473871726697E-2</v>
      </c>
      <c r="Q707" s="880">
        <v>3.0501254308769701</v>
      </c>
      <c r="R707" s="60">
        <v>0.542820052853484</v>
      </c>
      <c r="S707" s="60">
        <v>0.99630142291685708</v>
      </c>
      <c r="T707" s="60">
        <v>0.24878538042441001</v>
      </c>
      <c r="U707" s="60">
        <v>3.9854976754852299E-2</v>
      </c>
    </row>
    <row r="708" spans="1:21" x14ac:dyDescent="0.25">
      <c r="A708" s="519" t="s">
        <v>1849</v>
      </c>
      <c r="B708" s="519" t="s">
        <v>1950</v>
      </c>
      <c r="C708" s="519" t="s">
        <v>284</v>
      </c>
      <c r="D708" s="519" t="s">
        <v>111</v>
      </c>
      <c r="E708" s="519" t="s">
        <v>1838</v>
      </c>
      <c r="F708" s="519" t="s">
        <v>16</v>
      </c>
      <c r="G708" s="519" t="s">
        <v>58</v>
      </c>
      <c r="H708" s="519" t="s">
        <v>150</v>
      </c>
      <c r="I708" s="881">
        <v>37284.516599999901</v>
      </c>
      <c r="J708" s="881">
        <v>552.90325703999895</v>
      </c>
      <c r="K708" s="60">
        <v>1.46126046418867E-2</v>
      </c>
      <c r="L708" s="880">
        <v>3.0579779016144002</v>
      </c>
      <c r="M708">
        <v>0</v>
      </c>
      <c r="N708" s="60">
        <v>0.95321161009768907</v>
      </c>
      <c r="O708" s="881">
        <v>91200.735599999796</v>
      </c>
      <c r="P708" s="60">
        <v>9.5100318949542413E-3</v>
      </c>
      <c r="Q708" s="880">
        <v>3.0593430600610501</v>
      </c>
      <c r="R708" s="60">
        <v>0.542820052853484</v>
      </c>
      <c r="S708" s="60">
        <v>0.96096268657727812</v>
      </c>
      <c r="T708" s="60">
        <v>0.49783381245221803</v>
      </c>
      <c r="U708" s="60">
        <v>0.72396323880150504</v>
      </c>
    </row>
    <row r="709" spans="1:21" x14ac:dyDescent="0.25">
      <c r="A709" s="519" t="s">
        <v>1849</v>
      </c>
      <c r="B709" s="519" t="s">
        <v>1951</v>
      </c>
      <c r="C709" s="519" t="s">
        <v>284</v>
      </c>
      <c r="D709" s="519" t="s">
        <v>111</v>
      </c>
      <c r="E709" s="519" t="s">
        <v>1838</v>
      </c>
      <c r="F709" s="519" t="s">
        <v>16</v>
      </c>
      <c r="G709" s="519" t="s">
        <v>58</v>
      </c>
      <c r="H709" s="519" t="s">
        <v>152</v>
      </c>
      <c r="I709" s="881">
        <v>32036.102699999901</v>
      </c>
      <c r="J709" s="881">
        <v>202.30765964</v>
      </c>
      <c r="K709" s="60">
        <v>6.2753608935158002E-3</v>
      </c>
      <c r="L709" s="880">
        <v>3.0787330340191801</v>
      </c>
      <c r="M709">
        <v>0</v>
      </c>
      <c r="N709" s="60">
        <v>0.94584393063517103</v>
      </c>
      <c r="O709" s="881">
        <v>91200.735599999796</v>
      </c>
      <c r="P709" s="60">
        <v>9.5100318949542413E-3</v>
      </c>
      <c r="Q709" s="880">
        <v>3.0593430600610501</v>
      </c>
      <c r="R709" s="60">
        <v>0.542820052853484</v>
      </c>
      <c r="S709" s="60">
        <v>0.96096268657727812</v>
      </c>
      <c r="T709" s="60">
        <v>0.32354505645494902</v>
      </c>
      <c r="U709" s="60">
        <v>0.19356500097998303</v>
      </c>
    </row>
    <row r="710" spans="1:21" x14ac:dyDescent="0.25">
      <c r="A710" s="519" t="s">
        <v>1851</v>
      </c>
      <c r="B710" s="519" t="s">
        <v>1952</v>
      </c>
      <c r="C710" s="519" t="s">
        <v>284</v>
      </c>
      <c r="D710" s="519" t="s">
        <v>111</v>
      </c>
      <c r="E710" s="519" t="s">
        <v>1838</v>
      </c>
      <c r="F710" s="519" t="s">
        <v>16</v>
      </c>
      <c r="G710" s="519" t="s">
        <v>59</v>
      </c>
      <c r="H710" s="519" t="s">
        <v>154</v>
      </c>
      <c r="I710" s="881">
        <v>43948.9192000002</v>
      </c>
      <c r="J710" s="881">
        <v>422.53695695999897</v>
      </c>
      <c r="K710" s="60">
        <v>9.5227200898098299E-3</v>
      </c>
      <c r="L710" s="880">
        <v>3.1160501696012401</v>
      </c>
      <c r="M710">
        <v>0</v>
      </c>
      <c r="N710" s="60">
        <v>0.47142473983751504</v>
      </c>
      <c r="O710" s="881">
        <v>132242.20440000002</v>
      </c>
      <c r="P710" s="60">
        <v>8.2557362752490506E-3</v>
      </c>
      <c r="Q710" s="880">
        <v>3.09747622430229</v>
      </c>
      <c r="R710" s="60">
        <v>0.542820052853484</v>
      </c>
      <c r="S710" s="60">
        <v>0.52484831839357804</v>
      </c>
      <c r="T710" s="60">
        <v>0.37141303218958205</v>
      </c>
      <c r="U710" s="60">
        <v>0.43118751087110302</v>
      </c>
    </row>
    <row r="711" spans="1:21" x14ac:dyDescent="0.25">
      <c r="A711" s="519" t="s">
        <v>1854</v>
      </c>
      <c r="B711" s="519" t="s">
        <v>1953</v>
      </c>
      <c r="C711" s="519" t="s">
        <v>284</v>
      </c>
      <c r="D711" s="519" t="s">
        <v>111</v>
      </c>
      <c r="E711" s="519" t="s">
        <v>1838</v>
      </c>
      <c r="F711" s="519" t="s">
        <v>17</v>
      </c>
      <c r="G711" s="519" t="s">
        <v>56</v>
      </c>
      <c r="H711" s="519" t="s">
        <v>144</v>
      </c>
      <c r="I711" s="881">
        <v>27334.793700000002</v>
      </c>
      <c r="J711" s="881">
        <v>248.04050215000001</v>
      </c>
      <c r="K711" s="60">
        <v>8.9925676358039199E-3</v>
      </c>
      <c r="L711" s="880">
        <v>2.9944063071058702</v>
      </c>
      <c r="M711">
        <v>0</v>
      </c>
      <c r="N711" s="60">
        <v>0.5907198011887681</v>
      </c>
      <c r="O711" s="881">
        <v>86995.63280000021</v>
      </c>
      <c r="P711" s="60">
        <v>1.6146767093701098E-2</v>
      </c>
      <c r="Q711" s="880">
        <v>3.0278993672922399</v>
      </c>
      <c r="R711" s="60">
        <v>0.542820052853484</v>
      </c>
      <c r="S711" s="60">
        <v>0.48151424677032706</v>
      </c>
      <c r="T711" s="60">
        <v>0.30851369792243</v>
      </c>
      <c r="U711" s="60">
        <v>0.14867417512856201</v>
      </c>
    </row>
    <row r="712" spans="1:21" x14ac:dyDescent="0.25">
      <c r="A712" s="519" t="s">
        <v>1854</v>
      </c>
      <c r="B712" s="519" t="s">
        <v>1954</v>
      </c>
      <c r="C712" s="519" t="s">
        <v>284</v>
      </c>
      <c r="D712" s="519" t="s">
        <v>111</v>
      </c>
      <c r="E712" s="519" t="s">
        <v>1838</v>
      </c>
      <c r="F712" s="519" t="s">
        <v>17</v>
      </c>
      <c r="G712" s="519" t="s">
        <v>56</v>
      </c>
      <c r="H712" s="519" t="s">
        <v>146</v>
      </c>
      <c r="I712" s="881">
        <v>25906.145100000002</v>
      </c>
      <c r="J712" s="881">
        <v>432.05139966000002</v>
      </c>
      <c r="K712" s="60">
        <v>1.64039857347703E-2</v>
      </c>
      <c r="L712" s="880">
        <v>3.0401820579239498</v>
      </c>
      <c r="M712">
        <v>0</v>
      </c>
      <c r="N712" s="60">
        <v>0.56400524059444102</v>
      </c>
      <c r="O712" s="881">
        <v>86995.63280000021</v>
      </c>
      <c r="P712" s="60">
        <v>1.6146767093701098E-2</v>
      </c>
      <c r="Q712" s="880">
        <v>3.0278993672922399</v>
      </c>
      <c r="R712" s="60">
        <v>0.542820052853484</v>
      </c>
      <c r="S712" s="60">
        <v>0.48151424677032706</v>
      </c>
      <c r="T712" s="60">
        <v>0.35415272822268801</v>
      </c>
      <c r="U712" s="60">
        <v>0.47557231398058203</v>
      </c>
    </row>
    <row r="713" spans="1:21" x14ac:dyDescent="0.25">
      <c r="A713" s="519" t="s">
        <v>821</v>
      </c>
      <c r="B713" s="519" t="s">
        <v>823</v>
      </c>
      <c r="C713" s="519" t="s">
        <v>284</v>
      </c>
      <c r="D713" s="519" t="s">
        <v>110</v>
      </c>
      <c r="E713" s="519" t="s">
        <v>2</v>
      </c>
      <c r="F713" s="519" t="s">
        <v>70</v>
      </c>
      <c r="G713" s="519" t="s">
        <v>56</v>
      </c>
      <c r="H713" s="519" t="s">
        <v>145</v>
      </c>
      <c r="I713" s="881">
        <v>15216.658310590001</v>
      </c>
      <c r="J713" s="881">
        <v>828.92501690000199</v>
      </c>
      <c r="K713" s="60">
        <v>5.1660634579725799E-2</v>
      </c>
      <c r="L713" s="880">
        <v>3.0620531960794</v>
      </c>
      <c r="M713">
        <v>0</v>
      </c>
      <c r="N713" s="60">
        <v>0.27787018763885601</v>
      </c>
      <c r="O713" s="881">
        <v>31861.803067280001</v>
      </c>
      <c r="P713" s="60">
        <v>6.8837966980638793E-2</v>
      </c>
      <c r="Q713" s="880">
        <v>3.0421471494401202</v>
      </c>
      <c r="R713" s="60">
        <v>0.45183110211441602</v>
      </c>
      <c r="S713" s="60">
        <v>0.27880523414516101</v>
      </c>
      <c r="T713" s="60">
        <v>0.39481276392712505</v>
      </c>
      <c r="U713" s="60">
        <v>0.37498620272050703</v>
      </c>
    </row>
    <row r="714" spans="1:21" x14ac:dyDescent="0.25">
      <c r="A714" s="519" t="s">
        <v>825</v>
      </c>
      <c r="B714" s="519" t="s">
        <v>826</v>
      </c>
      <c r="C714" s="519" t="s">
        <v>284</v>
      </c>
      <c r="D714" s="519" t="s">
        <v>110</v>
      </c>
      <c r="E714" s="519" t="s">
        <v>2</v>
      </c>
      <c r="F714" s="519" t="s">
        <v>70</v>
      </c>
      <c r="G714" s="519" t="s">
        <v>57</v>
      </c>
      <c r="H714" s="519" t="s">
        <v>147</v>
      </c>
      <c r="I714" s="881">
        <v>8637.1356942600087</v>
      </c>
      <c r="J714" s="881">
        <v>725.72767011000099</v>
      </c>
      <c r="K714" s="60">
        <v>7.7511295622632703E-2</v>
      </c>
      <c r="L714" s="880">
        <v>3.2374657043806701</v>
      </c>
      <c r="M714">
        <v>0</v>
      </c>
      <c r="N714" s="60">
        <v>0.291795214974439</v>
      </c>
      <c r="O714" s="881">
        <v>30712.732643740001</v>
      </c>
      <c r="P714" s="60">
        <v>9.7354794079701795E-2</v>
      </c>
      <c r="Q714" s="880">
        <v>3.1863487064382201</v>
      </c>
      <c r="R714" s="60">
        <v>0.45183110211441602</v>
      </c>
      <c r="S714" s="60">
        <v>0.306905891312515</v>
      </c>
      <c r="T714" s="60">
        <v>0.28858918399213102</v>
      </c>
      <c r="U714" s="60">
        <v>0.19517853661196802</v>
      </c>
    </row>
    <row r="715" spans="1:21" x14ac:dyDescent="0.25">
      <c r="A715" s="519" t="s">
        <v>825</v>
      </c>
      <c r="B715" s="519" t="s">
        <v>828</v>
      </c>
      <c r="C715" s="519" t="s">
        <v>284</v>
      </c>
      <c r="D715" s="519" t="s">
        <v>110</v>
      </c>
      <c r="E715" s="519" t="s">
        <v>2</v>
      </c>
      <c r="F715" s="519" t="s">
        <v>70</v>
      </c>
      <c r="G715" s="519" t="s">
        <v>57</v>
      </c>
      <c r="H715" s="519" t="s">
        <v>149</v>
      </c>
      <c r="I715" s="881">
        <v>16942.299371999998</v>
      </c>
      <c r="J715" s="881">
        <v>1623.35898445</v>
      </c>
      <c r="K715" s="60">
        <v>8.7438805200571804E-2</v>
      </c>
      <c r="L715" s="880">
        <v>3.1815968917203499</v>
      </c>
      <c r="M715">
        <v>0</v>
      </c>
      <c r="N715" s="60">
        <v>0.27291234433276201</v>
      </c>
      <c r="O715" s="881">
        <v>30712.732643740001</v>
      </c>
      <c r="P715" s="60">
        <v>9.7354794079701795E-2</v>
      </c>
      <c r="Q715" s="880">
        <v>3.1863487064382201</v>
      </c>
      <c r="R715" s="60">
        <v>0.45183110211441602</v>
      </c>
      <c r="S715" s="60">
        <v>0.306905891312515</v>
      </c>
      <c r="T715" s="60">
        <v>0.53010131721196807</v>
      </c>
      <c r="U715" s="60">
        <v>0.50012714599282004</v>
      </c>
    </row>
    <row r="716" spans="1:21" x14ac:dyDescent="0.25">
      <c r="A716" s="519" t="s">
        <v>829</v>
      </c>
      <c r="B716" s="519" t="s">
        <v>831</v>
      </c>
      <c r="C716" s="519" t="s">
        <v>284</v>
      </c>
      <c r="D716" s="519" t="s">
        <v>110</v>
      </c>
      <c r="E716" s="519" t="s">
        <v>2</v>
      </c>
      <c r="F716" s="519" t="s">
        <v>70</v>
      </c>
      <c r="G716" s="519" t="s">
        <v>58</v>
      </c>
      <c r="H716" s="519" t="s">
        <v>151</v>
      </c>
      <c r="I716" s="881">
        <v>2137.5998400000003</v>
      </c>
      <c r="J716" s="881">
        <v>257.85127523</v>
      </c>
      <c r="K716" s="60">
        <v>0.10764205271842602</v>
      </c>
      <c r="L716" s="880">
        <v>3.1270164078853901</v>
      </c>
      <c r="M716">
        <v>0</v>
      </c>
      <c r="N716" s="60">
        <v>0.43474822677756203</v>
      </c>
      <c r="O716" s="881">
        <v>11037.160692540001</v>
      </c>
      <c r="P716" s="60">
        <v>0.34809722148593802</v>
      </c>
      <c r="Q716" s="880">
        <v>4.0396485768372603</v>
      </c>
      <c r="R716" s="60">
        <v>0.45183110211441602</v>
      </c>
      <c r="S716" s="60">
        <v>0.157019508149534</v>
      </c>
      <c r="T716" s="60">
        <v>0.21385515789390602</v>
      </c>
      <c r="U716" s="60">
        <v>0.17517137998878302</v>
      </c>
    </row>
    <row r="717" spans="1:21" x14ac:dyDescent="0.25">
      <c r="A717" s="519" t="s">
        <v>833</v>
      </c>
      <c r="B717" s="519" t="s">
        <v>834</v>
      </c>
      <c r="C717" s="519" t="s">
        <v>284</v>
      </c>
      <c r="D717" s="519" t="s">
        <v>110</v>
      </c>
      <c r="E717" s="519" t="s">
        <v>2</v>
      </c>
      <c r="F717" s="519" t="s">
        <v>70</v>
      </c>
      <c r="G717" s="519" t="s">
        <v>59</v>
      </c>
      <c r="H717" s="519" t="s">
        <v>153</v>
      </c>
      <c r="I717" s="881">
        <v>2488.6442000000002</v>
      </c>
      <c r="J717" s="881">
        <v>81.342970319999907</v>
      </c>
      <c r="K717" s="60">
        <v>3.1651119219350599E-2</v>
      </c>
      <c r="L717" s="880">
        <v>3.1073610109451302</v>
      </c>
      <c r="M717">
        <v>0</v>
      </c>
      <c r="N717" s="60">
        <v>8.9658176126583292E-2</v>
      </c>
      <c r="O717" s="881">
        <v>11537.908442</v>
      </c>
      <c r="P717" s="60">
        <v>4.7987282510435901E-2</v>
      </c>
      <c r="Q717" s="880">
        <v>3.7382868855551399</v>
      </c>
      <c r="R717" s="60">
        <v>0.45183110211441602</v>
      </c>
      <c r="S717" s="60">
        <v>8.0683422362002502E-2</v>
      </c>
      <c r="T717" s="60">
        <v>0.22535723757052101</v>
      </c>
      <c r="U717" s="60">
        <v>0.23658313880697301</v>
      </c>
    </row>
    <row r="718" spans="1:21" x14ac:dyDescent="0.25">
      <c r="A718" s="519" t="s">
        <v>833</v>
      </c>
      <c r="B718" s="519" t="s">
        <v>836</v>
      </c>
      <c r="C718" s="519" t="s">
        <v>284</v>
      </c>
      <c r="D718" s="519" t="s">
        <v>110</v>
      </c>
      <c r="E718" s="519" t="s">
        <v>2</v>
      </c>
      <c r="F718" s="519" t="s">
        <v>70</v>
      </c>
      <c r="G718" s="519" t="s">
        <v>59</v>
      </c>
      <c r="H718" s="519" t="s">
        <v>155</v>
      </c>
      <c r="I718" s="881">
        <v>5248.9495573800004</v>
      </c>
      <c r="J718" s="881">
        <v>423.657515770001</v>
      </c>
      <c r="K718" s="60">
        <v>7.46847984192818E-2</v>
      </c>
      <c r="L718" s="880">
        <v>3.8545116838204199</v>
      </c>
      <c r="M718">
        <v>0</v>
      </c>
      <c r="N718" s="60">
        <v>9.8991014167672101E-2</v>
      </c>
      <c r="O718" s="881">
        <v>11537.908442</v>
      </c>
      <c r="P718" s="60">
        <v>4.7987282510435901E-2</v>
      </c>
      <c r="Q718" s="880">
        <v>3.7382868855551399</v>
      </c>
      <c r="R718" s="60">
        <v>0.45183110211441602</v>
      </c>
      <c r="S718" s="60">
        <v>8.0683422362002502E-2</v>
      </c>
      <c r="T718" s="60">
        <v>0.48133779832563706</v>
      </c>
      <c r="U718" s="60">
        <v>0.54093630789659808</v>
      </c>
    </row>
    <row r="719" spans="1:21" x14ac:dyDescent="0.25">
      <c r="A719" s="519" t="s">
        <v>837</v>
      </c>
      <c r="B719" s="519" t="s">
        <v>838</v>
      </c>
      <c r="C719" s="519" t="s">
        <v>284</v>
      </c>
      <c r="D719" s="519" t="s">
        <v>110</v>
      </c>
      <c r="E719" s="519" t="s">
        <v>2</v>
      </c>
      <c r="F719" s="519" t="s">
        <v>16</v>
      </c>
      <c r="G719" s="519" t="s">
        <v>56</v>
      </c>
      <c r="H719" s="519" t="s">
        <v>144</v>
      </c>
      <c r="I719" s="881">
        <v>10178.22964116</v>
      </c>
      <c r="J719" s="881">
        <v>105.22465729999999</v>
      </c>
      <c r="K719" s="60">
        <v>1.02324232933828E-2</v>
      </c>
      <c r="L719" s="880">
        <v>2.96287230463227</v>
      </c>
      <c r="M719">
        <v>0</v>
      </c>
      <c r="N719" s="60">
        <v>0.23464364080979902</v>
      </c>
      <c r="O719" s="881">
        <v>26856.4064253</v>
      </c>
      <c r="P719" s="60">
        <v>1.9982165428306099E-2</v>
      </c>
      <c r="Q719" s="880">
        <v>3.0454705817187602</v>
      </c>
      <c r="R719" s="60">
        <v>0.45183110211441602</v>
      </c>
      <c r="S719" s="60">
        <v>0.19472053696184602</v>
      </c>
      <c r="T719" s="60">
        <v>0.264177738288221</v>
      </c>
      <c r="U719" s="60">
        <v>0.217564705206401</v>
      </c>
    </row>
    <row r="720" spans="1:21" x14ac:dyDescent="0.25">
      <c r="A720" s="519" t="s">
        <v>837</v>
      </c>
      <c r="B720" s="519" t="s">
        <v>840</v>
      </c>
      <c r="C720" s="519" t="s">
        <v>284</v>
      </c>
      <c r="D720" s="519" t="s">
        <v>110</v>
      </c>
      <c r="E720" s="519" t="s">
        <v>2</v>
      </c>
      <c r="F720" s="519" t="s">
        <v>16</v>
      </c>
      <c r="G720" s="519" t="s">
        <v>56</v>
      </c>
      <c r="H720" s="519" t="s">
        <v>146</v>
      </c>
      <c r="I720" s="881">
        <v>9351.8648355600089</v>
      </c>
      <c r="J720" s="881">
        <v>196.33373611000002</v>
      </c>
      <c r="K720" s="60">
        <v>2.0562385107127098E-2</v>
      </c>
      <c r="L720" s="880">
        <v>3.1465808540856801</v>
      </c>
      <c r="M720">
        <v>0</v>
      </c>
      <c r="N720" s="60">
        <v>0.196742379445417</v>
      </c>
      <c r="O720" s="881">
        <v>26856.4064253</v>
      </c>
      <c r="P720" s="60">
        <v>1.9982165428306099E-2</v>
      </c>
      <c r="Q720" s="880">
        <v>3.0454705817187602</v>
      </c>
      <c r="R720" s="60">
        <v>0.45183110211441602</v>
      </c>
      <c r="S720" s="60">
        <v>0.19472053696184602</v>
      </c>
      <c r="T720" s="60">
        <v>0.341009497784655</v>
      </c>
      <c r="U720" s="60">
        <v>0.40744909207309205</v>
      </c>
    </row>
    <row r="721" spans="1:21" x14ac:dyDescent="0.25">
      <c r="A721" s="519" t="s">
        <v>841</v>
      </c>
      <c r="B721" s="519" t="s">
        <v>843</v>
      </c>
      <c r="C721" s="519" t="s">
        <v>284</v>
      </c>
      <c r="D721" s="519" t="s">
        <v>110</v>
      </c>
      <c r="E721" s="519" t="s">
        <v>2</v>
      </c>
      <c r="F721" s="519" t="s">
        <v>16</v>
      </c>
      <c r="G721" s="519" t="s">
        <v>57</v>
      </c>
      <c r="H721" s="519" t="s">
        <v>148</v>
      </c>
      <c r="I721" s="881">
        <v>3701.3230160200001</v>
      </c>
      <c r="J721" s="881">
        <v>428.04449043</v>
      </c>
      <c r="K721" s="60">
        <v>0.103658608675881</v>
      </c>
      <c r="L721" s="880">
        <v>3.1531390363663898</v>
      </c>
      <c r="M721">
        <v>0</v>
      </c>
      <c r="N721" s="60">
        <v>0.17827740976510201</v>
      </c>
      <c r="O721" s="881">
        <v>18014.00617674</v>
      </c>
      <c r="P721" s="60">
        <v>6.5095718424609594E-2</v>
      </c>
      <c r="Q721" s="880">
        <v>3.07508391751329</v>
      </c>
      <c r="R721" s="60">
        <v>0.45183110211441602</v>
      </c>
      <c r="S721" s="60">
        <v>0.11297063740478201</v>
      </c>
      <c r="T721" s="60">
        <v>0.18130949879590103</v>
      </c>
      <c r="U721" s="60">
        <v>0.30469431739521102</v>
      </c>
    </row>
    <row r="722" spans="1:21" x14ac:dyDescent="0.25">
      <c r="A722" s="519" t="s">
        <v>845</v>
      </c>
      <c r="B722" s="519" t="s">
        <v>846</v>
      </c>
      <c r="C722" s="519" t="s">
        <v>284</v>
      </c>
      <c r="D722" s="519" t="s">
        <v>110</v>
      </c>
      <c r="E722" s="519" t="s">
        <v>2</v>
      </c>
      <c r="F722" s="519" t="s">
        <v>16</v>
      </c>
      <c r="G722" s="519" t="s">
        <v>58</v>
      </c>
      <c r="H722" s="519" t="s">
        <v>150</v>
      </c>
      <c r="I722" s="881">
        <v>6134.1924811300005</v>
      </c>
      <c r="J722" s="881">
        <v>182.70456011000002</v>
      </c>
      <c r="K722" s="60">
        <v>2.8923149913194598E-2</v>
      </c>
      <c r="L722" s="880">
        <v>3.2169196378312099</v>
      </c>
      <c r="M722">
        <v>0</v>
      </c>
      <c r="N722" s="60">
        <v>0.32859425438973</v>
      </c>
      <c r="O722" s="881">
        <v>14809.27546114</v>
      </c>
      <c r="P722" s="60">
        <v>7.8267094297221104E-2</v>
      </c>
      <c r="Q722" s="880">
        <v>3.1565282945956001</v>
      </c>
      <c r="R722" s="60">
        <v>0.45183110211441602</v>
      </c>
      <c r="S722" s="60">
        <v>0.26851538112411399</v>
      </c>
      <c r="T722" s="60">
        <v>0.44030805968813103</v>
      </c>
      <c r="U722" s="60">
        <v>0.37569791554303406</v>
      </c>
    </row>
    <row r="723" spans="1:21" x14ac:dyDescent="0.25">
      <c r="A723" s="519" t="s">
        <v>845</v>
      </c>
      <c r="B723" s="519" t="s">
        <v>848</v>
      </c>
      <c r="C723" s="519" t="s">
        <v>284</v>
      </c>
      <c r="D723" s="519" t="s">
        <v>110</v>
      </c>
      <c r="E723" s="519" t="s">
        <v>2</v>
      </c>
      <c r="F723" s="519" t="s">
        <v>16</v>
      </c>
      <c r="G723" s="519" t="s">
        <v>58</v>
      </c>
      <c r="H723" s="519" t="s">
        <v>152</v>
      </c>
      <c r="I723" s="881">
        <v>5285.2891353699997</v>
      </c>
      <c r="J723" s="881">
        <v>79.991740210000003</v>
      </c>
      <c r="K723" s="60">
        <v>1.49091430747049E-2</v>
      </c>
      <c r="L723" s="880">
        <v>3.2039826477304501</v>
      </c>
      <c r="M723">
        <v>0</v>
      </c>
      <c r="N723" s="60">
        <v>0.24570245955126702</v>
      </c>
      <c r="O723" s="881">
        <v>14809.27546114</v>
      </c>
      <c r="P723" s="60">
        <v>7.8267094297221104E-2</v>
      </c>
      <c r="Q723" s="880">
        <v>3.1565282945956001</v>
      </c>
      <c r="R723" s="60">
        <v>0.45183110211441602</v>
      </c>
      <c r="S723" s="60">
        <v>0.26851538112411399</v>
      </c>
      <c r="T723" s="60">
        <v>0.34583678241796301</v>
      </c>
      <c r="U723" s="60">
        <v>0.44913070446818304</v>
      </c>
    </row>
    <row r="724" spans="1:21" x14ac:dyDescent="0.25">
      <c r="A724" s="519" t="s">
        <v>849</v>
      </c>
      <c r="B724" s="519" t="s">
        <v>850</v>
      </c>
      <c r="C724" s="519" t="s">
        <v>284</v>
      </c>
      <c r="D724" s="519" t="s">
        <v>110</v>
      </c>
      <c r="E724" s="519" t="s">
        <v>2</v>
      </c>
      <c r="F724" s="519" t="s">
        <v>16</v>
      </c>
      <c r="G724" s="519" t="s">
        <v>59</v>
      </c>
      <c r="H724" s="519" t="s">
        <v>154</v>
      </c>
      <c r="I724" s="881">
        <v>2707.1245623099999</v>
      </c>
      <c r="J724" s="881">
        <v>171.22017733000001</v>
      </c>
      <c r="K724" s="60">
        <v>5.9485639427407401E-2</v>
      </c>
      <c r="L724" s="880">
        <v>3.4747220220491699</v>
      </c>
      <c r="M724">
        <v>0</v>
      </c>
      <c r="N724" s="60">
        <v>0.37209365846485604</v>
      </c>
      <c r="O724" s="881">
        <v>10648.68927486</v>
      </c>
      <c r="P724" s="60">
        <v>4.7601517006002798E-2</v>
      </c>
      <c r="Q724" s="880">
        <v>3.4928151212910499</v>
      </c>
      <c r="R724" s="60">
        <v>0.45183110211441602</v>
      </c>
      <c r="S724" s="60">
        <v>0.39171955044155804</v>
      </c>
      <c r="T724" s="60">
        <v>0.29330496410384205</v>
      </c>
      <c r="U724" s="60">
        <v>0.22248055329642902</v>
      </c>
    </row>
    <row r="725" spans="1:21" x14ac:dyDescent="0.25">
      <c r="A725" s="519" t="s">
        <v>852</v>
      </c>
      <c r="B725" s="519" t="s">
        <v>1752</v>
      </c>
      <c r="C725" s="519" t="s">
        <v>284</v>
      </c>
      <c r="D725" s="519" t="s">
        <v>110</v>
      </c>
      <c r="E725" s="519" t="s">
        <v>2</v>
      </c>
      <c r="F725" s="519" t="s">
        <v>17</v>
      </c>
      <c r="G725" s="519" t="s">
        <v>56</v>
      </c>
      <c r="H725" s="519" t="s">
        <v>145</v>
      </c>
      <c r="I725" s="881">
        <v>8796.2970425999993</v>
      </c>
      <c r="J725" s="881">
        <v>218.38728965000001</v>
      </c>
      <c r="K725" s="60">
        <v>2.4225727890295701E-2</v>
      </c>
      <c r="L725" s="880">
        <v>3.1494821703662201</v>
      </c>
      <c r="M725">
        <v>0</v>
      </c>
      <c r="N725" s="60">
        <v>0.36331750559612502</v>
      </c>
      <c r="O725" s="881">
        <v>20659.333903040002</v>
      </c>
      <c r="P725" s="60">
        <v>2.5748706181480899E-2</v>
      </c>
      <c r="Q725" s="880">
        <v>3.12213616057688</v>
      </c>
      <c r="R725" s="60">
        <v>0.45183110211441602</v>
      </c>
      <c r="S725" s="60">
        <v>0.31577516933593103</v>
      </c>
      <c r="T725" s="60">
        <v>0.39481276392712505</v>
      </c>
      <c r="U725" s="60">
        <v>0.37498620272050703</v>
      </c>
    </row>
    <row r="726" spans="1:21" x14ac:dyDescent="0.25">
      <c r="A726" s="519" t="s">
        <v>1955</v>
      </c>
      <c r="B726" s="519" t="s">
        <v>1956</v>
      </c>
      <c r="C726" s="519" t="s">
        <v>284</v>
      </c>
      <c r="D726" s="519" t="s">
        <v>110</v>
      </c>
      <c r="E726" s="519" t="s">
        <v>2</v>
      </c>
      <c r="F726" s="519" t="s">
        <v>17</v>
      </c>
      <c r="G726" s="519" t="s">
        <v>57</v>
      </c>
      <c r="H726" s="519" t="s">
        <v>149</v>
      </c>
      <c r="I726" s="881">
        <v>9911.0344588600092</v>
      </c>
      <c r="J726" s="881">
        <v>1200.4889780600001</v>
      </c>
      <c r="K726" s="60">
        <v>0.10803999873421201</v>
      </c>
      <c r="L726" s="880">
        <v>3.0904512107233399</v>
      </c>
      <c r="M726">
        <v>0</v>
      </c>
      <c r="N726" s="60">
        <v>0.25109550082688803</v>
      </c>
      <c r="O726" s="881">
        <v>9911.0344588600092</v>
      </c>
      <c r="P726" s="60">
        <v>0.10803999873421201</v>
      </c>
      <c r="Q726" s="880">
        <v>3.0904512107233399</v>
      </c>
      <c r="R726" s="60">
        <v>0.45183110211441602</v>
      </c>
      <c r="S726" s="60">
        <v>0.25109550082688803</v>
      </c>
      <c r="T726" s="60">
        <v>0.53010131721196807</v>
      </c>
      <c r="U726" s="60">
        <v>0.50012714599282004</v>
      </c>
    </row>
    <row r="727" spans="1:21" x14ac:dyDescent="0.25">
      <c r="A727" s="519" t="s">
        <v>853</v>
      </c>
      <c r="B727" s="519" t="s">
        <v>855</v>
      </c>
      <c r="C727" s="519" t="s">
        <v>284</v>
      </c>
      <c r="D727" s="519" t="s">
        <v>110</v>
      </c>
      <c r="E727" s="519" t="s">
        <v>285</v>
      </c>
      <c r="F727" s="519" t="s">
        <v>70</v>
      </c>
      <c r="G727" s="519" t="s">
        <v>56</v>
      </c>
      <c r="H727" s="519" t="s">
        <v>145</v>
      </c>
      <c r="I727" s="881">
        <v>75086.767739259798</v>
      </c>
      <c r="J727" s="881">
        <v>7949.1378607299393</v>
      </c>
      <c r="K727" s="60">
        <v>9.5731332166393304E-2</v>
      </c>
      <c r="L727" s="880">
        <v>2.9644257346977598</v>
      </c>
      <c r="M727">
        <v>0</v>
      </c>
      <c r="N727" s="60">
        <v>7.6552704579458897E-2</v>
      </c>
      <c r="O727" s="881">
        <v>246321.2955101</v>
      </c>
      <c r="P727" s="60">
        <v>0.110047485687062</v>
      </c>
      <c r="Q727" s="880">
        <v>2.98140019123709</v>
      </c>
      <c r="R727" s="60">
        <v>0.67624146991175804</v>
      </c>
      <c r="S727" s="60">
        <v>6.3587499879513204E-2</v>
      </c>
      <c r="T727" s="60">
        <v>0.30017024872772902</v>
      </c>
      <c r="U727" s="60">
        <v>0.30018178636775</v>
      </c>
    </row>
    <row r="728" spans="1:21" x14ac:dyDescent="0.25">
      <c r="A728" s="519" t="s">
        <v>857</v>
      </c>
      <c r="B728" s="519" t="s">
        <v>858</v>
      </c>
      <c r="C728" s="519" t="s">
        <v>284</v>
      </c>
      <c r="D728" s="519" t="s">
        <v>110</v>
      </c>
      <c r="E728" s="519" t="s">
        <v>285</v>
      </c>
      <c r="F728" s="519" t="s">
        <v>70</v>
      </c>
      <c r="G728" s="519" t="s">
        <v>57</v>
      </c>
      <c r="H728" s="519" t="s">
        <v>147</v>
      </c>
      <c r="I728" s="881">
        <v>114130.89244749999</v>
      </c>
      <c r="J728" s="881">
        <v>4650.64909015997</v>
      </c>
      <c r="K728" s="60">
        <v>3.91529612257598E-2</v>
      </c>
      <c r="L728" s="880">
        <v>2.9869485828337199</v>
      </c>
      <c r="M728">
        <v>0</v>
      </c>
      <c r="N728" s="60">
        <v>6.8119005596282894E-2</v>
      </c>
      <c r="O728" s="881">
        <v>308555.42185838002</v>
      </c>
      <c r="P728" s="60">
        <v>6.1369098151445402E-2</v>
      </c>
      <c r="Q728" s="880">
        <v>3.0084729934767802</v>
      </c>
      <c r="R728" s="60">
        <v>0.67624146991175804</v>
      </c>
      <c r="S728" s="60">
        <v>6.2027299750786101E-2</v>
      </c>
      <c r="T728" s="60">
        <v>0.34359296624652402</v>
      </c>
      <c r="U728" s="60">
        <v>0.19085616080472301</v>
      </c>
    </row>
    <row r="729" spans="1:21" x14ac:dyDescent="0.25">
      <c r="A729" s="519" t="s">
        <v>857</v>
      </c>
      <c r="B729" s="519" t="s">
        <v>860</v>
      </c>
      <c r="C729" s="519" t="s">
        <v>284</v>
      </c>
      <c r="D729" s="519" t="s">
        <v>110</v>
      </c>
      <c r="E729" s="519" t="s">
        <v>285</v>
      </c>
      <c r="F729" s="519" t="s">
        <v>70</v>
      </c>
      <c r="G729" s="519" t="s">
        <v>57</v>
      </c>
      <c r="H729" s="519" t="s">
        <v>149</v>
      </c>
      <c r="I729" s="881">
        <v>121232.30048628</v>
      </c>
      <c r="J729" s="881">
        <v>11391.213570259901</v>
      </c>
      <c r="K729" s="60">
        <v>8.58913568328738E-2</v>
      </c>
      <c r="L729" s="880">
        <v>3.01925006358239</v>
      </c>
      <c r="M729">
        <v>0</v>
      </c>
      <c r="N729" s="60">
        <v>4.2818850580068596E-2</v>
      </c>
      <c r="O729" s="881">
        <v>308555.42185838002</v>
      </c>
      <c r="P729" s="60">
        <v>6.1369098151445402E-2</v>
      </c>
      <c r="Q729" s="880">
        <v>3.0084729934767802</v>
      </c>
      <c r="R729" s="60">
        <v>0.67624146991175804</v>
      </c>
      <c r="S729" s="60">
        <v>6.2027299750786101E-2</v>
      </c>
      <c r="T729" s="60">
        <v>0.42057541288962103</v>
      </c>
      <c r="U729" s="60">
        <v>0.52133031592920309</v>
      </c>
    </row>
    <row r="730" spans="1:21" x14ac:dyDescent="0.25">
      <c r="A730" s="519" t="s">
        <v>861</v>
      </c>
      <c r="B730" s="519" t="s">
        <v>863</v>
      </c>
      <c r="C730" s="519" t="s">
        <v>284</v>
      </c>
      <c r="D730" s="519" t="s">
        <v>110</v>
      </c>
      <c r="E730" s="519" t="s">
        <v>285</v>
      </c>
      <c r="F730" s="519" t="s">
        <v>70</v>
      </c>
      <c r="G730" s="519" t="s">
        <v>58</v>
      </c>
      <c r="H730" s="519" t="s">
        <v>151</v>
      </c>
      <c r="I730" s="881">
        <v>68288.021178480107</v>
      </c>
      <c r="J730" s="881">
        <v>2288.0565547900101</v>
      </c>
      <c r="K730" s="60">
        <v>3.2419718242735499E-2</v>
      </c>
      <c r="L730" s="880">
        <v>3.0243576953251599</v>
      </c>
      <c r="M730">
        <v>0</v>
      </c>
      <c r="N730" s="60">
        <v>0.13102770391624302</v>
      </c>
      <c r="O730" s="881">
        <v>439216.623988976</v>
      </c>
      <c r="P730" s="60">
        <v>3.0131903062375301E-2</v>
      </c>
      <c r="Q730" s="880">
        <v>3.05338036762164</v>
      </c>
      <c r="R730" s="60">
        <v>0.67624146991175804</v>
      </c>
      <c r="S730" s="60">
        <v>8.0374745025375005E-2</v>
      </c>
      <c r="T730" s="60">
        <v>0.16972842450210901</v>
      </c>
      <c r="U730" s="60">
        <v>0.24267255530080101</v>
      </c>
    </row>
    <row r="731" spans="1:21" x14ac:dyDescent="0.25">
      <c r="A731" s="519" t="s">
        <v>865</v>
      </c>
      <c r="B731" s="519" t="s">
        <v>866</v>
      </c>
      <c r="C731" s="519" t="s">
        <v>284</v>
      </c>
      <c r="D731" s="519" t="s">
        <v>110</v>
      </c>
      <c r="E731" s="519" t="s">
        <v>285</v>
      </c>
      <c r="F731" s="519" t="s">
        <v>70</v>
      </c>
      <c r="G731" s="519" t="s">
        <v>59</v>
      </c>
      <c r="H731" s="519" t="s">
        <v>153</v>
      </c>
      <c r="I731" s="881">
        <v>174200.11901395902</v>
      </c>
      <c r="J731" s="881">
        <v>5518.3185637799497</v>
      </c>
      <c r="K731" s="60">
        <v>3.0705355767367701E-2</v>
      </c>
      <c r="L731" s="880">
        <v>3.0189104244519003</v>
      </c>
      <c r="M731">
        <v>0</v>
      </c>
      <c r="N731" s="60">
        <v>4.4055636276947897E-2</v>
      </c>
      <c r="O731" s="881">
        <v>682559.28409791202</v>
      </c>
      <c r="P731" s="60">
        <v>2.3332974476755499E-2</v>
      </c>
      <c r="Q731" s="880">
        <v>3.0003354907825202</v>
      </c>
      <c r="R731" s="60">
        <v>0.67624146991175804</v>
      </c>
      <c r="S731" s="60">
        <v>3.6728244632716602E-2</v>
      </c>
      <c r="T731" s="60">
        <v>0.267165542629623</v>
      </c>
      <c r="U731" s="60">
        <v>0.27101234202017205</v>
      </c>
    </row>
    <row r="732" spans="1:21" x14ac:dyDescent="0.25">
      <c r="A732" s="519" t="s">
        <v>865</v>
      </c>
      <c r="B732" s="519" t="s">
        <v>868</v>
      </c>
      <c r="C732" s="519" t="s">
        <v>284</v>
      </c>
      <c r="D732" s="519" t="s">
        <v>110</v>
      </c>
      <c r="E732" s="519" t="s">
        <v>285</v>
      </c>
      <c r="F732" s="519" t="s">
        <v>70</v>
      </c>
      <c r="G732" s="519" t="s">
        <v>59</v>
      </c>
      <c r="H732" s="519" t="s">
        <v>155</v>
      </c>
      <c r="I732" s="881">
        <v>263711.21531670704</v>
      </c>
      <c r="J732" s="881">
        <v>4814.9202353499495</v>
      </c>
      <c r="K732" s="60">
        <v>1.7930918439097301E-2</v>
      </c>
      <c r="L732" s="880">
        <v>3.0181184393299798</v>
      </c>
      <c r="M732">
        <v>0</v>
      </c>
      <c r="N732" s="60">
        <v>3.69523423123925E-2</v>
      </c>
      <c r="O732" s="881">
        <v>682559.28409791202</v>
      </c>
      <c r="P732" s="60">
        <v>2.3332974476755499E-2</v>
      </c>
      <c r="Q732" s="880">
        <v>3.0003354907825202</v>
      </c>
      <c r="R732" s="60">
        <v>0.67624146991175804</v>
      </c>
      <c r="S732" s="60">
        <v>3.6728244632716602E-2</v>
      </c>
      <c r="T732" s="60">
        <v>0.40205304758143001</v>
      </c>
      <c r="U732" s="60">
        <v>0.32550560570817905</v>
      </c>
    </row>
    <row r="733" spans="1:21" x14ac:dyDescent="0.25">
      <c r="A733" s="519" t="s">
        <v>869</v>
      </c>
      <c r="B733" s="519" t="s">
        <v>871</v>
      </c>
      <c r="C733" s="519" t="s">
        <v>284</v>
      </c>
      <c r="D733" s="519" t="s">
        <v>110</v>
      </c>
      <c r="E733" s="519" t="s">
        <v>285</v>
      </c>
      <c r="F733" s="519" t="s">
        <v>16</v>
      </c>
      <c r="G733" s="519" t="s">
        <v>56</v>
      </c>
      <c r="H733" s="519" t="s">
        <v>145</v>
      </c>
      <c r="I733" s="881">
        <v>98580.373265540504</v>
      </c>
      <c r="J733" s="881">
        <v>6699.3346430799593</v>
      </c>
      <c r="K733" s="60">
        <v>6.3633674296425705E-2</v>
      </c>
      <c r="L733" s="880">
        <v>3.1144134294117198</v>
      </c>
      <c r="M733">
        <v>0</v>
      </c>
      <c r="N733" s="60">
        <v>6.5430742585702001E-2</v>
      </c>
      <c r="O733" s="881">
        <v>341186.19917157001</v>
      </c>
      <c r="P733" s="60">
        <v>5.2970328531685096E-2</v>
      </c>
      <c r="Q733" s="880">
        <v>3.1085568488952302</v>
      </c>
      <c r="R733" s="60">
        <v>0.67624146991175804</v>
      </c>
      <c r="S733" s="60">
        <v>7.9028790700590504E-2</v>
      </c>
      <c r="T733" s="60">
        <v>0.30017024872772902</v>
      </c>
      <c r="U733" s="60">
        <v>0.30018178636775</v>
      </c>
    </row>
    <row r="734" spans="1:21" x14ac:dyDescent="0.25">
      <c r="A734" s="519" t="s">
        <v>873</v>
      </c>
      <c r="B734" s="519" t="s">
        <v>874</v>
      </c>
      <c r="C734" s="519" t="s">
        <v>284</v>
      </c>
      <c r="D734" s="519" t="s">
        <v>110</v>
      </c>
      <c r="E734" s="519" t="s">
        <v>285</v>
      </c>
      <c r="F734" s="519" t="s">
        <v>16</v>
      </c>
      <c r="G734" s="519" t="s">
        <v>57</v>
      </c>
      <c r="H734" s="519" t="s">
        <v>147</v>
      </c>
      <c r="I734" s="881">
        <v>116025.21462518</v>
      </c>
      <c r="J734" s="881">
        <v>4802.0955145400003</v>
      </c>
      <c r="K734" s="60">
        <v>3.9743461217394201E-2</v>
      </c>
      <c r="L734" s="880">
        <v>2.7776137893615398</v>
      </c>
      <c r="M734">
        <v>0</v>
      </c>
      <c r="N734" s="60">
        <v>7.5996340179028496E-2</v>
      </c>
      <c r="O734" s="881">
        <v>361295.62191283103</v>
      </c>
      <c r="P734" s="60">
        <v>7.5142193544922894E-2</v>
      </c>
      <c r="Q734" s="880">
        <v>3.03544588823573</v>
      </c>
      <c r="R734" s="60">
        <v>0.67624146991175804</v>
      </c>
      <c r="S734" s="60">
        <v>7.1595345380827499E-2</v>
      </c>
      <c r="T734" s="60">
        <v>0.34359296624652402</v>
      </c>
      <c r="U734" s="60">
        <v>0.19085616080472301</v>
      </c>
    </row>
    <row r="735" spans="1:21" x14ac:dyDescent="0.25">
      <c r="A735" s="519" t="s">
        <v>873</v>
      </c>
      <c r="B735" s="519" t="s">
        <v>876</v>
      </c>
      <c r="C735" s="519" t="s">
        <v>284</v>
      </c>
      <c r="D735" s="519" t="s">
        <v>110</v>
      </c>
      <c r="E735" s="519" t="s">
        <v>285</v>
      </c>
      <c r="F735" s="519" t="s">
        <v>16</v>
      </c>
      <c r="G735" s="519" t="s">
        <v>57</v>
      </c>
      <c r="H735" s="519" t="s">
        <v>149</v>
      </c>
      <c r="I735" s="881">
        <v>160490.57882234102</v>
      </c>
      <c r="J735" s="881">
        <v>14429.29078437</v>
      </c>
      <c r="K735" s="60">
        <v>8.2490861768951401E-2</v>
      </c>
      <c r="L735" s="880">
        <v>3.0719724837450899</v>
      </c>
      <c r="M735">
        <v>0</v>
      </c>
      <c r="N735" s="60">
        <v>5.9909386972262502E-2</v>
      </c>
      <c r="O735" s="881">
        <v>361295.62191283103</v>
      </c>
      <c r="P735" s="60">
        <v>7.5142193544922894E-2</v>
      </c>
      <c r="Q735" s="880">
        <v>3.03544588823573</v>
      </c>
      <c r="R735" s="60">
        <v>0.67624146991175804</v>
      </c>
      <c r="S735" s="60">
        <v>7.1595345380827499E-2</v>
      </c>
      <c r="T735" s="60">
        <v>0.42057541288962103</v>
      </c>
      <c r="U735" s="60">
        <v>0.52133031592920309</v>
      </c>
    </row>
    <row r="736" spans="1:21" x14ac:dyDescent="0.25">
      <c r="A736" s="519" t="s">
        <v>877</v>
      </c>
      <c r="B736" s="519" t="s">
        <v>879</v>
      </c>
      <c r="C736" s="519" t="s">
        <v>284</v>
      </c>
      <c r="D736" s="519" t="s">
        <v>110</v>
      </c>
      <c r="E736" s="519" t="s">
        <v>285</v>
      </c>
      <c r="F736" s="519" t="s">
        <v>16</v>
      </c>
      <c r="G736" s="519" t="s">
        <v>58</v>
      </c>
      <c r="H736" s="519" t="s">
        <v>151</v>
      </c>
      <c r="I736" s="881">
        <v>90919.041977570509</v>
      </c>
      <c r="J736" s="881">
        <v>5988.0607679999594</v>
      </c>
      <c r="K736" s="60">
        <v>6.1791763434736399E-2</v>
      </c>
      <c r="L736" s="880">
        <v>3.0873270837561999</v>
      </c>
      <c r="M736">
        <v>0</v>
      </c>
      <c r="N736" s="60">
        <v>0.17133322536881701</v>
      </c>
      <c r="O736" s="881">
        <v>498793.98692123103</v>
      </c>
      <c r="P736" s="60">
        <v>3.9399816650156502E-2</v>
      </c>
      <c r="Q736" s="880">
        <v>3.08295603265374</v>
      </c>
      <c r="R736" s="60">
        <v>0.67624146991175804</v>
      </c>
      <c r="S736" s="60">
        <v>0.20524256505844202</v>
      </c>
      <c r="T736" s="60">
        <v>0.16972842450210901</v>
      </c>
      <c r="U736" s="60">
        <v>0.24267255530080101</v>
      </c>
    </row>
    <row r="737" spans="1:21" x14ac:dyDescent="0.25">
      <c r="A737" s="519" t="s">
        <v>881</v>
      </c>
      <c r="B737" s="519" t="s">
        <v>305</v>
      </c>
      <c r="C737" s="519" t="s">
        <v>284</v>
      </c>
      <c r="D737" s="519" t="s">
        <v>110</v>
      </c>
      <c r="E737" s="519" t="s">
        <v>285</v>
      </c>
      <c r="F737" s="519" t="s">
        <v>16</v>
      </c>
      <c r="G737" s="519" t="s">
        <v>59</v>
      </c>
      <c r="H737" s="519" t="s">
        <v>153</v>
      </c>
      <c r="I737" s="881">
        <v>238342.44409275</v>
      </c>
      <c r="J737" s="881">
        <v>8393.03571335983</v>
      </c>
      <c r="K737" s="60">
        <v>3.40163308493584E-2</v>
      </c>
      <c r="L737" s="880">
        <v>3.0253239359574002</v>
      </c>
      <c r="M737">
        <v>0</v>
      </c>
      <c r="N737" s="60">
        <v>0.33427792181969102</v>
      </c>
      <c r="O737" s="881">
        <v>861586.56287841301</v>
      </c>
      <c r="P737" s="60">
        <v>3.9063152200376802E-2</v>
      </c>
      <c r="Q737" s="880">
        <v>3.0265471800438299</v>
      </c>
      <c r="R737" s="60">
        <v>0.67624146991175804</v>
      </c>
      <c r="S737" s="60">
        <v>0.25265766079933599</v>
      </c>
      <c r="T737" s="60">
        <v>0.267165542629623</v>
      </c>
      <c r="U737" s="60">
        <v>0.27101234202017205</v>
      </c>
    </row>
    <row r="738" spans="1:21" x14ac:dyDescent="0.25">
      <c r="A738" s="519" t="s">
        <v>881</v>
      </c>
      <c r="B738" s="519" t="s">
        <v>883</v>
      </c>
      <c r="C738" s="519" t="s">
        <v>284</v>
      </c>
      <c r="D738" s="519" t="s">
        <v>110</v>
      </c>
      <c r="E738" s="519" t="s">
        <v>285</v>
      </c>
      <c r="F738" s="519" t="s">
        <v>16</v>
      </c>
      <c r="G738" s="519" t="s">
        <v>59</v>
      </c>
      <c r="H738" s="519" t="s">
        <v>155</v>
      </c>
      <c r="I738" s="881">
        <v>357117.328370334</v>
      </c>
      <c r="J738" s="881">
        <v>11893.631731129901</v>
      </c>
      <c r="K738" s="60">
        <v>3.2231106978121496E-2</v>
      </c>
      <c r="L738" s="880">
        <v>3.04882381227688</v>
      </c>
      <c r="M738">
        <v>0</v>
      </c>
      <c r="N738" s="60">
        <v>0.19659925536476</v>
      </c>
      <c r="O738" s="881">
        <v>861586.56287841301</v>
      </c>
      <c r="P738" s="60">
        <v>3.9063152200376802E-2</v>
      </c>
      <c r="Q738" s="880">
        <v>3.0265471800438299</v>
      </c>
      <c r="R738" s="60">
        <v>0.67624146991175804</v>
      </c>
      <c r="S738" s="60">
        <v>0.25265766079933599</v>
      </c>
      <c r="T738" s="60">
        <v>0.40205304758143001</v>
      </c>
      <c r="U738" s="60">
        <v>0.32550560570817905</v>
      </c>
    </row>
    <row r="739" spans="1:21" x14ac:dyDescent="0.25">
      <c r="A739" s="519" t="s">
        <v>884</v>
      </c>
      <c r="B739" s="519" t="s">
        <v>1753</v>
      </c>
      <c r="C739" s="519" t="s">
        <v>284</v>
      </c>
      <c r="D739" s="519" t="s">
        <v>110</v>
      </c>
      <c r="E739" s="519" t="s">
        <v>285</v>
      </c>
      <c r="F739" s="519" t="s">
        <v>17</v>
      </c>
      <c r="G739" s="519" t="s">
        <v>56</v>
      </c>
      <c r="H739" s="519" t="s">
        <v>145</v>
      </c>
      <c r="I739" s="881">
        <v>153073.33564927999</v>
      </c>
      <c r="J739" s="881">
        <v>6292.93217059992</v>
      </c>
      <c r="K739" s="60">
        <v>3.9487228110985199E-2</v>
      </c>
      <c r="L739" s="880">
        <v>3.0425814997197702</v>
      </c>
      <c r="M739">
        <v>0</v>
      </c>
      <c r="N739" s="60">
        <v>0.26988394238180002</v>
      </c>
      <c r="O739" s="881">
        <v>501009.6986077</v>
      </c>
      <c r="P739" s="60">
        <v>3.8792558106432597E-2</v>
      </c>
      <c r="Q739" s="880">
        <v>3.0395718320205698</v>
      </c>
      <c r="R739" s="60">
        <v>0.67624146991175804</v>
      </c>
      <c r="S739" s="60">
        <v>0.300525656593918</v>
      </c>
      <c r="T739" s="60">
        <v>0.30017024872772902</v>
      </c>
      <c r="U739" s="60">
        <v>0.30018178636775</v>
      </c>
    </row>
    <row r="740" spans="1:21" x14ac:dyDescent="0.25">
      <c r="A740" s="519" t="s">
        <v>1957</v>
      </c>
      <c r="B740" s="519" t="s">
        <v>1958</v>
      </c>
      <c r="C740" s="519" t="s">
        <v>284</v>
      </c>
      <c r="D740" s="519" t="s">
        <v>110</v>
      </c>
      <c r="E740" s="519" t="s">
        <v>285</v>
      </c>
      <c r="F740" s="519" t="s">
        <v>17</v>
      </c>
      <c r="G740" s="519" t="s">
        <v>57</v>
      </c>
      <c r="H740" s="519" t="s">
        <v>149</v>
      </c>
      <c r="I740" s="881">
        <v>189264.21240197102</v>
      </c>
      <c r="J740" s="881">
        <v>12396.24841984</v>
      </c>
      <c r="K740" s="60">
        <v>6.14708920594682E-2</v>
      </c>
      <c r="L740" s="880">
        <v>3.0349739136489</v>
      </c>
      <c r="M740">
        <v>0</v>
      </c>
      <c r="N740" s="60">
        <v>0.271747739997593</v>
      </c>
      <c r="O740" s="881">
        <v>189264.21240197102</v>
      </c>
      <c r="P740" s="60">
        <v>6.1470892059467395E-2</v>
      </c>
      <c r="Q740" s="880">
        <v>3.0349739136489</v>
      </c>
      <c r="R740" s="60">
        <v>0.67624146991175804</v>
      </c>
      <c r="S740" s="60">
        <v>0.271747739997593</v>
      </c>
      <c r="T740" s="60">
        <v>0.42057541288962103</v>
      </c>
      <c r="U740" s="60">
        <v>0.52133031592920309</v>
      </c>
    </row>
    <row r="741" spans="1:21" x14ac:dyDescent="0.25">
      <c r="A741" s="519" t="s">
        <v>885</v>
      </c>
      <c r="B741" s="519" t="s">
        <v>886</v>
      </c>
      <c r="C741" s="519" t="s">
        <v>284</v>
      </c>
      <c r="D741" s="519" t="s">
        <v>110</v>
      </c>
      <c r="E741" s="519" t="s">
        <v>280</v>
      </c>
      <c r="F741" s="519" t="s">
        <v>70</v>
      </c>
      <c r="G741" s="519" t="s">
        <v>56</v>
      </c>
      <c r="H741" s="519" t="s">
        <v>144</v>
      </c>
      <c r="I741" s="881">
        <v>48529.224372919904</v>
      </c>
      <c r="J741" s="881">
        <v>3185.8733160899897</v>
      </c>
      <c r="K741" s="60">
        <v>6.16043178579746E-2</v>
      </c>
      <c r="L741" s="880">
        <v>2.9029864857924901</v>
      </c>
      <c r="M741">
        <v>0</v>
      </c>
      <c r="N741" s="60">
        <v>0.68447514115918207</v>
      </c>
      <c r="O741" s="881">
        <v>172824.21522084001</v>
      </c>
      <c r="P741" s="60">
        <v>6.0914047313119099E-2</v>
      </c>
      <c r="Q741" s="880">
        <v>2.92941085503108</v>
      </c>
      <c r="R741" s="60">
        <v>0.67623382396972997</v>
      </c>
      <c r="S741" s="60">
        <v>0.67689724355180303</v>
      </c>
      <c r="T741" s="60">
        <v>0.26637284926132204</v>
      </c>
      <c r="U741" s="60">
        <v>0.321591855498365</v>
      </c>
    </row>
    <row r="742" spans="1:21" x14ac:dyDescent="0.25">
      <c r="A742" s="519" t="s">
        <v>885</v>
      </c>
      <c r="B742" s="519" t="s">
        <v>888</v>
      </c>
      <c r="C742" s="519" t="s">
        <v>284</v>
      </c>
      <c r="D742" s="519" t="s">
        <v>110</v>
      </c>
      <c r="E742" s="519" t="s">
        <v>280</v>
      </c>
      <c r="F742" s="519" t="s">
        <v>70</v>
      </c>
      <c r="G742" s="519" t="s">
        <v>56</v>
      </c>
      <c r="H742" s="519" t="s">
        <v>146</v>
      </c>
      <c r="I742" s="881">
        <v>57150.565699999999</v>
      </c>
      <c r="J742" s="881">
        <v>4582.0319888499598</v>
      </c>
      <c r="K742" s="60">
        <v>7.4223864868682501E-2</v>
      </c>
      <c r="L742" s="880">
        <v>2.9442925154494399</v>
      </c>
      <c r="M742">
        <v>0</v>
      </c>
      <c r="N742" s="60">
        <v>0.62706069591888602</v>
      </c>
      <c r="O742" s="881">
        <v>172824.21522084001</v>
      </c>
      <c r="P742" s="60">
        <v>6.0914047313119099E-2</v>
      </c>
      <c r="Q742" s="880">
        <v>2.92941085503108</v>
      </c>
      <c r="R742" s="60">
        <v>0.67623382396972997</v>
      </c>
      <c r="S742" s="60">
        <v>0.67689724355180303</v>
      </c>
      <c r="T742" s="60">
        <v>0.34919228531242302</v>
      </c>
      <c r="U742" s="60">
        <v>0.32305474403588103</v>
      </c>
    </row>
    <row r="743" spans="1:21" x14ac:dyDescent="0.25">
      <c r="A743" s="519" t="s">
        <v>889</v>
      </c>
      <c r="B743" s="519" t="s">
        <v>891</v>
      </c>
      <c r="C743" s="519" t="s">
        <v>284</v>
      </c>
      <c r="D743" s="519" t="s">
        <v>110</v>
      </c>
      <c r="E743" s="519" t="s">
        <v>280</v>
      </c>
      <c r="F743" s="519" t="s">
        <v>70</v>
      </c>
      <c r="G743" s="519" t="s">
        <v>57</v>
      </c>
      <c r="H743" s="519" t="s">
        <v>148</v>
      </c>
      <c r="I743" s="881">
        <v>66725.654242230099</v>
      </c>
      <c r="J743" s="881">
        <v>3547.5137049099999</v>
      </c>
      <c r="K743" s="60">
        <v>5.0481767202788699E-2</v>
      </c>
      <c r="L743" s="880">
        <v>2.9818158458216</v>
      </c>
      <c r="M743">
        <v>0</v>
      </c>
      <c r="N743" s="60">
        <v>0.77154247473301996</v>
      </c>
      <c r="O743" s="881">
        <v>200360.78466171</v>
      </c>
      <c r="P743" s="60">
        <v>6.01139795115231E-2</v>
      </c>
      <c r="Q743" s="880">
        <v>2.9488551177602802</v>
      </c>
      <c r="R743" s="60">
        <v>0.67623382396972997</v>
      </c>
      <c r="S743" s="60">
        <v>0.75824926614081711</v>
      </c>
      <c r="T743" s="60">
        <v>0.34809104356099702</v>
      </c>
      <c r="U743" s="60">
        <v>0.312236029751911</v>
      </c>
    </row>
    <row r="744" spans="1:21" x14ac:dyDescent="0.25">
      <c r="A744" s="519" t="s">
        <v>893</v>
      </c>
      <c r="B744" s="519" t="s">
        <v>895</v>
      </c>
      <c r="C744" s="519" t="s">
        <v>284</v>
      </c>
      <c r="D744" s="519" t="s">
        <v>110</v>
      </c>
      <c r="E744" s="519" t="s">
        <v>280</v>
      </c>
      <c r="F744" s="519" t="s">
        <v>70</v>
      </c>
      <c r="G744" s="519" t="s">
        <v>58</v>
      </c>
      <c r="H744" s="519" t="s">
        <v>151</v>
      </c>
      <c r="I744" s="881">
        <v>63908.725834820005</v>
      </c>
      <c r="J744" s="881">
        <v>1906.21722378</v>
      </c>
      <c r="K744" s="60">
        <v>2.89632891132756E-2</v>
      </c>
      <c r="L744" s="880">
        <v>2.9363185929168898</v>
      </c>
      <c r="M744">
        <v>0</v>
      </c>
      <c r="N744" s="60">
        <v>0.70173946765835005</v>
      </c>
      <c r="O744" s="881">
        <v>204968.79408968001</v>
      </c>
      <c r="P744" s="60">
        <v>3.3359789410781798E-2</v>
      </c>
      <c r="Q744" s="880">
        <v>2.9433375342247299</v>
      </c>
      <c r="R744" s="60">
        <v>0.67623382396972997</v>
      </c>
      <c r="S744" s="60">
        <v>0.66046596658781809</v>
      </c>
      <c r="T744" s="60">
        <v>0.288169555556544</v>
      </c>
      <c r="U744" s="60">
        <v>0.25588174038723704</v>
      </c>
    </row>
    <row r="745" spans="1:21" x14ac:dyDescent="0.25">
      <c r="A745" s="519" t="s">
        <v>897</v>
      </c>
      <c r="B745" s="519" t="s">
        <v>898</v>
      </c>
      <c r="C745" s="519" t="s">
        <v>284</v>
      </c>
      <c r="D745" s="519" t="s">
        <v>110</v>
      </c>
      <c r="E745" s="519" t="s">
        <v>280</v>
      </c>
      <c r="F745" s="519" t="s">
        <v>70</v>
      </c>
      <c r="G745" s="519" t="s">
        <v>59</v>
      </c>
      <c r="H745" s="519" t="s">
        <v>153</v>
      </c>
      <c r="I745" s="881">
        <v>50739.509662530101</v>
      </c>
      <c r="J745" s="881">
        <v>3348.2404624700098</v>
      </c>
      <c r="K745" s="60">
        <v>6.19038590943796E-2</v>
      </c>
      <c r="L745" s="880">
        <v>3.0014464863169401</v>
      </c>
      <c r="M745">
        <v>0</v>
      </c>
      <c r="N745" s="60">
        <v>0.74369119903431102</v>
      </c>
      <c r="O745" s="881">
        <v>143790.96028391999</v>
      </c>
      <c r="P745" s="60">
        <v>5.49602280210333E-2</v>
      </c>
      <c r="Q745" s="880">
        <v>2.9723684458002202</v>
      </c>
      <c r="R745" s="60">
        <v>0.67623382396972997</v>
      </c>
      <c r="S745" s="60">
        <v>0.66868942931312003</v>
      </c>
      <c r="T745" s="60">
        <v>0.28519503702648502</v>
      </c>
      <c r="U745" s="60">
        <v>0.33111140928917604</v>
      </c>
    </row>
    <row r="746" spans="1:21" x14ac:dyDescent="0.25">
      <c r="A746" s="519" t="s">
        <v>897</v>
      </c>
      <c r="B746" s="519" t="s">
        <v>900</v>
      </c>
      <c r="C746" s="519" t="s">
        <v>284</v>
      </c>
      <c r="D746" s="519" t="s">
        <v>110</v>
      </c>
      <c r="E746" s="519" t="s">
        <v>280</v>
      </c>
      <c r="F746" s="519" t="s">
        <v>70</v>
      </c>
      <c r="G746" s="519" t="s">
        <v>59</v>
      </c>
      <c r="H746" s="519" t="s">
        <v>155</v>
      </c>
      <c r="I746" s="881">
        <v>57150.03461689</v>
      </c>
      <c r="J746" s="881">
        <v>1612.4842614300001</v>
      </c>
      <c r="K746" s="60">
        <v>2.7440693357086699E-2</v>
      </c>
      <c r="L746" s="880">
        <v>2.9427322657446999</v>
      </c>
      <c r="M746">
        <v>0</v>
      </c>
      <c r="N746" s="60">
        <v>0.64392326766192709</v>
      </c>
      <c r="O746" s="881">
        <v>143790.96028391999</v>
      </c>
      <c r="P746" s="60">
        <v>5.49602280210333E-2</v>
      </c>
      <c r="Q746" s="880">
        <v>2.9723684458002202</v>
      </c>
      <c r="R746" s="60">
        <v>0.67623382396972997</v>
      </c>
      <c r="S746" s="60">
        <v>0.66868942931312003</v>
      </c>
      <c r="T746" s="60">
        <v>0.41820468669648803</v>
      </c>
      <c r="U746" s="60">
        <v>0.25745756184177804</v>
      </c>
    </row>
    <row r="747" spans="1:21" x14ac:dyDescent="0.25">
      <c r="A747" s="519" t="s">
        <v>901</v>
      </c>
      <c r="B747" s="519" t="s">
        <v>903</v>
      </c>
      <c r="C747" s="519" t="s">
        <v>284</v>
      </c>
      <c r="D747" s="519" t="s">
        <v>110</v>
      </c>
      <c r="E747" s="519" t="s">
        <v>280</v>
      </c>
      <c r="F747" s="519" t="s">
        <v>16</v>
      </c>
      <c r="G747" s="519" t="s">
        <v>56</v>
      </c>
      <c r="H747" s="519" t="s">
        <v>145</v>
      </c>
      <c r="I747" s="881">
        <v>89827.250256680709</v>
      </c>
      <c r="J747" s="881">
        <v>3561.5720825900198</v>
      </c>
      <c r="K747" s="60">
        <v>3.81370274662131E-2</v>
      </c>
      <c r="L747" s="880">
        <v>3.0271385550096301</v>
      </c>
      <c r="M747">
        <v>0</v>
      </c>
      <c r="N747" s="60">
        <v>0.71786067702951206</v>
      </c>
      <c r="O747" s="881">
        <v>234591.291628381</v>
      </c>
      <c r="P747" s="60">
        <v>2.99428934070958E-2</v>
      </c>
      <c r="Q747" s="880">
        <v>2.9909753653092102</v>
      </c>
      <c r="R747" s="60">
        <v>0.67623382396972997</v>
      </c>
      <c r="S747" s="60">
        <v>0.74631818464325705</v>
      </c>
      <c r="T747" s="60">
        <v>0.38443486542625505</v>
      </c>
      <c r="U747" s="60">
        <v>0.35535340046575403</v>
      </c>
    </row>
    <row r="748" spans="1:21" x14ac:dyDescent="0.25">
      <c r="A748" s="519" t="s">
        <v>905</v>
      </c>
      <c r="B748" s="519" t="s">
        <v>906</v>
      </c>
      <c r="C748" s="519" t="s">
        <v>284</v>
      </c>
      <c r="D748" s="519" t="s">
        <v>110</v>
      </c>
      <c r="E748" s="519" t="s">
        <v>280</v>
      </c>
      <c r="F748" s="519" t="s">
        <v>16</v>
      </c>
      <c r="G748" s="519" t="s">
        <v>57</v>
      </c>
      <c r="H748" s="519" t="s">
        <v>147</v>
      </c>
      <c r="I748" s="881">
        <v>76143.324917460501</v>
      </c>
      <c r="J748" s="881">
        <v>4065.3638792100001</v>
      </c>
      <c r="K748" s="60">
        <v>5.0684831533847202E-2</v>
      </c>
      <c r="L748" s="880">
        <v>3.2039956189605001</v>
      </c>
      <c r="M748">
        <v>0</v>
      </c>
      <c r="N748" s="60">
        <v>0.75776493799286804</v>
      </c>
      <c r="O748" s="881">
        <v>284470.33120688202</v>
      </c>
      <c r="P748" s="60">
        <v>6.6432511781045298E-2</v>
      </c>
      <c r="Q748" s="880">
        <v>3.0159604898386498</v>
      </c>
      <c r="R748" s="60">
        <v>0.67623382396972997</v>
      </c>
      <c r="S748" s="60">
        <v>0.74466998927073402</v>
      </c>
      <c r="T748" s="60">
        <v>0.275446743210983</v>
      </c>
      <c r="U748" s="60">
        <v>0.21054005928119102</v>
      </c>
    </row>
    <row r="749" spans="1:21" x14ac:dyDescent="0.25">
      <c r="A749" s="519" t="s">
        <v>905</v>
      </c>
      <c r="B749" s="519" t="s">
        <v>908</v>
      </c>
      <c r="C749" s="519" t="s">
        <v>284</v>
      </c>
      <c r="D749" s="519" t="s">
        <v>110</v>
      </c>
      <c r="E749" s="519" t="s">
        <v>280</v>
      </c>
      <c r="F749" s="519" t="s">
        <v>16</v>
      </c>
      <c r="G749" s="519" t="s">
        <v>57</v>
      </c>
      <c r="H749" s="519" t="s">
        <v>149</v>
      </c>
      <c r="I749" s="881">
        <v>106287.29145811</v>
      </c>
      <c r="J749" s="881">
        <v>9403.2084048200195</v>
      </c>
      <c r="K749" s="60">
        <v>8.1279002303222492E-2</v>
      </c>
      <c r="L749" s="880">
        <v>3.00191764427779</v>
      </c>
      <c r="M749">
        <v>0</v>
      </c>
      <c r="N749" s="60">
        <v>0.7339509141861541</v>
      </c>
      <c r="O749" s="881">
        <v>284470.33120688202</v>
      </c>
      <c r="P749" s="60">
        <v>6.6432511781045298E-2</v>
      </c>
      <c r="Q749" s="880">
        <v>3.0159604898386498</v>
      </c>
      <c r="R749" s="60">
        <v>0.67623382396972997</v>
      </c>
      <c r="S749" s="60">
        <v>0.74466998927073402</v>
      </c>
      <c r="T749" s="60">
        <v>0.37646221322801904</v>
      </c>
      <c r="U749" s="60">
        <v>0.47722391096689804</v>
      </c>
    </row>
    <row r="750" spans="1:21" x14ac:dyDescent="0.25">
      <c r="A750" s="519" t="s">
        <v>909</v>
      </c>
      <c r="B750" s="519" t="s">
        <v>910</v>
      </c>
      <c r="C750" s="519" t="s">
        <v>284</v>
      </c>
      <c r="D750" s="519" t="s">
        <v>110</v>
      </c>
      <c r="E750" s="519" t="s">
        <v>280</v>
      </c>
      <c r="F750" s="519" t="s">
        <v>16</v>
      </c>
      <c r="G750" s="519" t="s">
        <v>58</v>
      </c>
      <c r="H750" s="519" t="s">
        <v>150</v>
      </c>
      <c r="I750" s="881">
        <v>141391.63278942101</v>
      </c>
      <c r="J750" s="881">
        <v>5503.5062933500094</v>
      </c>
      <c r="K750" s="60">
        <v>3.7465543977251596E-2</v>
      </c>
      <c r="L750" s="880">
        <v>3.0138272259024399</v>
      </c>
      <c r="M750">
        <v>0</v>
      </c>
      <c r="N750" s="60">
        <v>0.76918650986819903</v>
      </c>
      <c r="O750" s="881">
        <v>377330.23251320404</v>
      </c>
      <c r="P750" s="60">
        <v>3.1909314678717396E-2</v>
      </c>
      <c r="Q750" s="880">
        <v>3.0325397661706899</v>
      </c>
      <c r="R750" s="60">
        <v>0.67623382396972997</v>
      </c>
      <c r="S750" s="60">
        <v>0.7498091826462171</v>
      </c>
      <c r="T750" s="60">
        <v>0.35818595831593703</v>
      </c>
      <c r="U750" s="60">
        <v>0.47797487429912505</v>
      </c>
    </row>
    <row r="751" spans="1:21" x14ac:dyDescent="0.25">
      <c r="A751" s="519" t="s">
        <v>909</v>
      </c>
      <c r="B751" s="519" t="s">
        <v>912</v>
      </c>
      <c r="C751" s="519" t="s">
        <v>284</v>
      </c>
      <c r="D751" s="519" t="s">
        <v>110</v>
      </c>
      <c r="E751" s="519" t="s">
        <v>280</v>
      </c>
      <c r="F751" s="519" t="s">
        <v>16</v>
      </c>
      <c r="G751" s="519" t="s">
        <v>58</v>
      </c>
      <c r="H751" s="519" t="s">
        <v>152</v>
      </c>
      <c r="I751" s="881">
        <v>132046.47386144102</v>
      </c>
      <c r="J751" s="881">
        <v>3847.4387074100296</v>
      </c>
      <c r="K751" s="60">
        <v>2.8312075461516598E-2</v>
      </c>
      <c r="L751" s="880">
        <v>3.0635635530763601</v>
      </c>
      <c r="M751">
        <v>0</v>
      </c>
      <c r="N751" s="60">
        <v>0.73136904083094501</v>
      </c>
      <c r="O751" s="881">
        <v>377330.23251320404</v>
      </c>
      <c r="P751" s="60">
        <v>3.1909314678717396E-2</v>
      </c>
      <c r="Q751" s="880">
        <v>3.0325397661706899</v>
      </c>
      <c r="R751" s="60">
        <v>0.67623382396972997</v>
      </c>
      <c r="S751" s="60">
        <v>0.7498091826462171</v>
      </c>
      <c r="T751" s="60">
        <v>0.35364448612751903</v>
      </c>
      <c r="U751" s="60">
        <v>0.26614338531363801</v>
      </c>
    </row>
    <row r="752" spans="1:21" x14ac:dyDescent="0.25">
      <c r="A752" s="519" t="s">
        <v>913</v>
      </c>
      <c r="B752" s="519" t="s">
        <v>914</v>
      </c>
      <c r="C752" s="519" t="s">
        <v>284</v>
      </c>
      <c r="D752" s="519" t="s">
        <v>110</v>
      </c>
      <c r="E752" s="519" t="s">
        <v>280</v>
      </c>
      <c r="F752" s="519" t="s">
        <v>16</v>
      </c>
      <c r="G752" s="519" t="s">
        <v>59</v>
      </c>
      <c r="H752" s="519" t="s">
        <v>154</v>
      </c>
      <c r="I752" s="881">
        <v>78084.989675940596</v>
      </c>
      <c r="J752" s="881">
        <v>6667.10715583002</v>
      </c>
      <c r="K752" s="60">
        <v>7.8665984737392392E-2</v>
      </c>
      <c r="L752" s="880">
        <v>3.0437652884836699</v>
      </c>
      <c r="M752">
        <v>0</v>
      </c>
      <c r="N752" s="60">
        <v>0.6807571056029591</v>
      </c>
      <c r="O752" s="881">
        <v>240518.88295431202</v>
      </c>
      <c r="P752" s="60">
        <v>6.2776072882044093E-2</v>
      </c>
      <c r="Q752" s="880">
        <v>3.03954606432284</v>
      </c>
      <c r="R752" s="60">
        <v>0.67623382396972997</v>
      </c>
      <c r="S752" s="60">
        <v>0.74395340510454211</v>
      </c>
      <c r="T752" s="60">
        <v>0.29660027627702701</v>
      </c>
      <c r="U752" s="60">
        <v>0.41143102886904603</v>
      </c>
    </row>
    <row r="753" spans="1:21" x14ac:dyDescent="0.25">
      <c r="A753" s="519" t="s">
        <v>916</v>
      </c>
      <c r="B753" s="519" t="s">
        <v>336</v>
      </c>
      <c r="C753" s="519" t="s">
        <v>284</v>
      </c>
      <c r="D753" s="519" t="s">
        <v>110</v>
      </c>
      <c r="E753" s="519" t="s">
        <v>280</v>
      </c>
      <c r="F753" s="519" t="s">
        <v>17</v>
      </c>
      <c r="G753" s="519" t="s">
        <v>56</v>
      </c>
      <c r="H753" s="519" t="s">
        <v>144</v>
      </c>
      <c r="I753" s="881">
        <v>93650.012551680207</v>
      </c>
      <c r="J753" s="881">
        <v>6052.3783310199897</v>
      </c>
      <c r="K753" s="60">
        <v>6.0704445273941601E-2</v>
      </c>
      <c r="L753" s="880">
        <v>2.99389409844279</v>
      </c>
      <c r="M753">
        <v>0</v>
      </c>
      <c r="N753" s="60">
        <v>0.76140588351731997</v>
      </c>
      <c r="O753" s="881">
        <v>376430.97330726101</v>
      </c>
      <c r="P753" s="60">
        <v>4.0731768475323199E-2</v>
      </c>
      <c r="Q753" s="880">
        <v>3.0043191953800901</v>
      </c>
      <c r="R753" s="60">
        <v>0.67623382396972997</v>
      </c>
      <c r="S753" s="60">
        <v>0.76827771330179506</v>
      </c>
      <c r="T753" s="60">
        <v>0.26637284926132204</v>
      </c>
      <c r="U753" s="60">
        <v>0.321591855498365</v>
      </c>
    </row>
    <row r="754" spans="1:21" x14ac:dyDescent="0.25">
      <c r="A754" s="519" t="s">
        <v>916</v>
      </c>
      <c r="B754" s="519" t="s">
        <v>337</v>
      </c>
      <c r="C754" s="519" t="s">
        <v>284</v>
      </c>
      <c r="D754" s="519" t="s">
        <v>110</v>
      </c>
      <c r="E754" s="519" t="s">
        <v>280</v>
      </c>
      <c r="F754" s="519" t="s">
        <v>17</v>
      </c>
      <c r="G754" s="519" t="s">
        <v>56</v>
      </c>
      <c r="H754" s="519" t="s">
        <v>146</v>
      </c>
      <c r="I754" s="881">
        <v>138414.72004638001</v>
      </c>
      <c r="J754" s="881">
        <v>4698.6565323500199</v>
      </c>
      <c r="K754" s="60">
        <v>3.2831707592093501E-2</v>
      </c>
      <c r="L754" s="880">
        <v>3.00866636043882</v>
      </c>
      <c r="M754">
        <v>0</v>
      </c>
      <c r="N754" s="60">
        <v>0.77361561867942708</v>
      </c>
      <c r="O754" s="881">
        <v>376430.97330726101</v>
      </c>
      <c r="P754" s="60">
        <v>4.0731768475323199E-2</v>
      </c>
      <c r="Q754" s="880">
        <v>3.0043191953800901</v>
      </c>
      <c r="R754" s="60">
        <v>0.67623382396972997</v>
      </c>
      <c r="S754" s="60">
        <v>0.76827771330179506</v>
      </c>
      <c r="T754" s="60">
        <v>0.34919228531242302</v>
      </c>
      <c r="U754" s="60">
        <v>0.32305474403588103</v>
      </c>
    </row>
    <row r="755" spans="1:21" x14ac:dyDescent="0.25">
      <c r="A755" s="519" t="s">
        <v>917</v>
      </c>
      <c r="B755" s="519" t="s">
        <v>919</v>
      </c>
      <c r="C755" s="519" t="s">
        <v>284</v>
      </c>
      <c r="D755" s="519" t="s">
        <v>110</v>
      </c>
      <c r="E755" s="519" t="s">
        <v>289</v>
      </c>
      <c r="F755" s="519" t="s">
        <v>70</v>
      </c>
      <c r="G755" s="519" t="s">
        <v>56</v>
      </c>
      <c r="H755" s="519" t="s">
        <v>145</v>
      </c>
      <c r="I755" s="881">
        <v>116179.72514777</v>
      </c>
      <c r="J755" s="881">
        <v>3784.1845917199498</v>
      </c>
      <c r="K755" s="60">
        <v>3.15443586320052E-2</v>
      </c>
      <c r="L755" s="880">
        <v>3.03085487811612</v>
      </c>
      <c r="M755">
        <v>0</v>
      </c>
      <c r="N755" s="60">
        <v>0.21011433460650103</v>
      </c>
      <c r="O755" s="881">
        <v>229786.79916354999</v>
      </c>
      <c r="P755" s="60">
        <v>4.2841876892874296E-2</v>
      </c>
      <c r="Q755" s="880">
        <v>3.02488377358919</v>
      </c>
      <c r="R755" s="60">
        <v>0.58913629703887305</v>
      </c>
      <c r="S755" s="60">
        <v>0.20887820875910201</v>
      </c>
      <c r="T755" s="60">
        <v>0.44843640858324901</v>
      </c>
      <c r="U755" s="60">
        <v>0.42165313633879303</v>
      </c>
    </row>
    <row r="756" spans="1:21" x14ac:dyDescent="0.25">
      <c r="A756" s="519" t="s">
        <v>921</v>
      </c>
      <c r="B756" s="519" t="s">
        <v>922</v>
      </c>
      <c r="C756" s="519" t="s">
        <v>284</v>
      </c>
      <c r="D756" s="519" t="s">
        <v>110</v>
      </c>
      <c r="E756" s="519" t="s">
        <v>289</v>
      </c>
      <c r="F756" s="519" t="s">
        <v>70</v>
      </c>
      <c r="G756" s="519" t="s">
        <v>57</v>
      </c>
      <c r="H756" s="519" t="s">
        <v>147</v>
      </c>
      <c r="I756" s="881">
        <v>92360.768103220296</v>
      </c>
      <c r="J756" s="881">
        <v>5031.3198026599894</v>
      </c>
      <c r="K756" s="60">
        <v>5.1660457341486297E-2</v>
      </c>
      <c r="L756" s="880">
        <v>3.03752145074073</v>
      </c>
      <c r="M756">
        <v>0</v>
      </c>
      <c r="N756" s="60">
        <v>0.15297246419551402</v>
      </c>
      <c r="O756" s="881">
        <v>310685.44450110104</v>
      </c>
      <c r="P756" s="60">
        <v>6.8878272575262092E-2</v>
      </c>
      <c r="Q756" s="880">
        <v>3.0131233810157898</v>
      </c>
      <c r="R756" s="60">
        <v>0.58913629703887305</v>
      </c>
      <c r="S756" s="60">
        <v>0.16490902936512902</v>
      </c>
      <c r="T756" s="60">
        <v>0.30730312018962502</v>
      </c>
      <c r="U756" s="60">
        <v>0.20754577513766101</v>
      </c>
    </row>
    <row r="757" spans="1:21" x14ac:dyDescent="0.25">
      <c r="A757" s="519" t="s">
        <v>921</v>
      </c>
      <c r="B757" s="519" t="s">
        <v>924</v>
      </c>
      <c r="C757" s="519" t="s">
        <v>284</v>
      </c>
      <c r="D757" s="519" t="s">
        <v>110</v>
      </c>
      <c r="E757" s="519" t="s">
        <v>289</v>
      </c>
      <c r="F757" s="519" t="s">
        <v>70</v>
      </c>
      <c r="G757" s="519" t="s">
        <v>57</v>
      </c>
      <c r="H757" s="519" t="s">
        <v>149</v>
      </c>
      <c r="I757" s="881">
        <v>116882.99317081</v>
      </c>
      <c r="J757" s="881">
        <v>8204.6444759299902</v>
      </c>
      <c r="K757" s="60">
        <v>6.5591169761321705E-2</v>
      </c>
      <c r="L757" s="880">
        <v>2.9838079136549802</v>
      </c>
      <c r="M757">
        <v>0</v>
      </c>
      <c r="N757" s="60">
        <v>0.18462460853713999</v>
      </c>
      <c r="O757" s="881">
        <v>310685.44450110104</v>
      </c>
      <c r="P757" s="60">
        <v>6.8878272575262092E-2</v>
      </c>
      <c r="Q757" s="880">
        <v>3.0131233810157898</v>
      </c>
      <c r="R757" s="60">
        <v>0.58913629703887305</v>
      </c>
      <c r="S757" s="60">
        <v>0.16490902936512902</v>
      </c>
      <c r="T757" s="60">
        <v>0.39302910562958904</v>
      </c>
      <c r="U757" s="60">
        <v>0.40095815201026103</v>
      </c>
    </row>
    <row r="758" spans="1:21" x14ac:dyDescent="0.25">
      <c r="A758" s="519" t="s">
        <v>925</v>
      </c>
      <c r="B758" s="519" t="s">
        <v>926</v>
      </c>
      <c r="C758" s="519" t="s">
        <v>284</v>
      </c>
      <c r="D758" s="519" t="s">
        <v>110</v>
      </c>
      <c r="E758" s="519" t="s">
        <v>289</v>
      </c>
      <c r="F758" s="519" t="s">
        <v>70</v>
      </c>
      <c r="G758" s="519" t="s">
        <v>58</v>
      </c>
      <c r="H758" s="519" t="s">
        <v>150</v>
      </c>
      <c r="I758" s="881">
        <v>47852.642222000104</v>
      </c>
      <c r="J758" s="881">
        <v>5231.8813786399896</v>
      </c>
      <c r="K758" s="60">
        <v>9.8557564875215692E-2</v>
      </c>
      <c r="L758" s="880">
        <v>3.0054243244838701</v>
      </c>
      <c r="M758">
        <v>0</v>
      </c>
      <c r="N758" s="60">
        <v>0.16070916469612201</v>
      </c>
      <c r="O758" s="881">
        <v>170579.206304691</v>
      </c>
      <c r="P758" s="60">
        <v>5.9858375340131796E-2</v>
      </c>
      <c r="Q758" s="880">
        <v>3.01189894739248</v>
      </c>
      <c r="R758" s="60">
        <v>0.58913629703887305</v>
      </c>
      <c r="S758" s="60">
        <v>0.12348527126955401</v>
      </c>
      <c r="T758" s="60">
        <v>0.27577120064823601</v>
      </c>
      <c r="U758" s="60">
        <v>0.50236317897300209</v>
      </c>
    </row>
    <row r="759" spans="1:21" x14ac:dyDescent="0.25">
      <c r="A759" s="519" t="s">
        <v>925</v>
      </c>
      <c r="B759" s="519" t="s">
        <v>928</v>
      </c>
      <c r="C759" s="519" t="s">
        <v>284</v>
      </c>
      <c r="D759" s="519" t="s">
        <v>110</v>
      </c>
      <c r="E759" s="519" t="s">
        <v>289</v>
      </c>
      <c r="F759" s="519" t="s">
        <v>70</v>
      </c>
      <c r="G759" s="519" t="s">
        <v>58</v>
      </c>
      <c r="H759" s="519" t="s">
        <v>152</v>
      </c>
      <c r="I759" s="881">
        <v>52324.927343530202</v>
      </c>
      <c r="J759" s="881">
        <v>2482.16678602</v>
      </c>
      <c r="K759" s="60">
        <v>4.5289151440008897E-2</v>
      </c>
      <c r="L759" s="880">
        <v>2.96806090424122</v>
      </c>
      <c r="M759">
        <v>0</v>
      </c>
      <c r="N759" s="60">
        <v>0.11273999470673701</v>
      </c>
      <c r="O759" s="881">
        <v>170579.206304691</v>
      </c>
      <c r="P759" s="60">
        <v>5.9858375340131796E-2</v>
      </c>
      <c r="Q759" s="880">
        <v>3.01189894739248</v>
      </c>
      <c r="R759" s="60">
        <v>0.58913629703887305</v>
      </c>
      <c r="S759" s="60">
        <v>0.12348527126955401</v>
      </c>
      <c r="T759" s="60">
        <v>0.31949265245417602</v>
      </c>
      <c r="U759" s="60">
        <v>0.21698815027571999</v>
      </c>
    </row>
    <row r="760" spans="1:21" x14ac:dyDescent="0.25">
      <c r="A760" s="519" t="s">
        <v>929</v>
      </c>
      <c r="B760" s="519" t="s">
        <v>931</v>
      </c>
      <c r="C760" s="519" t="s">
        <v>284</v>
      </c>
      <c r="D760" s="519" t="s">
        <v>110</v>
      </c>
      <c r="E760" s="519" t="s">
        <v>289</v>
      </c>
      <c r="F760" s="519" t="s">
        <v>70</v>
      </c>
      <c r="G760" s="519" t="s">
        <v>59</v>
      </c>
      <c r="H760" s="519" t="s">
        <v>154</v>
      </c>
      <c r="I760" s="881">
        <v>17315.40045356</v>
      </c>
      <c r="J760" s="881">
        <v>2893.3070979600002</v>
      </c>
      <c r="K760" s="60">
        <v>0.14317130823848101</v>
      </c>
      <c r="L760" s="880">
        <v>2.9775741296386098</v>
      </c>
      <c r="M760">
        <v>0</v>
      </c>
      <c r="N760" s="60">
        <v>0.17193496205788902</v>
      </c>
      <c r="O760" s="881">
        <v>72132.997480079997</v>
      </c>
      <c r="P760" s="60">
        <v>9.3154438842976001E-2</v>
      </c>
      <c r="Q760" s="880">
        <v>3.0135194057039998</v>
      </c>
      <c r="R760" s="60">
        <v>0.58913629703887305</v>
      </c>
      <c r="S760" s="60">
        <v>0.24683569448014403</v>
      </c>
      <c r="T760" s="60">
        <v>0.28341651431225601</v>
      </c>
      <c r="U760" s="60">
        <v>0.44259013442257999</v>
      </c>
    </row>
    <row r="761" spans="1:21" x14ac:dyDescent="0.25">
      <c r="A761" s="519" t="s">
        <v>933</v>
      </c>
      <c r="B761" s="519" t="s">
        <v>935</v>
      </c>
      <c r="C761" s="519" t="s">
        <v>284</v>
      </c>
      <c r="D761" s="519" t="s">
        <v>110</v>
      </c>
      <c r="E761" s="519" t="s">
        <v>289</v>
      </c>
      <c r="F761" s="519" t="s">
        <v>16</v>
      </c>
      <c r="G761" s="519" t="s">
        <v>56</v>
      </c>
      <c r="H761" s="519" t="s">
        <v>145</v>
      </c>
      <c r="I761" s="881">
        <v>180608.039203508</v>
      </c>
      <c r="J761" s="881">
        <v>5588.44458776997</v>
      </c>
      <c r="K761" s="60">
        <v>3.00136956078852E-2</v>
      </c>
      <c r="L761" s="880">
        <v>3.1165618324194102</v>
      </c>
      <c r="M761">
        <v>0</v>
      </c>
      <c r="N761" s="60">
        <v>0.15878926604000701</v>
      </c>
      <c r="O761" s="881">
        <v>417376.82412716903</v>
      </c>
      <c r="P761" s="60">
        <v>2.7933011565022901E-2</v>
      </c>
      <c r="Q761" s="880">
        <v>3.0978321346339399</v>
      </c>
      <c r="R761" s="60">
        <v>0.58913629703887305</v>
      </c>
      <c r="S761" s="60">
        <v>0.183456592130952</v>
      </c>
      <c r="T761" s="60">
        <v>0.44843640858324901</v>
      </c>
      <c r="U761" s="60">
        <v>0.42165313633879303</v>
      </c>
    </row>
    <row r="762" spans="1:21" x14ac:dyDescent="0.25">
      <c r="A762" s="519" t="s">
        <v>937</v>
      </c>
      <c r="B762" s="519" t="s">
        <v>938</v>
      </c>
      <c r="C762" s="519" t="s">
        <v>284</v>
      </c>
      <c r="D762" s="519" t="s">
        <v>110</v>
      </c>
      <c r="E762" s="519" t="s">
        <v>289</v>
      </c>
      <c r="F762" s="519" t="s">
        <v>16</v>
      </c>
      <c r="G762" s="519" t="s">
        <v>57</v>
      </c>
      <c r="H762" s="519" t="s">
        <v>147</v>
      </c>
      <c r="I762" s="881">
        <v>134808.80933007001</v>
      </c>
      <c r="J762" s="881">
        <v>5533.61545260001</v>
      </c>
      <c r="K762" s="60">
        <v>3.9429384672305799E-2</v>
      </c>
      <c r="L762" s="880">
        <v>3.0279592245396798</v>
      </c>
      <c r="M762">
        <v>0</v>
      </c>
      <c r="N762" s="60">
        <v>0.19992895504847502</v>
      </c>
      <c r="O762" s="881">
        <v>428550.711946361</v>
      </c>
      <c r="P762" s="60">
        <v>6.1168328526233599E-2</v>
      </c>
      <c r="Q762" s="880">
        <v>3.0711790621635702</v>
      </c>
      <c r="R762" s="60">
        <v>0.58913629703887305</v>
      </c>
      <c r="S762" s="60">
        <v>0.19625066798982901</v>
      </c>
      <c r="T762" s="60">
        <v>0.30730312018962502</v>
      </c>
      <c r="U762" s="60">
        <v>0.20754577513766101</v>
      </c>
    </row>
    <row r="763" spans="1:21" x14ac:dyDescent="0.25">
      <c r="A763" s="519" t="s">
        <v>937</v>
      </c>
      <c r="B763" s="519" t="s">
        <v>940</v>
      </c>
      <c r="C763" s="519" t="s">
        <v>284</v>
      </c>
      <c r="D763" s="519" t="s">
        <v>110</v>
      </c>
      <c r="E763" s="519" t="s">
        <v>289</v>
      </c>
      <c r="F763" s="519" t="s">
        <v>16</v>
      </c>
      <c r="G763" s="519" t="s">
        <v>57</v>
      </c>
      <c r="H763" s="519" t="s">
        <v>149</v>
      </c>
      <c r="I763" s="881">
        <v>173658.33224679102</v>
      </c>
      <c r="J763" s="881">
        <v>12205.77781885</v>
      </c>
      <c r="K763" s="60">
        <v>6.5670439626776198E-2</v>
      </c>
      <c r="L763" s="880">
        <v>3.1027469112064798</v>
      </c>
      <c r="M763">
        <v>0</v>
      </c>
      <c r="N763" s="60">
        <v>0.18724477748899301</v>
      </c>
      <c r="O763" s="881">
        <v>428550.711946361</v>
      </c>
      <c r="P763" s="60">
        <v>6.1168328526233599E-2</v>
      </c>
      <c r="Q763" s="880">
        <v>3.0711790621635702</v>
      </c>
      <c r="R763" s="60">
        <v>0.58913629703887305</v>
      </c>
      <c r="S763" s="60">
        <v>0.19625066798982901</v>
      </c>
      <c r="T763" s="60">
        <v>0.39302910562958904</v>
      </c>
      <c r="U763" s="60">
        <v>0.40095815201026103</v>
      </c>
    </row>
    <row r="764" spans="1:21" x14ac:dyDescent="0.25">
      <c r="A764" s="519" t="s">
        <v>941</v>
      </c>
      <c r="B764" s="519" t="s">
        <v>942</v>
      </c>
      <c r="C764" s="519" t="s">
        <v>284</v>
      </c>
      <c r="D764" s="519" t="s">
        <v>110</v>
      </c>
      <c r="E764" s="519" t="s">
        <v>289</v>
      </c>
      <c r="F764" s="519" t="s">
        <v>16</v>
      </c>
      <c r="G764" s="519" t="s">
        <v>58</v>
      </c>
      <c r="H764" s="519" t="s">
        <v>150</v>
      </c>
      <c r="I764" s="881">
        <v>56418.265837750099</v>
      </c>
      <c r="J764" s="881">
        <v>9177.6045137999899</v>
      </c>
      <c r="K764" s="60">
        <v>0.13991131552358702</v>
      </c>
      <c r="L764" s="880">
        <v>3.0791870971062001</v>
      </c>
      <c r="M764">
        <v>0</v>
      </c>
      <c r="N764" s="60">
        <v>0.24944946277404401</v>
      </c>
      <c r="O764" s="881">
        <v>207527.382833871</v>
      </c>
      <c r="P764" s="60">
        <v>7.9088967604961896E-2</v>
      </c>
      <c r="Q764" s="880">
        <v>3.0701327319273801</v>
      </c>
      <c r="R764" s="60">
        <v>0.58913629703887305</v>
      </c>
      <c r="S764" s="60">
        <v>0.23024432830466701</v>
      </c>
      <c r="T764" s="60">
        <v>0.27577120064823601</v>
      </c>
      <c r="U764" s="60">
        <v>0.50236317897300209</v>
      </c>
    </row>
    <row r="765" spans="1:21" x14ac:dyDescent="0.25">
      <c r="A765" s="519" t="s">
        <v>941</v>
      </c>
      <c r="B765" s="519" t="s">
        <v>944</v>
      </c>
      <c r="C765" s="519" t="s">
        <v>284</v>
      </c>
      <c r="D765" s="519" t="s">
        <v>110</v>
      </c>
      <c r="E765" s="519" t="s">
        <v>289</v>
      </c>
      <c r="F765" s="519" t="s">
        <v>16</v>
      </c>
      <c r="G765" s="519" t="s">
        <v>58</v>
      </c>
      <c r="H765" s="519" t="s">
        <v>152</v>
      </c>
      <c r="I765" s="881">
        <v>68477.349730750197</v>
      </c>
      <c r="J765" s="881">
        <v>3741.7919376600003</v>
      </c>
      <c r="K765" s="60">
        <v>5.1811636793472698E-2</v>
      </c>
      <c r="L765" s="880">
        <v>3.08193879848523</v>
      </c>
      <c r="M765">
        <v>0</v>
      </c>
      <c r="N765" s="60">
        <v>0.22257207821166403</v>
      </c>
      <c r="O765" s="881">
        <v>207527.382833871</v>
      </c>
      <c r="P765" s="60">
        <v>7.9088967604961896E-2</v>
      </c>
      <c r="Q765" s="880">
        <v>3.0701327319273801</v>
      </c>
      <c r="R765" s="60">
        <v>0.58913629703887305</v>
      </c>
      <c r="S765" s="60">
        <v>0.23024432830466701</v>
      </c>
      <c r="T765" s="60">
        <v>0.31949265245417602</v>
      </c>
      <c r="U765" s="60">
        <v>0.21698815027571999</v>
      </c>
    </row>
    <row r="766" spans="1:21" x14ac:dyDescent="0.25">
      <c r="A766" s="519" t="s">
        <v>945</v>
      </c>
      <c r="B766" s="519" t="s">
        <v>946</v>
      </c>
      <c r="C766" s="519" t="s">
        <v>284</v>
      </c>
      <c r="D766" s="519" t="s">
        <v>110</v>
      </c>
      <c r="E766" s="519" t="s">
        <v>289</v>
      </c>
      <c r="F766" s="519" t="s">
        <v>16</v>
      </c>
      <c r="G766" s="519" t="s">
        <v>59</v>
      </c>
      <c r="H766" s="519" t="s">
        <v>154</v>
      </c>
      <c r="I766" s="881">
        <v>27502.308086460002</v>
      </c>
      <c r="J766" s="881">
        <v>7360.5653365299895</v>
      </c>
      <c r="K766" s="60">
        <v>0.21112904972646701</v>
      </c>
      <c r="L766" s="880">
        <v>3.0690491380690101</v>
      </c>
      <c r="M766">
        <v>0</v>
      </c>
      <c r="N766" s="60">
        <v>0.33736053978349101</v>
      </c>
      <c r="O766" s="881">
        <v>86000.725421619907</v>
      </c>
      <c r="P766" s="60">
        <v>0.15485743697906201</v>
      </c>
      <c r="Q766" s="880">
        <v>3.0598416258827599</v>
      </c>
      <c r="R766" s="60">
        <v>0.58913629703887305</v>
      </c>
      <c r="S766" s="60">
        <v>0.32040623798602103</v>
      </c>
      <c r="T766" s="60">
        <v>0.28341651431225601</v>
      </c>
      <c r="U766" s="60">
        <v>0.44259013442257999</v>
      </c>
    </row>
    <row r="767" spans="1:21" x14ac:dyDescent="0.25">
      <c r="A767" s="519" t="s">
        <v>948</v>
      </c>
      <c r="B767" s="519" t="s">
        <v>1774</v>
      </c>
      <c r="C767" s="519" t="s">
        <v>284</v>
      </c>
      <c r="D767" s="519" t="s">
        <v>110</v>
      </c>
      <c r="E767" s="519" t="s">
        <v>289</v>
      </c>
      <c r="F767" s="519" t="s">
        <v>17</v>
      </c>
      <c r="G767" s="519" t="s">
        <v>56</v>
      </c>
      <c r="H767" s="519" t="s">
        <v>145</v>
      </c>
      <c r="I767" s="881">
        <v>239986.53526681202</v>
      </c>
      <c r="J767" s="881">
        <v>6062.1107643499599</v>
      </c>
      <c r="K767" s="60">
        <v>2.46378545955586E-2</v>
      </c>
      <c r="L767" s="880">
        <v>3.1592361482557401</v>
      </c>
      <c r="M767">
        <v>0</v>
      </c>
      <c r="N767" s="60">
        <v>0.28279598104254905</v>
      </c>
      <c r="O767" s="881">
        <v>549827.27518233005</v>
      </c>
      <c r="P767" s="60">
        <v>2.53947746891755E-2</v>
      </c>
      <c r="Q767" s="880">
        <v>3.1221911094786701</v>
      </c>
      <c r="R767" s="60">
        <v>0.58913629703887305</v>
      </c>
      <c r="S767" s="60">
        <v>0.29346862474827701</v>
      </c>
      <c r="T767" s="60">
        <v>0.44843640858324901</v>
      </c>
      <c r="U767" s="60">
        <v>0.42165313633879303</v>
      </c>
    </row>
    <row r="768" spans="1:21" x14ac:dyDescent="0.25">
      <c r="A768" s="519" t="s">
        <v>1959</v>
      </c>
      <c r="B768" s="519" t="s">
        <v>1960</v>
      </c>
      <c r="C768" s="519" t="s">
        <v>284</v>
      </c>
      <c r="D768" s="519" t="s">
        <v>110</v>
      </c>
      <c r="E768" s="519" t="s">
        <v>289</v>
      </c>
      <c r="F768" s="519" t="s">
        <v>17</v>
      </c>
      <c r="G768" s="519" t="s">
        <v>57</v>
      </c>
      <c r="H768" s="519" t="s">
        <v>149</v>
      </c>
      <c r="I768" s="881">
        <v>220431.62595607102</v>
      </c>
      <c r="J768" s="881">
        <v>18601.690954670001</v>
      </c>
      <c r="K768" s="60">
        <v>7.7820494628438902E-2</v>
      </c>
      <c r="L768" s="880">
        <v>3.17365189113031</v>
      </c>
      <c r="M768">
        <v>0</v>
      </c>
      <c r="N768" s="60">
        <v>0.21460109664398702</v>
      </c>
      <c r="O768" s="881">
        <v>220431.62595607102</v>
      </c>
      <c r="P768" s="60">
        <v>7.7820494628437792E-2</v>
      </c>
      <c r="Q768" s="880">
        <v>3.17365189113031</v>
      </c>
      <c r="R768" s="60">
        <v>0.58913629703887305</v>
      </c>
      <c r="S768" s="60">
        <v>0.21460109664398702</v>
      </c>
      <c r="T768" s="60">
        <v>0.39302910562958904</v>
      </c>
      <c r="U768" s="60">
        <v>0.40095815201026103</v>
      </c>
    </row>
    <row r="769" spans="1:21" x14ac:dyDescent="0.25">
      <c r="A769" s="519" t="s">
        <v>949</v>
      </c>
      <c r="B769" s="519" t="s">
        <v>951</v>
      </c>
      <c r="C769" s="519" t="s">
        <v>284</v>
      </c>
      <c r="D769" s="519" t="s">
        <v>110</v>
      </c>
      <c r="E769" s="519" t="s">
        <v>3</v>
      </c>
      <c r="F769" s="519" t="s">
        <v>70</v>
      </c>
      <c r="G769" s="519" t="s">
        <v>56</v>
      </c>
      <c r="H769" s="519" t="s">
        <v>145</v>
      </c>
      <c r="I769" s="881">
        <v>236456.80871076902</v>
      </c>
      <c r="J769" s="881">
        <v>10044.043001599901</v>
      </c>
      <c r="K769" s="60">
        <v>4.0746483964768702E-2</v>
      </c>
      <c r="L769" s="880">
        <v>3.0848849718589801</v>
      </c>
      <c r="M769">
        <v>0</v>
      </c>
      <c r="N769" s="60">
        <v>3.8401388743036197E-2</v>
      </c>
      <c r="O769" s="881">
        <v>410538.12556380901</v>
      </c>
      <c r="P769" s="60">
        <v>5.2434400836057007E-2</v>
      </c>
      <c r="Q769" s="880">
        <v>3.0667193004507798</v>
      </c>
      <c r="R769" s="60">
        <v>0.61661852919238302</v>
      </c>
      <c r="S769" s="60">
        <v>5.5430152220303501E-2</v>
      </c>
      <c r="T769" s="60">
        <v>0.48370167206220505</v>
      </c>
      <c r="U769" s="60">
        <v>0.34572558509714402</v>
      </c>
    </row>
    <row r="770" spans="1:21" x14ac:dyDescent="0.25">
      <c r="A770" s="519" t="s">
        <v>953</v>
      </c>
      <c r="B770" s="519" t="s">
        <v>954</v>
      </c>
      <c r="C770" s="519" t="s">
        <v>284</v>
      </c>
      <c r="D770" s="519" t="s">
        <v>110</v>
      </c>
      <c r="E770" s="519" t="s">
        <v>3</v>
      </c>
      <c r="F770" s="519" t="s">
        <v>70</v>
      </c>
      <c r="G770" s="519" t="s">
        <v>57</v>
      </c>
      <c r="H770" s="519" t="s">
        <v>147</v>
      </c>
      <c r="I770" s="881">
        <v>86847.550514399903</v>
      </c>
      <c r="J770" s="881">
        <v>10009.513288239999</v>
      </c>
      <c r="K770" s="60">
        <v>0.10334314189655601</v>
      </c>
      <c r="L770" s="880">
        <v>2.78124560098028</v>
      </c>
      <c r="M770">
        <v>0</v>
      </c>
      <c r="N770" s="60">
        <v>4.2354450612744697E-2</v>
      </c>
      <c r="O770" s="881">
        <v>378167.25989777001</v>
      </c>
      <c r="P770" s="60">
        <v>0.11478036880028102</v>
      </c>
      <c r="Q770" s="880">
        <v>2.9768129654221398</v>
      </c>
      <c r="R770" s="60">
        <v>0.61661852919238302</v>
      </c>
      <c r="S770" s="60">
        <v>4.1083639965712501E-2</v>
      </c>
      <c r="T770" s="60">
        <v>0.24571281700458802</v>
      </c>
      <c r="U770" s="60">
        <v>0.224452269233815</v>
      </c>
    </row>
    <row r="771" spans="1:21" x14ac:dyDescent="0.25">
      <c r="A771" s="519" t="s">
        <v>953</v>
      </c>
      <c r="B771" s="519" t="s">
        <v>956</v>
      </c>
      <c r="C771" s="519" t="s">
        <v>284</v>
      </c>
      <c r="D771" s="519" t="s">
        <v>110</v>
      </c>
      <c r="E771" s="519" t="s">
        <v>3</v>
      </c>
      <c r="F771" s="519" t="s">
        <v>70</v>
      </c>
      <c r="G771" s="519" t="s">
        <v>57</v>
      </c>
      <c r="H771" s="519" t="s">
        <v>149</v>
      </c>
      <c r="I771" s="881">
        <v>187341.20071785001</v>
      </c>
      <c r="J771" s="881">
        <v>13879.00110182</v>
      </c>
      <c r="K771" s="60">
        <v>6.8974193328054101E-2</v>
      </c>
      <c r="L771" s="880">
        <v>2.9369500742212002</v>
      </c>
      <c r="M771">
        <v>0</v>
      </c>
      <c r="N771" s="60">
        <v>3.4592089487886599E-2</v>
      </c>
      <c r="O771" s="881">
        <v>378167.25989777001</v>
      </c>
      <c r="P771" s="60">
        <v>0.11478036880028102</v>
      </c>
      <c r="Q771" s="880">
        <v>2.9768129654221398</v>
      </c>
      <c r="R771" s="60">
        <v>0.61661852919238302</v>
      </c>
      <c r="S771" s="60">
        <v>4.1083639965712501E-2</v>
      </c>
      <c r="T771" s="60">
        <v>0.48246681729972501</v>
      </c>
      <c r="U771" s="60">
        <v>0.30594113796163902</v>
      </c>
    </row>
    <row r="772" spans="1:21" x14ac:dyDescent="0.25">
      <c r="A772" s="519" t="s">
        <v>957</v>
      </c>
      <c r="B772" s="519" t="s">
        <v>959</v>
      </c>
      <c r="C772" s="519" t="s">
        <v>284</v>
      </c>
      <c r="D772" s="519" t="s">
        <v>110</v>
      </c>
      <c r="E772" s="519" t="s">
        <v>3</v>
      </c>
      <c r="F772" s="519" t="s">
        <v>70</v>
      </c>
      <c r="G772" s="519" t="s">
        <v>58</v>
      </c>
      <c r="H772" s="519" t="s">
        <v>151</v>
      </c>
      <c r="I772" s="881">
        <v>92988.734099320209</v>
      </c>
      <c r="J772" s="881">
        <v>9342.437312080001</v>
      </c>
      <c r="K772" s="60">
        <v>9.1296104434501105E-2</v>
      </c>
      <c r="L772" s="880">
        <v>3.0317432011935401</v>
      </c>
      <c r="M772">
        <v>0</v>
      </c>
      <c r="N772" s="60">
        <v>7.9353348067719695E-2</v>
      </c>
      <c r="O772" s="881">
        <v>349666.65086181101</v>
      </c>
      <c r="P772" s="60">
        <v>9.53512016499235E-2</v>
      </c>
      <c r="Q772" s="880">
        <v>2.9888678545658798</v>
      </c>
      <c r="R772" s="60">
        <v>0.61661852919238302</v>
      </c>
      <c r="S772" s="60">
        <v>0.11233141018939501</v>
      </c>
      <c r="T772" s="60">
        <v>0.25798802007659705</v>
      </c>
      <c r="U772" s="60">
        <v>0.26913051821022704</v>
      </c>
    </row>
    <row r="773" spans="1:21" x14ac:dyDescent="0.25">
      <c r="A773" s="519" t="s">
        <v>961</v>
      </c>
      <c r="B773" s="519" t="s">
        <v>962</v>
      </c>
      <c r="C773" s="519" t="s">
        <v>284</v>
      </c>
      <c r="D773" s="519" t="s">
        <v>110</v>
      </c>
      <c r="E773" s="519" t="s">
        <v>3</v>
      </c>
      <c r="F773" s="519" t="s">
        <v>70</v>
      </c>
      <c r="G773" s="519" t="s">
        <v>59</v>
      </c>
      <c r="H773" s="519" t="s">
        <v>153</v>
      </c>
      <c r="I773" s="881">
        <v>46447.88891234</v>
      </c>
      <c r="J773" s="881">
        <v>11373.469565450001</v>
      </c>
      <c r="K773" s="60">
        <v>0.19670014445991801</v>
      </c>
      <c r="L773" s="880">
        <v>2.9605219507951599</v>
      </c>
      <c r="M773">
        <v>0</v>
      </c>
      <c r="N773" s="60">
        <v>0.11683380701826201</v>
      </c>
      <c r="O773" s="881">
        <v>176282.52548363002</v>
      </c>
      <c r="P773" s="60">
        <v>0.14173552864886702</v>
      </c>
      <c r="Q773" s="880">
        <v>2.9114586325686198</v>
      </c>
      <c r="R773" s="60">
        <v>0.61661852919238302</v>
      </c>
      <c r="S773" s="60">
        <v>0.136126645491917</v>
      </c>
      <c r="T773" s="60">
        <v>0.25477025177388302</v>
      </c>
      <c r="U773" s="60">
        <v>0.34383422526914803</v>
      </c>
    </row>
    <row r="774" spans="1:21" x14ac:dyDescent="0.25">
      <c r="A774" s="519" t="s">
        <v>961</v>
      </c>
      <c r="B774" s="519" t="s">
        <v>964</v>
      </c>
      <c r="C774" s="519" t="s">
        <v>284</v>
      </c>
      <c r="D774" s="519" t="s">
        <v>110</v>
      </c>
      <c r="E774" s="519" t="s">
        <v>3</v>
      </c>
      <c r="F774" s="519" t="s">
        <v>70</v>
      </c>
      <c r="G774" s="519" t="s">
        <v>59</v>
      </c>
      <c r="H774" s="519" t="s">
        <v>155</v>
      </c>
      <c r="I774" s="881">
        <v>86024.073298550196</v>
      </c>
      <c r="J774" s="881">
        <v>7564.4809630799691</v>
      </c>
      <c r="K774" s="60">
        <v>8.0826988115803494E-2</v>
      </c>
      <c r="L774" s="880">
        <v>2.7886764578227701</v>
      </c>
      <c r="M774">
        <v>0</v>
      </c>
      <c r="N774" s="60">
        <v>0.14415189039902201</v>
      </c>
      <c r="O774" s="881">
        <v>176282.52548363002</v>
      </c>
      <c r="P774" s="60">
        <v>0.14173552864886702</v>
      </c>
      <c r="Q774" s="880">
        <v>2.9114586325686198</v>
      </c>
      <c r="R774" s="60">
        <v>0.61661852919238302</v>
      </c>
      <c r="S774" s="60">
        <v>0.136126645491917</v>
      </c>
      <c r="T774" s="60">
        <v>0.47689807167746306</v>
      </c>
      <c r="U774" s="60">
        <v>0.24301569014534</v>
      </c>
    </row>
    <row r="775" spans="1:21" x14ac:dyDescent="0.25">
      <c r="A775" s="519" t="s">
        <v>965</v>
      </c>
      <c r="B775" s="519" t="s">
        <v>967</v>
      </c>
      <c r="C775" s="519" t="s">
        <v>284</v>
      </c>
      <c r="D775" s="519" t="s">
        <v>110</v>
      </c>
      <c r="E775" s="519" t="s">
        <v>3</v>
      </c>
      <c r="F775" s="519" t="s">
        <v>16</v>
      </c>
      <c r="G775" s="519" t="s">
        <v>56</v>
      </c>
      <c r="H775" s="519" t="s">
        <v>145</v>
      </c>
      <c r="I775" s="881">
        <v>245759.73280938101</v>
      </c>
      <c r="J775" s="881">
        <v>8020.5390376399491</v>
      </c>
      <c r="K775" s="60">
        <v>3.1604265293224902E-2</v>
      </c>
      <c r="L775" s="880">
        <v>2.9793961146349002</v>
      </c>
      <c r="M775">
        <v>0</v>
      </c>
      <c r="N775" s="60">
        <v>4.0793841920906099E-2</v>
      </c>
      <c r="O775" s="881">
        <v>540803.74274242204</v>
      </c>
      <c r="P775" s="60">
        <v>4.1039994638141702E-2</v>
      </c>
      <c r="Q775" s="880">
        <v>2.9878941448649501</v>
      </c>
      <c r="R775" s="60">
        <v>0.61661852919238302</v>
      </c>
      <c r="S775" s="60">
        <v>6.5916021198338004E-2</v>
      </c>
      <c r="T775" s="60">
        <v>0.48370167206220505</v>
      </c>
      <c r="U775" s="60">
        <v>0.34572558509714402</v>
      </c>
    </row>
    <row r="776" spans="1:21" x14ac:dyDescent="0.25">
      <c r="A776" s="519" t="s">
        <v>969</v>
      </c>
      <c r="B776" s="519" t="s">
        <v>970</v>
      </c>
      <c r="C776" s="519" t="s">
        <v>284</v>
      </c>
      <c r="D776" s="519" t="s">
        <v>110</v>
      </c>
      <c r="E776" s="519" t="s">
        <v>3</v>
      </c>
      <c r="F776" s="519" t="s">
        <v>16</v>
      </c>
      <c r="G776" s="519" t="s">
        <v>57</v>
      </c>
      <c r="H776" s="519" t="s">
        <v>147</v>
      </c>
      <c r="I776" s="881">
        <v>115756.56878963001</v>
      </c>
      <c r="J776" s="881">
        <v>12040.66140938</v>
      </c>
      <c r="K776" s="60">
        <v>9.4216919964774895E-2</v>
      </c>
      <c r="L776" s="880">
        <v>2.1851261727822902</v>
      </c>
      <c r="M776">
        <v>0</v>
      </c>
      <c r="N776" s="60">
        <v>6.1292597963007296E-2</v>
      </c>
      <c r="O776" s="881">
        <v>446389.31706031103</v>
      </c>
      <c r="P776" s="60">
        <v>9.9285867796620492E-2</v>
      </c>
      <c r="Q776" s="880">
        <v>2.9708559277736901</v>
      </c>
      <c r="R776" s="60">
        <v>0.61661852919238302</v>
      </c>
      <c r="S776" s="60">
        <v>6.1962758505403399E-2</v>
      </c>
      <c r="T776" s="60">
        <v>0.24571281700458802</v>
      </c>
      <c r="U776" s="60">
        <v>0.224452269233815</v>
      </c>
    </row>
    <row r="777" spans="1:21" x14ac:dyDescent="0.25">
      <c r="A777" s="519" t="s">
        <v>969</v>
      </c>
      <c r="B777" s="519" t="s">
        <v>972</v>
      </c>
      <c r="C777" s="519" t="s">
        <v>284</v>
      </c>
      <c r="D777" s="519" t="s">
        <v>110</v>
      </c>
      <c r="E777" s="519" t="s">
        <v>3</v>
      </c>
      <c r="F777" s="519" t="s">
        <v>16</v>
      </c>
      <c r="G777" s="519" t="s">
        <v>57</v>
      </c>
      <c r="H777" s="519" t="s">
        <v>149</v>
      </c>
      <c r="I777" s="881">
        <v>210479.98665067102</v>
      </c>
      <c r="J777" s="881">
        <v>16176.63416652</v>
      </c>
      <c r="K777" s="60">
        <v>7.1370666818364403E-2</v>
      </c>
      <c r="L777" s="880">
        <v>3.0273825905118801</v>
      </c>
      <c r="M777">
        <v>0</v>
      </c>
      <c r="N777" s="60">
        <v>4.2933679461876699E-2</v>
      </c>
      <c r="O777" s="881">
        <v>446389.31706031103</v>
      </c>
      <c r="P777" s="60">
        <v>9.9285867796620492E-2</v>
      </c>
      <c r="Q777" s="880">
        <v>2.9708559277736901</v>
      </c>
      <c r="R777" s="60">
        <v>0.61661852919238302</v>
      </c>
      <c r="S777" s="60">
        <v>6.1962758505403399E-2</v>
      </c>
      <c r="T777" s="60">
        <v>0.48246681729972501</v>
      </c>
      <c r="U777" s="60">
        <v>0.30594113796163902</v>
      </c>
    </row>
    <row r="778" spans="1:21" x14ac:dyDescent="0.25">
      <c r="A778" s="519" t="s">
        <v>973</v>
      </c>
      <c r="B778" s="519" t="s">
        <v>975</v>
      </c>
      <c r="C778" s="519" t="s">
        <v>284</v>
      </c>
      <c r="D778" s="519" t="s">
        <v>110</v>
      </c>
      <c r="E778" s="519" t="s">
        <v>3</v>
      </c>
      <c r="F778" s="519" t="s">
        <v>16</v>
      </c>
      <c r="G778" s="519" t="s">
        <v>58</v>
      </c>
      <c r="H778" s="519" t="s">
        <v>151</v>
      </c>
      <c r="I778" s="881">
        <v>117325.60645929001</v>
      </c>
      <c r="J778" s="881">
        <v>12834.678996730001</v>
      </c>
      <c r="K778" s="60">
        <v>9.8606721334110803E-2</v>
      </c>
      <c r="L778" s="880">
        <v>2.94402074685989</v>
      </c>
      <c r="M778">
        <v>0</v>
      </c>
      <c r="N778" s="60">
        <v>0.107974164080503</v>
      </c>
      <c r="O778" s="881">
        <v>465543.06506286102</v>
      </c>
      <c r="P778" s="60">
        <v>8.9118245634488905E-2</v>
      </c>
      <c r="Q778" s="880">
        <v>2.9158393711636799</v>
      </c>
      <c r="R778" s="60">
        <v>0.61661852919238302</v>
      </c>
      <c r="S778" s="60">
        <v>0.16556264794856901</v>
      </c>
      <c r="T778" s="60">
        <v>0.25798802007659705</v>
      </c>
      <c r="U778" s="60">
        <v>0.26913051821022704</v>
      </c>
    </row>
    <row r="779" spans="1:21" x14ac:dyDescent="0.25">
      <c r="A779" s="519" t="s">
        <v>977</v>
      </c>
      <c r="B779" s="519" t="s">
        <v>308</v>
      </c>
      <c r="C779" s="519" t="s">
        <v>284</v>
      </c>
      <c r="D779" s="519" t="s">
        <v>110</v>
      </c>
      <c r="E779" s="519" t="s">
        <v>3</v>
      </c>
      <c r="F779" s="519" t="s">
        <v>16</v>
      </c>
      <c r="G779" s="519" t="s">
        <v>59</v>
      </c>
      <c r="H779" s="519" t="s">
        <v>153</v>
      </c>
      <c r="I779" s="881">
        <v>45901.558618060102</v>
      </c>
      <c r="J779" s="881">
        <v>11537.842591999999</v>
      </c>
      <c r="K779" s="60">
        <v>0.20086982713843601</v>
      </c>
      <c r="L779" s="880">
        <v>2.88948404031273</v>
      </c>
      <c r="M779">
        <v>0</v>
      </c>
      <c r="N779" s="60">
        <v>0.19892075093431502</v>
      </c>
      <c r="O779" s="881">
        <v>186198.75672024</v>
      </c>
      <c r="P779" s="60">
        <v>0.16772214167083502</v>
      </c>
      <c r="Q779" s="880">
        <v>2.84172056970344</v>
      </c>
      <c r="R779" s="60">
        <v>0.61661852919238302</v>
      </c>
      <c r="S779" s="60">
        <v>0.24654905895555801</v>
      </c>
      <c r="T779" s="60">
        <v>0.25477025177388302</v>
      </c>
      <c r="U779" s="60">
        <v>0.34383422526914803</v>
      </c>
    </row>
    <row r="780" spans="1:21" x14ac:dyDescent="0.25">
      <c r="A780" s="519" t="s">
        <v>977</v>
      </c>
      <c r="B780" s="519" t="s">
        <v>979</v>
      </c>
      <c r="C780" s="519" t="s">
        <v>284</v>
      </c>
      <c r="D780" s="519" t="s">
        <v>110</v>
      </c>
      <c r="E780" s="519" t="s">
        <v>3</v>
      </c>
      <c r="F780" s="519" t="s">
        <v>16</v>
      </c>
      <c r="G780" s="519" t="s">
        <v>59</v>
      </c>
      <c r="H780" s="519" t="s">
        <v>155</v>
      </c>
      <c r="I780" s="881">
        <v>86842.551203649899</v>
      </c>
      <c r="J780" s="881">
        <v>8628.81198708997</v>
      </c>
      <c r="K780" s="60">
        <v>9.0381154083352594E-2</v>
      </c>
      <c r="L780" s="880">
        <v>4.0568291816668296</v>
      </c>
      <c r="M780">
        <v>0</v>
      </c>
      <c r="N780" s="60">
        <v>0.27522122437480301</v>
      </c>
      <c r="O780" s="881">
        <v>186198.75672024</v>
      </c>
      <c r="P780" s="60">
        <v>0.16772214167083502</v>
      </c>
      <c r="Q780" s="880">
        <v>2.84172056970344</v>
      </c>
      <c r="R780" s="60">
        <v>0.61661852919238302</v>
      </c>
      <c r="S780" s="60">
        <v>0.24654905895555801</v>
      </c>
      <c r="T780" s="60">
        <v>0.47689807167746306</v>
      </c>
      <c r="U780" s="60">
        <v>0.24301569014534</v>
      </c>
    </row>
    <row r="781" spans="1:21" x14ac:dyDescent="0.25">
      <c r="A781" s="519" t="s">
        <v>980</v>
      </c>
      <c r="B781" s="519" t="s">
        <v>1754</v>
      </c>
      <c r="C781" s="519" t="s">
        <v>284</v>
      </c>
      <c r="D781" s="519" t="s">
        <v>110</v>
      </c>
      <c r="E781" s="519" t="s">
        <v>3</v>
      </c>
      <c r="F781" s="519" t="s">
        <v>17</v>
      </c>
      <c r="G781" s="519" t="s">
        <v>56</v>
      </c>
      <c r="H781" s="519" t="s">
        <v>145</v>
      </c>
      <c r="I781" s="881">
        <v>296840.76208722702</v>
      </c>
      <c r="J781" s="881">
        <v>10998.515779270001</v>
      </c>
      <c r="K781" s="60">
        <v>3.5728110641033102E-2</v>
      </c>
      <c r="L781" s="880">
        <v>2.9907046956619201</v>
      </c>
      <c r="M781">
        <v>0</v>
      </c>
      <c r="N781" s="60">
        <v>0.23193614021122502</v>
      </c>
      <c r="O781" s="881">
        <v>659273.41091320699</v>
      </c>
      <c r="P781" s="60">
        <v>5.47720066266527E-2</v>
      </c>
      <c r="Q781" s="880">
        <v>3.0009204338660802</v>
      </c>
      <c r="R781" s="60">
        <v>0.61661852919238302</v>
      </c>
      <c r="S781" s="60">
        <v>0.23669021579705901</v>
      </c>
      <c r="T781" s="60">
        <v>0.48370167206220505</v>
      </c>
      <c r="U781" s="60">
        <v>0.34572558509714402</v>
      </c>
    </row>
    <row r="782" spans="1:21" x14ac:dyDescent="0.25">
      <c r="A782" s="519" t="s">
        <v>1961</v>
      </c>
      <c r="B782" s="519" t="s">
        <v>1962</v>
      </c>
      <c r="C782" s="519" t="s">
        <v>284</v>
      </c>
      <c r="D782" s="519" t="s">
        <v>110</v>
      </c>
      <c r="E782" s="519" t="s">
        <v>3</v>
      </c>
      <c r="F782" s="519" t="s">
        <v>17</v>
      </c>
      <c r="G782" s="519" t="s">
        <v>57</v>
      </c>
      <c r="H782" s="519" t="s">
        <v>149</v>
      </c>
      <c r="I782" s="881">
        <v>220826.35169821102</v>
      </c>
      <c r="J782" s="881">
        <v>17802.918170690002</v>
      </c>
      <c r="K782" s="60">
        <v>7.4604922440867097E-2</v>
      </c>
      <c r="L782" s="880">
        <v>2.9646762414585099</v>
      </c>
      <c r="M782">
        <v>0</v>
      </c>
      <c r="N782" s="60">
        <v>0.25395474937094803</v>
      </c>
      <c r="O782" s="881">
        <v>220826.35169821102</v>
      </c>
      <c r="P782" s="60">
        <v>7.46049224408665E-2</v>
      </c>
      <c r="Q782" s="880">
        <v>2.9646762414585099</v>
      </c>
      <c r="R782" s="60">
        <v>0.61661852919238302</v>
      </c>
      <c r="S782" s="60">
        <v>0.25395474937094803</v>
      </c>
      <c r="T782" s="60">
        <v>0.48246681729972501</v>
      </c>
      <c r="U782" s="60">
        <v>0.30594113796163902</v>
      </c>
    </row>
    <row r="783" spans="1:21" x14ac:dyDescent="0.25">
      <c r="A783" s="519" t="s">
        <v>981</v>
      </c>
      <c r="B783" s="519" t="s">
        <v>982</v>
      </c>
      <c r="C783" s="519" t="s">
        <v>284</v>
      </c>
      <c r="D783" s="519" t="s">
        <v>110</v>
      </c>
      <c r="E783" s="519" t="s">
        <v>286</v>
      </c>
      <c r="F783" s="519" t="s">
        <v>70</v>
      </c>
      <c r="G783" s="519" t="s">
        <v>56</v>
      </c>
      <c r="H783" s="519" t="s">
        <v>144</v>
      </c>
      <c r="I783" s="881">
        <v>32387.573906739999</v>
      </c>
      <c r="J783" s="881">
        <v>2525.5820591299998</v>
      </c>
      <c r="K783" s="60">
        <v>7.23389790828112E-2</v>
      </c>
      <c r="L783" s="880">
        <v>2.9540456132725001</v>
      </c>
      <c r="M783">
        <v>0</v>
      </c>
      <c r="N783" s="60">
        <v>0.32061427169816703</v>
      </c>
      <c r="O783" s="881">
        <v>131034.41058479001</v>
      </c>
      <c r="P783" s="60">
        <v>6.84546809968717E-2</v>
      </c>
      <c r="Q783" s="880">
        <v>2.9735871511247298</v>
      </c>
      <c r="R783" s="60">
        <v>0.59496901142443903</v>
      </c>
      <c r="S783" s="60">
        <v>0.46062072580853902</v>
      </c>
      <c r="T783" s="60">
        <v>0.29982781175254303</v>
      </c>
      <c r="U783" s="60">
        <v>0.27900245754449104</v>
      </c>
    </row>
    <row r="784" spans="1:21" x14ac:dyDescent="0.25">
      <c r="A784" s="519" t="s">
        <v>981</v>
      </c>
      <c r="B784" s="519" t="s">
        <v>984</v>
      </c>
      <c r="C784" s="519" t="s">
        <v>284</v>
      </c>
      <c r="D784" s="519" t="s">
        <v>110</v>
      </c>
      <c r="E784" s="519" t="s">
        <v>286</v>
      </c>
      <c r="F784" s="519" t="s">
        <v>70</v>
      </c>
      <c r="G784" s="519" t="s">
        <v>56</v>
      </c>
      <c r="H784" s="519" t="s">
        <v>146</v>
      </c>
      <c r="I784" s="881">
        <v>46065.493460000005</v>
      </c>
      <c r="J784" s="881">
        <v>3965.26240486999</v>
      </c>
      <c r="K784" s="60">
        <v>7.9256496055744405E-2</v>
      </c>
      <c r="L784" s="880">
        <v>2.9907281618154298</v>
      </c>
      <c r="M784">
        <v>0</v>
      </c>
      <c r="N784" s="60">
        <v>0.44853869975237703</v>
      </c>
      <c r="O784" s="881">
        <v>131034.41058479001</v>
      </c>
      <c r="P784" s="60">
        <v>6.84546809968717E-2</v>
      </c>
      <c r="Q784" s="880">
        <v>2.9735871511247298</v>
      </c>
      <c r="R784" s="60">
        <v>0.59496901142443903</v>
      </c>
      <c r="S784" s="60">
        <v>0.46062072580853902</v>
      </c>
      <c r="T784" s="60">
        <v>0.35585392178554703</v>
      </c>
      <c r="U784" s="60">
        <v>0.38336811600276804</v>
      </c>
    </row>
    <row r="785" spans="1:21" x14ac:dyDescent="0.25">
      <c r="A785" s="519" t="s">
        <v>985</v>
      </c>
      <c r="B785" s="519" t="s">
        <v>987</v>
      </c>
      <c r="C785" s="519" t="s">
        <v>284</v>
      </c>
      <c r="D785" s="519" t="s">
        <v>110</v>
      </c>
      <c r="E785" s="519" t="s">
        <v>286</v>
      </c>
      <c r="F785" s="519" t="s">
        <v>70</v>
      </c>
      <c r="G785" s="519" t="s">
        <v>57</v>
      </c>
      <c r="H785" s="519" t="s">
        <v>148</v>
      </c>
      <c r="I785" s="881">
        <v>52472.768343110103</v>
      </c>
      <c r="J785" s="881">
        <v>1992.7653943100001</v>
      </c>
      <c r="K785" s="60">
        <v>3.6587640982592401E-2</v>
      </c>
      <c r="L785" s="880">
        <v>3.0375000534588801</v>
      </c>
      <c r="M785">
        <v>0</v>
      </c>
      <c r="N785" s="60">
        <v>0.43350474182074999</v>
      </c>
      <c r="O785" s="881">
        <v>175361.39550204002</v>
      </c>
      <c r="P785" s="60">
        <v>5.4110726199781002E-2</v>
      </c>
      <c r="Q785" s="880">
        <v>3.0031117397962102</v>
      </c>
      <c r="R785" s="60">
        <v>0.59496901142443903</v>
      </c>
      <c r="S785" s="60">
        <v>0.48342991843894106</v>
      </c>
      <c r="T785" s="60">
        <v>0.30363500974367003</v>
      </c>
      <c r="U785" s="60">
        <v>0.293322255920551</v>
      </c>
    </row>
    <row r="786" spans="1:21" x14ac:dyDescent="0.25">
      <c r="A786" s="519" t="s">
        <v>989</v>
      </c>
      <c r="B786" s="519" t="s">
        <v>991</v>
      </c>
      <c r="C786" s="519" t="s">
        <v>284</v>
      </c>
      <c r="D786" s="519" t="s">
        <v>110</v>
      </c>
      <c r="E786" s="519" t="s">
        <v>286</v>
      </c>
      <c r="F786" s="519" t="s">
        <v>70</v>
      </c>
      <c r="G786" s="519" t="s">
        <v>58</v>
      </c>
      <c r="H786" s="519" t="s">
        <v>151</v>
      </c>
      <c r="I786" s="881">
        <v>52903.627699839999</v>
      </c>
      <c r="J786" s="881">
        <v>1367.7588314</v>
      </c>
      <c r="K786" s="60">
        <v>2.52022090980242E-2</v>
      </c>
      <c r="L786" s="880">
        <v>3.04492419050333</v>
      </c>
      <c r="M786">
        <v>0</v>
      </c>
      <c r="N786" s="60">
        <v>0.30509549968515304</v>
      </c>
      <c r="O786" s="881">
        <v>181469.97867777001</v>
      </c>
      <c r="P786" s="60">
        <v>3.3948567561044501E-2</v>
      </c>
      <c r="Q786" s="880">
        <v>3.1142988270510199</v>
      </c>
      <c r="R786" s="60">
        <v>0.59496901142443903</v>
      </c>
      <c r="S786" s="60">
        <v>0.24451724157531701</v>
      </c>
      <c r="T786" s="60">
        <v>0.24058723724156603</v>
      </c>
      <c r="U786" s="60">
        <v>0.24804654546455102</v>
      </c>
    </row>
    <row r="787" spans="1:21" x14ac:dyDescent="0.25">
      <c r="A787" s="519" t="s">
        <v>993</v>
      </c>
      <c r="B787" s="519" t="s">
        <v>994</v>
      </c>
      <c r="C787" s="519" t="s">
        <v>284</v>
      </c>
      <c r="D787" s="519" t="s">
        <v>110</v>
      </c>
      <c r="E787" s="519" t="s">
        <v>286</v>
      </c>
      <c r="F787" s="519" t="s">
        <v>70</v>
      </c>
      <c r="G787" s="519" t="s">
        <v>59</v>
      </c>
      <c r="H787" s="519" t="s">
        <v>153</v>
      </c>
      <c r="I787" s="881">
        <v>56555.711851010201</v>
      </c>
      <c r="J787" s="881">
        <v>1639.7137486900099</v>
      </c>
      <c r="K787" s="60">
        <v>2.81759903255775E-2</v>
      </c>
      <c r="L787" s="880">
        <v>3.0519856926763298</v>
      </c>
      <c r="M787">
        <v>0</v>
      </c>
      <c r="N787" s="60">
        <v>0.15555920723227301</v>
      </c>
      <c r="O787" s="881">
        <v>215524.27931223102</v>
      </c>
      <c r="P787" s="60">
        <v>2.5400618329409999E-2</v>
      </c>
      <c r="Q787" s="880">
        <v>3.0638356937623699</v>
      </c>
      <c r="R787" s="60">
        <v>0.59496901142443903</v>
      </c>
      <c r="S787" s="60">
        <v>0.14143519964346801</v>
      </c>
      <c r="T787" s="60">
        <v>0.26774701514205601</v>
      </c>
      <c r="U787" s="60">
        <v>0.226019336483744</v>
      </c>
    </row>
    <row r="788" spans="1:21" x14ac:dyDescent="0.25">
      <c r="A788" s="519" t="s">
        <v>993</v>
      </c>
      <c r="B788" s="519" t="s">
        <v>996</v>
      </c>
      <c r="C788" s="519" t="s">
        <v>284</v>
      </c>
      <c r="D788" s="519" t="s">
        <v>110</v>
      </c>
      <c r="E788" s="519" t="s">
        <v>286</v>
      </c>
      <c r="F788" s="519" t="s">
        <v>70</v>
      </c>
      <c r="G788" s="519" t="s">
        <v>59</v>
      </c>
      <c r="H788" s="519" t="s">
        <v>155</v>
      </c>
      <c r="I788" s="881">
        <v>87191.031955200408</v>
      </c>
      <c r="J788" s="881">
        <v>2174.2233597300001</v>
      </c>
      <c r="K788" s="60">
        <v>2.4329627348658799E-2</v>
      </c>
      <c r="L788" s="880">
        <v>3.1020136740536999</v>
      </c>
      <c r="M788">
        <v>0</v>
      </c>
      <c r="N788" s="60">
        <v>0.13982980417899302</v>
      </c>
      <c r="O788" s="881">
        <v>215524.27931223102</v>
      </c>
      <c r="P788" s="60">
        <v>2.5400618329409999E-2</v>
      </c>
      <c r="Q788" s="880">
        <v>3.0638356937623699</v>
      </c>
      <c r="R788" s="60">
        <v>0.59496901142443903</v>
      </c>
      <c r="S788" s="60">
        <v>0.14143519964346801</v>
      </c>
      <c r="T788" s="60">
        <v>0.42032934442286302</v>
      </c>
      <c r="U788" s="60">
        <v>0.44476280884993402</v>
      </c>
    </row>
    <row r="789" spans="1:21" x14ac:dyDescent="0.25">
      <c r="A789" s="519" t="s">
        <v>997</v>
      </c>
      <c r="B789" s="519" t="s">
        <v>999</v>
      </c>
      <c r="C789" s="519" t="s">
        <v>284</v>
      </c>
      <c r="D789" s="519" t="s">
        <v>110</v>
      </c>
      <c r="E789" s="519" t="s">
        <v>286</v>
      </c>
      <c r="F789" s="519" t="s">
        <v>16</v>
      </c>
      <c r="G789" s="519" t="s">
        <v>56</v>
      </c>
      <c r="H789" s="519" t="s">
        <v>145</v>
      </c>
      <c r="I789" s="881">
        <v>67627.421580570197</v>
      </c>
      <c r="J789" s="881">
        <v>2729.0738869699999</v>
      </c>
      <c r="K789" s="60">
        <v>3.8789224347155003E-2</v>
      </c>
      <c r="L789" s="880">
        <v>3.1492587758403801</v>
      </c>
      <c r="M789">
        <v>0</v>
      </c>
      <c r="N789" s="60">
        <v>0.36731904512513502</v>
      </c>
      <c r="O789" s="881">
        <v>192233.06838273001</v>
      </c>
      <c r="P789" s="60">
        <v>3.6836740168868197E-2</v>
      </c>
      <c r="Q789" s="880">
        <v>3.0595187542250599</v>
      </c>
      <c r="R789" s="60">
        <v>0.59496901142443903</v>
      </c>
      <c r="S789" s="60">
        <v>0.26099256999534604</v>
      </c>
      <c r="T789" s="60">
        <v>0.34431826646190905</v>
      </c>
      <c r="U789" s="60">
        <v>0.33762942645274102</v>
      </c>
    </row>
    <row r="790" spans="1:21" x14ac:dyDescent="0.25">
      <c r="A790" s="519" t="s">
        <v>1001</v>
      </c>
      <c r="B790" s="519" t="s">
        <v>1002</v>
      </c>
      <c r="C790" s="519" t="s">
        <v>284</v>
      </c>
      <c r="D790" s="519" t="s">
        <v>110</v>
      </c>
      <c r="E790" s="519" t="s">
        <v>286</v>
      </c>
      <c r="F790" s="519" t="s">
        <v>16</v>
      </c>
      <c r="G790" s="519" t="s">
        <v>57</v>
      </c>
      <c r="H790" s="519" t="s">
        <v>147</v>
      </c>
      <c r="I790" s="881">
        <v>67399.602310310409</v>
      </c>
      <c r="J790" s="881">
        <v>2183.0975910300099</v>
      </c>
      <c r="K790" s="60">
        <v>3.13741432011891E-2</v>
      </c>
      <c r="L790" s="880">
        <v>3.1068064030286902</v>
      </c>
      <c r="M790">
        <v>0</v>
      </c>
      <c r="N790" s="60">
        <v>0.46623746751741602</v>
      </c>
      <c r="O790" s="881">
        <v>209734.75273680102</v>
      </c>
      <c r="P790" s="60">
        <v>6.56177887519757E-2</v>
      </c>
      <c r="Q790" s="880">
        <v>3.1459028956250101</v>
      </c>
      <c r="R790" s="60">
        <v>0.59496901142443903</v>
      </c>
      <c r="S790" s="60">
        <v>0.47939890560010101</v>
      </c>
      <c r="T790" s="60">
        <v>0.32109959850488701</v>
      </c>
      <c r="U790" s="60">
        <v>0.16244428777648001</v>
      </c>
    </row>
    <row r="791" spans="1:21" x14ac:dyDescent="0.25">
      <c r="A791" s="519" t="s">
        <v>1001</v>
      </c>
      <c r="B791" s="519" t="s">
        <v>1004</v>
      </c>
      <c r="C791" s="519" t="s">
        <v>284</v>
      </c>
      <c r="D791" s="519" t="s">
        <v>110</v>
      </c>
      <c r="E791" s="519" t="s">
        <v>286</v>
      </c>
      <c r="F791" s="519" t="s">
        <v>16</v>
      </c>
      <c r="G791" s="519" t="s">
        <v>57</v>
      </c>
      <c r="H791" s="519" t="s">
        <v>149</v>
      </c>
      <c r="I791" s="881">
        <v>77879.246046850109</v>
      </c>
      <c r="J791" s="881">
        <v>7275.6465226499895</v>
      </c>
      <c r="K791" s="60">
        <v>8.5440146809086293E-2</v>
      </c>
      <c r="L791" s="880">
        <v>3.1870744065468899</v>
      </c>
      <c r="M791">
        <v>0</v>
      </c>
      <c r="N791" s="60">
        <v>0.48730588614005904</v>
      </c>
      <c r="O791" s="881">
        <v>209734.75273680102</v>
      </c>
      <c r="P791" s="60">
        <v>6.56177887519757E-2</v>
      </c>
      <c r="Q791" s="880">
        <v>3.1459028956250101</v>
      </c>
      <c r="R791" s="60">
        <v>0.59496901142443903</v>
      </c>
      <c r="S791" s="60">
        <v>0.47939890560010101</v>
      </c>
      <c r="T791" s="60">
        <v>0.37526539175144202</v>
      </c>
      <c r="U791" s="60">
        <v>0.54423345630296904</v>
      </c>
    </row>
    <row r="792" spans="1:21" x14ac:dyDescent="0.25">
      <c r="A792" s="519" t="s">
        <v>1005</v>
      </c>
      <c r="B792" s="519" t="s">
        <v>1006</v>
      </c>
      <c r="C792" s="519" t="s">
        <v>284</v>
      </c>
      <c r="D792" s="519" t="s">
        <v>110</v>
      </c>
      <c r="E792" s="519" t="s">
        <v>286</v>
      </c>
      <c r="F792" s="519" t="s">
        <v>16</v>
      </c>
      <c r="G792" s="519" t="s">
        <v>58</v>
      </c>
      <c r="H792" s="519" t="s">
        <v>150</v>
      </c>
      <c r="I792" s="881">
        <v>169588.52079548102</v>
      </c>
      <c r="J792" s="881">
        <v>5688.6461274499297</v>
      </c>
      <c r="K792" s="60">
        <v>3.24551464820928E-2</v>
      </c>
      <c r="L792" s="880">
        <v>3.2616981028797798</v>
      </c>
      <c r="M792">
        <v>0</v>
      </c>
      <c r="N792" s="60">
        <v>0.54073429502672998</v>
      </c>
      <c r="O792" s="881">
        <v>371670.88316753204</v>
      </c>
      <c r="P792" s="60">
        <v>3.0428747266021398E-2</v>
      </c>
      <c r="Q792" s="880">
        <v>3.2161145245193201</v>
      </c>
      <c r="R792" s="60">
        <v>0.59496901142443903</v>
      </c>
      <c r="S792" s="60">
        <v>0.47948329425157504</v>
      </c>
      <c r="T792" s="60">
        <v>0.42549338331942704</v>
      </c>
      <c r="U792" s="60">
        <v>0.50684187999479302</v>
      </c>
    </row>
    <row r="793" spans="1:21" x14ac:dyDescent="0.25">
      <c r="A793" s="519" t="s">
        <v>1005</v>
      </c>
      <c r="B793" s="519" t="s">
        <v>1008</v>
      </c>
      <c r="C793" s="519" t="s">
        <v>284</v>
      </c>
      <c r="D793" s="519" t="s">
        <v>110</v>
      </c>
      <c r="E793" s="519" t="s">
        <v>286</v>
      </c>
      <c r="F793" s="519" t="s">
        <v>16</v>
      </c>
      <c r="G793" s="519" t="s">
        <v>58</v>
      </c>
      <c r="H793" s="519" t="s">
        <v>152</v>
      </c>
      <c r="I793" s="881">
        <v>121907.35831511101</v>
      </c>
      <c r="J793" s="881">
        <v>2868.3805335000097</v>
      </c>
      <c r="K793" s="60">
        <v>2.29882873062386E-2</v>
      </c>
      <c r="L793" s="880">
        <v>3.1625941074754098</v>
      </c>
      <c r="M793">
        <v>0</v>
      </c>
      <c r="N793" s="60">
        <v>0.44494299132119602</v>
      </c>
      <c r="O793" s="881">
        <v>371670.88316753204</v>
      </c>
      <c r="P793" s="60">
        <v>3.0428747266021398E-2</v>
      </c>
      <c r="Q793" s="880">
        <v>3.2161145245193201</v>
      </c>
      <c r="R793" s="60">
        <v>0.59496901142443903</v>
      </c>
      <c r="S793" s="60">
        <v>0.47948329425157504</v>
      </c>
      <c r="T793" s="60">
        <v>0.33391937943900701</v>
      </c>
      <c r="U793" s="60">
        <v>0.24511157454065602</v>
      </c>
    </row>
    <row r="794" spans="1:21" x14ac:dyDescent="0.25">
      <c r="A794" s="519" t="s">
        <v>1009</v>
      </c>
      <c r="B794" s="519" t="s">
        <v>1010</v>
      </c>
      <c r="C794" s="519" t="s">
        <v>284</v>
      </c>
      <c r="D794" s="519" t="s">
        <v>110</v>
      </c>
      <c r="E794" s="519" t="s">
        <v>286</v>
      </c>
      <c r="F794" s="519" t="s">
        <v>16</v>
      </c>
      <c r="G794" s="519" t="s">
        <v>59</v>
      </c>
      <c r="H794" s="519" t="s">
        <v>154</v>
      </c>
      <c r="I794" s="881">
        <v>112424.76677692001</v>
      </c>
      <c r="J794" s="881">
        <v>3576.1042659400196</v>
      </c>
      <c r="K794" s="60">
        <v>3.0828253562154198E-2</v>
      </c>
      <c r="L794" s="880">
        <v>3.2124993270931799</v>
      </c>
      <c r="M794">
        <v>0</v>
      </c>
      <c r="N794" s="60">
        <v>0.41569822199652801</v>
      </c>
      <c r="O794" s="881">
        <v>375012.244389561</v>
      </c>
      <c r="P794" s="60">
        <v>2.7797585991392499E-2</v>
      </c>
      <c r="Q794" s="880">
        <v>3.2598539079285702</v>
      </c>
      <c r="R794" s="60">
        <v>0.59496901142443903</v>
      </c>
      <c r="S794" s="60">
        <v>0.46078941748721902</v>
      </c>
      <c r="T794" s="60">
        <v>0.31192364043508103</v>
      </c>
      <c r="U794" s="60">
        <v>0.32921785466632203</v>
      </c>
    </row>
    <row r="795" spans="1:21" x14ac:dyDescent="0.25">
      <c r="A795" s="519" t="s">
        <v>1012</v>
      </c>
      <c r="B795" s="519" t="s">
        <v>348</v>
      </c>
      <c r="C795" s="519" t="s">
        <v>284</v>
      </c>
      <c r="D795" s="519" t="s">
        <v>110</v>
      </c>
      <c r="E795" s="519" t="s">
        <v>286</v>
      </c>
      <c r="F795" s="519" t="s">
        <v>17</v>
      </c>
      <c r="G795" s="519" t="s">
        <v>56</v>
      </c>
      <c r="H795" s="519" t="s">
        <v>144</v>
      </c>
      <c r="I795" s="881">
        <v>127485.81871776</v>
      </c>
      <c r="J795" s="881">
        <v>3003.0802314900002</v>
      </c>
      <c r="K795" s="60">
        <v>2.3014066757188298E-2</v>
      </c>
      <c r="L795" s="880">
        <v>3.1867264746557802</v>
      </c>
      <c r="M795">
        <v>0</v>
      </c>
      <c r="N795" s="60">
        <v>0.51459169398831905</v>
      </c>
      <c r="O795" s="881">
        <v>421796.34740450105</v>
      </c>
      <c r="P795" s="60">
        <v>2.9564569758397601E-2</v>
      </c>
      <c r="Q795" s="880">
        <v>3.19430363597683</v>
      </c>
      <c r="R795" s="60">
        <v>0.59496901142443903</v>
      </c>
      <c r="S795" s="60">
        <v>0.51639223119575606</v>
      </c>
      <c r="T795" s="60">
        <v>0.29982781175254303</v>
      </c>
      <c r="U795" s="60">
        <v>0.27900245754449104</v>
      </c>
    </row>
    <row r="796" spans="1:21" x14ac:dyDescent="0.25">
      <c r="A796" s="519" t="s">
        <v>1012</v>
      </c>
      <c r="B796" s="519" t="s">
        <v>349</v>
      </c>
      <c r="C796" s="519" t="s">
        <v>284</v>
      </c>
      <c r="D796" s="519" t="s">
        <v>110</v>
      </c>
      <c r="E796" s="519" t="s">
        <v>286</v>
      </c>
      <c r="F796" s="519" t="s">
        <v>17</v>
      </c>
      <c r="G796" s="519" t="s">
        <v>56</v>
      </c>
      <c r="H796" s="519" t="s">
        <v>146</v>
      </c>
      <c r="I796" s="881">
        <v>157980.20838547</v>
      </c>
      <c r="J796" s="881">
        <v>5642.4428430599301</v>
      </c>
      <c r="K796" s="60">
        <v>3.44844848845485E-2</v>
      </c>
      <c r="L796" s="880">
        <v>3.2146087505588898</v>
      </c>
      <c r="M796">
        <v>0</v>
      </c>
      <c r="N796" s="60">
        <v>0.52346105803741905</v>
      </c>
      <c r="O796" s="881">
        <v>421796.34740450105</v>
      </c>
      <c r="P796" s="60">
        <v>2.9564569758397601E-2</v>
      </c>
      <c r="Q796" s="880">
        <v>3.19430363597683</v>
      </c>
      <c r="R796" s="60">
        <v>0.59496901142443903</v>
      </c>
      <c r="S796" s="60">
        <v>0.51639223119575606</v>
      </c>
      <c r="T796" s="60">
        <v>0.35585392178554703</v>
      </c>
      <c r="U796" s="60">
        <v>0.38336811600276804</v>
      </c>
    </row>
    <row r="797" spans="1:21" x14ac:dyDescent="0.25">
      <c r="A797" s="519" t="s">
        <v>1013</v>
      </c>
      <c r="B797" s="519" t="s">
        <v>1015</v>
      </c>
      <c r="C797" s="519" t="s">
        <v>284</v>
      </c>
      <c r="D797" s="519" t="s">
        <v>110</v>
      </c>
      <c r="E797" s="519" t="s">
        <v>287</v>
      </c>
      <c r="F797" s="519" t="s">
        <v>70</v>
      </c>
      <c r="G797" s="519" t="s">
        <v>56</v>
      </c>
      <c r="H797" s="519" t="s">
        <v>145</v>
      </c>
      <c r="I797" s="881">
        <v>40529.741847200101</v>
      </c>
      <c r="J797" s="881">
        <v>2359.1867188299798</v>
      </c>
      <c r="K797" s="60">
        <v>5.5006893333739301E-2</v>
      </c>
      <c r="L797" s="880">
        <v>2.9295819737828301</v>
      </c>
      <c r="M797">
        <v>0</v>
      </c>
      <c r="N797" s="60">
        <v>0.31410685405462202</v>
      </c>
      <c r="O797" s="881">
        <v>94173.079619740107</v>
      </c>
      <c r="P797" s="60">
        <v>4.6161701764258802E-2</v>
      </c>
      <c r="Q797" s="880">
        <v>2.93936189033152</v>
      </c>
      <c r="R797" s="60">
        <v>0.60653542459787702</v>
      </c>
      <c r="S797" s="60">
        <v>0.29735164579676998</v>
      </c>
      <c r="T797" s="60">
        <v>0.38338185616700104</v>
      </c>
      <c r="U797" s="60">
        <v>0.43514240799005405</v>
      </c>
    </row>
    <row r="798" spans="1:21" x14ac:dyDescent="0.25">
      <c r="A798" s="519" t="s">
        <v>1017</v>
      </c>
      <c r="B798" s="519" t="s">
        <v>1018</v>
      </c>
      <c r="C798" s="519" t="s">
        <v>284</v>
      </c>
      <c r="D798" s="519" t="s">
        <v>110</v>
      </c>
      <c r="E798" s="519" t="s">
        <v>287</v>
      </c>
      <c r="F798" s="519" t="s">
        <v>70</v>
      </c>
      <c r="G798" s="519" t="s">
        <v>57</v>
      </c>
      <c r="H798" s="519" t="s">
        <v>147</v>
      </c>
      <c r="I798" s="881">
        <v>38047.4033366601</v>
      </c>
      <c r="J798" s="881">
        <v>1127.5289235499999</v>
      </c>
      <c r="K798" s="60">
        <v>2.8781898487039201E-2</v>
      </c>
      <c r="L798" s="880">
        <v>3.0423646916918599</v>
      </c>
      <c r="M798">
        <v>0</v>
      </c>
      <c r="N798" s="60">
        <v>0.36840822899953701</v>
      </c>
      <c r="O798" s="881">
        <v>118742.97621009</v>
      </c>
      <c r="P798" s="60">
        <v>4.7119487770484005E-2</v>
      </c>
      <c r="Q798" s="880">
        <v>2.9947544401439798</v>
      </c>
      <c r="R798" s="60">
        <v>0.60653542459787702</v>
      </c>
      <c r="S798" s="60">
        <v>0.365406556454688</v>
      </c>
      <c r="T798" s="60">
        <v>0.30120066343211405</v>
      </c>
      <c r="U798" s="60">
        <v>0.16817454132345602</v>
      </c>
    </row>
    <row r="799" spans="1:21" x14ac:dyDescent="0.25">
      <c r="A799" s="519" t="s">
        <v>1017</v>
      </c>
      <c r="B799" s="519" t="s">
        <v>1020</v>
      </c>
      <c r="C799" s="519" t="s">
        <v>284</v>
      </c>
      <c r="D799" s="519" t="s">
        <v>110</v>
      </c>
      <c r="E799" s="519" t="s">
        <v>287</v>
      </c>
      <c r="F799" s="519" t="s">
        <v>70</v>
      </c>
      <c r="G799" s="519" t="s">
        <v>57</v>
      </c>
      <c r="H799" s="519" t="s">
        <v>149</v>
      </c>
      <c r="I799" s="881">
        <v>41864.712558880005</v>
      </c>
      <c r="J799" s="881">
        <v>3505.6209896199898</v>
      </c>
      <c r="K799" s="60">
        <v>7.7266811051158499E-2</v>
      </c>
      <c r="L799" s="880">
        <v>2.9490329294640198</v>
      </c>
      <c r="M799">
        <v>0</v>
      </c>
      <c r="N799" s="60">
        <v>0.37226815204047603</v>
      </c>
      <c r="O799" s="881">
        <v>118742.97621009</v>
      </c>
      <c r="P799" s="60">
        <v>4.7119487770484005E-2</v>
      </c>
      <c r="Q799" s="880">
        <v>2.9947544401439798</v>
      </c>
      <c r="R799" s="60">
        <v>0.60653542459787702</v>
      </c>
      <c r="S799" s="60">
        <v>0.365406556454688</v>
      </c>
      <c r="T799" s="60">
        <v>0.38776841291569403</v>
      </c>
      <c r="U799" s="60">
        <v>0.54224068586983309</v>
      </c>
    </row>
    <row r="800" spans="1:21" x14ac:dyDescent="0.25">
      <c r="A800" s="519" t="s">
        <v>1021</v>
      </c>
      <c r="B800" s="519" t="s">
        <v>1022</v>
      </c>
      <c r="C800" s="519" t="s">
        <v>284</v>
      </c>
      <c r="D800" s="519" t="s">
        <v>110</v>
      </c>
      <c r="E800" s="519" t="s">
        <v>287</v>
      </c>
      <c r="F800" s="519" t="s">
        <v>70</v>
      </c>
      <c r="G800" s="519" t="s">
        <v>58</v>
      </c>
      <c r="H800" s="519" t="s">
        <v>150</v>
      </c>
      <c r="I800" s="881">
        <v>41995.821303950099</v>
      </c>
      <c r="J800" s="881">
        <v>2569.1783614300002</v>
      </c>
      <c r="K800" s="60">
        <v>5.7650137568066702E-2</v>
      </c>
      <c r="L800" s="880">
        <v>3.0409792616417999</v>
      </c>
      <c r="M800">
        <v>0</v>
      </c>
      <c r="N800" s="60">
        <v>0.22645979561293803</v>
      </c>
      <c r="O800" s="881">
        <v>128873.62719432</v>
      </c>
      <c r="P800" s="60">
        <v>3.4643114169358398E-2</v>
      </c>
      <c r="Q800" s="880">
        <v>3.0155354725607801</v>
      </c>
      <c r="R800" s="60">
        <v>0.60653542459787702</v>
      </c>
      <c r="S800" s="60">
        <v>0.27046967467503802</v>
      </c>
      <c r="T800" s="60">
        <v>0.34247392349383504</v>
      </c>
      <c r="U800" s="60">
        <v>0.60658634059638206</v>
      </c>
    </row>
    <row r="801" spans="1:21" x14ac:dyDescent="0.25">
      <c r="A801" s="519" t="s">
        <v>1454</v>
      </c>
      <c r="B801" s="519" t="s">
        <v>1456</v>
      </c>
      <c r="C801" s="519" t="s">
        <v>284</v>
      </c>
      <c r="D801" s="519" t="s">
        <v>109</v>
      </c>
      <c r="E801" s="519" t="s">
        <v>287</v>
      </c>
      <c r="F801" s="519" t="s">
        <v>70</v>
      </c>
      <c r="G801" s="519" t="s">
        <v>58</v>
      </c>
      <c r="H801" s="519" t="s">
        <v>151</v>
      </c>
      <c r="I801" s="881">
        <v>52900.410520010104</v>
      </c>
      <c r="J801" s="881">
        <v>-7.1188329999998204E-2</v>
      </c>
      <c r="K801" s="60">
        <v>-1.34570649072125E-6</v>
      </c>
      <c r="L801" s="880">
        <v>3.0638268952387899</v>
      </c>
      <c r="M801">
        <v>0</v>
      </c>
      <c r="N801" s="60">
        <v>0.54600343921309302</v>
      </c>
      <c r="O801" s="881">
        <v>185575.40518145001</v>
      </c>
      <c r="P801" s="60">
        <v>3.7587776871405702E-3</v>
      </c>
      <c r="Q801" s="880">
        <v>3.0481843499837002</v>
      </c>
      <c r="R801" s="60">
        <v>0.50021859360353005</v>
      </c>
      <c r="S801" s="60">
        <v>0.47723175998767803</v>
      </c>
      <c r="T801" s="60">
        <v>0.27433300234552604</v>
      </c>
      <c r="U801" s="60">
        <v>1.5917874457633901E-3</v>
      </c>
    </row>
    <row r="802" spans="1:21" x14ac:dyDescent="0.25">
      <c r="A802" s="519" t="s">
        <v>1458</v>
      </c>
      <c r="B802" s="519" t="s">
        <v>1459</v>
      </c>
      <c r="C802" s="519" t="s">
        <v>284</v>
      </c>
      <c r="D802" s="519" t="s">
        <v>109</v>
      </c>
      <c r="E802" s="519" t="s">
        <v>287</v>
      </c>
      <c r="F802" s="519" t="s">
        <v>70</v>
      </c>
      <c r="G802" s="519" t="s">
        <v>59</v>
      </c>
      <c r="H802" s="519" t="s">
        <v>153</v>
      </c>
      <c r="I802" s="881">
        <v>27230.00589479</v>
      </c>
      <c r="J802" s="881">
        <v>0.35456140999999902</v>
      </c>
      <c r="K802" s="60">
        <v>1.3020812213276002E-5</v>
      </c>
      <c r="L802" s="880">
        <v>3.0475389475391101</v>
      </c>
      <c r="M802">
        <v>0</v>
      </c>
      <c r="N802" s="60">
        <v>0.46884695279051303</v>
      </c>
      <c r="O802" s="881">
        <v>88489.250696399991</v>
      </c>
      <c r="P802" s="60">
        <v>1.1427230955640899E-5</v>
      </c>
      <c r="Q802" s="880">
        <v>3.0537410987774698</v>
      </c>
      <c r="R802" s="60">
        <v>0.50021859360353005</v>
      </c>
      <c r="S802" s="60">
        <v>0.45776648518900803</v>
      </c>
      <c r="T802" s="60">
        <v>0.32205478807069204</v>
      </c>
      <c r="U802" s="60">
        <v>0.98387186948258509</v>
      </c>
    </row>
    <row r="803" spans="1:21" x14ac:dyDescent="0.25">
      <c r="A803" s="519" t="s">
        <v>1458</v>
      </c>
      <c r="B803" s="519" t="s">
        <v>1461</v>
      </c>
      <c r="C803" s="519" t="s">
        <v>284</v>
      </c>
      <c r="D803" s="519" t="s">
        <v>109</v>
      </c>
      <c r="E803" s="519" t="s">
        <v>287</v>
      </c>
      <c r="F803" s="519" t="s">
        <v>70</v>
      </c>
      <c r="G803" s="519" t="s">
        <v>59</v>
      </c>
      <c r="H803" s="519" t="s">
        <v>155</v>
      </c>
      <c r="I803" s="881">
        <v>40315.73025801</v>
      </c>
      <c r="J803" s="881">
        <v>0.37116615000000003</v>
      </c>
      <c r="K803" s="60">
        <v>9.206399847421069E-6</v>
      </c>
      <c r="L803" s="880">
        <v>3.0891995863594399</v>
      </c>
      <c r="M803">
        <v>0</v>
      </c>
      <c r="N803" s="60">
        <v>0.43701251283249504</v>
      </c>
      <c r="O803" s="881">
        <v>88489.250696399991</v>
      </c>
      <c r="P803" s="60">
        <v>1.1427230955640899E-5</v>
      </c>
      <c r="Q803" s="880">
        <v>3.0537410987774698</v>
      </c>
      <c r="R803" s="60">
        <v>0.50021859360353005</v>
      </c>
      <c r="S803" s="60">
        <v>0.45776648518900803</v>
      </c>
      <c r="T803" s="60">
        <v>0.39917449106653802</v>
      </c>
      <c r="U803" s="60">
        <v>1.7810142073729502E-3</v>
      </c>
    </row>
    <row r="804" spans="1:21" x14ac:dyDescent="0.25">
      <c r="A804" s="519" t="s">
        <v>1462</v>
      </c>
      <c r="B804" s="519" t="s">
        <v>1464</v>
      </c>
      <c r="C804" s="519" t="s">
        <v>284</v>
      </c>
      <c r="D804" s="519" t="s">
        <v>109</v>
      </c>
      <c r="E804" s="519" t="s">
        <v>287</v>
      </c>
      <c r="F804" s="519" t="s">
        <v>16</v>
      </c>
      <c r="G804" s="519" t="s">
        <v>56</v>
      </c>
      <c r="H804" s="519" t="s">
        <v>145</v>
      </c>
      <c r="I804" s="881">
        <v>52795.537207620298</v>
      </c>
      <c r="J804" s="881">
        <v>1.1307853299999999</v>
      </c>
      <c r="K804" s="60">
        <v>2.1417740417842199E-5</v>
      </c>
      <c r="L804" s="880">
        <v>3.0648113166327802</v>
      </c>
      <c r="M804">
        <v>0</v>
      </c>
      <c r="N804" s="60">
        <v>0.43343262303498603</v>
      </c>
      <c r="O804" s="881">
        <v>142772.169528161</v>
      </c>
      <c r="P804" s="60">
        <v>1.42376773761393E-5</v>
      </c>
      <c r="Q804" s="880">
        <v>3.0573889152914702</v>
      </c>
      <c r="R804" s="60">
        <v>0.50021859360353005</v>
      </c>
      <c r="S804" s="60">
        <v>0.43664018701392604</v>
      </c>
      <c r="T804" s="60">
        <v>0.34803228176666401</v>
      </c>
      <c r="U804" s="60">
        <v>6.8169469931235002E-2</v>
      </c>
    </row>
    <row r="805" spans="1:21" x14ac:dyDescent="0.25">
      <c r="A805" s="519" t="s">
        <v>1466</v>
      </c>
      <c r="B805" s="519" t="s">
        <v>1467</v>
      </c>
      <c r="C805" s="519" t="s">
        <v>284</v>
      </c>
      <c r="D805" s="519" t="s">
        <v>109</v>
      </c>
      <c r="E805" s="519" t="s">
        <v>287</v>
      </c>
      <c r="F805" s="519" t="s">
        <v>16</v>
      </c>
      <c r="G805" s="519" t="s">
        <v>57</v>
      </c>
      <c r="H805" s="519" t="s">
        <v>147</v>
      </c>
      <c r="I805" s="881">
        <v>36954.7570067501</v>
      </c>
      <c r="J805" s="881">
        <v>1.4143049700000001</v>
      </c>
      <c r="K805" s="60">
        <v>3.82697914800356E-5</v>
      </c>
      <c r="L805" s="880">
        <v>3.06055684398136</v>
      </c>
      <c r="M805">
        <v>0</v>
      </c>
      <c r="N805" s="60">
        <v>0.41920023428107905</v>
      </c>
      <c r="O805" s="881">
        <v>141431.08250924101</v>
      </c>
      <c r="P805" s="60">
        <v>3.07595468670753E-5</v>
      </c>
      <c r="Q805" s="880">
        <v>3.0600292989187499</v>
      </c>
      <c r="R805" s="60">
        <v>0.50021859360353005</v>
      </c>
      <c r="S805" s="60">
        <v>0.43277637095021804</v>
      </c>
      <c r="T805" s="60">
        <v>0.27646645884513904</v>
      </c>
      <c r="U805" s="60">
        <v>-7.06576170906804E-2</v>
      </c>
    </row>
    <row r="806" spans="1:21" x14ac:dyDescent="0.25">
      <c r="A806" s="519" t="s">
        <v>1466</v>
      </c>
      <c r="B806" s="519" t="s">
        <v>1469</v>
      </c>
      <c r="C806" s="519" t="s">
        <v>284</v>
      </c>
      <c r="D806" s="519" t="s">
        <v>109</v>
      </c>
      <c r="E806" s="519" t="s">
        <v>287</v>
      </c>
      <c r="F806" s="519" t="s">
        <v>16</v>
      </c>
      <c r="G806" s="519" t="s">
        <v>57</v>
      </c>
      <c r="H806" s="519" t="s">
        <v>149</v>
      </c>
      <c r="I806" s="881">
        <v>67623.977886480396</v>
      </c>
      <c r="J806" s="881">
        <v>1.3967380899999999</v>
      </c>
      <c r="K806" s="60">
        <v>2.0654053271485001E-5</v>
      </c>
      <c r="L806" s="880">
        <v>3.06583077315234</v>
      </c>
      <c r="M806">
        <v>0</v>
      </c>
      <c r="N806" s="60">
        <v>0.39352100255803402</v>
      </c>
      <c r="O806" s="881">
        <v>141431.08250924101</v>
      </c>
      <c r="P806" s="60">
        <v>3.07595468670753E-5</v>
      </c>
      <c r="Q806" s="880">
        <v>3.0600292989187499</v>
      </c>
      <c r="R806" s="60">
        <v>0.50021859360353005</v>
      </c>
      <c r="S806" s="60">
        <v>0.43277637095021804</v>
      </c>
      <c r="T806" s="60">
        <v>0.41004221851084804</v>
      </c>
      <c r="U806" s="60">
        <v>0.41230038689095305</v>
      </c>
    </row>
    <row r="807" spans="1:21" x14ac:dyDescent="0.25">
      <c r="A807" s="519" t="s">
        <v>1470</v>
      </c>
      <c r="B807" s="519" t="s">
        <v>1471</v>
      </c>
      <c r="C807" s="519" t="s">
        <v>284</v>
      </c>
      <c r="D807" s="519" t="s">
        <v>109</v>
      </c>
      <c r="E807" s="519" t="s">
        <v>287</v>
      </c>
      <c r="F807" s="519" t="s">
        <v>16</v>
      </c>
      <c r="G807" s="519" t="s">
        <v>58</v>
      </c>
      <c r="H807" s="519" t="s">
        <v>150</v>
      </c>
      <c r="I807" s="881">
        <v>43761.742908310101</v>
      </c>
      <c r="J807" s="881">
        <v>2.3810635400000102</v>
      </c>
      <c r="K807" s="60">
        <v>5.4406745158010302E-5</v>
      </c>
      <c r="L807" s="880">
        <v>3.07262305292811</v>
      </c>
      <c r="M807">
        <v>0</v>
      </c>
      <c r="N807" s="60">
        <v>0.65318254909499995</v>
      </c>
      <c r="O807" s="881">
        <v>111812.85482248</v>
      </c>
      <c r="P807" s="60">
        <v>4.2738882663761E-5</v>
      </c>
      <c r="Q807" s="880">
        <v>3.0761178787941601</v>
      </c>
      <c r="R807" s="60">
        <v>0.50021859360353005</v>
      </c>
      <c r="S807" s="60">
        <v>0.56050291765781601</v>
      </c>
      <c r="T807" s="60">
        <v>0.344193946114071</v>
      </c>
      <c r="U807" s="60">
        <v>3.99285344934798E-3</v>
      </c>
    </row>
    <row r="808" spans="1:21" x14ac:dyDescent="0.25">
      <c r="A808" s="519" t="s">
        <v>1470</v>
      </c>
      <c r="B808" s="519" t="s">
        <v>1473</v>
      </c>
      <c r="C808" s="519" t="s">
        <v>284</v>
      </c>
      <c r="D808" s="519" t="s">
        <v>109</v>
      </c>
      <c r="E808" s="519" t="s">
        <v>287</v>
      </c>
      <c r="F808" s="519" t="s">
        <v>16</v>
      </c>
      <c r="G808" s="519" t="s">
        <v>58</v>
      </c>
      <c r="H808" s="519" t="s">
        <v>152</v>
      </c>
      <c r="I808" s="881">
        <v>39368.108204990102</v>
      </c>
      <c r="J808" s="881">
        <v>1.2045823900000001</v>
      </c>
      <c r="K808" s="60">
        <v>3.05969879765372E-5</v>
      </c>
      <c r="L808" s="880">
        <v>3.08309675078891</v>
      </c>
      <c r="M808">
        <v>0</v>
      </c>
      <c r="N808" s="60">
        <v>0.47884613414851601</v>
      </c>
      <c r="O808" s="881">
        <v>111812.85482248</v>
      </c>
      <c r="P808" s="60">
        <v>4.2738882663761E-5</v>
      </c>
      <c r="Q808" s="880">
        <v>3.0761178787941601</v>
      </c>
      <c r="R808" s="60">
        <v>0.50021859360353005</v>
      </c>
      <c r="S808" s="60">
        <v>0.56050291765781601</v>
      </c>
      <c r="T808" s="60">
        <v>0.38147305154040301</v>
      </c>
      <c r="U808" s="60">
        <v>0.9944153591048891</v>
      </c>
    </row>
    <row r="809" spans="1:21" x14ac:dyDescent="0.25">
      <c r="A809" s="519" t="s">
        <v>1474</v>
      </c>
      <c r="B809" s="519" t="s">
        <v>1476</v>
      </c>
      <c r="C809" s="519" t="s">
        <v>284</v>
      </c>
      <c r="D809" s="519" t="s">
        <v>109</v>
      </c>
      <c r="E809" s="519" t="s">
        <v>287</v>
      </c>
      <c r="F809" s="519" t="s">
        <v>16</v>
      </c>
      <c r="G809" s="519" t="s">
        <v>59</v>
      </c>
      <c r="H809" s="519" t="s">
        <v>154</v>
      </c>
      <c r="I809" s="881">
        <v>33167.632481499997</v>
      </c>
      <c r="J809" s="881">
        <v>20.220995293959</v>
      </c>
      <c r="K809" s="60">
        <v>6.0928903727076509E-4</v>
      </c>
      <c r="L809" s="880">
        <v>3.0087387074127099</v>
      </c>
      <c r="M809">
        <v>0</v>
      </c>
      <c r="N809" s="60">
        <v>0.7099767602814141</v>
      </c>
      <c r="O809" s="881">
        <v>105617.02724279999</v>
      </c>
      <c r="P809" s="60">
        <v>1.3342928062286499E-2</v>
      </c>
      <c r="Q809" s="880">
        <v>3.04081437481363</v>
      </c>
      <c r="R809" s="60">
        <v>0.50021859360353005</v>
      </c>
      <c r="S809" s="60">
        <v>0.71264287560754902</v>
      </c>
      <c r="T809" s="60">
        <v>0.27877072086276999</v>
      </c>
      <c r="U809" s="60">
        <v>1.43471163100422E-2</v>
      </c>
    </row>
    <row r="810" spans="1:21" x14ac:dyDescent="0.25">
      <c r="A810" s="519" t="s">
        <v>1478</v>
      </c>
      <c r="B810" s="519" t="s">
        <v>1479</v>
      </c>
      <c r="C810" s="519" t="s">
        <v>284</v>
      </c>
      <c r="D810" s="519" t="s">
        <v>109</v>
      </c>
      <c r="E810" s="519" t="s">
        <v>287</v>
      </c>
      <c r="F810" s="519" t="s">
        <v>17</v>
      </c>
      <c r="G810" s="519" t="s">
        <v>56</v>
      </c>
      <c r="H810" s="519" t="s">
        <v>144</v>
      </c>
      <c r="I810" s="881">
        <v>53578.978101700202</v>
      </c>
      <c r="J810" s="881">
        <v>1581.0141728664798</v>
      </c>
      <c r="K810" s="60">
        <v>2.86623349219624E-2</v>
      </c>
      <c r="L810" s="880">
        <v>3.040394679277</v>
      </c>
      <c r="M810">
        <v>0</v>
      </c>
      <c r="N810" s="60">
        <v>0.57413061803121401</v>
      </c>
      <c r="O810" s="881">
        <v>181248.32522979102</v>
      </c>
      <c r="P810" s="60">
        <v>1.53891769053881E-2</v>
      </c>
      <c r="Q810" s="880">
        <v>3.0316076171766699</v>
      </c>
      <c r="R810" s="60">
        <v>0.50021859360353005</v>
      </c>
      <c r="S810" s="60">
        <v>0.53685424854092301</v>
      </c>
      <c r="T810" s="60">
        <v>0.25898386187619804</v>
      </c>
      <c r="U810" s="60">
        <v>0.55819379606518704</v>
      </c>
    </row>
    <row r="811" spans="1:21" x14ac:dyDescent="0.25">
      <c r="A811" s="519" t="s">
        <v>1478</v>
      </c>
      <c r="B811" s="519" t="s">
        <v>1480</v>
      </c>
      <c r="C811" s="519" t="s">
        <v>284</v>
      </c>
      <c r="D811" s="519" t="s">
        <v>109</v>
      </c>
      <c r="E811" s="519" t="s">
        <v>287</v>
      </c>
      <c r="F811" s="519" t="s">
        <v>17</v>
      </c>
      <c r="G811" s="519" t="s">
        <v>56</v>
      </c>
      <c r="H811" s="519" t="s">
        <v>146</v>
      </c>
      <c r="I811" s="881">
        <v>63798.666341660202</v>
      </c>
      <c r="J811" s="881">
        <v>1058.4232004872699</v>
      </c>
      <c r="K811" s="60">
        <v>1.6319313863127599E-2</v>
      </c>
      <c r="L811" s="880">
        <v>3.0189449779016901</v>
      </c>
      <c r="M811">
        <v>0</v>
      </c>
      <c r="N811" s="60">
        <v>0.49744769488553203</v>
      </c>
      <c r="O811" s="881">
        <v>181248.32522979102</v>
      </c>
      <c r="P811" s="60">
        <v>1.53891769053881E-2</v>
      </c>
      <c r="Q811" s="880">
        <v>3.0316076171766699</v>
      </c>
      <c r="R811" s="60">
        <v>0.50021859360353005</v>
      </c>
      <c r="S811" s="60">
        <v>0.53685424854092301</v>
      </c>
      <c r="T811" s="60">
        <v>0.39298385635713801</v>
      </c>
      <c r="U811" s="60">
        <v>0.37363673400357805</v>
      </c>
    </row>
    <row r="812" spans="1:21" x14ac:dyDescent="0.25">
      <c r="A812" s="519" t="s">
        <v>1481</v>
      </c>
      <c r="B812" s="519" t="s">
        <v>1483</v>
      </c>
      <c r="C812" s="519" t="s">
        <v>284</v>
      </c>
      <c r="D812" s="519" t="s">
        <v>109</v>
      </c>
      <c r="E812" s="519" t="s">
        <v>4</v>
      </c>
      <c r="F812" s="519" t="s">
        <v>70</v>
      </c>
      <c r="G812" s="519" t="s">
        <v>56</v>
      </c>
      <c r="H812" s="519" t="s">
        <v>145</v>
      </c>
      <c r="I812" s="881">
        <v>17558.398230319999</v>
      </c>
      <c r="J812" s="881">
        <v>0.11118481000000001</v>
      </c>
      <c r="K812" s="60">
        <v>6.3322465120070493E-6</v>
      </c>
      <c r="L812" s="880">
        <v>2.7291762105236299</v>
      </c>
      <c r="M812">
        <v>0</v>
      </c>
      <c r="N812" s="60">
        <v>0</v>
      </c>
      <c r="O812" s="881">
        <v>23407.714563910002</v>
      </c>
      <c r="P812" s="60">
        <v>1.0477409902424399E-5</v>
      </c>
      <c r="Q812" s="880">
        <v>2.7175771467969398</v>
      </c>
      <c r="R812" s="60">
        <v>0.48890619963074106</v>
      </c>
      <c r="S812" s="60">
        <v>0</v>
      </c>
      <c r="T812" s="60">
        <v>0.41040942816522302</v>
      </c>
      <c r="U812" s="60">
        <v>-0.32522487159814001</v>
      </c>
    </row>
    <row r="813" spans="1:21" x14ac:dyDescent="0.25">
      <c r="A813" s="519" t="s">
        <v>1485</v>
      </c>
      <c r="B813" s="519" t="s">
        <v>1486</v>
      </c>
      <c r="C813" s="519" t="s">
        <v>284</v>
      </c>
      <c r="D813" s="519" t="s">
        <v>109</v>
      </c>
      <c r="E813" s="519" t="s">
        <v>4</v>
      </c>
      <c r="F813" s="519" t="s">
        <v>70</v>
      </c>
      <c r="G813" s="519" t="s">
        <v>57</v>
      </c>
      <c r="H813" s="519" t="s">
        <v>147</v>
      </c>
      <c r="I813" s="881">
        <v>9154.2534975300005</v>
      </c>
      <c r="J813" s="881">
        <v>0.35623162000000003</v>
      </c>
      <c r="K813" s="60">
        <v>3.8912813384681097E-5</v>
      </c>
      <c r="L813" s="880">
        <v>5.8983779011360999</v>
      </c>
      <c r="M813">
        <v>0</v>
      </c>
      <c r="N813" s="60">
        <v>0</v>
      </c>
      <c r="O813" s="881">
        <v>32620.12429353</v>
      </c>
      <c r="P813" s="60">
        <v>3.3473478180472903E-5</v>
      </c>
      <c r="Q813" s="880">
        <v>2.7511660123085999</v>
      </c>
      <c r="R813" s="60">
        <v>0.48890619963074106</v>
      </c>
      <c r="S813" s="60">
        <v>0</v>
      </c>
      <c r="T813" s="60">
        <v>0.27606617582145404</v>
      </c>
      <c r="U813" s="60">
        <v>0.29486043848955301</v>
      </c>
    </row>
    <row r="814" spans="1:21" x14ac:dyDescent="0.25">
      <c r="A814" s="519" t="s">
        <v>1485</v>
      </c>
      <c r="B814" s="519" t="s">
        <v>1488</v>
      </c>
      <c r="C814" s="519" t="s">
        <v>284</v>
      </c>
      <c r="D814" s="519" t="s">
        <v>109</v>
      </c>
      <c r="E814" s="519" t="s">
        <v>4</v>
      </c>
      <c r="F814" s="519" t="s">
        <v>70</v>
      </c>
      <c r="G814" s="519" t="s">
        <v>57</v>
      </c>
      <c r="H814" s="519" t="s">
        <v>149</v>
      </c>
      <c r="I814" s="881">
        <v>18738.84449933</v>
      </c>
      <c r="J814" s="881">
        <v>0.62508125000000103</v>
      </c>
      <c r="K814" s="60">
        <v>3.3356400367264499E-5</v>
      </c>
      <c r="L814" s="880">
        <v>2.7684562422827401</v>
      </c>
      <c r="M814">
        <v>0</v>
      </c>
      <c r="N814" s="60">
        <v>0</v>
      </c>
      <c r="O814" s="881">
        <v>32620.12429353</v>
      </c>
      <c r="P814" s="60">
        <v>3.3473478180472903E-5</v>
      </c>
      <c r="Q814" s="880">
        <v>2.7511660123085999</v>
      </c>
      <c r="R814" s="60">
        <v>0.48890619963074106</v>
      </c>
      <c r="S814" s="60">
        <v>0</v>
      </c>
      <c r="T814" s="60">
        <v>0.55645414583806607</v>
      </c>
      <c r="U814" s="60">
        <v>0.65465158611151408</v>
      </c>
    </row>
    <row r="815" spans="1:21" x14ac:dyDescent="0.25">
      <c r="A815" s="519" t="s">
        <v>1489</v>
      </c>
      <c r="B815" s="519" t="s">
        <v>1490</v>
      </c>
      <c r="C815" s="519" t="s">
        <v>284</v>
      </c>
      <c r="D815" s="519" t="s">
        <v>109</v>
      </c>
      <c r="E815" s="519" t="s">
        <v>4</v>
      </c>
      <c r="F815" s="519" t="s">
        <v>70</v>
      </c>
      <c r="G815" s="519" t="s">
        <v>58</v>
      </c>
      <c r="H815" s="519" t="s">
        <v>150</v>
      </c>
      <c r="I815" s="881">
        <v>2614.6191386700002</v>
      </c>
      <c r="J815" s="881">
        <v>2.871371E-2</v>
      </c>
      <c r="K815" s="60">
        <v>1.09818651004429E-5</v>
      </c>
      <c r="L815" s="880">
        <v>2.9884175854325399</v>
      </c>
      <c r="M815">
        <v>0</v>
      </c>
      <c r="N815" s="60">
        <v>0</v>
      </c>
      <c r="O815" s="881">
        <v>8448.9389428699997</v>
      </c>
      <c r="P815" s="60">
        <v>1.27721334249466E-2</v>
      </c>
      <c r="Q815" s="880">
        <v>2.8597937021804301</v>
      </c>
      <c r="R815" s="60">
        <v>0.48890619963074106</v>
      </c>
      <c r="S815" s="60">
        <v>0</v>
      </c>
      <c r="T815" s="60">
        <v>0.57601371602469909</v>
      </c>
      <c r="U815" s="60">
        <v>-3.0408461614037604E-3</v>
      </c>
    </row>
    <row r="816" spans="1:21" x14ac:dyDescent="0.25">
      <c r="A816" s="519" t="s">
        <v>1489</v>
      </c>
      <c r="B816" s="519" t="s">
        <v>1492</v>
      </c>
      <c r="C816" s="519" t="s">
        <v>284</v>
      </c>
      <c r="D816" s="519" t="s">
        <v>109</v>
      </c>
      <c r="E816" s="519" t="s">
        <v>4</v>
      </c>
      <c r="F816" s="519" t="s">
        <v>70</v>
      </c>
      <c r="G816" s="519" t="s">
        <v>58</v>
      </c>
      <c r="H816" s="519" t="s">
        <v>152</v>
      </c>
      <c r="I816" s="881">
        <v>3925.4463537800002</v>
      </c>
      <c r="J816" s="881">
        <v>109.25582583000001</v>
      </c>
      <c r="K816" s="60">
        <v>2.70790311072132E-2</v>
      </c>
      <c r="L816" s="880">
        <v>2.8356661281661499</v>
      </c>
      <c r="M816">
        <v>0</v>
      </c>
      <c r="N816" s="60">
        <v>0</v>
      </c>
      <c r="O816" s="881">
        <v>8448.9389428699997</v>
      </c>
      <c r="P816" s="60">
        <v>1.27721334249466E-2</v>
      </c>
      <c r="Q816" s="880">
        <v>2.8597937021804301</v>
      </c>
      <c r="R816" s="60">
        <v>0.48890619963074106</v>
      </c>
      <c r="S816" s="60">
        <v>0</v>
      </c>
      <c r="T816" s="60">
        <v>0.32631938314686404</v>
      </c>
      <c r="U816" s="60">
        <v>1.00360034145517</v>
      </c>
    </row>
    <row r="817" spans="1:21" x14ac:dyDescent="0.25">
      <c r="A817" s="519" t="s">
        <v>1493</v>
      </c>
      <c r="B817" s="519" t="s">
        <v>1495</v>
      </c>
      <c r="C817" s="519" t="s">
        <v>284</v>
      </c>
      <c r="D817" s="519" t="s">
        <v>109</v>
      </c>
      <c r="E817" s="519" t="s">
        <v>4</v>
      </c>
      <c r="F817" s="519" t="s">
        <v>70</v>
      </c>
      <c r="G817" s="519" t="s">
        <v>59</v>
      </c>
      <c r="H817" s="519" t="s">
        <v>154</v>
      </c>
      <c r="I817" s="881">
        <v>504.14697477999999</v>
      </c>
      <c r="J817" s="881">
        <v>-2.0924379999999999E-2</v>
      </c>
      <c r="K817" s="60">
        <v>-4.1506246271934397E-5</v>
      </c>
      <c r="L817" s="880">
        <v>2.7814323643593202</v>
      </c>
      <c r="M817">
        <v>0</v>
      </c>
      <c r="N817" s="60">
        <v>0</v>
      </c>
      <c r="O817" s="881">
        <v>3076.2650562899998</v>
      </c>
      <c r="P817" s="60">
        <v>-1.0050106264638701E-5</v>
      </c>
      <c r="Q817" s="880">
        <v>2.7057762692405798</v>
      </c>
      <c r="R817" s="60">
        <v>0.48890619963074106</v>
      </c>
      <c r="S817" s="60">
        <v>0</v>
      </c>
      <c r="T817" s="60">
        <v>0.29729567152217001</v>
      </c>
      <c r="U817" s="60">
        <v>0.36423497960479101</v>
      </c>
    </row>
    <row r="818" spans="1:21" x14ac:dyDescent="0.25">
      <c r="A818" s="519" t="s">
        <v>1497</v>
      </c>
      <c r="B818" s="519" t="s">
        <v>1499</v>
      </c>
      <c r="C818" s="519" t="s">
        <v>284</v>
      </c>
      <c r="D818" s="519" t="s">
        <v>109</v>
      </c>
      <c r="E818" s="519" t="s">
        <v>4</v>
      </c>
      <c r="F818" s="519" t="s">
        <v>16</v>
      </c>
      <c r="G818" s="519" t="s">
        <v>56</v>
      </c>
      <c r="H818" s="519" t="s">
        <v>145</v>
      </c>
      <c r="I818" s="881">
        <v>2732.4187478700001</v>
      </c>
      <c r="J818" s="881">
        <v>-8.1226939999999997E-2</v>
      </c>
      <c r="K818" s="60">
        <v>-2.9728003724939899E-5</v>
      </c>
      <c r="L818" s="880">
        <v>2.8128397443208302</v>
      </c>
      <c r="M818">
        <v>0</v>
      </c>
      <c r="N818" s="60">
        <v>0</v>
      </c>
      <c r="O818" s="881">
        <v>7204.7704099499997</v>
      </c>
      <c r="P818" s="60">
        <v>-1.08458830836504E-5</v>
      </c>
      <c r="Q818" s="880">
        <v>2.8613064460746003</v>
      </c>
      <c r="R818" s="60">
        <v>0.48890619963074106</v>
      </c>
      <c r="S818" s="60">
        <v>0</v>
      </c>
      <c r="T818" s="60">
        <v>0.41040942816522302</v>
      </c>
      <c r="U818" s="60">
        <v>-0.32522487159814001</v>
      </c>
    </row>
    <row r="819" spans="1:21" x14ac:dyDescent="0.25">
      <c r="A819" s="519" t="s">
        <v>1501</v>
      </c>
      <c r="B819" s="519" t="s">
        <v>1502</v>
      </c>
      <c r="C819" s="519" t="s">
        <v>284</v>
      </c>
      <c r="D819" s="519" t="s">
        <v>109</v>
      </c>
      <c r="E819" s="519" t="s">
        <v>4</v>
      </c>
      <c r="F819" s="519" t="s">
        <v>16</v>
      </c>
      <c r="G819" s="519" t="s">
        <v>57</v>
      </c>
      <c r="H819" s="519" t="s">
        <v>147</v>
      </c>
      <c r="I819" s="881">
        <v>3032.5272504</v>
      </c>
      <c r="J819" s="881">
        <v>-0.11445079</v>
      </c>
      <c r="K819" s="60">
        <v>-3.7742483482037702E-5</v>
      </c>
      <c r="L819" s="880">
        <v>2.2945755210016801</v>
      </c>
      <c r="M819">
        <v>0</v>
      </c>
      <c r="N819" s="60">
        <v>0</v>
      </c>
      <c r="O819" s="881">
        <v>11524.29402091</v>
      </c>
      <c r="P819" s="60">
        <v>-2.3599539171354199E-5</v>
      </c>
      <c r="Q819" s="880">
        <v>2.83827903048756</v>
      </c>
      <c r="R819" s="60">
        <v>0.48890619963074106</v>
      </c>
      <c r="S819" s="60">
        <v>0</v>
      </c>
      <c r="T819" s="60">
        <v>0.27606617582145404</v>
      </c>
      <c r="U819" s="60">
        <v>0.29486043848955301</v>
      </c>
    </row>
    <row r="820" spans="1:21" x14ac:dyDescent="0.25">
      <c r="A820" s="519" t="s">
        <v>1501</v>
      </c>
      <c r="B820" s="519" t="s">
        <v>1504</v>
      </c>
      <c r="C820" s="519" t="s">
        <v>284</v>
      </c>
      <c r="D820" s="519" t="s">
        <v>109</v>
      </c>
      <c r="E820" s="519" t="s">
        <v>4</v>
      </c>
      <c r="F820" s="519" t="s">
        <v>16</v>
      </c>
      <c r="G820" s="519" t="s">
        <v>57</v>
      </c>
      <c r="H820" s="519" t="s">
        <v>149</v>
      </c>
      <c r="I820" s="881">
        <v>5825.5000873500003</v>
      </c>
      <c r="J820" s="881">
        <v>-8.8277450000000007E-2</v>
      </c>
      <c r="K820" s="60">
        <v>-1.5153855706814899E-5</v>
      </c>
      <c r="L820" s="880">
        <v>2.9797875821414701</v>
      </c>
      <c r="M820">
        <v>0</v>
      </c>
      <c r="N820" s="60">
        <v>0</v>
      </c>
      <c r="O820" s="881">
        <v>11524.29402091</v>
      </c>
      <c r="P820" s="60">
        <v>-2.3599539171354199E-5</v>
      </c>
      <c r="Q820" s="880">
        <v>2.83827903048756</v>
      </c>
      <c r="R820" s="60">
        <v>0.48890619963074106</v>
      </c>
      <c r="S820" s="60">
        <v>0</v>
      </c>
      <c r="T820" s="60">
        <v>0.55645414583806607</v>
      </c>
      <c r="U820" s="60">
        <v>0.65465158611151408</v>
      </c>
    </row>
    <row r="821" spans="1:21" x14ac:dyDescent="0.25">
      <c r="A821" s="519" t="s">
        <v>1505</v>
      </c>
      <c r="B821" s="519" t="s">
        <v>1506</v>
      </c>
      <c r="C821" s="519" t="s">
        <v>284</v>
      </c>
      <c r="D821" s="519" t="s">
        <v>109</v>
      </c>
      <c r="E821" s="519" t="s">
        <v>4</v>
      </c>
      <c r="F821" s="519" t="s">
        <v>16</v>
      </c>
      <c r="G821" s="519" t="s">
        <v>58</v>
      </c>
      <c r="H821" s="519" t="s">
        <v>150</v>
      </c>
      <c r="I821" s="881">
        <v>24100.327646289999</v>
      </c>
      <c r="J821" s="881">
        <v>-0.35881954999999999</v>
      </c>
      <c r="K821" s="60">
        <v>-1.48887972669024E-5</v>
      </c>
      <c r="L821" s="880">
        <v>2.8515963129280699</v>
      </c>
      <c r="M821">
        <v>0</v>
      </c>
      <c r="N821" s="60">
        <v>0</v>
      </c>
      <c r="O821" s="881">
        <v>37930.072601040003</v>
      </c>
      <c r="P821" s="60">
        <v>-1.9769099609235499E-5</v>
      </c>
      <c r="Q821" s="880">
        <v>2.84066230179871</v>
      </c>
      <c r="R821" s="60">
        <v>0.48890619963074106</v>
      </c>
      <c r="S821" s="60">
        <v>0</v>
      </c>
      <c r="T821" s="60">
        <v>0.57601371602469909</v>
      </c>
      <c r="U821" s="60">
        <v>-3.0408461614037604E-3</v>
      </c>
    </row>
    <row r="822" spans="1:21" x14ac:dyDescent="0.25">
      <c r="A822" s="519" t="s">
        <v>1505</v>
      </c>
      <c r="B822" s="519" t="s">
        <v>1508</v>
      </c>
      <c r="C822" s="519" t="s">
        <v>284</v>
      </c>
      <c r="D822" s="519" t="s">
        <v>109</v>
      </c>
      <c r="E822" s="519" t="s">
        <v>4</v>
      </c>
      <c r="F822" s="519" t="s">
        <v>16</v>
      </c>
      <c r="G822" s="519" t="s">
        <v>58</v>
      </c>
      <c r="H822" s="519" t="s">
        <v>152</v>
      </c>
      <c r="I822" s="881">
        <v>11208.924084190001</v>
      </c>
      <c r="J822" s="881">
        <v>-0.30775146000000003</v>
      </c>
      <c r="K822" s="60">
        <v>-2.7456686076526898E-5</v>
      </c>
      <c r="L822" s="880">
        <v>2.8495560858573801</v>
      </c>
      <c r="M822">
        <v>0</v>
      </c>
      <c r="N822" s="60">
        <v>0</v>
      </c>
      <c r="O822" s="881">
        <v>37930.072601040003</v>
      </c>
      <c r="P822" s="60">
        <v>-1.9769099609235499E-5</v>
      </c>
      <c r="Q822" s="880">
        <v>2.84066230179871</v>
      </c>
      <c r="R822" s="60">
        <v>0.48890619963074106</v>
      </c>
      <c r="S822" s="60">
        <v>0</v>
      </c>
      <c r="T822" s="60">
        <v>0.32631938314686404</v>
      </c>
      <c r="U822" s="60">
        <v>1.00360034145517</v>
      </c>
    </row>
    <row r="823" spans="1:21" x14ac:dyDescent="0.25">
      <c r="A823" s="519" t="s">
        <v>1509</v>
      </c>
      <c r="B823" s="519" t="s">
        <v>1511</v>
      </c>
      <c r="C823" s="519" t="s">
        <v>284</v>
      </c>
      <c r="D823" s="519" t="s">
        <v>109</v>
      </c>
      <c r="E823" s="519" t="s">
        <v>4</v>
      </c>
      <c r="F823" s="519" t="s">
        <v>16</v>
      </c>
      <c r="G823" s="519" t="s">
        <v>59</v>
      </c>
      <c r="H823" s="519" t="s">
        <v>154</v>
      </c>
      <c r="I823" s="881">
        <v>8562.8365924600002</v>
      </c>
      <c r="J823" s="881">
        <v>-0.23350173000000002</v>
      </c>
      <c r="K823" s="60">
        <v>-2.7269946711975099E-5</v>
      </c>
      <c r="L823" s="880">
        <v>2.7897326594610501</v>
      </c>
      <c r="M823">
        <v>0</v>
      </c>
      <c r="N823" s="60">
        <v>0</v>
      </c>
      <c r="O823" s="881">
        <v>27421.937358890002</v>
      </c>
      <c r="P823" s="60">
        <v>-2.4346262080570499E-5</v>
      </c>
      <c r="Q823" s="880">
        <v>2.79525041425478</v>
      </c>
      <c r="R823" s="60">
        <v>0.48890619963074106</v>
      </c>
      <c r="S823" s="60">
        <v>0</v>
      </c>
      <c r="T823" s="60">
        <v>0.29729567152217001</v>
      </c>
      <c r="U823" s="60">
        <v>0.36423497960479101</v>
      </c>
    </row>
    <row r="824" spans="1:21" x14ac:dyDescent="0.25">
      <c r="A824" s="519" t="s">
        <v>1513</v>
      </c>
      <c r="B824" s="519" t="s">
        <v>1782</v>
      </c>
      <c r="C824" s="519" t="s">
        <v>284</v>
      </c>
      <c r="D824" s="519" t="s">
        <v>109</v>
      </c>
      <c r="E824" s="519" t="s">
        <v>4</v>
      </c>
      <c r="F824" s="519" t="s">
        <v>17</v>
      </c>
      <c r="G824" s="519" t="s">
        <v>56</v>
      </c>
      <c r="H824" s="519" t="s">
        <v>145</v>
      </c>
      <c r="I824" s="881">
        <v>23963.374086690001</v>
      </c>
      <c r="J824" s="881">
        <v>0.20261579406399999</v>
      </c>
      <c r="K824" s="60">
        <v>8.4551566145381288E-6</v>
      </c>
      <c r="L824" s="880">
        <v>2.8233334853058101</v>
      </c>
      <c r="M824">
        <v>0</v>
      </c>
      <c r="N824" s="60">
        <v>0</v>
      </c>
      <c r="O824" s="881">
        <v>77216.887423170003</v>
      </c>
      <c r="P824" s="60">
        <v>-1.1425481203399799E-5</v>
      </c>
      <c r="Q824" s="880">
        <v>2.77739942420855</v>
      </c>
      <c r="R824" s="60">
        <v>0.48890619963074106</v>
      </c>
      <c r="S824" s="60">
        <v>0</v>
      </c>
      <c r="T824" s="60">
        <v>0.41040942816522302</v>
      </c>
      <c r="U824" s="60">
        <v>-0.32522487159814001</v>
      </c>
    </row>
    <row r="825" spans="1:21" x14ac:dyDescent="0.25">
      <c r="A825" s="519" t="s">
        <v>1963</v>
      </c>
      <c r="B825" s="519" t="s">
        <v>1964</v>
      </c>
      <c r="C825" s="519" t="s">
        <v>284</v>
      </c>
      <c r="D825" s="519" t="s">
        <v>109</v>
      </c>
      <c r="E825" s="519" t="s">
        <v>4</v>
      </c>
      <c r="F825" s="519" t="s">
        <v>17</v>
      </c>
      <c r="G825" s="519" t="s">
        <v>57</v>
      </c>
      <c r="H825" s="519" t="s">
        <v>149</v>
      </c>
      <c r="I825" s="881">
        <v>24786.999309359999</v>
      </c>
      <c r="J825" s="881">
        <v>0.13843977772800001</v>
      </c>
      <c r="K825" s="60">
        <v>5.5851457771809894E-6</v>
      </c>
      <c r="L825" s="880">
        <v>2.7698579366157299</v>
      </c>
      <c r="M825">
        <v>0</v>
      </c>
      <c r="N825" s="60">
        <v>0</v>
      </c>
      <c r="O825" s="881">
        <v>24786.999309359999</v>
      </c>
      <c r="P825" s="60">
        <v>5.5851457771809894E-6</v>
      </c>
      <c r="Q825" s="880">
        <v>2.7698579366157299</v>
      </c>
      <c r="R825" s="60">
        <v>0.48890619963074106</v>
      </c>
      <c r="S825" s="60">
        <v>0</v>
      </c>
      <c r="T825" s="60">
        <v>0.55645414583806607</v>
      </c>
      <c r="U825" s="60">
        <v>0.65465158611151408</v>
      </c>
    </row>
    <row r="826" spans="1:21" x14ac:dyDescent="0.25">
      <c r="A826" s="519" t="s">
        <v>1516</v>
      </c>
      <c r="B826" s="519" t="s">
        <v>1518</v>
      </c>
      <c r="C826" s="519" t="s">
        <v>284</v>
      </c>
      <c r="D826" s="519" t="s">
        <v>109</v>
      </c>
      <c r="E826" s="519" t="s">
        <v>290</v>
      </c>
      <c r="F826" s="519" t="s">
        <v>70</v>
      </c>
      <c r="G826" s="519" t="s">
        <v>56</v>
      </c>
      <c r="H826" s="519" t="s">
        <v>145</v>
      </c>
      <c r="I826" s="881">
        <v>472.56390000000005</v>
      </c>
      <c r="J826" s="881">
        <v>-3.1016900000000003E-3</v>
      </c>
      <c r="K826" s="60">
        <v>-6.5635787206481098E-6</v>
      </c>
      <c r="L826" s="880">
        <v>3.1659183093751402</v>
      </c>
      <c r="M826">
        <v>0</v>
      </c>
      <c r="N826" s="60">
        <v>0</v>
      </c>
      <c r="O826" s="881">
        <v>17148.136472310001</v>
      </c>
      <c r="P826" s="60">
        <v>-2.0843584987564598E-5</v>
      </c>
      <c r="Q826" s="880">
        <v>3.1794825106952</v>
      </c>
      <c r="R826" s="60">
        <v>0.45109901988816703</v>
      </c>
      <c r="S826" s="60">
        <v>6.8677792524084902E-2</v>
      </c>
      <c r="T826" s="60">
        <v>8.0084375803535501E-2</v>
      </c>
      <c r="U826" s="60">
        <v>4.0919622899970302E-2</v>
      </c>
    </row>
    <row r="827" spans="1:21" x14ac:dyDescent="0.25">
      <c r="A827" s="519" t="s">
        <v>1520</v>
      </c>
      <c r="B827" s="519" t="s">
        <v>1521</v>
      </c>
      <c r="C827" s="519" t="s">
        <v>284</v>
      </c>
      <c r="D827" s="519" t="s">
        <v>109</v>
      </c>
      <c r="E827" s="519" t="s">
        <v>290</v>
      </c>
      <c r="F827" s="519" t="s">
        <v>70</v>
      </c>
      <c r="G827" s="519" t="s">
        <v>57</v>
      </c>
      <c r="H827" s="519" t="s">
        <v>147</v>
      </c>
      <c r="I827" s="881">
        <v>20.97</v>
      </c>
      <c r="J827" s="881">
        <v>-3.6134500000000003E-3</v>
      </c>
      <c r="K827" s="60">
        <v>-1.7234490985763103E-4</v>
      </c>
      <c r="L827" s="880">
        <v>3.1201137021997698</v>
      </c>
      <c r="M827">
        <v>0</v>
      </c>
      <c r="N827" s="60">
        <v>0</v>
      </c>
      <c r="O827" s="881">
        <v>107.04260000000001</v>
      </c>
      <c r="P827" s="60">
        <v>-4.1693083555599697E-5</v>
      </c>
      <c r="Q827" s="880">
        <v>3.0474162598086498</v>
      </c>
      <c r="R827" s="60">
        <v>0.45109901988816703</v>
      </c>
      <c r="S827" s="60">
        <v>0</v>
      </c>
      <c r="T827" s="60">
        <v>0.164399573111491</v>
      </c>
      <c r="U827" s="60">
        <v>0.59133345241897206</v>
      </c>
    </row>
    <row r="828" spans="1:21" x14ac:dyDescent="0.25">
      <c r="A828" s="519" t="s">
        <v>1520</v>
      </c>
      <c r="B828" s="519" t="s">
        <v>1523</v>
      </c>
      <c r="C828" s="519" t="s">
        <v>284</v>
      </c>
      <c r="D828" s="519" t="s">
        <v>109</v>
      </c>
      <c r="E828" s="519" t="s">
        <v>290</v>
      </c>
      <c r="F828" s="519" t="s">
        <v>70</v>
      </c>
      <c r="G828" s="519" t="s">
        <v>57</v>
      </c>
      <c r="H828" s="519" t="s">
        <v>149</v>
      </c>
      <c r="I828" s="881">
        <v>65.282600000000002</v>
      </c>
      <c r="J828" s="881">
        <v>-2.5159700000000002E-3</v>
      </c>
      <c r="K828" s="60">
        <v>-3.8541157496730002E-5</v>
      </c>
      <c r="L828" s="880">
        <v>3.0713616662023799</v>
      </c>
      <c r="M828">
        <v>0</v>
      </c>
      <c r="N828" s="60">
        <v>0</v>
      </c>
      <c r="O828" s="881">
        <v>107.04260000000001</v>
      </c>
      <c r="P828" s="60">
        <v>-4.1693083555599697E-5</v>
      </c>
      <c r="Q828" s="880">
        <v>3.0474162598086498</v>
      </c>
      <c r="R828" s="60">
        <v>0.45109901988816703</v>
      </c>
      <c r="S828" s="60">
        <v>0</v>
      </c>
      <c r="T828" s="60">
        <v>0.58197541098876304</v>
      </c>
      <c r="U828" s="60">
        <v>1.4460702641355501</v>
      </c>
    </row>
    <row r="829" spans="1:21" x14ac:dyDescent="0.25">
      <c r="A829" s="519" t="s">
        <v>1524</v>
      </c>
      <c r="B829" s="519" t="s">
        <v>1719</v>
      </c>
      <c r="C829" s="519" t="s">
        <v>284</v>
      </c>
      <c r="D829" s="519" t="s">
        <v>109</v>
      </c>
      <c r="E829" s="519" t="s">
        <v>290</v>
      </c>
      <c r="F829" s="519" t="s">
        <v>70</v>
      </c>
      <c r="G829" s="519" t="s">
        <v>58</v>
      </c>
      <c r="H829" s="519" t="s">
        <v>151</v>
      </c>
      <c r="I829" s="881">
        <v>268.22025206000001</v>
      </c>
      <c r="J829" s="881">
        <v>-1.39999999999999E-5</v>
      </c>
      <c r="K829" s="60">
        <v>-5.2195912214752993E-8</v>
      </c>
      <c r="L829" s="880">
        <v>3.4112567455874001</v>
      </c>
      <c r="M829">
        <v>0</v>
      </c>
      <c r="N829" s="60">
        <v>6.2635091388408295E-2</v>
      </c>
      <c r="O829" s="881">
        <v>40623.531642259899</v>
      </c>
      <c r="P829" s="60">
        <v>2.1221078059910901E-3</v>
      </c>
      <c r="Q829" s="880">
        <v>3.1294735981270101</v>
      </c>
      <c r="R829" s="60">
        <v>0.45109901988816703</v>
      </c>
      <c r="S829" s="60">
        <v>8.9059397930739095E-2</v>
      </c>
      <c r="T829" s="60">
        <v>2.7746365437547601E-2</v>
      </c>
      <c r="U829" s="60">
        <v>-6.6684000583905703E-4</v>
      </c>
    </row>
    <row r="830" spans="1:21" x14ac:dyDescent="0.25">
      <c r="A830" s="519" t="s">
        <v>1527</v>
      </c>
      <c r="B830" s="519" t="s">
        <v>1528</v>
      </c>
      <c r="C830" s="519" t="s">
        <v>284</v>
      </c>
      <c r="D830" s="519" t="s">
        <v>109</v>
      </c>
      <c r="E830" s="519" t="s">
        <v>290</v>
      </c>
      <c r="F830" s="519" t="s">
        <v>70</v>
      </c>
      <c r="G830" s="519" t="s">
        <v>59</v>
      </c>
      <c r="H830" s="519" t="s">
        <v>153</v>
      </c>
      <c r="I830" s="881">
        <v>19214.31253531</v>
      </c>
      <c r="J830" s="881">
        <v>0.32592398</v>
      </c>
      <c r="K830" s="60">
        <v>1.69622749181846E-5</v>
      </c>
      <c r="L830" s="880">
        <v>3.0214721678887799</v>
      </c>
      <c r="M830">
        <v>0</v>
      </c>
      <c r="N830" s="60">
        <v>0.10231726338723701</v>
      </c>
      <c r="O830" s="881">
        <v>109470.97630317</v>
      </c>
      <c r="P830" s="60">
        <v>1.1613050934337399E-6</v>
      </c>
      <c r="Q830" s="880">
        <v>3.0707216688764798</v>
      </c>
      <c r="R830" s="60">
        <v>0.45109901988816703</v>
      </c>
      <c r="S830" s="60">
        <v>0.21548609329427301</v>
      </c>
      <c r="T830" s="60">
        <v>0.19754077573269802</v>
      </c>
      <c r="U830" s="60">
        <v>0.93709591793285996</v>
      </c>
    </row>
    <row r="831" spans="1:21" x14ac:dyDescent="0.25">
      <c r="A831" s="519" t="s">
        <v>1527</v>
      </c>
      <c r="B831" s="519" t="s">
        <v>1530</v>
      </c>
      <c r="C831" s="519" t="s">
        <v>284</v>
      </c>
      <c r="D831" s="519" t="s">
        <v>109</v>
      </c>
      <c r="E831" s="519" t="s">
        <v>290</v>
      </c>
      <c r="F831" s="519" t="s">
        <v>70</v>
      </c>
      <c r="G831" s="519" t="s">
        <v>59</v>
      </c>
      <c r="H831" s="519" t="s">
        <v>155</v>
      </c>
      <c r="I831" s="881">
        <v>53187.081790800104</v>
      </c>
      <c r="J831" s="881">
        <v>0.11140537999999901</v>
      </c>
      <c r="K831" s="60">
        <v>2.0945903196862199E-6</v>
      </c>
      <c r="L831" s="880">
        <v>3.0813548456023101</v>
      </c>
      <c r="M831">
        <v>0</v>
      </c>
      <c r="N831" s="60">
        <v>0.18098671102942601</v>
      </c>
      <c r="O831" s="881">
        <v>109470.97630317</v>
      </c>
      <c r="P831" s="60">
        <v>1.1613050934337399E-6</v>
      </c>
      <c r="Q831" s="880">
        <v>3.0707216688764798</v>
      </c>
      <c r="R831" s="60">
        <v>0.45109901988816703</v>
      </c>
      <c r="S831" s="60">
        <v>0.21548609329427301</v>
      </c>
      <c r="T831" s="60">
        <v>0.45107428341931505</v>
      </c>
      <c r="U831" s="60">
        <v>7.3478865018050104E-3</v>
      </c>
    </row>
    <row r="832" spans="1:21" x14ac:dyDescent="0.25">
      <c r="A832" s="519" t="s">
        <v>1531</v>
      </c>
      <c r="B832" s="519" t="s">
        <v>1532</v>
      </c>
      <c r="C832" s="519" t="s">
        <v>284</v>
      </c>
      <c r="D832" s="519" t="s">
        <v>109</v>
      </c>
      <c r="E832" s="519" t="s">
        <v>290</v>
      </c>
      <c r="F832" s="519" t="s">
        <v>16</v>
      </c>
      <c r="G832" s="519" t="s">
        <v>56</v>
      </c>
      <c r="H832" s="519" t="s">
        <v>144</v>
      </c>
      <c r="I832" s="881">
        <v>4121.3938748099999</v>
      </c>
      <c r="J832" s="881">
        <v>-1.3860840000000001E-2</v>
      </c>
      <c r="K832" s="60">
        <v>-3.3631550483131098E-6</v>
      </c>
      <c r="L832" s="880">
        <v>3.0688990451091902</v>
      </c>
      <c r="M832">
        <v>0</v>
      </c>
      <c r="N832" s="60">
        <v>0.15062785039651602</v>
      </c>
      <c r="O832" s="881">
        <v>8491.7610344999994</v>
      </c>
      <c r="P832" s="60">
        <v>8.4243665176652891E-6</v>
      </c>
      <c r="Q832" s="880">
        <v>3.1045390083393798</v>
      </c>
      <c r="R832" s="60">
        <v>0.45109901988816703</v>
      </c>
      <c r="S832" s="60">
        <v>9.1405857612631494E-2</v>
      </c>
      <c r="T832" s="60">
        <v>0.69763052813663307</v>
      </c>
      <c r="U832" s="60">
        <v>0.73236428767345607</v>
      </c>
    </row>
    <row r="833" spans="1:21" x14ac:dyDescent="0.25">
      <c r="A833" s="519" t="s">
        <v>1531</v>
      </c>
      <c r="B833" s="519" t="s">
        <v>1534</v>
      </c>
      <c r="C833" s="519" t="s">
        <v>284</v>
      </c>
      <c r="D833" s="519" t="s">
        <v>109</v>
      </c>
      <c r="E833" s="519" t="s">
        <v>290</v>
      </c>
      <c r="F833" s="519" t="s">
        <v>16</v>
      </c>
      <c r="G833" s="519" t="s">
        <v>56</v>
      </c>
      <c r="H833" s="519" t="s">
        <v>146</v>
      </c>
      <c r="I833" s="881">
        <v>2774.6755596799999</v>
      </c>
      <c r="J833" s="881">
        <v>8.7638300000000002E-3</v>
      </c>
      <c r="K833" s="60">
        <v>3.1584962389212199E-6</v>
      </c>
      <c r="L833" s="880">
        <v>3.0105020323857898</v>
      </c>
      <c r="M833">
        <v>0</v>
      </c>
      <c r="N833" s="60">
        <v>4.48052384237448E-2</v>
      </c>
      <c r="O833" s="881">
        <v>8491.7610344999994</v>
      </c>
      <c r="P833" s="60">
        <v>8.4243665176652891E-6</v>
      </c>
      <c r="Q833" s="880">
        <v>3.1045390083393798</v>
      </c>
      <c r="R833" s="60">
        <v>0.45109901988816703</v>
      </c>
      <c r="S833" s="60">
        <v>9.1405857612631494E-2</v>
      </c>
      <c r="T833" s="60">
        <v>0.22228509605983102</v>
      </c>
      <c r="U833" s="60">
        <v>0.22671608942657401</v>
      </c>
    </row>
    <row r="834" spans="1:21" x14ac:dyDescent="0.25">
      <c r="A834" s="519" t="s">
        <v>1535</v>
      </c>
      <c r="B834" s="519" t="s">
        <v>1537</v>
      </c>
      <c r="C834" s="519" t="s">
        <v>284</v>
      </c>
      <c r="D834" s="519" t="s">
        <v>109</v>
      </c>
      <c r="E834" s="519" t="s">
        <v>290</v>
      </c>
      <c r="F834" s="519" t="s">
        <v>16</v>
      </c>
      <c r="G834" s="519" t="s">
        <v>57</v>
      </c>
      <c r="H834" s="519" t="s">
        <v>148</v>
      </c>
      <c r="I834" s="881">
        <v>710.46650669999997</v>
      </c>
      <c r="J834" s="881">
        <v>-3.0414320000000002E-2</v>
      </c>
      <c r="K834" s="60">
        <v>-4.2810775418391699E-5</v>
      </c>
      <c r="L834" s="880">
        <v>2.9792197456574399</v>
      </c>
      <c r="M834">
        <v>0</v>
      </c>
      <c r="N834" s="60">
        <v>0.51042518764804701</v>
      </c>
      <c r="O834" s="881">
        <v>2776.1765655300001</v>
      </c>
      <c r="P834" s="60">
        <v>1.15891501755757E-5</v>
      </c>
      <c r="Q834" s="880">
        <v>3.04322313525907</v>
      </c>
      <c r="R834" s="60">
        <v>0.45109901988816703</v>
      </c>
      <c r="S834" s="60">
        <v>0.25074053597419804</v>
      </c>
      <c r="T834" s="60">
        <v>0.25362501589974601</v>
      </c>
      <c r="U834" s="60">
        <v>-1.03740371655453</v>
      </c>
    </row>
    <row r="835" spans="1:21" x14ac:dyDescent="0.25">
      <c r="A835" s="519" t="s">
        <v>1539</v>
      </c>
      <c r="B835" s="519" t="s">
        <v>1540</v>
      </c>
      <c r="C835" s="519" t="s">
        <v>284</v>
      </c>
      <c r="D835" s="519" t="s">
        <v>109</v>
      </c>
      <c r="E835" s="519" t="s">
        <v>290</v>
      </c>
      <c r="F835" s="519" t="s">
        <v>16</v>
      </c>
      <c r="G835" s="519" t="s">
        <v>58</v>
      </c>
      <c r="H835" s="519" t="s">
        <v>150</v>
      </c>
      <c r="I835" s="881">
        <v>76309.972884719798</v>
      </c>
      <c r="J835" s="881">
        <v>-0.95325810000000211</v>
      </c>
      <c r="K835" s="60">
        <v>-1.2492076358264001E-5</v>
      </c>
      <c r="L835" s="880">
        <v>3.16973684063414</v>
      </c>
      <c r="M835">
        <v>0</v>
      </c>
      <c r="N835" s="60">
        <v>0.51967797972577601</v>
      </c>
      <c r="O835" s="881">
        <v>109245.66056238</v>
      </c>
      <c r="P835" s="60">
        <v>-1.31692786588354E-5</v>
      </c>
      <c r="Q835" s="880">
        <v>3.1563414192421502</v>
      </c>
      <c r="R835" s="60">
        <v>0.45109901988816703</v>
      </c>
      <c r="S835" s="60">
        <v>0.54887697207946406</v>
      </c>
      <c r="T835" s="60">
        <v>0.703598814962754</v>
      </c>
      <c r="U835" s="60">
        <v>-8.0622930063265503E-3</v>
      </c>
    </row>
    <row r="836" spans="1:21" x14ac:dyDescent="0.25">
      <c r="A836" s="519" t="s">
        <v>1539</v>
      </c>
      <c r="B836" s="519" t="s">
        <v>1542</v>
      </c>
      <c r="C836" s="519" t="s">
        <v>284</v>
      </c>
      <c r="D836" s="519" t="s">
        <v>109</v>
      </c>
      <c r="E836" s="519" t="s">
        <v>290</v>
      </c>
      <c r="F836" s="519" t="s">
        <v>16</v>
      </c>
      <c r="G836" s="519" t="s">
        <v>58</v>
      </c>
      <c r="H836" s="519" t="s">
        <v>152</v>
      </c>
      <c r="I836" s="881">
        <v>29045.582554979999</v>
      </c>
      <c r="J836" s="881">
        <v>-0.42877398999999999</v>
      </c>
      <c r="K836" s="60">
        <v>-1.4762324662940199E-5</v>
      </c>
      <c r="L836" s="880">
        <v>3.1335453217834499</v>
      </c>
      <c r="M836">
        <v>0</v>
      </c>
      <c r="N836" s="60">
        <v>0.60039225201630808</v>
      </c>
      <c r="O836" s="881">
        <v>109245.66056238</v>
      </c>
      <c r="P836" s="60">
        <v>-1.31692786588354E-5</v>
      </c>
      <c r="Q836" s="880">
        <v>3.1563414192421502</v>
      </c>
      <c r="R836" s="60">
        <v>0.45109901988816703</v>
      </c>
      <c r="S836" s="60">
        <v>0.54887697207946406</v>
      </c>
      <c r="T836" s="60">
        <v>0.268654819599698</v>
      </c>
      <c r="U836" s="60">
        <v>1.0087291330121699</v>
      </c>
    </row>
    <row r="837" spans="1:21" x14ac:dyDescent="0.25">
      <c r="A837" s="519" t="s">
        <v>1543</v>
      </c>
      <c r="B837" s="519" t="s">
        <v>1545</v>
      </c>
      <c r="C837" s="519" t="s">
        <v>284</v>
      </c>
      <c r="D837" s="519" t="s">
        <v>109</v>
      </c>
      <c r="E837" s="519" t="s">
        <v>290</v>
      </c>
      <c r="F837" s="519" t="s">
        <v>16</v>
      </c>
      <c r="G837" s="519" t="s">
        <v>59</v>
      </c>
      <c r="H837" s="519" t="s">
        <v>154</v>
      </c>
      <c r="I837" s="881">
        <v>53046.290916260099</v>
      </c>
      <c r="J837" s="881">
        <v>8.473065307793</v>
      </c>
      <c r="K837" s="60">
        <v>1.5970413723330601E-4</v>
      </c>
      <c r="L837" s="880">
        <v>3.2168317068404</v>
      </c>
      <c r="M837">
        <v>0</v>
      </c>
      <c r="N837" s="60">
        <v>0.50284588459253909</v>
      </c>
      <c r="O837" s="881">
        <v>146988.14421533002</v>
      </c>
      <c r="P837" s="60">
        <v>9.9774225210689008E-4</v>
      </c>
      <c r="Q837" s="880">
        <v>3.2239470078593002</v>
      </c>
      <c r="R837" s="60">
        <v>0.45109901988816703</v>
      </c>
      <c r="S837" s="60">
        <v>0.47031620769241606</v>
      </c>
      <c r="T837" s="60">
        <v>0.35138494084798805</v>
      </c>
      <c r="U837" s="60">
        <v>5.5556195565335101E-2</v>
      </c>
    </row>
    <row r="838" spans="1:21" x14ac:dyDescent="0.25">
      <c r="A838" s="519" t="s">
        <v>1547</v>
      </c>
      <c r="B838" s="519" t="s">
        <v>1783</v>
      </c>
      <c r="C838" s="519" t="s">
        <v>284</v>
      </c>
      <c r="D838" s="519" t="s">
        <v>109</v>
      </c>
      <c r="E838" s="519" t="s">
        <v>290</v>
      </c>
      <c r="F838" s="519" t="s">
        <v>17</v>
      </c>
      <c r="G838" s="519" t="s">
        <v>56</v>
      </c>
      <c r="H838" s="519" t="s">
        <v>145</v>
      </c>
      <c r="I838" s="881">
        <v>1961.0164000000002</v>
      </c>
      <c r="J838" s="881">
        <v>12.671283318003999</v>
      </c>
      <c r="K838" s="60">
        <v>6.4201055846394408E-3</v>
      </c>
      <c r="L838" s="880">
        <v>3.5103169179550098</v>
      </c>
      <c r="M838">
        <v>0</v>
      </c>
      <c r="N838" s="60">
        <v>0.28453132773392403</v>
      </c>
      <c r="O838" s="881">
        <v>24672.93642093</v>
      </c>
      <c r="P838" s="60">
        <v>1.2477471864827899E-2</v>
      </c>
      <c r="Q838" s="880">
        <v>3.17284741742239</v>
      </c>
      <c r="R838" s="60">
        <v>0.45109901988816703</v>
      </c>
      <c r="S838" s="60">
        <v>0.19599464071726103</v>
      </c>
      <c r="T838" s="60">
        <v>8.0084375803535501E-2</v>
      </c>
      <c r="U838" s="60">
        <v>4.0919622899970302E-2</v>
      </c>
    </row>
    <row r="839" spans="1:21" x14ac:dyDescent="0.25">
      <c r="A839" s="519" t="s">
        <v>1965</v>
      </c>
      <c r="B839" s="519" t="s">
        <v>1966</v>
      </c>
      <c r="C839" s="519" t="s">
        <v>284</v>
      </c>
      <c r="D839" s="519" t="s">
        <v>109</v>
      </c>
      <c r="E839" s="519" t="s">
        <v>290</v>
      </c>
      <c r="F839" s="519" t="s">
        <v>17</v>
      </c>
      <c r="G839" s="519" t="s">
        <v>57</v>
      </c>
      <c r="H839" s="519" t="s">
        <v>149</v>
      </c>
      <c r="I839" s="881">
        <v>1978.2968949600001</v>
      </c>
      <c r="J839" s="881">
        <v>3.9933292886999996E-2</v>
      </c>
      <c r="K839" s="60">
        <v>2.01852850923601E-5</v>
      </c>
      <c r="L839" s="880">
        <v>3.1686367867485701</v>
      </c>
      <c r="M839">
        <v>0</v>
      </c>
      <c r="N839" s="60">
        <v>0.48515297008005803</v>
      </c>
      <c r="O839" s="881">
        <v>1978.2968949600001</v>
      </c>
      <c r="P839" s="60">
        <v>2.01852850923601E-5</v>
      </c>
      <c r="Q839" s="880">
        <v>3.1686367867485701</v>
      </c>
      <c r="R839" s="60">
        <v>0.45109901988816703</v>
      </c>
      <c r="S839" s="60">
        <v>0.48515297008005803</v>
      </c>
      <c r="T839" s="60">
        <v>0.58197541098876304</v>
      </c>
      <c r="U839" s="60">
        <v>1.4460702641355501</v>
      </c>
    </row>
    <row r="840" spans="1:21" x14ac:dyDescent="0.25">
      <c r="A840" s="519" t="s">
        <v>1550</v>
      </c>
      <c r="B840" s="519" t="s">
        <v>1552</v>
      </c>
      <c r="C840" s="519" t="s">
        <v>284</v>
      </c>
      <c r="D840" s="519" t="s">
        <v>109</v>
      </c>
      <c r="E840" s="519" t="s">
        <v>288</v>
      </c>
      <c r="F840" s="519" t="s">
        <v>70</v>
      </c>
      <c r="G840" s="519" t="s">
        <v>56</v>
      </c>
      <c r="H840" s="519" t="s">
        <v>145</v>
      </c>
      <c r="I840" s="881">
        <v>26179.338340369999</v>
      </c>
      <c r="J840" s="881">
        <v>4.0412719999999902E-2</v>
      </c>
      <c r="K840" s="60">
        <v>1.54368521809288E-6</v>
      </c>
      <c r="L840" s="880">
        <v>2.9642505838270798</v>
      </c>
      <c r="M840">
        <v>0</v>
      </c>
      <c r="N840" s="60">
        <v>0.26782641665881401</v>
      </c>
      <c r="O840" s="881">
        <v>92165.222627459996</v>
      </c>
      <c r="P840" s="60">
        <v>5.4810385824057094E-6</v>
      </c>
      <c r="Q840" s="880">
        <v>3.0485800823846199</v>
      </c>
      <c r="R840" s="60">
        <v>0.45925177473288303</v>
      </c>
      <c r="S840" s="60">
        <v>0.13287698317294802</v>
      </c>
      <c r="T840" s="60">
        <v>0.39584117697279902</v>
      </c>
      <c r="U840" s="60">
        <v>0.142143954593245</v>
      </c>
    </row>
    <row r="841" spans="1:21" x14ac:dyDescent="0.25">
      <c r="A841" s="519" t="s">
        <v>1554</v>
      </c>
      <c r="B841" s="519" t="s">
        <v>1555</v>
      </c>
      <c r="C841" s="519" t="s">
        <v>284</v>
      </c>
      <c r="D841" s="519" t="s">
        <v>109</v>
      </c>
      <c r="E841" s="519" t="s">
        <v>288</v>
      </c>
      <c r="F841" s="519" t="s">
        <v>70</v>
      </c>
      <c r="G841" s="519" t="s">
        <v>57</v>
      </c>
      <c r="H841" s="519" t="s">
        <v>147</v>
      </c>
      <c r="I841" s="881">
        <v>35835.861183979898</v>
      </c>
      <c r="J841" s="881">
        <v>5.0997379999999898E-2</v>
      </c>
      <c r="K841" s="60">
        <v>1.42308028164345E-6</v>
      </c>
      <c r="L841" s="880">
        <v>2.8166812441564</v>
      </c>
      <c r="M841">
        <v>0</v>
      </c>
      <c r="N841" s="60">
        <v>3.1701412991516402E-2</v>
      </c>
      <c r="O841" s="881">
        <v>92374.736775340003</v>
      </c>
      <c r="P841" s="60">
        <v>-2.42722904601371E-6</v>
      </c>
      <c r="Q841" s="880">
        <v>3.00725426955995</v>
      </c>
      <c r="R841" s="60">
        <v>0.45925177473288303</v>
      </c>
      <c r="S841" s="60">
        <v>5.6815075695036299E-2</v>
      </c>
      <c r="T841" s="60">
        <v>0.30694237358099902</v>
      </c>
      <c r="U841" s="60">
        <v>0.35020107295910402</v>
      </c>
    </row>
    <row r="842" spans="1:21" x14ac:dyDescent="0.25">
      <c r="A842" s="519" t="s">
        <v>1554</v>
      </c>
      <c r="B842" s="519" t="s">
        <v>1557</v>
      </c>
      <c r="C842" s="519" t="s">
        <v>284</v>
      </c>
      <c r="D842" s="519" t="s">
        <v>109</v>
      </c>
      <c r="E842" s="519" t="s">
        <v>288</v>
      </c>
      <c r="F842" s="519" t="s">
        <v>70</v>
      </c>
      <c r="G842" s="519" t="s">
        <v>57</v>
      </c>
      <c r="H842" s="519" t="s">
        <v>149</v>
      </c>
      <c r="I842" s="881">
        <v>36971.681804840002</v>
      </c>
      <c r="J842" s="881">
        <v>7.69842099999999E-2</v>
      </c>
      <c r="K842" s="60">
        <v>2.0822436508700899E-6</v>
      </c>
      <c r="L842" s="880">
        <v>3.0257467028471701</v>
      </c>
      <c r="M842">
        <v>0</v>
      </c>
      <c r="N842" s="60">
        <v>9.4657213639165697E-2</v>
      </c>
      <c r="O842" s="881">
        <v>92374.736775340003</v>
      </c>
      <c r="P842" s="60">
        <v>-2.42722904601371E-6</v>
      </c>
      <c r="Q842" s="880">
        <v>3.00725426955995</v>
      </c>
      <c r="R842" s="60">
        <v>0.45925177473288303</v>
      </c>
      <c r="S842" s="60">
        <v>5.6815075695036299E-2</v>
      </c>
      <c r="T842" s="60">
        <v>0.48659380110546002</v>
      </c>
      <c r="U842" s="60">
        <v>0.47910355158183604</v>
      </c>
    </row>
    <row r="843" spans="1:21" x14ac:dyDescent="0.25">
      <c r="A843" s="519" t="s">
        <v>1558</v>
      </c>
      <c r="B843" s="519" t="s">
        <v>1560</v>
      </c>
      <c r="C843" s="519" t="s">
        <v>284</v>
      </c>
      <c r="D843" s="519" t="s">
        <v>109</v>
      </c>
      <c r="E843" s="519" t="s">
        <v>288</v>
      </c>
      <c r="F843" s="519" t="s">
        <v>70</v>
      </c>
      <c r="G843" s="519" t="s">
        <v>58</v>
      </c>
      <c r="H843" s="519" t="s">
        <v>151</v>
      </c>
      <c r="I843" s="881">
        <v>22227.764646060001</v>
      </c>
      <c r="J843" s="881">
        <v>0.10087509</v>
      </c>
      <c r="K843" s="60">
        <v>4.5382265743877201E-6</v>
      </c>
      <c r="L843" s="880">
        <v>3.1338230433627299</v>
      </c>
      <c r="M843">
        <v>0</v>
      </c>
      <c r="N843" s="60">
        <v>4.09892769024571E-3</v>
      </c>
      <c r="O843" s="881">
        <v>69111.066193880004</v>
      </c>
      <c r="P843" s="60">
        <v>2.13190791753087E-3</v>
      </c>
      <c r="Q843" s="880">
        <v>3.0810549405496301</v>
      </c>
      <c r="R843" s="60">
        <v>0.45925177473288303</v>
      </c>
      <c r="S843" s="60">
        <v>5.0462121221171802E-2</v>
      </c>
      <c r="T843" s="60">
        <v>0.294755756374663</v>
      </c>
      <c r="U843" s="60">
        <v>3.7929432341916403E-4</v>
      </c>
    </row>
    <row r="844" spans="1:21" x14ac:dyDescent="0.25">
      <c r="A844" s="519" t="s">
        <v>1562</v>
      </c>
      <c r="B844" s="519" t="s">
        <v>1563</v>
      </c>
      <c r="C844" s="519" t="s">
        <v>284</v>
      </c>
      <c r="D844" s="519" t="s">
        <v>109</v>
      </c>
      <c r="E844" s="519" t="s">
        <v>288</v>
      </c>
      <c r="F844" s="519" t="s">
        <v>70</v>
      </c>
      <c r="G844" s="519" t="s">
        <v>59</v>
      </c>
      <c r="H844" s="519" t="s">
        <v>153</v>
      </c>
      <c r="I844" s="881">
        <v>25606.553159229999</v>
      </c>
      <c r="J844" s="881">
        <v>0.46583585999999905</v>
      </c>
      <c r="K844" s="60">
        <v>1.8191725483131E-5</v>
      </c>
      <c r="L844" s="880">
        <v>3.1679218309069102</v>
      </c>
      <c r="M844">
        <v>0</v>
      </c>
      <c r="N844" s="60">
        <v>6.2313227589745002E-2</v>
      </c>
      <c r="O844" s="881">
        <v>89456.811580530106</v>
      </c>
      <c r="P844" s="60">
        <v>1.6447495207360002E-5</v>
      </c>
      <c r="Q844" s="880">
        <v>3.09836694080404</v>
      </c>
      <c r="R844" s="60">
        <v>0.45925177473288303</v>
      </c>
      <c r="S844" s="60">
        <v>7.5336993550157008E-2</v>
      </c>
      <c r="T844" s="60">
        <v>0.32375265055497804</v>
      </c>
      <c r="U844" s="60">
        <v>0.89489114975128403</v>
      </c>
    </row>
    <row r="845" spans="1:21" x14ac:dyDescent="0.25">
      <c r="A845" s="519" t="s">
        <v>1562</v>
      </c>
      <c r="B845" s="519" t="s">
        <v>1565</v>
      </c>
      <c r="C845" s="519" t="s">
        <v>284</v>
      </c>
      <c r="D845" s="519" t="s">
        <v>109</v>
      </c>
      <c r="E845" s="519" t="s">
        <v>288</v>
      </c>
      <c r="F845" s="519" t="s">
        <v>70</v>
      </c>
      <c r="G845" s="519" t="s">
        <v>59</v>
      </c>
      <c r="H845" s="519" t="s">
        <v>155</v>
      </c>
      <c r="I845" s="881">
        <v>30704.573607590002</v>
      </c>
      <c r="J845" s="881">
        <v>0.49558684999999902</v>
      </c>
      <c r="K845" s="60">
        <v>1.6140229056697198E-5</v>
      </c>
      <c r="L845" s="880">
        <v>3.08509903994273</v>
      </c>
      <c r="M845">
        <v>0</v>
      </c>
      <c r="N845" s="60">
        <v>8.7244602830368292E-2</v>
      </c>
      <c r="O845" s="881">
        <v>89456.811580530106</v>
      </c>
      <c r="P845" s="60">
        <v>1.6447495207360002E-5</v>
      </c>
      <c r="Q845" s="880">
        <v>3.09836694080404</v>
      </c>
      <c r="R845" s="60">
        <v>0.45925177473288303</v>
      </c>
      <c r="S845" s="60">
        <v>7.5336993550157008E-2</v>
      </c>
      <c r="T845" s="60">
        <v>0.306375625315917</v>
      </c>
      <c r="U845" s="60">
        <v>5.0765258148890904E-4</v>
      </c>
    </row>
    <row r="846" spans="1:21" x14ac:dyDescent="0.25">
      <c r="A846" s="519" t="s">
        <v>1566</v>
      </c>
      <c r="B846" s="519" t="s">
        <v>1568</v>
      </c>
      <c r="C846" s="519" t="s">
        <v>284</v>
      </c>
      <c r="D846" s="519" t="s">
        <v>109</v>
      </c>
      <c r="E846" s="519" t="s">
        <v>288</v>
      </c>
      <c r="F846" s="519" t="s">
        <v>16</v>
      </c>
      <c r="G846" s="519" t="s">
        <v>56</v>
      </c>
      <c r="H846" s="519" t="s">
        <v>145</v>
      </c>
      <c r="I846" s="881">
        <v>45710.8658400801</v>
      </c>
      <c r="J846" s="881">
        <v>1.0116512600000001</v>
      </c>
      <c r="K846" s="60">
        <v>2.2131037172814701E-5</v>
      </c>
      <c r="L846" s="880">
        <v>3.2218032352741899</v>
      </c>
      <c r="M846">
        <v>0</v>
      </c>
      <c r="N846" s="60">
        <v>0.23414074610058302</v>
      </c>
      <c r="O846" s="881">
        <v>101938.47583036</v>
      </c>
      <c r="P846" s="60">
        <v>1.8445554739275099E-5</v>
      </c>
      <c r="Q846" s="880">
        <v>3.1584578696887702</v>
      </c>
      <c r="R846" s="60">
        <v>0.45925177473288303</v>
      </c>
      <c r="S846" s="60">
        <v>0.164517332086451</v>
      </c>
      <c r="T846" s="60">
        <v>0.39584117697279902</v>
      </c>
      <c r="U846" s="60">
        <v>0.142143954593245</v>
      </c>
    </row>
    <row r="847" spans="1:21" x14ac:dyDescent="0.25">
      <c r="A847" s="519" t="s">
        <v>1570</v>
      </c>
      <c r="B847" s="519" t="s">
        <v>1571</v>
      </c>
      <c r="C847" s="519" t="s">
        <v>284</v>
      </c>
      <c r="D847" s="519" t="s">
        <v>109</v>
      </c>
      <c r="E847" s="519" t="s">
        <v>288</v>
      </c>
      <c r="F847" s="519" t="s">
        <v>16</v>
      </c>
      <c r="G847" s="519" t="s">
        <v>57</v>
      </c>
      <c r="H847" s="519" t="s">
        <v>147</v>
      </c>
      <c r="I847" s="881">
        <v>29369.764883060001</v>
      </c>
      <c r="J847" s="881">
        <v>1.0344427700000001</v>
      </c>
      <c r="K847" s="60">
        <v>3.5220109555897E-5</v>
      </c>
      <c r="L847" s="880">
        <v>2.9159106354416502</v>
      </c>
      <c r="M847">
        <v>0</v>
      </c>
      <c r="N847" s="60">
        <v>0.49957354089077999</v>
      </c>
      <c r="O847" s="881">
        <v>120061.31532886</v>
      </c>
      <c r="P847" s="60">
        <v>2.7682513911936298E-5</v>
      </c>
      <c r="Q847" s="880">
        <v>3.1753158626978601</v>
      </c>
      <c r="R847" s="60">
        <v>0.45925177473288303</v>
      </c>
      <c r="S847" s="60">
        <v>0.43098166716662406</v>
      </c>
      <c r="T847" s="60">
        <v>0.30694237358099902</v>
      </c>
      <c r="U847" s="60">
        <v>0.35020107295910402</v>
      </c>
    </row>
    <row r="848" spans="1:21" x14ac:dyDescent="0.25">
      <c r="A848" s="519" t="s">
        <v>1570</v>
      </c>
      <c r="B848" s="519" t="s">
        <v>1573</v>
      </c>
      <c r="C848" s="519" t="s">
        <v>284</v>
      </c>
      <c r="D848" s="519" t="s">
        <v>109</v>
      </c>
      <c r="E848" s="519" t="s">
        <v>288</v>
      </c>
      <c r="F848" s="519" t="s">
        <v>16</v>
      </c>
      <c r="G848" s="519" t="s">
        <v>57</v>
      </c>
      <c r="H848" s="519" t="s">
        <v>149</v>
      </c>
      <c r="I848" s="881">
        <v>66398.384280380298</v>
      </c>
      <c r="J848" s="881">
        <v>1.4079861999999999</v>
      </c>
      <c r="K848" s="60">
        <v>2.12046777849432E-5</v>
      </c>
      <c r="L848" s="880">
        <v>3.2242707612356298</v>
      </c>
      <c r="M848">
        <v>0</v>
      </c>
      <c r="N848" s="60">
        <v>0.34341952242409801</v>
      </c>
      <c r="O848" s="881">
        <v>120061.31532886</v>
      </c>
      <c r="P848" s="60">
        <v>2.7682513911936298E-5</v>
      </c>
      <c r="Q848" s="880">
        <v>3.1753158626978601</v>
      </c>
      <c r="R848" s="60">
        <v>0.45925177473288303</v>
      </c>
      <c r="S848" s="60">
        <v>0.43098166716662406</v>
      </c>
      <c r="T848" s="60">
        <v>0.48659380110546002</v>
      </c>
      <c r="U848" s="60">
        <v>0.47910355158183604</v>
      </c>
    </row>
    <row r="849" spans="1:21" x14ac:dyDescent="0.25">
      <c r="A849" s="519" t="s">
        <v>1574</v>
      </c>
      <c r="B849" s="519" t="s">
        <v>1576</v>
      </c>
      <c r="C849" s="519" t="s">
        <v>284</v>
      </c>
      <c r="D849" s="519" t="s">
        <v>109</v>
      </c>
      <c r="E849" s="519" t="s">
        <v>288</v>
      </c>
      <c r="F849" s="519" t="s">
        <v>16</v>
      </c>
      <c r="G849" s="519" t="s">
        <v>58</v>
      </c>
      <c r="H849" s="519" t="s">
        <v>151</v>
      </c>
      <c r="I849" s="881">
        <v>22214.253783160002</v>
      </c>
      <c r="J849" s="881">
        <v>-4.4756000000000101E-2</v>
      </c>
      <c r="K849" s="60">
        <v>-2.0147465050535697E-6</v>
      </c>
      <c r="L849" s="880">
        <v>3.1845015427286798</v>
      </c>
      <c r="M849">
        <v>0</v>
      </c>
      <c r="N849" s="60">
        <v>0.47271372321137806</v>
      </c>
      <c r="O849" s="881">
        <v>81664.677682449998</v>
      </c>
      <c r="P849" s="60">
        <v>3.7147544284916296E-6</v>
      </c>
      <c r="Q849" s="880">
        <v>3.1309173611523802</v>
      </c>
      <c r="R849" s="60">
        <v>0.45925177473288303</v>
      </c>
      <c r="S849" s="60">
        <v>0.35885128900199903</v>
      </c>
      <c r="T849" s="60">
        <v>0.294755756374663</v>
      </c>
      <c r="U849" s="60">
        <v>3.7929432341916403E-4</v>
      </c>
    </row>
    <row r="850" spans="1:21" x14ac:dyDescent="0.25">
      <c r="A850" s="519" t="s">
        <v>1578</v>
      </c>
      <c r="B850" s="519" t="s">
        <v>1579</v>
      </c>
      <c r="C850" s="519" t="s">
        <v>284</v>
      </c>
      <c r="D850" s="519" t="s">
        <v>109</v>
      </c>
      <c r="E850" s="519" t="s">
        <v>288</v>
      </c>
      <c r="F850" s="519" t="s">
        <v>16</v>
      </c>
      <c r="G850" s="519" t="s">
        <v>59</v>
      </c>
      <c r="H850" s="519" t="s">
        <v>153</v>
      </c>
      <c r="I850" s="881">
        <v>30206.654841149902</v>
      </c>
      <c r="J850" s="881">
        <v>436.85784350291601</v>
      </c>
      <c r="K850" s="60">
        <v>1.42561281403521E-2</v>
      </c>
      <c r="L850" s="880">
        <v>3.07725960011452</v>
      </c>
      <c r="M850">
        <v>0</v>
      </c>
      <c r="N850" s="60">
        <v>0.52127100202931909</v>
      </c>
      <c r="O850" s="881">
        <v>82937.786285169801</v>
      </c>
      <c r="P850" s="60">
        <v>5.8401900499771703E-3</v>
      </c>
      <c r="Q850" s="880">
        <v>3.0798395657479798</v>
      </c>
      <c r="R850" s="60">
        <v>0.45925177473288303</v>
      </c>
      <c r="S850" s="60">
        <v>0.52157313113244996</v>
      </c>
      <c r="T850" s="60">
        <v>0.32375265055497804</v>
      </c>
      <c r="U850" s="60">
        <v>0.89489114975128403</v>
      </c>
    </row>
    <row r="851" spans="1:21" x14ac:dyDescent="0.25">
      <c r="A851" s="519" t="s">
        <v>1578</v>
      </c>
      <c r="B851" s="519" t="s">
        <v>1581</v>
      </c>
      <c r="C851" s="519" t="s">
        <v>284</v>
      </c>
      <c r="D851" s="519" t="s">
        <v>109</v>
      </c>
      <c r="E851" s="519" t="s">
        <v>288</v>
      </c>
      <c r="F851" s="519" t="s">
        <v>16</v>
      </c>
      <c r="G851" s="519" t="s">
        <v>59</v>
      </c>
      <c r="H851" s="519" t="s">
        <v>155</v>
      </c>
      <c r="I851" s="881">
        <v>22112.929114599901</v>
      </c>
      <c r="J851" s="881">
        <v>-0.24750249377799999</v>
      </c>
      <c r="K851" s="60">
        <v>-1.11927851230173E-5</v>
      </c>
      <c r="L851" s="880">
        <v>3.0846002313850001</v>
      </c>
      <c r="M851">
        <v>0</v>
      </c>
      <c r="N851" s="60">
        <v>0.59237016253633401</v>
      </c>
      <c r="O851" s="881">
        <v>82937.786285169801</v>
      </c>
      <c r="P851" s="60">
        <v>5.8401900499771703E-3</v>
      </c>
      <c r="Q851" s="880">
        <v>3.0798395657479798</v>
      </c>
      <c r="R851" s="60">
        <v>0.45925177473288303</v>
      </c>
      <c r="S851" s="60">
        <v>0.52157313113244996</v>
      </c>
      <c r="T851" s="60">
        <v>0.306375625315917</v>
      </c>
      <c r="U851" s="60">
        <v>5.0765258148890904E-4</v>
      </c>
    </row>
    <row r="852" spans="1:21" x14ac:dyDescent="0.25">
      <c r="A852" s="519" t="s">
        <v>1582</v>
      </c>
      <c r="B852" s="519" t="s">
        <v>1763</v>
      </c>
      <c r="C852" s="519" t="s">
        <v>284</v>
      </c>
      <c r="D852" s="519" t="s">
        <v>109</v>
      </c>
      <c r="E852" s="519" t="s">
        <v>288</v>
      </c>
      <c r="F852" s="519" t="s">
        <v>17</v>
      </c>
      <c r="G852" s="519" t="s">
        <v>56</v>
      </c>
      <c r="H852" s="519" t="s">
        <v>145</v>
      </c>
      <c r="I852" s="881">
        <v>87698.111206420203</v>
      </c>
      <c r="J852" s="881">
        <v>198.720242097024</v>
      </c>
      <c r="K852" s="60">
        <v>2.2608351043168001E-3</v>
      </c>
      <c r="L852" s="880">
        <v>3.1082083580940099</v>
      </c>
      <c r="M852">
        <v>0</v>
      </c>
      <c r="N852" s="60">
        <v>0.58406494562815703</v>
      </c>
      <c r="O852" s="881">
        <v>209058.79364905</v>
      </c>
      <c r="P852" s="60">
        <v>6.6664674722772101E-3</v>
      </c>
      <c r="Q852" s="880">
        <v>3.09303954537135</v>
      </c>
      <c r="R852" s="60">
        <v>0.45925177473288303</v>
      </c>
      <c r="S852" s="60">
        <v>0.59143097202044703</v>
      </c>
      <c r="T852" s="60">
        <v>0.39584117697279902</v>
      </c>
      <c r="U852" s="60">
        <v>0.142143954593245</v>
      </c>
    </row>
    <row r="853" spans="1:21" x14ac:dyDescent="0.25">
      <c r="A853" s="519" t="s">
        <v>1967</v>
      </c>
      <c r="B853" s="519" t="s">
        <v>1968</v>
      </c>
      <c r="C853" s="519" t="s">
        <v>284</v>
      </c>
      <c r="D853" s="519" t="s">
        <v>109</v>
      </c>
      <c r="E853" s="519" t="s">
        <v>288</v>
      </c>
      <c r="F853" s="519" t="s">
        <v>17</v>
      </c>
      <c r="G853" s="519" t="s">
        <v>57</v>
      </c>
      <c r="H853" s="519" t="s">
        <v>149</v>
      </c>
      <c r="I853" s="881">
        <v>104448.46371735001</v>
      </c>
      <c r="J853" s="881">
        <v>2.5378797551459997</v>
      </c>
      <c r="K853" s="60">
        <v>2.4297323303181699E-5</v>
      </c>
      <c r="L853" s="880">
        <v>3.1046853534462402</v>
      </c>
      <c r="M853">
        <v>0</v>
      </c>
      <c r="N853" s="60">
        <v>0.56111038960704707</v>
      </c>
      <c r="O853" s="881">
        <v>104448.46371735001</v>
      </c>
      <c r="P853" s="60">
        <v>2.4297323303181499E-5</v>
      </c>
      <c r="Q853" s="880">
        <v>3.1046853534462402</v>
      </c>
      <c r="R853" s="60">
        <v>0.45925177473288303</v>
      </c>
      <c r="S853" s="60">
        <v>0.56111038960704707</v>
      </c>
      <c r="T853" s="60">
        <v>0.48659380110546002</v>
      </c>
      <c r="U853" s="60">
        <v>0.47910355158183604</v>
      </c>
    </row>
    <row r="854" spans="1:21" x14ac:dyDescent="0.25">
      <c r="A854" s="519" t="s">
        <v>1585</v>
      </c>
      <c r="B854" s="519" t="s">
        <v>1586</v>
      </c>
      <c r="C854" s="519" t="s">
        <v>284</v>
      </c>
      <c r="D854" s="519" t="s">
        <v>109</v>
      </c>
      <c r="E854" s="519" t="s">
        <v>281</v>
      </c>
      <c r="F854" s="519" t="s">
        <v>70</v>
      </c>
      <c r="G854" s="519" t="s">
        <v>56</v>
      </c>
      <c r="H854" s="519" t="s">
        <v>144</v>
      </c>
      <c r="I854" s="881">
        <v>2001.5329807099999</v>
      </c>
      <c r="J854" s="881">
        <v>-0.11683223000000001</v>
      </c>
      <c r="K854" s="60">
        <v>-5.83747813210809E-5</v>
      </c>
      <c r="L854" s="880">
        <v>3.1608030891615</v>
      </c>
      <c r="M854">
        <v>0</v>
      </c>
      <c r="N854" s="60">
        <v>0</v>
      </c>
      <c r="O854" s="881">
        <v>27514.025194090002</v>
      </c>
      <c r="P854" s="60">
        <v>-3.7846939287256798E-6</v>
      </c>
      <c r="Q854" s="880">
        <v>3.14007798665902</v>
      </c>
      <c r="R854" s="60">
        <v>0.42569148337744106</v>
      </c>
      <c r="S854" s="60">
        <v>0</v>
      </c>
      <c r="T854" s="60">
        <v>0.19148273242003302</v>
      </c>
      <c r="U854" s="60">
        <v>0.62120976448535803</v>
      </c>
    </row>
    <row r="855" spans="1:21" x14ac:dyDescent="0.25">
      <c r="A855" s="519" t="s">
        <v>1585</v>
      </c>
      <c r="B855" s="519" t="s">
        <v>1588</v>
      </c>
      <c r="C855" s="519" t="s">
        <v>284</v>
      </c>
      <c r="D855" s="519" t="s">
        <v>109</v>
      </c>
      <c r="E855" s="519" t="s">
        <v>281</v>
      </c>
      <c r="F855" s="519" t="s">
        <v>70</v>
      </c>
      <c r="G855" s="519" t="s">
        <v>56</v>
      </c>
      <c r="H855" s="519" t="s">
        <v>146</v>
      </c>
      <c r="I855" s="881">
        <v>17497.303238619999</v>
      </c>
      <c r="J855" s="881">
        <v>-7.8959500000000002E-2</v>
      </c>
      <c r="K855" s="60">
        <v>-4.5126871977188396E-6</v>
      </c>
      <c r="L855" s="880">
        <v>3.1685004268990902</v>
      </c>
      <c r="M855">
        <v>0</v>
      </c>
      <c r="N855" s="60">
        <v>0</v>
      </c>
      <c r="O855" s="881">
        <v>27514.025194090002</v>
      </c>
      <c r="P855" s="60">
        <v>-3.7846939287256798E-6</v>
      </c>
      <c r="Q855" s="880">
        <v>3.14007798665902</v>
      </c>
      <c r="R855" s="60">
        <v>0.42569148337744106</v>
      </c>
      <c r="S855" s="60">
        <v>0</v>
      </c>
      <c r="T855" s="60">
        <v>0.49706761116773807</v>
      </c>
      <c r="U855" s="60">
        <v>0.34386302927217505</v>
      </c>
    </row>
    <row r="856" spans="1:21" x14ac:dyDescent="0.25">
      <c r="A856" s="519" t="s">
        <v>1589</v>
      </c>
      <c r="B856" s="519" t="s">
        <v>1591</v>
      </c>
      <c r="C856" s="519" t="s">
        <v>284</v>
      </c>
      <c r="D856" s="519" t="s">
        <v>109</v>
      </c>
      <c r="E856" s="519" t="s">
        <v>281</v>
      </c>
      <c r="F856" s="519" t="s">
        <v>70</v>
      </c>
      <c r="G856" s="519" t="s">
        <v>57</v>
      </c>
      <c r="H856" s="519" t="s">
        <v>148</v>
      </c>
      <c r="I856" s="881">
        <v>18089.571100010002</v>
      </c>
      <c r="J856" s="881">
        <v>-0.54570631999999997</v>
      </c>
      <c r="K856" s="60">
        <v>-3.0167812147046799E-5</v>
      </c>
      <c r="L856" s="880">
        <v>3.14112160007751</v>
      </c>
      <c r="M856">
        <v>0</v>
      </c>
      <c r="N856" s="60">
        <v>0</v>
      </c>
      <c r="O856" s="881">
        <v>27584.657179810001</v>
      </c>
      <c r="P856" s="60">
        <v>-3.0414955367409201E-5</v>
      </c>
      <c r="Q856" s="880">
        <v>3.1463263586257102</v>
      </c>
      <c r="R856" s="60">
        <v>0.42569148337744106</v>
      </c>
      <c r="S856" s="60">
        <v>0</v>
      </c>
      <c r="T856" s="60">
        <v>0.41497306158023806</v>
      </c>
      <c r="U856" s="60">
        <v>0.76368312045798104</v>
      </c>
    </row>
    <row r="857" spans="1:21" x14ac:dyDescent="0.25">
      <c r="A857" s="519" t="s">
        <v>1593</v>
      </c>
      <c r="B857" s="519" t="s">
        <v>1594</v>
      </c>
      <c r="C857" s="519" t="s">
        <v>284</v>
      </c>
      <c r="D857" s="519" t="s">
        <v>109</v>
      </c>
      <c r="E857" s="519" t="s">
        <v>281</v>
      </c>
      <c r="F857" s="519" t="s">
        <v>70</v>
      </c>
      <c r="G857" s="519" t="s">
        <v>58</v>
      </c>
      <c r="H857" s="519" t="s">
        <v>150</v>
      </c>
      <c r="I857" s="881">
        <v>10004.23334458</v>
      </c>
      <c r="J857" s="881">
        <v>-0.54524835000000005</v>
      </c>
      <c r="K857" s="60">
        <v>-5.45047331299226E-5</v>
      </c>
      <c r="L857" s="880">
        <v>3.1270327175530301</v>
      </c>
      <c r="M857">
        <v>0</v>
      </c>
      <c r="N857" s="60">
        <v>0</v>
      </c>
      <c r="O857" s="881">
        <v>32694.574023690002</v>
      </c>
      <c r="P857" s="60">
        <v>4.5852442169381303E-3</v>
      </c>
      <c r="Q857" s="880">
        <v>3.0986351639533298</v>
      </c>
      <c r="R857" s="60">
        <v>0.42569148337744106</v>
      </c>
      <c r="S857" s="60">
        <v>0</v>
      </c>
      <c r="T857" s="60">
        <v>0.28541326862204802</v>
      </c>
      <c r="U857" s="60">
        <v>-3.5785131148814505E-3</v>
      </c>
    </row>
    <row r="858" spans="1:21" x14ac:dyDescent="0.25">
      <c r="A858" s="519" t="s">
        <v>1593</v>
      </c>
      <c r="B858" s="519" t="s">
        <v>1596</v>
      </c>
      <c r="C858" s="519" t="s">
        <v>284</v>
      </c>
      <c r="D858" s="519" t="s">
        <v>109</v>
      </c>
      <c r="E858" s="519" t="s">
        <v>281</v>
      </c>
      <c r="F858" s="519" t="s">
        <v>70</v>
      </c>
      <c r="G858" s="519" t="s">
        <v>58</v>
      </c>
      <c r="H858" s="519" t="s">
        <v>152</v>
      </c>
      <c r="I858" s="881">
        <v>10226.688536990001</v>
      </c>
      <c r="J858" s="881">
        <v>151.37511229999998</v>
      </c>
      <c r="K858" s="60">
        <v>1.45860651288601E-2</v>
      </c>
      <c r="L858" s="880">
        <v>3.1734936290931901</v>
      </c>
      <c r="M858">
        <v>0</v>
      </c>
      <c r="N858" s="60">
        <v>0</v>
      </c>
      <c r="O858" s="881">
        <v>32694.574023690002</v>
      </c>
      <c r="P858" s="60">
        <v>4.5852442169381303E-3</v>
      </c>
      <c r="Q858" s="880">
        <v>3.0986351639533298</v>
      </c>
      <c r="R858" s="60">
        <v>0.42569148337744106</v>
      </c>
      <c r="S858" s="60">
        <v>0</v>
      </c>
      <c r="T858" s="60">
        <v>0.38662532075201606</v>
      </c>
      <c r="U858" s="60">
        <v>1.00577050230595</v>
      </c>
    </row>
    <row r="859" spans="1:21" x14ac:dyDescent="0.25">
      <c r="A859" s="519" t="s">
        <v>1597</v>
      </c>
      <c r="B859" s="519" t="s">
        <v>1599</v>
      </c>
      <c r="C859" s="519" t="s">
        <v>284</v>
      </c>
      <c r="D859" s="519" t="s">
        <v>109</v>
      </c>
      <c r="E859" s="519" t="s">
        <v>281</v>
      </c>
      <c r="F859" s="519" t="s">
        <v>70</v>
      </c>
      <c r="G859" s="519" t="s">
        <v>59</v>
      </c>
      <c r="H859" s="519" t="s">
        <v>154</v>
      </c>
      <c r="I859" s="881">
        <v>2982.33366217</v>
      </c>
      <c r="J859" s="881">
        <v>-2.605503E-2</v>
      </c>
      <c r="K859" s="60">
        <v>-8.7365333936784899E-6</v>
      </c>
      <c r="L859" s="880">
        <v>3.1258909012451199</v>
      </c>
      <c r="M859">
        <v>0</v>
      </c>
      <c r="N859" s="60">
        <v>0</v>
      </c>
      <c r="O859" s="881">
        <v>14425.27341424</v>
      </c>
      <c r="P859" s="60">
        <v>-1.8324042526090199E-5</v>
      </c>
      <c r="Q859" s="880">
        <v>3.1552800287936602</v>
      </c>
      <c r="R859" s="60">
        <v>0.42569148337744106</v>
      </c>
      <c r="S859" s="60">
        <v>0</v>
      </c>
      <c r="T859" s="60">
        <v>0.21924067598786501</v>
      </c>
      <c r="U859" s="60">
        <v>7.66148872404422E-2</v>
      </c>
    </row>
    <row r="860" spans="1:21" x14ac:dyDescent="0.25">
      <c r="A860" s="519" t="s">
        <v>1601</v>
      </c>
      <c r="B860" s="519" t="s">
        <v>1603</v>
      </c>
      <c r="C860" s="519" t="s">
        <v>284</v>
      </c>
      <c r="D860" s="519" t="s">
        <v>109</v>
      </c>
      <c r="E860" s="519" t="s">
        <v>281</v>
      </c>
      <c r="F860" s="519" t="s">
        <v>16</v>
      </c>
      <c r="G860" s="519" t="s">
        <v>56</v>
      </c>
      <c r="H860" s="519" t="s">
        <v>145</v>
      </c>
      <c r="I860" s="881">
        <v>12291.394450350001</v>
      </c>
      <c r="J860" s="881">
        <v>0.10128409000000001</v>
      </c>
      <c r="K860" s="60">
        <v>8.2401761501009388E-6</v>
      </c>
      <c r="L860" s="880">
        <v>3.3125803602152399</v>
      </c>
      <c r="M860">
        <v>0</v>
      </c>
      <c r="N860" s="60">
        <v>0.12840413581919202</v>
      </c>
      <c r="O860" s="881">
        <v>44279.24573432</v>
      </c>
      <c r="P860" s="60">
        <v>1.5225146781722499E-5</v>
      </c>
      <c r="Q860" s="880">
        <v>3.31738276451676</v>
      </c>
      <c r="R860" s="60">
        <v>0.42569148337744106</v>
      </c>
      <c r="S860" s="60">
        <v>6.7256772530380898E-2</v>
      </c>
      <c r="T860" s="60">
        <v>0.31144965641222999</v>
      </c>
      <c r="U860" s="60">
        <v>3.4927206242467097E-2</v>
      </c>
    </row>
    <row r="861" spans="1:21" x14ac:dyDescent="0.25">
      <c r="A861" s="519" t="s">
        <v>1605</v>
      </c>
      <c r="B861" s="519" t="s">
        <v>1606</v>
      </c>
      <c r="C861" s="519" t="s">
        <v>284</v>
      </c>
      <c r="D861" s="519" t="s">
        <v>109</v>
      </c>
      <c r="E861" s="519" t="s">
        <v>281</v>
      </c>
      <c r="F861" s="519" t="s">
        <v>16</v>
      </c>
      <c r="G861" s="519" t="s">
        <v>57</v>
      </c>
      <c r="H861" s="519" t="s">
        <v>147</v>
      </c>
      <c r="I861" s="881">
        <v>5348.9864344600001</v>
      </c>
      <c r="J861" s="881">
        <v>-2.9962330000000002E-2</v>
      </c>
      <c r="K861" s="60">
        <v>-5.6015281029327096E-6</v>
      </c>
      <c r="L861" s="880">
        <v>3.27253861258413</v>
      </c>
      <c r="M861">
        <v>0</v>
      </c>
      <c r="N861" s="60">
        <v>0.10973567218613801</v>
      </c>
      <c r="O861" s="881">
        <v>26326.585052799997</v>
      </c>
      <c r="P861" s="60">
        <v>5.46172336344373E-6</v>
      </c>
      <c r="Q861" s="880">
        <v>3.3004276328194901</v>
      </c>
      <c r="R861" s="60">
        <v>0.42569148337744106</v>
      </c>
      <c r="S861" s="60">
        <v>0.10916292694537501</v>
      </c>
      <c r="T861" s="60">
        <v>0.21218364390536501</v>
      </c>
      <c r="U861" s="60">
        <v>0.49048230976282103</v>
      </c>
    </row>
    <row r="862" spans="1:21" x14ac:dyDescent="0.25">
      <c r="A862" s="519" t="s">
        <v>1605</v>
      </c>
      <c r="B862" s="519" t="s">
        <v>1608</v>
      </c>
      <c r="C862" s="519" t="s">
        <v>284</v>
      </c>
      <c r="D862" s="519" t="s">
        <v>109</v>
      </c>
      <c r="E862" s="519" t="s">
        <v>281</v>
      </c>
      <c r="F862" s="519" t="s">
        <v>16</v>
      </c>
      <c r="G862" s="519" t="s">
        <v>57</v>
      </c>
      <c r="H862" s="519" t="s">
        <v>149</v>
      </c>
      <c r="I862" s="881">
        <v>16695.456475490002</v>
      </c>
      <c r="J862" s="881">
        <v>0.15893589999999999</v>
      </c>
      <c r="K862" s="60">
        <v>9.5196191385416996E-6</v>
      </c>
      <c r="L862" s="880">
        <v>3.3072522749329201</v>
      </c>
      <c r="M862">
        <v>0</v>
      </c>
      <c r="N862" s="60">
        <v>0.11585663156318302</v>
      </c>
      <c r="O862" s="881">
        <v>26326.585052799997</v>
      </c>
      <c r="P862" s="60">
        <v>5.46172336344373E-6</v>
      </c>
      <c r="Q862" s="880">
        <v>3.3004276328194901</v>
      </c>
      <c r="R862" s="60">
        <v>0.42569148337744106</v>
      </c>
      <c r="S862" s="60">
        <v>0.10916292694537501</v>
      </c>
      <c r="T862" s="60">
        <v>0.37284329451439702</v>
      </c>
      <c r="U862" s="60">
        <v>-0.25416543022080201</v>
      </c>
    </row>
    <row r="863" spans="1:21" x14ac:dyDescent="0.25">
      <c r="A863" s="519" t="s">
        <v>1609</v>
      </c>
      <c r="B863" s="519" t="s">
        <v>1611</v>
      </c>
      <c r="C863" s="519" t="s">
        <v>284</v>
      </c>
      <c r="D863" s="519" t="s">
        <v>109</v>
      </c>
      <c r="E863" s="519" t="s">
        <v>281</v>
      </c>
      <c r="F863" s="519" t="s">
        <v>16</v>
      </c>
      <c r="G863" s="519" t="s">
        <v>58</v>
      </c>
      <c r="H863" s="519" t="s">
        <v>151</v>
      </c>
      <c r="I863" s="881">
        <v>4118.8464462399998</v>
      </c>
      <c r="J863" s="881">
        <v>-0.10348986</v>
      </c>
      <c r="K863" s="60">
        <v>-2.5126564365880699E-5</v>
      </c>
      <c r="L863" s="880">
        <v>3.2983473650478401</v>
      </c>
      <c r="M863">
        <v>0</v>
      </c>
      <c r="N863" s="60">
        <v>0.17558629730181</v>
      </c>
      <c r="O863" s="881">
        <v>17867.772798490001</v>
      </c>
      <c r="P863" s="60">
        <v>1.9043008655081799E-6</v>
      </c>
      <c r="Q863" s="880">
        <v>3.1914828267655002</v>
      </c>
      <c r="R863" s="60">
        <v>0.42569148337744106</v>
      </c>
      <c r="S863" s="60">
        <v>7.2426733865194701E-2</v>
      </c>
      <c r="T863" s="60">
        <v>0.32796141062593703</v>
      </c>
      <c r="U863" s="60">
        <v>-2.19198919107042E-3</v>
      </c>
    </row>
    <row r="864" spans="1:21" x14ac:dyDescent="0.25">
      <c r="A864" s="519" t="s">
        <v>1613</v>
      </c>
      <c r="B864" s="519" t="s">
        <v>1614</v>
      </c>
      <c r="C864" s="519" t="s">
        <v>284</v>
      </c>
      <c r="D864" s="519" t="s">
        <v>109</v>
      </c>
      <c r="E864" s="519" t="s">
        <v>281</v>
      </c>
      <c r="F864" s="519" t="s">
        <v>16</v>
      </c>
      <c r="G864" s="519" t="s">
        <v>59</v>
      </c>
      <c r="H864" s="519" t="s">
        <v>153</v>
      </c>
      <c r="I864" s="881">
        <v>2754.3483916300002</v>
      </c>
      <c r="J864" s="881">
        <v>76.156126659413005</v>
      </c>
      <c r="K864" s="60">
        <v>2.6905495528209599E-2</v>
      </c>
      <c r="L864" s="880">
        <v>3.1906017533948798</v>
      </c>
      <c r="M864">
        <v>0</v>
      </c>
      <c r="N864" s="60">
        <v>1.8196071158718002E-2</v>
      </c>
      <c r="O864" s="881">
        <v>6333.3075823899999</v>
      </c>
      <c r="P864" s="60">
        <v>1.2857675910698601E-2</v>
      </c>
      <c r="Q864" s="880">
        <v>3.2050487077747101</v>
      </c>
      <c r="R864" s="60">
        <v>0.42569148337744106</v>
      </c>
      <c r="S864" s="60">
        <v>2.6525431955509798E-2</v>
      </c>
      <c r="T864" s="60">
        <v>0.43366891231493504</v>
      </c>
      <c r="U864" s="60">
        <v>0.92579772231719903</v>
      </c>
    </row>
    <row r="865" spans="1:21" x14ac:dyDescent="0.25">
      <c r="A865" s="519" t="s">
        <v>1613</v>
      </c>
      <c r="B865" s="519" t="s">
        <v>1616</v>
      </c>
      <c r="C865" s="519" t="s">
        <v>284</v>
      </c>
      <c r="D865" s="519" t="s">
        <v>109</v>
      </c>
      <c r="E865" s="519" t="s">
        <v>281</v>
      </c>
      <c r="F865" s="519" t="s">
        <v>16</v>
      </c>
      <c r="G865" s="519" t="s">
        <v>59</v>
      </c>
      <c r="H865" s="519" t="s">
        <v>155</v>
      </c>
      <c r="I865" s="881">
        <v>2010.16752268</v>
      </c>
      <c r="J865" s="881">
        <v>1.0208409999999999E-2</v>
      </c>
      <c r="K865" s="60">
        <v>5.0783618991066003E-6</v>
      </c>
      <c r="L865" s="880">
        <v>3.2174884573632498</v>
      </c>
      <c r="M865">
        <v>0</v>
      </c>
      <c r="N865" s="60">
        <v>3.3775990923124798E-2</v>
      </c>
      <c r="O865" s="881">
        <v>6333.3075823899999</v>
      </c>
      <c r="P865" s="60">
        <v>1.2857675910698601E-2</v>
      </c>
      <c r="Q865" s="880">
        <v>3.2050487077747101</v>
      </c>
      <c r="R865" s="60">
        <v>0.42569148337744106</v>
      </c>
      <c r="S865" s="60">
        <v>2.6525431955509798E-2</v>
      </c>
      <c r="T865" s="60">
        <v>0.34709041169720101</v>
      </c>
      <c r="U865" s="60">
        <v>-2.4126095576409504E-3</v>
      </c>
    </row>
    <row r="866" spans="1:21" x14ac:dyDescent="0.25">
      <c r="A866" s="519" t="s">
        <v>1617</v>
      </c>
      <c r="B866" s="519" t="s">
        <v>1618</v>
      </c>
      <c r="C866" s="519" t="s">
        <v>284</v>
      </c>
      <c r="D866" s="519" t="s">
        <v>109</v>
      </c>
      <c r="E866" s="519" t="s">
        <v>281</v>
      </c>
      <c r="F866" s="519" t="s">
        <v>17</v>
      </c>
      <c r="G866" s="519" t="s">
        <v>56</v>
      </c>
      <c r="H866" s="519" t="s">
        <v>144</v>
      </c>
      <c r="I866" s="881">
        <v>7990.1020327899896</v>
      </c>
      <c r="J866" s="881">
        <v>493.99971061911299</v>
      </c>
      <c r="K866" s="60">
        <v>5.8226518912609396E-2</v>
      </c>
      <c r="L866" s="880">
        <v>3.1908662258920701</v>
      </c>
      <c r="M866">
        <v>0</v>
      </c>
      <c r="N866" s="60">
        <v>1.4699426301191899E-2</v>
      </c>
      <c r="O866" s="881">
        <v>36176.814169650002</v>
      </c>
      <c r="P866" s="60">
        <v>2.1504755151524699E-2</v>
      </c>
      <c r="Q866" s="880">
        <v>3.1759718880826502</v>
      </c>
      <c r="R866" s="60">
        <v>0.42569148337744106</v>
      </c>
      <c r="S866" s="60">
        <v>6.9536203705035703E-3</v>
      </c>
      <c r="T866" s="60">
        <v>0.19148273242003302</v>
      </c>
      <c r="U866" s="60">
        <v>0.62120976448535803</v>
      </c>
    </row>
    <row r="867" spans="1:21" x14ac:dyDescent="0.25">
      <c r="A867" s="519" t="s">
        <v>1617</v>
      </c>
      <c r="B867" s="519" t="s">
        <v>1619</v>
      </c>
      <c r="C867" s="519" t="s">
        <v>284</v>
      </c>
      <c r="D867" s="519" t="s">
        <v>109</v>
      </c>
      <c r="E867" s="519" t="s">
        <v>281</v>
      </c>
      <c r="F867" s="519" t="s">
        <v>17</v>
      </c>
      <c r="G867" s="519" t="s">
        <v>56</v>
      </c>
      <c r="H867" s="519" t="s">
        <v>146</v>
      </c>
      <c r="I867" s="881">
        <v>14866.04965538</v>
      </c>
      <c r="J867" s="881">
        <v>273.47504827997602</v>
      </c>
      <c r="K867" s="60">
        <v>1.8063648207784399E-2</v>
      </c>
      <c r="L867" s="880">
        <v>3.1848968555893902</v>
      </c>
      <c r="M867">
        <v>0</v>
      </c>
      <c r="N867" s="60">
        <v>4.5106103870528203E-3</v>
      </c>
      <c r="O867" s="881">
        <v>36176.814169650002</v>
      </c>
      <c r="P867" s="60">
        <v>2.1504755151524699E-2</v>
      </c>
      <c r="Q867" s="880">
        <v>3.1759718880826502</v>
      </c>
      <c r="R867" s="60">
        <v>0.42569148337744106</v>
      </c>
      <c r="S867" s="60">
        <v>6.9536203705035703E-3</v>
      </c>
      <c r="T867" s="60">
        <v>0.49706761116773807</v>
      </c>
      <c r="U867" s="60">
        <v>0.34386302927217505</v>
      </c>
    </row>
    <row r="868" spans="1:21" x14ac:dyDescent="0.25">
      <c r="A868" s="519" t="s">
        <v>1969</v>
      </c>
      <c r="B868" s="519" t="s">
        <v>1970</v>
      </c>
      <c r="C868" s="519" t="s">
        <v>284</v>
      </c>
      <c r="D868" s="519" t="s">
        <v>109</v>
      </c>
      <c r="E868" s="519" t="s">
        <v>1812</v>
      </c>
      <c r="F868" s="519" t="s">
        <v>70</v>
      </c>
      <c r="G868" s="519" t="s">
        <v>56</v>
      </c>
      <c r="H868" s="519" t="s">
        <v>144</v>
      </c>
      <c r="I868" s="881">
        <v>7340.6402939</v>
      </c>
      <c r="J868" s="881">
        <v>0.51273093000000003</v>
      </c>
      <c r="K868" s="60">
        <v>6.9843378589955598E-5</v>
      </c>
      <c r="L868" s="880">
        <v>2.9115558456807502</v>
      </c>
      <c r="M868">
        <v>0</v>
      </c>
      <c r="N868" s="60">
        <v>0.73508129221969909</v>
      </c>
      <c r="O868" s="881">
        <v>45305.309440580102</v>
      </c>
      <c r="P868" s="60">
        <v>1.2813119349122E-4</v>
      </c>
      <c r="Q868" s="880">
        <v>2.8478198759904001</v>
      </c>
      <c r="R868" s="60">
        <v>0.32410733685313803</v>
      </c>
      <c r="S868" s="60">
        <v>0.521666629941406</v>
      </c>
      <c r="T868" s="60">
        <v>0.25137173710190602</v>
      </c>
      <c r="U868" s="60">
        <v>0.47148062188079604</v>
      </c>
    </row>
    <row r="869" spans="1:21" x14ac:dyDescent="0.25">
      <c r="A869" s="519" t="s">
        <v>1969</v>
      </c>
      <c r="B869" s="519" t="s">
        <v>1971</v>
      </c>
      <c r="C869" s="519" t="s">
        <v>284</v>
      </c>
      <c r="D869" s="519" t="s">
        <v>109</v>
      </c>
      <c r="E869" s="519" t="s">
        <v>1812</v>
      </c>
      <c r="F869" s="519" t="s">
        <v>70</v>
      </c>
      <c r="G869" s="519" t="s">
        <v>56</v>
      </c>
      <c r="H869" s="519" t="s">
        <v>146</v>
      </c>
      <c r="I869" s="881">
        <v>16837.507285510001</v>
      </c>
      <c r="J869" s="881">
        <v>2.2358227300000002</v>
      </c>
      <c r="K869" s="60">
        <v>1.3277059606128902E-4</v>
      </c>
      <c r="L869" s="880">
        <v>2.9075950256624599</v>
      </c>
      <c r="M869">
        <v>0</v>
      </c>
      <c r="N869" s="60">
        <v>0.53824457031588802</v>
      </c>
      <c r="O869" s="881">
        <v>45305.309440580102</v>
      </c>
      <c r="P869" s="60">
        <v>1.2813119349122E-4</v>
      </c>
      <c r="Q869" s="880">
        <v>2.8478198759904001</v>
      </c>
      <c r="R869" s="60">
        <v>0.32410733685313803</v>
      </c>
      <c r="S869" s="60">
        <v>0.521666629941406</v>
      </c>
      <c r="T869" s="60">
        <v>0.37162954810174603</v>
      </c>
      <c r="U869" s="60">
        <v>0.394778850759258</v>
      </c>
    </row>
    <row r="870" spans="1:21" x14ac:dyDescent="0.25">
      <c r="A870" s="519" t="s">
        <v>1972</v>
      </c>
      <c r="B870" s="519" t="s">
        <v>1973</v>
      </c>
      <c r="C870" s="519" t="s">
        <v>284</v>
      </c>
      <c r="D870" s="519" t="s">
        <v>109</v>
      </c>
      <c r="E870" s="519" t="s">
        <v>1812</v>
      </c>
      <c r="F870" s="519" t="s">
        <v>70</v>
      </c>
      <c r="G870" s="519" t="s">
        <v>57</v>
      </c>
      <c r="H870" s="519" t="s">
        <v>148</v>
      </c>
      <c r="I870" s="881">
        <v>15881.033109280001</v>
      </c>
      <c r="J870" s="881">
        <v>1.39806652</v>
      </c>
      <c r="K870" s="60">
        <v>8.8025976912793294E-5</v>
      </c>
      <c r="L870" s="880">
        <v>2.9774993491349599</v>
      </c>
      <c r="M870">
        <v>0</v>
      </c>
      <c r="N870" s="60">
        <v>0.61930484091572202</v>
      </c>
      <c r="O870" s="881">
        <v>50384.811913450103</v>
      </c>
      <c r="P870" s="60">
        <v>1.2020600748363901E-4</v>
      </c>
      <c r="Q870" s="880">
        <v>2.8858442894567</v>
      </c>
      <c r="R870" s="60">
        <v>0.32410733685313803</v>
      </c>
      <c r="S870" s="60">
        <v>0.40291290135948205</v>
      </c>
      <c r="T870" s="60">
        <v>0.37823552100094104</v>
      </c>
      <c r="U870" s="60">
        <v>-0.35988477464824103</v>
      </c>
    </row>
    <row r="871" spans="1:21" x14ac:dyDescent="0.25">
      <c r="A871" s="519" t="s">
        <v>1974</v>
      </c>
      <c r="B871" s="519" t="s">
        <v>1975</v>
      </c>
      <c r="C871" s="519" t="s">
        <v>284</v>
      </c>
      <c r="D871" s="519" t="s">
        <v>109</v>
      </c>
      <c r="E871" s="519" t="s">
        <v>1812</v>
      </c>
      <c r="F871" s="519" t="s">
        <v>70</v>
      </c>
      <c r="G871" s="519" t="s">
        <v>58</v>
      </c>
      <c r="H871" s="519" t="s">
        <v>151</v>
      </c>
      <c r="I871" s="881">
        <v>7751.8564193900002</v>
      </c>
      <c r="J871" s="881">
        <v>0.24650771000000002</v>
      </c>
      <c r="K871" s="60">
        <v>3.17988179876008E-5</v>
      </c>
      <c r="L871" s="880">
        <v>2.92883101045769</v>
      </c>
      <c r="M871">
        <v>0</v>
      </c>
      <c r="N871" s="60">
        <v>0.74830175280858302</v>
      </c>
      <c r="O871" s="881">
        <v>26751.452049530002</v>
      </c>
      <c r="P871" s="60">
        <v>6.3702371523164806E-3</v>
      </c>
      <c r="Q871" s="880">
        <v>2.9850904082029999</v>
      </c>
      <c r="R871" s="60">
        <v>0.32410733685313803</v>
      </c>
      <c r="S871" s="60">
        <v>0.54048259095804996</v>
      </c>
      <c r="T871" s="60">
        <v>0.301337485962756</v>
      </c>
      <c r="U871" s="60">
        <v>-9.0185961491970699E-3</v>
      </c>
    </row>
    <row r="872" spans="1:21" x14ac:dyDescent="0.25">
      <c r="A872" s="519" t="s">
        <v>1976</v>
      </c>
      <c r="B872" s="519" t="s">
        <v>1977</v>
      </c>
      <c r="C872" s="519" t="s">
        <v>284</v>
      </c>
      <c r="D872" s="519" t="s">
        <v>109</v>
      </c>
      <c r="E872" s="519" t="s">
        <v>1812</v>
      </c>
      <c r="F872" s="519" t="s">
        <v>70</v>
      </c>
      <c r="G872" s="519" t="s">
        <v>59</v>
      </c>
      <c r="H872" s="519" t="s">
        <v>153</v>
      </c>
      <c r="I872" s="881">
        <v>3669.8734000000004</v>
      </c>
      <c r="J872" s="881">
        <v>-0.1570974</v>
      </c>
      <c r="K872" s="60">
        <v>-4.2809140283867696E-5</v>
      </c>
      <c r="L872" s="880">
        <v>3.0687189935192398</v>
      </c>
      <c r="M872">
        <v>0</v>
      </c>
      <c r="N872" s="60">
        <v>0.43118446538237404</v>
      </c>
      <c r="O872" s="881">
        <v>12777.776</v>
      </c>
      <c r="P872" s="60">
        <v>-2.9061947224211002E-5</v>
      </c>
      <c r="Q872" s="880">
        <v>3.0590848590318003</v>
      </c>
      <c r="R872" s="60">
        <v>0.32410733685313803</v>
      </c>
      <c r="S872" s="60">
        <v>0.34324531123412999</v>
      </c>
      <c r="T872" s="60">
        <v>0.45567491839382701</v>
      </c>
      <c r="U872" s="60">
        <v>0.96081857315815</v>
      </c>
    </row>
    <row r="873" spans="1:21" x14ac:dyDescent="0.25">
      <c r="A873" s="519" t="s">
        <v>1976</v>
      </c>
      <c r="B873" s="519" t="s">
        <v>1978</v>
      </c>
      <c r="C873" s="519" t="s">
        <v>284</v>
      </c>
      <c r="D873" s="519" t="s">
        <v>109</v>
      </c>
      <c r="E873" s="519" t="s">
        <v>1812</v>
      </c>
      <c r="F873" s="519" t="s">
        <v>70</v>
      </c>
      <c r="G873" s="519" t="s">
        <v>59</v>
      </c>
      <c r="H873" s="519" t="s">
        <v>155</v>
      </c>
      <c r="I873" s="881">
        <v>6005.3314</v>
      </c>
      <c r="J873" s="881">
        <v>-0.21152625</v>
      </c>
      <c r="K873" s="60">
        <v>-3.5224317656777896E-5</v>
      </c>
      <c r="L873" s="880">
        <v>3.0107230309419202</v>
      </c>
      <c r="M873">
        <v>0</v>
      </c>
      <c r="N873" s="60">
        <v>0.44365899607139103</v>
      </c>
      <c r="O873" s="881">
        <v>12777.776</v>
      </c>
      <c r="P873" s="60">
        <v>-2.9061947224211002E-5</v>
      </c>
      <c r="Q873" s="880">
        <v>3.0590848590318003</v>
      </c>
      <c r="R873" s="60">
        <v>0.32410733685313803</v>
      </c>
      <c r="S873" s="60">
        <v>0.34324531123412999</v>
      </c>
      <c r="T873" s="60">
        <v>0.23812929355707901</v>
      </c>
      <c r="U873" s="60">
        <v>-4.2601765696002507E-3</v>
      </c>
    </row>
    <row r="874" spans="1:21" x14ac:dyDescent="0.25">
      <c r="A874" s="519" t="s">
        <v>1979</v>
      </c>
      <c r="B874" s="519" t="s">
        <v>1980</v>
      </c>
      <c r="C874" s="519" t="s">
        <v>284</v>
      </c>
      <c r="D874" s="519" t="s">
        <v>109</v>
      </c>
      <c r="E874" s="519" t="s">
        <v>1812</v>
      </c>
      <c r="F874" s="519" t="s">
        <v>16</v>
      </c>
      <c r="G874" s="519" t="s">
        <v>56</v>
      </c>
      <c r="H874" s="519" t="s">
        <v>145</v>
      </c>
      <c r="I874" s="881">
        <v>5010.5198</v>
      </c>
      <c r="J874" s="881">
        <v>-0.55244740999999997</v>
      </c>
      <c r="K874" s="60">
        <v>-1.1026966267842101E-4</v>
      </c>
      <c r="L874" s="880">
        <v>2.9685816098362801</v>
      </c>
      <c r="M874">
        <v>0</v>
      </c>
      <c r="N874" s="60">
        <v>0.79934640713324812</v>
      </c>
      <c r="O874" s="881">
        <v>20944.2863</v>
      </c>
      <c r="P874" s="60">
        <v>-8.2157391961647201E-5</v>
      </c>
      <c r="Q874" s="880">
        <v>2.97756656496705</v>
      </c>
      <c r="R874" s="60">
        <v>0.32410733685313803</v>
      </c>
      <c r="S874" s="60">
        <v>0.77861745043086106</v>
      </c>
      <c r="T874" s="60">
        <v>0.37699871479634905</v>
      </c>
      <c r="U874" s="60">
        <v>0.13374052735994602</v>
      </c>
    </row>
    <row r="875" spans="1:21" x14ac:dyDescent="0.25">
      <c r="A875" s="519" t="s">
        <v>1981</v>
      </c>
      <c r="B875" s="519" t="s">
        <v>1982</v>
      </c>
      <c r="C875" s="519" t="s">
        <v>284</v>
      </c>
      <c r="D875" s="519" t="s">
        <v>109</v>
      </c>
      <c r="E875" s="519" t="s">
        <v>1812</v>
      </c>
      <c r="F875" s="519" t="s">
        <v>16</v>
      </c>
      <c r="G875" s="519" t="s">
        <v>57</v>
      </c>
      <c r="H875" s="519" t="s">
        <v>147</v>
      </c>
      <c r="I875" s="881">
        <v>8892.0723876100092</v>
      </c>
      <c r="J875" s="881">
        <v>-1.0796287200000001</v>
      </c>
      <c r="K875" s="60">
        <v>-1.2142949041551001E-4</v>
      </c>
      <c r="L875" s="880">
        <v>2.9982889217952602</v>
      </c>
      <c r="M875">
        <v>0</v>
      </c>
      <c r="N875" s="60">
        <v>0.76486612919241304</v>
      </c>
      <c r="O875" s="881">
        <v>41305.131059790103</v>
      </c>
      <c r="P875" s="60">
        <v>-1.11347399609874E-4</v>
      </c>
      <c r="Q875" s="880">
        <v>3.0289906865743599</v>
      </c>
      <c r="R875" s="60">
        <v>0.32410733685313803</v>
      </c>
      <c r="S875" s="60">
        <v>0.77527925316193902</v>
      </c>
      <c r="T875" s="60">
        <v>0.24541830764991701</v>
      </c>
      <c r="U875" s="60">
        <v>1.2553593968145E-3</v>
      </c>
    </row>
    <row r="876" spans="1:21" x14ac:dyDescent="0.25">
      <c r="A876" s="519" t="s">
        <v>1981</v>
      </c>
      <c r="B876" s="519" t="s">
        <v>1983</v>
      </c>
      <c r="C876" s="519" t="s">
        <v>284</v>
      </c>
      <c r="D876" s="519" t="s">
        <v>109</v>
      </c>
      <c r="E876" s="519" t="s">
        <v>1812</v>
      </c>
      <c r="F876" s="519" t="s">
        <v>16</v>
      </c>
      <c r="G876" s="519" t="s">
        <v>57</v>
      </c>
      <c r="H876" s="519" t="s">
        <v>149</v>
      </c>
      <c r="I876" s="881">
        <v>13613.69843043</v>
      </c>
      <c r="J876" s="881">
        <v>-1.5960915099999999</v>
      </c>
      <c r="K876" s="60">
        <v>-1.17255326933329E-4</v>
      </c>
      <c r="L876" s="880">
        <v>3.0365081862627901</v>
      </c>
      <c r="M876">
        <v>0</v>
      </c>
      <c r="N876" s="60">
        <v>0.77483152607904604</v>
      </c>
      <c r="O876" s="881">
        <v>41305.131059790103</v>
      </c>
      <c r="P876" s="60">
        <v>-1.11347399609874E-4</v>
      </c>
      <c r="Q876" s="880">
        <v>3.0289906865743599</v>
      </c>
      <c r="R876" s="60">
        <v>0.32410733685313803</v>
      </c>
      <c r="S876" s="60">
        <v>0.77527925316193902</v>
      </c>
      <c r="T876" s="60">
        <v>0.37634617134914206</v>
      </c>
      <c r="U876" s="60">
        <v>1.35862941525143</v>
      </c>
    </row>
    <row r="877" spans="1:21" x14ac:dyDescent="0.25">
      <c r="A877" s="519" t="s">
        <v>1984</v>
      </c>
      <c r="B877" s="519" t="s">
        <v>1985</v>
      </c>
      <c r="C877" s="519" t="s">
        <v>284</v>
      </c>
      <c r="D877" s="519" t="s">
        <v>109</v>
      </c>
      <c r="E877" s="519" t="s">
        <v>1812</v>
      </c>
      <c r="F877" s="519" t="s">
        <v>16</v>
      </c>
      <c r="G877" s="519" t="s">
        <v>58</v>
      </c>
      <c r="H877" s="519" t="s">
        <v>150</v>
      </c>
      <c r="I877" s="881">
        <v>17034.901783360001</v>
      </c>
      <c r="J877" s="881">
        <v>-1.6605086100000099</v>
      </c>
      <c r="K877" s="60">
        <v>-9.7486355251806198E-5</v>
      </c>
      <c r="L877" s="880">
        <v>3.01866574382555</v>
      </c>
      <c r="M877">
        <v>0</v>
      </c>
      <c r="N877" s="60">
        <v>0.88543648652519302</v>
      </c>
      <c r="O877" s="881">
        <v>52416.965873749999</v>
      </c>
      <c r="P877" s="60">
        <v>-1.0289636487172001E-4</v>
      </c>
      <c r="Q877" s="880">
        <v>2.9941480330542101</v>
      </c>
      <c r="R877" s="60">
        <v>0.32410733685313803</v>
      </c>
      <c r="S877" s="60">
        <v>0.82706878872324407</v>
      </c>
      <c r="T877" s="60">
        <v>0.29826187385559</v>
      </c>
      <c r="U877" s="60">
        <v>-1.37455682947147E-2</v>
      </c>
    </row>
    <row r="878" spans="1:21" x14ac:dyDescent="0.25">
      <c r="A878" s="519" t="s">
        <v>1984</v>
      </c>
      <c r="B878" s="519" t="s">
        <v>1986</v>
      </c>
      <c r="C878" s="519" t="s">
        <v>284</v>
      </c>
      <c r="D878" s="519" t="s">
        <v>109</v>
      </c>
      <c r="E878" s="519" t="s">
        <v>1812</v>
      </c>
      <c r="F878" s="519" t="s">
        <v>16</v>
      </c>
      <c r="G878" s="519" t="s">
        <v>58</v>
      </c>
      <c r="H878" s="519" t="s">
        <v>152</v>
      </c>
      <c r="I878" s="881">
        <v>19277.508485130002</v>
      </c>
      <c r="J878" s="881">
        <v>-1.9878409700000002</v>
      </c>
      <c r="K878" s="60">
        <v>-1.0312774459880901E-4</v>
      </c>
      <c r="L878" s="880">
        <v>2.9857046126898701</v>
      </c>
      <c r="M878">
        <v>0</v>
      </c>
      <c r="N878" s="60">
        <v>0.88010812695101204</v>
      </c>
      <c r="O878" s="881">
        <v>52416.965873749999</v>
      </c>
      <c r="P878" s="60">
        <v>-1.0289636487172001E-4</v>
      </c>
      <c r="Q878" s="880">
        <v>2.9941480330542101</v>
      </c>
      <c r="R878" s="60">
        <v>0.32410733685313803</v>
      </c>
      <c r="S878" s="60">
        <v>0.82706878872324407</v>
      </c>
      <c r="T878" s="60">
        <v>0.40040064018165306</v>
      </c>
      <c r="U878" s="60">
        <v>1.0227641644439101</v>
      </c>
    </row>
    <row r="879" spans="1:21" x14ac:dyDescent="0.25">
      <c r="A879" s="519" t="s">
        <v>1987</v>
      </c>
      <c r="B879" s="519" t="s">
        <v>1988</v>
      </c>
      <c r="C879" s="519" t="s">
        <v>284</v>
      </c>
      <c r="D879" s="519" t="s">
        <v>109</v>
      </c>
      <c r="E879" s="519" t="s">
        <v>1812</v>
      </c>
      <c r="F879" s="519" t="s">
        <v>16</v>
      </c>
      <c r="G879" s="519" t="s">
        <v>59</v>
      </c>
      <c r="H879" s="519" t="s">
        <v>154</v>
      </c>
      <c r="I879" s="881">
        <v>14384.664728580001</v>
      </c>
      <c r="J879" s="881">
        <v>8.54712501654401</v>
      </c>
      <c r="K879" s="60">
        <v>5.9383027940412608E-4</v>
      </c>
      <c r="L879" s="880">
        <v>3.0274318311448498</v>
      </c>
      <c r="M879">
        <v>0</v>
      </c>
      <c r="N879" s="60">
        <v>0.86955873049637411</v>
      </c>
      <c r="O879" s="881">
        <v>44333.512303470103</v>
      </c>
      <c r="P879" s="60">
        <v>4.4252442466130703E-3</v>
      </c>
      <c r="Q879" s="880">
        <v>2.9922443864669699</v>
      </c>
      <c r="R879" s="60">
        <v>0.32410733685313803</v>
      </c>
      <c r="S879" s="60">
        <v>0.83545774018317409</v>
      </c>
      <c r="T879" s="60">
        <v>0.30619578804909403</v>
      </c>
      <c r="U879" s="60">
        <v>4.3441603411450501E-2</v>
      </c>
    </row>
    <row r="880" spans="1:21" x14ac:dyDescent="0.25">
      <c r="A880" s="519" t="s">
        <v>1989</v>
      </c>
      <c r="B880" s="519" t="s">
        <v>1990</v>
      </c>
      <c r="C880" s="519" t="s">
        <v>284</v>
      </c>
      <c r="D880" s="519" t="s">
        <v>109</v>
      </c>
      <c r="E880" s="519" t="s">
        <v>1812</v>
      </c>
      <c r="F880" s="519" t="s">
        <v>17</v>
      </c>
      <c r="G880" s="519" t="s">
        <v>56</v>
      </c>
      <c r="H880" s="519" t="s">
        <v>144</v>
      </c>
      <c r="I880" s="881">
        <v>23905.928328580001</v>
      </c>
      <c r="J880" s="881">
        <v>125.17800068905599</v>
      </c>
      <c r="K880" s="60">
        <v>5.2089986608978307E-3</v>
      </c>
      <c r="L880" s="880">
        <v>2.9639515022290799</v>
      </c>
      <c r="M880">
        <v>0</v>
      </c>
      <c r="N880" s="60">
        <v>0.7989035120283251</v>
      </c>
      <c r="O880" s="881">
        <v>89202.277142959909</v>
      </c>
      <c r="P880" s="60">
        <v>2.91705373820822E-3</v>
      </c>
      <c r="Q880" s="880">
        <v>2.9735931599627299</v>
      </c>
      <c r="R880" s="60">
        <v>0.32410733685313803</v>
      </c>
      <c r="S880" s="60">
        <v>0.71363456112301804</v>
      </c>
      <c r="T880" s="60">
        <v>0.25137173710190602</v>
      </c>
      <c r="U880" s="60">
        <v>0.47148062188079604</v>
      </c>
    </row>
    <row r="881" spans="1:21" x14ac:dyDescent="0.25">
      <c r="A881" s="519" t="s">
        <v>1989</v>
      </c>
      <c r="B881" s="519" t="s">
        <v>1991</v>
      </c>
      <c r="C881" s="519" t="s">
        <v>284</v>
      </c>
      <c r="D881" s="519" t="s">
        <v>109</v>
      </c>
      <c r="E881" s="519" t="s">
        <v>1812</v>
      </c>
      <c r="F881" s="519" t="s">
        <v>17</v>
      </c>
      <c r="G881" s="519" t="s">
        <v>56</v>
      </c>
      <c r="H881" s="519" t="s">
        <v>146</v>
      </c>
      <c r="I881" s="881">
        <v>32828.874185769899</v>
      </c>
      <c r="J881" s="881">
        <v>102.847363526392</v>
      </c>
      <c r="K881" s="60">
        <v>3.1230484981611801E-3</v>
      </c>
      <c r="L881" s="880">
        <v>2.9664647423719099</v>
      </c>
      <c r="M881">
        <v>0</v>
      </c>
      <c r="N881" s="60">
        <v>0.71781461764822108</v>
      </c>
      <c r="O881" s="881">
        <v>89202.277142959909</v>
      </c>
      <c r="P881" s="60">
        <v>2.91705373820822E-3</v>
      </c>
      <c r="Q881" s="880">
        <v>2.9735931599627299</v>
      </c>
      <c r="R881" s="60">
        <v>0.32410733685313803</v>
      </c>
      <c r="S881" s="60">
        <v>0.71363456112301804</v>
      </c>
      <c r="T881" s="60">
        <v>0.37162954810174603</v>
      </c>
      <c r="U881" s="60">
        <v>0.394778850759258</v>
      </c>
    </row>
    <row r="882" spans="1:21" x14ac:dyDescent="0.25">
      <c r="A882" s="519" t="s">
        <v>1620</v>
      </c>
      <c r="B882" s="519" t="s">
        <v>1621</v>
      </c>
      <c r="C882" s="519" t="s">
        <v>284</v>
      </c>
      <c r="D882" s="519" t="s">
        <v>109</v>
      </c>
      <c r="E882" s="519" t="s">
        <v>282</v>
      </c>
      <c r="F882" s="519" t="s">
        <v>70</v>
      </c>
      <c r="G882" s="519" t="s">
        <v>56</v>
      </c>
      <c r="H882" s="519" t="s">
        <v>144</v>
      </c>
      <c r="I882" s="881">
        <v>152273.34866497901</v>
      </c>
      <c r="J882" s="881">
        <v>3.7897976799999999</v>
      </c>
      <c r="K882" s="60">
        <v>2.4887502603874498E-5</v>
      </c>
      <c r="L882" s="880">
        <v>3.11845507435403</v>
      </c>
      <c r="M882">
        <v>0</v>
      </c>
      <c r="N882" s="60">
        <v>7.6113271418162404E-2</v>
      </c>
      <c r="O882" s="881">
        <v>433869.33800140803</v>
      </c>
      <c r="P882" s="60">
        <v>3.0946098839875498E-5</v>
      </c>
      <c r="Q882" s="880">
        <v>3.06655480314642</v>
      </c>
      <c r="R882" s="60">
        <v>0.59176316821028407</v>
      </c>
      <c r="S882" s="60">
        <v>9.1922918129214895E-2</v>
      </c>
      <c r="T882" s="60">
        <v>0.33109511715280504</v>
      </c>
      <c r="U882" s="60">
        <v>0.55636365685533407</v>
      </c>
    </row>
    <row r="883" spans="1:21" x14ac:dyDescent="0.25">
      <c r="A883" s="519" t="s">
        <v>1620</v>
      </c>
      <c r="B883" s="519" t="s">
        <v>1623</v>
      </c>
      <c r="C883" s="519" t="s">
        <v>284</v>
      </c>
      <c r="D883" s="519" t="s">
        <v>109</v>
      </c>
      <c r="E883" s="519" t="s">
        <v>282</v>
      </c>
      <c r="F883" s="519" t="s">
        <v>70</v>
      </c>
      <c r="G883" s="519" t="s">
        <v>56</v>
      </c>
      <c r="H883" s="519" t="s">
        <v>146</v>
      </c>
      <c r="I883" s="881">
        <v>158865.62566517902</v>
      </c>
      <c r="J883" s="881">
        <v>5.1944659900000101</v>
      </c>
      <c r="K883" s="60">
        <v>3.26961614833438E-5</v>
      </c>
      <c r="L883" s="880">
        <v>3.0814005914264602</v>
      </c>
      <c r="M883">
        <v>0</v>
      </c>
      <c r="N883" s="60">
        <v>0.10383107140184501</v>
      </c>
      <c r="O883" s="881">
        <v>433869.33800140803</v>
      </c>
      <c r="P883" s="60">
        <v>3.0946098839875498E-5</v>
      </c>
      <c r="Q883" s="880">
        <v>3.06655480314642</v>
      </c>
      <c r="R883" s="60">
        <v>0.59176316821028407</v>
      </c>
      <c r="S883" s="60">
        <v>9.1922918129214895E-2</v>
      </c>
      <c r="T883" s="60">
        <v>0.33831579622903402</v>
      </c>
      <c r="U883" s="60">
        <v>0.34926028833988604</v>
      </c>
    </row>
    <row r="884" spans="1:21" x14ac:dyDescent="0.25">
      <c r="A884" s="519" t="s">
        <v>1624</v>
      </c>
      <c r="B884" s="519" t="s">
        <v>1626</v>
      </c>
      <c r="C884" s="519" t="s">
        <v>284</v>
      </c>
      <c r="D884" s="519" t="s">
        <v>109</v>
      </c>
      <c r="E884" s="519" t="s">
        <v>282</v>
      </c>
      <c r="F884" s="519" t="s">
        <v>70</v>
      </c>
      <c r="G884" s="519" t="s">
        <v>57</v>
      </c>
      <c r="H884" s="519" t="s">
        <v>148</v>
      </c>
      <c r="I884" s="881">
        <v>102964.29524165</v>
      </c>
      <c r="J884" s="881">
        <v>5.7178199899999997</v>
      </c>
      <c r="K884" s="60">
        <v>5.5528981885019201E-5</v>
      </c>
      <c r="L884" s="880">
        <v>3.4324207251932402</v>
      </c>
      <c r="M884">
        <v>0</v>
      </c>
      <c r="N884" s="60">
        <v>7.9415018925534792E-2</v>
      </c>
      <c r="O884" s="881">
        <v>354233.65082199103</v>
      </c>
      <c r="P884" s="60">
        <v>2.7325091554659501E-5</v>
      </c>
      <c r="Q884" s="880">
        <v>3.0259180043220599</v>
      </c>
      <c r="R884" s="60">
        <v>0.59176316821028407</v>
      </c>
      <c r="S884" s="60">
        <v>4.9637124365849397E-2</v>
      </c>
      <c r="T884" s="60">
        <v>0.25880225715410604</v>
      </c>
      <c r="U884" s="60">
        <v>0.56376719009086995</v>
      </c>
    </row>
    <row r="885" spans="1:21" x14ac:dyDescent="0.25">
      <c r="A885" s="519" t="s">
        <v>1628</v>
      </c>
      <c r="B885" s="519" t="s">
        <v>1630</v>
      </c>
      <c r="C885" s="519" t="s">
        <v>284</v>
      </c>
      <c r="D885" s="519" t="s">
        <v>109</v>
      </c>
      <c r="E885" s="519" t="s">
        <v>282</v>
      </c>
      <c r="F885" s="519" t="s">
        <v>70</v>
      </c>
      <c r="G885" s="519" t="s">
        <v>58</v>
      </c>
      <c r="H885" s="519" t="s">
        <v>151</v>
      </c>
      <c r="I885" s="881">
        <v>104417.59352906</v>
      </c>
      <c r="J885" s="881">
        <v>3.0987272100000101</v>
      </c>
      <c r="K885" s="60">
        <v>2.9675413397902898E-5</v>
      </c>
      <c r="L885" s="880">
        <v>3.0746631105932098</v>
      </c>
      <c r="M885">
        <v>0</v>
      </c>
      <c r="N885" s="60">
        <v>0.11118906752777101</v>
      </c>
      <c r="O885" s="881">
        <v>356035.26552205003</v>
      </c>
      <c r="P885" s="60">
        <v>8.160193146348341E-3</v>
      </c>
      <c r="Q885" s="880">
        <v>3.1365276838200602</v>
      </c>
      <c r="R885" s="60">
        <v>0.59176316821028407</v>
      </c>
      <c r="S885" s="60">
        <v>0.12352410634478701</v>
      </c>
      <c r="T885" s="60">
        <v>0.24589349879433303</v>
      </c>
      <c r="U885" s="60">
        <v>1.0378733165811202E-3</v>
      </c>
    </row>
    <row r="886" spans="1:21" x14ac:dyDescent="0.25">
      <c r="A886" s="519" t="s">
        <v>1632</v>
      </c>
      <c r="B886" s="519" t="s">
        <v>1633</v>
      </c>
      <c r="C886" s="519" t="s">
        <v>284</v>
      </c>
      <c r="D886" s="519" t="s">
        <v>109</v>
      </c>
      <c r="E886" s="519" t="s">
        <v>282</v>
      </c>
      <c r="F886" s="519" t="s">
        <v>70</v>
      </c>
      <c r="G886" s="519" t="s">
        <v>59</v>
      </c>
      <c r="H886" s="519" t="s">
        <v>153</v>
      </c>
      <c r="I886" s="881">
        <v>94989.797093410598</v>
      </c>
      <c r="J886" s="881">
        <v>1.87373899999978E-2</v>
      </c>
      <c r="K886" s="60">
        <v>1.9725683049405698E-7</v>
      </c>
      <c r="L886" s="880">
        <v>3.1056775601395201</v>
      </c>
      <c r="M886">
        <v>0</v>
      </c>
      <c r="N886" s="60">
        <v>1.70282610167003E-2</v>
      </c>
      <c r="O886" s="881">
        <v>324598.62086505204</v>
      </c>
      <c r="P886" s="60">
        <v>1.9142514512210597E-7</v>
      </c>
      <c r="Q886" s="880">
        <v>3.1081341840697898</v>
      </c>
      <c r="R886" s="60">
        <v>0.59176316821028407</v>
      </c>
      <c r="S886" s="60">
        <v>2.2157313725341E-2</v>
      </c>
      <c r="T886" s="60">
        <v>0.32470416307759303</v>
      </c>
      <c r="U886" s="60">
        <v>0.96468938804224302</v>
      </c>
    </row>
    <row r="887" spans="1:21" x14ac:dyDescent="0.25">
      <c r="A887" s="519" t="s">
        <v>1632</v>
      </c>
      <c r="B887" s="519" t="s">
        <v>1635</v>
      </c>
      <c r="C887" s="519" t="s">
        <v>284</v>
      </c>
      <c r="D887" s="519" t="s">
        <v>109</v>
      </c>
      <c r="E887" s="519" t="s">
        <v>282</v>
      </c>
      <c r="F887" s="519" t="s">
        <v>70</v>
      </c>
      <c r="G887" s="519" t="s">
        <v>59</v>
      </c>
      <c r="H887" s="519" t="s">
        <v>155</v>
      </c>
      <c r="I887" s="881">
        <v>123582.659439601</v>
      </c>
      <c r="J887" s="881">
        <v>-0.36905047000000801</v>
      </c>
      <c r="K887" s="60">
        <v>-2.9862731046491999E-6</v>
      </c>
      <c r="L887" s="880">
        <v>3.12485797337794</v>
      </c>
      <c r="M887">
        <v>0</v>
      </c>
      <c r="N887" s="60">
        <v>3.0109379559181398E-2</v>
      </c>
      <c r="O887" s="881">
        <v>324598.62086505204</v>
      </c>
      <c r="P887" s="60">
        <v>1.9142514512210597E-7</v>
      </c>
      <c r="Q887" s="880">
        <v>3.1081341840697898</v>
      </c>
      <c r="R887" s="60">
        <v>0.59176316821028407</v>
      </c>
      <c r="S887" s="60">
        <v>2.2157313725341E-2</v>
      </c>
      <c r="T887" s="60">
        <v>0.33711653648088002</v>
      </c>
      <c r="U887" s="60">
        <v>-2.9265700788502601E-4</v>
      </c>
    </row>
    <row r="888" spans="1:21" x14ac:dyDescent="0.25">
      <c r="A888" s="519" t="s">
        <v>1636</v>
      </c>
      <c r="B888" s="519" t="s">
        <v>1637</v>
      </c>
      <c r="C888" s="519" t="s">
        <v>284</v>
      </c>
      <c r="D888" s="519" t="s">
        <v>109</v>
      </c>
      <c r="E888" s="519" t="s">
        <v>282</v>
      </c>
      <c r="F888" s="519" t="s">
        <v>16</v>
      </c>
      <c r="G888" s="519" t="s">
        <v>56</v>
      </c>
      <c r="H888" s="519" t="s">
        <v>144</v>
      </c>
      <c r="I888" s="881">
        <v>100262.977505831</v>
      </c>
      <c r="J888" s="881">
        <v>-0.79132735000000209</v>
      </c>
      <c r="K888" s="60">
        <v>-7.8925802454709493E-6</v>
      </c>
      <c r="L888" s="880">
        <v>3.1706499161794102</v>
      </c>
      <c r="M888">
        <v>0</v>
      </c>
      <c r="N888" s="60">
        <v>4.37850826195013E-2</v>
      </c>
      <c r="O888" s="881">
        <v>349304.541485972</v>
      </c>
      <c r="P888" s="60">
        <v>-1.22722203351957E-5</v>
      </c>
      <c r="Q888" s="880">
        <v>3.1761177465254899</v>
      </c>
      <c r="R888" s="60">
        <v>0.59176316821028407</v>
      </c>
      <c r="S888" s="60">
        <v>5.9299121826309899E-2</v>
      </c>
      <c r="T888" s="60">
        <v>0.33109511715280504</v>
      </c>
      <c r="U888" s="60">
        <v>0.55636365685533407</v>
      </c>
    </row>
    <row r="889" spans="1:21" x14ac:dyDescent="0.25">
      <c r="A889" s="519" t="s">
        <v>1636</v>
      </c>
      <c r="B889" s="519" t="s">
        <v>1639</v>
      </c>
      <c r="C889" s="519" t="s">
        <v>284</v>
      </c>
      <c r="D889" s="519" t="s">
        <v>109</v>
      </c>
      <c r="E889" s="519" t="s">
        <v>282</v>
      </c>
      <c r="F889" s="519" t="s">
        <v>16</v>
      </c>
      <c r="G889" s="519" t="s">
        <v>56</v>
      </c>
      <c r="H889" s="519" t="s">
        <v>146</v>
      </c>
      <c r="I889" s="881">
        <v>109229.80313918101</v>
      </c>
      <c r="J889" s="881">
        <v>-2.2406567099999899</v>
      </c>
      <c r="K889" s="60">
        <v>-2.0513656618123201E-5</v>
      </c>
      <c r="L889" s="880">
        <v>3.1200482275843302</v>
      </c>
      <c r="M889">
        <v>0</v>
      </c>
      <c r="N889" s="60">
        <v>7.1039900232289399E-2</v>
      </c>
      <c r="O889" s="881">
        <v>349304.541485972</v>
      </c>
      <c r="P889" s="60">
        <v>-1.22722203351957E-5</v>
      </c>
      <c r="Q889" s="880">
        <v>3.1761177465254899</v>
      </c>
      <c r="R889" s="60">
        <v>0.59176316821028407</v>
      </c>
      <c r="S889" s="60">
        <v>5.9299121826309899E-2</v>
      </c>
      <c r="T889" s="60">
        <v>0.33831579622903402</v>
      </c>
      <c r="U889" s="60">
        <v>0.34926028833988604</v>
      </c>
    </row>
    <row r="890" spans="1:21" x14ac:dyDescent="0.25">
      <c r="A890" s="519" t="s">
        <v>1640</v>
      </c>
      <c r="B890" s="519" t="s">
        <v>1642</v>
      </c>
      <c r="C890" s="519" t="s">
        <v>284</v>
      </c>
      <c r="D890" s="519" t="s">
        <v>109</v>
      </c>
      <c r="E890" s="519" t="s">
        <v>282</v>
      </c>
      <c r="F890" s="519" t="s">
        <v>16</v>
      </c>
      <c r="G890" s="519" t="s">
        <v>57</v>
      </c>
      <c r="H890" s="519" t="s">
        <v>148</v>
      </c>
      <c r="I890" s="881">
        <v>86709.497905050506</v>
      </c>
      <c r="J890" s="881">
        <v>1.2407771600000099</v>
      </c>
      <c r="K890" s="60">
        <v>1.4309382884482001E-5</v>
      </c>
      <c r="L890" s="880">
        <v>3.16105702868441</v>
      </c>
      <c r="M890">
        <v>0</v>
      </c>
      <c r="N890" s="60">
        <v>0.10586503243799</v>
      </c>
      <c r="O890" s="881">
        <v>378657.14863404998</v>
      </c>
      <c r="P890" s="60">
        <v>7.0334946726573897E-6</v>
      </c>
      <c r="Q890" s="880">
        <v>3.1594624855179201</v>
      </c>
      <c r="R890" s="60">
        <v>0.59176316821028407</v>
      </c>
      <c r="S890" s="60">
        <v>6.0875951788929697E-2</v>
      </c>
      <c r="T890" s="60">
        <v>0.25880225715410604</v>
      </c>
      <c r="U890" s="60">
        <v>0.56376719009086995</v>
      </c>
    </row>
    <row r="891" spans="1:21" x14ac:dyDescent="0.25">
      <c r="A891" s="519" t="s">
        <v>1644</v>
      </c>
      <c r="B891" s="519" t="s">
        <v>1646</v>
      </c>
      <c r="C891" s="519" t="s">
        <v>284</v>
      </c>
      <c r="D891" s="519" t="s">
        <v>109</v>
      </c>
      <c r="E891" s="519" t="s">
        <v>282</v>
      </c>
      <c r="F891" s="519" t="s">
        <v>16</v>
      </c>
      <c r="G891" s="519" t="s">
        <v>58</v>
      </c>
      <c r="H891" s="519" t="s">
        <v>151</v>
      </c>
      <c r="I891" s="881">
        <v>78553.490276570097</v>
      </c>
      <c r="J891" s="881">
        <v>-5.9209220000003296E-2</v>
      </c>
      <c r="K891" s="60">
        <v>-7.5374454298805291E-7</v>
      </c>
      <c r="L891" s="880">
        <v>3.2026852168650199</v>
      </c>
      <c r="M891">
        <v>0</v>
      </c>
      <c r="N891" s="60">
        <v>0.11444685381804701</v>
      </c>
      <c r="O891" s="881">
        <v>388071.77554563002</v>
      </c>
      <c r="P891" s="60">
        <v>-1.5909859237551999E-6</v>
      </c>
      <c r="Q891" s="880">
        <v>3.1948510520668099</v>
      </c>
      <c r="R891" s="60">
        <v>0.59176316821028407</v>
      </c>
      <c r="S891" s="60">
        <v>0.13038450373933602</v>
      </c>
      <c r="T891" s="60">
        <v>0.24589349879433303</v>
      </c>
      <c r="U891" s="60">
        <v>1.0378733165811202E-3</v>
      </c>
    </row>
    <row r="892" spans="1:21" x14ac:dyDescent="0.25">
      <c r="A892" s="519" t="s">
        <v>1648</v>
      </c>
      <c r="B892" s="519" t="s">
        <v>1649</v>
      </c>
      <c r="C892" s="519" t="s">
        <v>284</v>
      </c>
      <c r="D892" s="519" t="s">
        <v>109</v>
      </c>
      <c r="E892" s="519" t="s">
        <v>282</v>
      </c>
      <c r="F892" s="519" t="s">
        <v>16</v>
      </c>
      <c r="G892" s="519" t="s">
        <v>59</v>
      </c>
      <c r="H892" s="519" t="s">
        <v>153</v>
      </c>
      <c r="I892" s="881">
        <v>157157.66253624999</v>
      </c>
      <c r="J892" s="881">
        <v>4045.6177627089496</v>
      </c>
      <c r="K892" s="60">
        <v>2.5096373691690099E-2</v>
      </c>
      <c r="L892" s="880">
        <v>3.1447505340041899</v>
      </c>
      <c r="M892">
        <v>0</v>
      </c>
      <c r="N892" s="60">
        <v>0.120410054440999</v>
      </c>
      <c r="O892" s="881">
        <v>451946.58027980104</v>
      </c>
      <c r="P892" s="60">
        <v>9.1937891337518507E-3</v>
      </c>
      <c r="Q892" s="880">
        <v>3.1348689901109501</v>
      </c>
      <c r="R892" s="60">
        <v>0.59176316821028407</v>
      </c>
      <c r="S892" s="60">
        <v>0.12810178481821202</v>
      </c>
      <c r="T892" s="60">
        <v>0.32470416307759303</v>
      </c>
      <c r="U892" s="60">
        <v>0.96468938804224302</v>
      </c>
    </row>
    <row r="893" spans="1:21" x14ac:dyDescent="0.25">
      <c r="A893" s="519" t="s">
        <v>1648</v>
      </c>
      <c r="B893" s="519" t="s">
        <v>1651</v>
      </c>
      <c r="C893" s="519" t="s">
        <v>284</v>
      </c>
      <c r="D893" s="519" t="s">
        <v>109</v>
      </c>
      <c r="E893" s="519" t="s">
        <v>282</v>
      </c>
      <c r="F893" s="519" t="s">
        <v>16</v>
      </c>
      <c r="G893" s="519" t="s">
        <v>59</v>
      </c>
      <c r="H893" s="519" t="s">
        <v>155</v>
      </c>
      <c r="I893" s="881">
        <v>138203.56919119999</v>
      </c>
      <c r="J893" s="881">
        <v>-0.8582708707190041</v>
      </c>
      <c r="K893" s="60">
        <v>-6.2102318037290698E-6</v>
      </c>
      <c r="L893" s="880">
        <v>3.1446845570695801</v>
      </c>
      <c r="M893">
        <v>0</v>
      </c>
      <c r="N893" s="60">
        <v>0.11594515852786101</v>
      </c>
      <c r="O893" s="881">
        <v>451946.58027980104</v>
      </c>
      <c r="P893" s="60">
        <v>9.1937891337518507E-3</v>
      </c>
      <c r="Q893" s="880">
        <v>3.1348689901109501</v>
      </c>
      <c r="R893" s="60">
        <v>0.59176316821028407</v>
      </c>
      <c r="S893" s="60">
        <v>0.12810178481821202</v>
      </c>
      <c r="T893" s="60">
        <v>0.33711653648088002</v>
      </c>
      <c r="U893" s="60">
        <v>-2.9265700788502601E-4</v>
      </c>
    </row>
    <row r="894" spans="1:21" x14ac:dyDescent="0.25">
      <c r="A894" s="519" t="s">
        <v>1652</v>
      </c>
      <c r="B894" s="519" t="s">
        <v>1653</v>
      </c>
      <c r="C894" s="519" t="s">
        <v>284</v>
      </c>
      <c r="D894" s="519" t="s">
        <v>109</v>
      </c>
      <c r="E894" s="519" t="s">
        <v>282</v>
      </c>
      <c r="F894" s="519" t="s">
        <v>17</v>
      </c>
      <c r="G894" s="519" t="s">
        <v>56</v>
      </c>
      <c r="H894" s="519" t="s">
        <v>144</v>
      </c>
      <c r="I894" s="881">
        <v>183946.358290929</v>
      </c>
      <c r="J894" s="881">
        <v>6168.8829319780498</v>
      </c>
      <c r="K894" s="60">
        <v>3.2448124055162397E-2</v>
      </c>
      <c r="L894" s="880">
        <v>3.1182903059341802</v>
      </c>
      <c r="M894">
        <v>0</v>
      </c>
      <c r="N894" s="60">
        <v>9.6838742948728795E-2</v>
      </c>
      <c r="O894" s="881">
        <v>535126.09489821608</v>
      </c>
      <c r="P894" s="60">
        <v>2.0292755582838599E-2</v>
      </c>
      <c r="Q894" s="880">
        <v>3.1487117198096901</v>
      </c>
      <c r="R894" s="60">
        <v>0.59176316821028407</v>
      </c>
      <c r="S894" s="60">
        <v>8.2020565918988403E-2</v>
      </c>
      <c r="T894" s="60">
        <v>0.33109511715280504</v>
      </c>
      <c r="U894" s="60">
        <v>0.55636365685533407</v>
      </c>
    </row>
    <row r="895" spans="1:21" x14ac:dyDescent="0.25">
      <c r="A895" s="519" t="s">
        <v>1652</v>
      </c>
      <c r="B895" s="519" t="s">
        <v>1654</v>
      </c>
      <c r="C895" s="519" t="s">
        <v>284</v>
      </c>
      <c r="D895" s="519" t="s">
        <v>109</v>
      </c>
      <c r="E895" s="519" t="s">
        <v>282</v>
      </c>
      <c r="F895" s="519" t="s">
        <v>17</v>
      </c>
      <c r="G895" s="519" t="s">
        <v>56</v>
      </c>
      <c r="H895" s="519" t="s">
        <v>146</v>
      </c>
      <c r="I895" s="881">
        <v>177906.27669861901</v>
      </c>
      <c r="J895" s="881">
        <v>3871.4780512651096</v>
      </c>
      <c r="K895" s="60">
        <v>2.1297864838258299E-2</v>
      </c>
      <c r="L895" s="880">
        <v>3.1478833911485298</v>
      </c>
      <c r="M895">
        <v>0</v>
      </c>
      <c r="N895" s="60">
        <v>8.70472992109457E-2</v>
      </c>
      <c r="O895" s="881">
        <v>535126.09489821608</v>
      </c>
      <c r="P895" s="60">
        <v>2.0292755582838599E-2</v>
      </c>
      <c r="Q895" s="880">
        <v>3.1487117198096901</v>
      </c>
      <c r="R895" s="60">
        <v>0.59176316821028407</v>
      </c>
      <c r="S895" s="60">
        <v>8.2020565918988403E-2</v>
      </c>
      <c r="T895" s="60">
        <v>0.33831579622903402</v>
      </c>
      <c r="U895" s="60">
        <v>0.34926028833988604</v>
      </c>
    </row>
    <row r="896" spans="1:21" x14ac:dyDescent="0.25">
      <c r="A896" s="519" t="s">
        <v>1655</v>
      </c>
      <c r="B896" s="519" t="s">
        <v>1657</v>
      </c>
      <c r="C896" s="519" t="s">
        <v>284</v>
      </c>
      <c r="D896" s="519" t="s">
        <v>109</v>
      </c>
      <c r="E896" s="519" t="s">
        <v>1</v>
      </c>
      <c r="F896" s="519" t="s">
        <v>70</v>
      </c>
      <c r="G896" s="519" t="s">
        <v>56</v>
      </c>
      <c r="H896" s="519" t="s">
        <v>145</v>
      </c>
      <c r="I896" s="881">
        <v>155148.38723545102</v>
      </c>
      <c r="J896" s="881">
        <v>-4.2739381299999897</v>
      </c>
      <c r="K896" s="60">
        <v>-2.7548181101846699E-5</v>
      </c>
      <c r="L896" s="880">
        <v>2.8784629081812398</v>
      </c>
      <c r="M896">
        <v>0</v>
      </c>
      <c r="N896" s="60">
        <v>0.40120044220644902</v>
      </c>
      <c r="O896" s="881">
        <v>578462.82848052599</v>
      </c>
      <c r="P896" s="60">
        <v>1.20232565598555E-5</v>
      </c>
      <c r="Q896" s="880">
        <v>3.0158555559286802</v>
      </c>
      <c r="R896" s="60">
        <v>0.58480075585875202</v>
      </c>
      <c r="S896" s="60">
        <v>0.32886170566649403</v>
      </c>
      <c r="T896" s="60">
        <v>0.29403775497830204</v>
      </c>
      <c r="U896" s="60">
        <v>9.3352518248489294E-2</v>
      </c>
    </row>
    <row r="897" spans="1:21" x14ac:dyDescent="0.25">
      <c r="A897" s="519" t="s">
        <v>1659</v>
      </c>
      <c r="B897" s="519" t="s">
        <v>1660</v>
      </c>
      <c r="C897" s="519" t="s">
        <v>284</v>
      </c>
      <c r="D897" s="519" t="s">
        <v>109</v>
      </c>
      <c r="E897" s="519" t="s">
        <v>1</v>
      </c>
      <c r="F897" s="519" t="s">
        <v>70</v>
      </c>
      <c r="G897" s="519" t="s">
        <v>57</v>
      </c>
      <c r="H897" s="519" t="s">
        <v>147</v>
      </c>
      <c r="I897" s="881">
        <v>119951.11115391001</v>
      </c>
      <c r="J897" s="881">
        <v>-0.70875192999999703</v>
      </c>
      <c r="K897" s="60">
        <v>-5.9087082311305097E-6</v>
      </c>
      <c r="L897" s="880">
        <v>3.0036095788071302</v>
      </c>
      <c r="M897">
        <v>0</v>
      </c>
      <c r="N897" s="60">
        <v>0.33701036404698803</v>
      </c>
      <c r="O897" s="881">
        <v>442217.92880693101</v>
      </c>
      <c r="P897" s="60">
        <v>-1.2459722440454199E-5</v>
      </c>
      <c r="Q897" s="880">
        <v>3.0871384179279899</v>
      </c>
      <c r="R897" s="60">
        <v>0.58480075585875202</v>
      </c>
      <c r="S897" s="60">
        <v>0.30119892965405304</v>
      </c>
      <c r="T897" s="60">
        <v>0.258168851292713</v>
      </c>
      <c r="U897" s="60">
        <v>2.91188040226718E-2</v>
      </c>
    </row>
    <row r="898" spans="1:21" x14ac:dyDescent="0.25">
      <c r="A898" s="519" t="s">
        <v>1659</v>
      </c>
      <c r="B898" s="519" t="s">
        <v>1662</v>
      </c>
      <c r="C898" s="519" t="s">
        <v>284</v>
      </c>
      <c r="D898" s="519" t="s">
        <v>109</v>
      </c>
      <c r="E898" s="519" t="s">
        <v>1</v>
      </c>
      <c r="F898" s="519" t="s">
        <v>70</v>
      </c>
      <c r="G898" s="519" t="s">
        <v>57</v>
      </c>
      <c r="H898" s="519" t="s">
        <v>149</v>
      </c>
      <c r="I898" s="881">
        <v>147976.69041611999</v>
      </c>
      <c r="J898" s="881">
        <v>-0.74270192999999907</v>
      </c>
      <c r="K898" s="60">
        <v>-5.0190719604952397E-6</v>
      </c>
      <c r="L898" s="880">
        <v>3.1477055779695799</v>
      </c>
      <c r="M898">
        <v>0</v>
      </c>
      <c r="N898" s="60">
        <v>0.20028941401328501</v>
      </c>
      <c r="O898" s="881">
        <v>442217.92880693101</v>
      </c>
      <c r="P898" s="60">
        <v>-1.2459722440454199E-5</v>
      </c>
      <c r="Q898" s="880">
        <v>3.0871384179279899</v>
      </c>
      <c r="R898" s="60">
        <v>0.58480075585875202</v>
      </c>
      <c r="S898" s="60">
        <v>0.30119892965405304</v>
      </c>
      <c r="T898" s="60">
        <v>0.38384534037950901</v>
      </c>
      <c r="U898" s="60">
        <v>0.39273694363910105</v>
      </c>
    </row>
    <row r="899" spans="1:21" x14ac:dyDescent="0.25">
      <c r="A899" s="519" t="s">
        <v>1663</v>
      </c>
      <c r="B899" s="519" t="s">
        <v>1665</v>
      </c>
      <c r="C899" s="519" t="s">
        <v>284</v>
      </c>
      <c r="D899" s="519" t="s">
        <v>109</v>
      </c>
      <c r="E899" s="519" t="s">
        <v>1</v>
      </c>
      <c r="F899" s="519" t="s">
        <v>70</v>
      </c>
      <c r="G899" s="519" t="s">
        <v>58</v>
      </c>
      <c r="H899" s="519" t="s">
        <v>151</v>
      </c>
      <c r="I899" s="881">
        <v>218483.18382738103</v>
      </c>
      <c r="J899" s="881">
        <v>-5.1051370899999897</v>
      </c>
      <c r="K899" s="60">
        <v>-2.33668161153913E-5</v>
      </c>
      <c r="L899" s="880">
        <v>3.0853230402161498</v>
      </c>
      <c r="M899">
        <v>0</v>
      </c>
      <c r="N899" s="60">
        <v>0.35265451037016704</v>
      </c>
      <c r="O899" s="881">
        <v>675768.49664434209</v>
      </c>
      <c r="P899" s="60">
        <v>8.5437944434943501E-4</v>
      </c>
      <c r="Q899" s="880">
        <v>3.0892149919732499</v>
      </c>
      <c r="R899" s="60">
        <v>0.58480075585875202</v>
      </c>
      <c r="S899" s="60">
        <v>0.367810553020534</v>
      </c>
      <c r="T899" s="60">
        <v>0.23646096513476</v>
      </c>
      <c r="U899" s="60">
        <v>-1.4526864723843002E-2</v>
      </c>
    </row>
    <row r="900" spans="1:21" x14ac:dyDescent="0.25">
      <c r="A900" s="519" t="s">
        <v>1667</v>
      </c>
      <c r="B900" s="519" t="s">
        <v>1668</v>
      </c>
      <c r="C900" s="519" t="s">
        <v>284</v>
      </c>
      <c r="D900" s="519" t="s">
        <v>109</v>
      </c>
      <c r="E900" s="519" t="s">
        <v>1</v>
      </c>
      <c r="F900" s="519" t="s">
        <v>70</v>
      </c>
      <c r="G900" s="519" t="s">
        <v>59</v>
      </c>
      <c r="H900" s="519" t="s">
        <v>153</v>
      </c>
      <c r="I900" s="881">
        <v>76403.2736831402</v>
      </c>
      <c r="J900" s="881">
        <v>-1.65138864</v>
      </c>
      <c r="K900" s="60">
        <v>-2.16145755862946E-5</v>
      </c>
      <c r="L900" s="880">
        <v>3.07721765183787</v>
      </c>
      <c r="M900">
        <v>0</v>
      </c>
      <c r="N900" s="60">
        <v>0.16149150298415402</v>
      </c>
      <c r="O900" s="881">
        <v>284133.05757721001</v>
      </c>
      <c r="P900" s="60">
        <v>-2.0329751309882198E-5</v>
      </c>
      <c r="Q900" s="880">
        <v>3.0321282807276</v>
      </c>
      <c r="R900" s="60">
        <v>0.58480075585875202</v>
      </c>
      <c r="S900" s="60">
        <v>0.16384556302692602</v>
      </c>
      <c r="T900" s="60">
        <v>0.23386698566482103</v>
      </c>
      <c r="U900" s="60">
        <v>0.96959830802214708</v>
      </c>
    </row>
    <row r="901" spans="1:21" x14ac:dyDescent="0.25">
      <c r="A901" s="519" t="s">
        <v>1667</v>
      </c>
      <c r="B901" s="519" t="s">
        <v>1670</v>
      </c>
      <c r="C901" s="519" t="s">
        <v>284</v>
      </c>
      <c r="D901" s="519" t="s">
        <v>109</v>
      </c>
      <c r="E901" s="519" t="s">
        <v>1</v>
      </c>
      <c r="F901" s="519" t="s">
        <v>70</v>
      </c>
      <c r="G901" s="519" t="s">
        <v>59</v>
      </c>
      <c r="H901" s="519" t="s">
        <v>155</v>
      </c>
      <c r="I901" s="881">
        <v>139812.74297823</v>
      </c>
      <c r="J901" s="881">
        <v>-2.80129520000001</v>
      </c>
      <c r="K901" s="60">
        <v>-2.0036452102605003E-5</v>
      </c>
      <c r="L901" s="880">
        <v>3.1608243521294699</v>
      </c>
      <c r="M901">
        <v>0</v>
      </c>
      <c r="N901" s="60">
        <v>0.18373075455554</v>
      </c>
      <c r="O901" s="881">
        <v>284133.05757721001</v>
      </c>
      <c r="P901" s="60">
        <v>-2.0329751309882198E-5</v>
      </c>
      <c r="Q901" s="880">
        <v>3.0321282807276</v>
      </c>
      <c r="R901" s="60">
        <v>0.58480075585875202</v>
      </c>
      <c r="S901" s="60">
        <v>0.16384556302692602</v>
      </c>
      <c r="T901" s="60">
        <v>0.46650001081746306</v>
      </c>
      <c r="U901" s="60">
        <v>-8.3290326123329414E-3</v>
      </c>
    </row>
    <row r="902" spans="1:21" x14ac:dyDescent="0.25">
      <c r="A902" s="519" t="s">
        <v>1671</v>
      </c>
      <c r="B902" s="519" t="s">
        <v>1672</v>
      </c>
      <c r="C902" s="519" t="s">
        <v>284</v>
      </c>
      <c r="D902" s="519" t="s">
        <v>109</v>
      </c>
      <c r="E902" s="519" t="s">
        <v>1</v>
      </c>
      <c r="F902" s="519" t="s">
        <v>16</v>
      </c>
      <c r="G902" s="519" t="s">
        <v>56</v>
      </c>
      <c r="H902" s="519" t="s">
        <v>144</v>
      </c>
      <c r="I902" s="881">
        <v>103567.89859808001</v>
      </c>
      <c r="J902" s="881">
        <v>-2.1603213500000003</v>
      </c>
      <c r="K902" s="60">
        <v>-2.0859421136240801E-5</v>
      </c>
      <c r="L902" s="880">
        <v>3.1312887451646301</v>
      </c>
      <c r="M902">
        <v>0</v>
      </c>
      <c r="N902" s="60">
        <v>8.0853895557124092E-2</v>
      </c>
      <c r="O902" s="881">
        <v>386158.76599873003</v>
      </c>
      <c r="P902" s="60">
        <v>-1.9857877583530198E-5</v>
      </c>
      <c r="Q902" s="880">
        <v>3.07609217242823</v>
      </c>
      <c r="R902" s="60">
        <v>0.58480075585875202</v>
      </c>
      <c r="S902" s="60">
        <v>0.15164409696646</v>
      </c>
      <c r="T902" s="60">
        <v>0.30223660205712705</v>
      </c>
      <c r="U902" s="60">
        <v>0.53064395073423809</v>
      </c>
    </row>
    <row r="903" spans="1:21" x14ac:dyDescent="0.25">
      <c r="A903" s="519" t="s">
        <v>1671</v>
      </c>
      <c r="B903" s="519" t="s">
        <v>1674</v>
      </c>
      <c r="C903" s="519" t="s">
        <v>284</v>
      </c>
      <c r="D903" s="519" t="s">
        <v>109</v>
      </c>
      <c r="E903" s="519" t="s">
        <v>1</v>
      </c>
      <c r="F903" s="519" t="s">
        <v>16</v>
      </c>
      <c r="G903" s="519" t="s">
        <v>56</v>
      </c>
      <c r="H903" s="519" t="s">
        <v>146</v>
      </c>
      <c r="I903" s="881">
        <v>158786.60985862999</v>
      </c>
      <c r="J903" s="881">
        <v>-2.98020752000002</v>
      </c>
      <c r="K903" s="60">
        <v>-1.8768984728138201E-5</v>
      </c>
      <c r="L903" s="880">
        <v>3.0681910329825701</v>
      </c>
      <c r="M903">
        <v>0</v>
      </c>
      <c r="N903" s="60">
        <v>0.19715197101387502</v>
      </c>
      <c r="O903" s="881">
        <v>386158.76599873003</v>
      </c>
      <c r="P903" s="60">
        <v>-1.9857877583530198E-5</v>
      </c>
      <c r="Q903" s="880">
        <v>3.07609217242823</v>
      </c>
      <c r="R903" s="60">
        <v>0.58480075585875202</v>
      </c>
      <c r="S903" s="60">
        <v>0.15164409696646</v>
      </c>
      <c r="T903" s="60">
        <v>0.40372564296457103</v>
      </c>
      <c r="U903" s="60">
        <v>0.37600353101727202</v>
      </c>
    </row>
    <row r="904" spans="1:21" x14ac:dyDescent="0.25">
      <c r="A904" s="519" t="s">
        <v>1675</v>
      </c>
      <c r="B904" s="519" t="s">
        <v>1677</v>
      </c>
      <c r="C904" s="519" t="s">
        <v>284</v>
      </c>
      <c r="D904" s="519" t="s">
        <v>109</v>
      </c>
      <c r="E904" s="519" t="s">
        <v>1</v>
      </c>
      <c r="F904" s="519" t="s">
        <v>16</v>
      </c>
      <c r="G904" s="519" t="s">
        <v>57</v>
      </c>
      <c r="H904" s="519" t="s">
        <v>148</v>
      </c>
      <c r="I904" s="881">
        <v>121129.10074274</v>
      </c>
      <c r="J904" s="881">
        <v>-1.0795619200000099</v>
      </c>
      <c r="K904" s="60">
        <v>-8.912569605908429E-6</v>
      </c>
      <c r="L904" s="880">
        <v>3.0510517651738698</v>
      </c>
      <c r="M904">
        <v>0</v>
      </c>
      <c r="N904" s="60">
        <v>0.15408768526813801</v>
      </c>
      <c r="O904" s="881">
        <v>383008.158672911</v>
      </c>
      <c r="P904" s="60">
        <v>-8.8174577517858802E-6</v>
      </c>
      <c r="Q904" s="880">
        <v>3.0600163534680198</v>
      </c>
      <c r="R904" s="60">
        <v>0.58480075585875202</v>
      </c>
      <c r="S904" s="60">
        <v>0.117388753045641</v>
      </c>
      <c r="T904" s="60">
        <v>0.35798580832777804</v>
      </c>
      <c r="U904" s="60">
        <v>0.57814425233822808</v>
      </c>
    </row>
    <row r="905" spans="1:21" x14ac:dyDescent="0.25">
      <c r="A905" s="519" t="s">
        <v>1679</v>
      </c>
      <c r="B905" s="519" t="s">
        <v>1680</v>
      </c>
      <c r="C905" s="519" t="s">
        <v>284</v>
      </c>
      <c r="D905" s="519" t="s">
        <v>109</v>
      </c>
      <c r="E905" s="519" t="s">
        <v>1</v>
      </c>
      <c r="F905" s="519" t="s">
        <v>16</v>
      </c>
      <c r="G905" s="519" t="s">
        <v>58</v>
      </c>
      <c r="H905" s="519" t="s">
        <v>150</v>
      </c>
      <c r="I905" s="881">
        <v>308792.378752177</v>
      </c>
      <c r="J905" s="881">
        <v>-10.543896140000001</v>
      </c>
      <c r="K905" s="60">
        <v>-3.4146750066809202E-5</v>
      </c>
      <c r="L905" s="880">
        <v>3.0945744454062898</v>
      </c>
      <c r="M905">
        <v>0</v>
      </c>
      <c r="N905" s="60">
        <v>0.115264458778515</v>
      </c>
      <c r="O905" s="881">
        <v>690026.41348937503</v>
      </c>
      <c r="P905" s="60">
        <v>-3.7454454949168898E-5</v>
      </c>
      <c r="Q905" s="880">
        <v>3.0925123311181801</v>
      </c>
      <c r="R905" s="60">
        <v>0.58480075585875202</v>
      </c>
      <c r="S905" s="60">
        <v>0.11935665197108901</v>
      </c>
      <c r="T905" s="60">
        <v>0.40477191535967305</v>
      </c>
      <c r="U905" s="60">
        <v>-3.1684420224139302E-2</v>
      </c>
    </row>
    <row r="906" spans="1:21" x14ac:dyDescent="0.25">
      <c r="A906" s="519" t="s">
        <v>1679</v>
      </c>
      <c r="B906" s="519" t="s">
        <v>1682</v>
      </c>
      <c r="C906" s="519" t="s">
        <v>284</v>
      </c>
      <c r="D906" s="519" t="s">
        <v>109</v>
      </c>
      <c r="E906" s="519" t="s">
        <v>1</v>
      </c>
      <c r="F906" s="519" t="s">
        <v>16</v>
      </c>
      <c r="G906" s="519" t="s">
        <v>58</v>
      </c>
      <c r="H906" s="519" t="s">
        <v>152</v>
      </c>
      <c r="I906" s="881">
        <v>276760.035938218</v>
      </c>
      <c r="J906" s="881">
        <v>-12.385820560000001</v>
      </c>
      <c r="K906" s="60">
        <v>-4.4754925849358096E-5</v>
      </c>
      <c r="L906" s="880">
        <v>3.09913220145528</v>
      </c>
      <c r="M906">
        <v>0</v>
      </c>
      <c r="N906" s="60">
        <v>0.10510092410319401</v>
      </c>
      <c r="O906" s="881">
        <v>690026.41348937503</v>
      </c>
      <c r="P906" s="60">
        <v>-3.7454454949168898E-5</v>
      </c>
      <c r="Q906" s="880">
        <v>3.0925123311181801</v>
      </c>
      <c r="R906" s="60">
        <v>0.58480075585875202</v>
      </c>
      <c r="S906" s="60">
        <v>0.11935665197108901</v>
      </c>
      <c r="T906" s="60">
        <v>0.358767119505567</v>
      </c>
      <c r="U906" s="60">
        <v>1.0462112849479801</v>
      </c>
    </row>
    <row r="907" spans="1:21" x14ac:dyDescent="0.25">
      <c r="A907" s="519" t="s">
        <v>1683</v>
      </c>
      <c r="B907" s="519" t="s">
        <v>1685</v>
      </c>
      <c r="C907" s="519" t="s">
        <v>284</v>
      </c>
      <c r="D907" s="519" t="s">
        <v>109</v>
      </c>
      <c r="E907" s="519" t="s">
        <v>1</v>
      </c>
      <c r="F907" s="519" t="s">
        <v>16</v>
      </c>
      <c r="G907" s="519" t="s">
        <v>59</v>
      </c>
      <c r="H907" s="519" t="s">
        <v>154</v>
      </c>
      <c r="I907" s="881">
        <v>151202.47590878</v>
      </c>
      <c r="J907" s="881">
        <v>41.0170578575759</v>
      </c>
      <c r="K907" s="60">
        <v>2.71198826825719E-4</v>
      </c>
      <c r="L907" s="880">
        <v>2.9692465097885701</v>
      </c>
      <c r="M907">
        <v>0</v>
      </c>
      <c r="N907" s="60">
        <v>0.12390675526122201</v>
      </c>
      <c r="O907" s="881">
        <v>447159.93836161902</v>
      </c>
      <c r="P907" s="60">
        <v>2.2995453353440503E-3</v>
      </c>
      <c r="Q907" s="880">
        <v>2.9972271666167098</v>
      </c>
      <c r="R907" s="60">
        <v>0.58480075585875202</v>
      </c>
      <c r="S907" s="60">
        <v>0.12062206962494201</v>
      </c>
      <c r="T907" s="60">
        <v>0.29963300351771505</v>
      </c>
      <c r="U907" s="60">
        <v>3.8730724590185797E-2</v>
      </c>
    </row>
    <row r="908" spans="1:21" x14ac:dyDescent="0.25">
      <c r="A908" s="519" t="s">
        <v>1687</v>
      </c>
      <c r="B908" s="519" t="s">
        <v>1765</v>
      </c>
      <c r="C908" s="519" t="s">
        <v>284</v>
      </c>
      <c r="D908" s="519" t="s">
        <v>109</v>
      </c>
      <c r="E908" s="519" t="s">
        <v>1</v>
      </c>
      <c r="F908" s="519" t="s">
        <v>17</v>
      </c>
      <c r="G908" s="519" t="s">
        <v>56</v>
      </c>
      <c r="H908" s="519" t="s">
        <v>145</v>
      </c>
      <c r="I908" s="881">
        <v>155487.760469011</v>
      </c>
      <c r="J908" s="881">
        <v>681.69639275320992</v>
      </c>
      <c r="K908" s="60">
        <v>4.3651070218975801E-3</v>
      </c>
      <c r="L908" s="880">
        <v>3.02822916835362</v>
      </c>
      <c r="M908">
        <v>0</v>
      </c>
      <c r="N908" s="60">
        <v>0.14204734036285702</v>
      </c>
      <c r="O908" s="881">
        <v>512877.12087633106</v>
      </c>
      <c r="P908" s="60">
        <v>1.39014435641183E-2</v>
      </c>
      <c r="Q908" s="880">
        <v>3.03844457147733</v>
      </c>
      <c r="R908" s="60">
        <v>0.58480075585875202</v>
      </c>
      <c r="S908" s="60">
        <v>0.12772819283803902</v>
      </c>
      <c r="T908" s="60">
        <v>0.29403775497830204</v>
      </c>
      <c r="U908" s="60">
        <v>9.3352518248489294E-2</v>
      </c>
    </row>
    <row r="909" spans="1:21" x14ac:dyDescent="0.25">
      <c r="A909" s="519" t="s">
        <v>1992</v>
      </c>
      <c r="B909" s="519" t="s">
        <v>1993</v>
      </c>
      <c r="C909" s="519" t="s">
        <v>284</v>
      </c>
      <c r="D909" s="519" t="s">
        <v>109</v>
      </c>
      <c r="E909" s="519" t="s">
        <v>1</v>
      </c>
      <c r="F909" s="519" t="s">
        <v>17</v>
      </c>
      <c r="G909" s="519" t="s">
        <v>57</v>
      </c>
      <c r="H909" s="519" t="s">
        <v>149</v>
      </c>
      <c r="I909" s="881">
        <v>168320.36570857</v>
      </c>
      <c r="J909" s="881">
        <v>1.6024979076420001</v>
      </c>
      <c r="K909" s="60">
        <v>9.520432328097889E-6</v>
      </c>
      <c r="L909" s="880">
        <v>3.0266449360152099</v>
      </c>
      <c r="M909">
        <v>0</v>
      </c>
      <c r="N909" s="60">
        <v>0.10068391225124999</v>
      </c>
      <c r="O909" s="881">
        <v>168320.36570857</v>
      </c>
      <c r="P909" s="60">
        <v>9.5204323280978093E-6</v>
      </c>
      <c r="Q909" s="880">
        <v>3.0266449360152099</v>
      </c>
      <c r="R909" s="60">
        <v>0.58480075585875202</v>
      </c>
      <c r="S909" s="60">
        <v>0.10068391225124999</v>
      </c>
      <c r="T909" s="60">
        <v>0.38384534037950901</v>
      </c>
      <c r="U909" s="60">
        <v>0.39273694363910105</v>
      </c>
    </row>
    <row r="910" spans="1:21" x14ac:dyDescent="0.25">
      <c r="A910" s="519" t="s">
        <v>1994</v>
      </c>
      <c r="B910" s="519" t="s">
        <v>1995</v>
      </c>
      <c r="C910" s="519" t="s">
        <v>284</v>
      </c>
      <c r="D910" s="519" t="s">
        <v>109</v>
      </c>
      <c r="E910" s="519" t="s">
        <v>1838</v>
      </c>
      <c r="F910" s="519" t="s">
        <v>70</v>
      </c>
      <c r="G910" s="519" t="s">
        <v>57</v>
      </c>
      <c r="H910" s="519" t="s">
        <v>147</v>
      </c>
      <c r="I910" s="881">
        <v>260.74</v>
      </c>
      <c r="J910" s="881">
        <v>-3.411761E-2</v>
      </c>
      <c r="K910" s="60">
        <v>-1.30866283826163E-4</v>
      </c>
      <c r="L910" s="880">
        <v>2.9200927687052003</v>
      </c>
      <c r="M910">
        <v>0</v>
      </c>
      <c r="N910" s="60">
        <v>1</v>
      </c>
      <c r="O910" s="881">
        <v>532.27510000000007</v>
      </c>
      <c r="P910" s="60">
        <v>-1.0384430770328801E-4</v>
      </c>
      <c r="Q910" s="880">
        <v>2.9801556315719999</v>
      </c>
      <c r="R910" s="60">
        <v>0.310834112450596</v>
      </c>
      <c r="S910" s="60">
        <v>1</v>
      </c>
      <c r="T910" s="60">
        <v>0.28568046742835501</v>
      </c>
      <c r="U910" s="60">
        <v>-0.15628154370929601</v>
      </c>
    </row>
    <row r="911" spans="1:21" x14ac:dyDescent="0.25">
      <c r="A911" s="519" t="s">
        <v>1996</v>
      </c>
      <c r="B911" s="519" t="s">
        <v>1997</v>
      </c>
      <c r="C911" s="519" t="s">
        <v>284</v>
      </c>
      <c r="D911" s="519" t="s">
        <v>109</v>
      </c>
      <c r="E911" s="519" t="s">
        <v>1838</v>
      </c>
      <c r="F911" s="519" t="s">
        <v>70</v>
      </c>
      <c r="G911" s="519" t="s">
        <v>58</v>
      </c>
      <c r="H911" s="519" t="s">
        <v>151</v>
      </c>
      <c r="I911" s="881">
        <v>16.8</v>
      </c>
      <c r="J911" s="881">
        <v>-1.68067E-3</v>
      </c>
      <c r="K911" s="60">
        <v>-1.0004988993145901E-4</v>
      </c>
      <c r="L911" s="880">
        <v>3.1382931624971899</v>
      </c>
      <c r="M911">
        <v>0</v>
      </c>
      <c r="N911" s="60">
        <v>1</v>
      </c>
      <c r="O911" s="881">
        <v>1651.4305000000002</v>
      </c>
      <c r="P911" s="60">
        <v>-7.0682078289889693E-5</v>
      </c>
      <c r="Q911" s="880">
        <v>3.0417432269391003</v>
      </c>
      <c r="R911" s="60">
        <v>0.310834112450596</v>
      </c>
      <c r="S911" s="60">
        <v>1</v>
      </c>
      <c r="T911" s="60">
        <v>0.20270020948466802</v>
      </c>
      <c r="U911" s="60">
        <v>0.99038654534267312</v>
      </c>
    </row>
    <row r="912" spans="1:21" x14ac:dyDescent="0.25">
      <c r="A912" s="519" t="s">
        <v>1998</v>
      </c>
      <c r="B912" s="519" t="s">
        <v>1999</v>
      </c>
      <c r="C912" s="519" t="s">
        <v>284</v>
      </c>
      <c r="D912" s="519" t="s">
        <v>109</v>
      </c>
      <c r="E912" s="519" t="s">
        <v>1838</v>
      </c>
      <c r="F912" s="519" t="s">
        <v>70</v>
      </c>
      <c r="G912" s="519" t="s">
        <v>59</v>
      </c>
      <c r="H912" s="519" t="s">
        <v>153</v>
      </c>
      <c r="I912" s="881">
        <v>2116.7126538699999</v>
      </c>
      <c r="J912" s="881">
        <v>-5.5790799999999995E-2</v>
      </c>
      <c r="K912" s="60">
        <v>-2.6357980347877898E-5</v>
      </c>
      <c r="L912" s="880">
        <v>3.2042079659363099</v>
      </c>
      <c r="M912">
        <v>0</v>
      </c>
      <c r="N912" s="60">
        <v>0.91500027192115507</v>
      </c>
      <c r="O912" s="881">
        <v>2205.6707732</v>
      </c>
      <c r="P912" s="60">
        <v>-2.3222976034135399E-5</v>
      </c>
      <c r="Q912" s="880">
        <v>3.21190650091236</v>
      </c>
      <c r="R912" s="60">
        <v>0.310834112450596</v>
      </c>
      <c r="S912" s="60">
        <v>0.91842844263698908</v>
      </c>
      <c r="T912" s="60">
        <v>0.37886343045599102</v>
      </c>
      <c r="U912" s="60">
        <v>1.00215718361341</v>
      </c>
    </row>
    <row r="913" spans="1:21" x14ac:dyDescent="0.25">
      <c r="A913" s="519" t="s">
        <v>1998</v>
      </c>
      <c r="B913" s="519" t="s">
        <v>2000</v>
      </c>
      <c r="C913" s="519" t="s">
        <v>284</v>
      </c>
      <c r="D913" s="519" t="s">
        <v>109</v>
      </c>
      <c r="E913" s="519" t="s">
        <v>1838</v>
      </c>
      <c r="F913" s="519" t="s">
        <v>70</v>
      </c>
      <c r="G913" s="519" t="s">
        <v>59</v>
      </c>
      <c r="H913" s="519" t="s">
        <v>155</v>
      </c>
      <c r="I913" s="881">
        <v>0</v>
      </c>
      <c r="J913" s="881">
        <v>0</v>
      </c>
      <c r="L913" s="880">
        <v>3.0104514928315398</v>
      </c>
      <c r="M913">
        <v>0</v>
      </c>
      <c r="O913" s="881">
        <v>2205.6707732</v>
      </c>
      <c r="P913" s="60">
        <v>-2.3222976034135399E-5</v>
      </c>
      <c r="Q913" s="880">
        <v>3.21190650091236</v>
      </c>
      <c r="R913" s="60">
        <v>0.310834112450596</v>
      </c>
      <c r="S913" s="60">
        <v>0.91842844263698908</v>
      </c>
      <c r="T913" s="60">
        <v>0.32642359997345805</v>
      </c>
      <c r="U913" s="60">
        <v>-1.1207003590263602E-3</v>
      </c>
    </row>
    <row r="914" spans="1:21" x14ac:dyDescent="0.25">
      <c r="A914" s="519" t="s">
        <v>2001</v>
      </c>
      <c r="B914" s="519" t="s">
        <v>2002</v>
      </c>
      <c r="C914" s="519" t="s">
        <v>284</v>
      </c>
      <c r="D914" s="519" t="s">
        <v>109</v>
      </c>
      <c r="E914" s="519" t="s">
        <v>1838</v>
      </c>
      <c r="F914" s="519" t="s">
        <v>16</v>
      </c>
      <c r="G914" s="519" t="s">
        <v>56</v>
      </c>
      <c r="H914" s="519" t="s">
        <v>144</v>
      </c>
      <c r="I914" s="881">
        <v>7187.9191245300099</v>
      </c>
      <c r="J914" s="881">
        <v>-0.30282100000000001</v>
      </c>
      <c r="K914" s="60">
        <v>-4.2130935655438102E-5</v>
      </c>
      <c r="L914" s="880">
        <v>3.19018393661944</v>
      </c>
      <c r="M914">
        <v>0</v>
      </c>
      <c r="N914" s="60">
        <v>1</v>
      </c>
      <c r="O914" s="881">
        <v>31741.066469270001</v>
      </c>
      <c r="P914" s="60">
        <v>-4.2704543791147497E-5</v>
      </c>
      <c r="Q914" s="880">
        <v>3.1801551274661</v>
      </c>
      <c r="R914" s="60">
        <v>0.310834112450596</v>
      </c>
      <c r="S914" s="60">
        <v>1</v>
      </c>
      <c r="T914" s="60">
        <v>0.21849577910638601</v>
      </c>
      <c r="U914" s="60">
        <v>0.40479615771847</v>
      </c>
    </row>
    <row r="915" spans="1:21" x14ac:dyDescent="0.25">
      <c r="A915" s="519" t="s">
        <v>2001</v>
      </c>
      <c r="B915" s="519" t="s">
        <v>2003</v>
      </c>
      <c r="C915" s="519" t="s">
        <v>284</v>
      </c>
      <c r="D915" s="519" t="s">
        <v>109</v>
      </c>
      <c r="E915" s="519" t="s">
        <v>1838</v>
      </c>
      <c r="F915" s="519" t="s">
        <v>16</v>
      </c>
      <c r="G915" s="519" t="s">
        <v>56</v>
      </c>
      <c r="H915" s="519" t="s">
        <v>146</v>
      </c>
      <c r="I915" s="881">
        <v>12286.591264050001</v>
      </c>
      <c r="J915" s="881">
        <v>-0.46680915999999906</v>
      </c>
      <c r="K915" s="60">
        <v>-3.79948259285462E-5</v>
      </c>
      <c r="L915" s="880">
        <v>3.1951215412706899</v>
      </c>
      <c r="M915">
        <v>0</v>
      </c>
      <c r="N915" s="60">
        <v>1</v>
      </c>
      <c r="O915" s="881">
        <v>31741.066469270001</v>
      </c>
      <c r="P915" s="60">
        <v>-4.2704543791147497E-5</v>
      </c>
      <c r="Q915" s="880">
        <v>3.1801551274661</v>
      </c>
      <c r="R915" s="60">
        <v>0.310834112450596</v>
      </c>
      <c r="S915" s="60">
        <v>1</v>
      </c>
      <c r="T915" s="60">
        <v>0.35456768172028402</v>
      </c>
      <c r="U915" s="60">
        <v>0.44529307761876002</v>
      </c>
    </row>
    <row r="916" spans="1:21" x14ac:dyDescent="0.25">
      <c r="A916" s="519" t="s">
        <v>2004</v>
      </c>
      <c r="B916" s="519" t="s">
        <v>2005</v>
      </c>
      <c r="C916" s="519" t="s">
        <v>284</v>
      </c>
      <c r="D916" s="519" t="s">
        <v>109</v>
      </c>
      <c r="E916" s="519" t="s">
        <v>1838</v>
      </c>
      <c r="F916" s="519" t="s">
        <v>16</v>
      </c>
      <c r="G916" s="519" t="s">
        <v>57</v>
      </c>
      <c r="H916" s="519" t="s">
        <v>148</v>
      </c>
      <c r="I916" s="881">
        <v>8183.8360505000001</v>
      </c>
      <c r="J916" s="881">
        <v>3.3123300000000098E-2</v>
      </c>
      <c r="K916" s="60">
        <v>4.0473887468829201E-6</v>
      </c>
      <c r="L916" s="880">
        <v>3.2136235116488598</v>
      </c>
      <c r="M916">
        <v>0</v>
      </c>
      <c r="N916" s="60">
        <v>1</v>
      </c>
      <c r="O916" s="881">
        <v>29678.695609590002</v>
      </c>
      <c r="P916" s="60">
        <v>-6.43187558785701E-6</v>
      </c>
      <c r="Q916" s="880">
        <v>3.1972224638675399</v>
      </c>
      <c r="R916" s="60">
        <v>0.310834112450596</v>
      </c>
      <c r="S916" s="60">
        <v>0.99609709936299995</v>
      </c>
      <c r="T916" s="60">
        <v>0.279877506478664</v>
      </c>
      <c r="U916" s="60">
        <v>-4.8639432361005201E-2</v>
      </c>
    </row>
    <row r="917" spans="1:21" x14ac:dyDescent="0.25">
      <c r="A917" s="519" t="s">
        <v>2006</v>
      </c>
      <c r="B917" s="519" t="s">
        <v>2007</v>
      </c>
      <c r="C917" s="519" t="s">
        <v>284</v>
      </c>
      <c r="D917" s="519" t="s">
        <v>109</v>
      </c>
      <c r="E917" s="519" t="s">
        <v>1838</v>
      </c>
      <c r="F917" s="519" t="s">
        <v>16</v>
      </c>
      <c r="G917" s="519" t="s">
        <v>58</v>
      </c>
      <c r="H917" s="519" t="s">
        <v>151</v>
      </c>
      <c r="I917" s="881">
        <v>3234.83171932</v>
      </c>
      <c r="J917" s="881">
        <v>0.12301454000000001</v>
      </c>
      <c r="K917" s="60">
        <v>3.8026665014016197E-5</v>
      </c>
      <c r="L917" s="880">
        <v>3.2152999278687</v>
      </c>
      <c r="M917">
        <v>0</v>
      </c>
      <c r="N917" s="60">
        <v>1</v>
      </c>
      <c r="O917" s="881">
        <v>14390.14995809</v>
      </c>
      <c r="P917" s="60">
        <v>1.6624284227095499E-5</v>
      </c>
      <c r="Q917" s="880">
        <v>3.1990800080172002</v>
      </c>
      <c r="R917" s="60">
        <v>0.310834112450596</v>
      </c>
      <c r="S917" s="60">
        <v>0.93145400132223999</v>
      </c>
      <c r="T917" s="60">
        <v>0.20270020948466802</v>
      </c>
      <c r="U917" s="60">
        <v>0.99038654534267312</v>
      </c>
    </row>
    <row r="918" spans="1:21" x14ac:dyDescent="0.25">
      <c r="A918" s="519" t="s">
        <v>2008</v>
      </c>
      <c r="B918" s="519" t="s">
        <v>2009</v>
      </c>
      <c r="C918" s="519" t="s">
        <v>284</v>
      </c>
      <c r="D918" s="519" t="s">
        <v>109</v>
      </c>
      <c r="E918" s="519" t="s">
        <v>1838</v>
      </c>
      <c r="F918" s="519" t="s">
        <v>16</v>
      </c>
      <c r="G918" s="519" t="s">
        <v>59</v>
      </c>
      <c r="H918" s="519" t="s">
        <v>153</v>
      </c>
      <c r="I918" s="881">
        <v>4774.6259739999996</v>
      </c>
      <c r="J918" s="881">
        <v>20.116151963970999</v>
      </c>
      <c r="K918" s="60">
        <v>4.1954606599258404E-3</v>
      </c>
      <c r="L918" s="880">
        <v>3.1686021274175098</v>
      </c>
      <c r="M918">
        <v>0</v>
      </c>
      <c r="N918" s="60">
        <v>0.70928916577790901</v>
      </c>
      <c r="O918" s="881">
        <v>15983.83519093</v>
      </c>
      <c r="P918" s="60">
        <v>1.2539691559924902E-3</v>
      </c>
      <c r="Q918" s="880">
        <v>3.1825708845971801</v>
      </c>
      <c r="R918" s="60">
        <v>0.310834112450596</v>
      </c>
      <c r="S918" s="60">
        <v>0.82680517116624908</v>
      </c>
      <c r="T918" s="60">
        <v>0.37886343045599102</v>
      </c>
      <c r="U918" s="60">
        <v>1.00215718361341</v>
      </c>
    </row>
    <row r="919" spans="1:21" x14ac:dyDescent="0.25">
      <c r="A919" s="519" t="s">
        <v>2008</v>
      </c>
      <c r="B919" s="519" t="s">
        <v>2010</v>
      </c>
      <c r="C919" s="519" t="s">
        <v>284</v>
      </c>
      <c r="D919" s="519" t="s">
        <v>109</v>
      </c>
      <c r="E919" s="519" t="s">
        <v>1838</v>
      </c>
      <c r="F919" s="519" t="s">
        <v>16</v>
      </c>
      <c r="G919" s="519" t="s">
        <v>59</v>
      </c>
      <c r="H919" s="519" t="s">
        <v>155</v>
      </c>
      <c r="I919" s="881">
        <v>5937.4840185500098</v>
      </c>
      <c r="J919" s="881">
        <v>-2.2433261294999899E-2</v>
      </c>
      <c r="K919" s="60">
        <v>-3.7782579260104896E-6</v>
      </c>
      <c r="L919" s="880">
        <v>3.1718898543367002</v>
      </c>
      <c r="M919">
        <v>0</v>
      </c>
      <c r="N919" s="60">
        <v>0.84359467796482801</v>
      </c>
      <c r="O919" s="881">
        <v>15983.83519093</v>
      </c>
      <c r="P919" s="60">
        <v>1.2539691559924902E-3</v>
      </c>
      <c r="Q919" s="880">
        <v>3.1825708845971801</v>
      </c>
      <c r="R919" s="60">
        <v>0.310834112450596</v>
      </c>
      <c r="S919" s="60">
        <v>0.82680517116624908</v>
      </c>
      <c r="T919" s="60">
        <v>0.32642359997345805</v>
      </c>
      <c r="U919" s="60">
        <v>-1.1207003590263602E-3</v>
      </c>
    </row>
    <row r="920" spans="1:21" x14ac:dyDescent="0.25">
      <c r="A920" s="519" t="s">
        <v>2011</v>
      </c>
      <c r="B920" s="519" t="s">
        <v>2012</v>
      </c>
      <c r="C920" s="519" t="s">
        <v>284</v>
      </c>
      <c r="D920" s="519" t="s">
        <v>109</v>
      </c>
      <c r="E920" s="519" t="s">
        <v>1838</v>
      </c>
      <c r="F920" s="519" t="s">
        <v>17</v>
      </c>
      <c r="G920" s="519" t="s">
        <v>56</v>
      </c>
      <c r="H920" s="519" t="s">
        <v>144</v>
      </c>
      <c r="I920" s="881">
        <v>5040.6269344700004</v>
      </c>
      <c r="J920" s="881">
        <v>64.324733131314005</v>
      </c>
      <c r="K920" s="60">
        <v>1.26004587936752E-2</v>
      </c>
      <c r="L920" s="880">
        <v>3.18388882924086</v>
      </c>
      <c r="M920">
        <v>0</v>
      </c>
      <c r="N920" s="60">
        <v>0.57747063456821002</v>
      </c>
      <c r="O920" s="881">
        <v>24225.900531250001</v>
      </c>
      <c r="P920" s="60">
        <v>6.5413622377550008E-3</v>
      </c>
      <c r="Q920" s="880">
        <v>3.1349300307755499</v>
      </c>
      <c r="R920" s="60">
        <v>0.310834112450596</v>
      </c>
      <c r="S920" s="60">
        <v>0.68186365290907502</v>
      </c>
      <c r="T920" s="60">
        <v>0.21849577910638601</v>
      </c>
      <c r="U920" s="60">
        <v>0.40479615771847</v>
      </c>
    </row>
    <row r="921" spans="1:21" x14ac:dyDescent="0.25">
      <c r="A921" s="519" t="s">
        <v>2011</v>
      </c>
      <c r="B921" s="519" t="s">
        <v>2013</v>
      </c>
      <c r="C921" s="519" t="s">
        <v>284</v>
      </c>
      <c r="D921" s="519" t="s">
        <v>109</v>
      </c>
      <c r="E921" s="519" t="s">
        <v>1838</v>
      </c>
      <c r="F921" s="519" t="s">
        <v>17</v>
      </c>
      <c r="G921" s="519" t="s">
        <v>56</v>
      </c>
      <c r="H921" s="519" t="s">
        <v>146</v>
      </c>
      <c r="I921" s="881">
        <v>7557.48647824</v>
      </c>
      <c r="J921" s="881">
        <v>70.893649297691994</v>
      </c>
      <c r="K921" s="60">
        <v>9.2934080515695607E-3</v>
      </c>
      <c r="L921" s="880">
        <v>3.1359843653375599</v>
      </c>
      <c r="M921">
        <v>0</v>
      </c>
      <c r="N921" s="60">
        <v>0.75667625667677707</v>
      </c>
      <c r="O921" s="881">
        <v>24225.900531250001</v>
      </c>
      <c r="P921" s="60">
        <v>6.5413622377550008E-3</v>
      </c>
      <c r="Q921" s="880">
        <v>3.1349300307755499</v>
      </c>
      <c r="R921" s="60">
        <v>0.310834112450596</v>
      </c>
      <c r="S921" s="60">
        <v>0.68186365290907502</v>
      </c>
      <c r="T921" s="60">
        <v>0.35456768172028402</v>
      </c>
      <c r="U921" s="60">
        <v>0.44529307761876002</v>
      </c>
    </row>
    <row r="922" spans="1:21" x14ac:dyDescent="0.25">
      <c r="A922" s="519" t="s">
        <v>1021</v>
      </c>
      <c r="B922" s="519" t="s">
        <v>1024</v>
      </c>
      <c r="C922" s="519" t="s">
        <v>284</v>
      </c>
      <c r="D922" s="519" t="s">
        <v>110</v>
      </c>
      <c r="E922" s="519" t="s">
        <v>287</v>
      </c>
      <c r="F922" s="519" t="s">
        <v>70</v>
      </c>
      <c r="G922" s="519" t="s">
        <v>58</v>
      </c>
      <c r="H922" s="519" t="s">
        <v>152</v>
      </c>
      <c r="I922" s="881">
        <v>46082.307502840202</v>
      </c>
      <c r="J922" s="881">
        <v>1258.66635305001</v>
      </c>
      <c r="K922" s="60">
        <v>2.6587250969561698E-2</v>
      </c>
      <c r="L922" s="880">
        <v>2.9969699316509102</v>
      </c>
      <c r="M922">
        <v>0</v>
      </c>
      <c r="N922" s="60">
        <v>0.30209393874519003</v>
      </c>
      <c r="O922" s="881">
        <v>128873.62719432</v>
      </c>
      <c r="P922" s="60">
        <v>3.4643114169358398E-2</v>
      </c>
      <c r="Q922" s="880">
        <v>3.0155354725607801</v>
      </c>
      <c r="R922" s="60">
        <v>0.60653542459787702</v>
      </c>
      <c r="S922" s="60">
        <v>0.27046967467503802</v>
      </c>
      <c r="T922" s="60">
        <v>0.36091138970139403</v>
      </c>
      <c r="U922" s="60">
        <v>0.21518596570178203</v>
      </c>
    </row>
    <row r="923" spans="1:21" x14ac:dyDescent="0.25">
      <c r="A923" s="519" t="s">
        <v>1025</v>
      </c>
      <c r="B923" s="519" t="s">
        <v>1027</v>
      </c>
      <c r="C923" s="519" t="s">
        <v>284</v>
      </c>
      <c r="D923" s="519" t="s">
        <v>110</v>
      </c>
      <c r="E923" s="519" t="s">
        <v>287</v>
      </c>
      <c r="F923" s="519" t="s">
        <v>70</v>
      </c>
      <c r="G923" s="519" t="s">
        <v>59</v>
      </c>
      <c r="H923" s="519" t="s">
        <v>154</v>
      </c>
      <c r="I923" s="881">
        <v>22181.4829718</v>
      </c>
      <c r="J923" s="881">
        <v>1785.98496991</v>
      </c>
      <c r="K923" s="60">
        <v>7.4517048453078105E-2</v>
      </c>
      <c r="L923" s="880">
        <v>2.9722073453159599</v>
      </c>
      <c r="M923">
        <v>0</v>
      </c>
      <c r="N923" s="60">
        <v>0.346483500087926</v>
      </c>
      <c r="O923" s="881">
        <v>88596.372424109999</v>
      </c>
      <c r="P923" s="60">
        <v>4.6847637061000598E-2</v>
      </c>
      <c r="Q923" s="880">
        <v>2.9734643214523402</v>
      </c>
      <c r="R923" s="60">
        <v>0.60653542459787702</v>
      </c>
      <c r="S923" s="60">
        <v>0.34942823531288603</v>
      </c>
      <c r="T923" s="60">
        <v>0.27693785735317999</v>
      </c>
      <c r="U923" s="60">
        <v>0.44508243839103001</v>
      </c>
    </row>
    <row r="924" spans="1:21" x14ac:dyDescent="0.25">
      <c r="A924" s="519" t="s">
        <v>1029</v>
      </c>
      <c r="B924" s="519" t="s">
        <v>1031</v>
      </c>
      <c r="C924" s="519" t="s">
        <v>284</v>
      </c>
      <c r="D924" s="519" t="s">
        <v>110</v>
      </c>
      <c r="E924" s="519" t="s">
        <v>287</v>
      </c>
      <c r="F924" s="519" t="s">
        <v>16</v>
      </c>
      <c r="G924" s="519" t="s">
        <v>56</v>
      </c>
      <c r="H924" s="519" t="s">
        <v>145</v>
      </c>
      <c r="I924" s="881">
        <v>53451.978445710003</v>
      </c>
      <c r="J924" s="881">
        <v>2619.5735263199899</v>
      </c>
      <c r="K924" s="60">
        <v>4.67184059329534E-2</v>
      </c>
      <c r="L924" s="880">
        <v>2.9857712287812501</v>
      </c>
      <c r="M924" s="373">
        <v>0</v>
      </c>
      <c r="N924" s="60">
        <v>0.26211115697934301</v>
      </c>
      <c r="O924" s="881">
        <v>130753.62426761001</v>
      </c>
      <c r="P924" s="60">
        <v>3.8609165827582802E-2</v>
      </c>
      <c r="Q924" s="880">
        <v>2.9827832852573199</v>
      </c>
      <c r="R924" s="60">
        <v>0.60653542459787702</v>
      </c>
      <c r="S924" s="60">
        <v>0.33165613221538998</v>
      </c>
      <c r="T924" s="60">
        <v>0.38338185616700104</v>
      </c>
      <c r="U924" s="60">
        <v>0.43514240799005405</v>
      </c>
    </row>
    <row r="925" spans="1:21" x14ac:dyDescent="0.25">
      <c r="A925" s="519" t="s">
        <v>1033</v>
      </c>
      <c r="B925" s="519" t="s">
        <v>1034</v>
      </c>
      <c r="C925" s="519" t="s">
        <v>284</v>
      </c>
      <c r="D925" s="519" t="s">
        <v>110</v>
      </c>
      <c r="E925" s="519" t="s">
        <v>287</v>
      </c>
      <c r="F925" s="519" t="s">
        <v>16</v>
      </c>
      <c r="G925" s="519" t="s">
        <v>57</v>
      </c>
      <c r="H925" s="519" t="s">
        <v>147</v>
      </c>
      <c r="I925" s="881">
        <v>32002.98271547</v>
      </c>
      <c r="J925" s="881">
        <v>1059.3010716399999</v>
      </c>
      <c r="K925" s="60">
        <v>3.2039561406613702E-2</v>
      </c>
      <c r="L925" s="880">
        <v>2.8768029254685299</v>
      </c>
      <c r="M925" s="373">
        <v>0</v>
      </c>
      <c r="N925" s="60">
        <v>0.30460499552336301</v>
      </c>
      <c r="O925" s="881">
        <v>113827.51435232001</v>
      </c>
      <c r="P925" s="60">
        <v>5.8958390939500796E-2</v>
      </c>
      <c r="Q925" s="880">
        <v>2.9937181890564499</v>
      </c>
      <c r="R925" s="60">
        <v>0.60653542459787702</v>
      </c>
      <c r="S925" s="60">
        <v>0.30438577632775804</v>
      </c>
      <c r="T925" s="60">
        <v>0.30120066343211405</v>
      </c>
      <c r="U925" s="60">
        <v>0.16817454132345602</v>
      </c>
    </row>
    <row r="926" spans="1:21" x14ac:dyDescent="0.25">
      <c r="A926" s="519" t="s">
        <v>1033</v>
      </c>
      <c r="B926" s="519" t="s">
        <v>1036</v>
      </c>
      <c r="C926" s="519" t="s">
        <v>284</v>
      </c>
      <c r="D926" s="519" t="s">
        <v>110</v>
      </c>
      <c r="E926" s="519" t="s">
        <v>287</v>
      </c>
      <c r="F926" s="519" t="s">
        <v>16</v>
      </c>
      <c r="G926" s="519" t="s">
        <v>57</v>
      </c>
      <c r="H926" s="519" t="s">
        <v>149</v>
      </c>
      <c r="I926" s="881">
        <v>48318.777457530101</v>
      </c>
      <c r="J926" s="881">
        <v>3545.3166085500002</v>
      </c>
      <c r="K926" s="60">
        <v>6.8357823893210393E-2</v>
      </c>
      <c r="L926" s="880">
        <v>2.9769149087955298</v>
      </c>
      <c r="M926" s="373">
        <v>0</v>
      </c>
      <c r="N926" s="60">
        <v>0.27304024314783204</v>
      </c>
      <c r="O926" s="881">
        <v>113827.51435232001</v>
      </c>
      <c r="P926" s="60">
        <v>5.8958390939500796E-2</v>
      </c>
      <c r="Q926" s="880">
        <v>2.9937181890564499</v>
      </c>
      <c r="R926" s="60">
        <v>0.60653542459787702</v>
      </c>
      <c r="S926" s="60">
        <v>0.30438577632775804</v>
      </c>
      <c r="T926" s="60">
        <v>0.38776841291569403</v>
      </c>
      <c r="U926" s="60">
        <v>0.54224068586983309</v>
      </c>
    </row>
    <row r="927" spans="1:21" x14ac:dyDescent="0.25">
      <c r="A927" s="519" t="s">
        <v>1037</v>
      </c>
      <c r="B927" s="519" t="s">
        <v>1038</v>
      </c>
      <c r="C927" s="519" t="s">
        <v>284</v>
      </c>
      <c r="D927" s="519" t="s">
        <v>110</v>
      </c>
      <c r="E927" s="519" t="s">
        <v>287</v>
      </c>
      <c r="F927" s="519" t="s">
        <v>16</v>
      </c>
      <c r="G927" s="519" t="s">
        <v>58</v>
      </c>
      <c r="H927" s="519" t="s">
        <v>150</v>
      </c>
      <c r="I927" s="881">
        <v>50165.493570630199</v>
      </c>
      <c r="J927" s="881">
        <v>3523.2188229500098</v>
      </c>
      <c r="K927" s="60">
        <v>6.5623082876752101E-2</v>
      </c>
      <c r="L927" s="880">
        <v>3.00039296721835</v>
      </c>
      <c r="M927" s="373">
        <v>0</v>
      </c>
      <c r="N927" s="60">
        <v>0.48485038491059501</v>
      </c>
      <c r="O927" s="881">
        <v>140230.99231765</v>
      </c>
      <c r="P927" s="60">
        <v>3.7205245122923503E-2</v>
      </c>
      <c r="Q927" s="880">
        <v>3.0201767867487801</v>
      </c>
      <c r="R927" s="60">
        <v>0.60653542459787702</v>
      </c>
      <c r="S927" s="60">
        <v>0.40316019185713203</v>
      </c>
      <c r="T927" s="60">
        <v>0.34247392349383504</v>
      </c>
      <c r="U927" s="60">
        <v>0.60658634059638206</v>
      </c>
    </row>
    <row r="928" spans="1:21" x14ac:dyDescent="0.25">
      <c r="A928" s="519" t="s">
        <v>1037</v>
      </c>
      <c r="B928" s="519" t="s">
        <v>1040</v>
      </c>
      <c r="C928" s="519" t="s">
        <v>284</v>
      </c>
      <c r="D928" s="519" t="s">
        <v>110</v>
      </c>
      <c r="E928" s="519" t="s">
        <v>287</v>
      </c>
      <c r="F928" s="519" t="s">
        <v>16</v>
      </c>
      <c r="G928" s="519" t="s">
        <v>58</v>
      </c>
      <c r="H928" s="519" t="s">
        <v>152</v>
      </c>
      <c r="I928" s="881">
        <v>51040.6147002902</v>
      </c>
      <c r="J928" s="881">
        <v>902.606138300005</v>
      </c>
      <c r="K928" s="60">
        <v>1.7376784183345002E-2</v>
      </c>
      <c r="L928" s="880">
        <v>3.0480778823983599</v>
      </c>
      <c r="M928" s="373">
        <v>0</v>
      </c>
      <c r="N928" s="60">
        <v>0.33670396951591303</v>
      </c>
      <c r="O928" s="881">
        <v>140230.99231765</v>
      </c>
      <c r="P928" s="60">
        <v>3.7205245122923503E-2</v>
      </c>
      <c r="Q928" s="880">
        <v>3.0201767867487801</v>
      </c>
      <c r="R928" s="60">
        <v>0.60653542459787702</v>
      </c>
      <c r="S928" s="60">
        <v>0.40316019185713203</v>
      </c>
      <c r="T928" s="60">
        <v>0.36091138970139403</v>
      </c>
      <c r="U928" s="60">
        <v>0.21518596570178203</v>
      </c>
    </row>
    <row r="929" spans="1:21" x14ac:dyDescent="0.25">
      <c r="A929" s="519" t="s">
        <v>1041</v>
      </c>
      <c r="B929" s="519" t="s">
        <v>1042</v>
      </c>
      <c r="C929" s="519" t="s">
        <v>284</v>
      </c>
      <c r="D929" s="519" t="s">
        <v>110</v>
      </c>
      <c r="E929" s="519" t="s">
        <v>287</v>
      </c>
      <c r="F929" s="519" t="s">
        <v>16</v>
      </c>
      <c r="G929" s="519" t="s">
        <v>59</v>
      </c>
      <c r="H929" s="519" t="s">
        <v>154</v>
      </c>
      <c r="I929" s="881">
        <v>28409.974342010002</v>
      </c>
      <c r="J929" s="881">
        <v>3932.4698557300003</v>
      </c>
      <c r="K929" s="60">
        <v>0.12158851791432601</v>
      </c>
      <c r="L929" s="880">
        <v>2.9971459691491198</v>
      </c>
      <c r="M929" s="373">
        <v>0</v>
      </c>
      <c r="N929" s="60">
        <v>0.50961850467428604</v>
      </c>
      <c r="O929" s="881">
        <v>94085.250801170099</v>
      </c>
      <c r="P929" s="60">
        <v>8.2800246269221292E-2</v>
      </c>
      <c r="Q929" s="880">
        <v>2.99443367299031</v>
      </c>
      <c r="R929" s="60">
        <v>0.60653542459787702</v>
      </c>
      <c r="S929" s="60">
        <v>0.59885619843263704</v>
      </c>
      <c r="T929" s="60">
        <v>0.27693785735317999</v>
      </c>
      <c r="U929" s="60">
        <v>0.44508243839103001</v>
      </c>
    </row>
    <row r="930" spans="1:21" x14ac:dyDescent="0.25">
      <c r="A930" s="519" t="s">
        <v>1044</v>
      </c>
      <c r="B930" s="519" t="s">
        <v>1775</v>
      </c>
      <c r="C930" s="519" t="s">
        <v>284</v>
      </c>
      <c r="D930" s="519" t="s">
        <v>110</v>
      </c>
      <c r="E930" s="519" t="s">
        <v>287</v>
      </c>
      <c r="F930" s="519" t="s">
        <v>17</v>
      </c>
      <c r="G930" s="519" t="s">
        <v>56</v>
      </c>
      <c r="H930" s="519" t="s">
        <v>145</v>
      </c>
      <c r="I930" s="881">
        <v>48873.2003754502</v>
      </c>
      <c r="J930" s="881">
        <v>1868.74949988</v>
      </c>
      <c r="K930" s="60">
        <v>3.6828492095227199E-2</v>
      </c>
      <c r="L930" s="880">
        <v>3.1180908319799898</v>
      </c>
      <c r="M930" s="373">
        <v>0</v>
      </c>
      <c r="N930" s="60">
        <v>0.28705195556882401</v>
      </c>
      <c r="O930" s="881">
        <v>147691.14009881101</v>
      </c>
      <c r="P930" s="60">
        <v>3.8586744276294202E-2</v>
      </c>
      <c r="Q930" s="880">
        <v>3.0466905498506498</v>
      </c>
      <c r="R930" s="60">
        <v>0.60653542459787702</v>
      </c>
      <c r="S930" s="60">
        <v>0.37438607430944504</v>
      </c>
      <c r="T930" s="60">
        <v>0.38338185616700104</v>
      </c>
      <c r="U930" s="60">
        <v>0.43514240799005405</v>
      </c>
    </row>
    <row r="931" spans="1:21" x14ac:dyDescent="0.25">
      <c r="A931" s="519" t="s">
        <v>2014</v>
      </c>
      <c r="B931" s="519" t="s">
        <v>2015</v>
      </c>
      <c r="C931" s="519" t="s">
        <v>284</v>
      </c>
      <c r="D931" s="519" t="s">
        <v>110</v>
      </c>
      <c r="E931" s="519" t="s">
        <v>287</v>
      </c>
      <c r="F931" s="519" t="s">
        <v>17</v>
      </c>
      <c r="G931" s="519" t="s">
        <v>57</v>
      </c>
      <c r="H931" s="519" t="s">
        <v>149</v>
      </c>
      <c r="I931" s="881">
        <v>32258.850523599998</v>
      </c>
      <c r="J931" s="881">
        <v>2731.3464716600001</v>
      </c>
      <c r="K931" s="60">
        <v>7.8060334213894203E-2</v>
      </c>
      <c r="L931" s="880">
        <v>3.06466475151956</v>
      </c>
      <c r="M931" s="373">
        <v>0</v>
      </c>
      <c r="N931" s="60">
        <v>0.29531660627772705</v>
      </c>
      <c r="O931" s="881">
        <v>32258.850523599998</v>
      </c>
      <c r="P931" s="60">
        <v>7.8060334213894494E-2</v>
      </c>
      <c r="Q931" s="880">
        <v>3.06466475151956</v>
      </c>
      <c r="R931" s="60">
        <v>0.60653542459787702</v>
      </c>
      <c r="S931" s="60">
        <v>0.29531660627772705</v>
      </c>
      <c r="T931" s="60">
        <v>0.38776841291569403</v>
      </c>
      <c r="U931" s="60">
        <v>0.54224068586983309</v>
      </c>
    </row>
    <row r="932" spans="1:21" x14ac:dyDescent="0.25">
      <c r="A932" s="519" t="s">
        <v>1045</v>
      </c>
      <c r="B932" s="519" t="s">
        <v>1046</v>
      </c>
      <c r="C932" s="519" t="s">
        <v>284</v>
      </c>
      <c r="D932" s="519" t="s">
        <v>110</v>
      </c>
      <c r="E932" s="519" t="s">
        <v>4</v>
      </c>
      <c r="F932" s="519" t="s">
        <v>70</v>
      </c>
      <c r="G932" s="519" t="s">
        <v>56</v>
      </c>
      <c r="H932" s="519" t="s">
        <v>144</v>
      </c>
      <c r="I932" s="881">
        <v>1550.9304126100001</v>
      </c>
      <c r="J932" s="881">
        <v>295.35123082000001</v>
      </c>
      <c r="K932" s="60">
        <v>0.15997084294858702</v>
      </c>
      <c r="L932" s="880">
        <v>2.5513686521848502</v>
      </c>
      <c r="M932" s="373">
        <v>0</v>
      </c>
      <c r="N932" s="60">
        <v>0</v>
      </c>
      <c r="O932" s="881">
        <v>12144.39691311</v>
      </c>
      <c r="P932" s="60">
        <v>8.1732198749662296E-2</v>
      </c>
      <c r="Q932" s="880">
        <v>2.6926074713083299</v>
      </c>
      <c r="R932" s="60">
        <v>0.56763980134930803</v>
      </c>
      <c r="S932" s="60">
        <v>0</v>
      </c>
      <c r="T932" s="60">
        <v>0.26335528720090101</v>
      </c>
      <c r="U932" s="60">
        <v>0.334114534055996</v>
      </c>
    </row>
    <row r="933" spans="1:21" x14ac:dyDescent="0.25">
      <c r="A933" s="519" t="s">
        <v>1045</v>
      </c>
      <c r="B933" s="519" t="s">
        <v>1048</v>
      </c>
      <c r="C933" s="519" t="s">
        <v>284</v>
      </c>
      <c r="D933" s="519" t="s">
        <v>110</v>
      </c>
      <c r="E933" s="519" t="s">
        <v>4</v>
      </c>
      <c r="F933" s="519" t="s">
        <v>70</v>
      </c>
      <c r="G933" s="519" t="s">
        <v>56</v>
      </c>
      <c r="H933" s="519" t="s">
        <v>146</v>
      </c>
      <c r="I933" s="881">
        <v>5512.6582973599998</v>
      </c>
      <c r="J933" s="881">
        <v>400.27113979000001</v>
      </c>
      <c r="K933" s="60">
        <v>6.7694218922207894E-2</v>
      </c>
      <c r="L933" s="880">
        <v>2.72690483486865</v>
      </c>
      <c r="M933" s="373">
        <v>0</v>
      </c>
      <c r="N933" s="60">
        <v>0</v>
      </c>
      <c r="O933" s="881">
        <v>12144.39691311</v>
      </c>
      <c r="P933" s="60">
        <v>8.1732198749662296E-2</v>
      </c>
      <c r="Q933" s="880">
        <v>2.6926074713083299</v>
      </c>
      <c r="R933" s="60">
        <v>0.56763980134930803</v>
      </c>
      <c r="S933" s="60">
        <v>0</v>
      </c>
      <c r="T933" s="60">
        <v>0.39909160809865601</v>
      </c>
      <c r="U933" s="60">
        <v>0.35339244054986602</v>
      </c>
    </row>
    <row r="934" spans="1:21" x14ac:dyDescent="0.25">
      <c r="A934" s="519" t="s">
        <v>1049</v>
      </c>
      <c r="B934" s="519" t="s">
        <v>1051</v>
      </c>
      <c r="C934" s="519" t="s">
        <v>284</v>
      </c>
      <c r="D934" s="519" t="s">
        <v>110</v>
      </c>
      <c r="E934" s="519" t="s">
        <v>4</v>
      </c>
      <c r="F934" s="519" t="s">
        <v>70</v>
      </c>
      <c r="G934" s="519" t="s">
        <v>57</v>
      </c>
      <c r="H934" s="519" t="s">
        <v>148</v>
      </c>
      <c r="I934" s="881">
        <v>2357.2261095899999</v>
      </c>
      <c r="J934" s="881">
        <v>759.85223564</v>
      </c>
      <c r="K934" s="60">
        <v>0.24377065684049501</v>
      </c>
      <c r="L934" s="880">
        <v>2.6758978677279801</v>
      </c>
      <c r="M934" s="373">
        <v>0</v>
      </c>
      <c r="N934" s="60">
        <v>0</v>
      </c>
      <c r="O934" s="881">
        <v>12573.87706085</v>
      </c>
      <c r="P934" s="60">
        <v>0.14122499299126301</v>
      </c>
      <c r="Q934" s="880">
        <v>2.71528869853466</v>
      </c>
      <c r="R934" s="60">
        <v>0.56763980134930803</v>
      </c>
      <c r="S934" s="60">
        <v>0</v>
      </c>
      <c r="T934" s="60">
        <v>0.22563327506101402</v>
      </c>
      <c r="U934" s="60">
        <v>0.38272385782149404</v>
      </c>
    </row>
    <row r="935" spans="1:21" x14ac:dyDescent="0.25">
      <c r="A935" s="519" t="s">
        <v>1053</v>
      </c>
      <c r="B935" s="519" t="s">
        <v>1054</v>
      </c>
      <c r="C935" s="519" t="s">
        <v>284</v>
      </c>
      <c r="D935" s="519" t="s">
        <v>110</v>
      </c>
      <c r="E935" s="519" t="s">
        <v>4</v>
      </c>
      <c r="F935" s="519" t="s">
        <v>70</v>
      </c>
      <c r="G935" s="519" t="s">
        <v>58</v>
      </c>
      <c r="H935" s="519" t="s">
        <v>150</v>
      </c>
      <c r="I935" s="881">
        <v>1969.0956400000002</v>
      </c>
      <c r="J935" s="881">
        <v>184.73694474000001</v>
      </c>
      <c r="K935" s="60">
        <v>8.5771264697576594E-2</v>
      </c>
      <c r="L935" s="880">
        <v>2.4615765465278199</v>
      </c>
      <c r="M935" s="373">
        <v>0</v>
      </c>
      <c r="N935" s="60">
        <v>0</v>
      </c>
      <c r="O935" s="881">
        <v>7728.6362516099998</v>
      </c>
      <c r="P935" s="60">
        <v>8.1447773390406902E-2</v>
      </c>
      <c r="Q935" s="880">
        <v>2.70639783100652</v>
      </c>
      <c r="R935" s="60">
        <v>0.56763980134930803</v>
      </c>
      <c r="S935" s="60">
        <v>0</v>
      </c>
      <c r="T935" s="60">
        <v>0.37131762071662805</v>
      </c>
      <c r="U935" s="60">
        <v>0.40989643466161702</v>
      </c>
    </row>
    <row r="936" spans="1:21" x14ac:dyDescent="0.25">
      <c r="A936" s="519" t="s">
        <v>1053</v>
      </c>
      <c r="B936" s="519" t="s">
        <v>1056</v>
      </c>
      <c r="C936" s="519" t="s">
        <v>284</v>
      </c>
      <c r="D936" s="519" t="s">
        <v>110</v>
      </c>
      <c r="E936" s="519" t="s">
        <v>4</v>
      </c>
      <c r="F936" s="519" t="s">
        <v>70</v>
      </c>
      <c r="G936" s="519" t="s">
        <v>58</v>
      </c>
      <c r="H936" s="519" t="s">
        <v>152</v>
      </c>
      <c r="I936" s="881">
        <v>4575.5434916100003</v>
      </c>
      <c r="J936" s="881">
        <v>359.12115871000003</v>
      </c>
      <c r="K936" s="60">
        <v>7.2775190242504492E-2</v>
      </c>
      <c r="L936" s="880">
        <v>2.6876610397294201</v>
      </c>
      <c r="M936" s="373">
        <v>0</v>
      </c>
      <c r="N936" s="60">
        <v>0</v>
      </c>
      <c r="O936" s="881">
        <v>7728.6362516099998</v>
      </c>
      <c r="P936" s="60">
        <v>8.1447773390406902E-2</v>
      </c>
      <c r="Q936" s="880">
        <v>2.70639783100652</v>
      </c>
      <c r="R936" s="60">
        <v>0.56763980134930803</v>
      </c>
      <c r="S936" s="60">
        <v>0</v>
      </c>
      <c r="T936" s="60">
        <v>0.53871132292868107</v>
      </c>
      <c r="U936" s="60">
        <v>0.43718268849160802</v>
      </c>
    </row>
    <row r="937" spans="1:21" x14ac:dyDescent="0.25">
      <c r="A937" s="519" t="s">
        <v>1057</v>
      </c>
      <c r="B937" s="519" t="s">
        <v>1059</v>
      </c>
      <c r="C937" s="519" t="s">
        <v>284</v>
      </c>
      <c r="D937" s="519" t="s">
        <v>110</v>
      </c>
      <c r="E937" s="519" t="s">
        <v>4</v>
      </c>
      <c r="F937" s="519" t="s">
        <v>70</v>
      </c>
      <c r="G937" s="519" t="s">
        <v>59</v>
      </c>
      <c r="H937" s="519" t="s">
        <v>154</v>
      </c>
      <c r="I937" s="881">
        <v>1117.9424000000001</v>
      </c>
      <c r="J937" s="881">
        <v>142.01909018000001</v>
      </c>
      <c r="K937" s="60">
        <v>0.11271700864421701</v>
      </c>
      <c r="L937" s="880">
        <v>2.5350151256634699</v>
      </c>
      <c r="M937" s="373">
        <v>0</v>
      </c>
      <c r="N937" s="60">
        <v>0</v>
      </c>
      <c r="O937" s="881">
        <v>3412.40468134</v>
      </c>
      <c r="P937" s="60">
        <v>6.2832847549974702E-2</v>
      </c>
      <c r="Q937" s="880">
        <v>2.65286304752318</v>
      </c>
      <c r="R937" s="60">
        <v>0.56763980134930803</v>
      </c>
      <c r="S937" s="60">
        <v>0</v>
      </c>
      <c r="T937" s="60">
        <v>0.26324084924842001</v>
      </c>
      <c r="U937" s="60">
        <v>0.48123431760757401</v>
      </c>
    </row>
    <row r="938" spans="1:21" x14ac:dyDescent="0.25">
      <c r="A938" s="519" t="s">
        <v>1061</v>
      </c>
      <c r="B938" s="519" t="s">
        <v>1063</v>
      </c>
      <c r="C938" s="519" t="s">
        <v>284</v>
      </c>
      <c r="D938" s="519" t="s">
        <v>110</v>
      </c>
      <c r="E938" s="519" t="s">
        <v>4</v>
      </c>
      <c r="F938" s="519" t="s">
        <v>16</v>
      </c>
      <c r="G938" s="519" t="s">
        <v>56</v>
      </c>
      <c r="H938" s="519" t="s">
        <v>145</v>
      </c>
      <c r="I938" s="881">
        <v>1770.23850844</v>
      </c>
      <c r="J938" s="881">
        <v>68.631473940000006</v>
      </c>
      <c r="K938" s="60">
        <v>3.7322635421549601E-2</v>
      </c>
      <c r="L938" s="880">
        <v>2.6852737478595001</v>
      </c>
      <c r="M938" s="373">
        <v>0</v>
      </c>
      <c r="N938" s="60">
        <v>0</v>
      </c>
      <c r="O938" s="881">
        <v>5206.59141043</v>
      </c>
      <c r="P938" s="60">
        <v>3.0983568885070801E-2</v>
      </c>
      <c r="Q938" s="880">
        <v>2.7611680221327299</v>
      </c>
      <c r="R938" s="60">
        <v>0.56763980134930803</v>
      </c>
      <c r="S938" s="60">
        <v>0</v>
      </c>
      <c r="T938" s="60">
        <v>0.33755310470044203</v>
      </c>
      <c r="U938" s="60">
        <v>0.31249302539413903</v>
      </c>
    </row>
    <row r="939" spans="1:21" x14ac:dyDescent="0.25">
      <c r="A939" s="519" t="s">
        <v>1065</v>
      </c>
      <c r="B939" s="519" t="s">
        <v>1066</v>
      </c>
      <c r="C939" s="519" t="s">
        <v>284</v>
      </c>
      <c r="D939" s="519" t="s">
        <v>110</v>
      </c>
      <c r="E939" s="519" t="s">
        <v>4</v>
      </c>
      <c r="F939" s="519" t="s">
        <v>16</v>
      </c>
      <c r="G939" s="519" t="s">
        <v>57</v>
      </c>
      <c r="H939" s="519" t="s">
        <v>147</v>
      </c>
      <c r="I939" s="881">
        <v>1795.2817035200001</v>
      </c>
      <c r="J939" s="881">
        <v>16.102187489999999</v>
      </c>
      <c r="K939" s="60">
        <v>8.8894394887334815E-3</v>
      </c>
      <c r="L939" s="880">
        <v>2.65305170640986</v>
      </c>
      <c r="M939" s="373">
        <v>0</v>
      </c>
      <c r="N939" s="60">
        <v>0</v>
      </c>
      <c r="O939" s="881">
        <v>6146.1090408800001</v>
      </c>
      <c r="P939" s="60">
        <v>6.9594638294858097E-2</v>
      </c>
      <c r="Q939" s="880">
        <v>2.6824302526806001</v>
      </c>
      <c r="R939" s="60">
        <v>0.56763980134930803</v>
      </c>
      <c r="S939" s="60">
        <v>0</v>
      </c>
      <c r="T939" s="60">
        <v>0.30889710452218805</v>
      </c>
      <c r="U939" s="60">
        <v>0.15136983196786402</v>
      </c>
    </row>
    <row r="940" spans="1:21" x14ac:dyDescent="0.25">
      <c r="A940" s="519" t="s">
        <v>1065</v>
      </c>
      <c r="B940" s="519" t="s">
        <v>1068</v>
      </c>
      <c r="C940" s="519" t="s">
        <v>284</v>
      </c>
      <c r="D940" s="519" t="s">
        <v>110</v>
      </c>
      <c r="E940" s="519" t="s">
        <v>4</v>
      </c>
      <c r="F940" s="519" t="s">
        <v>16</v>
      </c>
      <c r="G940" s="519" t="s">
        <v>57</v>
      </c>
      <c r="H940" s="519" t="s">
        <v>149</v>
      </c>
      <c r="I940" s="881">
        <v>2484.2016737200001</v>
      </c>
      <c r="J940" s="881">
        <v>236.14770505000001</v>
      </c>
      <c r="K940" s="60">
        <v>8.68078589069958E-2</v>
      </c>
      <c r="L940" s="880">
        <v>2.6743919496398698</v>
      </c>
      <c r="M940" s="373">
        <v>0</v>
      </c>
      <c r="N940" s="60">
        <v>0</v>
      </c>
      <c r="O940" s="881">
        <v>6146.1090408800001</v>
      </c>
      <c r="P940" s="60">
        <v>6.9594638294858097E-2</v>
      </c>
      <c r="Q940" s="880">
        <v>2.6824302526806001</v>
      </c>
      <c r="R940" s="60">
        <v>0.56763980134930803</v>
      </c>
      <c r="S940" s="60">
        <v>0</v>
      </c>
      <c r="T940" s="60">
        <v>0.46546962041679801</v>
      </c>
      <c r="U940" s="60">
        <v>0.46590631021064205</v>
      </c>
    </row>
    <row r="941" spans="1:21" x14ac:dyDescent="0.25">
      <c r="A941" s="519" t="s">
        <v>1069</v>
      </c>
      <c r="B941" s="519" t="s">
        <v>1071</v>
      </c>
      <c r="C941" s="519" t="s">
        <v>284</v>
      </c>
      <c r="D941" s="519" t="s">
        <v>110</v>
      </c>
      <c r="E941" s="519" t="s">
        <v>4</v>
      </c>
      <c r="F941" s="519" t="s">
        <v>16</v>
      </c>
      <c r="G941" s="519" t="s">
        <v>58</v>
      </c>
      <c r="H941" s="519" t="s">
        <v>151</v>
      </c>
      <c r="I941" s="881">
        <v>1123.87259918</v>
      </c>
      <c r="J941" s="881">
        <v>18.111137420000002</v>
      </c>
      <c r="K941" s="60">
        <v>1.58593654528933E-2</v>
      </c>
      <c r="L941" s="880">
        <v>2.75318244139206</v>
      </c>
      <c r="M941" s="373">
        <v>0</v>
      </c>
      <c r="N941" s="60">
        <v>0</v>
      </c>
      <c r="O941" s="881">
        <v>17922.60996786</v>
      </c>
      <c r="P941" s="60">
        <v>1.9586165320565001E-2</v>
      </c>
      <c r="Q941" s="880">
        <v>2.7338401319775101</v>
      </c>
      <c r="R941" s="60">
        <v>0.56763980134930803</v>
      </c>
      <c r="S941" s="60">
        <v>0</v>
      </c>
      <c r="T941" s="60">
        <v>8.9971056354691395E-2</v>
      </c>
      <c r="U941" s="60">
        <v>0.15292087684677502</v>
      </c>
    </row>
    <row r="942" spans="1:21" x14ac:dyDescent="0.25">
      <c r="A942" s="519" t="s">
        <v>1073</v>
      </c>
      <c r="B942" s="519" t="s">
        <v>311</v>
      </c>
      <c r="C942" s="519" t="s">
        <v>284</v>
      </c>
      <c r="D942" s="519" t="s">
        <v>110</v>
      </c>
      <c r="E942" s="519" t="s">
        <v>4</v>
      </c>
      <c r="F942" s="519" t="s">
        <v>16</v>
      </c>
      <c r="G942" s="519" t="s">
        <v>59</v>
      </c>
      <c r="H942" s="519" t="s">
        <v>153</v>
      </c>
      <c r="I942" s="881">
        <v>6920.0140052900006</v>
      </c>
      <c r="J942" s="881">
        <v>252.59440359000001</v>
      </c>
      <c r="K942" s="60">
        <v>3.5216533399101697E-2</v>
      </c>
      <c r="L942" s="880">
        <v>2.6793249035745901</v>
      </c>
      <c r="M942" s="373">
        <v>0</v>
      </c>
      <c r="N942" s="60">
        <v>0</v>
      </c>
      <c r="O942" s="881">
        <v>18620.917259080001</v>
      </c>
      <c r="P942" s="60">
        <v>4.6058014631240297E-2</v>
      </c>
      <c r="Q942" s="880">
        <v>2.6972211639034298</v>
      </c>
      <c r="R942" s="60">
        <v>0.56763980134930803</v>
      </c>
      <c r="S942" s="60">
        <v>0</v>
      </c>
      <c r="T942" s="60">
        <v>0.35503505492467202</v>
      </c>
      <c r="U942" s="60">
        <v>0.23587183195050102</v>
      </c>
    </row>
    <row r="943" spans="1:21" x14ac:dyDescent="0.25">
      <c r="A943" s="519" t="s">
        <v>1073</v>
      </c>
      <c r="B943" s="519" t="s">
        <v>1075</v>
      </c>
      <c r="C943" s="519" t="s">
        <v>284</v>
      </c>
      <c r="D943" s="519" t="s">
        <v>110</v>
      </c>
      <c r="E943" s="519" t="s">
        <v>4</v>
      </c>
      <c r="F943" s="519" t="s">
        <v>16</v>
      </c>
      <c r="G943" s="519" t="s">
        <v>59</v>
      </c>
      <c r="H943" s="519" t="s">
        <v>155</v>
      </c>
      <c r="I943" s="881">
        <v>7018.7752744300005</v>
      </c>
      <c r="J943" s="881">
        <v>245.72161403999999</v>
      </c>
      <c r="K943" s="60">
        <v>3.3825000934338899E-2</v>
      </c>
      <c r="L943" s="880">
        <v>2.6993671783126398</v>
      </c>
      <c r="M943" s="373">
        <v>0</v>
      </c>
      <c r="N943" s="60">
        <v>0</v>
      </c>
      <c r="O943" s="881">
        <v>18620.917259080001</v>
      </c>
      <c r="P943" s="60">
        <v>4.6058014631240297E-2</v>
      </c>
      <c r="Q943" s="880">
        <v>2.6972211639034298</v>
      </c>
      <c r="R943" s="60">
        <v>0.56763980134930803</v>
      </c>
      <c r="S943" s="60">
        <v>0</v>
      </c>
      <c r="T943" s="60">
        <v>0.38172409582690803</v>
      </c>
      <c r="U943" s="60">
        <v>0.282893850441925</v>
      </c>
    </row>
    <row r="944" spans="1:21" x14ac:dyDescent="0.25">
      <c r="A944" s="519" t="s">
        <v>1076</v>
      </c>
      <c r="B944" s="519" t="s">
        <v>356</v>
      </c>
      <c r="C944" s="519" t="s">
        <v>284</v>
      </c>
      <c r="D944" s="519" t="s">
        <v>110</v>
      </c>
      <c r="E944" s="519" t="s">
        <v>4</v>
      </c>
      <c r="F944" s="519" t="s">
        <v>17</v>
      </c>
      <c r="G944" s="519" t="s">
        <v>56</v>
      </c>
      <c r="H944" s="519" t="s">
        <v>144</v>
      </c>
      <c r="I944" s="881">
        <v>8166.1531317400004</v>
      </c>
      <c r="J944" s="881">
        <v>362.41862015999999</v>
      </c>
      <c r="K944" s="60">
        <v>4.2494643968875596E-2</v>
      </c>
      <c r="L944" s="880">
        <v>2.6577009336352999</v>
      </c>
      <c r="M944" s="373">
        <v>0</v>
      </c>
      <c r="N944" s="60">
        <v>0</v>
      </c>
      <c r="O944" s="881">
        <v>22533.421881360002</v>
      </c>
      <c r="P944" s="60">
        <v>3.5118507462357798E-2</v>
      </c>
      <c r="Q944" s="880">
        <v>2.7019036322946501</v>
      </c>
      <c r="R944" s="60">
        <v>0.56763980134930803</v>
      </c>
      <c r="S944" s="60">
        <v>0</v>
      </c>
      <c r="T944" s="60">
        <v>0.26335528720090101</v>
      </c>
      <c r="U944" s="60">
        <v>0.334114534055996</v>
      </c>
    </row>
    <row r="945" spans="1:21" x14ac:dyDescent="0.25">
      <c r="A945" s="519" t="s">
        <v>1076</v>
      </c>
      <c r="B945" s="519" t="s">
        <v>357</v>
      </c>
      <c r="C945" s="519" t="s">
        <v>284</v>
      </c>
      <c r="D945" s="519" t="s">
        <v>110</v>
      </c>
      <c r="E945" s="519" t="s">
        <v>4</v>
      </c>
      <c r="F945" s="519" t="s">
        <v>17</v>
      </c>
      <c r="G945" s="519" t="s">
        <v>56</v>
      </c>
      <c r="H945" s="519" t="s">
        <v>146</v>
      </c>
      <c r="I945" s="881">
        <v>7755.20896739</v>
      </c>
      <c r="J945" s="881">
        <v>265.57189248999998</v>
      </c>
      <c r="K945" s="60">
        <v>3.3110478534377201E-2</v>
      </c>
      <c r="L945" s="880">
        <v>2.7136185241122801</v>
      </c>
      <c r="M945" s="373">
        <v>0</v>
      </c>
      <c r="N945" s="60">
        <v>0</v>
      </c>
      <c r="O945" s="881">
        <v>22533.421881360002</v>
      </c>
      <c r="P945" s="60">
        <v>3.5118507462357798E-2</v>
      </c>
      <c r="Q945" s="880">
        <v>2.7019036322946501</v>
      </c>
      <c r="R945" s="60">
        <v>0.56763980134930803</v>
      </c>
      <c r="S945" s="60">
        <v>0</v>
      </c>
      <c r="T945" s="60">
        <v>0.39909160809865601</v>
      </c>
      <c r="U945" s="60">
        <v>0.35339244054986602</v>
      </c>
    </row>
    <row r="946" spans="1:21" x14ac:dyDescent="0.25">
      <c r="A946" s="519" t="s">
        <v>1077</v>
      </c>
      <c r="B946" s="519" t="s">
        <v>1079</v>
      </c>
      <c r="C946" s="519" t="s">
        <v>284</v>
      </c>
      <c r="D946" s="519" t="s">
        <v>110</v>
      </c>
      <c r="E946" s="519" t="s">
        <v>290</v>
      </c>
      <c r="F946" s="519" t="s">
        <v>70</v>
      </c>
      <c r="G946" s="519" t="s">
        <v>56</v>
      </c>
      <c r="H946" s="519" t="s">
        <v>145</v>
      </c>
      <c r="I946" s="881">
        <v>638.03390000000002</v>
      </c>
      <c r="J946" s="881">
        <v>867.48003416000006</v>
      </c>
      <c r="K946" s="60">
        <v>0.576201929770919</v>
      </c>
      <c r="L946" s="880">
        <v>6.7119846451076697</v>
      </c>
      <c r="M946" s="373">
        <v>0</v>
      </c>
      <c r="N946" s="60">
        <v>0</v>
      </c>
      <c r="O946" s="881">
        <v>9293.2555166500006</v>
      </c>
      <c r="P946" s="60">
        <v>0.22610423076124603</v>
      </c>
      <c r="Q946" s="880">
        <v>3.0276663818064899</v>
      </c>
      <c r="R946" s="60">
        <v>0.57809617808115099</v>
      </c>
      <c r="S946" s="60">
        <v>0.10852382119409901</v>
      </c>
      <c r="T946" s="60">
        <v>7.6764152946964093E-2</v>
      </c>
      <c r="U946" s="60">
        <v>0.24049795395174703</v>
      </c>
    </row>
    <row r="947" spans="1:21" x14ac:dyDescent="0.25">
      <c r="A947" s="519" t="s">
        <v>1081</v>
      </c>
      <c r="B947" s="519" t="s">
        <v>1082</v>
      </c>
      <c r="C947" s="519" t="s">
        <v>284</v>
      </c>
      <c r="D947" s="519" t="s">
        <v>110</v>
      </c>
      <c r="E947" s="519" t="s">
        <v>290</v>
      </c>
      <c r="F947" s="519" t="s">
        <v>70</v>
      </c>
      <c r="G947" s="519" t="s">
        <v>57</v>
      </c>
      <c r="H947" s="519" t="s">
        <v>147</v>
      </c>
      <c r="I947" s="881">
        <v>29.89</v>
      </c>
      <c r="J947" s="881">
        <v>70.866302520000005</v>
      </c>
      <c r="K947" s="60">
        <v>0.70334361968010006</v>
      </c>
      <c r="L947" s="880">
        <v>3.0108531336175899</v>
      </c>
      <c r="M947" s="373">
        <v>0</v>
      </c>
      <c r="N947" s="60">
        <v>0</v>
      </c>
      <c r="O947" s="881">
        <v>74.580500000000001</v>
      </c>
      <c r="P947" s="60">
        <v>0.70309294624104002</v>
      </c>
      <c r="Q947" s="880">
        <v>3.1272821025608302</v>
      </c>
      <c r="R947" s="60">
        <v>0.57809617808115099</v>
      </c>
      <c r="S947" s="60">
        <v>0</v>
      </c>
      <c r="T947" s="60">
        <v>0.21851749204910301</v>
      </c>
      <c r="U947" s="60">
        <v>0.28454535735105302</v>
      </c>
    </row>
    <row r="948" spans="1:21" x14ac:dyDescent="0.25">
      <c r="A948" s="519" t="s">
        <v>1081</v>
      </c>
      <c r="B948" s="519" t="s">
        <v>1083</v>
      </c>
      <c r="C948" s="519" t="s">
        <v>284</v>
      </c>
      <c r="D948" s="519" t="s">
        <v>110</v>
      </c>
      <c r="E948" s="519" t="s">
        <v>290</v>
      </c>
      <c r="F948" s="519" t="s">
        <v>70</v>
      </c>
      <c r="G948" s="519" t="s">
        <v>57</v>
      </c>
      <c r="H948" s="519" t="s">
        <v>149</v>
      </c>
      <c r="I948" s="881">
        <v>44.6905</v>
      </c>
      <c r="J948" s="881">
        <v>105.74460252</v>
      </c>
      <c r="K948" s="60">
        <v>0.70292505371837311</v>
      </c>
      <c r="L948" s="880">
        <v>3.1102832643667599</v>
      </c>
      <c r="M948" s="373">
        <v>0</v>
      </c>
      <c r="N948" s="60">
        <v>0</v>
      </c>
      <c r="O948" s="881">
        <v>74.580500000000001</v>
      </c>
      <c r="P948" s="60">
        <v>0.70309294624104002</v>
      </c>
      <c r="Q948" s="880">
        <v>3.1272821025608302</v>
      </c>
      <c r="R948" s="60">
        <v>0.57809617808115099</v>
      </c>
      <c r="S948" s="60">
        <v>0</v>
      </c>
      <c r="T948" s="60">
        <v>0.24168364218758401</v>
      </c>
      <c r="U948" s="60">
        <v>0.30998656056804003</v>
      </c>
    </row>
    <row r="949" spans="1:21" x14ac:dyDescent="0.25">
      <c r="A949" s="519" t="s">
        <v>1084</v>
      </c>
      <c r="B949" s="519" t="s">
        <v>1085</v>
      </c>
      <c r="C949" s="519" t="s">
        <v>284</v>
      </c>
      <c r="D949" s="519" t="s">
        <v>110</v>
      </c>
      <c r="E949" s="519" t="s">
        <v>290</v>
      </c>
      <c r="F949" s="519" t="s">
        <v>70</v>
      </c>
      <c r="G949" s="519" t="s">
        <v>58</v>
      </c>
      <c r="H949" s="519" t="s">
        <v>150</v>
      </c>
      <c r="I949" s="881">
        <v>35452.125190930099</v>
      </c>
      <c r="J949" s="881">
        <v>929.101451890004</v>
      </c>
      <c r="K949" s="60">
        <v>2.5537936392624798E-2</v>
      </c>
      <c r="L949" s="880">
        <v>3.01252463018885</v>
      </c>
      <c r="M949" s="373">
        <v>0</v>
      </c>
      <c r="N949" s="60">
        <v>0.13864877757053501</v>
      </c>
      <c r="O949" s="881">
        <v>56549.289666470104</v>
      </c>
      <c r="P949" s="60">
        <v>1.8832892129288799E-2</v>
      </c>
      <c r="Q949" s="880">
        <v>3.0172314438322299</v>
      </c>
      <c r="R949" s="60">
        <v>0.57809617808115099</v>
      </c>
      <c r="S949" s="60">
        <v>0.14173090282993001</v>
      </c>
      <c r="T949" s="60">
        <v>0.615736723713878</v>
      </c>
      <c r="U949" s="60">
        <v>0.74582288770228111</v>
      </c>
    </row>
    <row r="950" spans="1:21" x14ac:dyDescent="0.25">
      <c r="A950" s="519" t="s">
        <v>1084</v>
      </c>
      <c r="B950" s="519" t="s">
        <v>1087</v>
      </c>
      <c r="C950" s="519" t="s">
        <v>284</v>
      </c>
      <c r="D950" s="519" t="s">
        <v>110</v>
      </c>
      <c r="E950" s="519" t="s">
        <v>290</v>
      </c>
      <c r="F950" s="519" t="s">
        <v>70</v>
      </c>
      <c r="G950" s="519" t="s">
        <v>58</v>
      </c>
      <c r="H950" s="519" t="s">
        <v>152</v>
      </c>
      <c r="I950" s="881">
        <v>18921.177975540002</v>
      </c>
      <c r="J950" s="881">
        <v>145.74619516000001</v>
      </c>
      <c r="K950" s="60">
        <v>7.6439279799500603E-3</v>
      </c>
      <c r="L950" s="880">
        <v>3.03061526838085</v>
      </c>
      <c r="M950" s="373">
        <v>0</v>
      </c>
      <c r="N950" s="60">
        <v>9.7117344448400006E-2</v>
      </c>
      <c r="O950" s="881">
        <v>56549.289666470104</v>
      </c>
      <c r="P950" s="60">
        <v>1.8832892129288799E-2</v>
      </c>
      <c r="Q950" s="880">
        <v>3.0172314438322299</v>
      </c>
      <c r="R950" s="60">
        <v>0.57809617808115099</v>
      </c>
      <c r="S950" s="60">
        <v>0.14173090282993001</v>
      </c>
      <c r="T950" s="60">
        <v>0.31597333541272504</v>
      </c>
      <c r="U950" s="60">
        <v>0.20151953894447902</v>
      </c>
    </row>
    <row r="951" spans="1:21" x14ac:dyDescent="0.25">
      <c r="A951" s="519" t="s">
        <v>1088</v>
      </c>
      <c r="B951" s="519" t="s">
        <v>1090</v>
      </c>
      <c r="C951" s="519" t="s">
        <v>284</v>
      </c>
      <c r="D951" s="519" t="s">
        <v>110</v>
      </c>
      <c r="E951" s="519" t="s">
        <v>290</v>
      </c>
      <c r="F951" s="519" t="s">
        <v>70</v>
      </c>
      <c r="G951" s="519" t="s">
        <v>59</v>
      </c>
      <c r="H951" s="519" t="s">
        <v>154</v>
      </c>
      <c r="I951" s="881">
        <v>52916.8107699502</v>
      </c>
      <c r="J951" s="881">
        <v>663.67586353000195</v>
      </c>
      <c r="K951" s="60">
        <v>1.23865217587498E-2</v>
      </c>
      <c r="L951" s="880">
        <v>2.9993227077311801</v>
      </c>
      <c r="M951" s="373">
        <v>0</v>
      </c>
      <c r="N951" s="60">
        <v>0.137636737249025</v>
      </c>
      <c r="O951" s="881">
        <v>132210.83895852999</v>
      </c>
      <c r="P951" s="60">
        <v>1.3729791909677899E-2</v>
      </c>
      <c r="Q951" s="880">
        <v>2.9931614157412398</v>
      </c>
      <c r="R951" s="60">
        <v>0.57809617808115099</v>
      </c>
      <c r="S951" s="60">
        <v>0.125571414674158</v>
      </c>
      <c r="T951" s="60">
        <v>0.36124822197617601</v>
      </c>
      <c r="U951" s="60">
        <v>0.29451007671859403</v>
      </c>
    </row>
    <row r="952" spans="1:21" x14ac:dyDescent="0.25">
      <c r="A952" s="519" t="s">
        <v>1092</v>
      </c>
      <c r="B952" s="519" t="s">
        <v>1094</v>
      </c>
      <c r="C952" s="519" t="s">
        <v>284</v>
      </c>
      <c r="D952" s="519" t="s">
        <v>110</v>
      </c>
      <c r="E952" s="519" t="s">
        <v>290</v>
      </c>
      <c r="F952" s="519" t="s">
        <v>16</v>
      </c>
      <c r="G952" s="519" t="s">
        <v>56</v>
      </c>
      <c r="H952" s="519" t="s">
        <v>145</v>
      </c>
      <c r="I952" s="881">
        <v>823.56270000000006</v>
      </c>
      <c r="J952" s="881">
        <v>490.53940131000002</v>
      </c>
      <c r="K952" s="60">
        <v>0.37328865148377105</v>
      </c>
      <c r="L952" s="880">
        <v>2.9500392524475099</v>
      </c>
      <c r="M952" s="373">
        <v>0</v>
      </c>
      <c r="N952" s="60">
        <v>3.9638026345777899E-2</v>
      </c>
      <c r="O952" s="881">
        <v>14076.654560000001</v>
      </c>
      <c r="P952" s="60">
        <v>0.154601728656825</v>
      </c>
      <c r="Q952" s="880">
        <v>3.3549886866665499</v>
      </c>
      <c r="R952" s="60">
        <v>0.57809617808115099</v>
      </c>
      <c r="S952" s="60">
        <v>0.12899813178337999</v>
      </c>
      <c r="T952" s="60">
        <v>7.6764152946964093E-2</v>
      </c>
      <c r="U952" s="60">
        <v>0.24049795395174703</v>
      </c>
    </row>
    <row r="953" spans="1:21" x14ac:dyDescent="0.25">
      <c r="A953" s="519" t="s">
        <v>1096</v>
      </c>
      <c r="B953" s="519" t="s">
        <v>1097</v>
      </c>
      <c r="C953" s="519" t="s">
        <v>284</v>
      </c>
      <c r="D953" s="519" t="s">
        <v>110</v>
      </c>
      <c r="E953" s="519" t="s">
        <v>290</v>
      </c>
      <c r="F953" s="519" t="s">
        <v>16</v>
      </c>
      <c r="G953" s="519" t="s">
        <v>57</v>
      </c>
      <c r="H953" s="519" t="s">
        <v>147</v>
      </c>
      <c r="I953" s="881">
        <v>317.62904000000003</v>
      </c>
      <c r="J953" s="881">
        <v>222.12019642000001</v>
      </c>
      <c r="K953" s="60">
        <v>0.41152479972599604</v>
      </c>
      <c r="L953" s="880">
        <v>2.9181911298163201</v>
      </c>
      <c r="M953" s="373">
        <v>0</v>
      </c>
      <c r="N953" s="60">
        <v>3.51617723618722E-2</v>
      </c>
      <c r="O953" s="881">
        <v>1515.7683400000001</v>
      </c>
      <c r="P953" s="60">
        <v>0.36011746396097105</v>
      </c>
      <c r="Q953" s="880">
        <v>2.9429358804462402</v>
      </c>
      <c r="R953" s="60">
        <v>0.57809617808115099</v>
      </c>
      <c r="S953" s="60">
        <v>0.15305155403892401</v>
      </c>
      <c r="T953" s="60">
        <v>0.21851749204910301</v>
      </c>
      <c r="U953" s="60">
        <v>0.28454535735105302</v>
      </c>
    </row>
    <row r="954" spans="1:21" x14ac:dyDescent="0.25">
      <c r="A954" s="519" t="s">
        <v>1096</v>
      </c>
      <c r="B954" s="519" t="s">
        <v>1099</v>
      </c>
      <c r="C954" s="519" t="s">
        <v>284</v>
      </c>
      <c r="D954" s="519" t="s">
        <v>110</v>
      </c>
      <c r="E954" s="519" t="s">
        <v>290</v>
      </c>
      <c r="F954" s="519" t="s">
        <v>16</v>
      </c>
      <c r="G954" s="519" t="s">
        <v>57</v>
      </c>
      <c r="H954" s="519" t="s">
        <v>149</v>
      </c>
      <c r="I954" s="881">
        <v>339.67080000000004</v>
      </c>
      <c r="J954" s="881">
        <v>213.43782218999999</v>
      </c>
      <c r="K954" s="60">
        <v>0.38588771468596206</v>
      </c>
      <c r="L954" s="880">
        <v>2.4459499280556001</v>
      </c>
      <c r="M954" s="373">
        <v>0</v>
      </c>
      <c r="N954" s="60">
        <v>0.18045177860446102</v>
      </c>
      <c r="O954" s="881">
        <v>1515.7683400000001</v>
      </c>
      <c r="P954" s="60">
        <v>0.36011746396097105</v>
      </c>
      <c r="Q954" s="880">
        <v>2.9429358804462402</v>
      </c>
      <c r="R954" s="60">
        <v>0.57809617808115099</v>
      </c>
      <c r="S954" s="60">
        <v>0.15305155403892401</v>
      </c>
      <c r="T954" s="60">
        <v>0.24168364218758401</v>
      </c>
      <c r="U954" s="60">
        <v>0.30998656056804003</v>
      </c>
    </row>
    <row r="955" spans="1:21" x14ac:dyDescent="0.25">
      <c r="A955" s="519" t="s">
        <v>1100</v>
      </c>
      <c r="B955" s="519" t="s">
        <v>1101</v>
      </c>
      <c r="C955" s="519" t="s">
        <v>284</v>
      </c>
      <c r="D955" s="519" t="s">
        <v>110</v>
      </c>
      <c r="E955" s="519" t="s">
        <v>290</v>
      </c>
      <c r="F955" s="519" t="s">
        <v>16</v>
      </c>
      <c r="G955" s="519" t="s">
        <v>58</v>
      </c>
      <c r="H955" s="519" t="s">
        <v>150</v>
      </c>
      <c r="I955" s="881">
        <v>58810.299621390302</v>
      </c>
      <c r="J955" s="881">
        <v>1733.0840298000098</v>
      </c>
      <c r="K955" s="60">
        <v>2.8625490107802101E-2</v>
      </c>
      <c r="L955" s="880">
        <v>3.0847745024230799</v>
      </c>
      <c r="M955" s="373">
        <v>0</v>
      </c>
      <c r="N955" s="60">
        <v>0.45024052092670003</v>
      </c>
      <c r="O955" s="881">
        <v>96539.556884320205</v>
      </c>
      <c r="P955" s="60">
        <v>2.5085257822869099E-2</v>
      </c>
      <c r="Q955" s="880">
        <v>3.0851633802886003</v>
      </c>
      <c r="R955" s="60">
        <v>0.57809617808115099</v>
      </c>
      <c r="S955" s="60">
        <v>0.48167905364306302</v>
      </c>
      <c r="T955" s="60">
        <v>0.615736723713878</v>
      </c>
      <c r="U955" s="60">
        <v>0.74582288770228111</v>
      </c>
    </row>
    <row r="956" spans="1:21" x14ac:dyDescent="0.25">
      <c r="A956" s="519" t="s">
        <v>1100</v>
      </c>
      <c r="B956" s="519" t="s">
        <v>1103</v>
      </c>
      <c r="C956" s="519" t="s">
        <v>284</v>
      </c>
      <c r="D956" s="519" t="s">
        <v>110</v>
      </c>
      <c r="E956" s="519" t="s">
        <v>290</v>
      </c>
      <c r="F956" s="519" t="s">
        <v>16</v>
      </c>
      <c r="G956" s="519" t="s">
        <v>58</v>
      </c>
      <c r="H956" s="519" t="s">
        <v>152</v>
      </c>
      <c r="I956" s="881">
        <v>29450.815483599999</v>
      </c>
      <c r="J956" s="881">
        <v>573.56987800000104</v>
      </c>
      <c r="K956" s="60">
        <v>1.9103467767689002E-2</v>
      </c>
      <c r="L956" s="880">
        <v>3.0742471581411799</v>
      </c>
      <c r="M956" s="373">
        <v>0</v>
      </c>
      <c r="N956" s="60">
        <v>0.48351645034650004</v>
      </c>
      <c r="O956" s="881">
        <v>96539.556884320205</v>
      </c>
      <c r="P956" s="60">
        <v>2.5085257822869099E-2</v>
      </c>
      <c r="Q956" s="880">
        <v>3.0851633802886003</v>
      </c>
      <c r="R956" s="60">
        <v>0.57809617808115099</v>
      </c>
      <c r="S956" s="60">
        <v>0.48167905364306302</v>
      </c>
      <c r="T956" s="60">
        <v>0.31597333541272504</v>
      </c>
      <c r="U956" s="60">
        <v>0.20151953894447902</v>
      </c>
    </row>
    <row r="957" spans="1:21" x14ac:dyDescent="0.25">
      <c r="A957" s="519" t="s">
        <v>1104</v>
      </c>
      <c r="B957" s="519" t="s">
        <v>1105</v>
      </c>
      <c r="C957" s="519" t="s">
        <v>284</v>
      </c>
      <c r="D957" s="519" t="s">
        <v>110</v>
      </c>
      <c r="E957" s="519" t="s">
        <v>290</v>
      </c>
      <c r="F957" s="519" t="s">
        <v>16</v>
      </c>
      <c r="G957" s="519" t="s">
        <v>59</v>
      </c>
      <c r="H957" s="519" t="s">
        <v>154</v>
      </c>
      <c r="I957" s="881">
        <v>61311.149694600404</v>
      </c>
      <c r="J957" s="881">
        <v>1241.9212561700001</v>
      </c>
      <c r="K957" s="60">
        <v>1.9853881468863698E-2</v>
      </c>
      <c r="L957" s="880">
        <v>2.9821512121058702</v>
      </c>
      <c r="M957" s="373">
        <v>0</v>
      </c>
      <c r="N957" s="60">
        <v>0.44375850162953606</v>
      </c>
      <c r="O957" s="881">
        <v>183992.68403648102</v>
      </c>
      <c r="P957" s="60">
        <v>2.4545841551946099E-2</v>
      </c>
      <c r="Q957" s="880">
        <v>2.9922229865710301</v>
      </c>
      <c r="R957" s="60">
        <v>0.57809617808115099</v>
      </c>
      <c r="S957" s="60">
        <v>0.47477421344481302</v>
      </c>
      <c r="T957" s="60">
        <v>0.36124822197617601</v>
      </c>
      <c r="U957" s="60">
        <v>0.29451007671859403</v>
      </c>
    </row>
    <row r="958" spans="1:21" x14ac:dyDescent="0.25">
      <c r="A958" s="519" t="s">
        <v>1107</v>
      </c>
      <c r="B958" s="519" t="s">
        <v>1776</v>
      </c>
      <c r="C958" s="519" t="s">
        <v>284</v>
      </c>
      <c r="D958" s="519" t="s">
        <v>110</v>
      </c>
      <c r="E958" s="519" t="s">
        <v>290</v>
      </c>
      <c r="F958" s="519" t="s">
        <v>17</v>
      </c>
      <c r="G958" s="519" t="s">
        <v>56</v>
      </c>
      <c r="H958" s="519" t="s">
        <v>145</v>
      </c>
      <c r="I958" s="881">
        <v>1659.3597</v>
      </c>
      <c r="J958" s="881">
        <v>528.72139383000001</v>
      </c>
      <c r="K958" s="60">
        <v>0.24163701945092503</v>
      </c>
      <c r="L958" s="880">
        <v>3.0064394255912301</v>
      </c>
      <c r="M958" s="373">
        <v>0</v>
      </c>
      <c r="N958" s="60">
        <v>0.50424702974285807</v>
      </c>
      <c r="O958" s="881">
        <v>17286.518480000002</v>
      </c>
      <c r="P958" s="60">
        <v>0.12880248642573602</v>
      </c>
      <c r="Q958" s="880">
        <v>3.13101822849656</v>
      </c>
      <c r="R958" s="60">
        <v>0.57809617808115099</v>
      </c>
      <c r="S958" s="60">
        <v>0.509947409607028</v>
      </c>
      <c r="T958" s="60">
        <v>7.6764152946964093E-2</v>
      </c>
      <c r="U958" s="60">
        <v>0.24049795395174703</v>
      </c>
    </row>
    <row r="959" spans="1:21" x14ac:dyDescent="0.25">
      <c r="A959" s="519" t="s">
        <v>2016</v>
      </c>
      <c r="B959" s="519" t="s">
        <v>2017</v>
      </c>
      <c r="C959" s="519" t="s">
        <v>284</v>
      </c>
      <c r="D959" s="519" t="s">
        <v>110</v>
      </c>
      <c r="E959" s="519" t="s">
        <v>290</v>
      </c>
      <c r="F959" s="519" t="s">
        <v>17</v>
      </c>
      <c r="G959" s="519" t="s">
        <v>57</v>
      </c>
      <c r="H959" s="519" t="s">
        <v>149</v>
      </c>
      <c r="I959" s="881">
        <v>951.42882000000009</v>
      </c>
      <c r="J959" s="881">
        <v>194.82474141</v>
      </c>
      <c r="K959" s="60">
        <v>0.16996653093958303</v>
      </c>
      <c r="L959" s="880">
        <v>2.6786135618583402</v>
      </c>
      <c r="M959" s="373">
        <v>0</v>
      </c>
      <c r="N959" s="60">
        <v>0.80873541333339005</v>
      </c>
      <c r="O959" s="881">
        <v>951.42882000000009</v>
      </c>
      <c r="P959" s="60">
        <v>0.16996653093958303</v>
      </c>
      <c r="Q959" s="880">
        <v>2.6786135618583402</v>
      </c>
      <c r="R959" s="60">
        <v>0.57809617808115099</v>
      </c>
      <c r="S959" s="60">
        <v>0.80873541333339005</v>
      </c>
      <c r="T959" s="60">
        <v>0.24168364218758401</v>
      </c>
      <c r="U959" s="60">
        <v>0.30998656056804003</v>
      </c>
    </row>
    <row r="960" spans="1:21" x14ac:dyDescent="0.25">
      <c r="A960" s="519" t="s">
        <v>1108</v>
      </c>
      <c r="B960" s="519" t="s">
        <v>1110</v>
      </c>
      <c r="C960" s="519" t="s">
        <v>284</v>
      </c>
      <c r="D960" s="519" t="s">
        <v>110</v>
      </c>
      <c r="E960" s="519" t="s">
        <v>288</v>
      </c>
      <c r="F960" s="519" t="s">
        <v>70</v>
      </c>
      <c r="G960" s="519" t="s">
        <v>56</v>
      </c>
      <c r="H960" s="519" t="s">
        <v>145</v>
      </c>
      <c r="I960" s="881">
        <v>20698.900250909999</v>
      </c>
      <c r="J960" s="881">
        <v>985.72720892000007</v>
      </c>
      <c r="K960" s="60">
        <v>4.5457419581960701E-2</v>
      </c>
      <c r="L960" s="880">
        <v>3.02997978463506</v>
      </c>
      <c r="M960" s="373">
        <v>0</v>
      </c>
      <c r="N960" s="60">
        <v>4.77797481031157E-2</v>
      </c>
      <c r="O960" s="881">
        <v>50594.304533199997</v>
      </c>
      <c r="P960" s="60">
        <v>6.2060772482615802E-2</v>
      </c>
      <c r="Q960" s="880">
        <v>3.0173099683211499</v>
      </c>
      <c r="R960" s="60">
        <v>0.58523220049471403</v>
      </c>
      <c r="S960" s="60">
        <v>5.98342867192393E-2</v>
      </c>
      <c r="T960" s="60">
        <v>0.36648777365939605</v>
      </c>
      <c r="U960" s="60">
        <v>0.32847739445194601</v>
      </c>
    </row>
    <row r="961" spans="1:21" x14ac:dyDescent="0.25">
      <c r="A961" s="519" t="s">
        <v>1112</v>
      </c>
      <c r="B961" s="519" t="s">
        <v>1113</v>
      </c>
      <c r="C961" s="519" t="s">
        <v>284</v>
      </c>
      <c r="D961" s="519" t="s">
        <v>110</v>
      </c>
      <c r="E961" s="519" t="s">
        <v>288</v>
      </c>
      <c r="F961" s="519" t="s">
        <v>70</v>
      </c>
      <c r="G961" s="519" t="s">
        <v>57</v>
      </c>
      <c r="H961" s="519" t="s">
        <v>147</v>
      </c>
      <c r="I961" s="881">
        <v>31061.527404389999</v>
      </c>
      <c r="J961" s="881">
        <v>464.05762886000099</v>
      </c>
      <c r="K961" s="60">
        <v>1.47200322649226E-2</v>
      </c>
      <c r="L961" s="880">
        <v>2.9266900673793801</v>
      </c>
      <c r="M961" s="373">
        <v>0</v>
      </c>
      <c r="N961" s="60">
        <v>1.8325840599826698E-2</v>
      </c>
      <c r="O961" s="881">
        <v>80026.957393710007</v>
      </c>
      <c r="P961" s="60">
        <v>4.004729108966E-2</v>
      </c>
      <c r="Q961" s="880">
        <v>2.99495693031264</v>
      </c>
      <c r="R961" s="60">
        <v>0.58523220049471403</v>
      </c>
      <c r="S961" s="60">
        <v>2.2805464551416799E-2</v>
      </c>
      <c r="T961" s="60">
        <v>0.35213439472102304</v>
      </c>
      <c r="U961" s="60">
        <v>0.13472099449445402</v>
      </c>
    </row>
    <row r="962" spans="1:21" x14ac:dyDescent="0.25">
      <c r="A962" s="519" t="s">
        <v>1112</v>
      </c>
      <c r="B962" s="519" t="s">
        <v>1115</v>
      </c>
      <c r="C962" s="519" t="s">
        <v>284</v>
      </c>
      <c r="D962" s="519" t="s">
        <v>110</v>
      </c>
      <c r="E962" s="519" t="s">
        <v>288</v>
      </c>
      <c r="F962" s="519" t="s">
        <v>70</v>
      </c>
      <c r="G962" s="519" t="s">
        <v>57</v>
      </c>
      <c r="H962" s="519" t="s">
        <v>149</v>
      </c>
      <c r="I962" s="881">
        <v>32901.242711910003</v>
      </c>
      <c r="J962" s="881">
        <v>2157.3200139</v>
      </c>
      <c r="K962" s="60">
        <v>6.1534753457299897E-2</v>
      </c>
      <c r="L962" s="880">
        <v>3.0471511887943898</v>
      </c>
      <c r="M962" s="373">
        <v>0</v>
      </c>
      <c r="N962" s="60">
        <v>2.7016175278942799E-2</v>
      </c>
      <c r="O962" s="881">
        <v>80026.957393710007</v>
      </c>
      <c r="P962" s="60">
        <v>4.004729108966E-2</v>
      </c>
      <c r="Q962" s="880">
        <v>2.99495693031264</v>
      </c>
      <c r="R962" s="60">
        <v>0.58523220049471403</v>
      </c>
      <c r="S962" s="60">
        <v>2.2805464551416799E-2</v>
      </c>
      <c r="T962" s="60">
        <v>0.40488922022383805</v>
      </c>
      <c r="U962" s="60">
        <v>0.49786857108995702</v>
      </c>
    </row>
    <row r="963" spans="1:21" x14ac:dyDescent="0.25">
      <c r="A963" s="519" t="s">
        <v>1116</v>
      </c>
      <c r="B963" s="519" t="s">
        <v>1118</v>
      </c>
      <c r="C963" s="519" t="s">
        <v>284</v>
      </c>
      <c r="D963" s="519" t="s">
        <v>110</v>
      </c>
      <c r="E963" s="519" t="s">
        <v>288</v>
      </c>
      <c r="F963" s="519" t="s">
        <v>70</v>
      </c>
      <c r="G963" s="519" t="s">
        <v>58</v>
      </c>
      <c r="H963" s="519" t="s">
        <v>151</v>
      </c>
      <c r="I963" s="881">
        <v>14909.04116217</v>
      </c>
      <c r="J963" s="881">
        <v>825.98572561000094</v>
      </c>
      <c r="K963" s="60">
        <v>5.2493442273776399E-2</v>
      </c>
      <c r="L963" s="880">
        <v>2.9617943028806</v>
      </c>
      <c r="M963" s="373">
        <v>0</v>
      </c>
      <c r="N963" s="60">
        <v>2.3088298989570901E-2</v>
      </c>
      <c r="O963" s="881">
        <v>61847.25591824</v>
      </c>
      <c r="P963" s="60">
        <v>6.0058701528520601E-2</v>
      </c>
      <c r="Q963" s="880">
        <v>2.9799792130610299</v>
      </c>
      <c r="R963" s="60">
        <v>0.58523220049471403</v>
      </c>
      <c r="S963" s="60">
        <v>6.86750236035511E-2</v>
      </c>
      <c r="T963" s="60">
        <v>0.22946099604596101</v>
      </c>
      <c r="U963" s="60">
        <v>0.23171290916337603</v>
      </c>
    </row>
    <row r="964" spans="1:21" x14ac:dyDescent="0.25">
      <c r="A964" s="519" t="s">
        <v>1120</v>
      </c>
      <c r="B964" s="519" t="s">
        <v>1121</v>
      </c>
      <c r="C964" s="519" t="s">
        <v>284</v>
      </c>
      <c r="D964" s="519" t="s">
        <v>110</v>
      </c>
      <c r="E964" s="519" t="s">
        <v>288</v>
      </c>
      <c r="F964" s="519" t="s">
        <v>70</v>
      </c>
      <c r="G964" s="519" t="s">
        <v>59</v>
      </c>
      <c r="H964" s="519" t="s">
        <v>153</v>
      </c>
      <c r="I964" s="881">
        <v>26183.607513790001</v>
      </c>
      <c r="J964" s="881">
        <v>2140.9400234200002</v>
      </c>
      <c r="K964" s="60">
        <v>7.5586027300434011E-2</v>
      </c>
      <c r="L964" s="880">
        <v>3.1293103153074102</v>
      </c>
      <c r="M964" s="373">
        <v>0</v>
      </c>
      <c r="N964" s="60">
        <v>0.19919916906992402</v>
      </c>
      <c r="O964" s="881">
        <v>101480.92617464</v>
      </c>
      <c r="P964" s="60">
        <v>6.297181251842901E-2</v>
      </c>
      <c r="Q964" s="880">
        <v>3.0301291564674799</v>
      </c>
      <c r="R964" s="60">
        <v>0.58523220049471403</v>
      </c>
      <c r="S964" s="60">
        <v>0.16148139631834701</v>
      </c>
      <c r="T964" s="60">
        <v>0.25565375020041503</v>
      </c>
      <c r="U964" s="60">
        <v>0.22885694355861902</v>
      </c>
    </row>
    <row r="965" spans="1:21" x14ac:dyDescent="0.25">
      <c r="A965" s="519" t="s">
        <v>1120</v>
      </c>
      <c r="B965" s="519" t="s">
        <v>1123</v>
      </c>
      <c r="C965" s="519" t="s">
        <v>284</v>
      </c>
      <c r="D965" s="519" t="s">
        <v>110</v>
      </c>
      <c r="E965" s="519" t="s">
        <v>288</v>
      </c>
      <c r="F965" s="519" t="s">
        <v>70</v>
      </c>
      <c r="G965" s="519" t="s">
        <v>59</v>
      </c>
      <c r="H965" s="519" t="s">
        <v>155</v>
      </c>
      <c r="I965" s="881">
        <v>38338.155383630103</v>
      </c>
      <c r="J965" s="881">
        <v>2044.0474814500001</v>
      </c>
      <c r="K965" s="60">
        <v>5.0617532883961598E-2</v>
      </c>
      <c r="L965" s="880">
        <v>3.00424956970891</v>
      </c>
      <c r="M965" s="373">
        <v>0</v>
      </c>
      <c r="N965" s="60">
        <v>0.11660561362398901</v>
      </c>
      <c r="O965" s="881">
        <v>101480.92617464</v>
      </c>
      <c r="P965" s="60">
        <v>6.297181251842901E-2</v>
      </c>
      <c r="Q965" s="880">
        <v>3.0301291564674799</v>
      </c>
      <c r="R965" s="60">
        <v>0.58523220049471403</v>
      </c>
      <c r="S965" s="60">
        <v>0.16148139631834701</v>
      </c>
      <c r="T965" s="60">
        <v>0.39466024678744305</v>
      </c>
      <c r="U965" s="60">
        <v>0.38631315301424002</v>
      </c>
    </row>
    <row r="966" spans="1:21" x14ac:dyDescent="0.25">
      <c r="A966" s="519" t="s">
        <v>1124</v>
      </c>
      <c r="B966" s="519" t="s">
        <v>1126</v>
      </c>
      <c r="C966" s="519" t="s">
        <v>284</v>
      </c>
      <c r="D966" s="519" t="s">
        <v>110</v>
      </c>
      <c r="E966" s="519" t="s">
        <v>288</v>
      </c>
      <c r="F966" s="519" t="s">
        <v>16</v>
      </c>
      <c r="G966" s="519" t="s">
        <v>56</v>
      </c>
      <c r="H966" s="519" t="s">
        <v>145</v>
      </c>
      <c r="I966" s="881">
        <v>30723.822034060002</v>
      </c>
      <c r="J966" s="881">
        <v>1152.09522087</v>
      </c>
      <c r="K966" s="60">
        <v>3.6143123714873396E-2</v>
      </c>
      <c r="L966" s="880">
        <v>3.1357154219827899</v>
      </c>
      <c r="M966" s="373">
        <v>0</v>
      </c>
      <c r="N966" s="60">
        <v>0.24746683415433401</v>
      </c>
      <c r="O966" s="881">
        <v>85412.66354152</v>
      </c>
      <c r="P966" s="60">
        <v>4.43397421505346E-2</v>
      </c>
      <c r="Q966" s="880">
        <v>3.07710115312649</v>
      </c>
      <c r="R966" s="60">
        <v>0.58523220049471403</v>
      </c>
      <c r="S966" s="60">
        <v>0.21367232899367802</v>
      </c>
      <c r="T966" s="60">
        <v>0.36648777365939605</v>
      </c>
      <c r="U966" s="60">
        <v>0.32847739445194601</v>
      </c>
    </row>
    <row r="967" spans="1:21" x14ac:dyDescent="0.25">
      <c r="A967" s="519" t="s">
        <v>1128</v>
      </c>
      <c r="B967" s="519" t="s">
        <v>1129</v>
      </c>
      <c r="C967" s="519" t="s">
        <v>284</v>
      </c>
      <c r="D967" s="519" t="s">
        <v>110</v>
      </c>
      <c r="E967" s="519" t="s">
        <v>288</v>
      </c>
      <c r="F967" s="519" t="s">
        <v>16</v>
      </c>
      <c r="G967" s="519" t="s">
        <v>57</v>
      </c>
      <c r="H967" s="519" t="s">
        <v>147</v>
      </c>
      <c r="I967" s="881">
        <v>29233.14839192</v>
      </c>
      <c r="J967" s="881">
        <v>931.78285755000195</v>
      </c>
      <c r="K967" s="60">
        <v>3.0889606538267004E-2</v>
      </c>
      <c r="L967" s="880">
        <v>2.9133143780344199</v>
      </c>
      <c r="M967" s="373">
        <v>0</v>
      </c>
      <c r="N967" s="60">
        <v>0.40948426147997902</v>
      </c>
      <c r="O967" s="881">
        <v>91199.360455980001</v>
      </c>
      <c r="P967" s="60">
        <v>7.1495443669750094E-2</v>
      </c>
      <c r="Q967" s="880">
        <v>3.0311081011144898</v>
      </c>
      <c r="R967" s="60">
        <v>0.58523220049471403</v>
      </c>
      <c r="S967" s="60">
        <v>0.34443241604223601</v>
      </c>
      <c r="T967" s="60">
        <v>0.35213439472102304</v>
      </c>
      <c r="U967" s="60">
        <v>0.13472099449445402</v>
      </c>
    </row>
    <row r="968" spans="1:21" x14ac:dyDescent="0.25">
      <c r="A968" s="519" t="s">
        <v>1128</v>
      </c>
      <c r="B968" s="519" t="s">
        <v>1131</v>
      </c>
      <c r="C968" s="519" t="s">
        <v>284</v>
      </c>
      <c r="D968" s="519" t="s">
        <v>110</v>
      </c>
      <c r="E968" s="519" t="s">
        <v>288</v>
      </c>
      <c r="F968" s="519" t="s">
        <v>16</v>
      </c>
      <c r="G968" s="519" t="s">
        <v>57</v>
      </c>
      <c r="H968" s="519" t="s">
        <v>149</v>
      </c>
      <c r="I968" s="881">
        <v>36426.447604050001</v>
      </c>
      <c r="J968" s="881">
        <v>3001.0824388599999</v>
      </c>
      <c r="K968" s="60">
        <v>7.6116420064707299E-2</v>
      </c>
      <c r="L968" s="880">
        <v>3.0932923525001099</v>
      </c>
      <c r="M968" s="373">
        <v>0</v>
      </c>
      <c r="N968" s="60">
        <v>0.28690043842836999</v>
      </c>
      <c r="O968" s="881">
        <v>91199.360455980001</v>
      </c>
      <c r="P968" s="60">
        <v>7.1495443669750094E-2</v>
      </c>
      <c r="Q968" s="880">
        <v>3.0311081011144898</v>
      </c>
      <c r="R968" s="60">
        <v>0.58523220049471403</v>
      </c>
      <c r="S968" s="60">
        <v>0.34443241604223601</v>
      </c>
      <c r="T968" s="60">
        <v>0.40488922022383805</v>
      </c>
      <c r="U968" s="60">
        <v>0.49786857108995702</v>
      </c>
    </row>
    <row r="969" spans="1:21" x14ac:dyDescent="0.25">
      <c r="A969" s="519" t="s">
        <v>1132</v>
      </c>
      <c r="B969" s="519" t="s">
        <v>1134</v>
      </c>
      <c r="C969" s="519" t="s">
        <v>284</v>
      </c>
      <c r="D969" s="519" t="s">
        <v>110</v>
      </c>
      <c r="E969" s="519" t="s">
        <v>288</v>
      </c>
      <c r="F969" s="519" t="s">
        <v>16</v>
      </c>
      <c r="G969" s="519" t="s">
        <v>58</v>
      </c>
      <c r="H969" s="519" t="s">
        <v>151</v>
      </c>
      <c r="I969" s="881">
        <v>25146.844985669999</v>
      </c>
      <c r="J969" s="881">
        <v>1233.76391463</v>
      </c>
      <c r="K969" s="60">
        <v>4.676783311912E-2</v>
      </c>
      <c r="L969" s="880">
        <v>3.0453959826558599</v>
      </c>
      <c r="M969" s="373">
        <v>0</v>
      </c>
      <c r="N969" s="60">
        <v>0.33318894201776</v>
      </c>
      <c r="O969" s="881">
        <v>112717.8633747</v>
      </c>
      <c r="P969" s="60">
        <v>4.1965177359405796E-2</v>
      </c>
      <c r="Q969" s="880">
        <v>3.03714845051016</v>
      </c>
      <c r="R969" s="60">
        <v>0.58523220049471403</v>
      </c>
      <c r="S969" s="60">
        <v>0.34526885693368503</v>
      </c>
      <c r="T969" s="60">
        <v>0.22946099604596101</v>
      </c>
      <c r="U969" s="60">
        <v>0.23171290916337603</v>
      </c>
    </row>
    <row r="970" spans="1:21" x14ac:dyDescent="0.25">
      <c r="A970" s="519" t="s">
        <v>1136</v>
      </c>
      <c r="B970" s="519" t="s">
        <v>313</v>
      </c>
      <c r="C970" s="519" t="s">
        <v>284</v>
      </c>
      <c r="D970" s="519" t="s">
        <v>110</v>
      </c>
      <c r="E970" s="519" t="s">
        <v>288</v>
      </c>
      <c r="F970" s="519" t="s">
        <v>16</v>
      </c>
      <c r="G970" s="519" t="s">
        <v>59</v>
      </c>
      <c r="H970" s="519" t="s">
        <v>153</v>
      </c>
      <c r="I970" s="881">
        <v>44490.101664700102</v>
      </c>
      <c r="J970" s="881">
        <v>675.73320887000398</v>
      </c>
      <c r="K970" s="60">
        <v>1.49611583791497E-2</v>
      </c>
      <c r="L970" s="880">
        <v>2.9722260076160101</v>
      </c>
      <c r="M970" s="373">
        <v>0</v>
      </c>
      <c r="N970" s="60">
        <v>0.54361826807129099</v>
      </c>
      <c r="O970" s="881">
        <v>174962.15014670001</v>
      </c>
      <c r="P970" s="60">
        <v>3.0411071096018399E-2</v>
      </c>
      <c r="Q970" s="880">
        <v>2.98884501841043</v>
      </c>
      <c r="R970" s="60">
        <v>0.58523220049471403</v>
      </c>
      <c r="S970" s="60">
        <v>0.48830822303746801</v>
      </c>
      <c r="T970" s="60">
        <v>0.25565375020041503</v>
      </c>
      <c r="U970" s="60">
        <v>0.22885694355861902</v>
      </c>
    </row>
    <row r="971" spans="1:21" x14ac:dyDescent="0.25">
      <c r="A971" s="519" t="s">
        <v>1136</v>
      </c>
      <c r="B971" s="519" t="s">
        <v>1138</v>
      </c>
      <c r="C971" s="519" t="s">
        <v>284</v>
      </c>
      <c r="D971" s="519" t="s">
        <v>110</v>
      </c>
      <c r="E971" s="519" t="s">
        <v>288</v>
      </c>
      <c r="F971" s="519" t="s">
        <v>16</v>
      </c>
      <c r="G971" s="519" t="s">
        <v>59</v>
      </c>
      <c r="H971" s="519" t="s">
        <v>155</v>
      </c>
      <c r="I971" s="881">
        <v>70762.937340030097</v>
      </c>
      <c r="J971" s="881">
        <v>2710.5293317199898</v>
      </c>
      <c r="K971" s="60">
        <v>3.6891267752882199E-2</v>
      </c>
      <c r="L971" s="880">
        <v>3.0133404571310201</v>
      </c>
      <c r="M971" s="373">
        <v>0</v>
      </c>
      <c r="N971" s="60">
        <v>0.44611567837662203</v>
      </c>
      <c r="O971" s="881">
        <v>174962.15014670001</v>
      </c>
      <c r="P971" s="60">
        <v>3.0411071096018399E-2</v>
      </c>
      <c r="Q971" s="880">
        <v>2.98884501841043</v>
      </c>
      <c r="R971" s="60">
        <v>0.58523220049471403</v>
      </c>
      <c r="S971" s="60">
        <v>0.48830822303746801</v>
      </c>
      <c r="T971" s="60">
        <v>0.39466024678744305</v>
      </c>
      <c r="U971" s="60">
        <v>0.38631315301424002</v>
      </c>
    </row>
    <row r="972" spans="1:21" x14ac:dyDescent="0.25">
      <c r="A972" s="519" t="s">
        <v>1139</v>
      </c>
      <c r="B972" s="519" t="s">
        <v>1757</v>
      </c>
      <c r="C972" s="519" t="s">
        <v>284</v>
      </c>
      <c r="D972" s="519" t="s">
        <v>110</v>
      </c>
      <c r="E972" s="519" t="s">
        <v>288</v>
      </c>
      <c r="F972" s="519" t="s">
        <v>17</v>
      </c>
      <c r="G972" s="519" t="s">
        <v>56</v>
      </c>
      <c r="H972" s="519" t="s">
        <v>145</v>
      </c>
      <c r="I972" s="881">
        <v>48854.594454810103</v>
      </c>
      <c r="J972" s="881">
        <v>1001.8156044500099</v>
      </c>
      <c r="K972" s="60">
        <v>2.00940180662674E-2</v>
      </c>
      <c r="L972" s="880">
        <v>3.0414091542039499</v>
      </c>
      <c r="M972" s="373">
        <v>0</v>
      </c>
      <c r="N972" s="60">
        <v>0.51752250768567309</v>
      </c>
      <c r="O972" s="881">
        <v>137610.11807935999</v>
      </c>
      <c r="P972" s="60">
        <v>1.6070514839452099E-2</v>
      </c>
      <c r="Q972" s="880">
        <v>3.0242742359279902</v>
      </c>
      <c r="R972" s="60">
        <v>0.58523220049471403</v>
      </c>
      <c r="S972" s="60">
        <v>0.50178954776724805</v>
      </c>
      <c r="T972" s="60">
        <v>0.36648777365939605</v>
      </c>
      <c r="U972" s="60">
        <v>0.32847739445194601</v>
      </c>
    </row>
    <row r="973" spans="1:21" x14ac:dyDescent="0.25">
      <c r="A973" s="519" t="s">
        <v>2018</v>
      </c>
      <c r="B973" s="519" t="s">
        <v>2019</v>
      </c>
      <c r="C973" s="519" t="s">
        <v>284</v>
      </c>
      <c r="D973" s="519" t="s">
        <v>110</v>
      </c>
      <c r="E973" s="519" t="s">
        <v>288</v>
      </c>
      <c r="F973" s="519" t="s">
        <v>17</v>
      </c>
      <c r="G973" s="519" t="s">
        <v>57</v>
      </c>
      <c r="H973" s="519" t="s">
        <v>149</v>
      </c>
      <c r="I973" s="881">
        <v>56196.664378360103</v>
      </c>
      <c r="J973" s="881">
        <v>4382.4435513300004</v>
      </c>
      <c r="K973" s="60">
        <v>7.2342490688644692E-2</v>
      </c>
      <c r="L973" s="880">
        <v>3.0895132393706102</v>
      </c>
      <c r="M973" s="373">
        <v>0</v>
      </c>
      <c r="N973" s="60">
        <v>0.51790326919381002</v>
      </c>
      <c r="O973" s="881">
        <v>56196.664378360103</v>
      </c>
      <c r="P973" s="60">
        <v>7.2342490688644498E-2</v>
      </c>
      <c r="Q973" s="880">
        <v>3.0895132393706102</v>
      </c>
      <c r="R973" s="60">
        <v>0.58523220049471403</v>
      </c>
      <c r="S973" s="60">
        <v>0.51790326919381002</v>
      </c>
      <c r="T973" s="60">
        <v>0.40488922022383805</v>
      </c>
      <c r="U973" s="60">
        <v>0.49786857108995702</v>
      </c>
    </row>
    <row r="974" spans="1:21" x14ac:dyDescent="0.25">
      <c r="A974" s="519" t="s">
        <v>1140</v>
      </c>
      <c r="B974" s="519" t="s">
        <v>1141</v>
      </c>
      <c r="C974" s="519" t="s">
        <v>284</v>
      </c>
      <c r="D974" s="519" t="s">
        <v>110</v>
      </c>
      <c r="E974" s="519" t="s">
        <v>281</v>
      </c>
      <c r="F974" s="519" t="s">
        <v>70</v>
      </c>
      <c r="G974" s="519" t="s">
        <v>56</v>
      </c>
      <c r="H974" s="519" t="s">
        <v>144</v>
      </c>
      <c r="I974" s="881">
        <v>4621.20295317</v>
      </c>
      <c r="J974" s="881">
        <v>342.50888588999999</v>
      </c>
      <c r="K974" s="60">
        <v>6.9002572469005902E-2</v>
      </c>
      <c r="L974" s="880">
        <v>3.0603839203241701</v>
      </c>
      <c r="M974" s="373">
        <v>0</v>
      </c>
      <c r="N974" s="60">
        <v>0</v>
      </c>
      <c r="O974" s="881">
        <v>21557.013333170002</v>
      </c>
      <c r="P974" s="60">
        <v>3.90281383674944E-2</v>
      </c>
      <c r="Q974" s="880">
        <v>3.0993393404141201</v>
      </c>
      <c r="R974" s="60">
        <v>0.55297390745089603</v>
      </c>
      <c r="S974" s="60">
        <v>0</v>
      </c>
      <c r="T974" s="60">
        <v>0.25619170808604402</v>
      </c>
      <c r="U974" s="60">
        <v>0.33076594344825305</v>
      </c>
    </row>
    <row r="975" spans="1:21" x14ac:dyDescent="0.25">
      <c r="A975" s="519" t="s">
        <v>1140</v>
      </c>
      <c r="B975" s="519" t="s">
        <v>1143</v>
      </c>
      <c r="C975" s="519" t="s">
        <v>284</v>
      </c>
      <c r="D975" s="519" t="s">
        <v>110</v>
      </c>
      <c r="E975" s="519" t="s">
        <v>281</v>
      </c>
      <c r="F975" s="519" t="s">
        <v>70</v>
      </c>
      <c r="G975" s="519" t="s">
        <v>56</v>
      </c>
      <c r="H975" s="519" t="s">
        <v>146</v>
      </c>
      <c r="I975" s="881">
        <v>9508.2171000000089</v>
      </c>
      <c r="J975" s="881">
        <v>198.65182050999999</v>
      </c>
      <c r="K975" s="60">
        <v>2.04650770641665E-2</v>
      </c>
      <c r="L975" s="880">
        <v>3.1643280283972102</v>
      </c>
      <c r="M975" s="373">
        <v>0</v>
      </c>
      <c r="N975" s="60">
        <v>0</v>
      </c>
      <c r="O975" s="881">
        <v>21557.013333170002</v>
      </c>
      <c r="P975" s="60">
        <v>3.90281383674944E-2</v>
      </c>
      <c r="Q975" s="880">
        <v>3.0993393404141201</v>
      </c>
      <c r="R975" s="60">
        <v>0.55297390745089603</v>
      </c>
      <c r="S975" s="60">
        <v>0</v>
      </c>
      <c r="T975" s="60">
        <v>0.40275590166760206</v>
      </c>
      <c r="U975" s="60">
        <v>0.25267147848510102</v>
      </c>
    </row>
    <row r="976" spans="1:21" x14ac:dyDescent="0.25">
      <c r="A976" s="519" t="s">
        <v>1144</v>
      </c>
      <c r="B976" s="519" t="s">
        <v>1146</v>
      </c>
      <c r="C976" s="519" t="s">
        <v>284</v>
      </c>
      <c r="D976" s="519" t="s">
        <v>110</v>
      </c>
      <c r="E976" s="519" t="s">
        <v>281</v>
      </c>
      <c r="F976" s="519" t="s">
        <v>70</v>
      </c>
      <c r="G976" s="519" t="s">
        <v>57</v>
      </c>
      <c r="H976" s="519" t="s">
        <v>148</v>
      </c>
      <c r="I976" s="881">
        <v>23368.704331429999</v>
      </c>
      <c r="J976" s="881">
        <v>686.32673794000095</v>
      </c>
      <c r="K976" s="60">
        <v>2.8531525732008699E-2</v>
      </c>
      <c r="L976" s="880">
        <v>2.9222924024924901</v>
      </c>
      <c r="M976" s="373">
        <v>0</v>
      </c>
      <c r="N976" s="60">
        <v>0</v>
      </c>
      <c r="O976" s="881">
        <v>51572.568725599995</v>
      </c>
      <c r="P976" s="60">
        <v>3.11836110021694E-2</v>
      </c>
      <c r="Q976" s="880">
        <v>3.01535496460435</v>
      </c>
      <c r="R976" s="60">
        <v>0.55297390745089603</v>
      </c>
      <c r="S976" s="60">
        <v>0</v>
      </c>
      <c r="T976" s="60">
        <v>0.42038740365751404</v>
      </c>
      <c r="U976" s="60">
        <v>0.48224176449471301</v>
      </c>
    </row>
    <row r="977" spans="1:21" x14ac:dyDescent="0.25">
      <c r="A977" s="519" t="s">
        <v>1148</v>
      </c>
      <c r="B977" s="519" t="s">
        <v>1150</v>
      </c>
      <c r="C977" s="519" t="s">
        <v>284</v>
      </c>
      <c r="D977" s="519" t="s">
        <v>110</v>
      </c>
      <c r="E977" s="519" t="s">
        <v>281</v>
      </c>
      <c r="F977" s="519" t="s">
        <v>70</v>
      </c>
      <c r="G977" s="519" t="s">
        <v>58</v>
      </c>
      <c r="H977" s="519" t="s">
        <v>151</v>
      </c>
      <c r="I977" s="881">
        <v>12032.29021008</v>
      </c>
      <c r="J977" s="881">
        <v>307.54458098000003</v>
      </c>
      <c r="K977" s="60">
        <v>2.4922909114051598E-2</v>
      </c>
      <c r="L977" s="880">
        <v>2.9642118183180202</v>
      </c>
      <c r="M977" s="373">
        <v>0</v>
      </c>
      <c r="N977" s="60">
        <v>0</v>
      </c>
      <c r="O977" s="881">
        <v>27884.12246545</v>
      </c>
      <c r="P977" s="60">
        <v>4.4071536135287498E-2</v>
      </c>
      <c r="Q977" s="880">
        <v>3.0124489253832003</v>
      </c>
      <c r="R977" s="60">
        <v>0.55297390745089603</v>
      </c>
      <c r="S977" s="60">
        <v>0</v>
      </c>
      <c r="T977" s="60">
        <v>0.39071418584223905</v>
      </c>
      <c r="U977" s="60">
        <v>0.31766687390347303</v>
      </c>
    </row>
    <row r="978" spans="1:21" x14ac:dyDescent="0.25">
      <c r="A978" s="519" t="s">
        <v>1152</v>
      </c>
      <c r="B978" s="519" t="s">
        <v>1153</v>
      </c>
      <c r="C978" s="519" t="s">
        <v>284</v>
      </c>
      <c r="D978" s="519" t="s">
        <v>110</v>
      </c>
      <c r="E978" s="519" t="s">
        <v>281</v>
      </c>
      <c r="F978" s="519" t="s">
        <v>70</v>
      </c>
      <c r="G978" s="519" t="s">
        <v>59</v>
      </c>
      <c r="H978" s="519" t="s">
        <v>153</v>
      </c>
      <c r="I978" s="881">
        <v>9450.1742302500006</v>
      </c>
      <c r="J978" s="881">
        <v>670.94059199999992</v>
      </c>
      <c r="K978" s="60">
        <v>6.6291174814559012E-2</v>
      </c>
      <c r="L978" s="880">
        <v>3.1428188739235199</v>
      </c>
      <c r="M978" s="373">
        <v>0</v>
      </c>
      <c r="N978" s="60">
        <v>6.5625359496000901E-2</v>
      </c>
      <c r="O978" s="881">
        <v>19945.199893240002</v>
      </c>
      <c r="P978" s="60">
        <v>6.2889066041167604E-2</v>
      </c>
      <c r="Q978" s="880">
        <v>3.1051127472776301</v>
      </c>
      <c r="R978" s="60">
        <v>0.55297390745089603</v>
      </c>
      <c r="S978" s="60">
        <v>5.5606074055737899E-2</v>
      </c>
      <c r="T978" s="60">
        <v>0.38600812465276502</v>
      </c>
      <c r="U978" s="60">
        <v>0.31537708551580201</v>
      </c>
    </row>
    <row r="979" spans="1:21" x14ac:dyDescent="0.25">
      <c r="A979" s="519" t="s">
        <v>1152</v>
      </c>
      <c r="B979" s="519" t="s">
        <v>1155</v>
      </c>
      <c r="C979" s="519" t="s">
        <v>284</v>
      </c>
      <c r="D979" s="519" t="s">
        <v>110</v>
      </c>
      <c r="E979" s="519" t="s">
        <v>281</v>
      </c>
      <c r="F979" s="519" t="s">
        <v>70</v>
      </c>
      <c r="G979" s="519" t="s">
        <v>59</v>
      </c>
      <c r="H979" s="519" t="s">
        <v>155</v>
      </c>
      <c r="I979" s="881">
        <v>5343.4395004899998</v>
      </c>
      <c r="J979" s="881">
        <v>247.10237384000001</v>
      </c>
      <c r="K979" s="60">
        <v>4.4200075662542797E-2</v>
      </c>
      <c r="L979" s="880">
        <v>3.0315837759296098</v>
      </c>
      <c r="M979" s="373">
        <v>0</v>
      </c>
      <c r="N979" s="60">
        <v>0</v>
      </c>
      <c r="O979" s="881">
        <v>19945.199893240002</v>
      </c>
      <c r="P979" s="60">
        <v>6.2889066041167604E-2</v>
      </c>
      <c r="Q979" s="880">
        <v>3.1051127472776301</v>
      </c>
      <c r="R979" s="60">
        <v>0.55297390745089603</v>
      </c>
      <c r="S979" s="60">
        <v>5.5606074055737899E-2</v>
      </c>
      <c r="T979" s="60">
        <v>0.271778834395282</v>
      </c>
      <c r="U979" s="60">
        <v>0.271383563125072</v>
      </c>
    </row>
    <row r="980" spans="1:21" x14ac:dyDescent="0.25">
      <c r="A980" s="519" t="s">
        <v>1156</v>
      </c>
      <c r="B980" s="519" t="s">
        <v>1158</v>
      </c>
      <c r="C980" s="519" t="s">
        <v>284</v>
      </c>
      <c r="D980" s="519" t="s">
        <v>110</v>
      </c>
      <c r="E980" s="519" t="s">
        <v>281</v>
      </c>
      <c r="F980" s="519" t="s">
        <v>16</v>
      </c>
      <c r="G980" s="519" t="s">
        <v>56</v>
      </c>
      <c r="H980" s="519" t="s">
        <v>145</v>
      </c>
      <c r="I980" s="881">
        <v>11271.05305975</v>
      </c>
      <c r="J980" s="881">
        <v>824.97036088000095</v>
      </c>
      <c r="K980" s="60">
        <v>6.82017827009989E-2</v>
      </c>
      <c r="L980" s="880">
        <v>3.2255126621998</v>
      </c>
      <c r="M980" s="373">
        <v>0</v>
      </c>
      <c r="N980" s="60">
        <v>5.4129790528511003E-2</v>
      </c>
      <c r="O980" s="881">
        <v>39049.481698590003</v>
      </c>
      <c r="P980" s="60">
        <v>3.9104417771974598E-2</v>
      </c>
      <c r="Q980" s="880">
        <v>3.19232428364927</v>
      </c>
      <c r="R980" s="60">
        <v>0.55297390745089603</v>
      </c>
      <c r="S980" s="60">
        <v>3.7484047866705797E-2</v>
      </c>
      <c r="T980" s="60">
        <v>0.34105239024635403</v>
      </c>
      <c r="U980" s="60">
        <v>0.41656257806664604</v>
      </c>
    </row>
    <row r="981" spans="1:21" x14ac:dyDescent="0.25">
      <c r="A981" s="519" t="s">
        <v>1160</v>
      </c>
      <c r="B981" s="519" t="s">
        <v>1161</v>
      </c>
      <c r="C981" s="519" t="s">
        <v>284</v>
      </c>
      <c r="D981" s="519" t="s">
        <v>110</v>
      </c>
      <c r="E981" s="519" t="s">
        <v>281</v>
      </c>
      <c r="F981" s="519" t="s">
        <v>16</v>
      </c>
      <c r="G981" s="519" t="s">
        <v>57</v>
      </c>
      <c r="H981" s="519" t="s">
        <v>147</v>
      </c>
      <c r="I981" s="881">
        <v>4647.0609000000004</v>
      </c>
      <c r="J981" s="881">
        <v>434.65411182000003</v>
      </c>
      <c r="K981" s="60">
        <v>8.5532957044816699E-2</v>
      </c>
      <c r="L981" s="880">
        <v>3.0377015075984901</v>
      </c>
      <c r="M981" s="373">
        <v>0</v>
      </c>
      <c r="N981" s="60">
        <v>5.3119381327668899E-2</v>
      </c>
      <c r="O981" s="881">
        <v>20262.183638869999</v>
      </c>
      <c r="P981" s="60">
        <v>9.9424116932525397E-2</v>
      </c>
      <c r="Q981" s="880">
        <v>3.1338197041150702</v>
      </c>
      <c r="R981" s="60">
        <v>0.55297390745089603</v>
      </c>
      <c r="S981" s="60">
        <v>5.0922535187700201E-2</v>
      </c>
      <c r="T981" s="60">
        <v>0.35101696916020303</v>
      </c>
      <c r="U981" s="60">
        <v>0.21322449740799801</v>
      </c>
    </row>
    <row r="982" spans="1:21" x14ac:dyDescent="0.25">
      <c r="A982" s="519" t="s">
        <v>1160</v>
      </c>
      <c r="B982" s="519" t="s">
        <v>1163</v>
      </c>
      <c r="C982" s="519" t="s">
        <v>284</v>
      </c>
      <c r="D982" s="519" t="s">
        <v>110</v>
      </c>
      <c r="E982" s="519" t="s">
        <v>281</v>
      </c>
      <c r="F982" s="519" t="s">
        <v>16</v>
      </c>
      <c r="G982" s="519" t="s">
        <v>57</v>
      </c>
      <c r="H982" s="519" t="s">
        <v>149</v>
      </c>
      <c r="I982" s="881">
        <v>8785.4020314200006</v>
      </c>
      <c r="J982" s="881">
        <v>609.36242106999998</v>
      </c>
      <c r="K982" s="60">
        <v>6.4861915820411398E-2</v>
      </c>
      <c r="L982" s="880">
        <v>3.17037177390461</v>
      </c>
      <c r="M982" s="373">
        <v>0</v>
      </c>
      <c r="N982" s="60">
        <v>5.4529051520544797E-2</v>
      </c>
      <c r="O982" s="881">
        <v>20262.183638869999</v>
      </c>
      <c r="P982" s="60">
        <v>9.9424116932525397E-2</v>
      </c>
      <c r="Q982" s="880">
        <v>3.1338197041150702</v>
      </c>
      <c r="R982" s="60">
        <v>0.55297390745089603</v>
      </c>
      <c r="S982" s="60">
        <v>5.0922535187700201E-2</v>
      </c>
      <c r="T982" s="60">
        <v>0.22859562718228302</v>
      </c>
      <c r="U982" s="60">
        <v>0.30453373809728901</v>
      </c>
    </row>
    <row r="983" spans="1:21" x14ac:dyDescent="0.25">
      <c r="A983" s="519" t="s">
        <v>1164</v>
      </c>
      <c r="B983" s="519" t="s">
        <v>1165</v>
      </c>
      <c r="C983" s="519" t="s">
        <v>284</v>
      </c>
      <c r="D983" s="519" t="s">
        <v>110</v>
      </c>
      <c r="E983" s="519" t="s">
        <v>281</v>
      </c>
      <c r="F983" s="519" t="s">
        <v>16</v>
      </c>
      <c r="G983" s="519" t="s">
        <v>58</v>
      </c>
      <c r="H983" s="519" t="s">
        <v>150</v>
      </c>
      <c r="I983" s="881">
        <v>8264.4497267799998</v>
      </c>
      <c r="J983" s="881">
        <v>939.95076117000099</v>
      </c>
      <c r="K983" s="60">
        <v>0.10211971571647101</v>
      </c>
      <c r="L983" s="880">
        <v>3.1116053739029499</v>
      </c>
      <c r="M983" s="373">
        <v>0</v>
      </c>
      <c r="N983" s="60">
        <v>1.94086799040274E-2</v>
      </c>
      <c r="O983" s="881">
        <v>26190.61820253</v>
      </c>
      <c r="P983" s="60">
        <v>7.6831442291213498E-2</v>
      </c>
      <c r="Q983" s="880">
        <v>3.0852945004737302</v>
      </c>
      <c r="R983" s="60">
        <v>0.55297390745089603</v>
      </c>
      <c r="S983" s="60">
        <v>1.53861362635218E-2</v>
      </c>
      <c r="T983" s="60">
        <v>0.27539552364359604</v>
      </c>
      <c r="U983" s="60">
        <v>0.47706954716631206</v>
      </c>
    </row>
    <row r="984" spans="1:21" x14ac:dyDescent="0.25">
      <c r="A984" s="519" t="s">
        <v>1164</v>
      </c>
      <c r="B984" s="519" t="s">
        <v>1167</v>
      </c>
      <c r="C984" s="519" t="s">
        <v>284</v>
      </c>
      <c r="D984" s="519" t="s">
        <v>110</v>
      </c>
      <c r="E984" s="519" t="s">
        <v>281</v>
      </c>
      <c r="F984" s="519" t="s">
        <v>16</v>
      </c>
      <c r="G984" s="519" t="s">
        <v>58</v>
      </c>
      <c r="H984" s="519" t="s">
        <v>152</v>
      </c>
      <c r="I984" s="881">
        <v>8830.6904111099902</v>
      </c>
      <c r="J984" s="881">
        <v>446.52192542000097</v>
      </c>
      <c r="K984" s="60">
        <v>4.8131045105195398E-2</v>
      </c>
      <c r="L984" s="880">
        <v>3.0732683232239899</v>
      </c>
      <c r="M984" s="373">
        <v>0</v>
      </c>
      <c r="N984" s="60">
        <v>1.6586082666393599E-2</v>
      </c>
      <c r="O984" s="881">
        <v>26190.61820253</v>
      </c>
      <c r="P984" s="60">
        <v>7.6831442291213498E-2</v>
      </c>
      <c r="Q984" s="880">
        <v>3.0852945004737302</v>
      </c>
      <c r="R984" s="60">
        <v>0.55297390745089603</v>
      </c>
      <c r="S984" s="60">
        <v>1.53861362635218E-2</v>
      </c>
      <c r="T984" s="60">
        <v>0.33389029051416502</v>
      </c>
      <c r="U984" s="60">
        <v>0.20526357893021502</v>
      </c>
    </row>
    <row r="985" spans="1:21" x14ac:dyDescent="0.25">
      <c r="A985" s="519" t="s">
        <v>1168</v>
      </c>
      <c r="B985" s="519" t="s">
        <v>1169</v>
      </c>
      <c r="C985" s="519" t="s">
        <v>284</v>
      </c>
      <c r="D985" s="519" t="s">
        <v>110</v>
      </c>
      <c r="E985" s="519" t="s">
        <v>281</v>
      </c>
      <c r="F985" s="519" t="s">
        <v>16</v>
      </c>
      <c r="G985" s="519" t="s">
        <v>59</v>
      </c>
      <c r="H985" s="519" t="s">
        <v>154</v>
      </c>
      <c r="I985" s="881">
        <v>8089.5797213800006</v>
      </c>
      <c r="J985" s="881">
        <v>982.60441671000001</v>
      </c>
      <c r="K985" s="60">
        <v>0.108309575924996</v>
      </c>
      <c r="L985" s="880">
        <v>3.1395785084925101</v>
      </c>
      <c r="M985" s="373">
        <v>0</v>
      </c>
      <c r="N985" s="60">
        <v>1.0017491982411199E-2</v>
      </c>
      <c r="O985" s="881">
        <v>18747.55666287</v>
      </c>
      <c r="P985" s="60">
        <v>9.8863635322164495E-2</v>
      </c>
      <c r="Q985" s="880">
        <v>3.1357461288096502</v>
      </c>
      <c r="R985" s="60">
        <v>0.55297390745089603</v>
      </c>
      <c r="S985" s="60">
        <v>9.7918444857175106E-3</v>
      </c>
      <c r="T985" s="60">
        <v>0.34221304095195204</v>
      </c>
      <c r="U985" s="60">
        <v>0.41323935135912604</v>
      </c>
    </row>
    <row r="986" spans="1:21" x14ac:dyDescent="0.25">
      <c r="A986" s="519" t="s">
        <v>1171</v>
      </c>
      <c r="B986" s="519" t="s">
        <v>368</v>
      </c>
      <c r="C986" s="519" t="s">
        <v>284</v>
      </c>
      <c r="D986" s="519" t="s">
        <v>110</v>
      </c>
      <c r="E986" s="519" t="s">
        <v>281</v>
      </c>
      <c r="F986" s="519" t="s">
        <v>17</v>
      </c>
      <c r="G986" s="519" t="s">
        <v>56</v>
      </c>
      <c r="H986" s="519" t="s">
        <v>144</v>
      </c>
      <c r="I986" s="881">
        <v>4609.3168439700003</v>
      </c>
      <c r="J986" s="881">
        <v>348.06283375999999</v>
      </c>
      <c r="K986" s="60">
        <v>7.0211050269883502E-2</v>
      </c>
      <c r="L986" s="880">
        <v>2.9187146802740802</v>
      </c>
      <c r="M986" s="373">
        <v>0</v>
      </c>
      <c r="N986" s="60">
        <v>6.7132160898161503E-3</v>
      </c>
      <c r="O986" s="881">
        <v>20636.004599529999</v>
      </c>
      <c r="P986" s="60">
        <v>4.5445781974017496E-2</v>
      </c>
      <c r="Q986" s="880">
        <v>3.0625955119010801</v>
      </c>
      <c r="R986" s="60">
        <v>0.55297390745089603</v>
      </c>
      <c r="S986" s="60">
        <v>8.4794030896845913E-3</v>
      </c>
      <c r="T986" s="60">
        <v>0.25619170808604402</v>
      </c>
      <c r="U986" s="60">
        <v>0.33076594344825305</v>
      </c>
    </row>
    <row r="987" spans="1:21" x14ac:dyDescent="0.25">
      <c r="A987" s="519" t="s">
        <v>1171</v>
      </c>
      <c r="B987" s="519" t="s">
        <v>369</v>
      </c>
      <c r="C987" s="519" t="s">
        <v>284</v>
      </c>
      <c r="D987" s="519" t="s">
        <v>110</v>
      </c>
      <c r="E987" s="519" t="s">
        <v>281</v>
      </c>
      <c r="F987" s="519" t="s">
        <v>17</v>
      </c>
      <c r="G987" s="519" t="s">
        <v>56</v>
      </c>
      <c r="H987" s="519" t="s">
        <v>146</v>
      </c>
      <c r="I987" s="881">
        <v>7017.3854064699999</v>
      </c>
      <c r="J987" s="881">
        <v>357.77422096999999</v>
      </c>
      <c r="K987" s="60">
        <v>4.85107087904737E-2</v>
      </c>
      <c r="L987" s="880">
        <v>3.1261962915044399</v>
      </c>
      <c r="M987" s="373">
        <v>0</v>
      </c>
      <c r="N987" s="60">
        <v>7.0406936911925604E-3</v>
      </c>
      <c r="O987" s="881">
        <v>20636.004599529999</v>
      </c>
      <c r="P987" s="60">
        <v>4.5445781974017496E-2</v>
      </c>
      <c r="Q987" s="880">
        <v>3.0625955119010801</v>
      </c>
      <c r="R987" s="60">
        <v>0.55297390745089603</v>
      </c>
      <c r="S987" s="60">
        <v>8.4794030896845913E-3</v>
      </c>
      <c r="T987" s="60">
        <v>0.40275590166760206</v>
      </c>
      <c r="U987" s="60">
        <v>0.25267147848510102</v>
      </c>
    </row>
    <row r="988" spans="1:21" x14ac:dyDescent="0.25">
      <c r="A988" s="519" t="s">
        <v>1866</v>
      </c>
      <c r="B988" s="519" t="s">
        <v>2020</v>
      </c>
      <c r="C988" s="519" t="s">
        <v>284</v>
      </c>
      <c r="D988" s="519" t="s">
        <v>110</v>
      </c>
      <c r="E988" s="519" t="s">
        <v>1812</v>
      </c>
      <c r="F988" s="519" t="s">
        <v>70</v>
      </c>
      <c r="G988" s="519" t="s">
        <v>56</v>
      </c>
      <c r="H988" s="519" t="s">
        <v>144</v>
      </c>
      <c r="I988" s="881">
        <v>4513.6580800000002</v>
      </c>
      <c r="J988" s="881">
        <v>102.40676676</v>
      </c>
      <c r="K988" s="60">
        <v>2.2184863116010801E-2</v>
      </c>
      <c r="L988" s="880">
        <v>2.9295841218468501</v>
      </c>
      <c r="M988" s="373">
        <v>0</v>
      </c>
      <c r="N988" s="60">
        <v>0.67639543489745302</v>
      </c>
      <c r="O988" s="881">
        <v>30111.578491060001</v>
      </c>
      <c r="P988" s="60">
        <v>1.9355133758272001E-2</v>
      </c>
      <c r="Q988" s="880">
        <v>2.9175442754856098</v>
      </c>
      <c r="R988" s="60">
        <v>0.34237659552125604</v>
      </c>
      <c r="S988" s="60">
        <v>0.50912024634814501</v>
      </c>
      <c r="T988" s="60">
        <v>0.27292314981515103</v>
      </c>
      <c r="U988" s="60">
        <v>0.29634571442042301</v>
      </c>
    </row>
    <row r="989" spans="1:21" x14ac:dyDescent="0.25">
      <c r="A989" s="519" t="s">
        <v>1866</v>
      </c>
      <c r="B989" s="519" t="s">
        <v>2021</v>
      </c>
      <c r="C989" s="519" t="s">
        <v>284</v>
      </c>
      <c r="D989" s="519" t="s">
        <v>110</v>
      </c>
      <c r="E989" s="519" t="s">
        <v>1812</v>
      </c>
      <c r="F989" s="519" t="s">
        <v>70</v>
      </c>
      <c r="G989" s="519" t="s">
        <v>56</v>
      </c>
      <c r="H989" s="519" t="s">
        <v>146</v>
      </c>
      <c r="I989" s="881">
        <v>9651.3622519000091</v>
      </c>
      <c r="J989" s="881">
        <v>146.91646421999999</v>
      </c>
      <c r="K989" s="60">
        <v>1.49941095243897E-2</v>
      </c>
      <c r="L989" s="880">
        <v>2.89734400430451</v>
      </c>
      <c r="M989" s="373">
        <v>0</v>
      </c>
      <c r="N989" s="60">
        <v>0.65125280223137505</v>
      </c>
      <c r="O989" s="881">
        <v>30111.578491060001</v>
      </c>
      <c r="P989" s="60">
        <v>1.9355133758272001E-2</v>
      </c>
      <c r="Q989" s="880">
        <v>2.9175442754856098</v>
      </c>
      <c r="R989" s="60">
        <v>0.34237659552125604</v>
      </c>
      <c r="S989" s="60">
        <v>0.50912024634814501</v>
      </c>
      <c r="T989" s="60">
        <v>0.35550305246465203</v>
      </c>
      <c r="U989" s="60">
        <v>0.349668315781961</v>
      </c>
    </row>
    <row r="990" spans="1:21" x14ac:dyDescent="0.25">
      <c r="A990" s="519" t="s">
        <v>1868</v>
      </c>
      <c r="B990" s="519" t="s">
        <v>2022</v>
      </c>
      <c r="C990" s="519" t="s">
        <v>284</v>
      </c>
      <c r="D990" s="519" t="s">
        <v>110</v>
      </c>
      <c r="E990" s="519" t="s">
        <v>1812</v>
      </c>
      <c r="F990" s="519" t="s">
        <v>70</v>
      </c>
      <c r="G990" s="519" t="s">
        <v>57</v>
      </c>
      <c r="H990" s="519" t="s">
        <v>148</v>
      </c>
      <c r="I990" s="881">
        <v>14877.810121890001</v>
      </c>
      <c r="J990" s="881">
        <v>111.69581241</v>
      </c>
      <c r="K990" s="60">
        <v>7.4516006664642606E-3</v>
      </c>
      <c r="L990" s="880">
        <v>2.9359800637608799</v>
      </c>
      <c r="M990" s="373">
        <v>0</v>
      </c>
      <c r="N990" s="60">
        <v>0.48889274338688604</v>
      </c>
      <c r="O990" s="881">
        <v>42404.913602690001</v>
      </c>
      <c r="P990" s="60">
        <v>3.3754339853695699E-2</v>
      </c>
      <c r="Q990" s="880">
        <v>2.9628461223783003</v>
      </c>
      <c r="R990" s="60">
        <v>0.34237659552125604</v>
      </c>
      <c r="S990" s="60">
        <v>0.46384147373153106</v>
      </c>
      <c r="T990" s="60">
        <v>0.36545737613552204</v>
      </c>
      <c r="U990" s="60">
        <v>8.5744663997380594E-2</v>
      </c>
    </row>
    <row r="991" spans="1:21" x14ac:dyDescent="0.25">
      <c r="A991" s="519" t="s">
        <v>1871</v>
      </c>
      <c r="B991" s="519" t="s">
        <v>2023</v>
      </c>
      <c r="C991" s="519" t="s">
        <v>284</v>
      </c>
      <c r="D991" s="519" t="s">
        <v>110</v>
      </c>
      <c r="E991" s="519" t="s">
        <v>1812</v>
      </c>
      <c r="F991" s="519" t="s">
        <v>70</v>
      </c>
      <c r="G991" s="519" t="s">
        <v>58</v>
      </c>
      <c r="H991" s="519" t="s">
        <v>150</v>
      </c>
      <c r="I991" s="881">
        <v>16677.026770240001</v>
      </c>
      <c r="J991" s="881">
        <v>312.83280989000002</v>
      </c>
      <c r="K991" s="60">
        <v>1.8412913209469001E-2</v>
      </c>
      <c r="L991" s="880">
        <v>2.9461614688932003</v>
      </c>
      <c r="M991" s="373">
        <v>0</v>
      </c>
      <c r="N991" s="60">
        <v>0.62432149889090605</v>
      </c>
      <c r="O991" s="881">
        <v>46856.242511850105</v>
      </c>
      <c r="P991" s="60">
        <v>1.2665018768900299E-2</v>
      </c>
      <c r="Q991" s="880">
        <v>2.9398909097717199</v>
      </c>
      <c r="R991" s="60">
        <v>0.34237659552125604</v>
      </c>
      <c r="S991" s="60">
        <v>0.63432710004100701</v>
      </c>
      <c r="T991" s="60">
        <v>0.35844151275428504</v>
      </c>
      <c r="U991" s="60">
        <v>0.51645048570942997</v>
      </c>
    </row>
    <row r="992" spans="1:21" x14ac:dyDescent="0.25">
      <c r="A992" s="519" t="s">
        <v>1871</v>
      </c>
      <c r="B992" s="519" t="s">
        <v>2024</v>
      </c>
      <c r="C992" s="519" t="s">
        <v>284</v>
      </c>
      <c r="D992" s="519" t="s">
        <v>110</v>
      </c>
      <c r="E992" s="519" t="s">
        <v>1812</v>
      </c>
      <c r="F992" s="519" t="s">
        <v>70</v>
      </c>
      <c r="G992" s="519" t="s">
        <v>58</v>
      </c>
      <c r="H992" s="519" t="s">
        <v>152</v>
      </c>
      <c r="I992" s="881">
        <v>15710.806284960001</v>
      </c>
      <c r="J992" s="881">
        <v>118.70136437000001</v>
      </c>
      <c r="K992" s="60">
        <v>7.4987401376961907E-3</v>
      </c>
      <c r="L992" s="880">
        <v>2.94432615132096</v>
      </c>
      <c r="M992" s="373">
        <v>0</v>
      </c>
      <c r="N992" s="60">
        <v>0.60931294359883104</v>
      </c>
      <c r="O992" s="881">
        <v>46856.242511850105</v>
      </c>
      <c r="P992" s="60">
        <v>1.2665018768900299E-2</v>
      </c>
      <c r="Q992" s="880">
        <v>2.9398909097717199</v>
      </c>
      <c r="R992" s="60">
        <v>0.34237659552125604</v>
      </c>
      <c r="S992" s="60">
        <v>0.63432710004100701</v>
      </c>
      <c r="T992" s="60">
        <v>0.33990925389191001</v>
      </c>
      <c r="U992" s="60">
        <v>0.24207024443805503</v>
      </c>
    </row>
    <row r="993" spans="1:21" x14ac:dyDescent="0.25">
      <c r="A993" s="519" t="s">
        <v>1873</v>
      </c>
      <c r="B993" s="519" t="s">
        <v>2025</v>
      </c>
      <c r="C993" s="519" t="s">
        <v>284</v>
      </c>
      <c r="D993" s="519" t="s">
        <v>110</v>
      </c>
      <c r="E993" s="519" t="s">
        <v>1812</v>
      </c>
      <c r="F993" s="519" t="s">
        <v>70</v>
      </c>
      <c r="G993" s="519" t="s">
        <v>59</v>
      </c>
      <c r="H993" s="519" t="s">
        <v>154</v>
      </c>
      <c r="I993" s="881">
        <v>15690.60806662</v>
      </c>
      <c r="J993" s="881">
        <v>263.79460663999998</v>
      </c>
      <c r="K993" s="60">
        <v>1.65342828586197E-2</v>
      </c>
      <c r="L993" s="880">
        <v>2.8705917198514501</v>
      </c>
      <c r="M993" s="373">
        <v>0</v>
      </c>
      <c r="N993" s="60">
        <v>0.78396292829394409</v>
      </c>
      <c r="O993" s="881">
        <v>47886.327019860102</v>
      </c>
      <c r="P993" s="60">
        <v>1.26201803995188E-2</v>
      </c>
      <c r="Q993" s="880">
        <v>2.9089589151730402</v>
      </c>
      <c r="R993" s="60">
        <v>0.34237659552125604</v>
      </c>
      <c r="S993" s="60">
        <v>0.77477855892273606</v>
      </c>
      <c r="T993" s="60">
        <v>0.31624782121341505</v>
      </c>
      <c r="U993" s="60">
        <v>0.28710624830680304</v>
      </c>
    </row>
    <row r="994" spans="1:21" x14ac:dyDescent="0.25">
      <c r="A994" s="519" t="s">
        <v>1876</v>
      </c>
      <c r="B994" s="519" t="s">
        <v>2026</v>
      </c>
      <c r="C994" s="519" t="s">
        <v>284</v>
      </c>
      <c r="D994" s="519" t="s">
        <v>110</v>
      </c>
      <c r="E994" s="519" t="s">
        <v>1812</v>
      </c>
      <c r="F994" s="519" t="s">
        <v>16</v>
      </c>
      <c r="G994" s="519" t="s">
        <v>56</v>
      </c>
      <c r="H994" s="519" t="s">
        <v>144</v>
      </c>
      <c r="I994" s="881">
        <v>15061.60847092</v>
      </c>
      <c r="J994" s="881">
        <v>155.11331804</v>
      </c>
      <c r="K994" s="60">
        <v>1.0193609385205299E-2</v>
      </c>
      <c r="L994" s="880">
        <v>2.9134174697634299</v>
      </c>
      <c r="M994" s="373">
        <v>0</v>
      </c>
      <c r="N994" s="60">
        <v>0.80103252014643811</v>
      </c>
      <c r="O994" s="881">
        <v>48018.6441740101</v>
      </c>
      <c r="P994" s="60">
        <v>1.7693520856855199E-2</v>
      </c>
      <c r="Q994" s="880">
        <v>2.9319113648684199</v>
      </c>
      <c r="R994" s="60">
        <v>0.34237659552125604</v>
      </c>
      <c r="S994" s="60">
        <v>0.71357123745063411</v>
      </c>
      <c r="T994" s="60">
        <v>0.27292314981515103</v>
      </c>
      <c r="U994" s="60">
        <v>0.29634571442042301</v>
      </c>
    </row>
    <row r="995" spans="1:21" x14ac:dyDescent="0.25">
      <c r="A995" s="519" t="s">
        <v>1876</v>
      </c>
      <c r="B995" s="519" t="s">
        <v>2027</v>
      </c>
      <c r="C995" s="519" t="s">
        <v>284</v>
      </c>
      <c r="D995" s="519" t="s">
        <v>110</v>
      </c>
      <c r="E995" s="519" t="s">
        <v>1812</v>
      </c>
      <c r="F995" s="519" t="s">
        <v>16</v>
      </c>
      <c r="G995" s="519" t="s">
        <v>56</v>
      </c>
      <c r="H995" s="519" t="s">
        <v>146</v>
      </c>
      <c r="I995" s="881">
        <v>17896.838664930001</v>
      </c>
      <c r="J995" s="881">
        <v>293.59927425000001</v>
      </c>
      <c r="K995" s="60">
        <v>1.6140308179036399E-2</v>
      </c>
      <c r="L995" s="880">
        <v>2.9344906837026801</v>
      </c>
      <c r="M995" s="373">
        <v>0</v>
      </c>
      <c r="N995" s="60">
        <v>0.67085260645092504</v>
      </c>
      <c r="O995" s="881">
        <v>48018.6441740101</v>
      </c>
      <c r="P995" s="60">
        <v>1.7693520856855199E-2</v>
      </c>
      <c r="Q995" s="880">
        <v>2.9319113648684199</v>
      </c>
      <c r="R995" s="60">
        <v>0.34237659552125604</v>
      </c>
      <c r="S995" s="60">
        <v>0.71357123745063411</v>
      </c>
      <c r="T995" s="60">
        <v>0.35550305246465203</v>
      </c>
      <c r="U995" s="60">
        <v>0.349668315781961</v>
      </c>
    </row>
    <row r="996" spans="1:21" x14ac:dyDescent="0.25">
      <c r="A996" s="519" t="s">
        <v>1878</v>
      </c>
      <c r="B996" s="519" t="s">
        <v>2028</v>
      </c>
      <c r="C996" s="519" t="s">
        <v>284</v>
      </c>
      <c r="D996" s="519" t="s">
        <v>110</v>
      </c>
      <c r="E996" s="519" t="s">
        <v>1812</v>
      </c>
      <c r="F996" s="519" t="s">
        <v>16</v>
      </c>
      <c r="G996" s="519" t="s">
        <v>57</v>
      </c>
      <c r="H996" s="519" t="s">
        <v>148</v>
      </c>
      <c r="I996" s="881">
        <v>27489.478096510102</v>
      </c>
      <c r="J996" s="881">
        <v>258.70027941000097</v>
      </c>
      <c r="K996" s="60">
        <v>9.3231446008903499E-3</v>
      </c>
      <c r="L996" s="880">
        <v>2.9948756406494201</v>
      </c>
      <c r="M996" s="373">
        <v>0</v>
      </c>
      <c r="N996" s="60">
        <v>0.84225940604996408</v>
      </c>
      <c r="O996" s="881">
        <v>73524.579096040106</v>
      </c>
      <c r="P996" s="60">
        <v>3.71699047238691E-2</v>
      </c>
      <c r="Q996" s="880">
        <v>2.9769790424470499</v>
      </c>
      <c r="R996" s="60">
        <v>0.34237659552125604</v>
      </c>
      <c r="S996" s="60">
        <v>0.78221245767930603</v>
      </c>
      <c r="T996" s="60">
        <v>0.36545737613552204</v>
      </c>
      <c r="U996" s="60">
        <v>8.5744663997380594E-2</v>
      </c>
    </row>
    <row r="997" spans="1:21" x14ac:dyDescent="0.25">
      <c r="A997" s="519" t="s">
        <v>1881</v>
      </c>
      <c r="B997" s="519" t="s">
        <v>2029</v>
      </c>
      <c r="C997" s="519" t="s">
        <v>284</v>
      </c>
      <c r="D997" s="519" t="s">
        <v>110</v>
      </c>
      <c r="E997" s="519" t="s">
        <v>1812</v>
      </c>
      <c r="F997" s="519" t="s">
        <v>16</v>
      </c>
      <c r="G997" s="519" t="s">
        <v>58</v>
      </c>
      <c r="H997" s="519" t="s">
        <v>150</v>
      </c>
      <c r="I997" s="881">
        <v>34244.971458649998</v>
      </c>
      <c r="J997" s="881">
        <v>570.26213550000102</v>
      </c>
      <c r="K997" s="60">
        <v>1.6379672822181501E-2</v>
      </c>
      <c r="L997" s="880">
        <v>2.9650542808581299</v>
      </c>
      <c r="M997" s="373">
        <v>0</v>
      </c>
      <c r="N997" s="60">
        <v>0.91111533485039109</v>
      </c>
      <c r="O997" s="881">
        <v>95208.770654740205</v>
      </c>
      <c r="P997" s="60">
        <v>1.15127804905085E-2</v>
      </c>
      <c r="Q997" s="880">
        <v>2.9602842045387101</v>
      </c>
      <c r="R997" s="60">
        <v>0.34237659552125604</v>
      </c>
      <c r="S997" s="60">
        <v>0.90709536944283997</v>
      </c>
      <c r="T997" s="60">
        <v>0.35844151275428504</v>
      </c>
      <c r="U997" s="60">
        <v>0.51645048570942997</v>
      </c>
    </row>
    <row r="998" spans="1:21" x14ac:dyDescent="0.25">
      <c r="A998" s="519" t="s">
        <v>1881</v>
      </c>
      <c r="B998" s="519" t="s">
        <v>2030</v>
      </c>
      <c r="C998" s="519" t="s">
        <v>284</v>
      </c>
      <c r="D998" s="519" t="s">
        <v>110</v>
      </c>
      <c r="E998" s="519" t="s">
        <v>1812</v>
      </c>
      <c r="F998" s="519" t="s">
        <v>16</v>
      </c>
      <c r="G998" s="519" t="s">
        <v>58</v>
      </c>
      <c r="H998" s="519" t="s">
        <v>152</v>
      </c>
      <c r="I998" s="881">
        <v>32578.406344640101</v>
      </c>
      <c r="J998" s="881">
        <v>295.22216791</v>
      </c>
      <c r="K998" s="60">
        <v>8.9805166410910214E-3</v>
      </c>
      <c r="L998" s="880">
        <v>2.9671132695052198</v>
      </c>
      <c r="M998" s="373">
        <v>0</v>
      </c>
      <c r="N998" s="60">
        <v>0.92444230343498712</v>
      </c>
      <c r="O998" s="881">
        <v>95208.770654740205</v>
      </c>
      <c r="P998" s="60">
        <v>1.15127804905085E-2</v>
      </c>
      <c r="Q998" s="880">
        <v>2.9602842045387101</v>
      </c>
      <c r="R998" s="60">
        <v>0.34237659552125604</v>
      </c>
      <c r="S998" s="60">
        <v>0.90709536944283997</v>
      </c>
      <c r="T998" s="60">
        <v>0.33990925389191001</v>
      </c>
      <c r="U998" s="60">
        <v>0.24207024443805503</v>
      </c>
    </row>
    <row r="999" spans="1:21" x14ac:dyDescent="0.25">
      <c r="A999" s="519" t="s">
        <v>1883</v>
      </c>
      <c r="B999" s="519" t="s">
        <v>2031</v>
      </c>
      <c r="C999" s="519" t="s">
        <v>284</v>
      </c>
      <c r="D999" s="519" t="s">
        <v>110</v>
      </c>
      <c r="E999" s="519" t="s">
        <v>1812</v>
      </c>
      <c r="F999" s="519" t="s">
        <v>16</v>
      </c>
      <c r="G999" s="519" t="s">
        <v>59</v>
      </c>
      <c r="H999" s="519" t="s">
        <v>154</v>
      </c>
      <c r="I999" s="881">
        <v>21964.3890711401</v>
      </c>
      <c r="J999" s="881">
        <v>213.48312803000002</v>
      </c>
      <c r="K999" s="60">
        <v>9.6259517645696114E-3</v>
      </c>
      <c r="L999" s="880">
        <v>2.9782010199429698</v>
      </c>
      <c r="M999" s="373">
        <v>0</v>
      </c>
      <c r="N999" s="60">
        <v>0.90027173016716511</v>
      </c>
      <c r="O999" s="881">
        <v>71181.677917790206</v>
      </c>
      <c r="P999" s="60">
        <v>1.4540853629766599E-2</v>
      </c>
      <c r="Q999" s="880">
        <v>2.9872876136102899</v>
      </c>
      <c r="R999" s="60">
        <v>0.34237659552125604</v>
      </c>
      <c r="S999" s="60">
        <v>0.86086203936582406</v>
      </c>
      <c r="T999" s="60">
        <v>0.31624782121341505</v>
      </c>
      <c r="U999" s="60">
        <v>0.28710624830680304</v>
      </c>
    </row>
    <row r="1000" spans="1:21" x14ac:dyDescent="0.25">
      <c r="A1000" s="519" t="s">
        <v>1886</v>
      </c>
      <c r="B1000" s="519" t="s">
        <v>2032</v>
      </c>
      <c r="C1000" s="519" t="s">
        <v>284</v>
      </c>
      <c r="D1000" s="519" t="s">
        <v>110</v>
      </c>
      <c r="E1000" s="519" t="s">
        <v>1812</v>
      </c>
      <c r="F1000" s="519" t="s">
        <v>17</v>
      </c>
      <c r="G1000" s="519" t="s">
        <v>56</v>
      </c>
      <c r="H1000" s="519" t="s">
        <v>144</v>
      </c>
      <c r="I1000" s="881">
        <v>27870.110724670099</v>
      </c>
      <c r="J1000" s="881">
        <v>768.42810231000101</v>
      </c>
      <c r="K1000" s="60">
        <v>2.6831959093739598E-2</v>
      </c>
      <c r="L1000" s="880">
        <v>2.9932570361941999</v>
      </c>
      <c r="M1000" s="373">
        <v>0</v>
      </c>
      <c r="N1000" s="60">
        <v>0.8542302113165321</v>
      </c>
      <c r="O1000" s="881">
        <v>95711.304914120206</v>
      </c>
      <c r="P1000" s="60">
        <v>2.0496114197489299E-2</v>
      </c>
      <c r="Q1000" s="880">
        <v>3.01115770367706</v>
      </c>
      <c r="R1000" s="60">
        <v>0.34237659552125604</v>
      </c>
      <c r="S1000" s="60">
        <v>0.82829037871151812</v>
      </c>
      <c r="T1000" s="60">
        <v>0.27292314981515103</v>
      </c>
      <c r="U1000" s="60">
        <v>0.29634571442042301</v>
      </c>
    </row>
    <row r="1001" spans="1:21" x14ac:dyDescent="0.25">
      <c r="A1001" s="519" t="s">
        <v>1886</v>
      </c>
      <c r="B1001" s="519" t="s">
        <v>2033</v>
      </c>
      <c r="C1001" s="519" t="s">
        <v>284</v>
      </c>
      <c r="D1001" s="519" t="s">
        <v>110</v>
      </c>
      <c r="E1001" s="519" t="s">
        <v>1812</v>
      </c>
      <c r="F1001" s="519" t="s">
        <v>17</v>
      </c>
      <c r="G1001" s="519" t="s">
        <v>56</v>
      </c>
      <c r="H1001" s="519" t="s">
        <v>146</v>
      </c>
      <c r="I1001" s="881">
        <v>34252.992782690104</v>
      </c>
      <c r="J1001" s="881">
        <v>770.03517288000103</v>
      </c>
      <c r="K1001" s="60">
        <v>2.1986539080997299E-2</v>
      </c>
      <c r="L1001" s="880">
        <v>3.01029557676218</v>
      </c>
      <c r="M1001" s="373">
        <v>0</v>
      </c>
      <c r="N1001" s="60">
        <v>0.83810290637925211</v>
      </c>
      <c r="O1001" s="881">
        <v>95711.304914120206</v>
      </c>
      <c r="P1001" s="60">
        <v>2.0496114197489299E-2</v>
      </c>
      <c r="Q1001" s="880">
        <v>3.01115770367706</v>
      </c>
      <c r="R1001" s="60">
        <v>0.34237659552125604</v>
      </c>
      <c r="S1001" s="60">
        <v>0.82829037871151812</v>
      </c>
      <c r="T1001" s="60">
        <v>0.35550305246465203</v>
      </c>
      <c r="U1001" s="60">
        <v>0.349668315781961</v>
      </c>
    </row>
    <row r="1002" spans="1:21" x14ac:dyDescent="0.25">
      <c r="A1002" s="519" t="s">
        <v>1172</v>
      </c>
      <c r="B1002" s="519" t="s">
        <v>1174</v>
      </c>
      <c r="C1002" s="519" t="s">
        <v>284</v>
      </c>
      <c r="D1002" s="519" t="s">
        <v>110</v>
      </c>
      <c r="E1002" s="519" t="s">
        <v>282</v>
      </c>
      <c r="F1002" s="519" t="s">
        <v>70</v>
      </c>
      <c r="G1002" s="519" t="s">
        <v>56</v>
      </c>
      <c r="H1002" s="519" t="s">
        <v>145</v>
      </c>
      <c r="I1002" s="881">
        <v>180372.03529041901</v>
      </c>
      <c r="J1002" s="881">
        <v>10119.672045559901</v>
      </c>
      <c r="K1002" s="60">
        <v>5.3123950575503301E-2</v>
      </c>
      <c r="L1002" s="880">
        <v>3.0347771094520399</v>
      </c>
      <c r="M1002" s="373">
        <v>0</v>
      </c>
      <c r="N1002" s="60">
        <v>5.1374495328224801E-2</v>
      </c>
      <c r="O1002" s="881">
        <v>474485.47950613702</v>
      </c>
      <c r="P1002" s="60">
        <v>5.2312046041181101E-2</v>
      </c>
      <c r="Q1002" s="880">
        <v>3.02547408732236</v>
      </c>
      <c r="R1002" s="60">
        <v>0.60859474786257806</v>
      </c>
      <c r="S1002" s="60">
        <v>6.0276921176699798E-2</v>
      </c>
      <c r="T1002" s="60">
        <v>0.35018401929397702</v>
      </c>
      <c r="U1002" s="60">
        <v>0.41751584436733302</v>
      </c>
    </row>
    <row r="1003" spans="1:21" x14ac:dyDescent="0.25">
      <c r="A1003" s="519" t="s">
        <v>1176</v>
      </c>
      <c r="B1003" s="519" t="s">
        <v>1177</v>
      </c>
      <c r="C1003" s="519" t="s">
        <v>284</v>
      </c>
      <c r="D1003" s="519" t="s">
        <v>110</v>
      </c>
      <c r="E1003" s="519" t="s">
        <v>282</v>
      </c>
      <c r="F1003" s="519" t="s">
        <v>70</v>
      </c>
      <c r="G1003" s="519" t="s">
        <v>57</v>
      </c>
      <c r="H1003" s="519" t="s">
        <v>147</v>
      </c>
      <c r="I1003" s="881">
        <v>178445.33433181702</v>
      </c>
      <c r="J1003" s="881">
        <v>8801.0442989499297</v>
      </c>
      <c r="K1003" s="60">
        <v>4.70024807064746E-2</v>
      </c>
      <c r="L1003" s="880">
        <v>3.0551951516955298</v>
      </c>
      <c r="M1003" s="373">
        <v>0</v>
      </c>
      <c r="N1003" s="60">
        <v>6.8693357509904795E-2</v>
      </c>
      <c r="O1003" s="881">
        <v>524178.78589964804</v>
      </c>
      <c r="P1003" s="60">
        <v>6.0780017608046397E-2</v>
      </c>
      <c r="Q1003" s="880">
        <v>3.01798212710615</v>
      </c>
      <c r="R1003" s="60">
        <v>0.60859474786257806</v>
      </c>
      <c r="S1003" s="60">
        <v>8.5336101078523505E-2</v>
      </c>
      <c r="T1003" s="60">
        <v>0.31342342359335001</v>
      </c>
      <c r="U1003" s="60">
        <v>0.20986621100788203</v>
      </c>
    </row>
    <row r="1004" spans="1:21" x14ac:dyDescent="0.25">
      <c r="A1004" s="519" t="s">
        <v>1176</v>
      </c>
      <c r="B1004" s="519" t="s">
        <v>1179</v>
      </c>
      <c r="C1004" s="519" t="s">
        <v>284</v>
      </c>
      <c r="D1004" s="519" t="s">
        <v>110</v>
      </c>
      <c r="E1004" s="519" t="s">
        <v>282</v>
      </c>
      <c r="F1004" s="519" t="s">
        <v>70</v>
      </c>
      <c r="G1004" s="519" t="s">
        <v>57</v>
      </c>
      <c r="H1004" s="519" t="s">
        <v>149</v>
      </c>
      <c r="I1004" s="881">
        <v>194770.16196558101</v>
      </c>
      <c r="J1004" s="881">
        <v>17898.880219019902</v>
      </c>
      <c r="K1004" s="60">
        <v>8.4163073455154905E-2</v>
      </c>
      <c r="L1004" s="880">
        <v>3.0085060247979003</v>
      </c>
      <c r="M1004" s="373">
        <v>0</v>
      </c>
      <c r="N1004" s="60">
        <v>5.0665777449750697E-2</v>
      </c>
      <c r="O1004" s="881">
        <v>524178.78589964804</v>
      </c>
      <c r="P1004" s="60">
        <v>6.0780017608046397E-2</v>
      </c>
      <c r="Q1004" s="880">
        <v>3.01798212710615</v>
      </c>
      <c r="R1004" s="60">
        <v>0.60859474786257806</v>
      </c>
      <c r="S1004" s="60">
        <v>8.5336101078523505E-2</v>
      </c>
      <c r="T1004" s="60">
        <v>0.38115574484156806</v>
      </c>
      <c r="U1004" s="60">
        <v>0.40930054357889001</v>
      </c>
    </row>
    <row r="1005" spans="1:21" x14ac:dyDescent="0.25">
      <c r="A1005" s="519" t="s">
        <v>1180</v>
      </c>
      <c r="B1005" s="519" t="s">
        <v>1182</v>
      </c>
      <c r="C1005" s="519" t="s">
        <v>284</v>
      </c>
      <c r="D1005" s="519" t="s">
        <v>110</v>
      </c>
      <c r="E1005" s="519" t="s">
        <v>282</v>
      </c>
      <c r="F1005" s="519" t="s">
        <v>70</v>
      </c>
      <c r="G1005" s="519" t="s">
        <v>58</v>
      </c>
      <c r="H1005" s="519" t="s">
        <v>151</v>
      </c>
      <c r="I1005" s="881">
        <v>163647.742425779</v>
      </c>
      <c r="J1005" s="881">
        <v>3467.3238112499698</v>
      </c>
      <c r="K1005" s="60">
        <v>2.07481221730903E-2</v>
      </c>
      <c r="L1005" s="880">
        <v>3.00211147822032</v>
      </c>
      <c r="M1005" s="373">
        <v>0</v>
      </c>
      <c r="N1005" s="60">
        <v>0.14238584883594202</v>
      </c>
      <c r="O1005" s="881">
        <v>593617.919760574</v>
      </c>
      <c r="P1005" s="60">
        <v>3.2437379537720301E-2</v>
      </c>
      <c r="Q1005" s="880">
        <v>3.0271982125144201</v>
      </c>
      <c r="R1005" s="60">
        <v>0.60859474786257806</v>
      </c>
      <c r="S1005" s="60">
        <v>0.112137931137505</v>
      </c>
      <c r="T1005" s="60">
        <v>0.25597330733762103</v>
      </c>
      <c r="U1005" s="60">
        <v>0.25747018664059701</v>
      </c>
    </row>
    <row r="1006" spans="1:21" x14ac:dyDescent="0.25">
      <c r="A1006" s="519" t="s">
        <v>1184</v>
      </c>
      <c r="B1006" s="519" t="s">
        <v>1185</v>
      </c>
      <c r="C1006" s="519" t="s">
        <v>284</v>
      </c>
      <c r="D1006" s="519" t="s">
        <v>110</v>
      </c>
      <c r="E1006" s="519" t="s">
        <v>282</v>
      </c>
      <c r="F1006" s="519" t="s">
        <v>70</v>
      </c>
      <c r="G1006" s="519" t="s">
        <v>59</v>
      </c>
      <c r="H1006" s="519" t="s">
        <v>153</v>
      </c>
      <c r="I1006" s="881">
        <v>193522.95640774901</v>
      </c>
      <c r="J1006" s="881">
        <v>9654.9369148999194</v>
      </c>
      <c r="K1006" s="60">
        <v>4.7519623109625E-2</v>
      </c>
      <c r="L1006" s="880">
        <v>3.0206459491891602</v>
      </c>
      <c r="M1006" s="373">
        <v>0</v>
      </c>
      <c r="N1006" s="60">
        <v>5.7903625958978598E-2</v>
      </c>
      <c r="O1006" s="881">
        <v>711806.01199371309</v>
      </c>
      <c r="P1006" s="60">
        <v>2.8806086328333598E-2</v>
      </c>
      <c r="Q1006" s="880">
        <v>3.0092161231475001</v>
      </c>
      <c r="R1006" s="60">
        <v>0.60859474786257806</v>
      </c>
      <c r="S1006" s="60">
        <v>6.1154287514046002E-2</v>
      </c>
      <c r="T1006" s="60">
        <v>0.26962773170377202</v>
      </c>
      <c r="U1006" s="60">
        <v>0.30107780745845703</v>
      </c>
    </row>
    <row r="1007" spans="1:21" x14ac:dyDescent="0.25">
      <c r="A1007" s="519" t="s">
        <v>1184</v>
      </c>
      <c r="B1007" s="519" t="s">
        <v>1187</v>
      </c>
      <c r="C1007" s="519" t="s">
        <v>284</v>
      </c>
      <c r="D1007" s="519" t="s">
        <v>110</v>
      </c>
      <c r="E1007" s="519" t="s">
        <v>282</v>
      </c>
      <c r="F1007" s="519" t="s">
        <v>70</v>
      </c>
      <c r="G1007" s="519" t="s">
        <v>59</v>
      </c>
      <c r="H1007" s="519" t="s">
        <v>155</v>
      </c>
      <c r="I1007" s="881">
        <v>273145.47697691701</v>
      </c>
      <c r="J1007" s="881">
        <v>3725.8301410998397</v>
      </c>
      <c r="K1007" s="60">
        <v>1.34569023416775E-2</v>
      </c>
      <c r="L1007" s="880">
        <v>3.0094487623516901</v>
      </c>
      <c r="M1007" s="373">
        <v>0</v>
      </c>
      <c r="N1007" s="60">
        <v>5.9777541212003502E-2</v>
      </c>
      <c r="O1007" s="881">
        <v>711806.01199371309</v>
      </c>
      <c r="P1007" s="60">
        <v>2.8806086328333598E-2</v>
      </c>
      <c r="Q1007" s="880">
        <v>3.0092161231475001</v>
      </c>
      <c r="R1007" s="60">
        <v>0.60859474786257806</v>
      </c>
      <c r="S1007" s="60">
        <v>6.1154287514046002E-2</v>
      </c>
      <c r="T1007" s="60">
        <v>0.38592391551968902</v>
      </c>
      <c r="U1007" s="60">
        <v>0.27586474008198403</v>
      </c>
    </row>
    <row r="1008" spans="1:21" x14ac:dyDescent="0.25">
      <c r="A1008" s="519" t="s">
        <v>1188</v>
      </c>
      <c r="B1008" s="519" t="s">
        <v>1189</v>
      </c>
      <c r="C1008" s="519" t="s">
        <v>284</v>
      </c>
      <c r="D1008" s="519" t="s">
        <v>110</v>
      </c>
      <c r="E1008" s="519" t="s">
        <v>282</v>
      </c>
      <c r="F1008" s="519" t="s">
        <v>16</v>
      </c>
      <c r="G1008" s="519" t="s">
        <v>56</v>
      </c>
      <c r="H1008" s="519" t="s">
        <v>144</v>
      </c>
      <c r="I1008" s="881">
        <v>203441.26003271801</v>
      </c>
      <c r="J1008" s="881">
        <v>8306.5124799099303</v>
      </c>
      <c r="K1008" s="60">
        <v>3.9228334642408005E-2</v>
      </c>
      <c r="L1008" s="880">
        <v>3.0642608205905102</v>
      </c>
      <c r="M1008" s="373">
        <v>0</v>
      </c>
      <c r="N1008" s="60">
        <v>8.6087535828294495E-2</v>
      </c>
      <c r="O1008" s="881">
        <v>541128.778960397</v>
      </c>
      <c r="P1008" s="60">
        <v>4.0591219432229098E-2</v>
      </c>
      <c r="Q1008" s="880">
        <v>3.07376635616545</v>
      </c>
      <c r="R1008" s="60">
        <v>0.60859474786257806</v>
      </c>
      <c r="S1008" s="60">
        <v>7.1805685998182101E-2</v>
      </c>
      <c r="T1008" s="60">
        <v>0.326197287493874</v>
      </c>
      <c r="U1008" s="60">
        <v>0.29961431754576801</v>
      </c>
    </row>
    <row r="1009" spans="1:21" x14ac:dyDescent="0.25">
      <c r="A1009" s="519" t="s">
        <v>1188</v>
      </c>
      <c r="B1009" s="519" t="s">
        <v>1191</v>
      </c>
      <c r="C1009" s="519" t="s">
        <v>284</v>
      </c>
      <c r="D1009" s="519" t="s">
        <v>110</v>
      </c>
      <c r="E1009" s="519" t="s">
        <v>282</v>
      </c>
      <c r="F1009" s="519" t="s">
        <v>16</v>
      </c>
      <c r="G1009" s="519" t="s">
        <v>56</v>
      </c>
      <c r="H1009" s="519" t="s">
        <v>146</v>
      </c>
      <c r="I1009" s="881">
        <v>145524.04612165</v>
      </c>
      <c r="J1009" s="881">
        <v>5467.6599128599401</v>
      </c>
      <c r="K1009" s="60">
        <v>3.6211657292025398E-2</v>
      </c>
      <c r="L1009" s="880">
        <v>3.0458705462725701</v>
      </c>
      <c r="M1009" s="373">
        <v>0</v>
      </c>
      <c r="N1009" s="60">
        <v>8.2610114860608291E-2</v>
      </c>
      <c r="O1009" s="881">
        <v>541128.778960397</v>
      </c>
      <c r="P1009" s="60">
        <v>4.0591219432229098E-2</v>
      </c>
      <c r="Q1009" s="880">
        <v>3.07376635616545</v>
      </c>
      <c r="R1009" s="60">
        <v>0.60859474786257806</v>
      </c>
      <c r="S1009" s="60">
        <v>7.1805685998182101E-2</v>
      </c>
      <c r="T1009" s="60">
        <v>0.32361869321214903</v>
      </c>
      <c r="U1009" s="60">
        <v>0.28286983808689903</v>
      </c>
    </row>
    <row r="1010" spans="1:21" x14ac:dyDescent="0.25">
      <c r="A1010" s="519" t="s">
        <v>1192</v>
      </c>
      <c r="B1010" s="519" t="s">
        <v>1194</v>
      </c>
      <c r="C1010" s="519" t="s">
        <v>284</v>
      </c>
      <c r="D1010" s="519" t="s">
        <v>110</v>
      </c>
      <c r="E1010" s="519" t="s">
        <v>282</v>
      </c>
      <c r="F1010" s="519" t="s">
        <v>16</v>
      </c>
      <c r="G1010" s="519" t="s">
        <v>57</v>
      </c>
      <c r="H1010" s="519" t="s">
        <v>148</v>
      </c>
      <c r="I1010" s="881">
        <v>151150.32508625</v>
      </c>
      <c r="J1010" s="881">
        <v>23986.059994590101</v>
      </c>
      <c r="K1010" s="60">
        <v>0.13695646386396901</v>
      </c>
      <c r="L1010" s="880">
        <v>3.07858327217681</v>
      </c>
      <c r="M1010" s="373">
        <v>0</v>
      </c>
      <c r="N1010" s="60">
        <v>9.3075886690301493E-2</v>
      </c>
      <c r="O1010" s="881">
        <v>464992.82083184103</v>
      </c>
      <c r="P1010" s="60">
        <v>9.3610792701920395E-2</v>
      </c>
      <c r="Q1010" s="880">
        <v>3.0469702796528901</v>
      </c>
      <c r="R1010" s="60">
        <v>0.60859474786257806</v>
      </c>
      <c r="S1010" s="60">
        <v>7.4207424882928794E-2</v>
      </c>
      <c r="T1010" s="60">
        <v>0.30542083156508204</v>
      </c>
      <c r="U1010" s="60">
        <v>0.38083324541322805</v>
      </c>
    </row>
    <row r="1011" spans="1:21" x14ac:dyDescent="0.25">
      <c r="A1011" s="519" t="s">
        <v>1196</v>
      </c>
      <c r="B1011" s="519" t="s">
        <v>1197</v>
      </c>
      <c r="C1011" s="519" t="s">
        <v>284</v>
      </c>
      <c r="D1011" s="519" t="s">
        <v>110</v>
      </c>
      <c r="E1011" s="519" t="s">
        <v>282</v>
      </c>
      <c r="F1011" s="519" t="s">
        <v>16</v>
      </c>
      <c r="G1011" s="519" t="s">
        <v>58</v>
      </c>
      <c r="H1011" s="519" t="s">
        <v>150</v>
      </c>
      <c r="I1011" s="881">
        <v>265047.86795567704</v>
      </c>
      <c r="J1011" s="881">
        <v>15105.09831978</v>
      </c>
      <c r="K1011" s="60">
        <v>5.39173242410999E-2</v>
      </c>
      <c r="L1011" s="880">
        <v>3.10931902647157</v>
      </c>
      <c r="M1011" s="373">
        <v>0</v>
      </c>
      <c r="N1011" s="60">
        <v>0.12488028458668901</v>
      </c>
      <c r="O1011" s="881">
        <v>589027.42538286501</v>
      </c>
      <c r="P1011" s="60">
        <v>4.8514101444984699E-2</v>
      </c>
      <c r="Q1011" s="880">
        <v>3.1135408957336601</v>
      </c>
      <c r="R1011" s="60">
        <v>0.60859474786257806</v>
      </c>
      <c r="S1011" s="60">
        <v>0.13113709615606201</v>
      </c>
      <c r="T1011" s="60">
        <v>0.41744366092384805</v>
      </c>
      <c r="U1011" s="60">
        <v>0.52376008329965906</v>
      </c>
    </row>
    <row r="1012" spans="1:21" x14ac:dyDescent="0.25">
      <c r="A1012" s="519" t="s">
        <v>1196</v>
      </c>
      <c r="B1012" s="519" t="s">
        <v>1199</v>
      </c>
      <c r="C1012" s="519" t="s">
        <v>284</v>
      </c>
      <c r="D1012" s="519" t="s">
        <v>110</v>
      </c>
      <c r="E1012" s="519" t="s">
        <v>282</v>
      </c>
      <c r="F1012" s="519" t="s">
        <v>16</v>
      </c>
      <c r="G1012" s="519" t="s">
        <v>58</v>
      </c>
      <c r="H1012" s="519" t="s">
        <v>152</v>
      </c>
      <c r="I1012" s="881">
        <v>184901.659449158</v>
      </c>
      <c r="J1012" s="881">
        <v>5538.8486259199099</v>
      </c>
      <c r="K1012" s="60">
        <v>2.9084403743221798E-2</v>
      </c>
      <c r="L1012" s="880">
        <v>3.1039156449372798</v>
      </c>
      <c r="M1012" s="373">
        <v>0</v>
      </c>
      <c r="N1012" s="60">
        <v>0.15621253191522702</v>
      </c>
      <c r="O1012" s="881">
        <v>589027.42538286501</v>
      </c>
      <c r="P1012" s="60">
        <v>4.8514101444984699E-2</v>
      </c>
      <c r="Q1012" s="880">
        <v>3.1135408957336601</v>
      </c>
      <c r="R1012" s="60">
        <v>0.60859474786257806</v>
      </c>
      <c r="S1012" s="60">
        <v>0.13113709615606201</v>
      </c>
      <c r="T1012" s="60">
        <v>0.32658303173853104</v>
      </c>
      <c r="U1012" s="60">
        <v>0.21876973005974501</v>
      </c>
    </row>
    <row r="1013" spans="1:21" x14ac:dyDescent="0.25">
      <c r="A1013" s="519" t="s">
        <v>1200</v>
      </c>
      <c r="B1013" s="519" t="s">
        <v>1201</v>
      </c>
      <c r="C1013" s="519" t="s">
        <v>284</v>
      </c>
      <c r="D1013" s="519" t="s">
        <v>110</v>
      </c>
      <c r="E1013" s="519" t="s">
        <v>282</v>
      </c>
      <c r="F1013" s="519" t="s">
        <v>16</v>
      </c>
      <c r="G1013" s="519" t="s">
        <v>59</v>
      </c>
      <c r="H1013" s="519" t="s">
        <v>154</v>
      </c>
      <c r="I1013" s="881">
        <v>226662.89411971701</v>
      </c>
      <c r="J1013" s="881">
        <v>15353.0944813601</v>
      </c>
      <c r="K1013" s="60">
        <v>6.3438347896373495E-2</v>
      </c>
      <c r="L1013" s="880">
        <v>3.0478346103665799</v>
      </c>
      <c r="M1013" s="373">
        <v>0</v>
      </c>
      <c r="N1013" s="60">
        <v>7.6359163921724899E-2</v>
      </c>
      <c r="O1013" s="881">
        <v>657921.75394176308</v>
      </c>
      <c r="P1013" s="60">
        <v>4.8387812284200901E-2</v>
      </c>
      <c r="Q1013" s="880">
        <v>3.0582529554679301</v>
      </c>
      <c r="R1013" s="60">
        <v>0.60859474786257806</v>
      </c>
      <c r="S1013" s="60">
        <v>9.0517045547154104E-2</v>
      </c>
      <c r="T1013" s="60">
        <v>0.34444835277653901</v>
      </c>
      <c r="U1013" s="60">
        <v>0.42305745245955906</v>
      </c>
    </row>
    <row r="1014" spans="1:21" x14ac:dyDescent="0.25">
      <c r="A1014" s="519" t="s">
        <v>1203</v>
      </c>
      <c r="B1014" s="519" t="s">
        <v>1758</v>
      </c>
      <c r="C1014" s="519" t="s">
        <v>284</v>
      </c>
      <c r="D1014" s="519" t="s">
        <v>110</v>
      </c>
      <c r="E1014" s="519" t="s">
        <v>282</v>
      </c>
      <c r="F1014" s="519" t="s">
        <v>17</v>
      </c>
      <c r="G1014" s="519" t="s">
        <v>56</v>
      </c>
      <c r="H1014" s="519" t="s">
        <v>145</v>
      </c>
      <c r="I1014" s="881">
        <v>163003.85453799801</v>
      </c>
      <c r="J1014" s="881">
        <v>10776.831873589901</v>
      </c>
      <c r="K1014" s="60">
        <v>6.2013979206329096E-2</v>
      </c>
      <c r="L1014" s="880">
        <v>3.0879223538084499</v>
      </c>
      <c r="M1014" s="373">
        <v>0</v>
      </c>
      <c r="N1014" s="60">
        <v>4.7525227559536698E-2</v>
      </c>
      <c r="O1014" s="881">
        <v>513694.14262547501</v>
      </c>
      <c r="P1014" s="60">
        <v>4.2512026718302398E-2</v>
      </c>
      <c r="Q1014" s="880">
        <v>3.0972232795049601</v>
      </c>
      <c r="R1014" s="60">
        <v>0.60859474786257806</v>
      </c>
      <c r="S1014" s="60">
        <v>4.4914760796643298E-2</v>
      </c>
      <c r="T1014" s="60">
        <v>0.35018401929397702</v>
      </c>
      <c r="U1014" s="60">
        <v>0.41751584436733302</v>
      </c>
    </row>
    <row r="1015" spans="1:21" x14ac:dyDescent="0.25">
      <c r="A1015" s="519" t="s">
        <v>2034</v>
      </c>
      <c r="B1015" s="519" t="s">
        <v>2035</v>
      </c>
      <c r="C1015" s="519" t="s">
        <v>284</v>
      </c>
      <c r="D1015" s="519" t="s">
        <v>110</v>
      </c>
      <c r="E1015" s="519" t="s">
        <v>282</v>
      </c>
      <c r="F1015" s="519" t="s">
        <v>17</v>
      </c>
      <c r="G1015" s="519" t="s">
        <v>57</v>
      </c>
      <c r="H1015" s="519" t="s">
        <v>149</v>
      </c>
      <c r="I1015" s="881">
        <v>135448.41542149099</v>
      </c>
      <c r="J1015" s="881">
        <v>12256.406742110001</v>
      </c>
      <c r="K1015" s="60">
        <v>8.2979056218859593E-2</v>
      </c>
      <c r="L1015" s="880">
        <v>3.0781843447615</v>
      </c>
      <c r="M1015" s="373">
        <v>0</v>
      </c>
      <c r="N1015" s="60">
        <v>4.0030621573736901E-2</v>
      </c>
      <c r="O1015" s="881">
        <v>135448.41542149099</v>
      </c>
      <c r="P1015" s="60">
        <v>8.297905621885901E-2</v>
      </c>
      <c r="Q1015" s="880">
        <v>3.0781843447615</v>
      </c>
      <c r="R1015" s="60">
        <v>0.60859474786257806</v>
      </c>
      <c r="S1015" s="60">
        <v>4.0030621573736901E-2</v>
      </c>
      <c r="T1015" s="60">
        <v>0.38115574484156806</v>
      </c>
      <c r="U1015" s="60">
        <v>0.40930054357889001</v>
      </c>
    </row>
    <row r="1016" spans="1:21" x14ac:dyDescent="0.25">
      <c r="A1016" s="519" t="s">
        <v>1204</v>
      </c>
      <c r="B1016" s="519" t="s">
        <v>1206</v>
      </c>
      <c r="C1016" s="519" t="s">
        <v>284</v>
      </c>
      <c r="D1016" s="519" t="s">
        <v>110</v>
      </c>
      <c r="E1016" s="519" t="s">
        <v>1</v>
      </c>
      <c r="F1016" s="519" t="s">
        <v>70</v>
      </c>
      <c r="G1016" s="519" t="s">
        <v>56</v>
      </c>
      <c r="H1016" s="519" t="s">
        <v>145</v>
      </c>
      <c r="I1016" s="881">
        <v>48343.678564189999</v>
      </c>
      <c r="J1016" s="881">
        <v>3415.1734850099897</v>
      </c>
      <c r="K1016" s="60">
        <v>6.59824039714723E-2</v>
      </c>
      <c r="L1016" s="880">
        <v>2.9627415312996299</v>
      </c>
      <c r="M1016" s="373">
        <v>0</v>
      </c>
      <c r="N1016" s="60">
        <v>0.15597300593226701</v>
      </c>
      <c r="O1016" s="881">
        <v>113977.1733746</v>
      </c>
      <c r="P1016" s="60">
        <v>6.87775153813487E-2</v>
      </c>
      <c r="Q1016" s="880">
        <v>2.9606930678087502</v>
      </c>
      <c r="R1016" s="60">
        <v>0.62924965978935909</v>
      </c>
      <c r="S1016" s="60">
        <v>0.12664468117698402</v>
      </c>
      <c r="T1016" s="60">
        <v>0.36111300901481203</v>
      </c>
      <c r="U1016" s="60">
        <v>0.37550540887534201</v>
      </c>
    </row>
    <row r="1017" spans="1:21" x14ac:dyDescent="0.25">
      <c r="A1017" s="519" t="s">
        <v>1208</v>
      </c>
      <c r="B1017" s="519" t="s">
        <v>1209</v>
      </c>
      <c r="C1017" s="519" t="s">
        <v>284</v>
      </c>
      <c r="D1017" s="519" t="s">
        <v>110</v>
      </c>
      <c r="E1017" s="519" t="s">
        <v>1</v>
      </c>
      <c r="F1017" s="519" t="s">
        <v>70</v>
      </c>
      <c r="G1017" s="519" t="s">
        <v>57</v>
      </c>
      <c r="H1017" s="519" t="s">
        <v>147</v>
      </c>
      <c r="I1017" s="881">
        <v>40013.497772020004</v>
      </c>
      <c r="J1017" s="881">
        <v>2118.51249448</v>
      </c>
      <c r="K1017" s="60">
        <v>5.0282729949975201E-2</v>
      </c>
      <c r="L1017" s="880">
        <v>2.8013359970361198</v>
      </c>
      <c r="M1017" s="373">
        <v>0</v>
      </c>
      <c r="N1017" s="60">
        <v>0.14213330139053401</v>
      </c>
      <c r="O1017" s="881">
        <v>142225.44859771</v>
      </c>
      <c r="P1017" s="60">
        <v>7.0027972847374595E-2</v>
      </c>
      <c r="Q1017" s="880">
        <v>3.0707598876884599</v>
      </c>
      <c r="R1017" s="60">
        <v>0.62924965978935909</v>
      </c>
      <c r="S1017" s="60">
        <v>0.14868736455530801</v>
      </c>
      <c r="T1017" s="60">
        <v>0.27349091941308701</v>
      </c>
      <c r="U1017" s="60">
        <v>0.196248501366</v>
      </c>
    </row>
    <row r="1018" spans="1:21" x14ac:dyDescent="0.25">
      <c r="A1018" s="519" t="s">
        <v>1208</v>
      </c>
      <c r="B1018" s="519" t="s">
        <v>1211</v>
      </c>
      <c r="C1018" s="519" t="s">
        <v>284</v>
      </c>
      <c r="D1018" s="519" t="s">
        <v>110</v>
      </c>
      <c r="E1018" s="519" t="s">
        <v>1</v>
      </c>
      <c r="F1018" s="519" t="s">
        <v>70</v>
      </c>
      <c r="G1018" s="519" t="s">
        <v>57</v>
      </c>
      <c r="H1018" s="519" t="s">
        <v>149</v>
      </c>
      <c r="I1018" s="881">
        <v>59029.076570260004</v>
      </c>
      <c r="J1018" s="881">
        <v>5582.5778087299896</v>
      </c>
      <c r="K1018" s="60">
        <v>8.6402025491941398E-2</v>
      </c>
      <c r="L1018" s="880">
        <v>3.1501085856834798</v>
      </c>
      <c r="M1018" s="373">
        <v>0</v>
      </c>
      <c r="N1018" s="60">
        <v>0.118780778344965</v>
      </c>
      <c r="O1018" s="881">
        <v>142225.44859771</v>
      </c>
      <c r="P1018" s="60">
        <v>7.0027972847374595E-2</v>
      </c>
      <c r="Q1018" s="880">
        <v>3.0707598876884599</v>
      </c>
      <c r="R1018" s="60">
        <v>0.62924965978935909</v>
      </c>
      <c r="S1018" s="60">
        <v>0.14868736455530801</v>
      </c>
      <c r="T1018" s="60">
        <v>0.40817637901226805</v>
      </c>
      <c r="U1018" s="60">
        <v>0.49759492326215604</v>
      </c>
    </row>
    <row r="1019" spans="1:21" x14ac:dyDescent="0.25">
      <c r="A1019" s="519" t="s">
        <v>1212</v>
      </c>
      <c r="B1019" s="519" t="s">
        <v>1213</v>
      </c>
      <c r="C1019" s="519" t="s">
        <v>284</v>
      </c>
      <c r="D1019" s="519" t="s">
        <v>110</v>
      </c>
      <c r="E1019" s="519" t="s">
        <v>1</v>
      </c>
      <c r="F1019" s="519" t="s">
        <v>70</v>
      </c>
      <c r="G1019" s="519" t="s">
        <v>58</v>
      </c>
      <c r="H1019" s="519" t="s">
        <v>150</v>
      </c>
      <c r="I1019" s="881">
        <v>88086.8825035505</v>
      </c>
      <c r="J1019" s="881">
        <v>3590.4806297600098</v>
      </c>
      <c r="K1019" s="60">
        <v>3.9164309563954398E-2</v>
      </c>
      <c r="L1019" s="880">
        <v>3.0210029794842601</v>
      </c>
      <c r="M1019" s="373">
        <v>0</v>
      </c>
      <c r="N1019" s="60">
        <v>0.14744463775859601</v>
      </c>
      <c r="O1019" s="881">
        <v>228002.61248570101</v>
      </c>
      <c r="P1019" s="60">
        <v>2.8516635652164099E-2</v>
      </c>
      <c r="Q1019" s="880">
        <v>3.0111008623034001</v>
      </c>
      <c r="R1019" s="60">
        <v>0.62924965978935909</v>
      </c>
      <c r="S1019" s="60">
        <v>0.18448404969297402</v>
      </c>
      <c r="T1019" s="60">
        <v>0.41336279292046801</v>
      </c>
      <c r="U1019" s="60">
        <v>0.57901268658112903</v>
      </c>
    </row>
    <row r="1020" spans="1:21" x14ac:dyDescent="0.25">
      <c r="A1020" s="519" t="s">
        <v>1212</v>
      </c>
      <c r="B1020" s="519" t="s">
        <v>1215</v>
      </c>
      <c r="C1020" s="519" t="s">
        <v>284</v>
      </c>
      <c r="D1020" s="519" t="s">
        <v>110</v>
      </c>
      <c r="E1020" s="519" t="s">
        <v>1</v>
      </c>
      <c r="F1020" s="519" t="s">
        <v>70</v>
      </c>
      <c r="G1020" s="519" t="s">
        <v>58</v>
      </c>
      <c r="H1020" s="519" t="s">
        <v>152</v>
      </c>
      <c r="I1020" s="881">
        <v>79990.91331200031</v>
      </c>
      <c r="J1020" s="881">
        <v>1884.9023693700099</v>
      </c>
      <c r="K1020" s="60">
        <v>2.3021478976226001E-2</v>
      </c>
      <c r="L1020" s="880">
        <v>2.9999842519050799</v>
      </c>
      <c r="M1020" s="373">
        <v>0</v>
      </c>
      <c r="N1020" s="60">
        <v>0.21479427035648602</v>
      </c>
      <c r="O1020" s="881">
        <v>228002.61248570101</v>
      </c>
      <c r="P1020" s="60">
        <v>2.8516635652164099E-2</v>
      </c>
      <c r="Q1020" s="880">
        <v>3.0111008623034001</v>
      </c>
      <c r="R1020" s="60">
        <v>0.62924965978935909</v>
      </c>
      <c r="S1020" s="60">
        <v>0.18448404969297402</v>
      </c>
      <c r="T1020" s="60">
        <v>0.359308363281439</v>
      </c>
      <c r="U1020" s="60">
        <v>0.24044992179885102</v>
      </c>
    </row>
    <row r="1021" spans="1:21" x14ac:dyDescent="0.25">
      <c r="A1021" s="519" t="s">
        <v>1216</v>
      </c>
      <c r="B1021" s="519" t="s">
        <v>1218</v>
      </c>
      <c r="C1021" s="519" t="s">
        <v>284</v>
      </c>
      <c r="D1021" s="519" t="s">
        <v>110</v>
      </c>
      <c r="E1021" s="519" t="s">
        <v>1</v>
      </c>
      <c r="F1021" s="519" t="s">
        <v>70</v>
      </c>
      <c r="G1021" s="519" t="s">
        <v>59</v>
      </c>
      <c r="H1021" s="519" t="s">
        <v>154</v>
      </c>
      <c r="I1021" s="881">
        <v>39977.106692189998</v>
      </c>
      <c r="J1021" s="881">
        <v>2181.81325947</v>
      </c>
      <c r="K1021" s="60">
        <v>5.1752114664505099E-2</v>
      </c>
      <c r="L1021" s="880">
        <v>2.9145629282981003</v>
      </c>
      <c r="M1021" s="373">
        <v>0</v>
      </c>
      <c r="N1021" s="60">
        <v>0.19792635422377403</v>
      </c>
      <c r="O1021" s="881">
        <v>143520.44300003001</v>
      </c>
      <c r="P1021" s="60">
        <v>3.7130937847851701E-2</v>
      </c>
      <c r="Q1021" s="880">
        <v>2.98052452185873</v>
      </c>
      <c r="R1021" s="60">
        <v>0.62924965978935909</v>
      </c>
      <c r="S1021" s="60">
        <v>0.19530894732546303</v>
      </c>
      <c r="T1021" s="60">
        <v>0.29090814522000602</v>
      </c>
      <c r="U1021" s="60">
        <v>0.49374324656942503</v>
      </c>
    </row>
    <row r="1022" spans="1:21" x14ac:dyDescent="0.25">
      <c r="A1022" s="519" t="s">
        <v>1220</v>
      </c>
      <c r="B1022" s="519" t="s">
        <v>1222</v>
      </c>
      <c r="C1022" s="519" t="s">
        <v>284</v>
      </c>
      <c r="D1022" s="519" t="s">
        <v>110</v>
      </c>
      <c r="E1022" s="519" t="s">
        <v>1</v>
      </c>
      <c r="F1022" s="519" t="s">
        <v>16</v>
      </c>
      <c r="G1022" s="519" t="s">
        <v>56</v>
      </c>
      <c r="H1022" s="519" t="s">
        <v>145</v>
      </c>
      <c r="I1022" s="881">
        <v>42479.482714379999</v>
      </c>
      <c r="J1022" s="881">
        <v>3269.1666171500001</v>
      </c>
      <c r="K1022" s="60">
        <v>7.14593034967895E-2</v>
      </c>
      <c r="L1022" s="880">
        <v>2.99507943212696</v>
      </c>
      <c r="M1022" s="373">
        <v>0</v>
      </c>
      <c r="N1022" s="60">
        <v>0.18882196786461203</v>
      </c>
      <c r="O1022" s="881">
        <v>132990.54823146001</v>
      </c>
      <c r="P1022" s="60">
        <v>4.9093054989434698E-2</v>
      </c>
      <c r="Q1022" s="880">
        <v>2.9829926137891198</v>
      </c>
      <c r="R1022" s="60">
        <v>0.62924965978935909</v>
      </c>
      <c r="S1022" s="60">
        <v>0.18914085440283701</v>
      </c>
      <c r="T1022" s="60">
        <v>0.36111300901481203</v>
      </c>
      <c r="U1022" s="60">
        <v>0.37550540887534201</v>
      </c>
    </row>
    <row r="1023" spans="1:21" x14ac:dyDescent="0.25">
      <c r="A1023" s="519" t="s">
        <v>1224</v>
      </c>
      <c r="B1023" s="519" t="s">
        <v>1225</v>
      </c>
      <c r="C1023" s="519" t="s">
        <v>284</v>
      </c>
      <c r="D1023" s="519" t="s">
        <v>110</v>
      </c>
      <c r="E1023" s="519" t="s">
        <v>1</v>
      </c>
      <c r="F1023" s="519" t="s">
        <v>16</v>
      </c>
      <c r="G1023" s="519" t="s">
        <v>57</v>
      </c>
      <c r="H1023" s="519" t="s">
        <v>147</v>
      </c>
      <c r="I1023" s="881">
        <v>35384.703078140003</v>
      </c>
      <c r="J1023" s="881">
        <v>2319.7937331799999</v>
      </c>
      <c r="K1023" s="60">
        <v>6.1525651563224801E-2</v>
      </c>
      <c r="L1023" s="880">
        <v>2.90329821669064</v>
      </c>
      <c r="M1023" s="373">
        <v>0</v>
      </c>
      <c r="N1023" s="60">
        <v>0.18730772555032502</v>
      </c>
      <c r="O1023" s="881">
        <v>133462.68398075001</v>
      </c>
      <c r="P1023" s="60">
        <v>8.1902125090164299E-2</v>
      </c>
      <c r="Q1023" s="880">
        <v>2.9705382663056401</v>
      </c>
      <c r="R1023" s="60">
        <v>0.62924965978935909</v>
      </c>
      <c r="S1023" s="60">
        <v>0.17042243330653101</v>
      </c>
      <c r="T1023" s="60">
        <v>0.27349091941308701</v>
      </c>
      <c r="U1023" s="60">
        <v>0.196248501366</v>
      </c>
    </row>
    <row r="1024" spans="1:21" x14ac:dyDescent="0.25">
      <c r="A1024" s="519" t="s">
        <v>1224</v>
      </c>
      <c r="B1024" s="519" t="s">
        <v>1227</v>
      </c>
      <c r="C1024" s="519" t="s">
        <v>284</v>
      </c>
      <c r="D1024" s="519" t="s">
        <v>110</v>
      </c>
      <c r="E1024" s="519" t="s">
        <v>1</v>
      </c>
      <c r="F1024" s="519" t="s">
        <v>16</v>
      </c>
      <c r="G1024" s="519" t="s">
        <v>57</v>
      </c>
      <c r="H1024" s="519" t="s">
        <v>149</v>
      </c>
      <c r="I1024" s="881">
        <v>53500.307122270104</v>
      </c>
      <c r="J1024" s="881">
        <v>5670.9025052299894</v>
      </c>
      <c r="K1024" s="60">
        <v>9.5838880782224703E-2</v>
      </c>
      <c r="L1024" s="880">
        <v>2.9746052187925298</v>
      </c>
      <c r="M1024" s="373">
        <v>0</v>
      </c>
      <c r="N1024" s="60">
        <v>0.150999071865837</v>
      </c>
      <c r="O1024" s="881">
        <v>133462.68398075001</v>
      </c>
      <c r="P1024" s="60">
        <v>8.1902125090164299E-2</v>
      </c>
      <c r="Q1024" s="880">
        <v>2.9705382663056401</v>
      </c>
      <c r="R1024" s="60">
        <v>0.62924965978935909</v>
      </c>
      <c r="S1024" s="60">
        <v>0.17042243330653101</v>
      </c>
      <c r="T1024" s="60">
        <v>0.40817637901226805</v>
      </c>
      <c r="U1024" s="60">
        <v>0.49759492326215604</v>
      </c>
    </row>
    <row r="1025" spans="1:21" x14ac:dyDescent="0.25">
      <c r="A1025" s="519" t="s">
        <v>1228</v>
      </c>
      <c r="B1025" s="519" t="s">
        <v>1229</v>
      </c>
      <c r="C1025" s="519" t="s">
        <v>284</v>
      </c>
      <c r="D1025" s="519" t="s">
        <v>110</v>
      </c>
      <c r="E1025" s="519" t="s">
        <v>1</v>
      </c>
      <c r="F1025" s="519" t="s">
        <v>16</v>
      </c>
      <c r="G1025" s="519" t="s">
        <v>58</v>
      </c>
      <c r="H1025" s="519" t="s">
        <v>150</v>
      </c>
      <c r="I1025" s="881">
        <v>98592.386906930406</v>
      </c>
      <c r="J1025" s="881">
        <v>4997.1604230799794</v>
      </c>
      <c r="K1025" s="60">
        <v>4.8240006370143702E-2</v>
      </c>
      <c r="L1025" s="880">
        <v>3.01529615646482</v>
      </c>
      <c r="M1025" s="373">
        <v>0</v>
      </c>
      <c r="N1025" s="60">
        <v>0.18361800428981701</v>
      </c>
      <c r="O1025" s="881">
        <v>223608.593475931</v>
      </c>
      <c r="P1025" s="60">
        <v>3.5119287799343202E-2</v>
      </c>
      <c r="Q1025" s="880">
        <v>3.0165898975977101</v>
      </c>
      <c r="R1025" s="60">
        <v>0.62924965978935909</v>
      </c>
      <c r="S1025" s="60">
        <v>0.22066005111758402</v>
      </c>
      <c r="T1025" s="60">
        <v>0.41336279292046801</v>
      </c>
      <c r="U1025" s="60">
        <v>0.57901268658112903</v>
      </c>
    </row>
    <row r="1026" spans="1:21" x14ac:dyDescent="0.25">
      <c r="A1026" s="519" t="s">
        <v>1228</v>
      </c>
      <c r="B1026" s="519" t="s">
        <v>1231</v>
      </c>
      <c r="C1026" s="519" t="s">
        <v>284</v>
      </c>
      <c r="D1026" s="519" t="s">
        <v>110</v>
      </c>
      <c r="E1026" s="519" t="s">
        <v>1</v>
      </c>
      <c r="F1026" s="519" t="s">
        <v>16</v>
      </c>
      <c r="G1026" s="519" t="s">
        <v>58</v>
      </c>
      <c r="H1026" s="519" t="s">
        <v>152</v>
      </c>
      <c r="I1026" s="881">
        <v>82276.769941630308</v>
      </c>
      <c r="J1026" s="881">
        <v>1681.3366223600099</v>
      </c>
      <c r="K1026" s="60">
        <v>2.0025899715574901E-2</v>
      </c>
      <c r="L1026" s="880">
        <v>3.0367709884986298</v>
      </c>
      <c r="M1026" s="373">
        <v>0</v>
      </c>
      <c r="N1026" s="60">
        <v>0.23687152204122902</v>
      </c>
      <c r="O1026" s="881">
        <v>223608.593475931</v>
      </c>
      <c r="P1026" s="60">
        <v>3.5119287799343202E-2</v>
      </c>
      <c r="Q1026" s="880">
        <v>3.0165898975977101</v>
      </c>
      <c r="R1026" s="60">
        <v>0.62924965978935909</v>
      </c>
      <c r="S1026" s="60">
        <v>0.22066005111758402</v>
      </c>
      <c r="T1026" s="60">
        <v>0.359308363281439</v>
      </c>
      <c r="U1026" s="60">
        <v>0.24044992179885102</v>
      </c>
    </row>
    <row r="1027" spans="1:21" x14ac:dyDescent="0.25">
      <c r="A1027" s="519" t="s">
        <v>1232</v>
      </c>
      <c r="B1027" s="519" t="s">
        <v>1233</v>
      </c>
      <c r="C1027" s="519" t="s">
        <v>284</v>
      </c>
      <c r="D1027" s="519" t="s">
        <v>110</v>
      </c>
      <c r="E1027" s="519" t="s">
        <v>1</v>
      </c>
      <c r="F1027" s="519" t="s">
        <v>16</v>
      </c>
      <c r="G1027" s="519" t="s">
        <v>59</v>
      </c>
      <c r="H1027" s="519" t="s">
        <v>154</v>
      </c>
      <c r="I1027" s="881">
        <v>43715.322395370102</v>
      </c>
      <c r="J1027" s="881">
        <v>10089.717501770001</v>
      </c>
      <c r="K1027" s="60">
        <v>0.18752365059218801</v>
      </c>
      <c r="L1027" s="880">
        <v>2.99444740915327</v>
      </c>
      <c r="M1027" s="373">
        <v>0</v>
      </c>
      <c r="N1027" s="60">
        <v>9.4562225176173298E-2</v>
      </c>
      <c r="O1027" s="881">
        <v>144173.2172248</v>
      </c>
      <c r="P1027" s="60">
        <v>0.11816745841381901</v>
      </c>
      <c r="Q1027" s="880">
        <v>2.9672494995954</v>
      </c>
      <c r="R1027" s="60">
        <v>0.62924965978935909</v>
      </c>
      <c r="S1027" s="60">
        <v>0.12802369361030602</v>
      </c>
      <c r="T1027" s="60">
        <v>0.29090814522000602</v>
      </c>
      <c r="U1027" s="60">
        <v>0.49374324656942503</v>
      </c>
    </row>
    <row r="1028" spans="1:21" x14ac:dyDescent="0.25">
      <c r="A1028" s="519" t="s">
        <v>1235</v>
      </c>
      <c r="B1028" s="519" t="s">
        <v>1778</v>
      </c>
      <c r="C1028" s="519" t="s">
        <v>284</v>
      </c>
      <c r="D1028" s="519" t="s">
        <v>110</v>
      </c>
      <c r="E1028" s="519" t="s">
        <v>1</v>
      </c>
      <c r="F1028" s="519" t="s">
        <v>17</v>
      </c>
      <c r="G1028" s="519" t="s">
        <v>56</v>
      </c>
      <c r="H1028" s="519" t="s">
        <v>145</v>
      </c>
      <c r="I1028" s="881">
        <v>48965.635007540099</v>
      </c>
      <c r="J1028" s="881">
        <v>7314.4897959699792</v>
      </c>
      <c r="K1028" s="60">
        <v>0.12996577071403001</v>
      </c>
      <c r="L1028" s="880">
        <v>2.95785507897163</v>
      </c>
      <c r="M1028" s="373">
        <v>0</v>
      </c>
      <c r="N1028" s="60">
        <v>0.14263269166068301</v>
      </c>
      <c r="O1028" s="881">
        <v>140137.67974041001</v>
      </c>
      <c r="P1028" s="60">
        <v>0.13566553909550302</v>
      </c>
      <c r="Q1028" s="880">
        <v>2.9597166477634702</v>
      </c>
      <c r="R1028" s="60">
        <v>0.62924965978935909</v>
      </c>
      <c r="S1028" s="60">
        <v>0.11615616335416</v>
      </c>
      <c r="T1028" s="60">
        <v>0.36111300901481203</v>
      </c>
      <c r="U1028" s="60">
        <v>0.37550540887534201</v>
      </c>
    </row>
    <row r="1029" spans="1:21" x14ac:dyDescent="0.25">
      <c r="A1029" s="519" t="s">
        <v>2036</v>
      </c>
      <c r="B1029" s="519" t="s">
        <v>2037</v>
      </c>
      <c r="C1029" s="519" t="s">
        <v>284</v>
      </c>
      <c r="D1029" s="519" t="s">
        <v>110</v>
      </c>
      <c r="E1029" s="519" t="s">
        <v>1</v>
      </c>
      <c r="F1029" s="519" t="s">
        <v>17</v>
      </c>
      <c r="G1029" s="519" t="s">
        <v>57</v>
      </c>
      <c r="H1029" s="519" t="s">
        <v>149</v>
      </c>
      <c r="I1029" s="881">
        <v>46003.808182970002</v>
      </c>
      <c r="J1029" s="881">
        <v>7007.8632542300002</v>
      </c>
      <c r="K1029" s="60">
        <v>0.13219472361915202</v>
      </c>
      <c r="L1029" s="880">
        <v>2.92948906630023</v>
      </c>
      <c r="M1029" s="373">
        <v>0</v>
      </c>
      <c r="N1029" s="60">
        <v>0.20751670040077302</v>
      </c>
      <c r="O1029" s="881">
        <v>46003.808182970002</v>
      </c>
      <c r="P1029" s="60">
        <v>0.13219472361915302</v>
      </c>
      <c r="Q1029" s="880">
        <v>2.92948906630023</v>
      </c>
      <c r="R1029" s="60">
        <v>0.62924965978935909</v>
      </c>
      <c r="S1029" s="60">
        <v>0.20751670040077302</v>
      </c>
      <c r="T1029" s="60">
        <v>0.40817637901226805</v>
      </c>
      <c r="U1029" s="60">
        <v>0.49759492326215604</v>
      </c>
    </row>
    <row r="1030" spans="1:21" x14ac:dyDescent="0.25">
      <c r="A1030" s="519" t="s">
        <v>1890</v>
      </c>
      <c r="B1030" s="519" t="s">
        <v>2038</v>
      </c>
      <c r="C1030" s="519" t="s">
        <v>284</v>
      </c>
      <c r="D1030" s="519" t="s">
        <v>110</v>
      </c>
      <c r="E1030" s="519" t="s">
        <v>1838</v>
      </c>
      <c r="F1030" s="519" t="s">
        <v>70</v>
      </c>
      <c r="G1030" s="519" t="s">
        <v>57</v>
      </c>
      <c r="H1030" s="519" t="s">
        <v>148</v>
      </c>
      <c r="I1030" s="881">
        <v>597.78719999999998</v>
      </c>
      <c r="J1030" s="881">
        <v>3.4306672100000002</v>
      </c>
      <c r="K1030" s="60">
        <v>5.7061963675835003E-3</v>
      </c>
      <c r="L1030" s="880">
        <v>3.8270243370316499</v>
      </c>
      <c r="M1030" s="373">
        <v>0</v>
      </c>
      <c r="N1030" s="60">
        <v>1</v>
      </c>
      <c r="O1030" s="881">
        <v>2485.9754200000002</v>
      </c>
      <c r="P1030" s="60">
        <v>4.46806975738623E-3</v>
      </c>
      <c r="Q1030" s="880">
        <v>2.9627901046649798</v>
      </c>
      <c r="R1030" s="60">
        <v>0.591872607487541</v>
      </c>
      <c r="S1030" s="60">
        <v>1</v>
      </c>
      <c r="T1030" s="60">
        <v>0.27085974598776402</v>
      </c>
      <c r="U1030" s="60">
        <v>4.7827667261876296E-2</v>
      </c>
    </row>
    <row r="1031" spans="1:21" x14ac:dyDescent="0.25">
      <c r="A1031" s="519" t="s">
        <v>1892</v>
      </c>
      <c r="B1031" s="519" t="s">
        <v>2039</v>
      </c>
      <c r="C1031" s="519" t="s">
        <v>284</v>
      </c>
      <c r="D1031" s="519" t="s">
        <v>110</v>
      </c>
      <c r="E1031" s="519" t="s">
        <v>1838</v>
      </c>
      <c r="F1031" s="519" t="s">
        <v>70</v>
      </c>
      <c r="G1031" s="519" t="s">
        <v>58</v>
      </c>
      <c r="H1031" s="519" t="s">
        <v>151</v>
      </c>
      <c r="I1031" s="881">
        <v>138.27680000000001</v>
      </c>
      <c r="J1031" s="881">
        <v>0.92143531000000001</v>
      </c>
      <c r="K1031" s="60">
        <v>6.6195904563583503E-3</v>
      </c>
      <c r="L1031" s="880">
        <v>2.8441440399568698</v>
      </c>
      <c r="M1031" s="373">
        <v>0</v>
      </c>
      <c r="N1031" s="60">
        <v>1</v>
      </c>
      <c r="O1031" s="881">
        <v>11314.291620489999</v>
      </c>
      <c r="P1031" s="60">
        <v>1.73231941887944E-2</v>
      </c>
      <c r="Q1031" s="880">
        <v>2.9687921378404698</v>
      </c>
      <c r="R1031" s="60">
        <v>0.591872607487541</v>
      </c>
      <c r="S1031" s="60">
        <v>1</v>
      </c>
      <c r="T1031" s="60">
        <v>0.15208458051425</v>
      </c>
      <c r="U1031" s="60">
        <v>7.8801759854654804E-2</v>
      </c>
    </row>
    <row r="1032" spans="1:21" x14ac:dyDescent="0.25">
      <c r="A1032" s="519" t="s">
        <v>1895</v>
      </c>
      <c r="B1032" s="519" t="s">
        <v>2040</v>
      </c>
      <c r="C1032" s="519" t="s">
        <v>284</v>
      </c>
      <c r="D1032" s="519" t="s">
        <v>110</v>
      </c>
      <c r="E1032" s="519" t="s">
        <v>1838</v>
      </c>
      <c r="F1032" s="519" t="s">
        <v>70</v>
      </c>
      <c r="G1032" s="519" t="s">
        <v>59</v>
      </c>
      <c r="H1032" s="519" t="s">
        <v>153</v>
      </c>
      <c r="I1032" s="881">
        <v>10580.562935370001</v>
      </c>
      <c r="J1032" s="881">
        <v>60.043521810000001</v>
      </c>
      <c r="K1032" s="60">
        <v>5.6428665087490601E-3</v>
      </c>
      <c r="L1032" s="880">
        <v>3.0529142638714499</v>
      </c>
      <c r="M1032" s="373">
        <v>0</v>
      </c>
      <c r="N1032" s="60">
        <v>0.574170413472196</v>
      </c>
      <c r="O1032" s="881">
        <v>36133.458593770003</v>
      </c>
      <c r="P1032" s="60">
        <v>8.7599140239049203E-3</v>
      </c>
      <c r="Q1032" s="880">
        <v>2.9934120993706101</v>
      </c>
      <c r="R1032" s="60">
        <v>0.591872607487541</v>
      </c>
      <c r="S1032" s="60">
        <v>0.58695544841912106</v>
      </c>
      <c r="T1032" s="60">
        <v>0.24947076773625801</v>
      </c>
      <c r="U1032" s="60">
        <v>0.19241834117880502</v>
      </c>
    </row>
    <row r="1033" spans="1:21" x14ac:dyDescent="0.25">
      <c r="A1033" s="519" t="s">
        <v>1895</v>
      </c>
      <c r="B1033" s="519" t="s">
        <v>2041</v>
      </c>
      <c r="C1033" s="519" t="s">
        <v>284</v>
      </c>
      <c r="D1033" s="519" t="s">
        <v>110</v>
      </c>
      <c r="E1033" s="519" t="s">
        <v>1838</v>
      </c>
      <c r="F1033" s="519" t="s">
        <v>70</v>
      </c>
      <c r="G1033" s="519" t="s">
        <v>59</v>
      </c>
      <c r="H1033" s="519" t="s">
        <v>155</v>
      </c>
      <c r="I1033" s="881">
        <v>9041.4230766500186</v>
      </c>
      <c r="J1033" s="881">
        <v>78.747391270000008</v>
      </c>
      <c r="K1033" s="60">
        <v>8.6344209844533507E-3</v>
      </c>
      <c r="L1033" s="880">
        <v>2.9150097988327102</v>
      </c>
      <c r="M1033" s="373">
        <v>0</v>
      </c>
      <c r="N1033" s="60">
        <v>1</v>
      </c>
      <c r="O1033" s="881">
        <v>36133.458593770003</v>
      </c>
      <c r="P1033" s="60">
        <v>8.7599140239049203E-3</v>
      </c>
      <c r="Q1033" s="880">
        <v>2.9934120993706101</v>
      </c>
      <c r="R1033" s="60">
        <v>0.591872607487541</v>
      </c>
      <c r="S1033" s="60">
        <v>0.58695544841912106</v>
      </c>
      <c r="T1033" s="60">
        <v>0.39617880642275605</v>
      </c>
      <c r="U1033" s="60">
        <v>0.43751344040208201</v>
      </c>
    </row>
    <row r="1034" spans="1:21" x14ac:dyDescent="0.25">
      <c r="A1034" s="519" t="s">
        <v>1897</v>
      </c>
      <c r="B1034" s="519" t="s">
        <v>2042</v>
      </c>
      <c r="C1034" s="519" t="s">
        <v>284</v>
      </c>
      <c r="D1034" s="519" t="s">
        <v>110</v>
      </c>
      <c r="E1034" s="519" t="s">
        <v>1838</v>
      </c>
      <c r="F1034" s="519" t="s">
        <v>16</v>
      </c>
      <c r="G1034" s="519" t="s">
        <v>56</v>
      </c>
      <c r="H1034" s="519" t="s">
        <v>144</v>
      </c>
      <c r="I1034" s="881">
        <v>13202.38413866</v>
      </c>
      <c r="J1034" s="881">
        <v>60.468244390000002</v>
      </c>
      <c r="K1034" s="60">
        <v>4.5592186841556604E-3</v>
      </c>
      <c r="L1034" s="880">
        <v>3.0403738894488401</v>
      </c>
      <c r="M1034" s="373">
        <v>0</v>
      </c>
      <c r="N1034" s="60">
        <v>0.8344116352743931</v>
      </c>
      <c r="O1034" s="881">
        <v>33316.806598970099</v>
      </c>
      <c r="P1034" s="60">
        <v>1.7421627980261499E-2</v>
      </c>
      <c r="Q1034" s="880">
        <v>3.03181368058334</v>
      </c>
      <c r="R1034" s="60">
        <v>0.591872607487541</v>
      </c>
      <c r="S1034" s="60">
        <v>0.91758126362311998</v>
      </c>
      <c r="T1034" s="60">
        <v>0.38456155684989002</v>
      </c>
      <c r="U1034" s="60">
        <v>0.133413789382647</v>
      </c>
    </row>
    <row r="1035" spans="1:21" x14ac:dyDescent="0.25">
      <c r="A1035" s="519" t="s">
        <v>1897</v>
      </c>
      <c r="B1035" s="519" t="s">
        <v>2043</v>
      </c>
      <c r="C1035" s="519" t="s">
        <v>284</v>
      </c>
      <c r="D1035" s="519" t="s">
        <v>110</v>
      </c>
      <c r="E1035" s="519" t="s">
        <v>1838</v>
      </c>
      <c r="F1035" s="519" t="s">
        <v>16</v>
      </c>
      <c r="G1035" s="519" t="s">
        <v>56</v>
      </c>
      <c r="H1035" s="519" t="s">
        <v>146</v>
      </c>
      <c r="I1035" s="881">
        <v>12056.1147</v>
      </c>
      <c r="J1035" s="881">
        <v>292.07342332000002</v>
      </c>
      <c r="K1035" s="60">
        <v>2.36531400723001E-2</v>
      </c>
      <c r="L1035" s="880">
        <v>3.0333166845263899</v>
      </c>
      <c r="M1035" s="373">
        <v>0</v>
      </c>
      <c r="N1035" s="60">
        <v>0.96241104109601805</v>
      </c>
      <c r="O1035" s="881">
        <v>33316.806598970099</v>
      </c>
      <c r="P1035" s="60">
        <v>1.7421627980261499E-2</v>
      </c>
      <c r="Q1035" s="880">
        <v>3.03181368058334</v>
      </c>
      <c r="R1035" s="60">
        <v>0.591872607487541</v>
      </c>
      <c r="S1035" s="60">
        <v>0.91758126362311998</v>
      </c>
      <c r="T1035" s="60">
        <v>0.31020366812116101</v>
      </c>
      <c r="U1035" s="60">
        <v>0.41184626484491305</v>
      </c>
    </row>
    <row r="1036" spans="1:21" x14ac:dyDescent="0.25">
      <c r="A1036" s="519" t="s">
        <v>1899</v>
      </c>
      <c r="B1036" s="519" t="s">
        <v>2044</v>
      </c>
      <c r="C1036" s="519" t="s">
        <v>284</v>
      </c>
      <c r="D1036" s="519" t="s">
        <v>110</v>
      </c>
      <c r="E1036" s="519" t="s">
        <v>1838</v>
      </c>
      <c r="F1036" s="519" t="s">
        <v>16</v>
      </c>
      <c r="G1036" s="519" t="s">
        <v>57</v>
      </c>
      <c r="H1036" s="519" t="s">
        <v>148</v>
      </c>
      <c r="I1036" s="881">
        <v>5414.8969541300003</v>
      </c>
      <c r="J1036" s="881">
        <v>46.686536599999997</v>
      </c>
      <c r="K1036" s="60">
        <v>8.5481686179917412E-3</v>
      </c>
      <c r="L1036" s="880">
        <v>3.1206452611869002</v>
      </c>
      <c r="M1036" s="373">
        <v>0</v>
      </c>
      <c r="N1036" s="60">
        <v>1</v>
      </c>
      <c r="O1036" s="881">
        <v>19712.539653560001</v>
      </c>
      <c r="P1036" s="60">
        <v>4.9963880182437401E-2</v>
      </c>
      <c r="Q1036" s="880">
        <v>3.0641264269903798</v>
      </c>
      <c r="R1036" s="60">
        <v>0.591872607487541</v>
      </c>
      <c r="S1036" s="60">
        <v>0.99450179419269102</v>
      </c>
      <c r="T1036" s="60">
        <v>0.27085974598776402</v>
      </c>
      <c r="U1036" s="60">
        <v>4.7827667261876296E-2</v>
      </c>
    </row>
    <row r="1037" spans="1:21" x14ac:dyDescent="0.25">
      <c r="A1037" s="519" t="s">
        <v>1902</v>
      </c>
      <c r="B1037" s="519" t="s">
        <v>2045</v>
      </c>
      <c r="C1037" s="519" t="s">
        <v>284</v>
      </c>
      <c r="D1037" s="519" t="s">
        <v>110</v>
      </c>
      <c r="E1037" s="519" t="s">
        <v>1838</v>
      </c>
      <c r="F1037" s="519" t="s">
        <v>16</v>
      </c>
      <c r="G1037" s="519" t="s">
        <v>58</v>
      </c>
      <c r="H1037" s="519" t="s">
        <v>150</v>
      </c>
      <c r="I1037" s="881">
        <v>6762.53405372</v>
      </c>
      <c r="J1037" s="881">
        <v>94.662223399999903</v>
      </c>
      <c r="K1037" s="60">
        <v>1.38048000340684E-2</v>
      </c>
      <c r="L1037" s="880">
        <v>3.1467229744490899</v>
      </c>
      <c r="M1037" s="373">
        <v>0</v>
      </c>
      <c r="N1037" s="60">
        <v>0.88109278657788503</v>
      </c>
      <c r="O1037" s="881">
        <v>15958.121385320001</v>
      </c>
      <c r="P1037" s="60">
        <v>1.01596419918629E-2</v>
      </c>
      <c r="Q1037" s="880">
        <v>3.1612618469694298</v>
      </c>
      <c r="R1037" s="60">
        <v>0.591872607487541</v>
      </c>
      <c r="S1037" s="60">
        <v>0.88883284710242005</v>
      </c>
      <c r="T1037" s="60">
        <v>0.56979889204888001</v>
      </c>
      <c r="U1037" s="60">
        <v>0.75166383706725703</v>
      </c>
    </row>
    <row r="1038" spans="1:21" x14ac:dyDescent="0.25">
      <c r="A1038" s="519" t="s">
        <v>1902</v>
      </c>
      <c r="B1038" s="519" t="s">
        <v>2046</v>
      </c>
      <c r="C1038" s="519" t="s">
        <v>284</v>
      </c>
      <c r="D1038" s="519" t="s">
        <v>110</v>
      </c>
      <c r="E1038" s="519" t="s">
        <v>1838</v>
      </c>
      <c r="F1038" s="519" t="s">
        <v>16</v>
      </c>
      <c r="G1038" s="519" t="s">
        <v>58</v>
      </c>
      <c r="H1038" s="519" t="s">
        <v>152</v>
      </c>
      <c r="I1038" s="881">
        <v>5186.1506400000007</v>
      </c>
      <c r="J1038" s="881">
        <v>41.427527599999998</v>
      </c>
      <c r="K1038" s="60">
        <v>7.924803086975081E-3</v>
      </c>
      <c r="L1038" s="880">
        <v>3.1928368357433401</v>
      </c>
      <c r="M1038" s="373">
        <v>0</v>
      </c>
      <c r="N1038" s="60">
        <v>0.81878034302528402</v>
      </c>
      <c r="O1038" s="881">
        <v>15958.121385320001</v>
      </c>
      <c r="P1038" s="60">
        <v>1.01596419918629E-2</v>
      </c>
      <c r="Q1038" s="880">
        <v>3.1612618469694298</v>
      </c>
      <c r="R1038" s="60">
        <v>0.591872607487541</v>
      </c>
      <c r="S1038" s="60">
        <v>0.88883284710242005</v>
      </c>
      <c r="T1038" s="60">
        <v>0.27811652743686999</v>
      </c>
      <c r="U1038" s="60">
        <v>0.16953440307808801</v>
      </c>
    </row>
    <row r="1039" spans="1:21" x14ac:dyDescent="0.25">
      <c r="A1039" s="519" t="s">
        <v>1904</v>
      </c>
      <c r="B1039" s="519" t="s">
        <v>2047</v>
      </c>
      <c r="C1039" s="519" t="s">
        <v>284</v>
      </c>
      <c r="D1039" s="519" t="s">
        <v>110</v>
      </c>
      <c r="E1039" s="519" t="s">
        <v>1838</v>
      </c>
      <c r="F1039" s="519" t="s">
        <v>16</v>
      </c>
      <c r="G1039" s="519" t="s">
        <v>59</v>
      </c>
      <c r="H1039" s="519" t="s">
        <v>154</v>
      </c>
      <c r="I1039" s="881">
        <v>15582.18925227</v>
      </c>
      <c r="J1039" s="881">
        <v>178.57881625000002</v>
      </c>
      <c r="K1039" s="60">
        <v>1.13305909631832E-2</v>
      </c>
      <c r="L1039" s="880">
        <v>2.9706639075230901</v>
      </c>
      <c r="M1039" s="373">
        <v>0</v>
      </c>
      <c r="N1039" s="60">
        <v>0.32706282008849102</v>
      </c>
      <c r="O1039" s="881">
        <v>54436.947122130099</v>
      </c>
      <c r="P1039" s="60">
        <v>1.18186956981107E-2</v>
      </c>
      <c r="Q1039" s="880">
        <v>3.06387480968601</v>
      </c>
      <c r="R1039" s="60">
        <v>0.591872607487541</v>
      </c>
      <c r="S1039" s="60">
        <v>0.37622908108368203</v>
      </c>
      <c r="T1039" s="60">
        <v>0.35435042584098503</v>
      </c>
      <c r="U1039" s="60">
        <v>0.37006821841911303</v>
      </c>
    </row>
    <row r="1040" spans="1:21" x14ac:dyDescent="0.25">
      <c r="A1040" s="519" t="s">
        <v>1907</v>
      </c>
      <c r="B1040" s="519" t="s">
        <v>2048</v>
      </c>
      <c r="C1040" s="519" t="s">
        <v>284</v>
      </c>
      <c r="D1040" s="519" t="s">
        <v>110</v>
      </c>
      <c r="E1040" s="519" t="s">
        <v>1838</v>
      </c>
      <c r="F1040" s="519" t="s">
        <v>17</v>
      </c>
      <c r="G1040" s="519" t="s">
        <v>56</v>
      </c>
      <c r="H1040" s="519" t="s">
        <v>145</v>
      </c>
      <c r="I1040" s="881">
        <v>12287.799000000001</v>
      </c>
      <c r="J1040" s="881">
        <v>210.55867907999999</v>
      </c>
      <c r="K1040" s="60">
        <v>1.6846907768725199E-2</v>
      </c>
      <c r="L1040" s="880">
        <v>3.00520162181797</v>
      </c>
      <c r="M1040" s="373">
        <v>0</v>
      </c>
      <c r="N1040" s="60">
        <v>0.21904522038487201</v>
      </c>
      <c r="O1040" s="881">
        <v>33340.430468400002</v>
      </c>
      <c r="P1040" s="60">
        <v>1.17405267906956E-2</v>
      </c>
      <c r="Q1040" s="880">
        <v>2.9856043668343899</v>
      </c>
      <c r="R1040" s="60">
        <v>0.591872607487541</v>
      </c>
      <c r="S1040" s="60">
        <v>0.44282483580178406</v>
      </c>
      <c r="T1040" s="60">
        <v>0.30523477502894902</v>
      </c>
      <c r="U1040" s="60">
        <v>0.45473994577243998</v>
      </c>
    </row>
    <row r="1041" spans="1:21" x14ac:dyDescent="0.25">
      <c r="A1041" s="519" t="s">
        <v>2049</v>
      </c>
      <c r="B1041" s="519" t="s">
        <v>2050</v>
      </c>
      <c r="C1041" s="519" t="s">
        <v>284</v>
      </c>
      <c r="D1041" s="519" t="s">
        <v>110</v>
      </c>
      <c r="E1041" s="519" t="s">
        <v>1838</v>
      </c>
      <c r="F1041" s="519" t="s">
        <v>17</v>
      </c>
      <c r="G1041" s="519" t="s">
        <v>57</v>
      </c>
      <c r="H1041" s="519" t="s">
        <v>149</v>
      </c>
      <c r="I1041" s="881">
        <v>14524.271668130001</v>
      </c>
      <c r="J1041" s="881">
        <v>889.64161114000001</v>
      </c>
      <c r="K1041" s="60">
        <v>5.7716790994047501E-2</v>
      </c>
      <c r="L1041" s="880">
        <v>3.0371605152557501</v>
      </c>
      <c r="M1041" s="373">
        <v>0</v>
      </c>
      <c r="N1041" s="60">
        <v>9.6804700757916001E-2</v>
      </c>
      <c r="O1041" s="881">
        <v>14524.271668130001</v>
      </c>
      <c r="P1041" s="60">
        <v>5.7716790994047702E-2</v>
      </c>
      <c r="Q1041" s="880">
        <v>3.0371605152557501</v>
      </c>
      <c r="R1041" s="60">
        <v>0.591872607487541</v>
      </c>
      <c r="S1041" s="60">
        <v>9.6804700757916001E-2</v>
      </c>
      <c r="T1041" s="60">
        <v>0.38941601865505704</v>
      </c>
      <c r="U1041" s="60">
        <v>0.89856387947855509</v>
      </c>
    </row>
    <row r="1042" spans="1:21" x14ac:dyDescent="0.25">
      <c r="A1042" s="519" t="s">
        <v>1236</v>
      </c>
      <c r="B1042" s="519" t="s">
        <v>1237</v>
      </c>
      <c r="C1042" s="519" t="s">
        <v>284</v>
      </c>
      <c r="D1042" s="519" t="s">
        <v>109</v>
      </c>
      <c r="E1042" s="519" t="s">
        <v>2</v>
      </c>
      <c r="F1042" s="519" t="s">
        <v>70</v>
      </c>
      <c r="G1042" s="519" t="s">
        <v>56</v>
      </c>
      <c r="H1042" s="519" t="s">
        <v>144</v>
      </c>
      <c r="I1042" s="881">
        <v>10656.237883080001</v>
      </c>
      <c r="J1042" s="881">
        <v>0.94096599000000003</v>
      </c>
      <c r="K1042" s="60">
        <v>8.8294097652505201E-5</v>
      </c>
      <c r="L1042" s="880">
        <v>3.0988480450987601</v>
      </c>
      <c r="M1042" s="373">
        <v>0</v>
      </c>
      <c r="N1042" s="60">
        <v>0.52288645082588003</v>
      </c>
      <c r="O1042" s="881">
        <v>79845.050470050104</v>
      </c>
      <c r="P1042" s="60">
        <v>3.4981615800567598E-5</v>
      </c>
      <c r="Q1042" s="880">
        <v>3.0769756155254999</v>
      </c>
      <c r="R1042" s="60">
        <v>0.30817345630374804</v>
      </c>
      <c r="S1042" s="60">
        <v>0.52159577411115499</v>
      </c>
      <c r="T1042" s="60">
        <v>0.16124604537904502</v>
      </c>
      <c r="U1042" s="60">
        <v>0.98556265395160603</v>
      </c>
    </row>
    <row r="1043" spans="1:21" x14ac:dyDescent="0.25">
      <c r="A1043" s="519" t="s">
        <v>1236</v>
      </c>
      <c r="B1043" s="519" t="s">
        <v>1239</v>
      </c>
      <c r="C1043" s="519" t="s">
        <v>284</v>
      </c>
      <c r="D1043" s="519" t="s">
        <v>109</v>
      </c>
      <c r="E1043" s="519" t="s">
        <v>2</v>
      </c>
      <c r="F1043" s="519" t="s">
        <v>70</v>
      </c>
      <c r="G1043" s="519" t="s">
        <v>56</v>
      </c>
      <c r="H1043" s="519" t="s">
        <v>146</v>
      </c>
      <c r="I1043" s="881">
        <v>32787.189287120003</v>
      </c>
      <c r="J1043" s="881">
        <v>0.91299953000000111</v>
      </c>
      <c r="K1043" s="60">
        <v>2.7845452048981003E-5</v>
      </c>
      <c r="L1043" s="880">
        <v>3.0871688465588401</v>
      </c>
      <c r="M1043" s="373">
        <v>0</v>
      </c>
      <c r="N1043" s="60">
        <v>0.44417184332604304</v>
      </c>
      <c r="O1043" s="881">
        <v>79845.050470050104</v>
      </c>
      <c r="P1043" s="60">
        <v>3.4981615800567598E-5</v>
      </c>
      <c r="Q1043" s="880">
        <v>3.0769756155254999</v>
      </c>
      <c r="R1043" s="60">
        <v>0.30817345630374804</v>
      </c>
      <c r="S1043" s="60">
        <v>0.52159577411115499</v>
      </c>
      <c r="T1043" s="60">
        <v>0.42867333720121403</v>
      </c>
      <c r="U1043" s="60">
        <v>2.1612170173430703E-4</v>
      </c>
    </row>
    <row r="1044" spans="1:21" x14ac:dyDescent="0.25">
      <c r="A1044" s="519" t="s">
        <v>1240</v>
      </c>
      <c r="B1044" s="519" t="s">
        <v>1242</v>
      </c>
      <c r="C1044" s="519" t="s">
        <v>284</v>
      </c>
      <c r="D1044" s="519" t="s">
        <v>109</v>
      </c>
      <c r="E1044" s="519" t="s">
        <v>2</v>
      </c>
      <c r="F1044" s="519" t="s">
        <v>70</v>
      </c>
      <c r="G1044" s="519" t="s">
        <v>57</v>
      </c>
      <c r="H1044" s="519" t="s">
        <v>148</v>
      </c>
      <c r="I1044" s="881">
        <v>7778.7860898400004</v>
      </c>
      <c r="J1044" s="881">
        <v>0.10833286</v>
      </c>
      <c r="K1044" s="60">
        <v>1.39265111612607E-5</v>
      </c>
      <c r="L1044" s="880">
        <v>3.1458784146313201</v>
      </c>
      <c r="M1044" s="373">
        <v>0</v>
      </c>
      <c r="N1044" s="60">
        <v>0.67162454151859308</v>
      </c>
      <c r="O1044" s="881">
        <v>70433.494001009996</v>
      </c>
      <c r="P1044" s="60">
        <v>1.52464801349497E-5</v>
      </c>
      <c r="Q1044" s="880">
        <v>3.1717546326325099</v>
      </c>
      <c r="R1044" s="60">
        <v>0.30817345630374804</v>
      </c>
      <c r="S1044" s="60">
        <v>0.58901877793049806</v>
      </c>
      <c r="T1044" s="60">
        <v>0.13844867561977001</v>
      </c>
      <c r="U1044" s="60">
        <v>-0.49981273563669704</v>
      </c>
    </row>
    <row r="1045" spans="1:21" x14ac:dyDescent="0.25">
      <c r="A1045" s="519" t="s">
        <v>1244</v>
      </c>
      <c r="B1045" s="519" t="s">
        <v>1245</v>
      </c>
      <c r="C1045" s="519" t="s">
        <v>284</v>
      </c>
      <c r="D1045" s="519" t="s">
        <v>109</v>
      </c>
      <c r="E1045" s="519" t="s">
        <v>2</v>
      </c>
      <c r="F1045" s="519" t="s">
        <v>70</v>
      </c>
      <c r="G1045" s="519" t="s">
        <v>58</v>
      </c>
      <c r="H1045" s="519" t="s">
        <v>150</v>
      </c>
      <c r="I1045" s="881">
        <v>5854.9276133400099</v>
      </c>
      <c r="J1045" s="881">
        <v>-0.34835198000000001</v>
      </c>
      <c r="K1045" s="60">
        <v>-5.9500771011695003E-5</v>
      </c>
      <c r="L1045" s="880">
        <v>3.9447269417164001</v>
      </c>
      <c r="M1045" s="373">
        <v>0</v>
      </c>
      <c r="N1045" s="60">
        <v>0.12376848939668</v>
      </c>
      <c r="O1045" s="881">
        <v>15780.705688940001</v>
      </c>
      <c r="P1045" s="60">
        <v>-1.4307844334862001E-5</v>
      </c>
      <c r="Q1045" s="880">
        <v>3.3556258711978399</v>
      </c>
      <c r="R1045" s="60">
        <v>0.30817345630374804</v>
      </c>
      <c r="S1045" s="60">
        <v>0.26901383968305603</v>
      </c>
      <c r="T1045" s="60">
        <v>0.325625655221709</v>
      </c>
      <c r="U1045" s="60">
        <v>0.45392955304255905</v>
      </c>
    </row>
    <row r="1046" spans="1:21" x14ac:dyDescent="0.25">
      <c r="A1046" s="519" t="s">
        <v>1244</v>
      </c>
      <c r="B1046" s="519" t="s">
        <v>1247</v>
      </c>
      <c r="C1046" s="519" t="s">
        <v>284</v>
      </c>
      <c r="D1046" s="519" t="s">
        <v>109</v>
      </c>
      <c r="E1046" s="519" t="s">
        <v>2</v>
      </c>
      <c r="F1046" s="519" t="s">
        <v>70</v>
      </c>
      <c r="G1046" s="519" t="s">
        <v>58</v>
      </c>
      <c r="H1046" s="519" t="s">
        <v>152</v>
      </c>
      <c r="I1046" s="881">
        <v>6175.4553529800005</v>
      </c>
      <c r="J1046" s="881">
        <v>0.13292503999999999</v>
      </c>
      <c r="K1046" s="60">
        <v>2.1524271699443298E-5</v>
      </c>
      <c r="L1046" s="880">
        <v>3.0873241082696099</v>
      </c>
      <c r="M1046" s="373">
        <v>0</v>
      </c>
      <c r="N1046" s="60">
        <v>0.24149105899702702</v>
      </c>
      <c r="O1046" s="881">
        <v>15780.705688940001</v>
      </c>
      <c r="P1046" s="60">
        <v>-1.4307844334862001E-5</v>
      </c>
      <c r="Q1046" s="880">
        <v>3.3556258711978399</v>
      </c>
      <c r="R1046" s="60">
        <v>0.30817345630374804</v>
      </c>
      <c r="S1046" s="60">
        <v>0.26901383968305603</v>
      </c>
      <c r="T1046" s="60">
        <v>0.38198048996617101</v>
      </c>
      <c r="U1046" s="60">
        <v>0.11811359165841</v>
      </c>
    </row>
    <row r="1047" spans="1:21" x14ac:dyDescent="0.25">
      <c r="A1047" s="519" t="s">
        <v>1248</v>
      </c>
      <c r="B1047" s="519" t="s">
        <v>1250</v>
      </c>
      <c r="C1047" s="519" t="s">
        <v>284</v>
      </c>
      <c r="D1047" s="519" t="s">
        <v>109</v>
      </c>
      <c r="E1047" s="519" t="s">
        <v>2</v>
      </c>
      <c r="F1047" s="519" t="s">
        <v>70</v>
      </c>
      <c r="G1047" s="519" t="s">
        <v>59</v>
      </c>
      <c r="H1047" s="519" t="s">
        <v>154</v>
      </c>
      <c r="I1047" s="881">
        <v>8006.1195502300097</v>
      </c>
      <c r="J1047" s="881">
        <v>-0.71864135000000107</v>
      </c>
      <c r="K1047" s="60">
        <v>-8.9769564095515199E-5</v>
      </c>
      <c r="L1047" s="880">
        <v>3.70302993108568</v>
      </c>
      <c r="M1047" s="373">
        <v>0</v>
      </c>
      <c r="N1047" s="60">
        <v>7.1484918898514008E-2</v>
      </c>
      <c r="O1047" s="881">
        <v>24087.269176050002</v>
      </c>
      <c r="P1047" s="60">
        <v>-9.7162667494142494E-5</v>
      </c>
      <c r="Q1047" s="880">
        <v>3.8937360517928399</v>
      </c>
      <c r="R1047" s="60">
        <v>0.30817345630374804</v>
      </c>
      <c r="S1047" s="60">
        <v>9.0885319698120901E-2</v>
      </c>
      <c r="T1047" s="60">
        <v>0.27938826498196301</v>
      </c>
      <c r="U1047" s="60">
        <v>-0.27110256019315304</v>
      </c>
    </row>
    <row r="1048" spans="1:21" x14ac:dyDescent="0.25">
      <c r="A1048" s="519" t="s">
        <v>1252</v>
      </c>
      <c r="B1048" s="519" t="s">
        <v>1253</v>
      </c>
      <c r="C1048" s="519" t="s">
        <v>284</v>
      </c>
      <c r="D1048" s="519" t="s">
        <v>109</v>
      </c>
      <c r="E1048" s="519" t="s">
        <v>2</v>
      </c>
      <c r="F1048" s="519" t="s">
        <v>16</v>
      </c>
      <c r="G1048" s="519" t="s">
        <v>56</v>
      </c>
      <c r="H1048" s="519" t="s">
        <v>144</v>
      </c>
      <c r="I1048" s="881">
        <v>5471.8803040299999</v>
      </c>
      <c r="J1048" s="881">
        <v>-0.14192117000000001</v>
      </c>
      <c r="K1048" s="60">
        <v>-2.5937126388308699E-5</v>
      </c>
      <c r="L1048" s="880">
        <v>2.8230854562592298</v>
      </c>
      <c r="M1048" s="373">
        <v>0</v>
      </c>
      <c r="N1048" s="60">
        <v>0.21649293634722502</v>
      </c>
      <c r="O1048" s="881">
        <v>29887.084088560001</v>
      </c>
      <c r="P1048" s="60">
        <v>-2.88541879710272E-5</v>
      </c>
      <c r="Q1048" s="880">
        <v>3.09166173430566</v>
      </c>
      <c r="R1048" s="60">
        <v>0.30817345630374804</v>
      </c>
      <c r="S1048" s="60">
        <v>0.320320588917688</v>
      </c>
      <c r="T1048" s="60">
        <v>0.16124604537904502</v>
      </c>
      <c r="U1048" s="60">
        <v>0.98556265395160603</v>
      </c>
    </row>
    <row r="1049" spans="1:21" x14ac:dyDescent="0.25">
      <c r="A1049" s="519" t="s">
        <v>1252</v>
      </c>
      <c r="B1049" s="519" t="s">
        <v>1255</v>
      </c>
      <c r="C1049" s="519" t="s">
        <v>284</v>
      </c>
      <c r="D1049" s="519" t="s">
        <v>109</v>
      </c>
      <c r="E1049" s="519" t="s">
        <v>2</v>
      </c>
      <c r="F1049" s="519" t="s">
        <v>16</v>
      </c>
      <c r="G1049" s="519" t="s">
        <v>56</v>
      </c>
      <c r="H1049" s="519" t="s">
        <v>146</v>
      </c>
      <c r="I1049" s="881">
        <v>15695.53683334</v>
      </c>
      <c r="J1049" s="881">
        <v>-0.44732186000000002</v>
      </c>
      <c r="K1049" s="60">
        <v>-2.8500752396016101E-5</v>
      </c>
      <c r="L1049" s="880">
        <v>3.13114038518736</v>
      </c>
      <c r="M1049" s="373">
        <v>0</v>
      </c>
      <c r="N1049" s="60">
        <v>0.42991552248640602</v>
      </c>
      <c r="O1049" s="881">
        <v>29887.084088560001</v>
      </c>
      <c r="P1049" s="60">
        <v>-2.88541879710272E-5</v>
      </c>
      <c r="Q1049" s="880">
        <v>3.09166173430566</v>
      </c>
      <c r="R1049" s="60">
        <v>0.30817345630374804</v>
      </c>
      <c r="S1049" s="60">
        <v>0.320320588917688</v>
      </c>
      <c r="T1049" s="60">
        <v>0.42867333720121403</v>
      </c>
      <c r="U1049" s="60">
        <v>2.1612170173430703E-4</v>
      </c>
    </row>
    <row r="1050" spans="1:21" x14ac:dyDescent="0.25">
      <c r="A1050" s="519" t="s">
        <v>1256</v>
      </c>
      <c r="B1050" s="519" t="s">
        <v>1258</v>
      </c>
      <c r="C1050" s="519" t="s">
        <v>284</v>
      </c>
      <c r="D1050" s="519" t="s">
        <v>109</v>
      </c>
      <c r="E1050" s="519" t="s">
        <v>2</v>
      </c>
      <c r="F1050" s="519" t="s">
        <v>16</v>
      </c>
      <c r="G1050" s="519" t="s">
        <v>57</v>
      </c>
      <c r="H1050" s="519" t="s">
        <v>148</v>
      </c>
      <c r="I1050" s="881">
        <v>5588.9685763799998</v>
      </c>
      <c r="J1050" s="881">
        <v>-0.28296697999999998</v>
      </c>
      <c r="K1050" s="60">
        <v>-5.0632116346651896E-5</v>
      </c>
      <c r="L1050" s="880">
        <v>3.2824365004316101</v>
      </c>
      <c r="M1050" s="373">
        <v>0</v>
      </c>
      <c r="N1050" s="60">
        <v>0.307065974788782</v>
      </c>
      <c r="O1050" s="881">
        <v>26120.370500609999</v>
      </c>
      <c r="P1050" s="60">
        <v>-2.7736981559100201E-5</v>
      </c>
      <c r="Q1050" s="880">
        <v>3.18828624282198</v>
      </c>
      <c r="R1050" s="60">
        <v>0.30817345630374804</v>
      </c>
      <c r="S1050" s="60">
        <v>0.35912842944440404</v>
      </c>
      <c r="T1050" s="60">
        <v>0.13844867561977001</v>
      </c>
      <c r="U1050" s="60">
        <v>-0.49981273563669704</v>
      </c>
    </row>
    <row r="1051" spans="1:21" x14ac:dyDescent="0.25">
      <c r="A1051" s="519" t="s">
        <v>1260</v>
      </c>
      <c r="B1051" s="519" t="s">
        <v>1261</v>
      </c>
      <c r="C1051" s="519" t="s">
        <v>284</v>
      </c>
      <c r="D1051" s="519" t="s">
        <v>109</v>
      </c>
      <c r="E1051" s="519" t="s">
        <v>2</v>
      </c>
      <c r="F1051" s="519" t="s">
        <v>16</v>
      </c>
      <c r="G1051" s="519" t="s">
        <v>58</v>
      </c>
      <c r="H1051" s="519" t="s">
        <v>150</v>
      </c>
      <c r="I1051" s="881">
        <v>6634.3681262400096</v>
      </c>
      <c r="J1051" s="881">
        <v>-0.19437288</v>
      </c>
      <c r="K1051" s="60">
        <v>-2.9298732174682001E-5</v>
      </c>
      <c r="L1051" s="880">
        <v>3.5111344651538299</v>
      </c>
      <c r="M1051" s="373">
        <v>0</v>
      </c>
      <c r="N1051" s="60">
        <v>0.39386692259432105</v>
      </c>
      <c r="O1051" s="881">
        <v>22574.060095950001</v>
      </c>
      <c r="P1051" s="60">
        <v>-4.2963992460809005E-5</v>
      </c>
      <c r="Q1051" s="880">
        <v>3.3265667753906198</v>
      </c>
      <c r="R1051" s="60">
        <v>0.30817345630374804</v>
      </c>
      <c r="S1051" s="60">
        <v>0.327640012275281</v>
      </c>
      <c r="T1051" s="60">
        <v>0.325625655221709</v>
      </c>
      <c r="U1051" s="60">
        <v>0.45392955304255905</v>
      </c>
    </row>
    <row r="1052" spans="1:21" x14ac:dyDescent="0.25">
      <c r="A1052" s="519" t="s">
        <v>1260</v>
      </c>
      <c r="B1052" s="519" t="s">
        <v>1263</v>
      </c>
      <c r="C1052" s="519" t="s">
        <v>284</v>
      </c>
      <c r="D1052" s="519" t="s">
        <v>109</v>
      </c>
      <c r="E1052" s="519" t="s">
        <v>2</v>
      </c>
      <c r="F1052" s="519" t="s">
        <v>16</v>
      </c>
      <c r="G1052" s="519" t="s">
        <v>58</v>
      </c>
      <c r="H1052" s="519" t="s">
        <v>152</v>
      </c>
      <c r="I1052" s="881">
        <v>8475.3168740700094</v>
      </c>
      <c r="J1052" s="881">
        <v>-0.27414338999999999</v>
      </c>
      <c r="K1052" s="60">
        <v>-3.2347139561620101E-5</v>
      </c>
      <c r="L1052" s="880">
        <v>3.1539654944395599</v>
      </c>
      <c r="M1052" s="373">
        <v>0</v>
      </c>
      <c r="N1052" s="60">
        <v>0.23072986841622703</v>
      </c>
      <c r="O1052" s="881">
        <v>22574.060095950001</v>
      </c>
      <c r="P1052" s="60">
        <v>-4.2963992460809005E-5</v>
      </c>
      <c r="Q1052" s="880">
        <v>3.3265667753906198</v>
      </c>
      <c r="R1052" s="60">
        <v>0.30817345630374804</v>
      </c>
      <c r="S1052" s="60">
        <v>0.327640012275281</v>
      </c>
      <c r="T1052" s="60">
        <v>0.38198048996617101</v>
      </c>
      <c r="U1052" s="60">
        <v>0.11811359165841</v>
      </c>
    </row>
    <row r="1053" spans="1:21" x14ac:dyDescent="0.25">
      <c r="A1053" s="519" t="s">
        <v>1264</v>
      </c>
      <c r="B1053" s="519" t="s">
        <v>1266</v>
      </c>
      <c r="C1053" s="519" t="s">
        <v>284</v>
      </c>
      <c r="D1053" s="519" t="s">
        <v>109</v>
      </c>
      <c r="E1053" s="519" t="s">
        <v>2</v>
      </c>
      <c r="F1053" s="519" t="s">
        <v>16</v>
      </c>
      <c r="G1053" s="519" t="s">
        <v>59</v>
      </c>
      <c r="H1053" s="519" t="s">
        <v>154</v>
      </c>
      <c r="I1053" s="881">
        <v>2228.2890000900002</v>
      </c>
      <c r="J1053" s="881">
        <v>-0.185601083763</v>
      </c>
      <c r="K1053" s="60">
        <v>-8.3300031697712304E-5</v>
      </c>
      <c r="L1053" s="880">
        <v>3.7141688037553702</v>
      </c>
      <c r="M1053" s="373">
        <v>0</v>
      </c>
      <c r="N1053" s="60">
        <v>0.16674150308824101</v>
      </c>
      <c r="O1053" s="881">
        <v>12544.22123741</v>
      </c>
      <c r="P1053" s="60">
        <v>4.5224129604282603E-4</v>
      </c>
      <c r="Q1053" s="880">
        <v>3.4985794967536901</v>
      </c>
      <c r="R1053" s="60">
        <v>0.30817345630374804</v>
      </c>
      <c r="S1053" s="60">
        <v>0.14794419284677501</v>
      </c>
      <c r="T1053" s="60">
        <v>0.27938826498196301</v>
      </c>
      <c r="U1053" s="60">
        <v>-0.27110256019315304</v>
      </c>
    </row>
    <row r="1054" spans="1:21" x14ac:dyDescent="0.25">
      <c r="A1054" s="519" t="s">
        <v>1268</v>
      </c>
      <c r="B1054" s="519" t="s">
        <v>1269</v>
      </c>
      <c r="C1054" s="519" t="s">
        <v>284</v>
      </c>
      <c r="D1054" s="519" t="s">
        <v>109</v>
      </c>
      <c r="E1054" s="519" t="s">
        <v>2</v>
      </c>
      <c r="F1054" s="519" t="s">
        <v>17</v>
      </c>
      <c r="G1054" s="519" t="s">
        <v>56</v>
      </c>
      <c r="H1054" s="519" t="s">
        <v>144</v>
      </c>
      <c r="I1054" s="881">
        <v>5545.8727563499997</v>
      </c>
      <c r="J1054" s="881">
        <v>22.527608169289</v>
      </c>
      <c r="K1054" s="60">
        <v>4.0456157414309399E-3</v>
      </c>
      <c r="L1054" s="880">
        <v>3.06397257959734</v>
      </c>
      <c r="M1054" s="373">
        <v>0</v>
      </c>
      <c r="N1054" s="60">
        <v>6.55962102382288E-2</v>
      </c>
      <c r="O1054" s="881">
        <v>24683.508891810001</v>
      </c>
      <c r="P1054" s="60">
        <v>8.7987373368021704E-4</v>
      </c>
      <c r="Q1054" s="880">
        <v>3.3030174349955699</v>
      </c>
      <c r="R1054" s="60">
        <v>0.30817345630374804</v>
      </c>
      <c r="S1054" s="60">
        <v>0.332026404394202</v>
      </c>
      <c r="T1054" s="60">
        <v>0.16124604537904502</v>
      </c>
      <c r="U1054" s="60">
        <v>0.98556265395160603</v>
      </c>
    </row>
    <row r="1055" spans="1:21" x14ac:dyDescent="0.25">
      <c r="A1055" s="519" t="s">
        <v>1268</v>
      </c>
      <c r="B1055" s="519" t="s">
        <v>1270</v>
      </c>
      <c r="C1055" s="519" t="s">
        <v>284</v>
      </c>
      <c r="D1055" s="519" t="s">
        <v>109</v>
      </c>
      <c r="E1055" s="519" t="s">
        <v>2</v>
      </c>
      <c r="F1055" s="519" t="s">
        <v>17</v>
      </c>
      <c r="G1055" s="519" t="s">
        <v>56</v>
      </c>
      <c r="H1055" s="519" t="s">
        <v>146</v>
      </c>
      <c r="I1055" s="881">
        <v>9137.6763294800003</v>
      </c>
      <c r="J1055" s="881">
        <v>-0.46056242347600002</v>
      </c>
      <c r="K1055" s="60">
        <v>-5.0405116308681202E-5</v>
      </c>
      <c r="L1055" s="880">
        <v>3.2595969601802599</v>
      </c>
      <c r="M1055" s="373">
        <v>0</v>
      </c>
      <c r="N1055" s="60">
        <v>0.41748185577471503</v>
      </c>
      <c r="O1055" s="881">
        <v>24683.508891810001</v>
      </c>
      <c r="P1055" s="60">
        <v>8.7987373368021704E-4</v>
      </c>
      <c r="Q1055" s="880">
        <v>3.3030174349955699</v>
      </c>
      <c r="R1055" s="60">
        <v>0.30817345630374804</v>
      </c>
      <c r="S1055" s="60">
        <v>0.332026404394202</v>
      </c>
      <c r="T1055" s="60">
        <v>0.42867333720121403</v>
      </c>
      <c r="U1055" s="60">
        <v>2.1612170173430703E-4</v>
      </c>
    </row>
    <row r="1056" spans="1:21" x14ac:dyDescent="0.25">
      <c r="A1056" s="519" t="s">
        <v>1271</v>
      </c>
      <c r="B1056" s="519" t="s">
        <v>1272</v>
      </c>
      <c r="C1056" s="519" t="s">
        <v>284</v>
      </c>
      <c r="D1056" s="519" t="s">
        <v>109</v>
      </c>
      <c r="E1056" s="519" t="s">
        <v>285</v>
      </c>
      <c r="F1056" s="519" t="s">
        <v>70</v>
      </c>
      <c r="G1056" s="519" t="s">
        <v>56</v>
      </c>
      <c r="H1056" s="519" t="s">
        <v>144</v>
      </c>
      <c r="I1056" s="881">
        <v>202935.46030000201</v>
      </c>
      <c r="J1056" s="881">
        <v>3.9005741999999799</v>
      </c>
      <c r="K1056" s="60">
        <v>1.92203926492995E-5</v>
      </c>
      <c r="L1056" s="880">
        <v>2.6426221225867601</v>
      </c>
      <c r="M1056" s="373">
        <v>0</v>
      </c>
      <c r="N1056" s="60">
        <v>1.8551274353109999E-2</v>
      </c>
      <c r="O1056" s="881">
        <v>549348.54930000403</v>
      </c>
      <c r="P1056" s="60">
        <v>4.68639794154115E-5</v>
      </c>
      <c r="Q1056" s="880">
        <v>2.9418536788282101</v>
      </c>
      <c r="R1056" s="60">
        <v>0.70090443375016709</v>
      </c>
      <c r="S1056" s="60">
        <v>8.6735741926896211E-3</v>
      </c>
      <c r="T1056" s="60">
        <v>0.39633574736397303</v>
      </c>
      <c r="U1056" s="60">
        <v>0.54056841923092402</v>
      </c>
    </row>
    <row r="1057" spans="1:21" x14ac:dyDescent="0.25">
      <c r="A1057" s="519" t="s">
        <v>1271</v>
      </c>
      <c r="B1057" s="519" t="s">
        <v>1274</v>
      </c>
      <c r="C1057" s="519" t="s">
        <v>284</v>
      </c>
      <c r="D1057" s="519" t="s">
        <v>109</v>
      </c>
      <c r="E1057" s="519" t="s">
        <v>285</v>
      </c>
      <c r="F1057" s="519" t="s">
        <v>70</v>
      </c>
      <c r="G1057" s="519" t="s">
        <v>56</v>
      </c>
      <c r="H1057" s="519" t="s">
        <v>146</v>
      </c>
      <c r="I1057" s="881">
        <v>214627.15630000201</v>
      </c>
      <c r="J1057" s="881">
        <v>6.06030412999998</v>
      </c>
      <c r="K1057" s="60">
        <v>2.8235630187556899E-5</v>
      </c>
      <c r="L1057" s="880">
        <v>2.97662303164054</v>
      </c>
      <c r="M1057" s="373">
        <v>0</v>
      </c>
      <c r="N1057" s="60">
        <v>3.0507043530166402E-3</v>
      </c>
      <c r="O1057" s="881">
        <v>549348.54930000403</v>
      </c>
      <c r="P1057" s="60">
        <v>4.68639794154115E-5</v>
      </c>
      <c r="Q1057" s="880">
        <v>2.9418536788282101</v>
      </c>
      <c r="R1057" s="60">
        <v>0.70090443375016709</v>
      </c>
      <c r="S1057" s="60">
        <v>8.6735741926896211E-3</v>
      </c>
      <c r="T1057" s="60">
        <v>0.335429539564223</v>
      </c>
      <c r="U1057" s="60">
        <v>0.38684549445358801</v>
      </c>
    </row>
    <row r="1058" spans="1:21" x14ac:dyDescent="0.25">
      <c r="A1058" s="519" t="s">
        <v>1275</v>
      </c>
      <c r="B1058" s="519" t="s">
        <v>1277</v>
      </c>
      <c r="C1058" s="519" t="s">
        <v>284</v>
      </c>
      <c r="D1058" s="519" t="s">
        <v>109</v>
      </c>
      <c r="E1058" s="519" t="s">
        <v>285</v>
      </c>
      <c r="F1058" s="519" t="s">
        <v>70</v>
      </c>
      <c r="G1058" s="519" t="s">
        <v>57</v>
      </c>
      <c r="H1058" s="519" t="s">
        <v>148</v>
      </c>
      <c r="I1058" s="881">
        <v>230977.17316211903</v>
      </c>
      <c r="J1058" s="881">
        <v>4.4454212500000203</v>
      </c>
      <c r="K1058" s="60">
        <v>1.92457792843613E-5</v>
      </c>
      <c r="L1058" s="880">
        <v>3.2730277591195498</v>
      </c>
      <c r="M1058" s="373">
        <v>0</v>
      </c>
      <c r="N1058" s="60">
        <v>0.19710647552438101</v>
      </c>
      <c r="O1058" s="881">
        <v>590238.28005029005</v>
      </c>
      <c r="P1058" s="60">
        <v>1.71297387620525E-5</v>
      </c>
      <c r="Q1058" s="880">
        <v>3.13924883208476</v>
      </c>
      <c r="R1058" s="60">
        <v>0.70090443375016709</v>
      </c>
      <c r="S1058" s="60">
        <v>0.11791184332203999</v>
      </c>
      <c r="T1058" s="60">
        <v>0.32638069133915804</v>
      </c>
      <c r="U1058" s="60">
        <v>0.50852556338433608</v>
      </c>
    </row>
    <row r="1059" spans="1:21" x14ac:dyDescent="0.25">
      <c r="A1059" s="519" t="s">
        <v>1279</v>
      </c>
      <c r="B1059" s="519" t="s">
        <v>1280</v>
      </c>
      <c r="C1059" s="519" t="s">
        <v>284</v>
      </c>
      <c r="D1059" s="519" t="s">
        <v>109</v>
      </c>
      <c r="E1059" s="519" t="s">
        <v>285</v>
      </c>
      <c r="F1059" s="519" t="s">
        <v>70</v>
      </c>
      <c r="G1059" s="519" t="s">
        <v>58</v>
      </c>
      <c r="H1059" s="519" t="s">
        <v>150</v>
      </c>
      <c r="I1059" s="881">
        <v>261794.36765979903</v>
      </c>
      <c r="J1059" s="881">
        <v>-4.7610800199999899</v>
      </c>
      <c r="K1059" s="60">
        <v>-1.8186665552549601E-5</v>
      </c>
      <c r="L1059" s="880">
        <v>3.17070682206956</v>
      </c>
      <c r="M1059" s="373">
        <v>0</v>
      </c>
      <c r="N1059" s="60">
        <v>9.3839162085886302E-2</v>
      </c>
      <c r="O1059" s="881">
        <v>826586.3903942561</v>
      </c>
      <c r="P1059" s="60">
        <v>2.1543270319201303E-3</v>
      </c>
      <c r="Q1059" s="880">
        <v>3.1745621672092401</v>
      </c>
      <c r="R1059" s="60">
        <v>0.70090443375016709</v>
      </c>
      <c r="S1059" s="60">
        <v>0.16970794442077802</v>
      </c>
      <c r="T1059" s="60">
        <v>0.42775336297005806</v>
      </c>
      <c r="U1059" s="60">
        <v>-8.9603255390906106E-3</v>
      </c>
    </row>
    <row r="1060" spans="1:21" x14ac:dyDescent="0.25">
      <c r="A1060" s="519" t="s">
        <v>1279</v>
      </c>
      <c r="B1060" s="519" t="s">
        <v>1282</v>
      </c>
      <c r="C1060" s="519" t="s">
        <v>284</v>
      </c>
      <c r="D1060" s="519" t="s">
        <v>109</v>
      </c>
      <c r="E1060" s="519" t="s">
        <v>285</v>
      </c>
      <c r="F1060" s="519" t="s">
        <v>70</v>
      </c>
      <c r="G1060" s="519" t="s">
        <v>58</v>
      </c>
      <c r="H1060" s="519" t="s">
        <v>152</v>
      </c>
      <c r="I1060" s="881">
        <v>272713.605556308</v>
      </c>
      <c r="J1060" s="881">
        <v>1784.2612284100298</v>
      </c>
      <c r="K1060" s="60">
        <v>6.5000914189594508E-3</v>
      </c>
      <c r="L1060" s="880">
        <v>3.17848698046136</v>
      </c>
      <c r="M1060" s="373">
        <v>0</v>
      </c>
      <c r="N1060" s="60">
        <v>0.16916408444636502</v>
      </c>
      <c r="O1060" s="881">
        <v>826586.3903942561</v>
      </c>
      <c r="P1060" s="60">
        <v>2.1543270319201303E-3</v>
      </c>
      <c r="Q1060" s="880">
        <v>3.1745621672092401</v>
      </c>
      <c r="R1060" s="60">
        <v>0.70090443375016709</v>
      </c>
      <c r="S1060" s="60">
        <v>0.16970794442077802</v>
      </c>
      <c r="T1060" s="60">
        <v>0.31811773521584102</v>
      </c>
      <c r="U1060" s="60">
        <v>1.0064239797039201</v>
      </c>
    </row>
    <row r="1061" spans="1:21" x14ac:dyDescent="0.25">
      <c r="A1061" s="519" t="s">
        <v>1283</v>
      </c>
      <c r="B1061" s="519" t="s">
        <v>1285</v>
      </c>
      <c r="C1061" s="519" t="s">
        <v>284</v>
      </c>
      <c r="D1061" s="519" t="s">
        <v>109</v>
      </c>
      <c r="E1061" s="519" t="s">
        <v>285</v>
      </c>
      <c r="F1061" s="519" t="s">
        <v>70</v>
      </c>
      <c r="G1061" s="519" t="s">
        <v>59</v>
      </c>
      <c r="H1061" s="519" t="s">
        <v>154</v>
      </c>
      <c r="I1061" s="881">
        <v>200120.20283539</v>
      </c>
      <c r="J1061" s="881">
        <v>-2.5953162399999901</v>
      </c>
      <c r="K1061" s="60">
        <v>-1.2968954966901901E-5</v>
      </c>
      <c r="L1061" s="880">
        <v>3.1216861489721701</v>
      </c>
      <c r="M1061" s="373">
        <v>0</v>
      </c>
      <c r="N1061" s="60">
        <v>9.9602123211895099E-2</v>
      </c>
      <c r="O1061" s="881">
        <v>546049.33466230205</v>
      </c>
      <c r="P1061" s="60">
        <v>-1.7568001127086199E-5</v>
      </c>
      <c r="Q1061" s="880">
        <v>3.05037840562365</v>
      </c>
      <c r="R1061" s="60">
        <v>0.70090443375016709</v>
      </c>
      <c r="S1061" s="60">
        <v>9.6140687970010102E-2</v>
      </c>
      <c r="T1061" s="60">
        <v>0.35703199209169501</v>
      </c>
      <c r="U1061" s="60">
        <v>-4.6039575956783804E-3</v>
      </c>
    </row>
    <row r="1062" spans="1:21" x14ac:dyDescent="0.25">
      <c r="A1062" s="519" t="s">
        <v>1287</v>
      </c>
      <c r="B1062" s="519" t="s">
        <v>1289</v>
      </c>
      <c r="C1062" s="519" t="s">
        <v>284</v>
      </c>
      <c r="D1062" s="519" t="s">
        <v>109</v>
      </c>
      <c r="E1062" s="519" t="s">
        <v>285</v>
      </c>
      <c r="F1062" s="519" t="s">
        <v>16</v>
      </c>
      <c r="G1062" s="519" t="s">
        <v>56</v>
      </c>
      <c r="H1062" s="519" t="s">
        <v>145</v>
      </c>
      <c r="I1062" s="881">
        <v>136258.462573931</v>
      </c>
      <c r="J1062" s="881">
        <v>-1.3494855299999999</v>
      </c>
      <c r="K1062" s="60">
        <v>-9.9039639062695688E-6</v>
      </c>
      <c r="L1062" s="880">
        <v>3.2598108662655298</v>
      </c>
      <c r="M1062" s="373">
        <v>0</v>
      </c>
      <c r="N1062" s="60">
        <v>8.5192071078019696E-2</v>
      </c>
      <c r="O1062" s="881">
        <v>349204.17238735105</v>
      </c>
      <c r="P1062" s="60">
        <v>4.2558246799048898E-6</v>
      </c>
      <c r="Q1062" s="880">
        <v>3.12401284977736</v>
      </c>
      <c r="R1062" s="60">
        <v>0.70090443375016709</v>
      </c>
      <c r="S1062" s="60">
        <v>9.3599433989935601E-2</v>
      </c>
      <c r="T1062" s="60">
        <v>0.26823471307180502</v>
      </c>
      <c r="U1062" s="60">
        <v>7.2586086315488504E-2</v>
      </c>
    </row>
    <row r="1063" spans="1:21" x14ac:dyDescent="0.25">
      <c r="A1063" s="519" t="s">
        <v>1291</v>
      </c>
      <c r="B1063" s="519" t="s">
        <v>1292</v>
      </c>
      <c r="C1063" s="519" t="s">
        <v>284</v>
      </c>
      <c r="D1063" s="519" t="s">
        <v>109</v>
      </c>
      <c r="E1063" s="519" t="s">
        <v>285</v>
      </c>
      <c r="F1063" s="519" t="s">
        <v>16</v>
      </c>
      <c r="G1063" s="519" t="s">
        <v>57</v>
      </c>
      <c r="H1063" s="519" t="s">
        <v>147</v>
      </c>
      <c r="I1063" s="881">
        <v>168708.219099999</v>
      </c>
      <c r="J1063" s="881">
        <v>0.50604898000001997</v>
      </c>
      <c r="K1063" s="60">
        <v>2.9995424335828001E-6</v>
      </c>
      <c r="L1063" s="880">
        <v>2.4741676636670098</v>
      </c>
      <c r="M1063" s="373">
        <v>0</v>
      </c>
      <c r="N1063" s="60">
        <v>9.1295456037447292E-2</v>
      </c>
      <c r="O1063" s="881">
        <v>551510.93107226898</v>
      </c>
      <c r="P1063" s="60">
        <v>-3.0133000527486397E-6</v>
      </c>
      <c r="Q1063" s="880">
        <v>3.0700520396412698</v>
      </c>
      <c r="R1063" s="60">
        <v>0.70090443375016709</v>
      </c>
      <c r="S1063" s="60">
        <v>9.0734984894510901E-2</v>
      </c>
      <c r="T1063" s="60">
        <v>0.29783141622005205</v>
      </c>
      <c r="U1063" s="60">
        <v>0.31284301567644501</v>
      </c>
    </row>
    <row r="1064" spans="1:21" x14ac:dyDescent="0.25">
      <c r="A1064" s="519" t="s">
        <v>1291</v>
      </c>
      <c r="B1064" s="519" t="s">
        <v>1294</v>
      </c>
      <c r="C1064" s="519" t="s">
        <v>284</v>
      </c>
      <c r="D1064" s="519" t="s">
        <v>109</v>
      </c>
      <c r="E1064" s="519" t="s">
        <v>285</v>
      </c>
      <c r="F1064" s="519" t="s">
        <v>16</v>
      </c>
      <c r="G1064" s="519" t="s">
        <v>57</v>
      </c>
      <c r="H1064" s="519" t="s">
        <v>149</v>
      </c>
      <c r="I1064" s="881">
        <v>241134.98827226902</v>
      </c>
      <c r="J1064" s="881">
        <v>-2.0189915099999598</v>
      </c>
      <c r="K1064" s="60">
        <v>-8.37293844977781E-6</v>
      </c>
      <c r="L1064" s="880">
        <v>3.1459855291575498</v>
      </c>
      <c r="M1064" s="373">
        <v>0</v>
      </c>
      <c r="N1064" s="60">
        <v>5.2979173165759702E-2</v>
      </c>
      <c r="O1064" s="881">
        <v>551510.93107226898</v>
      </c>
      <c r="P1064" s="60">
        <v>-3.0133000527486397E-6</v>
      </c>
      <c r="Q1064" s="880">
        <v>3.0700520396412698</v>
      </c>
      <c r="R1064" s="60">
        <v>0.70090443375016709</v>
      </c>
      <c r="S1064" s="60">
        <v>9.0734984894510901E-2</v>
      </c>
      <c r="T1064" s="60">
        <v>0.37578789244078903</v>
      </c>
      <c r="U1064" s="60">
        <v>0.17863142093921902</v>
      </c>
    </row>
    <row r="1065" spans="1:21" x14ac:dyDescent="0.25">
      <c r="A1065" s="519" t="s">
        <v>1295</v>
      </c>
      <c r="B1065" s="519" t="s">
        <v>1297</v>
      </c>
      <c r="C1065" s="519" t="s">
        <v>284</v>
      </c>
      <c r="D1065" s="519" t="s">
        <v>109</v>
      </c>
      <c r="E1065" s="519" t="s">
        <v>285</v>
      </c>
      <c r="F1065" s="519" t="s">
        <v>16</v>
      </c>
      <c r="G1065" s="519" t="s">
        <v>58</v>
      </c>
      <c r="H1065" s="519" t="s">
        <v>151</v>
      </c>
      <c r="I1065" s="881">
        <v>101499.797700001</v>
      </c>
      <c r="J1065" s="881">
        <v>-0.6013917899999951</v>
      </c>
      <c r="K1065" s="60">
        <v>-5.92508918172933E-6</v>
      </c>
      <c r="L1065" s="880">
        <v>3.1729053513084402</v>
      </c>
      <c r="M1065" s="373">
        <v>0</v>
      </c>
      <c r="N1065" s="60">
        <v>0.23449195406622902</v>
      </c>
      <c r="O1065" s="881">
        <v>722148.17725463409</v>
      </c>
      <c r="P1065" s="60">
        <v>-2.5048983590089599E-5</v>
      </c>
      <c r="Q1065" s="880">
        <v>3.1114817299446398</v>
      </c>
      <c r="R1065" s="60">
        <v>0.70090443375016709</v>
      </c>
      <c r="S1065" s="60">
        <v>0.32194207826411703</v>
      </c>
      <c r="T1065" s="60">
        <v>0.25412890181410103</v>
      </c>
      <c r="U1065" s="60">
        <v>2.5363458351670403E-3</v>
      </c>
    </row>
    <row r="1066" spans="1:21" x14ac:dyDescent="0.25">
      <c r="A1066" s="519" t="s">
        <v>1299</v>
      </c>
      <c r="B1066" s="519" t="s">
        <v>1300</v>
      </c>
      <c r="C1066" s="519" t="s">
        <v>284</v>
      </c>
      <c r="D1066" s="519" t="s">
        <v>109</v>
      </c>
      <c r="E1066" s="519" t="s">
        <v>285</v>
      </c>
      <c r="F1066" s="519" t="s">
        <v>16</v>
      </c>
      <c r="G1066" s="519" t="s">
        <v>59</v>
      </c>
      <c r="H1066" s="519" t="s">
        <v>153</v>
      </c>
      <c r="I1066" s="881">
        <v>567168.39012609306</v>
      </c>
      <c r="J1066" s="881">
        <v>2190.7214136606599</v>
      </c>
      <c r="K1066" s="60">
        <v>3.8476971199006E-3</v>
      </c>
      <c r="L1066" s="880">
        <v>3.08891718327695</v>
      </c>
      <c r="M1066" s="373">
        <v>0</v>
      </c>
      <c r="N1066" s="60">
        <v>0.51392805465621605</v>
      </c>
      <c r="O1066" s="881">
        <v>1668845.4963976101</v>
      </c>
      <c r="P1066" s="60">
        <v>1.29839912240771E-3</v>
      </c>
      <c r="Q1066" s="880">
        <v>3.0805899124086502</v>
      </c>
      <c r="R1066" s="60">
        <v>0.70090443375016709</v>
      </c>
      <c r="S1066" s="60">
        <v>0.48755222875373605</v>
      </c>
      <c r="T1066" s="60">
        <v>0.31932910026619704</v>
      </c>
      <c r="U1066" s="60">
        <v>1.01311208709788</v>
      </c>
    </row>
    <row r="1067" spans="1:21" x14ac:dyDescent="0.25">
      <c r="A1067" s="519" t="s">
        <v>1299</v>
      </c>
      <c r="B1067" s="519" t="s">
        <v>1302</v>
      </c>
      <c r="C1067" s="519" t="s">
        <v>284</v>
      </c>
      <c r="D1067" s="519" t="s">
        <v>109</v>
      </c>
      <c r="E1067" s="519" t="s">
        <v>285</v>
      </c>
      <c r="F1067" s="519" t="s">
        <v>16</v>
      </c>
      <c r="G1067" s="519" t="s">
        <v>59</v>
      </c>
      <c r="H1067" s="519" t="s">
        <v>155</v>
      </c>
      <c r="I1067" s="881">
        <v>511008.99529999204</v>
      </c>
      <c r="J1067" s="881">
        <v>-13.727350574805101</v>
      </c>
      <c r="K1067" s="60">
        <v>-2.6863948525182098E-5</v>
      </c>
      <c r="L1067" s="880">
        <v>3.0859319621738099</v>
      </c>
      <c r="M1067" s="373">
        <v>0</v>
      </c>
      <c r="N1067" s="60">
        <v>0.47762880662544105</v>
      </c>
      <c r="O1067" s="881">
        <v>1668845.4963976101</v>
      </c>
      <c r="P1067" s="60">
        <v>1.29839912240771E-3</v>
      </c>
      <c r="Q1067" s="880">
        <v>3.0805899124086502</v>
      </c>
      <c r="R1067" s="60">
        <v>0.70090443375016709</v>
      </c>
      <c r="S1067" s="60">
        <v>0.48755222875373605</v>
      </c>
      <c r="T1067" s="60">
        <v>0.32363890764210801</v>
      </c>
      <c r="U1067" s="60">
        <v>-8.5081295021970701E-3</v>
      </c>
    </row>
    <row r="1068" spans="1:21" x14ac:dyDescent="0.25">
      <c r="A1068" s="519" t="s">
        <v>1303</v>
      </c>
      <c r="B1068" s="519" t="s">
        <v>1304</v>
      </c>
      <c r="C1068" s="519" t="s">
        <v>284</v>
      </c>
      <c r="D1068" s="519" t="s">
        <v>109</v>
      </c>
      <c r="E1068" s="519" t="s">
        <v>285</v>
      </c>
      <c r="F1068" s="519" t="s">
        <v>17</v>
      </c>
      <c r="G1068" s="519" t="s">
        <v>56</v>
      </c>
      <c r="H1068" s="519" t="s">
        <v>144</v>
      </c>
      <c r="I1068" s="881">
        <v>509789.38900000002</v>
      </c>
      <c r="J1068" s="881">
        <v>3968.65278211534</v>
      </c>
      <c r="K1068" s="60">
        <v>7.7247506790336E-3</v>
      </c>
      <c r="L1068" s="880">
        <v>3.0689463018339902</v>
      </c>
      <c r="M1068" s="373">
        <v>0</v>
      </c>
      <c r="N1068" s="60">
        <v>0.42286811877914704</v>
      </c>
      <c r="O1068" s="881">
        <v>1101451.4602706099</v>
      </c>
      <c r="P1068" s="60">
        <v>6.6034507535486205E-3</v>
      </c>
      <c r="Q1068" s="880">
        <v>3.1040209210421201</v>
      </c>
      <c r="R1068" s="60">
        <v>0.70090443375016709</v>
      </c>
      <c r="S1068" s="60">
        <v>0.39795309408578605</v>
      </c>
      <c r="T1068" s="60">
        <v>0.39633574736397303</v>
      </c>
      <c r="U1068" s="60">
        <v>0.54056841923092402</v>
      </c>
    </row>
    <row r="1069" spans="1:21" x14ac:dyDescent="0.25">
      <c r="A1069" s="519" t="s">
        <v>1303</v>
      </c>
      <c r="B1069" s="519" t="s">
        <v>1305</v>
      </c>
      <c r="C1069" s="519" t="s">
        <v>284</v>
      </c>
      <c r="D1069" s="519" t="s">
        <v>109</v>
      </c>
      <c r="E1069" s="519" t="s">
        <v>285</v>
      </c>
      <c r="F1069" s="519" t="s">
        <v>17</v>
      </c>
      <c r="G1069" s="519" t="s">
        <v>56</v>
      </c>
      <c r="H1069" s="519" t="s">
        <v>146</v>
      </c>
      <c r="I1069" s="881">
        <v>323235.91865463904</v>
      </c>
      <c r="J1069" s="881">
        <v>2834.07954258175</v>
      </c>
      <c r="K1069" s="60">
        <v>8.6916292766916706E-3</v>
      </c>
      <c r="L1069" s="880">
        <v>3.1386671162517801</v>
      </c>
      <c r="M1069" s="373">
        <v>0</v>
      </c>
      <c r="N1069" s="60">
        <v>0.37990426067470801</v>
      </c>
      <c r="O1069" s="881">
        <v>1101451.4602706099</v>
      </c>
      <c r="P1069" s="60">
        <v>6.6034507535486205E-3</v>
      </c>
      <c r="Q1069" s="880">
        <v>3.1040209210421201</v>
      </c>
      <c r="R1069" s="60">
        <v>0.70090443375016709</v>
      </c>
      <c r="S1069" s="60">
        <v>0.39795309408578605</v>
      </c>
      <c r="T1069" s="60">
        <v>0.335429539564223</v>
      </c>
      <c r="U1069" s="60">
        <v>0.38684549445358801</v>
      </c>
    </row>
    <row r="1070" spans="1:21" x14ac:dyDescent="0.25">
      <c r="A1070" s="519" t="s">
        <v>1306</v>
      </c>
      <c r="B1070" s="519" t="s">
        <v>1307</v>
      </c>
      <c r="C1070" s="519" t="s">
        <v>284</v>
      </c>
      <c r="D1070" s="519" t="s">
        <v>109</v>
      </c>
      <c r="E1070" s="519" t="s">
        <v>280</v>
      </c>
      <c r="F1070" s="519" t="s">
        <v>70</v>
      </c>
      <c r="G1070" s="519" t="s">
        <v>56</v>
      </c>
      <c r="H1070" s="519" t="s">
        <v>144</v>
      </c>
      <c r="I1070" s="881">
        <v>179962.805094482</v>
      </c>
      <c r="J1070" s="881">
        <v>7.8236754199999599</v>
      </c>
      <c r="K1070" s="60">
        <v>4.3471956915830799E-5</v>
      </c>
      <c r="L1070" s="880">
        <v>3.0469226503217302</v>
      </c>
      <c r="M1070" s="373">
        <v>0</v>
      </c>
      <c r="N1070" s="60">
        <v>0.72651403178361307</v>
      </c>
      <c r="O1070" s="881">
        <v>622789.35585342802</v>
      </c>
      <c r="P1070" s="60">
        <v>3.3845883564372599E-5</v>
      </c>
      <c r="Q1070" s="880">
        <v>2.9743263168286802</v>
      </c>
      <c r="R1070" s="60">
        <v>0.6278706845041121</v>
      </c>
      <c r="S1070" s="60">
        <v>0.73961744433411702</v>
      </c>
      <c r="T1070" s="60">
        <v>0.23799179820944502</v>
      </c>
      <c r="U1070" s="60">
        <v>0.42547681010358601</v>
      </c>
    </row>
    <row r="1071" spans="1:21" x14ac:dyDescent="0.25">
      <c r="A1071" s="519" t="s">
        <v>1306</v>
      </c>
      <c r="B1071" s="519" t="s">
        <v>1309</v>
      </c>
      <c r="C1071" s="519" t="s">
        <v>284</v>
      </c>
      <c r="D1071" s="519" t="s">
        <v>109</v>
      </c>
      <c r="E1071" s="519" t="s">
        <v>280</v>
      </c>
      <c r="F1071" s="519" t="s">
        <v>70</v>
      </c>
      <c r="G1071" s="519" t="s">
        <v>56</v>
      </c>
      <c r="H1071" s="519" t="s">
        <v>146</v>
      </c>
      <c r="I1071" s="881">
        <v>230289.03143119402</v>
      </c>
      <c r="J1071" s="881">
        <v>8.5003651999999601</v>
      </c>
      <c r="K1071" s="60">
        <v>3.6910361712063002E-5</v>
      </c>
      <c r="L1071" s="880">
        <v>2.9877771022576698</v>
      </c>
      <c r="M1071" s="373">
        <v>0</v>
      </c>
      <c r="N1071" s="60">
        <v>0.7423205372560181</v>
      </c>
      <c r="O1071" s="881">
        <v>622789.35585342802</v>
      </c>
      <c r="P1071" s="60">
        <v>3.3845883564372599E-5</v>
      </c>
      <c r="Q1071" s="880">
        <v>2.9743263168286802</v>
      </c>
      <c r="R1071" s="60">
        <v>0.6278706845041121</v>
      </c>
      <c r="S1071" s="60">
        <v>0.73961744433411702</v>
      </c>
      <c r="T1071" s="60">
        <v>0.39375923489851206</v>
      </c>
      <c r="U1071" s="60">
        <v>0.40901930368683503</v>
      </c>
    </row>
    <row r="1072" spans="1:21" x14ac:dyDescent="0.25">
      <c r="A1072" s="519" t="s">
        <v>1310</v>
      </c>
      <c r="B1072" s="519" t="s">
        <v>1312</v>
      </c>
      <c r="C1072" s="519" t="s">
        <v>284</v>
      </c>
      <c r="D1072" s="519" t="s">
        <v>109</v>
      </c>
      <c r="E1072" s="519" t="s">
        <v>280</v>
      </c>
      <c r="F1072" s="519" t="s">
        <v>70</v>
      </c>
      <c r="G1072" s="519" t="s">
        <v>57</v>
      </c>
      <c r="H1072" s="519" t="s">
        <v>148</v>
      </c>
      <c r="I1072" s="881">
        <v>260069.14560951202</v>
      </c>
      <c r="J1072" s="881">
        <v>3.6240072600000199</v>
      </c>
      <c r="K1072" s="60">
        <v>1.39345894048816E-5</v>
      </c>
      <c r="L1072" s="880">
        <v>3.2362384724095001</v>
      </c>
      <c r="M1072" s="373">
        <v>0</v>
      </c>
      <c r="N1072" s="60">
        <v>0.81724493934042308</v>
      </c>
      <c r="O1072" s="881">
        <v>726210.05823397706</v>
      </c>
      <c r="P1072" s="60">
        <v>2.0214747223583701E-5</v>
      </c>
      <c r="Q1072" s="880">
        <v>3.02153145840966</v>
      </c>
      <c r="R1072" s="60">
        <v>0.6278706845041121</v>
      </c>
      <c r="S1072" s="60">
        <v>0.7985239800267091</v>
      </c>
      <c r="T1072" s="60">
        <v>0.40377227006004901</v>
      </c>
      <c r="U1072" s="60">
        <v>0.317526671395297</v>
      </c>
    </row>
    <row r="1073" spans="1:21" x14ac:dyDescent="0.25">
      <c r="A1073" s="519" t="s">
        <v>1314</v>
      </c>
      <c r="B1073" s="519" t="s">
        <v>1315</v>
      </c>
      <c r="C1073" s="519" t="s">
        <v>284</v>
      </c>
      <c r="D1073" s="519" t="s">
        <v>109</v>
      </c>
      <c r="E1073" s="519" t="s">
        <v>280</v>
      </c>
      <c r="F1073" s="519" t="s">
        <v>70</v>
      </c>
      <c r="G1073" s="519" t="s">
        <v>58</v>
      </c>
      <c r="H1073" s="519" t="s">
        <v>150</v>
      </c>
      <c r="I1073" s="881">
        <v>230451.76326159202</v>
      </c>
      <c r="J1073" s="881">
        <v>-3.0618022299999899</v>
      </c>
      <c r="K1073" s="60">
        <v>-1.3286263756795099E-5</v>
      </c>
      <c r="L1073" s="880">
        <v>3.0013304619636298</v>
      </c>
      <c r="M1073" s="373">
        <v>0</v>
      </c>
      <c r="N1073" s="60">
        <v>0.6603181441318241</v>
      </c>
      <c r="O1073" s="881">
        <v>777434.72789549211</v>
      </c>
      <c r="P1073" s="60">
        <v>2.74635773920456E-3</v>
      </c>
      <c r="Q1073" s="880">
        <v>3.0309052160824499</v>
      </c>
      <c r="R1073" s="60">
        <v>0.6278706845041121</v>
      </c>
      <c r="S1073" s="60">
        <v>0.70969230204509304</v>
      </c>
      <c r="T1073" s="60">
        <v>0.30038778026815904</v>
      </c>
      <c r="U1073" s="60">
        <v>-1.1463594665942702E-3</v>
      </c>
    </row>
    <row r="1074" spans="1:21" x14ac:dyDescent="0.25">
      <c r="A1074" s="519" t="s">
        <v>1314</v>
      </c>
      <c r="B1074" s="519" t="s">
        <v>1317</v>
      </c>
      <c r="C1074" s="519" t="s">
        <v>284</v>
      </c>
      <c r="D1074" s="519" t="s">
        <v>109</v>
      </c>
      <c r="E1074" s="519" t="s">
        <v>280</v>
      </c>
      <c r="F1074" s="519" t="s">
        <v>70</v>
      </c>
      <c r="G1074" s="519" t="s">
        <v>58</v>
      </c>
      <c r="H1074" s="519" t="s">
        <v>152</v>
      </c>
      <c r="I1074" s="881">
        <v>278956.244756478</v>
      </c>
      <c r="J1074" s="881">
        <v>2141.4650324200397</v>
      </c>
      <c r="K1074" s="60">
        <v>7.6182229802877702E-3</v>
      </c>
      <c r="L1074" s="880">
        <v>3.0592334322339299</v>
      </c>
      <c r="M1074" s="373">
        <v>0</v>
      </c>
      <c r="N1074" s="60">
        <v>0.68947543521326005</v>
      </c>
      <c r="O1074" s="881">
        <v>777434.72789549211</v>
      </c>
      <c r="P1074" s="60">
        <v>2.74635773920456E-3</v>
      </c>
      <c r="Q1074" s="880">
        <v>3.0309052160824499</v>
      </c>
      <c r="R1074" s="60">
        <v>0.6278706845041121</v>
      </c>
      <c r="S1074" s="60">
        <v>0.70969230204509304</v>
      </c>
      <c r="T1074" s="60">
        <v>0.37064226157517605</v>
      </c>
      <c r="U1074" s="60">
        <v>0.99841690017518803</v>
      </c>
    </row>
    <row r="1075" spans="1:21" x14ac:dyDescent="0.25">
      <c r="A1075" s="519" t="s">
        <v>1318</v>
      </c>
      <c r="B1075" s="519" t="s">
        <v>1320</v>
      </c>
      <c r="C1075" s="519" t="s">
        <v>284</v>
      </c>
      <c r="D1075" s="519" t="s">
        <v>109</v>
      </c>
      <c r="E1075" s="519" t="s">
        <v>280</v>
      </c>
      <c r="F1075" s="519" t="s">
        <v>70</v>
      </c>
      <c r="G1075" s="519" t="s">
        <v>59</v>
      </c>
      <c r="H1075" s="519" t="s">
        <v>154</v>
      </c>
      <c r="I1075" s="881">
        <v>56797.374552909998</v>
      </c>
      <c r="J1075" s="881">
        <v>-0.49489085999999999</v>
      </c>
      <c r="K1075" s="60">
        <v>-8.7133459257740006E-6</v>
      </c>
      <c r="L1075" s="880">
        <v>3.0623987225797</v>
      </c>
      <c r="M1075" s="373">
        <v>0</v>
      </c>
      <c r="N1075" s="60">
        <v>0.66840909967597995</v>
      </c>
      <c r="O1075" s="881">
        <v>277359.29980666103</v>
      </c>
      <c r="P1075" s="60">
        <v>-6.9626810326310396E-6</v>
      </c>
      <c r="Q1075" s="880">
        <v>2.9997313805214398</v>
      </c>
      <c r="R1075" s="60">
        <v>0.6278706845041121</v>
      </c>
      <c r="S1075" s="60">
        <v>0.69688105894738206</v>
      </c>
      <c r="T1075" s="60">
        <v>0.27337323436614502</v>
      </c>
      <c r="U1075" s="60">
        <v>6.1216220903433802E-2</v>
      </c>
    </row>
    <row r="1076" spans="1:21" x14ac:dyDescent="0.25">
      <c r="A1076" s="519" t="s">
        <v>1322</v>
      </c>
      <c r="B1076" s="519" t="s">
        <v>1324</v>
      </c>
      <c r="C1076" s="519" t="s">
        <v>284</v>
      </c>
      <c r="D1076" s="519" t="s">
        <v>109</v>
      </c>
      <c r="E1076" s="519" t="s">
        <v>280</v>
      </c>
      <c r="F1076" s="519" t="s">
        <v>16</v>
      </c>
      <c r="G1076" s="519" t="s">
        <v>56</v>
      </c>
      <c r="H1076" s="519" t="s">
        <v>145</v>
      </c>
      <c r="I1076" s="881">
        <v>262654.79283499799</v>
      </c>
      <c r="J1076" s="881">
        <v>-3.1502679999936098E-2</v>
      </c>
      <c r="K1076" s="60">
        <v>-1.19939497156413E-7</v>
      </c>
      <c r="L1076" s="880">
        <v>3.0193597404011601</v>
      </c>
      <c r="M1076" s="373">
        <v>0</v>
      </c>
      <c r="N1076" s="60">
        <v>0.78242100427492001</v>
      </c>
      <c r="O1076" s="881">
        <v>666535.00390610599</v>
      </c>
      <c r="P1076" s="60">
        <v>-4.8467770915724002E-6</v>
      </c>
      <c r="Q1076" s="880">
        <v>3.0190357193632198</v>
      </c>
      <c r="R1076" s="60">
        <v>0.6278706845041121</v>
      </c>
      <c r="S1076" s="60">
        <v>0.75951212262639711</v>
      </c>
      <c r="T1076" s="60">
        <v>0.36824896689204301</v>
      </c>
      <c r="U1076" s="60">
        <v>0.16550388620957901</v>
      </c>
    </row>
    <row r="1077" spans="1:21" x14ac:dyDescent="0.25">
      <c r="A1077" s="519" t="s">
        <v>1326</v>
      </c>
      <c r="B1077" s="519" t="s">
        <v>1327</v>
      </c>
      <c r="C1077" s="519" t="s">
        <v>284</v>
      </c>
      <c r="D1077" s="519" t="s">
        <v>109</v>
      </c>
      <c r="E1077" s="519" t="s">
        <v>280</v>
      </c>
      <c r="F1077" s="519" t="s">
        <v>16</v>
      </c>
      <c r="G1077" s="519" t="s">
        <v>57</v>
      </c>
      <c r="H1077" s="519" t="s">
        <v>147</v>
      </c>
      <c r="I1077" s="881">
        <v>263890.35534306802</v>
      </c>
      <c r="J1077" s="881">
        <v>-0.66687355999990705</v>
      </c>
      <c r="K1077" s="60">
        <v>-2.5270921492521898E-6</v>
      </c>
      <c r="L1077" s="880">
        <v>3.0672886774344401</v>
      </c>
      <c r="M1077" s="373">
        <v>0</v>
      </c>
      <c r="N1077" s="60">
        <v>0.72942371337606704</v>
      </c>
      <c r="O1077" s="881">
        <v>1080616.1166724099</v>
      </c>
      <c r="P1077" s="60">
        <v>8.2849511934115595E-6</v>
      </c>
      <c r="Q1077" s="880">
        <v>3.0275633440913299</v>
      </c>
      <c r="R1077" s="60">
        <v>0.6278706845041121</v>
      </c>
      <c r="S1077" s="60">
        <v>0.78425280239784811</v>
      </c>
      <c r="T1077" s="60">
        <v>0.26773201807098201</v>
      </c>
      <c r="U1077" s="60">
        <v>0.15906346019769602</v>
      </c>
    </row>
    <row r="1078" spans="1:21" x14ac:dyDescent="0.25">
      <c r="A1078" s="519" t="s">
        <v>1326</v>
      </c>
      <c r="B1078" s="519" t="s">
        <v>1329</v>
      </c>
      <c r="C1078" s="519" t="s">
        <v>284</v>
      </c>
      <c r="D1078" s="519" t="s">
        <v>109</v>
      </c>
      <c r="E1078" s="519" t="s">
        <v>280</v>
      </c>
      <c r="F1078" s="519" t="s">
        <v>16</v>
      </c>
      <c r="G1078" s="519" t="s">
        <v>57</v>
      </c>
      <c r="H1078" s="519" t="s">
        <v>149</v>
      </c>
      <c r="I1078" s="881">
        <v>347248.600692985</v>
      </c>
      <c r="J1078" s="881">
        <v>5.7395797299998899</v>
      </c>
      <c r="K1078" s="60">
        <v>1.6528460740022098E-5</v>
      </c>
      <c r="L1078" s="880">
        <v>3.0177259213387302</v>
      </c>
      <c r="M1078" s="373">
        <v>0</v>
      </c>
      <c r="N1078" s="60">
        <v>0.7562463286720531</v>
      </c>
      <c r="O1078" s="881">
        <v>1080616.1166724099</v>
      </c>
      <c r="P1078" s="60">
        <v>8.2849511934115595E-6</v>
      </c>
      <c r="Q1078" s="880">
        <v>3.0275633440913299</v>
      </c>
      <c r="R1078" s="60">
        <v>0.6278706845041121</v>
      </c>
      <c r="S1078" s="60">
        <v>0.78425280239784811</v>
      </c>
      <c r="T1078" s="60">
        <v>0.32849571186896903</v>
      </c>
      <c r="U1078" s="60">
        <v>0.5234098684070061</v>
      </c>
    </row>
    <row r="1079" spans="1:21" x14ac:dyDescent="0.25">
      <c r="A1079" s="519" t="s">
        <v>1330</v>
      </c>
      <c r="B1079" s="519" t="s">
        <v>1332</v>
      </c>
      <c r="C1079" s="519" t="s">
        <v>284</v>
      </c>
      <c r="D1079" s="519" t="s">
        <v>109</v>
      </c>
      <c r="E1079" s="519" t="s">
        <v>280</v>
      </c>
      <c r="F1079" s="519" t="s">
        <v>16</v>
      </c>
      <c r="G1079" s="519" t="s">
        <v>58</v>
      </c>
      <c r="H1079" s="519" t="s">
        <v>151</v>
      </c>
      <c r="I1079" s="881">
        <v>353302.13424091705</v>
      </c>
      <c r="J1079" s="881">
        <v>3.2700798299998399</v>
      </c>
      <c r="K1079" s="60">
        <v>9.2556745241039899E-6</v>
      </c>
      <c r="L1079" s="880">
        <v>3.0343730141750598</v>
      </c>
      <c r="M1079" s="373">
        <v>0</v>
      </c>
      <c r="N1079" s="60">
        <v>0.80735847428352003</v>
      </c>
      <c r="O1079" s="881">
        <v>1111275.2856262999</v>
      </c>
      <c r="P1079" s="60">
        <v>5.5752367013652495E-6</v>
      </c>
      <c r="Q1079" s="880">
        <v>3.06181506593449</v>
      </c>
      <c r="R1079" s="60">
        <v>0.6278706845041121</v>
      </c>
      <c r="S1079" s="60">
        <v>0.80876318679281112</v>
      </c>
      <c r="T1079" s="60">
        <v>0.32896995815666502</v>
      </c>
      <c r="U1079" s="60">
        <v>2.72945929140584E-3</v>
      </c>
    </row>
    <row r="1080" spans="1:21" x14ac:dyDescent="0.25">
      <c r="A1080" s="519" t="s">
        <v>1334</v>
      </c>
      <c r="B1080" s="519" t="s">
        <v>1335</v>
      </c>
      <c r="C1080" s="519" t="s">
        <v>284</v>
      </c>
      <c r="D1080" s="519" t="s">
        <v>109</v>
      </c>
      <c r="E1080" s="519" t="s">
        <v>280</v>
      </c>
      <c r="F1080" s="519" t="s">
        <v>16</v>
      </c>
      <c r="G1080" s="519" t="s">
        <v>59</v>
      </c>
      <c r="H1080" s="519" t="s">
        <v>153</v>
      </c>
      <c r="I1080" s="881">
        <v>203819.36898898002</v>
      </c>
      <c r="J1080" s="881">
        <v>2714.3804562524197</v>
      </c>
      <c r="K1080" s="60">
        <v>1.31425515856052E-2</v>
      </c>
      <c r="L1080" s="880">
        <v>3.0594279529897501</v>
      </c>
      <c r="M1080" s="373">
        <v>0</v>
      </c>
      <c r="N1080" s="60">
        <v>0.75188672436021997</v>
      </c>
      <c r="O1080" s="881">
        <v>628695.2164068491</v>
      </c>
      <c r="P1080" s="60">
        <v>4.5794325047160507E-3</v>
      </c>
      <c r="Q1080" s="880">
        <v>3.0628617792083102</v>
      </c>
      <c r="R1080" s="60">
        <v>0.6278706845041121</v>
      </c>
      <c r="S1080" s="60">
        <v>0.77135526903973994</v>
      </c>
      <c r="T1080" s="60">
        <v>0.31815988235671405</v>
      </c>
      <c r="U1080" s="60">
        <v>0.93872516397151606</v>
      </c>
    </row>
    <row r="1081" spans="1:21" x14ac:dyDescent="0.25">
      <c r="A1081" s="519" t="s">
        <v>1334</v>
      </c>
      <c r="B1081" s="519" t="s">
        <v>1337</v>
      </c>
      <c r="C1081" s="519" t="s">
        <v>284</v>
      </c>
      <c r="D1081" s="519" t="s">
        <v>109</v>
      </c>
      <c r="E1081" s="519" t="s">
        <v>280</v>
      </c>
      <c r="F1081" s="519" t="s">
        <v>16</v>
      </c>
      <c r="G1081" s="519" t="s">
        <v>59</v>
      </c>
      <c r="H1081" s="519" t="s">
        <v>155</v>
      </c>
      <c r="I1081" s="881">
        <v>233982.16836143902</v>
      </c>
      <c r="J1081" s="881">
        <v>0.49889148183412502</v>
      </c>
      <c r="K1081" s="60">
        <v>2.1321728130180397E-6</v>
      </c>
      <c r="L1081" s="880">
        <v>3.0565535804962898</v>
      </c>
      <c r="M1081" s="373">
        <v>0</v>
      </c>
      <c r="N1081" s="60">
        <v>0.79698044615083907</v>
      </c>
      <c r="O1081" s="881">
        <v>628695.2164068491</v>
      </c>
      <c r="P1081" s="60">
        <v>4.5794325047160507E-3</v>
      </c>
      <c r="Q1081" s="880">
        <v>3.0628617792083102</v>
      </c>
      <c r="R1081" s="60">
        <v>0.6278706845041121</v>
      </c>
      <c r="S1081" s="60">
        <v>0.77135526903973994</v>
      </c>
      <c r="T1081" s="60">
        <v>0.40846688327714104</v>
      </c>
      <c r="U1081" s="60">
        <v>5.8615125050582005E-5</v>
      </c>
    </row>
    <row r="1082" spans="1:21" x14ac:dyDescent="0.25">
      <c r="A1082" s="519" t="s">
        <v>1338</v>
      </c>
      <c r="B1082" s="519" t="s">
        <v>1339</v>
      </c>
      <c r="C1082" s="519" t="s">
        <v>284</v>
      </c>
      <c r="D1082" s="519" t="s">
        <v>109</v>
      </c>
      <c r="E1082" s="519" t="s">
        <v>280</v>
      </c>
      <c r="F1082" s="519" t="s">
        <v>17</v>
      </c>
      <c r="G1082" s="519" t="s">
        <v>56</v>
      </c>
      <c r="H1082" s="519" t="s">
        <v>144</v>
      </c>
      <c r="I1082" s="881">
        <v>313028.60461377999</v>
      </c>
      <c r="J1082" s="881">
        <v>5171.2474205553499</v>
      </c>
      <c r="K1082" s="60">
        <v>1.62515707895345E-2</v>
      </c>
      <c r="L1082" s="880">
        <v>3.0823827043698002</v>
      </c>
      <c r="M1082" s="373">
        <v>0</v>
      </c>
      <c r="N1082" s="60">
        <v>0.73255606639351201</v>
      </c>
      <c r="O1082" s="881">
        <v>1225639.0993558799</v>
      </c>
      <c r="P1082" s="60">
        <v>9.81715170976135E-3</v>
      </c>
      <c r="Q1082" s="880">
        <v>3.06713158763647</v>
      </c>
      <c r="R1082" s="60">
        <v>0.6278706845041121</v>
      </c>
      <c r="S1082" s="60">
        <v>0.77826820464868407</v>
      </c>
      <c r="T1082" s="60">
        <v>0.23799179820944502</v>
      </c>
      <c r="U1082" s="60">
        <v>0.42547681010358601</v>
      </c>
    </row>
    <row r="1083" spans="1:21" x14ac:dyDescent="0.25">
      <c r="A1083" s="519" t="s">
        <v>1338</v>
      </c>
      <c r="B1083" s="519" t="s">
        <v>1340</v>
      </c>
      <c r="C1083" s="519" t="s">
        <v>284</v>
      </c>
      <c r="D1083" s="519" t="s">
        <v>109</v>
      </c>
      <c r="E1083" s="519" t="s">
        <v>280</v>
      </c>
      <c r="F1083" s="519" t="s">
        <v>17</v>
      </c>
      <c r="G1083" s="519" t="s">
        <v>56</v>
      </c>
      <c r="H1083" s="519" t="s">
        <v>146</v>
      </c>
      <c r="I1083" s="881">
        <v>461670.11131435703</v>
      </c>
      <c r="J1083" s="881">
        <v>4970.9678664011499</v>
      </c>
      <c r="K1083" s="60">
        <v>1.0652658088157001E-2</v>
      </c>
      <c r="L1083" s="880">
        <v>3.0692927141504498</v>
      </c>
      <c r="M1083" s="373">
        <v>0</v>
      </c>
      <c r="N1083" s="60">
        <v>0.7821262552643371</v>
      </c>
      <c r="O1083" s="881">
        <v>1225639.0993558799</v>
      </c>
      <c r="P1083" s="60">
        <v>9.81715170976135E-3</v>
      </c>
      <c r="Q1083" s="880">
        <v>3.06713158763647</v>
      </c>
      <c r="R1083" s="60">
        <v>0.6278706845041121</v>
      </c>
      <c r="S1083" s="60">
        <v>0.77826820464868407</v>
      </c>
      <c r="T1083" s="60">
        <v>0.39375923489851206</v>
      </c>
      <c r="U1083" s="60">
        <v>0.40901930368683503</v>
      </c>
    </row>
    <row r="1084" spans="1:21" x14ac:dyDescent="0.25">
      <c r="A1084" s="519" t="s">
        <v>1341</v>
      </c>
      <c r="B1084" s="519" t="s">
        <v>1343</v>
      </c>
      <c r="C1084" s="519" t="s">
        <v>284</v>
      </c>
      <c r="D1084" s="519" t="s">
        <v>109</v>
      </c>
      <c r="E1084" s="519" t="s">
        <v>289</v>
      </c>
      <c r="F1084" s="519" t="s">
        <v>70</v>
      </c>
      <c r="G1084" s="519" t="s">
        <v>56</v>
      </c>
      <c r="H1084" s="519" t="s">
        <v>145</v>
      </c>
      <c r="I1084" s="881">
        <v>323409.60872354102</v>
      </c>
      <c r="J1084" s="881">
        <v>3.8767495400000098</v>
      </c>
      <c r="K1084" s="60">
        <v>1.1986975541014499E-5</v>
      </c>
      <c r="L1084" s="880">
        <v>3.04490078593816</v>
      </c>
      <c r="M1084" s="373">
        <v>0</v>
      </c>
      <c r="N1084" s="60">
        <v>0.154835679004936</v>
      </c>
      <c r="O1084" s="881">
        <v>652173.98327206308</v>
      </c>
      <c r="P1084" s="60">
        <v>7.4503679133142795E-6</v>
      </c>
      <c r="Q1084" s="880">
        <v>3.07551921367223</v>
      </c>
      <c r="R1084" s="60">
        <v>0.49418251100359306</v>
      </c>
      <c r="S1084" s="60">
        <v>0.17213864472998702</v>
      </c>
      <c r="T1084" s="60">
        <v>0.50547279655256505</v>
      </c>
      <c r="U1084" s="60">
        <v>0.13484052540976102</v>
      </c>
    </row>
    <row r="1085" spans="1:21" x14ac:dyDescent="0.25">
      <c r="A1085" s="519" t="s">
        <v>1345</v>
      </c>
      <c r="B1085" s="519" t="s">
        <v>1346</v>
      </c>
      <c r="C1085" s="519" t="s">
        <v>284</v>
      </c>
      <c r="D1085" s="519" t="s">
        <v>109</v>
      </c>
      <c r="E1085" s="519" t="s">
        <v>289</v>
      </c>
      <c r="F1085" s="519" t="s">
        <v>70</v>
      </c>
      <c r="G1085" s="519" t="s">
        <v>57</v>
      </c>
      <c r="H1085" s="519" t="s">
        <v>147</v>
      </c>
      <c r="I1085" s="881">
        <v>277177.85771438904</v>
      </c>
      <c r="J1085" s="881">
        <v>5.9635954900000199</v>
      </c>
      <c r="K1085" s="60">
        <v>2.1514947956984198E-5</v>
      </c>
      <c r="L1085" s="880">
        <v>2.8130840472789003</v>
      </c>
      <c r="M1085" s="373">
        <v>0</v>
      </c>
      <c r="N1085" s="60">
        <v>0.22879035746352902</v>
      </c>
      <c r="O1085" s="881">
        <v>923477.84864947805</v>
      </c>
      <c r="P1085" s="60">
        <v>2.08185601235486E-5</v>
      </c>
      <c r="Q1085" s="880">
        <v>3.0288540731985401</v>
      </c>
      <c r="R1085" s="60">
        <v>0.49418251100359306</v>
      </c>
      <c r="S1085" s="60">
        <v>0.20992456405832402</v>
      </c>
      <c r="T1085" s="60">
        <v>0.291959520501201</v>
      </c>
      <c r="U1085" s="60">
        <v>0.295569278586233</v>
      </c>
    </row>
    <row r="1086" spans="1:21" x14ac:dyDescent="0.25">
      <c r="A1086" s="519" t="s">
        <v>1345</v>
      </c>
      <c r="B1086" s="519" t="s">
        <v>1348</v>
      </c>
      <c r="C1086" s="519" t="s">
        <v>284</v>
      </c>
      <c r="D1086" s="519" t="s">
        <v>109</v>
      </c>
      <c r="E1086" s="519" t="s">
        <v>289</v>
      </c>
      <c r="F1086" s="519" t="s">
        <v>70</v>
      </c>
      <c r="G1086" s="519" t="s">
        <v>57</v>
      </c>
      <c r="H1086" s="519" t="s">
        <v>149</v>
      </c>
      <c r="I1086" s="881">
        <v>426604.89997389901</v>
      </c>
      <c r="J1086" s="881">
        <v>7.8045020899999802</v>
      </c>
      <c r="K1086" s="60">
        <v>1.8294115501286698E-5</v>
      </c>
      <c r="L1086" s="880">
        <v>3.0292791779781201</v>
      </c>
      <c r="M1086" s="373">
        <v>0</v>
      </c>
      <c r="N1086" s="60">
        <v>0.195485092617179</v>
      </c>
      <c r="O1086" s="881">
        <v>923477.84864947805</v>
      </c>
      <c r="P1086" s="60">
        <v>2.08185601235486E-5</v>
      </c>
      <c r="Q1086" s="880">
        <v>3.0288540731985401</v>
      </c>
      <c r="R1086" s="60">
        <v>0.49418251100359306</v>
      </c>
      <c r="S1086" s="60">
        <v>0.20992456405832402</v>
      </c>
      <c r="T1086" s="60">
        <v>0.48026306381943806</v>
      </c>
      <c r="U1086" s="60">
        <v>0.23932992049617502</v>
      </c>
    </row>
    <row r="1087" spans="1:21" x14ac:dyDescent="0.25">
      <c r="A1087" s="519" t="s">
        <v>1349</v>
      </c>
      <c r="B1087" s="519" t="s">
        <v>1350</v>
      </c>
      <c r="C1087" s="519" t="s">
        <v>284</v>
      </c>
      <c r="D1087" s="519" t="s">
        <v>109</v>
      </c>
      <c r="E1087" s="519" t="s">
        <v>289</v>
      </c>
      <c r="F1087" s="519" t="s">
        <v>70</v>
      </c>
      <c r="G1087" s="519" t="s">
        <v>58</v>
      </c>
      <c r="H1087" s="519" t="s">
        <v>150</v>
      </c>
      <c r="I1087" s="881">
        <v>110370.86340769001</v>
      </c>
      <c r="J1087" s="881">
        <v>0.56936974000000407</v>
      </c>
      <c r="K1087" s="60">
        <v>5.1586694643003693E-6</v>
      </c>
      <c r="L1087" s="880">
        <v>2.9823829316588299</v>
      </c>
      <c r="M1087" s="373">
        <v>0</v>
      </c>
      <c r="N1087" s="60">
        <v>0.13985545599441701</v>
      </c>
      <c r="O1087" s="881">
        <v>431699.94196916104</v>
      </c>
      <c r="P1087" s="60">
        <v>3.5465491953516103E-3</v>
      </c>
      <c r="Q1087" s="880">
        <v>3.0308691489939199</v>
      </c>
      <c r="R1087" s="60">
        <v>0.49418251100359306</v>
      </c>
      <c r="S1087" s="60">
        <v>0.14723566208206901</v>
      </c>
      <c r="T1087" s="60">
        <v>0.24336746479800103</v>
      </c>
      <c r="U1087" s="60">
        <v>1.2368452117465501E-3</v>
      </c>
    </row>
    <row r="1088" spans="1:21" x14ac:dyDescent="0.25">
      <c r="A1088" s="519" t="s">
        <v>1349</v>
      </c>
      <c r="B1088" s="519" t="s">
        <v>1352</v>
      </c>
      <c r="C1088" s="519" t="s">
        <v>284</v>
      </c>
      <c r="D1088" s="519" t="s">
        <v>109</v>
      </c>
      <c r="E1088" s="519" t="s">
        <v>289</v>
      </c>
      <c r="F1088" s="519" t="s">
        <v>70</v>
      </c>
      <c r="G1088" s="519" t="s">
        <v>58</v>
      </c>
      <c r="H1088" s="519" t="s">
        <v>152</v>
      </c>
      <c r="I1088" s="881">
        <v>145536.574091371</v>
      </c>
      <c r="J1088" s="881">
        <v>1534.3070725600001</v>
      </c>
      <c r="K1088" s="60">
        <v>1.0432432718274199E-2</v>
      </c>
      <c r="L1088" s="880">
        <v>3.0636265849420199</v>
      </c>
      <c r="M1088" s="373">
        <v>0</v>
      </c>
      <c r="N1088" s="60">
        <v>0.13282667969058801</v>
      </c>
      <c r="O1088" s="881">
        <v>431699.94196916104</v>
      </c>
      <c r="P1088" s="60">
        <v>3.5465491953516103E-3</v>
      </c>
      <c r="Q1088" s="880">
        <v>3.0308691489939199</v>
      </c>
      <c r="R1088" s="60">
        <v>0.49418251100359306</v>
      </c>
      <c r="S1088" s="60">
        <v>0.14723566208206901</v>
      </c>
      <c r="T1088" s="60">
        <v>0.34517955743700701</v>
      </c>
      <c r="U1088" s="60">
        <v>0.99728985383313107</v>
      </c>
    </row>
    <row r="1089" spans="1:21" x14ac:dyDescent="0.25">
      <c r="A1089" s="519" t="s">
        <v>1353</v>
      </c>
      <c r="B1089" s="519" t="s">
        <v>1355</v>
      </c>
      <c r="C1089" s="519" t="s">
        <v>284</v>
      </c>
      <c r="D1089" s="519" t="s">
        <v>109</v>
      </c>
      <c r="E1089" s="519" t="s">
        <v>289</v>
      </c>
      <c r="F1089" s="519" t="s">
        <v>70</v>
      </c>
      <c r="G1089" s="519" t="s">
        <v>59</v>
      </c>
      <c r="H1089" s="519" t="s">
        <v>154</v>
      </c>
      <c r="I1089" s="881">
        <v>25268.346080710002</v>
      </c>
      <c r="J1089" s="881">
        <v>0.45227273000000001</v>
      </c>
      <c r="K1089" s="60">
        <v>1.78984660716337E-5</v>
      </c>
      <c r="L1089" s="880">
        <v>2.9696437664772199</v>
      </c>
      <c r="M1089" s="373">
        <v>0</v>
      </c>
      <c r="N1089" s="60">
        <v>0.18700634792149501</v>
      </c>
      <c r="O1089" s="881">
        <v>119652.12394351</v>
      </c>
      <c r="P1089" s="60">
        <v>1.41498881690694E-5</v>
      </c>
      <c r="Q1089" s="880">
        <v>3.0092903228528498</v>
      </c>
      <c r="R1089" s="60">
        <v>0.49418251100359306</v>
      </c>
      <c r="S1089" s="60">
        <v>0.20397238728835601</v>
      </c>
      <c r="T1089" s="60">
        <v>0.25700370532137001</v>
      </c>
      <c r="U1089" s="60">
        <v>3.6023188274371301E-2</v>
      </c>
    </row>
    <row r="1090" spans="1:21" x14ac:dyDescent="0.25">
      <c r="A1090" s="519" t="s">
        <v>1357</v>
      </c>
      <c r="B1090" s="519" t="s">
        <v>1358</v>
      </c>
      <c r="C1090" s="519" t="s">
        <v>284</v>
      </c>
      <c r="D1090" s="519" t="s">
        <v>109</v>
      </c>
      <c r="E1090" s="519" t="s">
        <v>289</v>
      </c>
      <c r="F1090" s="519" t="s">
        <v>16</v>
      </c>
      <c r="G1090" s="519" t="s">
        <v>56</v>
      </c>
      <c r="H1090" s="519" t="s">
        <v>144</v>
      </c>
      <c r="I1090" s="881">
        <v>52053.710862830201</v>
      </c>
      <c r="J1090" s="881">
        <v>-7.5188250000000498E-2</v>
      </c>
      <c r="K1090" s="60">
        <v>-1.4444380114013399E-6</v>
      </c>
      <c r="L1090" s="880">
        <v>3.0885969711674499</v>
      </c>
      <c r="M1090" s="373">
        <v>0</v>
      </c>
      <c r="N1090" s="60">
        <v>0.17092630437560802</v>
      </c>
      <c r="O1090" s="881">
        <v>557428.89195055503</v>
      </c>
      <c r="P1090" s="60">
        <v>1.1157005011717E-5</v>
      </c>
      <c r="Q1090" s="880">
        <v>3.11742129670131</v>
      </c>
      <c r="R1090" s="60">
        <v>0.49418251100359306</v>
      </c>
      <c r="S1090" s="60">
        <v>0.20364810446595902</v>
      </c>
      <c r="T1090" s="60">
        <v>0.10941925795669501</v>
      </c>
      <c r="U1090" s="60">
        <v>0.45131331990311702</v>
      </c>
    </row>
    <row r="1091" spans="1:21" x14ac:dyDescent="0.25">
      <c r="A1091" s="519" t="s">
        <v>1357</v>
      </c>
      <c r="B1091" s="519" t="s">
        <v>1360</v>
      </c>
      <c r="C1091" s="519" t="s">
        <v>284</v>
      </c>
      <c r="D1091" s="519" t="s">
        <v>109</v>
      </c>
      <c r="E1091" s="519" t="s">
        <v>289</v>
      </c>
      <c r="F1091" s="519" t="s">
        <v>16</v>
      </c>
      <c r="G1091" s="519" t="s">
        <v>56</v>
      </c>
      <c r="H1091" s="519" t="s">
        <v>146</v>
      </c>
      <c r="I1091" s="881">
        <v>219952.68997701901</v>
      </c>
      <c r="J1091" s="881">
        <v>3.1969627300000298</v>
      </c>
      <c r="K1091" s="60">
        <v>1.45345631548191E-5</v>
      </c>
      <c r="L1091" s="880">
        <v>3.1105209967657101</v>
      </c>
      <c r="M1091" s="373">
        <v>0</v>
      </c>
      <c r="N1091" s="60">
        <v>0.21086560555393102</v>
      </c>
      <c r="O1091" s="881">
        <v>557428.89195055503</v>
      </c>
      <c r="P1091" s="60">
        <v>1.1157005011717E-5</v>
      </c>
      <c r="Q1091" s="880">
        <v>3.11742129670131</v>
      </c>
      <c r="R1091" s="60">
        <v>0.49418251100359306</v>
      </c>
      <c r="S1091" s="60">
        <v>0.20364810446595902</v>
      </c>
      <c r="T1091" s="60">
        <v>0.38510794549074001</v>
      </c>
      <c r="U1091" s="60">
        <v>0.41384615468712205</v>
      </c>
    </row>
    <row r="1092" spans="1:21" x14ac:dyDescent="0.25">
      <c r="A1092" s="519" t="s">
        <v>1361</v>
      </c>
      <c r="B1092" s="519" t="s">
        <v>1363</v>
      </c>
      <c r="C1092" s="519" t="s">
        <v>284</v>
      </c>
      <c r="D1092" s="519" t="s">
        <v>109</v>
      </c>
      <c r="E1092" s="519" t="s">
        <v>289</v>
      </c>
      <c r="F1092" s="519" t="s">
        <v>16</v>
      </c>
      <c r="G1092" s="519" t="s">
        <v>57</v>
      </c>
      <c r="H1092" s="519" t="s">
        <v>148</v>
      </c>
      <c r="I1092" s="881">
        <v>212398.30540102802</v>
      </c>
      <c r="J1092" s="881">
        <v>3.7098173900000302</v>
      </c>
      <c r="K1092" s="60">
        <v>1.7466017853856701E-5</v>
      </c>
      <c r="L1092" s="880">
        <v>3.0600577360268799</v>
      </c>
      <c r="M1092" s="373">
        <v>0</v>
      </c>
      <c r="N1092" s="60">
        <v>0.42545880678402503</v>
      </c>
      <c r="O1092" s="881">
        <v>973520.56567298807</v>
      </c>
      <c r="P1092" s="60">
        <v>4.98309522539384E-7</v>
      </c>
      <c r="Q1092" s="880">
        <v>3.1005527394071901</v>
      </c>
      <c r="R1092" s="60">
        <v>0.49418251100359306</v>
      </c>
      <c r="S1092" s="60">
        <v>0.33939474835033601</v>
      </c>
      <c r="T1092" s="60">
        <v>0.22777741567936102</v>
      </c>
      <c r="U1092" s="60">
        <v>0.46510080091759304</v>
      </c>
    </row>
    <row r="1093" spans="1:21" x14ac:dyDescent="0.25">
      <c r="A1093" s="519" t="s">
        <v>1365</v>
      </c>
      <c r="B1093" s="519" t="s">
        <v>1367</v>
      </c>
      <c r="C1093" s="519" t="s">
        <v>284</v>
      </c>
      <c r="D1093" s="519" t="s">
        <v>109</v>
      </c>
      <c r="E1093" s="519" t="s">
        <v>289</v>
      </c>
      <c r="F1093" s="519" t="s">
        <v>16</v>
      </c>
      <c r="G1093" s="519" t="s">
        <v>58</v>
      </c>
      <c r="H1093" s="519" t="s">
        <v>151</v>
      </c>
      <c r="I1093" s="881">
        <v>136700.15462921001</v>
      </c>
      <c r="J1093" s="881">
        <v>0.65249801999999801</v>
      </c>
      <c r="K1093" s="60">
        <v>4.7731833755210301E-6</v>
      </c>
      <c r="L1093" s="880">
        <v>3.07456046654208</v>
      </c>
      <c r="M1093" s="373">
        <v>0</v>
      </c>
      <c r="N1093" s="60">
        <v>0.35423314458382305</v>
      </c>
      <c r="O1093" s="881">
        <v>327785.773255862</v>
      </c>
      <c r="P1093" s="60">
        <v>1.38149780115699E-5</v>
      </c>
      <c r="Q1093" s="880">
        <v>3.1213366382440899</v>
      </c>
      <c r="R1093" s="60">
        <v>0.49418251100359306</v>
      </c>
      <c r="S1093" s="60">
        <v>0.34358829622425102</v>
      </c>
      <c r="T1093" s="60">
        <v>0.41145297776499201</v>
      </c>
      <c r="U1093" s="60">
        <v>1.4733009551222802E-3</v>
      </c>
    </row>
    <row r="1094" spans="1:21" x14ac:dyDescent="0.25">
      <c r="A1094" s="519" t="s">
        <v>1369</v>
      </c>
      <c r="B1094" s="519" t="s">
        <v>1370</v>
      </c>
      <c r="C1094" s="519" t="s">
        <v>284</v>
      </c>
      <c r="D1094" s="519" t="s">
        <v>109</v>
      </c>
      <c r="E1094" s="519" t="s">
        <v>289</v>
      </c>
      <c r="F1094" s="519" t="s">
        <v>16</v>
      </c>
      <c r="G1094" s="519" t="s">
        <v>59</v>
      </c>
      <c r="H1094" s="519" t="s">
        <v>153</v>
      </c>
      <c r="I1094" s="881">
        <v>43870.53032949</v>
      </c>
      <c r="J1094" s="881">
        <v>2191.5883235067399</v>
      </c>
      <c r="K1094" s="60">
        <v>4.7578973516541799E-2</v>
      </c>
      <c r="L1094" s="880">
        <v>3.1020296010573798</v>
      </c>
      <c r="M1094" s="373">
        <v>0</v>
      </c>
      <c r="N1094" s="60">
        <v>0.51508918698527806</v>
      </c>
      <c r="O1094" s="881">
        <v>116099.33329255</v>
      </c>
      <c r="P1094" s="60">
        <v>1.92100960449034E-2</v>
      </c>
      <c r="Q1094" s="880">
        <v>3.08098095860784</v>
      </c>
      <c r="R1094" s="60">
        <v>0.49418251100359306</v>
      </c>
      <c r="S1094" s="60">
        <v>0.41741609472713204</v>
      </c>
      <c r="T1094" s="60">
        <v>0.31624731608940404</v>
      </c>
      <c r="U1094" s="60">
        <v>0.96332680701850903</v>
      </c>
    </row>
    <row r="1095" spans="1:21" x14ac:dyDescent="0.25">
      <c r="A1095" s="519" t="s">
        <v>1369</v>
      </c>
      <c r="B1095" s="519" t="s">
        <v>1372</v>
      </c>
      <c r="C1095" s="519" t="s">
        <v>284</v>
      </c>
      <c r="D1095" s="519" t="s">
        <v>109</v>
      </c>
      <c r="E1095" s="519" t="s">
        <v>289</v>
      </c>
      <c r="F1095" s="519" t="s">
        <v>16</v>
      </c>
      <c r="G1095" s="519" t="s">
        <v>59</v>
      </c>
      <c r="H1095" s="519" t="s">
        <v>155</v>
      </c>
      <c r="I1095" s="881">
        <v>36908.150999190002</v>
      </c>
      <c r="J1095" s="881">
        <v>0.84996288541899812</v>
      </c>
      <c r="K1095" s="60">
        <v>2.30286072032225E-5</v>
      </c>
      <c r="L1095" s="880">
        <v>3.0692479475202901</v>
      </c>
      <c r="M1095" s="373">
        <v>0</v>
      </c>
      <c r="N1095" s="60">
        <v>0.36035979347060404</v>
      </c>
      <c r="O1095" s="881">
        <v>116099.33329255</v>
      </c>
      <c r="P1095" s="60">
        <v>1.92100960449034E-2</v>
      </c>
      <c r="Q1095" s="880">
        <v>3.08098095860784</v>
      </c>
      <c r="R1095" s="60">
        <v>0.49418251100359306</v>
      </c>
      <c r="S1095" s="60">
        <v>0.41741609472713204</v>
      </c>
      <c r="T1095" s="60">
        <v>0.42674897858922606</v>
      </c>
      <c r="U1095" s="60">
        <v>6.5000470711985207E-4</v>
      </c>
    </row>
    <row r="1096" spans="1:21" x14ac:dyDescent="0.25">
      <c r="A1096" s="519" t="s">
        <v>1373</v>
      </c>
      <c r="B1096" s="519" t="s">
        <v>1760</v>
      </c>
      <c r="C1096" s="519" t="s">
        <v>284</v>
      </c>
      <c r="D1096" s="519" t="s">
        <v>109</v>
      </c>
      <c r="E1096" s="519" t="s">
        <v>289</v>
      </c>
      <c r="F1096" s="519" t="s">
        <v>17</v>
      </c>
      <c r="G1096" s="519" t="s">
        <v>56</v>
      </c>
      <c r="H1096" s="519" t="s">
        <v>145</v>
      </c>
      <c r="I1096" s="881">
        <v>474292.81883749703</v>
      </c>
      <c r="J1096" s="881">
        <v>1319.2254055447299</v>
      </c>
      <c r="K1096" s="60">
        <v>2.7737426364892602E-3</v>
      </c>
      <c r="L1096" s="880">
        <v>3.165097048792</v>
      </c>
      <c r="M1096" s="373">
        <v>0</v>
      </c>
      <c r="N1096" s="60">
        <v>0.45977942614474904</v>
      </c>
      <c r="O1096" s="881">
        <v>933192.79263308609</v>
      </c>
      <c r="P1096" s="60">
        <v>1.0417883397016001E-2</v>
      </c>
      <c r="Q1096" s="880">
        <v>3.1583179097007701</v>
      </c>
      <c r="R1096" s="60">
        <v>0.49418251100359306</v>
      </c>
      <c r="S1096" s="60">
        <v>0.46080358898996104</v>
      </c>
      <c r="T1096" s="60">
        <v>0.50547279655256505</v>
      </c>
      <c r="U1096" s="60">
        <v>0.13484052540976102</v>
      </c>
    </row>
    <row r="1097" spans="1:21" x14ac:dyDescent="0.25">
      <c r="A1097" s="519" t="s">
        <v>2051</v>
      </c>
      <c r="B1097" s="519" t="s">
        <v>2052</v>
      </c>
      <c r="C1097" s="519" t="s">
        <v>284</v>
      </c>
      <c r="D1097" s="519" t="s">
        <v>109</v>
      </c>
      <c r="E1097" s="519" t="s">
        <v>289</v>
      </c>
      <c r="F1097" s="519" t="s">
        <v>17</v>
      </c>
      <c r="G1097" s="519" t="s">
        <v>57</v>
      </c>
      <c r="H1097" s="519" t="s">
        <v>149</v>
      </c>
      <c r="I1097" s="881">
        <v>471842.93670486804</v>
      </c>
      <c r="J1097" s="881">
        <v>8.1365974805119095</v>
      </c>
      <c r="K1097" s="60">
        <v>1.7243994855339199E-5</v>
      </c>
      <c r="L1097" s="880">
        <v>3.2242426802472002</v>
      </c>
      <c r="M1097" s="373">
        <v>0</v>
      </c>
      <c r="N1097" s="60">
        <v>0.32039330457210602</v>
      </c>
      <c r="O1097" s="881">
        <v>471842.93670486804</v>
      </c>
      <c r="P1097" s="60">
        <v>1.7243994855339101E-5</v>
      </c>
      <c r="Q1097" s="880">
        <v>3.2242426802472002</v>
      </c>
      <c r="R1097" s="60">
        <v>0.49418251100359306</v>
      </c>
      <c r="S1097" s="60">
        <v>0.32039330457210602</v>
      </c>
      <c r="T1097" s="60">
        <v>0.48026306381943806</v>
      </c>
      <c r="U1097" s="60">
        <v>0.23932992049617502</v>
      </c>
    </row>
    <row r="1098" spans="1:21" x14ac:dyDescent="0.25">
      <c r="A1098" s="519" t="s">
        <v>1376</v>
      </c>
      <c r="B1098" s="519" t="s">
        <v>1377</v>
      </c>
      <c r="C1098" s="519" t="s">
        <v>284</v>
      </c>
      <c r="D1098" s="519" t="s">
        <v>109</v>
      </c>
      <c r="E1098" s="519" t="s">
        <v>3</v>
      </c>
      <c r="F1098" s="519" t="s">
        <v>70</v>
      </c>
      <c r="G1098" s="519" t="s">
        <v>56</v>
      </c>
      <c r="H1098" s="519" t="s">
        <v>144</v>
      </c>
      <c r="I1098" s="881">
        <v>213230.259180722</v>
      </c>
      <c r="J1098" s="881">
        <v>8.3563692100000004</v>
      </c>
      <c r="K1098" s="60">
        <v>3.91878796832805E-5</v>
      </c>
      <c r="L1098" s="880">
        <v>3.29400932850703</v>
      </c>
      <c r="M1098" s="373">
        <v>0</v>
      </c>
      <c r="N1098" s="60">
        <v>0.14760233624250801</v>
      </c>
      <c r="O1098" s="881">
        <v>1314703.99194531</v>
      </c>
      <c r="P1098" s="60">
        <v>2.8427573530667004E-5</v>
      </c>
      <c r="Q1098" s="880">
        <v>3.1418456961038301</v>
      </c>
      <c r="R1098" s="60">
        <v>0.64682501869604003</v>
      </c>
      <c r="S1098" s="60">
        <v>0.16010217025354301</v>
      </c>
      <c r="T1098" s="60">
        <v>0.14436049138106502</v>
      </c>
      <c r="U1098" s="60">
        <v>0.47864264283322105</v>
      </c>
    </row>
    <row r="1099" spans="1:21" x14ac:dyDescent="0.25">
      <c r="A1099" s="519" t="s">
        <v>1376</v>
      </c>
      <c r="B1099" s="519" t="s">
        <v>1379</v>
      </c>
      <c r="C1099" s="519" t="s">
        <v>284</v>
      </c>
      <c r="D1099" s="519" t="s">
        <v>109</v>
      </c>
      <c r="E1099" s="519" t="s">
        <v>3</v>
      </c>
      <c r="F1099" s="519" t="s">
        <v>70</v>
      </c>
      <c r="G1099" s="519" t="s">
        <v>56</v>
      </c>
      <c r="H1099" s="519" t="s">
        <v>146</v>
      </c>
      <c r="I1099" s="881">
        <v>518953.93436299404</v>
      </c>
      <c r="J1099" s="881">
        <v>17.330306240000201</v>
      </c>
      <c r="K1099" s="60">
        <v>3.33935757523025E-5</v>
      </c>
      <c r="L1099" s="880">
        <v>3.1370446168425099</v>
      </c>
      <c r="M1099" s="373">
        <v>0</v>
      </c>
      <c r="N1099" s="60">
        <v>0.21281850036375</v>
      </c>
      <c r="O1099" s="881">
        <v>1314703.99194531</v>
      </c>
      <c r="P1099" s="60">
        <v>2.8427573530667004E-5</v>
      </c>
      <c r="Q1099" s="880">
        <v>3.1418456961038301</v>
      </c>
      <c r="R1099" s="60">
        <v>0.64682501869604003</v>
      </c>
      <c r="S1099" s="60">
        <v>0.16010217025354301</v>
      </c>
      <c r="T1099" s="60">
        <v>0.40676818372413304</v>
      </c>
      <c r="U1099" s="60">
        <v>0.38929084418470206</v>
      </c>
    </row>
    <row r="1100" spans="1:21" x14ac:dyDescent="0.25">
      <c r="A1100" s="519" t="s">
        <v>1380</v>
      </c>
      <c r="B1100" s="519" t="s">
        <v>1382</v>
      </c>
      <c r="C1100" s="519" t="s">
        <v>284</v>
      </c>
      <c r="D1100" s="519" t="s">
        <v>109</v>
      </c>
      <c r="E1100" s="519" t="s">
        <v>3</v>
      </c>
      <c r="F1100" s="519" t="s">
        <v>70</v>
      </c>
      <c r="G1100" s="519" t="s">
        <v>57</v>
      </c>
      <c r="H1100" s="519" t="s">
        <v>148</v>
      </c>
      <c r="I1100" s="881">
        <v>179554.66081161</v>
      </c>
      <c r="J1100" s="881">
        <v>-1.63594569999999</v>
      </c>
      <c r="K1100" s="60">
        <v>-9.1112121403786903E-6</v>
      </c>
      <c r="L1100" s="880">
        <v>3.5402657269693898</v>
      </c>
      <c r="M1100" s="373">
        <v>0</v>
      </c>
      <c r="N1100" s="60">
        <v>5.1892803823377597E-2</v>
      </c>
      <c r="O1100" s="881">
        <v>744385.57813593908</v>
      </c>
      <c r="P1100" s="60">
        <v>4.4618535583680001E-6</v>
      </c>
      <c r="Q1100" s="880">
        <v>3.60329563022397</v>
      </c>
      <c r="R1100" s="60">
        <v>0.64682501869604003</v>
      </c>
      <c r="S1100" s="60">
        <v>2.6915533088352098E-2</v>
      </c>
      <c r="T1100" s="60">
        <v>0.21208241908634401</v>
      </c>
      <c r="U1100" s="60">
        <v>0.30930723773647001</v>
      </c>
    </row>
    <row r="1101" spans="1:21" x14ac:dyDescent="0.25">
      <c r="A1101" s="519" t="s">
        <v>1384</v>
      </c>
      <c r="B1101" s="519" t="s">
        <v>1385</v>
      </c>
      <c r="C1101" s="519" t="s">
        <v>284</v>
      </c>
      <c r="D1101" s="519" t="s">
        <v>109</v>
      </c>
      <c r="E1101" s="519" t="s">
        <v>3</v>
      </c>
      <c r="F1101" s="519" t="s">
        <v>70</v>
      </c>
      <c r="G1101" s="519" t="s">
        <v>58</v>
      </c>
      <c r="H1101" s="519" t="s">
        <v>150</v>
      </c>
      <c r="I1101" s="881">
        <v>265329.20234956103</v>
      </c>
      <c r="J1101" s="881">
        <v>-1.1189506999999999</v>
      </c>
      <c r="K1101" s="60">
        <v>-4.2172343223762696E-6</v>
      </c>
      <c r="L1101" s="880">
        <v>2.9805991510454</v>
      </c>
      <c r="M1101" s="373">
        <v>0</v>
      </c>
      <c r="N1101" s="60">
        <v>0.136017891988434</v>
      </c>
      <c r="O1101" s="881">
        <v>915853.69869063306</v>
      </c>
      <c r="P1101" s="60">
        <v>1.31790567519099E-3</v>
      </c>
      <c r="Q1101" s="880">
        <v>3.0822898806588799</v>
      </c>
      <c r="R1101" s="60">
        <v>0.64682501869604003</v>
      </c>
      <c r="S1101" s="60">
        <v>8.917431455841901E-2</v>
      </c>
      <c r="T1101" s="60">
        <v>0.33003429767717801</v>
      </c>
      <c r="U1101" s="60">
        <v>-7.1067249423420603E-3</v>
      </c>
    </row>
    <row r="1102" spans="1:21" x14ac:dyDescent="0.25">
      <c r="A1102" s="519" t="s">
        <v>1384</v>
      </c>
      <c r="B1102" s="519" t="s">
        <v>1387</v>
      </c>
      <c r="C1102" s="519" t="s">
        <v>284</v>
      </c>
      <c r="D1102" s="519" t="s">
        <v>109</v>
      </c>
      <c r="E1102" s="519" t="s">
        <v>3</v>
      </c>
      <c r="F1102" s="519" t="s">
        <v>70</v>
      </c>
      <c r="G1102" s="519" t="s">
        <v>58</v>
      </c>
      <c r="H1102" s="519" t="s">
        <v>152</v>
      </c>
      <c r="I1102" s="881">
        <v>334441.53776278999</v>
      </c>
      <c r="J1102" s="881">
        <v>1211.1482306099999</v>
      </c>
      <c r="K1102" s="60">
        <v>3.6083376691161103E-3</v>
      </c>
      <c r="L1102" s="880">
        <v>3.0353987757022298</v>
      </c>
      <c r="M1102" s="373">
        <v>0</v>
      </c>
      <c r="N1102" s="60">
        <v>8.5058787016482298E-2</v>
      </c>
      <c r="O1102" s="881">
        <v>915853.69869063306</v>
      </c>
      <c r="P1102" s="60">
        <v>1.31790567519099E-3</v>
      </c>
      <c r="Q1102" s="880">
        <v>3.0822898806588799</v>
      </c>
      <c r="R1102" s="60">
        <v>0.64682501869604003</v>
      </c>
      <c r="S1102" s="60">
        <v>8.917431455841901E-2</v>
      </c>
      <c r="T1102" s="60">
        <v>0.409754703461151</v>
      </c>
      <c r="U1102" s="60">
        <v>1.01489326008171</v>
      </c>
    </row>
    <row r="1103" spans="1:21" x14ac:dyDescent="0.25">
      <c r="A1103" s="519" t="s">
        <v>1388</v>
      </c>
      <c r="B1103" s="519" t="s">
        <v>1390</v>
      </c>
      <c r="C1103" s="519" t="s">
        <v>284</v>
      </c>
      <c r="D1103" s="519" t="s">
        <v>109</v>
      </c>
      <c r="E1103" s="519" t="s">
        <v>3</v>
      </c>
      <c r="F1103" s="519" t="s">
        <v>70</v>
      </c>
      <c r="G1103" s="519" t="s">
        <v>59</v>
      </c>
      <c r="H1103" s="519" t="s">
        <v>154</v>
      </c>
      <c r="I1103" s="881">
        <v>44405.017235270003</v>
      </c>
      <c r="J1103" s="881">
        <v>-0.19158573000000001</v>
      </c>
      <c r="K1103" s="60">
        <v>-4.3145249913166697E-6</v>
      </c>
      <c r="L1103" s="880">
        <v>3.3788845243001902</v>
      </c>
      <c r="M1103" s="373">
        <v>0</v>
      </c>
      <c r="N1103" s="60">
        <v>0.116563182022342</v>
      </c>
      <c r="O1103" s="881">
        <v>276344.88731761102</v>
      </c>
      <c r="P1103" s="60">
        <v>-1.1220214743568399E-6</v>
      </c>
      <c r="Q1103" s="880">
        <v>2.57996155651001</v>
      </c>
      <c r="R1103" s="60">
        <v>0.64682501869604003</v>
      </c>
      <c r="S1103" s="60">
        <v>0.137157518847734</v>
      </c>
      <c r="T1103" s="60">
        <v>0.26622889613293904</v>
      </c>
      <c r="U1103" s="60">
        <v>3.3822081767827798E-2</v>
      </c>
    </row>
    <row r="1104" spans="1:21" x14ac:dyDescent="0.25">
      <c r="A1104" s="519" t="s">
        <v>1392</v>
      </c>
      <c r="B1104" s="519" t="s">
        <v>1393</v>
      </c>
      <c r="C1104" s="519" t="s">
        <v>284</v>
      </c>
      <c r="D1104" s="519" t="s">
        <v>109</v>
      </c>
      <c r="E1104" s="519" t="s">
        <v>3</v>
      </c>
      <c r="F1104" s="519" t="s">
        <v>16</v>
      </c>
      <c r="G1104" s="519" t="s">
        <v>56</v>
      </c>
      <c r="H1104" s="519" t="s">
        <v>144</v>
      </c>
      <c r="I1104" s="881">
        <v>122689.427552141</v>
      </c>
      <c r="J1104" s="881">
        <v>-1.3955001300000001</v>
      </c>
      <c r="K1104" s="60">
        <v>-1.13743786305776E-5</v>
      </c>
      <c r="L1104" s="880">
        <v>3.0643400930107001</v>
      </c>
      <c r="M1104" s="373">
        <v>0</v>
      </c>
      <c r="N1104" s="60">
        <v>0.162186279839096</v>
      </c>
      <c r="O1104" s="881">
        <v>1296240.9414440801</v>
      </c>
      <c r="P1104" s="60">
        <v>-1.3326767717757099E-5</v>
      </c>
      <c r="Q1104" s="880">
        <v>3.1115817195080999</v>
      </c>
      <c r="R1104" s="60">
        <v>0.64682501869604003</v>
      </c>
      <c r="S1104" s="60">
        <v>8.4426651847126E-2</v>
      </c>
      <c r="T1104" s="60">
        <v>0.14436049138106502</v>
      </c>
      <c r="U1104" s="60">
        <v>0.47864264283322105</v>
      </c>
    </row>
    <row r="1105" spans="1:21" x14ac:dyDescent="0.25">
      <c r="A1105" s="519" t="s">
        <v>1392</v>
      </c>
      <c r="B1105" s="519" t="s">
        <v>1395</v>
      </c>
      <c r="C1105" s="519" t="s">
        <v>284</v>
      </c>
      <c r="D1105" s="519" t="s">
        <v>109</v>
      </c>
      <c r="E1105" s="519" t="s">
        <v>3</v>
      </c>
      <c r="F1105" s="519" t="s">
        <v>16</v>
      </c>
      <c r="G1105" s="519" t="s">
        <v>56</v>
      </c>
      <c r="H1105" s="519" t="s">
        <v>146</v>
      </c>
      <c r="I1105" s="881">
        <v>624539.93677250901</v>
      </c>
      <c r="J1105" s="881">
        <v>-7.9772654199999797</v>
      </c>
      <c r="K1105" s="60">
        <v>-1.2773190064277799E-5</v>
      </c>
      <c r="L1105" s="880">
        <v>3.1411711467006298</v>
      </c>
      <c r="M1105" s="373">
        <v>0</v>
      </c>
      <c r="N1105" s="60">
        <v>4.9726983254078899E-2</v>
      </c>
      <c r="O1105" s="881">
        <v>1296240.9414440801</v>
      </c>
      <c r="P1105" s="60">
        <v>-1.3326767717757099E-5</v>
      </c>
      <c r="Q1105" s="880">
        <v>3.1115817195080999</v>
      </c>
      <c r="R1105" s="60">
        <v>0.64682501869604003</v>
      </c>
      <c r="S1105" s="60">
        <v>8.4426651847126E-2</v>
      </c>
      <c r="T1105" s="60">
        <v>0.40676818372413304</v>
      </c>
      <c r="U1105" s="60">
        <v>0.38929084418470206</v>
      </c>
    </row>
    <row r="1106" spans="1:21" x14ac:dyDescent="0.25">
      <c r="A1106" s="519" t="s">
        <v>1396</v>
      </c>
      <c r="B1106" s="519" t="s">
        <v>1398</v>
      </c>
      <c r="C1106" s="519" t="s">
        <v>284</v>
      </c>
      <c r="D1106" s="519" t="s">
        <v>109</v>
      </c>
      <c r="E1106" s="519" t="s">
        <v>3</v>
      </c>
      <c r="F1106" s="519" t="s">
        <v>16</v>
      </c>
      <c r="G1106" s="519" t="s">
        <v>57</v>
      </c>
      <c r="H1106" s="519" t="s">
        <v>148</v>
      </c>
      <c r="I1106" s="881">
        <v>339121.33139072004</v>
      </c>
      <c r="J1106" s="881">
        <v>-5.8197874999999497</v>
      </c>
      <c r="K1106" s="60">
        <v>-1.71616670452084E-5</v>
      </c>
      <c r="L1106" s="880">
        <v>2.8620244272150801</v>
      </c>
      <c r="M1106" s="373">
        <v>0</v>
      </c>
      <c r="N1106" s="60">
        <v>0.12308791447373502</v>
      </c>
      <c r="O1106" s="881">
        <v>1701248.50335369</v>
      </c>
      <c r="P1106" s="60">
        <v>-1.6121345946545201E-5</v>
      </c>
      <c r="Q1106" s="880">
        <v>3.0632057423844499</v>
      </c>
      <c r="R1106" s="60">
        <v>0.64682501869604003</v>
      </c>
      <c r="S1106" s="60">
        <v>5.1925757544713201E-2</v>
      </c>
      <c r="T1106" s="60">
        <v>0.21208241908634401</v>
      </c>
      <c r="U1106" s="60">
        <v>0.30930723773647001</v>
      </c>
    </row>
    <row r="1107" spans="1:21" x14ac:dyDescent="0.25">
      <c r="A1107" s="519" t="s">
        <v>1400</v>
      </c>
      <c r="B1107" s="519" t="s">
        <v>1401</v>
      </c>
      <c r="C1107" s="519" t="s">
        <v>284</v>
      </c>
      <c r="D1107" s="519" t="s">
        <v>109</v>
      </c>
      <c r="E1107" s="519" t="s">
        <v>3</v>
      </c>
      <c r="F1107" s="519" t="s">
        <v>16</v>
      </c>
      <c r="G1107" s="519" t="s">
        <v>58</v>
      </c>
      <c r="H1107" s="519" t="s">
        <v>150</v>
      </c>
      <c r="I1107" s="881">
        <v>628635.50305976905</v>
      </c>
      <c r="J1107" s="881">
        <v>-7.26609548999991</v>
      </c>
      <c r="K1107" s="60">
        <v>-1.15586527342276E-5</v>
      </c>
      <c r="L1107" s="880">
        <v>2.9016976324034798</v>
      </c>
      <c r="M1107" s="373">
        <v>0</v>
      </c>
      <c r="N1107" s="60">
        <v>0.23664674508847602</v>
      </c>
      <c r="O1107" s="881">
        <v>1792848.7352720301</v>
      </c>
      <c r="P1107" s="60">
        <v>-1.6023213018172301E-5</v>
      </c>
      <c r="Q1107" s="880">
        <v>3.0460077637169198</v>
      </c>
      <c r="R1107" s="60">
        <v>0.64682501869604003</v>
      </c>
      <c r="S1107" s="60">
        <v>0.19460992660669302</v>
      </c>
      <c r="T1107" s="60">
        <v>0.33003429767717801</v>
      </c>
      <c r="U1107" s="60">
        <v>-7.1067249423420603E-3</v>
      </c>
    </row>
    <row r="1108" spans="1:21" x14ac:dyDescent="0.25">
      <c r="A1108" s="519" t="s">
        <v>1400</v>
      </c>
      <c r="B1108" s="519" t="s">
        <v>1403</v>
      </c>
      <c r="C1108" s="519" t="s">
        <v>284</v>
      </c>
      <c r="D1108" s="519" t="s">
        <v>109</v>
      </c>
      <c r="E1108" s="519" t="s">
        <v>3</v>
      </c>
      <c r="F1108" s="519" t="s">
        <v>16</v>
      </c>
      <c r="G1108" s="519" t="s">
        <v>58</v>
      </c>
      <c r="H1108" s="519" t="s">
        <v>152</v>
      </c>
      <c r="I1108" s="881">
        <v>775462.02483007801</v>
      </c>
      <c r="J1108" s="881">
        <v>-13.7011740900001</v>
      </c>
      <c r="K1108" s="60">
        <v>-1.7668713274668398E-5</v>
      </c>
      <c r="L1108" s="880">
        <v>3.0554576979515802</v>
      </c>
      <c r="M1108" s="373">
        <v>0</v>
      </c>
      <c r="N1108" s="60">
        <v>0.182880373589275</v>
      </c>
      <c r="O1108" s="881">
        <v>1792848.7352720301</v>
      </c>
      <c r="P1108" s="60">
        <v>-1.6023213018172301E-5</v>
      </c>
      <c r="Q1108" s="880">
        <v>3.0460077637169198</v>
      </c>
      <c r="R1108" s="60">
        <v>0.64682501869604003</v>
      </c>
      <c r="S1108" s="60">
        <v>0.19460992660669302</v>
      </c>
      <c r="T1108" s="60">
        <v>0.409754703461151</v>
      </c>
      <c r="U1108" s="60">
        <v>1.01489326008171</v>
      </c>
    </row>
    <row r="1109" spans="1:21" x14ac:dyDescent="0.25">
      <c r="A1109" s="519" t="s">
        <v>1404</v>
      </c>
      <c r="B1109" s="519" t="s">
        <v>1406</v>
      </c>
      <c r="C1109" s="519" t="s">
        <v>284</v>
      </c>
      <c r="D1109" s="519" t="s">
        <v>109</v>
      </c>
      <c r="E1109" s="519" t="s">
        <v>3</v>
      </c>
      <c r="F1109" s="519" t="s">
        <v>16</v>
      </c>
      <c r="G1109" s="519" t="s">
        <v>59</v>
      </c>
      <c r="H1109" s="519" t="s">
        <v>154</v>
      </c>
      <c r="I1109" s="881">
        <v>184490.49690647001</v>
      </c>
      <c r="J1109" s="881">
        <v>36.737089464258901</v>
      </c>
      <c r="K1109" s="60">
        <v>1.9908762879450301E-4</v>
      </c>
      <c r="L1109" s="880">
        <v>2.8835296240254098</v>
      </c>
      <c r="M1109" s="373">
        <v>0</v>
      </c>
      <c r="N1109" s="60">
        <v>0.31397555572521502</v>
      </c>
      <c r="O1109" s="881">
        <v>583424.72246751003</v>
      </c>
      <c r="P1109" s="60">
        <v>1.8491390970943101E-3</v>
      </c>
      <c r="Q1109" s="880">
        <v>2.8494494959302101</v>
      </c>
      <c r="R1109" s="60">
        <v>0.64682501869604003</v>
      </c>
      <c r="S1109" s="60">
        <v>0.31339712676996201</v>
      </c>
      <c r="T1109" s="60">
        <v>0.26622889613293904</v>
      </c>
      <c r="U1109" s="60">
        <v>3.3822081767827798E-2</v>
      </c>
    </row>
    <row r="1110" spans="1:21" x14ac:dyDescent="0.25">
      <c r="A1110" s="519" t="s">
        <v>1408</v>
      </c>
      <c r="B1110" s="519" t="s">
        <v>1409</v>
      </c>
      <c r="C1110" s="519" t="s">
        <v>284</v>
      </c>
      <c r="D1110" s="519" t="s">
        <v>109</v>
      </c>
      <c r="E1110" s="519" t="s">
        <v>3</v>
      </c>
      <c r="F1110" s="519" t="s">
        <v>17</v>
      </c>
      <c r="G1110" s="519" t="s">
        <v>56</v>
      </c>
      <c r="H1110" s="519" t="s">
        <v>144</v>
      </c>
      <c r="I1110" s="881">
        <v>368563.52786797204</v>
      </c>
      <c r="J1110" s="881">
        <v>5042.8563799029198</v>
      </c>
      <c r="K1110" s="60">
        <v>1.34977789259544E-2</v>
      </c>
      <c r="L1110" s="880">
        <v>3.0450385863724798</v>
      </c>
      <c r="M1110" s="373">
        <v>0</v>
      </c>
      <c r="N1110" s="60">
        <v>0.22263026738821401</v>
      </c>
      <c r="O1110" s="881">
        <v>2269082.8904368998</v>
      </c>
      <c r="P1110" s="60">
        <v>4.6192867834094703E-3</v>
      </c>
      <c r="Q1110" s="880">
        <v>3.1172571411482499</v>
      </c>
      <c r="R1110" s="60">
        <v>0.64682501869604003</v>
      </c>
      <c r="S1110" s="60">
        <v>0.26031250602420702</v>
      </c>
      <c r="T1110" s="60">
        <v>0.14436049138106502</v>
      </c>
      <c r="U1110" s="60">
        <v>0.47864264283322105</v>
      </c>
    </row>
    <row r="1111" spans="1:21" x14ac:dyDescent="0.25">
      <c r="A1111" s="519" t="s">
        <v>1408</v>
      </c>
      <c r="B1111" s="519" t="s">
        <v>1410</v>
      </c>
      <c r="C1111" s="519" t="s">
        <v>284</v>
      </c>
      <c r="D1111" s="519" t="s">
        <v>109</v>
      </c>
      <c r="E1111" s="519" t="s">
        <v>3</v>
      </c>
      <c r="F1111" s="519" t="s">
        <v>17</v>
      </c>
      <c r="G1111" s="519" t="s">
        <v>56</v>
      </c>
      <c r="H1111" s="519" t="s">
        <v>146</v>
      </c>
      <c r="I1111" s="881">
        <v>841546.18328555208</v>
      </c>
      <c r="J1111" s="881">
        <v>4097.77708907946</v>
      </c>
      <c r="K1111" s="60">
        <v>4.8457474789555602E-3</v>
      </c>
      <c r="L1111" s="880">
        <v>3.0965288256798398</v>
      </c>
      <c r="M1111" s="373">
        <v>0</v>
      </c>
      <c r="N1111" s="60">
        <v>0.28078576827814</v>
      </c>
      <c r="O1111" s="881">
        <v>2269082.8904368998</v>
      </c>
      <c r="P1111" s="60">
        <v>4.6192867834094703E-3</v>
      </c>
      <c r="Q1111" s="880">
        <v>3.1172571411482499</v>
      </c>
      <c r="R1111" s="60">
        <v>0.64682501869604003</v>
      </c>
      <c r="S1111" s="60">
        <v>0.26031250602420702</v>
      </c>
      <c r="T1111" s="60">
        <v>0.40676818372413304</v>
      </c>
      <c r="U1111" s="60">
        <v>0.38929084418470206</v>
      </c>
    </row>
    <row r="1112" spans="1:21" x14ac:dyDescent="0.25">
      <c r="A1112" s="519" t="s">
        <v>1411</v>
      </c>
      <c r="B1112" s="519" t="s">
        <v>1413</v>
      </c>
      <c r="C1112" s="519" t="s">
        <v>284</v>
      </c>
      <c r="D1112" s="519" t="s">
        <v>109</v>
      </c>
      <c r="E1112" s="519" t="s">
        <v>286</v>
      </c>
      <c r="F1112" s="519" t="s">
        <v>70</v>
      </c>
      <c r="G1112" s="519" t="s">
        <v>56</v>
      </c>
      <c r="H1112" s="519" t="s">
        <v>145</v>
      </c>
      <c r="I1112" s="881">
        <v>145486.39430857002</v>
      </c>
      <c r="J1112" s="881">
        <v>2.8546313499999898</v>
      </c>
      <c r="K1112" s="60">
        <v>1.9620909247932298E-5</v>
      </c>
      <c r="L1112" s="880">
        <v>2.9269961010657002</v>
      </c>
      <c r="M1112" s="373">
        <v>0</v>
      </c>
      <c r="N1112" s="60">
        <v>0.648176475249722</v>
      </c>
      <c r="O1112" s="881">
        <v>394935.45574869105</v>
      </c>
      <c r="P1112" s="60">
        <v>2.03116363556069E-5</v>
      </c>
      <c r="Q1112" s="880">
        <v>2.9695859013610901</v>
      </c>
      <c r="R1112" s="60">
        <v>0.578526652000936</v>
      </c>
      <c r="S1112" s="60">
        <v>0.54003488440274505</v>
      </c>
      <c r="T1112" s="60">
        <v>0.33662488716902</v>
      </c>
      <c r="U1112" s="60">
        <v>7.77444415774486E-2</v>
      </c>
    </row>
    <row r="1113" spans="1:21" x14ac:dyDescent="0.25">
      <c r="A1113" s="519" t="s">
        <v>1415</v>
      </c>
      <c r="B1113" s="519" t="s">
        <v>1416</v>
      </c>
      <c r="C1113" s="519" t="s">
        <v>284</v>
      </c>
      <c r="D1113" s="519" t="s">
        <v>109</v>
      </c>
      <c r="E1113" s="519" t="s">
        <v>286</v>
      </c>
      <c r="F1113" s="519" t="s">
        <v>70</v>
      </c>
      <c r="G1113" s="519" t="s">
        <v>57</v>
      </c>
      <c r="H1113" s="519" t="s">
        <v>147</v>
      </c>
      <c r="I1113" s="881">
        <v>172869.76957222901</v>
      </c>
      <c r="J1113" s="881">
        <v>0.14885886000000201</v>
      </c>
      <c r="K1113" s="60">
        <v>8.6110331601354688E-7</v>
      </c>
      <c r="L1113" s="880">
        <v>2.7395820708914003</v>
      </c>
      <c r="M1113" s="373">
        <v>0</v>
      </c>
      <c r="N1113" s="60">
        <v>0.64162999433504608</v>
      </c>
      <c r="O1113" s="881">
        <v>481076.66785778</v>
      </c>
      <c r="P1113" s="60">
        <v>7.8796223839755392E-6</v>
      </c>
      <c r="Q1113" s="880">
        <v>2.9761514053298401</v>
      </c>
      <c r="R1113" s="60">
        <v>0.578526652000936</v>
      </c>
      <c r="S1113" s="60">
        <v>0.586039130469586</v>
      </c>
      <c r="T1113" s="60">
        <v>0.34412029267577504</v>
      </c>
      <c r="U1113" s="60">
        <v>0.44290706401178204</v>
      </c>
    </row>
    <row r="1114" spans="1:21" x14ac:dyDescent="0.25">
      <c r="A1114" s="519" t="s">
        <v>1415</v>
      </c>
      <c r="B1114" s="519" t="s">
        <v>1418</v>
      </c>
      <c r="C1114" s="519" t="s">
        <v>284</v>
      </c>
      <c r="D1114" s="519" t="s">
        <v>109</v>
      </c>
      <c r="E1114" s="519" t="s">
        <v>286</v>
      </c>
      <c r="F1114" s="519" t="s">
        <v>70</v>
      </c>
      <c r="G1114" s="519" t="s">
        <v>57</v>
      </c>
      <c r="H1114" s="519" t="s">
        <v>149</v>
      </c>
      <c r="I1114" s="881">
        <v>173650.19974136</v>
      </c>
      <c r="J1114" s="881">
        <v>2.2344527200000002</v>
      </c>
      <c r="K1114" s="60">
        <v>1.2867384959906199E-5</v>
      </c>
      <c r="L1114" s="880">
        <v>2.9717072516799901</v>
      </c>
      <c r="M1114" s="373">
        <v>0</v>
      </c>
      <c r="N1114" s="60">
        <v>0.6370074616398641</v>
      </c>
      <c r="O1114" s="881">
        <v>481076.66785778</v>
      </c>
      <c r="P1114" s="60">
        <v>7.8796223839755392E-6</v>
      </c>
      <c r="Q1114" s="880">
        <v>2.9761514053298401</v>
      </c>
      <c r="R1114" s="60">
        <v>0.578526652000936</v>
      </c>
      <c r="S1114" s="60">
        <v>0.586039130469586</v>
      </c>
      <c r="T1114" s="60">
        <v>0.38120054543436704</v>
      </c>
      <c r="U1114" s="60">
        <v>0.33748573626615203</v>
      </c>
    </row>
    <row r="1115" spans="1:21" x14ac:dyDescent="0.25">
      <c r="A1115" s="519" t="s">
        <v>1419</v>
      </c>
      <c r="B1115" s="519" t="s">
        <v>1420</v>
      </c>
      <c r="C1115" s="519" t="s">
        <v>284</v>
      </c>
      <c r="D1115" s="519" t="s">
        <v>109</v>
      </c>
      <c r="E1115" s="519" t="s">
        <v>286</v>
      </c>
      <c r="F1115" s="519" t="s">
        <v>70</v>
      </c>
      <c r="G1115" s="519" t="s">
        <v>58</v>
      </c>
      <c r="H1115" s="519" t="s">
        <v>150</v>
      </c>
      <c r="I1115" s="881">
        <v>103275.08281826001</v>
      </c>
      <c r="J1115" s="881">
        <v>0.32196781000000102</v>
      </c>
      <c r="K1115" s="60">
        <v>3.1175652195887397E-6</v>
      </c>
      <c r="L1115" s="880">
        <v>3.0581882998201602</v>
      </c>
      <c r="M1115" s="373">
        <v>0</v>
      </c>
      <c r="N1115" s="60">
        <v>0.24564088285421801</v>
      </c>
      <c r="O1115" s="881">
        <v>386277.67085505999</v>
      </c>
      <c r="P1115" s="60">
        <v>5.0552832913728805E-3</v>
      </c>
      <c r="Q1115" s="880">
        <v>3.0740833402511099</v>
      </c>
      <c r="R1115" s="60">
        <v>0.578526652000936</v>
      </c>
      <c r="S1115" s="60">
        <v>0.38013476560853604</v>
      </c>
      <c r="T1115" s="60">
        <v>0.40226142961994504</v>
      </c>
      <c r="U1115" s="60">
        <v>-8.5282111296675709E-3</v>
      </c>
    </row>
    <row r="1116" spans="1:21" x14ac:dyDescent="0.25">
      <c r="A1116" s="519" t="s">
        <v>1419</v>
      </c>
      <c r="B1116" s="519" t="s">
        <v>1422</v>
      </c>
      <c r="C1116" s="519" t="s">
        <v>284</v>
      </c>
      <c r="D1116" s="519" t="s">
        <v>109</v>
      </c>
      <c r="E1116" s="519" t="s">
        <v>286</v>
      </c>
      <c r="F1116" s="519" t="s">
        <v>70</v>
      </c>
      <c r="G1116" s="519" t="s">
        <v>58</v>
      </c>
      <c r="H1116" s="519" t="s">
        <v>152</v>
      </c>
      <c r="I1116" s="881">
        <v>132022.03241379999</v>
      </c>
      <c r="J1116" s="881">
        <v>1962.1633580200198</v>
      </c>
      <c r="K1116" s="60">
        <v>1.4644737364111799E-2</v>
      </c>
      <c r="L1116" s="880">
        <v>3.1872382242888899</v>
      </c>
      <c r="M1116" s="373">
        <v>0</v>
      </c>
      <c r="N1116" s="60">
        <v>0.34619468062129705</v>
      </c>
      <c r="O1116" s="881">
        <v>386277.67085505999</v>
      </c>
      <c r="P1116" s="60">
        <v>5.0552832913728805E-3</v>
      </c>
      <c r="Q1116" s="880">
        <v>3.0740833402511099</v>
      </c>
      <c r="R1116" s="60">
        <v>0.578526652000936</v>
      </c>
      <c r="S1116" s="60">
        <v>0.38013476560853604</v>
      </c>
      <c r="T1116" s="60">
        <v>0.34489667932369</v>
      </c>
      <c r="U1116" s="60">
        <v>1.0099023660375099</v>
      </c>
    </row>
    <row r="1117" spans="1:21" x14ac:dyDescent="0.25">
      <c r="A1117" s="519" t="s">
        <v>1423</v>
      </c>
      <c r="B1117" s="519" t="s">
        <v>1425</v>
      </c>
      <c r="C1117" s="519" t="s">
        <v>284</v>
      </c>
      <c r="D1117" s="519" t="s">
        <v>109</v>
      </c>
      <c r="E1117" s="519" t="s">
        <v>286</v>
      </c>
      <c r="F1117" s="519" t="s">
        <v>70</v>
      </c>
      <c r="G1117" s="519" t="s">
        <v>59</v>
      </c>
      <c r="H1117" s="519" t="s">
        <v>154</v>
      </c>
      <c r="I1117" s="881">
        <v>61542.949503030002</v>
      </c>
      <c r="J1117" s="881">
        <v>-5.4146940000000199E-2</v>
      </c>
      <c r="K1117" s="60">
        <v>-8.7982438406096188E-7</v>
      </c>
      <c r="L1117" s="880">
        <v>3.0734002246157801</v>
      </c>
      <c r="M1117" s="373">
        <v>0</v>
      </c>
      <c r="N1117" s="60">
        <v>0.18284393378848401</v>
      </c>
      <c r="O1117" s="881">
        <v>234971.28135645101</v>
      </c>
      <c r="P1117" s="60">
        <v>-7.5252127231898794E-6</v>
      </c>
      <c r="Q1117" s="880">
        <v>3.0956087575716298</v>
      </c>
      <c r="R1117" s="60">
        <v>0.578526652000936</v>
      </c>
      <c r="S1117" s="60">
        <v>0.23068824826775802</v>
      </c>
      <c r="T1117" s="60">
        <v>0.30524178153940801</v>
      </c>
      <c r="U1117" s="60">
        <v>5.2803932057316101E-2</v>
      </c>
    </row>
    <row r="1118" spans="1:21" x14ac:dyDescent="0.25">
      <c r="A1118" s="519" t="s">
        <v>1427</v>
      </c>
      <c r="B1118" s="519" t="s">
        <v>1429</v>
      </c>
      <c r="C1118" s="519" t="s">
        <v>284</v>
      </c>
      <c r="D1118" s="519" t="s">
        <v>109</v>
      </c>
      <c r="E1118" s="519" t="s">
        <v>286</v>
      </c>
      <c r="F1118" s="519" t="s">
        <v>16</v>
      </c>
      <c r="G1118" s="519" t="s">
        <v>56</v>
      </c>
      <c r="H1118" s="519" t="s">
        <v>145</v>
      </c>
      <c r="I1118" s="881">
        <v>84019.267712640707</v>
      </c>
      <c r="J1118" s="881">
        <v>-4.2263098899999703</v>
      </c>
      <c r="K1118" s="60">
        <v>-5.0304205287955097E-5</v>
      </c>
      <c r="L1118" s="880">
        <v>3.0702834321753598</v>
      </c>
      <c r="M1118" s="373">
        <v>0</v>
      </c>
      <c r="N1118" s="60">
        <v>0.43229556692155802</v>
      </c>
      <c r="O1118" s="881">
        <v>277953.03739059099</v>
      </c>
      <c r="P1118" s="60">
        <v>-4.5236176049172201E-5</v>
      </c>
      <c r="Q1118" s="880">
        <v>3.0525092703695398</v>
      </c>
      <c r="R1118" s="60">
        <v>0.578526652000936</v>
      </c>
      <c r="S1118" s="60">
        <v>0.34507814280513105</v>
      </c>
      <c r="T1118" s="60">
        <v>0.33662488716902</v>
      </c>
      <c r="U1118" s="60">
        <v>7.77444415774486E-2</v>
      </c>
    </row>
    <row r="1119" spans="1:21" x14ac:dyDescent="0.25">
      <c r="A1119" s="519" t="s">
        <v>1431</v>
      </c>
      <c r="B1119" s="519" t="s">
        <v>1432</v>
      </c>
      <c r="C1119" s="519" t="s">
        <v>284</v>
      </c>
      <c r="D1119" s="519" t="s">
        <v>109</v>
      </c>
      <c r="E1119" s="519" t="s">
        <v>286</v>
      </c>
      <c r="F1119" s="519" t="s">
        <v>16</v>
      </c>
      <c r="G1119" s="519" t="s">
        <v>57</v>
      </c>
      <c r="H1119" s="519" t="s">
        <v>147</v>
      </c>
      <c r="I1119" s="881">
        <v>67970.4972447904</v>
      </c>
      <c r="J1119" s="881">
        <v>-3.8041251999999801</v>
      </c>
      <c r="K1119" s="60">
        <v>-5.5970432360251301E-5</v>
      </c>
      <c r="L1119" s="880">
        <v>3.1264867479648299</v>
      </c>
      <c r="M1119" s="373">
        <v>0</v>
      </c>
      <c r="N1119" s="60">
        <v>0.36757638008003402</v>
      </c>
      <c r="O1119" s="881">
        <v>218795.64988413101</v>
      </c>
      <c r="P1119" s="60">
        <v>-5.5048133935454699E-5</v>
      </c>
      <c r="Q1119" s="880">
        <v>3.1728097185779003</v>
      </c>
      <c r="R1119" s="60">
        <v>0.578526652000936</v>
      </c>
      <c r="S1119" s="60">
        <v>0.38357391514709904</v>
      </c>
      <c r="T1119" s="60">
        <v>0.34412029267577504</v>
      </c>
      <c r="U1119" s="60">
        <v>0.44290706401178204</v>
      </c>
    </row>
    <row r="1120" spans="1:21" x14ac:dyDescent="0.25">
      <c r="A1120" s="519" t="s">
        <v>1431</v>
      </c>
      <c r="B1120" s="519" t="s">
        <v>1434</v>
      </c>
      <c r="C1120" s="519" t="s">
        <v>284</v>
      </c>
      <c r="D1120" s="519" t="s">
        <v>109</v>
      </c>
      <c r="E1120" s="519" t="s">
        <v>286</v>
      </c>
      <c r="F1120" s="519" t="s">
        <v>16</v>
      </c>
      <c r="G1120" s="519" t="s">
        <v>57</v>
      </c>
      <c r="H1120" s="519" t="s">
        <v>149</v>
      </c>
      <c r="I1120" s="881">
        <v>93141.509516270497</v>
      </c>
      <c r="J1120" s="881">
        <v>-5.0196877099999702</v>
      </c>
      <c r="K1120" s="60">
        <v>-5.3896037087503899E-5</v>
      </c>
      <c r="L1120" s="880">
        <v>3.2249180791241301</v>
      </c>
      <c r="M1120" s="373">
        <v>0</v>
      </c>
      <c r="N1120" s="60">
        <v>0.37856778709014405</v>
      </c>
      <c r="O1120" s="881">
        <v>218795.64988413101</v>
      </c>
      <c r="P1120" s="60">
        <v>-5.5048133935454699E-5</v>
      </c>
      <c r="Q1120" s="880">
        <v>3.1728097185779003</v>
      </c>
      <c r="R1120" s="60">
        <v>0.578526652000936</v>
      </c>
      <c r="S1120" s="60">
        <v>0.38357391514709904</v>
      </c>
      <c r="T1120" s="60">
        <v>0.38120054543436704</v>
      </c>
      <c r="U1120" s="60">
        <v>0.33748573626615203</v>
      </c>
    </row>
    <row r="1121" spans="1:21" x14ac:dyDescent="0.25">
      <c r="A1121" s="519" t="s">
        <v>1435</v>
      </c>
      <c r="B1121" s="519" t="s">
        <v>1436</v>
      </c>
      <c r="C1121" s="519" t="s">
        <v>284</v>
      </c>
      <c r="D1121" s="519" t="s">
        <v>109</v>
      </c>
      <c r="E1121" s="519" t="s">
        <v>286</v>
      </c>
      <c r="F1121" s="519" t="s">
        <v>16</v>
      </c>
      <c r="G1121" s="519" t="s">
        <v>58</v>
      </c>
      <c r="H1121" s="519" t="s">
        <v>150</v>
      </c>
      <c r="I1121" s="881">
        <v>244312.99429410102</v>
      </c>
      <c r="J1121" s="881">
        <v>-16.828042080000301</v>
      </c>
      <c r="K1121" s="60">
        <v>-6.8883774715646301E-5</v>
      </c>
      <c r="L1121" s="880">
        <v>3.35143414431215</v>
      </c>
      <c r="M1121" s="373">
        <v>0</v>
      </c>
      <c r="N1121" s="60">
        <v>0.64816201511899996</v>
      </c>
      <c r="O1121" s="881">
        <v>477807.35325665202</v>
      </c>
      <c r="P1121" s="60">
        <v>-5.6924765948614802E-5</v>
      </c>
      <c r="Q1121" s="880">
        <v>3.2945750678399199</v>
      </c>
      <c r="R1121" s="60">
        <v>0.578526652000936</v>
      </c>
      <c r="S1121" s="60">
        <v>0.55831191186936402</v>
      </c>
      <c r="T1121" s="60">
        <v>0.40226142961994504</v>
      </c>
      <c r="U1121" s="60">
        <v>-8.5282111296675709E-3</v>
      </c>
    </row>
    <row r="1122" spans="1:21" x14ac:dyDescent="0.25">
      <c r="A1122" s="519" t="s">
        <v>1435</v>
      </c>
      <c r="B1122" s="519" t="s">
        <v>1438</v>
      </c>
      <c r="C1122" s="519" t="s">
        <v>284</v>
      </c>
      <c r="D1122" s="519" t="s">
        <v>109</v>
      </c>
      <c r="E1122" s="519" t="s">
        <v>286</v>
      </c>
      <c r="F1122" s="519" t="s">
        <v>16</v>
      </c>
      <c r="G1122" s="519" t="s">
        <v>58</v>
      </c>
      <c r="H1122" s="519" t="s">
        <v>152</v>
      </c>
      <c r="I1122" s="881">
        <v>165998.02305566001</v>
      </c>
      <c r="J1122" s="881">
        <v>-7.5302930299999202</v>
      </c>
      <c r="K1122" s="60">
        <v>-4.5365809238053497E-5</v>
      </c>
      <c r="L1122" s="880">
        <v>3.2844160804762201</v>
      </c>
      <c r="M1122" s="373">
        <v>0</v>
      </c>
      <c r="N1122" s="60">
        <v>0.49135021089493303</v>
      </c>
      <c r="O1122" s="881">
        <v>477807.35325665202</v>
      </c>
      <c r="P1122" s="60">
        <v>-5.6924765948614802E-5</v>
      </c>
      <c r="Q1122" s="880">
        <v>3.2945750678399199</v>
      </c>
      <c r="R1122" s="60">
        <v>0.578526652000936</v>
      </c>
      <c r="S1122" s="60">
        <v>0.55831191186936402</v>
      </c>
      <c r="T1122" s="60">
        <v>0.34489667932369</v>
      </c>
      <c r="U1122" s="60">
        <v>1.0099023660375099</v>
      </c>
    </row>
    <row r="1123" spans="1:21" x14ac:dyDescent="0.25">
      <c r="A1123" s="519" t="s">
        <v>1439</v>
      </c>
      <c r="B1123" s="519" t="s">
        <v>1441</v>
      </c>
      <c r="C1123" s="519" t="s">
        <v>284</v>
      </c>
      <c r="D1123" s="519" t="s">
        <v>109</v>
      </c>
      <c r="E1123" s="519" t="s">
        <v>286</v>
      </c>
      <c r="F1123" s="519" t="s">
        <v>16</v>
      </c>
      <c r="G1123" s="519" t="s">
        <v>59</v>
      </c>
      <c r="H1123" s="519" t="s">
        <v>154</v>
      </c>
      <c r="I1123" s="881">
        <v>159576.60738402102</v>
      </c>
      <c r="J1123" s="881">
        <v>67.345918003855004</v>
      </c>
      <c r="K1123" s="60">
        <v>4.2185072851739304E-4</v>
      </c>
      <c r="L1123" s="880">
        <v>3.2729338984295802</v>
      </c>
      <c r="M1123" s="373">
        <v>0</v>
      </c>
      <c r="N1123" s="60">
        <v>0.62189090420760607</v>
      </c>
      <c r="O1123" s="881">
        <v>489436.61513757205</v>
      </c>
      <c r="P1123" s="60">
        <v>2.6005817933287901E-3</v>
      </c>
      <c r="Q1123" s="880">
        <v>3.3702060279200401</v>
      </c>
      <c r="R1123" s="60">
        <v>0.578526652000936</v>
      </c>
      <c r="S1123" s="60">
        <v>0.61262274904470004</v>
      </c>
      <c r="T1123" s="60">
        <v>0.30524178153940801</v>
      </c>
      <c r="U1123" s="60">
        <v>5.2803932057316101E-2</v>
      </c>
    </row>
    <row r="1124" spans="1:21" x14ac:dyDescent="0.25">
      <c r="A1124" s="519" t="s">
        <v>1443</v>
      </c>
      <c r="B1124" s="519" t="s">
        <v>1761</v>
      </c>
      <c r="C1124" s="519" t="s">
        <v>284</v>
      </c>
      <c r="D1124" s="519" t="s">
        <v>109</v>
      </c>
      <c r="E1124" s="519" t="s">
        <v>286</v>
      </c>
      <c r="F1124" s="519" t="s">
        <v>17</v>
      </c>
      <c r="G1124" s="519" t="s">
        <v>56</v>
      </c>
      <c r="H1124" s="519" t="s">
        <v>145</v>
      </c>
      <c r="I1124" s="881">
        <v>278959.73073258804</v>
      </c>
      <c r="J1124" s="881">
        <v>291.96649876337699</v>
      </c>
      <c r="K1124" s="60">
        <v>1.0455316893615602E-3</v>
      </c>
      <c r="L1124" s="880">
        <v>3.2179584857311001</v>
      </c>
      <c r="M1124" s="373">
        <v>0</v>
      </c>
      <c r="N1124" s="60">
        <v>0.58918394300392807</v>
      </c>
      <c r="O1124" s="881">
        <v>837592.19956867502</v>
      </c>
      <c r="P1124" s="60">
        <v>4.4481378982696804E-3</v>
      </c>
      <c r="Q1124" s="880">
        <v>3.2470851644175398</v>
      </c>
      <c r="R1124" s="60">
        <v>0.578526652000936</v>
      </c>
      <c r="S1124" s="60">
        <v>0.56153199440574408</v>
      </c>
      <c r="T1124" s="60">
        <v>0.33662488716902</v>
      </c>
      <c r="U1124" s="60">
        <v>7.77444415774486E-2</v>
      </c>
    </row>
    <row r="1125" spans="1:21" x14ac:dyDescent="0.25">
      <c r="A1125" s="519" t="s">
        <v>2053</v>
      </c>
      <c r="B1125" s="519" t="s">
        <v>2054</v>
      </c>
      <c r="C1125" s="519" t="s">
        <v>284</v>
      </c>
      <c r="D1125" s="519" t="s">
        <v>109</v>
      </c>
      <c r="E1125" s="519" t="s">
        <v>286</v>
      </c>
      <c r="F1125" s="519" t="s">
        <v>17</v>
      </c>
      <c r="G1125" s="519" t="s">
        <v>57</v>
      </c>
      <c r="H1125" s="519" t="s">
        <v>149</v>
      </c>
      <c r="I1125" s="881">
        <v>256339.43884086903</v>
      </c>
      <c r="J1125" s="881">
        <v>1.4125821270630199</v>
      </c>
      <c r="K1125" s="60">
        <v>5.5105618914095194E-6</v>
      </c>
      <c r="L1125" s="880">
        <v>3.1742518173648002</v>
      </c>
      <c r="M1125" s="373">
        <v>0</v>
      </c>
      <c r="N1125" s="60">
        <v>0.58246903561452501</v>
      </c>
      <c r="O1125" s="881">
        <v>256339.43884086903</v>
      </c>
      <c r="P1125" s="60">
        <v>5.5105618914094999E-6</v>
      </c>
      <c r="Q1125" s="880">
        <v>3.1742518173648002</v>
      </c>
      <c r="R1125" s="60">
        <v>0.578526652000936</v>
      </c>
      <c r="S1125" s="60">
        <v>0.58246903561452501</v>
      </c>
      <c r="T1125" s="60">
        <v>0.38120054543436704</v>
      </c>
      <c r="U1125" s="60">
        <v>0.33748573626615203</v>
      </c>
    </row>
    <row r="1126" spans="1:21" x14ac:dyDescent="0.25">
      <c r="A1126" s="519" t="s">
        <v>1446</v>
      </c>
      <c r="B1126" s="519" t="s">
        <v>1448</v>
      </c>
      <c r="C1126" s="519" t="s">
        <v>284</v>
      </c>
      <c r="D1126" s="519" t="s">
        <v>109</v>
      </c>
      <c r="E1126" s="519" t="s">
        <v>287</v>
      </c>
      <c r="F1126" s="519" t="s">
        <v>70</v>
      </c>
      <c r="G1126" s="519" t="s">
        <v>56</v>
      </c>
      <c r="H1126" s="519" t="s">
        <v>145</v>
      </c>
      <c r="I1126" s="881">
        <v>54493.385861699899</v>
      </c>
      <c r="J1126" s="881">
        <v>-1.51001753000001</v>
      </c>
      <c r="K1126" s="60">
        <v>-2.77108744488479E-5</v>
      </c>
      <c r="L1126" s="880">
        <v>2.79733787988321</v>
      </c>
      <c r="M1126" s="373">
        <v>0</v>
      </c>
      <c r="N1126" s="60">
        <v>0.59122514958414307</v>
      </c>
      <c r="O1126" s="881">
        <v>167771.82688221001</v>
      </c>
      <c r="P1126" s="60">
        <v>-1.8511231333043199E-5</v>
      </c>
      <c r="Q1126" s="880">
        <v>2.92480306350163</v>
      </c>
      <c r="R1126" s="60">
        <v>0.50021859360353005</v>
      </c>
      <c r="S1126" s="60">
        <v>0.46427551068205802</v>
      </c>
      <c r="T1126" s="60">
        <v>0.34803228176666401</v>
      </c>
      <c r="U1126" s="60">
        <v>6.8169469931235002E-2</v>
      </c>
    </row>
    <row r="1127" spans="1:21" x14ac:dyDescent="0.25">
      <c r="A1127" s="519" t="s">
        <v>1450</v>
      </c>
      <c r="B1127" s="519" t="s">
        <v>1451</v>
      </c>
      <c r="C1127" s="519" t="s">
        <v>284</v>
      </c>
      <c r="D1127" s="519" t="s">
        <v>109</v>
      </c>
      <c r="E1127" s="519" t="s">
        <v>287</v>
      </c>
      <c r="F1127" s="519" t="s">
        <v>70</v>
      </c>
      <c r="G1127" s="519" t="s">
        <v>57</v>
      </c>
      <c r="H1127" s="519" t="s">
        <v>147</v>
      </c>
      <c r="I1127" s="881">
        <v>42498.521258679903</v>
      </c>
      <c r="J1127" s="881">
        <v>-1.4742924800000001</v>
      </c>
      <c r="K1127" s="60">
        <v>-3.4691645308262897E-5</v>
      </c>
      <c r="L1127" s="880">
        <v>2.85593613004177</v>
      </c>
      <c r="M1127" s="373">
        <v>0</v>
      </c>
      <c r="N1127" s="60">
        <v>0.49686377303250806</v>
      </c>
      <c r="O1127" s="881">
        <v>145957.40793305001</v>
      </c>
      <c r="P1127" s="60">
        <v>-2.3990459286789599E-5</v>
      </c>
      <c r="Q1127" s="880">
        <v>3.0186079193137298</v>
      </c>
      <c r="R1127" s="60">
        <v>0.50021859360353005</v>
      </c>
      <c r="S1127" s="60">
        <v>0.53555932046056609</v>
      </c>
      <c r="T1127" s="60">
        <v>0.27646645884513904</v>
      </c>
      <c r="U1127" s="60">
        <v>-7.06576170906804E-2</v>
      </c>
    </row>
    <row r="1128" spans="1:21" x14ac:dyDescent="0.25">
      <c r="A1128" s="519" t="s">
        <v>1450</v>
      </c>
      <c r="B1128" s="519" t="s">
        <v>1453</v>
      </c>
      <c r="C1128" s="519" t="s">
        <v>284</v>
      </c>
      <c r="D1128" s="519" t="s">
        <v>109</v>
      </c>
      <c r="E1128" s="519" t="s">
        <v>287</v>
      </c>
      <c r="F1128" s="519" t="s">
        <v>70</v>
      </c>
      <c r="G1128" s="519" t="s">
        <v>57</v>
      </c>
      <c r="H1128" s="519" t="s">
        <v>149</v>
      </c>
      <c r="I1128" s="881">
        <v>50217.436308960001</v>
      </c>
      <c r="J1128" s="881">
        <v>-1.04669977</v>
      </c>
      <c r="K1128" s="60">
        <v>-2.0843787818000398E-5</v>
      </c>
      <c r="L1128" s="880">
        <v>3.0654673550891003</v>
      </c>
      <c r="M1128" s="373">
        <v>0</v>
      </c>
      <c r="N1128" s="60">
        <v>0.52312138276546705</v>
      </c>
      <c r="O1128" s="881">
        <v>145957.40793305001</v>
      </c>
      <c r="P1128" s="60">
        <v>-2.3990459286789599E-5</v>
      </c>
      <c r="Q1128" s="880">
        <v>3.0186079193137298</v>
      </c>
      <c r="R1128" s="60">
        <v>0.50021859360353005</v>
      </c>
      <c r="S1128" s="60">
        <v>0.53555932046056609</v>
      </c>
      <c r="T1128" s="60">
        <v>0.41004221851084804</v>
      </c>
      <c r="U1128" s="60">
        <v>0.41230038689095305</v>
      </c>
    </row>
    <row r="1129" spans="1:21" x14ac:dyDescent="0.25">
      <c r="A1129" s="519" t="s">
        <v>1454</v>
      </c>
      <c r="B1129" s="519" t="s">
        <v>1455</v>
      </c>
      <c r="C1129" s="519" t="s">
        <v>284</v>
      </c>
      <c r="D1129" s="519" t="s">
        <v>109</v>
      </c>
      <c r="E1129" s="519" t="s">
        <v>287</v>
      </c>
      <c r="F1129" s="519" t="s">
        <v>70</v>
      </c>
      <c r="G1129" s="519" t="s">
        <v>58</v>
      </c>
      <c r="H1129" s="519" t="s">
        <v>150</v>
      </c>
      <c r="I1129" s="881">
        <v>58597.495830439999</v>
      </c>
      <c r="J1129" s="881">
        <v>0.43368824</v>
      </c>
      <c r="K1129" s="60">
        <v>7.4010847066148997E-6</v>
      </c>
      <c r="L1129" s="880">
        <v>3.1258831418994002</v>
      </c>
      <c r="M1129" s="373">
        <v>0</v>
      </c>
      <c r="N1129" s="60">
        <v>0.45861884000305103</v>
      </c>
      <c r="O1129" s="881">
        <v>185575.40518145001</v>
      </c>
      <c r="P1129" s="60">
        <v>3.7587776871405702E-3</v>
      </c>
      <c r="Q1129" s="880">
        <v>3.0481843499837002</v>
      </c>
      <c r="R1129" s="60">
        <v>0.50021859360353005</v>
      </c>
      <c r="S1129" s="60">
        <v>0.47723175998767803</v>
      </c>
      <c r="T1129" s="60">
        <v>0.344193946114071</v>
      </c>
      <c r="U1129" s="60">
        <v>3.99285344934798E-3</v>
      </c>
    </row>
    <row r="1130" spans="1:21" x14ac:dyDescent="0.25">
      <c r="A1130" s="519" t="s">
        <v>1454</v>
      </c>
      <c r="B1130" s="519" t="s">
        <v>1457</v>
      </c>
      <c r="C1130" s="519" t="s">
        <v>284</v>
      </c>
      <c r="D1130" s="519" t="s">
        <v>109</v>
      </c>
      <c r="E1130" s="519" t="s">
        <v>287</v>
      </c>
      <c r="F1130" s="519" t="s">
        <v>70</v>
      </c>
      <c r="G1130" s="519" t="s">
        <v>58</v>
      </c>
      <c r="H1130" s="519" t="s">
        <v>152</v>
      </c>
      <c r="I1130" s="881">
        <v>74077.498831000106</v>
      </c>
      <c r="J1130" s="881">
        <v>699.805969990005</v>
      </c>
      <c r="K1130" s="60">
        <v>9.3585342752382991E-3</v>
      </c>
      <c r="L1130" s="880">
        <v>2.9960065085169401</v>
      </c>
      <c r="M1130" s="373">
        <v>0</v>
      </c>
      <c r="N1130" s="60">
        <v>0.44284372580478903</v>
      </c>
      <c r="O1130" s="881">
        <v>185575.40518145001</v>
      </c>
      <c r="P1130" s="60">
        <v>3.7587776871405702E-3</v>
      </c>
      <c r="Q1130" s="880">
        <v>3.0481843499837002</v>
      </c>
      <c r="R1130" s="60">
        <v>0.50021859360353005</v>
      </c>
      <c r="S1130" s="60">
        <v>0.47723175998767803</v>
      </c>
      <c r="T1130" s="60">
        <v>0.38147305154040301</v>
      </c>
      <c r="U1130" s="60">
        <v>0.9944153591048891</v>
      </c>
    </row>
    <row r="1131" spans="1:21" x14ac:dyDescent="0.25">
      <c r="A1131" s="519" t="s">
        <v>1458</v>
      </c>
      <c r="B1131" s="519" t="s">
        <v>1460</v>
      </c>
      <c r="C1131" s="519" t="s">
        <v>284</v>
      </c>
      <c r="D1131" s="519" t="s">
        <v>109</v>
      </c>
      <c r="E1131" s="519" t="s">
        <v>287</v>
      </c>
      <c r="F1131" s="519" t="s">
        <v>70</v>
      </c>
      <c r="G1131" s="519" t="s">
        <v>59</v>
      </c>
      <c r="H1131" s="519" t="s">
        <v>154</v>
      </c>
      <c r="I1131" s="881">
        <v>20943.514543599998</v>
      </c>
      <c r="J1131" s="881">
        <v>0.28547109999999998</v>
      </c>
      <c r="K1131" s="60">
        <v>1.3630339279387399E-5</v>
      </c>
      <c r="L1131" s="880">
        <v>3.0002359211221798</v>
      </c>
      <c r="M1131" s="373">
        <v>0</v>
      </c>
      <c r="N1131" s="60">
        <v>0.48331092531091902</v>
      </c>
      <c r="O1131" s="881">
        <v>88489.250696399991</v>
      </c>
      <c r="P1131" s="60">
        <v>1.1427230955640899E-5</v>
      </c>
      <c r="Q1131" s="880">
        <v>3.0537410987774698</v>
      </c>
      <c r="R1131" s="60">
        <v>0.50021859360353005</v>
      </c>
      <c r="S1131" s="60">
        <v>0.45776648518900803</v>
      </c>
      <c r="T1131" s="60">
        <v>0.27877072086276999</v>
      </c>
      <c r="U1131" s="60">
        <v>1.43471163100422E-2</v>
      </c>
    </row>
    <row r="1132" spans="1:21" x14ac:dyDescent="0.25">
      <c r="A1132" s="519" t="s">
        <v>1462</v>
      </c>
      <c r="B1132" s="519" t="s">
        <v>1463</v>
      </c>
      <c r="C1132" s="519" t="s">
        <v>284</v>
      </c>
      <c r="D1132" s="519" t="s">
        <v>109</v>
      </c>
      <c r="E1132" s="519" t="s">
        <v>287</v>
      </c>
      <c r="F1132" s="519" t="s">
        <v>16</v>
      </c>
      <c r="G1132" s="519" t="s">
        <v>56</v>
      </c>
      <c r="H1132" s="519" t="s">
        <v>144</v>
      </c>
      <c r="I1132" s="881">
        <v>36367.178796400098</v>
      </c>
      <c r="J1132" s="881">
        <v>0.19484670999999901</v>
      </c>
      <c r="K1132" s="60">
        <v>5.3577338829061798E-6</v>
      </c>
      <c r="L1132" s="880">
        <v>3.0375967417681502</v>
      </c>
      <c r="M1132" s="373">
        <v>0</v>
      </c>
      <c r="N1132" s="60">
        <v>0.43204017883771806</v>
      </c>
      <c r="O1132" s="881">
        <v>142772.169528161</v>
      </c>
      <c r="P1132" s="60">
        <v>1.42376773761393E-5</v>
      </c>
      <c r="Q1132" s="880">
        <v>3.0573889152914702</v>
      </c>
      <c r="R1132" s="60">
        <v>0.50021859360353005</v>
      </c>
      <c r="S1132" s="60">
        <v>0.43664018701392604</v>
      </c>
      <c r="T1132" s="60">
        <v>0.25898386187619804</v>
      </c>
      <c r="U1132" s="60">
        <v>0.55819379606518704</v>
      </c>
    </row>
    <row r="1133" spans="1:21" x14ac:dyDescent="0.25">
      <c r="A1133" s="519" t="s">
        <v>1462</v>
      </c>
      <c r="B1133" s="519" t="s">
        <v>1465</v>
      </c>
      <c r="C1133" s="519" t="s">
        <v>284</v>
      </c>
      <c r="D1133" s="519" t="s">
        <v>109</v>
      </c>
      <c r="E1133" s="519" t="s">
        <v>287</v>
      </c>
      <c r="F1133" s="519" t="s">
        <v>16</v>
      </c>
      <c r="G1133" s="519" t="s">
        <v>56</v>
      </c>
      <c r="H1133" s="519" t="s">
        <v>146</v>
      </c>
      <c r="I1133" s="881">
        <v>53609.453524140299</v>
      </c>
      <c r="J1133" s="881">
        <v>0.70714098999999708</v>
      </c>
      <c r="K1133" s="60">
        <v>1.31904284789795E-5</v>
      </c>
      <c r="L1133" s="880">
        <v>3.0622507553699401</v>
      </c>
      <c r="M1133" s="373">
        <v>0</v>
      </c>
      <c r="N1133" s="60">
        <v>0.44291957173202301</v>
      </c>
      <c r="O1133" s="881">
        <v>142772.169528161</v>
      </c>
      <c r="P1133" s="60">
        <v>1.42376773761393E-5</v>
      </c>
      <c r="Q1133" s="880">
        <v>3.0573889152914702</v>
      </c>
      <c r="R1133" s="60">
        <v>0.50021859360353005</v>
      </c>
      <c r="S1133" s="60">
        <v>0.43664018701392604</v>
      </c>
      <c r="T1133" s="60">
        <v>0.39298385635713801</v>
      </c>
      <c r="U1133" s="60">
        <v>0.37363673400357805</v>
      </c>
    </row>
    <row r="1134" spans="1:21" x14ac:dyDescent="0.25">
      <c r="A1134" s="519" t="s">
        <v>1466</v>
      </c>
      <c r="B1134" s="519" t="s">
        <v>1468</v>
      </c>
      <c r="C1134" s="519" t="s">
        <v>284</v>
      </c>
      <c r="D1134" s="519" t="s">
        <v>109</v>
      </c>
      <c r="E1134" s="519" t="s">
        <v>287</v>
      </c>
      <c r="F1134" s="519" t="s">
        <v>16</v>
      </c>
      <c r="G1134" s="519" t="s">
        <v>57</v>
      </c>
      <c r="H1134" s="519" t="s">
        <v>148</v>
      </c>
      <c r="I1134" s="881">
        <v>36852.347616010004</v>
      </c>
      <c r="J1134" s="881">
        <v>1.5394467700000001</v>
      </c>
      <c r="K1134" s="60">
        <v>4.1771625537832101E-5</v>
      </c>
      <c r="L1134" s="880">
        <v>3.0465316852386399</v>
      </c>
      <c r="M1134" s="373">
        <v>0</v>
      </c>
      <c r="N1134" s="60">
        <v>0.51842375028856902</v>
      </c>
      <c r="O1134" s="881">
        <v>141431.08250924101</v>
      </c>
      <c r="P1134" s="60">
        <v>3.07595468670753E-5</v>
      </c>
      <c r="Q1134" s="880">
        <v>3.0600292989187499</v>
      </c>
      <c r="R1134" s="60">
        <v>0.50021859360353005</v>
      </c>
      <c r="S1134" s="60">
        <v>0.43277637095021804</v>
      </c>
      <c r="T1134" s="60">
        <v>0.31349132264401303</v>
      </c>
      <c r="U1134" s="60">
        <v>0.65835723019972703</v>
      </c>
    </row>
    <row r="1135" spans="1:21" x14ac:dyDescent="0.25">
      <c r="A1135" s="519" t="s">
        <v>1470</v>
      </c>
      <c r="B1135" s="519" t="s">
        <v>1472</v>
      </c>
      <c r="C1135" s="519" t="s">
        <v>284</v>
      </c>
      <c r="D1135" s="519" t="s">
        <v>109</v>
      </c>
      <c r="E1135" s="519" t="s">
        <v>287</v>
      </c>
      <c r="F1135" s="519" t="s">
        <v>16</v>
      </c>
      <c r="G1135" s="519" t="s">
        <v>58</v>
      </c>
      <c r="H1135" s="519" t="s">
        <v>151</v>
      </c>
      <c r="I1135" s="881">
        <v>28683.00370918</v>
      </c>
      <c r="J1135" s="881">
        <v>1.1933148</v>
      </c>
      <c r="K1135" s="60">
        <v>4.1601819949932201E-5</v>
      </c>
      <c r="L1135" s="880">
        <v>3.0712601471159098</v>
      </c>
      <c r="M1135" s="373">
        <v>0</v>
      </c>
      <c r="N1135" s="60">
        <v>0.53117721929463602</v>
      </c>
      <c r="O1135" s="881">
        <v>111812.85482248</v>
      </c>
      <c r="P1135" s="60">
        <v>4.2738882663761E-5</v>
      </c>
      <c r="Q1135" s="880">
        <v>3.0761178787941601</v>
      </c>
      <c r="R1135" s="60">
        <v>0.50021859360353005</v>
      </c>
      <c r="S1135" s="60">
        <v>0.56050291765781601</v>
      </c>
      <c r="T1135" s="60">
        <v>0.27433300234552604</v>
      </c>
      <c r="U1135" s="60">
        <v>1.5917874457633901E-3</v>
      </c>
    </row>
    <row r="1136" spans="1:21" x14ac:dyDescent="0.25">
      <c r="A1136" s="519" t="s">
        <v>1474</v>
      </c>
      <c r="B1136" s="519" t="s">
        <v>1475</v>
      </c>
      <c r="C1136" s="519" t="s">
        <v>284</v>
      </c>
      <c r="D1136" s="519" t="s">
        <v>109</v>
      </c>
      <c r="E1136" s="519" t="s">
        <v>287</v>
      </c>
      <c r="F1136" s="519" t="s">
        <v>16</v>
      </c>
      <c r="G1136" s="519" t="s">
        <v>59</v>
      </c>
      <c r="H1136" s="519" t="s">
        <v>153</v>
      </c>
      <c r="I1136" s="881">
        <v>35282.85031011</v>
      </c>
      <c r="J1136" s="881">
        <v>1405.9026258537799</v>
      </c>
      <c r="K1136" s="60">
        <v>3.8319716898190297E-2</v>
      </c>
      <c r="L1136" s="880">
        <v>3.0646394588893302</v>
      </c>
      <c r="M1136" s="373">
        <v>0</v>
      </c>
      <c r="N1136" s="60">
        <v>0.64881430000201701</v>
      </c>
      <c r="O1136" s="881">
        <v>105617.02724279999</v>
      </c>
      <c r="P1136" s="60">
        <v>1.3342928062286499E-2</v>
      </c>
      <c r="Q1136" s="880">
        <v>3.04081437481363</v>
      </c>
      <c r="R1136" s="60">
        <v>0.50021859360353005</v>
      </c>
      <c r="S1136" s="60">
        <v>0.71264287560754902</v>
      </c>
      <c r="T1136" s="60">
        <v>0.32205478807069204</v>
      </c>
      <c r="U1136" s="60">
        <v>0.98387186948258509</v>
      </c>
    </row>
    <row r="1137" spans="1:21" x14ac:dyDescent="0.25">
      <c r="A1137" s="519" t="s">
        <v>1474</v>
      </c>
      <c r="B1137" s="519" t="s">
        <v>1477</v>
      </c>
      <c r="C1137" s="519" t="s">
        <v>284</v>
      </c>
      <c r="D1137" s="519" t="s">
        <v>109</v>
      </c>
      <c r="E1137" s="519" t="s">
        <v>287</v>
      </c>
      <c r="F1137" s="519" t="s">
        <v>16</v>
      </c>
      <c r="G1137" s="519" t="s">
        <v>59</v>
      </c>
      <c r="H1137" s="519" t="s">
        <v>155</v>
      </c>
      <c r="I1137" s="881">
        <v>37166.544451190101</v>
      </c>
      <c r="J1137" s="881">
        <v>2.17445397333401</v>
      </c>
      <c r="K1137" s="60">
        <v>5.85022577421129E-5</v>
      </c>
      <c r="L1137" s="880">
        <v>3.0339861186141501</v>
      </c>
      <c r="M1137" s="373">
        <v>0</v>
      </c>
      <c r="N1137" s="60">
        <v>0.77561571439168109</v>
      </c>
      <c r="O1137" s="881">
        <v>105617.02724279999</v>
      </c>
      <c r="P1137" s="60">
        <v>1.3342928062286499E-2</v>
      </c>
      <c r="Q1137" s="880">
        <v>3.04081437481363</v>
      </c>
      <c r="R1137" s="60">
        <v>0.50021859360353005</v>
      </c>
      <c r="S1137" s="60">
        <v>0.71264287560754902</v>
      </c>
      <c r="T1137" s="60">
        <v>0.39917449106653802</v>
      </c>
      <c r="U1137" s="60">
        <v>1.7810142073729502E-3</v>
      </c>
    </row>
    <row r="1138" spans="1:21" x14ac:dyDescent="0.25">
      <c r="A1138" s="519" t="s">
        <v>1478</v>
      </c>
      <c r="B1138" s="519" t="s">
        <v>1762</v>
      </c>
      <c r="C1138" s="519" t="s">
        <v>284</v>
      </c>
      <c r="D1138" s="519" t="s">
        <v>109</v>
      </c>
      <c r="E1138" s="519" t="s">
        <v>287</v>
      </c>
      <c r="F1138" s="519" t="s">
        <v>17</v>
      </c>
      <c r="G1138" s="519" t="s">
        <v>56</v>
      </c>
      <c r="H1138" s="519" t="s">
        <v>145</v>
      </c>
      <c r="I1138" s="881">
        <v>63870.680786430203</v>
      </c>
      <c r="J1138" s="881">
        <v>193.42051866084799</v>
      </c>
      <c r="K1138" s="60">
        <v>3.0191716533995504E-3</v>
      </c>
      <c r="L1138" s="880">
        <v>3.03638974439981</v>
      </c>
      <c r="M1138" s="373">
        <v>0</v>
      </c>
      <c r="N1138" s="60">
        <v>0.54494647140969299</v>
      </c>
      <c r="O1138" s="881">
        <v>181248.32522979102</v>
      </c>
      <c r="P1138" s="60">
        <v>1.53891769053881E-2</v>
      </c>
      <c r="Q1138" s="880">
        <v>3.0316076171766699</v>
      </c>
      <c r="R1138" s="60">
        <v>0.50021859360353005</v>
      </c>
      <c r="S1138" s="60">
        <v>0.53685424854092301</v>
      </c>
      <c r="T1138" s="60">
        <v>0.34803228176666401</v>
      </c>
      <c r="U1138" s="60">
        <v>6.8169469931235002E-2</v>
      </c>
    </row>
    <row r="1139" spans="1:21" x14ac:dyDescent="0.25">
      <c r="A1139" s="519" t="s">
        <v>2055</v>
      </c>
      <c r="B1139" s="519" t="s">
        <v>2056</v>
      </c>
      <c r="C1139" s="519" t="s">
        <v>284</v>
      </c>
      <c r="D1139" s="519" t="s">
        <v>109</v>
      </c>
      <c r="E1139" s="519" t="s">
        <v>287</v>
      </c>
      <c r="F1139" s="519" t="s">
        <v>17</v>
      </c>
      <c r="G1139" s="519" t="s">
        <v>57</v>
      </c>
      <c r="H1139" s="519" t="s">
        <v>149</v>
      </c>
      <c r="I1139" s="881">
        <v>72769.463348350197</v>
      </c>
      <c r="J1139" s="881">
        <v>0.88809659396900109</v>
      </c>
      <c r="K1139" s="60">
        <v>1.22040992840458E-5</v>
      </c>
      <c r="L1139" s="880">
        <v>3.1900167478633001</v>
      </c>
      <c r="M1139" s="373">
        <v>0</v>
      </c>
      <c r="N1139" s="60">
        <v>0.38723364181191106</v>
      </c>
      <c r="O1139" s="881">
        <v>72769.463348350197</v>
      </c>
      <c r="P1139" s="60">
        <v>1.22040992840458E-5</v>
      </c>
      <c r="Q1139" s="880">
        <v>3.1900167478633001</v>
      </c>
      <c r="R1139" s="60">
        <v>0.50021859360353005</v>
      </c>
      <c r="S1139" s="60">
        <v>0.38723364181191106</v>
      </c>
      <c r="T1139" s="60">
        <v>0.41004221851084804</v>
      </c>
      <c r="U1139" s="60">
        <v>0.41230038689095305</v>
      </c>
    </row>
    <row r="1140" spans="1:21" x14ac:dyDescent="0.25">
      <c r="A1140" s="519" t="s">
        <v>1481</v>
      </c>
      <c r="B1140" s="519" t="s">
        <v>1482</v>
      </c>
      <c r="C1140" s="519" t="s">
        <v>284</v>
      </c>
      <c r="D1140" s="519" t="s">
        <v>109</v>
      </c>
      <c r="E1140" s="519" t="s">
        <v>4</v>
      </c>
      <c r="F1140" s="519" t="s">
        <v>70</v>
      </c>
      <c r="G1140" s="519" t="s">
        <v>56</v>
      </c>
      <c r="H1140" s="519" t="s">
        <v>144</v>
      </c>
      <c r="I1140" s="881">
        <v>800.73305629000004</v>
      </c>
      <c r="J1140" s="881">
        <v>3.6324809999999999E-2</v>
      </c>
      <c r="K1140" s="60">
        <v>4.5362386296665598E-5</v>
      </c>
      <c r="L1140" s="880">
        <v>3.16633643392669</v>
      </c>
      <c r="M1140" s="373">
        <v>0</v>
      </c>
      <c r="N1140" s="60">
        <v>0</v>
      </c>
      <c r="O1140" s="881">
        <v>23407.714563910002</v>
      </c>
      <c r="P1140" s="60">
        <v>1.0477409902424399E-5</v>
      </c>
      <c r="Q1140" s="880">
        <v>2.7175771467969398</v>
      </c>
      <c r="R1140" s="60">
        <v>0.48890619963074106</v>
      </c>
      <c r="S1140" s="60">
        <v>0</v>
      </c>
      <c r="T1140" s="60">
        <v>0.22122650962843801</v>
      </c>
      <c r="U1140" s="60">
        <v>1.01799539585094</v>
      </c>
    </row>
    <row r="1141" spans="1:21" x14ac:dyDescent="0.25">
      <c r="A1141" s="519" t="s">
        <v>1481</v>
      </c>
      <c r="B1141" s="519" t="s">
        <v>1484</v>
      </c>
      <c r="C1141" s="519" t="s">
        <v>284</v>
      </c>
      <c r="D1141" s="519" t="s">
        <v>109</v>
      </c>
      <c r="E1141" s="519" t="s">
        <v>4</v>
      </c>
      <c r="F1141" s="519" t="s">
        <v>70</v>
      </c>
      <c r="G1141" s="519" t="s">
        <v>56</v>
      </c>
      <c r="H1141" s="519" t="s">
        <v>146</v>
      </c>
      <c r="I1141" s="881">
        <v>5048.5832773000002</v>
      </c>
      <c r="J1141" s="881">
        <v>9.7745170000000006E-2</v>
      </c>
      <c r="K1141" s="60">
        <v>1.93605358637174E-5</v>
      </c>
      <c r="L1141" s="880">
        <v>2.71692273227116</v>
      </c>
      <c r="M1141" s="373">
        <v>0</v>
      </c>
      <c r="N1141" s="60">
        <v>0</v>
      </c>
      <c r="O1141" s="881">
        <v>23407.714563910002</v>
      </c>
      <c r="P1141" s="60">
        <v>1.0477409902424399E-5</v>
      </c>
      <c r="Q1141" s="880">
        <v>2.7175771467969398</v>
      </c>
      <c r="R1141" s="60">
        <v>0.48890619963074106</v>
      </c>
      <c r="S1141" s="60">
        <v>0</v>
      </c>
      <c r="T1141" s="60">
        <v>0.36836406220633805</v>
      </c>
      <c r="U1141" s="60">
        <v>0.307229475747196</v>
      </c>
    </row>
    <row r="1142" spans="1:21" x14ac:dyDescent="0.25">
      <c r="A1142" s="519" t="s">
        <v>1485</v>
      </c>
      <c r="B1142" s="519" t="s">
        <v>1487</v>
      </c>
      <c r="C1142" s="519" t="s">
        <v>284</v>
      </c>
      <c r="D1142" s="519" t="s">
        <v>109</v>
      </c>
      <c r="E1142" s="519" t="s">
        <v>4</v>
      </c>
      <c r="F1142" s="519" t="s">
        <v>70</v>
      </c>
      <c r="G1142" s="519" t="s">
        <v>57</v>
      </c>
      <c r="H1142" s="519" t="s">
        <v>148</v>
      </c>
      <c r="I1142" s="881">
        <v>4727.0262966700002</v>
      </c>
      <c r="J1142" s="881">
        <v>0.1106327</v>
      </c>
      <c r="K1142" s="60">
        <v>2.3403743461001099E-5</v>
      </c>
      <c r="L1142" s="880">
        <v>2.97188689720651</v>
      </c>
      <c r="M1142" s="373">
        <v>0</v>
      </c>
      <c r="N1142" s="60">
        <v>0</v>
      </c>
      <c r="O1142" s="881">
        <v>32620.12429353</v>
      </c>
      <c r="P1142" s="60">
        <v>3.3473478180472903E-5</v>
      </c>
      <c r="Q1142" s="880">
        <v>2.7511660123085999</v>
      </c>
      <c r="R1142" s="60">
        <v>0.48890619963074106</v>
      </c>
      <c r="S1142" s="60">
        <v>0</v>
      </c>
      <c r="T1142" s="60">
        <v>0.16747967834048</v>
      </c>
      <c r="U1142" s="60">
        <v>5.0487975398933398E-2</v>
      </c>
    </row>
    <row r="1143" spans="1:21" x14ac:dyDescent="0.25">
      <c r="A1143" s="519" t="s">
        <v>1489</v>
      </c>
      <c r="B1143" s="519" t="s">
        <v>1491</v>
      </c>
      <c r="C1143" s="519" t="s">
        <v>284</v>
      </c>
      <c r="D1143" s="519" t="s">
        <v>109</v>
      </c>
      <c r="E1143" s="519" t="s">
        <v>4</v>
      </c>
      <c r="F1143" s="519" t="s">
        <v>70</v>
      </c>
      <c r="G1143" s="519" t="s">
        <v>58</v>
      </c>
      <c r="H1143" s="519" t="s">
        <v>151</v>
      </c>
      <c r="I1143" s="881">
        <v>1908.8734504199999</v>
      </c>
      <c r="J1143" s="881">
        <v>2.2520290000000002E-2</v>
      </c>
      <c r="K1143" s="60">
        <v>1.17975470353284E-5</v>
      </c>
      <c r="L1143" s="880">
        <v>2.7423926742410201</v>
      </c>
      <c r="M1143" s="373">
        <v>0</v>
      </c>
      <c r="N1143" s="60">
        <v>0</v>
      </c>
      <c r="O1143" s="881">
        <v>8448.9389428699997</v>
      </c>
      <c r="P1143" s="60">
        <v>1.27721334249466E-2</v>
      </c>
      <c r="Q1143" s="880">
        <v>2.8597937021804301</v>
      </c>
      <c r="R1143" s="60">
        <v>0.48890619963074106</v>
      </c>
      <c r="S1143" s="60">
        <v>0</v>
      </c>
      <c r="T1143" s="60">
        <v>9.7666900828437195E-2</v>
      </c>
      <c r="U1143" s="60">
        <v>-5.5949529376754503E-4</v>
      </c>
    </row>
    <row r="1144" spans="1:21" x14ac:dyDescent="0.25">
      <c r="A1144" s="519" t="s">
        <v>1493</v>
      </c>
      <c r="B1144" s="519" t="s">
        <v>1494</v>
      </c>
      <c r="C1144" s="519" t="s">
        <v>284</v>
      </c>
      <c r="D1144" s="519" t="s">
        <v>109</v>
      </c>
      <c r="E1144" s="519" t="s">
        <v>4</v>
      </c>
      <c r="F1144" s="519" t="s">
        <v>70</v>
      </c>
      <c r="G1144" s="519" t="s">
        <v>59</v>
      </c>
      <c r="H1144" s="519" t="s">
        <v>153</v>
      </c>
      <c r="I1144" s="881">
        <v>1104.20776217</v>
      </c>
      <c r="J1144" s="881">
        <v>-1.9863060000000002E-2</v>
      </c>
      <c r="K1144" s="60">
        <v>-1.7988840500797099E-5</v>
      </c>
      <c r="L1144" s="880">
        <v>2.8452050879197701</v>
      </c>
      <c r="M1144" s="373">
        <v>0</v>
      </c>
      <c r="N1144" s="60">
        <v>0</v>
      </c>
      <c r="O1144" s="881">
        <v>3076.2650562899998</v>
      </c>
      <c r="P1144" s="60">
        <v>-1.0050106264638701E-5</v>
      </c>
      <c r="Q1144" s="880">
        <v>2.7057762692405798</v>
      </c>
      <c r="R1144" s="60">
        <v>0.48890619963074106</v>
      </c>
      <c r="S1144" s="60">
        <v>0</v>
      </c>
      <c r="T1144" s="60">
        <v>0.38326952293135702</v>
      </c>
      <c r="U1144" s="60">
        <v>0.52385292429628905</v>
      </c>
    </row>
    <row r="1145" spans="1:21" x14ac:dyDescent="0.25">
      <c r="A1145" s="519" t="s">
        <v>1493</v>
      </c>
      <c r="B1145" s="519" t="s">
        <v>1496</v>
      </c>
      <c r="C1145" s="519" t="s">
        <v>284</v>
      </c>
      <c r="D1145" s="519" t="s">
        <v>109</v>
      </c>
      <c r="E1145" s="519" t="s">
        <v>4</v>
      </c>
      <c r="F1145" s="519" t="s">
        <v>70</v>
      </c>
      <c r="G1145" s="519" t="s">
        <v>59</v>
      </c>
      <c r="H1145" s="519" t="s">
        <v>155</v>
      </c>
      <c r="I1145" s="881">
        <v>1467.9103193400001</v>
      </c>
      <c r="J1145" s="881">
        <v>9.8709599999999998E-3</v>
      </c>
      <c r="K1145" s="60">
        <v>6.7244527769474093E-6</v>
      </c>
      <c r="L1145" s="880">
        <v>1.3299428636410799</v>
      </c>
      <c r="M1145" s="373">
        <v>0</v>
      </c>
      <c r="N1145" s="60">
        <v>0</v>
      </c>
      <c r="O1145" s="881">
        <v>3076.2650562899998</v>
      </c>
      <c r="P1145" s="60">
        <v>-1.0050106264638701E-5</v>
      </c>
      <c r="Q1145" s="880">
        <v>2.7057762692405798</v>
      </c>
      <c r="R1145" s="60">
        <v>0.48890619963074106</v>
      </c>
      <c r="S1145" s="60">
        <v>0</v>
      </c>
      <c r="T1145" s="60">
        <v>0.31943480554647302</v>
      </c>
      <c r="U1145" s="60">
        <v>0.11191209609892</v>
      </c>
    </row>
    <row r="1146" spans="1:21" x14ac:dyDescent="0.25">
      <c r="A1146" s="519" t="s">
        <v>1497</v>
      </c>
      <c r="B1146" s="519" t="s">
        <v>1498</v>
      </c>
      <c r="C1146" s="519" t="s">
        <v>284</v>
      </c>
      <c r="D1146" s="519" t="s">
        <v>109</v>
      </c>
      <c r="E1146" s="519" t="s">
        <v>4</v>
      </c>
      <c r="F1146" s="519" t="s">
        <v>16</v>
      </c>
      <c r="G1146" s="519" t="s">
        <v>56</v>
      </c>
      <c r="H1146" s="519" t="s">
        <v>144</v>
      </c>
      <c r="I1146" s="881">
        <v>1699.8485595999998</v>
      </c>
      <c r="J1146" s="881">
        <v>-7.6633400000000003E-3</v>
      </c>
      <c r="K1146" s="60">
        <v>-4.5082689896807E-6</v>
      </c>
      <c r="L1146" s="880">
        <v>2.91650156918833</v>
      </c>
      <c r="M1146" s="373">
        <v>0</v>
      </c>
      <c r="N1146" s="60">
        <v>0</v>
      </c>
      <c r="O1146" s="881">
        <v>7204.7704099499997</v>
      </c>
      <c r="P1146" s="60">
        <v>-1.08458830836504E-5</v>
      </c>
      <c r="Q1146" s="880">
        <v>2.8613064460746003</v>
      </c>
      <c r="R1146" s="60">
        <v>0.48890619963074106</v>
      </c>
      <c r="S1146" s="60">
        <v>0</v>
      </c>
      <c r="T1146" s="60">
        <v>0.22122650962843801</v>
      </c>
      <c r="U1146" s="60">
        <v>1.01799539585094</v>
      </c>
    </row>
    <row r="1147" spans="1:21" x14ac:dyDescent="0.25">
      <c r="A1147" s="519" t="s">
        <v>1497</v>
      </c>
      <c r="B1147" s="519" t="s">
        <v>1500</v>
      </c>
      <c r="C1147" s="519" t="s">
        <v>284</v>
      </c>
      <c r="D1147" s="519" t="s">
        <v>109</v>
      </c>
      <c r="E1147" s="519" t="s">
        <v>4</v>
      </c>
      <c r="F1147" s="519" t="s">
        <v>16</v>
      </c>
      <c r="G1147" s="519" t="s">
        <v>56</v>
      </c>
      <c r="H1147" s="519" t="s">
        <v>146</v>
      </c>
      <c r="I1147" s="881">
        <v>2772.5031024800001</v>
      </c>
      <c r="J1147" s="881">
        <v>1.074903E-2</v>
      </c>
      <c r="K1147" s="60">
        <v>3.8769977629311895E-6</v>
      </c>
      <c r="L1147" s="880">
        <v>2.8812695425272601</v>
      </c>
      <c r="M1147" s="373">
        <v>0</v>
      </c>
      <c r="N1147" s="60">
        <v>0</v>
      </c>
      <c r="O1147" s="881">
        <v>7204.7704099499997</v>
      </c>
      <c r="P1147" s="60">
        <v>-1.08458830836504E-5</v>
      </c>
      <c r="Q1147" s="880">
        <v>2.8613064460746003</v>
      </c>
      <c r="R1147" s="60">
        <v>0.48890619963074106</v>
      </c>
      <c r="S1147" s="60">
        <v>0</v>
      </c>
      <c r="T1147" s="60">
        <v>0.36836406220633805</v>
      </c>
      <c r="U1147" s="60">
        <v>0.307229475747196</v>
      </c>
    </row>
    <row r="1148" spans="1:21" x14ac:dyDescent="0.25">
      <c r="A1148" s="519" t="s">
        <v>1501</v>
      </c>
      <c r="B1148" s="519" t="s">
        <v>1503</v>
      </c>
      <c r="C1148" s="519" t="s">
        <v>284</v>
      </c>
      <c r="D1148" s="519" t="s">
        <v>109</v>
      </c>
      <c r="E1148" s="519" t="s">
        <v>4</v>
      </c>
      <c r="F1148" s="519" t="s">
        <v>16</v>
      </c>
      <c r="G1148" s="519" t="s">
        <v>57</v>
      </c>
      <c r="H1148" s="519" t="s">
        <v>148</v>
      </c>
      <c r="I1148" s="881">
        <v>2666.26668316</v>
      </c>
      <c r="J1148" s="881">
        <v>-6.9233370000000002E-2</v>
      </c>
      <c r="K1148" s="60">
        <v>-2.5967082822561798E-5</v>
      </c>
      <c r="L1148" s="880">
        <v>2.9166450909855399</v>
      </c>
      <c r="M1148" s="373">
        <v>0</v>
      </c>
      <c r="N1148" s="60">
        <v>0</v>
      </c>
      <c r="O1148" s="881">
        <v>11524.29402091</v>
      </c>
      <c r="P1148" s="60">
        <v>-2.3599539171354199E-5</v>
      </c>
      <c r="Q1148" s="880">
        <v>2.83827903048756</v>
      </c>
      <c r="R1148" s="60">
        <v>0.48890619963074106</v>
      </c>
      <c r="S1148" s="60">
        <v>0</v>
      </c>
      <c r="T1148" s="60">
        <v>0.16747967834048</v>
      </c>
      <c r="U1148" s="60">
        <v>5.0487975398933398E-2</v>
      </c>
    </row>
    <row r="1149" spans="1:21" x14ac:dyDescent="0.25">
      <c r="A1149" s="519" t="s">
        <v>1505</v>
      </c>
      <c r="B1149" s="519" t="s">
        <v>1507</v>
      </c>
      <c r="C1149" s="519" t="s">
        <v>284</v>
      </c>
      <c r="D1149" s="519" t="s">
        <v>109</v>
      </c>
      <c r="E1149" s="519" t="s">
        <v>4</v>
      </c>
      <c r="F1149" s="519" t="s">
        <v>16</v>
      </c>
      <c r="G1149" s="519" t="s">
        <v>58</v>
      </c>
      <c r="H1149" s="519" t="s">
        <v>151</v>
      </c>
      <c r="I1149" s="881">
        <v>2620.82087056</v>
      </c>
      <c r="J1149" s="881">
        <v>-8.325755E-2</v>
      </c>
      <c r="K1149" s="60">
        <v>-3.17687469308978E-5</v>
      </c>
      <c r="L1149" s="880">
        <v>2.6559557071900701</v>
      </c>
      <c r="M1149" s="373">
        <v>0</v>
      </c>
      <c r="N1149" s="60">
        <v>0</v>
      </c>
      <c r="O1149" s="881">
        <v>37930.072601040003</v>
      </c>
      <c r="P1149" s="60">
        <v>-1.9769099609235499E-5</v>
      </c>
      <c r="Q1149" s="880">
        <v>2.84066230179871</v>
      </c>
      <c r="R1149" s="60">
        <v>0.48890619963074106</v>
      </c>
      <c r="S1149" s="60">
        <v>0</v>
      </c>
      <c r="T1149" s="60">
        <v>9.7666900828437195E-2</v>
      </c>
      <c r="U1149" s="60">
        <v>-5.5949529376754503E-4</v>
      </c>
    </row>
    <row r="1150" spans="1:21" x14ac:dyDescent="0.25">
      <c r="A1150" s="519" t="s">
        <v>1509</v>
      </c>
      <c r="B1150" s="519" t="s">
        <v>1510</v>
      </c>
      <c r="C1150" s="519" t="s">
        <v>284</v>
      </c>
      <c r="D1150" s="519" t="s">
        <v>109</v>
      </c>
      <c r="E1150" s="519" t="s">
        <v>4</v>
      </c>
      <c r="F1150" s="519" t="s">
        <v>16</v>
      </c>
      <c r="G1150" s="519" t="s">
        <v>59</v>
      </c>
      <c r="H1150" s="519" t="s">
        <v>153</v>
      </c>
      <c r="I1150" s="881">
        <v>10584.82372776</v>
      </c>
      <c r="J1150" s="881">
        <v>-0.34605967999999998</v>
      </c>
      <c r="K1150" s="60">
        <v>-3.2695017255657797E-5</v>
      </c>
      <c r="L1150" s="880">
        <v>2.8022176579502101</v>
      </c>
      <c r="M1150" s="373">
        <v>0</v>
      </c>
      <c r="N1150" s="60">
        <v>0</v>
      </c>
      <c r="O1150" s="881">
        <v>27421.937358890002</v>
      </c>
      <c r="P1150" s="60">
        <v>-2.4346262080570499E-5</v>
      </c>
      <c r="Q1150" s="880">
        <v>2.79525041425478</v>
      </c>
      <c r="R1150" s="60">
        <v>0.48890619963074106</v>
      </c>
      <c r="S1150" s="60">
        <v>0</v>
      </c>
      <c r="T1150" s="60">
        <v>0.38326952293135702</v>
      </c>
      <c r="U1150" s="60">
        <v>0.52385292429628905</v>
      </c>
    </row>
    <row r="1151" spans="1:21" x14ac:dyDescent="0.25">
      <c r="A1151" s="519" t="s">
        <v>1509</v>
      </c>
      <c r="B1151" s="519" t="s">
        <v>1512</v>
      </c>
      <c r="C1151" s="519" t="s">
        <v>284</v>
      </c>
      <c r="D1151" s="519" t="s">
        <v>109</v>
      </c>
      <c r="E1151" s="519" t="s">
        <v>4</v>
      </c>
      <c r="F1151" s="519" t="s">
        <v>16</v>
      </c>
      <c r="G1151" s="519" t="s">
        <v>59</v>
      </c>
      <c r="H1151" s="519" t="s">
        <v>155</v>
      </c>
      <c r="I1151" s="881">
        <v>8274.2770386700104</v>
      </c>
      <c r="J1151" s="881">
        <v>-8.8044010000000006E-2</v>
      </c>
      <c r="K1151" s="60">
        <v>-1.0640802386411799E-5</v>
      </c>
      <c r="L1151" s="880">
        <v>2.7796552808529502</v>
      </c>
      <c r="M1151" s="373">
        <v>0</v>
      </c>
      <c r="N1151" s="60">
        <v>0</v>
      </c>
      <c r="O1151" s="881">
        <v>27421.937358890002</v>
      </c>
      <c r="P1151" s="60">
        <v>-2.4346262080570499E-5</v>
      </c>
      <c r="Q1151" s="880">
        <v>2.79525041425478</v>
      </c>
      <c r="R1151" s="60">
        <v>0.48890619963074106</v>
      </c>
      <c r="S1151" s="60">
        <v>0</v>
      </c>
      <c r="T1151" s="60">
        <v>0.31943480554647302</v>
      </c>
      <c r="U1151" s="60">
        <v>0.11191209609892</v>
      </c>
    </row>
    <row r="1152" spans="1:21" x14ac:dyDescent="0.25">
      <c r="A1152" s="519" t="s">
        <v>1513</v>
      </c>
      <c r="B1152" s="519" t="s">
        <v>1514</v>
      </c>
      <c r="C1152" s="519" t="s">
        <v>284</v>
      </c>
      <c r="D1152" s="519" t="s">
        <v>109</v>
      </c>
      <c r="E1152" s="519" t="s">
        <v>4</v>
      </c>
      <c r="F1152" s="519" t="s">
        <v>17</v>
      </c>
      <c r="G1152" s="519" t="s">
        <v>56</v>
      </c>
      <c r="H1152" s="519" t="s">
        <v>144</v>
      </c>
      <c r="I1152" s="881">
        <v>21354.13407493</v>
      </c>
      <c r="J1152" s="881">
        <v>-0.75664675000000103</v>
      </c>
      <c r="K1152" s="60">
        <v>-3.5434523299412802E-5</v>
      </c>
      <c r="L1152" s="880">
        <v>2.7672279526992201</v>
      </c>
      <c r="M1152" s="373">
        <v>0</v>
      </c>
      <c r="N1152" s="60">
        <v>0</v>
      </c>
      <c r="O1152" s="881">
        <v>77216.887423170003</v>
      </c>
      <c r="P1152" s="60">
        <v>-1.1425481203399799E-5</v>
      </c>
      <c r="Q1152" s="880">
        <v>2.77739942420855</v>
      </c>
      <c r="R1152" s="60">
        <v>0.48890619963074106</v>
      </c>
      <c r="S1152" s="60">
        <v>0</v>
      </c>
      <c r="T1152" s="60">
        <v>0.22122650962843801</v>
      </c>
      <c r="U1152" s="60">
        <v>1.01799539585094</v>
      </c>
    </row>
    <row r="1153" spans="1:21" x14ac:dyDescent="0.25">
      <c r="A1153" s="519" t="s">
        <v>1513</v>
      </c>
      <c r="B1153" s="519" t="s">
        <v>1515</v>
      </c>
      <c r="C1153" s="519" t="s">
        <v>284</v>
      </c>
      <c r="D1153" s="519" t="s">
        <v>109</v>
      </c>
      <c r="E1153" s="519" t="s">
        <v>4</v>
      </c>
      <c r="F1153" s="519" t="s">
        <v>17</v>
      </c>
      <c r="G1153" s="519" t="s">
        <v>56</v>
      </c>
      <c r="H1153" s="519" t="s">
        <v>146</v>
      </c>
      <c r="I1153" s="881">
        <v>31899.379261550002</v>
      </c>
      <c r="J1153" s="881">
        <v>-0.32819905999999999</v>
      </c>
      <c r="K1153" s="60">
        <v>-1.0288677846781699E-5</v>
      </c>
      <c r="L1153" s="880">
        <v>2.75650788850984</v>
      </c>
      <c r="M1153" s="373">
        <v>0</v>
      </c>
      <c r="N1153" s="60">
        <v>0</v>
      </c>
      <c r="O1153" s="881">
        <v>77216.887423170003</v>
      </c>
      <c r="P1153" s="60">
        <v>-1.1425481203399799E-5</v>
      </c>
      <c r="Q1153" s="880">
        <v>2.77739942420855</v>
      </c>
      <c r="R1153" s="60">
        <v>0.48890619963074106</v>
      </c>
      <c r="S1153" s="60">
        <v>0</v>
      </c>
      <c r="T1153" s="60">
        <v>0.36836406220633805</v>
      </c>
      <c r="U1153" s="60">
        <v>0.307229475747196</v>
      </c>
    </row>
    <row r="1154" spans="1:21" x14ac:dyDescent="0.25">
      <c r="A1154" s="519" t="s">
        <v>1516</v>
      </c>
      <c r="B1154" s="519" t="s">
        <v>1517</v>
      </c>
      <c r="C1154" s="519" t="s">
        <v>284</v>
      </c>
      <c r="D1154" s="519" t="s">
        <v>109</v>
      </c>
      <c r="E1154" s="519" t="s">
        <v>290</v>
      </c>
      <c r="F1154" s="519" t="s">
        <v>70</v>
      </c>
      <c r="G1154" s="519" t="s">
        <v>56</v>
      </c>
      <c r="H1154" s="519" t="s">
        <v>144</v>
      </c>
      <c r="I1154" s="881">
        <v>13163.065042050001</v>
      </c>
      <c r="J1154" s="881">
        <v>-0.30457984999999999</v>
      </c>
      <c r="K1154" s="60">
        <v>-2.31395117213197E-5</v>
      </c>
      <c r="L1154" s="880">
        <v>2.9695533405280501</v>
      </c>
      <c r="M1154" s="373">
        <v>0</v>
      </c>
      <c r="N1154" s="60">
        <v>7.2320250320038096E-2</v>
      </c>
      <c r="O1154" s="881">
        <v>17148.136472310001</v>
      </c>
      <c r="P1154" s="60">
        <v>-2.0843584987564598E-5</v>
      </c>
      <c r="Q1154" s="880">
        <v>3.1794825106952</v>
      </c>
      <c r="R1154" s="60">
        <v>0.45109901988816703</v>
      </c>
      <c r="S1154" s="60">
        <v>6.8677792524084902E-2</v>
      </c>
      <c r="T1154" s="60">
        <v>0.69763052813663307</v>
      </c>
      <c r="U1154" s="60">
        <v>0.73236428767345607</v>
      </c>
    </row>
    <row r="1155" spans="1:21" x14ac:dyDescent="0.25">
      <c r="A1155" s="519" t="s">
        <v>1516</v>
      </c>
      <c r="B1155" s="519" t="s">
        <v>1519</v>
      </c>
      <c r="C1155" s="519" t="s">
        <v>284</v>
      </c>
      <c r="D1155" s="519" t="s">
        <v>109</v>
      </c>
      <c r="E1155" s="519" t="s">
        <v>290</v>
      </c>
      <c r="F1155" s="519" t="s">
        <v>70</v>
      </c>
      <c r="G1155" s="519" t="s">
        <v>56</v>
      </c>
      <c r="H1155" s="519" t="s">
        <v>146</v>
      </c>
      <c r="I1155" s="881">
        <v>3512.5075302600003</v>
      </c>
      <c r="J1155" s="881">
        <v>-4.9739650000000003E-2</v>
      </c>
      <c r="K1155" s="60">
        <v>-1.41609246189295E-5</v>
      </c>
      <c r="L1155" s="880">
        <v>3.0949677404019398</v>
      </c>
      <c r="M1155" s="373">
        <v>0</v>
      </c>
      <c r="N1155" s="60">
        <v>6.4267477878770699E-2</v>
      </c>
      <c r="O1155" s="881">
        <v>17148.136472310001</v>
      </c>
      <c r="P1155" s="60">
        <v>-2.0843584987564598E-5</v>
      </c>
      <c r="Q1155" s="880">
        <v>3.1794825106952</v>
      </c>
      <c r="R1155" s="60">
        <v>0.45109901988816703</v>
      </c>
      <c r="S1155" s="60">
        <v>6.8677792524084902E-2</v>
      </c>
      <c r="T1155" s="60">
        <v>0.22228509605983102</v>
      </c>
      <c r="U1155" s="60">
        <v>0.22671608942657401</v>
      </c>
    </row>
    <row r="1156" spans="1:21" x14ac:dyDescent="0.25">
      <c r="A1156" s="519" t="s">
        <v>1520</v>
      </c>
      <c r="B1156" s="519" t="s">
        <v>1522</v>
      </c>
      <c r="C1156" s="519" t="s">
        <v>284</v>
      </c>
      <c r="D1156" s="519" t="s">
        <v>109</v>
      </c>
      <c r="E1156" s="519" t="s">
        <v>290</v>
      </c>
      <c r="F1156" s="519" t="s">
        <v>70</v>
      </c>
      <c r="G1156" s="519" t="s">
        <v>57</v>
      </c>
      <c r="H1156" s="519" t="s">
        <v>148</v>
      </c>
      <c r="I1156" s="881">
        <v>20.79</v>
      </c>
      <c r="J1156" s="881">
        <v>1.6666700000000001E-3</v>
      </c>
      <c r="K1156" s="60">
        <v>8.0160480949072497E-5</v>
      </c>
      <c r="L1156" s="880">
        <v>0.15418365383759502</v>
      </c>
      <c r="M1156" s="373">
        <v>0</v>
      </c>
      <c r="N1156" s="60">
        <v>0</v>
      </c>
      <c r="O1156" s="881">
        <v>107.04260000000001</v>
      </c>
      <c r="P1156" s="60">
        <v>-4.1693083555599697E-5</v>
      </c>
      <c r="Q1156" s="880">
        <v>3.0474162598086498</v>
      </c>
      <c r="R1156" s="60">
        <v>0.45109901988816703</v>
      </c>
      <c r="S1156" s="60">
        <v>0</v>
      </c>
      <c r="T1156" s="60">
        <v>0.25362501589974601</v>
      </c>
      <c r="U1156" s="60">
        <v>-1.03740371655453</v>
      </c>
    </row>
    <row r="1157" spans="1:21" x14ac:dyDescent="0.25">
      <c r="A1157" s="519" t="s">
        <v>1524</v>
      </c>
      <c r="B1157" s="519" t="s">
        <v>1525</v>
      </c>
      <c r="C1157" s="519" t="s">
        <v>284</v>
      </c>
      <c r="D1157" s="519" t="s">
        <v>109</v>
      </c>
      <c r="E1157" s="519" t="s">
        <v>290</v>
      </c>
      <c r="F1157" s="519" t="s">
        <v>70</v>
      </c>
      <c r="G1157" s="519" t="s">
        <v>58</v>
      </c>
      <c r="H1157" s="519" t="s">
        <v>150</v>
      </c>
      <c r="I1157" s="881">
        <v>29137.81314989</v>
      </c>
      <c r="J1157" s="881">
        <v>0.26834876000000002</v>
      </c>
      <c r="K1157" s="60">
        <v>9.2095548573584888E-6</v>
      </c>
      <c r="L1157" s="880">
        <v>3.1363561747976698</v>
      </c>
      <c r="M1157" s="373">
        <v>0</v>
      </c>
      <c r="N1157" s="60">
        <v>0.112927852648146</v>
      </c>
      <c r="O1157" s="881">
        <v>40623.531642259899</v>
      </c>
      <c r="P1157" s="60">
        <v>2.1221078059910901E-3</v>
      </c>
      <c r="Q1157" s="880">
        <v>3.1294735981270101</v>
      </c>
      <c r="R1157" s="60">
        <v>0.45109901988816703</v>
      </c>
      <c r="S1157" s="60">
        <v>8.9059397930739095E-2</v>
      </c>
      <c r="T1157" s="60">
        <v>0.703598814962754</v>
      </c>
      <c r="U1157" s="60">
        <v>-8.0622930063265503E-3</v>
      </c>
    </row>
    <row r="1158" spans="1:21" x14ac:dyDescent="0.25">
      <c r="A1158" s="519" t="s">
        <v>1524</v>
      </c>
      <c r="B1158" s="519" t="s">
        <v>1526</v>
      </c>
      <c r="C1158" s="519" t="s">
        <v>284</v>
      </c>
      <c r="D1158" s="519" t="s">
        <v>109</v>
      </c>
      <c r="E1158" s="519" t="s">
        <v>290</v>
      </c>
      <c r="F1158" s="519" t="s">
        <v>70</v>
      </c>
      <c r="G1158" s="519" t="s">
        <v>58</v>
      </c>
      <c r="H1158" s="519" t="s">
        <v>152</v>
      </c>
      <c r="I1158" s="881">
        <v>11217.49824031</v>
      </c>
      <c r="J1158" s="881">
        <v>86.122509529999704</v>
      </c>
      <c r="K1158" s="60">
        <v>7.6190197314624708E-3</v>
      </c>
      <c r="L1158" s="880">
        <v>3.1104037295504501</v>
      </c>
      <c r="M1158" s="373">
        <v>0</v>
      </c>
      <c r="N1158" s="60">
        <v>2.7692146086881499E-2</v>
      </c>
      <c r="O1158" s="881">
        <v>40623.531642259899</v>
      </c>
      <c r="P1158" s="60">
        <v>2.1221078059910901E-3</v>
      </c>
      <c r="Q1158" s="880">
        <v>3.1294735981270101</v>
      </c>
      <c r="R1158" s="60">
        <v>0.45109901988816703</v>
      </c>
      <c r="S1158" s="60">
        <v>8.9059397930739095E-2</v>
      </c>
      <c r="T1158" s="60">
        <v>0.268654819599698</v>
      </c>
      <c r="U1158" s="60">
        <v>1.0087291330121699</v>
      </c>
    </row>
    <row r="1159" spans="1:21" x14ac:dyDescent="0.25">
      <c r="A1159" s="519" t="s">
        <v>1527</v>
      </c>
      <c r="B1159" s="519" t="s">
        <v>1529</v>
      </c>
      <c r="C1159" s="519" t="s">
        <v>284</v>
      </c>
      <c r="D1159" s="519" t="s">
        <v>109</v>
      </c>
      <c r="E1159" s="519" t="s">
        <v>290</v>
      </c>
      <c r="F1159" s="519" t="s">
        <v>70</v>
      </c>
      <c r="G1159" s="519" t="s">
        <v>59</v>
      </c>
      <c r="H1159" s="519" t="s">
        <v>154</v>
      </c>
      <c r="I1159" s="881">
        <v>37069.581977059999</v>
      </c>
      <c r="J1159" s="881">
        <v>-0.31020001000000202</v>
      </c>
      <c r="K1159" s="60">
        <v>-8.3681171797944493E-6</v>
      </c>
      <c r="L1159" s="880">
        <v>3.07182552397204</v>
      </c>
      <c r="M1159" s="373">
        <v>0</v>
      </c>
      <c r="N1159" s="60">
        <v>0.32364438695463105</v>
      </c>
      <c r="O1159" s="881">
        <v>109470.97630317</v>
      </c>
      <c r="P1159" s="60">
        <v>1.1613050934337399E-6</v>
      </c>
      <c r="Q1159" s="880">
        <v>3.0707216688764798</v>
      </c>
      <c r="R1159" s="60">
        <v>0.45109901988816703</v>
      </c>
      <c r="S1159" s="60">
        <v>0.21548609329427301</v>
      </c>
      <c r="T1159" s="60">
        <v>0.35138494084798805</v>
      </c>
      <c r="U1159" s="60">
        <v>5.5556195565335101E-2</v>
      </c>
    </row>
    <row r="1160" spans="1:21" x14ac:dyDescent="0.25">
      <c r="A1160" s="519" t="s">
        <v>1531</v>
      </c>
      <c r="B1160" s="519" t="s">
        <v>1533</v>
      </c>
      <c r="C1160" s="519" t="s">
        <v>284</v>
      </c>
      <c r="D1160" s="519" t="s">
        <v>109</v>
      </c>
      <c r="E1160" s="519" t="s">
        <v>290</v>
      </c>
      <c r="F1160" s="519" t="s">
        <v>16</v>
      </c>
      <c r="G1160" s="519" t="s">
        <v>56</v>
      </c>
      <c r="H1160" s="519" t="s">
        <v>145</v>
      </c>
      <c r="I1160" s="881">
        <v>1595.69160001</v>
      </c>
      <c r="J1160" s="881">
        <v>7.6635320000000007E-2</v>
      </c>
      <c r="K1160" s="60">
        <v>4.8024091658994596E-5</v>
      </c>
      <c r="L1160" s="880">
        <v>3.12620260954577</v>
      </c>
      <c r="M1160" s="373">
        <v>0</v>
      </c>
      <c r="N1160" s="60">
        <v>1.9477447897704801E-2</v>
      </c>
      <c r="O1160" s="881">
        <v>8491.7610344999994</v>
      </c>
      <c r="P1160" s="60">
        <v>8.4243665176652891E-6</v>
      </c>
      <c r="Q1160" s="880">
        <v>3.1045390083393798</v>
      </c>
      <c r="R1160" s="60">
        <v>0.45109901988816703</v>
      </c>
      <c r="S1160" s="60">
        <v>9.1405857612631494E-2</v>
      </c>
      <c r="T1160" s="60">
        <v>8.0084375803535501E-2</v>
      </c>
      <c r="U1160" s="60">
        <v>4.0919622899970302E-2</v>
      </c>
    </row>
    <row r="1161" spans="1:21" x14ac:dyDescent="0.25">
      <c r="A1161" s="519" t="s">
        <v>1535</v>
      </c>
      <c r="B1161" s="519" t="s">
        <v>1536</v>
      </c>
      <c r="C1161" s="519" t="s">
        <v>284</v>
      </c>
      <c r="D1161" s="519" t="s">
        <v>109</v>
      </c>
      <c r="E1161" s="519" t="s">
        <v>290</v>
      </c>
      <c r="F1161" s="519" t="s">
        <v>16</v>
      </c>
      <c r="G1161" s="519" t="s">
        <v>57</v>
      </c>
      <c r="H1161" s="519" t="s">
        <v>147</v>
      </c>
      <c r="I1161" s="881">
        <v>453.03000000000003</v>
      </c>
      <c r="J1161" s="881">
        <v>1.9999980000000001E-2</v>
      </c>
      <c r="K1161" s="60">
        <v>4.4145193689179799E-5</v>
      </c>
      <c r="L1161" s="880">
        <v>0.22579668817636001</v>
      </c>
      <c r="M1161" s="373">
        <v>0</v>
      </c>
      <c r="N1161" s="60">
        <v>0.32607112111780701</v>
      </c>
      <c r="O1161" s="881">
        <v>2776.1765655300001</v>
      </c>
      <c r="P1161" s="60">
        <v>1.15891501755757E-5</v>
      </c>
      <c r="Q1161" s="880">
        <v>3.04322313525907</v>
      </c>
      <c r="R1161" s="60">
        <v>0.45109901988816703</v>
      </c>
      <c r="S1161" s="60">
        <v>0.25074053597419804</v>
      </c>
      <c r="T1161" s="60">
        <v>0.164399573111491</v>
      </c>
      <c r="U1161" s="60">
        <v>0.59133345241897206</v>
      </c>
    </row>
    <row r="1162" spans="1:21" x14ac:dyDescent="0.25">
      <c r="A1162" s="519" t="s">
        <v>1535</v>
      </c>
      <c r="B1162" s="519" t="s">
        <v>1538</v>
      </c>
      <c r="C1162" s="519" t="s">
        <v>284</v>
      </c>
      <c r="D1162" s="519" t="s">
        <v>109</v>
      </c>
      <c r="E1162" s="519" t="s">
        <v>290</v>
      </c>
      <c r="F1162" s="519" t="s">
        <v>16</v>
      </c>
      <c r="G1162" s="519" t="s">
        <v>57</v>
      </c>
      <c r="H1162" s="519" t="s">
        <v>149</v>
      </c>
      <c r="I1162" s="881">
        <v>1612.68005883</v>
      </c>
      <c r="J1162" s="881">
        <v>4.2588239999999999E-2</v>
      </c>
      <c r="K1162" s="60">
        <v>2.6407665370964099E-5</v>
      </c>
      <c r="L1162" s="880">
        <v>3.0961649162490801</v>
      </c>
      <c r="M1162" s="373">
        <v>0</v>
      </c>
      <c r="N1162" s="60">
        <v>0.11517473598250801</v>
      </c>
      <c r="O1162" s="881">
        <v>2776.1765655300001</v>
      </c>
      <c r="P1162" s="60">
        <v>1.15891501755757E-5</v>
      </c>
      <c r="Q1162" s="880">
        <v>3.04322313525907</v>
      </c>
      <c r="R1162" s="60">
        <v>0.45109901988816703</v>
      </c>
      <c r="S1162" s="60">
        <v>0.25074053597419804</v>
      </c>
      <c r="T1162" s="60">
        <v>0.58197541098876304</v>
      </c>
      <c r="U1162" s="60">
        <v>1.4460702641355501</v>
      </c>
    </row>
    <row r="1163" spans="1:21" x14ac:dyDescent="0.25">
      <c r="A1163" s="519" t="s">
        <v>1539</v>
      </c>
      <c r="B1163" s="519" t="s">
        <v>1541</v>
      </c>
      <c r="C1163" s="519" t="s">
        <v>284</v>
      </c>
      <c r="D1163" s="519" t="s">
        <v>109</v>
      </c>
      <c r="E1163" s="519" t="s">
        <v>290</v>
      </c>
      <c r="F1163" s="519" t="s">
        <v>16</v>
      </c>
      <c r="G1163" s="519" t="s">
        <v>58</v>
      </c>
      <c r="H1163" s="519" t="s">
        <v>151</v>
      </c>
      <c r="I1163" s="881">
        <v>3890.10512268</v>
      </c>
      <c r="J1163" s="881">
        <v>-5.663551E-2</v>
      </c>
      <c r="K1163" s="60">
        <v>-1.45590755968191E-5</v>
      </c>
      <c r="L1163" s="880">
        <v>3.06737263118037</v>
      </c>
      <c r="M1163" s="373">
        <v>0</v>
      </c>
      <c r="N1163" s="60">
        <v>0.73701661752389702</v>
      </c>
      <c r="O1163" s="881">
        <v>109245.66056238</v>
      </c>
      <c r="P1163" s="60">
        <v>-1.31692786588354E-5</v>
      </c>
      <c r="Q1163" s="880">
        <v>3.1563414192421502</v>
      </c>
      <c r="R1163" s="60">
        <v>0.45109901988816703</v>
      </c>
      <c r="S1163" s="60">
        <v>0.54887697207946406</v>
      </c>
      <c r="T1163" s="60">
        <v>2.7746365437547601E-2</v>
      </c>
      <c r="U1163" s="60">
        <v>-6.6684000583905703E-4</v>
      </c>
    </row>
    <row r="1164" spans="1:21" x14ac:dyDescent="0.25">
      <c r="A1164" s="519" t="s">
        <v>1543</v>
      </c>
      <c r="B1164" s="519" t="s">
        <v>1544</v>
      </c>
      <c r="C1164" s="519" t="s">
        <v>284</v>
      </c>
      <c r="D1164" s="519" t="s">
        <v>109</v>
      </c>
      <c r="E1164" s="519" t="s">
        <v>290</v>
      </c>
      <c r="F1164" s="519" t="s">
        <v>16</v>
      </c>
      <c r="G1164" s="519" t="s">
        <v>59</v>
      </c>
      <c r="H1164" s="519" t="s">
        <v>153</v>
      </c>
      <c r="I1164" s="881">
        <v>31446.821075639902</v>
      </c>
      <c r="J1164" s="881">
        <v>137.361469322549</v>
      </c>
      <c r="K1164" s="60">
        <v>4.34905887233282E-3</v>
      </c>
      <c r="L1164" s="880">
        <v>3.0507140925624099</v>
      </c>
      <c r="M1164" s="373">
        <v>0</v>
      </c>
      <c r="N1164" s="60">
        <v>0.321599912275845</v>
      </c>
      <c r="O1164" s="881">
        <v>146988.14421533002</v>
      </c>
      <c r="P1164" s="60">
        <v>9.9774225210689008E-4</v>
      </c>
      <c r="Q1164" s="880">
        <v>3.2239470078593002</v>
      </c>
      <c r="R1164" s="60">
        <v>0.45109901988816703</v>
      </c>
      <c r="S1164" s="60">
        <v>0.47031620769241606</v>
      </c>
      <c r="T1164" s="60">
        <v>0.19754077573269802</v>
      </c>
      <c r="U1164" s="60">
        <v>0.93709591793285996</v>
      </c>
    </row>
    <row r="1165" spans="1:21" x14ac:dyDescent="0.25">
      <c r="A1165" s="519" t="s">
        <v>1543</v>
      </c>
      <c r="B1165" s="519" t="s">
        <v>1546</v>
      </c>
      <c r="C1165" s="519" t="s">
        <v>284</v>
      </c>
      <c r="D1165" s="519" t="s">
        <v>109</v>
      </c>
      <c r="E1165" s="519" t="s">
        <v>290</v>
      </c>
      <c r="F1165" s="519" t="s">
        <v>16</v>
      </c>
      <c r="G1165" s="519" t="s">
        <v>59</v>
      </c>
      <c r="H1165" s="519" t="s">
        <v>155</v>
      </c>
      <c r="I1165" s="881">
        <v>62495.032223430106</v>
      </c>
      <c r="J1165" s="881">
        <v>0.96821872181900204</v>
      </c>
      <c r="K1165" s="60">
        <v>1.5492490958924899E-5</v>
      </c>
      <c r="L1165" s="880">
        <v>3.2873690440701102</v>
      </c>
      <c r="M1165" s="373">
        <v>0</v>
      </c>
      <c r="N1165" s="60">
        <v>0.51753717748390904</v>
      </c>
      <c r="O1165" s="881">
        <v>146988.14421533002</v>
      </c>
      <c r="P1165" s="60">
        <v>9.9774225210689008E-4</v>
      </c>
      <c r="Q1165" s="880">
        <v>3.2239470078593002</v>
      </c>
      <c r="R1165" s="60">
        <v>0.45109901988816703</v>
      </c>
      <c r="S1165" s="60">
        <v>0.47031620769241606</v>
      </c>
      <c r="T1165" s="60">
        <v>0.45107428341931505</v>
      </c>
      <c r="U1165" s="60">
        <v>7.3478865018050104E-3</v>
      </c>
    </row>
    <row r="1166" spans="1:21" x14ac:dyDescent="0.25">
      <c r="A1166" s="519" t="s">
        <v>1547</v>
      </c>
      <c r="B1166" s="519" t="s">
        <v>1548</v>
      </c>
      <c r="C1166" s="519" t="s">
        <v>284</v>
      </c>
      <c r="D1166" s="519" t="s">
        <v>109</v>
      </c>
      <c r="E1166" s="519" t="s">
        <v>290</v>
      </c>
      <c r="F1166" s="519" t="s">
        <v>17</v>
      </c>
      <c r="G1166" s="519" t="s">
        <v>56</v>
      </c>
      <c r="H1166" s="519" t="s">
        <v>144</v>
      </c>
      <c r="I1166" s="881">
        <v>17815.309988199999</v>
      </c>
      <c r="J1166" s="881">
        <v>228.420464222096</v>
      </c>
      <c r="K1166" s="60">
        <v>1.26592704775987E-2</v>
      </c>
      <c r="L1166" s="880">
        <v>3.1957840773835402</v>
      </c>
      <c r="M1166" s="373">
        <v>0</v>
      </c>
      <c r="N1166" s="60">
        <v>0.18558169866928301</v>
      </c>
      <c r="O1166" s="881">
        <v>24672.93642093</v>
      </c>
      <c r="P1166" s="60">
        <v>1.2477471864827899E-2</v>
      </c>
      <c r="Q1166" s="880">
        <v>3.17284741742239</v>
      </c>
      <c r="R1166" s="60">
        <v>0.45109901988816703</v>
      </c>
      <c r="S1166" s="60">
        <v>0.19599464071726103</v>
      </c>
      <c r="T1166" s="60">
        <v>0.69763052813663307</v>
      </c>
      <c r="U1166" s="60">
        <v>0.73236428767345607</v>
      </c>
    </row>
    <row r="1167" spans="1:21" x14ac:dyDescent="0.25">
      <c r="A1167" s="519" t="s">
        <v>1547</v>
      </c>
      <c r="B1167" s="519" t="s">
        <v>1549</v>
      </c>
      <c r="C1167" s="519" t="s">
        <v>284</v>
      </c>
      <c r="D1167" s="519" t="s">
        <v>109</v>
      </c>
      <c r="E1167" s="519" t="s">
        <v>290</v>
      </c>
      <c r="F1167" s="519" t="s">
        <v>17</v>
      </c>
      <c r="G1167" s="519" t="s">
        <v>56</v>
      </c>
      <c r="H1167" s="519" t="s">
        <v>146</v>
      </c>
      <c r="I1167" s="881">
        <v>4896.6100327300001</v>
      </c>
      <c r="J1167" s="881">
        <v>70.653920273872004</v>
      </c>
      <c r="K1167" s="60">
        <v>1.42239109784261E-2</v>
      </c>
      <c r="L1167" s="880">
        <v>3.2824487333207402</v>
      </c>
      <c r="M1167" s="373">
        <v>0</v>
      </c>
      <c r="N1167" s="60">
        <v>0.19842242139676902</v>
      </c>
      <c r="O1167" s="881">
        <v>24672.93642093</v>
      </c>
      <c r="P1167" s="60">
        <v>1.2477471864827899E-2</v>
      </c>
      <c r="Q1167" s="880">
        <v>3.17284741742239</v>
      </c>
      <c r="R1167" s="60">
        <v>0.45109901988816703</v>
      </c>
      <c r="S1167" s="60">
        <v>0.19599464071726103</v>
      </c>
      <c r="T1167" s="60">
        <v>0.22228509605983102</v>
      </c>
      <c r="U1167" s="60">
        <v>0.22671608942657401</v>
      </c>
    </row>
    <row r="1168" spans="1:21" x14ac:dyDescent="0.25">
      <c r="A1168" s="519" t="s">
        <v>1550</v>
      </c>
      <c r="B1168" s="519" t="s">
        <v>1551</v>
      </c>
      <c r="C1168" s="519" t="s">
        <v>284</v>
      </c>
      <c r="D1168" s="519" t="s">
        <v>109</v>
      </c>
      <c r="E1168" s="519" t="s">
        <v>288</v>
      </c>
      <c r="F1168" s="519" t="s">
        <v>70</v>
      </c>
      <c r="G1168" s="519" t="s">
        <v>56</v>
      </c>
      <c r="H1168" s="519" t="s">
        <v>144</v>
      </c>
      <c r="I1168" s="881">
        <v>21057.799921760001</v>
      </c>
      <c r="J1168" s="881">
        <v>0.16886878</v>
      </c>
      <c r="K1168" s="60">
        <v>8.01923403342974E-6</v>
      </c>
      <c r="L1168" s="880">
        <v>3.2259141449129101</v>
      </c>
      <c r="M1168" s="373">
        <v>0</v>
      </c>
      <c r="N1168" s="60">
        <v>1.41911786183893E-2</v>
      </c>
      <c r="O1168" s="881">
        <v>92165.222627459996</v>
      </c>
      <c r="P1168" s="60">
        <v>5.4810385824057094E-6</v>
      </c>
      <c r="Q1168" s="880">
        <v>3.0485800823846199</v>
      </c>
      <c r="R1168" s="60">
        <v>0.45925177473288303</v>
      </c>
      <c r="S1168" s="60">
        <v>0.13287698317294802</v>
      </c>
      <c r="T1168" s="60">
        <v>0.22906029312488801</v>
      </c>
      <c r="U1168" s="60">
        <v>0.55717628178476708</v>
      </c>
    </row>
    <row r="1169" spans="1:21" x14ac:dyDescent="0.25">
      <c r="A1169" s="519" t="s">
        <v>1550</v>
      </c>
      <c r="B1169" s="519" t="s">
        <v>1553</v>
      </c>
      <c r="C1169" s="519" t="s">
        <v>284</v>
      </c>
      <c r="D1169" s="519" t="s">
        <v>109</v>
      </c>
      <c r="E1169" s="519" t="s">
        <v>288</v>
      </c>
      <c r="F1169" s="519" t="s">
        <v>70</v>
      </c>
      <c r="G1169" s="519" t="s">
        <v>56</v>
      </c>
      <c r="H1169" s="519" t="s">
        <v>146</v>
      </c>
      <c r="I1169" s="881">
        <v>44928.084365330003</v>
      </c>
      <c r="J1169" s="881">
        <v>0.29588241000000204</v>
      </c>
      <c r="K1169" s="60">
        <v>6.5856460519714693E-6</v>
      </c>
      <c r="L1169" s="880">
        <v>3.03373219588399</v>
      </c>
      <c r="M1169" s="373">
        <v>0</v>
      </c>
      <c r="N1169" s="60">
        <v>0.10987077298602101</v>
      </c>
      <c r="O1169" s="881">
        <v>92165.222627459996</v>
      </c>
      <c r="P1169" s="60">
        <v>5.4810385824057094E-6</v>
      </c>
      <c r="Q1169" s="880">
        <v>3.0485800823846199</v>
      </c>
      <c r="R1169" s="60">
        <v>0.45925177473288303</v>
      </c>
      <c r="S1169" s="60">
        <v>0.13287698317294802</v>
      </c>
      <c r="T1169" s="60">
        <v>0.37509852990231302</v>
      </c>
      <c r="U1169" s="60">
        <v>0.30067976362198801</v>
      </c>
    </row>
    <row r="1170" spans="1:21" x14ac:dyDescent="0.25">
      <c r="A1170" s="519" t="s">
        <v>1554</v>
      </c>
      <c r="B1170" s="519" t="s">
        <v>1556</v>
      </c>
      <c r="C1170" s="519" t="s">
        <v>284</v>
      </c>
      <c r="D1170" s="519" t="s">
        <v>109</v>
      </c>
      <c r="E1170" s="519" t="s">
        <v>288</v>
      </c>
      <c r="F1170" s="519" t="s">
        <v>70</v>
      </c>
      <c r="G1170" s="519" t="s">
        <v>57</v>
      </c>
      <c r="H1170" s="519" t="s">
        <v>148</v>
      </c>
      <c r="I1170" s="881">
        <v>19567.193786520002</v>
      </c>
      <c r="J1170" s="881">
        <v>-0.35219568999999901</v>
      </c>
      <c r="K1170" s="60">
        <v>-1.7999618812524898E-5</v>
      </c>
      <c r="L1170" s="880">
        <v>4.9020973727793802</v>
      </c>
      <c r="M1170" s="373">
        <v>0</v>
      </c>
      <c r="N1170" s="60">
        <v>3.1307189491935297E-2</v>
      </c>
      <c r="O1170" s="881">
        <v>92374.736775340003</v>
      </c>
      <c r="P1170" s="60">
        <v>-2.42722904601371E-6</v>
      </c>
      <c r="Q1170" s="880">
        <v>3.00725426955995</v>
      </c>
      <c r="R1170" s="60">
        <v>0.45925177473288303</v>
      </c>
      <c r="S1170" s="60">
        <v>5.6815075695036299E-2</v>
      </c>
      <c r="T1170" s="60">
        <v>0.20646382531354102</v>
      </c>
      <c r="U1170" s="60">
        <v>0.17069537545905999</v>
      </c>
    </row>
    <row r="1171" spans="1:21" x14ac:dyDescent="0.25">
      <c r="A1171" s="519" t="s">
        <v>1558</v>
      </c>
      <c r="B1171" s="519" t="s">
        <v>1559</v>
      </c>
      <c r="C1171" s="519" t="s">
        <v>284</v>
      </c>
      <c r="D1171" s="519" t="s">
        <v>109</v>
      </c>
      <c r="E1171" s="519" t="s">
        <v>288</v>
      </c>
      <c r="F1171" s="519" t="s">
        <v>70</v>
      </c>
      <c r="G1171" s="519" t="s">
        <v>58</v>
      </c>
      <c r="H1171" s="519" t="s">
        <v>150</v>
      </c>
      <c r="I1171" s="881">
        <v>24069.185621860001</v>
      </c>
      <c r="J1171" s="881">
        <v>-2.0169980000000299E-2</v>
      </c>
      <c r="K1171" s="60">
        <v>-8.3800080398819195E-7</v>
      </c>
      <c r="L1171" s="880">
        <v>3.0630006998899599</v>
      </c>
      <c r="M1171" s="373">
        <v>0</v>
      </c>
      <c r="N1171" s="60">
        <v>0.11442063903893601</v>
      </c>
      <c r="O1171" s="881">
        <v>69111.066193880004</v>
      </c>
      <c r="P1171" s="60">
        <v>2.13190791753087E-3</v>
      </c>
      <c r="Q1171" s="880">
        <v>3.0810549405496301</v>
      </c>
      <c r="R1171" s="60">
        <v>0.45925177473288303</v>
      </c>
      <c r="S1171" s="60">
        <v>5.0462121221171802E-2</v>
      </c>
      <c r="T1171" s="60">
        <v>0.37502841902501105</v>
      </c>
      <c r="U1171" s="60">
        <v>2.3938422050664003E-4</v>
      </c>
    </row>
    <row r="1172" spans="1:21" x14ac:dyDescent="0.25">
      <c r="A1172" s="519" t="s">
        <v>1558</v>
      </c>
      <c r="B1172" s="519" t="s">
        <v>1561</v>
      </c>
      <c r="C1172" s="519" t="s">
        <v>284</v>
      </c>
      <c r="D1172" s="519" t="s">
        <v>109</v>
      </c>
      <c r="E1172" s="519" t="s">
        <v>288</v>
      </c>
      <c r="F1172" s="519" t="s">
        <v>70</v>
      </c>
      <c r="G1172" s="519" t="s">
        <v>58</v>
      </c>
      <c r="H1172" s="519" t="s">
        <v>152</v>
      </c>
      <c r="I1172" s="881">
        <v>22814.115925959999</v>
      </c>
      <c r="J1172" s="881">
        <v>147.57250714999898</v>
      </c>
      <c r="K1172" s="60">
        <v>6.4269013831406404E-3</v>
      </c>
      <c r="L1172" s="880">
        <v>3.0592884586615399</v>
      </c>
      <c r="M1172" s="373">
        <v>0</v>
      </c>
      <c r="N1172" s="60">
        <v>2.81566641497186E-2</v>
      </c>
      <c r="O1172" s="881">
        <v>69111.066193880004</v>
      </c>
      <c r="P1172" s="60">
        <v>2.13190791753087E-3</v>
      </c>
      <c r="Q1172" s="880">
        <v>3.0810549405496301</v>
      </c>
      <c r="R1172" s="60">
        <v>0.45925177473288303</v>
      </c>
      <c r="S1172" s="60">
        <v>5.0462121221171802E-2</v>
      </c>
      <c r="T1172" s="60">
        <v>0.330215824600327</v>
      </c>
      <c r="U1172" s="60">
        <v>0.99938132145607406</v>
      </c>
    </row>
    <row r="1173" spans="1:21" x14ac:dyDescent="0.25">
      <c r="A1173" s="519" t="s">
        <v>1562</v>
      </c>
      <c r="B1173" s="519" t="s">
        <v>1564</v>
      </c>
      <c r="C1173" s="519" t="s">
        <v>284</v>
      </c>
      <c r="D1173" s="519" t="s">
        <v>109</v>
      </c>
      <c r="E1173" s="519" t="s">
        <v>288</v>
      </c>
      <c r="F1173" s="519" t="s">
        <v>70</v>
      </c>
      <c r="G1173" s="519" t="s">
        <v>59</v>
      </c>
      <c r="H1173" s="519" t="s">
        <v>154</v>
      </c>
      <c r="I1173" s="881">
        <v>33145.684813710104</v>
      </c>
      <c r="J1173" s="881">
        <v>0.50994196999999908</v>
      </c>
      <c r="K1173" s="60">
        <v>1.5384630837982201E-5</v>
      </c>
      <c r="L1173" s="880">
        <v>3.0577997419434202</v>
      </c>
      <c r="M1173" s="373">
        <v>0</v>
      </c>
      <c r="N1173" s="60">
        <v>7.4367808257514503E-2</v>
      </c>
      <c r="O1173" s="881">
        <v>89456.811580530106</v>
      </c>
      <c r="P1173" s="60">
        <v>1.6447495207360002E-5</v>
      </c>
      <c r="Q1173" s="880">
        <v>3.09836694080404</v>
      </c>
      <c r="R1173" s="60">
        <v>0.45925177473288303</v>
      </c>
      <c r="S1173" s="60">
        <v>7.5336993550157008E-2</v>
      </c>
      <c r="T1173" s="60">
        <v>0.36987172412910402</v>
      </c>
      <c r="U1173" s="60">
        <v>0.104601197667227</v>
      </c>
    </row>
    <row r="1174" spans="1:21" x14ac:dyDescent="0.25">
      <c r="A1174" s="519" t="s">
        <v>1566</v>
      </c>
      <c r="B1174" s="519" t="s">
        <v>1567</v>
      </c>
      <c r="C1174" s="519" t="s">
        <v>284</v>
      </c>
      <c r="D1174" s="519" t="s">
        <v>109</v>
      </c>
      <c r="E1174" s="519" t="s">
        <v>288</v>
      </c>
      <c r="F1174" s="519" t="s">
        <v>16</v>
      </c>
      <c r="G1174" s="519" t="s">
        <v>56</v>
      </c>
      <c r="H1174" s="519" t="s">
        <v>144</v>
      </c>
      <c r="I1174" s="881">
        <v>21086.356172</v>
      </c>
      <c r="J1174" s="881">
        <v>0.25367308</v>
      </c>
      <c r="K1174" s="60">
        <v>1.2030055180216099E-5</v>
      </c>
      <c r="L1174" s="880">
        <v>3.1183052355428198</v>
      </c>
      <c r="M1174" s="373">
        <v>0</v>
      </c>
      <c r="N1174" s="60">
        <v>5.6405193495656897E-2</v>
      </c>
      <c r="O1174" s="881">
        <v>101938.47583036</v>
      </c>
      <c r="P1174" s="60">
        <v>1.8445554739275099E-5</v>
      </c>
      <c r="Q1174" s="880">
        <v>3.1584578696887702</v>
      </c>
      <c r="R1174" s="60">
        <v>0.45925177473288303</v>
      </c>
      <c r="S1174" s="60">
        <v>0.164517332086451</v>
      </c>
      <c r="T1174" s="60">
        <v>0.22906029312488801</v>
      </c>
      <c r="U1174" s="60">
        <v>0.55717628178476708</v>
      </c>
    </row>
    <row r="1175" spans="1:21" x14ac:dyDescent="0.25">
      <c r="A1175" s="519" t="s">
        <v>1566</v>
      </c>
      <c r="B1175" s="519" t="s">
        <v>1569</v>
      </c>
      <c r="C1175" s="519" t="s">
        <v>284</v>
      </c>
      <c r="D1175" s="519" t="s">
        <v>109</v>
      </c>
      <c r="E1175" s="519" t="s">
        <v>288</v>
      </c>
      <c r="F1175" s="519" t="s">
        <v>16</v>
      </c>
      <c r="G1175" s="519" t="s">
        <v>56</v>
      </c>
      <c r="H1175" s="519" t="s">
        <v>146</v>
      </c>
      <c r="I1175" s="881">
        <v>35141.253818279998</v>
      </c>
      <c r="J1175" s="881">
        <v>0.61502207999999903</v>
      </c>
      <c r="K1175" s="60">
        <v>1.7501120466696799E-5</v>
      </c>
      <c r="L1175" s="880">
        <v>3.0988078253171101</v>
      </c>
      <c r="M1175" s="373">
        <v>0</v>
      </c>
      <c r="N1175" s="60">
        <v>0.13882515043707</v>
      </c>
      <c r="O1175" s="881">
        <v>101938.47583036</v>
      </c>
      <c r="P1175" s="60">
        <v>1.8445554739275099E-5</v>
      </c>
      <c r="Q1175" s="880">
        <v>3.1584578696887702</v>
      </c>
      <c r="R1175" s="60">
        <v>0.45925177473288303</v>
      </c>
      <c r="S1175" s="60">
        <v>0.164517332086451</v>
      </c>
      <c r="T1175" s="60">
        <v>0.37509852990231302</v>
      </c>
      <c r="U1175" s="60">
        <v>0.30067976362198801</v>
      </c>
    </row>
    <row r="1176" spans="1:21" x14ac:dyDescent="0.25">
      <c r="A1176" s="519" t="s">
        <v>1570</v>
      </c>
      <c r="B1176" s="519" t="s">
        <v>1572</v>
      </c>
      <c r="C1176" s="519" t="s">
        <v>284</v>
      </c>
      <c r="D1176" s="519" t="s">
        <v>109</v>
      </c>
      <c r="E1176" s="519" t="s">
        <v>288</v>
      </c>
      <c r="F1176" s="519" t="s">
        <v>16</v>
      </c>
      <c r="G1176" s="519" t="s">
        <v>57</v>
      </c>
      <c r="H1176" s="519" t="s">
        <v>148</v>
      </c>
      <c r="I1176" s="881">
        <v>24293.166165419902</v>
      </c>
      <c r="J1176" s="881">
        <v>0.88126206999999912</v>
      </c>
      <c r="K1176" s="60">
        <v>3.6274814751649901E-5</v>
      </c>
      <c r="L1176" s="880">
        <v>3.1231551992356001</v>
      </c>
      <c r="M1176" s="373">
        <v>0</v>
      </c>
      <c r="N1176" s="60">
        <v>0.58738193648474102</v>
      </c>
      <c r="O1176" s="881">
        <v>120061.31532886</v>
      </c>
      <c r="P1176" s="60">
        <v>2.7682513911936298E-5</v>
      </c>
      <c r="Q1176" s="880">
        <v>3.1753158626978601</v>
      </c>
      <c r="R1176" s="60">
        <v>0.45925177473288303</v>
      </c>
      <c r="S1176" s="60">
        <v>0.43098166716662406</v>
      </c>
      <c r="T1176" s="60">
        <v>0.20646382531354102</v>
      </c>
      <c r="U1176" s="60">
        <v>0.17069537545905999</v>
      </c>
    </row>
    <row r="1177" spans="1:21" x14ac:dyDescent="0.25">
      <c r="A1177" s="519" t="s">
        <v>1574</v>
      </c>
      <c r="B1177" s="519" t="s">
        <v>1575</v>
      </c>
      <c r="C1177" s="519" t="s">
        <v>284</v>
      </c>
      <c r="D1177" s="519" t="s">
        <v>109</v>
      </c>
      <c r="E1177" s="519" t="s">
        <v>288</v>
      </c>
      <c r="F1177" s="519" t="s">
        <v>16</v>
      </c>
      <c r="G1177" s="519" t="s">
        <v>58</v>
      </c>
      <c r="H1177" s="519" t="s">
        <v>150</v>
      </c>
      <c r="I1177" s="881">
        <v>32476.003231399998</v>
      </c>
      <c r="J1177" s="881">
        <v>5.5588450000000005E-2</v>
      </c>
      <c r="K1177" s="60">
        <v>1.71167475426615E-6</v>
      </c>
      <c r="L1177" s="880">
        <v>3.0808133838730098</v>
      </c>
      <c r="M1177" s="373">
        <v>0</v>
      </c>
      <c r="N1177" s="60">
        <v>0.36174664898977305</v>
      </c>
      <c r="O1177" s="881">
        <v>81664.677682449998</v>
      </c>
      <c r="P1177" s="60">
        <v>3.7147544284916296E-6</v>
      </c>
      <c r="Q1177" s="880">
        <v>3.1309173611523802</v>
      </c>
      <c r="R1177" s="60">
        <v>0.45925177473288303</v>
      </c>
      <c r="S1177" s="60">
        <v>0.35885128900199903</v>
      </c>
      <c r="T1177" s="60">
        <v>0.37502841902501105</v>
      </c>
      <c r="U1177" s="60">
        <v>2.3938422050664003E-4</v>
      </c>
    </row>
    <row r="1178" spans="1:21" x14ac:dyDescent="0.25">
      <c r="A1178" s="519" t="s">
        <v>1574</v>
      </c>
      <c r="B1178" s="519" t="s">
        <v>1577</v>
      </c>
      <c r="C1178" s="519" t="s">
        <v>284</v>
      </c>
      <c r="D1178" s="519" t="s">
        <v>109</v>
      </c>
      <c r="E1178" s="519" t="s">
        <v>288</v>
      </c>
      <c r="F1178" s="519" t="s">
        <v>16</v>
      </c>
      <c r="G1178" s="519" t="s">
        <v>58</v>
      </c>
      <c r="H1178" s="519" t="s">
        <v>152</v>
      </c>
      <c r="I1178" s="881">
        <v>26974.420667890001</v>
      </c>
      <c r="J1178" s="881">
        <v>0.29253289999999998</v>
      </c>
      <c r="K1178" s="60">
        <v>1.0844708443144201E-5</v>
      </c>
      <c r="L1178" s="880">
        <v>3.1528237730031101</v>
      </c>
      <c r="M1178" s="373">
        <v>0</v>
      </c>
      <c r="N1178" s="60">
        <v>0.26159623531562504</v>
      </c>
      <c r="O1178" s="881">
        <v>81664.677682449998</v>
      </c>
      <c r="P1178" s="60">
        <v>3.7147544284916296E-6</v>
      </c>
      <c r="Q1178" s="880">
        <v>3.1309173611523802</v>
      </c>
      <c r="R1178" s="60">
        <v>0.45925177473288303</v>
      </c>
      <c r="S1178" s="60">
        <v>0.35885128900199903</v>
      </c>
      <c r="T1178" s="60">
        <v>0.330215824600327</v>
      </c>
      <c r="U1178" s="60">
        <v>0.99938132145607406</v>
      </c>
    </row>
    <row r="1179" spans="1:21" x14ac:dyDescent="0.25">
      <c r="A1179" s="519" t="s">
        <v>1578</v>
      </c>
      <c r="B1179" s="519" t="s">
        <v>1580</v>
      </c>
      <c r="C1179" s="519" t="s">
        <v>284</v>
      </c>
      <c r="D1179" s="519" t="s">
        <v>109</v>
      </c>
      <c r="E1179" s="519" t="s">
        <v>288</v>
      </c>
      <c r="F1179" s="519" t="s">
        <v>16</v>
      </c>
      <c r="G1179" s="519" t="s">
        <v>59</v>
      </c>
      <c r="H1179" s="519" t="s">
        <v>154</v>
      </c>
      <c r="I1179" s="881">
        <v>30618.202329420001</v>
      </c>
      <c r="J1179" s="881">
        <v>50.607538231154003</v>
      </c>
      <c r="K1179" s="60">
        <v>1.6501304892347301E-3</v>
      </c>
      <c r="L1179" s="880">
        <v>3.0792716328109702</v>
      </c>
      <c r="M1179" s="373">
        <v>0</v>
      </c>
      <c r="N1179" s="60">
        <v>0.47074051167696501</v>
      </c>
      <c r="O1179" s="881">
        <v>82937.786285169801</v>
      </c>
      <c r="P1179" s="60">
        <v>5.8401900499771703E-3</v>
      </c>
      <c r="Q1179" s="880">
        <v>3.0798395657479798</v>
      </c>
      <c r="R1179" s="60">
        <v>0.45925177473288303</v>
      </c>
      <c r="S1179" s="60">
        <v>0.52157313113244996</v>
      </c>
      <c r="T1179" s="60">
        <v>0.36987172412910402</v>
      </c>
      <c r="U1179" s="60">
        <v>0.104601197667227</v>
      </c>
    </row>
    <row r="1180" spans="1:21" x14ac:dyDescent="0.25">
      <c r="A1180" s="519" t="s">
        <v>1582</v>
      </c>
      <c r="B1180" s="519" t="s">
        <v>1583</v>
      </c>
      <c r="C1180" s="519" t="s">
        <v>284</v>
      </c>
      <c r="D1180" s="519" t="s">
        <v>109</v>
      </c>
      <c r="E1180" s="519" t="s">
        <v>288</v>
      </c>
      <c r="F1180" s="519" t="s">
        <v>17</v>
      </c>
      <c r="G1180" s="519" t="s">
        <v>56</v>
      </c>
      <c r="H1180" s="519" t="s">
        <v>144</v>
      </c>
      <c r="I1180" s="881">
        <v>50204.362525199998</v>
      </c>
      <c r="J1180" s="881">
        <v>782.64551771440597</v>
      </c>
      <c r="K1180" s="60">
        <v>1.5349900842498499E-2</v>
      </c>
      <c r="L1180" s="880">
        <v>3.04738100174092</v>
      </c>
      <c r="M1180" s="373">
        <v>0</v>
      </c>
      <c r="N1180" s="60">
        <v>0.59363739781737701</v>
      </c>
      <c r="O1180" s="881">
        <v>209058.79364905</v>
      </c>
      <c r="P1180" s="60">
        <v>6.6664674722772101E-3</v>
      </c>
      <c r="Q1180" s="880">
        <v>3.09303954537135</v>
      </c>
      <c r="R1180" s="60">
        <v>0.45925177473288303</v>
      </c>
      <c r="S1180" s="60">
        <v>0.59143097202044703</v>
      </c>
      <c r="T1180" s="60">
        <v>0.22906029312488801</v>
      </c>
      <c r="U1180" s="60">
        <v>0.55717628178476708</v>
      </c>
    </row>
    <row r="1181" spans="1:21" x14ac:dyDescent="0.25">
      <c r="A1181" s="519" t="s">
        <v>1582</v>
      </c>
      <c r="B1181" s="519" t="s">
        <v>1584</v>
      </c>
      <c r="C1181" s="519" t="s">
        <v>284</v>
      </c>
      <c r="D1181" s="519" t="s">
        <v>109</v>
      </c>
      <c r="E1181" s="519" t="s">
        <v>288</v>
      </c>
      <c r="F1181" s="519" t="s">
        <v>17</v>
      </c>
      <c r="G1181" s="519" t="s">
        <v>56</v>
      </c>
      <c r="H1181" s="519" t="s">
        <v>146</v>
      </c>
      <c r="I1181" s="881">
        <v>71156.319917429995</v>
      </c>
      <c r="J1181" s="881">
        <v>421.671188018588</v>
      </c>
      <c r="K1181" s="60">
        <v>5.8910732406192105E-3</v>
      </c>
      <c r="L1181" s="880">
        <v>3.1020284552994002</v>
      </c>
      <c r="M1181" s="373">
        <v>0</v>
      </c>
      <c r="N1181" s="60">
        <v>0.59895264264264203</v>
      </c>
      <c r="O1181" s="881">
        <v>209058.79364905</v>
      </c>
      <c r="P1181" s="60">
        <v>6.6664674722772101E-3</v>
      </c>
      <c r="Q1181" s="880">
        <v>3.09303954537135</v>
      </c>
      <c r="R1181" s="60">
        <v>0.45925177473288303</v>
      </c>
      <c r="S1181" s="60">
        <v>0.59143097202044703</v>
      </c>
      <c r="T1181" s="60">
        <v>0.37509852990231302</v>
      </c>
      <c r="U1181" s="60">
        <v>0.30067976362198801</v>
      </c>
    </row>
    <row r="1182" spans="1:21" x14ac:dyDescent="0.25">
      <c r="A1182" s="519" t="s">
        <v>1585</v>
      </c>
      <c r="B1182" s="519" t="s">
        <v>1587</v>
      </c>
      <c r="C1182" s="519" t="s">
        <v>284</v>
      </c>
      <c r="D1182" s="519" t="s">
        <v>109</v>
      </c>
      <c r="E1182" s="519" t="s">
        <v>281</v>
      </c>
      <c r="F1182" s="519" t="s">
        <v>70</v>
      </c>
      <c r="G1182" s="519" t="s">
        <v>56</v>
      </c>
      <c r="H1182" s="519" t="s">
        <v>145</v>
      </c>
      <c r="I1182" s="881">
        <v>8015.1889747599898</v>
      </c>
      <c r="J1182" s="881">
        <v>9.1659959999999999E-2</v>
      </c>
      <c r="K1182" s="60">
        <v>1.14356519973804E-5</v>
      </c>
      <c r="L1182" s="880">
        <v>3.0120383345993802</v>
      </c>
      <c r="M1182" s="373">
        <v>0</v>
      </c>
      <c r="N1182" s="60">
        <v>0</v>
      </c>
      <c r="O1182" s="881">
        <v>27514.025194090002</v>
      </c>
      <c r="P1182" s="60">
        <v>-3.7846939287256798E-6</v>
      </c>
      <c r="Q1182" s="880">
        <v>3.14007798665902</v>
      </c>
      <c r="R1182" s="60">
        <v>0.42569148337744106</v>
      </c>
      <c r="S1182" s="60">
        <v>0</v>
      </c>
      <c r="T1182" s="60">
        <v>0.31144965641222999</v>
      </c>
      <c r="U1182" s="60">
        <v>3.4927206242467097E-2</v>
      </c>
    </row>
    <row r="1183" spans="1:21" x14ac:dyDescent="0.25">
      <c r="A1183" s="519" t="s">
        <v>1589</v>
      </c>
      <c r="B1183" s="519" t="s">
        <v>1590</v>
      </c>
      <c r="C1183" s="519" t="s">
        <v>284</v>
      </c>
      <c r="D1183" s="519" t="s">
        <v>109</v>
      </c>
      <c r="E1183" s="519" t="s">
        <v>281</v>
      </c>
      <c r="F1183" s="519" t="s">
        <v>70</v>
      </c>
      <c r="G1183" s="519" t="s">
        <v>57</v>
      </c>
      <c r="H1183" s="519" t="s">
        <v>147</v>
      </c>
      <c r="I1183" s="881">
        <v>6090.0973899199998</v>
      </c>
      <c r="J1183" s="881">
        <v>-0.31100688999999998</v>
      </c>
      <c r="K1183" s="60">
        <v>-5.1070246218596798E-5</v>
      </c>
      <c r="L1183" s="880">
        <v>3.1288694735583098</v>
      </c>
      <c r="M1183" s="373">
        <v>0</v>
      </c>
      <c r="N1183" s="60">
        <v>0</v>
      </c>
      <c r="O1183" s="881">
        <v>27584.657179810001</v>
      </c>
      <c r="P1183" s="60">
        <v>-3.0414955367409201E-5</v>
      </c>
      <c r="Q1183" s="880">
        <v>3.1463263586257102</v>
      </c>
      <c r="R1183" s="60">
        <v>0.42569148337744106</v>
      </c>
      <c r="S1183" s="60">
        <v>0</v>
      </c>
      <c r="T1183" s="60">
        <v>0.21218364390536501</v>
      </c>
      <c r="U1183" s="60">
        <v>0.49048230976282103</v>
      </c>
    </row>
    <row r="1184" spans="1:21" x14ac:dyDescent="0.25">
      <c r="A1184" s="519" t="s">
        <v>1589</v>
      </c>
      <c r="B1184" s="519" t="s">
        <v>1592</v>
      </c>
      <c r="C1184" s="519" t="s">
        <v>284</v>
      </c>
      <c r="D1184" s="519" t="s">
        <v>109</v>
      </c>
      <c r="E1184" s="519" t="s">
        <v>281</v>
      </c>
      <c r="F1184" s="519" t="s">
        <v>70</v>
      </c>
      <c r="G1184" s="519" t="s">
        <v>57</v>
      </c>
      <c r="H1184" s="519" t="s">
        <v>149</v>
      </c>
      <c r="I1184" s="881">
        <v>3404.98868988</v>
      </c>
      <c r="J1184" s="881">
        <v>1.7752610000000002E-2</v>
      </c>
      <c r="K1184" s="60">
        <v>5.2136788284658694E-6</v>
      </c>
      <c r="L1184" s="880">
        <v>3.2482788303410701</v>
      </c>
      <c r="M1184" s="373">
        <v>0</v>
      </c>
      <c r="N1184" s="60">
        <v>0</v>
      </c>
      <c r="O1184" s="881">
        <v>27584.657179810001</v>
      </c>
      <c r="P1184" s="60">
        <v>-3.0414955367409201E-5</v>
      </c>
      <c r="Q1184" s="880">
        <v>3.1463263586257102</v>
      </c>
      <c r="R1184" s="60">
        <v>0.42569148337744106</v>
      </c>
      <c r="S1184" s="60">
        <v>0</v>
      </c>
      <c r="T1184" s="60">
        <v>0.37284329451439702</v>
      </c>
      <c r="U1184" s="60">
        <v>-0.25416543022080201</v>
      </c>
    </row>
    <row r="1185" spans="1:21" x14ac:dyDescent="0.25">
      <c r="A1185" s="519" t="s">
        <v>1593</v>
      </c>
      <c r="B1185" s="519" t="s">
        <v>1595</v>
      </c>
      <c r="C1185" s="519" t="s">
        <v>284</v>
      </c>
      <c r="D1185" s="519" t="s">
        <v>109</v>
      </c>
      <c r="E1185" s="519" t="s">
        <v>281</v>
      </c>
      <c r="F1185" s="519" t="s">
        <v>70</v>
      </c>
      <c r="G1185" s="519" t="s">
        <v>58</v>
      </c>
      <c r="H1185" s="519" t="s">
        <v>151</v>
      </c>
      <c r="I1185" s="881">
        <v>12463.65214212</v>
      </c>
      <c r="J1185" s="881">
        <v>-0.22670522000000001</v>
      </c>
      <c r="K1185" s="60">
        <v>-1.81896398504381E-5</v>
      </c>
      <c r="L1185" s="880">
        <v>2.9513910728902499</v>
      </c>
      <c r="M1185" s="373">
        <v>0</v>
      </c>
      <c r="N1185" s="60">
        <v>0</v>
      </c>
      <c r="O1185" s="881">
        <v>32694.574023690002</v>
      </c>
      <c r="P1185" s="60">
        <v>4.5852442169381303E-3</v>
      </c>
      <c r="Q1185" s="880">
        <v>3.0986351639533298</v>
      </c>
      <c r="R1185" s="60">
        <v>0.42569148337744106</v>
      </c>
      <c r="S1185" s="60">
        <v>0</v>
      </c>
      <c r="T1185" s="60">
        <v>0.32796141062593703</v>
      </c>
      <c r="U1185" s="60">
        <v>-2.19198919107042E-3</v>
      </c>
    </row>
    <row r="1186" spans="1:21" x14ac:dyDescent="0.25">
      <c r="A1186" s="519" t="s">
        <v>1597</v>
      </c>
      <c r="B1186" s="519" t="s">
        <v>1598</v>
      </c>
      <c r="C1186" s="519" t="s">
        <v>284</v>
      </c>
      <c r="D1186" s="519" t="s">
        <v>109</v>
      </c>
      <c r="E1186" s="519" t="s">
        <v>281</v>
      </c>
      <c r="F1186" s="519" t="s">
        <v>70</v>
      </c>
      <c r="G1186" s="519" t="s">
        <v>59</v>
      </c>
      <c r="H1186" s="519" t="s">
        <v>153</v>
      </c>
      <c r="I1186" s="881">
        <v>6248.0028503800004</v>
      </c>
      <c r="J1186" s="881">
        <v>-2.9677099999999998E-2</v>
      </c>
      <c r="K1186" s="60">
        <v>-4.7498763482078799E-6</v>
      </c>
      <c r="L1186" s="880">
        <v>3.1695997752073501</v>
      </c>
      <c r="M1186" s="373">
        <v>0</v>
      </c>
      <c r="N1186" s="60">
        <v>0</v>
      </c>
      <c r="O1186" s="881">
        <v>14425.27341424</v>
      </c>
      <c r="P1186" s="60">
        <v>-1.8324042526090199E-5</v>
      </c>
      <c r="Q1186" s="880">
        <v>3.1552800287936602</v>
      </c>
      <c r="R1186" s="60">
        <v>0.42569148337744106</v>
      </c>
      <c r="S1186" s="60">
        <v>0</v>
      </c>
      <c r="T1186" s="60">
        <v>0.43366891231493504</v>
      </c>
      <c r="U1186" s="60">
        <v>0.92579772231719903</v>
      </c>
    </row>
    <row r="1187" spans="1:21" x14ac:dyDescent="0.25">
      <c r="A1187" s="519" t="s">
        <v>1597</v>
      </c>
      <c r="B1187" s="519" t="s">
        <v>1600</v>
      </c>
      <c r="C1187" s="519" t="s">
        <v>284</v>
      </c>
      <c r="D1187" s="519" t="s">
        <v>109</v>
      </c>
      <c r="E1187" s="519" t="s">
        <v>281</v>
      </c>
      <c r="F1187" s="519" t="s">
        <v>70</v>
      </c>
      <c r="G1187" s="519" t="s">
        <v>59</v>
      </c>
      <c r="H1187" s="519" t="s">
        <v>155</v>
      </c>
      <c r="I1187" s="881">
        <v>5194.93690169</v>
      </c>
      <c r="J1187" s="881">
        <v>-0.20859235000000001</v>
      </c>
      <c r="K1187" s="60">
        <v>-4.0154621681552797E-5</v>
      </c>
      <c r="L1187" s="880">
        <v>3.10059408408737</v>
      </c>
      <c r="M1187" s="373">
        <v>0</v>
      </c>
      <c r="N1187" s="60">
        <v>0</v>
      </c>
      <c r="O1187" s="881">
        <v>14425.27341424</v>
      </c>
      <c r="P1187" s="60">
        <v>-1.8324042526090199E-5</v>
      </c>
      <c r="Q1187" s="880">
        <v>3.1552800287936602</v>
      </c>
      <c r="R1187" s="60">
        <v>0.42569148337744106</v>
      </c>
      <c r="S1187" s="60">
        <v>0</v>
      </c>
      <c r="T1187" s="60">
        <v>0.34709041169720101</v>
      </c>
      <c r="U1187" s="60">
        <v>-2.4126095576409504E-3</v>
      </c>
    </row>
    <row r="1188" spans="1:21" x14ac:dyDescent="0.25">
      <c r="A1188" s="519" t="s">
        <v>1601</v>
      </c>
      <c r="B1188" s="519" t="s">
        <v>1602</v>
      </c>
      <c r="C1188" s="519" t="s">
        <v>284</v>
      </c>
      <c r="D1188" s="519" t="s">
        <v>109</v>
      </c>
      <c r="E1188" s="519" t="s">
        <v>281</v>
      </c>
      <c r="F1188" s="519" t="s">
        <v>16</v>
      </c>
      <c r="G1188" s="519" t="s">
        <v>56</v>
      </c>
      <c r="H1188" s="519" t="s">
        <v>144</v>
      </c>
      <c r="I1188" s="881">
        <v>10682.7719007</v>
      </c>
      <c r="J1188" s="881">
        <v>0.37731714</v>
      </c>
      <c r="K1188" s="60">
        <v>3.5318905718354201E-5</v>
      </c>
      <c r="L1188" s="880">
        <v>3.2361605066696799</v>
      </c>
      <c r="M1188" s="373">
        <v>0</v>
      </c>
      <c r="N1188" s="60">
        <v>0</v>
      </c>
      <c r="O1188" s="881">
        <v>44279.24573432</v>
      </c>
      <c r="P1188" s="60">
        <v>1.5225146781722499E-5</v>
      </c>
      <c r="Q1188" s="880">
        <v>3.31738276451676</v>
      </c>
      <c r="R1188" s="60">
        <v>0.42569148337744106</v>
      </c>
      <c r="S1188" s="60">
        <v>6.7256772530380898E-2</v>
      </c>
      <c r="T1188" s="60">
        <v>0.19148273242003302</v>
      </c>
      <c r="U1188" s="60">
        <v>0.62120976448535803</v>
      </c>
    </row>
    <row r="1189" spans="1:21" x14ac:dyDescent="0.25">
      <c r="A1189" s="519" t="s">
        <v>1601</v>
      </c>
      <c r="B1189" s="519" t="s">
        <v>1604</v>
      </c>
      <c r="C1189" s="519" t="s">
        <v>284</v>
      </c>
      <c r="D1189" s="519" t="s">
        <v>109</v>
      </c>
      <c r="E1189" s="519" t="s">
        <v>281</v>
      </c>
      <c r="F1189" s="519" t="s">
        <v>16</v>
      </c>
      <c r="G1189" s="519" t="s">
        <v>56</v>
      </c>
      <c r="H1189" s="519" t="s">
        <v>146</v>
      </c>
      <c r="I1189" s="881">
        <v>21305.07938327</v>
      </c>
      <c r="J1189" s="881">
        <v>0.19556704999999999</v>
      </c>
      <c r="K1189" s="60">
        <v>9.17927839260588E-6</v>
      </c>
      <c r="L1189" s="880">
        <v>3.3541937721548098</v>
      </c>
      <c r="M1189" s="373">
        <v>0</v>
      </c>
      <c r="N1189" s="60">
        <v>6.5703264962214403E-2</v>
      </c>
      <c r="O1189" s="881">
        <v>44279.24573432</v>
      </c>
      <c r="P1189" s="60">
        <v>1.5225146781722499E-5</v>
      </c>
      <c r="Q1189" s="880">
        <v>3.31738276451676</v>
      </c>
      <c r="R1189" s="60">
        <v>0.42569148337744106</v>
      </c>
      <c r="S1189" s="60">
        <v>6.7256772530380898E-2</v>
      </c>
      <c r="T1189" s="60">
        <v>0.49706761116773807</v>
      </c>
      <c r="U1189" s="60">
        <v>0.34386302927217505</v>
      </c>
    </row>
    <row r="1190" spans="1:21" x14ac:dyDescent="0.25">
      <c r="A1190" s="519" t="s">
        <v>1605</v>
      </c>
      <c r="B1190" s="519" t="s">
        <v>1607</v>
      </c>
      <c r="C1190" s="519" t="s">
        <v>284</v>
      </c>
      <c r="D1190" s="519" t="s">
        <v>109</v>
      </c>
      <c r="E1190" s="519" t="s">
        <v>281</v>
      </c>
      <c r="F1190" s="519" t="s">
        <v>16</v>
      </c>
      <c r="G1190" s="519" t="s">
        <v>57</v>
      </c>
      <c r="H1190" s="519" t="s">
        <v>148</v>
      </c>
      <c r="I1190" s="881">
        <v>4282.1421428499998</v>
      </c>
      <c r="J1190" s="881">
        <v>1.4815740000000001E-2</v>
      </c>
      <c r="K1190" s="60">
        <v>3.4598778473730798E-6</v>
      </c>
      <c r="L1190" s="880">
        <v>3.2760691811338298</v>
      </c>
      <c r="M1190" s="373">
        <v>0</v>
      </c>
      <c r="N1190" s="60">
        <v>8.2349697304840902E-2</v>
      </c>
      <c r="O1190" s="881">
        <v>26326.585052799997</v>
      </c>
      <c r="P1190" s="60">
        <v>5.46172336344373E-6</v>
      </c>
      <c r="Q1190" s="880">
        <v>3.3004276328194901</v>
      </c>
      <c r="R1190" s="60">
        <v>0.42569148337744106</v>
      </c>
      <c r="S1190" s="60">
        <v>0.10916292694537501</v>
      </c>
      <c r="T1190" s="60">
        <v>0.41497306158023806</v>
      </c>
      <c r="U1190" s="60">
        <v>0.76368312045798104</v>
      </c>
    </row>
    <row r="1191" spans="1:21" x14ac:dyDescent="0.25">
      <c r="A1191" s="519" t="s">
        <v>1609</v>
      </c>
      <c r="B1191" s="519" t="s">
        <v>1610</v>
      </c>
      <c r="C1191" s="519" t="s">
        <v>284</v>
      </c>
      <c r="D1191" s="519" t="s">
        <v>109</v>
      </c>
      <c r="E1191" s="519" t="s">
        <v>281</v>
      </c>
      <c r="F1191" s="519" t="s">
        <v>16</v>
      </c>
      <c r="G1191" s="519" t="s">
        <v>58</v>
      </c>
      <c r="H1191" s="519" t="s">
        <v>150</v>
      </c>
      <c r="I1191" s="881">
        <v>4426.9313311400001</v>
      </c>
      <c r="J1191" s="881">
        <v>6.1912099999999999E-3</v>
      </c>
      <c r="K1191" s="60">
        <v>1.3985311445537299E-6</v>
      </c>
      <c r="L1191" s="880">
        <v>3.1570532049414699</v>
      </c>
      <c r="M1191" s="373">
        <v>0</v>
      </c>
      <c r="N1191" s="60">
        <v>4.5505923081062001E-2</v>
      </c>
      <c r="O1191" s="881">
        <v>17867.772798490001</v>
      </c>
      <c r="P1191" s="60">
        <v>1.9043008655081799E-6</v>
      </c>
      <c r="Q1191" s="880">
        <v>3.1914828267655002</v>
      </c>
      <c r="R1191" s="60">
        <v>0.42569148337744106</v>
      </c>
      <c r="S1191" s="60">
        <v>7.2426733865194701E-2</v>
      </c>
      <c r="T1191" s="60">
        <v>0.28541326862204802</v>
      </c>
      <c r="U1191" s="60">
        <v>-3.5785131148814505E-3</v>
      </c>
    </row>
    <row r="1192" spans="1:21" x14ac:dyDescent="0.25">
      <c r="A1192" s="519" t="s">
        <v>1609</v>
      </c>
      <c r="B1192" s="519" t="s">
        <v>1612</v>
      </c>
      <c r="C1192" s="519" t="s">
        <v>284</v>
      </c>
      <c r="D1192" s="519" t="s">
        <v>109</v>
      </c>
      <c r="E1192" s="519" t="s">
        <v>281</v>
      </c>
      <c r="F1192" s="519" t="s">
        <v>16</v>
      </c>
      <c r="G1192" s="519" t="s">
        <v>58</v>
      </c>
      <c r="H1192" s="519" t="s">
        <v>152</v>
      </c>
      <c r="I1192" s="881">
        <v>9321.9950211099895</v>
      </c>
      <c r="J1192" s="881">
        <v>0.13132432999999999</v>
      </c>
      <c r="K1192" s="60">
        <v>1.4087379331029799E-5</v>
      </c>
      <c r="L1192" s="880">
        <v>3.1574090442446798</v>
      </c>
      <c r="M1192" s="373">
        <v>0</v>
      </c>
      <c r="N1192" s="60">
        <v>3.9630983615995298E-2</v>
      </c>
      <c r="O1192" s="881">
        <v>17867.772798490001</v>
      </c>
      <c r="P1192" s="60">
        <v>1.9043008655081799E-6</v>
      </c>
      <c r="Q1192" s="880">
        <v>3.1914828267655002</v>
      </c>
      <c r="R1192" s="60">
        <v>0.42569148337744106</v>
      </c>
      <c r="S1192" s="60">
        <v>7.2426733865194701E-2</v>
      </c>
      <c r="T1192" s="60">
        <v>0.38662532075201606</v>
      </c>
      <c r="U1192" s="60">
        <v>1.00577050230595</v>
      </c>
    </row>
    <row r="1193" spans="1:21" x14ac:dyDescent="0.25">
      <c r="A1193" s="519" t="s">
        <v>1613</v>
      </c>
      <c r="B1193" s="519" t="s">
        <v>1615</v>
      </c>
      <c r="C1193" s="519" t="s">
        <v>284</v>
      </c>
      <c r="D1193" s="519" t="s">
        <v>109</v>
      </c>
      <c r="E1193" s="519" t="s">
        <v>281</v>
      </c>
      <c r="F1193" s="519" t="s">
        <v>16</v>
      </c>
      <c r="G1193" s="519" t="s">
        <v>59</v>
      </c>
      <c r="H1193" s="519" t="s">
        <v>154</v>
      </c>
      <c r="I1193" s="881">
        <v>1568.7916680800001</v>
      </c>
      <c r="J1193" s="881">
        <v>6.3259402083860001</v>
      </c>
      <c r="K1193" s="60">
        <v>4.01617007841093E-3</v>
      </c>
      <c r="L1193" s="880">
        <v>3.3732094795461101</v>
      </c>
      <c r="M1193" s="373">
        <v>0</v>
      </c>
      <c r="N1193" s="60">
        <v>3.1858914741158199E-2</v>
      </c>
      <c r="O1193" s="881">
        <v>6333.3075823899999</v>
      </c>
      <c r="P1193" s="60">
        <v>1.2857675910698601E-2</v>
      </c>
      <c r="Q1193" s="880">
        <v>3.2050487077747101</v>
      </c>
      <c r="R1193" s="60">
        <v>0.42569148337744106</v>
      </c>
      <c r="S1193" s="60">
        <v>2.6525431955509798E-2</v>
      </c>
      <c r="T1193" s="60">
        <v>0.21924067598786501</v>
      </c>
      <c r="U1193" s="60">
        <v>7.66148872404422E-2</v>
      </c>
    </row>
    <row r="1194" spans="1:21" x14ac:dyDescent="0.25">
      <c r="A1194" s="519" t="s">
        <v>1617</v>
      </c>
      <c r="B1194" s="519" t="s">
        <v>1764</v>
      </c>
      <c r="C1194" s="519" t="s">
        <v>284</v>
      </c>
      <c r="D1194" s="519" t="s">
        <v>109</v>
      </c>
      <c r="E1194" s="519" t="s">
        <v>281</v>
      </c>
      <c r="F1194" s="519" t="s">
        <v>17</v>
      </c>
      <c r="G1194" s="519" t="s">
        <v>56</v>
      </c>
      <c r="H1194" s="519" t="s">
        <v>145</v>
      </c>
      <c r="I1194" s="881">
        <v>13320.66248148</v>
      </c>
      <c r="J1194" s="881">
        <v>27.5965865942729</v>
      </c>
      <c r="K1194" s="60">
        <v>2.0674296515773502E-3</v>
      </c>
      <c r="L1194" s="880">
        <v>3.1334183646889002</v>
      </c>
      <c r="M1194" s="373">
        <v>0</v>
      </c>
      <c r="N1194" s="60">
        <v>5.0339056396953305E-3</v>
      </c>
      <c r="O1194" s="881">
        <v>36176.814169650002</v>
      </c>
      <c r="P1194" s="60">
        <v>2.1504755151524699E-2</v>
      </c>
      <c r="Q1194" s="880">
        <v>3.1759718880826502</v>
      </c>
      <c r="R1194" s="60">
        <v>0.42569148337744106</v>
      </c>
      <c r="S1194" s="60">
        <v>6.9536203705035703E-3</v>
      </c>
      <c r="T1194" s="60">
        <v>0.31144965641222999</v>
      </c>
      <c r="U1194" s="60">
        <v>3.4927206242467097E-2</v>
      </c>
    </row>
    <row r="1195" spans="1:21" x14ac:dyDescent="0.25">
      <c r="A1195" s="519" t="s">
        <v>2057</v>
      </c>
      <c r="B1195" s="519" t="s">
        <v>2058</v>
      </c>
      <c r="C1195" s="519" t="s">
        <v>284</v>
      </c>
      <c r="D1195" s="519" t="s">
        <v>109</v>
      </c>
      <c r="E1195" s="519" t="s">
        <v>281</v>
      </c>
      <c r="F1195" s="519" t="s">
        <v>17</v>
      </c>
      <c r="G1195" s="519" t="s">
        <v>57</v>
      </c>
      <c r="H1195" s="519" t="s">
        <v>149</v>
      </c>
      <c r="I1195" s="881">
        <v>9818.9826091999803</v>
      </c>
      <c r="J1195" s="881">
        <v>0.17901830108899999</v>
      </c>
      <c r="K1195" s="60">
        <v>1.8231526058967501E-5</v>
      </c>
      <c r="L1195" s="880">
        <v>3.1844945731271901</v>
      </c>
      <c r="M1195" s="373">
        <v>0</v>
      </c>
      <c r="N1195" s="60">
        <v>8.5540019768752112E-3</v>
      </c>
      <c r="O1195" s="881">
        <v>9818.9826091999803</v>
      </c>
      <c r="P1195" s="60">
        <v>1.8231526058967599E-5</v>
      </c>
      <c r="Q1195" s="880">
        <v>3.1844945731271901</v>
      </c>
      <c r="R1195" s="60">
        <v>0.42569148337744106</v>
      </c>
      <c r="S1195" s="60">
        <v>8.5540019768752112E-3</v>
      </c>
      <c r="T1195" s="60">
        <v>0.37284329451439702</v>
      </c>
      <c r="U1195" s="60">
        <v>-0.25416543022080201</v>
      </c>
    </row>
    <row r="1196" spans="1:21" x14ac:dyDescent="0.25">
      <c r="A1196" s="519" t="s">
        <v>1969</v>
      </c>
      <c r="B1196" s="519" t="s">
        <v>2059</v>
      </c>
      <c r="C1196" s="519" t="s">
        <v>284</v>
      </c>
      <c r="D1196" s="519" t="s">
        <v>109</v>
      </c>
      <c r="E1196" s="519" t="s">
        <v>1812</v>
      </c>
      <c r="F1196" s="519" t="s">
        <v>70</v>
      </c>
      <c r="G1196" s="519" t="s">
        <v>56</v>
      </c>
      <c r="H1196" s="519" t="s">
        <v>145</v>
      </c>
      <c r="I1196" s="881">
        <v>21127.16186117</v>
      </c>
      <c r="J1196" s="881">
        <v>3.0572136100000002</v>
      </c>
      <c r="K1196" s="60">
        <v>1.4468442561719301E-4</v>
      </c>
      <c r="L1196" s="880">
        <v>2.7755812507917601</v>
      </c>
      <c r="M1196" s="373">
        <v>0</v>
      </c>
      <c r="N1196" s="60">
        <v>0.43430366688977701</v>
      </c>
      <c r="O1196" s="881">
        <v>45305.309440580102</v>
      </c>
      <c r="P1196" s="60">
        <v>1.2813119349122E-4</v>
      </c>
      <c r="Q1196" s="880">
        <v>2.8478198759904001</v>
      </c>
      <c r="R1196" s="60">
        <v>0.32410733685313803</v>
      </c>
      <c r="S1196" s="60">
        <v>0.521666629941406</v>
      </c>
      <c r="T1196" s="60">
        <v>0.37699871479634905</v>
      </c>
      <c r="U1196" s="60">
        <v>0.13374052735994602</v>
      </c>
    </row>
    <row r="1197" spans="1:21" x14ac:dyDescent="0.25">
      <c r="A1197" s="519" t="s">
        <v>1972</v>
      </c>
      <c r="B1197" s="519" t="s">
        <v>2060</v>
      </c>
      <c r="C1197" s="519" t="s">
        <v>284</v>
      </c>
      <c r="D1197" s="519" t="s">
        <v>109</v>
      </c>
      <c r="E1197" s="519" t="s">
        <v>1812</v>
      </c>
      <c r="F1197" s="519" t="s">
        <v>70</v>
      </c>
      <c r="G1197" s="519" t="s">
        <v>57</v>
      </c>
      <c r="H1197" s="519" t="s">
        <v>147</v>
      </c>
      <c r="I1197" s="881">
        <v>13610.3182454</v>
      </c>
      <c r="J1197" s="881">
        <v>1.08145976</v>
      </c>
      <c r="K1197" s="60">
        <v>7.9452501831242696E-5</v>
      </c>
      <c r="L1197" s="880">
        <v>2.7462906853098299</v>
      </c>
      <c r="M1197" s="373">
        <v>0</v>
      </c>
      <c r="N1197" s="60">
        <v>0.43317368989094601</v>
      </c>
      <c r="O1197" s="881">
        <v>50384.811913450103</v>
      </c>
      <c r="P1197" s="60">
        <v>1.2020600748363901E-4</v>
      </c>
      <c r="Q1197" s="880">
        <v>2.8858442894567</v>
      </c>
      <c r="R1197" s="60">
        <v>0.32410733685313803</v>
      </c>
      <c r="S1197" s="60">
        <v>0.40291290135948205</v>
      </c>
      <c r="T1197" s="60">
        <v>0.24541830764991701</v>
      </c>
      <c r="U1197" s="60">
        <v>1.2553593968145E-3</v>
      </c>
    </row>
    <row r="1198" spans="1:21" x14ac:dyDescent="0.25">
      <c r="A1198" s="519" t="s">
        <v>1972</v>
      </c>
      <c r="B1198" s="519" t="s">
        <v>2061</v>
      </c>
      <c r="C1198" s="519" t="s">
        <v>284</v>
      </c>
      <c r="D1198" s="519" t="s">
        <v>109</v>
      </c>
      <c r="E1198" s="519" t="s">
        <v>1812</v>
      </c>
      <c r="F1198" s="519" t="s">
        <v>70</v>
      </c>
      <c r="G1198" s="519" t="s">
        <v>57</v>
      </c>
      <c r="H1198" s="519" t="s">
        <v>149</v>
      </c>
      <c r="I1198" s="881">
        <v>20893.460558769999</v>
      </c>
      <c r="J1198" s="881">
        <v>3.5777589199999902</v>
      </c>
      <c r="K1198" s="60">
        <v>1.71208898869239E-4</v>
      </c>
      <c r="L1198" s="880">
        <v>2.90344954302146</v>
      </c>
      <c r="M1198" s="373">
        <v>0</v>
      </c>
      <c r="N1198" s="60">
        <v>0.21872194323078803</v>
      </c>
      <c r="O1198" s="881">
        <v>50384.811913450103</v>
      </c>
      <c r="P1198" s="60">
        <v>1.2020600748363901E-4</v>
      </c>
      <c r="Q1198" s="880">
        <v>2.8858442894567</v>
      </c>
      <c r="R1198" s="60">
        <v>0.32410733685313803</v>
      </c>
      <c r="S1198" s="60">
        <v>0.40291290135948205</v>
      </c>
      <c r="T1198" s="60">
        <v>0.37634617134914206</v>
      </c>
      <c r="U1198" s="60">
        <v>1.35862941525143</v>
      </c>
    </row>
    <row r="1199" spans="1:21" x14ac:dyDescent="0.25">
      <c r="A1199" s="519" t="s">
        <v>1974</v>
      </c>
      <c r="B1199" s="519" t="s">
        <v>2062</v>
      </c>
      <c r="C1199" s="519" t="s">
        <v>284</v>
      </c>
      <c r="D1199" s="519" t="s">
        <v>109</v>
      </c>
      <c r="E1199" s="519" t="s">
        <v>1812</v>
      </c>
      <c r="F1199" s="519" t="s">
        <v>70</v>
      </c>
      <c r="G1199" s="519" t="s">
        <v>58</v>
      </c>
      <c r="H1199" s="519" t="s">
        <v>150</v>
      </c>
      <c r="I1199" s="881">
        <v>6578.0188966199894</v>
      </c>
      <c r="J1199" s="881">
        <v>-0.62280437</v>
      </c>
      <c r="K1199" s="60">
        <v>-9.4688591239599704E-5</v>
      </c>
      <c r="L1199" s="880">
        <v>3.1537257511865699</v>
      </c>
      <c r="M1199" s="373">
        <v>0</v>
      </c>
      <c r="N1199" s="60">
        <v>0.13364325773246302</v>
      </c>
      <c r="O1199" s="881">
        <v>26751.452049530002</v>
      </c>
      <c r="P1199" s="60">
        <v>6.3702371523164806E-3</v>
      </c>
      <c r="Q1199" s="880">
        <v>2.9850904082029999</v>
      </c>
      <c r="R1199" s="60">
        <v>0.32410733685313803</v>
      </c>
      <c r="S1199" s="60">
        <v>0.54048259095804996</v>
      </c>
      <c r="T1199" s="60">
        <v>0.29826187385559</v>
      </c>
      <c r="U1199" s="60">
        <v>-1.37455682947147E-2</v>
      </c>
    </row>
    <row r="1200" spans="1:21" x14ac:dyDescent="0.25">
      <c r="A1200" s="519" t="s">
        <v>1974</v>
      </c>
      <c r="B1200" s="519" t="s">
        <v>2063</v>
      </c>
      <c r="C1200" s="519" t="s">
        <v>284</v>
      </c>
      <c r="D1200" s="519" t="s">
        <v>109</v>
      </c>
      <c r="E1200" s="519" t="s">
        <v>1812</v>
      </c>
      <c r="F1200" s="519" t="s">
        <v>70</v>
      </c>
      <c r="G1200" s="519" t="s">
        <v>58</v>
      </c>
      <c r="H1200" s="519" t="s">
        <v>152</v>
      </c>
      <c r="I1200" s="881">
        <v>12421.57673352</v>
      </c>
      <c r="J1200" s="881">
        <v>171.88192189</v>
      </c>
      <c r="K1200" s="60">
        <v>1.36485080543113E-2</v>
      </c>
      <c r="L1200" s="880">
        <v>2.9594739474870599</v>
      </c>
      <c r="M1200" s="373">
        <v>0</v>
      </c>
      <c r="N1200" s="60">
        <v>0.62623760747768209</v>
      </c>
      <c r="O1200" s="881">
        <v>26751.452049530002</v>
      </c>
      <c r="P1200" s="60">
        <v>6.3702371523164806E-3</v>
      </c>
      <c r="Q1200" s="880">
        <v>2.9850904082029999</v>
      </c>
      <c r="R1200" s="60">
        <v>0.32410733685313803</v>
      </c>
      <c r="S1200" s="60">
        <v>0.54048259095804996</v>
      </c>
      <c r="T1200" s="60">
        <v>0.40040064018165306</v>
      </c>
      <c r="U1200" s="60">
        <v>1.0227641644439101</v>
      </c>
    </row>
    <row r="1201" spans="1:21" x14ac:dyDescent="0.25">
      <c r="A1201" s="519" t="s">
        <v>1976</v>
      </c>
      <c r="B1201" s="519" t="s">
        <v>2064</v>
      </c>
      <c r="C1201" s="519" t="s">
        <v>284</v>
      </c>
      <c r="D1201" s="519" t="s">
        <v>109</v>
      </c>
      <c r="E1201" s="519" t="s">
        <v>1812</v>
      </c>
      <c r="F1201" s="519" t="s">
        <v>70</v>
      </c>
      <c r="G1201" s="519" t="s">
        <v>59</v>
      </c>
      <c r="H1201" s="519" t="s">
        <v>154</v>
      </c>
      <c r="I1201" s="881">
        <v>3102.5712000000003</v>
      </c>
      <c r="J1201" s="881">
        <v>-2.7126099999999998E-3</v>
      </c>
      <c r="K1201" s="60">
        <v>-8.7431107839361493E-7</v>
      </c>
      <c r="L1201" s="880">
        <v>1.91026564171599</v>
      </c>
      <c r="M1201" s="373">
        <v>0</v>
      </c>
      <c r="N1201" s="60">
        <v>4.4866013066839502E-2</v>
      </c>
      <c r="O1201" s="881">
        <v>12777.776</v>
      </c>
      <c r="P1201" s="60">
        <v>-2.9061947224211002E-5</v>
      </c>
      <c r="Q1201" s="880">
        <v>3.0590848590318003</v>
      </c>
      <c r="R1201" s="60">
        <v>0.32410733685313803</v>
      </c>
      <c r="S1201" s="60">
        <v>0.34324531123412999</v>
      </c>
      <c r="T1201" s="60">
        <v>0.30619578804909403</v>
      </c>
      <c r="U1201" s="60">
        <v>4.3441603411450501E-2</v>
      </c>
    </row>
    <row r="1202" spans="1:21" x14ac:dyDescent="0.25">
      <c r="A1202" s="519" t="s">
        <v>1979</v>
      </c>
      <c r="B1202" s="519" t="s">
        <v>2065</v>
      </c>
      <c r="C1202" s="519" t="s">
        <v>284</v>
      </c>
      <c r="D1202" s="519" t="s">
        <v>109</v>
      </c>
      <c r="E1202" s="519" t="s">
        <v>1812</v>
      </c>
      <c r="F1202" s="519" t="s">
        <v>16</v>
      </c>
      <c r="G1202" s="519" t="s">
        <v>56</v>
      </c>
      <c r="H1202" s="519" t="s">
        <v>144</v>
      </c>
      <c r="I1202" s="881">
        <v>7829.6387000000004</v>
      </c>
      <c r="J1202" s="881">
        <v>-0.72277600000000108</v>
      </c>
      <c r="K1202" s="60">
        <v>-9.2321338869445497E-5</v>
      </c>
      <c r="L1202" s="880">
        <v>2.9745709205356601</v>
      </c>
      <c r="M1202" s="373">
        <v>0</v>
      </c>
      <c r="N1202" s="60">
        <v>0.75793372176930807</v>
      </c>
      <c r="O1202" s="881">
        <v>20944.2863</v>
      </c>
      <c r="P1202" s="60">
        <v>-8.2157391961647201E-5</v>
      </c>
      <c r="Q1202" s="880">
        <v>2.97756656496705</v>
      </c>
      <c r="R1202" s="60">
        <v>0.32410733685313803</v>
      </c>
      <c r="S1202" s="60">
        <v>0.77861745043086106</v>
      </c>
      <c r="T1202" s="60">
        <v>0.25137173710190602</v>
      </c>
      <c r="U1202" s="60">
        <v>0.47148062188079604</v>
      </c>
    </row>
    <row r="1203" spans="1:21" x14ac:dyDescent="0.25">
      <c r="A1203" s="519" t="s">
        <v>1979</v>
      </c>
      <c r="B1203" s="519" t="s">
        <v>2066</v>
      </c>
      <c r="C1203" s="519" t="s">
        <v>284</v>
      </c>
      <c r="D1203" s="519" t="s">
        <v>109</v>
      </c>
      <c r="E1203" s="519" t="s">
        <v>1812</v>
      </c>
      <c r="F1203" s="519" t="s">
        <v>16</v>
      </c>
      <c r="G1203" s="519" t="s">
        <v>56</v>
      </c>
      <c r="H1203" s="519" t="s">
        <v>146</v>
      </c>
      <c r="I1203" s="881">
        <v>8104.1278000000093</v>
      </c>
      <c r="J1203" s="881">
        <v>-0.44536317000000003</v>
      </c>
      <c r="K1203" s="60">
        <v>-5.4958122245251402E-5</v>
      </c>
      <c r="L1203" s="880">
        <v>2.9856951814063502</v>
      </c>
      <c r="M1203" s="373">
        <v>0</v>
      </c>
      <c r="N1203" s="60">
        <v>0.78578457264704005</v>
      </c>
      <c r="O1203" s="881">
        <v>20944.2863</v>
      </c>
      <c r="P1203" s="60">
        <v>-8.2157391961647201E-5</v>
      </c>
      <c r="Q1203" s="880">
        <v>2.97756656496705</v>
      </c>
      <c r="R1203" s="60">
        <v>0.32410733685313803</v>
      </c>
      <c r="S1203" s="60">
        <v>0.77861745043086106</v>
      </c>
      <c r="T1203" s="60">
        <v>0.37162954810174603</v>
      </c>
      <c r="U1203" s="60">
        <v>0.394778850759258</v>
      </c>
    </row>
    <row r="1204" spans="1:21" x14ac:dyDescent="0.25">
      <c r="A1204" s="519" t="s">
        <v>1981</v>
      </c>
      <c r="B1204" s="519" t="s">
        <v>2067</v>
      </c>
      <c r="C1204" s="519" t="s">
        <v>284</v>
      </c>
      <c r="D1204" s="519" t="s">
        <v>109</v>
      </c>
      <c r="E1204" s="519" t="s">
        <v>1812</v>
      </c>
      <c r="F1204" s="519" t="s">
        <v>16</v>
      </c>
      <c r="G1204" s="519" t="s">
        <v>57</v>
      </c>
      <c r="H1204" s="519" t="s">
        <v>148</v>
      </c>
      <c r="I1204" s="881">
        <v>18799.360241750001</v>
      </c>
      <c r="J1204" s="881">
        <v>-1.9229866500000099</v>
      </c>
      <c r="K1204" s="60">
        <v>-1.02300469149233E-4</v>
      </c>
      <c r="L1204" s="880">
        <v>3.0337171360726498</v>
      </c>
      <c r="M1204" s="373">
        <v>0</v>
      </c>
      <c r="N1204" s="60">
        <v>0.78052887189016806</v>
      </c>
      <c r="O1204" s="881">
        <v>41305.131059790103</v>
      </c>
      <c r="P1204" s="60">
        <v>-1.11347399609874E-4</v>
      </c>
      <c r="Q1204" s="880">
        <v>3.0289906865743599</v>
      </c>
      <c r="R1204" s="60">
        <v>0.32410733685313803</v>
      </c>
      <c r="S1204" s="60">
        <v>0.77527925316193902</v>
      </c>
      <c r="T1204" s="60">
        <v>0.37823552100094104</v>
      </c>
      <c r="U1204" s="60">
        <v>-0.35988477464824103</v>
      </c>
    </row>
    <row r="1205" spans="1:21" x14ac:dyDescent="0.25">
      <c r="A1205" s="519" t="s">
        <v>1984</v>
      </c>
      <c r="B1205" s="519" t="s">
        <v>2068</v>
      </c>
      <c r="C1205" s="519" t="s">
        <v>284</v>
      </c>
      <c r="D1205" s="519" t="s">
        <v>109</v>
      </c>
      <c r="E1205" s="519" t="s">
        <v>1812</v>
      </c>
      <c r="F1205" s="519" t="s">
        <v>16</v>
      </c>
      <c r="G1205" s="519" t="s">
        <v>58</v>
      </c>
      <c r="H1205" s="519" t="s">
        <v>151</v>
      </c>
      <c r="I1205" s="881">
        <v>16104.55560526</v>
      </c>
      <c r="J1205" s="881">
        <v>-1.7446107500000001</v>
      </c>
      <c r="K1205" s="60">
        <v>-1.0834200007655801E-4</v>
      </c>
      <c r="L1205" s="880">
        <v>2.9802152575569201</v>
      </c>
      <c r="M1205" s="373">
        <v>0</v>
      </c>
      <c r="N1205" s="60">
        <v>0.70183998132604997</v>
      </c>
      <c r="O1205" s="881">
        <v>52416.965873749999</v>
      </c>
      <c r="P1205" s="60">
        <v>-1.0289636487172001E-4</v>
      </c>
      <c r="Q1205" s="880">
        <v>2.9941480330542101</v>
      </c>
      <c r="R1205" s="60">
        <v>0.32410733685313803</v>
      </c>
      <c r="S1205" s="60">
        <v>0.82706878872324407</v>
      </c>
      <c r="T1205" s="60">
        <v>0.301337485962756</v>
      </c>
      <c r="U1205" s="60">
        <v>-9.0185961491970699E-3</v>
      </c>
    </row>
    <row r="1206" spans="1:21" x14ac:dyDescent="0.25">
      <c r="A1206" s="519" t="s">
        <v>1987</v>
      </c>
      <c r="B1206" s="519" t="s">
        <v>2069</v>
      </c>
      <c r="C1206" s="519" t="s">
        <v>284</v>
      </c>
      <c r="D1206" s="519" t="s">
        <v>109</v>
      </c>
      <c r="E1206" s="519" t="s">
        <v>1812</v>
      </c>
      <c r="F1206" s="519" t="s">
        <v>16</v>
      </c>
      <c r="G1206" s="519" t="s">
        <v>59</v>
      </c>
      <c r="H1206" s="519" t="s">
        <v>153</v>
      </c>
      <c r="I1206" s="881">
        <v>22354.308237050001</v>
      </c>
      <c r="J1206" s="881">
        <v>189.13792435461599</v>
      </c>
      <c r="K1206" s="60">
        <v>8.3899295165629408E-3</v>
      </c>
      <c r="L1206" s="880">
        <v>2.9777130749758198</v>
      </c>
      <c r="M1206" s="373">
        <v>0</v>
      </c>
      <c r="N1206" s="60">
        <v>0.81441927376288803</v>
      </c>
      <c r="O1206" s="881">
        <v>44333.512303470103</v>
      </c>
      <c r="P1206" s="60">
        <v>4.4252442466130703E-3</v>
      </c>
      <c r="Q1206" s="880">
        <v>2.9922443864669699</v>
      </c>
      <c r="R1206" s="60">
        <v>0.32410733685313803</v>
      </c>
      <c r="S1206" s="60">
        <v>0.83545774018317409</v>
      </c>
      <c r="T1206" s="60">
        <v>0.45567491839382701</v>
      </c>
      <c r="U1206" s="60">
        <v>0.96081857315815</v>
      </c>
    </row>
    <row r="1207" spans="1:21" x14ac:dyDescent="0.25">
      <c r="A1207" s="519" t="s">
        <v>1987</v>
      </c>
      <c r="B1207" s="519" t="s">
        <v>2070</v>
      </c>
      <c r="C1207" s="519" t="s">
        <v>284</v>
      </c>
      <c r="D1207" s="519" t="s">
        <v>109</v>
      </c>
      <c r="E1207" s="519" t="s">
        <v>1812</v>
      </c>
      <c r="F1207" s="519" t="s">
        <v>16</v>
      </c>
      <c r="G1207" s="519" t="s">
        <v>59</v>
      </c>
      <c r="H1207" s="519" t="s">
        <v>155</v>
      </c>
      <c r="I1207" s="881">
        <v>7594.5393378400095</v>
      </c>
      <c r="J1207" s="881">
        <v>-0.62639644798600003</v>
      </c>
      <c r="K1207" s="60">
        <v>-8.2486651192919204E-5</v>
      </c>
      <c r="L1207" s="880">
        <v>2.9739605581900901</v>
      </c>
      <c r="M1207" s="373">
        <v>0</v>
      </c>
      <c r="N1207" s="60">
        <v>0.83279385913995807</v>
      </c>
      <c r="O1207" s="881">
        <v>44333.512303470103</v>
      </c>
      <c r="P1207" s="60">
        <v>4.4252442466130703E-3</v>
      </c>
      <c r="Q1207" s="880">
        <v>2.9922443864669699</v>
      </c>
      <c r="R1207" s="60">
        <v>0.32410733685313803</v>
      </c>
      <c r="S1207" s="60">
        <v>0.83545774018317409</v>
      </c>
      <c r="T1207" s="60">
        <v>0.23812929355707901</v>
      </c>
      <c r="U1207" s="60">
        <v>-4.2601765696002507E-3</v>
      </c>
    </row>
    <row r="1208" spans="1:21" x14ac:dyDescent="0.25">
      <c r="A1208" s="519" t="s">
        <v>1989</v>
      </c>
      <c r="B1208" s="519" t="s">
        <v>2071</v>
      </c>
      <c r="C1208" s="519" t="s">
        <v>284</v>
      </c>
      <c r="D1208" s="519" t="s">
        <v>109</v>
      </c>
      <c r="E1208" s="519" t="s">
        <v>1812</v>
      </c>
      <c r="F1208" s="519" t="s">
        <v>17</v>
      </c>
      <c r="G1208" s="519" t="s">
        <v>56</v>
      </c>
      <c r="H1208" s="519" t="s">
        <v>145</v>
      </c>
      <c r="I1208" s="881">
        <v>32467.4746286099</v>
      </c>
      <c r="J1208" s="881">
        <v>32.943732660707298</v>
      </c>
      <c r="K1208" s="60">
        <v>1.01364026439625E-3</v>
      </c>
      <c r="L1208" s="880">
        <v>2.9876189795999299</v>
      </c>
      <c r="M1208" s="373">
        <v>0</v>
      </c>
      <c r="N1208" s="60">
        <v>0.64662411440248302</v>
      </c>
      <c r="O1208" s="881">
        <v>89202.277142959909</v>
      </c>
      <c r="P1208" s="60">
        <v>2.91705373820822E-3</v>
      </c>
      <c r="Q1208" s="880">
        <v>2.9735931599627299</v>
      </c>
      <c r="R1208" s="60">
        <v>0.32410733685313803</v>
      </c>
      <c r="S1208" s="60">
        <v>0.71363456112301804</v>
      </c>
      <c r="T1208" s="60">
        <v>0.37699871479634905</v>
      </c>
      <c r="U1208" s="60">
        <v>0.13374052735994602</v>
      </c>
    </row>
    <row r="1209" spans="1:21" x14ac:dyDescent="0.25">
      <c r="A1209" s="519" t="s">
        <v>2072</v>
      </c>
      <c r="B1209" s="519" t="s">
        <v>2073</v>
      </c>
      <c r="C1209" s="519" t="s">
        <v>284</v>
      </c>
      <c r="D1209" s="519" t="s">
        <v>109</v>
      </c>
      <c r="E1209" s="519" t="s">
        <v>1812</v>
      </c>
      <c r="F1209" s="519" t="s">
        <v>17</v>
      </c>
      <c r="G1209" s="519" t="s">
        <v>57</v>
      </c>
      <c r="H1209" s="519" t="s">
        <v>149</v>
      </c>
      <c r="I1209" s="881">
        <v>39880.9497692199</v>
      </c>
      <c r="J1209" s="881">
        <v>-2.2790619557310001</v>
      </c>
      <c r="K1209" s="60">
        <v>-5.7149897810306098E-5</v>
      </c>
      <c r="L1209" s="880">
        <v>3.0408769587232198</v>
      </c>
      <c r="M1209" s="373">
        <v>0</v>
      </c>
      <c r="N1209" s="60">
        <v>0.63958247426986803</v>
      </c>
      <c r="O1209" s="881">
        <v>39880.9497692199</v>
      </c>
      <c r="P1209" s="60">
        <v>-5.71498978103062E-5</v>
      </c>
      <c r="Q1209" s="880">
        <v>3.0408769587232198</v>
      </c>
      <c r="R1209" s="60">
        <v>0.32410733685313803</v>
      </c>
      <c r="S1209" s="60">
        <v>0.63958247426986803</v>
      </c>
      <c r="T1209" s="60">
        <v>0.37634617134914206</v>
      </c>
      <c r="U1209" s="60">
        <v>1.35862941525143</v>
      </c>
    </row>
    <row r="1210" spans="1:21" x14ac:dyDescent="0.25">
      <c r="A1210" s="519" t="s">
        <v>1620</v>
      </c>
      <c r="B1210" s="519" t="s">
        <v>1622</v>
      </c>
      <c r="C1210" s="519" t="s">
        <v>284</v>
      </c>
      <c r="D1210" s="519" t="s">
        <v>109</v>
      </c>
      <c r="E1210" s="519" t="s">
        <v>282</v>
      </c>
      <c r="F1210" s="519" t="s">
        <v>70</v>
      </c>
      <c r="G1210" s="519" t="s">
        <v>56</v>
      </c>
      <c r="H1210" s="519" t="s">
        <v>145</v>
      </c>
      <c r="I1210" s="881">
        <v>122730.36367125</v>
      </c>
      <c r="J1210" s="881">
        <v>4.4427152599999902</v>
      </c>
      <c r="K1210" s="60">
        <v>3.6197680110475301E-5</v>
      </c>
      <c r="L1210" s="880">
        <v>2.9569257620937601</v>
      </c>
      <c r="M1210" s="373">
        <v>0</v>
      </c>
      <c r="N1210" s="60">
        <v>9.6123929275161196E-2</v>
      </c>
      <c r="O1210" s="881">
        <v>433869.33800140803</v>
      </c>
      <c r="P1210" s="60">
        <v>3.0946098839875498E-5</v>
      </c>
      <c r="Q1210" s="880">
        <v>3.06655480314642</v>
      </c>
      <c r="R1210" s="60">
        <v>0.59176316821028407</v>
      </c>
      <c r="S1210" s="60">
        <v>9.1922918129214895E-2</v>
      </c>
      <c r="T1210" s="60">
        <v>0.330589086618161</v>
      </c>
      <c r="U1210" s="60">
        <v>9.4376054804779203E-2</v>
      </c>
    </row>
    <row r="1211" spans="1:21" x14ac:dyDescent="0.25">
      <c r="A1211" s="519" t="s">
        <v>1624</v>
      </c>
      <c r="B1211" s="519" t="s">
        <v>1625</v>
      </c>
      <c r="C1211" s="519" t="s">
        <v>284</v>
      </c>
      <c r="D1211" s="519" t="s">
        <v>109</v>
      </c>
      <c r="E1211" s="519" t="s">
        <v>282</v>
      </c>
      <c r="F1211" s="519" t="s">
        <v>70</v>
      </c>
      <c r="G1211" s="519" t="s">
        <v>57</v>
      </c>
      <c r="H1211" s="519" t="s">
        <v>147</v>
      </c>
      <c r="I1211" s="881">
        <v>111217.00953017101</v>
      </c>
      <c r="J1211" s="881">
        <v>2.0280059700000002</v>
      </c>
      <c r="K1211" s="60">
        <v>1.8234342023873499E-5</v>
      </c>
      <c r="L1211" s="880">
        <v>2.67755770454868</v>
      </c>
      <c r="M1211" s="373">
        <v>0</v>
      </c>
      <c r="N1211" s="60">
        <v>2.4082359875927301E-2</v>
      </c>
      <c r="O1211" s="881">
        <v>354233.65082199103</v>
      </c>
      <c r="P1211" s="60">
        <v>2.7325091554659501E-5</v>
      </c>
      <c r="Q1211" s="880">
        <v>3.0259180043220599</v>
      </c>
      <c r="R1211" s="60">
        <v>0.59176316821028407</v>
      </c>
      <c r="S1211" s="60">
        <v>4.9637124365849397E-2</v>
      </c>
      <c r="T1211" s="60">
        <v>0.28100913172337399</v>
      </c>
      <c r="U1211" s="60">
        <v>0.29652957727073903</v>
      </c>
    </row>
    <row r="1212" spans="1:21" x14ac:dyDescent="0.25">
      <c r="A1212" s="519" t="s">
        <v>1624</v>
      </c>
      <c r="B1212" s="519" t="s">
        <v>1627</v>
      </c>
      <c r="C1212" s="519" t="s">
        <v>284</v>
      </c>
      <c r="D1212" s="519" t="s">
        <v>109</v>
      </c>
      <c r="E1212" s="519" t="s">
        <v>282</v>
      </c>
      <c r="F1212" s="519" t="s">
        <v>70</v>
      </c>
      <c r="G1212" s="519" t="s">
        <v>57</v>
      </c>
      <c r="H1212" s="519" t="s">
        <v>149</v>
      </c>
      <c r="I1212" s="881">
        <v>140052.34605017002</v>
      </c>
      <c r="J1212" s="881">
        <v>1.93390548</v>
      </c>
      <c r="K1212" s="60">
        <v>1.38082569173353E-5</v>
      </c>
      <c r="L1212" s="880">
        <v>3.0653964526315098</v>
      </c>
      <c r="M1212" s="373">
        <v>0</v>
      </c>
      <c r="N1212" s="60">
        <v>4.8038183344033002E-2</v>
      </c>
      <c r="O1212" s="881">
        <v>354233.65082199103</v>
      </c>
      <c r="P1212" s="60">
        <v>2.7325091554659501E-5</v>
      </c>
      <c r="Q1212" s="880">
        <v>3.0259180043220599</v>
      </c>
      <c r="R1212" s="60">
        <v>0.59176316821028407</v>
      </c>
      <c r="S1212" s="60">
        <v>4.9637124365849397E-2</v>
      </c>
      <c r="T1212" s="60">
        <v>0.46018861112252002</v>
      </c>
      <c r="U1212" s="60">
        <v>0.13970323263839102</v>
      </c>
    </row>
    <row r="1213" spans="1:21" x14ac:dyDescent="0.25">
      <c r="A1213" s="519" t="s">
        <v>1628</v>
      </c>
      <c r="B1213" s="519" t="s">
        <v>1629</v>
      </c>
      <c r="C1213" s="519" t="s">
        <v>284</v>
      </c>
      <c r="D1213" s="519" t="s">
        <v>109</v>
      </c>
      <c r="E1213" s="519" t="s">
        <v>282</v>
      </c>
      <c r="F1213" s="519" t="s">
        <v>70</v>
      </c>
      <c r="G1213" s="519" t="s">
        <v>58</v>
      </c>
      <c r="H1213" s="519" t="s">
        <v>150</v>
      </c>
      <c r="I1213" s="881">
        <v>119614.65470413001</v>
      </c>
      <c r="J1213" s="881">
        <v>0.26005283999999401</v>
      </c>
      <c r="K1213" s="60">
        <v>2.1740837296783898E-6</v>
      </c>
      <c r="L1213" s="880">
        <v>3.2007024167346501</v>
      </c>
      <c r="M1213" s="373">
        <v>0</v>
      </c>
      <c r="N1213" s="60">
        <v>7.8359640394601401E-2</v>
      </c>
      <c r="O1213" s="881">
        <v>356035.26552205003</v>
      </c>
      <c r="P1213" s="60">
        <v>8.160193146348341E-3</v>
      </c>
      <c r="Q1213" s="880">
        <v>3.1365276838200602</v>
      </c>
      <c r="R1213" s="60">
        <v>0.59176316821028407</v>
      </c>
      <c r="S1213" s="60">
        <v>0.12352410634478701</v>
      </c>
      <c r="T1213" s="60">
        <v>0.38873912342125</v>
      </c>
      <c r="U1213" s="60">
        <v>-2.3942028397039303E-4</v>
      </c>
    </row>
    <row r="1214" spans="1:21" x14ac:dyDescent="0.25">
      <c r="A1214" s="519" t="s">
        <v>1628</v>
      </c>
      <c r="B1214" s="519" t="s">
        <v>1631</v>
      </c>
      <c r="C1214" s="519" t="s">
        <v>284</v>
      </c>
      <c r="D1214" s="519" t="s">
        <v>109</v>
      </c>
      <c r="E1214" s="519" t="s">
        <v>282</v>
      </c>
      <c r="F1214" s="519" t="s">
        <v>70</v>
      </c>
      <c r="G1214" s="519" t="s">
        <v>58</v>
      </c>
      <c r="H1214" s="519" t="s">
        <v>152</v>
      </c>
      <c r="I1214" s="881">
        <v>132003.01728885999</v>
      </c>
      <c r="J1214" s="881">
        <v>2925.8607506599897</v>
      </c>
      <c r="K1214" s="60">
        <v>2.1684466610646901E-2</v>
      </c>
      <c r="L1214" s="880">
        <v>3.14269295249861</v>
      </c>
      <c r="M1214" s="373">
        <v>0</v>
      </c>
      <c r="N1214" s="60">
        <v>0.17420724379343902</v>
      </c>
      <c r="O1214" s="881">
        <v>356035.26552205003</v>
      </c>
      <c r="P1214" s="60">
        <v>8.160193146348341E-3</v>
      </c>
      <c r="Q1214" s="880">
        <v>3.1365276838200602</v>
      </c>
      <c r="R1214" s="60">
        <v>0.59176316821028407</v>
      </c>
      <c r="S1214" s="60">
        <v>0.12352410634478701</v>
      </c>
      <c r="T1214" s="60">
        <v>0.36536737778441702</v>
      </c>
      <c r="U1214" s="60">
        <v>0.99920154696738905</v>
      </c>
    </row>
    <row r="1215" spans="1:21" x14ac:dyDescent="0.25">
      <c r="A1215" s="519" t="s">
        <v>1632</v>
      </c>
      <c r="B1215" s="519" t="s">
        <v>1634</v>
      </c>
      <c r="C1215" s="519" t="s">
        <v>284</v>
      </c>
      <c r="D1215" s="519" t="s">
        <v>109</v>
      </c>
      <c r="E1215" s="519" t="s">
        <v>282</v>
      </c>
      <c r="F1215" s="519" t="s">
        <v>70</v>
      </c>
      <c r="G1215" s="519" t="s">
        <v>59</v>
      </c>
      <c r="H1215" s="519" t="s">
        <v>154</v>
      </c>
      <c r="I1215" s="881">
        <v>106026.16433204101</v>
      </c>
      <c r="J1215" s="881">
        <v>0.41244942999999801</v>
      </c>
      <c r="K1215" s="60">
        <v>3.8900570264575401E-6</v>
      </c>
      <c r="L1215" s="880">
        <v>3.0825892323504398</v>
      </c>
      <c r="M1215" s="373">
        <v>0</v>
      </c>
      <c r="N1215" s="60">
        <v>1.7483658209918002E-2</v>
      </c>
      <c r="O1215" s="881">
        <v>324598.62086505204</v>
      </c>
      <c r="P1215" s="60">
        <v>1.9142514512210597E-7</v>
      </c>
      <c r="Q1215" s="880">
        <v>3.1081341840697898</v>
      </c>
      <c r="R1215" s="60">
        <v>0.59176316821028407</v>
      </c>
      <c r="S1215" s="60">
        <v>2.2157313725341E-2</v>
      </c>
      <c r="T1215" s="60">
        <v>0.33817930044152705</v>
      </c>
      <c r="U1215" s="60">
        <v>3.56032689656424E-2</v>
      </c>
    </row>
    <row r="1216" spans="1:21" x14ac:dyDescent="0.25">
      <c r="A1216" s="519" t="s">
        <v>1636</v>
      </c>
      <c r="B1216" s="519" t="s">
        <v>1638</v>
      </c>
      <c r="C1216" s="519" t="s">
        <v>284</v>
      </c>
      <c r="D1216" s="519" t="s">
        <v>109</v>
      </c>
      <c r="E1216" s="519" t="s">
        <v>282</v>
      </c>
      <c r="F1216" s="519" t="s">
        <v>16</v>
      </c>
      <c r="G1216" s="519" t="s">
        <v>56</v>
      </c>
      <c r="H1216" s="519" t="s">
        <v>145</v>
      </c>
      <c r="I1216" s="881">
        <v>139811.76084096101</v>
      </c>
      <c r="J1216" s="881">
        <v>-1.2547056299999899</v>
      </c>
      <c r="K1216" s="60">
        <v>-8.9743300749193698E-6</v>
      </c>
      <c r="L1216" s="880">
        <v>3.2207427156644401</v>
      </c>
      <c r="M1216" s="373">
        <v>0</v>
      </c>
      <c r="N1216" s="60">
        <v>6.1252039437737098E-2</v>
      </c>
      <c r="O1216" s="881">
        <v>349304.541485972</v>
      </c>
      <c r="P1216" s="60">
        <v>-1.22722203351957E-5</v>
      </c>
      <c r="Q1216" s="880">
        <v>3.1761177465254899</v>
      </c>
      <c r="R1216" s="60">
        <v>0.59176316821028407</v>
      </c>
      <c r="S1216" s="60">
        <v>5.9299121826309899E-2</v>
      </c>
      <c r="T1216" s="60">
        <v>0.330589086618161</v>
      </c>
      <c r="U1216" s="60">
        <v>9.4376054804779203E-2</v>
      </c>
    </row>
    <row r="1217" spans="1:21" x14ac:dyDescent="0.25">
      <c r="A1217" s="519" t="s">
        <v>1640</v>
      </c>
      <c r="B1217" s="519" t="s">
        <v>1641</v>
      </c>
      <c r="C1217" s="519" t="s">
        <v>284</v>
      </c>
      <c r="D1217" s="519" t="s">
        <v>109</v>
      </c>
      <c r="E1217" s="519" t="s">
        <v>282</v>
      </c>
      <c r="F1217" s="519" t="s">
        <v>16</v>
      </c>
      <c r="G1217" s="519" t="s">
        <v>57</v>
      </c>
      <c r="H1217" s="519" t="s">
        <v>147</v>
      </c>
      <c r="I1217" s="881">
        <v>94731.997673020698</v>
      </c>
      <c r="J1217" s="881">
        <v>1.63206845000001</v>
      </c>
      <c r="K1217" s="60">
        <v>1.7227973365466498E-5</v>
      </c>
      <c r="L1217" s="880">
        <v>3.2665477309436102</v>
      </c>
      <c r="M1217" s="373">
        <v>0</v>
      </c>
      <c r="N1217" s="60">
        <v>4.6864884348304797E-2</v>
      </c>
      <c r="O1217" s="881">
        <v>378657.14863404998</v>
      </c>
      <c r="P1217" s="60">
        <v>7.0334946726573897E-6</v>
      </c>
      <c r="Q1217" s="880">
        <v>3.1594624855179201</v>
      </c>
      <c r="R1217" s="60">
        <v>0.59176316821028407</v>
      </c>
      <c r="S1217" s="60">
        <v>6.0875951788929697E-2</v>
      </c>
      <c r="T1217" s="60">
        <v>0.28100913172337399</v>
      </c>
      <c r="U1217" s="60">
        <v>0.29652957727073903</v>
      </c>
    </row>
    <row r="1218" spans="1:21" x14ac:dyDescent="0.25">
      <c r="A1218" s="519" t="s">
        <v>1640</v>
      </c>
      <c r="B1218" s="519" t="s">
        <v>1643</v>
      </c>
      <c r="C1218" s="519" t="s">
        <v>284</v>
      </c>
      <c r="D1218" s="519" t="s">
        <v>109</v>
      </c>
      <c r="E1218" s="519" t="s">
        <v>282</v>
      </c>
      <c r="F1218" s="519" t="s">
        <v>16</v>
      </c>
      <c r="G1218" s="519" t="s">
        <v>57</v>
      </c>
      <c r="H1218" s="519" t="s">
        <v>149</v>
      </c>
      <c r="I1218" s="881">
        <v>197215.65305597801</v>
      </c>
      <c r="J1218" s="881">
        <v>-0.20954383999997703</v>
      </c>
      <c r="K1218" s="60">
        <v>-1.06251232798145E-6</v>
      </c>
      <c r="L1218" s="880">
        <v>3.1701757598632301</v>
      </c>
      <c r="M1218" s="373">
        <v>0</v>
      </c>
      <c r="N1218" s="60">
        <v>4.7825850814553698E-2</v>
      </c>
      <c r="O1218" s="881">
        <v>378657.14863404998</v>
      </c>
      <c r="P1218" s="60">
        <v>7.0334946726573897E-6</v>
      </c>
      <c r="Q1218" s="880">
        <v>3.1594624855179201</v>
      </c>
      <c r="R1218" s="60">
        <v>0.59176316821028407</v>
      </c>
      <c r="S1218" s="60">
        <v>6.0875951788929697E-2</v>
      </c>
      <c r="T1218" s="60">
        <v>0.46018861112252002</v>
      </c>
      <c r="U1218" s="60">
        <v>0.13970323263839102</v>
      </c>
    </row>
    <row r="1219" spans="1:21" x14ac:dyDescent="0.25">
      <c r="A1219" s="519" t="s">
        <v>1644</v>
      </c>
      <c r="B1219" s="519" t="s">
        <v>1645</v>
      </c>
      <c r="C1219" s="519" t="s">
        <v>284</v>
      </c>
      <c r="D1219" s="519" t="s">
        <v>109</v>
      </c>
      <c r="E1219" s="519" t="s">
        <v>282</v>
      </c>
      <c r="F1219" s="519" t="s">
        <v>16</v>
      </c>
      <c r="G1219" s="519" t="s">
        <v>58</v>
      </c>
      <c r="H1219" s="519" t="s">
        <v>150</v>
      </c>
      <c r="I1219" s="881">
        <v>169648.8641721</v>
      </c>
      <c r="J1219" s="881">
        <v>-0.96121959000000912</v>
      </c>
      <c r="K1219" s="60">
        <v>-5.6659680035602095E-6</v>
      </c>
      <c r="L1219" s="880">
        <v>3.1922393997922902</v>
      </c>
      <c r="M1219" s="373">
        <v>0</v>
      </c>
      <c r="N1219" s="60">
        <v>0.13050387657367502</v>
      </c>
      <c r="O1219" s="881">
        <v>388071.77554563002</v>
      </c>
      <c r="P1219" s="60">
        <v>-1.5909859237551999E-6</v>
      </c>
      <c r="Q1219" s="880">
        <v>3.1948510520668099</v>
      </c>
      <c r="R1219" s="60">
        <v>0.59176316821028407</v>
      </c>
      <c r="S1219" s="60">
        <v>0.13038450373933602</v>
      </c>
      <c r="T1219" s="60">
        <v>0.38873912342125</v>
      </c>
      <c r="U1219" s="60">
        <v>-2.3942028397039303E-4</v>
      </c>
    </row>
    <row r="1220" spans="1:21" x14ac:dyDescent="0.25">
      <c r="A1220" s="519" t="s">
        <v>1644</v>
      </c>
      <c r="B1220" s="519" t="s">
        <v>1647</v>
      </c>
      <c r="C1220" s="519" t="s">
        <v>284</v>
      </c>
      <c r="D1220" s="519" t="s">
        <v>109</v>
      </c>
      <c r="E1220" s="519" t="s">
        <v>282</v>
      </c>
      <c r="F1220" s="519" t="s">
        <v>16</v>
      </c>
      <c r="G1220" s="519" t="s">
        <v>58</v>
      </c>
      <c r="H1220" s="519" t="s">
        <v>152</v>
      </c>
      <c r="I1220" s="881">
        <v>139869.42109696</v>
      </c>
      <c r="J1220" s="881">
        <v>0.40301305999999504</v>
      </c>
      <c r="K1220" s="60">
        <v>2.8813438678738299E-6</v>
      </c>
      <c r="L1220" s="880">
        <v>3.19434589970834</v>
      </c>
      <c r="M1220" s="373">
        <v>0</v>
      </c>
      <c r="N1220" s="60">
        <v>0.13919062127885801</v>
      </c>
      <c r="O1220" s="881">
        <v>388071.77554563002</v>
      </c>
      <c r="P1220" s="60">
        <v>-1.5909859237551999E-6</v>
      </c>
      <c r="Q1220" s="880">
        <v>3.1948510520668099</v>
      </c>
      <c r="R1220" s="60">
        <v>0.59176316821028407</v>
      </c>
      <c r="S1220" s="60">
        <v>0.13038450373933602</v>
      </c>
      <c r="T1220" s="60">
        <v>0.36536737778441702</v>
      </c>
      <c r="U1220" s="60">
        <v>0.99920154696738905</v>
      </c>
    </row>
    <row r="1221" spans="1:21" x14ac:dyDescent="0.25">
      <c r="A1221" s="519" t="s">
        <v>1648</v>
      </c>
      <c r="B1221" s="519" t="s">
        <v>1650</v>
      </c>
      <c r="C1221" s="519" t="s">
        <v>284</v>
      </c>
      <c r="D1221" s="519" t="s">
        <v>109</v>
      </c>
      <c r="E1221" s="519" t="s">
        <v>282</v>
      </c>
      <c r="F1221" s="519" t="s">
        <v>16</v>
      </c>
      <c r="G1221" s="519" t="s">
        <v>59</v>
      </c>
      <c r="H1221" s="519" t="s">
        <v>154</v>
      </c>
      <c r="I1221" s="881">
        <v>156585.34855235001</v>
      </c>
      <c r="J1221" s="881">
        <v>148.897666588334</v>
      </c>
      <c r="K1221" s="60">
        <v>9.5000084653064311E-4</v>
      </c>
      <c r="L1221" s="880">
        <v>3.11018462842212</v>
      </c>
      <c r="M1221" s="373">
        <v>0</v>
      </c>
      <c r="N1221" s="60">
        <v>0.14655117064070602</v>
      </c>
      <c r="O1221" s="881">
        <v>451946.58027980104</v>
      </c>
      <c r="P1221" s="60">
        <v>9.1937891337518507E-3</v>
      </c>
      <c r="Q1221" s="880">
        <v>3.1348689901109501</v>
      </c>
      <c r="R1221" s="60">
        <v>0.59176316821028407</v>
      </c>
      <c r="S1221" s="60">
        <v>0.12810178481821202</v>
      </c>
      <c r="T1221" s="60">
        <v>0.33817930044152705</v>
      </c>
      <c r="U1221" s="60">
        <v>3.56032689656424E-2</v>
      </c>
    </row>
    <row r="1222" spans="1:21" x14ac:dyDescent="0.25">
      <c r="A1222" s="519" t="s">
        <v>1652</v>
      </c>
      <c r="B1222" s="519" t="s">
        <v>1784</v>
      </c>
      <c r="C1222" s="519" t="s">
        <v>284</v>
      </c>
      <c r="D1222" s="519" t="s">
        <v>109</v>
      </c>
      <c r="E1222" s="519" t="s">
        <v>282</v>
      </c>
      <c r="F1222" s="519" t="s">
        <v>17</v>
      </c>
      <c r="G1222" s="519" t="s">
        <v>56</v>
      </c>
      <c r="H1222" s="519" t="s">
        <v>145</v>
      </c>
      <c r="I1222" s="881">
        <v>173273.459908669</v>
      </c>
      <c r="J1222" s="881">
        <v>1043.7492054373699</v>
      </c>
      <c r="K1222" s="60">
        <v>5.98764293406134E-3</v>
      </c>
      <c r="L1222" s="880">
        <v>3.1845177541452898</v>
      </c>
      <c r="M1222" s="373">
        <v>0</v>
      </c>
      <c r="N1222" s="60">
        <v>6.1128519860877396E-2</v>
      </c>
      <c r="O1222" s="881">
        <v>535126.09489821608</v>
      </c>
      <c r="P1222" s="60">
        <v>2.0292755582838599E-2</v>
      </c>
      <c r="Q1222" s="880">
        <v>3.1487117198096901</v>
      </c>
      <c r="R1222" s="60">
        <v>0.59176316821028407</v>
      </c>
      <c r="S1222" s="60">
        <v>8.2020565918988403E-2</v>
      </c>
      <c r="T1222" s="60">
        <v>0.330589086618161</v>
      </c>
      <c r="U1222" s="60">
        <v>9.4376054804779203E-2</v>
      </c>
    </row>
    <row r="1223" spans="1:21" x14ac:dyDescent="0.25">
      <c r="A1223" s="519" t="s">
        <v>2074</v>
      </c>
      <c r="B1223" s="519" t="s">
        <v>2075</v>
      </c>
      <c r="C1223" s="519" t="s">
        <v>284</v>
      </c>
      <c r="D1223" s="519" t="s">
        <v>109</v>
      </c>
      <c r="E1223" s="519" t="s">
        <v>282</v>
      </c>
      <c r="F1223" s="519" t="s">
        <v>17</v>
      </c>
      <c r="G1223" s="519" t="s">
        <v>57</v>
      </c>
      <c r="H1223" s="519" t="s">
        <v>149</v>
      </c>
      <c r="I1223" s="881">
        <v>253805.81299505502</v>
      </c>
      <c r="J1223" s="881">
        <v>4.7503853475049898</v>
      </c>
      <c r="K1223" s="60">
        <v>1.8716263358925899E-5</v>
      </c>
      <c r="L1223" s="880">
        <v>3.17801290035833</v>
      </c>
      <c r="M1223" s="373">
        <v>0</v>
      </c>
      <c r="N1223" s="60">
        <v>3.8900855337708005E-2</v>
      </c>
      <c r="O1223" s="881">
        <v>253805.81299505502</v>
      </c>
      <c r="P1223" s="60">
        <v>1.8716263358926001E-5</v>
      </c>
      <c r="Q1223" s="880">
        <v>3.17801290035833</v>
      </c>
      <c r="R1223" s="60">
        <v>0.59176316821028407</v>
      </c>
      <c r="S1223" s="60">
        <v>3.8900855337708005E-2</v>
      </c>
      <c r="T1223" s="60">
        <v>0.46018861112252002</v>
      </c>
      <c r="U1223" s="60">
        <v>0.13970323263839102</v>
      </c>
    </row>
    <row r="1224" spans="1:21" x14ac:dyDescent="0.25">
      <c r="A1224" s="519" t="s">
        <v>1655</v>
      </c>
      <c r="B1224" s="519" t="s">
        <v>1656</v>
      </c>
      <c r="C1224" s="519" t="s">
        <v>284</v>
      </c>
      <c r="D1224" s="519" t="s">
        <v>109</v>
      </c>
      <c r="E1224" s="519" t="s">
        <v>1</v>
      </c>
      <c r="F1224" s="519" t="s">
        <v>70</v>
      </c>
      <c r="G1224" s="519" t="s">
        <v>56</v>
      </c>
      <c r="H1224" s="519" t="s">
        <v>144</v>
      </c>
      <c r="I1224" s="881">
        <v>182353.49266526202</v>
      </c>
      <c r="J1224" s="881">
        <v>5.0540531799999799</v>
      </c>
      <c r="K1224" s="60">
        <v>2.77149235445672E-5</v>
      </c>
      <c r="L1224" s="880">
        <v>3.0707419719153402</v>
      </c>
      <c r="M1224" s="373">
        <v>0</v>
      </c>
      <c r="N1224" s="60">
        <v>0.24318515373951902</v>
      </c>
      <c r="O1224" s="881">
        <v>578462.82848052599</v>
      </c>
      <c r="P1224" s="60">
        <v>1.20232565598555E-5</v>
      </c>
      <c r="Q1224" s="880">
        <v>3.0158555559286802</v>
      </c>
      <c r="R1224" s="60">
        <v>0.58480075585875202</v>
      </c>
      <c r="S1224" s="60">
        <v>0.32886170566649403</v>
      </c>
      <c r="T1224" s="60">
        <v>0.30223660205712705</v>
      </c>
      <c r="U1224" s="60">
        <v>0.53064395073423809</v>
      </c>
    </row>
    <row r="1225" spans="1:21" x14ac:dyDescent="0.25">
      <c r="A1225" s="519" t="s">
        <v>1655</v>
      </c>
      <c r="B1225" s="519" t="s">
        <v>1658</v>
      </c>
      <c r="C1225" s="519" t="s">
        <v>284</v>
      </c>
      <c r="D1225" s="519" t="s">
        <v>109</v>
      </c>
      <c r="E1225" s="519" t="s">
        <v>1</v>
      </c>
      <c r="F1225" s="519" t="s">
        <v>70</v>
      </c>
      <c r="G1225" s="519" t="s">
        <v>56</v>
      </c>
      <c r="H1225" s="519" t="s">
        <v>146</v>
      </c>
      <c r="I1225" s="881">
        <v>240960.948579813</v>
      </c>
      <c r="J1225" s="881">
        <v>6.1749755699999698</v>
      </c>
      <c r="K1225" s="60">
        <v>2.5625801059042798E-5</v>
      </c>
      <c r="L1225" s="880">
        <v>3.0350531002067198</v>
      </c>
      <c r="M1225" s="373">
        <v>0</v>
      </c>
      <c r="N1225" s="60">
        <v>0.34712267368023403</v>
      </c>
      <c r="O1225" s="881">
        <v>578462.82848052599</v>
      </c>
      <c r="P1225" s="60">
        <v>1.20232565598555E-5</v>
      </c>
      <c r="Q1225" s="880">
        <v>3.0158555559286802</v>
      </c>
      <c r="R1225" s="60">
        <v>0.58480075585875202</v>
      </c>
      <c r="S1225" s="60">
        <v>0.32886170566649403</v>
      </c>
      <c r="T1225" s="60">
        <v>0.40372564296457103</v>
      </c>
      <c r="U1225" s="60">
        <v>0.37600353101727202</v>
      </c>
    </row>
    <row r="1226" spans="1:21" x14ac:dyDescent="0.25">
      <c r="A1226" s="519" t="s">
        <v>1659</v>
      </c>
      <c r="B1226" s="519" t="s">
        <v>1661</v>
      </c>
      <c r="C1226" s="519" t="s">
        <v>284</v>
      </c>
      <c r="D1226" s="519" t="s">
        <v>109</v>
      </c>
      <c r="E1226" s="519" t="s">
        <v>1</v>
      </c>
      <c r="F1226" s="519" t="s">
        <v>70</v>
      </c>
      <c r="G1226" s="519" t="s">
        <v>57</v>
      </c>
      <c r="H1226" s="519" t="s">
        <v>148</v>
      </c>
      <c r="I1226" s="881">
        <v>174290.127236901</v>
      </c>
      <c r="J1226" s="881">
        <v>-4.0583901399999904</v>
      </c>
      <c r="K1226" s="60">
        <v>-2.3285797693723299E-5</v>
      </c>
      <c r="L1226" s="880">
        <v>3.0976694606100299</v>
      </c>
      <c r="M1226" s="373">
        <v>0</v>
      </c>
      <c r="N1226" s="60">
        <v>0.36222725625633601</v>
      </c>
      <c r="O1226" s="881">
        <v>442217.92880693101</v>
      </c>
      <c r="P1226" s="60">
        <v>-1.2459722440454199E-5</v>
      </c>
      <c r="Q1226" s="880">
        <v>3.0871384179279899</v>
      </c>
      <c r="R1226" s="60">
        <v>0.58480075585875202</v>
      </c>
      <c r="S1226" s="60">
        <v>0.30119892965405304</v>
      </c>
      <c r="T1226" s="60">
        <v>0.35798580832777804</v>
      </c>
      <c r="U1226" s="60">
        <v>0.57814425233822808</v>
      </c>
    </row>
    <row r="1227" spans="1:21" x14ac:dyDescent="0.25">
      <c r="A1227" s="519" t="s">
        <v>1663</v>
      </c>
      <c r="B1227" s="519" t="s">
        <v>1664</v>
      </c>
      <c r="C1227" s="519" t="s">
        <v>284</v>
      </c>
      <c r="D1227" s="519" t="s">
        <v>109</v>
      </c>
      <c r="E1227" s="519" t="s">
        <v>1</v>
      </c>
      <c r="F1227" s="519" t="s">
        <v>70</v>
      </c>
      <c r="G1227" s="519" t="s">
        <v>58</v>
      </c>
      <c r="H1227" s="519" t="s">
        <v>150</v>
      </c>
      <c r="I1227" s="881">
        <v>244043.04301113999</v>
      </c>
      <c r="J1227" s="881">
        <v>-6.9463102099999601</v>
      </c>
      <c r="K1227" s="60">
        <v>-2.8464273539470599E-5</v>
      </c>
      <c r="L1227" s="880">
        <v>3.1086516461953599</v>
      </c>
      <c r="M1227" s="373">
        <v>0</v>
      </c>
      <c r="N1227" s="60">
        <v>0.31372135368478904</v>
      </c>
      <c r="O1227" s="881">
        <v>675768.49664434209</v>
      </c>
      <c r="P1227" s="60">
        <v>8.5437944434943501E-4</v>
      </c>
      <c r="Q1227" s="880">
        <v>3.0892149919732499</v>
      </c>
      <c r="R1227" s="60">
        <v>0.58480075585875202</v>
      </c>
      <c r="S1227" s="60">
        <v>0.367810553020534</v>
      </c>
      <c r="T1227" s="60">
        <v>0.40477191535967305</v>
      </c>
      <c r="U1227" s="60">
        <v>-3.1684420224139302E-2</v>
      </c>
    </row>
    <row r="1228" spans="1:21" x14ac:dyDescent="0.25">
      <c r="A1228" s="519" t="s">
        <v>1663</v>
      </c>
      <c r="B1228" s="519" t="s">
        <v>1666</v>
      </c>
      <c r="C1228" s="519" t="s">
        <v>284</v>
      </c>
      <c r="D1228" s="519" t="s">
        <v>109</v>
      </c>
      <c r="E1228" s="519" t="s">
        <v>1</v>
      </c>
      <c r="F1228" s="519" t="s">
        <v>70</v>
      </c>
      <c r="G1228" s="519" t="s">
        <v>58</v>
      </c>
      <c r="H1228" s="519" t="s">
        <v>152</v>
      </c>
      <c r="I1228" s="881">
        <v>213242.26980582101</v>
      </c>
      <c r="J1228" s="881">
        <v>589.90786862000698</v>
      </c>
      <c r="K1228" s="60">
        <v>2.7587422764694604E-3</v>
      </c>
      <c r="L1228" s="880">
        <v>3.0595579838697402</v>
      </c>
      <c r="M1228" s="373">
        <v>0</v>
      </c>
      <c r="N1228" s="60">
        <v>0.44524094835182904</v>
      </c>
      <c r="O1228" s="881">
        <v>675768.49664434209</v>
      </c>
      <c r="P1228" s="60">
        <v>8.5437944434943501E-4</v>
      </c>
      <c r="Q1228" s="880">
        <v>3.0892149919732499</v>
      </c>
      <c r="R1228" s="60">
        <v>0.58480075585875202</v>
      </c>
      <c r="S1228" s="60">
        <v>0.367810553020534</v>
      </c>
      <c r="T1228" s="60">
        <v>0.358767119505567</v>
      </c>
      <c r="U1228" s="60">
        <v>1.0462112849479801</v>
      </c>
    </row>
    <row r="1229" spans="1:21" x14ac:dyDescent="0.25">
      <c r="A1229" s="519" t="s">
        <v>1667</v>
      </c>
      <c r="B1229" s="519" t="s">
        <v>1669</v>
      </c>
      <c r="C1229" s="519" t="s">
        <v>284</v>
      </c>
      <c r="D1229" s="519" t="s">
        <v>109</v>
      </c>
      <c r="E1229" s="519" t="s">
        <v>1</v>
      </c>
      <c r="F1229" s="519" t="s">
        <v>70</v>
      </c>
      <c r="G1229" s="519" t="s">
        <v>59</v>
      </c>
      <c r="H1229" s="519" t="s">
        <v>154</v>
      </c>
      <c r="I1229" s="881">
        <v>67917.040915840102</v>
      </c>
      <c r="J1229" s="881">
        <v>-1.3235531300000001</v>
      </c>
      <c r="K1229" s="60">
        <v>-1.9488171242180101E-5</v>
      </c>
      <c r="L1229" s="880">
        <v>2.9065229704827198</v>
      </c>
      <c r="M1229" s="373">
        <v>0</v>
      </c>
      <c r="N1229" s="60">
        <v>0.12555848155983401</v>
      </c>
      <c r="O1229" s="881">
        <v>284133.05757721001</v>
      </c>
      <c r="P1229" s="60">
        <v>-2.0329751309882198E-5</v>
      </c>
      <c r="Q1229" s="880">
        <v>3.0321282807276</v>
      </c>
      <c r="R1229" s="60">
        <v>0.58480075585875202</v>
      </c>
      <c r="S1229" s="60">
        <v>0.16384556302692602</v>
      </c>
      <c r="T1229" s="60">
        <v>0.29963300351771505</v>
      </c>
      <c r="U1229" s="60">
        <v>3.8730724590185797E-2</v>
      </c>
    </row>
    <row r="1230" spans="1:21" x14ac:dyDescent="0.25">
      <c r="A1230" s="519" t="s">
        <v>1671</v>
      </c>
      <c r="B1230" s="519" t="s">
        <v>1673</v>
      </c>
      <c r="C1230" s="519" t="s">
        <v>284</v>
      </c>
      <c r="D1230" s="519" t="s">
        <v>109</v>
      </c>
      <c r="E1230" s="519" t="s">
        <v>1</v>
      </c>
      <c r="F1230" s="519" t="s">
        <v>16</v>
      </c>
      <c r="G1230" s="519" t="s">
        <v>56</v>
      </c>
      <c r="H1230" s="519" t="s">
        <v>145</v>
      </c>
      <c r="I1230" s="881">
        <v>123804.25754202</v>
      </c>
      <c r="J1230" s="881">
        <v>-2.52761236</v>
      </c>
      <c r="K1230" s="60">
        <v>-2.04166158375664E-5</v>
      </c>
      <c r="L1230" s="880">
        <v>3.0320396662178601</v>
      </c>
      <c r="M1230" s="373">
        <v>0</v>
      </c>
      <c r="N1230" s="60">
        <v>0.15249666344141702</v>
      </c>
      <c r="O1230" s="881">
        <v>386158.76599873003</v>
      </c>
      <c r="P1230" s="60">
        <v>-1.9857877583530198E-5</v>
      </c>
      <c r="Q1230" s="880">
        <v>3.07609217242823</v>
      </c>
      <c r="R1230" s="60">
        <v>0.58480075585875202</v>
      </c>
      <c r="S1230" s="60">
        <v>0.15164409696646</v>
      </c>
      <c r="T1230" s="60">
        <v>0.29403775497830204</v>
      </c>
      <c r="U1230" s="60">
        <v>9.3352518248489294E-2</v>
      </c>
    </row>
    <row r="1231" spans="1:21" x14ac:dyDescent="0.25">
      <c r="A1231" s="519" t="s">
        <v>1675</v>
      </c>
      <c r="B1231" s="519" t="s">
        <v>1676</v>
      </c>
      <c r="C1231" s="519" t="s">
        <v>284</v>
      </c>
      <c r="D1231" s="519" t="s">
        <v>109</v>
      </c>
      <c r="E1231" s="519" t="s">
        <v>1</v>
      </c>
      <c r="F1231" s="519" t="s">
        <v>16</v>
      </c>
      <c r="G1231" s="519" t="s">
        <v>57</v>
      </c>
      <c r="H1231" s="519" t="s">
        <v>147</v>
      </c>
      <c r="I1231" s="881">
        <v>93096.559907540301</v>
      </c>
      <c r="J1231" s="881">
        <v>0.44997392000000003</v>
      </c>
      <c r="K1231" s="60">
        <v>4.8333874586622097E-6</v>
      </c>
      <c r="L1231" s="880">
        <v>2.9521855684099898</v>
      </c>
      <c r="M1231" s="373">
        <v>0</v>
      </c>
      <c r="N1231" s="60">
        <v>0.10126792352599501</v>
      </c>
      <c r="O1231" s="881">
        <v>383008.158672911</v>
      </c>
      <c r="P1231" s="60">
        <v>-8.8174577517858802E-6</v>
      </c>
      <c r="Q1231" s="880">
        <v>3.0600163534680198</v>
      </c>
      <c r="R1231" s="60">
        <v>0.58480075585875202</v>
      </c>
      <c r="S1231" s="60">
        <v>0.117388753045641</v>
      </c>
      <c r="T1231" s="60">
        <v>0.258168851292713</v>
      </c>
      <c r="U1231" s="60">
        <v>2.91188040226718E-2</v>
      </c>
    </row>
    <row r="1232" spans="1:21" x14ac:dyDescent="0.25">
      <c r="A1232" s="519" t="s">
        <v>1675</v>
      </c>
      <c r="B1232" s="519" t="s">
        <v>1678</v>
      </c>
      <c r="C1232" s="519" t="s">
        <v>284</v>
      </c>
      <c r="D1232" s="519" t="s">
        <v>109</v>
      </c>
      <c r="E1232" s="519" t="s">
        <v>1</v>
      </c>
      <c r="F1232" s="519" t="s">
        <v>16</v>
      </c>
      <c r="G1232" s="519" t="s">
        <v>57</v>
      </c>
      <c r="H1232" s="519" t="s">
        <v>149</v>
      </c>
      <c r="I1232" s="881">
        <v>168782.49802263</v>
      </c>
      <c r="J1232" s="881">
        <v>-2.7475404799999898</v>
      </c>
      <c r="K1232" s="60">
        <v>-1.62788514152388E-5</v>
      </c>
      <c r="L1232" s="880">
        <v>3.0768923401713599</v>
      </c>
      <c r="M1232" s="373">
        <v>0</v>
      </c>
      <c r="N1232" s="60">
        <v>9.99431356286022E-2</v>
      </c>
      <c r="O1232" s="881">
        <v>383008.158672911</v>
      </c>
      <c r="P1232" s="60">
        <v>-8.8174577517858802E-6</v>
      </c>
      <c r="Q1232" s="880">
        <v>3.0600163534680198</v>
      </c>
      <c r="R1232" s="60">
        <v>0.58480075585875202</v>
      </c>
      <c r="S1232" s="60">
        <v>0.117388753045641</v>
      </c>
      <c r="T1232" s="60">
        <v>0.38384534037950901</v>
      </c>
      <c r="U1232" s="60">
        <v>0.39273694363910105</v>
      </c>
    </row>
    <row r="1233" spans="1:21" x14ac:dyDescent="0.25">
      <c r="A1233" s="519" t="s">
        <v>1679</v>
      </c>
      <c r="B1233" s="519" t="s">
        <v>1681</v>
      </c>
      <c r="C1233" s="519" t="s">
        <v>284</v>
      </c>
      <c r="D1233" s="519" t="s">
        <v>109</v>
      </c>
      <c r="E1233" s="519" t="s">
        <v>1</v>
      </c>
      <c r="F1233" s="519" t="s">
        <v>16</v>
      </c>
      <c r="G1233" s="519" t="s">
        <v>58</v>
      </c>
      <c r="H1233" s="519" t="s">
        <v>151</v>
      </c>
      <c r="I1233" s="881">
        <v>104473.99879898</v>
      </c>
      <c r="J1233" s="881">
        <v>-2.9138785600000001</v>
      </c>
      <c r="K1233" s="60">
        <v>-2.7891722979804701E-5</v>
      </c>
      <c r="L1233" s="880">
        <v>3.0631915178832099</v>
      </c>
      <c r="M1233" s="373">
        <v>0</v>
      </c>
      <c r="N1233" s="60">
        <v>0.16921646290179701</v>
      </c>
      <c r="O1233" s="881">
        <v>690026.41348937503</v>
      </c>
      <c r="P1233" s="60">
        <v>-3.7454454949168898E-5</v>
      </c>
      <c r="Q1233" s="880">
        <v>3.0925123311181801</v>
      </c>
      <c r="R1233" s="60">
        <v>0.58480075585875202</v>
      </c>
      <c r="S1233" s="60">
        <v>0.11935665197108901</v>
      </c>
      <c r="T1233" s="60">
        <v>0.23646096513476</v>
      </c>
      <c r="U1233" s="60">
        <v>-1.4526864723843002E-2</v>
      </c>
    </row>
    <row r="1234" spans="1:21" x14ac:dyDescent="0.25">
      <c r="A1234" s="519" t="s">
        <v>1683</v>
      </c>
      <c r="B1234" s="519" t="s">
        <v>1684</v>
      </c>
      <c r="C1234" s="519" t="s">
        <v>284</v>
      </c>
      <c r="D1234" s="519" t="s">
        <v>109</v>
      </c>
      <c r="E1234" s="519" t="s">
        <v>1</v>
      </c>
      <c r="F1234" s="519" t="s">
        <v>16</v>
      </c>
      <c r="G1234" s="519" t="s">
        <v>59</v>
      </c>
      <c r="H1234" s="519" t="s">
        <v>153</v>
      </c>
      <c r="I1234" s="881">
        <v>94622.014914870204</v>
      </c>
      <c r="J1234" s="881">
        <v>995.35226644591103</v>
      </c>
      <c r="K1234" s="60">
        <v>1.04097434994049E-2</v>
      </c>
      <c r="L1234" s="880">
        <v>2.99139293984046</v>
      </c>
      <c r="M1234" s="373">
        <v>0</v>
      </c>
      <c r="N1234" s="60">
        <v>0.11872821566310301</v>
      </c>
      <c r="O1234" s="881">
        <v>447159.93836161902</v>
      </c>
      <c r="P1234" s="60">
        <v>2.2995453353440503E-3</v>
      </c>
      <c r="Q1234" s="880">
        <v>2.9972271666167098</v>
      </c>
      <c r="R1234" s="60">
        <v>0.58480075585875202</v>
      </c>
      <c r="S1234" s="60">
        <v>0.12062206962494201</v>
      </c>
      <c r="T1234" s="60">
        <v>0.23386698566482103</v>
      </c>
      <c r="U1234" s="60">
        <v>0.96959830802214708</v>
      </c>
    </row>
    <row r="1235" spans="1:21" x14ac:dyDescent="0.25">
      <c r="A1235" s="519" t="s">
        <v>1683</v>
      </c>
      <c r="B1235" s="519" t="s">
        <v>1686</v>
      </c>
      <c r="C1235" s="519" t="s">
        <v>284</v>
      </c>
      <c r="D1235" s="519" t="s">
        <v>109</v>
      </c>
      <c r="E1235" s="519" t="s">
        <v>1</v>
      </c>
      <c r="F1235" s="519" t="s">
        <v>16</v>
      </c>
      <c r="G1235" s="519" t="s">
        <v>59</v>
      </c>
      <c r="H1235" s="519" t="s">
        <v>155</v>
      </c>
      <c r="I1235" s="881">
        <v>201335.44753796901</v>
      </c>
      <c r="J1235" s="881">
        <v>-5.7347830394849799</v>
      </c>
      <c r="K1235" s="60">
        <v>-2.84845339568217E-5</v>
      </c>
      <c r="L1235" s="880">
        <v>3.02892710640534</v>
      </c>
      <c r="M1235" s="373">
        <v>0</v>
      </c>
      <c r="N1235" s="60">
        <v>0.11904533623374999</v>
      </c>
      <c r="O1235" s="881">
        <v>447159.93836161902</v>
      </c>
      <c r="P1235" s="60">
        <v>2.2995453353440503E-3</v>
      </c>
      <c r="Q1235" s="880">
        <v>2.9972271666167098</v>
      </c>
      <c r="R1235" s="60">
        <v>0.58480075585875202</v>
      </c>
      <c r="S1235" s="60">
        <v>0.12062206962494201</v>
      </c>
      <c r="T1235" s="60">
        <v>0.46650001081746306</v>
      </c>
      <c r="U1235" s="60">
        <v>-8.3290326123329414E-3</v>
      </c>
    </row>
    <row r="1236" spans="1:21" x14ac:dyDescent="0.25">
      <c r="A1236" s="519" t="s">
        <v>1687</v>
      </c>
      <c r="B1236" s="519" t="s">
        <v>1688</v>
      </c>
      <c r="C1236" s="519" t="s">
        <v>284</v>
      </c>
      <c r="D1236" s="519" t="s">
        <v>109</v>
      </c>
      <c r="E1236" s="519" t="s">
        <v>1</v>
      </c>
      <c r="F1236" s="519" t="s">
        <v>17</v>
      </c>
      <c r="G1236" s="519" t="s">
        <v>56</v>
      </c>
      <c r="H1236" s="519" t="s">
        <v>144</v>
      </c>
      <c r="I1236" s="881">
        <v>160632.8000095</v>
      </c>
      <c r="J1236" s="881">
        <v>3833.41269190706</v>
      </c>
      <c r="K1236" s="60">
        <v>2.3308207983525099E-2</v>
      </c>
      <c r="L1236" s="880">
        <v>3.0502885974027003</v>
      </c>
      <c r="M1236" s="373">
        <v>0</v>
      </c>
      <c r="N1236" s="60">
        <v>0.11385766355886401</v>
      </c>
      <c r="O1236" s="881">
        <v>512877.12087633106</v>
      </c>
      <c r="P1236" s="60">
        <v>1.39014435641183E-2</v>
      </c>
      <c r="Q1236" s="880">
        <v>3.03844457147733</v>
      </c>
      <c r="R1236" s="60">
        <v>0.58480075585875202</v>
      </c>
      <c r="S1236" s="60">
        <v>0.12772819283803902</v>
      </c>
      <c r="T1236" s="60">
        <v>0.30223660205712705</v>
      </c>
      <c r="U1236" s="60">
        <v>0.53064395073423809</v>
      </c>
    </row>
    <row r="1237" spans="1:21" x14ac:dyDescent="0.25">
      <c r="A1237" s="519" t="s">
        <v>1687</v>
      </c>
      <c r="B1237" s="519" t="s">
        <v>1689</v>
      </c>
      <c r="C1237" s="519" t="s">
        <v>284</v>
      </c>
      <c r="D1237" s="519" t="s">
        <v>109</v>
      </c>
      <c r="E1237" s="519" t="s">
        <v>1</v>
      </c>
      <c r="F1237" s="519" t="s">
        <v>17</v>
      </c>
      <c r="G1237" s="519" t="s">
        <v>56</v>
      </c>
      <c r="H1237" s="519" t="s">
        <v>146</v>
      </c>
      <c r="I1237" s="881">
        <v>196756.56039781999</v>
      </c>
      <c r="J1237" s="881">
        <v>2715.13408389202</v>
      </c>
      <c r="K1237" s="60">
        <v>1.3611625904852201E-2</v>
      </c>
      <c r="L1237" s="880">
        <v>3.0309730784386302</v>
      </c>
      <c r="M1237" s="373">
        <v>0</v>
      </c>
      <c r="N1237" s="60">
        <v>0.12773637439633001</v>
      </c>
      <c r="O1237" s="881">
        <v>512877.12087633106</v>
      </c>
      <c r="P1237" s="60">
        <v>1.39014435641183E-2</v>
      </c>
      <c r="Q1237" s="880">
        <v>3.03844457147733</v>
      </c>
      <c r="R1237" s="60">
        <v>0.58480075585875202</v>
      </c>
      <c r="S1237" s="60">
        <v>0.12772819283803902</v>
      </c>
      <c r="T1237" s="60">
        <v>0.40372564296457103</v>
      </c>
      <c r="U1237" s="60">
        <v>0.37600353101727202</v>
      </c>
    </row>
    <row r="1238" spans="1:21" x14ac:dyDescent="0.25">
      <c r="A1238" s="519" t="s">
        <v>1994</v>
      </c>
      <c r="B1238" s="519" t="s">
        <v>2076</v>
      </c>
      <c r="C1238" s="519" t="s">
        <v>284</v>
      </c>
      <c r="D1238" s="519" t="s">
        <v>109</v>
      </c>
      <c r="E1238" s="519" t="s">
        <v>1838</v>
      </c>
      <c r="F1238" s="519" t="s">
        <v>70</v>
      </c>
      <c r="G1238" s="519" t="s">
        <v>57</v>
      </c>
      <c r="H1238" s="519" t="s">
        <v>148</v>
      </c>
      <c r="I1238" s="881">
        <v>271.5351</v>
      </c>
      <c r="J1238" s="881">
        <v>-2.1150390000000002E-2</v>
      </c>
      <c r="K1238" s="60">
        <v>-7.7897986568941304E-5</v>
      </c>
      <c r="L1238" s="880">
        <v>3.2159827933079801</v>
      </c>
      <c r="M1238" s="373">
        <v>0</v>
      </c>
      <c r="N1238" s="60">
        <v>1</v>
      </c>
      <c r="O1238" s="881">
        <v>532.27510000000007</v>
      </c>
      <c r="P1238" s="60">
        <v>-1.0384430770328801E-4</v>
      </c>
      <c r="Q1238" s="880">
        <v>2.9801556315719999</v>
      </c>
      <c r="R1238" s="60">
        <v>0.310834112450596</v>
      </c>
      <c r="S1238" s="60">
        <v>1</v>
      </c>
      <c r="T1238" s="60">
        <v>0.279877506478664</v>
      </c>
      <c r="U1238" s="60">
        <v>-4.8639432361005201E-2</v>
      </c>
    </row>
    <row r="1239" spans="1:21" x14ac:dyDescent="0.25">
      <c r="A1239" s="519" t="s">
        <v>1996</v>
      </c>
      <c r="B1239" s="519" t="s">
        <v>2077</v>
      </c>
      <c r="C1239" s="519" t="s">
        <v>284</v>
      </c>
      <c r="D1239" s="519" t="s">
        <v>109</v>
      </c>
      <c r="E1239" s="519" t="s">
        <v>1838</v>
      </c>
      <c r="F1239" s="519" t="s">
        <v>70</v>
      </c>
      <c r="G1239" s="519" t="s">
        <v>58</v>
      </c>
      <c r="H1239" s="519" t="s">
        <v>150</v>
      </c>
      <c r="I1239" s="881">
        <v>0</v>
      </c>
      <c r="J1239" s="881">
        <v>0</v>
      </c>
      <c r="L1239" s="880">
        <v>3.0214642416243298</v>
      </c>
      <c r="M1239" s="373">
        <v>0</v>
      </c>
      <c r="O1239" s="881">
        <v>1651.4305000000002</v>
      </c>
      <c r="P1239" s="60">
        <v>-7.0682078289889693E-5</v>
      </c>
      <c r="Q1239" s="880">
        <v>3.0417432269391003</v>
      </c>
      <c r="R1239" s="60">
        <v>0.310834112450596</v>
      </c>
      <c r="S1239" s="60">
        <v>1</v>
      </c>
      <c r="T1239" s="60">
        <v>0.41289606460937406</v>
      </c>
      <c r="U1239" s="60">
        <v>0.19406116790708</v>
      </c>
    </row>
    <row r="1240" spans="1:21" x14ac:dyDescent="0.25">
      <c r="A1240" s="519" t="s">
        <v>1996</v>
      </c>
      <c r="B1240" s="519" t="s">
        <v>2078</v>
      </c>
      <c r="C1240" s="519" t="s">
        <v>284</v>
      </c>
      <c r="D1240" s="519" t="s">
        <v>109</v>
      </c>
      <c r="E1240" s="519" t="s">
        <v>1838</v>
      </c>
      <c r="F1240" s="519" t="s">
        <v>70</v>
      </c>
      <c r="G1240" s="519" t="s">
        <v>58</v>
      </c>
      <c r="H1240" s="519" t="s">
        <v>152</v>
      </c>
      <c r="I1240" s="881">
        <v>1634.6305</v>
      </c>
      <c r="J1240" s="881">
        <v>-0.11503762000000001</v>
      </c>
      <c r="K1240" s="60">
        <v>-7.0380258032245798E-5</v>
      </c>
      <c r="L1240" s="880">
        <v>3.0333621908966601</v>
      </c>
      <c r="M1240" s="373">
        <v>0</v>
      </c>
      <c r="N1240" s="60">
        <v>1</v>
      </c>
      <c r="O1240" s="881">
        <v>1651.4305000000002</v>
      </c>
      <c r="P1240" s="60">
        <v>-7.0682078289889693E-5</v>
      </c>
      <c r="Q1240" s="880">
        <v>3.0417432269391003</v>
      </c>
      <c r="R1240" s="60">
        <v>0.310834112450596</v>
      </c>
      <c r="S1240" s="60">
        <v>1</v>
      </c>
      <c r="T1240" s="60">
        <v>0.384403725905958</v>
      </c>
      <c r="U1240" s="60">
        <v>-0.18444771324975301</v>
      </c>
    </row>
    <row r="1241" spans="1:21" x14ac:dyDescent="0.25">
      <c r="A1241" s="519" t="s">
        <v>1998</v>
      </c>
      <c r="B1241" s="519" t="s">
        <v>2079</v>
      </c>
      <c r="C1241" s="519" t="s">
        <v>284</v>
      </c>
      <c r="D1241" s="519" t="s">
        <v>109</v>
      </c>
      <c r="E1241" s="519" t="s">
        <v>1838</v>
      </c>
      <c r="F1241" s="519" t="s">
        <v>70</v>
      </c>
      <c r="G1241" s="519" t="s">
        <v>59</v>
      </c>
      <c r="H1241" s="519" t="s">
        <v>154</v>
      </c>
      <c r="I1241" s="881">
        <v>88.958119330000002</v>
      </c>
      <c r="J1241" s="881">
        <v>4.56975E-3</v>
      </c>
      <c r="K1241" s="60">
        <v>5.1367039904680002E-5</v>
      </c>
      <c r="L1241" s="880">
        <v>3.2239827756335102</v>
      </c>
      <c r="M1241" s="373">
        <v>0</v>
      </c>
      <c r="N1241" s="60">
        <v>1</v>
      </c>
      <c r="O1241" s="881">
        <v>2205.6707732</v>
      </c>
      <c r="P1241" s="60">
        <v>-2.3222976034135399E-5</v>
      </c>
      <c r="Q1241" s="880">
        <v>3.21190650091236</v>
      </c>
      <c r="R1241" s="60">
        <v>0.310834112450596</v>
      </c>
      <c r="S1241" s="60">
        <v>0.91842844263698908</v>
      </c>
      <c r="T1241" s="60">
        <v>0.29471296957055104</v>
      </c>
      <c r="U1241" s="60">
        <v>-1.0364832543814401E-3</v>
      </c>
    </row>
    <row r="1242" spans="1:21" x14ac:dyDescent="0.25">
      <c r="A1242" s="519" t="s">
        <v>2001</v>
      </c>
      <c r="B1242" s="519" t="s">
        <v>2080</v>
      </c>
      <c r="C1242" s="519" t="s">
        <v>284</v>
      </c>
      <c r="D1242" s="519" t="s">
        <v>109</v>
      </c>
      <c r="E1242" s="519" t="s">
        <v>1838</v>
      </c>
      <c r="F1242" s="519" t="s">
        <v>16</v>
      </c>
      <c r="G1242" s="519" t="s">
        <v>56</v>
      </c>
      <c r="H1242" s="519" t="s">
        <v>145</v>
      </c>
      <c r="I1242" s="881">
        <v>12266.556080689999</v>
      </c>
      <c r="J1242" s="881">
        <v>-0.58579972000000002</v>
      </c>
      <c r="K1242" s="60">
        <v>-4.77581232125468E-5</v>
      </c>
      <c r="L1242" s="880">
        <v>3.15938393314861</v>
      </c>
      <c r="M1242" s="373">
        <v>0</v>
      </c>
      <c r="N1242" s="60">
        <v>1</v>
      </c>
      <c r="O1242" s="881">
        <v>31741.066469270001</v>
      </c>
      <c r="P1242" s="60">
        <v>-4.2704543791147497E-5</v>
      </c>
      <c r="Q1242" s="880">
        <v>3.1801551274661</v>
      </c>
      <c r="R1242" s="60">
        <v>0.310834112450596</v>
      </c>
      <c r="S1242" s="60">
        <v>1</v>
      </c>
      <c r="T1242" s="60">
        <v>0.42693653917333002</v>
      </c>
      <c r="U1242" s="60">
        <v>0.14991076466277001</v>
      </c>
    </row>
    <row r="1243" spans="1:21" x14ac:dyDescent="0.25">
      <c r="A1243" s="519" t="s">
        <v>2004</v>
      </c>
      <c r="B1243" s="519" t="s">
        <v>2081</v>
      </c>
      <c r="C1243" s="519" t="s">
        <v>284</v>
      </c>
      <c r="D1243" s="519" t="s">
        <v>109</v>
      </c>
      <c r="E1243" s="519" t="s">
        <v>1838</v>
      </c>
      <c r="F1243" s="519" t="s">
        <v>16</v>
      </c>
      <c r="G1243" s="519" t="s">
        <v>57</v>
      </c>
      <c r="H1243" s="519" t="s">
        <v>147</v>
      </c>
      <c r="I1243" s="881">
        <v>8369.944233780001</v>
      </c>
      <c r="J1243" s="881">
        <v>7.2587320000000094E-2</v>
      </c>
      <c r="K1243" s="60">
        <v>8.6723027625242791E-6</v>
      </c>
      <c r="L1243" s="880">
        <v>3.20243011681946</v>
      </c>
      <c r="M1243" s="373">
        <v>0</v>
      </c>
      <c r="N1243" s="60">
        <v>1</v>
      </c>
      <c r="O1243" s="881">
        <v>29678.695609590002</v>
      </c>
      <c r="P1243" s="60">
        <v>-6.43187558785701E-6</v>
      </c>
      <c r="Q1243" s="880">
        <v>3.1972224638675399</v>
      </c>
      <c r="R1243" s="60">
        <v>0.310834112450596</v>
      </c>
      <c r="S1243" s="60">
        <v>0.99609709936299995</v>
      </c>
      <c r="T1243" s="60">
        <v>0.28568046742835501</v>
      </c>
      <c r="U1243" s="60">
        <v>-0.15628154370929601</v>
      </c>
    </row>
    <row r="1244" spans="1:21" x14ac:dyDescent="0.25">
      <c r="A1244" s="519" t="s">
        <v>2004</v>
      </c>
      <c r="B1244" s="519" t="s">
        <v>2082</v>
      </c>
      <c r="C1244" s="519" t="s">
        <v>284</v>
      </c>
      <c r="D1244" s="519" t="s">
        <v>109</v>
      </c>
      <c r="E1244" s="519" t="s">
        <v>1838</v>
      </c>
      <c r="F1244" s="519" t="s">
        <v>16</v>
      </c>
      <c r="G1244" s="519" t="s">
        <v>57</v>
      </c>
      <c r="H1244" s="519" t="s">
        <v>149</v>
      </c>
      <c r="I1244" s="881">
        <v>13124.915325309999</v>
      </c>
      <c r="J1244" s="881">
        <v>-0.29659907000000002</v>
      </c>
      <c r="K1244" s="60">
        <v>-2.2598680859735002E-5</v>
      </c>
      <c r="L1244" s="880">
        <v>3.18123658274579</v>
      </c>
      <c r="M1244" s="373">
        <v>0</v>
      </c>
      <c r="N1244" s="60">
        <v>0.9911745716350161</v>
      </c>
      <c r="O1244" s="881">
        <v>29678.695609590002</v>
      </c>
      <c r="P1244" s="60">
        <v>-6.43187558785701E-6</v>
      </c>
      <c r="Q1244" s="880">
        <v>3.1972224638675399</v>
      </c>
      <c r="R1244" s="60">
        <v>0.310834112450596</v>
      </c>
      <c r="S1244" s="60">
        <v>0.99609709936299995</v>
      </c>
      <c r="T1244" s="60">
        <v>0.43444202609298105</v>
      </c>
      <c r="U1244" s="60">
        <v>1.2049209760703001</v>
      </c>
    </row>
    <row r="1245" spans="1:21" x14ac:dyDescent="0.25">
      <c r="A1245" s="519" t="s">
        <v>2006</v>
      </c>
      <c r="B1245" s="519" t="s">
        <v>2083</v>
      </c>
      <c r="C1245" s="519" t="s">
        <v>284</v>
      </c>
      <c r="D1245" s="519" t="s">
        <v>109</v>
      </c>
      <c r="E1245" s="519" t="s">
        <v>1838</v>
      </c>
      <c r="F1245" s="519" t="s">
        <v>16</v>
      </c>
      <c r="G1245" s="519" t="s">
        <v>58</v>
      </c>
      <c r="H1245" s="519" t="s">
        <v>150</v>
      </c>
      <c r="I1245" s="881">
        <v>6623.5054412600002</v>
      </c>
      <c r="J1245" s="881">
        <v>2.3774750000000199E-2</v>
      </c>
      <c r="K1245" s="60">
        <v>3.5894383831708998E-6</v>
      </c>
      <c r="L1245" s="880">
        <v>3.2083900100941003</v>
      </c>
      <c r="M1245" s="373">
        <v>0</v>
      </c>
      <c r="N1245" s="60">
        <v>0.92407138418469703</v>
      </c>
      <c r="O1245" s="881">
        <v>14390.14995809</v>
      </c>
      <c r="P1245" s="60">
        <v>1.6624284227095499E-5</v>
      </c>
      <c r="Q1245" s="880">
        <v>3.1990800080172002</v>
      </c>
      <c r="R1245" s="60">
        <v>0.310834112450596</v>
      </c>
      <c r="S1245" s="60">
        <v>0.93145400132223999</v>
      </c>
      <c r="T1245" s="60">
        <v>0.41289606460937406</v>
      </c>
      <c r="U1245" s="60">
        <v>0.19406116790708</v>
      </c>
    </row>
    <row r="1246" spans="1:21" x14ac:dyDescent="0.25">
      <c r="A1246" s="519" t="s">
        <v>2006</v>
      </c>
      <c r="B1246" s="519" t="s">
        <v>2084</v>
      </c>
      <c r="C1246" s="519" t="s">
        <v>284</v>
      </c>
      <c r="D1246" s="519" t="s">
        <v>109</v>
      </c>
      <c r="E1246" s="519" t="s">
        <v>1838</v>
      </c>
      <c r="F1246" s="519" t="s">
        <v>16</v>
      </c>
      <c r="G1246" s="519" t="s">
        <v>58</v>
      </c>
      <c r="H1246" s="519" t="s">
        <v>152</v>
      </c>
      <c r="I1246" s="881">
        <v>4531.8127975099997</v>
      </c>
      <c r="J1246" s="881">
        <v>9.2440629999999996E-2</v>
      </c>
      <c r="K1246" s="60">
        <v>2.0397741157963799E-5</v>
      </c>
      <c r="L1246" s="880">
        <v>3.17815860684229</v>
      </c>
      <c r="M1246" s="373">
        <v>0</v>
      </c>
      <c r="N1246" s="60">
        <v>0.89331562851280111</v>
      </c>
      <c r="O1246" s="881">
        <v>14390.14995809</v>
      </c>
      <c r="P1246" s="60">
        <v>1.6624284227095499E-5</v>
      </c>
      <c r="Q1246" s="880">
        <v>3.1990800080172002</v>
      </c>
      <c r="R1246" s="60">
        <v>0.310834112450596</v>
      </c>
      <c r="S1246" s="60">
        <v>0.93145400132223999</v>
      </c>
      <c r="T1246" s="60">
        <v>0.384403725905958</v>
      </c>
      <c r="U1246" s="60">
        <v>-0.18444771324975301</v>
      </c>
    </row>
    <row r="1247" spans="1:21" x14ac:dyDescent="0.25">
      <c r="A1247" s="519" t="s">
        <v>2008</v>
      </c>
      <c r="B1247" s="519" t="s">
        <v>2085</v>
      </c>
      <c r="C1247" s="519" t="s">
        <v>284</v>
      </c>
      <c r="D1247" s="519" t="s">
        <v>109</v>
      </c>
      <c r="E1247" s="519" t="s">
        <v>1838</v>
      </c>
      <c r="F1247" s="519" t="s">
        <v>16</v>
      </c>
      <c r="G1247" s="519" t="s">
        <v>59</v>
      </c>
      <c r="H1247" s="519" t="s">
        <v>154</v>
      </c>
      <c r="I1247" s="881">
        <v>5271.7251983799997</v>
      </c>
      <c r="J1247" s="881">
        <v>-2.5317222316000001E-2</v>
      </c>
      <c r="K1247" s="60">
        <v>-4.8024779268049294E-6</v>
      </c>
      <c r="L1247" s="880">
        <v>3.2120800903573001</v>
      </c>
      <c r="M1247" s="373">
        <v>0</v>
      </c>
      <c r="N1247" s="60">
        <v>0.91433013235614302</v>
      </c>
      <c r="O1247" s="881">
        <v>15983.83519093</v>
      </c>
      <c r="P1247" s="60">
        <v>1.2539691559924902E-3</v>
      </c>
      <c r="Q1247" s="880">
        <v>3.1825708845971801</v>
      </c>
      <c r="R1247" s="60">
        <v>0.310834112450596</v>
      </c>
      <c r="S1247" s="60">
        <v>0.82680517116624908</v>
      </c>
      <c r="T1247" s="60">
        <v>0.29471296957055104</v>
      </c>
      <c r="U1247" s="60">
        <v>-1.0364832543814401E-3</v>
      </c>
    </row>
    <row r="1248" spans="1:21" x14ac:dyDescent="0.25">
      <c r="A1248" s="519" t="s">
        <v>2011</v>
      </c>
      <c r="B1248" s="519" t="s">
        <v>2086</v>
      </c>
      <c r="C1248" s="519" t="s">
        <v>284</v>
      </c>
      <c r="D1248" s="519" t="s">
        <v>109</v>
      </c>
      <c r="E1248" s="519" t="s">
        <v>1838</v>
      </c>
      <c r="F1248" s="519" t="s">
        <v>17</v>
      </c>
      <c r="G1248" s="519" t="s">
        <v>56</v>
      </c>
      <c r="H1248" s="519" t="s">
        <v>145</v>
      </c>
      <c r="I1248" s="881">
        <v>11627.78711854</v>
      </c>
      <c r="J1248" s="881">
        <v>24.295446216824999</v>
      </c>
      <c r="K1248" s="60">
        <v>2.0850732975673902E-3</v>
      </c>
      <c r="L1248" s="880">
        <v>3.1201485352242599</v>
      </c>
      <c r="M1248" s="373">
        <v>0</v>
      </c>
      <c r="N1248" s="60">
        <v>0.67849336577212904</v>
      </c>
      <c r="O1248" s="881">
        <v>24225.900531250001</v>
      </c>
      <c r="P1248" s="60">
        <v>6.5413622377550008E-3</v>
      </c>
      <c r="Q1248" s="880">
        <v>3.1349300307755499</v>
      </c>
      <c r="R1248" s="60">
        <v>0.310834112450596</v>
      </c>
      <c r="S1248" s="60">
        <v>0.68186365290907502</v>
      </c>
      <c r="T1248" s="60">
        <v>0.42693653917333002</v>
      </c>
      <c r="U1248" s="60">
        <v>0.14991076466277001</v>
      </c>
    </row>
    <row r="1249" spans="1:21" x14ac:dyDescent="0.25">
      <c r="A1249" s="519" t="s">
        <v>2087</v>
      </c>
      <c r="B1249" s="519" t="s">
        <v>2088</v>
      </c>
      <c r="C1249" s="519" t="s">
        <v>284</v>
      </c>
      <c r="D1249" s="519" t="s">
        <v>109</v>
      </c>
      <c r="E1249" s="519" t="s">
        <v>1838</v>
      </c>
      <c r="F1249" s="519" t="s">
        <v>17</v>
      </c>
      <c r="G1249" s="519" t="s">
        <v>57</v>
      </c>
      <c r="H1249" s="519" t="s">
        <v>149</v>
      </c>
      <c r="I1249" s="881">
        <v>21107.266153050001</v>
      </c>
      <c r="J1249" s="881">
        <v>-1.73706846939999E-2</v>
      </c>
      <c r="K1249" s="60">
        <v>-8.2297247135840493E-7</v>
      </c>
      <c r="L1249" s="880">
        <v>3.0856302788149002</v>
      </c>
      <c r="M1249" s="373">
        <v>0</v>
      </c>
      <c r="N1249" s="60">
        <v>0.45734808758523704</v>
      </c>
      <c r="O1249" s="881">
        <v>21107.266153050001</v>
      </c>
      <c r="P1249" s="60">
        <v>-8.2297247135840694E-7</v>
      </c>
      <c r="Q1249" s="880">
        <v>3.0856302788149002</v>
      </c>
      <c r="R1249" s="60">
        <v>0.310834112450596</v>
      </c>
      <c r="S1249" s="60">
        <v>0.45734808758523704</v>
      </c>
      <c r="T1249" s="60">
        <v>0.43444202609298105</v>
      </c>
      <c r="U1249" s="60">
        <v>1.2049209760703001</v>
      </c>
    </row>
  </sheetData>
  <sheetProtection pivotTables="0"/>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462F1-9F0F-4CBC-8D24-9E14204ACF87}">
  <sheetPr codeName="Sheet10"/>
  <dimension ref="A1:T786"/>
  <sheetViews>
    <sheetView topLeftCell="A7" workbookViewId="0">
      <selection activeCell="A2" sqref="A2"/>
    </sheetView>
  </sheetViews>
  <sheetFormatPr defaultRowHeight="15" x14ac:dyDescent="0.25"/>
  <cols>
    <col min="1" max="1" width="11.28515625" bestFit="1" customWidth="1"/>
    <col min="2" max="2" width="6.140625" bestFit="1" customWidth="1"/>
    <col min="3" max="3" width="16.5703125" bestFit="1" customWidth="1"/>
    <col min="4" max="4" width="5.85546875" bestFit="1" customWidth="1"/>
    <col min="5" max="5" width="6.85546875" bestFit="1" customWidth="1"/>
    <col min="6" max="6" width="9.42578125" style="881" bestFit="1" customWidth="1"/>
    <col min="7" max="7" width="13.7109375" style="881" bestFit="1" customWidth="1"/>
    <col min="8" max="8" width="6.7109375" style="880" bestFit="1" customWidth="1"/>
    <col min="9" max="9" width="12" style="670" bestFit="1" customWidth="1"/>
    <col min="10" max="10" width="12.140625" style="670" bestFit="1" customWidth="1"/>
    <col min="11" max="11" width="12.7109375" style="670" bestFit="1" customWidth="1"/>
    <col min="12" max="12" width="12" style="373" customWidth="1"/>
    <col min="13" max="13" width="16.140625" bestFit="1" customWidth="1"/>
    <col min="14" max="14" width="12" bestFit="1" customWidth="1"/>
    <col min="22" max="23" width="10" bestFit="1" customWidth="1"/>
  </cols>
  <sheetData>
    <row r="1" spans="1:20" x14ac:dyDescent="0.25">
      <c r="A1" t="s">
        <v>1740</v>
      </c>
      <c r="B1" t="s">
        <v>163</v>
      </c>
      <c r="C1" t="s">
        <v>1723</v>
      </c>
      <c r="D1" t="s">
        <v>1724</v>
      </c>
      <c r="E1" t="s">
        <v>1726</v>
      </c>
      <c r="F1" s="881" t="s">
        <v>1741</v>
      </c>
      <c r="G1" s="881" t="s">
        <v>1742</v>
      </c>
      <c r="H1" s="880" t="s">
        <v>1745</v>
      </c>
      <c r="I1"/>
      <c r="J1"/>
      <c r="K1"/>
      <c r="L1"/>
      <c r="P1" s="373"/>
    </row>
    <row r="2" spans="1:20" x14ac:dyDescent="0.25">
      <c r="A2" s="519" t="s">
        <v>197</v>
      </c>
      <c r="B2" s="519" t="s">
        <v>284</v>
      </c>
      <c r="C2" s="519" t="s">
        <v>2</v>
      </c>
      <c r="D2" s="519" t="s">
        <v>70</v>
      </c>
      <c r="E2" s="519" t="s">
        <v>146</v>
      </c>
      <c r="F2" s="881">
        <v>32934.462</v>
      </c>
      <c r="G2" s="881">
        <v>15491.638800000001</v>
      </c>
      <c r="H2" s="880">
        <v>8.7514368203553197</v>
      </c>
      <c r="I2"/>
      <c r="J2"/>
      <c r="K2" s="1" t="s">
        <v>218</v>
      </c>
      <c r="L2"/>
      <c r="P2" s="373"/>
    </row>
    <row r="3" spans="1:20" x14ac:dyDescent="0.25">
      <c r="A3" s="519" t="s">
        <v>197</v>
      </c>
      <c r="B3" s="519" t="s">
        <v>284</v>
      </c>
      <c r="C3" s="519" t="s">
        <v>2</v>
      </c>
      <c r="D3" s="519" t="s">
        <v>70</v>
      </c>
      <c r="E3" s="519" t="s">
        <v>149</v>
      </c>
      <c r="F3" s="881">
        <v>18404.523300000001</v>
      </c>
      <c r="G3" s="881">
        <v>15985.236700000001</v>
      </c>
      <c r="H3" s="880">
        <v>17.097899802027701</v>
      </c>
      <c r="I3"/>
      <c r="J3"/>
      <c r="K3"/>
      <c r="L3"/>
      <c r="P3" s="373"/>
    </row>
    <row r="4" spans="1:20" x14ac:dyDescent="0.25">
      <c r="A4" s="519" t="s">
        <v>197</v>
      </c>
      <c r="B4" s="519" t="s">
        <v>284</v>
      </c>
      <c r="C4" s="519" t="s">
        <v>2</v>
      </c>
      <c r="D4" s="519" t="s">
        <v>70</v>
      </c>
      <c r="E4" s="519" t="s">
        <v>148</v>
      </c>
      <c r="F4" s="881">
        <v>10214.1993</v>
      </c>
      <c r="G4" s="881">
        <v>3114.4866000000002</v>
      </c>
      <c r="H4" s="880">
        <v>11.259848289730501</v>
      </c>
      <c r="I4"/>
      <c r="J4"/>
      <c r="K4" s="376" t="s">
        <v>1740</v>
      </c>
      <c r="L4" s="373" t="s">
        <v>197</v>
      </c>
      <c r="P4" s="373"/>
    </row>
    <row r="5" spans="1:20" x14ac:dyDescent="0.25">
      <c r="A5" s="519" t="s">
        <v>197</v>
      </c>
      <c r="B5" s="519" t="s">
        <v>284</v>
      </c>
      <c r="C5" s="519" t="s">
        <v>2</v>
      </c>
      <c r="D5" s="519" t="s">
        <v>70</v>
      </c>
      <c r="E5" s="519" t="s">
        <v>152</v>
      </c>
      <c r="F5" s="881">
        <v>7568.9166000000005</v>
      </c>
      <c r="G5" s="881">
        <v>5945.4776000000002</v>
      </c>
      <c r="H5" s="880">
        <v>7.2743584089736304</v>
      </c>
      <c r="I5"/>
      <c r="J5"/>
      <c r="K5" s="376" t="s">
        <v>1723</v>
      </c>
      <c r="L5" s="373" t="s">
        <v>3</v>
      </c>
      <c r="P5" s="373"/>
    </row>
    <row r="6" spans="1:20" x14ac:dyDescent="0.25">
      <c r="A6" s="519" t="s">
        <v>197</v>
      </c>
      <c r="B6" s="519" t="s">
        <v>284</v>
      </c>
      <c r="C6" s="519" t="s">
        <v>2</v>
      </c>
      <c r="D6" s="519" t="s">
        <v>70</v>
      </c>
      <c r="E6" s="519" t="s">
        <v>155</v>
      </c>
      <c r="F6" s="881">
        <v>5232.2451000000001</v>
      </c>
      <c r="G6" s="881">
        <v>4297.5001000000002</v>
      </c>
      <c r="H6" s="880">
        <v>9.6101085325650306</v>
      </c>
      <c r="I6"/>
      <c r="J6"/>
      <c r="K6"/>
      <c r="L6"/>
      <c r="P6" s="373"/>
    </row>
    <row r="7" spans="1:20" x14ac:dyDescent="0.25">
      <c r="A7" s="519" t="s">
        <v>197</v>
      </c>
      <c r="B7" s="519" t="s">
        <v>284</v>
      </c>
      <c r="C7" s="519" t="s">
        <v>2</v>
      </c>
      <c r="D7" s="519" t="s">
        <v>70</v>
      </c>
      <c r="E7" s="519" t="s">
        <v>153</v>
      </c>
      <c r="F7" s="881">
        <v>16744.1571</v>
      </c>
      <c r="G7" s="881">
        <v>1896.787</v>
      </c>
      <c r="H7" s="880">
        <v>9.0278019174421011</v>
      </c>
      <c r="I7"/>
      <c r="J7"/>
      <c r="K7" s="376" t="s">
        <v>183</v>
      </c>
      <c r="L7" s="376" t="s">
        <v>184</v>
      </c>
      <c r="S7" s="590" t="s">
        <v>234</v>
      </c>
      <c r="T7" s="590" t="s">
        <v>234</v>
      </c>
    </row>
    <row r="8" spans="1:20" x14ac:dyDescent="0.25">
      <c r="A8" s="519" t="s">
        <v>197</v>
      </c>
      <c r="B8" s="519" t="s">
        <v>284</v>
      </c>
      <c r="C8" s="519" t="s">
        <v>2</v>
      </c>
      <c r="D8" s="519" t="s">
        <v>16</v>
      </c>
      <c r="E8" s="519" t="s">
        <v>146</v>
      </c>
      <c r="F8" s="881">
        <v>12725.8968</v>
      </c>
      <c r="G8" s="881">
        <v>8883.3080000000009</v>
      </c>
      <c r="H8" s="880">
        <v>5.9971563023244601</v>
      </c>
      <c r="I8"/>
      <c r="J8"/>
      <c r="K8" s="376" t="s">
        <v>135</v>
      </c>
      <c r="L8" s="373" t="s">
        <v>70</v>
      </c>
      <c r="M8" s="373" t="s">
        <v>16</v>
      </c>
      <c r="N8" s="373" t="s">
        <v>17</v>
      </c>
      <c r="O8" s="373" t="s">
        <v>136</v>
      </c>
      <c r="P8" s="1" t="str">
        <f>L8</f>
        <v>16/17</v>
      </c>
      <c r="Q8" s="1" t="str">
        <f>M8</f>
        <v>17/18</v>
      </c>
      <c r="R8" s="1" t="str">
        <f>N8</f>
        <v>18/19</v>
      </c>
      <c r="S8" s="1" t="str">
        <f ca="1">TIME!$M$27</f>
        <v>18/19</v>
      </c>
      <c r="T8" s="1" t="str">
        <f ca="1">TIME!$M$31</f>
        <v>19/20</v>
      </c>
    </row>
    <row r="9" spans="1:20" x14ac:dyDescent="0.25">
      <c r="A9" s="519" t="s">
        <v>197</v>
      </c>
      <c r="B9" s="519" t="s">
        <v>284</v>
      </c>
      <c r="C9" s="519" t="s">
        <v>2</v>
      </c>
      <c r="D9" s="519" t="s">
        <v>16</v>
      </c>
      <c r="E9" s="519" t="s">
        <v>149</v>
      </c>
      <c r="F9" s="881">
        <v>12194.8575</v>
      </c>
      <c r="G9" s="881">
        <v>12419.382800000001</v>
      </c>
      <c r="H9" s="880">
        <v>11.313484361383301</v>
      </c>
      <c r="I9"/>
      <c r="J9"/>
      <c r="K9" s="377" t="s">
        <v>144</v>
      </c>
      <c r="L9" s="608">
        <v>5.9901206458439802</v>
      </c>
      <c r="M9" s="608">
        <v>5.5972734742077899</v>
      </c>
      <c r="N9" s="608">
        <v>11.5092819308594</v>
      </c>
      <c r="O9" s="608">
        <v>23.096676050911171</v>
      </c>
      <c r="P9" s="396">
        <f t="shared" ref="P9:Q20" si="0">L9</f>
        <v>5.9901206458439802</v>
      </c>
      <c r="Q9" s="396">
        <f t="shared" si="0"/>
        <v>5.5972734742077899</v>
      </c>
      <c r="R9" s="396">
        <f t="shared" ref="R9:R20" si="1">IF(N9=0,NA(),N9)</f>
        <v>11.5092819308594</v>
      </c>
      <c r="S9" s="396" t="e">
        <f ca="1">HLOOKUP(S$8&amp;$K9,'NWC_FC_NON-NOOS'!$C$4:$Q$24,MATCH($O$25,'NWC_FC_NON-NOOS'!$B$4:$B$24,0),FALSE)</f>
        <v>#N/A</v>
      </c>
      <c r="T9" s="396">
        <f ca="1">HLOOKUP(T$8&amp;$K9,'NWC_FC_NON-NOOS'!$C$4:$Q$24,MATCH($O$25,'NWC_FC_NON-NOOS'!$B$4:$B$24,0),FALSE)</f>
        <v>0</v>
      </c>
    </row>
    <row r="10" spans="1:20" x14ac:dyDescent="0.25">
      <c r="A10" s="519" t="s">
        <v>197</v>
      </c>
      <c r="B10" s="519" t="s">
        <v>284</v>
      </c>
      <c r="C10" s="519" t="s">
        <v>2</v>
      </c>
      <c r="D10" s="519" t="s">
        <v>16</v>
      </c>
      <c r="E10" s="519" t="s">
        <v>148</v>
      </c>
      <c r="F10" s="881">
        <v>8685.5118000000002</v>
      </c>
      <c r="G10" s="881">
        <v>3984.1845000000003</v>
      </c>
      <c r="H10" s="880">
        <v>6.9373838170068396</v>
      </c>
      <c r="I10"/>
      <c r="J10"/>
      <c r="K10" s="377" t="s">
        <v>146</v>
      </c>
      <c r="L10" s="608">
        <v>8.6253492022264595</v>
      </c>
      <c r="M10" s="608">
        <v>7.7964924752742801</v>
      </c>
      <c r="N10" s="608">
        <v>13.7605954933835</v>
      </c>
      <c r="O10" s="608">
        <v>30.182437170884242</v>
      </c>
      <c r="P10" s="396">
        <f t="shared" si="0"/>
        <v>8.6253492022264595</v>
      </c>
      <c r="Q10" s="396">
        <f t="shared" si="0"/>
        <v>7.7964924752742801</v>
      </c>
      <c r="R10" s="396">
        <f t="shared" si="1"/>
        <v>13.7605954933835</v>
      </c>
      <c r="S10" s="396" t="e">
        <f ca="1">HLOOKUP(S$8&amp;$K10,'NWC_FC_NON-NOOS'!$C$4:$Q$24,MATCH($O$25,'NWC_FC_NON-NOOS'!$B$4:$B$24,0),FALSE)</f>
        <v>#N/A</v>
      </c>
      <c r="T10" s="396">
        <f ca="1">HLOOKUP(T$8&amp;$K10,'NWC_FC_NON-NOOS'!$C$4:$Q$24,MATCH($O$25,'NWC_FC_NON-NOOS'!$B$4:$B$24,0),FALSE)</f>
        <v>0</v>
      </c>
    </row>
    <row r="11" spans="1:20" x14ac:dyDescent="0.25">
      <c r="A11" s="519" t="s">
        <v>197</v>
      </c>
      <c r="B11" s="519" t="s">
        <v>284</v>
      </c>
      <c r="C11" s="519" t="s">
        <v>2</v>
      </c>
      <c r="D11" s="519" t="s">
        <v>16</v>
      </c>
      <c r="E11" s="519" t="s">
        <v>152</v>
      </c>
      <c r="F11" s="881">
        <v>5645.1651000000002</v>
      </c>
      <c r="G11" s="881">
        <v>5195.2849000000006</v>
      </c>
      <c r="H11" s="880">
        <v>10.321225996539999</v>
      </c>
      <c r="I11"/>
      <c r="J11"/>
      <c r="K11" s="377" t="s">
        <v>145</v>
      </c>
      <c r="L11" s="608">
        <v>12.3127169538321</v>
      </c>
      <c r="M11" s="608">
        <v>14.105762555130701</v>
      </c>
      <c r="N11" s="608">
        <v>11.7680338224409</v>
      </c>
      <c r="O11" s="608">
        <v>38.186513331403702</v>
      </c>
      <c r="P11" s="396">
        <f t="shared" si="0"/>
        <v>12.3127169538321</v>
      </c>
      <c r="Q11" s="396">
        <f t="shared" si="0"/>
        <v>14.105762555130701</v>
      </c>
      <c r="R11" s="396">
        <f t="shared" si="1"/>
        <v>11.7680338224409</v>
      </c>
      <c r="S11" s="396" t="e">
        <f ca="1">HLOOKUP(S$8&amp;$K11,'NWC_FC_NON-NOOS'!$C$4:$Q$24,MATCH($O$25,'NWC_FC_NON-NOOS'!$B$4:$B$24,0),FALSE)</f>
        <v>#N/A</v>
      </c>
      <c r="T11" s="396">
        <f ca="1">HLOOKUP(T$8&amp;$K11,'NWC_FC_NON-NOOS'!$C$4:$Q$24,MATCH($O$25,'NWC_FC_NON-NOOS'!$B$4:$B$24,0),FALSE)</f>
        <v>0</v>
      </c>
    </row>
    <row r="12" spans="1:20" x14ac:dyDescent="0.25">
      <c r="A12" s="519" t="s">
        <v>197</v>
      </c>
      <c r="B12" s="519" t="s">
        <v>284</v>
      </c>
      <c r="C12" s="519" t="s">
        <v>2</v>
      </c>
      <c r="D12" s="519" t="s">
        <v>16</v>
      </c>
      <c r="E12" s="519" t="s">
        <v>155</v>
      </c>
      <c r="F12" s="881">
        <v>3103.7169000000004</v>
      </c>
      <c r="G12" s="881">
        <v>1699.3162</v>
      </c>
      <c r="H12" s="880">
        <v>7.0591577653868196</v>
      </c>
      <c r="I12"/>
      <c r="J12"/>
      <c r="K12" s="377" t="s">
        <v>149</v>
      </c>
      <c r="L12" s="608">
        <v>11.6045966966437</v>
      </c>
      <c r="M12" s="608">
        <v>14.274249010580501</v>
      </c>
      <c r="N12" s="608">
        <v>0</v>
      </c>
      <c r="O12" s="608">
        <v>25.878845707224201</v>
      </c>
      <c r="P12" s="396">
        <f t="shared" si="0"/>
        <v>11.6045966966437</v>
      </c>
      <c r="Q12" s="396">
        <f t="shared" si="0"/>
        <v>14.274249010580501</v>
      </c>
      <c r="R12" s="396" t="e">
        <f t="shared" si="1"/>
        <v>#N/A</v>
      </c>
      <c r="S12" s="396" t="e">
        <f ca="1">HLOOKUP(S$8&amp;$K12,'NWC_FC_NON-NOOS'!$C$4:$Q$24,MATCH($O$25,'NWC_FC_NON-NOOS'!$B$4:$B$24,0),FALSE)</f>
        <v>#N/A</v>
      </c>
      <c r="T12" s="396">
        <f ca="1">HLOOKUP(T$8&amp;$K12,'NWC_FC_NON-NOOS'!$C$4:$Q$24,MATCH($O$25,'NWC_FC_NON-NOOS'!$B$4:$B$24,0),FALSE)</f>
        <v>0</v>
      </c>
    </row>
    <row r="13" spans="1:20" x14ac:dyDescent="0.25">
      <c r="A13" s="519" t="s">
        <v>197</v>
      </c>
      <c r="B13" s="519" t="s">
        <v>284</v>
      </c>
      <c r="C13" s="519" t="s">
        <v>2</v>
      </c>
      <c r="D13" s="519" t="s">
        <v>16</v>
      </c>
      <c r="E13" s="519" t="s">
        <v>153</v>
      </c>
      <c r="F13" s="881">
        <v>7165.1478000000006</v>
      </c>
      <c r="G13" s="881">
        <v>3011.9826000000003</v>
      </c>
      <c r="H13" s="880">
        <v>6.1641840621144102</v>
      </c>
      <c r="I13"/>
      <c r="J13"/>
      <c r="K13" s="377" t="s">
        <v>147</v>
      </c>
      <c r="L13" s="608">
        <v>10.196280876103101</v>
      </c>
      <c r="M13" s="608">
        <v>10.5400539216319</v>
      </c>
      <c r="N13" s="608"/>
      <c r="O13" s="608">
        <v>20.736334797735001</v>
      </c>
      <c r="P13" s="396">
        <f t="shared" si="0"/>
        <v>10.196280876103101</v>
      </c>
      <c r="Q13" s="396">
        <f t="shared" si="0"/>
        <v>10.5400539216319</v>
      </c>
      <c r="R13" s="396" t="e">
        <f t="shared" si="1"/>
        <v>#N/A</v>
      </c>
      <c r="S13" s="396" t="e">
        <f ca="1">HLOOKUP(S$8&amp;$K13,'NWC_FC_NON-NOOS'!$C$4:$Q$24,MATCH($O$25,'NWC_FC_NON-NOOS'!$B$4:$B$24,0),FALSE)</f>
        <v>#N/A</v>
      </c>
      <c r="T13" s="396">
        <f ca="1">HLOOKUP(T$8&amp;$K13,'NWC_FC_NON-NOOS'!$C$4:$Q$24,MATCH($O$25,'NWC_FC_NON-NOOS'!$B$4:$B$24,0),FALSE)</f>
        <v>0</v>
      </c>
    </row>
    <row r="14" spans="1:20" x14ac:dyDescent="0.25">
      <c r="A14" s="519" t="s">
        <v>197</v>
      </c>
      <c r="B14" s="519" t="s">
        <v>284</v>
      </c>
      <c r="C14" s="519" t="s">
        <v>2</v>
      </c>
      <c r="D14" s="519" t="s">
        <v>17</v>
      </c>
      <c r="E14" s="519" t="s">
        <v>146</v>
      </c>
      <c r="F14" s="881">
        <v>15348.199200000001</v>
      </c>
      <c r="G14" s="881">
        <v>5444.0057000000006</v>
      </c>
      <c r="H14" s="880">
        <v>7.5858031972012299</v>
      </c>
      <c r="I14"/>
      <c r="J14"/>
      <c r="K14" s="377" t="s">
        <v>148</v>
      </c>
      <c r="L14" s="608">
        <v>11.8693872360098</v>
      </c>
      <c r="M14" s="608">
        <v>22.228505369041802</v>
      </c>
      <c r="N14" s="608"/>
      <c r="O14" s="608">
        <v>34.097892605051598</v>
      </c>
      <c r="P14" s="396">
        <f t="shared" si="0"/>
        <v>11.8693872360098</v>
      </c>
      <c r="Q14" s="396">
        <f t="shared" si="0"/>
        <v>22.228505369041802</v>
      </c>
      <c r="R14" s="396" t="e">
        <f t="shared" si="1"/>
        <v>#N/A</v>
      </c>
      <c r="S14" s="396" t="e">
        <f ca="1">HLOOKUP(S$8&amp;$K14,'NWC_FC_NON-NOOS'!$C$4:$Q$24,MATCH($O$25,'NWC_FC_NON-NOOS'!$B$4:$B$24,0),FALSE)</f>
        <v>#N/A</v>
      </c>
      <c r="T14" s="396">
        <f ca="1">HLOOKUP(T$8&amp;$K14,'NWC_FC_NON-NOOS'!$C$4:$Q$24,MATCH($O$25,'NWC_FC_NON-NOOS'!$B$4:$B$24,0),FALSE)</f>
        <v>0</v>
      </c>
    </row>
    <row r="15" spans="1:20" x14ac:dyDescent="0.25">
      <c r="A15" s="519" t="s">
        <v>197</v>
      </c>
      <c r="B15" s="519" t="s">
        <v>284</v>
      </c>
      <c r="C15" s="519" t="s">
        <v>2</v>
      </c>
      <c r="D15" s="519" t="s">
        <v>17</v>
      </c>
      <c r="E15" s="519" t="s">
        <v>149</v>
      </c>
      <c r="F15" s="881">
        <v>8910.3858</v>
      </c>
      <c r="G15" s="881">
        <v>11670.4509</v>
      </c>
      <c r="H15" s="880">
        <v>0</v>
      </c>
      <c r="I15"/>
      <c r="J15"/>
      <c r="K15" s="377" t="s">
        <v>151</v>
      </c>
      <c r="L15" s="608">
        <v>20.5229374670208</v>
      </c>
      <c r="M15" s="608">
        <v>26.7263250482468</v>
      </c>
      <c r="N15" s="608"/>
      <c r="O15" s="608">
        <v>47.249262515267603</v>
      </c>
      <c r="P15" s="396">
        <f t="shared" si="0"/>
        <v>20.5229374670208</v>
      </c>
      <c r="Q15" s="396">
        <f t="shared" si="0"/>
        <v>26.7263250482468</v>
      </c>
      <c r="R15" s="396" t="e">
        <f t="shared" si="1"/>
        <v>#N/A</v>
      </c>
      <c r="S15" s="396">
        <f ca="1">HLOOKUP(S$8&amp;$K15,'NWC_FC_NON-NOOS'!$C$4:$Q$24,MATCH($O$25,'NWC_FC_NON-NOOS'!$B$4:$B$24,0),FALSE)</f>
        <v>0</v>
      </c>
      <c r="T15" s="396" t="e">
        <f ca="1">HLOOKUP(T$8&amp;$K15,'NWC_FC_NON-NOOS'!$C$4:$Q$24,MATCH($O$25,'NWC_FC_NON-NOOS'!$B$4:$B$24,0),FALSE)</f>
        <v>#N/A</v>
      </c>
    </row>
    <row r="16" spans="1:20" x14ac:dyDescent="0.25">
      <c r="A16" s="519" t="s">
        <v>197</v>
      </c>
      <c r="B16" s="519" t="s">
        <v>284</v>
      </c>
      <c r="C16" s="519" t="s">
        <v>285</v>
      </c>
      <c r="D16" s="519" t="s">
        <v>70</v>
      </c>
      <c r="E16" s="519" t="s">
        <v>146</v>
      </c>
      <c r="F16" s="881">
        <v>250442.93640000001</v>
      </c>
      <c r="G16" s="881">
        <v>88333.36480000001</v>
      </c>
      <c r="H16" s="880">
        <v>9.6539792190655405</v>
      </c>
      <c r="I16"/>
      <c r="J16"/>
      <c r="K16" s="377" t="s">
        <v>152</v>
      </c>
      <c r="L16" s="608">
        <v>21.772119551870102</v>
      </c>
      <c r="M16" s="608">
        <v>22.807690580917999</v>
      </c>
      <c r="N16" s="608"/>
      <c r="O16" s="608">
        <v>44.579810132788097</v>
      </c>
      <c r="P16" s="396">
        <f t="shared" si="0"/>
        <v>21.772119551870102</v>
      </c>
      <c r="Q16" s="396">
        <f t="shared" si="0"/>
        <v>22.807690580917999</v>
      </c>
      <c r="R16" s="396" t="e">
        <f t="shared" si="1"/>
        <v>#N/A</v>
      </c>
      <c r="S16" s="396">
        <f ca="1">HLOOKUP(S$8&amp;$K16,'NWC_FC_NON-NOOS'!$C$4:$Q$24,MATCH($O$25,'NWC_FC_NON-NOOS'!$B$4:$B$24,0),FALSE)</f>
        <v>0</v>
      </c>
      <c r="T16" s="396" t="e">
        <f ca="1">HLOOKUP(T$8&amp;$K16,'NWC_FC_NON-NOOS'!$C$4:$Q$24,MATCH($O$25,'NWC_FC_NON-NOOS'!$B$4:$B$24,0),FALSE)</f>
        <v>#N/A</v>
      </c>
    </row>
    <row r="17" spans="1:20" x14ac:dyDescent="0.25">
      <c r="A17" s="519" t="s">
        <v>197</v>
      </c>
      <c r="B17" s="519" t="s">
        <v>284</v>
      </c>
      <c r="C17" s="519" t="s">
        <v>285</v>
      </c>
      <c r="D17" s="519" t="s">
        <v>70</v>
      </c>
      <c r="E17" s="519" t="s">
        <v>149</v>
      </c>
      <c r="F17" s="881">
        <v>167051.8173</v>
      </c>
      <c r="G17" s="881">
        <v>139150.82200000001</v>
      </c>
      <c r="H17" s="880">
        <v>10.6804948346995</v>
      </c>
      <c r="I17"/>
      <c r="J17"/>
      <c r="K17" s="377" t="s">
        <v>150</v>
      </c>
      <c r="L17" s="608">
        <v>17.993218429666701</v>
      </c>
      <c r="M17" s="608">
        <v>19.346341185741899</v>
      </c>
      <c r="N17" s="608"/>
      <c r="O17" s="608">
        <v>37.339559615408604</v>
      </c>
      <c r="P17" s="396">
        <f t="shared" si="0"/>
        <v>17.993218429666701</v>
      </c>
      <c r="Q17" s="396">
        <f t="shared" si="0"/>
        <v>19.346341185741899</v>
      </c>
      <c r="R17" s="396" t="e">
        <f t="shared" si="1"/>
        <v>#N/A</v>
      </c>
      <c r="S17" s="396">
        <f ca="1">HLOOKUP(S$8&amp;$K17,'NWC_FC_NON-NOOS'!$C$4:$Q$24,MATCH($O$25,'NWC_FC_NON-NOOS'!$B$4:$B$24,0),FALSE)</f>
        <v>0</v>
      </c>
      <c r="T17" s="396" t="e">
        <f ca="1">HLOOKUP(T$8&amp;$K17,'NWC_FC_NON-NOOS'!$C$4:$Q$24,MATCH($O$25,'NWC_FC_NON-NOOS'!$B$4:$B$24,0),FALSE)</f>
        <v>#N/A</v>
      </c>
    </row>
    <row r="18" spans="1:20" x14ac:dyDescent="0.25">
      <c r="A18" s="519" t="s">
        <v>197</v>
      </c>
      <c r="B18" s="519" t="s">
        <v>284</v>
      </c>
      <c r="C18" s="519" t="s">
        <v>285</v>
      </c>
      <c r="D18" s="519" t="s">
        <v>70</v>
      </c>
      <c r="E18" s="519" t="s">
        <v>148</v>
      </c>
      <c r="F18" s="881">
        <v>165979.01579999999</v>
      </c>
      <c r="G18" s="881">
        <v>58469.721900000004</v>
      </c>
      <c r="H18" s="880">
        <v>7.0378793860743301</v>
      </c>
      <c r="I18"/>
      <c r="J18"/>
      <c r="K18" s="377" t="s">
        <v>155</v>
      </c>
      <c r="L18" s="608">
        <v>13.7310452566481</v>
      </c>
      <c r="M18" s="608">
        <v>15.3875966129233</v>
      </c>
      <c r="N18" s="608"/>
      <c r="O18" s="608">
        <v>29.118641869571398</v>
      </c>
      <c r="P18" s="396">
        <f t="shared" si="0"/>
        <v>13.7310452566481</v>
      </c>
      <c r="Q18" s="396">
        <f t="shared" si="0"/>
        <v>15.3875966129233</v>
      </c>
      <c r="R18" s="396" t="e">
        <f t="shared" si="1"/>
        <v>#N/A</v>
      </c>
      <c r="S18" s="396">
        <f ca="1">HLOOKUP(S$8&amp;$K18,'NWC_FC_NON-NOOS'!$C$4:$Q$24,MATCH($O$25,'NWC_FC_NON-NOOS'!$B$4:$B$24,0),FALSE)</f>
        <v>0</v>
      </c>
      <c r="T18" s="396" t="e">
        <f ca="1">HLOOKUP(T$8&amp;$K18,'NWC_FC_NON-NOOS'!$C$4:$Q$24,MATCH($O$25,'NWC_FC_NON-NOOS'!$B$4:$B$24,0),FALSE)</f>
        <v>#N/A</v>
      </c>
    </row>
    <row r="19" spans="1:20" x14ac:dyDescent="0.25">
      <c r="A19" s="519" t="s">
        <v>197</v>
      </c>
      <c r="B19" s="519" t="s">
        <v>284</v>
      </c>
      <c r="C19" s="519" t="s">
        <v>285</v>
      </c>
      <c r="D19" s="519" t="s">
        <v>70</v>
      </c>
      <c r="E19" s="519" t="s">
        <v>152</v>
      </c>
      <c r="F19" s="881">
        <v>249352.87410000002</v>
      </c>
      <c r="G19" s="881">
        <v>168850.73500000002</v>
      </c>
      <c r="H19" s="880">
        <v>6.2545401835265197</v>
      </c>
      <c r="I19"/>
      <c r="J19"/>
      <c r="K19" s="377" t="s">
        <v>154</v>
      </c>
      <c r="L19" s="608">
        <v>9.7227950696129497</v>
      </c>
      <c r="M19" s="608">
        <v>12.324628065831801</v>
      </c>
      <c r="N19" s="608"/>
      <c r="O19" s="608">
        <v>22.047423135444753</v>
      </c>
      <c r="P19" s="396">
        <f t="shared" si="0"/>
        <v>9.7227950696129497</v>
      </c>
      <c r="Q19" s="396">
        <f t="shared" si="0"/>
        <v>12.324628065831801</v>
      </c>
      <c r="R19" s="396" t="e">
        <f t="shared" si="1"/>
        <v>#N/A</v>
      </c>
      <c r="S19" s="396">
        <f ca="1">HLOOKUP(S$8&amp;$K19,'NWC_FC_NON-NOOS'!$C$4:$Q$24,MATCH($O$25,'NWC_FC_NON-NOOS'!$B$4:$B$24,0),FALSE)</f>
        <v>0</v>
      </c>
      <c r="T19" s="396" t="e">
        <f ca="1">HLOOKUP(T$8&amp;$K19,'NWC_FC_NON-NOOS'!$C$4:$Q$24,MATCH($O$25,'NWC_FC_NON-NOOS'!$B$4:$B$24,0),FALSE)</f>
        <v>#N/A</v>
      </c>
    </row>
    <row r="20" spans="1:20" x14ac:dyDescent="0.25">
      <c r="A20" s="519" t="s">
        <v>197</v>
      </c>
      <c r="B20" s="519" t="s">
        <v>284</v>
      </c>
      <c r="C20" s="519" t="s">
        <v>285</v>
      </c>
      <c r="D20" s="519" t="s">
        <v>70</v>
      </c>
      <c r="E20" s="519" t="s">
        <v>155</v>
      </c>
      <c r="F20" s="881">
        <v>207880.6587</v>
      </c>
      <c r="G20" s="881">
        <v>182342.00890000002</v>
      </c>
      <c r="H20" s="880">
        <v>8.5925689633880804</v>
      </c>
      <c r="I20"/>
      <c r="J20"/>
      <c r="K20" s="377" t="s">
        <v>153</v>
      </c>
      <c r="L20" s="608">
        <v>5.7103988205555103</v>
      </c>
      <c r="M20" s="608">
        <v>9.2996825127528506</v>
      </c>
      <c r="N20" s="608"/>
      <c r="O20" s="608">
        <v>15.01008133330836</v>
      </c>
      <c r="P20" s="396">
        <f t="shared" si="0"/>
        <v>5.7103988205555103</v>
      </c>
      <c r="Q20" s="396">
        <f t="shared" si="0"/>
        <v>9.2996825127528506</v>
      </c>
      <c r="R20" s="396" t="e">
        <f t="shared" si="1"/>
        <v>#N/A</v>
      </c>
      <c r="S20" s="396">
        <f ca="1">HLOOKUP(S$8&amp;$K20,'NWC_FC_NON-NOOS'!$C$4:$Q$24,MATCH($O$25,'NWC_FC_NON-NOOS'!$B$4:$B$24,0),FALSE)</f>
        <v>0</v>
      </c>
      <c r="T20" s="396" t="e">
        <f ca="1">HLOOKUP(T$8&amp;$K20,'NWC_FC_NON-NOOS'!$C$4:$Q$24,MATCH($O$25,'NWC_FC_NON-NOOS'!$B$4:$B$24,0),FALSE)</f>
        <v>#N/A</v>
      </c>
    </row>
    <row r="21" spans="1:20" x14ac:dyDescent="0.25">
      <c r="A21" s="519" t="s">
        <v>197</v>
      </c>
      <c r="B21" s="519" t="s">
        <v>284</v>
      </c>
      <c r="C21" s="519" t="s">
        <v>285</v>
      </c>
      <c r="D21" s="519" t="s">
        <v>70</v>
      </c>
      <c r="E21" s="519" t="s">
        <v>153</v>
      </c>
      <c r="F21" s="881">
        <v>232754.22480000003</v>
      </c>
      <c r="G21" s="881">
        <v>62102.433900000004</v>
      </c>
      <c r="H21" s="880">
        <v>14.2568100850034</v>
      </c>
      <c r="I21"/>
      <c r="J21"/>
      <c r="K21" s="377" t="s">
        <v>136</v>
      </c>
      <c r="L21" s="608">
        <v>150.05096620603328</v>
      </c>
      <c r="M21" s="608">
        <v>180.43460081228162</v>
      </c>
      <c r="N21" s="608">
        <v>37.037911246683798</v>
      </c>
      <c r="O21" s="608">
        <v>367.52347826499869</v>
      </c>
    </row>
    <row r="22" spans="1:20" x14ac:dyDescent="0.25">
      <c r="A22" s="519" t="s">
        <v>197</v>
      </c>
      <c r="B22" s="519" t="s">
        <v>284</v>
      </c>
      <c r="C22" s="519" t="s">
        <v>285</v>
      </c>
      <c r="D22" s="519" t="s">
        <v>16</v>
      </c>
      <c r="E22" s="519" t="s">
        <v>146</v>
      </c>
      <c r="F22" s="881">
        <v>318368.05320000002</v>
      </c>
      <c r="G22" s="881">
        <v>57813.6489</v>
      </c>
      <c r="H22" s="880">
        <v>13.308764098400999</v>
      </c>
      <c r="I22"/>
      <c r="J22"/>
      <c r="K22"/>
      <c r="L22"/>
    </row>
    <row r="23" spans="1:20" x14ac:dyDescent="0.25">
      <c r="A23" s="519" t="s">
        <v>197</v>
      </c>
      <c r="B23" s="519" t="s">
        <v>284</v>
      </c>
      <c r="C23" s="519" t="s">
        <v>285</v>
      </c>
      <c r="D23" s="519" t="s">
        <v>16</v>
      </c>
      <c r="E23" s="519" t="s">
        <v>149</v>
      </c>
      <c r="F23" s="881">
        <v>327702.63990000001</v>
      </c>
      <c r="G23" s="881">
        <v>209162.13150000002</v>
      </c>
      <c r="H23" s="880">
        <v>19.098346499114701</v>
      </c>
      <c r="I23"/>
      <c r="J23"/>
      <c r="K23" s="575" t="s">
        <v>219</v>
      </c>
      <c r="L23"/>
      <c r="P23" s="373"/>
    </row>
    <row r="24" spans="1:20" x14ac:dyDescent="0.25">
      <c r="A24" s="519" t="s">
        <v>197</v>
      </c>
      <c r="B24" s="519" t="s">
        <v>284</v>
      </c>
      <c r="C24" s="519" t="s">
        <v>285</v>
      </c>
      <c r="D24" s="519" t="s">
        <v>16</v>
      </c>
      <c r="E24" s="519" t="s">
        <v>148</v>
      </c>
      <c r="F24" s="881">
        <v>276885.85889999999</v>
      </c>
      <c r="G24" s="881">
        <v>37341.264900000002</v>
      </c>
      <c r="H24" s="880">
        <v>10.7152608136296</v>
      </c>
      <c r="I24"/>
      <c r="J24"/>
      <c r="K24"/>
      <c r="L24"/>
      <c r="P24" s="373"/>
    </row>
    <row r="25" spans="1:20" x14ac:dyDescent="0.25">
      <c r="A25" s="519" t="s">
        <v>197</v>
      </c>
      <c r="B25" s="519" t="s">
        <v>284</v>
      </c>
      <c r="C25" s="519" t="s">
        <v>285</v>
      </c>
      <c r="D25" s="519" t="s">
        <v>16</v>
      </c>
      <c r="E25" s="519" t="s">
        <v>152</v>
      </c>
      <c r="F25" s="881">
        <v>325422.14970000001</v>
      </c>
      <c r="G25" s="881">
        <v>116566.6689</v>
      </c>
      <c r="H25" s="880">
        <v>7.0295345219324696</v>
      </c>
      <c r="I25"/>
      <c r="J25"/>
      <c r="K25" s="376" t="s">
        <v>1740</v>
      </c>
      <c r="L25" s="373" t="s">
        <v>197</v>
      </c>
      <c r="N25" t="s">
        <v>223</v>
      </c>
      <c r="O25" s="61" t="str">
        <f>IF(L5="(All)","TOTAL",L5)</f>
        <v>OUTERWEAR</v>
      </c>
      <c r="P25" s="373"/>
    </row>
    <row r="26" spans="1:20" x14ac:dyDescent="0.25">
      <c r="A26" s="519" t="s">
        <v>197</v>
      </c>
      <c r="B26" s="519" t="s">
        <v>284</v>
      </c>
      <c r="C26" s="519" t="s">
        <v>285</v>
      </c>
      <c r="D26" s="519" t="s">
        <v>16</v>
      </c>
      <c r="E26" s="519" t="s">
        <v>155</v>
      </c>
      <c r="F26" s="881">
        <v>251829.78030000001</v>
      </c>
      <c r="G26" s="881">
        <v>190758.45930000002</v>
      </c>
      <c r="H26" s="880">
        <v>12.7034173462594</v>
      </c>
      <c r="I26"/>
      <c r="J26"/>
      <c r="K26"/>
      <c r="L26"/>
      <c r="P26" s="373"/>
    </row>
    <row r="27" spans="1:20" x14ac:dyDescent="0.25">
      <c r="A27" s="519" t="s">
        <v>197</v>
      </c>
      <c r="B27" s="519" t="s">
        <v>284</v>
      </c>
      <c r="C27" s="519" t="s">
        <v>2</v>
      </c>
      <c r="D27" s="519" t="s">
        <v>70</v>
      </c>
      <c r="E27" s="519" t="s">
        <v>144</v>
      </c>
      <c r="F27" s="881">
        <v>46744.459800000004</v>
      </c>
      <c r="G27" s="881">
        <v>7759.3488000000007</v>
      </c>
      <c r="H27" s="880">
        <v>12.5239995795621</v>
      </c>
      <c r="I27"/>
      <c r="J27"/>
      <c r="K27" s="376" t="s">
        <v>186</v>
      </c>
      <c r="L27" s="376" t="s">
        <v>184</v>
      </c>
      <c r="S27" s="590" t="s">
        <v>234</v>
      </c>
      <c r="T27" s="590" t="s">
        <v>234</v>
      </c>
    </row>
    <row r="28" spans="1:20" x14ac:dyDescent="0.25">
      <c r="A28" s="519" t="s">
        <v>197</v>
      </c>
      <c r="B28" s="519" t="s">
        <v>284</v>
      </c>
      <c r="C28" s="519" t="s">
        <v>2</v>
      </c>
      <c r="D28" s="519" t="s">
        <v>70</v>
      </c>
      <c r="E28" s="519" t="s">
        <v>145</v>
      </c>
      <c r="F28" s="881">
        <v>25632.036900000003</v>
      </c>
      <c r="G28" s="881">
        <v>16665.364700000002</v>
      </c>
      <c r="H28" s="880">
        <v>10.790626994510101</v>
      </c>
      <c r="I28"/>
      <c r="J28"/>
      <c r="K28" s="376" t="s">
        <v>135</v>
      </c>
      <c r="L28" s="373" t="s">
        <v>70</v>
      </c>
      <c r="M28" s="373" t="s">
        <v>16</v>
      </c>
      <c r="N28" s="373" t="s">
        <v>17</v>
      </c>
      <c r="O28" s="373" t="s">
        <v>136</v>
      </c>
      <c r="P28" s="1" t="str">
        <f>L28</f>
        <v>16/17</v>
      </c>
      <c r="Q28" s="1" t="str">
        <f>M28</f>
        <v>17/18</v>
      </c>
      <c r="R28" s="1" t="str">
        <f>N28</f>
        <v>18/19</v>
      </c>
      <c r="S28" s="1" t="str">
        <f ca="1">TIME!$M$27</f>
        <v>18/19</v>
      </c>
      <c r="T28" s="1" t="str">
        <f ca="1">TIME!$M$31</f>
        <v>19/20</v>
      </c>
    </row>
    <row r="29" spans="1:20" x14ac:dyDescent="0.25">
      <c r="A29" s="519" t="s">
        <v>197</v>
      </c>
      <c r="B29" s="519" t="s">
        <v>284</v>
      </c>
      <c r="C29" s="519" t="s">
        <v>2</v>
      </c>
      <c r="D29" s="519" t="s">
        <v>70</v>
      </c>
      <c r="E29" s="519" t="s">
        <v>147</v>
      </c>
      <c r="F29" s="881">
        <v>13512.621000000001</v>
      </c>
      <c r="G29" s="881">
        <v>8060.1308000000008</v>
      </c>
      <c r="H29" s="880">
        <v>15.7319265044218</v>
      </c>
      <c r="I29"/>
      <c r="J29"/>
      <c r="K29" s="377" t="s">
        <v>144</v>
      </c>
      <c r="L29" s="393">
        <v>406773.35100000002</v>
      </c>
      <c r="M29" s="393">
        <v>484224.67170000001</v>
      </c>
      <c r="N29" s="393">
        <v>827802.57900000003</v>
      </c>
      <c r="O29" s="393">
        <v>1718800.6017</v>
      </c>
      <c r="P29" s="397">
        <f t="shared" ref="P29:P40" si="2">L29</f>
        <v>406773.35100000002</v>
      </c>
      <c r="Q29" s="397">
        <f t="shared" ref="Q29:Q40" si="3">M29</f>
        <v>484224.67170000001</v>
      </c>
      <c r="R29" s="397">
        <f t="shared" ref="R29:R40" si="4">IF(N29=0,NA(),N29)</f>
        <v>827802.57900000003</v>
      </c>
      <c r="S29" s="397" t="e">
        <f ca="1">HLOOKUP(S$28&amp;$K29,'NWC_FC_NON-NOOS'!$T$4:$AH$24,MATCH($O$25,'NWC_FC_NON-NOOS'!$S$4:$S$24,0),FALSE)</f>
        <v>#N/A</v>
      </c>
      <c r="T29" s="397">
        <f ca="1">HLOOKUP(T$28&amp;$K29,'NWC_FC_NON-NOOS'!$T$4:$AH$24,MATCH(HIS_STOCK!$O$25,'NWC_FC_NON-NOOS'!$S$4:$S$24,0),FALSE)</f>
        <v>0</v>
      </c>
    </row>
    <row r="30" spans="1:20" x14ac:dyDescent="0.25">
      <c r="A30" s="519" t="s">
        <v>197</v>
      </c>
      <c r="B30" s="519" t="s">
        <v>284</v>
      </c>
      <c r="C30" s="519" t="s">
        <v>2</v>
      </c>
      <c r="D30" s="519" t="s">
        <v>70</v>
      </c>
      <c r="E30" s="519" t="s">
        <v>151</v>
      </c>
      <c r="F30" s="881">
        <v>12143.344800000001</v>
      </c>
      <c r="G30" s="881">
        <v>1425.5991000000001</v>
      </c>
      <c r="H30" s="880">
        <v>10.2025114554389</v>
      </c>
      <c r="I30"/>
      <c r="J30"/>
      <c r="K30" s="377" t="s">
        <v>146</v>
      </c>
      <c r="L30" s="393">
        <v>565561.34640000004</v>
      </c>
      <c r="M30" s="393">
        <v>616823.79269999999</v>
      </c>
      <c r="N30" s="393">
        <v>815999.65140000009</v>
      </c>
      <c r="O30" s="393">
        <v>1998384.7905000001</v>
      </c>
      <c r="P30" s="397">
        <f t="shared" si="2"/>
        <v>565561.34640000004</v>
      </c>
      <c r="Q30" s="397">
        <f t="shared" si="3"/>
        <v>616823.79269999999</v>
      </c>
      <c r="R30" s="397">
        <f t="shared" si="4"/>
        <v>815999.65140000009</v>
      </c>
      <c r="S30" s="397" t="e">
        <f ca="1">HLOOKUP(S$28&amp;$K30,'NWC_FC_NON-NOOS'!$T$4:$AH$24,MATCH($O$25,'NWC_FC_NON-NOOS'!$S$4:$S$24,0),FALSE)</f>
        <v>#N/A</v>
      </c>
      <c r="T30" s="397">
        <f ca="1">HLOOKUP(T$28&amp;$K30,'NWC_FC_NON-NOOS'!$T$4:$AH$24,MATCH(HIS_STOCK!$O$25,'NWC_FC_NON-NOOS'!$S$4:$S$24,0),FALSE)</f>
        <v>0</v>
      </c>
    </row>
    <row r="31" spans="1:20" x14ac:dyDescent="0.25">
      <c r="A31" s="519" t="s">
        <v>197</v>
      </c>
      <c r="B31" s="519" t="s">
        <v>284</v>
      </c>
      <c r="C31" s="519" t="s">
        <v>2</v>
      </c>
      <c r="D31" s="519" t="s">
        <v>70</v>
      </c>
      <c r="E31" s="519" t="s">
        <v>150</v>
      </c>
      <c r="F31" s="881">
        <v>4192.9794000000002</v>
      </c>
      <c r="G31" s="881">
        <v>4596.2874000000002</v>
      </c>
      <c r="H31" s="880">
        <v>4.1954184992340098</v>
      </c>
      <c r="I31"/>
      <c r="J31"/>
      <c r="K31" s="377" t="s">
        <v>145</v>
      </c>
      <c r="L31" s="393">
        <v>365912.19210000004</v>
      </c>
      <c r="M31" s="393">
        <v>627474.75719999999</v>
      </c>
      <c r="N31" s="393">
        <v>662474.3493</v>
      </c>
      <c r="O31" s="393">
        <v>1655861.2985999999</v>
      </c>
      <c r="P31" s="397">
        <f t="shared" si="2"/>
        <v>365912.19210000004</v>
      </c>
      <c r="Q31" s="397">
        <f t="shared" si="3"/>
        <v>627474.75719999999</v>
      </c>
      <c r="R31" s="397">
        <f t="shared" si="4"/>
        <v>662474.3493</v>
      </c>
      <c r="S31" s="397" t="e">
        <f ca="1">HLOOKUP(S$28&amp;$K31,'NWC_FC_NON-NOOS'!$T$4:$AH$24,MATCH($O$25,'NWC_FC_NON-NOOS'!$S$4:$S$24,0),FALSE)</f>
        <v>#N/A</v>
      </c>
      <c r="T31" s="397">
        <f ca="1">HLOOKUP(T$28&amp;$K31,'NWC_FC_NON-NOOS'!$T$4:$AH$24,MATCH(HIS_STOCK!$O$25,'NWC_FC_NON-NOOS'!$S$4:$S$24,0),FALSE)</f>
        <v>0</v>
      </c>
    </row>
    <row r="32" spans="1:20" x14ac:dyDescent="0.25">
      <c r="A32" s="519" t="s">
        <v>197</v>
      </c>
      <c r="B32" s="519" t="s">
        <v>284</v>
      </c>
      <c r="C32" s="519" t="s">
        <v>2</v>
      </c>
      <c r="D32" s="519" t="s">
        <v>70</v>
      </c>
      <c r="E32" s="519" t="s">
        <v>154</v>
      </c>
      <c r="F32" s="881">
        <v>5151.5862000000006</v>
      </c>
      <c r="G32" s="881">
        <v>1671.7303000000002</v>
      </c>
      <c r="H32" s="880">
        <v>6.2761047712888098</v>
      </c>
      <c r="I32"/>
      <c r="J32"/>
      <c r="K32" s="377" t="s">
        <v>149</v>
      </c>
      <c r="L32" s="393">
        <v>307620.08040000004</v>
      </c>
      <c r="M32" s="393">
        <v>367041.40740000003</v>
      </c>
      <c r="N32" s="393">
        <v>469605.03450000001</v>
      </c>
      <c r="O32" s="393">
        <v>1144266.5223000001</v>
      </c>
      <c r="P32" s="397">
        <f t="shared" si="2"/>
        <v>307620.08040000004</v>
      </c>
      <c r="Q32" s="397">
        <f t="shared" si="3"/>
        <v>367041.40740000003</v>
      </c>
      <c r="R32" s="397">
        <f t="shared" si="4"/>
        <v>469605.03450000001</v>
      </c>
      <c r="S32" s="397" t="e">
        <f ca="1">HLOOKUP(S$28&amp;$K32,'NWC_FC_NON-NOOS'!$T$4:$AH$24,MATCH($O$25,'NWC_FC_NON-NOOS'!$S$4:$S$24,0),FALSE)</f>
        <v>#N/A</v>
      </c>
      <c r="T32" s="397">
        <f ca="1">HLOOKUP(T$28&amp;$K32,'NWC_FC_NON-NOOS'!$T$4:$AH$24,MATCH(HIS_STOCK!$O$25,'NWC_FC_NON-NOOS'!$S$4:$S$24,0),FALSE)</f>
        <v>0</v>
      </c>
    </row>
    <row r="33" spans="1:20" x14ac:dyDescent="0.25">
      <c r="A33" s="519" t="s">
        <v>197</v>
      </c>
      <c r="B33" s="519" t="s">
        <v>284</v>
      </c>
      <c r="C33" s="519" t="s">
        <v>2</v>
      </c>
      <c r="D33" s="519" t="s">
        <v>16</v>
      </c>
      <c r="E33" s="519" t="s">
        <v>144</v>
      </c>
      <c r="F33" s="881">
        <v>16618.588500000002</v>
      </c>
      <c r="G33" s="881">
        <v>7082.4365000000007</v>
      </c>
      <c r="H33" s="880">
        <v>8.55117454400472</v>
      </c>
      <c r="I33"/>
      <c r="J33"/>
      <c r="K33" s="377" t="s">
        <v>147</v>
      </c>
      <c r="L33" s="393">
        <v>348337.34040000004</v>
      </c>
      <c r="M33" s="393">
        <v>386110.67610000004</v>
      </c>
      <c r="N33" s="393"/>
      <c r="O33" s="393">
        <v>734448.01650000014</v>
      </c>
      <c r="P33" s="397">
        <f t="shared" si="2"/>
        <v>348337.34040000004</v>
      </c>
      <c r="Q33" s="397">
        <f t="shared" si="3"/>
        <v>386110.67610000004</v>
      </c>
      <c r="R33" s="397" t="e">
        <f t="shared" si="4"/>
        <v>#N/A</v>
      </c>
      <c r="S33" s="397" t="e">
        <f ca="1">HLOOKUP(S$28&amp;$K33,'NWC_FC_NON-NOOS'!$T$4:$AH$24,MATCH($O$25,'NWC_FC_NON-NOOS'!$S$4:$S$24,0),FALSE)</f>
        <v>#N/A</v>
      </c>
      <c r="T33" s="397">
        <f ca="1">HLOOKUP(T$28&amp;$K33,'NWC_FC_NON-NOOS'!$T$4:$AH$24,MATCH(HIS_STOCK!$O$25,'NWC_FC_NON-NOOS'!$S$4:$S$24,0),FALSE)</f>
        <v>0</v>
      </c>
    </row>
    <row r="34" spans="1:20" x14ac:dyDescent="0.25">
      <c r="A34" s="519" t="s">
        <v>197</v>
      </c>
      <c r="B34" s="519" t="s">
        <v>284</v>
      </c>
      <c r="C34" s="519" t="s">
        <v>2</v>
      </c>
      <c r="D34" s="519" t="s">
        <v>16</v>
      </c>
      <c r="E34" s="519" t="s">
        <v>145</v>
      </c>
      <c r="F34" s="881">
        <v>15764.643900000001</v>
      </c>
      <c r="G34" s="881">
        <v>7824.1215000000002</v>
      </c>
      <c r="H34" s="880">
        <v>7.3343705703435198</v>
      </c>
      <c r="I34"/>
      <c r="J34"/>
      <c r="K34" s="377" t="s">
        <v>148</v>
      </c>
      <c r="L34" s="393">
        <v>407584.2831</v>
      </c>
      <c r="M34" s="393">
        <v>599610.92489999998</v>
      </c>
      <c r="N34" s="393"/>
      <c r="O34" s="393">
        <v>1007195.208</v>
      </c>
      <c r="P34" s="397">
        <f t="shared" si="2"/>
        <v>407584.2831</v>
      </c>
      <c r="Q34" s="397">
        <f t="shared" si="3"/>
        <v>599610.92489999998</v>
      </c>
      <c r="R34" s="397" t="e">
        <f t="shared" si="4"/>
        <v>#N/A</v>
      </c>
      <c r="S34" s="397" t="e">
        <f ca="1">HLOOKUP(S$28&amp;$K34,'NWC_FC_NON-NOOS'!$T$4:$AH$24,MATCH($O$25,'NWC_FC_NON-NOOS'!$S$4:$S$24,0),FALSE)</f>
        <v>#N/A</v>
      </c>
      <c r="T34" s="397">
        <f ca="1">HLOOKUP(T$28&amp;$K34,'NWC_FC_NON-NOOS'!$T$4:$AH$24,MATCH(HIS_STOCK!$O$25,'NWC_FC_NON-NOOS'!$S$4:$S$24,0),FALSE)</f>
        <v>0</v>
      </c>
    </row>
    <row r="35" spans="1:20" x14ac:dyDescent="0.25">
      <c r="A35" s="519" t="s">
        <v>197</v>
      </c>
      <c r="B35" s="519" t="s">
        <v>284</v>
      </c>
      <c r="C35" s="519" t="s">
        <v>2</v>
      </c>
      <c r="D35" s="519" t="s">
        <v>16</v>
      </c>
      <c r="E35" s="519" t="s">
        <v>147</v>
      </c>
      <c r="F35" s="881">
        <v>8489.6630999999998</v>
      </c>
      <c r="G35" s="881">
        <v>4740.5623000000005</v>
      </c>
      <c r="H35" s="880">
        <v>7.8230996295441901</v>
      </c>
      <c r="I35"/>
      <c r="J35"/>
      <c r="K35" s="377" t="s">
        <v>151</v>
      </c>
      <c r="L35" s="393">
        <v>416373.7317</v>
      </c>
      <c r="M35" s="393">
        <v>771037.56450000009</v>
      </c>
      <c r="N35" s="393"/>
      <c r="O35" s="393">
        <v>1187411.2962000002</v>
      </c>
      <c r="P35" s="397">
        <f t="shared" si="2"/>
        <v>416373.7317</v>
      </c>
      <c r="Q35" s="397">
        <f t="shared" si="3"/>
        <v>771037.56450000009</v>
      </c>
      <c r="R35" s="397" t="e">
        <f t="shared" si="4"/>
        <v>#N/A</v>
      </c>
      <c r="S35" s="397">
        <f ca="1">HLOOKUP(S$28&amp;$K35,'NWC_FC_NON-NOOS'!$T$4:$AH$24,MATCH($O$25,'NWC_FC_NON-NOOS'!$S$4:$S$24,0),FALSE)</f>
        <v>0</v>
      </c>
      <c r="T35" s="397" t="e">
        <f ca="1">HLOOKUP(T$28&amp;$K35,'NWC_FC_NON-NOOS'!$T$4:$AH$24,MATCH(HIS_STOCK!$O$25,'NWC_FC_NON-NOOS'!$S$4:$S$24,0),FALSE)</f>
        <v>#N/A</v>
      </c>
    </row>
    <row r="36" spans="1:20" x14ac:dyDescent="0.25">
      <c r="A36" s="519" t="s">
        <v>197</v>
      </c>
      <c r="B36" s="519" t="s">
        <v>284</v>
      </c>
      <c r="C36" s="519" t="s">
        <v>2</v>
      </c>
      <c r="D36" s="519" t="s">
        <v>16</v>
      </c>
      <c r="E36" s="519" t="s">
        <v>151</v>
      </c>
      <c r="F36" s="881">
        <v>9302.9853000000003</v>
      </c>
      <c r="G36" s="881">
        <v>5499.0093999999999</v>
      </c>
      <c r="H36" s="880">
        <v>10.195686623831401</v>
      </c>
      <c r="I36"/>
      <c r="J36"/>
      <c r="K36" s="377" t="s">
        <v>152</v>
      </c>
      <c r="L36" s="393">
        <v>363560.03610000003</v>
      </c>
      <c r="M36" s="393">
        <v>576407.00640000007</v>
      </c>
      <c r="N36" s="393"/>
      <c r="O36" s="393">
        <v>939967.0425000001</v>
      </c>
      <c r="P36" s="397">
        <f t="shared" si="2"/>
        <v>363560.03610000003</v>
      </c>
      <c r="Q36" s="397">
        <f t="shared" si="3"/>
        <v>576407.00640000007</v>
      </c>
      <c r="R36" s="397" t="e">
        <f t="shared" si="4"/>
        <v>#N/A</v>
      </c>
      <c r="S36" s="397">
        <f ca="1">HLOOKUP(S$28&amp;$K36,'NWC_FC_NON-NOOS'!$T$4:$AH$24,MATCH($O$25,'NWC_FC_NON-NOOS'!$S$4:$S$24,0),FALSE)</f>
        <v>0</v>
      </c>
      <c r="T36" s="397" t="e">
        <f ca="1">HLOOKUP(T$28&amp;$K36,'NWC_FC_NON-NOOS'!$T$4:$AH$24,MATCH(HIS_STOCK!$O$25,'NWC_FC_NON-NOOS'!$S$4:$S$24,0),FALSE)</f>
        <v>#N/A</v>
      </c>
    </row>
    <row r="37" spans="1:20" x14ac:dyDescent="0.25">
      <c r="A37" s="519" t="s">
        <v>197</v>
      </c>
      <c r="B37" s="519" t="s">
        <v>284</v>
      </c>
      <c r="C37" s="519" t="s">
        <v>2</v>
      </c>
      <c r="D37" s="519" t="s">
        <v>16</v>
      </c>
      <c r="E37" s="519" t="s">
        <v>150</v>
      </c>
      <c r="F37" s="881">
        <v>4769.6259</v>
      </c>
      <c r="G37" s="881">
        <v>3477.1013000000003</v>
      </c>
      <c r="H37" s="880">
        <v>11.311464608062501</v>
      </c>
      <c r="I37"/>
      <c r="J37"/>
      <c r="K37" s="377" t="s">
        <v>150</v>
      </c>
      <c r="L37" s="393">
        <v>287368.38180000003</v>
      </c>
      <c r="M37" s="393">
        <v>464717.08470000001</v>
      </c>
      <c r="N37" s="393"/>
      <c r="O37" s="393">
        <v>752085.4665000001</v>
      </c>
      <c r="P37" s="397">
        <f t="shared" si="2"/>
        <v>287368.38180000003</v>
      </c>
      <c r="Q37" s="397">
        <f t="shared" si="3"/>
        <v>464717.08470000001</v>
      </c>
      <c r="R37" s="397" t="e">
        <f t="shared" si="4"/>
        <v>#N/A</v>
      </c>
      <c r="S37" s="397">
        <f ca="1">HLOOKUP(S$28&amp;$K37,'NWC_FC_NON-NOOS'!$T$4:$AH$24,MATCH($O$25,'NWC_FC_NON-NOOS'!$S$4:$S$24,0),FALSE)</f>
        <v>0</v>
      </c>
      <c r="T37" s="397" t="e">
        <f ca="1">HLOOKUP(T$28&amp;$K37,'NWC_FC_NON-NOOS'!$T$4:$AH$24,MATCH(HIS_STOCK!$O$25,'NWC_FC_NON-NOOS'!$S$4:$S$24,0),FALSE)</f>
        <v>#N/A</v>
      </c>
    </row>
    <row r="38" spans="1:20" x14ac:dyDescent="0.25">
      <c r="A38" s="519" t="s">
        <v>197</v>
      </c>
      <c r="B38" s="519" t="s">
        <v>284</v>
      </c>
      <c r="C38" s="519" t="s">
        <v>2</v>
      </c>
      <c r="D38" s="519" t="s">
        <v>16</v>
      </c>
      <c r="E38" s="519" t="s">
        <v>154</v>
      </c>
      <c r="F38" s="881">
        <v>3746.1144000000004</v>
      </c>
      <c r="G38" s="881">
        <v>1171.0343</v>
      </c>
      <c r="H38" s="880">
        <v>4.9569751693735098</v>
      </c>
      <c r="I38"/>
      <c r="J38"/>
      <c r="K38" s="377" t="s">
        <v>155</v>
      </c>
      <c r="L38" s="393">
        <v>256428.41640000002</v>
      </c>
      <c r="M38" s="393">
        <v>523101.84299999999</v>
      </c>
      <c r="N38" s="393"/>
      <c r="O38" s="393">
        <v>779530.25939999998</v>
      </c>
      <c r="P38" s="397">
        <f t="shared" si="2"/>
        <v>256428.41640000002</v>
      </c>
      <c r="Q38" s="397">
        <f t="shared" si="3"/>
        <v>523101.84299999999</v>
      </c>
      <c r="R38" s="397" t="e">
        <f t="shared" si="4"/>
        <v>#N/A</v>
      </c>
      <c r="S38" s="397">
        <f ca="1">HLOOKUP(S$28&amp;$K38,'NWC_FC_NON-NOOS'!$T$4:$AH$24,MATCH($O$25,'NWC_FC_NON-NOOS'!$S$4:$S$24,0),FALSE)</f>
        <v>0</v>
      </c>
      <c r="T38" s="397" t="e">
        <f ca="1">HLOOKUP(T$28&amp;$K38,'NWC_FC_NON-NOOS'!$T$4:$AH$24,MATCH(HIS_STOCK!$O$25,'NWC_FC_NON-NOOS'!$S$4:$S$24,0),FALSE)</f>
        <v>#N/A</v>
      </c>
    </row>
    <row r="39" spans="1:20" x14ac:dyDescent="0.25">
      <c r="A39" s="519" t="s">
        <v>197</v>
      </c>
      <c r="B39" s="519" t="s">
        <v>284</v>
      </c>
      <c r="C39" s="519" t="s">
        <v>2</v>
      </c>
      <c r="D39" s="519" t="s">
        <v>17</v>
      </c>
      <c r="E39" s="519" t="s">
        <v>144</v>
      </c>
      <c r="F39" s="881">
        <v>12329.270400000001</v>
      </c>
      <c r="G39" s="881">
        <v>4805.0016000000005</v>
      </c>
      <c r="H39" s="880">
        <v>8.7676187618423604</v>
      </c>
      <c r="I39"/>
      <c r="J39"/>
      <c r="K39" s="377" t="s">
        <v>154</v>
      </c>
      <c r="L39" s="393">
        <v>260174.3634</v>
      </c>
      <c r="M39" s="393">
        <v>572154.64650000003</v>
      </c>
      <c r="N39" s="393"/>
      <c r="O39" s="393">
        <v>832329.00990000006</v>
      </c>
      <c r="P39" s="397">
        <f t="shared" si="2"/>
        <v>260174.3634</v>
      </c>
      <c r="Q39" s="397">
        <f t="shared" si="3"/>
        <v>572154.64650000003</v>
      </c>
      <c r="R39" s="397" t="e">
        <f t="shared" si="4"/>
        <v>#N/A</v>
      </c>
      <c r="S39" s="397">
        <f ca="1">HLOOKUP(S$28&amp;$K39,'NWC_FC_NON-NOOS'!$T$4:$AH$24,MATCH($O$25,'NWC_FC_NON-NOOS'!$S$4:$S$24,0),FALSE)</f>
        <v>0</v>
      </c>
      <c r="T39" s="397" t="e">
        <f ca="1">HLOOKUP(T$28&amp;$K39,'NWC_FC_NON-NOOS'!$T$4:$AH$24,MATCH(HIS_STOCK!$O$25,'NWC_FC_NON-NOOS'!$S$4:$S$24,0),FALSE)</f>
        <v>#N/A</v>
      </c>
    </row>
    <row r="40" spans="1:20" x14ac:dyDescent="0.25">
      <c r="A40" s="519" t="s">
        <v>197</v>
      </c>
      <c r="B40" s="519" t="s">
        <v>284</v>
      </c>
      <c r="C40" s="519" t="s">
        <v>2</v>
      </c>
      <c r="D40" s="519" t="s">
        <v>17</v>
      </c>
      <c r="E40" s="519" t="s">
        <v>145</v>
      </c>
      <c r="F40" s="881">
        <v>15337.4856</v>
      </c>
      <c r="G40" s="881">
        <v>6430.3376000000007</v>
      </c>
      <c r="H40" s="880">
        <v>5.6511259629223103</v>
      </c>
      <c r="I40"/>
      <c r="J40"/>
      <c r="K40" s="377" t="s">
        <v>153</v>
      </c>
      <c r="L40" s="393">
        <v>229475.5098</v>
      </c>
      <c r="M40" s="393">
        <v>618212.478</v>
      </c>
      <c r="N40" s="393"/>
      <c r="O40" s="393">
        <v>847687.9878</v>
      </c>
      <c r="P40" s="397">
        <f t="shared" si="2"/>
        <v>229475.5098</v>
      </c>
      <c r="Q40" s="397">
        <f t="shared" si="3"/>
        <v>618212.478</v>
      </c>
      <c r="R40" s="397" t="e">
        <f t="shared" si="4"/>
        <v>#N/A</v>
      </c>
      <c r="S40" s="397">
        <f ca="1">HLOOKUP(S$28&amp;$K40,'NWC_FC_NON-NOOS'!$T$4:$AH$24,MATCH($O$25,'NWC_FC_NON-NOOS'!$S$4:$S$24,0),FALSE)</f>
        <v>0</v>
      </c>
      <c r="T40" s="397" t="e">
        <f ca="1">HLOOKUP(T$28&amp;$K40,'NWC_FC_NON-NOOS'!$T$4:$AH$24,MATCH(HIS_STOCK!$O$25,'NWC_FC_NON-NOOS'!$S$4:$S$24,0),FALSE)</f>
        <v>#N/A</v>
      </c>
    </row>
    <row r="41" spans="1:20" x14ac:dyDescent="0.25">
      <c r="A41" s="519" t="s">
        <v>197</v>
      </c>
      <c r="B41" s="519" t="s">
        <v>284</v>
      </c>
      <c r="C41" s="519" t="s">
        <v>285</v>
      </c>
      <c r="D41" s="519" t="s">
        <v>70</v>
      </c>
      <c r="E41" s="519" t="s">
        <v>144</v>
      </c>
      <c r="F41" s="881">
        <v>269493.12150000001</v>
      </c>
      <c r="G41" s="881">
        <v>36297.081200000001</v>
      </c>
      <c r="H41" s="880">
        <v>11.367196531113601</v>
      </c>
      <c r="I41"/>
      <c r="J41"/>
      <c r="K41" s="377" t="s">
        <v>136</v>
      </c>
      <c r="L41" s="393">
        <v>4215169.0326000005</v>
      </c>
      <c r="M41" s="393">
        <v>6606916.8531000009</v>
      </c>
      <c r="N41" s="393">
        <v>2775881.6142000002</v>
      </c>
      <c r="O41" s="393">
        <v>13597967.499900002</v>
      </c>
    </row>
    <row r="42" spans="1:20" x14ac:dyDescent="0.25">
      <c r="A42" s="519" t="s">
        <v>197</v>
      </c>
      <c r="B42" s="519" t="s">
        <v>284</v>
      </c>
      <c r="C42" s="519" t="s">
        <v>285</v>
      </c>
      <c r="D42" s="519" t="s">
        <v>70</v>
      </c>
      <c r="E42" s="519" t="s">
        <v>145</v>
      </c>
      <c r="F42" s="881">
        <v>239269.8327</v>
      </c>
      <c r="G42" s="881">
        <v>91611.460900000005</v>
      </c>
      <c r="H42" s="880">
        <v>10.058075122980901</v>
      </c>
      <c r="I42"/>
      <c r="J42"/>
      <c r="K42"/>
      <c r="L42"/>
    </row>
    <row r="43" spans="1:20" x14ac:dyDescent="0.25">
      <c r="A43" s="519" t="s">
        <v>197</v>
      </c>
      <c r="B43" s="519" t="s">
        <v>284</v>
      </c>
      <c r="C43" s="519" t="s">
        <v>285</v>
      </c>
      <c r="D43" s="519" t="s">
        <v>70</v>
      </c>
      <c r="E43" s="519" t="s">
        <v>147</v>
      </c>
      <c r="F43" s="881">
        <v>171647.17050000001</v>
      </c>
      <c r="G43" s="881">
        <v>80292.674200000009</v>
      </c>
      <c r="H43" s="880">
        <v>9.9932199212517503</v>
      </c>
      <c r="I43"/>
      <c r="J43"/>
      <c r="K43" s="575" t="s">
        <v>221</v>
      </c>
      <c r="L43"/>
      <c r="P43" s="373"/>
    </row>
    <row r="44" spans="1:20" x14ac:dyDescent="0.25">
      <c r="A44" s="519" t="s">
        <v>197</v>
      </c>
      <c r="B44" s="519" t="s">
        <v>284</v>
      </c>
      <c r="C44" s="519" t="s">
        <v>285</v>
      </c>
      <c r="D44" s="519" t="s">
        <v>70</v>
      </c>
      <c r="E44" s="519" t="s">
        <v>151</v>
      </c>
      <c r="F44" s="881">
        <v>205163.25450000001</v>
      </c>
      <c r="G44" s="881">
        <v>58469.028200000001</v>
      </c>
      <c r="H44" s="880">
        <v>5.2379677435719101</v>
      </c>
      <c r="I44"/>
      <c r="J44"/>
      <c r="K44"/>
      <c r="L44"/>
      <c r="P44" s="373"/>
    </row>
    <row r="45" spans="1:20" x14ac:dyDescent="0.25">
      <c r="A45" s="519" t="s">
        <v>197</v>
      </c>
      <c r="B45" s="519" t="s">
        <v>284</v>
      </c>
      <c r="C45" s="519" t="s">
        <v>285</v>
      </c>
      <c r="D45" s="519" t="s">
        <v>70</v>
      </c>
      <c r="E45" s="519" t="s">
        <v>150</v>
      </c>
      <c r="F45" s="881">
        <v>245369.67480000001</v>
      </c>
      <c r="G45" s="881">
        <v>166470.36629999999</v>
      </c>
      <c r="H45" s="880">
        <v>6.1577506061652603</v>
      </c>
      <c r="I45"/>
      <c r="J45"/>
      <c r="K45" s="376" t="s">
        <v>1740</v>
      </c>
      <c r="L45" s="373" t="s">
        <v>197</v>
      </c>
      <c r="M45" s="373"/>
      <c r="N45" s="373"/>
      <c r="O45" s="373"/>
      <c r="P45" s="373"/>
      <c r="Q45" s="373"/>
      <c r="R45" s="373"/>
    </row>
    <row r="46" spans="1:20" x14ac:dyDescent="0.25">
      <c r="A46" s="519" t="s">
        <v>197</v>
      </c>
      <c r="B46" s="519" t="s">
        <v>284</v>
      </c>
      <c r="C46" s="519" t="s">
        <v>285</v>
      </c>
      <c r="D46" s="519" t="s">
        <v>70</v>
      </c>
      <c r="E46" s="519" t="s">
        <v>154</v>
      </c>
      <c r="F46" s="881">
        <v>229909.4571</v>
      </c>
      <c r="G46" s="881">
        <v>145885.54699999999</v>
      </c>
      <c r="H46" s="880">
        <v>17.221611572360601</v>
      </c>
      <c r="I46"/>
      <c r="J46"/>
      <c r="K46" s="373"/>
      <c r="M46" s="373"/>
      <c r="N46" s="373"/>
      <c r="O46" s="373"/>
      <c r="P46" s="373"/>
      <c r="Q46" s="373"/>
      <c r="R46" s="373"/>
    </row>
    <row r="47" spans="1:20" x14ac:dyDescent="0.25">
      <c r="A47" s="519" t="s">
        <v>197</v>
      </c>
      <c r="B47" s="519" t="s">
        <v>284</v>
      </c>
      <c r="C47" s="519" t="s">
        <v>285</v>
      </c>
      <c r="D47" s="519" t="s">
        <v>16</v>
      </c>
      <c r="E47" s="519" t="s">
        <v>144</v>
      </c>
      <c r="F47" s="881">
        <v>291445.25070000003</v>
      </c>
      <c r="G47" s="881">
        <v>27069.0795</v>
      </c>
      <c r="H47" s="880">
        <v>11.719884741851601</v>
      </c>
      <c r="I47"/>
      <c r="J47"/>
      <c r="K47" s="376" t="s">
        <v>220</v>
      </c>
      <c r="L47" s="376" t="s">
        <v>184</v>
      </c>
      <c r="Q47" s="373"/>
      <c r="R47" s="373"/>
      <c r="S47" s="590" t="s">
        <v>234</v>
      </c>
      <c r="T47" s="590" t="s">
        <v>234</v>
      </c>
    </row>
    <row r="48" spans="1:20" x14ac:dyDescent="0.25">
      <c r="A48" s="519" t="s">
        <v>197</v>
      </c>
      <c r="B48" s="519" t="s">
        <v>284</v>
      </c>
      <c r="C48" s="519" t="s">
        <v>285</v>
      </c>
      <c r="D48" s="519" t="s">
        <v>16</v>
      </c>
      <c r="E48" s="519" t="s">
        <v>145</v>
      </c>
      <c r="F48" s="881">
        <v>374770.56300000002</v>
      </c>
      <c r="G48" s="881">
        <v>81873.057000000001</v>
      </c>
      <c r="H48" s="880">
        <v>18.848216412745099</v>
      </c>
      <c r="I48"/>
      <c r="J48"/>
      <c r="K48" s="376" t="s">
        <v>135</v>
      </c>
      <c r="L48" s="373" t="s">
        <v>70</v>
      </c>
      <c r="M48" s="373" t="s">
        <v>16</v>
      </c>
      <c r="N48" s="373" t="s">
        <v>17</v>
      </c>
      <c r="O48" s="373" t="s">
        <v>136</v>
      </c>
      <c r="P48" s="1" t="str">
        <f>L48</f>
        <v>16/17</v>
      </c>
      <c r="Q48" s="218" t="str">
        <f>M48</f>
        <v>17/18</v>
      </c>
      <c r="R48" s="218" t="str">
        <f>N48</f>
        <v>18/19</v>
      </c>
      <c r="S48" s="1" t="str">
        <f ca="1">TIME!$M$27</f>
        <v>18/19</v>
      </c>
      <c r="T48" s="1" t="str">
        <f ca="1">TIME!$M$31</f>
        <v>19/20</v>
      </c>
    </row>
    <row r="49" spans="1:20" x14ac:dyDescent="0.25">
      <c r="A49" s="519" t="s">
        <v>197</v>
      </c>
      <c r="B49" s="519" t="s">
        <v>284</v>
      </c>
      <c r="C49" s="519" t="s">
        <v>285</v>
      </c>
      <c r="D49" s="519" t="s">
        <v>16</v>
      </c>
      <c r="E49" s="519" t="s">
        <v>147</v>
      </c>
      <c r="F49" s="881">
        <v>292479.0294</v>
      </c>
      <c r="G49" s="881">
        <v>23783.151100000003</v>
      </c>
      <c r="H49" s="880">
        <v>14.5575929791767</v>
      </c>
      <c r="I49"/>
      <c r="J49"/>
      <c r="K49" s="377" t="s">
        <v>144</v>
      </c>
      <c r="L49" s="393">
        <v>118920.88340000001</v>
      </c>
      <c r="M49" s="393">
        <v>96497.8796</v>
      </c>
      <c r="N49" s="393">
        <v>191489.91399999999</v>
      </c>
      <c r="O49" s="393">
        <v>406908.67700000003</v>
      </c>
      <c r="P49" s="397">
        <f t="shared" ref="P49:Q60" si="5">L49</f>
        <v>118920.88340000001</v>
      </c>
      <c r="Q49" s="397">
        <f t="shared" si="5"/>
        <v>96497.8796</v>
      </c>
      <c r="R49" s="397">
        <f t="shared" ref="R49:R60" si="6">IF(N49=0,NA(),N49)</f>
        <v>191489.91399999999</v>
      </c>
      <c r="S49" s="397" t="e">
        <f ca="1">HLOOKUP(S$48&amp;$K49,'NWC_FC_NON-NOOS'!$C$50:$U$70,MATCH($O$25,'NWC_FC_NON-NOOS'!$B$50:$B$70,0),FALSE)</f>
        <v>#N/A</v>
      </c>
      <c r="T49" s="397">
        <f ca="1">HLOOKUP(T$48&amp;$K49,'NWC_FC_NON-NOOS'!$C$50:$U$70,MATCH($O$25,'NWC_FC_NON-NOOS'!$B$50:$B$70,0),FALSE)</f>
        <v>0</v>
      </c>
    </row>
    <row r="50" spans="1:20" x14ac:dyDescent="0.25">
      <c r="A50" s="519" t="s">
        <v>197</v>
      </c>
      <c r="B50" s="519" t="s">
        <v>284</v>
      </c>
      <c r="C50" s="519" t="s">
        <v>285</v>
      </c>
      <c r="D50" s="519" t="s">
        <v>16</v>
      </c>
      <c r="E50" s="519" t="s">
        <v>151</v>
      </c>
      <c r="F50" s="881">
        <v>307950.56520000001</v>
      </c>
      <c r="G50" s="881">
        <v>59803.295300000005</v>
      </c>
      <c r="H50" s="880">
        <v>8.3274909496789498</v>
      </c>
      <c r="I50"/>
      <c r="J50"/>
      <c r="K50" s="377" t="s">
        <v>146</v>
      </c>
      <c r="L50" s="393">
        <v>249937.29500000001</v>
      </c>
      <c r="M50" s="393">
        <v>405419.94330000004</v>
      </c>
      <c r="N50" s="393">
        <v>380605.16380000004</v>
      </c>
      <c r="O50" s="393">
        <v>1035962.4021000001</v>
      </c>
      <c r="P50" s="397">
        <f t="shared" si="5"/>
        <v>249937.29500000001</v>
      </c>
      <c r="Q50" s="397">
        <f t="shared" si="5"/>
        <v>405419.94330000004</v>
      </c>
      <c r="R50" s="397">
        <f t="shared" si="6"/>
        <v>380605.16380000004</v>
      </c>
      <c r="S50" s="397" t="e">
        <f ca="1">HLOOKUP(S$48&amp;$K50,'NWC_FC_NON-NOOS'!$C$50:$U$70,MATCH($O$25,'NWC_FC_NON-NOOS'!$B$50:$B$70,0),FALSE)</f>
        <v>#N/A</v>
      </c>
      <c r="T50" s="397">
        <f ca="1">HLOOKUP(T$48&amp;$K50,'NWC_FC_NON-NOOS'!$C$50:$U$70,MATCH($O$25,'NWC_FC_NON-NOOS'!$B$50:$B$70,0),FALSE)</f>
        <v>0</v>
      </c>
    </row>
    <row r="51" spans="1:20" x14ac:dyDescent="0.25">
      <c r="A51" s="519" t="s">
        <v>197</v>
      </c>
      <c r="B51" s="519" t="s">
        <v>284</v>
      </c>
      <c r="C51" s="519" t="s">
        <v>285</v>
      </c>
      <c r="D51" s="519" t="s">
        <v>16</v>
      </c>
      <c r="E51" s="519" t="s">
        <v>153</v>
      </c>
      <c r="F51" s="881">
        <v>201477.19020000001</v>
      </c>
      <c r="G51" s="881">
        <v>113442.23090000001</v>
      </c>
      <c r="H51" s="880">
        <v>11.933788873554901</v>
      </c>
      <c r="I51"/>
      <c r="J51"/>
      <c r="K51" s="377" t="s">
        <v>145</v>
      </c>
      <c r="L51" s="393">
        <v>399021.8346</v>
      </c>
      <c r="M51" s="393">
        <v>261209.6361</v>
      </c>
      <c r="N51" s="393">
        <v>283421.14780000004</v>
      </c>
      <c r="O51" s="393">
        <v>943652.61849999998</v>
      </c>
      <c r="P51" s="397">
        <f t="shared" si="5"/>
        <v>399021.8346</v>
      </c>
      <c r="Q51" s="397">
        <f t="shared" si="5"/>
        <v>261209.6361</v>
      </c>
      <c r="R51" s="397">
        <f t="shared" si="6"/>
        <v>283421.14780000004</v>
      </c>
      <c r="S51" s="397" t="e">
        <f ca="1">HLOOKUP(S$48&amp;$K51,'NWC_FC_NON-NOOS'!$C$50:$U$70,MATCH($O$25,'NWC_FC_NON-NOOS'!$B$50:$B$70,0),FALSE)</f>
        <v>#N/A</v>
      </c>
      <c r="T51" s="397">
        <f ca="1">HLOOKUP(T$48&amp;$K51,'NWC_FC_NON-NOOS'!$C$50:$U$70,MATCH($O$25,'NWC_FC_NON-NOOS'!$B$50:$B$70,0),FALSE)</f>
        <v>0</v>
      </c>
    </row>
    <row r="52" spans="1:20" x14ac:dyDescent="0.25">
      <c r="A52" s="519" t="s">
        <v>197</v>
      </c>
      <c r="B52" s="519" t="s">
        <v>284</v>
      </c>
      <c r="C52" s="519" t="s">
        <v>285</v>
      </c>
      <c r="D52" s="519" t="s">
        <v>17</v>
      </c>
      <c r="E52" s="519" t="s">
        <v>146</v>
      </c>
      <c r="F52" s="881">
        <v>257492.3922</v>
      </c>
      <c r="G52" s="881">
        <v>73797.252900000007</v>
      </c>
      <c r="H52" s="880">
        <v>9.1216450411750198</v>
      </c>
      <c r="I52"/>
      <c r="J52"/>
      <c r="K52" s="377" t="s">
        <v>149</v>
      </c>
      <c r="L52" s="393">
        <v>166147.3259</v>
      </c>
      <c r="M52" s="393">
        <v>437335.66830000002</v>
      </c>
      <c r="N52" s="393">
        <v>242065.90030000001</v>
      </c>
      <c r="O52" s="393">
        <v>845548.89450000005</v>
      </c>
      <c r="P52" s="397">
        <f t="shared" si="5"/>
        <v>166147.3259</v>
      </c>
      <c r="Q52" s="397">
        <f t="shared" si="5"/>
        <v>437335.66830000002</v>
      </c>
      <c r="R52" s="397">
        <f t="shared" si="6"/>
        <v>242065.90030000001</v>
      </c>
      <c r="S52" s="397" t="e">
        <f ca="1">HLOOKUP(S$48&amp;$K52,'NWC_FC_NON-NOOS'!$C$50:$U$70,MATCH($O$25,'NWC_FC_NON-NOOS'!$B$50:$B$70,0),FALSE)</f>
        <v>#N/A</v>
      </c>
      <c r="T52" s="397">
        <f ca="1">HLOOKUP(T$48&amp;$K52,'NWC_FC_NON-NOOS'!$C$50:$U$70,MATCH($O$25,'NWC_FC_NON-NOOS'!$B$50:$B$70,0),FALSE)</f>
        <v>0</v>
      </c>
    </row>
    <row r="53" spans="1:20" x14ac:dyDescent="0.25">
      <c r="A53" s="519" t="s">
        <v>197</v>
      </c>
      <c r="B53" s="519" t="s">
        <v>284</v>
      </c>
      <c r="C53" s="519" t="s">
        <v>285</v>
      </c>
      <c r="D53" s="519" t="s">
        <v>17</v>
      </c>
      <c r="E53" s="519" t="s">
        <v>149</v>
      </c>
      <c r="F53" s="881">
        <v>198984.06480000002</v>
      </c>
      <c r="G53" s="881">
        <v>153596.53109999999</v>
      </c>
      <c r="H53" s="880">
        <v>0</v>
      </c>
      <c r="I53"/>
      <c r="J53"/>
      <c r="K53" s="377" t="s">
        <v>147</v>
      </c>
      <c r="L53" s="393">
        <v>66526.723599999998</v>
      </c>
      <c r="M53" s="393">
        <v>10982.380200000001</v>
      </c>
      <c r="N53" s="393"/>
      <c r="O53" s="393">
        <v>77509.103799999997</v>
      </c>
      <c r="P53" s="397">
        <f t="shared" si="5"/>
        <v>66526.723599999998</v>
      </c>
      <c r="Q53" s="397">
        <f t="shared" si="5"/>
        <v>10982.380200000001</v>
      </c>
      <c r="R53" s="397" t="e">
        <f t="shared" si="6"/>
        <v>#N/A</v>
      </c>
      <c r="S53" s="397" t="e">
        <f ca="1">HLOOKUP(S$48&amp;$K53,'NWC_FC_NON-NOOS'!$C$50:$U$70,MATCH($O$25,'NWC_FC_NON-NOOS'!$B$50:$B$70,0),FALSE)</f>
        <v>#N/A</v>
      </c>
      <c r="T53" s="397">
        <f ca="1">HLOOKUP(T$48&amp;$K53,'NWC_FC_NON-NOOS'!$C$50:$U$70,MATCH($O$25,'NWC_FC_NON-NOOS'!$B$50:$B$70,0),FALSE)</f>
        <v>0</v>
      </c>
    </row>
    <row r="54" spans="1:20" x14ac:dyDescent="0.25">
      <c r="A54" s="519" t="s">
        <v>197</v>
      </c>
      <c r="B54" s="519" t="s">
        <v>284</v>
      </c>
      <c r="C54" s="519" t="s">
        <v>280</v>
      </c>
      <c r="D54" s="519" t="s">
        <v>70</v>
      </c>
      <c r="E54" s="519" t="s">
        <v>146</v>
      </c>
      <c r="F54" s="881">
        <v>65283.098400000003</v>
      </c>
      <c r="G54" s="881">
        <v>33578.507400000002</v>
      </c>
      <c r="H54" s="880">
        <v>13.189178917983101</v>
      </c>
      <c r="I54"/>
      <c r="J54"/>
      <c r="K54" s="377" t="s">
        <v>148</v>
      </c>
      <c r="L54" s="393">
        <v>154313.9486</v>
      </c>
      <c r="M54" s="393">
        <v>138664.3927</v>
      </c>
      <c r="N54" s="393"/>
      <c r="O54" s="393">
        <v>292978.34129999997</v>
      </c>
      <c r="P54" s="397">
        <f t="shared" si="5"/>
        <v>154313.9486</v>
      </c>
      <c r="Q54" s="397">
        <f t="shared" si="5"/>
        <v>138664.3927</v>
      </c>
      <c r="R54" s="397" t="e">
        <f t="shared" si="6"/>
        <v>#N/A</v>
      </c>
      <c r="S54" s="397" t="e">
        <f ca="1">HLOOKUP(S$48&amp;$K54,'NWC_FC_NON-NOOS'!$C$50:$U$70,MATCH($O$25,'NWC_FC_NON-NOOS'!$B$50:$B$70,0),FALSE)</f>
        <v>#N/A</v>
      </c>
      <c r="T54" s="397">
        <f ca="1">HLOOKUP(T$48&amp;$K54,'NWC_FC_NON-NOOS'!$C$50:$U$70,MATCH($O$25,'NWC_FC_NON-NOOS'!$B$50:$B$70,0),FALSE)</f>
        <v>0</v>
      </c>
    </row>
    <row r="55" spans="1:20" x14ac:dyDescent="0.25">
      <c r="A55" s="519" t="s">
        <v>197</v>
      </c>
      <c r="B55" s="519" t="s">
        <v>284</v>
      </c>
      <c r="C55" s="519" t="s">
        <v>280</v>
      </c>
      <c r="D55" s="519" t="s">
        <v>70</v>
      </c>
      <c r="E55" s="519" t="s">
        <v>149</v>
      </c>
      <c r="F55" s="881">
        <v>43611.224699999999</v>
      </c>
      <c r="G55" s="881">
        <v>22014.825199999999</v>
      </c>
      <c r="H55" s="880">
        <v>9.8004301917355203</v>
      </c>
      <c r="I55"/>
      <c r="J55"/>
      <c r="K55" s="377" t="s">
        <v>151</v>
      </c>
      <c r="L55" s="393">
        <v>124193.5251</v>
      </c>
      <c r="M55" s="393">
        <v>144404.0189</v>
      </c>
      <c r="N55" s="393"/>
      <c r="O55" s="393">
        <v>268597.54399999999</v>
      </c>
      <c r="P55" s="397">
        <f t="shared" si="5"/>
        <v>124193.5251</v>
      </c>
      <c r="Q55" s="397">
        <f t="shared" si="5"/>
        <v>144404.0189</v>
      </c>
      <c r="R55" s="397" t="e">
        <f t="shared" si="6"/>
        <v>#N/A</v>
      </c>
      <c r="S55" s="397">
        <f ca="1">HLOOKUP(S$48&amp;$K55,'NWC_FC_NON-NOOS'!$C$50:$U$70,MATCH($O$25,'NWC_FC_NON-NOOS'!$B$50:$B$70,0),FALSE)</f>
        <v>0</v>
      </c>
      <c r="T55" s="397">
        <f ca="1">HLOOKUP(T$48&amp;$K55,'NWC_FC_NON-NOOS'!$C$50:$U$70,MATCH($O$25,'NWC_FC_NON-NOOS'!$B$50:$B$70,0),FALSE)</f>
        <v>0</v>
      </c>
    </row>
    <row r="56" spans="1:20" x14ac:dyDescent="0.25">
      <c r="A56" s="519" t="s">
        <v>197</v>
      </c>
      <c r="B56" s="519" t="s">
        <v>284</v>
      </c>
      <c r="C56" s="519" t="s">
        <v>280</v>
      </c>
      <c r="D56" s="519" t="s">
        <v>70</v>
      </c>
      <c r="E56" s="519" t="s">
        <v>148</v>
      </c>
      <c r="F56" s="881">
        <v>55208.389800000004</v>
      </c>
      <c r="G56" s="881">
        <v>28026.314700000003</v>
      </c>
      <c r="H56" s="880">
        <v>7.1233433490430498</v>
      </c>
      <c r="I56"/>
      <c r="J56"/>
      <c r="K56" s="377" t="s">
        <v>152</v>
      </c>
      <c r="L56" s="393">
        <v>188105.0079</v>
      </c>
      <c r="M56" s="393">
        <v>228386.3002</v>
      </c>
      <c r="N56" s="393"/>
      <c r="O56" s="393">
        <v>416491.30810000002</v>
      </c>
      <c r="P56" s="397">
        <f t="shared" si="5"/>
        <v>188105.0079</v>
      </c>
      <c r="Q56" s="397">
        <f t="shared" si="5"/>
        <v>228386.3002</v>
      </c>
      <c r="R56" s="397" t="e">
        <f t="shared" si="6"/>
        <v>#N/A</v>
      </c>
      <c r="S56" s="397">
        <f ca="1">HLOOKUP(S$48&amp;$K56,'NWC_FC_NON-NOOS'!$C$50:$U$70,MATCH($O$25,'NWC_FC_NON-NOOS'!$B$50:$B$70,0),FALSE)</f>
        <v>0</v>
      </c>
      <c r="T56" s="397">
        <f ca="1">HLOOKUP(T$48&amp;$K56,'NWC_FC_NON-NOOS'!$C$50:$U$70,MATCH($O$25,'NWC_FC_NON-NOOS'!$B$50:$B$70,0),FALSE)</f>
        <v>0</v>
      </c>
    </row>
    <row r="57" spans="1:20" x14ac:dyDescent="0.25">
      <c r="A57" s="519" t="s">
        <v>197</v>
      </c>
      <c r="B57" s="519" t="s">
        <v>284</v>
      </c>
      <c r="C57" s="519" t="s">
        <v>280</v>
      </c>
      <c r="D57" s="519" t="s">
        <v>70</v>
      </c>
      <c r="E57" s="519" t="s">
        <v>152</v>
      </c>
      <c r="F57" s="881">
        <v>66349.436400000006</v>
      </c>
      <c r="G57" s="881">
        <v>42213.883200000004</v>
      </c>
      <c r="H57" s="880">
        <v>15.9207931617506</v>
      </c>
      <c r="I57"/>
      <c r="J57"/>
      <c r="K57" s="377" t="s">
        <v>150</v>
      </c>
      <c r="L57" s="393">
        <v>125322.7886</v>
      </c>
      <c r="M57" s="393">
        <v>185921.2591</v>
      </c>
      <c r="N57" s="393"/>
      <c r="O57" s="393">
        <v>311244.0477</v>
      </c>
      <c r="P57" s="397">
        <f t="shared" si="5"/>
        <v>125322.7886</v>
      </c>
      <c r="Q57" s="397">
        <f t="shared" si="5"/>
        <v>185921.2591</v>
      </c>
      <c r="R57" s="397" t="e">
        <f t="shared" si="6"/>
        <v>#N/A</v>
      </c>
      <c r="S57" s="397">
        <f ca="1">HLOOKUP(S$48&amp;$K57,'NWC_FC_NON-NOOS'!$C$50:$U$70,MATCH($O$25,'NWC_FC_NON-NOOS'!$B$50:$B$70,0),FALSE)</f>
        <v>0</v>
      </c>
      <c r="T57" s="397">
        <f ca="1">HLOOKUP(T$48&amp;$K57,'NWC_FC_NON-NOOS'!$C$50:$U$70,MATCH($O$25,'NWC_FC_NON-NOOS'!$B$50:$B$70,0),FALSE)</f>
        <v>0</v>
      </c>
    </row>
    <row r="58" spans="1:20" x14ac:dyDescent="0.25">
      <c r="A58" s="519" t="s">
        <v>197</v>
      </c>
      <c r="B58" s="519" t="s">
        <v>284</v>
      </c>
      <c r="C58" s="519" t="s">
        <v>280</v>
      </c>
      <c r="D58" s="519" t="s">
        <v>70</v>
      </c>
      <c r="E58" s="519" t="s">
        <v>155</v>
      </c>
      <c r="F58" s="881">
        <v>53832.529200000004</v>
      </c>
      <c r="G58" s="881">
        <v>7051.0336000000007</v>
      </c>
      <c r="H58" s="880">
        <v>13.818380602107901</v>
      </c>
      <c r="I58"/>
      <c r="J58"/>
      <c r="K58" s="377" t="s">
        <v>155</v>
      </c>
      <c r="L58" s="393">
        <v>34506.418900000004</v>
      </c>
      <c r="M58" s="393">
        <v>-28179.275100000003</v>
      </c>
      <c r="N58" s="393"/>
      <c r="O58" s="393">
        <v>6327.1438000000016</v>
      </c>
      <c r="P58" s="397">
        <f t="shared" si="5"/>
        <v>34506.418900000004</v>
      </c>
      <c r="Q58" s="397">
        <f t="shared" si="5"/>
        <v>-28179.275100000003</v>
      </c>
      <c r="R58" s="397" t="e">
        <f t="shared" si="6"/>
        <v>#N/A</v>
      </c>
      <c r="S58" s="397">
        <f ca="1">HLOOKUP(S$48&amp;$K58,'NWC_FC_NON-NOOS'!$C$50:$U$70,MATCH($O$25,'NWC_FC_NON-NOOS'!$B$50:$B$70,0),FALSE)</f>
        <v>0</v>
      </c>
      <c r="T58" s="397" t="e">
        <f ca="1">HLOOKUP(T$48&amp;$K58,'NWC_FC_NON-NOOS'!$C$50:$U$70,MATCH($O$25,'NWC_FC_NON-NOOS'!$B$50:$B$70,0),FALSE)</f>
        <v>#N/A</v>
      </c>
    </row>
    <row r="59" spans="1:20" x14ac:dyDescent="0.25">
      <c r="A59" s="519" t="s">
        <v>197</v>
      </c>
      <c r="B59" s="519" t="s">
        <v>284</v>
      </c>
      <c r="C59" s="519" t="s">
        <v>280</v>
      </c>
      <c r="D59" s="519" t="s">
        <v>70</v>
      </c>
      <c r="E59" s="519" t="s">
        <v>153</v>
      </c>
      <c r="F59" s="881">
        <v>52177.733700000004</v>
      </c>
      <c r="G59" s="881">
        <v>18097.4738</v>
      </c>
      <c r="H59" s="880">
        <v>8.6598330990660308</v>
      </c>
      <c r="I59"/>
      <c r="J59"/>
      <c r="K59" s="377" t="s">
        <v>154</v>
      </c>
      <c r="L59" s="393">
        <v>23761.307100000002</v>
      </c>
      <c r="M59" s="393">
        <v>60440.349700000006</v>
      </c>
      <c r="N59" s="393"/>
      <c r="O59" s="393">
        <v>84201.656800000012</v>
      </c>
      <c r="P59" s="397">
        <f t="shared" si="5"/>
        <v>23761.307100000002</v>
      </c>
      <c r="Q59" s="397">
        <f t="shared" si="5"/>
        <v>60440.349700000006</v>
      </c>
      <c r="R59" s="397" t="e">
        <f t="shared" si="6"/>
        <v>#N/A</v>
      </c>
      <c r="S59" s="397">
        <f ca="1">HLOOKUP(S$48&amp;$K59,'NWC_FC_NON-NOOS'!$C$50:$U$70,MATCH($O$25,'NWC_FC_NON-NOOS'!$B$50:$B$70,0),FALSE)</f>
        <v>0</v>
      </c>
      <c r="T59" s="397" t="e">
        <f ca="1">HLOOKUP(T$48&amp;$K59,'NWC_FC_NON-NOOS'!$C$50:$U$70,MATCH($O$25,'NWC_FC_NON-NOOS'!$B$50:$B$70,0),FALSE)</f>
        <v>#N/A</v>
      </c>
    </row>
    <row r="60" spans="1:20" x14ac:dyDescent="0.25">
      <c r="A60" s="519" t="s">
        <v>197</v>
      </c>
      <c r="B60" s="519" t="s">
        <v>284</v>
      </c>
      <c r="C60" s="519" t="s">
        <v>280</v>
      </c>
      <c r="D60" s="519" t="s">
        <v>16</v>
      </c>
      <c r="E60" s="519" t="s">
        <v>146</v>
      </c>
      <c r="F60" s="881">
        <v>58542.039900000003</v>
      </c>
      <c r="G60" s="881">
        <v>38958.047500000001</v>
      </c>
      <c r="H60" s="880">
        <v>6.7268325651711702</v>
      </c>
      <c r="I60"/>
      <c r="J60"/>
      <c r="K60" s="377" t="s">
        <v>153</v>
      </c>
      <c r="L60" s="393">
        <v>57815.2016</v>
      </c>
      <c r="M60" s="393">
        <v>50987.366200000004</v>
      </c>
      <c r="N60" s="393"/>
      <c r="O60" s="393">
        <v>108802.5678</v>
      </c>
      <c r="P60" s="397">
        <f t="shared" si="5"/>
        <v>57815.2016</v>
      </c>
      <c r="Q60" s="397">
        <f t="shared" si="5"/>
        <v>50987.366200000004</v>
      </c>
      <c r="R60" s="397" t="e">
        <f t="shared" si="6"/>
        <v>#N/A</v>
      </c>
      <c r="S60" s="397">
        <f ca="1">HLOOKUP(S$48&amp;$K60,'NWC_FC_NON-NOOS'!$C$50:$U$70,MATCH($O$25,'NWC_FC_NON-NOOS'!$B$50:$B$70,0),FALSE)</f>
        <v>0</v>
      </c>
      <c r="T60" s="397" t="e">
        <f ca="1">HLOOKUP(T$48&amp;$K60,'NWC_FC_NON-NOOS'!$C$50:$U$70,MATCH($O$25,'NWC_FC_NON-NOOS'!$B$50:$B$70,0),FALSE)</f>
        <v>#N/A</v>
      </c>
    </row>
    <row r="61" spans="1:20" x14ac:dyDescent="0.25">
      <c r="A61" s="519" t="s">
        <v>197</v>
      </c>
      <c r="B61" s="519" t="s">
        <v>284</v>
      </c>
      <c r="C61" s="519" t="s">
        <v>280</v>
      </c>
      <c r="D61" s="519" t="s">
        <v>16</v>
      </c>
      <c r="E61" s="519" t="s">
        <v>149</v>
      </c>
      <c r="F61" s="881">
        <v>58564.108800000002</v>
      </c>
      <c r="G61" s="881">
        <v>54228.8272</v>
      </c>
      <c r="H61" s="880">
        <v>11.9981068574515</v>
      </c>
      <c r="I61"/>
      <c r="J61"/>
      <c r="K61" s="554" t="s">
        <v>136</v>
      </c>
      <c r="L61" s="577">
        <v>1708572.2603000004</v>
      </c>
      <c r="M61" s="577">
        <v>1992069.9191999999</v>
      </c>
      <c r="N61" s="577">
        <v>1097582.1259000001</v>
      </c>
      <c r="O61" s="577">
        <v>4798224.3054</v>
      </c>
      <c r="P61" s="507"/>
      <c r="Q61" s="507"/>
      <c r="R61" s="507"/>
      <c r="S61" s="507"/>
      <c r="T61" s="507"/>
    </row>
    <row r="62" spans="1:20" x14ac:dyDescent="0.25">
      <c r="A62" s="519" t="s">
        <v>197</v>
      </c>
      <c r="B62" s="519" t="s">
        <v>284</v>
      </c>
      <c r="C62" s="519" t="s">
        <v>280</v>
      </c>
      <c r="D62" s="519" t="s">
        <v>16</v>
      </c>
      <c r="E62" s="519" t="s">
        <v>148</v>
      </c>
      <c r="F62" s="881">
        <v>80042.886599999998</v>
      </c>
      <c r="G62" s="881">
        <v>28325.393700000001</v>
      </c>
      <c r="H62" s="880">
        <v>11.382995411708301</v>
      </c>
      <c r="I62"/>
      <c r="J62"/>
      <c r="K62" s="609"/>
      <c r="L62" s="609"/>
      <c r="M62" s="609"/>
      <c r="N62" s="609"/>
      <c r="O62" s="609"/>
      <c r="P62" s="609"/>
      <c r="Q62" s="609"/>
      <c r="R62" s="609"/>
      <c r="S62" s="609"/>
      <c r="T62" s="609"/>
    </row>
    <row r="63" spans="1:20" x14ac:dyDescent="0.25">
      <c r="A63" s="519" t="s">
        <v>197</v>
      </c>
      <c r="B63" s="519" t="s">
        <v>284</v>
      </c>
      <c r="C63" s="519" t="s">
        <v>280</v>
      </c>
      <c r="D63" s="519" t="s">
        <v>16</v>
      </c>
      <c r="E63" s="519" t="s">
        <v>152</v>
      </c>
      <c r="F63" s="881">
        <v>96048.30750000001</v>
      </c>
      <c r="G63" s="881">
        <v>35767.446000000004</v>
      </c>
      <c r="H63" s="880">
        <v>19.989501359365601</v>
      </c>
      <c r="I63"/>
      <c r="J63"/>
      <c r="K63"/>
      <c r="L63"/>
      <c r="P63" s="373"/>
    </row>
    <row r="64" spans="1:20" x14ac:dyDescent="0.25">
      <c r="A64" s="519" t="s">
        <v>197</v>
      </c>
      <c r="B64" s="519" t="s">
        <v>284</v>
      </c>
      <c r="C64" s="519" t="s">
        <v>280</v>
      </c>
      <c r="D64" s="519" t="s">
        <v>16</v>
      </c>
      <c r="E64" s="519" t="s">
        <v>155</v>
      </c>
      <c r="F64" s="881">
        <v>106790.71890000001</v>
      </c>
      <c r="G64" s="881">
        <v>15139.1574</v>
      </c>
      <c r="H64" s="880">
        <v>16.266766482996999</v>
      </c>
      <c r="I64"/>
      <c r="J64"/>
      <c r="K64" s="575" t="s">
        <v>222</v>
      </c>
      <c r="L64"/>
      <c r="P64" s="373"/>
    </row>
    <row r="65" spans="1:20" x14ac:dyDescent="0.25">
      <c r="A65" s="519" t="s">
        <v>197</v>
      </c>
      <c r="B65" s="519" t="s">
        <v>284</v>
      </c>
      <c r="C65" s="519" t="s">
        <v>280</v>
      </c>
      <c r="D65" s="519" t="s">
        <v>16</v>
      </c>
      <c r="E65" s="519" t="s">
        <v>153</v>
      </c>
      <c r="F65" s="881">
        <v>130820.77500000001</v>
      </c>
      <c r="G65" s="881">
        <v>16991.597300000001</v>
      </c>
      <c r="H65" s="880">
        <v>15.370977803562999</v>
      </c>
      <c r="I65"/>
      <c r="J65"/>
      <c r="K65"/>
      <c r="L65"/>
      <c r="P65" s="373"/>
    </row>
    <row r="66" spans="1:20" x14ac:dyDescent="0.25">
      <c r="A66" s="519" t="s">
        <v>197</v>
      </c>
      <c r="B66" s="519" t="s">
        <v>284</v>
      </c>
      <c r="C66" s="519" t="s">
        <v>280</v>
      </c>
      <c r="D66" s="519" t="s">
        <v>17</v>
      </c>
      <c r="E66" s="519" t="s">
        <v>146</v>
      </c>
      <c r="F66" s="881">
        <v>115677.56640000001</v>
      </c>
      <c r="G66" s="881">
        <v>44553.531300000002</v>
      </c>
      <c r="H66" s="880">
        <v>14.033418329658</v>
      </c>
      <c r="I66"/>
      <c r="J66"/>
      <c r="K66" s="376" t="s">
        <v>1740</v>
      </c>
      <c r="L66" s="373" t="s">
        <v>181</v>
      </c>
      <c r="M66" s="373"/>
      <c r="N66" s="373"/>
      <c r="O66" s="373"/>
      <c r="P66" s="373"/>
      <c r="Q66" s="373"/>
      <c r="R66" s="373"/>
      <c r="S66" s="373"/>
      <c r="T66" s="373"/>
    </row>
    <row r="67" spans="1:20" x14ac:dyDescent="0.25">
      <c r="A67" s="519" t="s">
        <v>197</v>
      </c>
      <c r="B67" s="519" t="s">
        <v>284</v>
      </c>
      <c r="C67" s="519" t="s">
        <v>280</v>
      </c>
      <c r="D67" s="519" t="s">
        <v>17</v>
      </c>
      <c r="E67" s="519" t="s">
        <v>149</v>
      </c>
      <c r="F67" s="881">
        <v>72845.021399999998</v>
      </c>
      <c r="G67" s="881">
        <v>39384.604899999998</v>
      </c>
      <c r="H67" s="880">
        <v>0</v>
      </c>
      <c r="I67"/>
      <c r="J67"/>
      <c r="K67" s="376" t="s">
        <v>1723</v>
      </c>
      <c r="L67" s="373" t="s">
        <v>3</v>
      </c>
      <c r="M67" s="373"/>
      <c r="O67" s="373"/>
      <c r="P67" s="373"/>
      <c r="Q67" s="373"/>
      <c r="R67" s="373"/>
      <c r="S67" s="373"/>
      <c r="T67" s="373"/>
    </row>
    <row r="68" spans="1:20" x14ac:dyDescent="0.25">
      <c r="A68" s="519" t="s">
        <v>197</v>
      </c>
      <c r="B68" s="519" t="s">
        <v>284</v>
      </c>
      <c r="C68" s="519" t="s">
        <v>289</v>
      </c>
      <c r="D68" s="519" t="s">
        <v>70</v>
      </c>
      <c r="E68" s="519" t="s">
        <v>146</v>
      </c>
      <c r="F68" s="881">
        <v>150774.50160000002</v>
      </c>
      <c r="G68" s="881">
        <v>129603.0022</v>
      </c>
      <c r="H68" s="880">
        <v>3.7801061907875102</v>
      </c>
      <c r="I68"/>
      <c r="J68"/>
      <c r="K68" s="373"/>
      <c r="M68" s="373"/>
      <c r="N68" s="373"/>
      <c r="O68" s="373"/>
      <c r="P68" s="373"/>
      <c r="Q68" s="373"/>
      <c r="R68" s="373"/>
      <c r="S68" s="373"/>
      <c r="T68" s="373"/>
    </row>
    <row r="69" spans="1:20" x14ac:dyDescent="0.25">
      <c r="A69" s="519" t="s">
        <v>197</v>
      </c>
      <c r="B69" s="519" t="s">
        <v>284</v>
      </c>
      <c r="C69" s="519" t="s">
        <v>289</v>
      </c>
      <c r="D69" s="519" t="s">
        <v>70</v>
      </c>
      <c r="E69" s="519" t="s">
        <v>149</v>
      </c>
      <c r="F69" s="881">
        <v>142255.45050000001</v>
      </c>
      <c r="G69" s="881">
        <v>160219.8224</v>
      </c>
      <c r="H69" s="880">
        <v>7.4045028650718399</v>
      </c>
      <c r="I69"/>
      <c r="J69"/>
      <c r="K69" s="376" t="s">
        <v>183</v>
      </c>
      <c r="L69" s="376" t="s">
        <v>184</v>
      </c>
      <c r="Q69" s="373"/>
      <c r="R69" s="373"/>
      <c r="S69" s="590" t="s">
        <v>234</v>
      </c>
      <c r="T69" s="590" t="s">
        <v>234</v>
      </c>
    </row>
    <row r="70" spans="1:20" x14ac:dyDescent="0.25">
      <c r="A70" s="519" t="s">
        <v>197</v>
      </c>
      <c r="B70" s="519" t="s">
        <v>284</v>
      </c>
      <c r="C70" s="519" t="s">
        <v>289</v>
      </c>
      <c r="D70" s="519" t="s">
        <v>70</v>
      </c>
      <c r="E70" s="519" t="s">
        <v>148</v>
      </c>
      <c r="F70" s="881">
        <v>139144.2936</v>
      </c>
      <c r="G70" s="881">
        <v>96277.812700000009</v>
      </c>
      <c r="H70" s="880">
        <v>11.9104796743056</v>
      </c>
      <c r="I70"/>
      <c r="J70"/>
      <c r="K70" s="376" t="s">
        <v>135</v>
      </c>
      <c r="L70" s="373" t="s">
        <v>70</v>
      </c>
      <c r="M70" s="373" t="s">
        <v>16</v>
      </c>
      <c r="N70" s="373" t="s">
        <v>17</v>
      </c>
      <c r="O70" s="373" t="s">
        <v>136</v>
      </c>
      <c r="P70" s="1" t="str">
        <f>L70</f>
        <v>16/17</v>
      </c>
      <c r="Q70" s="1" t="str">
        <f>M70</f>
        <v>17/18</v>
      </c>
      <c r="R70" s="1" t="str">
        <f>N70</f>
        <v>18/19</v>
      </c>
      <c r="S70" s="1" t="str">
        <f ca="1">TIME!$M$27</f>
        <v>18/19</v>
      </c>
      <c r="T70" s="1" t="str">
        <f ca="1">TIME!$M$31</f>
        <v>19/20</v>
      </c>
    </row>
    <row r="71" spans="1:20" x14ac:dyDescent="0.25">
      <c r="A71" s="519" t="s">
        <v>197</v>
      </c>
      <c r="B71" s="519" t="s">
        <v>284</v>
      </c>
      <c r="C71" s="519" t="s">
        <v>289</v>
      </c>
      <c r="D71" s="519" t="s">
        <v>70</v>
      </c>
      <c r="E71" s="519" t="s">
        <v>152</v>
      </c>
      <c r="F71" s="881">
        <v>178823.05050000001</v>
      </c>
      <c r="G71" s="881">
        <v>49892.127899999999</v>
      </c>
      <c r="H71" s="880">
        <v>21.734809461569302</v>
      </c>
      <c r="I71"/>
      <c r="J71"/>
      <c r="K71" s="377" t="s">
        <v>144</v>
      </c>
      <c r="L71" s="393">
        <v>24.818781699938199</v>
      </c>
      <c r="M71" s="393">
        <v>4.76148018499181</v>
      </c>
      <c r="N71" s="393">
        <v>7.5139550657316203</v>
      </c>
      <c r="O71" s="393">
        <v>37.094216950661632</v>
      </c>
      <c r="P71" s="396">
        <f t="shared" ref="P71:Q82" si="7">L71</f>
        <v>24.818781699938199</v>
      </c>
      <c r="Q71" s="396">
        <f t="shared" si="7"/>
        <v>4.76148018499181</v>
      </c>
      <c r="R71" s="396">
        <f t="shared" ref="R71:R82" si="8">IF(N71=0,NA(),N71)</f>
        <v>7.5139550657316203</v>
      </c>
      <c r="S71" s="396" t="e">
        <f ca="1">HLOOKUP(S$70&amp;$K71,NWC_FC_NOOS!$C$4:$Q$24,MATCH($O$87,NWC_FC_NOOS!$B$4:$B$23,0),FALSE)</f>
        <v>#N/A</v>
      </c>
      <c r="T71" s="396">
        <f ca="1">HLOOKUP(T$70&amp;$K71,NWC_FC_NOOS!$C$4:$Q$24,MATCH($O$87,NWC_FC_NOOS!$B$4:$B$23,0),FALSE)</f>
        <v>0</v>
      </c>
    </row>
    <row r="72" spans="1:20" x14ac:dyDescent="0.25">
      <c r="A72" s="519" t="s">
        <v>197</v>
      </c>
      <c r="B72" s="519" t="s">
        <v>284</v>
      </c>
      <c r="C72" s="519" t="s">
        <v>289</v>
      </c>
      <c r="D72" s="519" t="s">
        <v>70</v>
      </c>
      <c r="E72" s="519" t="s">
        <v>155</v>
      </c>
      <c r="F72" s="881">
        <v>139139.61569999999</v>
      </c>
      <c r="G72" s="881">
        <v>15209.193800000001</v>
      </c>
      <c r="H72" s="880">
        <v>13.645672909453701</v>
      </c>
      <c r="I72"/>
      <c r="J72"/>
      <c r="K72" s="377" t="s">
        <v>146</v>
      </c>
      <c r="L72" s="393">
        <v>21.818816492286501</v>
      </c>
      <c r="M72" s="393">
        <v>11.201183395987801</v>
      </c>
      <c r="N72" s="393">
        <v>8.5948924887261793</v>
      </c>
      <c r="O72" s="393">
        <v>41.61489237700048</v>
      </c>
      <c r="P72" s="396">
        <f t="shared" si="7"/>
        <v>21.818816492286501</v>
      </c>
      <c r="Q72" s="396">
        <f t="shared" si="7"/>
        <v>11.201183395987801</v>
      </c>
      <c r="R72" s="396">
        <f t="shared" si="8"/>
        <v>8.5948924887261793</v>
      </c>
      <c r="S72" s="396" t="e">
        <f ca="1">HLOOKUP(S$70&amp;$K72,NWC_FC_NOOS!$C$4:$Q$24,MATCH($O$87,NWC_FC_NOOS!$B$4:$B$23,0),FALSE)</f>
        <v>#N/A</v>
      </c>
      <c r="T72" s="396">
        <f ca="1">HLOOKUP(T$70&amp;$K72,NWC_FC_NOOS!$C$4:$Q$24,MATCH($O$87,NWC_FC_NOOS!$B$4:$B$23,0),FALSE)</f>
        <v>0</v>
      </c>
    </row>
    <row r="73" spans="1:20" x14ac:dyDescent="0.25">
      <c r="A73" s="519" t="s">
        <v>197</v>
      </c>
      <c r="B73" s="519" t="s">
        <v>284</v>
      </c>
      <c r="C73" s="519" t="s">
        <v>289</v>
      </c>
      <c r="D73" s="519" t="s">
        <v>70</v>
      </c>
      <c r="E73" s="519" t="s">
        <v>153</v>
      </c>
      <c r="F73" s="881">
        <v>154843.96770000001</v>
      </c>
      <c r="G73" s="881">
        <v>25826.896100000002</v>
      </c>
      <c r="H73" s="880">
        <v>6.3610429145247496</v>
      </c>
      <c r="I73"/>
      <c r="J73"/>
      <c r="K73" s="377" t="s">
        <v>145</v>
      </c>
      <c r="L73" s="393">
        <v>17.927960918261</v>
      </c>
      <c r="M73" s="393">
        <v>10.099095427011401</v>
      </c>
      <c r="N73" s="393">
        <v>7.6278812631460404</v>
      </c>
      <c r="O73" s="393">
        <v>35.654937608418436</v>
      </c>
      <c r="P73" s="396">
        <f t="shared" si="7"/>
        <v>17.927960918261</v>
      </c>
      <c r="Q73" s="396">
        <f t="shared" si="7"/>
        <v>10.099095427011401</v>
      </c>
      <c r="R73" s="396">
        <f t="shared" si="8"/>
        <v>7.6278812631460404</v>
      </c>
      <c r="S73" s="396" t="e">
        <f ca="1">HLOOKUP(S$70&amp;$K73,NWC_FC_NOOS!$C$4:$Q$24,MATCH($O$87,NWC_FC_NOOS!$B$4:$B$23,0),FALSE)</f>
        <v>#N/A</v>
      </c>
      <c r="T73" s="396">
        <f ca="1">HLOOKUP(T$70&amp;$K73,NWC_FC_NOOS!$C$4:$Q$24,MATCH($O$87,NWC_FC_NOOS!$B$4:$B$23,0),FALSE)</f>
        <v>0</v>
      </c>
    </row>
    <row r="74" spans="1:20" x14ac:dyDescent="0.25">
      <c r="A74" s="519" t="s">
        <v>197</v>
      </c>
      <c r="B74" s="519" t="s">
        <v>284</v>
      </c>
      <c r="C74" s="519" t="s">
        <v>289</v>
      </c>
      <c r="D74" s="519" t="s">
        <v>16</v>
      </c>
      <c r="E74" s="519" t="s">
        <v>146</v>
      </c>
      <c r="F74" s="881">
        <v>200168.92199999999</v>
      </c>
      <c r="G74" s="881">
        <v>187583.6642</v>
      </c>
      <c r="H74" s="880">
        <v>5.3184363630894396</v>
      </c>
      <c r="I74"/>
      <c r="J74"/>
      <c r="K74" s="377" t="s">
        <v>149</v>
      </c>
      <c r="L74" s="393">
        <v>14.8430321171092</v>
      </c>
      <c r="M74" s="393">
        <v>9.1184272507823998</v>
      </c>
      <c r="N74" s="393">
        <v>0</v>
      </c>
      <c r="O74" s="393">
        <v>23.961459367891599</v>
      </c>
      <c r="P74" s="396">
        <f t="shared" si="7"/>
        <v>14.8430321171092</v>
      </c>
      <c r="Q74" s="396">
        <f t="shared" si="7"/>
        <v>9.1184272507823998</v>
      </c>
      <c r="R74" s="396" t="e">
        <f t="shared" si="8"/>
        <v>#N/A</v>
      </c>
      <c r="S74" s="396" t="e">
        <f ca="1">HLOOKUP(S$70&amp;$K74,NWC_FC_NOOS!$C$4:$Q$24,MATCH($O$87,NWC_FC_NOOS!$B$4:$B$23,0),FALSE)</f>
        <v>#N/A</v>
      </c>
      <c r="T74" s="396">
        <f ca="1">HLOOKUP(T$70&amp;$K74,NWC_FC_NOOS!$C$4:$Q$24,MATCH($O$87,NWC_FC_NOOS!$B$4:$B$23,0),FALSE)</f>
        <v>0</v>
      </c>
    </row>
    <row r="75" spans="1:20" x14ac:dyDescent="0.25">
      <c r="A75" s="519" t="s">
        <v>197</v>
      </c>
      <c r="B75" s="519" t="s">
        <v>284</v>
      </c>
      <c r="C75" s="519" t="s">
        <v>289</v>
      </c>
      <c r="D75" s="519" t="s">
        <v>16</v>
      </c>
      <c r="E75" s="519" t="s">
        <v>149</v>
      </c>
      <c r="F75" s="881">
        <v>164758.58610000001</v>
      </c>
      <c r="G75" s="881">
        <v>207321.82760000002</v>
      </c>
      <c r="H75" s="880">
        <v>11.552228733951999</v>
      </c>
      <c r="I75"/>
      <c r="J75"/>
      <c r="K75" s="377" t="s">
        <v>147</v>
      </c>
      <c r="L75" s="393">
        <v>14.1661957962051</v>
      </c>
      <c r="M75" s="393">
        <v>7.5861858629080796</v>
      </c>
      <c r="N75" s="393"/>
      <c r="O75" s="393">
        <v>21.75238165911318</v>
      </c>
      <c r="P75" s="396">
        <f t="shared" si="7"/>
        <v>14.1661957962051</v>
      </c>
      <c r="Q75" s="396">
        <f t="shared" si="7"/>
        <v>7.5861858629080796</v>
      </c>
      <c r="R75" s="396" t="e">
        <f t="shared" si="8"/>
        <v>#N/A</v>
      </c>
      <c r="S75" s="396" t="e">
        <f ca="1">HLOOKUP(S$70&amp;$K75,NWC_FC_NOOS!$C$4:$Q$24,MATCH($O$87,NWC_FC_NOOS!$B$4:$B$23,0),FALSE)</f>
        <v>#N/A</v>
      </c>
      <c r="T75" s="396">
        <f ca="1">HLOOKUP(T$70&amp;$K75,NWC_FC_NOOS!$C$4:$Q$24,MATCH($O$87,NWC_FC_NOOS!$B$4:$B$23,0),FALSE)</f>
        <v>0</v>
      </c>
    </row>
    <row r="76" spans="1:20" x14ac:dyDescent="0.25">
      <c r="A76" s="519" t="s">
        <v>197</v>
      </c>
      <c r="B76" s="519" t="s">
        <v>284</v>
      </c>
      <c r="C76" s="519" t="s">
        <v>289</v>
      </c>
      <c r="D76" s="519" t="s">
        <v>16</v>
      </c>
      <c r="E76" s="519" t="s">
        <v>148</v>
      </c>
      <c r="F76" s="881">
        <v>229947.48480000001</v>
      </c>
      <c r="G76" s="881">
        <v>69423.218500000003</v>
      </c>
      <c r="H76" s="880">
        <v>28.358888381144201</v>
      </c>
      <c r="I76"/>
      <c r="J76"/>
      <c r="K76" s="377" t="s">
        <v>148</v>
      </c>
      <c r="L76" s="393">
        <v>10.2701940649878</v>
      </c>
      <c r="M76" s="393">
        <v>5.4311729467951597</v>
      </c>
      <c r="N76" s="393"/>
      <c r="O76" s="393">
        <v>15.70136701178296</v>
      </c>
      <c r="P76" s="396">
        <f t="shared" si="7"/>
        <v>10.2701940649878</v>
      </c>
      <c r="Q76" s="396">
        <f t="shared" si="7"/>
        <v>5.4311729467951597</v>
      </c>
      <c r="R76" s="396" t="e">
        <f t="shared" si="8"/>
        <v>#N/A</v>
      </c>
      <c r="S76" s="396" t="e">
        <f ca="1">HLOOKUP(S$70&amp;$K76,NWC_FC_NOOS!$C$4:$Q$24,MATCH($O$87,NWC_FC_NOOS!$B$4:$B$23,0),FALSE)</f>
        <v>#N/A</v>
      </c>
      <c r="T76" s="396">
        <f ca="1">HLOOKUP(T$70&amp;$K76,NWC_FC_NOOS!$C$4:$Q$24,MATCH($O$87,NWC_FC_NOOS!$B$4:$B$23,0),FALSE)</f>
        <v>0</v>
      </c>
    </row>
    <row r="77" spans="1:20" x14ac:dyDescent="0.25">
      <c r="A77" s="519" t="s">
        <v>197</v>
      </c>
      <c r="B77" s="519" t="s">
        <v>284</v>
      </c>
      <c r="C77" s="519" t="s">
        <v>289</v>
      </c>
      <c r="D77" s="519" t="s">
        <v>16</v>
      </c>
      <c r="E77" s="519" t="s">
        <v>152</v>
      </c>
      <c r="F77" s="881">
        <v>173109.38160000002</v>
      </c>
      <c r="G77" s="881">
        <v>41079.178400000004</v>
      </c>
      <c r="H77" s="880">
        <v>21.623015425632602</v>
      </c>
      <c r="I77"/>
      <c r="J77"/>
      <c r="K77" s="377" t="s">
        <v>151</v>
      </c>
      <c r="L77" s="393">
        <v>6.4617924982877097</v>
      </c>
      <c r="M77" s="393">
        <v>3.8252243143086502</v>
      </c>
      <c r="N77" s="393"/>
      <c r="O77" s="393">
        <v>10.287016812596359</v>
      </c>
      <c r="P77" s="396">
        <f t="shared" si="7"/>
        <v>6.4617924982877097</v>
      </c>
      <c r="Q77" s="396">
        <f t="shared" si="7"/>
        <v>3.8252243143086502</v>
      </c>
      <c r="R77" s="396" t="e">
        <f t="shared" si="8"/>
        <v>#N/A</v>
      </c>
      <c r="S77" s="396">
        <f ca="1">HLOOKUP(S$70&amp;$K77,NWC_FC_NOOS!$C$4:$Q$24,MATCH($O$87,NWC_FC_NOOS!$B$4:$B$23,0),FALSE)</f>
        <v>0</v>
      </c>
      <c r="T77" s="396" t="e">
        <f ca="1">HLOOKUP(T$70&amp;$K77,NWC_FC_NOOS!$C$4:$Q$24,MATCH($O$87,NWC_FC_NOOS!$B$4:$B$23,0),FALSE)</f>
        <v>#N/A</v>
      </c>
    </row>
    <row r="78" spans="1:20" x14ac:dyDescent="0.25">
      <c r="A78" s="519" t="s">
        <v>197</v>
      </c>
      <c r="B78" s="519" t="s">
        <v>284</v>
      </c>
      <c r="C78" s="519" t="s">
        <v>289</v>
      </c>
      <c r="D78" s="519" t="s">
        <v>16</v>
      </c>
      <c r="E78" s="519" t="s">
        <v>155</v>
      </c>
      <c r="F78" s="881">
        <v>148645.28520000001</v>
      </c>
      <c r="G78" s="881">
        <v>7928.6776</v>
      </c>
      <c r="H78" s="880">
        <v>13.5076095032429</v>
      </c>
      <c r="I78"/>
      <c r="J78"/>
      <c r="K78" s="377" t="s">
        <v>152</v>
      </c>
      <c r="L78" s="393">
        <v>5.2446094712952096</v>
      </c>
      <c r="M78" s="393">
        <v>2.91540330995366</v>
      </c>
      <c r="N78" s="393"/>
      <c r="O78" s="393">
        <v>8.1600127812488701</v>
      </c>
      <c r="P78" s="396">
        <f t="shared" si="7"/>
        <v>5.2446094712952096</v>
      </c>
      <c r="Q78" s="396">
        <f t="shared" si="7"/>
        <v>2.91540330995366</v>
      </c>
      <c r="R78" s="396" t="e">
        <f t="shared" si="8"/>
        <v>#N/A</v>
      </c>
      <c r="S78" s="396">
        <f ca="1">HLOOKUP(S$70&amp;$K78,NWC_FC_NOOS!$C$4:$Q$24,MATCH($O$87,NWC_FC_NOOS!$B$4:$B$23,0),FALSE)</f>
        <v>0</v>
      </c>
      <c r="T78" s="396" t="e">
        <f ca="1">HLOOKUP(T$70&amp;$K78,NWC_FC_NOOS!$C$4:$Q$24,MATCH($O$87,NWC_FC_NOOS!$B$4:$B$23,0),FALSE)</f>
        <v>#N/A</v>
      </c>
    </row>
    <row r="79" spans="1:20" x14ac:dyDescent="0.25">
      <c r="A79" s="519" t="s">
        <v>197</v>
      </c>
      <c r="B79" s="519" t="s">
        <v>284</v>
      </c>
      <c r="C79" s="519" t="s">
        <v>289</v>
      </c>
      <c r="D79" s="519" t="s">
        <v>16</v>
      </c>
      <c r="E79" s="519" t="s">
        <v>153</v>
      </c>
      <c r="F79" s="881">
        <v>263089.8297</v>
      </c>
      <c r="G79" s="881">
        <v>19393.2634</v>
      </c>
      <c r="H79" s="880">
        <v>8.4945300005671793</v>
      </c>
      <c r="I79"/>
      <c r="J79"/>
      <c r="K79" s="377" t="s">
        <v>150</v>
      </c>
      <c r="L79" s="393">
        <v>8.9503423334138894</v>
      </c>
      <c r="M79" s="393">
        <v>14.493503717992601</v>
      </c>
      <c r="N79" s="393"/>
      <c r="O79" s="393">
        <v>23.443846051406489</v>
      </c>
      <c r="P79" s="396">
        <f t="shared" si="7"/>
        <v>8.9503423334138894</v>
      </c>
      <c r="Q79" s="396">
        <f t="shared" si="7"/>
        <v>14.493503717992601</v>
      </c>
      <c r="R79" s="396" t="e">
        <f t="shared" si="8"/>
        <v>#N/A</v>
      </c>
      <c r="S79" s="396">
        <f ca="1">HLOOKUP(S$70&amp;$K79,NWC_FC_NOOS!$C$4:$Q$24,MATCH($O$87,NWC_FC_NOOS!$B$4:$B$23,0),FALSE)</f>
        <v>0</v>
      </c>
      <c r="T79" s="396" t="e">
        <f ca="1">HLOOKUP(T$70&amp;$K79,NWC_FC_NOOS!$C$4:$Q$24,MATCH($O$87,NWC_FC_NOOS!$B$4:$B$23,0),FALSE)</f>
        <v>#N/A</v>
      </c>
    </row>
    <row r="80" spans="1:20" x14ac:dyDescent="0.25">
      <c r="A80" s="519" t="s">
        <v>197</v>
      </c>
      <c r="B80" s="519" t="s">
        <v>284</v>
      </c>
      <c r="C80" s="519" t="s">
        <v>289</v>
      </c>
      <c r="D80" s="519" t="s">
        <v>17</v>
      </c>
      <c r="E80" s="519" t="s">
        <v>146</v>
      </c>
      <c r="F80" s="881">
        <v>345932.9277</v>
      </c>
      <c r="G80" s="881">
        <v>184516.34820000001</v>
      </c>
      <c r="H80" s="880">
        <v>8.1372972522101392</v>
      </c>
      <c r="I80"/>
      <c r="J80"/>
      <c r="K80" s="377" t="s">
        <v>155</v>
      </c>
      <c r="L80" s="393">
        <v>9.8376637199982806</v>
      </c>
      <c r="M80" s="393">
        <v>12.6404710988177</v>
      </c>
      <c r="N80" s="393"/>
      <c r="O80" s="393">
        <v>22.478134818815981</v>
      </c>
      <c r="P80" s="396">
        <f t="shared" si="7"/>
        <v>9.8376637199982806</v>
      </c>
      <c r="Q80" s="396">
        <f t="shared" si="7"/>
        <v>12.6404710988177</v>
      </c>
      <c r="R80" s="396" t="e">
        <f t="shared" si="8"/>
        <v>#N/A</v>
      </c>
      <c r="S80" s="396">
        <f ca="1">HLOOKUP(S$70&amp;$K80,NWC_FC_NOOS!$C$4:$Q$24,MATCH($O$87,NWC_FC_NOOS!$B$4:$B$23,0),FALSE)</f>
        <v>0</v>
      </c>
      <c r="T80" s="396" t="e">
        <f ca="1">HLOOKUP(T$70&amp;$K80,NWC_FC_NOOS!$C$4:$Q$24,MATCH($O$87,NWC_FC_NOOS!$B$4:$B$23,0),FALSE)</f>
        <v>#N/A</v>
      </c>
    </row>
    <row r="81" spans="1:20" x14ac:dyDescent="0.25">
      <c r="A81" s="519" t="s">
        <v>197</v>
      </c>
      <c r="B81" s="519" t="s">
        <v>284</v>
      </c>
      <c r="C81" s="519" t="s">
        <v>289</v>
      </c>
      <c r="D81" s="519" t="s">
        <v>17</v>
      </c>
      <c r="E81" s="519" t="s">
        <v>149</v>
      </c>
      <c r="F81" s="881">
        <v>216311.73180000001</v>
      </c>
      <c r="G81" s="881">
        <v>213816.49230000001</v>
      </c>
      <c r="H81" s="880">
        <v>0</v>
      </c>
      <c r="I81"/>
      <c r="J81"/>
      <c r="K81" s="377" t="s">
        <v>154</v>
      </c>
      <c r="L81" s="393">
        <v>6.3957666249668703</v>
      </c>
      <c r="M81" s="393">
        <v>9.3647749590697593</v>
      </c>
      <c r="N81" s="393"/>
      <c r="O81" s="393">
        <v>15.760541584036631</v>
      </c>
      <c r="P81" s="396">
        <f t="shared" si="7"/>
        <v>6.3957666249668703</v>
      </c>
      <c r="Q81" s="396">
        <f t="shared" si="7"/>
        <v>9.3647749590697593</v>
      </c>
      <c r="R81" s="396" t="e">
        <f t="shared" si="8"/>
        <v>#N/A</v>
      </c>
      <c r="S81" s="396">
        <f ca="1">HLOOKUP(S$70&amp;$K81,NWC_FC_NOOS!$C$4:$Q$24,MATCH($O$87,NWC_FC_NOOS!$B$4:$B$23,0),FALSE)</f>
        <v>0</v>
      </c>
      <c r="T81" s="396" t="e">
        <f ca="1">HLOOKUP(T$70&amp;$K81,NWC_FC_NOOS!$C$4:$Q$24,MATCH($O$87,NWC_FC_NOOS!$B$4:$B$23,0),FALSE)</f>
        <v>#N/A</v>
      </c>
    </row>
    <row r="82" spans="1:20" x14ac:dyDescent="0.25">
      <c r="A82" s="519" t="s">
        <v>197</v>
      </c>
      <c r="B82" s="519" t="s">
        <v>284</v>
      </c>
      <c r="C82" s="519" t="s">
        <v>3</v>
      </c>
      <c r="D82" s="519" t="s">
        <v>70</v>
      </c>
      <c r="E82" s="519" t="s">
        <v>146</v>
      </c>
      <c r="F82" s="881">
        <v>565561.34640000004</v>
      </c>
      <c r="G82" s="881">
        <v>249937.29500000001</v>
      </c>
      <c r="H82" s="880">
        <v>8.6253492022264595</v>
      </c>
      <c r="I82"/>
      <c r="J82"/>
      <c r="K82" s="377" t="s">
        <v>153</v>
      </c>
      <c r="L82" s="393">
        <v>4.9785128552040501</v>
      </c>
      <c r="M82" s="393">
        <v>7.0946010443053398</v>
      </c>
      <c r="N82" s="393"/>
      <c r="O82" s="393">
        <v>12.073113899509391</v>
      </c>
      <c r="P82" s="396">
        <f t="shared" si="7"/>
        <v>4.9785128552040501</v>
      </c>
      <c r="Q82" s="396">
        <f t="shared" si="7"/>
        <v>7.0946010443053398</v>
      </c>
      <c r="R82" s="396" t="e">
        <f t="shared" si="8"/>
        <v>#N/A</v>
      </c>
      <c r="S82" s="396">
        <f ca="1">HLOOKUP(S$70&amp;$K82,NWC_FC_NOOS!$C$4:$Q$24,MATCH($O$87,NWC_FC_NOOS!$B$4:$B$23,0),FALSE)</f>
        <v>0</v>
      </c>
      <c r="T82" s="396" t="e">
        <f ca="1">HLOOKUP(T$70&amp;$K82,NWC_FC_NOOS!$C$4:$Q$24,MATCH($O$87,NWC_FC_NOOS!$B$4:$B$23,0),FALSE)</f>
        <v>#N/A</v>
      </c>
    </row>
    <row r="83" spans="1:20" x14ac:dyDescent="0.25">
      <c r="A83" s="519" t="s">
        <v>197</v>
      </c>
      <c r="B83" s="519" t="s">
        <v>284</v>
      </c>
      <c r="C83" s="519" t="s">
        <v>3</v>
      </c>
      <c r="D83" s="519" t="s">
        <v>70</v>
      </c>
      <c r="E83" s="519" t="s">
        <v>149</v>
      </c>
      <c r="F83" s="881">
        <v>307620.08040000004</v>
      </c>
      <c r="G83" s="881">
        <v>166147.3259</v>
      </c>
      <c r="H83" s="880">
        <v>11.6045966966437</v>
      </c>
      <c r="I83"/>
      <c r="J83"/>
      <c r="K83" s="377" t="s">
        <v>136</v>
      </c>
      <c r="L83" s="393">
        <v>145.71366859195385</v>
      </c>
      <c r="M83" s="393">
        <v>98.531523512924366</v>
      </c>
      <c r="N83" s="393">
        <v>23.73672881760384</v>
      </c>
      <c r="O83" s="393">
        <v>267.981920922482</v>
      </c>
      <c r="Q83" s="373"/>
      <c r="R83" s="373"/>
      <c r="S83" s="373"/>
      <c r="T83" s="373"/>
    </row>
    <row r="84" spans="1:20" x14ac:dyDescent="0.25">
      <c r="A84" s="519" t="s">
        <v>197</v>
      </c>
      <c r="B84" s="519" t="s">
        <v>284</v>
      </c>
      <c r="C84" s="519" t="s">
        <v>3</v>
      </c>
      <c r="D84" s="519" t="s">
        <v>70</v>
      </c>
      <c r="E84" s="519" t="s">
        <v>148</v>
      </c>
      <c r="F84" s="881">
        <v>407584.2831</v>
      </c>
      <c r="G84" s="881">
        <v>154313.9486</v>
      </c>
      <c r="H84" s="880">
        <v>11.8693872360098</v>
      </c>
      <c r="I84"/>
      <c r="J84"/>
      <c r="K84"/>
      <c r="L84"/>
      <c r="Q84" s="373"/>
      <c r="R84" s="373"/>
      <c r="S84" s="373"/>
      <c r="T84" s="373"/>
    </row>
    <row r="85" spans="1:20" x14ac:dyDescent="0.25">
      <c r="A85" s="519" t="s">
        <v>197</v>
      </c>
      <c r="B85" s="519" t="s">
        <v>284</v>
      </c>
      <c r="C85" s="519" t="s">
        <v>3</v>
      </c>
      <c r="D85" s="519" t="s">
        <v>70</v>
      </c>
      <c r="E85" s="519" t="s">
        <v>152</v>
      </c>
      <c r="F85" s="881">
        <v>363560.03610000003</v>
      </c>
      <c r="G85" s="881">
        <v>188105.0079</v>
      </c>
      <c r="H85" s="880">
        <v>21.772119551870102</v>
      </c>
      <c r="I85"/>
      <c r="J85"/>
      <c r="K85" s="575" t="s">
        <v>224</v>
      </c>
      <c r="L85"/>
      <c r="P85" s="373"/>
    </row>
    <row r="86" spans="1:20" x14ac:dyDescent="0.25">
      <c r="A86" s="519" t="s">
        <v>197</v>
      </c>
      <c r="B86" s="519" t="s">
        <v>284</v>
      </c>
      <c r="C86" s="519" t="s">
        <v>3</v>
      </c>
      <c r="D86" s="519" t="s">
        <v>70</v>
      </c>
      <c r="E86" s="519" t="s">
        <v>155</v>
      </c>
      <c r="F86" s="881">
        <v>256428.41640000002</v>
      </c>
      <c r="G86" s="881">
        <v>34506.418900000004</v>
      </c>
      <c r="H86" s="880">
        <v>13.7310452566481</v>
      </c>
      <c r="I86"/>
      <c r="J86"/>
      <c r="K86"/>
      <c r="L86"/>
      <c r="P86" s="373"/>
    </row>
    <row r="87" spans="1:20" x14ac:dyDescent="0.25">
      <c r="A87" s="519" t="s">
        <v>197</v>
      </c>
      <c r="B87" s="519" t="s">
        <v>284</v>
      </c>
      <c r="C87" s="519" t="s">
        <v>3</v>
      </c>
      <c r="D87" s="519" t="s">
        <v>70</v>
      </c>
      <c r="E87" s="519" t="s">
        <v>153</v>
      </c>
      <c r="F87" s="881">
        <v>229475.5098</v>
      </c>
      <c r="G87" s="881">
        <v>57815.2016</v>
      </c>
      <c r="H87" s="880">
        <v>5.7103988205555103</v>
      </c>
      <c r="I87"/>
      <c r="J87"/>
      <c r="K87" s="376" t="s">
        <v>1740</v>
      </c>
      <c r="L87" s="373" t="s">
        <v>181</v>
      </c>
      <c r="N87" s="373" t="s">
        <v>223</v>
      </c>
      <c r="O87" s="61" t="str">
        <f>IF(L67="(All)","TOTAL",L67)</f>
        <v>OUTERWEAR</v>
      </c>
      <c r="P87" s="373"/>
      <c r="Q87" s="373"/>
      <c r="R87" s="373"/>
      <c r="S87" s="373"/>
      <c r="T87" s="373"/>
    </row>
    <row r="88" spans="1:20" x14ac:dyDescent="0.25">
      <c r="A88" s="519" t="s">
        <v>197</v>
      </c>
      <c r="B88" s="519" t="s">
        <v>284</v>
      </c>
      <c r="C88" s="519" t="s">
        <v>3</v>
      </c>
      <c r="D88" s="519" t="s">
        <v>16</v>
      </c>
      <c r="E88" s="519" t="s">
        <v>146</v>
      </c>
      <c r="F88" s="881">
        <v>616823.79269999999</v>
      </c>
      <c r="G88" s="881">
        <v>405419.94330000004</v>
      </c>
      <c r="H88" s="880">
        <v>7.7964924752742801</v>
      </c>
      <c r="I88"/>
      <c r="J88"/>
      <c r="K88" s="373"/>
      <c r="M88" s="373"/>
      <c r="N88" s="373"/>
      <c r="O88" s="373"/>
      <c r="P88" s="373"/>
      <c r="Q88" s="373"/>
      <c r="R88" s="373"/>
      <c r="S88" s="373"/>
      <c r="T88" s="373"/>
    </row>
    <row r="89" spans="1:20" x14ac:dyDescent="0.25">
      <c r="A89" s="519" t="s">
        <v>197</v>
      </c>
      <c r="B89" s="519" t="s">
        <v>284</v>
      </c>
      <c r="C89" s="519" t="s">
        <v>3</v>
      </c>
      <c r="D89" s="519" t="s">
        <v>16</v>
      </c>
      <c r="E89" s="519" t="s">
        <v>149</v>
      </c>
      <c r="F89" s="881">
        <v>367041.40740000003</v>
      </c>
      <c r="G89" s="881">
        <v>437335.66830000002</v>
      </c>
      <c r="H89" s="880">
        <v>14.274249010580501</v>
      </c>
      <c r="I89"/>
      <c r="J89"/>
      <c r="K89" s="376" t="s">
        <v>186</v>
      </c>
      <c r="L89" s="376" t="s">
        <v>184</v>
      </c>
      <c r="Q89" s="373"/>
      <c r="R89" s="373"/>
      <c r="S89" s="590" t="s">
        <v>234</v>
      </c>
      <c r="T89" s="590" t="s">
        <v>234</v>
      </c>
    </row>
    <row r="90" spans="1:20" x14ac:dyDescent="0.25">
      <c r="A90" s="519" t="s">
        <v>197</v>
      </c>
      <c r="B90" s="519" t="s">
        <v>284</v>
      </c>
      <c r="C90" s="519" t="s">
        <v>3</v>
      </c>
      <c r="D90" s="519" t="s">
        <v>16</v>
      </c>
      <c r="E90" s="519" t="s">
        <v>148</v>
      </c>
      <c r="F90" s="881">
        <v>599610.92489999998</v>
      </c>
      <c r="G90" s="881">
        <v>138664.3927</v>
      </c>
      <c r="H90" s="880">
        <v>22.228505369041802</v>
      </c>
      <c r="I90"/>
      <c r="J90"/>
      <c r="K90" s="376" t="s">
        <v>135</v>
      </c>
      <c r="L90" s="373" t="s">
        <v>70</v>
      </c>
      <c r="M90" s="373" t="s">
        <v>16</v>
      </c>
      <c r="N90" s="373" t="s">
        <v>17</v>
      </c>
      <c r="O90" s="373" t="s">
        <v>136</v>
      </c>
      <c r="P90" s="1" t="str">
        <f>L90</f>
        <v>16/17</v>
      </c>
      <c r="Q90" s="1" t="str">
        <f>M90</f>
        <v>17/18</v>
      </c>
      <c r="R90" s="1" t="str">
        <f>N90</f>
        <v>18/19</v>
      </c>
      <c r="S90" s="1" t="str">
        <f ca="1">TIME!$M$27</f>
        <v>18/19</v>
      </c>
      <c r="T90" s="1" t="str">
        <f ca="1">TIME!$M$31</f>
        <v>19/20</v>
      </c>
    </row>
    <row r="91" spans="1:20" x14ac:dyDescent="0.25">
      <c r="A91" s="519" t="s">
        <v>197</v>
      </c>
      <c r="B91" s="519" t="s">
        <v>284</v>
      </c>
      <c r="C91" s="519" t="s">
        <v>3</v>
      </c>
      <c r="D91" s="519" t="s">
        <v>16</v>
      </c>
      <c r="E91" s="519" t="s">
        <v>152</v>
      </c>
      <c r="F91" s="881">
        <v>576407.00640000007</v>
      </c>
      <c r="G91" s="881">
        <v>228386.3002</v>
      </c>
      <c r="H91" s="880">
        <v>22.807690580917999</v>
      </c>
      <c r="I91"/>
      <c r="J91"/>
      <c r="K91" s="377" t="s">
        <v>144</v>
      </c>
      <c r="L91" s="393">
        <v>82829.668799999999</v>
      </c>
      <c r="M91" s="393">
        <v>51426.1728</v>
      </c>
      <c r="N91" s="393">
        <v>247646.55660000001</v>
      </c>
      <c r="O91" s="393">
        <v>381902.3982</v>
      </c>
      <c r="P91" s="397">
        <f t="shared" ref="P91:Q102" si="9">L91</f>
        <v>82829.668799999999</v>
      </c>
      <c r="Q91" s="397">
        <f t="shared" si="9"/>
        <v>51426.1728</v>
      </c>
      <c r="R91" s="397">
        <f t="shared" ref="R91:R102" si="10">IF(N91=0,NA(),N91)</f>
        <v>247646.55660000001</v>
      </c>
      <c r="S91" s="397" t="e">
        <f ca="1">HLOOKUP(S$90&amp;$K91,NWC_FC_NOOS!$T$4:$AH$24,MATCH($O$87,NWC_FC_NOOS!$S$4:$S$24,0),FALSE)</f>
        <v>#N/A</v>
      </c>
      <c r="T91" s="397">
        <f ca="1">HLOOKUP(T$90&amp;$K91,NWC_FC_NOOS!$T$4:$AH$24,MATCH($O$87,NWC_FC_NOOS!$S$4:$S$24,0),FALSE)</f>
        <v>0</v>
      </c>
    </row>
    <row r="92" spans="1:20" x14ac:dyDescent="0.25">
      <c r="A92" s="519" t="s">
        <v>197</v>
      </c>
      <c r="B92" s="519" t="s">
        <v>284</v>
      </c>
      <c r="C92" s="519" t="s">
        <v>3</v>
      </c>
      <c r="D92" s="519" t="s">
        <v>16</v>
      </c>
      <c r="E92" s="519" t="s">
        <v>155</v>
      </c>
      <c r="F92" s="881">
        <v>523101.84299999999</v>
      </c>
      <c r="G92" s="881">
        <v>-28179.275100000003</v>
      </c>
      <c r="H92" s="880">
        <v>15.3875966129233</v>
      </c>
      <c r="I92"/>
      <c r="J92"/>
      <c r="K92" s="377" t="s">
        <v>146</v>
      </c>
      <c r="L92" s="393">
        <v>47338.953000000001</v>
      </c>
      <c r="M92" s="393">
        <v>62869.906500000005</v>
      </c>
      <c r="N92" s="393">
        <v>221266.43700000001</v>
      </c>
      <c r="O92" s="393">
        <v>331475.2965</v>
      </c>
      <c r="P92" s="397">
        <f t="shared" si="9"/>
        <v>47338.953000000001</v>
      </c>
      <c r="Q92" s="397">
        <f t="shared" si="9"/>
        <v>62869.906500000005</v>
      </c>
      <c r="R92" s="397">
        <f t="shared" si="10"/>
        <v>221266.43700000001</v>
      </c>
      <c r="S92" s="397" t="e">
        <f ca="1">HLOOKUP(S$90&amp;$K92,NWC_FC_NOOS!$T$4:$AH$24,MATCH($O$87,NWC_FC_NOOS!$S$4:$S$24,0),FALSE)</f>
        <v>#N/A</v>
      </c>
      <c r="T92" s="397">
        <f ca="1">HLOOKUP(T$90&amp;$K92,NWC_FC_NOOS!$T$4:$AH$24,MATCH($O$87,NWC_FC_NOOS!$S$4:$S$24,0),FALSE)</f>
        <v>0</v>
      </c>
    </row>
    <row r="93" spans="1:20" x14ac:dyDescent="0.25">
      <c r="A93" s="519" t="s">
        <v>197</v>
      </c>
      <c r="B93" s="519" t="s">
        <v>284</v>
      </c>
      <c r="C93" s="519" t="s">
        <v>3</v>
      </c>
      <c r="D93" s="519" t="s">
        <v>16</v>
      </c>
      <c r="E93" s="519" t="s">
        <v>153</v>
      </c>
      <c r="F93" s="881">
        <v>618212.478</v>
      </c>
      <c r="G93" s="881">
        <v>50987.366200000004</v>
      </c>
      <c r="H93" s="880">
        <v>9.2996825127528506</v>
      </c>
      <c r="I93"/>
      <c r="J93"/>
      <c r="K93" s="377" t="s">
        <v>145</v>
      </c>
      <c r="L93" s="393">
        <v>34882.904999999999</v>
      </c>
      <c r="M93" s="393">
        <v>50629.804500000006</v>
      </c>
      <c r="N93" s="393">
        <v>207485.6784</v>
      </c>
      <c r="O93" s="393">
        <v>292998.38789999997</v>
      </c>
      <c r="P93" s="397">
        <f t="shared" si="9"/>
        <v>34882.904999999999</v>
      </c>
      <c r="Q93" s="397">
        <f t="shared" si="9"/>
        <v>50629.804500000006</v>
      </c>
      <c r="R93" s="397">
        <f t="shared" si="10"/>
        <v>207485.6784</v>
      </c>
      <c r="S93" s="397" t="e">
        <f ca="1">HLOOKUP(S$90&amp;$K93,NWC_FC_NOOS!$T$4:$AH$24,MATCH($O$87,NWC_FC_NOOS!$S$4:$S$24,0),FALSE)</f>
        <v>#N/A</v>
      </c>
      <c r="T93" s="397">
        <f ca="1">HLOOKUP(T$90&amp;$K93,NWC_FC_NOOS!$T$4:$AH$24,MATCH($O$87,NWC_FC_NOOS!$S$4:$S$24,0),FALSE)</f>
        <v>0</v>
      </c>
    </row>
    <row r="94" spans="1:20" x14ac:dyDescent="0.25">
      <c r="A94" s="519" t="s">
        <v>197</v>
      </c>
      <c r="B94" s="519" t="s">
        <v>284</v>
      </c>
      <c r="C94" s="519" t="s">
        <v>3</v>
      </c>
      <c r="D94" s="519" t="s">
        <v>17</v>
      </c>
      <c r="E94" s="519" t="s">
        <v>146</v>
      </c>
      <c r="F94" s="881">
        <v>815999.65140000009</v>
      </c>
      <c r="G94" s="881">
        <v>380605.16380000004</v>
      </c>
      <c r="H94" s="880">
        <v>13.7605954933835</v>
      </c>
      <c r="I94"/>
      <c r="J94"/>
      <c r="K94" s="377" t="s">
        <v>149</v>
      </c>
      <c r="L94" s="393">
        <v>45921.567900000002</v>
      </c>
      <c r="M94" s="393">
        <v>45599.053200000002</v>
      </c>
      <c r="N94" s="393">
        <v>144795.978</v>
      </c>
      <c r="O94" s="393">
        <v>236316.59909999999</v>
      </c>
      <c r="P94" s="397">
        <f t="shared" si="9"/>
        <v>45921.567900000002</v>
      </c>
      <c r="Q94" s="397">
        <f t="shared" si="9"/>
        <v>45599.053200000002</v>
      </c>
      <c r="R94" s="397">
        <f t="shared" si="10"/>
        <v>144795.978</v>
      </c>
      <c r="S94" s="397" t="e">
        <f ca="1">HLOOKUP(S$90&amp;$K94,NWC_FC_NOOS!$T$4:$AH$24,MATCH($O$87,NWC_FC_NOOS!$S$4:$S$24,0),FALSE)</f>
        <v>#N/A</v>
      </c>
      <c r="T94" s="397">
        <f ca="1">HLOOKUP(T$90&amp;$K94,NWC_FC_NOOS!$T$4:$AH$24,MATCH($O$87,NWC_FC_NOOS!$S$4:$S$24,0),FALSE)</f>
        <v>0</v>
      </c>
    </row>
    <row r="95" spans="1:20" x14ac:dyDescent="0.25">
      <c r="A95" s="519" t="s">
        <v>197</v>
      </c>
      <c r="B95" s="519" t="s">
        <v>284</v>
      </c>
      <c r="C95" s="519" t="s">
        <v>3</v>
      </c>
      <c r="D95" s="519" t="s">
        <v>17</v>
      </c>
      <c r="E95" s="519" t="s">
        <v>149</v>
      </c>
      <c r="F95" s="881">
        <v>469605.03450000001</v>
      </c>
      <c r="G95" s="881">
        <v>242065.90030000001</v>
      </c>
      <c r="H95" s="880">
        <v>0</v>
      </c>
      <c r="I95"/>
      <c r="J95"/>
      <c r="K95" s="377" t="s">
        <v>147</v>
      </c>
      <c r="L95" s="393">
        <v>60859.107000000004</v>
      </c>
      <c r="M95" s="393">
        <v>57541.285500000005</v>
      </c>
      <c r="N95" s="393"/>
      <c r="O95" s="393">
        <v>118400.39250000002</v>
      </c>
      <c r="P95" s="397">
        <f t="shared" si="9"/>
        <v>60859.107000000004</v>
      </c>
      <c r="Q95" s="397">
        <f t="shared" si="9"/>
        <v>57541.285500000005</v>
      </c>
      <c r="R95" s="397" t="e">
        <f t="shared" si="10"/>
        <v>#N/A</v>
      </c>
      <c r="S95" s="397" t="e">
        <f ca="1">HLOOKUP(S$90&amp;$K95,NWC_FC_NOOS!$T$4:$AH$24,MATCH($O$87,NWC_FC_NOOS!$S$4:$S$24,0),FALSE)</f>
        <v>#N/A</v>
      </c>
      <c r="T95" s="397">
        <f ca="1">HLOOKUP(T$90&amp;$K95,NWC_FC_NOOS!$T$4:$AH$24,MATCH($O$87,NWC_FC_NOOS!$S$4:$S$24,0),FALSE)</f>
        <v>0</v>
      </c>
    </row>
    <row r="96" spans="1:20" x14ac:dyDescent="0.25">
      <c r="A96" s="519" t="s">
        <v>197</v>
      </c>
      <c r="B96" s="519" t="s">
        <v>284</v>
      </c>
      <c r="C96" s="519" t="s">
        <v>286</v>
      </c>
      <c r="D96" s="519" t="s">
        <v>70</v>
      </c>
      <c r="E96" s="519" t="s">
        <v>146</v>
      </c>
      <c r="F96" s="881">
        <v>66241.258799999996</v>
      </c>
      <c r="G96" s="881">
        <v>37389.043700000002</v>
      </c>
      <c r="H96" s="880">
        <v>6.9289500538714304</v>
      </c>
      <c r="I96"/>
      <c r="J96"/>
      <c r="K96" s="377" t="s">
        <v>148</v>
      </c>
      <c r="L96" s="393">
        <v>51095.911200000002</v>
      </c>
      <c r="M96" s="393">
        <v>54149.594100000002</v>
      </c>
      <c r="N96" s="393"/>
      <c r="O96" s="393">
        <v>105245.5053</v>
      </c>
      <c r="P96" s="397">
        <f t="shared" si="9"/>
        <v>51095.911200000002</v>
      </c>
      <c r="Q96" s="397">
        <f t="shared" si="9"/>
        <v>54149.594100000002</v>
      </c>
      <c r="R96" s="397" t="e">
        <f t="shared" si="10"/>
        <v>#N/A</v>
      </c>
      <c r="S96" s="397" t="e">
        <f ca="1">HLOOKUP(S$90&amp;$K96,NWC_FC_NOOS!$T$4:$AH$24,MATCH($O$87,NWC_FC_NOOS!$S$4:$S$24,0),FALSE)</f>
        <v>#N/A</v>
      </c>
      <c r="T96" s="397">
        <f ca="1">HLOOKUP(T$90&amp;$K96,NWC_FC_NOOS!$T$4:$AH$24,MATCH($O$87,NWC_FC_NOOS!$S$4:$S$24,0),FALSE)</f>
        <v>0</v>
      </c>
    </row>
    <row r="97" spans="1:20" x14ac:dyDescent="0.25">
      <c r="A97" s="519" t="s">
        <v>197</v>
      </c>
      <c r="B97" s="519" t="s">
        <v>284</v>
      </c>
      <c r="C97" s="519" t="s">
        <v>286</v>
      </c>
      <c r="D97" s="519" t="s">
        <v>70</v>
      </c>
      <c r="E97" s="519" t="s">
        <v>149</v>
      </c>
      <c r="F97" s="881">
        <v>51669.693299999999</v>
      </c>
      <c r="G97" s="881">
        <v>46736.549299999999</v>
      </c>
      <c r="H97" s="880">
        <v>6.2814876038489702</v>
      </c>
      <c r="I97"/>
      <c r="J97"/>
      <c r="K97" s="377" t="s">
        <v>151</v>
      </c>
      <c r="L97" s="393">
        <v>39723.806100000002</v>
      </c>
      <c r="M97" s="393">
        <v>68847.890700000004</v>
      </c>
      <c r="N97" s="393"/>
      <c r="O97" s="393">
        <v>108571.69680000001</v>
      </c>
      <c r="P97" s="397">
        <f t="shared" si="9"/>
        <v>39723.806100000002</v>
      </c>
      <c r="Q97" s="397">
        <f t="shared" si="9"/>
        <v>68847.890700000004</v>
      </c>
      <c r="R97" s="397" t="e">
        <f t="shared" si="10"/>
        <v>#N/A</v>
      </c>
      <c r="S97" s="397">
        <f ca="1">HLOOKUP(S$90&amp;$K97,NWC_FC_NOOS!$T$4:$AH$24,MATCH($O$87,NWC_FC_NOOS!$S$4:$S$24,0),FALSE)</f>
        <v>0</v>
      </c>
      <c r="T97" s="397" t="e">
        <f ca="1">HLOOKUP(T$90&amp;$K97,NWC_FC_NOOS!$T$4:$AH$24,MATCH($O$87,NWC_FC_NOOS!$S$4:$S$24,0),FALSE)</f>
        <v>#N/A</v>
      </c>
    </row>
    <row r="98" spans="1:20" x14ac:dyDescent="0.25">
      <c r="A98" s="519" t="s">
        <v>197</v>
      </c>
      <c r="B98" s="519" t="s">
        <v>284</v>
      </c>
      <c r="C98" s="519" t="s">
        <v>286</v>
      </c>
      <c r="D98" s="519" t="s">
        <v>70</v>
      </c>
      <c r="E98" s="519" t="s">
        <v>148</v>
      </c>
      <c r="F98" s="881">
        <v>79901.489400000006</v>
      </c>
      <c r="G98" s="881">
        <v>45736.059400000006</v>
      </c>
      <c r="H98" s="880">
        <v>7.2883580752105797</v>
      </c>
      <c r="I98"/>
      <c r="J98"/>
      <c r="K98" s="377" t="s">
        <v>152</v>
      </c>
      <c r="L98" s="393">
        <v>27888.477300000002</v>
      </c>
      <c r="M98" s="393">
        <v>58810.2333</v>
      </c>
      <c r="N98" s="393"/>
      <c r="O98" s="393">
        <v>86698.710600000006</v>
      </c>
      <c r="P98" s="397">
        <f t="shared" si="9"/>
        <v>27888.477300000002</v>
      </c>
      <c r="Q98" s="397">
        <f t="shared" si="9"/>
        <v>58810.2333</v>
      </c>
      <c r="R98" s="397" t="e">
        <f t="shared" si="10"/>
        <v>#N/A</v>
      </c>
      <c r="S98" s="397">
        <f ca="1">HLOOKUP(S$90&amp;$K98,NWC_FC_NOOS!$T$4:$AH$24,MATCH($O$87,NWC_FC_NOOS!$S$4:$S$24,0),FALSE)</f>
        <v>0</v>
      </c>
      <c r="T98" s="397" t="e">
        <f ca="1">HLOOKUP(T$90&amp;$K98,NWC_FC_NOOS!$T$4:$AH$24,MATCH($O$87,NWC_FC_NOOS!$S$4:$S$24,0),FALSE)</f>
        <v>#N/A</v>
      </c>
    </row>
    <row r="99" spans="1:20" x14ac:dyDescent="0.25">
      <c r="A99" s="519" t="s">
        <v>197</v>
      </c>
      <c r="B99" s="519" t="s">
        <v>284</v>
      </c>
      <c r="C99" s="519" t="s">
        <v>286</v>
      </c>
      <c r="D99" s="519" t="s">
        <v>70</v>
      </c>
      <c r="E99" s="519" t="s">
        <v>152</v>
      </c>
      <c r="F99" s="881">
        <v>77460.592799999999</v>
      </c>
      <c r="G99" s="881">
        <v>55360.3439</v>
      </c>
      <c r="H99" s="880">
        <v>5.4828964971895804</v>
      </c>
      <c r="I99"/>
      <c r="J99"/>
      <c r="K99" s="377" t="s">
        <v>150</v>
      </c>
      <c r="L99" s="393">
        <v>22950.781800000001</v>
      </c>
      <c r="M99" s="393">
        <v>74641.195500000002</v>
      </c>
      <c r="N99" s="393"/>
      <c r="O99" s="393">
        <v>97591.977299999999</v>
      </c>
      <c r="P99" s="397">
        <f t="shared" si="9"/>
        <v>22950.781800000001</v>
      </c>
      <c r="Q99" s="397">
        <f t="shared" si="9"/>
        <v>74641.195500000002</v>
      </c>
      <c r="R99" s="397" t="e">
        <f t="shared" si="10"/>
        <v>#N/A</v>
      </c>
      <c r="S99" s="397">
        <f ca="1">HLOOKUP(S$90&amp;$K99,NWC_FC_NOOS!$T$4:$AH$24,MATCH($O$87,NWC_FC_NOOS!$S$4:$S$24,0),FALSE)</f>
        <v>0</v>
      </c>
      <c r="T99" s="397" t="e">
        <f ca="1">HLOOKUP(T$90&amp;$K99,NWC_FC_NOOS!$T$4:$AH$24,MATCH($O$87,NWC_FC_NOOS!$S$4:$S$24,0),FALSE)</f>
        <v>#N/A</v>
      </c>
    </row>
    <row r="100" spans="1:20" x14ac:dyDescent="0.25">
      <c r="A100" s="519" t="s">
        <v>197</v>
      </c>
      <c r="B100" s="519" t="s">
        <v>284</v>
      </c>
      <c r="C100" s="519" t="s">
        <v>286</v>
      </c>
      <c r="D100" s="519" t="s">
        <v>70</v>
      </c>
      <c r="E100" s="519" t="s">
        <v>155</v>
      </c>
      <c r="F100" s="881">
        <v>62856.681900000003</v>
      </c>
      <c r="G100" s="881">
        <v>76035.302500000005</v>
      </c>
      <c r="H100" s="880">
        <v>7.35303054200521</v>
      </c>
      <c r="I100"/>
      <c r="J100"/>
      <c r="K100" s="377" t="s">
        <v>155</v>
      </c>
      <c r="L100" s="393">
        <v>30760.177800000001</v>
      </c>
      <c r="M100" s="393">
        <v>95669.276700000002</v>
      </c>
      <c r="N100" s="393"/>
      <c r="O100" s="393">
        <v>126429.45450000001</v>
      </c>
      <c r="P100" s="397">
        <f t="shared" si="9"/>
        <v>30760.177800000001</v>
      </c>
      <c r="Q100" s="397">
        <f t="shared" si="9"/>
        <v>95669.276700000002</v>
      </c>
      <c r="R100" s="397" t="e">
        <f t="shared" si="10"/>
        <v>#N/A</v>
      </c>
      <c r="S100" s="397">
        <f ca="1">HLOOKUP(S$90&amp;$K100,NWC_FC_NOOS!$T$4:$AH$24,MATCH($O$87,NWC_FC_NOOS!$S$4:$S$24,0),FALSE)</f>
        <v>0</v>
      </c>
      <c r="T100" s="397" t="e">
        <f ca="1">HLOOKUP(T$90&amp;$K100,NWC_FC_NOOS!$T$4:$AH$24,MATCH($O$87,NWC_FC_NOOS!$S$4:$S$24,0),FALSE)</f>
        <v>#N/A</v>
      </c>
    </row>
    <row r="101" spans="1:20" x14ac:dyDescent="0.25">
      <c r="A101" s="519" t="s">
        <v>197</v>
      </c>
      <c r="B101" s="519" t="s">
        <v>284</v>
      </c>
      <c r="C101" s="519" t="s">
        <v>286</v>
      </c>
      <c r="D101" s="519" t="s">
        <v>70</v>
      </c>
      <c r="E101" s="519" t="s">
        <v>153</v>
      </c>
      <c r="F101" s="881">
        <v>94653.949200000003</v>
      </c>
      <c r="G101" s="881">
        <v>39048.729500000001</v>
      </c>
      <c r="H101" s="880">
        <v>8.81748523081421</v>
      </c>
      <c r="I101"/>
      <c r="J101"/>
      <c r="K101" s="377" t="s">
        <v>154</v>
      </c>
      <c r="L101" s="393">
        <v>29811.6522</v>
      </c>
      <c r="M101" s="393">
        <v>107129.769</v>
      </c>
      <c r="N101" s="393"/>
      <c r="O101" s="393">
        <v>136941.42120000001</v>
      </c>
      <c r="P101" s="397">
        <f t="shared" si="9"/>
        <v>29811.6522</v>
      </c>
      <c r="Q101" s="397">
        <f t="shared" si="9"/>
        <v>107129.769</v>
      </c>
      <c r="R101" s="397" t="e">
        <f t="shared" si="10"/>
        <v>#N/A</v>
      </c>
      <c r="S101" s="397">
        <f ca="1">HLOOKUP(S$90&amp;$K101,NWC_FC_NOOS!$T$4:$AH$24,MATCH($O$87,NWC_FC_NOOS!$S$4:$S$24,0),FALSE)</f>
        <v>0</v>
      </c>
      <c r="T101" s="397" t="e">
        <f ca="1">HLOOKUP(T$90&amp;$K101,NWC_FC_NOOS!$T$4:$AH$24,MATCH($O$87,NWC_FC_NOOS!$S$4:$S$24,0),FALSE)</f>
        <v>#N/A</v>
      </c>
    </row>
    <row r="102" spans="1:20" x14ac:dyDescent="0.25">
      <c r="A102" s="519" t="s">
        <v>197</v>
      </c>
      <c r="B102" s="519" t="s">
        <v>284</v>
      </c>
      <c r="C102" s="519" t="s">
        <v>286</v>
      </c>
      <c r="D102" s="519" t="s">
        <v>16</v>
      </c>
      <c r="E102" s="519" t="s">
        <v>146</v>
      </c>
      <c r="F102" s="881">
        <v>77818.531199999998</v>
      </c>
      <c r="G102" s="881">
        <v>57473.030600000006</v>
      </c>
      <c r="H102" s="880">
        <v>8.5786515446130291</v>
      </c>
      <c r="I102"/>
      <c r="J102"/>
      <c r="K102" s="377" t="s">
        <v>153</v>
      </c>
      <c r="L102" s="393">
        <v>47477.150999999998</v>
      </c>
      <c r="M102" s="393">
        <v>172767.1323</v>
      </c>
      <c r="N102" s="393"/>
      <c r="O102" s="393">
        <v>220244.28330000001</v>
      </c>
      <c r="P102" s="397">
        <f t="shared" si="9"/>
        <v>47477.150999999998</v>
      </c>
      <c r="Q102" s="397">
        <f t="shared" si="9"/>
        <v>172767.1323</v>
      </c>
      <c r="R102" s="397" t="e">
        <f t="shared" si="10"/>
        <v>#N/A</v>
      </c>
      <c r="S102" s="397">
        <f ca="1">HLOOKUP(S$90&amp;$K102,NWC_FC_NOOS!$T$4:$AH$24,MATCH($O$87,NWC_FC_NOOS!$S$4:$S$24,0),FALSE)</f>
        <v>0</v>
      </c>
      <c r="T102" s="397" t="e">
        <f ca="1">HLOOKUP(T$90&amp;$K102,NWC_FC_NOOS!$T$4:$AH$24,MATCH($O$87,NWC_FC_NOOS!$S$4:$S$24,0),FALSE)</f>
        <v>#N/A</v>
      </c>
    </row>
    <row r="103" spans="1:20" x14ac:dyDescent="0.25">
      <c r="A103" s="519" t="s">
        <v>197</v>
      </c>
      <c r="B103" s="519" t="s">
        <v>284</v>
      </c>
      <c r="C103" s="519" t="s">
        <v>286</v>
      </c>
      <c r="D103" s="519" t="s">
        <v>16</v>
      </c>
      <c r="E103" s="519" t="s">
        <v>149</v>
      </c>
      <c r="F103" s="881">
        <v>72614.8557</v>
      </c>
      <c r="G103" s="881">
        <v>46570.314900000005</v>
      </c>
      <c r="H103" s="880">
        <v>10.329073015018601</v>
      </c>
      <c r="I103"/>
      <c r="J103"/>
      <c r="K103" s="377" t="s">
        <v>136</v>
      </c>
      <c r="L103" s="393">
        <v>521540.15909999999</v>
      </c>
      <c r="M103" s="393">
        <v>900081.31410000008</v>
      </c>
      <c r="N103" s="393">
        <v>821194.65</v>
      </c>
      <c r="O103" s="393">
        <v>2242816.1232000003</v>
      </c>
      <c r="Q103" s="373"/>
      <c r="R103" s="373"/>
      <c r="S103" s="373"/>
      <c r="T103" s="373"/>
    </row>
    <row r="104" spans="1:20" x14ac:dyDescent="0.25">
      <c r="A104" s="519" t="s">
        <v>197</v>
      </c>
      <c r="B104" s="519" t="s">
        <v>284</v>
      </c>
      <c r="C104" s="519" t="s">
        <v>286</v>
      </c>
      <c r="D104" s="519" t="s">
        <v>16</v>
      </c>
      <c r="E104" s="519" t="s">
        <v>148</v>
      </c>
      <c r="F104" s="881">
        <v>76292.959199999998</v>
      </c>
      <c r="G104" s="881">
        <v>27343.424200000001</v>
      </c>
      <c r="H104" s="880">
        <v>6.0535450027053797</v>
      </c>
      <c r="I104"/>
      <c r="J104"/>
      <c r="K104"/>
      <c r="L104"/>
    </row>
    <row r="105" spans="1:20" x14ac:dyDescent="0.25">
      <c r="A105" s="519" t="s">
        <v>197</v>
      </c>
      <c r="B105" s="519" t="s">
        <v>284</v>
      </c>
      <c r="C105" s="519" t="s">
        <v>286</v>
      </c>
      <c r="D105" s="519" t="s">
        <v>16</v>
      </c>
      <c r="E105" s="519" t="s">
        <v>152</v>
      </c>
      <c r="F105" s="881">
        <v>91631.319000000003</v>
      </c>
      <c r="G105" s="881">
        <v>62348.084999999999</v>
      </c>
      <c r="H105" s="880">
        <v>6.1272137412446801</v>
      </c>
      <c r="I105"/>
      <c r="J105"/>
      <c r="K105" s="575" t="s">
        <v>225</v>
      </c>
      <c r="L105"/>
      <c r="P105" s="373"/>
    </row>
    <row r="106" spans="1:20" x14ac:dyDescent="0.25">
      <c r="A106" s="519" t="s">
        <v>197</v>
      </c>
      <c r="B106" s="519" t="s">
        <v>284</v>
      </c>
      <c r="C106" s="519" t="s">
        <v>286</v>
      </c>
      <c r="D106" s="519" t="s">
        <v>16</v>
      </c>
      <c r="E106" s="519" t="s">
        <v>155</v>
      </c>
      <c r="F106" s="881">
        <v>85091.3079</v>
      </c>
      <c r="G106" s="881">
        <v>52220.794900000001</v>
      </c>
      <c r="H106" s="880">
        <v>9.6563348707003307</v>
      </c>
      <c r="I106"/>
      <c r="J106"/>
      <c r="K106"/>
      <c r="L106"/>
      <c r="P106" s="373"/>
    </row>
    <row r="107" spans="1:20" x14ac:dyDescent="0.25">
      <c r="A107" s="519" t="s">
        <v>197</v>
      </c>
      <c r="B107" s="519" t="s">
        <v>284</v>
      </c>
      <c r="C107" s="519" t="s">
        <v>286</v>
      </c>
      <c r="D107" s="519" t="s">
        <v>16</v>
      </c>
      <c r="E107" s="519" t="s">
        <v>153</v>
      </c>
      <c r="F107" s="881">
        <v>142017.81690000001</v>
      </c>
      <c r="G107" s="881">
        <v>29695.584800000001</v>
      </c>
      <c r="H107" s="880">
        <v>8.46353364353876</v>
      </c>
      <c r="I107"/>
      <c r="J107"/>
      <c r="K107" s="376" t="s">
        <v>1740</v>
      </c>
      <c r="L107" s="373" t="s">
        <v>181</v>
      </c>
      <c r="M107" s="373"/>
      <c r="N107" s="373"/>
      <c r="O107" s="373"/>
      <c r="P107" s="373"/>
      <c r="Q107" s="373"/>
      <c r="R107" s="373"/>
      <c r="S107" s="373"/>
      <c r="T107" s="373"/>
    </row>
    <row r="108" spans="1:20" x14ac:dyDescent="0.25">
      <c r="A108" s="519" t="s">
        <v>197</v>
      </c>
      <c r="B108" s="519" t="s">
        <v>284</v>
      </c>
      <c r="C108" s="519" t="s">
        <v>286</v>
      </c>
      <c r="D108" s="519" t="s">
        <v>17</v>
      </c>
      <c r="E108" s="519" t="s">
        <v>146</v>
      </c>
      <c r="F108" s="881">
        <v>173093.1531</v>
      </c>
      <c r="G108" s="881">
        <v>88658.325200000007</v>
      </c>
      <c r="H108" s="880">
        <v>11.7747324153853</v>
      </c>
      <c r="I108"/>
      <c r="J108"/>
      <c r="K108" s="373"/>
      <c r="M108" s="373"/>
      <c r="N108" s="373"/>
      <c r="O108" s="373"/>
      <c r="P108" s="373"/>
      <c r="Q108" s="373"/>
      <c r="R108" s="373"/>
      <c r="S108" s="373"/>
      <c r="T108" s="373"/>
    </row>
    <row r="109" spans="1:20" x14ac:dyDescent="0.25">
      <c r="A109" s="519" t="s">
        <v>197</v>
      </c>
      <c r="B109" s="519" t="s">
        <v>284</v>
      </c>
      <c r="C109" s="519" t="s">
        <v>286</v>
      </c>
      <c r="D109" s="519" t="s">
        <v>17</v>
      </c>
      <c r="E109" s="519" t="s">
        <v>149</v>
      </c>
      <c r="F109" s="881">
        <v>151115.96040000001</v>
      </c>
      <c r="G109" s="881">
        <v>66853.086900000009</v>
      </c>
      <c r="H109" s="880">
        <v>0</v>
      </c>
      <c r="I109"/>
      <c r="J109"/>
      <c r="K109" s="376" t="s">
        <v>220</v>
      </c>
      <c r="L109" s="376" t="s">
        <v>184</v>
      </c>
      <c r="Q109" s="373"/>
      <c r="R109" s="373"/>
      <c r="S109" s="590" t="s">
        <v>234</v>
      </c>
      <c r="T109" s="590" t="s">
        <v>234</v>
      </c>
    </row>
    <row r="110" spans="1:20" x14ac:dyDescent="0.25">
      <c r="A110" s="519" t="s">
        <v>197</v>
      </c>
      <c r="B110" s="519" t="s">
        <v>284</v>
      </c>
      <c r="C110" s="519" t="s">
        <v>287</v>
      </c>
      <c r="D110" s="519" t="s">
        <v>70</v>
      </c>
      <c r="E110" s="519" t="s">
        <v>146</v>
      </c>
      <c r="F110" s="881">
        <v>33110.510999999999</v>
      </c>
      <c r="G110" s="881">
        <v>29082.716100000001</v>
      </c>
      <c r="H110" s="880">
        <v>5.8393248384262</v>
      </c>
      <c r="I110"/>
      <c r="J110"/>
      <c r="K110" s="376" t="s">
        <v>135</v>
      </c>
      <c r="L110" s="373" t="s">
        <v>70</v>
      </c>
      <c r="M110" s="373" t="s">
        <v>16</v>
      </c>
      <c r="N110" s="373" t="s">
        <v>17</v>
      </c>
      <c r="O110" s="373" t="s">
        <v>136</v>
      </c>
      <c r="P110" s="1" t="str">
        <f>L110</f>
        <v>16/17</v>
      </c>
      <c r="Q110" s="218" t="str">
        <f>M110</f>
        <v>17/18</v>
      </c>
      <c r="R110" s="218" t="str">
        <f>N110</f>
        <v>18/19</v>
      </c>
      <c r="S110" s="218" t="str">
        <f ca="1">TIME!$M$27</f>
        <v>18/19</v>
      </c>
      <c r="T110" s="218" t="str">
        <f ca="1">TIME!$M$31</f>
        <v>19/20</v>
      </c>
    </row>
    <row r="111" spans="1:20" x14ac:dyDescent="0.25">
      <c r="A111" s="519" t="s">
        <v>197</v>
      </c>
      <c r="B111" s="519" t="s">
        <v>284</v>
      </c>
      <c r="C111" s="519" t="s">
        <v>287</v>
      </c>
      <c r="D111" s="519" t="s">
        <v>70</v>
      </c>
      <c r="E111" s="519" t="s">
        <v>149</v>
      </c>
      <c r="F111" s="881">
        <v>38050.643100000001</v>
      </c>
      <c r="G111" s="881">
        <v>22026.9467</v>
      </c>
      <c r="H111" s="880">
        <v>8.0976871911608601</v>
      </c>
      <c r="I111"/>
      <c r="J111"/>
      <c r="K111" s="377" t="s">
        <v>144</v>
      </c>
      <c r="L111" s="393">
        <v>18688.470300000001</v>
      </c>
      <c r="M111" s="393">
        <v>39822.578600000001</v>
      </c>
      <c r="N111" s="393">
        <v>62553.338900000002</v>
      </c>
      <c r="O111" s="393">
        <v>121064.3878</v>
      </c>
      <c r="P111" s="397">
        <f t="shared" ref="P111:Q122" si="11">L111</f>
        <v>18688.470300000001</v>
      </c>
      <c r="Q111" s="397">
        <f t="shared" si="11"/>
        <v>39822.578600000001</v>
      </c>
      <c r="R111" s="397">
        <f t="shared" ref="R111:R122" si="12">IF(N111=0,NA(),N111)</f>
        <v>62553.338900000002</v>
      </c>
      <c r="S111" s="397" t="e">
        <f ca="1">HLOOKUP(S$110&amp;$K111,NWC_FC_NOOS!$C$50:$U$70,MATCH(HIS_STOCK!$O$87,NWC_FC_NOOS!$B$50:$B$70,0),FALSE)</f>
        <v>#N/A</v>
      </c>
      <c r="T111" s="397">
        <f ca="1">HLOOKUP(T$110&amp;$K111,NWC_FC_NOOS!$C$50:$U$70,MATCH(HIS_STOCK!$O$87,NWC_FC_NOOS!$B$50:$B$70,0),FALSE)</f>
        <v>0</v>
      </c>
    </row>
    <row r="112" spans="1:20" x14ac:dyDescent="0.25">
      <c r="A112" s="519" t="s">
        <v>197</v>
      </c>
      <c r="B112" s="519" t="s">
        <v>284</v>
      </c>
      <c r="C112" s="519" t="s">
        <v>287</v>
      </c>
      <c r="D112" s="519" t="s">
        <v>70</v>
      </c>
      <c r="E112" s="519" t="s">
        <v>148</v>
      </c>
      <c r="F112" s="881">
        <v>39517.234499999999</v>
      </c>
      <c r="G112" s="881">
        <v>23984.4725</v>
      </c>
      <c r="H112" s="880">
        <v>7.0992087313428103</v>
      </c>
      <c r="I112"/>
      <c r="J112"/>
      <c r="K112" s="377" t="s">
        <v>146</v>
      </c>
      <c r="L112" s="393">
        <v>40751.443899999998</v>
      </c>
      <c r="M112" s="393">
        <v>48510.004000000001</v>
      </c>
      <c r="N112" s="393">
        <v>169583.8884</v>
      </c>
      <c r="O112" s="393">
        <v>258845.3363</v>
      </c>
      <c r="P112" s="397">
        <f t="shared" si="11"/>
        <v>40751.443899999998</v>
      </c>
      <c r="Q112" s="397">
        <f t="shared" si="11"/>
        <v>48510.004000000001</v>
      </c>
      <c r="R112" s="397">
        <f t="shared" si="12"/>
        <v>169583.8884</v>
      </c>
      <c r="S112" s="397" t="e">
        <f ca="1">HLOOKUP(S$110&amp;$K112,NWC_FC_NOOS!$C$50:$U$70,MATCH(HIS_STOCK!$O$87,NWC_FC_NOOS!$B$50:$B$70,0),FALSE)</f>
        <v>#N/A</v>
      </c>
      <c r="T112" s="397">
        <f ca="1">HLOOKUP(T$110&amp;$K112,NWC_FC_NOOS!$C$50:$U$70,MATCH(HIS_STOCK!$O$87,NWC_FC_NOOS!$B$50:$B$70,0),FALSE)</f>
        <v>0</v>
      </c>
    </row>
    <row r="113" spans="1:20" x14ac:dyDescent="0.25">
      <c r="A113" s="519" t="s">
        <v>197</v>
      </c>
      <c r="B113" s="519" t="s">
        <v>284</v>
      </c>
      <c r="C113" s="519" t="s">
        <v>287</v>
      </c>
      <c r="D113" s="519" t="s">
        <v>70</v>
      </c>
      <c r="E113" s="519" t="s">
        <v>152</v>
      </c>
      <c r="F113" s="881">
        <v>40399.944000000003</v>
      </c>
      <c r="G113" s="881">
        <v>28836.425900000002</v>
      </c>
      <c r="H113" s="880">
        <v>12.8932068916018</v>
      </c>
      <c r="I113"/>
      <c r="J113"/>
      <c r="K113" s="377" t="s">
        <v>145</v>
      </c>
      <c r="L113" s="393">
        <v>15040.4858</v>
      </c>
      <c r="M113" s="393">
        <v>27172.403600000001</v>
      </c>
      <c r="N113" s="393">
        <v>104441.24650000001</v>
      </c>
      <c r="O113" s="393">
        <v>146654.13589999999</v>
      </c>
      <c r="P113" s="397">
        <f t="shared" si="11"/>
        <v>15040.4858</v>
      </c>
      <c r="Q113" s="397">
        <f t="shared" si="11"/>
        <v>27172.403600000001</v>
      </c>
      <c r="R113" s="397">
        <f t="shared" si="12"/>
        <v>104441.24650000001</v>
      </c>
      <c r="S113" s="397" t="e">
        <f ca="1">HLOOKUP(S$110&amp;$K113,NWC_FC_NOOS!$C$50:$U$70,MATCH(HIS_STOCK!$O$87,NWC_FC_NOOS!$B$50:$B$70,0),FALSE)</f>
        <v>#N/A</v>
      </c>
      <c r="T113" s="397">
        <f ca="1">HLOOKUP(T$110&amp;$K113,NWC_FC_NOOS!$C$50:$U$70,MATCH(HIS_STOCK!$O$87,NWC_FC_NOOS!$B$50:$B$70,0),FALSE)</f>
        <v>0</v>
      </c>
    </row>
    <row r="114" spans="1:20" x14ac:dyDescent="0.25">
      <c r="A114" s="519" t="s">
        <v>197</v>
      </c>
      <c r="B114" s="519" t="s">
        <v>284</v>
      </c>
      <c r="C114" s="519" t="s">
        <v>287</v>
      </c>
      <c r="D114" s="519" t="s">
        <v>70</v>
      </c>
      <c r="E114" s="519" t="s">
        <v>155</v>
      </c>
      <c r="F114" s="881">
        <v>26868.620699999999</v>
      </c>
      <c r="G114" s="881">
        <v>9799.308500000001</v>
      </c>
      <c r="H114" s="880">
        <v>7.8300565500048904</v>
      </c>
      <c r="I114"/>
      <c r="J114"/>
      <c r="K114" s="377" t="s">
        <v>149</v>
      </c>
      <c r="L114" s="393">
        <v>-3363.4369000000002</v>
      </c>
      <c r="M114" s="393">
        <v>29764.752</v>
      </c>
      <c r="N114" s="393">
        <v>116964.11970000001</v>
      </c>
      <c r="O114" s="393">
        <v>143365.43480000002</v>
      </c>
      <c r="P114" s="397">
        <f t="shared" si="11"/>
        <v>-3363.4369000000002</v>
      </c>
      <c r="Q114" s="397">
        <f t="shared" si="11"/>
        <v>29764.752</v>
      </c>
      <c r="R114" s="397">
        <f t="shared" si="12"/>
        <v>116964.11970000001</v>
      </c>
      <c r="S114" s="397" t="e">
        <f ca="1">HLOOKUP(S$110&amp;$K114,NWC_FC_NOOS!$C$50:$U$70,MATCH(HIS_STOCK!$O$87,NWC_FC_NOOS!$B$50:$B$70,0),FALSE)</f>
        <v>#N/A</v>
      </c>
      <c r="T114" s="397">
        <f ca="1">HLOOKUP(T$110&amp;$K114,NWC_FC_NOOS!$C$50:$U$70,MATCH(HIS_STOCK!$O$87,NWC_FC_NOOS!$B$50:$B$70,0),FALSE)</f>
        <v>0</v>
      </c>
    </row>
    <row r="115" spans="1:20" x14ac:dyDescent="0.25">
      <c r="A115" s="519" t="s">
        <v>197</v>
      </c>
      <c r="B115" s="519" t="s">
        <v>284</v>
      </c>
      <c r="C115" s="519" t="s">
        <v>287</v>
      </c>
      <c r="D115" s="519" t="s">
        <v>70</v>
      </c>
      <c r="E115" s="519" t="s">
        <v>153</v>
      </c>
      <c r="F115" s="881">
        <v>39792.133200000004</v>
      </c>
      <c r="G115" s="881">
        <v>20071.510200000001</v>
      </c>
      <c r="H115" s="880">
        <v>9.0881669853225908</v>
      </c>
      <c r="I115"/>
      <c r="J115"/>
      <c r="K115" s="377" t="s">
        <v>147</v>
      </c>
      <c r="L115" s="393">
        <v>7308.4801000000007</v>
      </c>
      <c r="M115" s="393">
        <v>9807.3934000000008</v>
      </c>
      <c r="N115" s="393"/>
      <c r="O115" s="393">
        <v>17115.873500000002</v>
      </c>
      <c r="P115" s="397">
        <f t="shared" si="11"/>
        <v>7308.4801000000007</v>
      </c>
      <c r="Q115" s="397">
        <f t="shared" si="11"/>
        <v>9807.3934000000008</v>
      </c>
      <c r="R115" s="397" t="e">
        <f t="shared" si="12"/>
        <v>#N/A</v>
      </c>
      <c r="S115" s="397" t="e">
        <f ca="1">HLOOKUP(S$110&amp;$K115,NWC_FC_NOOS!$C$50:$U$70,MATCH(HIS_STOCK!$O$87,NWC_FC_NOOS!$B$50:$B$70,0),FALSE)</f>
        <v>#N/A</v>
      </c>
      <c r="T115" s="397">
        <f ca="1">HLOOKUP(T$110&amp;$K115,NWC_FC_NOOS!$C$50:$U$70,MATCH(HIS_STOCK!$O$87,NWC_FC_NOOS!$B$50:$B$70,0),FALSE)</f>
        <v>0</v>
      </c>
    </row>
    <row r="116" spans="1:20" x14ac:dyDescent="0.25">
      <c r="A116" s="519" t="s">
        <v>197</v>
      </c>
      <c r="B116" s="519" t="s">
        <v>284</v>
      </c>
      <c r="C116" s="519" t="s">
        <v>287</v>
      </c>
      <c r="D116" s="519" t="s">
        <v>16</v>
      </c>
      <c r="E116" s="519" t="s">
        <v>146</v>
      </c>
      <c r="F116" s="881">
        <v>29970.7287</v>
      </c>
      <c r="G116" s="881">
        <v>23437.343400000002</v>
      </c>
      <c r="H116" s="880">
        <v>3.2682948490791701</v>
      </c>
      <c r="I116"/>
      <c r="J116"/>
      <c r="K116" s="377" t="s">
        <v>148</v>
      </c>
      <c r="L116" s="393">
        <v>12110.8055</v>
      </c>
      <c r="M116" s="393">
        <v>31717.750100000001</v>
      </c>
      <c r="N116" s="393"/>
      <c r="O116" s="393">
        <v>43828.5556</v>
      </c>
      <c r="P116" s="397">
        <f t="shared" si="11"/>
        <v>12110.8055</v>
      </c>
      <c r="Q116" s="397">
        <f t="shared" si="11"/>
        <v>31717.750100000001</v>
      </c>
      <c r="R116" s="397" t="e">
        <f t="shared" si="12"/>
        <v>#N/A</v>
      </c>
      <c r="S116" s="397" t="e">
        <f ca="1">HLOOKUP(S$110&amp;$K116,NWC_FC_NOOS!$C$50:$U$70,MATCH(HIS_STOCK!$O$87,NWC_FC_NOOS!$B$50:$B$70,0),FALSE)</f>
        <v>#N/A</v>
      </c>
      <c r="T116" s="397">
        <f ca="1">HLOOKUP(T$110&amp;$K116,NWC_FC_NOOS!$C$50:$U$70,MATCH(HIS_STOCK!$O$87,NWC_FC_NOOS!$B$50:$B$70,0),FALSE)</f>
        <v>0</v>
      </c>
    </row>
    <row r="117" spans="1:20" x14ac:dyDescent="0.25">
      <c r="A117" s="519" t="s">
        <v>197</v>
      </c>
      <c r="B117" s="519" t="s">
        <v>284</v>
      </c>
      <c r="C117" s="519" t="s">
        <v>287</v>
      </c>
      <c r="D117" s="519" t="s">
        <v>16</v>
      </c>
      <c r="E117" s="519" t="s">
        <v>149</v>
      </c>
      <c r="F117" s="881">
        <v>43455.700799999999</v>
      </c>
      <c r="G117" s="881">
        <v>28574.285600000003</v>
      </c>
      <c r="H117" s="880">
        <v>13.9894615406337</v>
      </c>
      <c r="I117"/>
      <c r="J117"/>
      <c r="K117" s="377" t="s">
        <v>151</v>
      </c>
      <c r="L117" s="393">
        <v>14228.7541</v>
      </c>
      <c r="M117" s="393">
        <v>33790.298800000004</v>
      </c>
      <c r="N117" s="393"/>
      <c r="O117" s="393">
        <v>48019.052900000002</v>
      </c>
      <c r="P117" s="397">
        <f t="shared" si="11"/>
        <v>14228.7541</v>
      </c>
      <c r="Q117" s="397">
        <f t="shared" si="11"/>
        <v>33790.298800000004</v>
      </c>
      <c r="R117" s="397" t="e">
        <f t="shared" si="12"/>
        <v>#N/A</v>
      </c>
      <c r="S117" s="397">
        <f ca="1">HLOOKUP(S$110&amp;$K117,NWC_FC_NOOS!$C$50:$U$70,MATCH(HIS_STOCK!$O$87,NWC_FC_NOOS!$B$50:$B$70,0),FALSE)</f>
        <v>0</v>
      </c>
      <c r="T117" s="397">
        <f ca="1">HLOOKUP(T$110&amp;$K117,NWC_FC_NOOS!$C$50:$U$70,MATCH(HIS_STOCK!$O$87,NWC_FC_NOOS!$B$50:$B$70,0),FALSE)</f>
        <v>0</v>
      </c>
    </row>
    <row r="118" spans="1:20" x14ac:dyDescent="0.25">
      <c r="A118" s="519" t="s">
        <v>197</v>
      </c>
      <c r="B118" s="519" t="s">
        <v>284</v>
      </c>
      <c r="C118" s="519" t="s">
        <v>287</v>
      </c>
      <c r="D118" s="519" t="s">
        <v>16</v>
      </c>
      <c r="E118" s="519" t="s">
        <v>148</v>
      </c>
      <c r="F118" s="881">
        <v>30332.8056</v>
      </c>
      <c r="G118" s="881">
        <v>14475.529500000001</v>
      </c>
      <c r="H118" s="880">
        <v>7.2836728825694204</v>
      </c>
      <c r="I118"/>
      <c r="J118"/>
      <c r="K118" s="377" t="s">
        <v>152</v>
      </c>
      <c r="L118" s="393">
        <v>27161.759600000001</v>
      </c>
      <c r="M118" s="393">
        <v>77393.090100000001</v>
      </c>
      <c r="N118" s="393"/>
      <c r="O118" s="393">
        <v>104554.84970000001</v>
      </c>
      <c r="P118" s="397">
        <f t="shared" si="11"/>
        <v>27161.759600000001</v>
      </c>
      <c r="Q118" s="397">
        <f t="shared" si="11"/>
        <v>77393.090100000001</v>
      </c>
      <c r="R118" s="397" t="e">
        <f t="shared" si="12"/>
        <v>#N/A</v>
      </c>
      <c r="S118" s="397">
        <f ca="1">HLOOKUP(S$110&amp;$K118,NWC_FC_NOOS!$C$50:$U$70,MATCH(HIS_STOCK!$O$87,NWC_FC_NOOS!$B$50:$B$70,0),FALSE)</f>
        <v>0</v>
      </c>
      <c r="T118" s="397">
        <f ca="1">HLOOKUP(T$110&amp;$K118,NWC_FC_NOOS!$C$50:$U$70,MATCH(HIS_STOCK!$O$87,NWC_FC_NOOS!$B$50:$B$70,0),FALSE)</f>
        <v>0</v>
      </c>
    </row>
    <row r="119" spans="1:20" x14ac:dyDescent="0.25">
      <c r="A119" s="519" t="s">
        <v>197</v>
      </c>
      <c r="B119" s="519" t="s">
        <v>284</v>
      </c>
      <c r="C119" s="519" t="s">
        <v>287</v>
      </c>
      <c r="D119" s="519" t="s">
        <v>16</v>
      </c>
      <c r="E119" s="519" t="s">
        <v>152</v>
      </c>
      <c r="F119" s="881">
        <v>31956.827400000002</v>
      </c>
      <c r="G119" s="881">
        <v>20397.788</v>
      </c>
      <c r="H119" s="880">
        <v>14.5173579088887</v>
      </c>
      <c r="I119"/>
      <c r="J119"/>
      <c r="K119" s="377" t="s">
        <v>150</v>
      </c>
      <c r="L119" s="393">
        <v>24987.042000000001</v>
      </c>
      <c r="M119" s="393">
        <v>86740.65860000001</v>
      </c>
      <c r="N119" s="393"/>
      <c r="O119" s="393">
        <v>111727.70060000001</v>
      </c>
      <c r="P119" s="397">
        <f t="shared" si="11"/>
        <v>24987.042000000001</v>
      </c>
      <c r="Q119" s="397">
        <f t="shared" si="11"/>
        <v>86740.65860000001</v>
      </c>
      <c r="R119" s="397" t="e">
        <f t="shared" si="12"/>
        <v>#N/A</v>
      </c>
      <c r="S119" s="397">
        <f ca="1">HLOOKUP(S$110&amp;$K119,NWC_FC_NOOS!$C$50:$U$70,MATCH(HIS_STOCK!$O$87,NWC_FC_NOOS!$B$50:$B$70,0),FALSE)</f>
        <v>0</v>
      </c>
      <c r="T119" s="397">
        <f ca="1">HLOOKUP(T$110&amp;$K119,NWC_FC_NOOS!$C$50:$U$70,MATCH(HIS_STOCK!$O$87,NWC_FC_NOOS!$B$50:$B$70,0),FALSE)</f>
        <v>0</v>
      </c>
    </row>
    <row r="120" spans="1:20" x14ac:dyDescent="0.25">
      <c r="A120" s="519" t="s">
        <v>197</v>
      </c>
      <c r="B120" s="519" t="s">
        <v>284</v>
      </c>
      <c r="C120" s="519" t="s">
        <v>287</v>
      </c>
      <c r="D120" s="519" t="s">
        <v>16</v>
      </c>
      <c r="E120" s="519" t="s">
        <v>155</v>
      </c>
      <c r="F120" s="881">
        <v>34965.702900000004</v>
      </c>
      <c r="G120" s="881">
        <v>2710.6307999999999</v>
      </c>
      <c r="H120" s="880">
        <v>10.7387967247573</v>
      </c>
      <c r="I120"/>
      <c r="J120"/>
      <c r="K120" s="377" t="s">
        <v>155</v>
      </c>
      <c r="L120" s="393">
        <v>13207.7564</v>
      </c>
      <c r="M120" s="393">
        <v>14568.658300000001</v>
      </c>
      <c r="N120" s="393"/>
      <c r="O120" s="393">
        <v>27776.414700000001</v>
      </c>
      <c r="P120" s="397">
        <f t="shared" si="11"/>
        <v>13207.7564</v>
      </c>
      <c r="Q120" s="397">
        <f t="shared" si="11"/>
        <v>14568.658300000001</v>
      </c>
      <c r="R120" s="397" t="e">
        <f t="shared" si="12"/>
        <v>#N/A</v>
      </c>
      <c r="S120" s="397">
        <f ca="1">HLOOKUP(S$110&amp;$K120,NWC_FC_NOOS!$C$50:$U$70,MATCH(HIS_STOCK!$O$87,NWC_FC_NOOS!$B$50:$B$70,0),FALSE)</f>
        <v>0</v>
      </c>
      <c r="T120" s="397" t="e">
        <f ca="1">HLOOKUP(T$110&amp;$K120,NWC_FC_NOOS!$C$50:$U$70,MATCH(HIS_STOCK!$O$87,NWC_FC_NOOS!$B$50:$B$70,0),FALSE)</f>
        <v>#N/A</v>
      </c>
    </row>
    <row r="121" spans="1:20" x14ac:dyDescent="0.25">
      <c r="A121" s="519" t="s">
        <v>197</v>
      </c>
      <c r="B121" s="519" t="s">
        <v>284</v>
      </c>
      <c r="C121" s="519" t="s">
        <v>287</v>
      </c>
      <c r="D121" s="519" t="s">
        <v>16</v>
      </c>
      <c r="E121" s="519" t="s">
        <v>153</v>
      </c>
      <c r="F121" s="881">
        <v>59593.767599999999</v>
      </c>
      <c r="G121" s="881">
        <v>9075.5114000000012</v>
      </c>
      <c r="H121" s="880">
        <v>11.1926673600688</v>
      </c>
      <c r="I121"/>
      <c r="J121"/>
      <c r="K121" s="377" t="s">
        <v>154</v>
      </c>
      <c r="L121" s="393">
        <v>8895.4722000000002</v>
      </c>
      <c r="M121" s="393">
        <v>22476.231100000001</v>
      </c>
      <c r="N121" s="393"/>
      <c r="O121" s="393">
        <v>31371.703300000001</v>
      </c>
      <c r="P121" s="397">
        <f t="shared" si="11"/>
        <v>8895.4722000000002</v>
      </c>
      <c r="Q121" s="397">
        <f t="shared" si="11"/>
        <v>22476.231100000001</v>
      </c>
      <c r="R121" s="397" t="e">
        <f t="shared" si="12"/>
        <v>#N/A</v>
      </c>
      <c r="S121" s="397">
        <f ca="1">HLOOKUP(S$110&amp;$K121,NWC_FC_NOOS!$C$50:$U$70,MATCH(HIS_STOCK!$O$87,NWC_FC_NOOS!$B$50:$B$70,0),FALSE)</f>
        <v>0</v>
      </c>
      <c r="T121" s="397" t="e">
        <f ca="1">HLOOKUP(T$110&amp;$K121,NWC_FC_NOOS!$C$50:$U$70,MATCH(HIS_STOCK!$O$87,NWC_FC_NOOS!$B$50:$B$70,0),FALSE)</f>
        <v>#N/A</v>
      </c>
    </row>
    <row r="122" spans="1:20" x14ac:dyDescent="0.25">
      <c r="A122" s="519" t="s">
        <v>197</v>
      </c>
      <c r="B122" s="519" t="s">
        <v>284</v>
      </c>
      <c r="C122" s="519" t="s">
        <v>287</v>
      </c>
      <c r="D122" s="519" t="s">
        <v>17</v>
      </c>
      <c r="E122" s="519" t="s">
        <v>146</v>
      </c>
      <c r="F122" s="881">
        <v>58009.977600000006</v>
      </c>
      <c r="G122" s="881">
        <v>22432.3505</v>
      </c>
      <c r="H122" s="880">
        <v>11.7739212466913</v>
      </c>
      <c r="I122"/>
      <c r="J122"/>
      <c r="K122" s="377" t="s">
        <v>153</v>
      </c>
      <c r="L122" s="393">
        <v>10402.6217</v>
      </c>
      <c r="M122" s="393">
        <v>14415.1484</v>
      </c>
      <c r="N122" s="393"/>
      <c r="O122" s="393">
        <v>24817.770100000002</v>
      </c>
      <c r="P122" s="397">
        <f t="shared" si="11"/>
        <v>10402.6217</v>
      </c>
      <c r="Q122" s="397">
        <f t="shared" si="11"/>
        <v>14415.1484</v>
      </c>
      <c r="R122" s="397" t="e">
        <f t="shared" si="12"/>
        <v>#N/A</v>
      </c>
      <c r="S122" s="397">
        <f ca="1">HLOOKUP(S$110&amp;$K122,NWC_FC_NOOS!$C$50:$U$70,MATCH(HIS_STOCK!$O$87,NWC_FC_NOOS!$B$50:$B$70,0),FALSE)</f>
        <v>0</v>
      </c>
      <c r="T122" s="397" t="e">
        <f ca="1">HLOOKUP(T$110&amp;$K122,NWC_FC_NOOS!$C$50:$U$70,MATCH(HIS_STOCK!$O$87,NWC_FC_NOOS!$B$50:$B$70,0),FALSE)</f>
        <v>#N/A</v>
      </c>
    </row>
    <row r="123" spans="1:20" x14ac:dyDescent="0.25">
      <c r="A123" s="519" t="s">
        <v>197</v>
      </c>
      <c r="B123" s="519" t="s">
        <v>284</v>
      </c>
      <c r="C123" s="519" t="s">
        <v>287</v>
      </c>
      <c r="D123" s="519" t="s">
        <v>17</v>
      </c>
      <c r="E123" s="519" t="s">
        <v>149</v>
      </c>
      <c r="F123" s="881">
        <v>43026.617400000003</v>
      </c>
      <c r="G123" s="881">
        <v>22831.774700000002</v>
      </c>
      <c r="H123" s="880">
        <v>0</v>
      </c>
      <c r="I123"/>
      <c r="J123"/>
      <c r="K123" s="377" t="s">
        <v>136</v>
      </c>
      <c r="L123" s="393">
        <v>189419.65470000001</v>
      </c>
      <c r="M123" s="393">
        <v>436178.96700000006</v>
      </c>
      <c r="N123" s="393">
        <v>453542.59350000008</v>
      </c>
      <c r="O123" s="393">
        <v>1079141.2152</v>
      </c>
      <c r="Q123" s="373"/>
      <c r="R123" s="373"/>
      <c r="S123" s="373"/>
      <c r="T123" s="373"/>
    </row>
    <row r="124" spans="1:20" x14ac:dyDescent="0.25">
      <c r="A124" s="519" t="s">
        <v>197</v>
      </c>
      <c r="B124" s="519" t="s">
        <v>284</v>
      </c>
      <c r="C124" s="519" t="s">
        <v>4</v>
      </c>
      <c r="D124" s="519" t="s">
        <v>70</v>
      </c>
      <c r="E124" s="519" t="s">
        <v>146</v>
      </c>
      <c r="F124" s="881">
        <v>13120.495800000001</v>
      </c>
      <c r="G124" s="881">
        <v>6454.1949000000004</v>
      </c>
      <c r="H124" s="880">
        <v>4.5542965706108598</v>
      </c>
      <c r="I124"/>
      <c r="J124"/>
      <c r="K124"/>
      <c r="L124"/>
    </row>
    <row r="125" spans="1:20" x14ac:dyDescent="0.25">
      <c r="A125" s="519" t="s">
        <v>197</v>
      </c>
      <c r="B125" s="519" t="s">
        <v>284</v>
      </c>
      <c r="C125" s="519" t="s">
        <v>4</v>
      </c>
      <c r="D125" s="519" t="s">
        <v>70</v>
      </c>
      <c r="E125" s="519" t="s">
        <v>149</v>
      </c>
      <c r="F125" s="881">
        <v>9546.4500000000007</v>
      </c>
      <c r="G125" s="881">
        <v>8028.6310000000003</v>
      </c>
      <c r="H125" s="880">
        <v>14.987704959143</v>
      </c>
      <c r="I125"/>
      <c r="J125"/>
      <c r="K125"/>
      <c r="L125"/>
      <c r="P125" s="373"/>
    </row>
    <row r="126" spans="1:20" x14ac:dyDescent="0.25">
      <c r="A126" s="519" t="s">
        <v>197</v>
      </c>
      <c r="B126" s="519" t="s">
        <v>284</v>
      </c>
      <c r="C126" s="519" t="s">
        <v>4</v>
      </c>
      <c r="D126" s="519" t="s">
        <v>70</v>
      </c>
      <c r="E126" s="519" t="s">
        <v>148</v>
      </c>
      <c r="F126" s="881">
        <v>3745.6215000000002</v>
      </c>
      <c r="G126" s="881">
        <v>3748.1212</v>
      </c>
      <c r="H126" s="880">
        <v>6.8718110027585002</v>
      </c>
      <c r="I126"/>
      <c r="J126"/>
      <c r="K126"/>
      <c r="L126"/>
    </row>
    <row r="127" spans="1:20" x14ac:dyDescent="0.25">
      <c r="A127" s="519" t="s">
        <v>197</v>
      </c>
      <c r="B127" s="519" t="s">
        <v>284</v>
      </c>
      <c r="C127" s="519" t="s">
        <v>4</v>
      </c>
      <c r="D127" s="519" t="s">
        <v>70</v>
      </c>
      <c r="E127" s="519" t="s">
        <v>152</v>
      </c>
      <c r="F127" s="881">
        <v>3509.634</v>
      </c>
      <c r="G127" s="881">
        <v>4543.9605000000001</v>
      </c>
      <c r="H127" s="880">
        <v>16.0659513362674</v>
      </c>
      <c r="I127"/>
      <c r="J127"/>
      <c r="K127"/>
      <c r="L127"/>
    </row>
    <row r="128" spans="1:20" x14ac:dyDescent="0.25">
      <c r="A128" s="519" t="s">
        <v>197</v>
      </c>
      <c r="B128" s="519" t="s">
        <v>284</v>
      </c>
      <c r="C128" s="519" t="s">
        <v>4</v>
      </c>
      <c r="D128" s="519" t="s">
        <v>70</v>
      </c>
      <c r="E128" s="519" t="s">
        <v>155</v>
      </c>
      <c r="F128" s="881">
        <v>1764.1449</v>
      </c>
      <c r="G128" s="881">
        <v>1093.8563000000001</v>
      </c>
      <c r="H128" s="880">
        <v>7.9665491623027203</v>
      </c>
      <c r="I128"/>
      <c r="J128"/>
      <c r="K128"/>
      <c r="L128"/>
    </row>
    <row r="129" spans="1:12" x14ac:dyDescent="0.25">
      <c r="A129" s="519" t="s">
        <v>197</v>
      </c>
      <c r="B129" s="519" t="s">
        <v>284</v>
      </c>
      <c r="C129" s="519" t="s">
        <v>4</v>
      </c>
      <c r="D129" s="519" t="s">
        <v>70</v>
      </c>
      <c r="E129" s="519" t="s">
        <v>153</v>
      </c>
      <c r="F129" s="881">
        <v>3042.9414000000002</v>
      </c>
      <c r="G129" s="881">
        <v>1156.8081</v>
      </c>
      <c r="H129" s="880">
        <v>6.0348022850267702</v>
      </c>
      <c r="I129"/>
      <c r="J129"/>
      <c r="K129"/>
      <c r="L129"/>
    </row>
    <row r="130" spans="1:12" x14ac:dyDescent="0.25">
      <c r="A130" s="519" t="s">
        <v>197</v>
      </c>
      <c r="B130" s="519" t="s">
        <v>284</v>
      </c>
      <c r="C130" s="519" t="s">
        <v>4</v>
      </c>
      <c r="D130" s="519" t="s">
        <v>16</v>
      </c>
      <c r="E130" s="519" t="s">
        <v>146</v>
      </c>
      <c r="F130" s="881">
        <v>5048.8026</v>
      </c>
      <c r="G130" s="881">
        <v>3462.2264</v>
      </c>
      <c r="H130" s="880">
        <v>11.3268592892068</v>
      </c>
      <c r="I130"/>
      <c r="J130"/>
      <c r="K130"/>
      <c r="L130"/>
    </row>
    <row r="131" spans="1:12" x14ac:dyDescent="0.25">
      <c r="A131" s="519" t="s">
        <v>197</v>
      </c>
      <c r="B131" s="519" t="s">
        <v>284</v>
      </c>
      <c r="C131" s="519" t="s">
        <v>4</v>
      </c>
      <c r="D131" s="519" t="s">
        <v>16</v>
      </c>
      <c r="E131" s="519" t="s">
        <v>149</v>
      </c>
      <c r="F131" s="881">
        <v>3911.5521000000003</v>
      </c>
      <c r="G131" s="881">
        <v>3184.9316000000003</v>
      </c>
      <c r="H131" s="880">
        <v>12.960872099585901</v>
      </c>
      <c r="I131"/>
      <c r="J131"/>
      <c r="K131"/>
      <c r="L131"/>
    </row>
    <row r="132" spans="1:12" x14ac:dyDescent="0.25">
      <c r="A132" s="519" t="s">
        <v>197</v>
      </c>
      <c r="B132" s="519" t="s">
        <v>284</v>
      </c>
      <c r="C132" s="519" t="s">
        <v>4</v>
      </c>
      <c r="D132" s="519" t="s">
        <v>16</v>
      </c>
      <c r="E132" s="519" t="s">
        <v>148</v>
      </c>
      <c r="F132" s="881">
        <v>3703.9110000000001</v>
      </c>
      <c r="G132" s="881">
        <v>1470.4024000000002</v>
      </c>
      <c r="H132" s="880">
        <v>5.3562353256630102</v>
      </c>
      <c r="I132"/>
      <c r="J132"/>
      <c r="K132"/>
      <c r="L132"/>
    </row>
    <row r="133" spans="1:12" x14ac:dyDescent="0.25">
      <c r="A133" s="519" t="s">
        <v>197</v>
      </c>
      <c r="B133" s="519" t="s">
        <v>284</v>
      </c>
      <c r="C133" s="519" t="s">
        <v>4</v>
      </c>
      <c r="D133" s="519" t="s">
        <v>16</v>
      </c>
      <c r="E133" s="519" t="s">
        <v>152</v>
      </c>
      <c r="F133" s="881">
        <v>19260.2814</v>
      </c>
      <c r="G133" s="881">
        <v>10132.186900000001</v>
      </c>
      <c r="H133" s="880">
        <v>12.8374083420975</v>
      </c>
      <c r="I133"/>
      <c r="J133"/>
      <c r="K133"/>
      <c r="L133"/>
    </row>
    <row r="134" spans="1:12" x14ac:dyDescent="0.25">
      <c r="A134" s="519" t="s">
        <v>197</v>
      </c>
      <c r="B134" s="519" t="s">
        <v>284</v>
      </c>
      <c r="C134" s="519" t="s">
        <v>4</v>
      </c>
      <c r="D134" s="519" t="s">
        <v>16</v>
      </c>
      <c r="E134" s="519" t="s">
        <v>155</v>
      </c>
      <c r="F134" s="881">
        <v>17634.715800000002</v>
      </c>
      <c r="G134" s="881">
        <v>3380.7561000000001</v>
      </c>
      <c r="H134" s="880">
        <v>11.4649421648316</v>
      </c>
      <c r="I134"/>
      <c r="J134"/>
      <c r="K134"/>
      <c r="L134"/>
    </row>
    <row r="135" spans="1:12" x14ac:dyDescent="0.25">
      <c r="A135" s="519" t="s">
        <v>197</v>
      </c>
      <c r="B135" s="519" t="s">
        <v>284</v>
      </c>
      <c r="C135" s="519" t="s">
        <v>4</v>
      </c>
      <c r="D135" s="519" t="s">
        <v>16</v>
      </c>
      <c r="E135" s="519" t="s">
        <v>153</v>
      </c>
      <c r="F135" s="881">
        <v>20762.194200000002</v>
      </c>
      <c r="G135" s="881">
        <v>7120.0020000000004</v>
      </c>
      <c r="H135" s="880">
        <v>7.8203271995442005</v>
      </c>
      <c r="I135"/>
      <c r="J135"/>
      <c r="K135"/>
      <c r="L135"/>
    </row>
    <row r="136" spans="1:12" x14ac:dyDescent="0.25">
      <c r="A136" s="519" t="s">
        <v>197</v>
      </c>
      <c r="B136" s="519" t="s">
        <v>284</v>
      </c>
      <c r="C136" s="519" t="s">
        <v>4</v>
      </c>
      <c r="D136" s="519" t="s">
        <v>17</v>
      </c>
      <c r="E136" s="519" t="s">
        <v>146</v>
      </c>
      <c r="F136" s="881">
        <v>22039.084200000001</v>
      </c>
      <c r="G136" s="881">
        <v>14458.186400000001</v>
      </c>
      <c r="H136" s="880">
        <v>10.171801498654601</v>
      </c>
      <c r="I136"/>
      <c r="J136"/>
      <c r="K136"/>
      <c r="L136"/>
    </row>
    <row r="137" spans="1:12" x14ac:dyDescent="0.25">
      <c r="A137" s="519" t="s">
        <v>197</v>
      </c>
      <c r="B137" s="519" t="s">
        <v>284</v>
      </c>
      <c r="C137" s="519" t="s">
        <v>4</v>
      </c>
      <c r="D137" s="519" t="s">
        <v>17</v>
      </c>
      <c r="E137" s="519" t="s">
        <v>149</v>
      </c>
      <c r="F137" s="881">
        <v>8786.705100000001</v>
      </c>
      <c r="G137" s="881">
        <v>10495.747500000001</v>
      </c>
      <c r="H137" s="880">
        <v>0</v>
      </c>
      <c r="I137"/>
      <c r="J137"/>
      <c r="K137"/>
      <c r="L137"/>
    </row>
    <row r="138" spans="1:12" x14ac:dyDescent="0.25">
      <c r="A138" s="519" t="s">
        <v>197</v>
      </c>
      <c r="B138" s="519" t="s">
        <v>284</v>
      </c>
      <c r="C138" s="519" t="s">
        <v>290</v>
      </c>
      <c r="D138" s="519" t="s">
        <v>70</v>
      </c>
      <c r="E138" s="519" t="s">
        <v>146</v>
      </c>
      <c r="F138" s="881">
        <v>10861.191000000001</v>
      </c>
      <c r="G138" s="881">
        <v>-617.8578</v>
      </c>
      <c r="H138" s="880">
        <v>23.739239847141999</v>
      </c>
      <c r="I138"/>
      <c r="J138"/>
      <c r="K138"/>
      <c r="L138"/>
    </row>
    <row r="139" spans="1:12" x14ac:dyDescent="0.25">
      <c r="A139" s="519" t="s">
        <v>197</v>
      </c>
      <c r="B139" s="519" t="s">
        <v>284</v>
      </c>
      <c r="C139" s="519" t="s">
        <v>290</v>
      </c>
      <c r="D139" s="519" t="s">
        <v>70</v>
      </c>
      <c r="E139" s="519" t="s">
        <v>149</v>
      </c>
      <c r="F139" s="881">
        <v>3599.1465000000003</v>
      </c>
      <c r="G139" s="881">
        <v>-584.16849999999999</v>
      </c>
      <c r="H139" s="880">
        <v>13.406842784229701</v>
      </c>
      <c r="I139"/>
      <c r="J139"/>
      <c r="K139"/>
      <c r="L139"/>
    </row>
    <row r="140" spans="1:12" x14ac:dyDescent="0.25">
      <c r="A140" s="519" t="s">
        <v>197</v>
      </c>
      <c r="B140" s="519" t="s">
        <v>284</v>
      </c>
      <c r="C140" s="519" t="s">
        <v>290</v>
      </c>
      <c r="D140" s="519" t="s">
        <v>70</v>
      </c>
      <c r="E140" s="519" t="s">
        <v>148</v>
      </c>
      <c r="F140" s="881">
        <v>3243.8307</v>
      </c>
      <c r="G140" s="881">
        <v>-37.954799999999999</v>
      </c>
      <c r="H140" s="880">
        <v>4.7228448606112998</v>
      </c>
      <c r="I140"/>
      <c r="J140"/>
      <c r="K140"/>
      <c r="L140"/>
    </row>
    <row r="141" spans="1:12" x14ac:dyDescent="0.25">
      <c r="A141" s="519" t="s">
        <v>197</v>
      </c>
      <c r="B141" s="519" t="s">
        <v>284</v>
      </c>
      <c r="C141" s="519" t="s">
        <v>290</v>
      </c>
      <c r="D141" s="519" t="s">
        <v>70</v>
      </c>
      <c r="E141" s="519" t="s">
        <v>152</v>
      </c>
      <c r="F141" s="881">
        <v>29670.9804</v>
      </c>
      <c r="G141" s="881">
        <v>20572.133400000002</v>
      </c>
      <c r="H141" s="880">
        <v>4.8793799176535204</v>
      </c>
      <c r="I141"/>
      <c r="J141"/>
      <c r="K141"/>
      <c r="L141"/>
    </row>
    <row r="142" spans="1:12" x14ac:dyDescent="0.25">
      <c r="A142" s="519" t="s">
        <v>197</v>
      </c>
      <c r="B142" s="519" t="s">
        <v>284</v>
      </c>
      <c r="C142" s="519" t="s">
        <v>290</v>
      </c>
      <c r="D142" s="519" t="s">
        <v>70</v>
      </c>
      <c r="E142" s="519" t="s">
        <v>155</v>
      </c>
      <c r="F142" s="881">
        <v>35702.792999999998</v>
      </c>
      <c r="G142" s="881">
        <v>46926.496400000004</v>
      </c>
      <c r="H142" s="880">
        <v>38.995650758249099</v>
      </c>
      <c r="I142"/>
      <c r="J142"/>
      <c r="K142"/>
      <c r="L142"/>
    </row>
    <row r="143" spans="1:12" x14ac:dyDescent="0.25">
      <c r="A143" s="519" t="s">
        <v>197</v>
      </c>
      <c r="B143" s="519" t="s">
        <v>284</v>
      </c>
      <c r="C143" s="519" t="s">
        <v>285</v>
      </c>
      <c r="D143" s="519" t="s">
        <v>16</v>
      </c>
      <c r="E143" s="519" t="s">
        <v>150</v>
      </c>
      <c r="F143" s="881">
        <v>294387.86369999999</v>
      </c>
      <c r="G143" s="881">
        <v>204333.359</v>
      </c>
      <c r="H143" s="880">
        <v>9.5098140776249505</v>
      </c>
      <c r="I143"/>
      <c r="J143"/>
      <c r="K143"/>
      <c r="L143"/>
    </row>
    <row r="144" spans="1:12" x14ac:dyDescent="0.25">
      <c r="A144" s="519" t="s">
        <v>197</v>
      </c>
      <c r="B144" s="519" t="s">
        <v>284</v>
      </c>
      <c r="C144" s="519" t="s">
        <v>285</v>
      </c>
      <c r="D144" s="519" t="s">
        <v>16</v>
      </c>
      <c r="E144" s="519" t="s">
        <v>154</v>
      </c>
      <c r="F144" s="881">
        <v>238445.0343</v>
      </c>
      <c r="G144" s="881">
        <v>79626.767500000002</v>
      </c>
      <c r="H144" s="880">
        <v>12.2957466582066</v>
      </c>
      <c r="I144"/>
      <c r="J144"/>
      <c r="K144"/>
      <c r="L144"/>
    </row>
    <row r="145" spans="1:12" x14ac:dyDescent="0.25">
      <c r="A145" s="519" t="s">
        <v>197</v>
      </c>
      <c r="B145" s="519" t="s">
        <v>284</v>
      </c>
      <c r="C145" s="519" t="s">
        <v>285</v>
      </c>
      <c r="D145" s="519" t="s">
        <v>17</v>
      </c>
      <c r="E145" s="519" t="s">
        <v>144</v>
      </c>
      <c r="F145" s="881">
        <v>193949.6586</v>
      </c>
      <c r="G145" s="881">
        <v>61575.838100000001</v>
      </c>
      <c r="H145" s="880">
        <v>9.5767538986432204</v>
      </c>
      <c r="I145"/>
      <c r="J145"/>
      <c r="K145"/>
      <c r="L145"/>
    </row>
    <row r="146" spans="1:12" x14ac:dyDescent="0.25">
      <c r="A146" s="519" t="s">
        <v>197</v>
      </c>
      <c r="B146" s="519" t="s">
        <v>284</v>
      </c>
      <c r="C146" s="519" t="s">
        <v>285</v>
      </c>
      <c r="D146" s="519" t="s">
        <v>17</v>
      </c>
      <c r="E146" s="519" t="s">
        <v>145</v>
      </c>
      <c r="F146" s="881">
        <v>286810.40970000002</v>
      </c>
      <c r="G146" s="881">
        <v>85262.635800000004</v>
      </c>
      <c r="H146" s="880">
        <v>8.0293790027527496</v>
      </c>
      <c r="I146"/>
      <c r="J146"/>
      <c r="K146"/>
      <c r="L146"/>
    </row>
    <row r="147" spans="1:12" x14ac:dyDescent="0.25">
      <c r="A147" s="519" t="s">
        <v>197</v>
      </c>
      <c r="B147" s="519" t="s">
        <v>284</v>
      </c>
      <c r="C147" s="519" t="s">
        <v>280</v>
      </c>
      <c r="D147" s="519" t="s">
        <v>70</v>
      </c>
      <c r="E147" s="519" t="s">
        <v>144</v>
      </c>
      <c r="F147" s="881">
        <v>80287.160400000008</v>
      </c>
      <c r="G147" s="881">
        <v>27142.184700000002</v>
      </c>
      <c r="H147" s="880">
        <v>11.185176209802501</v>
      </c>
      <c r="I147"/>
      <c r="J147"/>
      <c r="K147"/>
      <c r="L147"/>
    </row>
    <row r="148" spans="1:12" x14ac:dyDescent="0.25">
      <c r="A148" s="519" t="s">
        <v>197</v>
      </c>
      <c r="B148" s="519" t="s">
        <v>284</v>
      </c>
      <c r="C148" s="519" t="s">
        <v>280</v>
      </c>
      <c r="D148" s="519" t="s">
        <v>70</v>
      </c>
      <c r="E148" s="519" t="s">
        <v>145</v>
      </c>
      <c r="F148" s="881">
        <v>50480.7906</v>
      </c>
      <c r="G148" s="881">
        <v>33473.257100000003</v>
      </c>
      <c r="H148" s="880">
        <v>11.7538110627866</v>
      </c>
      <c r="I148"/>
      <c r="J148"/>
      <c r="K148"/>
      <c r="L148"/>
    </row>
    <row r="149" spans="1:12" x14ac:dyDescent="0.25">
      <c r="A149" s="519" t="s">
        <v>197</v>
      </c>
      <c r="B149" s="519" t="s">
        <v>284</v>
      </c>
      <c r="C149" s="519" t="s">
        <v>280</v>
      </c>
      <c r="D149" s="519" t="s">
        <v>70</v>
      </c>
      <c r="E149" s="519" t="s">
        <v>147</v>
      </c>
      <c r="F149" s="881">
        <v>58497.604500000001</v>
      </c>
      <c r="G149" s="881">
        <v>7910.2209000000003</v>
      </c>
      <c r="H149" s="880">
        <v>8.90356734321945</v>
      </c>
      <c r="I149"/>
      <c r="J149"/>
      <c r="K149"/>
      <c r="L149"/>
    </row>
    <row r="150" spans="1:12" x14ac:dyDescent="0.25">
      <c r="A150" s="519" t="s">
        <v>197</v>
      </c>
      <c r="B150" s="519" t="s">
        <v>284</v>
      </c>
      <c r="C150" s="519" t="s">
        <v>280</v>
      </c>
      <c r="D150" s="519" t="s">
        <v>70</v>
      </c>
      <c r="E150" s="519" t="s">
        <v>151</v>
      </c>
      <c r="F150" s="881">
        <v>64394.2137</v>
      </c>
      <c r="G150" s="881">
        <v>27491.1139</v>
      </c>
      <c r="H150" s="880">
        <v>7.2803711528945296</v>
      </c>
      <c r="I150"/>
      <c r="J150"/>
      <c r="K150"/>
      <c r="L150"/>
    </row>
    <row r="151" spans="1:12" x14ac:dyDescent="0.25">
      <c r="A151" s="519" t="s">
        <v>197</v>
      </c>
      <c r="B151" s="519" t="s">
        <v>284</v>
      </c>
      <c r="C151" s="519" t="s">
        <v>280</v>
      </c>
      <c r="D151" s="519" t="s">
        <v>70</v>
      </c>
      <c r="E151" s="519" t="s">
        <v>150</v>
      </c>
      <c r="F151" s="881">
        <v>52981.811700000006</v>
      </c>
      <c r="G151" s="881">
        <v>32001.189200000001</v>
      </c>
      <c r="H151" s="880">
        <v>17.246223707438102</v>
      </c>
      <c r="I151"/>
      <c r="J151"/>
      <c r="K151"/>
      <c r="L151"/>
    </row>
    <row r="152" spans="1:12" x14ac:dyDescent="0.25">
      <c r="A152" s="519" t="s">
        <v>197</v>
      </c>
      <c r="B152" s="519" t="s">
        <v>284</v>
      </c>
      <c r="C152" s="519" t="s">
        <v>280</v>
      </c>
      <c r="D152" s="519" t="s">
        <v>70</v>
      </c>
      <c r="E152" s="519" t="s">
        <v>154</v>
      </c>
      <c r="F152" s="881">
        <v>53961.920100000003</v>
      </c>
      <c r="G152" s="881">
        <v>14583.5566</v>
      </c>
      <c r="H152" s="880">
        <v>11.142324262272099</v>
      </c>
      <c r="I152"/>
      <c r="J152"/>
      <c r="K152"/>
      <c r="L152"/>
    </row>
    <row r="153" spans="1:12" x14ac:dyDescent="0.25">
      <c r="A153" s="519" t="s">
        <v>197</v>
      </c>
      <c r="B153" s="519" t="s">
        <v>284</v>
      </c>
      <c r="C153" s="519" t="s">
        <v>280</v>
      </c>
      <c r="D153" s="519" t="s">
        <v>16</v>
      </c>
      <c r="E153" s="519" t="s">
        <v>144</v>
      </c>
      <c r="F153" s="881">
        <v>63475.150500000003</v>
      </c>
      <c r="G153" s="881">
        <v>12830.9604</v>
      </c>
      <c r="H153" s="880">
        <v>8.0736992312089004</v>
      </c>
      <c r="I153"/>
      <c r="J153"/>
      <c r="K153"/>
      <c r="L153"/>
    </row>
    <row r="154" spans="1:12" x14ac:dyDescent="0.25">
      <c r="A154" s="519" t="s">
        <v>197</v>
      </c>
      <c r="B154" s="519" t="s">
        <v>284</v>
      </c>
      <c r="C154" s="519" t="s">
        <v>280</v>
      </c>
      <c r="D154" s="519" t="s">
        <v>16</v>
      </c>
      <c r="E154" s="519" t="s">
        <v>145</v>
      </c>
      <c r="F154" s="881">
        <v>67422.32160000001</v>
      </c>
      <c r="G154" s="881">
        <v>27936.392500000002</v>
      </c>
      <c r="H154" s="880">
        <v>9.6129123811613599</v>
      </c>
      <c r="I154"/>
      <c r="J154"/>
      <c r="K154"/>
      <c r="L154"/>
    </row>
    <row r="155" spans="1:12" x14ac:dyDescent="0.25">
      <c r="A155" s="519" t="s">
        <v>197</v>
      </c>
      <c r="B155" s="519" t="s">
        <v>284</v>
      </c>
      <c r="C155" s="519" t="s">
        <v>280</v>
      </c>
      <c r="D155" s="519" t="s">
        <v>16</v>
      </c>
      <c r="E155" s="519" t="s">
        <v>147</v>
      </c>
      <c r="F155" s="881">
        <v>80240.837100000004</v>
      </c>
      <c r="G155" s="881">
        <v>6521.1358</v>
      </c>
      <c r="H155" s="880">
        <v>11.233198128264501</v>
      </c>
      <c r="I155"/>
      <c r="J155"/>
      <c r="K155"/>
      <c r="L155"/>
    </row>
    <row r="156" spans="1:12" x14ac:dyDescent="0.25">
      <c r="A156" s="519" t="s">
        <v>197</v>
      </c>
      <c r="B156" s="519" t="s">
        <v>284</v>
      </c>
      <c r="C156" s="519" t="s">
        <v>280</v>
      </c>
      <c r="D156" s="519" t="s">
        <v>16</v>
      </c>
      <c r="E156" s="519" t="s">
        <v>151</v>
      </c>
      <c r="F156" s="881">
        <v>86780.820300000007</v>
      </c>
      <c r="G156" s="881">
        <v>30012.4732</v>
      </c>
      <c r="H156" s="880">
        <v>16.241184498739301</v>
      </c>
      <c r="I156"/>
      <c r="J156"/>
      <c r="K156"/>
      <c r="L156"/>
    </row>
    <row r="157" spans="1:12" x14ac:dyDescent="0.25">
      <c r="A157" s="519" t="s">
        <v>197</v>
      </c>
      <c r="B157" s="519" t="s">
        <v>284</v>
      </c>
      <c r="C157" s="519" t="s">
        <v>280</v>
      </c>
      <c r="D157" s="519" t="s">
        <v>16</v>
      </c>
      <c r="E157" s="519" t="s">
        <v>150</v>
      </c>
      <c r="F157" s="881">
        <v>86119.506600000008</v>
      </c>
      <c r="G157" s="881">
        <v>22037.679100000001</v>
      </c>
      <c r="H157" s="880">
        <v>17.0926575203192</v>
      </c>
      <c r="I157"/>
      <c r="J157"/>
      <c r="K157"/>
      <c r="L157"/>
    </row>
    <row r="158" spans="1:12" x14ac:dyDescent="0.25">
      <c r="A158" s="519" t="s">
        <v>197</v>
      </c>
      <c r="B158" s="519" t="s">
        <v>284</v>
      </c>
      <c r="C158" s="519" t="s">
        <v>280</v>
      </c>
      <c r="D158" s="519" t="s">
        <v>16</v>
      </c>
      <c r="E158" s="519" t="s">
        <v>154</v>
      </c>
      <c r="F158" s="881">
        <v>101681.93130000001</v>
      </c>
      <c r="G158" s="881">
        <v>17807.191600000002</v>
      </c>
      <c r="H158" s="880">
        <v>13.390979754560501</v>
      </c>
      <c r="I158"/>
      <c r="J158"/>
      <c r="K158"/>
      <c r="L158"/>
    </row>
    <row r="159" spans="1:12" x14ac:dyDescent="0.25">
      <c r="A159" s="519" t="s">
        <v>197</v>
      </c>
      <c r="B159" s="519" t="s">
        <v>284</v>
      </c>
      <c r="C159" s="519" t="s">
        <v>280</v>
      </c>
      <c r="D159" s="519" t="s">
        <v>17</v>
      </c>
      <c r="E159" s="519" t="s">
        <v>144</v>
      </c>
      <c r="F159" s="881">
        <v>131055.86970000001</v>
      </c>
      <c r="G159" s="881">
        <v>37107.898399999998</v>
      </c>
      <c r="H159" s="880">
        <v>15.1480752059036</v>
      </c>
      <c r="I159"/>
      <c r="J159"/>
      <c r="K159"/>
      <c r="L159"/>
    </row>
    <row r="160" spans="1:12" x14ac:dyDescent="0.25">
      <c r="A160" s="519" t="s">
        <v>197</v>
      </c>
      <c r="B160" s="519" t="s">
        <v>284</v>
      </c>
      <c r="C160" s="519" t="s">
        <v>280</v>
      </c>
      <c r="D160" s="519" t="s">
        <v>17</v>
      </c>
      <c r="E160" s="519" t="s">
        <v>145</v>
      </c>
      <c r="F160" s="881">
        <v>98681.825700000001</v>
      </c>
      <c r="G160" s="881">
        <v>26527.139600000002</v>
      </c>
      <c r="H160" s="880">
        <v>10.774053760026399</v>
      </c>
      <c r="I160"/>
      <c r="J160"/>
      <c r="K160"/>
      <c r="L160"/>
    </row>
    <row r="161" spans="1:12" x14ac:dyDescent="0.25">
      <c r="A161" s="519" t="s">
        <v>197</v>
      </c>
      <c r="B161" s="519" t="s">
        <v>284</v>
      </c>
      <c r="C161" s="519" t="s">
        <v>289</v>
      </c>
      <c r="D161" s="519" t="s">
        <v>70</v>
      </c>
      <c r="E161" s="519" t="s">
        <v>144</v>
      </c>
      <c r="F161" s="881">
        <v>164442.20010000002</v>
      </c>
      <c r="G161" s="881">
        <v>56472.855800000005</v>
      </c>
      <c r="H161" s="880">
        <v>5.1734624639201003</v>
      </c>
      <c r="I161"/>
      <c r="J161"/>
      <c r="K161"/>
      <c r="L161"/>
    </row>
    <row r="162" spans="1:12" x14ac:dyDescent="0.25">
      <c r="A162" s="519" t="s">
        <v>197</v>
      </c>
      <c r="B162" s="519" t="s">
        <v>284</v>
      </c>
      <c r="C162" s="519" t="s">
        <v>289</v>
      </c>
      <c r="D162" s="519" t="s">
        <v>70</v>
      </c>
      <c r="E162" s="519" t="s">
        <v>145</v>
      </c>
      <c r="F162" s="881">
        <v>110137.947</v>
      </c>
      <c r="G162" s="881">
        <v>171511.14920000001</v>
      </c>
      <c r="H162" s="880">
        <v>2.9558962493270098</v>
      </c>
      <c r="I162"/>
      <c r="J162"/>
      <c r="K162"/>
      <c r="L162"/>
    </row>
    <row r="163" spans="1:12" x14ac:dyDescent="0.25">
      <c r="A163" s="519" t="s">
        <v>197</v>
      </c>
      <c r="B163" s="519" t="s">
        <v>284</v>
      </c>
      <c r="C163" s="519" t="s">
        <v>289</v>
      </c>
      <c r="D163" s="519" t="s">
        <v>70</v>
      </c>
      <c r="E163" s="519" t="s">
        <v>147</v>
      </c>
      <c r="F163" s="881">
        <v>145396.014</v>
      </c>
      <c r="G163" s="881">
        <v>72745.044600000008</v>
      </c>
      <c r="H163" s="880">
        <v>8.2661686210127296</v>
      </c>
      <c r="I163"/>
      <c r="J163"/>
      <c r="K163"/>
      <c r="L163"/>
    </row>
    <row r="164" spans="1:12" x14ac:dyDescent="0.25">
      <c r="A164" s="519" t="s">
        <v>197</v>
      </c>
      <c r="B164" s="519" t="s">
        <v>284</v>
      </c>
      <c r="C164" s="519" t="s">
        <v>289</v>
      </c>
      <c r="D164" s="519" t="s">
        <v>70</v>
      </c>
      <c r="E164" s="519" t="s">
        <v>151</v>
      </c>
      <c r="F164" s="881">
        <v>159005.2806</v>
      </c>
      <c r="G164" s="881">
        <v>53252.467500000006</v>
      </c>
      <c r="H164" s="880">
        <v>21.861988617245899</v>
      </c>
      <c r="I164"/>
      <c r="J164"/>
      <c r="K164"/>
      <c r="L164"/>
    </row>
    <row r="165" spans="1:12" x14ac:dyDescent="0.25">
      <c r="A165" s="519" t="s">
        <v>197</v>
      </c>
      <c r="B165" s="519" t="s">
        <v>284</v>
      </c>
      <c r="C165" s="519" t="s">
        <v>289</v>
      </c>
      <c r="D165" s="519" t="s">
        <v>70</v>
      </c>
      <c r="E165" s="519" t="s">
        <v>150</v>
      </c>
      <c r="F165" s="881">
        <v>140638.34789999999</v>
      </c>
      <c r="G165" s="881">
        <v>46760.203200000004</v>
      </c>
      <c r="H165" s="880">
        <v>17.6313865608453</v>
      </c>
      <c r="I165"/>
      <c r="J165"/>
      <c r="K165"/>
      <c r="L165"/>
    </row>
    <row r="166" spans="1:12" x14ac:dyDescent="0.25">
      <c r="A166" s="519" t="s">
        <v>197</v>
      </c>
      <c r="B166" s="519" t="s">
        <v>284</v>
      </c>
      <c r="C166" s="519" t="s">
        <v>289</v>
      </c>
      <c r="D166" s="519" t="s">
        <v>70</v>
      </c>
      <c r="E166" s="519" t="s">
        <v>154</v>
      </c>
      <c r="F166" s="881">
        <v>138075.85380000001</v>
      </c>
      <c r="G166" s="881">
        <v>15850.595000000001</v>
      </c>
      <c r="H166" s="880">
        <v>9.6846330347991998</v>
      </c>
      <c r="I166"/>
      <c r="J166"/>
      <c r="K166"/>
      <c r="L166"/>
    </row>
    <row r="167" spans="1:12" x14ac:dyDescent="0.25">
      <c r="A167" s="519" t="s">
        <v>197</v>
      </c>
      <c r="B167" s="519" t="s">
        <v>284</v>
      </c>
      <c r="C167" s="519" t="s">
        <v>289</v>
      </c>
      <c r="D167" s="519" t="s">
        <v>16</v>
      </c>
      <c r="E167" s="519" t="s">
        <v>144</v>
      </c>
      <c r="F167" s="881">
        <v>238893.98250000001</v>
      </c>
      <c r="G167" s="881">
        <v>64932.809100000006</v>
      </c>
      <c r="H167" s="880">
        <v>5.7605198135395801</v>
      </c>
      <c r="I167"/>
      <c r="J167"/>
      <c r="K167"/>
      <c r="L167"/>
    </row>
    <row r="168" spans="1:12" x14ac:dyDescent="0.25">
      <c r="A168" s="519" t="s">
        <v>197</v>
      </c>
      <c r="B168" s="519" t="s">
        <v>284</v>
      </c>
      <c r="C168" s="519" t="s">
        <v>289</v>
      </c>
      <c r="D168" s="519" t="s">
        <v>16</v>
      </c>
      <c r="E168" s="519" t="s">
        <v>145</v>
      </c>
      <c r="F168" s="881">
        <v>224679.63930000001</v>
      </c>
      <c r="G168" s="881">
        <v>151065.64569999999</v>
      </c>
      <c r="H168" s="880">
        <v>5.5915406428514096</v>
      </c>
      <c r="I168"/>
      <c r="J168"/>
      <c r="K168"/>
      <c r="L168"/>
    </row>
    <row r="169" spans="1:12" x14ac:dyDescent="0.25">
      <c r="A169" s="519" t="s">
        <v>197</v>
      </c>
      <c r="B169" s="519" t="s">
        <v>284</v>
      </c>
      <c r="C169" s="519" t="s">
        <v>289</v>
      </c>
      <c r="D169" s="519" t="s">
        <v>16</v>
      </c>
      <c r="E169" s="519" t="s">
        <v>147</v>
      </c>
      <c r="F169" s="881">
        <v>222325.37220000001</v>
      </c>
      <c r="G169" s="881">
        <v>57790.353500000005</v>
      </c>
      <c r="H169" s="880">
        <v>24.043896614795401</v>
      </c>
      <c r="I169"/>
      <c r="J169"/>
      <c r="K169"/>
      <c r="L169"/>
    </row>
    <row r="170" spans="1:12" x14ac:dyDescent="0.25">
      <c r="A170" s="519" t="s">
        <v>197</v>
      </c>
      <c r="B170" s="519" t="s">
        <v>284</v>
      </c>
      <c r="C170" s="519" t="s">
        <v>289</v>
      </c>
      <c r="D170" s="519" t="s">
        <v>16</v>
      </c>
      <c r="E170" s="519" t="s">
        <v>151</v>
      </c>
      <c r="F170" s="881">
        <v>219854.5203</v>
      </c>
      <c r="G170" s="881">
        <v>54685.315800000004</v>
      </c>
      <c r="H170" s="880">
        <v>26.055055917045301</v>
      </c>
      <c r="I170"/>
      <c r="J170"/>
      <c r="K170"/>
      <c r="L170"/>
    </row>
    <row r="171" spans="1:12" x14ac:dyDescent="0.25">
      <c r="A171" s="519" t="s">
        <v>197</v>
      </c>
      <c r="B171" s="519" t="s">
        <v>284</v>
      </c>
      <c r="C171" s="519" t="s">
        <v>289</v>
      </c>
      <c r="D171" s="519" t="s">
        <v>16</v>
      </c>
      <c r="E171" s="519" t="s">
        <v>150</v>
      </c>
      <c r="F171" s="881">
        <v>143936.2395</v>
      </c>
      <c r="G171" s="881">
        <v>37329.728000000003</v>
      </c>
      <c r="H171" s="880">
        <v>17.5130978747606</v>
      </c>
      <c r="I171"/>
      <c r="J171"/>
      <c r="K171"/>
      <c r="L171"/>
    </row>
    <row r="172" spans="1:12" x14ac:dyDescent="0.25">
      <c r="A172" s="519" t="s">
        <v>197</v>
      </c>
      <c r="B172" s="519" t="s">
        <v>284</v>
      </c>
      <c r="C172" s="519" t="s">
        <v>289</v>
      </c>
      <c r="D172" s="519" t="s">
        <v>16</v>
      </c>
      <c r="E172" s="519" t="s">
        <v>154</v>
      </c>
      <c r="F172" s="881">
        <v>137595.40650000001</v>
      </c>
      <c r="G172" s="881">
        <v>20079.743600000002</v>
      </c>
      <c r="H172" s="880">
        <v>9.4180429930056508</v>
      </c>
      <c r="I172"/>
      <c r="J172"/>
      <c r="K172"/>
      <c r="L172"/>
    </row>
    <row r="173" spans="1:12" x14ac:dyDescent="0.25">
      <c r="A173" s="519" t="s">
        <v>197</v>
      </c>
      <c r="B173" s="519" t="s">
        <v>284</v>
      </c>
      <c r="C173" s="519" t="s">
        <v>289</v>
      </c>
      <c r="D173" s="519" t="s">
        <v>17</v>
      </c>
      <c r="E173" s="519" t="s">
        <v>144</v>
      </c>
      <c r="F173" s="881">
        <v>323487.6102</v>
      </c>
      <c r="G173" s="881">
        <v>83099.281300000002</v>
      </c>
      <c r="H173" s="880">
        <v>8.1522444938806498</v>
      </c>
      <c r="I173"/>
      <c r="J173"/>
      <c r="K173"/>
      <c r="L173"/>
    </row>
    <row r="174" spans="1:12" x14ac:dyDescent="0.25">
      <c r="A174" s="519" t="s">
        <v>197</v>
      </c>
      <c r="B174" s="519" t="s">
        <v>284</v>
      </c>
      <c r="C174" s="519" t="s">
        <v>289</v>
      </c>
      <c r="D174" s="519" t="s">
        <v>17</v>
      </c>
      <c r="E174" s="519" t="s">
        <v>145</v>
      </c>
      <c r="F174" s="881">
        <v>329549.39670000004</v>
      </c>
      <c r="G174" s="881">
        <v>155124.2211</v>
      </c>
      <c r="H174" s="880">
        <v>6.6274700822505297</v>
      </c>
      <c r="I174"/>
      <c r="J174"/>
      <c r="K174"/>
      <c r="L174"/>
    </row>
    <row r="175" spans="1:12" x14ac:dyDescent="0.25">
      <c r="A175" s="519" t="s">
        <v>197</v>
      </c>
      <c r="B175" s="519" t="s">
        <v>284</v>
      </c>
      <c r="C175" s="519" t="s">
        <v>3</v>
      </c>
      <c r="D175" s="519" t="s">
        <v>70</v>
      </c>
      <c r="E175" s="519" t="s">
        <v>144</v>
      </c>
      <c r="F175" s="881">
        <v>406773.35100000002</v>
      </c>
      <c r="G175" s="881">
        <v>118920.88340000001</v>
      </c>
      <c r="H175" s="880">
        <v>5.9901206458439802</v>
      </c>
      <c r="I175"/>
      <c r="J175"/>
      <c r="K175"/>
      <c r="L175"/>
    </row>
    <row r="176" spans="1:12" x14ac:dyDescent="0.25">
      <c r="A176" s="519" t="s">
        <v>197</v>
      </c>
      <c r="B176" s="519" t="s">
        <v>284</v>
      </c>
      <c r="C176" s="519" t="s">
        <v>3</v>
      </c>
      <c r="D176" s="519" t="s">
        <v>70</v>
      </c>
      <c r="E176" s="519" t="s">
        <v>145</v>
      </c>
      <c r="F176" s="881">
        <v>365912.19210000004</v>
      </c>
      <c r="G176" s="881">
        <v>399021.8346</v>
      </c>
      <c r="H176" s="880">
        <v>12.3127169538321</v>
      </c>
      <c r="I176"/>
      <c r="J176"/>
      <c r="K176"/>
      <c r="L176"/>
    </row>
    <row r="177" spans="1:12" x14ac:dyDescent="0.25">
      <c r="A177" s="519" t="s">
        <v>197</v>
      </c>
      <c r="B177" s="519" t="s">
        <v>284</v>
      </c>
      <c r="C177" s="519" t="s">
        <v>3</v>
      </c>
      <c r="D177" s="519" t="s">
        <v>70</v>
      </c>
      <c r="E177" s="519" t="s">
        <v>147</v>
      </c>
      <c r="F177" s="881">
        <v>348337.34040000004</v>
      </c>
      <c r="G177" s="881">
        <v>66526.723599999998</v>
      </c>
      <c r="H177" s="880">
        <v>10.196280876103101</v>
      </c>
      <c r="I177"/>
      <c r="J177"/>
      <c r="K177"/>
      <c r="L177"/>
    </row>
    <row r="178" spans="1:12" x14ac:dyDescent="0.25">
      <c r="A178" s="519" t="s">
        <v>197</v>
      </c>
      <c r="B178" s="519" t="s">
        <v>284</v>
      </c>
      <c r="C178" s="519" t="s">
        <v>3</v>
      </c>
      <c r="D178" s="519" t="s">
        <v>70</v>
      </c>
      <c r="E178" s="519" t="s">
        <v>151</v>
      </c>
      <c r="F178" s="881">
        <v>416373.7317</v>
      </c>
      <c r="G178" s="881">
        <v>124193.5251</v>
      </c>
      <c r="H178" s="880">
        <v>20.5229374670208</v>
      </c>
      <c r="I178"/>
      <c r="J178"/>
      <c r="K178"/>
      <c r="L178"/>
    </row>
    <row r="179" spans="1:12" x14ac:dyDescent="0.25">
      <c r="A179" s="519" t="s">
        <v>197</v>
      </c>
      <c r="B179" s="519" t="s">
        <v>284</v>
      </c>
      <c r="C179" s="519" t="s">
        <v>3</v>
      </c>
      <c r="D179" s="519" t="s">
        <v>70</v>
      </c>
      <c r="E179" s="519" t="s">
        <v>150</v>
      </c>
      <c r="F179" s="881">
        <v>287368.38180000003</v>
      </c>
      <c r="G179" s="881">
        <v>125322.7886</v>
      </c>
      <c r="H179" s="880">
        <v>17.993218429666701</v>
      </c>
      <c r="I179"/>
      <c r="J179"/>
      <c r="K179"/>
      <c r="L179"/>
    </row>
    <row r="180" spans="1:12" x14ac:dyDescent="0.25">
      <c r="A180" s="519" t="s">
        <v>197</v>
      </c>
      <c r="B180" s="519" t="s">
        <v>284</v>
      </c>
      <c r="C180" s="519" t="s">
        <v>3</v>
      </c>
      <c r="D180" s="519" t="s">
        <v>70</v>
      </c>
      <c r="E180" s="519" t="s">
        <v>154</v>
      </c>
      <c r="F180" s="881">
        <v>260174.3634</v>
      </c>
      <c r="G180" s="881">
        <v>23761.307100000002</v>
      </c>
      <c r="H180" s="880">
        <v>9.7227950696129497</v>
      </c>
      <c r="I180"/>
      <c r="J180"/>
      <c r="K180"/>
      <c r="L180"/>
    </row>
    <row r="181" spans="1:12" x14ac:dyDescent="0.25">
      <c r="A181" s="519" t="s">
        <v>197</v>
      </c>
      <c r="B181" s="519" t="s">
        <v>284</v>
      </c>
      <c r="C181" s="519" t="s">
        <v>3</v>
      </c>
      <c r="D181" s="519" t="s">
        <v>16</v>
      </c>
      <c r="E181" s="519" t="s">
        <v>144</v>
      </c>
      <c r="F181" s="881">
        <v>484224.67170000001</v>
      </c>
      <c r="G181" s="881">
        <v>96497.8796</v>
      </c>
      <c r="H181" s="880">
        <v>5.5972734742077899</v>
      </c>
      <c r="I181"/>
      <c r="J181"/>
      <c r="K181"/>
      <c r="L181"/>
    </row>
    <row r="182" spans="1:12" x14ac:dyDescent="0.25">
      <c r="A182" s="519" t="s">
        <v>197</v>
      </c>
      <c r="B182" s="519" t="s">
        <v>284</v>
      </c>
      <c r="C182" s="519" t="s">
        <v>3</v>
      </c>
      <c r="D182" s="519" t="s">
        <v>16</v>
      </c>
      <c r="E182" s="519" t="s">
        <v>145</v>
      </c>
      <c r="F182" s="881">
        <v>627474.75719999999</v>
      </c>
      <c r="G182" s="881">
        <v>261209.6361</v>
      </c>
      <c r="H182" s="880">
        <v>14.105762555130701</v>
      </c>
      <c r="I182"/>
      <c r="J182"/>
      <c r="K182"/>
      <c r="L182"/>
    </row>
    <row r="183" spans="1:12" x14ac:dyDescent="0.25">
      <c r="A183" s="519" t="s">
        <v>197</v>
      </c>
      <c r="B183" s="519" t="s">
        <v>284</v>
      </c>
      <c r="C183" s="519" t="s">
        <v>3</v>
      </c>
      <c r="D183" s="519" t="s">
        <v>16</v>
      </c>
      <c r="E183" s="519" t="s">
        <v>147</v>
      </c>
      <c r="F183" s="881">
        <v>386110.67610000004</v>
      </c>
      <c r="G183" s="881">
        <v>10982.380200000001</v>
      </c>
      <c r="H183" s="880">
        <v>10.5400539216319</v>
      </c>
      <c r="I183"/>
      <c r="J183"/>
      <c r="K183"/>
      <c r="L183"/>
    </row>
    <row r="184" spans="1:12" x14ac:dyDescent="0.25">
      <c r="A184" s="519" t="s">
        <v>197</v>
      </c>
      <c r="B184" s="519" t="s">
        <v>284</v>
      </c>
      <c r="C184" s="519" t="s">
        <v>3</v>
      </c>
      <c r="D184" s="519" t="s">
        <v>16</v>
      </c>
      <c r="E184" s="519" t="s">
        <v>151</v>
      </c>
      <c r="F184" s="881">
        <v>771037.56450000009</v>
      </c>
      <c r="G184" s="881">
        <v>144404.0189</v>
      </c>
      <c r="H184" s="880">
        <v>26.7263250482468</v>
      </c>
      <c r="I184"/>
      <c r="J184"/>
      <c r="K184"/>
      <c r="L184"/>
    </row>
    <row r="185" spans="1:12" x14ac:dyDescent="0.25">
      <c r="A185" s="519" t="s">
        <v>197</v>
      </c>
      <c r="B185" s="519" t="s">
        <v>284</v>
      </c>
      <c r="C185" s="519" t="s">
        <v>3</v>
      </c>
      <c r="D185" s="519" t="s">
        <v>16</v>
      </c>
      <c r="E185" s="519" t="s">
        <v>150</v>
      </c>
      <c r="F185" s="881">
        <v>464717.08470000001</v>
      </c>
      <c r="G185" s="881">
        <v>185921.2591</v>
      </c>
      <c r="H185" s="880">
        <v>19.346341185741899</v>
      </c>
      <c r="I185"/>
      <c r="J185"/>
      <c r="K185"/>
      <c r="L185"/>
    </row>
    <row r="186" spans="1:12" x14ac:dyDescent="0.25">
      <c r="A186" s="519" t="s">
        <v>197</v>
      </c>
      <c r="B186" s="519" t="s">
        <v>284</v>
      </c>
      <c r="C186" s="519" t="s">
        <v>3</v>
      </c>
      <c r="D186" s="519" t="s">
        <v>16</v>
      </c>
      <c r="E186" s="519" t="s">
        <v>154</v>
      </c>
      <c r="F186" s="881">
        <v>572154.64650000003</v>
      </c>
      <c r="G186" s="881">
        <v>60440.349700000006</v>
      </c>
      <c r="H186" s="880">
        <v>12.324628065831801</v>
      </c>
      <c r="I186"/>
      <c r="J186"/>
      <c r="K186"/>
      <c r="L186"/>
    </row>
    <row r="187" spans="1:12" x14ac:dyDescent="0.25">
      <c r="A187" s="519" t="s">
        <v>197</v>
      </c>
      <c r="B187" s="519" t="s">
        <v>284</v>
      </c>
      <c r="C187" s="519" t="s">
        <v>3</v>
      </c>
      <c r="D187" s="519" t="s">
        <v>17</v>
      </c>
      <c r="E187" s="519" t="s">
        <v>144</v>
      </c>
      <c r="F187" s="881">
        <v>827802.57900000003</v>
      </c>
      <c r="G187" s="881">
        <v>191489.91399999999</v>
      </c>
      <c r="H187" s="880">
        <v>11.5092819308594</v>
      </c>
      <c r="I187"/>
      <c r="J187"/>
      <c r="K187"/>
      <c r="L187"/>
    </row>
    <row r="188" spans="1:12" x14ac:dyDescent="0.25">
      <c r="A188" s="519" t="s">
        <v>197</v>
      </c>
      <c r="B188" s="519" t="s">
        <v>284</v>
      </c>
      <c r="C188" s="519" t="s">
        <v>3</v>
      </c>
      <c r="D188" s="519" t="s">
        <v>17</v>
      </c>
      <c r="E188" s="519" t="s">
        <v>145</v>
      </c>
      <c r="F188" s="881">
        <v>662474.3493</v>
      </c>
      <c r="G188" s="881">
        <v>283421.14780000004</v>
      </c>
      <c r="H188" s="880">
        <v>11.7680338224409</v>
      </c>
      <c r="I188"/>
      <c r="J188"/>
      <c r="K188"/>
      <c r="L188"/>
    </row>
    <row r="189" spans="1:12" x14ac:dyDescent="0.25">
      <c r="A189" s="519" t="s">
        <v>197</v>
      </c>
      <c r="B189" s="519" t="s">
        <v>284</v>
      </c>
      <c r="C189" s="519" t="s">
        <v>286</v>
      </c>
      <c r="D189" s="519" t="s">
        <v>70</v>
      </c>
      <c r="E189" s="519" t="s">
        <v>144</v>
      </c>
      <c r="F189" s="881">
        <v>79618.164900000003</v>
      </c>
      <c r="G189" s="881">
        <v>32581.5802</v>
      </c>
      <c r="H189" s="880">
        <v>9.0197113910589906</v>
      </c>
      <c r="I189"/>
      <c r="J189"/>
      <c r="K189"/>
      <c r="L189"/>
    </row>
    <row r="190" spans="1:12" x14ac:dyDescent="0.25">
      <c r="A190" s="519" t="s">
        <v>197</v>
      </c>
      <c r="B190" s="519" t="s">
        <v>284</v>
      </c>
      <c r="C190" s="519" t="s">
        <v>286</v>
      </c>
      <c r="D190" s="519" t="s">
        <v>70</v>
      </c>
      <c r="E190" s="519" t="s">
        <v>145</v>
      </c>
      <c r="F190" s="881">
        <v>61611.830400000006</v>
      </c>
      <c r="G190" s="881">
        <v>37667.292800000003</v>
      </c>
      <c r="H190" s="880">
        <v>6.3907264872247502</v>
      </c>
      <c r="I190"/>
      <c r="J190"/>
      <c r="K190"/>
      <c r="L190"/>
    </row>
    <row r="191" spans="1:12" x14ac:dyDescent="0.25">
      <c r="A191" s="519" t="s">
        <v>197</v>
      </c>
      <c r="B191" s="519" t="s">
        <v>284</v>
      </c>
      <c r="C191" s="519" t="s">
        <v>286</v>
      </c>
      <c r="D191" s="519" t="s">
        <v>70</v>
      </c>
      <c r="E191" s="519" t="s">
        <v>147</v>
      </c>
      <c r="F191" s="881">
        <v>63447.427200000006</v>
      </c>
      <c r="G191" s="881">
        <v>30594.0108</v>
      </c>
      <c r="H191" s="880">
        <v>6.1383486181778197</v>
      </c>
      <c r="I191"/>
      <c r="J191"/>
      <c r="K191"/>
      <c r="L191"/>
    </row>
    <row r="192" spans="1:12" x14ac:dyDescent="0.25">
      <c r="A192" s="519" t="s">
        <v>197</v>
      </c>
      <c r="B192" s="519" t="s">
        <v>284</v>
      </c>
      <c r="C192" s="519" t="s">
        <v>286</v>
      </c>
      <c r="D192" s="519" t="s">
        <v>70</v>
      </c>
      <c r="E192" s="519" t="s">
        <v>151</v>
      </c>
      <c r="F192" s="881">
        <v>68653.492800000007</v>
      </c>
      <c r="G192" s="881">
        <v>41427.8776</v>
      </c>
      <c r="H192" s="880">
        <v>5.3109059873657198</v>
      </c>
      <c r="I192"/>
      <c r="J192"/>
      <c r="K192"/>
      <c r="L192"/>
    </row>
    <row r="193" spans="1:12" x14ac:dyDescent="0.25">
      <c r="A193" s="519" t="s">
        <v>197</v>
      </c>
      <c r="B193" s="519" t="s">
        <v>284</v>
      </c>
      <c r="C193" s="519" t="s">
        <v>286</v>
      </c>
      <c r="D193" s="519" t="s">
        <v>70</v>
      </c>
      <c r="E193" s="519" t="s">
        <v>150</v>
      </c>
      <c r="F193" s="881">
        <v>67089.781499999997</v>
      </c>
      <c r="G193" s="881">
        <v>56543.873500000002</v>
      </c>
      <c r="H193" s="880">
        <v>3.79410682886413</v>
      </c>
      <c r="I193"/>
      <c r="J193"/>
      <c r="K193"/>
      <c r="L193"/>
    </row>
    <row r="194" spans="1:12" x14ac:dyDescent="0.25">
      <c r="A194" s="519" t="s">
        <v>197</v>
      </c>
      <c r="B194" s="519" t="s">
        <v>284</v>
      </c>
      <c r="C194" s="519" t="s">
        <v>286</v>
      </c>
      <c r="D194" s="519" t="s">
        <v>70</v>
      </c>
      <c r="E194" s="519" t="s">
        <v>154</v>
      </c>
      <c r="F194" s="881">
        <v>73009.408200000005</v>
      </c>
      <c r="G194" s="881">
        <v>35131.806600000004</v>
      </c>
      <c r="H194" s="880">
        <v>8.4032883835149992</v>
      </c>
      <c r="I194"/>
      <c r="J194"/>
      <c r="K194"/>
      <c r="L194"/>
    </row>
    <row r="195" spans="1:12" x14ac:dyDescent="0.25">
      <c r="A195" s="519" t="s">
        <v>197</v>
      </c>
      <c r="B195" s="519" t="s">
        <v>284</v>
      </c>
      <c r="C195" s="519" t="s">
        <v>286</v>
      </c>
      <c r="D195" s="519" t="s">
        <v>16</v>
      </c>
      <c r="E195" s="519" t="s">
        <v>144</v>
      </c>
      <c r="F195" s="881">
        <v>99771.422999999995</v>
      </c>
      <c r="G195" s="881">
        <v>35588.753400000001</v>
      </c>
      <c r="H195" s="880">
        <v>9.5989529390105108</v>
      </c>
      <c r="I195"/>
      <c r="J195"/>
      <c r="K195"/>
      <c r="L195"/>
    </row>
    <row r="196" spans="1:12" x14ac:dyDescent="0.25">
      <c r="A196" s="519" t="s">
        <v>197</v>
      </c>
      <c r="B196" s="519" t="s">
        <v>284</v>
      </c>
      <c r="C196" s="519" t="s">
        <v>286</v>
      </c>
      <c r="D196" s="519" t="s">
        <v>16</v>
      </c>
      <c r="E196" s="519" t="s">
        <v>145</v>
      </c>
      <c r="F196" s="881">
        <v>75342.220200000011</v>
      </c>
      <c r="G196" s="881">
        <v>31479.426600000003</v>
      </c>
      <c r="H196" s="880">
        <v>9.2219183817511805</v>
      </c>
      <c r="I196"/>
      <c r="J196"/>
      <c r="K196"/>
      <c r="L196"/>
    </row>
    <row r="197" spans="1:12" x14ac:dyDescent="0.25">
      <c r="A197" s="519" t="s">
        <v>197</v>
      </c>
      <c r="B197" s="519" t="s">
        <v>284</v>
      </c>
      <c r="C197" s="519" t="s">
        <v>286</v>
      </c>
      <c r="D197" s="519" t="s">
        <v>16</v>
      </c>
      <c r="E197" s="519" t="s">
        <v>147</v>
      </c>
      <c r="F197" s="881">
        <v>69289.175700000007</v>
      </c>
      <c r="G197" s="881">
        <v>24817.1662</v>
      </c>
      <c r="H197" s="880">
        <v>7.8458260636389197</v>
      </c>
      <c r="I197"/>
      <c r="J197"/>
      <c r="K197"/>
      <c r="L197"/>
    </row>
    <row r="198" spans="1:12" x14ac:dyDescent="0.25">
      <c r="A198" s="519" t="s">
        <v>197</v>
      </c>
      <c r="B198" s="519" t="s">
        <v>284</v>
      </c>
      <c r="C198" s="519" t="s">
        <v>286</v>
      </c>
      <c r="D198" s="519" t="s">
        <v>16</v>
      </c>
      <c r="E198" s="519" t="s">
        <v>151</v>
      </c>
      <c r="F198" s="881">
        <v>105756.51240000001</v>
      </c>
      <c r="G198" s="881">
        <v>50867.337599999999</v>
      </c>
      <c r="H198" s="880">
        <v>6.9879847898295697</v>
      </c>
      <c r="I198"/>
      <c r="J198"/>
      <c r="K198"/>
      <c r="L198"/>
    </row>
    <row r="199" spans="1:12" x14ac:dyDescent="0.25">
      <c r="A199" s="519" t="s">
        <v>197</v>
      </c>
      <c r="B199" s="519" t="s">
        <v>284</v>
      </c>
      <c r="C199" s="519" t="s">
        <v>286</v>
      </c>
      <c r="D199" s="519" t="s">
        <v>16</v>
      </c>
      <c r="E199" s="519" t="s">
        <v>150</v>
      </c>
      <c r="F199" s="881">
        <v>73502.112900000007</v>
      </c>
      <c r="G199" s="881">
        <v>69440.957600000009</v>
      </c>
      <c r="H199" s="880">
        <v>6.4999494305491599</v>
      </c>
      <c r="I199"/>
      <c r="J199"/>
      <c r="K199"/>
      <c r="L199"/>
    </row>
    <row r="200" spans="1:12" x14ac:dyDescent="0.25">
      <c r="A200" s="519" t="s">
        <v>197</v>
      </c>
      <c r="B200" s="519" t="s">
        <v>284</v>
      </c>
      <c r="C200" s="519" t="s">
        <v>286</v>
      </c>
      <c r="D200" s="519" t="s">
        <v>16</v>
      </c>
      <c r="E200" s="519" t="s">
        <v>154</v>
      </c>
      <c r="F200" s="881">
        <v>90890.574000000008</v>
      </c>
      <c r="G200" s="881">
        <v>41596.2595</v>
      </c>
      <c r="H200" s="880">
        <v>8.8435615673010695</v>
      </c>
      <c r="I200"/>
      <c r="J200"/>
      <c r="K200"/>
      <c r="L200"/>
    </row>
    <row r="201" spans="1:12" x14ac:dyDescent="0.25">
      <c r="A201" s="519" t="s">
        <v>197</v>
      </c>
      <c r="B201" s="519" t="s">
        <v>284</v>
      </c>
      <c r="C201" s="519" t="s">
        <v>286</v>
      </c>
      <c r="D201" s="519" t="s">
        <v>17</v>
      </c>
      <c r="E201" s="519" t="s">
        <v>144</v>
      </c>
      <c r="F201" s="881">
        <v>158602.16280000002</v>
      </c>
      <c r="G201" s="881">
        <v>56173.184400000006</v>
      </c>
      <c r="H201" s="880">
        <v>9.4401538608683193</v>
      </c>
      <c r="I201"/>
      <c r="J201"/>
      <c r="K201"/>
      <c r="L201"/>
    </row>
    <row r="202" spans="1:12" x14ac:dyDescent="0.25">
      <c r="A202" s="519" t="s">
        <v>197</v>
      </c>
      <c r="B202" s="519" t="s">
        <v>284</v>
      </c>
      <c r="C202" s="519" t="s">
        <v>286</v>
      </c>
      <c r="D202" s="519" t="s">
        <v>17</v>
      </c>
      <c r="E202" s="519" t="s">
        <v>145</v>
      </c>
      <c r="F202" s="881">
        <v>169899.9516</v>
      </c>
      <c r="G202" s="881">
        <v>56881.772700000001</v>
      </c>
      <c r="H202" s="880">
        <v>10.9279889045782</v>
      </c>
      <c r="I202"/>
      <c r="J202"/>
      <c r="K202"/>
      <c r="L202"/>
    </row>
    <row r="203" spans="1:12" x14ac:dyDescent="0.25">
      <c r="A203" s="519" t="s">
        <v>197</v>
      </c>
      <c r="B203" s="519" t="s">
        <v>284</v>
      </c>
      <c r="C203" s="519" t="s">
        <v>287</v>
      </c>
      <c r="D203" s="519" t="s">
        <v>70</v>
      </c>
      <c r="E203" s="519" t="s">
        <v>144</v>
      </c>
      <c r="F203" s="881">
        <v>40853.356200000002</v>
      </c>
      <c r="G203" s="881">
        <v>21316.242900000001</v>
      </c>
      <c r="H203" s="880">
        <v>6.3064718579924701</v>
      </c>
      <c r="I203"/>
      <c r="J203"/>
      <c r="K203"/>
      <c r="L203"/>
    </row>
    <row r="204" spans="1:12" x14ac:dyDescent="0.25">
      <c r="A204" s="519" t="s">
        <v>197</v>
      </c>
      <c r="B204" s="519" t="s">
        <v>284</v>
      </c>
      <c r="C204" s="519" t="s">
        <v>287</v>
      </c>
      <c r="D204" s="519" t="s">
        <v>70</v>
      </c>
      <c r="E204" s="519" t="s">
        <v>145</v>
      </c>
      <c r="F204" s="881">
        <v>35000.8848</v>
      </c>
      <c r="G204" s="881">
        <v>25225.249100000001</v>
      </c>
      <c r="H204" s="880">
        <v>7.6073307962121399</v>
      </c>
      <c r="I204"/>
      <c r="J204"/>
      <c r="K204"/>
      <c r="L204"/>
    </row>
    <row r="205" spans="1:12" x14ac:dyDescent="0.25">
      <c r="A205" s="519" t="s">
        <v>197</v>
      </c>
      <c r="B205" s="519" t="s">
        <v>284</v>
      </c>
      <c r="C205" s="519" t="s">
        <v>287</v>
      </c>
      <c r="D205" s="519" t="s">
        <v>70</v>
      </c>
      <c r="E205" s="519" t="s">
        <v>147</v>
      </c>
      <c r="F205" s="881">
        <v>35949.336000000003</v>
      </c>
      <c r="G205" s="881">
        <v>16867.963100000001</v>
      </c>
      <c r="H205" s="880">
        <v>6.7800234494183798</v>
      </c>
      <c r="I205"/>
      <c r="J205"/>
      <c r="K205"/>
      <c r="L205"/>
    </row>
    <row r="206" spans="1:12" x14ac:dyDescent="0.25">
      <c r="A206" s="519" t="s">
        <v>197</v>
      </c>
      <c r="B206" s="519" t="s">
        <v>284</v>
      </c>
      <c r="C206" s="519" t="s">
        <v>287</v>
      </c>
      <c r="D206" s="519" t="s">
        <v>70</v>
      </c>
      <c r="E206" s="519" t="s">
        <v>151</v>
      </c>
      <c r="F206" s="881">
        <v>41885.386500000001</v>
      </c>
      <c r="G206" s="881">
        <v>20745.333300000002</v>
      </c>
      <c r="H206" s="880">
        <v>7.07417776541525</v>
      </c>
      <c r="I206"/>
      <c r="J206"/>
      <c r="K206"/>
      <c r="L206"/>
    </row>
    <row r="207" spans="1:12" x14ac:dyDescent="0.25">
      <c r="A207" s="519" t="s">
        <v>197</v>
      </c>
      <c r="B207" s="519" t="s">
        <v>284</v>
      </c>
      <c r="C207" s="519" t="s">
        <v>287</v>
      </c>
      <c r="D207" s="519" t="s">
        <v>70</v>
      </c>
      <c r="E207" s="519" t="s">
        <v>150</v>
      </c>
      <c r="F207" s="881">
        <v>34340.807999999997</v>
      </c>
      <c r="G207" s="881">
        <v>20226.004000000001</v>
      </c>
      <c r="H207" s="880">
        <v>11.6315080571267</v>
      </c>
      <c r="I207"/>
      <c r="J207"/>
      <c r="K207"/>
      <c r="L207"/>
    </row>
    <row r="208" spans="1:12" x14ac:dyDescent="0.25">
      <c r="A208" s="519" t="s">
        <v>197</v>
      </c>
      <c r="B208" s="519" t="s">
        <v>284</v>
      </c>
      <c r="C208" s="519" t="s">
        <v>287</v>
      </c>
      <c r="D208" s="519" t="s">
        <v>70</v>
      </c>
      <c r="E208" s="519" t="s">
        <v>154</v>
      </c>
      <c r="F208" s="881">
        <v>36041.043300000005</v>
      </c>
      <c r="G208" s="881">
        <v>10391.047200000001</v>
      </c>
      <c r="H208" s="880">
        <v>9.3506229225621205</v>
      </c>
      <c r="I208"/>
      <c r="J208"/>
      <c r="K208"/>
      <c r="L208"/>
    </row>
    <row r="209" spans="1:12" x14ac:dyDescent="0.25">
      <c r="A209" s="519" t="s">
        <v>197</v>
      </c>
      <c r="B209" s="519" t="s">
        <v>284</v>
      </c>
      <c r="C209" s="519" t="s">
        <v>287</v>
      </c>
      <c r="D209" s="519" t="s">
        <v>16</v>
      </c>
      <c r="E209" s="519" t="s">
        <v>144</v>
      </c>
      <c r="F209" s="881">
        <v>39871.090199999999</v>
      </c>
      <c r="G209" s="881">
        <v>11878.2291</v>
      </c>
      <c r="H209" s="880">
        <v>6.0920928968774604</v>
      </c>
      <c r="I209"/>
      <c r="J209"/>
      <c r="K209"/>
      <c r="L209"/>
    </row>
    <row r="210" spans="1:12" x14ac:dyDescent="0.25">
      <c r="A210" s="519" t="s">
        <v>197</v>
      </c>
      <c r="B210" s="519" t="s">
        <v>284</v>
      </c>
      <c r="C210" s="519" t="s">
        <v>287</v>
      </c>
      <c r="D210" s="519" t="s">
        <v>16</v>
      </c>
      <c r="E210" s="519" t="s">
        <v>145</v>
      </c>
      <c r="F210" s="881">
        <v>44396.014500000005</v>
      </c>
      <c r="G210" s="881">
        <v>39431.611700000001</v>
      </c>
      <c r="H210" s="880">
        <v>11.0325217519677</v>
      </c>
      <c r="I210"/>
      <c r="J210"/>
      <c r="K210"/>
      <c r="L210"/>
    </row>
    <row r="211" spans="1:12" x14ac:dyDescent="0.25">
      <c r="A211" s="519" t="s">
        <v>197</v>
      </c>
      <c r="B211" s="519" t="s">
        <v>284</v>
      </c>
      <c r="C211" s="519" t="s">
        <v>287</v>
      </c>
      <c r="D211" s="519" t="s">
        <v>16</v>
      </c>
      <c r="E211" s="519" t="s">
        <v>147</v>
      </c>
      <c r="F211" s="881">
        <v>36454.037700000001</v>
      </c>
      <c r="G211" s="881">
        <v>7632.8823000000002</v>
      </c>
      <c r="H211" s="880">
        <v>9.8225270749945999</v>
      </c>
      <c r="I211"/>
      <c r="J211"/>
      <c r="K211"/>
      <c r="L211"/>
    </row>
    <row r="212" spans="1:12" x14ac:dyDescent="0.25">
      <c r="A212" s="519" t="s">
        <v>197</v>
      </c>
      <c r="B212" s="519" t="s">
        <v>284</v>
      </c>
      <c r="C212" s="519" t="s">
        <v>287</v>
      </c>
      <c r="D212" s="519" t="s">
        <v>16</v>
      </c>
      <c r="E212" s="519" t="s">
        <v>151</v>
      </c>
      <c r="F212" s="881">
        <v>40229.930700000004</v>
      </c>
      <c r="G212" s="881">
        <v>16179.2412</v>
      </c>
      <c r="H212" s="880">
        <v>14.2967865541214</v>
      </c>
      <c r="I212"/>
      <c r="J212"/>
      <c r="K212"/>
      <c r="L212"/>
    </row>
    <row r="213" spans="1:12" x14ac:dyDescent="0.25">
      <c r="A213" s="519" t="s">
        <v>197</v>
      </c>
      <c r="B213" s="519" t="s">
        <v>284</v>
      </c>
      <c r="C213" s="519" t="s">
        <v>287</v>
      </c>
      <c r="D213" s="519" t="s">
        <v>16</v>
      </c>
      <c r="E213" s="519" t="s">
        <v>150</v>
      </c>
      <c r="F213" s="881">
        <v>24607.176900000002</v>
      </c>
      <c r="G213" s="881">
        <v>12930.442800000001</v>
      </c>
      <c r="H213" s="880">
        <v>12.861551258698201</v>
      </c>
      <c r="I213"/>
      <c r="J213"/>
      <c r="K213"/>
      <c r="L213"/>
    </row>
    <row r="214" spans="1:12" x14ac:dyDescent="0.25">
      <c r="A214" s="519" t="s">
        <v>197</v>
      </c>
      <c r="B214" s="519" t="s">
        <v>284</v>
      </c>
      <c r="C214" s="519" t="s">
        <v>287</v>
      </c>
      <c r="D214" s="519" t="s">
        <v>16</v>
      </c>
      <c r="E214" s="519" t="s">
        <v>154</v>
      </c>
      <c r="F214" s="881">
        <v>33719.419200000004</v>
      </c>
      <c r="G214" s="881">
        <v>12902.184000000001</v>
      </c>
      <c r="H214" s="880">
        <v>8.3582290461305799</v>
      </c>
      <c r="I214"/>
      <c r="J214"/>
      <c r="K214"/>
      <c r="L214"/>
    </row>
    <row r="215" spans="1:12" x14ac:dyDescent="0.25">
      <c r="A215" s="519" t="s">
        <v>197</v>
      </c>
      <c r="B215" s="519" t="s">
        <v>284</v>
      </c>
      <c r="C215" s="519" t="s">
        <v>287</v>
      </c>
      <c r="D215" s="519" t="s">
        <v>17</v>
      </c>
      <c r="E215" s="519" t="s">
        <v>144</v>
      </c>
      <c r="F215" s="881">
        <v>51140.142</v>
      </c>
      <c r="G215" s="881">
        <v>26112.0805</v>
      </c>
      <c r="H215" s="880">
        <v>10.555322632015999</v>
      </c>
      <c r="I215"/>
      <c r="J215"/>
      <c r="K215"/>
      <c r="L215"/>
    </row>
    <row r="216" spans="1:12" x14ac:dyDescent="0.25">
      <c r="A216" s="519" t="s">
        <v>197</v>
      </c>
      <c r="B216" s="519" t="s">
        <v>284</v>
      </c>
      <c r="C216" s="519" t="s">
        <v>287</v>
      </c>
      <c r="D216" s="519" t="s">
        <v>17</v>
      </c>
      <c r="E216" s="519" t="s">
        <v>145</v>
      </c>
      <c r="F216" s="881">
        <v>60628.811100000006</v>
      </c>
      <c r="G216" s="881">
        <v>18325.585500000001</v>
      </c>
      <c r="H216" s="880">
        <v>11.4184679533475</v>
      </c>
      <c r="I216"/>
      <c r="J216"/>
      <c r="K216"/>
      <c r="L216"/>
    </row>
    <row r="217" spans="1:12" x14ac:dyDescent="0.25">
      <c r="A217" s="519" t="s">
        <v>197</v>
      </c>
      <c r="B217" s="519" t="s">
        <v>284</v>
      </c>
      <c r="C217" s="519" t="s">
        <v>4</v>
      </c>
      <c r="D217" s="519" t="s">
        <v>70</v>
      </c>
      <c r="E217" s="519" t="s">
        <v>144</v>
      </c>
      <c r="F217" s="881">
        <v>9942.7695000000003</v>
      </c>
      <c r="G217" s="881">
        <v>1646.5518000000002</v>
      </c>
      <c r="H217" s="880">
        <v>5.4862435009194899</v>
      </c>
      <c r="I217"/>
      <c r="J217"/>
      <c r="K217"/>
      <c r="L217"/>
    </row>
    <row r="218" spans="1:12" x14ac:dyDescent="0.25">
      <c r="A218" s="519" t="s">
        <v>197</v>
      </c>
      <c r="B218" s="519" t="s">
        <v>284</v>
      </c>
      <c r="C218" s="519" t="s">
        <v>4</v>
      </c>
      <c r="D218" s="519" t="s">
        <v>70</v>
      </c>
      <c r="E218" s="519" t="s">
        <v>145</v>
      </c>
      <c r="F218" s="881">
        <v>10534.5471</v>
      </c>
      <c r="G218" s="881">
        <v>12645.692700000001</v>
      </c>
      <c r="H218" s="880">
        <v>8.5021319871148204</v>
      </c>
      <c r="I218"/>
      <c r="J218"/>
      <c r="K218"/>
      <c r="L218"/>
    </row>
    <row r="219" spans="1:12" x14ac:dyDescent="0.25">
      <c r="A219" s="519" t="s">
        <v>197</v>
      </c>
      <c r="B219" s="519" t="s">
        <v>284</v>
      </c>
      <c r="C219" s="519" t="s">
        <v>4</v>
      </c>
      <c r="D219" s="519" t="s">
        <v>70</v>
      </c>
      <c r="E219" s="519" t="s">
        <v>147</v>
      </c>
      <c r="F219" s="881">
        <v>6646.1985000000004</v>
      </c>
      <c r="G219" s="881">
        <v>2564.2791000000002</v>
      </c>
      <c r="H219" s="880">
        <v>10.369770566887601</v>
      </c>
      <c r="I219"/>
      <c r="J219"/>
      <c r="K219"/>
      <c r="L219"/>
    </row>
    <row r="220" spans="1:12" x14ac:dyDescent="0.25">
      <c r="A220" s="519" t="s">
        <v>197</v>
      </c>
      <c r="B220" s="519" t="s">
        <v>284</v>
      </c>
      <c r="C220" s="519" t="s">
        <v>4</v>
      </c>
      <c r="D220" s="519" t="s">
        <v>70</v>
      </c>
      <c r="E220" s="519" t="s">
        <v>151</v>
      </c>
      <c r="F220" s="881">
        <v>6350.7654000000002</v>
      </c>
      <c r="G220" s="881">
        <v>1027.8987999999999</v>
      </c>
      <c r="H220" s="880">
        <v>12.611627861904701</v>
      </c>
      <c r="I220"/>
      <c r="J220"/>
      <c r="K220"/>
      <c r="L220"/>
    </row>
    <row r="221" spans="1:12" x14ac:dyDescent="0.25">
      <c r="A221" s="519" t="s">
        <v>197</v>
      </c>
      <c r="B221" s="519" t="s">
        <v>284</v>
      </c>
      <c r="C221" s="519" t="s">
        <v>4</v>
      </c>
      <c r="D221" s="519" t="s">
        <v>70</v>
      </c>
      <c r="E221" s="519" t="s">
        <v>150</v>
      </c>
      <c r="F221" s="881">
        <v>1848.1704000000002</v>
      </c>
      <c r="G221" s="881">
        <v>786.30619999999999</v>
      </c>
      <c r="H221" s="880">
        <v>8.4704229631334407</v>
      </c>
      <c r="I221"/>
      <c r="J221"/>
      <c r="K221"/>
      <c r="L221"/>
    </row>
    <row r="222" spans="1:12" x14ac:dyDescent="0.25">
      <c r="A222" s="519" t="s">
        <v>197</v>
      </c>
      <c r="B222" s="519" t="s">
        <v>284</v>
      </c>
      <c r="C222" s="519" t="s">
        <v>4</v>
      </c>
      <c r="D222" s="519" t="s">
        <v>70</v>
      </c>
      <c r="E222" s="519" t="s">
        <v>154</v>
      </c>
      <c r="F222" s="881">
        <v>3584.0154000000002</v>
      </c>
      <c r="G222" s="881">
        <v>777.75099999999998</v>
      </c>
      <c r="H222" s="880">
        <v>9.5700756830922398</v>
      </c>
      <c r="I222"/>
      <c r="J222"/>
      <c r="K222"/>
      <c r="L222"/>
    </row>
    <row r="223" spans="1:12" x14ac:dyDescent="0.25">
      <c r="A223" s="519" t="s">
        <v>197</v>
      </c>
      <c r="B223" s="519" t="s">
        <v>284</v>
      </c>
      <c r="C223" s="519" t="s">
        <v>4</v>
      </c>
      <c r="D223" s="519" t="s">
        <v>16</v>
      </c>
      <c r="E223" s="519" t="s">
        <v>144</v>
      </c>
      <c r="F223" s="881">
        <v>5933.4465</v>
      </c>
      <c r="G223" s="881">
        <v>1646.1325000000002</v>
      </c>
      <c r="H223" s="880">
        <v>10.346912178584901</v>
      </c>
      <c r="I223"/>
      <c r="J223"/>
      <c r="K223"/>
      <c r="L223"/>
    </row>
    <row r="224" spans="1:12" x14ac:dyDescent="0.25">
      <c r="A224" s="519" t="s">
        <v>197</v>
      </c>
      <c r="B224" s="519" t="s">
        <v>284</v>
      </c>
      <c r="C224" s="519" t="s">
        <v>4</v>
      </c>
      <c r="D224" s="519" t="s">
        <v>16</v>
      </c>
      <c r="E224" s="519" t="s">
        <v>145</v>
      </c>
      <c r="F224" s="881">
        <v>3385.3953000000001</v>
      </c>
      <c r="G224" s="881">
        <v>1177.3141000000001</v>
      </c>
      <c r="H224" s="880">
        <v>5.0961995611634796</v>
      </c>
      <c r="I224"/>
      <c r="J224"/>
      <c r="K224"/>
      <c r="L224"/>
    </row>
    <row r="225" spans="1:12" x14ac:dyDescent="0.25">
      <c r="A225" s="519" t="s">
        <v>197</v>
      </c>
      <c r="B225" s="519" t="s">
        <v>284</v>
      </c>
      <c r="C225" s="519" t="s">
        <v>4</v>
      </c>
      <c r="D225" s="519" t="s">
        <v>16</v>
      </c>
      <c r="E225" s="519" t="s">
        <v>147</v>
      </c>
      <c r="F225" s="881">
        <v>3751.0806000000002</v>
      </c>
      <c r="G225" s="881">
        <v>1082.6355000000001</v>
      </c>
      <c r="H225" s="880">
        <v>9.0522293888992493</v>
      </c>
      <c r="I225"/>
      <c r="J225"/>
      <c r="K225"/>
      <c r="L225"/>
    </row>
    <row r="226" spans="1:12" x14ac:dyDescent="0.25">
      <c r="A226" s="519" t="s">
        <v>197</v>
      </c>
      <c r="B226" s="519" t="s">
        <v>284</v>
      </c>
      <c r="C226" s="519" t="s">
        <v>4</v>
      </c>
      <c r="D226" s="519" t="s">
        <v>16</v>
      </c>
      <c r="E226" s="519" t="s">
        <v>151</v>
      </c>
      <c r="F226" s="881">
        <v>7139.5449000000008</v>
      </c>
      <c r="G226" s="881">
        <v>1215.0799</v>
      </c>
      <c r="H226" s="880">
        <v>3.0299523067423899</v>
      </c>
      <c r="I226"/>
      <c r="J226"/>
      <c r="K226"/>
      <c r="L226"/>
    </row>
    <row r="227" spans="1:12" x14ac:dyDescent="0.25">
      <c r="A227" s="519" t="s">
        <v>197</v>
      </c>
      <c r="B227" s="519" t="s">
        <v>284</v>
      </c>
      <c r="C227" s="519" t="s">
        <v>4</v>
      </c>
      <c r="D227" s="519" t="s">
        <v>16</v>
      </c>
      <c r="E227" s="519" t="s">
        <v>150</v>
      </c>
      <c r="F227" s="881">
        <v>9109.9452000000001</v>
      </c>
      <c r="G227" s="881">
        <v>11378.093800000001</v>
      </c>
      <c r="H227" s="880">
        <v>9.3013261794027606</v>
      </c>
      <c r="I227"/>
      <c r="J227"/>
      <c r="K227"/>
      <c r="L227"/>
    </row>
    <row r="228" spans="1:12" x14ac:dyDescent="0.25">
      <c r="A228" s="519" t="s">
        <v>197</v>
      </c>
      <c r="B228" s="519" t="s">
        <v>284</v>
      </c>
      <c r="C228" s="519" t="s">
        <v>4</v>
      </c>
      <c r="D228" s="519" t="s">
        <v>16</v>
      </c>
      <c r="E228" s="519" t="s">
        <v>154</v>
      </c>
      <c r="F228" s="881">
        <v>16725.994200000001</v>
      </c>
      <c r="G228" s="881">
        <v>4567.9231</v>
      </c>
      <c r="H228" s="880">
        <v>8.8023682749034204</v>
      </c>
      <c r="I228"/>
      <c r="J228"/>
      <c r="K228"/>
      <c r="L228"/>
    </row>
    <row r="229" spans="1:12" x14ac:dyDescent="0.25">
      <c r="A229" s="519" t="s">
        <v>197</v>
      </c>
      <c r="B229" s="519" t="s">
        <v>284</v>
      </c>
      <c r="C229" s="519" t="s">
        <v>4</v>
      </c>
      <c r="D229" s="519" t="s">
        <v>17</v>
      </c>
      <c r="E229" s="519" t="s">
        <v>144</v>
      </c>
      <c r="F229" s="881">
        <v>20409.045300000002</v>
      </c>
      <c r="G229" s="881">
        <v>8925.5554000000011</v>
      </c>
      <c r="H229" s="880">
        <v>7.6202871352921404</v>
      </c>
      <c r="I229"/>
      <c r="J229"/>
      <c r="K229"/>
      <c r="L229"/>
    </row>
    <row r="230" spans="1:12" x14ac:dyDescent="0.25">
      <c r="A230" s="519" t="s">
        <v>197</v>
      </c>
      <c r="B230" s="519" t="s">
        <v>284</v>
      </c>
      <c r="C230" s="519" t="s">
        <v>4</v>
      </c>
      <c r="D230" s="519" t="s">
        <v>17</v>
      </c>
      <c r="E230" s="519" t="s">
        <v>145</v>
      </c>
      <c r="F230" s="881">
        <v>14897.205</v>
      </c>
      <c r="G230" s="881">
        <v>7706.7712000000001</v>
      </c>
      <c r="H230" s="880">
        <v>6.1032319517976203</v>
      </c>
      <c r="I230"/>
      <c r="J230"/>
      <c r="K230"/>
      <c r="L230"/>
    </row>
    <row r="231" spans="1:12" x14ac:dyDescent="0.25">
      <c r="A231" s="519" t="s">
        <v>197</v>
      </c>
      <c r="B231" s="519" t="s">
        <v>284</v>
      </c>
      <c r="C231" s="519" t="s">
        <v>290</v>
      </c>
      <c r="D231" s="519" t="s">
        <v>70</v>
      </c>
      <c r="E231" s="519" t="s">
        <v>144</v>
      </c>
      <c r="F231" s="881">
        <v>10802.712600000001</v>
      </c>
      <c r="G231" s="881">
        <v>688.75729999999999</v>
      </c>
      <c r="H231" s="880">
        <v>28.156161674024499</v>
      </c>
      <c r="I231"/>
      <c r="J231"/>
      <c r="K231"/>
      <c r="L231"/>
    </row>
    <row r="232" spans="1:12" x14ac:dyDescent="0.25">
      <c r="A232" s="519" t="s">
        <v>197</v>
      </c>
      <c r="B232" s="519" t="s">
        <v>284</v>
      </c>
      <c r="C232" s="519" t="s">
        <v>290</v>
      </c>
      <c r="D232" s="519" t="s">
        <v>70</v>
      </c>
      <c r="E232" s="519" t="s">
        <v>145</v>
      </c>
      <c r="F232" s="881">
        <v>5363.1891000000005</v>
      </c>
      <c r="G232" s="881">
        <v>-441.95060000000001</v>
      </c>
      <c r="H232" s="880">
        <v>18.197667315340301</v>
      </c>
      <c r="I232"/>
      <c r="J232"/>
      <c r="K232"/>
      <c r="L232"/>
    </row>
    <row r="233" spans="1:12" x14ac:dyDescent="0.25">
      <c r="A233" s="519" t="s">
        <v>197</v>
      </c>
      <c r="B233" s="519" t="s">
        <v>284</v>
      </c>
      <c r="C233" s="519" t="s">
        <v>290</v>
      </c>
      <c r="D233" s="519" t="s">
        <v>70</v>
      </c>
      <c r="E233" s="519" t="s">
        <v>147</v>
      </c>
      <c r="F233" s="881">
        <v>3616.6026000000002</v>
      </c>
      <c r="G233" s="881">
        <v>-8.5937000000000001</v>
      </c>
      <c r="H233" s="880">
        <v>9.1086952085387498</v>
      </c>
      <c r="I233"/>
      <c r="J233"/>
      <c r="K233"/>
      <c r="L233"/>
    </row>
    <row r="234" spans="1:12" x14ac:dyDescent="0.25">
      <c r="A234" s="519" t="s">
        <v>197</v>
      </c>
      <c r="B234" s="519" t="s">
        <v>284</v>
      </c>
      <c r="C234" s="519" t="s">
        <v>290</v>
      </c>
      <c r="D234" s="519" t="s">
        <v>70</v>
      </c>
      <c r="E234" s="519" t="s">
        <v>151</v>
      </c>
      <c r="F234" s="881">
        <v>5506.4556000000002</v>
      </c>
      <c r="G234" s="881">
        <v>1220.8491000000001</v>
      </c>
      <c r="H234" s="880">
        <v>1.1509627426390301</v>
      </c>
      <c r="I234"/>
      <c r="J234"/>
      <c r="K234"/>
      <c r="L234"/>
    </row>
    <row r="235" spans="1:12" x14ac:dyDescent="0.25">
      <c r="A235" s="519" t="s">
        <v>197</v>
      </c>
      <c r="B235" s="519" t="s">
        <v>284</v>
      </c>
      <c r="C235" s="519" t="s">
        <v>290</v>
      </c>
      <c r="D235" s="519" t="s">
        <v>70</v>
      </c>
      <c r="E235" s="519" t="s">
        <v>153</v>
      </c>
      <c r="F235" s="881">
        <v>7565.3454000000002</v>
      </c>
      <c r="G235" s="881">
        <v>9051.9513000000006</v>
      </c>
      <c r="H235" s="880">
        <v>31.090437599243099</v>
      </c>
      <c r="I235"/>
      <c r="J235"/>
      <c r="K235"/>
      <c r="L235"/>
    </row>
    <row r="236" spans="1:12" x14ac:dyDescent="0.25">
      <c r="A236" s="519" t="s">
        <v>197</v>
      </c>
      <c r="B236" s="519" t="s">
        <v>284</v>
      </c>
      <c r="C236" s="519" t="s">
        <v>290</v>
      </c>
      <c r="D236" s="519" t="s">
        <v>16</v>
      </c>
      <c r="E236" s="519" t="s">
        <v>146</v>
      </c>
      <c r="F236" s="881">
        <v>6222.4254000000001</v>
      </c>
      <c r="G236" s="881">
        <v>-230.22460000000001</v>
      </c>
      <c r="H236" s="880">
        <v>21.9771430609002</v>
      </c>
      <c r="I236"/>
      <c r="J236"/>
      <c r="K236"/>
      <c r="L236"/>
    </row>
    <row r="237" spans="1:12" x14ac:dyDescent="0.25">
      <c r="A237" s="519" t="s">
        <v>197</v>
      </c>
      <c r="B237" s="519" t="s">
        <v>284</v>
      </c>
      <c r="C237" s="519" t="s">
        <v>290</v>
      </c>
      <c r="D237" s="519" t="s">
        <v>16</v>
      </c>
      <c r="E237" s="519" t="s">
        <v>149</v>
      </c>
      <c r="F237" s="881">
        <v>2792.2599</v>
      </c>
      <c r="G237" s="881">
        <v>432.90860000000004</v>
      </c>
      <c r="H237" s="880">
        <v>12.446381431215201</v>
      </c>
      <c r="I237"/>
      <c r="J237"/>
      <c r="K237"/>
      <c r="L237"/>
    </row>
    <row r="238" spans="1:12" x14ac:dyDescent="0.25">
      <c r="A238" s="519" t="s">
        <v>197</v>
      </c>
      <c r="B238" s="519" t="s">
        <v>284</v>
      </c>
      <c r="C238" s="519" t="s">
        <v>290</v>
      </c>
      <c r="D238" s="519" t="s">
        <v>16</v>
      </c>
      <c r="E238" s="519" t="s">
        <v>148</v>
      </c>
      <c r="F238" s="881">
        <v>2033.6682000000001</v>
      </c>
      <c r="G238" s="881">
        <v>783.46430000000009</v>
      </c>
      <c r="H238" s="880">
        <v>4.2462185266079704</v>
      </c>
      <c r="I238"/>
      <c r="J238"/>
      <c r="K238"/>
      <c r="L238"/>
    </row>
    <row r="239" spans="1:12" x14ac:dyDescent="0.25">
      <c r="A239" s="519" t="s">
        <v>197</v>
      </c>
      <c r="B239" s="519" t="s">
        <v>284</v>
      </c>
      <c r="C239" s="519" t="s">
        <v>290</v>
      </c>
      <c r="D239" s="519" t="s">
        <v>16</v>
      </c>
      <c r="E239" s="519" t="s">
        <v>152</v>
      </c>
      <c r="F239" s="881">
        <v>28596.811800000003</v>
      </c>
      <c r="G239" s="881">
        <v>16937.513300000002</v>
      </c>
      <c r="H239" s="880">
        <v>3.3769410184232598</v>
      </c>
      <c r="I239"/>
      <c r="J239"/>
      <c r="K239"/>
      <c r="L239"/>
    </row>
    <row r="240" spans="1:12" x14ac:dyDescent="0.25">
      <c r="A240" s="519" t="s">
        <v>197</v>
      </c>
      <c r="B240" s="519" t="s">
        <v>284</v>
      </c>
      <c r="C240" s="519" t="s">
        <v>290</v>
      </c>
      <c r="D240" s="519" t="s">
        <v>16</v>
      </c>
      <c r="E240" s="519" t="s">
        <v>155</v>
      </c>
      <c r="F240" s="881">
        <v>24313.538700000001</v>
      </c>
      <c r="G240" s="881">
        <v>31307.035100000001</v>
      </c>
      <c r="H240" s="880">
        <v>-72.278459292359301</v>
      </c>
      <c r="I240"/>
      <c r="J240"/>
      <c r="K240"/>
      <c r="L240"/>
    </row>
    <row r="241" spans="1:12" x14ac:dyDescent="0.25">
      <c r="A241" s="519" t="s">
        <v>197</v>
      </c>
      <c r="B241" s="519" t="s">
        <v>284</v>
      </c>
      <c r="C241" s="519" t="s">
        <v>290</v>
      </c>
      <c r="D241" s="519" t="s">
        <v>16</v>
      </c>
      <c r="E241" s="519" t="s">
        <v>153</v>
      </c>
      <c r="F241" s="881">
        <v>6518.1375000000007</v>
      </c>
      <c r="G241" s="881">
        <v>6917.3367000000007</v>
      </c>
      <c r="H241" s="880">
        <v>-81.206965164773308</v>
      </c>
      <c r="I241"/>
      <c r="J241"/>
      <c r="K241"/>
      <c r="L241"/>
    </row>
    <row r="242" spans="1:12" x14ac:dyDescent="0.25">
      <c r="A242" s="519" t="s">
        <v>197</v>
      </c>
      <c r="B242" s="519" t="s">
        <v>284</v>
      </c>
      <c r="C242" s="519" t="s">
        <v>290</v>
      </c>
      <c r="D242" s="519" t="s">
        <v>17</v>
      </c>
      <c r="E242" s="519" t="s">
        <v>146</v>
      </c>
      <c r="F242" s="881">
        <v>6393.7872000000007</v>
      </c>
      <c r="G242" s="881">
        <v>-22.375</v>
      </c>
      <c r="H242" s="880">
        <v>-90.368495030255303</v>
      </c>
      <c r="I242"/>
      <c r="J242"/>
      <c r="K242"/>
      <c r="L242"/>
    </row>
    <row r="243" spans="1:12" x14ac:dyDescent="0.25">
      <c r="A243" s="519" t="s">
        <v>197</v>
      </c>
      <c r="B243" s="519" t="s">
        <v>284</v>
      </c>
      <c r="C243" s="519" t="s">
        <v>290</v>
      </c>
      <c r="D243" s="519" t="s">
        <v>17</v>
      </c>
      <c r="E243" s="519" t="s">
        <v>149</v>
      </c>
      <c r="F243" s="881">
        <v>4545.2262000000001</v>
      </c>
      <c r="G243" s="881">
        <v>-276.51320000000004</v>
      </c>
      <c r="H243" s="880">
        <v>0</v>
      </c>
      <c r="I243"/>
      <c r="J243"/>
      <c r="K243"/>
      <c r="L243"/>
    </row>
    <row r="244" spans="1:12" x14ac:dyDescent="0.25">
      <c r="A244" s="519" t="s">
        <v>197</v>
      </c>
      <c r="B244" s="519" t="s">
        <v>284</v>
      </c>
      <c r="C244" s="519" t="s">
        <v>288</v>
      </c>
      <c r="D244" s="519" t="s">
        <v>70</v>
      </c>
      <c r="E244" s="519" t="s">
        <v>146</v>
      </c>
      <c r="F244" s="881">
        <v>19939.7952</v>
      </c>
      <c r="G244" s="881">
        <v>20158.6973</v>
      </c>
      <c r="H244" s="880">
        <v>4.2176331153643005</v>
      </c>
      <c r="I244"/>
      <c r="J244"/>
      <c r="K244"/>
      <c r="L244"/>
    </row>
    <row r="245" spans="1:12" x14ac:dyDescent="0.25">
      <c r="A245" s="519" t="s">
        <v>197</v>
      </c>
      <c r="B245" s="519" t="s">
        <v>284</v>
      </c>
      <c r="C245" s="519" t="s">
        <v>288</v>
      </c>
      <c r="D245" s="519" t="s">
        <v>70</v>
      </c>
      <c r="E245" s="519" t="s">
        <v>149</v>
      </c>
      <c r="F245" s="881">
        <v>13805.9802</v>
      </c>
      <c r="G245" s="881">
        <v>30091.525300000001</v>
      </c>
      <c r="H245" s="880">
        <v>2.9058663818891501</v>
      </c>
      <c r="I245"/>
      <c r="J245"/>
      <c r="K245"/>
      <c r="L245"/>
    </row>
    <row r="246" spans="1:12" x14ac:dyDescent="0.25">
      <c r="A246" s="519" t="s">
        <v>197</v>
      </c>
      <c r="B246" s="519" t="s">
        <v>284</v>
      </c>
      <c r="C246" s="519" t="s">
        <v>288</v>
      </c>
      <c r="D246" s="519" t="s">
        <v>70</v>
      </c>
      <c r="E246" s="519" t="s">
        <v>148</v>
      </c>
      <c r="F246" s="881">
        <v>30139.626</v>
      </c>
      <c r="G246" s="881">
        <v>5607.0399000000007</v>
      </c>
      <c r="H246" s="880">
        <v>9.8842251139867106</v>
      </c>
      <c r="I246"/>
      <c r="J246"/>
      <c r="K246"/>
      <c r="L246"/>
    </row>
    <row r="247" spans="1:12" x14ac:dyDescent="0.25">
      <c r="A247" s="519" t="s">
        <v>197</v>
      </c>
      <c r="B247" s="519" t="s">
        <v>284</v>
      </c>
      <c r="C247" s="519" t="s">
        <v>288</v>
      </c>
      <c r="D247" s="519" t="s">
        <v>70</v>
      </c>
      <c r="E247" s="519" t="s">
        <v>152</v>
      </c>
      <c r="F247" s="881">
        <v>32404.985100000002</v>
      </c>
      <c r="G247" s="881">
        <v>11930.657300000001</v>
      </c>
      <c r="H247" s="880">
        <v>5.7012684579566004</v>
      </c>
      <c r="I247"/>
      <c r="J247"/>
      <c r="K247"/>
      <c r="L247"/>
    </row>
    <row r="248" spans="1:12" x14ac:dyDescent="0.25">
      <c r="A248" s="519" t="s">
        <v>197</v>
      </c>
      <c r="B248" s="519" t="s">
        <v>284</v>
      </c>
      <c r="C248" s="519" t="s">
        <v>288</v>
      </c>
      <c r="D248" s="519" t="s">
        <v>70</v>
      </c>
      <c r="E248" s="519" t="s">
        <v>155</v>
      </c>
      <c r="F248" s="881">
        <v>27642.4365</v>
      </c>
      <c r="G248" s="881">
        <v>29602.518400000001</v>
      </c>
      <c r="H248" s="880">
        <v>6.0643556013950697</v>
      </c>
      <c r="I248"/>
      <c r="J248"/>
      <c r="K248"/>
      <c r="L248"/>
    </row>
    <row r="249" spans="1:12" x14ac:dyDescent="0.25">
      <c r="A249" s="519" t="s">
        <v>197</v>
      </c>
      <c r="B249" s="519" t="s">
        <v>284</v>
      </c>
      <c r="C249" s="519" t="s">
        <v>288</v>
      </c>
      <c r="D249" s="519" t="s">
        <v>70</v>
      </c>
      <c r="E249" s="519" t="s">
        <v>153</v>
      </c>
      <c r="F249" s="881">
        <v>41116.555500000002</v>
      </c>
      <c r="G249" s="881">
        <v>14848.1296</v>
      </c>
      <c r="H249" s="880">
        <v>10.0147275743532</v>
      </c>
      <c r="I249"/>
      <c r="J249"/>
      <c r="K249"/>
      <c r="L249"/>
    </row>
    <row r="250" spans="1:12" x14ac:dyDescent="0.25">
      <c r="A250" s="519" t="s">
        <v>197</v>
      </c>
      <c r="B250" s="519" t="s">
        <v>284</v>
      </c>
      <c r="C250" s="519" t="s">
        <v>288</v>
      </c>
      <c r="D250" s="519" t="s">
        <v>16</v>
      </c>
      <c r="E250" s="519" t="s">
        <v>146</v>
      </c>
      <c r="F250" s="881">
        <v>25412.7801</v>
      </c>
      <c r="G250" s="881">
        <v>19411.909200000002</v>
      </c>
      <c r="H250" s="880">
        <v>4.6253705315631697</v>
      </c>
      <c r="I250"/>
      <c r="J250"/>
      <c r="K250"/>
      <c r="L250"/>
    </row>
    <row r="251" spans="1:12" x14ac:dyDescent="0.25">
      <c r="A251" s="519" t="s">
        <v>197</v>
      </c>
      <c r="B251" s="519" t="s">
        <v>284</v>
      </c>
      <c r="C251" s="519" t="s">
        <v>288</v>
      </c>
      <c r="D251" s="519" t="s">
        <v>16</v>
      </c>
      <c r="E251" s="519" t="s">
        <v>149</v>
      </c>
      <c r="F251" s="881">
        <v>30328.3416</v>
      </c>
      <c r="G251" s="881">
        <v>25518.096000000001</v>
      </c>
      <c r="H251" s="880">
        <v>13.285682216326201</v>
      </c>
      <c r="I251"/>
      <c r="J251"/>
      <c r="K251"/>
      <c r="L251"/>
    </row>
    <row r="252" spans="1:12" x14ac:dyDescent="0.25">
      <c r="A252" s="519" t="s">
        <v>197</v>
      </c>
      <c r="B252" s="519" t="s">
        <v>284</v>
      </c>
      <c r="C252" s="519" t="s">
        <v>288</v>
      </c>
      <c r="D252" s="519" t="s">
        <v>16</v>
      </c>
      <c r="E252" s="519" t="s">
        <v>148</v>
      </c>
      <c r="F252" s="881">
        <v>24627.3393</v>
      </c>
      <c r="G252" s="881">
        <v>8963.5282999999999</v>
      </c>
      <c r="H252" s="880">
        <v>6.6411704995288297</v>
      </c>
      <c r="I252"/>
      <c r="J252"/>
      <c r="K252"/>
      <c r="L252"/>
    </row>
    <row r="253" spans="1:12" x14ac:dyDescent="0.25">
      <c r="A253" s="519" t="s">
        <v>197</v>
      </c>
      <c r="B253" s="519" t="s">
        <v>284</v>
      </c>
      <c r="C253" s="519" t="s">
        <v>288</v>
      </c>
      <c r="D253" s="519" t="s">
        <v>16</v>
      </c>
      <c r="E253" s="519" t="s">
        <v>152</v>
      </c>
      <c r="F253" s="881">
        <v>28629.3246</v>
      </c>
      <c r="G253" s="881">
        <v>19892.223300000001</v>
      </c>
      <c r="H253" s="880">
        <v>4.7211982041225999</v>
      </c>
      <c r="I253"/>
      <c r="J253"/>
      <c r="K253"/>
      <c r="L253"/>
    </row>
    <row r="254" spans="1:12" x14ac:dyDescent="0.25">
      <c r="A254" s="519" t="s">
        <v>197</v>
      </c>
      <c r="B254" s="519" t="s">
        <v>284</v>
      </c>
      <c r="C254" s="519" t="s">
        <v>288</v>
      </c>
      <c r="D254" s="519" t="s">
        <v>16</v>
      </c>
      <c r="E254" s="519" t="s">
        <v>155</v>
      </c>
      <c r="F254" s="881">
        <v>12329.967900000001</v>
      </c>
      <c r="G254" s="881">
        <v>18508.7245</v>
      </c>
      <c r="H254" s="880">
        <v>3.3374078638961002</v>
      </c>
      <c r="I254"/>
      <c r="J254"/>
      <c r="K254"/>
      <c r="L254"/>
    </row>
    <row r="255" spans="1:12" x14ac:dyDescent="0.25">
      <c r="A255" s="519" t="s">
        <v>197</v>
      </c>
      <c r="B255" s="519" t="s">
        <v>284</v>
      </c>
      <c r="C255" s="519" t="s">
        <v>288</v>
      </c>
      <c r="D255" s="519" t="s">
        <v>16</v>
      </c>
      <c r="E255" s="519" t="s">
        <v>153</v>
      </c>
      <c r="F255" s="881">
        <v>22205.0985</v>
      </c>
      <c r="G255" s="881">
        <v>11595.62</v>
      </c>
      <c r="H255" s="880">
        <v>5.8151685229872001</v>
      </c>
      <c r="I255"/>
      <c r="J255"/>
      <c r="K255"/>
      <c r="L255"/>
    </row>
    <row r="256" spans="1:12" x14ac:dyDescent="0.25">
      <c r="A256" s="519" t="s">
        <v>197</v>
      </c>
      <c r="B256" s="519" t="s">
        <v>284</v>
      </c>
      <c r="C256" s="519" t="s">
        <v>288</v>
      </c>
      <c r="D256" s="519" t="s">
        <v>17</v>
      </c>
      <c r="E256" s="519" t="s">
        <v>146</v>
      </c>
      <c r="F256" s="881">
        <v>44844.125700000004</v>
      </c>
      <c r="G256" s="881">
        <v>21789.528900000001</v>
      </c>
      <c r="H256" s="880">
        <v>7.5818493432569296</v>
      </c>
      <c r="I256"/>
      <c r="J256"/>
      <c r="K256"/>
      <c r="L256"/>
    </row>
    <row r="257" spans="1:12" x14ac:dyDescent="0.25">
      <c r="A257" s="519" t="s">
        <v>197</v>
      </c>
      <c r="B257" s="519" t="s">
        <v>284</v>
      </c>
      <c r="C257" s="519" t="s">
        <v>288</v>
      </c>
      <c r="D257" s="519" t="s">
        <v>17</v>
      </c>
      <c r="E257" s="519" t="s">
        <v>149</v>
      </c>
      <c r="F257" s="881">
        <v>33409.217700000001</v>
      </c>
      <c r="G257" s="881">
        <v>29902.721300000001</v>
      </c>
      <c r="H257" s="880">
        <v>0</v>
      </c>
      <c r="I257"/>
      <c r="J257"/>
      <c r="K257"/>
      <c r="L257"/>
    </row>
    <row r="258" spans="1:12" x14ac:dyDescent="0.25">
      <c r="A258" s="519" t="s">
        <v>197</v>
      </c>
      <c r="B258" s="519" t="s">
        <v>284</v>
      </c>
      <c r="C258" s="519" t="s">
        <v>281</v>
      </c>
      <c r="D258" s="519" t="s">
        <v>70</v>
      </c>
      <c r="E258" s="519" t="s">
        <v>146</v>
      </c>
      <c r="F258" s="881">
        <v>9425.3082000000013</v>
      </c>
      <c r="G258" s="881">
        <v>13031.824500000001</v>
      </c>
      <c r="H258" s="880">
        <v>4.9734452143391197</v>
      </c>
      <c r="I258"/>
      <c r="J258"/>
      <c r="K258"/>
      <c r="L258"/>
    </row>
    <row r="259" spans="1:12" x14ac:dyDescent="0.25">
      <c r="A259" s="519" t="s">
        <v>197</v>
      </c>
      <c r="B259" s="519" t="s">
        <v>284</v>
      </c>
      <c r="C259" s="519" t="s">
        <v>281</v>
      </c>
      <c r="D259" s="519" t="s">
        <v>70</v>
      </c>
      <c r="E259" s="519" t="s">
        <v>149</v>
      </c>
      <c r="F259" s="881">
        <v>12058.8078</v>
      </c>
      <c r="G259" s="881">
        <v>9447.0787</v>
      </c>
      <c r="H259" s="880">
        <v>2.6457780032185698</v>
      </c>
      <c r="I259"/>
      <c r="J259"/>
      <c r="K259"/>
      <c r="L259"/>
    </row>
    <row r="260" spans="1:12" x14ac:dyDescent="0.25">
      <c r="A260" s="519" t="s">
        <v>197</v>
      </c>
      <c r="B260" s="519" t="s">
        <v>284</v>
      </c>
      <c r="C260" s="519" t="s">
        <v>281</v>
      </c>
      <c r="D260" s="519" t="s">
        <v>70</v>
      </c>
      <c r="E260" s="519" t="s">
        <v>148</v>
      </c>
      <c r="F260" s="881">
        <v>17307.495300000002</v>
      </c>
      <c r="G260" s="881">
        <v>18932.146800000002</v>
      </c>
      <c r="H260" s="880">
        <v>11.834961316577301</v>
      </c>
      <c r="I260"/>
      <c r="J260"/>
      <c r="K260"/>
      <c r="L260"/>
    </row>
    <row r="261" spans="1:12" x14ac:dyDescent="0.25">
      <c r="A261" s="519" t="s">
        <v>197</v>
      </c>
      <c r="B261" s="519" t="s">
        <v>284</v>
      </c>
      <c r="C261" s="519" t="s">
        <v>281</v>
      </c>
      <c r="D261" s="519" t="s">
        <v>70</v>
      </c>
      <c r="E261" s="519" t="s">
        <v>152</v>
      </c>
      <c r="F261" s="881">
        <v>13518.6288</v>
      </c>
      <c r="G261" s="881">
        <v>5391.7624000000005</v>
      </c>
      <c r="H261" s="880">
        <v>12.1288350962721</v>
      </c>
      <c r="I261"/>
      <c r="J261"/>
      <c r="K261"/>
      <c r="L261"/>
    </row>
    <row r="262" spans="1:12" x14ac:dyDescent="0.25">
      <c r="A262" s="519" t="s">
        <v>197</v>
      </c>
      <c r="B262" s="519" t="s">
        <v>284</v>
      </c>
      <c r="C262" s="519" t="s">
        <v>281</v>
      </c>
      <c r="D262" s="519" t="s">
        <v>70</v>
      </c>
      <c r="E262" s="519" t="s">
        <v>155</v>
      </c>
      <c r="F262" s="881">
        <v>6990.4287000000004</v>
      </c>
      <c r="G262" s="881">
        <v>2682.9908</v>
      </c>
      <c r="H262" s="880">
        <v>5.4449330573076802</v>
      </c>
      <c r="I262"/>
      <c r="J262"/>
      <c r="K262"/>
      <c r="L262"/>
    </row>
    <row r="263" spans="1:12" x14ac:dyDescent="0.25">
      <c r="A263" s="519" t="s">
        <v>197</v>
      </c>
      <c r="B263" s="519" t="s">
        <v>284</v>
      </c>
      <c r="C263" s="519" t="s">
        <v>281</v>
      </c>
      <c r="D263" s="519" t="s">
        <v>70</v>
      </c>
      <c r="E263" s="519" t="s">
        <v>153</v>
      </c>
      <c r="F263" s="881">
        <v>18263.033100000001</v>
      </c>
      <c r="G263" s="881">
        <v>9036.0199000000011</v>
      </c>
      <c r="H263" s="880">
        <v>6.4864167909696402</v>
      </c>
      <c r="I263"/>
      <c r="J263"/>
      <c r="K263"/>
      <c r="L263"/>
    </row>
    <row r="264" spans="1:12" x14ac:dyDescent="0.25">
      <c r="A264" s="519" t="s">
        <v>197</v>
      </c>
      <c r="B264" s="519" t="s">
        <v>284</v>
      </c>
      <c r="C264" s="519" t="s">
        <v>281</v>
      </c>
      <c r="D264" s="519" t="s">
        <v>16</v>
      </c>
      <c r="E264" s="519" t="s">
        <v>146</v>
      </c>
      <c r="F264" s="881">
        <v>14833.230300000001</v>
      </c>
      <c r="G264" s="881">
        <v>16576.5674</v>
      </c>
      <c r="H264" s="880">
        <v>7.4644017970499004</v>
      </c>
      <c r="I264"/>
      <c r="J264"/>
      <c r="K264"/>
      <c r="L264"/>
    </row>
    <row r="265" spans="1:12" x14ac:dyDescent="0.25">
      <c r="A265" s="519" t="s">
        <v>197</v>
      </c>
      <c r="B265" s="519" t="s">
        <v>284</v>
      </c>
      <c r="C265" s="519" t="s">
        <v>281</v>
      </c>
      <c r="D265" s="519" t="s">
        <v>16</v>
      </c>
      <c r="E265" s="519" t="s">
        <v>149</v>
      </c>
      <c r="F265" s="881">
        <v>7278.3009000000002</v>
      </c>
      <c r="G265" s="881">
        <v>10684.9565</v>
      </c>
      <c r="H265" s="880">
        <v>8.1532191843156507</v>
      </c>
      <c r="I265"/>
      <c r="J265"/>
      <c r="K265"/>
      <c r="L265"/>
    </row>
    <row r="266" spans="1:12" x14ac:dyDescent="0.25">
      <c r="A266" s="519" t="s">
        <v>197</v>
      </c>
      <c r="B266" s="519" t="s">
        <v>284</v>
      </c>
      <c r="C266" s="519" t="s">
        <v>281</v>
      </c>
      <c r="D266" s="519" t="s">
        <v>16</v>
      </c>
      <c r="E266" s="519" t="s">
        <v>148</v>
      </c>
      <c r="F266" s="881">
        <v>10331.0445</v>
      </c>
      <c r="G266" s="881">
        <v>4948.9928</v>
      </c>
      <c r="H266" s="880">
        <v>6.4831496158610804</v>
      </c>
      <c r="I266"/>
      <c r="J266"/>
      <c r="K266"/>
      <c r="L266"/>
    </row>
    <row r="267" spans="1:12" x14ac:dyDescent="0.25">
      <c r="A267" s="519" t="s">
        <v>197</v>
      </c>
      <c r="B267" s="519" t="s">
        <v>284</v>
      </c>
      <c r="C267" s="519" t="s">
        <v>281</v>
      </c>
      <c r="D267" s="519" t="s">
        <v>16</v>
      </c>
      <c r="E267" s="519" t="s">
        <v>152</v>
      </c>
      <c r="F267" s="881">
        <v>9316.8237000000008</v>
      </c>
      <c r="G267" s="881">
        <v>6854.6556</v>
      </c>
      <c r="H267" s="880">
        <v>8.8085588848393606</v>
      </c>
      <c r="I267"/>
      <c r="J267"/>
      <c r="K267"/>
      <c r="L267"/>
    </row>
    <row r="268" spans="1:12" x14ac:dyDescent="0.25">
      <c r="A268" s="519" t="s">
        <v>197</v>
      </c>
      <c r="B268" s="519" t="s">
        <v>284</v>
      </c>
      <c r="C268" s="519" t="s">
        <v>281</v>
      </c>
      <c r="D268" s="519" t="s">
        <v>16</v>
      </c>
      <c r="E268" s="519" t="s">
        <v>155</v>
      </c>
      <c r="F268" s="881">
        <v>9379.5056999999997</v>
      </c>
      <c r="G268" s="881">
        <v>3109.0554999999999</v>
      </c>
      <c r="H268" s="880">
        <v>9.0846019121261694</v>
      </c>
      <c r="I268"/>
      <c r="J268"/>
      <c r="K268"/>
      <c r="L268"/>
    </row>
    <row r="269" spans="1:12" x14ac:dyDescent="0.25">
      <c r="A269" s="519" t="s">
        <v>197</v>
      </c>
      <c r="B269" s="519" t="s">
        <v>284</v>
      </c>
      <c r="C269" s="519" t="s">
        <v>281</v>
      </c>
      <c r="D269" s="519" t="s">
        <v>16</v>
      </c>
      <c r="E269" s="519" t="s">
        <v>153</v>
      </c>
      <c r="F269" s="881">
        <v>8119.1046000000006</v>
      </c>
      <c r="G269" s="881">
        <v>2778.3606</v>
      </c>
      <c r="H269" s="880">
        <v>5.5708848903575303</v>
      </c>
      <c r="I269"/>
      <c r="J269"/>
      <c r="K269"/>
      <c r="L269"/>
    </row>
    <row r="270" spans="1:12" x14ac:dyDescent="0.25">
      <c r="A270" s="519" t="s">
        <v>197</v>
      </c>
      <c r="B270" s="519" t="s">
        <v>284</v>
      </c>
      <c r="C270" s="519" t="s">
        <v>281</v>
      </c>
      <c r="D270" s="519" t="s">
        <v>17</v>
      </c>
      <c r="E270" s="519" t="s">
        <v>146</v>
      </c>
      <c r="F270" s="881">
        <v>11096.6484</v>
      </c>
      <c r="G270" s="881">
        <v>8964.4914000000008</v>
      </c>
      <c r="H270" s="880">
        <v>5.8838807303581797</v>
      </c>
      <c r="I270"/>
      <c r="J270"/>
      <c r="K270"/>
      <c r="L270"/>
    </row>
    <row r="271" spans="1:12" x14ac:dyDescent="0.25">
      <c r="A271" s="519" t="s">
        <v>197</v>
      </c>
      <c r="B271" s="519" t="s">
        <v>284</v>
      </c>
      <c r="C271" s="519" t="s">
        <v>281</v>
      </c>
      <c r="D271" s="519" t="s">
        <v>17</v>
      </c>
      <c r="E271" s="519" t="s">
        <v>149</v>
      </c>
      <c r="F271" s="881">
        <v>8530.4343000000008</v>
      </c>
      <c r="G271" s="881">
        <v>7303.3371000000006</v>
      </c>
      <c r="H271" s="880">
        <v>0</v>
      </c>
      <c r="I271"/>
      <c r="J271"/>
      <c r="K271"/>
      <c r="L271"/>
    </row>
    <row r="272" spans="1:12" x14ac:dyDescent="0.25">
      <c r="A272" s="519" t="s">
        <v>197</v>
      </c>
      <c r="B272" s="519" t="s">
        <v>284</v>
      </c>
      <c r="C272" s="519" t="s">
        <v>1812</v>
      </c>
      <c r="D272" s="519" t="s">
        <v>70</v>
      </c>
      <c r="E272" s="519" t="s">
        <v>146</v>
      </c>
      <c r="F272" s="881">
        <v>38908.819200000005</v>
      </c>
      <c r="G272" s="881">
        <v>11385.885100000001</v>
      </c>
      <c r="H272" s="880">
        <v>8.7651651117235598</v>
      </c>
      <c r="I272"/>
      <c r="J272"/>
      <c r="K272"/>
      <c r="L272"/>
    </row>
    <row r="273" spans="1:12" x14ac:dyDescent="0.25">
      <c r="A273" s="519" t="s">
        <v>197</v>
      </c>
      <c r="B273" s="519" t="s">
        <v>284</v>
      </c>
      <c r="C273" s="519" t="s">
        <v>1812</v>
      </c>
      <c r="D273" s="519" t="s">
        <v>70</v>
      </c>
      <c r="E273" s="519" t="s">
        <v>149</v>
      </c>
      <c r="F273" s="881">
        <v>25156.537200000002</v>
      </c>
      <c r="G273" s="881">
        <v>16762.187900000001</v>
      </c>
      <c r="H273" s="880">
        <v>7.8951030144340102</v>
      </c>
      <c r="I273"/>
      <c r="J273"/>
      <c r="K273"/>
      <c r="L273"/>
    </row>
    <row r="274" spans="1:12" x14ac:dyDescent="0.25">
      <c r="A274" s="519" t="s">
        <v>197</v>
      </c>
      <c r="B274" s="519" t="s">
        <v>284</v>
      </c>
      <c r="C274" s="519" t="s">
        <v>1812</v>
      </c>
      <c r="D274" s="519" t="s">
        <v>70</v>
      </c>
      <c r="E274" s="519" t="s">
        <v>148</v>
      </c>
      <c r="F274" s="881">
        <v>41386.729800000001</v>
      </c>
      <c r="G274" s="881">
        <v>15131.4475</v>
      </c>
      <c r="H274" s="880">
        <v>17.160153847482</v>
      </c>
      <c r="I274"/>
      <c r="J274"/>
      <c r="K274"/>
      <c r="L274"/>
    </row>
    <row r="275" spans="1:12" x14ac:dyDescent="0.25">
      <c r="A275" s="519" t="s">
        <v>197</v>
      </c>
      <c r="B275" s="519" t="s">
        <v>284</v>
      </c>
      <c r="C275" s="519" t="s">
        <v>1812</v>
      </c>
      <c r="D275" s="519" t="s">
        <v>70</v>
      </c>
      <c r="E275" s="519" t="s">
        <v>152</v>
      </c>
      <c r="F275" s="881">
        <v>56887.653600000005</v>
      </c>
      <c r="G275" s="881">
        <v>12624.618</v>
      </c>
      <c r="H275" s="880">
        <v>31.878006982704999</v>
      </c>
      <c r="I275"/>
      <c r="J275"/>
      <c r="K275"/>
      <c r="L275"/>
    </row>
    <row r="276" spans="1:12" x14ac:dyDescent="0.25">
      <c r="A276" s="519" t="s">
        <v>197</v>
      </c>
      <c r="B276" s="519" t="s">
        <v>284</v>
      </c>
      <c r="C276" s="519" t="s">
        <v>1812</v>
      </c>
      <c r="D276" s="519" t="s">
        <v>70</v>
      </c>
      <c r="E276" s="519" t="s">
        <v>155</v>
      </c>
      <c r="F276" s="881">
        <v>42695.7048</v>
      </c>
      <c r="G276" s="881">
        <v>7957.8293000000003</v>
      </c>
      <c r="H276" s="880">
        <v>24.904023355359602</v>
      </c>
      <c r="I276"/>
      <c r="J276"/>
      <c r="K276"/>
      <c r="L276"/>
    </row>
    <row r="277" spans="1:12" x14ac:dyDescent="0.25">
      <c r="A277" s="519" t="s">
        <v>197</v>
      </c>
      <c r="B277" s="519" t="s">
        <v>284</v>
      </c>
      <c r="C277" s="519" t="s">
        <v>1812</v>
      </c>
      <c r="D277" s="519" t="s">
        <v>70</v>
      </c>
      <c r="E277" s="519" t="s">
        <v>153</v>
      </c>
      <c r="F277" s="881">
        <v>48318.438300000002</v>
      </c>
      <c r="G277" s="881">
        <v>4167.7838000000002</v>
      </c>
      <c r="H277" s="880">
        <v>23.4069502189476</v>
      </c>
      <c r="I277"/>
      <c r="J277"/>
      <c r="K277"/>
      <c r="L277"/>
    </row>
    <row r="278" spans="1:12" x14ac:dyDescent="0.25">
      <c r="A278" s="519" t="s">
        <v>197</v>
      </c>
      <c r="B278" s="519" t="s">
        <v>284</v>
      </c>
      <c r="C278" s="519" t="s">
        <v>1812</v>
      </c>
      <c r="D278" s="519" t="s">
        <v>16</v>
      </c>
      <c r="E278" s="519" t="s">
        <v>146</v>
      </c>
      <c r="F278" s="881">
        <v>37796.102100000004</v>
      </c>
      <c r="G278" s="881">
        <v>9979.6663000000008</v>
      </c>
      <c r="H278" s="880">
        <v>16.970704725581601</v>
      </c>
      <c r="I278"/>
      <c r="J278"/>
      <c r="K278"/>
      <c r="L278"/>
    </row>
    <row r="279" spans="1:12" x14ac:dyDescent="0.25">
      <c r="A279" s="519" t="s">
        <v>197</v>
      </c>
      <c r="B279" s="519" t="s">
        <v>284</v>
      </c>
      <c r="C279" s="519" t="s">
        <v>1812</v>
      </c>
      <c r="D279" s="519" t="s">
        <v>16</v>
      </c>
      <c r="E279" s="519" t="s">
        <v>149</v>
      </c>
      <c r="F279" s="881">
        <v>33313.251000000004</v>
      </c>
      <c r="G279" s="881">
        <v>15039.186100000001</v>
      </c>
      <c r="H279" s="880">
        <v>20.8830003370932</v>
      </c>
      <c r="I279"/>
      <c r="J279"/>
      <c r="K279"/>
      <c r="L279"/>
    </row>
    <row r="280" spans="1:12" x14ac:dyDescent="0.25">
      <c r="A280" s="519" t="s">
        <v>197</v>
      </c>
      <c r="B280" s="519" t="s">
        <v>284</v>
      </c>
      <c r="C280" s="519" t="s">
        <v>1812</v>
      </c>
      <c r="D280" s="519" t="s">
        <v>16</v>
      </c>
      <c r="E280" s="519" t="s">
        <v>148</v>
      </c>
      <c r="F280" s="881">
        <v>26326.4493</v>
      </c>
      <c r="G280" s="881">
        <v>8817.4732999999997</v>
      </c>
      <c r="H280" s="880">
        <v>19.133132662713699</v>
      </c>
      <c r="I280"/>
      <c r="J280"/>
      <c r="K280"/>
      <c r="L280"/>
    </row>
    <row r="281" spans="1:12" x14ac:dyDescent="0.25">
      <c r="A281" s="519" t="s">
        <v>197</v>
      </c>
      <c r="B281" s="519" t="s">
        <v>284</v>
      </c>
      <c r="C281" s="519" t="s">
        <v>1812</v>
      </c>
      <c r="D281" s="519" t="s">
        <v>16</v>
      </c>
      <c r="E281" s="519" t="s">
        <v>152</v>
      </c>
      <c r="F281" s="881">
        <v>19736.562300000001</v>
      </c>
      <c r="G281" s="881">
        <v>5593.7467000000006</v>
      </c>
      <c r="H281" s="880">
        <v>16.282692705948602</v>
      </c>
      <c r="I281"/>
      <c r="J281"/>
      <c r="K281"/>
      <c r="L281"/>
    </row>
    <row r="282" spans="1:12" x14ac:dyDescent="0.25">
      <c r="A282" s="519" t="s">
        <v>197</v>
      </c>
      <c r="B282" s="519" t="s">
        <v>284</v>
      </c>
      <c r="C282" s="519" t="s">
        <v>1812</v>
      </c>
      <c r="D282" s="519" t="s">
        <v>16</v>
      </c>
      <c r="E282" s="519" t="s">
        <v>155</v>
      </c>
      <c r="F282" s="881">
        <v>14925.2724</v>
      </c>
      <c r="G282" s="881">
        <v>5972.4048000000003</v>
      </c>
      <c r="H282" s="880">
        <v>12.710901479675101</v>
      </c>
      <c r="I282"/>
      <c r="J282"/>
      <c r="K282"/>
      <c r="L282"/>
    </row>
    <row r="283" spans="1:12" x14ac:dyDescent="0.25">
      <c r="A283" s="519" t="s">
        <v>197</v>
      </c>
      <c r="B283" s="519" t="s">
        <v>284</v>
      </c>
      <c r="C283" s="519" t="s">
        <v>1812</v>
      </c>
      <c r="D283" s="519" t="s">
        <v>16</v>
      </c>
      <c r="E283" s="519" t="s">
        <v>153</v>
      </c>
      <c r="F283" s="881">
        <v>29123.359200000003</v>
      </c>
      <c r="G283" s="881">
        <v>5126.6749</v>
      </c>
      <c r="H283" s="880">
        <v>12.0822168113042</v>
      </c>
      <c r="I283"/>
      <c r="J283"/>
      <c r="K283"/>
      <c r="L283"/>
    </row>
    <row r="284" spans="1:12" x14ac:dyDescent="0.25">
      <c r="A284" s="519" t="s">
        <v>197</v>
      </c>
      <c r="B284" s="519" t="s">
        <v>284</v>
      </c>
      <c r="C284" s="519" t="s">
        <v>1812</v>
      </c>
      <c r="D284" s="519" t="s">
        <v>17</v>
      </c>
      <c r="E284" s="519" t="s">
        <v>146</v>
      </c>
      <c r="F284" s="881">
        <v>31948.569</v>
      </c>
      <c r="G284" s="881">
        <v>11863.784300000001</v>
      </c>
      <c r="H284" s="880">
        <v>8.6007725256937295</v>
      </c>
      <c r="I284"/>
      <c r="J284"/>
      <c r="K284"/>
      <c r="L284"/>
    </row>
    <row r="285" spans="1:12" x14ac:dyDescent="0.25">
      <c r="A285" s="519" t="s">
        <v>197</v>
      </c>
      <c r="B285" s="519" t="s">
        <v>284</v>
      </c>
      <c r="C285" s="519" t="s">
        <v>1812</v>
      </c>
      <c r="D285" s="519" t="s">
        <v>17</v>
      </c>
      <c r="E285" s="519" t="s">
        <v>149</v>
      </c>
      <c r="F285" s="881">
        <v>24248.5131</v>
      </c>
      <c r="G285" s="881">
        <v>18632.713599999999</v>
      </c>
      <c r="H285" s="880">
        <v>0</v>
      </c>
      <c r="I285"/>
      <c r="J285"/>
      <c r="K285"/>
      <c r="L285"/>
    </row>
    <row r="286" spans="1:12" x14ac:dyDescent="0.25">
      <c r="A286" s="519" t="s">
        <v>197</v>
      </c>
      <c r="B286" s="519" t="s">
        <v>284</v>
      </c>
      <c r="C286" s="519" t="s">
        <v>282</v>
      </c>
      <c r="D286" s="519" t="s">
        <v>70</v>
      </c>
      <c r="E286" s="519" t="s">
        <v>146</v>
      </c>
      <c r="F286" s="881">
        <v>222722.4357</v>
      </c>
      <c r="G286" s="881">
        <v>162143.2248</v>
      </c>
      <c r="H286" s="880">
        <v>5.3004924640604703</v>
      </c>
      <c r="I286"/>
      <c r="J286"/>
      <c r="K286"/>
      <c r="L286"/>
    </row>
    <row r="287" spans="1:12" x14ac:dyDescent="0.25">
      <c r="A287" s="519" t="s">
        <v>197</v>
      </c>
      <c r="B287" s="519" t="s">
        <v>284</v>
      </c>
      <c r="C287" s="519" t="s">
        <v>282</v>
      </c>
      <c r="D287" s="519" t="s">
        <v>70</v>
      </c>
      <c r="E287" s="519" t="s">
        <v>149</v>
      </c>
      <c r="F287" s="881">
        <v>203686.88880000002</v>
      </c>
      <c r="G287" s="881">
        <v>170507.3461</v>
      </c>
      <c r="H287" s="880">
        <v>7.1721578069646901</v>
      </c>
      <c r="I287"/>
      <c r="J287"/>
      <c r="K287"/>
      <c r="L287"/>
    </row>
    <row r="288" spans="1:12" x14ac:dyDescent="0.25">
      <c r="A288" s="519" t="s">
        <v>197</v>
      </c>
      <c r="B288" s="519" t="s">
        <v>284</v>
      </c>
      <c r="C288" s="519" t="s">
        <v>282</v>
      </c>
      <c r="D288" s="519" t="s">
        <v>70</v>
      </c>
      <c r="E288" s="519" t="s">
        <v>148</v>
      </c>
      <c r="F288" s="881">
        <v>186258.14010000002</v>
      </c>
      <c r="G288" s="881">
        <v>110743.43160000001</v>
      </c>
      <c r="H288" s="880">
        <v>6.4789535773653197</v>
      </c>
      <c r="I288"/>
      <c r="J288"/>
      <c r="K288"/>
      <c r="L288"/>
    </row>
    <row r="289" spans="1:12" x14ac:dyDescent="0.25">
      <c r="A289" s="519" t="s">
        <v>197</v>
      </c>
      <c r="B289" s="519" t="s">
        <v>284</v>
      </c>
      <c r="C289" s="519" t="s">
        <v>282</v>
      </c>
      <c r="D289" s="519" t="s">
        <v>70</v>
      </c>
      <c r="E289" s="519" t="s">
        <v>152</v>
      </c>
      <c r="F289" s="881">
        <v>254764.758</v>
      </c>
      <c r="G289" s="881">
        <v>152984.9878</v>
      </c>
      <c r="H289" s="880">
        <v>6.2138278721767604</v>
      </c>
      <c r="I289"/>
      <c r="J289"/>
      <c r="K289"/>
      <c r="L289"/>
    </row>
    <row r="290" spans="1:12" x14ac:dyDescent="0.25">
      <c r="A290" s="519" t="s">
        <v>197</v>
      </c>
      <c r="B290" s="519" t="s">
        <v>284</v>
      </c>
      <c r="C290" s="519" t="s">
        <v>282</v>
      </c>
      <c r="D290" s="519" t="s">
        <v>70</v>
      </c>
      <c r="E290" s="519" t="s">
        <v>155</v>
      </c>
      <c r="F290" s="881">
        <v>247576.19280000002</v>
      </c>
      <c r="G290" s="881">
        <v>197812.98200000002</v>
      </c>
      <c r="H290" s="880">
        <v>8.1276374508167599</v>
      </c>
      <c r="I290"/>
      <c r="J290"/>
      <c r="K290"/>
      <c r="L290"/>
    </row>
    <row r="291" spans="1:12" x14ac:dyDescent="0.25">
      <c r="A291" s="519" t="s">
        <v>197</v>
      </c>
      <c r="B291" s="519" t="s">
        <v>284</v>
      </c>
      <c r="C291" s="519" t="s">
        <v>282</v>
      </c>
      <c r="D291" s="519" t="s">
        <v>70</v>
      </c>
      <c r="E291" s="519" t="s">
        <v>153</v>
      </c>
      <c r="F291" s="881">
        <v>272961.9192</v>
      </c>
      <c r="G291" s="881">
        <v>128859.3707</v>
      </c>
      <c r="H291" s="880">
        <v>10.6151141234792</v>
      </c>
      <c r="I291"/>
      <c r="J291"/>
      <c r="K291"/>
      <c r="L291"/>
    </row>
    <row r="292" spans="1:12" x14ac:dyDescent="0.25">
      <c r="A292" s="519" t="s">
        <v>197</v>
      </c>
      <c r="B292" s="519" t="s">
        <v>284</v>
      </c>
      <c r="C292" s="519" t="s">
        <v>282</v>
      </c>
      <c r="D292" s="519" t="s">
        <v>16</v>
      </c>
      <c r="E292" s="519" t="s">
        <v>146</v>
      </c>
      <c r="F292" s="881">
        <v>265670.97029999999</v>
      </c>
      <c r="G292" s="881">
        <v>107096.8024</v>
      </c>
      <c r="H292" s="880">
        <v>7.0080061580210904</v>
      </c>
      <c r="I292"/>
      <c r="J292"/>
      <c r="K292"/>
      <c r="L292"/>
    </row>
    <row r="293" spans="1:12" x14ac:dyDescent="0.25">
      <c r="A293" s="519" t="s">
        <v>197</v>
      </c>
      <c r="B293" s="519" t="s">
        <v>284</v>
      </c>
      <c r="C293" s="519" t="s">
        <v>282</v>
      </c>
      <c r="D293" s="519" t="s">
        <v>16</v>
      </c>
      <c r="E293" s="519" t="s">
        <v>149</v>
      </c>
      <c r="F293" s="881">
        <v>294630.11940000003</v>
      </c>
      <c r="G293" s="881">
        <v>173008.1765</v>
      </c>
      <c r="H293" s="880">
        <v>14.3430788381231</v>
      </c>
      <c r="I293"/>
      <c r="J293"/>
      <c r="K293"/>
      <c r="L293"/>
    </row>
    <row r="294" spans="1:12" x14ac:dyDescent="0.25">
      <c r="A294" s="519" t="s">
        <v>197</v>
      </c>
      <c r="B294" s="519" t="s">
        <v>284</v>
      </c>
      <c r="C294" s="519" t="s">
        <v>282</v>
      </c>
      <c r="D294" s="519" t="s">
        <v>16</v>
      </c>
      <c r="E294" s="519" t="s">
        <v>148</v>
      </c>
      <c r="F294" s="881">
        <v>258058.79940000002</v>
      </c>
      <c r="G294" s="881">
        <v>105767.285</v>
      </c>
      <c r="H294" s="880">
        <v>9.1550968811823399</v>
      </c>
      <c r="I294"/>
      <c r="J294"/>
      <c r="K294"/>
      <c r="L294"/>
    </row>
    <row r="295" spans="1:12" x14ac:dyDescent="0.25">
      <c r="A295" s="519" t="s">
        <v>197</v>
      </c>
      <c r="B295" s="519" t="s">
        <v>284</v>
      </c>
      <c r="C295" s="519" t="s">
        <v>282</v>
      </c>
      <c r="D295" s="519" t="s">
        <v>16</v>
      </c>
      <c r="E295" s="519" t="s">
        <v>152</v>
      </c>
      <c r="F295" s="881">
        <v>263433.51120000001</v>
      </c>
      <c r="G295" s="881">
        <v>137845.96170000001</v>
      </c>
      <c r="H295" s="880">
        <v>6.5168891577819803</v>
      </c>
      <c r="I295"/>
      <c r="J295"/>
      <c r="K295"/>
      <c r="L295"/>
    </row>
    <row r="296" spans="1:12" x14ac:dyDescent="0.25">
      <c r="A296" s="519" t="s">
        <v>197</v>
      </c>
      <c r="B296" s="519" t="s">
        <v>284</v>
      </c>
      <c r="C296" s="519" t="s">
        <v>282</v>
      </c>
      <c r="D296" s="519" t="s">
        <v>16</v>
      </c>
      <c r="E296" s="519" t="s">
        <v>155</v>
      </c>
      <c r="F296" s="881">
        <v>251637.6795</v>
      </c>
      <c r="G296" s="881">
        <v>121755.61840000001</v>
      </c>
      <c r="H296" s="880">
        <v>8.9388245810866707</v>
      </c>
      <c r="I296"/>
      <c r="J296"/>
      <c r="K296"/>
      <c r="L296"/>
    </row>
    <row r="297" spans="1:12" x14ac:dyDescent="0.25">
      <c r="A297" s="519" t="s">
        <v>197</v>
      </c>
      <c r="B297" s="519" t="s">
        <v>284</v>
      </c>
      <c r="C297" s="519" t="s">
        <v>282</v>
      </c>
      <c r="D297" s="519" t="s">
        <v>16</v>
      </c>
      <c r="E297" s="519" t="s">
        <v>153</v>
      </c>
      <c r="F297" s="881">
        <v>242340.27420000001</v>
      </c>
      <c r="G297" s="881">
        <v>102411.75230000001</v>
      </c>
      <c r="H297" s="880">
        <v>8.5035033314813706</v>
      </c>
      <c r="I297"/>
      <c r="J297"/>
      <c r="K297"/>
      <c r="L297"/>
    </row>
    <row r="298" spans="1:12" x14ac:dyDescent="0.25">
      <c r="A298" s="519" t="s">
        <v>197</v>
      </c>
      <c r="B298" s="519" t="s">
        <v>284</v>
      </c>
      <c r="C298" s="519" t="s">
        <v>282</v>
      </c>
      <c r="D298" s="519" t="s">
        <v>17</v>
      </c>
      <c r="E298" s="519" t="s">
        <v>146</v>
      </c>
      <c r="F298" s="881">
        <v>394894.04250000004</v>
      </c>
      <c r="G298" s="881">
        <v>139655.18610000002</v>
      </c>
      <c r="H298" s="880">
        <v>12.3057428491816</v>
      </c>
      <c r="I298"/>
      <c r="J298"/>
      <c r="K298"/>
      <c r="L298"/>
    </row>
    <row r="299" spans="1:12" x14ac:dyDescent="0.25">
      <c r="A299" s="519" t="s">
        <v>197</v>
      </c>
      <c r="B299" s="519" t="s">
        <v>284</v>
      </c>
      <c r="C299" s="519" t="s">
        <v>282</v>
      </c>
      <c r="D299" s="519" t="s">
        <v>17</v>
      </c>
      <c r="E299" s="519" t="s">
        <v>149</v>
      </c>
      <c r="F299" s="881">
        <v>297244.15409999999</v>
      </c>
      <c r="G299" s="881">
        <v>151362.7561</v>
      </c>
      <c r="H299" s="880">
        <v>0</v>
      </c>
      <c r="I299"/>
      <c r="J299"/>
      <c r="K299"/>
      <c r="L299"/>
    </row>
    <row r="300" spans="1:12" x14ac:dyDescent="0.25">
      <c r="A300" s="519" t="s">
        <v>197</v>
      </c>
      <c r="B300" s="519" t="s">
        <v>284</v>
      </c>
      <c r="C300" s="519" t="s">
        <v>1</v>
      </c>
      <c r="D300" s="519" t="s">
        <v>70</v>
      </c>
      <c r="E300" s="519" t="s">
        <v>146</v>
      </c>
      <c r="F300" s="881">
        <v>83791.15860000001</v>
      </c>
      <c r="G300" s="881">
        <v>60413.303599999999</v>
      </c>
      <c r="H300" s="880">
        <v>6.0664328574822903</v>
      </c>
      <c r="I300"/>
      <c r="J300"/>
      <c r="K300"/>
      <c r="L300"/>
    </row>
    <row r="301" spans="1:12" x14ac:dyDescent="0.25">
      <c r="A301" s="519" t="s">
        <v>197</v>
      </c>
      <c r="B301" s="519" t="s">
        <v>284</v>
      </c>
      <c r="C301" s="519" t="s">
        <v>1</v>
      </c>
      <c r="D301" s="519" t="s">
        <v>70</v>
      </c>
      <c r="E301" s="519" t="s">
        <v>149</v>
      </c>
      <c r="F301" s="881">
        <v>70407.296100000007</v>
      </c>
      <c r="G301" s="881">
        <v>65887.431700000001</v>
      </c>
      <c r="H301" s="880">
        <v>7.5500261359968599</v>
      </c>
      <c r="I301"/>
      <c r="J301"/>
      <c r="K301"/>
      <c r="L301"/>
    </row>
    <row r="302" spans="1:12" x14ac:dyDescent="0.25">
      <c r="A302" s="519" t="s">
        <v>197</v>
      </c>
      <c r="B302" s="519" t="s">
        <v>284</v>
      </c>
      <c r="C302" s="519" t="s">
        <v>1</v>
      </c>
      <c r="D302" s="519" t="s">
        <v>70</v>
      </c>
      <c r="E302" s="519" t="s">
        <v>148</v>
      </c>
      <c r="F302" s="881">
        <v>84460.377300000007</v>
      </c>
      <c r="G302" s="881">
        <v>57110.505800000006</v>
      </c>
      <c r="H302" s="880">
        <v>6.2993438884442101</v>
      </c>
      <c r="I302"/>
      <c r="J302"/>
      <c r="K302"/>
      <c r="L302"/>
    </row>
    <row r="303" spans="1:12" x14ac:dyDescent="0.25">
      <c r="A303" s="519" t="s">
        <v>197</v>
      </c>
      <c r="B303" s="519" t="s">
        <v>284</v>
      </c>
      <c r="C303" s="519" t="s">
        <v>1</v>
      </c>
      <c r="D303" s="519" t="s">
        <v>70</v>
      </c>
      <c r="E303" s="519" t="s">
        <v>152</v>
      </c>
      <c r="F303" s="881">
        <v>103112.34570000001</v>
      </c>
      <c r="G303" s="881">
        <v>61114.576700000005</v>
      </c>
      <c r="H303" s="880">
        <v>6.52492806254212</v>
      </c>
      <c r="I303"/>
      <c r="J303"/>
      <c r="K303"/>
      <c r="L303"/>
    </row>
    <row r="304" spans="1:12" x14ac:dyDescent="0.25">
      <c r="A304" s="519" t="s">
        <v>197</v>
      </c>
      <c r="B304" s="519" t="s">
        <v>284</v>
      </c>
      <c r="C304" s="519" t="s">
        <v>1</v>
      </c>
      <c r="D304" s="519" t="s">
        <v>70</v>
      </c>
      <c r="E304" s="519" t="s">
        <v>155</v>
      </c>
      <c r="F304" s="881">
        <v>116220.16560000001</v>
      </c>
      <c r="G304" s="881">
        <v>27389.312300000001</v>
      </c>
      <c r="H304" s="880">
        <v>14.113811432011</v>
      </c>
      <c r="I304"/>
      <c r="J304"/>
      <c r="K304"/>
      <c r="L304"/>
    </row>
    <row r="305" spans="1:12" x14ac:dyDescent="0.25">
      <c r="A305" s="519" t="s">
        <v>197</v>
      </c>
      <c r="B305" s="519" t="s">
        <v>284</v>
      </c>
      <c r="C305" s="519" t="s">
        <v>1</v>
      </c>
      <c r="D305" s="519" t="s">
        <v>70</v>
      </c>
      <c r="E305" s="519" t="s">
        <v>153</v>
      </c>
      <c r="F305" s="881">
        <v>126593.01360000001</v>
      </c>
      <c r="G305" s="881">
        <v>36197.661800000002</v>
      </c>
      <c r="H305" s="880">
        <v>12.436246278378</v>
      </c>
      <c r="I305"/>
      <c r="J305"/>
      <c r="K305"/>
      <c r="L305"/>
    </row>
    <row r="306" spans="1:12" x14ac:dyDescent="0.25">
      <c r="A306" s="519" t="s">
        <v>197</v>
      </c>
      <c r="B306" s="519" t="s">
        <v>284</v>
      </c>
      <c r="C306" s="519" t="s">
        <v>1</v>
      </c>
      <c r="D306" s="519" t="s">
        <v>16</v>
      </c>
      <c r="E306" s="519" t="s">
        <v>146</v>
      </c>
      <c r="F306" s="881">
        <v>120541.18740000001</v>
      </c>
      <c r="G306" s="881">
        <v>55391.874600000003</v>
      </c>
      <c r="H306" s="880">
        <v>13.213100791971801</v>
      </c>
      <c r="I306"/>
      <c r="J306"/>
      <c r="K306"/>
      <c r="L306"/>
    </row>
    <row r="307" spans="1:12" x14ac:dyDescent="0.25">
      <c r="A307" s="519" t="s">
        <v>197</v>
      </c>
      <c r="B307" s="519" t="s">
        <v>284</v>
      </c>
      <c r="C307" s="519" t="s">
        <v>1</v>
      </c>
      <c r="D307" s="519" t="s">
        <v>16</v>
      </c>
      <c r="E307" s="519" t="s">
        <v>149</v>
      </c>
      <c r="F307" s="881">
        <v>86720.0913</v>
      </c>
      <c r="G307" s="881">
        <v>73670.565100000007</v>
      </c>
      <c r="H307" s="880">
        <v>12.222677301041701</v>
      </c>
      <c r="I307"/>
      <c r="J307"/>
      <c r="K307"/>
      <c r="L307"/>
    </row>
    <row r="308" spans="1:12" x14ac:dyDescent="0.25">
      <c r="A308" s="519" t="s">
        <v>197</v>
      </c>
      <c r="B308" s="519" t="s">
        <v>284</v>
      </c>
      <c r="C308" s="519" t="s">
        <v>1</v>
      </c>
      <c r="D308" s="519" t="s">
        <v>16</v>
      </c>
      <c r="E308" s="519" t="s">
        <v>148</v>
      </c>
      <c r="F308" s="881">
        <v>115431.3861</v>
      </c>
      <c r="G308" s="881">
        <v>45615.285800000005</v>
      </c>
      <c r="H308" s="880">
        <v>7.3599880971060703</v>
      </c>
      <c r="I308"/>
      <c r="J308"/>
      <c r="K308"/>
      <c r="L308"/>
    </row>
    <row r="309" spans="1:12" x14ac:dyDescent="0.25">
      <c r="A309" s="519" t="s">
        <v>197</v>
      </c>
      <c r="B309" s="519" t="s">
        <v>284</v>
      </c>
      <c r="C309" s="519" t="s">
        <v>1</v>
      </c>
      <c r="D309" s="519" t="s">
        <v>16</v>
      </c>
      <c r="E309" s="519" t="s">
        <v>152</v>
      </c>
      <c r="F309" s="881">
        <v>156087.4614</v>
      </c>
      <c r="G309" s="881">
        <v>105842.4957</v>
      </c>
      <c r="H309" s="880">
        <v>15.143203789554901</v>
      </c>
      <c r="I309"/>
      <c r="J309"/>
      <c r="K309"/>
      <c r="L309"/>
    </row>
    <row r="310" spans="1:12" x14ac:dyDescent="0.25">
      <c r="A310" s="519" t="s">
        <v>197</v>
      </c>
      <c r="B310" s="519" t="s">
        <v>284</v>
      </c>
      <c r="C310" s="519" t="s">
        <v>1</v>
      </c>
      <c r="D310" s="519" t="s">
        <v>16</v>
      </c>
      <c r="E310" s="519" t="s">
        <v>155</v>
      </c>
      <c r="F310" s="881">
        <v>127291.50870000001</v>
      </c>
      <c r="G310" s="881">
        <v>21003.118600000002</v>
      </c>
      <c r="H310" s="880">
        <v>13.6207892387143</v>
      </c>
      <c r="I310"/>
      <c r="J310"/>
      <c r="K310"/>
      <c r="L310"/>
    </row>
    <row r="311" spans="1:12" x14ac:dyDescent="0.25">
      <c r="A311" s="519" t="s">
        <v>197</v>
      </c>
      <c r="B311" s="519" t="s">
        <v>284</v>
      </c>
      <c r="C311" s="519" t="s">
        <v>1</v>
      </c>
      <c r="D311" s="519" t="s">
        <v>16</v>
      </c>
      <c r="E311" s="519" t="s">
        <v>153</v>
      </c>
      <c r="F311" s="881">
        <v>130286.78760000001</v>
      </c>
      <c r="G311" s="881">
        <v>19578.130499999999</v>
      </c>
      <c r="H311" s="880">
        <v>9.0356074932028605</v>
      </c>
      <c r="I311"/>
      <c r="J311"/>
      <c r="K311"/>
      <c r="L311"/>
    </row>
    <row r="312" spans="1:12" x14ac:dyDescent="0.25">
      <c r="A312" s="519" t="s">
        <v>197</v>
      </c>
      <c r="B312" s="519" t="s">
        <v>284</v>
      </c>
      <c r="C312" s="519" t="s">
        <v>1</v>
      </c>
      <c r="D312" s="519" t="s">
        <v>17</v>
      </c>
      <c r="E312" s="519" t="s">
        <v>146</v>
      </c>
      <c r="F312" s="881">
        <v>148608.05730000001</v>
      </c>
      <c r="G312" s="881">
        <v>66771.374800000005</v>
      </c>
      <c r="H312" s="880">
        <v>12.4431722980567</v>
      </c>
      <c r="I312"/>
      <c r="J312"/>
      <c r="K312"/>
      <c r="L312"/>
    </row>
    <row r="313" spans="1:12" x14ac:dyDescent="0.25">
      <c r="A313" s="519" t="s">
        <v>197</v>
      </c>
      <c r="B313" s="519" t="s">
        <v>284</v>
      </c>
      <c r="C313" s="519" t="s">
        <v>1</v>
      </c>
      <c r="D313" s="519" t="s">
        <v>17</v>
      </c>
      <c r="E313" s="519" t="s">
        <v>149</v>
      </c>
      <c r="F313" s="881">
        <v>131886.27600000001</v>
      </c>
      <c r="G313" s="881">
        <v>56101.225300000006</v>
      </c>
      <c r="H313" s="880">
        <v>0</v>
      </c>
      <c r="I313"/>
      <c r="J313"/>
      <c r="K313"/>
      <c r="L313"/>
    </row>
    <row r="314" spans="1:12" x14ac:dyDescent="0.25">
      <c r="A314" s="519" t="s">
        <v>197</v>
      </c>
      <c r="B314" s="519" t="s">
        <v>284</v>
      </c>
      <c r="C314" s="519" t="s">
        <v>1838</v>
      </c>
      <c r="D314" s="519" t="s">
        <v>70</v>
      </c>
      <c r="E314" s="519" t="s">
        <v>153</v>
      </c>
      <c r="F314" s="881">
        <v>107.58240000000001</v>
      </c>
      <c r="G314" s="881">
        <v>2016.2833000000001</v>
      </c>
      <c r="H314" s="880">
        <v>18.447821785715899</v>
      </c>
      <c r="I314"/>
      <c r="J314"/>
      <c r="K314"/>
      <c r="L314"/>
    </row>
    <row r="315" spans="1:12" x14ac:dyDescent="0.25">
      <c r="A315" s="519" t="s">
        <v>197</v>
      </c>
      <c r="B315" s="519" t="s">
        <v>284</v>
      </c>
      <c r="C315" s="519" t="s">
        <v>1838</v>
      </c>
      <c r="D315" s="519" t="s">
        <v>16</v>
      </c>
      <c r="E315" s="519" t="s">
        <v>146</v>
      </c>
      <c r="F315" s="881">
        <v>161.37360000000001</v>
      </c>
      <c r="G315" s="881">
        <v>-44.969799999999999</v>
      </c>
      <c r="H315" s="880">
        <v>13.064614279424401</v>
      </c>
      <c r="I315"/>
      <c r="J315"/>
      <c r="K315"/>
      <c r="L315"/>
    </row>
    <row r="316" spans="1:12" x14ac:dyDescent="0.25">
      <c r="A316" s="519" t="s">
        <v>197</v>
      </c>
      <c r="B316" s="519" t="s">
        <v>284</v>
      </c>
      <c r="C316" s="519" t="s">
        <v>1838</v>
      </c>
      <c r="D316" s="519" t="s">
        <v>16</v>
      </c>
      <c r="E316" s="519" t="s">
        <v>149</v>
      </c>
      <c r="F316" s="881">
        <v>80.686800000000005</v>
      </c>
      <c r="G316" s="881">
        <v>35.781800000000004</v>
      </c>
      <c r="H316" s="880">
        <v>11.717601152535501</v>
      </c>
      <c r="I316"/>
      <c r="J316"/>
      <c r="K316"/>
      <c r="L316"/>
    </row>
    <row r="317" spans="1:12" x14ac:dyDescent="0.25">
      <c r="A317" s="519" t="s">
        <v>197</v>
      </c>
      <c r="B317" s="519" t="s">
        <v>284</v>
      </c>
      <c r="C317" s="519" t="s">
        <v>1838</v>
      </c>
      <c r="D317" s="519" t="s">
        <v>16</v>
      </c>
      <c r="E317" s="519" t="s">
        <v>148</v>
      </c>
      <c r="F317" s="881">
        <v>0</v>
      </c>
      <c r="G317" s="881">
        <v>8.6306000000000012</v>
      </c>
      <c r="H317" s="880">
        <v>0</v>
      </c>
      <c r="I317"/>
      <c r="J317"/>
      <c r="K317"/>
      <c r="L317"/>
    </row>
    <row r="318" spans="1:12" x14ac:dyDescent="0.25">
      <c r="A318" s="519" t="s">
        <v>197</v>
      </c>
      <c r="B318" s="519" t="s">
        <v>284</v>
      </c>
      <c r="C318" s="519" t="s">
        <v>1838</v>
      </c>
      <c r="D318" s="519" t="s">
        <v>16</v>
      </c>
      <c r="E318" s="519" t="s">
        <v>152</v>
      </c>
      <c r="F318" s="881">
        <v>370.42830000000004</v>
      </c>
      <c r="G318" s="881">
        <v>778.93349999999998</v>
      </c>
      <c r="H318" s="880">
        <v>4.2318061804857399</v>
      </c>
      <c r="I318"/>
      <c r="J318"/>
      <c r="K318"/>
      <c r="L318"/>
    </row>
    <row r="319" spans="1:12" x14ac:dyDescent="0.25">
      <c r="A319" s="519" t="s">
        <v>197</v>
      </c>
      <c r="B319" s="519" t="s">
        <v>284</v>
      </c>
      <c r="C319" s="519" t="s">
        <v>1838</v>
      </c>
      <c r="D319" s="519" t="s">
        <v>16</v>
      </c>
      <c r="E319" s="519" t="s">
        <v>155</v>
      </c>
      <c r="F319" s="881">
        <v>1697.9289000000001</v>
      </c>
      <c r="G319" s="881">
        <v>15391.8313</v>
      </c>
      <c r="H319" s="880">
        <v>4.3341339822959002</v>
      </c>
      <c r="I319"/>
      <c r="J319"/>
      <c r="K319"/>
      <c r="L319"/>
    </row>
    <row r="320" spans="1:12" x14ac:dyDescent="0.25">
      <c r="A320" s="519" t="s">
        <v>197</v>
      </c>
      <c r="B320" s="519" t="s">
        <v>284</v>
      </c>
      <c r="C320" s="519" t="s">
        <v>1838</v>
      </c>
      <c r="D320" s="519" t="s">
        <v>16</v>
      </c>
      <c r="E320" s="519" t="s">
        <v>153</v>
      </c>
      <c r="F320" s="881">
        <v>7895.3187000000007</v>
      </c>
      <c r="G320" s="881">
        <v>3603.2895000000003</v>
      </c>
      <c r="H320" s="880">
        <v>10.347037174767701</v>
      </c>
      <c r="I320"/>
      <c r="J320"/>
      <c r="K320"/>
      <c r="L320"/>
    </row>
    <row r="321" spans="1:12" x14ac:dyDescent="0.25">
      <c r="A321" s="519" t="s">
        <v>197</v>
      </c>
      <c r="B321" s="519" t="s">
        <v>284</v>
      </c>
      <c r="C321" s="519" t="s">
        <v>1838</v>
      </c>
      <c r="D321" s="519" t="s">
        <v>17</v>
      </c>
      <c r="E321" s="519" t="s">
        <v>146</v>
      </c>
      <c r="F321" s="881">
        <v>10367.826000000001</v>
      </c>
      <c r="G321" s="881">
        <v>2861.8069</v>
      </c>
      <c r="H321" s="880">
        <v>4.8122971899045197</v>
      </c>
      <c r="I321"/>
      <c r="J321"/>
      <c r="K321"/>
      <c r="L321"/>
    </row>
    <row r="322" spans="1:12" x14ac:dyDescent="0.25">
      <c r="A322" s="519" t="s">
        <v>197</v>
      </c>
      <c r="B322" s="519" t="s">
        <v>284</v>
      </c>
      <c r="C322" s="519" t="s">
        <v>1838</v>
      </c>
      <c r="D322" s="519" t="s">
        <v>17</v>
      </c>
      <c r="E322" s="519" t="s">
        <v>149</v>
      </c>
      <c r="F322" s="881">
        <v>62062.545600000005</v>
      </c>
      <c r="G322" s="881">
        <v>14899.4617</v>
      </c>
      <c r="H322" s="880">
        <v>0</v>
      </c>
      <c r="I322"/>
      <c r="J322"/>
      <c r="K322"/>
      <c r="L322"/>
    </row>
    <row r="323" spans="1:12" x14ac:dyDescent="0.25">
      <c r="A323" s="519" t="s">
        <v>197</v>
      </c>
      <c r="B323" s="519" t="s">
        <v>284</v>
      </c>
      <c r="C323" s="519" t="s">
        <v>290</v>
      </c>
      <c r="D323" s="519" t="s">
        <v>70</v>
      </c>
      <c r="E323" s="519" t="s">
        <v>150</v>
      </c>
      <c r="F323" s="881">
        <v>49569.055800000002</v>
      </c>
      <c r="G323" s="881">
        <v>23348.127</v>
      </c>
      <c r="H323" s="880">
        <v>4.8207077662978701</v>
      </c>
      <c r="I323"/>
      <c r="J323"/>
      <c r="K323"/>
      <c r="L323"/>
    </row>
    <row r="324" spans="1:12" x14ac:dyDescent="0.25">
      <c r="A324" s="519" t="s">
        <v>197</v>
      </c>
      <c r="B324" s="519" t="s">
        <v>284</v>
      </c>
      <c r="C324" s="519" t="s">
        <v>290</v>
      </c>
      <c r="D324" s="519" t="s">
        <v>70</v>
      </c>
      <c r="E324" s="519" t="s">
        <v>154</v>
      </c>
      <c r="F324" s="881">
        <v>12195.8619</v>
      </c>
      <c r="G324" s="881">
        <v>21822.231500000002</v>
      </c>
      <c r="H324" s="880">
        <v>33.313959753156503</v>
      </c>
      <c r="I324"/>
      <c r="J324"/>
      <c r="K324"/>
      <c r="L324"/>
    </row>
    <row r="325" spans="1:12" x14ac:dyDescent="0.25">
      <c r="A325" s="519" t="s">
        <v>197</v>
      </c>
      <c r="B325" s="519" t="s">
        <v>284</v>
      </c>
      <c r="C325" s="519" t="s">
        <v>290</v>
      </c>
      <c r="D325" s="519" t="s">
        <v>16</v>
      </c>
      <c r="E325" s="519" t="s">
        <v>144</v>
      </c>
      <c r="F325" s="881">
        <v>5924.4999000000007</v>
      </c>
      <c r="G325" s="881">
        <v>-448.70030000000003</v>
      </c>
      <c r="H325" s="880">
        <v>26.259955539636401</v>
      </c>
      <c r="I325"/>
      <c r="J325"/>
      <c r="K325"/>
      <c r="L325"/>
    </row>
    <row r="326" spans="1:12" x14ac:dyDescent="0.25">
      <c r="A326" s="519" t="s">
        <v>197</v>
      </c>
      <c r="B326" s="519" t="s">
        <v>284</v>
      </c>
      <c r="C326" s="519" t="s">
        <v>290</v>
      </c>
      <c r="D326" s="519" t="s">
        <v>16</v>
      </c>
      <c r="E326" s="519" t="s">
        <v>145</v>
      </c>
      <c r="F326" s="881">
        <v>3576.8451</v>
      </c>
      <c r="G326" s="881">
        <v>900.55670000000009</v>
      </c>
      <c r="H326" s="880">
        <v>17.234126347224802</v>
      </c>
      <c r="I326"/>
      <c r="J326"/>
      <c r="K326"/>
      <c r="L326"/>
    </row>
    <row r="327" spans="1:12" x14ac:dyDescent="0.25">
      <c r="A327" s="519" t="s">
        <v>197</v>
      </c>
      <c r="B327" s="519" t="s">
        <v>284</v>
      </c>
      <c r="C327" s="519" t="s">
        <v>290</v>
      </c>
      <c r="D327" s="519" t="s">
        <v>16</v>
      </c>
      <c r="E327" s="519" t="s">
        <v>147</v>
      </c>
      <c r="F327" s="881">
        <v>2179.1295</v>
      </c>
      <c r="G327" s="881">
        <v>166.62390000000002</v>
      </c>
      <c r="H327" s="880">
        <v>7.2140935719907597</v>
      </c>
      <c r="I327"/>
      <c r="J327"/>
      <c r="K327"/>
      <c r="L327"/>
    </row>
    <row r="328" spans="1:12" x14ac:dyDescent="0.25">
      <c r="A328" s="519" t="s">
        <v>197</v>
      </c>
      <c r="B328" s="519" t="s">
        <v>284</v>
      </c>
      <c r="C328" s="519" t="s">
        <v>290</v>
      </c>
      <c r="D328" s="519" t="s">
        <v>16</v>
      </c>
      <c r="E328" s="519" t="s">
        <v>151</v>
      </c>
      <c r="F328" s="881">
        <v>11666.887200000001</v>
      </c>
      <c r="G328" s="881">
        <v>2059.4261000000001</v>
      </c>
      <c r="H328" s="880">
        <v>2.9619232806742701</v>
      </c>
      <c r="I328"/>
      <c r="J328"/>
      <c r="K328"/>
      <c r="L328"/>
    </row>
    <row r="329" spans="1:12" x14ac:dyDescent="0.25">
      <c r="A329" s="519" t="s">
        <v>197</v>
      </c>
      <c r="B329" s="519" t="s">
        <v>284</v>
      </c>
      <c r="C329" s="519" t="s">
        <v>290</v>
      </c>
      <c r="D329" s="519" t="s">
        <v>16</v>
      </c>
      <c r="E329" s="519" t="s">
        <v>150</v>
      </c>
      <c r="F329" s="881">
        <v>23721.351900000001</v>
      </c>
      <c r="G329" s="881">
        <v>36413.514500000005</v>
      </c>
      <c r="H329" s="880">
        <v>3.25811156643192</v>
      </c>
      <c r="I329"/>
      <c r="J329"/>
      <c r="K329"/>
      <c r="L329"/>
    </row>
    <row r="330" spans="1:12" x14ac:dyDescent="0.25">
      <c r="A330" s="519" t="s">
        <v>197</v>
      </c>
      <c r="B330" s="519" t="s">
        <v>284</v>
      </c>
      <c r="C330" s="519" t="s">
        <v>290</v>
      </c>
      <c r="D330" s="519" t="s">
        <v>16</v>
      </c>
      <c r="E330" s="519" t="s">
        <v>154</v>
      </c>
      <c r="F330" s="881">
        <v>14910.9876</v>
      </c>
      <c r="G330" s="881">
        <v>10899.189200000001</v>
      </c>
      <c r="H330" s="880">
        <v>-99.852371098378001</v>
      </c>
      <c r="I330"/>
      <c r="J330"/>
      <c r="K330"/>
      <c r="L330"/>
    </row>
    <row r="331" spans="1:12" x14ac:dyDescent="0.25">
      <c r="A331" s="519" t="s">
        <v>197</v>
      </c>
      <c r="B331" s="519" t="s">
        <v>284</v>
      </c>
      <c r="C331" s="519" t="s">
        <v>290</v>
      </c>
      <c r="D331" s="519" t="s">
        <v>17</v>
      </c>
      <c r="E331" s="519" t="s">
        <v>144</v>
      </c>
      <c r="F331" s="881">
        <v>6026.7906000000003</v>
      </c>
      <c r="G331" s="881">
        <v>182.8347</v>
      </c>
      <c r="H331" s="880">
        <v>-80.7093552857513</v>
      </c>
      <c r="I331"/>
      <c r="J331"/>
      <c r="K331"/>
      <c r="L331"/>
    </row>
    <row r="332" spans="1:12" x14ac:dyDescent="0.25">
      <c r="A332" s="519" t="s">
        <v>197</v>
      </c>
      <c r="B332" s="519" t="s">
        <v>284</v>
      </c>
      <c r="C332" s="519" t="s">
        <v>290</v>
      </c>
      <c r="D332" s="519" t="s">
        <v>17</v>
      </c>
      <c r="E332" s="519" t="s">
        <v>145</v>
      </c>
      <c r="F332" s="881">
        <v>5091.1455000000005</v>
      </c>
      <c r="G332" s="881">
        <v>306.09219999999999</v>
      </c>
      <c r="H332" s="880">
        <v>-79.171358365531901</v>
      </c>
      <c r="I332"/>
      <c r="J332"/>
      <c r="K332"/>
      <c r="L332"/>
    </row>
    <row r="333" spans="1:12" x14ac:dyDescent="0.25">
      <c r="A333" s="519" t="s">
        <v>197</v>
      </c>
      <c r="B333" s="519" t="s">
        <v>284</v>
      </c>
      <c r="C333" s="519" t="s">
        <v>288</v>
      </c>
      <c r="D333" s="519" t="s">
        <v>70</v>
      </c>
      <c r="E333" s="519" t="s">
        <v>144</v>
      </c>
      <c r="F333" s="881">
        <v>33025.890299999999</v>
      </c>
      <c r="G333" s="881">
        <v>11239.054600000001</v>
      </c>
      <c r="H333" s="880">
        <v>7.0216477779362396</v>
      </c>
      <c r="I333"/>
      <c r="J333"/>
      <c r="K333"/>
      <c r="L333"/>
    </row>
    <row r="334" spans="1:12" x14ac:dyDescent="0.25">
      <c r="A334" s="519" t="s">
        <v>197</v>
      </c>
      <c r="B334" s="519" t="s">
        <v>284</v>
      </c>
      <c r="C334" s="519" t="s">
        <v>288</v>
      </c>
      <c r="D334" s="519" t="s">
        <v>70</v>
      </c>
      <c r="E334" s="519" t="s">
        <v>145</v>
      </c>
      <c r="F334" s="881">
        <v>22278.754500000003</v>
      </c>
      <c r="G334" s="881">
        <v>20329.2029</v>
      </c>
      <c r="H334" s="880">
        <v>3.1835755547426499</v>
      </c>
      <c r="I334"/>
      <c r="J334"/>
      <c r="K334"/>
      <c r="L334"/>
    </row>
    <row r="335" spans="1:12" x14ac:dyDescent="0.25">
      <c r="A335" s="519" t="s">
        <v>197</v>
      </c>
      <c r="B335" s="519" t="s">
        <v>284</v>
      </c>
      <c r="C335" s="519" t="s">
        <v>288</v>
      </c>
      <c r="D335" s="519" t="s">
        <v>70</v>
      </c>
      <c r="E335" s="519" t="s">
        <v>147</v>
      </c>
      <c r="F335" s="881">
        <v>25311.521700000001</v>
      </c>
      <c r="G335" s="881">
        <v>20429.6093</v>
      </c>
      <c r="H335" s="880">
        <v>11.588719520927</v>
      </c>
      <c r="I335"/>
      <c r="J335"/>
      <c r="K335"/>
      <c r="L335"/>
    </row>
    <row r="336" spans="1:12" x14ac:dyDescent="0.25">
      <c r="A336" s="519" t="s">
        <v>197</v>
      </c>
      <c r="B336" s="519" t="s">
        <v>284</v>
      </c>
      <c r="C336" s="519" t="s">
        <v>288</v>
      </c>
      <c r="D336" s="519" t="s">
        <v>70</v>
      </c>
      <c r="E336" s="519" t="s">
        <v>151</v>
      </c>
      <c r="F336" s="881">
        <v>27353.308800000003</v>
      </c>
      <c r="G336" s="881">
        <v>11412.065900000001</v>
      </c>
      <c r="H336" s="880">
        <v>7.2139972960279497</v>
      </c>
      <c r="I336"/>
      <c r="J336"/>
      <c r="K336"/>
      <c r="L336"/>
    </row>
    <row r="337" spans="1:12" x14ac:dyDescent="0.25">
      <c r="A337" s="519" t="s">
        <v>197</v>
      </c>
      <c r="B337" s="519" t="s">
        <v>284</v>
      </c>
      <c r="C337" s="519" t="s">
        <v>288</v>
      </c>
      <c r="D337" s="519" t="s">
        <v>70</v>
      </c>
      <c r="E337" s="519" t="s">
        <v>150</v>
      </c>
      <c r="F337" s="881">
        <v>38072.953800000003</v>
      </c>
      <c r="G337" s="881">
        <v>22758.223400000003</v>
      </c>
      <c r="H337" s="880">
        <v>5.99015472670692</v>
      </c>
      <c r="I337"/>
      <c r="J337"/>
      <c r="K337"/>
      <c r="L337"/>
    </row>
    <row r="338" spans="1:12" x14ac:dyDescent="0.25">
      <c r="A338" s="519" t="s">
        <v>197</v>
      </c>
      <c r="B338" s="519" t="s">
        <v>284</v>
      </c>
      <c r="C338" s="519" t="s">
        <v>288</v>
      </c>
      <c r="D338" s="519" t="s">
        <v>70</v>
      </c>
      <c r="E338" s="519" t="s">
        <v>154</v>
      </c>
      <c r="F338" s="881">
        <v>30601.547700000003</v>
      </c>
      <c r="G338" s="881">
        <v>21550.022400000002</v>
      </c>
      <c r="H338" s="880">
        <v>8.9930676252081394</v>
      </c>
      <c r="I338"/>
      <c r="J338"/>
      <c r="K338"/>
      <c r="L338"/>
    </row>
    <row r="339" spans="1:12" x14ac:dyDescent="0.25">
      <c r="A339" s="519" t="s">
        <v>197</v>
      </c>
      <c r="B339" s="519" t="s">
        <v>284</v>
      </c>
      <c r="C339" s="519" t="s">
        <v>288</v>
      </c>
      <c r="D339" s="519" t="s">
        <v>16</v>
      </c>
      <c r="E339" s="519" t="s">
        <v>144</v>
      </c>
      <c r="F339" s="881">
        <v>35689.577700000002</v>
      </c>
      <c r="G339" s="881">
        <v>13978.954600000001</v>
      </c>
      <c r="H339" s="880">
        <v>7.2807643596663301</v>
      </c>
      <c r="I339"/>
      <c r="J339"/>
      <c r="K339"/>
      <c r="L339"/>
    </row>
    <row r="340" spans="1:12" x14ac:dyDescent="0.25">
      <c r="A340" s="519" t="s">
        <v>197</v>
      </c>
      <c r="B340" s="519" t="s">
        <v>284</v>
      </c>
      <c r="C340" s="519" t="s">
        <v>288</v>
      </c>
      <c r="D340" s="519" t="s">
        <v>16</v>
      </c>
      <c r="E340" s="519" t="s">
        <v>145</v>
      </c>
      <c r="F340" s="881">
        <v>33790.0527</v>
      </c>
      <c r="G340" s="881">
        <v>23481.887900000002</v>
      </c>
      <c r="H340" s="880">
        <v>9.7936444736834307</v>
      </c>
      <c r="I340"/>
      <c r="J340"/>
      <c r="K340"/>
      <c r="L340"/>
    </row>
    <row r="341" spans="1:12" x14ac:dyDescent="0.25">
      <c r="A341" s="519" t="s">
        <v>197</v>
      </c>
      <c r="B341" s="519" t="s">
        <v>284</v>
      </c>
      <c r="C341" s="519" t="s">
        <v>288</v>
      </c>
      <c r="D341" s="519" t="s">
        <v>16</v>
      </c>
      <c r="E341" s="519" t="s">
        <v>147</v>
      </c>
      <c r="F341" s="881">
        <v>25268.648700000002</v>
      </c>
      <c r="G341" s="881">
        <v>5783.7553000000007</v>
      </c>
      <c r="H341" s="880">
        <v>9.1421990758569507</v>
      </c>
      <c r="I341"/>
      <c r="J341"/>
      <c r="K341"/>
      <c r="L341"/>
    </row>
    <row r="342" spans="1:12" x14ac:dyDescent="0.25">
      <c r="A342" s="519" t="s">
        <v>197</v>
      </c>
      <c r="B342" s="519" t="s">
        <v>284</v>
      </c>
      <c r="C342" s="519" t="s">
        <v>288</v>
      </c>
      <c r="D342" s="519" t="s">
        <v>16</v>
      </c>
      <c r="E342" s="519" t="s">
        <v>151</v>
      </c>
      <c r="F342" s="881">
        <v>34808.979299999999</v>
      </c>
      <c r="G342" s="881">
        <v>13796.8541</v>
      </c>
      <c r="H342" s="880">
        <v>6.6919019189577496</v>
      </c>
      <c r="I342"/>
      <c r="J342"/>
      <c r="K342"/>
      <c r="L342"/>
    </row>
    <row r="343" spans="1:12" x14ac:dyDescent="0.25">
      <c r="A343" s="519" t="s">
        <v>197</v>
      </c>
      <c r="B343" s="519" t="s">
        <v>284</v>
      </c>
      <c r="C343" s="519" t="s">
        <v>288</v>
      </c>
      <c r="D343" s="519" t="s">
        <v>16</v>
      </c>
      <c r="E343" s="519" t="s">
        <v>150</v>
      </c>
      <c r="F343" s="881">
        <v>16982.041799999999</v>
      </c>
      <c r="G343" s="881">
        <v>26816.338200000002</v>
      </c>
      <c r="H343" s="880">
        <v>3.94531669321676</v>
      </c>
      <c r="I343"/>
      <c r="J343"/>
      <c r="K343"/>
      <c r="L343"/>
    </row>
    <row r="344" spans="1:12" x14ac:dyDescent="0.25">
      <c r="A344" s="519" t="s">
        <v>197</v>
      </c>
      <c r="B344" s="519" t="s">
        <v>284</v>
      </c>
      <c r="C344" s="519" t="s">
        <v>288</v>
      </c>
      <c r="D344" s="519" t="s">
        <v>16</v>
      </c>
      <c r="E344" s="519" t="s">
        <v>154</v>
      </c>
      <c r="F344" s="881">
        <v>16908.199800000002</v>
      </c>
      <c r="G344" s="881">
        <v>15886.2399</v>
      </c>
      <c r="H344" s="880">
        <v>5.8725009893657596</v>
      </c>
      <c r="I344"/>
      <c r="J344"/>
      <c r="K344"/>
      <c r="L344"/>
    </row>
    <row r="345" spans="1:12" x14ac:dyDescent="0.25">
      <c r="A345" s="519" t="s">
        <v>197</v>
      </c>
      <c r="B345" s="519" t="s">
        <v>284</v>
      </c>
      <c r="C345" s="519" t="s">
        <v>288</v>
      </c>
      <c r="D345" s="519" t="s">
        <v>17</v>
      </c>
      <c r="E345" s="519" t="s">
        <v>144</v>
      </c>
      <c r="F345" s="881">
        <v>54487.825800000006</v>
      </c>
      <c r="G345" s="881">
        <v>14527.2361</v>
      </c>
      <c r="H345" s="880">
        <v>10.1352837609465</v>
      </c>
      <c r="I345"/>
      <c r="J345"/>
      <c r="K345"/>
      <c r="L345"/>
    </row>
    <row r="346" spans="1:12" x14ac:dyDescent="0.25">
      <c r="A346" s="519" t="s">
        <v>197</v>
      </c>
      <c r="B346" s="519" t="s">
        <v>284</v>
      </c>
      <c r="C346" s="519" t="s">
        <v>288</v>
      </c>
      <c r="D346" s="519" t="s">
        <v>17</v>
      </c>
      <c r="E346" s="519" t="s">
        <v>145</v>
      </c>
      <c r="F346" s="881">
        <v>35491.8318</v>
      </c>
      <c r="G346" s="881">
        <v>22021.747500000001</v>
      </c>
      <c r="H346" s="880">
        <v>5.1037119735319898</v>
      </c>
      <c r="I346"/>
      <c r="J346"/>
      <c r="K346"/>
      <c r="L346"/>
    </row>
    <row r="347" spans="1:12" x14ac:dyDescent="0.25">
      <c r="A347" s="519" t="s">
        <v>197</v>
      </c>
      <c r="B347" s="519" t="s">
        <v>284</v>
      </c>
      <c r="C347" s="519" t="s">
        <v>281</v>
      </c>
      <c r="D347" s="519" t="s">
        <v>70</v>
      </c>
      <c r="E347" s="519" t="s">
        <v>144</v>
      </c>
      <c r="F347" s="881">
        <v>18907.783500000001</v>
      </c>
      <c r="G347" s="881">
        <v>8419.0393000000004</v>
      </c>
      <c r="H347" s="880">
        <v>7.4798906419485203</v>
      </c>
      <c r="I347"/>
      <c r="J347"/>
      <c r="K347"/>
      <c r="L347"/>
    </row>
    <row r="348" spans="1:12" x14ac:dyDescent="0.25">
      <c r="A348" s="519" t="s">
        <v>197</v>
      </c>
      <c r="B348" s="519" t="s">
        <v>284</v>
      </c>
      <c r="C348" s="519" t="s">
        <v>281</v>
      </c>
      <c r="D348" s="519" t="s">
        <v>70</v>
      </c>
      <c r="E348" s="519" t="s">
        <v>145</v>
      </c>
      <c r="F348" s="881">
        <v>6742.2861000000003</v>
      </c>
      <c r="G348" s="881">
        <v>7945.7524000000003</v>
      </c>
      <c r="H348" s="880">
        <v>3.06886722876565</v>
      </c>
      <c r="I348"/>
      <c r="J348"/>
      <c r="K348"/>
      <c r="L348"/>
    </row>
    <row r="349" spans="1:12" x14ac:dyDescent="0.25">
      <c r="A349" s="519" t="s">
        <v>197</v>
      </c>
      <c r="B349" s="519" t="s">
        <v>284</v>
      </c>
      <c r="C349" s="519" t="s">
        <v>281</v>
      </c>
      <c r="D349" s="519" t="s">
        <v>70</v>
      </c>
      <c r="E349" s="519" t="s">
        <v>147</v>
      </c>
      <c r="F349" s="881">
        <v>24428.4774</v>
      </c>
      <c r="G349" s="881">
        <v>19598.346300000001</v>
      </c>
      <c r="H349" s="880">
        <v>7.8840204683652404</v>
      </c>
      <c r="I349"/>
      <c r="J349"/>
      <c r="K349"/>
      <c r="L349"/>
    </row>
    <row r="350" spans="1:12" x14ac:dyDescent="0.25">
      <c r="A350" s="519" t="s">
        <v>197</v>
      </c>
      <c r="B350" s="519" t="s">
        <v>284</v>
      </c>
      <c r="C350" s="519" t="s">
        <v>281</v>
      </c>
      <c r="D350" s="519" t="s">
        <v>70</v>
      </c>
      <c r="E350" s="519" t="s">
        <v>151</v>
      </c>
      <c r="F350" s="881">
        <v>16102.4385</v>
      </c>
      <c r="G350" s="881">
        <v>6594.3322000000007</v>
      </c>
      <c r="H350" s="880">
        <v>13.7951160204817</v>
      </c>
      <c r="I350"/>
      <c r="J350"/>
      <c r="K350"/>
      <c r="L350"/>
    </row>
    <row r="351" spans="1:12" x14ac:dyDescent="0.25">
      <c r="A351" s="519" t="s">
        <v>197</v>
      </c>
      <c r="B351" s="519" t="s">
        <v>284</v>
      </c>
      <c r="C351" s="519" t="s">
        <v>281</v>
      </c>
      <c r="D351" s="519" t="s">
        <v>70</v>
      </c>
      <c r="E351" s="519" t="s">
        <v>150</v>
      </c>
      <c r="F351" s="881">
        <v>9104.7000000000007</v>
      </c>
      <c r="G351" s="881">
        <v>7073.3529000000008</v>
      </c>
      <c r="H351" s="880">
        <v>9.4742946703780504</v>
      </c>
      <c r="I351"/>
      <c r="J351"/>
      <c r="K351"/>
      <c r="L351"/>
    </row>
    <row r="352" spans="1:12" x14ac:dyDescent="0.25">
      <c r="A352" s="519" t="s">
        <v>197</v>
      </c>
      <c r="B352" s="519" t="s">
        <v>284</v>
      </c>
      <c r="C352" s="519" t="s">
        <v>281</v>
      </c>
      <c r="D352" s="519" t="s">
        <v>70</v>
      </c>
      <c r="E352" s="519" t="s">
        <v>154</v>
      </c>
      <c r="F352" s="881">
        <v>13673.2878</v>
      </c>
      <c r="G352" s="881">
        <v>4584.4664000000002</v>
      </c>
      <c r="H352" s="880">
        <v>6.3276101049807796</v>
      </c>
      <c r="I352"/>
      <c r="J352"/>
      <c r="K352"/>
      <c r="L352"/>
    </row>
    <row r="353" spans="1:12" x14ac:dyDescent="0.25">
      <c r="A353" s="519" t="s">
        <v>197</v>
      </c>
      <c r="B353" s="519" t="s">
        <v>284</v>
      </c>
      <c r="C353" s="519" t="s">
        <v>281</v>
      </c>
      <c r="D353" s="519" t="s">
        <v>16</v>
      </c>
      <c r="E353" s="519" t="s">
        <v>144</v>
      </c>
      <c r="F353" s="881">
        <v>23454.283800000001</v>
      </c>
      <c r="G353" s="881">
        <v>9834.3621000000003</v>
      </c>
      <c r="H353" s="880">
        <v>8.5430116228885193</v>
      </c>
      <c r="I353"/>
      <c r="J353"/>
      <c r="K353"/>
      <c r="L353"/>
    </row>
    <row r="354" spans="1:12" x14ac:dyDescent="0.25">
      <c r="A354" s="519" t="s">
        <v>197</v>
      </c>
      <c r="B354" s="519" t="s">
        <v>284</v>
      </c>
      <c r="C354" s="519" t="s">
        <v>281</v>
      </c>
      <c r="D354" s="519" t="s">
        <v>16</v>
      </c>
      <c r="E354" s="519" t="s">
        <v>145</v>
      </c>
      <c r="F354" s="881">
        <v>12045.769200000001</v>
      </c>
      <c r="G354" s="881">
        <v>6970.0918000000001</v>
      </c>
      <c r="H354" s="880">
        <v>6.35783421883764</v>
      </c>
      <c r="I354"/>
      <c r="J354"/>
      <c r="K354"/>
      <c r="L354"/>
    </row>
    <row r="355" spans="1:12" x14ac:dyDescent="0.25">
      <c r="A355" s="519" t="s">
        <v>197</v>
      </c>
      <c r="B355" s="519" t="s">
        <v>284</v>
      </c>
      <c r="C355" s="519" t="s">
        <v>281</v>
      </c>
      <c r="D355" s="519" t="s">
        <v>16</v>
      </c>
      <c r="E355" s="519" t="s">
        <v>147</v>
      </c>
      <c r="F355" s="881">
        <v>12126.8094</v>
      </c>
      <c r="G355" s="881">
        <v>2843.5209</v>
      </c>
      <c r="H355" s="880">
        <v>8.8050954638771302</v>
      </c>
      <c r="I355"/>
      <c r="J355"/>
      <c r="K355"/>
      <c r="L355"/>
    </row>
    <row r="356" spans="1:12" x14ac:dyDescent="0.25">
      <c r="A356" s="519" t="s">
        <v>197</v>
      </c>
      <c r="B356" s="519" t="s">
        <v>284</v>
      </c>
      <c r="C356" s="519" t="s">
        <v>281</v>
      </c>
      <c r="D356" s="519" t="s">
        <v>16</v>
      </c>
      <c r="E356" s="519" t="s">
        <v>151</v>
      </c>
      <c r="F356" s="881">
        <v>17685.828600000001</v>
      </c>
      <c r="G356" s="881">
        <v>6850.8726999999999</v>
      </c>
      <c r="H356" s="880">
        <v>14.196611535028801</v>
      </c>
      <c r="I356"/>
      <c r="J356"/>
      <c r="K356"/>
      <c r="L356"/>
    </row>
    <row r="357" spans="1:12" x14ac:dyDescent="0.25">
      <c r="A357" s="519" t="s">
        <v>197</v>
      </c>
      <c r="B357" s="519" t="s">
        <v>284</v>
      </c>
      <c r="C357" s="519" t="s">
        <v>281</v>
      </c>
      <c r="D357" s="519" t="s">
        <v>16</v>
      </c>
      <c r="E357" s="519" t="s">
        <v>150</v>
      </c>
      <c r="F357" s="881">
        <v>5335.7727000000004</v>
      </c>
      <c r="G357" s="881">
        <v>5917.4964</v>
      </c>
      <c r="H357" s="880">
        <v>5.8998855420492902</v>
      </c>
      <c r="I357"/>
      <c r="J357"/>
      <c r="K357"/>
      <c r="L357"/>
    </row>
    <row r="358" spans="1:12" x14ac:dyDescent="0.25">
      <c r="A358" s="519" t="s">
        <v>197</v>
      </c>
      <c r="B358" s="519" t="s">
        <v>284</v>
      </c>
      <c r="C358" s="519" t="s">
        <v>281</v>
      </c>
      <c r="D358" s="519" t="s">
        <v>16</v>
      </c>
      <c r="E358" s="519" t="s">
        <v>154</v>
      </c>
      <c r="F358" s="881">
        <v>9536.3873999999996</v>
      </c>
      <c r="G358" s="881">
        <v>5984.7305999999999</v>
      </c>
      <c r="H358" s="880">
        <v>9.2180163360968805</v>
      </c>
      <c r="I358"/>
      <c r="J358"/>
      <c r="K358"/>
      <c r="L358"/>
    </row>
    <row r="359" spans="1:12" x14ac:dyDescent="0.25">
      <c r="A359" s="519" t="s">
        <v>197</v>
      </c>
      <c r="B359" s="519" t="s">
        <v>284</v>
      </c>
      <c r="C359" s="519" t="s">
        <v>281</v>
      </c>
      <c r="D359" s="519" t="s">
        <v>17</v>
      </c>
      <c r="E359" s="519" t="s">
        <v>144</v>
      </c>
      <c r="F359" s="881">
        <v>8692.7565000000013</v>
      </c>
      <c r="G359" s="881">
        <v>5469.6077000000005</v>
      </c>
      <c r="H359" s="880">
        <v>4.1696568474592999</v>
      </c>
      <c r="I359"/>
      <c r="J359"/>
      <c r="K359"/>
      <c r="L359"/>
    </row>
    <row r="360" spans="1:12" x14ac:dyDescent="0.25">
      <c r="A360" s="519" t="s">
        <v>197</v>
      </c>
      <c r="B360" s="519" t="s">
        <v>284</v>
      </c>
      <c r="C360" s="519" t="s">
        <v>281</v>
      </c>
      <c r="D360" s="519" t="s">
        <v>17</v>
      </c>
      <c r="E360" s="519" t="s">
        <v>145</v>
      </c>
      <c r="F360" s="881">
        <v>10024.9908</v>
      </c>
      <c r="G360" s="881">
        <v>8406.5054</v>
      </c>
      <c r="H360" s="880">
        <v>5.9024333465314101</v>
      </c>
      <c r="I360"/>
      <c r="J360"/>
      <c r="K360"/>
      <c r="L360"/>
    </row>
    <row r="361" spans="1:12" x14ac:dyDescent="0.25">
      <c r="A361" s="519" t="s">
        <v>197</v>
      </c>
      <c r="B361" s="519" t="s">
        <v>284</v>
      </c>
      <c r="C361" s="519" t="s">
        <v>1812</v>
      </c>
      <c r="D361" s="519" t="s">
        <v>70</v>
      </c>
      <c r="E361" s="519" t="s">
        <v>144</v>
      </c>
      <c r="F361" s="881">
        <v>29263.7706</v>
      </c>
      <c r="G361" s="881">
        <v>6180.5249000000003</v>
      </c>
      <c r="H361" s="880">
        <v>7.8481350315244098</v>
      </c>
      <c r="I361"/>
      <c r="J361"/>
      <c r="K361"/>
      <c r="L361"/>
    </row>
    <row r="362" spans="1:12" x14ac:dyDescent="0.25">
      <c r="A362" s="519" t="s">
        <v>197</v>
      </c>
      <c r="B362" s="519" t="s">
        <v>284</v>
      </c>
      <c r="C362" s="519" t="s">
        <v>1812</v>
      </c>
      <c r="D362" s="519" t="s">
        <v>70</v>
      </c>
      <c r="E362" s="519" t="s">
        <v>145</v>
      </c>
      <c r="F362" s="881">
        <v>32124.459900000002</v>
      </c>
      <c r="G362" s="881">
        <v>21666.285800000001</v>
      </c>
      <c r="H362" s="880">
        <v>9.4118041687683895</v>
      </c>
      <c r="I362"/>
      <c r="J362"/>
      <c r="K362"/>
      <c r="L362"/>
    </row>
    <row r="363" spans="1:12" x14ac:dyDescent="0.25">
      <c r="A363" s="519" t="s">
        <v>197</v>
      </c>
      <c r="B363" s="519" t="s">
        <v>284</v>
      </c>
      <c r="C363" s="519" t="s">
        <v>1812</v>
      </c>
      <c r="D363" s="519" t="s">
        <v>70</v>
      </c>
      <c r="E363" s="519" t="s">
        <v>147</v>
      </c>
      <c r="F363" s="881">
        <v>57045.762900000002</v>
      </c>
      <c r="G363" s="881">
        <v>12505.5808</v>
      </c>
      <c r="H363" s="880">
        <v>22.001056104683602</v>
      </c>
      <c r="I363"/>
      <c r="J363"/>
      <c r="K363"/>
      <c r="L363"/>
    </row>
    <row r="364" spans="1:12" x14ac:dyDescent="0.25">
      <c r="A364" s="519" t="s">
        <v>197</v>
      </c>
      <c r="B364" s="519" t="s">
        <v>284</v>
      </c>
      <c r="C364" s="519" t="s">
        <v>1812</v>
      </c>
      <c r="D364" s="519" t="s">
        <v>70</v>
      </c>
      <c r="E364" s="519" t="s">
        <v>151</v>
      </c>
      <c r="F364" s="881">
        <v>50455.494600000005</v>
      </c>
      <c r="G364" s="881">
        <v>8956.9364999999998</v>
      </c>
      <c r="H364" s="880">
        <v>27.915486757307701</v>
      </c>
      <c r="I364"/>
      <c r="J364"/>
      <c r="K364"/>
      <c r="L364"/>
    </row>
    <row r="365" spans="1:12" x14ac:dyDescent="0.25">
      <c r="A365" s="519" t="s">
        <v>197</v>
      </c>
      <c r="B365" s="519" t="s">
        <v>284</v>
      </c>
      <c r="C365" s="519" t="s">
        <v>1812</v>
      </c>
      <c r="D365" s="519" t="s">
        <v>70</v>
      </c>
      <c r="E365" s="519" t="s">
        <v>150</v>
      </c>
      <c r="F365" s="881">
        <v>45073.073100000001</v>
      </c>
      <c r="G365" s="881">
        <v>11921.087600000001</v>
      </c>
      <c r="H365" s="880">
        <v>27.608459463773801</v>
      </c>
      <c r="I365"/>
      <c r="J365"/>
      <c r="K365"/>
      <c r="L365"/>
    </row>
    <row r="366" spans="1:12" x14ac:dyDescent="0.25">
      <c r="A366" s="519" t="s">
        <v>197</v>
      </c>
      <c r="B366" s="519" t="s">
        <v>284</v>
      </c>
      <c r="C366" s="519" t="s">
        <v>1812</v>
      </c>
      <c r="D366" s="519" t="s">
        <v>70</v>
      </c>
      <c r="E366" s="519" t="s">
        <v>154</v>
      </c>
      <c r="F366" s="881">
        <v>43611.782700000003</v>
      </c>
      <c r="G366" s="881">
        <v>3894.8317000000002</v>
      </c>
      <c r="H366" s="880">
        <v>22.585948415343701</v>
      </c>
      <c r="I366"/>
      <c r="J366"/>
      <c r="K366"/>
      <c r="L366"/>
    </row>
    <row r="367" spans="1:12" x14ac:dyDescent="0.25">
      <c r="A367" s="519" t="s">
        <v>197</v>
      </c>
      <c r="B367" s="519" t="s">
        <v>284</v>
      </c>
      <c r="C367" s="519" t="s">
        <v>1812</v>
      </c>
      <c r="D367" s="519" t="s">
        <v>16</v>
      </c>
      <c r="E367" s="519" t="s">
        <v>144</v>
      </c>
      <c r="F367" s="881">
        <v>43103.500500000002</v>
      </c>
      <c r="G367" s="881">
        <v>4979.6112000000003</v>
      </c>
      <c r="H367" s="880">
        <v>18.992188955083101</v>
      </c>
      <c r="I367"/>
      <c r="J367"/>
      <c r="K367"/>
      <c r="L367"/>
    </row>
    <row r="368" spans="1:12" x14ac:dyDescent="0.25">
      <c r="A368" s="519" t="s">
        <v>197</v>
      </c>
      <c r="B368" s="519" t="s">
        <v>284</v>
      </c>
      <c r="C368" s="519" t="s">
        <v>1812</v>
      </c>
      <c r="D368" s="519" t="s">
        <v>16</v>
      </c>
      <c r="E368" s="519" t="s">
        <v>145</v>
      </c>
      <c r="F368" s="881">
        <v>33070.437300000005</v>
      </c>
      <c r="G368" s="881">
        <v>7768.2907000000005</v>
      </c>
      <c r="H368" s="880">
        <v>14.4772208970055</v>
      </c>
      <c r="I368"/>
      <c r="J368"/>
      <c r="K368"/>
      <c r="L368"/>
    </row>
    <row r="369" spans="1:12" x14ac:dyDescent="0.25">
      <c r="A369" s="519" t="s">
        <v>197</v>
      </c>
      <c r="B369" s="519" t="s">
        <v>284</v>
      </c>
      <c r="C369" s="519" t="s">
        <v>1812</v>
      </c>
      <c r="D369" s="519" t="s">
        <v>16</v>
      </c>
      <c r="E369" s="519" t="s">
        <v>147</v>
      </c>
      <c r="F369" s="881">
        <v>36012.036599999999</v>
      </c>
      <c r="G369" s="881">
        <v>6641.3392000000003</v>
      </c>
      <c r="H369" s="880">
        <v>24.468709964521899</v>
      </c>
      <c r="I369"/>
      <c r="J369"/>
      <c r="K369"/>
      <c r="L369"/>
    </row>
    <row r="370" spans="1:12" x14ac:dyDescent="0.25">
      <c r="A370" s="519" t="s">
        <v>197</v>
      </c>
      <c r="B370" s="519" t="s">
        <v>284</v>
      </c>
      <c r="C370" s="519" t="s">
        <v>1812</v>
      </c>
      <c r="D370" s="519" t="s">
        <v>16</v>
      </c>
      <c r="E370" s="519" t="s">
        <v>151</v>
      </c>
      <c r="F370" s="881">
        <v>18358.376700000001</v>
      </c>
      <c r="G370" s="881">
        <v>7013.2766000000001</v>
      </c>
      <c r="H370" s="880">
        <v>13.6941519925976</v>
      </c>
      <c r="I370"/>
      <c r="J370"/>
      <c r="K370"/>
      <c r="L370"/>
    </row>
    <row r="371" spans="1:12" x14ac:dyDescent="0.25">
      <c r="A371" s="519" t="s">
        <v>197</v>
      </c>
      <c r="B371" s="519" t="s">
        <v>284</v>
      </c>
      <c r="C371" s="519" t="s">
        <v>1812</v>
      </c>
      <c r="D371" s="519" t="s">
        <v>16</v>
      </c>
      <c r="E371" s="519" t="s">
        <v>150</v>
      </c>
      <c r="F371" s="881">
        <v>21200.028900000001</v>
      </c>
      <c r="G371" s="881">
        <v>6126.4956000000002</v>
      </c>
      <c r="H371" s="880">
        <v>17.206319056222199</v>
      </c>
      <c r="I371"/>
      <c r="J371"/>
      <c r="K371"/>
      <c r="L371"/>
    </row>
    <row r="372" spans="1:12" x14ac:dyDescent="0.25">
      <c r="A372" s="519" t="s">
        <v>197</v>
      </c>
      <c r="B372" s="519" t="s">
        <v>284</v>
      </c>
      <c r="C372" s="519" t="s">
        <v>1812</v>
      </c>
      <c r="D372" s="519" t="s">
        <v>16</v>
      </c>
      <c r="E372" s="519" t="s">
        <v>154</v>
      </c>
      <c r="F372" s="881">
        <v>25832.517</v>
      </c>
      <c r="G372" s="881">
        <v>3604.6466</v>
      </c>
      <c r="H372" s="880">
        <v>13.663320882611501</v>
      </c>
      <c r="I372"/>
      <c r="J372"/>
      <c r="K372"/>
      <c r="L372"/>
    </row>
    <row r="373" spans="1:12" x14ac:dyDescent="0.25">
      <c r="A373" s="519" t="s">
        <v>197</v>
      </c>
      <c r="B373" s="519" t="s">
        <v>284</v>
      </c>
      <c r="C373" s="519" t="s">
        <v>1812</v>
      </c>
      <c r="D373" s="519" t="s">
        <v>17</v>
      </c>
      <c r="E373" s="519" t="s">
        <v>144</v>
      </c>
      <c r="F373" s="881">
        <v>30639.054600000003</v>
      </c>
      <c r="G373" s="881">
        <v>6478.8681999999999</v>
      </c>
      <c r="H373" s="880">
        <v>9.8606794063533503</v>
      </c>
      <c r="I373"/>
      <c r="J373"/>
      <c r="K373"/>
      <c r="L373"/>
    </row>
    <row r="374" spans="1:12" x14ac:dyDescent="0.25">
      <c r="A374" s="519" t="s">
        <v>197</v>
      </c>
      <c r="B374" s="519" t="s">
        <v>284</v>
      </c>
      <c r="C374" s="519" t="s">
        <v>1812</v>
      </c>
      <c r="D374" s="519" t="s">
        <v>17</v>
      </c>
      <c r="E374" s="519" t="s">
        <v>145</v>
      </c>
      <c r="F374" s="881">
        <v>30153.752700000001</v>
      </c>
      <c r="G374" s="881">
        <v>13312.507900000001</v>
      </c>
      <c r="H374" s="880">
        <v>6.9587897604995099</v>
      </c>
      <c r="I374"/>
      <c r="J374"/>
      <c r="K374"/>
      <c r="L374"/>
    </row>
    <row r="375" spans="1:12" x14ac:dyDescent="0.25">
      <c r="A375" s="519" t="s">
        <v>197</v>
      </c>
      <c r="B375" s="519" t="s">
        <v>284</v>
      </c>
      <c r="C375" s="519" t="s">
        <v>282</v>
      </c>
      <c r="D375" s="519" t="s">
        <v>70</v>
      </c>
      <c r="E375" s="519" t="s">
        <v>144</v>
      </c>
      <c r="F375" s="881">
        <v>259841.30250000002</v>
      </c>
      <c r="G375" s="881">
        <v>135179.28169999999</v>
      </c>
      <c r="H375" s="880">
        <v>6.5950103765316399</v>
      </c>
      <c r="I375"/>
      <c r="J375"/>
      <c r="K375"/>
      <c r="L375"/>
    </row>
    <row r="376" spans="1:12" x14ac:dyDescent="0.25">
      <c r="A376" s="519" t="s">
        <v>197</v>
      </c>
      <c r="B376" s="519" t="s">
        <v>284</v>
      </c>
      <c r="C376" s="519" t="s">
        <v>282</v>
      </c>
      <c r="D376" s="519" t="s">
        <v>70</v>
      </c>
      <c r="E376" s="519" t="s">
        <v>145</v>
      </c>
      <c r="F376" s="881">
        <v>231245.94150000002</v>
      </c>
      <c r="G376" s="881">
        <v>183050.03690000001</v>
      </c>
      <c r="H376" s="880">
        <v>6.3134364713192896</v>
      </c>
      <c r="I376"/>
      <c r="J376"/>
      <c r="K376"/>
      <c r="L376"/>
    </row>
    <row r="377" spans="1:12" x14ac:dyDescent="0.25">
      <c r="A377" s="519" t="s">
        <v>197</v>
      </c>
      <c r="B377" s="519" t="s">
        <v>284</v>
      </c>
      <c r="C377" s="519" t="s">
        <v>282</v>
      </c>
      <c r="D377" s="519" t="s">
        <v>70</v>
      </c>
      <c r="E377" s="519" t="s">
        <v>147</v>
      </c>
      <c r="F377" s="881">
        <v>197273.28330000001</v>
      </c>
      <c r="G377" s="881">
        <v>129716.514</v>
      </c>
      <c r="H377" s="880">
        <v>7.7218652622740596</v>
      </c>
      <c r="I377"/>
      <c r="J377"/>
      <c r="K377"/>
      <c r="L377"/>
    </row>
    <row r="378" spans="1:12" x14ac:dyDescent="0.25">
      <c r="A378" s="519" t="s">
        <v>197</v>
      </c>
      <c r="B378" s="519" t="s">
        <v>284</v>
      </c>
      <c r="C378" s="519" t="s">
        <v>282</v>
      </c>
      <c r="D378" s="519" t="s">
        <v>70</v>
      </c>
      <c r="E378" s="519" t="s">
        <v>151</v>
      </c>
      <c r="F378" s="881">
        <v>218188.1091</v>
      </c>
      <c r="G378" s="881">
        <v>108735.5386</v>
      </c>
      <c r="H378" s="880">
        <v>5.9816731542068498</v>
      </c>
      <c r="I378"/>
      <c r="J378"/>
      <c r="K378"/>
      <c r="L378"/>
    </row>
    <row r="379" spans="1:12" x14ac:dyDescent="0.25">
      <c r="A379" s="519" t="s">
        <v>197</v>
      </c>
      <c r="B379" s="519" t="s">
        <v>284</v>
      </c>
      <c r="C379" s="519" t="s">
        <v>282</v>
      </c>
      <c r="D379" s="519" t="s">
        <v>70</v>
      </c>
      <c r="E379" s="519" t="s">
        <v>150</v>
      </c>
      <c r="F379" s="881">
        <v>273810.53490000003</v>
      </c>
      <c r="G379" s="881">
        <v>166722.89790000001</v>
      </c>
      <c r="H379" s="880">
        <v>6.7594260801492796</v>
      </c>
      <c r="I379"/>
      <c r="J379"/>
      <c r="K379"/>
      <c r="L379"/>
    </row>
    <row r="380" spans="1:12" x14ac:dyDescent="0.25">
      <c r="A380" s="519" t="s">
        <v>197</v>
      </c>
      <c r="B380" s="519" t="s">
        <v>284</v>
      </c>
      <c r="C380" s="519" t="s">
        <v>282</v>
      </c>
      <c r="D380" s="519" t="s">
        <v>70</v>
      </c>
      <c r="E380" s="519" t="s">
        <v>154</v>
      </c>
      <c r="F380" s="881">
        <v>268071.42120000004</v>
      </c>
      <c r="G380" s="881">
        <v>132872.25020000001</v>
      </c>
      <c r="H380" s="880">
        <v>10.4785999585549</v>
      </c>
      <c r="I380"/>
      <c r="J380"/>
      <c r="K380"/>
      <c r="L380"/>
    </row>
    <row r="381" spans="1:12" x14ac:dyDescent="0.25">
      <c r="A381" s="519" t="s">
        <v>197</v>
      </c>
      <c r="B381" s="519" t="s">
        <v>284</v>
      </c>
      <c r="C381" s="519" t="s">
        <v>282</v>
      </c>
      <c r="D381" s="519" t="s">
        <v>16</v>
      </c>
      <c r="E381" s="519" t="s">
        <v>144</v>
      </c>
      <c r="F381" s="881">
        <v>249298.79460000002</v>
      </c>
      <c r="G381" s="881">
        <v>92423.202000000005</v>
      </c>
      <c r="H381" s="880">
        <v>8.2017670447380002</v>
      </c>
      <c r="I381"/>
      <c r="J381"/>
      <c r="K381"/>
      <c r="L381"/>
    </row>
    <row r="382" spans="1:12" x14ac:dyDescent="0.25">
      <c r="A382" s="519" t="s">
        <v>197</v>
      </c>
      <c r="B382" s="519" t="s">
        <v>284</v>
      </c>
      <c r="C382" s="519" t="s">
        <v>282</v>
      </c>
      <c r="D382" s="519" t="s">
        <v>16</v>
      </c>
      <c r="E382" s="519" t="s">
        <v>145</v>
      </c>
      <c r="F382" s="881">
        <v>285493.65990000003</v>
      </c>
      <c r="G382" s="881">
        <v>156715.8058</v>
      </c>
      <c r="H382" s="880">
        <v>11.209771907920301</v>
      </c>
      <c r="I382"/>
      <c r="J382"/>
      <c r="K382"/>
      <c r="L382"/>
    </row>
    <row r="383" spans="1:12" x14ac:dyDescent="0.25">
      <c r="A383" s="519" t="s">
        <v>197</v>
      </c>
      <c r="B383" s="519" t="s">
        <v>284</v>
      </c>
      <c r="C383" s="519" t="s">
        <v>282</v>
      </c>
      <c r="D383" s="519" t="s">
        <v>16</v>
      </c>
      <c r="E383" s="519" t="s">
        <v>147</v>
      </c>
      <c r="F383" s="881">
        <v>263450.32560000004</v>
      </c>
      <c r="G383" s="881">
        <v>48292.811500000003</v>
      </c>
      <c r="H383" s="880">
        <v>10.576906417854101</v>
      </c>
      <c r="I383"/>
      <c r="J383"/>
      <c r="K383"/>
      <c r="L383"/>
    </row>
    <row r="384" spans="1:12" x14ac:dyDescent="0.25">
      <c r="A384" s="519" t="s">
        <v>197</v>
      </c>
      <c r="B384" s="519" t="s">
        <v>284</v>
      </c>
      <c r="C384" s="519" t="s">
        <v>282</v>
      </c>
      <c r="D384" s="519" t="s">
        <v>16</v>
      </c>
      <c r="E384" s="519" t="s">
        <v>151</v>
      </c>
      <c r="F384" s="881">
        <v>296590.58730000001</v>
      </c>
      <c r="G384" s="881">
        <v>94308.955400000006</v>
      </c>
      <c r="H384" s="880">
        <v>7.7017544379831602</v>
      </c>
      <c r="I384"/>
      <c r="J384"/>
      <c r="K384"/>
      <c r="L384"/>
    </row>
    <row r="385" spans="1:12" x14ac:dyDescent="0.25">
      <c r="A385" s="519" t="s">
        <v>197</v>
      </c>
      <c r="B385" s="519" t="s">
        <v>284</v>
      </c>
      <c r="C385" s="519" t="s">
        <v>282</v>
      </c>
      <c r="D385" s="519" t="s">
        <v>16</v>
      </c>
      <c r="E385" s="519" t="s">
        <v>150</v>
      </c>
      <c r="F385" s="881">
        <v>200237.19330000001</v>
      </c>
      <c r="G385" s="881">
        <v>200661.7181</v>
      </c>
      <c r="H385" s="880">
        <v>6.6953164470537203</v>
      </c>
      <c r="I385"/>
      <c r="J385"/>
      <c r="K385"/>
      <c r="L385"/>
    </row>
    <row r="386" spans="1:12" x14ac:dyDescent="0.25">
      <c r="A386" s="519" t="s">
        <v>197</v>
      </c>
      <c r="B386" s="519" t="s">
        <v>284</v>
      </c>
      <c r="C386" s="519" t="s">
        <v>282</v>
      </c>
      <c r="D386" s="519" t="s">
        <v>16</v>
      </c>
      <c r="E386" s="519" t="s">
        <v>154</v>
      </c>
      <c r="F386" s="881">
        <v>259362.66870000001</v>
      </c>
      <c r="G386" s="881">
        <v>140887.76140000002</v>
      </c>
      <c r="H386" s="880">
        <v>10.174354720579901</v>
      </c>
      <c r="I386"/>
      <c r="J386"/>
      <c r="K386"/>
      <c r="L386"/>
    </row>
    <row r="387" spans="1:12" x14ac:dyDescent="0.25">
      <c r="A387" s="519" t="s">
        <v>197</v>
      </c>
      <c r="B387" s="519" t="s">
        <v>284</v>
      </c>
      <c r="C387" s="519" t="s">
        <v>282</v>
      </c>
      <c r="D387" s="519" t="s">
        <v>17</v>
      </c>
      <c r="E387" s="519" t="s">
        <v>144</v>
      </c>
      <c r="F387" s="881">
        <v>339116.44620000001</v>
      </c>
      <c r="G387" s="881">
        <v>105819.1021</v>
      </c>
      <c r="H387" s="880">
        <v>11.053776262600699</v>
      </c>
      <c r="I387"/>
      <c r="J387"/>
      <c r="K387"/>
      <c r="L387"/>
    </row>
    <row r="388" spans="1:12" x14ac:dyDescent="0.25">
      <c r="A388" s="519" t="s">
        <v>197</v>
      </c>
      <c r="B388" s="519" t="s">
        <v>284</v>
      </c>
      <c r="C388" s="519" t="s">
        <v>282</v>
      </c>
      <c r="D388" s="519" t="s">
        <v>17</v>
      </c>
      <c r="E388" s="519" t="s">
        <v>145</v>
      </c>
      <c r="F388" s="881">
        <v>399707.60159999999</v>
      </c>
      <c r="G388" s="881">
        <v>113086.7629</v>
      </c>
      <c r="H388" s="880">
        <v>11.3551228265458</v>
      </c>
      <c r="I388"/>
      <c r="J388"/>
      <c r="K388"/>
      <c r="L388"/>
    </row>
    <row r="389" spans="1:12" x14ac:dyDescent="0.25">
      <c r="A389" s="519" t="s">
        <v>197</v>
      </c>
      <c r="B389" s="519" t="s">
        <v>284</v>
      </c>
      <c r="C389" s="519" t="s">
        <v>1</v>
      </c>
      <c r="D389" s="519" t="s">
        <v>70</v>
      </c>
      <c r="E389" s="519" t="s">
        <v>144</v>
      </c>
      <c r="F389" s="881">
        <v>105398.2206</v>
      </c>
      <c r="G389" s="881">
        <v>54916.886600000005</v>
      </c>
      <c r="H389" s="880">
        <v>7.7100683696562697</v>
      </c>
      <c r="I389"/>
      <c r="J389"/>
      <c r="K389"/>
      <c r="L389"/>
    </row>
    <row r="390" spans="1:12" x14ac:dyDescent="0.25">
      <c r="A390" s="519" t="s">
        <v>197</v>
      </c>
      <c r="B390" s="519" t="s">
        <v>284</v>
      </c>
      <c r="C390" s="519" t="s">
        <v>1</v>
      </c>
      <c r="D390" s="519" t="s">
        <v>70</v>
      </c>
      <c r="E390" s="519" t="s">
        <v>145</v>
      </c>
      <c r="F390" s="881">
        <v>74827.176900000006</v>
      </c>
      <c r="G390" s="881">
        <v>56724.7111</v>
      </c>
      <c r="H390" s="880">
        <v>5.7110880070259702</v>
      </c>
      <c r="I390"/>
      <c r="J390"/>
      <c r="K390"/>
      <c r="L390"/>
    </row>
    <row r="391" spans="1:12" x14ac:dyDescent="0.25">
      <c r="A391" s="519" t="s">
        <v>197</v>
      </c>
      <c r="B391" s="519" t="s">
        <v>284</v>
      </c>
      <c r="C391" s="519" t="s">
        <v>1</v>
      </c>
      <c r="D391" s="519" t="s">
        <v>70</v>
      </c>
      <c r="E391" s="519" t="s">
        <v>147</v>
      </c>
      <c r="F391" s="881">
        <v>60160.928100000005</v>
      </c>
      <c r="G391" s="881">
        <v>27242.031800000001</v>
      </c>
      <c r="H391" s="880">
        <v>4.5340436351353999</v>
      </c>
      <c r="I391"/>
      <c r="J391"/>
      <c r="K391"/>
      <c r="L391"/>
    </row>
    <row r="392" spans="1:12" x14ac:dyDescent="0.25">
      <c r="A392" s="519" t="s">
        <v>197</v>
      </c>
      <c r="B392" s="519" t="s">
        <v>284</v>
      </c>
      <c r="C392" s="519" t="s">
        <v>1</v>
      </c>
      <c r="D392" s="519" t="s">
        <v>70</v>
      </c>
      <c r="E392" s="519" t="s">
        <v>151</v>
      </c>
      <c r="F392" s="881">
        <v>102883.1937</v>
      </c>
      <c r="G392" s="881">
        <v>56044.317900000002</v>
      </c>
      <c r="H392" s="880">
        <v>6.3193859952586298</v>
      </c>
      <c r="I392"/>
      <c r="J392"/>
      <c r="K392"/>
      <c r="L392"/>
    </row>
    <row r="393" spans="1:12" x14ac:dyDescent="0.25">
      <c r="A393" s="519" t="s">
        <v>197</v>
      </c>
      <c r="B393" s="519" t="s">
        <v>284</v>
      </c>
      <c r="C393" s="519" t="s">
        <v>1</v>
      </c>
      <c r="D393" s="519" t="s">
        <v>70</v>
      </c>
      <c r="E393" s="519" t="s">
        <v>150</v>
      </c>
      <c r="F393" s="881">
        <v>83749.475999999995</v>
      </c>
      <c r="G393" s="881">
        <v>88940.427200000006</v>
      </c>
      <c r="H393" s="880">
        <v>12.2642302575466</v>
      </c>
      <c r="I393"/>
      <c r="J393"/>
      <c r="K393"/>
      <c r="L393"/>
    </row>
    <row r="394" spans="1:12" x14ac:dyDescent="0.25">
      <c r="A394" s="519" t="s">
        <v>197</v>
      </c>
      <c r="B394" s="519" t="s">
        <v>284</v>
      </c>
      <c r="C394" s="519" t="s">
        <v>1</v>
      </c>
      <c r="D394" s="519" t="s">
        <v>70</v>
      </c>
      <c r="E394" s="519" t="s">
        <v>154</v>
      </c>
      <c r="F394" s="881">
        <v>128844.1251</v>
      </c>
      <c r="G394" s="881">
        <v>25514.4503</v>
      </c>
      <c r="H394" s="880">
        <v>12.774447144816401</v>
      </c>
      <c r="I394"/>
      <c r="J394"/>
      <c r="K394"/>
      <c r="L394"/>
    </row>
    <row r="395" spans="1:12" x14ac:dyDescent="0.25">
      <c r="A395" s="519" t="s">
        <v>197</v>
      </c>
      <c r="B395" s="519" t="s">
        <v>284</v>
      </c>
      <c r="C395" s="519" t="s">
        <v>1</v>
      </c>
      <c r="D395" s="519" t="s">
        <v>16</v>
      </c>
      <c r="E395" s="519" t="s">
        <v>144</v>
      </c>
      <c r="F395" s="881">
        <v>114898.7844</v>
      </c>
      <c r="G395" s="881">
        <v>38871.939400000003</v>
      </c>
      <c r="H395" s="880">
        <v>9.9581941248065693</v>
      </c>
      <c r="I395"/>
      <c r="J395"/>
      <c r="K395"/>
      <c r="L395"/>
    </row>
    <row r="396" spans="1:12" x14ac:dyDescent="0.25">
      <c r="A396" s="519" t="s">
        <v>197</v>
      </c>
      <c r="B396" s="519" t="s">
        <v>284</v>
      </c>
      <c r="C396" s="519" t="s">
        <v>1</v>
      </c>
      <c r="D396" s="519" t="s">
        <v>16</v>
      </c>
      <c r="E396" s="519" t="s">
        <v>145</v>
      </c>
      <c r="F396" s="881">
        <v>113849.1771</v>
      </c>
      <c r="G396" s="881">
        <v>36237.391500000005</v>
      </c>
      <c r="H396" s="880">
        <v>11.6982447833309</v>
      </c>
      <c r="I396"/>
      <c r="J396"/>
      <c r="K396"/>
      <c r="L396"/>
    </row>
    <row r="397" spans="1:12" x14ac:dyDescent="0.25">
      <c r="A397" s="519" t="s">
        <v>197</v>
      </c>
      <c r="B397" s="519" t="s">
        <v>284</v>
      </c>
      <c r="C397" s="519" t="s">
        <v>1</v>
      </c>
      <c r="D397" s="519" t="s">
        <v>16</v>
      </c>
      <c r="E397" s="519" t="s">
        <v>147</v>
      </c>
      <c r="F397" s="881">
        <v>122002.42200000001</v>
      </c>
      <c r="G397" s="881">
        <v>7311.7931000000008</v>
      </c>
      <c r="H397" s="880">
        <v>10.0737606233523</v>
      </c>
      <c r="I397"/>
      <c r="J397"/>
      <c r="K397"/>
      <c r="L397"/>
    </row>
    <row r="398" spans="1:12" x14ac:dyDescent="0.25">
      <c r="A398" s="519" t="s">
        <v>197</v>
      </c>
      <c r="B398" s="519" t="s">
        <v>284</v>
      </c>
      <c r="C398" s="519" t="s">
        <v>1</v>
      </c>
      <c r="D398" s="519" t="s">
        <v>16</v>
      </c>
      <c r="E398" s="519" t="s">
        <v>151</v>
      </c>
      <c r="F398" s="881">
        <v>159174.01980000001</v>
      </c>
      <c r="G398" s="881">
        <v>40111.205399999999</v>
      </c>
      <c r="H398" s="880">
        <v>6.91865761164589</v>
      </c>
      <c r="I398"/>
      <c r="J398"/>
      <c r="K398"/>
      <c r="L398"/>
    </row>
    <row r="399" spans="1:12" x14ac:dyDescent="0.25">
      <c r="A399" s="519" t="s">
        <v>197</v>
      </c>
      <c r="B399" s="519" t="s">
        <v>284</v>
      </c>
      <c r="C399" s="519" t="s">
        <v>1</v>
      </c>
      <c r="D399" s="519" t="s">
        <v>16</v>
      </c>
      <c r="E399" s="519" t="s">
        <v>150</v>
      </c>
      <c r="F399" s="881">
        <v>129233.8509</v>
      </c>
      <c r="G399" s="881">
        <v>87573.70670000001</v>
      </c>
      <c r="H399" s="880">
        <v>16.628720045097602</v>
      </c>
      <c r="I399"/>
      <c r="J399"/>
      <c r="K399"/>
      <c r="L399"/>
    </row>
    <row r="400" spans="1:12" x14ac:dyDescent="0.25">
      <c r="A400" s="519" t="s">
        <v>197</v>
      </c>
      <c r="B400" s="519" t="s">
        <v>284</v>
      </c>
      <c r="C400" s="519" t="s">
        <v>1</v>
      </c>
      <c r="D400" s="519" t="s">
        <v>16</v>
      </c>
      <c r="E400" s="519" t="s">
        <v>154</v>
      </c>
      <c r="F400" s="881">
        <v>131735.2347</v>
      </c>
      <c r="G400" s="881">
        <v>37297.209000000003</v>
      </c>
      <c r="H400" s="880">
        <v>12.008857606897701</v>
      </c>
      <c r="I400"/>
      <c r="J400"/>
      <c r="K400"/>
      <c r="L400"/>
    </row>
    <row r="401" spans="1:12" x14ac:dyDescent="0.25">
      <c r="A401" s="519" t="s">
        <v>197</v>
      </c>
      <c r="B401" s="519" t="s">
        <v>284</v>
      </c>
      <c r="C401" s="519" t="s">
        <v>1</v>
      </c>
      <c r="D401" s="519" t="s">
        <v>17</v>
      </c>
      <c r="E401" s="519" t="s">
        <v>144</v>
      </c>
      <c r="F401" s="881">
        <v>174117.4644</v>
      </c>
      <c r="G401" s="881">
        <v>59223.590500000006</v>
      </c>
      <c r="H401" s="880">
        <v>13.5805593575868</v>
      </c>
      <c r="I401"/>
      <c r="J401"/>
      <c r="K401"/>
      <c r="L401"/>
    </row>
    <row r="402" spans="1:12" x14ac:dyDescent="0.25">
      <c r="A402" s="519" t="s">
        <v>197</v>
      </c>
      <c r="B402" s="519" t="s">
        <v>284</v>
      </c>
      <c r="C402" s="519" t="s">
        <v>1</v>
      </c>
      <c r="D402" s="519" t="s">
        <v>17</v>
      </c>
      <c r="E402" s="519" t="s">
        <v>145</v>
      </c>
      <c r="F402" s="881">
        <v>135075.2181</v>
      </c>
      <c r="G402" s="881">
        <v>42365.7448</v>
      </c>
      <c r="H402" s="880">
        <v>10.353132836654801</v>
      </c>
      <c r="I402"/>
      <c r="J402"/>
      <c r="K402"/>
      <c r="L402"/>
    </row>
    <row r="403" spans="1:12" x14ac:dyDescent="0.25">
      <c r="A403" s="519" t="s">
        <v>197</v>
      </c>
      <c r="B403" s="519" t="s">
        <v>284</v>
      </c>
      <c r="C403" s="519" t="s">
        <v>1838</v>
      </c>
      <c r="D403" s="519" t="s">
        <v>70</v>
      </c>
      <c r="E403" s="519" t="s">
        <v>154</v>
      </c>
      <c r="F403" s="881">
        <v>179.304</v>
      </c>
      <c r="G403" s="881">
        <v>7821.5540000000001</v>
      </c>
      <c r="H403" s="880">
        <v>0.38239031191698103</v>
      </c>
      <c r="I403"/>
      <c r="J403"/>
      <c r="K403"/>
      <c r="L403"/>
    </row>
    <row r="404" spans="1:12" x14ac:dyDescent="0.25">
      <c r="A404" s="519" t="s">
        <v>197</v>
      </c>
      <c r="B404" s="519" t="s">
        <v>284</v>
      </c>
      <c r="C404" s="519" t="s">
        <v>1838</v>
      </c>
      <c r="D404" s="519" t="s">
        <v>16</v>
      </c>
      <c r="E404" s="519" t="s">
        <v>144</v>
      </c>
      <c r="F404" s="881">
        <v>80.686800000000005</v>
      </c>
      <c r="G404" s="881">
        <v>23.2941</v>
      </c>
      <c r="H404" s="880">
        <v>13.801986163403999</v>
      </c>
      <c r="I404"/>
      <c r="J404"/>
      <c r="K404"/>
      <c r="L404"/>
    </row>
    <row r="405" spans="1:12" x14ac:dyDescent="0.25">
      <c r="A405" s="519" t="s">
        <v>197</v>
      </c>
      <c r="B405" s="519" t="s">
        <v>284</v>
      </c>
      <c r="C405" s="519" t="s">
        <v>1838</v>
      </c>
      <c r="D405" s="519" t="s">
        <v>16</v>
      </c>
      <c r="E405" s="519" t="s">
        <v>145</v>
      </c>
      <c r="F405" s="881">
        <v>26.895600000000002</v>
      </c>
      <c r="G405" s="881">
        <v>80.4816</v>
      </c>
      <c r="H405" s="880">
        <v>3.2321202398985003</v>
      </c>
      <c r="I405"/>
      <c r="J405"/>
      <c r="K405"/>
      <c r="L405"/>
    </row>
    <row r="406" spans="1:12" x14ac:dyDescent="0.25">
      <c r="A406" s="519" t="s">
        <v>197</v>
      </c>
      <c r="B406" s="519" t="s">
        <v>284</v>
      </c>
      <c r="C406" s="519" t="s">
        <v>1838</v>
      </c>
      <c r="D406" s="519" t="s">
        <v>16</v>
      </c>
      <c r="E406" s="519" t="s">
        <v>147</v>
      </c>
      <c r="F406" s="881">
        <v>17.930400000000002</v>
      </c>
      <c r="G406" s="881">
        <v>44.779800000000002</v>
      </c>
      <c r="H406" s="880">
        <v>5.3629359885597001</v>
      </c>
      <c r="I406"/>
      <c r="J406"/>
      <c r="K406"/>
      <c r="L406"/>
    </row>
    <row r="407" spans="1:12" x14ac:dyDescent="0.25">
      <c r="A407" s="519" t="s">
        <v>197</v>
      </c>
      <c r="B407" s="519" t="s">
        <v>284</v>
      </c>
      <c r="C407" s="519" t="s">
        <v>1838</v>
      </c>
      <c r="D407" s="519" t="s">
        <v>16</v>
      </c>
      <c r="E407" s="519" t="s">
        <v>151</v>
      </c>
      <c r="F407" s="881">
        <v>617.38049999999998</v>
      </c>
      <c r="G407" s="881">
        <v>37.621400000000001</v>
      </c>
      <c r="H407" s="880">
        <v>3.4081678988000901</v>
      </c>
      <c r="I407"/>
      <c r="J407"/>
      <c r="K407"/>
      <c r="L407"/>
    </row>
    <row r="408" spans="1:12" x14ac:dyDescent="0.25">
      <c r="A408" s="519" t="s">
        <v>197</v>
      </c>
      <c r="B408" s="519" t="s">
        <v>284</v>
      </c>
      <c r="C408" s="519" t="s">
        <v>1838</v>
      </c>
      <c r="D408" s="519" t="s">
        <v>16</v>
      </c>
      <c r="E408" s="519" t="s">
        <v>150</v>
      </c>
      <c r="F408" s="881">
        <v>886.12260000000003</v>
      </c>
      <c r="G408" s="881">
        <v>376.39760000000001</v>
      </c>
      <c r="H408" s="880">
        <v>0.24755515479175</v>
      </c>
      <c r="I408"/>
      <c r="J408"/>
      <c r="K408"/>
      <c r="L408"/>
    </row>
    <row r="409" spans="1:12" x14ac:dyDescent="0.25">
      <c r="A409" s="519" t="s">
        <v>197</v>
      </c>
      <c r="B409" s="519" t="s">
        <v>284</v>
      </c>
      <c r="C409" s="519" t="s">
        <v>1838</v>
      </c>
      <c r="D409" s="519" t="s">
        <v>16</v>
      </c>
      <c r="E409" s="519" t="s">
        <v>154</v>
      </c>
      <c r="F409" s="881">
        <v>4719.8616000000002</v>
      </c>
      <c r="G409" s="881">
        <v>1669.3255000000001</v>
      </c>
      <c r="H409" s="880">
        <v>7.4128604159674003</v>
      </c>
      <c r="I409"/>
      <c r="J409"/>
      <c r="K409"/>
      <c r="L409"/>
    </row>
    <row r="410" spans="1:12" x14ac:dyDescent="0.25">
      <c r="A410" s="519" t="s">
        <v>197</v>
      </c>
      <c r="B410" s="519" t="s">
        <v>284</v>
      </c>
      <c r="C410" s="519" t="s">
        <v>1838</v>
      </c>
      <c r="D410" s="519" t="s">
        <v>17</v>
      </c>
      <c r="E410" s="519" t="s">
        <v>144</v>
      </c>
      <c r="F410" s="881">
        <v>6117.3912</v>
      </c>
      <c r="G410" s="881">
        <v>1542.3949</v>
      </c>
      <c r="H410" s="880">
        <v>5.9291711107382898</v>
      </c>
      <c r="I410"/>
      <c r="J410"/>
      <c r="K410"/>
      <c r="L410"/>
    </row>
    <row r="411" spans="1:12" x14ac:dyDescent="0.25">
      <c r="A411" s="519" t="s">
        <v>197</v>
      </c>
      <c r="B411" s="519" t="s">
        <v>284</v>
      </c>
      <c r="C411" s="519" t="s">
        <v>1838</v>
      </c>
      <c r="D411" s="519" t="s">
        <v>17</v>
      </c>
      <c r="E411" s="519" t="s">
        <v>145</v>
      </c>
      <c r="F411" s="881">
        <v>17586.076800000003</v>
      </c>
      <c r="G411" s="881">
        <v>8592.720800000001</v>
      </c>
      <c r="H411" s="880">
        <v>5.07535988632395</v>
      </c>
      <c r="I411"/>
      <c r="J411"/>
      <c r="K411"/>
      <c r="L411"/>
    </row>
    <row r="412" spans="1:12" x14ac:dyDescent="0.25">
      <c r="A412" s="519" t="s">
        <v>181</v>
      </c>
      <c r="B412" s="519" t="s">
        <v>284</v>
      </c>
      <c r="C412" s="519" t="s">
        <v>2</v>
      </c>
      <c r="D412" s="519" t="s">
        <v>70</v>
      </c>
      <c r="E412" s="519" t="s">
        <v>147</v>
      </c>
      <c r="F412" s="881">
        <v>10057.9686</v>
      </c>
      <c r="G412" s="881">
        <v>9542.5773000000008</v>
      </c>
      <c r="H412" s="880">
        <v>16.435827378083999</v>
      </c>
      <c r="I412"/>
      <c r="J412"/>
      <c r="K412"/>
      <c r="L412"/>
    </row>
    <row r="413" spans="1:12" x14ac:dyDescent="0.25">
      <c r="A413" s="519" t="s">
        <v>181</v>
      </c>
      <c r="B413" s="519" t="s">
        <v>284</v>
      </c>
      <c r="C413" s="519" t="s">
        <v>2</v>
      </c>
      <c r="D413" s="519" t="s">
        <v>70</v>
      </c>
      <c r="E413" s="519" t="s">
        <v>148</v>
      </c>
      <c r="F413" s="881">
        <v>5517.2714999999998</v>
      </c>
      <c r="G413" s="881">
        <v>5272.9275000000007</v>
      </c>
      <c r="H413" s="880">
        <v>15.007551059752501</v>
      </c>
      <c r="I413"/>
      <c r="J413"/>
      <c r="K413"/>
      <c r="L413"/>
    </row>
    <row r="414" spans="1:12" x14ac:dyDescent="0.25">
      <c r="A414" s="519" t="s">
        <v>181</v>
      </c>
      <c r="B414" s="519" t="s">
        <v>284</v>
      </c>
      <c r="C414" s="519" t="s">
        <v>2</v>
      </c>
      <c r="D414" s="519" t="s">
        <v>70</v>
      </c>
      <c r="E414" s="519" t="s">
        <v>152</v>
      </c>
      <c r="F414" s="881">
        <v>2612.5745999999999</v>
      </c>
      <c r="G414" s="881">
        <v>1523.5705</v>
      </c>
      <c r="H414" s="880">
        <v>9.6263723478040006</v>
      </c>
      <c r="I414"/>
      <c r="J414"/>
      <c r="K414"/>
      <c r="L414"/>
    </row>
    <row r="415" spans="1:12" x14ac:dyDescent="0.25">
      <c r="A415" s="519" t="s">
        <v>181</v>
      </c>
      <c r="B415" s="519" t="s">
        <v>284</v>
      </c>
      <c r="C415" s="519" t="s">
        <v>2</v>
      </c>
      <c r="D415" s="519" t="s">
        <v>70</v>
      </c>
      <c r="E415" s="519" t="s">
        <v>150</v>
      </c>
      <c r="F415" s="881">
        <v>1444.6248000000001</v>
      </c>
      <c r="G415" s="881">
        <v>1591.0193000000002</v>
      </c>
      <c r="H415" s="880">
        <v>9.3738556719703805</v>
      </c>
      <c r="I415"/>
      <c r="J415"/>
      <c r="K415"/>
      <c r="L415"/>
    </row>
    <row r="416" spans="1:12" x14ac:dyDescent="0.25">
      <c r="A416" s="519" t="s">
        <v>181</v>
      </c>
      <c r="B416" s="519" t="s">
        <v>284</v>
      </c>
      <c r="C416" s="519" t="s">
        <v>2</v>
      </c>
      <c r="D416" s="519" t="s">
        <v>70</v>
      </c>
      <c r="E416" s="519" t="s">
        <v>155</v>
      </c>
      <c r="F416" s="881">
        <v>406.1961</v>
      </c>
      <c r="G416" s="881">
        <v>917.07260000000008</v>
      </c>
      <c r="H416" s="880">
        <v>3.9902150770015199</v>
      </c>
      <c r="I416"/>
      <c r="J416"/>
      <c r="K416"/>
      <c r="L416"/>
    </row>
    <row r="417" spans="1:12" x14ac:dyDescent="0.25">
      <c r="A417" s="519" t="s">
        <v>181</v>
      </c>
      <c r="B417" s="519" t="s">
        <v>284</v>
      </c>
      <c r="C417" s="519" t="s">
        <v>2</v>
      </c>
      <c r="D417" s="519" t="s">
        <v>70</v>
      </c>
      <c r="E417" s="519" t="s">
        <v>154</v>
      </c>
      <c r="F417" s="881">
        <v>292.84770000000003</v>
      </c>
      <c r="G417" s="881">
        <v>437.73160000000001</v>
      </c>
      <c r="H417" s="880">
        <v>2.5230498757354298</v>
      </c>
      <c r="I417"/>
      <c r="J417"/>
      <c r="K417"/>
      <c r="L417"/>
    </row>
    <row r="418" spans="1:12" x14ac:dyDescent="0.25">
      <c r="A418" s="519" t="s">
        <v>181</v>
      </c>
      <c r="B418" s="519" t="s">
        <v>284</v>
      </c>
      <c r="C418" s="519" t="s">
        <v>2</v>
      </c>
      <c r="D418" s="519" t="s">
        <v>16</v>
      </c>
      <c r="E418" s="519" t="s">
        <v>144</v>
      </c>
      <c r="F418" s="881">
        <v>5781.5682000000006</v>
      </c>
      <c r="G418" s="881">
        <v>3015.6205</v>
      </c>
      <c r="H418" s="880">
        <v>6.8474857642169598</v>
      </c>
      <c r="I418"/>
      <c r="J418"/>
      <c r="K418"/>
      <c r="L418"/>
    </row>
    <row r="419" spans="1:12" x14ac:dyDescent="0.25">
      <c r="A419" s="519" t="s">
        <v>181</v>
      </c>
      <c r="B419" s="519" t="s">
        <v>284</v>
      </c>
      <c r="C419" s="519" t="s">
        <v>2</v>
      </c>
      <c r="D419" s="519" t="s">
        <v>16</v>
      </c>
      <c r="E419" s="519" t="s">
        <v>147</v>
      </c>
      <c r="F419" s="881">
        <v>1352.0433</v>
      </c>
      <c r="G419" s="881">
        <v>2210.7485999999999</v>
      </c>
      <c r="H419" s="880">
        <v>7.1307120510989899</v>
      </c>
      <c r="I419"/>
      <c r="J419"/>
      <c r="K419"/>
      <c r="L419"/>
    </row>
    <row r="420" spans="1:12" x14ac:dyDescent="0.25">
      <c r="A420" s="519" t="s">
        <v>181</v>
      </c>
      <c r="B420" s="519" t="s">
        <v>284</v>
      </c>
      <c r="C420" s="519" t="s">
        <v>2</v>
      </c>
      <c r="D420" s="519" t="s">
        <v>16</v>
      </c>
      <c r="E420" s="519" t="s">
        <v>151</v>
      </c>
      <c r="F420" s="881">
        <v>664.26179999999999</v>
      </c>
      <c r="G420" s="881">
        <v>969.70990000000006</v>
      </c>
      <c r="H420" s="880">
        <v>2.7323439919584902</v>
      </c>
      <c r="I420"/>
      <c r="J420"/>
      <c r="K420"/>
      <c r="L420"/>
    </row>
    <row r="421" spans="1:12" x14ac:dyDescent="0.25">
      <c r="A421" s="519" t="s">
        <v>181</v>
      </c>
      <c r="B421" s="519" t="s">
        <v>284</v>
      </c>
      <c r="C421" s="519" t="s">
        <v>2</v>
      </c>
      <c r="D421" s="519" t="s">
        <v>16</v>
      </c>
      <c r="E421" s="519" t="s">
        <v>152</v>
      </c>
      <c r="F421" s="881">
        <v>640.49099999999999</v>
      </c>
      <c r="G421" s="881">
        <v>1045.3756000000001</v>
      </c>
      <c r="H421" s="880">
        <v>1.7461673049789399</v>
      </c>
      <c r="I421"/>
      <c r="J421"/>
      <c r="K421"/>
      <c r="L421"/>
    </row>
    <row r="422" spans="1:12" x14ac:dyDescent="0.25">
      <c r="A422" s="519" t="s">
        <v>181</v>
      </c>
      <c r="B422" s="519" t="s">
        <v>284</v>
      </c>
      <c r="C422" s="519" t="s">
        <v>2</v>
      </c>
      <c r="D422" s="519" t="s">
        <v>16</v>
      </c>
      <c r="E422" s="519" t="s">
        <v>154</v>
      </c>
      <c r="F422" s="881">
        <v>127.08450000000001</v>
      </c>
      <c r="G422" s="881">
        <v>300.18029999999999</v>
      </c>
      <c r="H422" s="880">
        <v>4.5908014088653903</v>
      </c>
      <c r="I422"/>
      <c r="J422"/>
      <c r="K422"/>
      <c r="L422"/>
    </row>
    <row r="423" spans="1:12" x14ac:dyDescent="0.25">
      <c r="A423" s="519" t="s">
        <v>181</v>
      </c>
      <c r="B423" s="519" t="s">
        <v>284</v>
      </c>
      <c r="C423" s="519" t="s">
        <v>2</v>
      </c>
      <c r="D423" s="519" t="s">
        <v>16</v>
      </c>
      <c r="E423" s="519" t="s">
        <v>153</v>
      </c>
      <c r="F423" s="881">
        <v>4978.1319000000003</v>
      </c>
      <c r="G423" s="881">
        <v>40.2836</v>
      </c>
      <c r="H423" s="880">
        <v>9.0649403271785491</v>
      </c>
      <c r="I423"/>
      <c r="J423"/>
      <c r="K423"/>
      <c r="L423"/>
    </row>
    <row r="424" spans="1:12" x14ac:dyDescent="0.25">
      <c r="A424" s="519" t="s">
        <v>181</v>
      </c>
      <c r="B424" s="519" t="s">
        <v>284</v>
      </c>
      <c r="C424" s="519" t="s">
        <v>2</v>
      </c>
      <c r="D424" s="519" t="s">
        <v>17</v>
      </c>
      <c r="E424" s="519" t="s">
        <v>149</v>
      </c>
      <c r="F424" s="881">
        <v>1723.5039000000002</v>
      </c>
      <c r="G424" s="881">
        <v>4843.3531000000003</v>
      </c>
      <c r="H424" s="880">
        <v>0</v>
      </c>
      <c r="I424"/>
      <c r="J424"/>
      <c r="K424"/>
      <c r="L424"/>
    </row>
    <row r="425" spans="1:12" x14ac:dyDescent="0.25">
      <c r="A425" s="519" t="s">
        <v>181</v>
      </c>
      <c r="B425" s="519" t="s">
        <v>284</v>
      </c>
      <c r="C425" s="519" t="s">
        <v>285</v>
      </c>
      <c r="D425" s="519" t="s">
        <v>70</v>
      </c>
      <c r="E425" s="519" t="s">
        <v>147</v>
      </c>
      <c r="F425" s="881">
        <v>27302.047200000001</v>
      </c>
      <c r="G425" s="881">
        <v>13021.237999999999</v>
      </c>
      <c r="H425" s="880">
        <v>7.7291108489155196</v>
      </c>
      <c r="I425"/>
      <c r="J425"/>
      <c r="K425"/>
      <c r="L425"/>
    </row>
    <row r="426" spans="1:12" x14ac:dyDescent="0.25">
      <c r="A426" s="519" t="s">
        <v>181</v>
      </c>
      <c r="B426" s="519" t="s">
        <v>284</v>
      </c>
      <c r="C426" s="519" t="s">
        <v>285</v>
      </c>
      <c r="D426" s="519" t="s">
        <v>70</v>
      </c>
      <c r="E426" s="519" t="s">
        <v>148</v>
      </c>
      <c r="F426" s="881">
        <v>25487.394</v>
      </c>
      <c r="G426" s="881">
        <v>15041.4943</v>
      </c>
      <c r="H426" s="880">
        <v>7.0812156139111204</v>
      </c>
      <c r="I426"/>
      <c r="J426"/>
      <c r="K426"/>
      <c r="L426"/>
    </row>
    <row r="427" spans="1:12" x14ac:dyDescent="0.25">
      <c r="A427" s="519" t="s">
        <v>181</v>
      </c>
      <c r="B427" s="519" t="s">
        <v>284</v>
      </c>
      <c r="C427" s="519" t="s">
        <v>285</v>
      </c>
      <c r="D427" s="519" t="s">
        <v>70</v>
      </c>
      <c r="E427" s="519" t="s">
        <v>151</v>
      </c>
      <c r="F427" s="881">
        <v>40579.173600000002</v>
      </c>
      <c r="G427" s="881">
        <v>15374.357900000001</v>
      </c>
      <c r="H427" s="880">
        <v>18.0222256159667</v>
      </c>
      <c r="I427"/>
      <c r="J427"/>
      <c r="K427"/>
      <c r="L427"/>
    </row>
    <row r="428" spans="1:12" x14ac:dyDescent="0.25">
      <c r="A428" s="519" t="s">
        <v>181</v>
      </c>
      <c r="B428" s="519" t="s">
        <v>284</v>
      </c>
      <c r="C428" s="519" t="s">
        <v>285</v>
      </c>
      <c r="D428" s="519" t="s">
        <v>70</v>
      </c>
      <c r="E428" s="519" t="s">
        <v>150</v>
      </c>
      <c r="F428" s="881">
        <v>31303.818600000002</v>
      </c>
      <c r="G428" s="881">
        <v>10024.2037</v>
      </c>
      <c r="H428" s="880">
        <v>19.253002868357701</v>
      </c>
      <c r="I428"/>
      <c r="J428"/>
      <c r="K428"/>
      <c r="L428"/>
    </row>
    <row r="429" spans="1:12" x14ac:dyDescent="0.25">
      <c r="A429" s="519" t="s">
        <v>181</v>
      </c>
      <c r="B429" s="519" t="s">
        <v>284</v>
      </c>
      <c r="C429" s="519" t="s">
        <v>285</v>
      </c>
      <c r="D429" s="519" t="s">
        <v>70</v>
      </c>
      <c r="E429" s="519" t="s">
        <v>153</v>
      </c>
      <c r="F429" s="881">
        <v>26934.288</v>
      </c>
      <c r="G429" s="881">
        <v>6865.2455</v>
      </c>
      <c r="H429" s="880">
        <v>14.495502040300201</v>
      </c>
      <c r="I429"/>
      <c r="J429"/>
      <c r="K429"/>
      <c r="L429"/>
    </row>
    <row r="430" spans="1:12" x14ac:dyDescent="0.25">
      <c r="A430" s="519" t="s">
        <v>181</v>
      </c>
      <c r="B430" s="519" t="s">
        <v>284</v>
      </c>
      <c r="C430" s="519" t="s">
        <v>285</v>
      </c>
      <c r="D430" s="519" t="s">
        <v>16</v>
      </c>
      <c r="E430" s="519" t="s">
        <v>144</v>
      </c>
      <c r="F430" s="881">
        <v>31789.278600000001</v>
      </c>
      <c r="G430" s="881">
        <v>6480.0633000000007</v>
      </c>
      <c r="H430" s="880">
        <v>14.7974510253357</v>
      </c>
      <c r="I430"/>
      <c r="J430"/>
      <c r="K430"/>
      <c r="L430"/>
    </row>
    <row r="431" spans="1:12" x14ac:dyDescent="0.25">
      <c r="A431" s="519" t="s">
        <v>181</v>
      </c>
      <c r="B431" s="519" t="s">
        <v>284</v>
      </c>
      <c r="C431" s="519" t="s">
        <v>285</v>
      </c>
      <c r="D431" s="519" t="s">
        <v>16</v>
      </c>
      <c r="E431" s="519" t="s">
        <v>146</v>
      </c>
      <c r="F431" s="881">
        <v>27171.103200000001</v>
      </c>
      <c r="G431" s="881">
        <v>9115.0416000000005</v>
      </c>
      <c r="H431" s="880">
        <v>14.301415058767999</v>
      </c>
      <c r="I431"/>
      <c r="J431"/>
      <c r="K431"/>
      <c r="L431"/>
    </row>
    <row r="432" spans="1:12" x14ac:dyDescent="0.25">
      <c r="A432" s="519" t="s">
        <v>181</v>
      </c>
      <c r="B432" s="519" t="s">
        <v>284</v>
      </c>
      <c r="C432" s="519" t="s">
        <v>285</v>
      </c>
      <c r="D432" s="519" t="s">
        <v>16</v>
      </c>
      <c r="E432" s="519" t="s">
        <v>145</v>
      </c>
      <c r="F432" s="881">
        <v>16260.7245</v>
      </c>
      <c r="G432" s="881">
        <v>5721.9945000000007</v>
      </c>
      <c r="H432" s="880">
        <v>5.4739169803736401</v>
      </c>
      <c r="I432"/>
      <c r="J432"/>
      <c r="K432"/>
      <c r="L432"/>
    </row>
    <row r="433" spans="1:12" x14ac:dyDescent="0.25">
      <c r="A433" s="519" t="s">
        <v>181</v>
      </c>
      <c r="B433" s="519" t="s">
        <v>284</v>
      </c>
      <c r="C433" s="519" t="s">
        <v>285</v>
      </c>
      <c r="D433" s="519" t="s">
        <v>16</v>
      </c>
      <c r="E433" s="519" t="s">
        <v>151</v>
      </c>
      <c r="F433" s="881">
        <v>33866.684700000005</v>
      </c>
      <c r="G433" s="881">
        <v>21331.845300000001</v>
      </c>
      <c r="H433" s="880">
        <v>3.3120401110556901</v>
      </c>
      <c r="I433"/>
      <c r="J433"/>
      <c r="K433"/>
      <c r="L433"/>
    </row>
    <row r="434" spans="1:12" x14ac:dyDescent="0.25">
      <c r="A434" s="519" t="s">
        <v>181</v>
      </c>
      <c r="B434" s="519" t="s">
        <v>284</v>
      </c>
      <c r="C434" s="519" t="s">
        <v>285</v>
      </c>
      <c r="D434" s="519" t="s">
        <v>16</v>
      </c>
      <c r="E434" s="519" t="s">
        <v>150</v>
      </c>
      <c r="F434" s="881">
        <v>68794.806299999997</v>
      </c>
      <c r="G434" s="881">
        <v>73121.27410000001</v>
      </c>
      <c r="H434" s="880">
        <v>3.2055422293295299</v>
      </c>
      <c r="I434"/>
      <c r="J434"/>
      <c r="K434"/>
      <c r="L434"/>
    </row>
    <row r="435" spans="1:12" x14ac:dyDescent="0.25">
      <c r="A435" s="519" t="s">
        <v>181</v>
      </c>
      <c r="B435" s="519" t="s">
        <v>284</v>
      </c>
      <c r="C435" s="519" t="s">
        <v>2</v>
      </c>
      <c r="D435" s="519" t="s">
        <v>70</v>
      </c>
      <c r="E435" s="519" t="s">
        <v>144</v>
      </c>
      <c r="F435" s="881">
        <v>23595.578700000002</v>
      </c>
      <c r="G435" s="881">
        <v>3404.3931000000002</v>
      </c>
      <c r="H435" s="880">
        <v>9.5375092130015098</v>
      </c>
      <c r="I435"/>
      <c r="J435"/>
      <c r="K435"/>
      <c r="L435"/>
    </row>
    <row r="436" spans="1:12" x14ac:dyDescent="0.25">
      <c r="A436" s="519" t="s">
        <v>181</v>
      </c>
      <c r="B436" s="519" t="s">
        <v>284</v>
      </c>
      <c r="C436" s="519" t="s">
        <v>2</v>
      </c>
      <c r="D436" s="519" t="s">
        <v>70</v>
      </c>
      <c r="E436" s="519" t="s">
        <v>146</v>
      </c>
      <c r="F436" s="881">
        <v>18004.279200000001</v>
      </c>
      <c r="G436" s="881">
        <v>8783.3006000000005</v>
      </c>
      <c r="H436" s="880">
        <v>6.4827175250417399</v>
      </c>
      <c r="I436"/>
      <c r="J436"/>
      <c r="K436"/>
      <c r="L436"/>
    </row>
    <row r="437" spans="1:12" x14ac:dyDescent="0.25">
      <c r="A437" s="519" t="s">
        <v>181</v>
      </c>
      <c r="B437" s="519" t="s">
        <v>284</v>
      </c>
      <c r="C437" s="519" t="s">
        <v>2</v>
      </c>
      <c r="D437" s="519" t="s">
        <v>70</v>
      </c>
      <c r="E437" s="519" t="s">
        <v>145</v>
      </c>
      <c r="F437" s="881">
        <v>16186.770900000001</v>
      </c>
      <c r="G437" s="881">
        <v>12409.041300000001</v>
      </c>
      <c r="H437" s="880">
        <v>6.62697536859356</v>
      </c>
      <c r="I437"/>
      <c r="J437"/>
      <c r="K437"/>
      <c r="L437"/>
    </row>
    <row r="438" spans="1:12" x14ac:dyDescent="0.25">
      <c r="A438" s="519" t="s">
        <v>181</v>
      </c>
      <c r="B438" s="519" t="s">
        <v>284</v>
      </c>
      <c r="C438" s="519" t="s">
        <v>2</v>
      </c>
      <c r="D438" s="519" t="s">
        <v>70</v>
      </c>
      <c r="E438" s="519" t="s">
        <v>149</v>
      </c>
      <c r="F438" s="881">
        <v>10902.7155</v>
      </c>
      <c r="G438" s="881">
        <v>11022.737800000001</v>
      </c>
      <c r="H438" s="880">
        <v>5.4091740328309097</v>
      </c>
      <c r="I438"/>
      <c r="J438"/>
      <c r="K438"/>
      <c r="L438"/>
    </row>
    <row r="439" spans="1:12" x14ac:dyDescent="0.25">
      <c r="A439" s="519" t="s">
        <v>181</v>
      </c>
      <c r="B439" s="519" t="s">
        <v>284</v>
      </c>
      <c r="C439" s="519" t="s">
        <v>2</v>
      </c>
      <c r="D439" s="519" t="s">
        <v>70</v>
      </c>
      <c r="E439" s="519" t="s">
        <v>151</v>
      </c>
      <c r="F439" s="881">
        <v>3747.9651000000003</v>
      </c>
      <c r="G439" s="881">
        <v>1953.1986000000002</v>
      </c>
      <c r="H439" s="880">
        <v>11.5697908213592</v>
      </c>
      <c r="I439"/>
      <c r="J439"/>
      <c r="K439"/>
      <c r="L439"/>
    </row>
    <row r="440" spans="1:12" x14ac:dyDescent="0.25">
      <c r="A440" s="519" t="s">
        <v>181</v>
      </c>
      <c r="B440" s="519" t="s">
        <v>284</v>
      </c>
      <c r="C440" s="519" t="s">
        <v>2</v>
      </c>
      <c r="D440" s="519" t="s">
        <v>70</v>
      </c>
      <c r="E440" s="519" t="s">
        <v>153</v>
      </c>
      <c r="F440" s="881">
        <v>4429.4225999999999</v>
      </c>
      <c r="G440" s="881">
        <v>499.09640000000002</v>
      </c>
      <c r="H440" s="880">
        <v>5.6217703361193596</v>
      </c>
      <c r="I440"/>
      <c r="J440"/>
      <c r="K440"/>
      <c r="L440"/>
    </row>
    <row r="441" spans="1:12" x14ac:dyDescent="0.25">
      <c r="A441" s="519" t="s">
        <v>181</v>
      </c>
      <c r="B441" s="519" t="s">
        <v>284</v>
      </c>
      <c r="C441" s="519" t="s">
        <v>2</v>
      </c>
      <c r="D441" s="519" t="s">
        <v>16</v>
      </c>
      <c r="E441" s="519" t="s">
        <v>146</v>
      </c>
      <c r="F441" s="881">
        <v>1447.3589999999999</v>
      </c>
      <c r="G441" s="881">
        <v>4599.3989000000001</v>
      </c>
      <c r="H441" s="880">
        <v>3.1189495854877101</v>
      </c>
      <c r="I441"/>
      <c r="J441"/>
      <c r="K441"/>
      <c r="L441"/>
    </row>
    <row r="442" spans="1:12" x14ac:dyDescent="0.25">
      <c r="A442" s="519" t="s">
        <v>181</v>
      </c>
      <c r="B442" s="519" t="s">
        <v>284</v>
      </c>
      <c r="C442" s="519" t="s">
        <v>2</v>
      </c>
      <c r="D442" s="519" t="s">
        <v>16</v>
      </c>
      <c r="E442" s="519" t="s">
        <v>145</v>
      </c>
      <c r="F442" s="881">
        <v>1953.5766000000001</v>
      </c>
      <c r="G442" s="881">
        <v>1995.4294</v>
      </c>
      <c r="H442" s="880">
        <v>2.42943163410941</v>
      </c>
      <c r="I442"/>
      <c r="J442"/>
      <c r="K442"/>
      <c r="L442"/>
    </row>
    <row r="443" spans="1:12" x14ac:dyDescent="0.25">
      <c r="A443" s="519" t="s">
        <v>181</v>
      </c>
      <c r="B443" s="519" t="s">
        <v>284</v>
      </c>
      <c r="C443" s="519" t="s">
        <v>2</v>
      </c>
      <c r="D443" s="519" t="s">
        <v>16</v>
      </c>
      <c r="E443" s="519" t="s">
        <v>149</v>
      </c>
      <c r="F443" s="881">
        <v>536.57280000000003</v>
      </c>
      <c r="G443" s="881">
        <v>3457.7550000000001</v>
      </c>
      <c r="H443" s="880">
        <v>1.04365690427215</v>
      </c>
      <c r="I443"/>
      <c r="J443"/>
      <c r="K443"/>
      <c r="L443"/>
    </row>
    <row r="444" spans="1:12" x14ac:dyDescent="0.25">
      <c r="A444" s="519" t="s">
        <v>181</v>
      </c>
      <c r="B444" s="519" t="s">
        <v>284</v>
      </c>
      <c r="C444" s="519" t="s">
        <v>2</v>
      </c>
      <c r="D444" s="519" t="s">
        <v>16</v>
      </c>
      <c r="E444" s="519" t="s">
        <v>148</v>
      </c>
      <c r="F444" s="881">
        <v>873.87450000000001</v>
      </c>
      <c r="G444" s="881">
        <v>713.67830000000004</v>
      </c>
      <c r="H444" s="880">
        <v>3.87503556476014</v>
      </c>
      <c r="I444"/>
      <c r="J444"/>
      <c r="K444"/>
      <c r="L444"/>
    </row>
    <row r="445" spans="1:12" x14ac:dyDescent="0.25">
      <c r="A445" s="519" t="s">
        <v>181</v>
      </c>
      <c r="B445" s="519" t="s">
        <v>284</v>
      </c>
      <c r="C445" s="519" t="s">
        <v>2</v>
      </c>
      <c r="D445" s="519" t="s">
        <v>16</v>
      </c>
      <c r="E445" s="519" t="s">
        <v>150</v>
      </c>
      <c r="F445" s="881">
        <v>825.42150000000004</v>
      </c>
      <c r="G445" s="881">
        <v>1577.2322000000001</v>
      </c>
      <c r="H445" s="880">
        <v>2.4281333074920801</v>
      </c>
      <c r="I445"/>
      <c r="J445"/>
      <c r="K445"/>
      <c r="L445"/>
    </row>
    <row r="446" spans="1:12" x14ac:dyDescent="0.25">
      <c r="A446" s="519" t="s">
        <v>181</v>
      </c>
      <c r="B446" s="519" t="s">
        <v>284</v>
      </c>
      <c r="C446" s="519" t="s">
        <v>2</v>
      </c>
      <c r="D446" s="519" t="s">
        <v>16</v>
      </c>
      <c r="E446" s="519" t="s">
        <v>155</v>
      </c>
      <c r="F446" s="881">
        <v>112.7625</v>
      </c>
      <c r="G446" s="881">
        <v>1461.7453</v>
      </c>
      <c r="H446" s="880">
        <v>1.6152917096824799</v>
      </c>
      <c r="I446"/>
      <c r="J446"/>
      <c r="K446"/>
      <c r="L446"/>
    </row>
    <row r="447" spans="1:12" x14ac:dyDescent="0.25">
      <c r="A447" s="519" t="s">
        <v>181</v>
      </c>
      <c r="B447" s="519" t="s">
        <v>284</v>
      </c>
      <c r="C447" s="519" t="s">
        <v>2</v>
      </c>
      <c r="D447" s="519" t="s">
        <v>17</v>
      </c>
      <c r="E447" s="519" t="s">
        <v>144</v>
      </c>
      <c r="F447" s="881">
        <v>9135.7340999999997</v>
      </c>
      <c r="G447" s="881">
        <v>1283.5009</v>
      </c>
      <c r="H447" s="880">
        <v>10.5292631235166</v>
      </c>
      <c r="I447"/>
      <c r="J447"/>
      <c r="K447"/>
      <c r="L447"/>
    </row>
    <row r="448" spans="1:12" x14ac:dyDescent="0.25">
      <c r="A448" s="519" t="s">
        <v>181</v>
      </c>
      <c r="B448" s="519" t="s">
        <v>284</v>
      </c>
      <c r="C448" s="519" t="s">
        <v>2</v>
      </c>
      <c r="D448" s="519" t="s">
        <v>17</v>
      </c>
      <c r="E448" s="519" t="s">
        <v>146</v>
      </c>
      <c r="F448" s="881">
        <v>6259.2906000000003</v>
      </c>
      <c r="G448" s="881">
        <v>3298.4309000000003</v>
      </c>
      <c r="H448" s="880">
        <v>6.60390973352738</v>
      </c>
      <c r="I448"/>
      <c r="J448"/>
      <c r="K448"/>
      <c r="L448"/>
    </row>
    <row r="449" spans="1:12" x14ac:dyDescent="0.25">
      <c r="A449" s="519" t="s">
        <v>181</v>
      </c>
      <c r="B449" s="519" t="s">
        <v>284</v>
      </c>
      <c r="C449" s="519" t="s">
        <v>2</v>
      </c>
      <c r="D449" s="519" t="s">
        <v>17</v>
      </c>
      <c r="E449" s="519" t="s">
        <v>145</v>
      </c>
      <c r="F449" s="881">
        <v>3991.1322</v>
      </c>
      <c r="G449" s="881">
        <v>3664.2561000000001</v>
      </c>
      <c r="H449" s="880">
        <v>3.5433857713161601</v>
      </c>
      <c r="I449"/>
      <c r="J449"/>
      <c r="K449"/>
      <c r="L449"/>
    </row>
    <row r="450" spans="1:12" x14ac:dyDescent="0.25">
      <c r="A450" s="519" t="s">
        <v>181</v>
      </c>
      <c r="B450" s="519" t="s">
        <v>284</v>
      </c>
      <c r="C450" s="519" t="s">
        <v>285</v>
      </c>
      <c r="D450" s="519" t="s">
        <v>70</v>
      </c>
      <c r="E450" s="519" t="s">
        <v>144</v>
      </c>
      <c r="F450" s="881">
        <v>22826.942999999999</v>
      </c>
      <c r="G450" s="881">
        <v>4063.7503000000002</v>
      </c>
      <c r="H450" s="880">
        <v>15.7260300372361</v>
      </c>
      <c r="I450"/>
      <c r="J450"/>
      <c r="K450"/>
      <c r="L450"/>
    </row>
    <row r="451" spans="1:12" x14ac:dyDescent="0.25">
      <c r="A451" s="519" t="s">
        <v>181</v>
      </c>
      <c r="B451" s="519" t="s">
        <v>284</v>
      </c>
      <c r="C451" s="519" t="s">
        <v>285</v>
      </c>
      <c r="D451" s="519" t="s">
        <v>70</v>
      </c>
      <c r="E451" s="519" t="s">
        <v>146</v>
      </c>
      <c r="F451" s="881">
        <v>17716.1466</v>
      </c>
      <c r="G451" s="881">
        <v>5843.3656000000001</v>
      </c>
      <c r="H451" s="880">
        <v>11.6679461714777</v>
      </c>
      <c r="I451"/>
      <c r="J451"/>
      <c r="K451"/>
      <c r="L451"/>
    </row>
    <row r="452" spans="1:12" x14ac:dyDescent="0.25">
      <c r="A452" s="519" t="s">
        <v>181</v>
      </c>
      <c r="B452" s="519" t="s">
        <v>284</v>
      </c>
      <c r="C452" s="519" t="s">
        <v>285</v>
      </c>
      <c r="D452" s="519" t="s">
        <v>70</v>
      </c>
      <c r="E452" s="519" t="s">
        <v>145</v>
      </c>
      <c r="F452" s="881">
        <v>21170.9385</v>
      </c>
      <c r="G452" s="881">
        <v>4209.6647000000003</v>
      </c>
      <c r="H452" s="880">
        <v>9.7245091021309005</v>
      </c>
      <c r="I452"/>
      <c r="J452"/>
      <c r="K452"/>
      <c r="L452"/>
    </row>
    <row r="453" spans="1:12" x14ac:dyDescent="0.25">
      <c r="A453" s="519" t="s">
        <v>181</v>
      </c>
      <c r="B453" s="519" t="s">
        <v>284</v>
      </c>
      <c r="C453" s="519" t="s">
        <v>285</v>
      </c>
      <c r="D453" s="519" t="s">
        <v>70</v>
      </c>
      <c r="E453" s="519" t="s">
        <v>149</v>
      </c>
      <c r="F453" s="881">
        <v>23073.021000000001</v>
      </c>
      <c r="G453" s="881">
        <v>4216.143</v>
      </c>
      <c r="H453" s="880">
        <v>7.1735620303363099</v>
      </c>
      <c r="I453"/>
      <c r="J453"/>
      <c r="K453"/>
      <c r="L453"/>
    </row>
    <row r="454" spans="1:12" x14ac:dyDescent="0.25">
      <c r="A454" s="519" t="s">
        <v>181</v>
      </c>
      <c r="B454" s="519" t="s">
        <v>284</v>
      </c>
      <c r="C454" s="519" t="s">
        <v>285</v>
      </c>
      <c r="D454" s="519" t="s">
        <v>70</v>
      </c>
      <c r="E454" s="519" t="s">
        <v>152</v>
      </c>
      <c r="F454" s="881">
        <v>37309.163400000005</v>
      </c>
      <c r="G454" s="881">
        <v>15635.628900000002</v>
      </c>
      <c r="H454" s="880">
        <v>21.657115386066902</v>
      </c>
      <c r="I454"/>
      <c r="J454"/>
      <c r="K454"/>
      <c r="L454"/>
    </row>
    <row r="455" spans="1:12" x14ac:dyDescent="0.25">
      <c r="A455" s="519" t="s">
        <v>181</v>
      </c>
      <c r="B455" s="519" t="s">
        <v>284</v>
      </c>
      <c r="C455" s="519" t="s">
        <v>285</v>
      </c>
      <c r="D455" s="519" t="s">
        <v>70</v>
      </c>
      <c r="E455" s="519" t="s">
        <v>155</v>
      </c>
      <c r="F455" s="881">
        <v>25127.288700000001</v>
      </c>
      <c r="G455" s="881">
        <v>5878.7579000000005</v>
      </c>
      <c r="H455" s="880">
        <v>14.812529609299901</v>
      </c>
      <c r="I455"/>
      <c r="J455"/>
      <c r="K455"/>
      <c r="L455"/>
    </row>
    <row r="456" spans="1:12" x14ac:dyDescent="0.25">
      <c r="A456" s="519" t="s">
        <v>181</v>
      </c>
      <c r="B456" s="519" t="s">
        <v>284</v>
      </c>
      <c r="C456" s="519" t="s">
        <v>285</v>
      </c>
      <c r="D456" s="519" t="s">
        <v>70</v>
      </c>
      <c r="E456" s="519" t="s">
        <v>154</v>
      </c>
      <c r="F456" s="881">
        <v>23564.805</v>
      </c>
      <c r="G456" s="881">
        <v>7727.8434000000007</v>
      </c>
      <c r="H456" s="880">
        <v>13.7299824091058</v>
      </c>
      <c r="I456"/>
      <c r="J456"/>
      <c r="K456"/>
      <c r="L456"/>
    </row>
    <row r="457" spans="1:12" x14ac:dyDescent="0.25">
      <c r="A457" s="519" t="s">
        <v>181</v>
      </c>
      <c r="B457" s="519" t="s">
        <v>284</v>
      </c>
      <c r="C457" s="519" t="s">
        <v>285</v>
      </c>
      <c r="D457" s="519" t="s">
        <v>16</v>
      </c>
      <c r="E457" s="519" t="s">
        <v>149</v>
      </c>
      <c r="F457" s="881">
        <v>15084.293100000001</v>
      </c>
      <c r="G457" s="881">
        <v>15138.7528</v>
      </c>
      <c r="H457" s="880">
        <v>9.4511200364836707</v>
      </c>
      <c r="I457"/>
      <c r="J457"/>
      <c r="K457"/>
      <c r="L457"/>
    </row>
    <row r="458" spans="1:12" x14ac:dyDescent="0.25">
      <c r="A458" s="519" t="s">
        <v>181</v>
      </c>
      <c r="B458" s="519" t="s">
        <v>284</v>
      </c>
      <c r="C458" s="519" t="s">
        <v>285</v>
      </c>
      <c r="D458" s="519" t="s">
        <v>16</v>
      </c>
      <c r="E458" s="519" t="s">
        <v>147</v>
      </c>
      <c r="F458" s="881">
        <v>18384.1005</v>
      </c>
      <c r="G458" s="881">
        <v>4109.7269999999999</v>
      </c>
      <c r="H458" s="880">
        <v>6.6447084941123196</v>
      </c>
      <c r="I458"/>
      <c r="J458"/>
      <c r="K458"/>
      <c r="L458"/>
    </row>
    <row r="459" spans="1:12" x14ac:dyDescent="0.25">
      <c r="A459" s="519" t="s">
        <v>181</v>
      </c>
      <c r="B459" s="519" t="s">
        <v>284</v>
      </c>
      <c r="C459" s="519" t="s">
        <v>285</v>
      </c>
      <c r="D459" s="519" t="s">
        <v>16</v>
      </c>
      <c r="E459" s="519" t="s">
        <v>148</v>
      </c>
      <c r="F459" s="881">
        <v>24793.660500000002</v>
      </c>
      <c r="G459" s="881">
        <v>6752.2496000000001</v>
      </c>
      <c r="H459" s="880">
        <v>4.6385530913648099</v>
      </c>
      <c r="I459"/>
      <c r="J459"/>
      <c r="K459"/>
      <c r="L459"/>
    </row>
    <row r="460" spans="1:12" x14ac:dyDescent="0.25">
      <c r="A460" s="519" t="s">
        <v>181</v>
      </c>
      <c r="B460" s="519" t="s">
        <v>284</v>
      </c>
      <c r="C460" s="519" t="s">
        <v>285</v>
      </c>
      <c r="D460" s="519" t="s">
        <v>16</v>
      </c>
      <c r="E460" s="519" t="s">
        <v>152</v>
      </c>
      <c r="F460" s="881">
        <v>51464.9352</v>
      </c>
      <c r="G460" s="881">
        <v>43968.895100000002</v>
      </c>
      <c r="H460" s="880">
        <v>3.02646834432006</v>
      </c>
      <c r="I460"/>
      <c r="J460"/>
      <c r="K460"/>
      <c r="L460"/>
    </row>
    <row r="461" spans="1:12" x14ac:dyDescent="0.25">
      <c r="A461" s="519" t="s">
        <v>181</v>
      </c>
      <c r="B461" s="519" t="s">
        <v>284</v>
      </c>
      <c r="C461" s="519" t="s">
        <v>285</v>
      </c>
      <c r="D461" s="519" t="s">
        <v>16</v>
      </c>
      <c r="E461" s="519" t="s">
        <v>155</v>
      </c>
      <c r="F461" s="881">
        <v>42054.107100000001</v>
      </c>
      <c r="G461" s="881">
        <v>92283.191400000011</v>
      </c>
      <c r="H461" s="880">
        <v>2.8973504001055801</v>
      </c>
      <c r="I461"/>
      <c r="J461"/>
      <c r="K461"/>
      <c r="L461"/>
    </row>
    <row r="462" spans="1:12" x14ac:dyDescent="0.25">
      <c r="A462" s="519" t="s">
        <v>181</v>
      </c>
      <c r="B462" s="519" t="s">
        <v>284</v>
      </c>
      <c r="C462" s="519" t="s">
        <v>285</v>
      </c>
      <c r="D462" s="519" t="s">
        <v>17</v>
      </c>
      <c r="E462" s="519" t="s">
        <v>146</v>
      </c>
      <c r="F462" s="881">
        <v>90051.416400000002</v>
      </c>
      <c r="G462" s="881">
        <v>35741.683499999999</v>
      </c>
      <c r="H462" s="880">
        <v>8.7233812126912902</v>
      </c>
      <c r="I462"/>
      <c r="J462"/>
      <c r="K462"/>
      <c r="L462"/>
    </row>
    <row r="463" spans="1:12" x14ac:dyDescent="0.25">
      <c r="A463" s="519" t="s">
        <v>181</v>
      </c>
      <c r="B463" s="519" t="s">
        <v>284</v>
      </c>
      <c r="C463" s="519" t="s">
        <v>285</v>
      </c>
      <c r="D463" s="519" t="s">
        <v>17</v>
      </c>
      <c r="E463" s="519" t="s">
        <v>145</v>
      </c>
      <c r="F463" s="881">
        <v>96581.699699999997</v>
      </c>
      <c r="G463" s="881">
        <v>25939.287500000002</v>
      </c>
      <c r="H463" s="880">
        <v>6.6636014631355005</v>
      </c>
      <c r="I463"/>
      <c r="J463"/>
      <c r="K463"/>
      <c r="L463"/>
    </row>
    <row r="464" spans="1:12" x14ac:dyDescent="0.25">
      <c r="A464" s="519" t="s">
        <v>181</v>
      </c>
      <c r="B464" s="519" t="s">
        <v>284</v>
      </c>
      <c r="C464" s="519" t="s">
        <v>280</v>
      </c>
      <c r="D464" s="519" t="s">
        <v>70</v>
      </c>
      <c r="E464" s="519" t="s">
        <v>146</v>
      </c>
      <c r="F464" s="881">
        <v>139755.61980000001</v>
      </c>
      <c r="G464" s="881">
        <v>84333.507700000002</v>
      </c>
      <c r="H464" s="880">
        <v>6.26931523047877</v>
      </c>
      <c r="I464"/>
      <c r="J464"/>
      <c r="K464"/>
      <c r="L464"/>
    </row>
    <row r="465" spans="1:12" x14ac:dyDescent="0.25">
      <c r="A465" s="519" t="s">
        <v>181</v>
      </c>
      <c r="B465" s="519" t="s">
        <v>284</v>
      </c>
      <c r="C465" s="519" t="s">
        <v>280</v>
      </c>
      <c r="D465" s="519" t="s">
        <v>70</v>
      </c>
      <c r="E465" s="519" t="s">
        <v>145</v>
      </c>
      <c r="F465" s="881">
        <v>105879.6165</v>
      </c>
      <c r="G465" s="881">
        <v>97894.534400000004</v>
      </c>
      <c r="H465" s="880">
        <v>5.28138504137533</v>
      </c>
      <c r="I465"/>
      <c r="J465"/>
      <c r="K465"/>
      <c r="L465"/>
    </row>
    <row r="466" spans="1:12" x14ac:dyDescent="0.25">
      <c r="A466" s="519" t="s">
        <v>181</v>
      </c>
      <c r="B466" s="519" t="s">
        <v>284</v>
      </c>
      <c r="C466" s="519" t="s">
        <v>280</v>
      </c>
      <c r="D466" s="519" t="s">
        <v>70</v>
      </c>
      <c r="E466" s="519" t="s">
        <v>149</v>
      </c>
      <c r="F466" s="881">
        <v>86532.8079</v>
      </c>
      <c r="G466" s="881">
        <v>91403.684099999999</v>
      </c>
      <c r="H466" s="880">
        <v>5.3457984515861297</v>
      </c>
      <c r="I466"/>
      <c r="J466"/>
      <c r="K466"/>
      <c r="L466"/>
    </row>
    <row r="467" spans="1:12" x14ac:dyDescent="0.25">
      <c r="A467" s="519" t="s">
        <v>181</v>
      </c>
      <c r="B467" s="519" t="s">
        <v>284</v>
      </c>
      <c r="C467" s="519" t="s">
        <v>280</v>
      </c>
      <c r="D467" s="519" t="s">
        <v>70</v>
      </c>
      <c r="E467" s="519" t="s">
        <v>147</v>
      </c>
      <c r="F467" s="881">
        <v>131551.15050000002</v>
      </c>
      <c r="G467" s="881">
        <v>63427.204100000003</v>
      </c>
      <c r="H467" s="880">
        <v>6.3784473729189104</v>
      </c>
      <c r="I467"/>
      <c r="J467"/>
      <c r="K467"/>
      <c r="L467"/>
    </row>
    <row r="468" spans="1:12" x14ac:dyDescent="0.25">
      <c r="A468" s="519" t="s">
        <v>181</v>
      </c>
      <c r="B468" s="519" t="s">
        <v>284</v>
      </c>
      <c r="C468" s="519" t="s">
        <v>280</v>
      </c>
      <c r="D468" s="519" t="s">
        <v>70</v>
      </c>
      <c r="E468" s="519" t="s">
        <v>150</v>
      </c>
      <c r="F468" s="881">
        <v>98604.012600000002</v>
      </c>
      <c r="G468" s="881">
        <v>75139.635699999999</v>
      </c>
      <c r="H468" s="880">
        <v>11.291927457878201</v>
      </c>
      <c r="I468"/>
      <c r="J468"/>
      <c r="K468"/>
      <c r="L468"/>
    </row>
    <row r="469" spans="1:12" x14ac:dyDescent="0.25">
      <c r="A469" s="519" t="s">
        <v>181</v>
      </c>
      <c r="B469" s="519" t="s">
        <v>284</v>
      </c>
      <c r="C469" s="519" t="s">
        <v>280</v>
      </c>
      <c r="D469" s="519" t="s">
        <v>70</v>
      </c>
      <c r="E469" s="519" t="s">
        <v>154</v>
      </c>
      <c r="F469" s="881">
        <v>118139.31360000001</v>
      </c>
      <c r="G469" s="881">
        <v>21127.4944</v>
      </c>
      <c r="H469" s="880">
        <v>8.3500175607852398</v>
      </c>
      <c r="I469"/>
      <c r="J469"/>
      <c r="K469"/>
      <c r="L469"/>
    </row>
    <row r="470" spans="1:12" x14ac:dyDescent="0.25">
      <c r="A470" s="519" t="s">
        <v>181</v>
      </c>
      <c r="B470" s="519" t="s">
        <v>284</v>
      </c>
      <c r="C470" s="519" t="s">
        <v>280</v>
      </c>
      <c r="D470" s="519" t="s">
        <v>70</v>
      </c>
      <c r="E470" s="519" t="s">
        <v>153</v>
      </c>
      <c r="F470" s="881">
        <v>133806.35399999999</v>
      </c>
      <c r="G470" s="881">
        <v>73508.944400000008</v>
      </c>
      <c r="H470" s="880">
        <v>7.3088215422767497</v>
      </c>
      <c r="I470"/>
      <c r="J470"/>
      <c r="K470"/>
      <c r="L470"/>
    </row>
    <row r="471" spans="1:12" x14ac:dyDescent="0.25">
      <c r="A471" s="519" t="s">
        <v>181</v>
      </c>
      <c r="B471" s="519" t="s">
        <v>284</v>
      </c>
      <c r="C471" s="519" t="s">
        <v>285</v>
      </c>
      <c r="D471" s="519" t="s">
        <v>16</v>
      </c>
      <c r="E471" s="519" t="s">
        <v>154</v>
      </c>
      <c r="F471" s="881">
        <v>148560.432</v>
      </c>
      <c r="G471" s="881">
        <v>62413.113900000004</v>
      </c>
      <c r="H471" s="880">
        <v>10.9940665195583</v>
      </c>
      <c r="I471"/>
      <c r="J471"/>
      <c r="K471"/>
      <c r="L471"/>
    </row>
    <row r="472" spans="1:12" x14ac:dyDescent="0.25">
      <c r="A472" s="519" t="s">
        <v>181</v>
      </c>
      <c r="B472" s="519" t="s">
        <v>284</v>
      </c>
      <c r="C472" s="519" t="s">
        <v>285</v>
      </c>
      <c r="D472" s="519" t="s">
        <v>16</v>
      </c>
      <c r="E472" s="519" t="s">
        <v>153</v>
      </c>
      <c r="F472" s="881">
        <v>54483.110700000005</v>
      </c>
      <c r="G472" s="881">
        <v>116375.0613</v>
      </c>
      <c r="H472" s="880">
        <v>9.6701531709381001</v>
      </c>
      <c r="I472"/>
      <c r="J472"/>
      <c r="K472"/>
      <c r="L472"/>
    </row>
    <row r="473" spans="1:12" x14ac:dyDescent="0.25">
      <c r="A473" s="519" t="s">
        <v>181</v>
      </c>
      <c r="B473" s="519" t="s">
        <v>284</v>
      </c>
      <c r="C473" s="519" t="s">
        <v>285</v>
      </c>
      <c r="D473" s="519" t="s">
        <v>17</v>
      </c>
      <c r="E473" s="519" t="s">
        <v>144</v>
      </c>
      <c r="F473" s="881">
        <v>72195.583800000008</v>
      </c>
      <c r="G473" s="881">
        <v>12285.8433</v>
      </c>
      <c r="H473" s="880">
        <v>9.3254499502081494</v>
      </c>
      <c r="I473"/>
      <c r="J473"/>
      <c r="K473"/>
      <c r="L473"/>
    </row>
    <row r="474" spans="1:12" x14ac:dyDescent="0.25">
      <c r="A474" s="519" t="s">
        <v>181</v>
      </c>
      <c r="B474" s="519" t="s">
        <v>284</v>
      </c>
      <c r="C474" s="519" t="s">
        <v>285</v>
      </c>
      <c r="D474" s="519" t="s">
        <v>17</v>
      </c>
      <c r="E474" s="519" t="s">
        <v>149</v>
      </c>
      <c r="F474" s="881">
        <v>63790.4205</v>
      </c>
      <c r="G474" s="881">
        <v>62323.851600000002</v>
      </c>
      <c r="H474" s="880">
        <v>0</v>
      </c>
      <c r="I474"/>
      <c r="J474"/>
      <c r="K474"/>
      <c r="L474"/>
    </row>
    <row r="475" spans="1:12" x14ac:dyDescent="0.25">
      <c r="A475" s="519" t="s">
        <v>181</v>
      </c>
      <c r="B475" s="519" t="s">
        <v>284</v>
      </c>
      <c r="C475" s="519" t="s">
        <v>280</v>
      </c>
      <c r="D475" s="519" t="s">
        <v>70</v>
      </c>
      <c r="E475" s="519" t="s">
        <v>144</v>
      </c>
      <c r="F475" s="881">
        <v>169862.6214</v>
      </c>
      <c r="G475" s="881">
        <v>65601.189200000008</v>
      </c>
      <c r="H475" s="880">
        <v>8.0568510965817506</v>
      </c>
      <c r="I475"/>
      <c r="J475"/>
      <c r="K475"/>
      <c r="L475"/>
    </row>
    <row r="476" spans="1:12" x14ac:dyDescent="0.25">
      <c r="A476" s="519" t="s">
        <v>181</v>
      </c>
      <c r="B476" s="519" t="s">
        <v>284</v>
      </c>
      <c r="C476" s="519" t="s">
        <v>280</v>
      </c>
      <c r="D476" s="519" t="s">
        <v>70</v>
      </c>
      <c r="E476" s="519" t="s">
        <v>148</v>
      </c>
      <c r="F476" s="881">
        <v>114140.7228</v>
      </c>
      <c r="G476" s="881">
        <v>95003.1014</v>
      </c>
      <c r="H476" s="880">
        <v>6.8580576084276696</v>
      </c>
      <c r="I476"/>
      <c r="J476"/>
      <c r="K476"/>
      <c r="L476"/>
    </row>
    <row r="477" spans="1:12" x14ac:dyDescent="0.25">
      <c r="A477" s="519" t="s">
        <v>181</v>
      </c>
      <c r="B477" s="519" t="s">
        <v>284</v>
      </c>
      <c r="C477" s="519" t="s">
        <v>280</v>
      </c>
      <c r="D477" s="519" t="s">
        <v>70</v>
      </c>
      <c r="E477" s="519" t="s">
        <v>151</v>
      </c>
      <c r="F477" s="881">
        <v>114445.2699</v>
      </c>
      <c r="G477" s="881">
        <v>75612.504400000005</v>
      </c>
      <c r="H477" s="880">
        <v>7.1430705016047904</v>
      </c>
      <c r="I477"/>
      <c r="J477"/>
      <c r="K477"/>
      <c r="L477"/>
    </row>
    <row r="478" spans="1:12" x14ac:dyDescent="0.25">
      <c r="A478" s="519" t="s">
        <v>181</v>
      </c>
      <c r="B478" s="519" t="s">
        <v>284</v>
      </c>
      <c r="C478" s="519" t="s">
        <v>280</v>
      </c>
      <c r="D478" s="519" t="s">
        <v>70</v>
      </c>
      <c r="E478" s="519" t="s">
        <v>152</v>
      </c>
      <c r="F478" s="881">
        <v>111388.5273</v>
      </c>
      <c r="G478" s="881">
        <v>64764.506700000005</v>
      </c>
      <c r="H478" s="880">
        <v>9.5751251643924196</v>
      </c>
      <c r="I478"/>
      <c r="J478"/>
      <c r="K478"/>
      <c r="L478"/>
    </row>
    <row r="479" spans="1:12" x14ac:dyDescent="0.25">
      <c r="A479" s="519" t="s">
        <v>181</v>
      </c>
      <c r="B479" s="519" t="s">
        <v>284</v>
      </c>
      <c r="C479" s="519" t="s">
        <v>280</v>
      </c>
      <c r="D479" s="519" t="s">
        <v>70</v>
      </c>
      <c r="E479" s="519" t="s">
        <v>155</v>
      </c>
      <c r="F479" s="881">
        <v>99395.944800000012</v>
      </c>
      <c r="G479" s="881">
        <v>31457.740100000003</v>
      </c>
      <c r="H479" s="880">
        <v>9.03190507329845</v>
      </c>
      <c r="I479"/>
      <c r="J479"/>
      <c r="K479"/>
      <c r="L479"/>
    </row>
    <row r="480" spans="1:12" x14ac:dyDescent="0.25">
      <c r="A480" s="519" t="s">
        <v>181</v>
      </c>
      <c r="B480" s="519" t="s">
        <v>284</v>
      </c>
      <c r="C480" s="519" t="s">
        <v>280</v>
      </c>
      <c r="D480" s="519" t="s">
        <v>16</v>
      </c>
      <c r="E480" s="519" t="s">
        <v>145</v>
      </c>
      <c r="F480" s="881">
        <v>170485.7493</v>
      </c>
      <c r="G480" s="881">
        <v>75779.064700000003</v>
      </c>
      <c r="H480" s="880">
        <v>4.6138517170935103</v>
      </c>
      <c r="I480"/>
      <c r="J480"/>
      <c r="K480"/>
      <c r="L480"/>
    </row>
    <row r="481" spans="1:12" x14ac:dyDescent="0.25">
      <c r="A481" s="519" t="s">
        <v>181</v>
      </c>
      <c r="B481" s="519" t="s">
        <v>284</v>
      </c>
      <c r="C481" s="519" t="s">
        <v>280</v>
      </c>
      <c r="D481" s="519" t="s">
        <v>16</v>
      </c>
      <c r="E481" s="519" t="s">
        <v>147</v>
      </c>
      <c r="F481" s="881">
        <v>259628.2488</v>
      </c>
      <c r="G481" s="881">
        <v>39043.991900000001</v>
      </c>
      <c r="H481" s="880">
        <v>8.1386138637228491</v>
      </c>
      <c r="I481"/>
      <c r="J481"/>
      <c r="K481"/>
      <c r="L481"/>
    </row>
    <row r="482" spans="1:12" x14ac:dyDescent="0.25">
      <c r="A482" s="519" t="s">
        <v>181</v>
      </c>
      <c r="B482" s="519" t="s">
        <v>284</v>
      </c>
      <c r="C482" s="519" t="s">
        <v>280</v>
      </c>
      <c r="D482" s="519" t="s">
        <v>16</v>
      </c>
      <c r="E482" s="519" t="s">
        <v>148</v>
      </c>
      <c r="F482" s="881">
        <v>248033.33430000002</v>
      </c>
      <c r="G482" s="881">
        <v>161472.14350000001</v>
      </c>
      <c r="H482" s="880">
        <v>9.0094139342433106</v>
      </c>
      <c r="I482"/>
      <c r="J482"/>
      <c r="K482"/>
      <c r="L482"/>
    </row>
    <row r="483" spans="1:12" x14ac:dyDescent="0.25">
      <c r="A483" s="519" t="s">
        <v>181</v>
      </c>
      <c r="B483" s="519" t="s">
        <v>284</v>
      </c>
      <c r="C483" s="519" t="s">
        <v>280</v>
      </c>
      <c r="D483" s="519" t="s">
        <v>16</v>
      </c>
      <c r="E483" s="519" t="s">
        <v>150</v>
      </c>
      <c r="F483" s="881">
        <v>303256.32510000002</v>
      </c>
      <c r="G483" s="881">
        <v>116812.10550000001</v>
      </c>
      <c r="H483" s="880">
        <v>17.395323446956702</v>
      </c>
      <c r="I483"/>
      <c r="J483"/>
      <c r="K483"/>
      <c r="L483"/>
    </row>
    <row r="484" spans="1:12" x14ac:dyDescent="0.25">
      <c r="A484" s="519" t="s">
        <v>181</v>
      </c>
      <c r="B484" s="519" t="s">
        <v>284</v>
      </c>
      <c r="C484" s="519" t="s">
        <v>280</v>
      </c>
      <c r="D484" s="519" t="s">
        <v>17</v>
      </c>
      <c r="E484" s="519" t="s">
        <v>146</v>
      </c>
      <c r="F484" s="881">
        <v>286721.39010000002</v>
      </c>
      <c r="G484" s="881">
        <v>157330.78470000002</v>
      </c>
      <c r="H484" s="880">
        <v>8.7173108254511291</v>
      </c>
      <c r="I484"/>
      <c r="J484"/>
      <c r="K484"/>
      <c r="L484"/>
    </row>
    <row r="485" spans="1:12" x14ac:dyDescent="0.25">
      <c r="A485" s="519" t="s">
        <v>181</v>
      </c>
      <c r="B485" s="519" t="s">
        <v>284</v>
      </c>
      <c r="C485" s="519" t="s">
        <v>289</v>
      </c>
      <c r="D485" s="519" t="s">
        <v>70</v>
      </c>
      <c r="E485" s="519" t="s">
        <v>144</v>
      </c>
      <c r="F485" s="881">
        <v>31393.219500000003</v>
      </c>
      <c r="G485" s="881">
        <v>16557.491099999999</v>
      </c>
      <c r="H485" s="880">
        <v>3.9149234152498398</v>
      </c>
      <c r="I485"/>
      <c r="J485"/>
      <c r="K485"/>
      <c r="L485"/>
    </row>
    <row r="486" spans="1:12" x14ac:dyDescent="0.25">
      <c r="A486" s="519" t="s">
        <v>181</v>
      </c>
      <c r="B486" s="519" t="s">
        <v>284</v>
      </c>
      <c r="C486" s="519" t="s">
        <v>289</v>
      </c>
      <c r="D486" s="519" t="s">
        <v>70</v>
      </c>
      <c r="E486" s="519" t="s">
        <v>145</v>
      </c>
      <c r="F486" s="881">
        <v>53043.321900000003</v>
      </c>
      <c r="G486" s="881">
        <v>43599.6178</v>
      </c>
      <c r="H486" s="880">
        <v>5.5368623890305804</v>
      </c>
      <c r="I486"/>
      <c r="J486"/>
      <c r="K486"/>
      <c r="L486"/>
    </row>
    <row r="487" spans="1:12" x14ac:dyDescent="0.25">
      <c r="A487" s="519" t="s">
        <v>181</v>
      </c>
      <c r="B487" s="519" t="s">
        <v>284</v>
      </c>
      <c r="C487" s="519" t="s">
        <v>289</v>
      </c>
      <c r="D487" s="519" t="s">
        <v>70</v>
      </c>
      <c r="E487" s="519" t="s">
        <v>149</v>
      </c>
      <c r="F487" s="881">
        <v>54075.8079</v>
      </c>
      <c r="G487" s="881">
        <v>45124.168100000003</v>
      </c>
      <c r="H487" s="880">
        <v>8.1994973693063997</v>
      </c>
      <c r="I487"/>
      <c r="J487"/>
      <c r="K487"/>
      <c r="L487"/>
    </row>
    <row r="488" spans="1:12" x14ac:dyDescent="0.25">
      <c r="A488" s="519" t="s">
        <v>181</v>
      </c>
      <c r="B488" s="519" t="s">
        <v>284</v>
      </c>
      <c r="C488" s="519" t="s">
        <v>289</v>
      </c>
      <c r="D488" s="519" t="s">
        <v>70</v>
      </c>
      <c r="E488" s="519" t="s">
        <v>147</v>
      </c>
      <c r="F488" s="881">
        <v>42582.607500000006</v>
      </c>
      <c r="G488" s="881">
        <v>27531.244900000002</v>
      </c>
      <c r="H488" s="880">
        <v>10.189471083750099</v>
      </c>
      <c r="I488"/>
      <c r="J488"/>
      <c r="K488"/>
      <c r="L488"/>
    </row>
    <row r="489" spans="1:12" x14ac:dyDescent="0.25">
      <c r="A489" s="519" t="s">
        <v>181</v>
      </c>
      <c r="B489" s="519" t="s">
        <v>284</v>
      </c>
      <c r="C489" s="519" t="s">
        <v>289</v>
      </c>
      <c r="D489" s="519" t="s">
        <v>70</v>
      </c>
      <c r="E489" s="519" t="s">
        <v>148</v>
      </c>
      <c r="F489" s="881">
        <v>19959.855299999999</v>
      </c>
      <c r="G489" s="881">
        <v>29270.8547</v>
      </c>
      <c r="H489" s="880">
        <v>8.8310633492564605</v>
      </c>
      <c r="I489"/>
      <c r="J489"/>
      <c r="K489"/>
      <c r="L489"/>
    </row>
    <row r="490" spans="1:12" x14ac:dyDescent="0.25">
      <c r="A490" s="519" t="s">
        <v>181</v>
      </c>
      <c r="B490" s="519" t="s">
        <v>284</v>
      </c>
      <c r="C490" s="519" t="s">
        <v>289</v>
      </c>
      <c r="D490" s="519" t="s">
        <v>70</v>
      </c>
      <c r="E490" s="519" t="s">
        <v>151</v>
      </c>
      <c r="F490" s="881">
        <v>22612.094400000002</v>
      </c>
      <c r="G490" s="881">
        <v>9871.9001000000007</v>
      </c>
      <c r="H490" s="880">
        <v>8.2311277134682594</v>
      </c>
      <c r="I490"/>
      <c r="J490"/>
      <c r="K490"/>
      <c r="L490"/>
    </row>
    <row r="491" spans="1:12" x14ac:dyDescent="0.25">
      <c r="A491" s="519" t="s">
        <v>181</v>
      </c>
      <c r="B491" s="519" t="s">
        <v>284</v>
      </c>
      <c r="C491" s="519" t="s">
        <v>289</v>
      </c>
      <c r="D491" s="519" t="s">
        <v>70</v>
      </c>
      <c r="E491" s="519" t="s">
        <v>152</v>
      </c>
      <c r="F491" s="881">
        <v>19321.001100000001</v>
      </c>
      <c r="G491" s="881">
        <v>9305.8419000000013</v>
      </c>
      <c r="H491" s="880">
        <v>6.99484013281287</v>
      </c>
      <c r="I491"/>
      <c r="J491"/>
      <c r="K491"/>
      <c r="L491"/>
    </row>
    <row r="492" spans="1:12" x14ac:dyDescent="0.25">
      <c r="A492" s="519" t="s">
        <v>181</v>
      </c>
      <c r="B492" s="519" t="s">
        <v>284</v>
      </c>
      <c r="C492" s="519" t="s">
        <v>289</v>
      </c>
      <c r="D492" s="519" t="s">
        <v>70</v>
      </c>
      <c r="E492" s="519" t="s">
        <v>150</v>
      </c>
      <c r="F492" s="881">
        <v>12773.7081</v>
      </c>
      <c r="G492" s="881">
        <v>14554.827500000001</v>
      </c>
      <c r="H492" s="880">
        <v>9.0433452274674195</v>
      </c>
      <c r="I492"/>
      <c r="J492"/>
      <c r="K492"/>
      <c r="L492"/>
    </row>
    <row r="493" spans="1:12" x14ac:dyDescent="0.25">
      <c r="A493" s="519" t="s">
        <v>181</v>
      </c>
      <c r="B493" s="519" t="s">
        <v>284</v>
      </c>
      <c r="C493" s="519" t="s">
        <v>289</v>
      </c>
      <c r="D493" s="519" t="s">
        <v>70</v>
      </c>
      <c r="E493" s="519" t="s">
        <v>154</v>
      </c>
      <c r="F493" s="881">
        <v>11818.8771</v>
      </c>
      <c r="G493" s="881">
        <v>4037.6971000000003</v>
      </c>
      <c r="H493" s="880">
        <v>4.5216925184593801</v>
      </c>
      <c r="I493"/>
      <c r="J493"/>
      <c r="K493"/>
      <c r="L493"/>
    </row>
    <row r="494" spans="1:12" x14ac:dyDescent="0.25">
      <c r="A494" s="519" t="s">
        <v>181</v>
      </c>
      <c r="B494" s="519" t="s">
        <v>284</v>
      </c>
      <c r="C494" s="519" t="s">
        <v>289</v>
      </c>
      <c r="D494" s="519" t="s">
        <v>16</v>
      </c>
      <c r="E494" s="519" t="s">
        <v>149</v>
      </c>
      <c r="F494" s="881">
        <v>52886.7192</v>
      </c>
      <c r="G494" s="881">
        <v>69912.702300000004</v>
      </c>
      <c r="H494" s="880">
        <v>7.4387899503285402</v>
      </c>
      <c r="I494"/>
      <c r="J494"/>
      <c r="K494"/>
      <c r="L494"/>
    </row>
    <row r="495" spans="1:12" x14ac:dyDescent="0.25">
      <c r="A495" s="519" t="s">
        <v>181</v>
      </c>
      <c r="B495" s="519" t="s">
        <v>284</v>
      </c>
      <c r="C495" s="519" t="s">
        <v>289</v>
      </c>
      <c r="D495" s="519" t="s">
        <v>16</v>
      </c>
      <c r="E495" s="519" t="s">
        <v>151</v>
      </c>
      <c r="F495" s="881">
        <v>57883.813800000004</v>
      </c>
      <c r="G495" s="881">
        <v>19316.632100000003</v>
      </c>
      <c r="H495" s="880">
        <v>21.391288518327201</v>
      </c>
      <c r="I495"/>
      <c r="J495"/>
      <c r="K495"/>
      <c r="L495"/>
    </row>
    <row r="496" spans="1:12" x14ac:dyDescent="0.25">
      <c r="A496" s="519" t="s">
        <v>181</v>
      </c>
      <c r="B496" s="519" t="s">
        <v>284</v>
      </c>
      <c r="C496" s="519" t="s">
        <v>289</v>
      </c>
      <c r="D496" s="519" t="s">
        <v>16</v>
      </c>
      <c r="E496" s="519" t="s">
        <v>152</v>
      </c>
      <c r="F496" s="881">
        <v>46098.267899999999</v>
      </c>
      <c r="G496" s="881">
        <v>17026.857400000001</v>
      </c>
      <c r="H496" s="880">
        <v>17.7950318681124</v>
      </c>
      <c r="I496"/>
      <c r="J496"/>
      <c r="K496"/>
      <c r="L496"/>
    </row>
    <row r="497" spans="1:12" x14ac:dyDescent="0.25">
      <c r="A497" s="519" t="s">
        <v>181</v>
      </c>
      <c r="B497" s="519" t="s">
        <v>284</v>
      </c>
      <c r="C497" s="519" t="s">
        <v>289</v>
      </c>
      <c r="D497" s="519" t="s">
        <v>16</v>
      </c>
      <c r="E497" s="519" t="s">
        <v>155</v>
      </c>
      <c r="F497" s="881">
        <v>52853.6391</v>
      </c>
      <c r="G497" s="881">
        <v>6406.3796000000002</v>
      </c>
      <c r="H497" s="880">
        <v>12.231611320998301</v>
      </c>
      <c r="I497"/>
      <c r="J497"/>
      <c r="K497"/>
      <c r="L497"/>
    </row>
    <row r="498" spans="1:12" x14ac:dyDescent="0.25">
      <c r="A498" s="519" t="s">
        <v>181</v>
      </c>
      <c r="B498" s="519" t="s">
        <v>284</v>
      </c>
      <c r="C498" s="519" t="s">
        <v>289</v>
      </c>
      <c r="D498" s="519" t="s">
        <v>17</v>
      </c>
      <c r="E498" s="519" t="s">
        <v>144</v>
      </c>
      <c r="F498" s="881">
        <v>110167.59540000001</v>
      </c>
      <c r="G498" s="881">
        <v>35854.555400000005</v>
      </c>
      <c r="H498" s="880">
        <v>4.0286056268180603</v>
      </c>
      <c r="I498"/>
      <c r="J498"/>
      <c r="K498"/>
      <c r="L498"/>
    </row>
    <row r="499" spans="1:12" x14ac:dyDescent="0.25">
      <c r="A499" s="519" t="s">
        <v>181</v>
      </c>
      <c r="B499" s="519" t="s">
        <v>284</v>
      </c>
      <c r="C499" s="519" t="s">
        <v>289</v>
      </c>
      <c r="D499" s="519" t="s">
        <v>17</v>
      </c>
      <c r="E499" s="519" t="s">
        <v>145</v>
      </c>
      <c r="F499" s="881">
        <v>95252.348400000003</v>
      </c>
      <c r="G499" s="881">
        <v>83785.781499999997</v>
      </c>
      <c r="H499" s="880">
        <v>6.3407993686414699</v>
      </c>
      <c r="I499"/>
      <c r="J499"/>
      <c r="K499"/>
      <c r="L499"/>
    </row>
    <row r="500" spans="1:12" x14ac:dyDescent="0.25">
      <c r="A500" s="519" t="s">
        <v>181</v>
      </c>
      <c r="B500" s="519" t="s">
        <v>284</v>
      </c>
      <c r="C500" s="519" t="s">
        <v>289</v>
      </c>
      <c r="D500" s="519" t="s">
        <v>17</v>
      </c>
      <c r="E500" s="519" t="s">
        <v>149</v>
      </c>
      <c r="F500" s="881">
        <v>78590.161500000002</v>
      </c>
      <c r="G500" s="881">
        <v>64595.183400000002</v>
      </c>
      <c r="H500" s="880">
        <v>0</v>
      </c>
      <c r="I500"/>
      <c r="J500"/>
      <c r="K500"/>
      <c r="L500"/>
    </row>
    <row r="501" spans="1:12" x14ac:dyDescent="0.25">
      <c r="A501" s="519" t="s">
        <v>181</v>
      </c>
      <c r="B501" s="519" t="s">
        <v>284</v>
      </c>
      <c r="C501" s="519" t="s">
        <v>3</v>
      </c>
      <c r="D501" s="519" t="s">
        <v>70</v>
      </c>
      <c r="E501" s="519" t="s">
        <v>146</v>
      </c>
      <c r="F501" s="881">
        <v>47338.953000000001</v>
      </c>
      <c r="G501" s="881">
        <v>40751.443899999998</v>
      </c>
      <c r="H501" s="880">
        <v>21.818816492286501</v>
      </c>
      <c r="I501"/>
      <c r="J501"/>
      <c r="K501"/>
      <c r="L501"/>
    </row>
    <row r="502" spans="1:12" x14ac:dyDescent="0.25">
      <c r="A502" s="519" t="s">
        <v>181</v>
      </c>
      <c r="B502" s="519" t="s">
        <v>284</v>
      </c>
      <c r="C502" s="519" t="s">
        <v>3</v>
      </c>
      <c r="D502" s="519" t="s">
        <v>70</v>
      </c>
      <c r="E502" s="519" t="s">
        <v>149</v>
      </c>
      <c r="F502" s="881">
        <v>45921.567900000002</v>
      </c>
      <c r="G502" s="881">
        <v>-3363.4369000000002</v>
      </c>
      <c r="H502" s="880">
        <v>14.8430321171092</v>
      </c>
      <c r="I502"/>
      <c r="J502"/>
      <c r="K502"/>
      <c r="L502"/>
    </row>
    <row r="503" spans="1:12" x14ac:dyDescent="0.25">
      <c r="A503" s="519" t="s">
        <v>181</v>
      </c>
      <c r="B503" s="519" t="s">
        <v>284</v>
      </c>
      <c r="C503" s="519" t="s">
        <v>3</v>
      </c>
      <c r="D503" s="519" t="s">
        <v>70</v>
      </c>
      <c r="E503" s="519" t="s">
        <v>147</v>
      </c>
      <c r="F503" s="881">
        <v>60859.107000000004</v>
      </c>
      <c r="G503" s="881">
        <v>7308.4801000000007</v>
      </c>
      <c r="H503" s="880">
        <v>14.1661957962051</v>
      </c>
      <c r="I503"/>
      <c r="J503"/>
      <c r="K503"/>
      <c r="L503"/>
    </row>
    <row r="504" spans="1:12" x14ac:dyDescent="0.25">
      <c r="A504" s="519" t="s">
        <v>181</v>
      </c>
      <c r="B504" s="519" t="s">
        <v>284</v>
      </c>
      <c r="C504" s="519" t="s">
        <v>3</v>
      </c>
      <c r="D504" s="519" t="s">
        <v>70</v>
      </c>
      <c r="E504" s="519" t="s">
        <v>151</v>
      </c>
      <c r="F504" s="881">
        <v>39723.806100000002</v>
      </c>
      <c r="G504" s="881">
        <v>14228.7541</v>
      </c>
      <c r="H504" s="880">
        <v>6.4617924982877097</v>
      </c>
      <c r="I504"/>
      <c r="J504"/>
      <c r="K504"/>
      <c r="L504"/>
    </row>
    <row r="505" spans="1:12" x14ac:dyDescent="0.25">
      <c r="A505" s="519" t="s">
        <v>181</v>
      </c>
      <c r="B505" s="519" t="s">
        <v>284</v>
      </c>
      <c r="C505" s="519" t="s">
        <v>3</v>
      </c>
      <c r="D505" s="519" t="s">
        <v>70</v>
      </c>
      <c r="E505" s="519" t="s">
        <v>152</v>
      </c>
      <c r="F505" s="881">
        <v>27888.477300000002</v>
      </c>
      <c r="G505" s="881">
        <v>27161.759600000001</v>
      </c>
      <c r="H505" s="880">
        <v>5.2446094712952096</v>
      </c>
      <c r="I505"/>
      <c r="J505"/>
      <c r="K505"/>
      <c r="L505"/>
    </row>
    <row r="506" spans="1:12" x14ac:dyDescent="0.25">
      <c r="A506" s="519" t="s">
        <v>181</v>
      </c>
      <c r="B506" s="519" t="s">
        <v>284</v>
      </c>
      <c r="C506" s="519" t="s">
        <v>3</v>
      </c>
      <c r="D506" s="519" t="s">
        <v>70</v>
      </c>
      <c r="E506" s="519" t="s">
        <v>150</v>
      </c>
      <c r="F506" s="881">
        <v>22950.781800000001</v>
      </c>
      <c r="G506" s="881">
        <v>24987.042000000001</v>
      </c>
      <c r="H506" s="880">
        <v>8.9503423334138894</v>
      </c>
      <c r="I506"/>
      <c r="J506"/>
      <c r="K506"/>
      <c r="L506"/>
    </row>
    <row r="507" spans="1:12" x14ac:dyDescent="0.25">
      <c r="A507" s="519" t="s">
        <v>181</v>
      </c>
      <c r="B507" s="519" t="s">
        <v>284</v>
      </c>
      <c r="C507" s="519" t="s">
        <v>3</v>
      </c>
      <c r="D507" s="519" t="s">
        <v>70</v>
      </c>
      <c r="E507" s="519" t="s">
        <v>155</v>
      </c>
      <c r="F507" s="881">
        <v>30760.177800000001</v>
      </c>
      <c r="G507" s="881">
        <v>13207.7564</v>
      </c>
      <c r="H507" s="880">
        <v>9.8376637199982806</v>
      </c>
      <c r="I507"/>
      <c r="J507"/>
      <c r="K507"/>
      <c r="L507"/>
    </row>
    <row r="508" spans="1:12" x14ac:dyDescent="0.25">
      <c r="A508" s="519" t="s">
        <v>181</v>
      </c>
      <c r="B508" s="519" t="s">
        <v>284</v>
      </c>
      <c r="C508" s="519" t="s">
        <v>3</v>
      </c>
      <c r="D508" s="519" t="s">
        <v>70</v>
      </c>
      <c r="E508" s="519" t="s">
        <v>154</v>
      </c>
      <c r="F508" s="881">
        <v>29811.6522</v>
      </c>
      <c r="G508" s="881">
        <v>8895.4722000000002</v>
      </c>
      <c r="H508" s="880">
        <v>6.3957666249668703</v>
      </c>
      <c r="I508"/>
      <c r="J508"/>
      <c r="K508"/>
      <c r="L508"/>
    </row>
    <row r="509" spans="1:12" x14ac:dyDescent="0.25">
      <c r="A509" s="519" t="s">
        <v>181</v>
      </c>
      <c r="B509" s="519" t="s">
        <v>284</v>
      </c>
      <c r="C509" s="519" t="s">
        <v>3</v>
      </c>
      <c r="D509" s="519" t="s">
        <v>16</v>
      </c>
      <c r="E509" s="519" t="s">
        <v>144</v>
      </c>
      <c r="F509" s="881">
        <v>51426.1728</v>
      </c>
      <c r="G509" s="881">
        <v>39822.578600000001</v>
      </c>
      <c r="H509" s="880">
        <v>4.76148018499181</v>
      </c>
      <c r="I509"/>
      <c r="J509"/>
      <c r="K509"/>
      <c r="L509"/>
    </row>
    <row r="510" spans="1:12" x14ac:dyDescent="0.25">
      <c r="A510" s="519" t="s">
        <v>181</v>
      </c>
      <c r="B510" s="519" t="s">
        <v>284</v>
      </c>
      <c r="C510" s="519" t="s">
        <v>3</v>
      </c>
      <c r="D510" s="519" t="s">
        <v>16</v>
      </c>
      <c r="E510" s="519" t="s">
        <v>145</v>
      </c>
      <c r="F510" s="881">
        <v>50629.804500000006</v>
      </c>
      <c r="G510" s="881">
        <v>27172.403600000001</v>
      </c>
      <c r="H510" s="880">
        <v>10.099095427011401</v>
      </c>
      <c r="I510"/>
      <c r="J510"/>
      <c r="K510"/>
      <c r="L510"/>
    </row>
    <row r="511" spans="1:12" x14ac:dyDescent="0.25">
      <c r="A511" s="519" t="s">
        <v>181</v>
      </c>
      <c r="B511" s="519" t="s">
        <v>284</v>
      </c>
      <c r="C511" s="519" t="s">
        <v>3</v>
      </c>
      <c r="D511" s="519" t="s">
        <v>16</v>
      </c>
      <c r="E511" s="519" t="s">
        <v>149</v>
      </c>
      <c r="F511" s="881">
        <v>45599.053200000002</v>
      </c>
      <c r="G511" s="881">
        <v>29764.752</v>
      </c>
      <c r="H511" s="880">
        <v>9.1184272507823998</v>
      </c>
      <c r="I511"/>
      <c r="J511"/>
      <c r="K511"/>
      <c r="L511"/>
    </row>
    <row r="512" spans="1:12" x14ac:dyDescent="0.25">
      <c r="A512" s="519" t="s">
        <v>181</v>
      </c>
      <c r="B512" s="519" t="s">
        <v>284</v>
      </c>
      <c r="C512" s="519" t="s">
        <v>3</v>
      </c>
      <c r="D512" s="519" t="s">
        <v>16</v>
      </c>
      <c r="E512" s="519" t="s">
        <v>147</v>
      </c>
      <c r="F512" s="881">
        <v>57541.285500000005</v>
      </c>
      <c r="G512" s="881">
        <v>9807.3934000000008</v>
      </c>
      <c r="H512" s="880">
        <v>7.5861858629080796</v>
      </c>
      <c r="I512"/>
      <c r="J512"/>
      <c r="K512"/>
      <c r="L512"/>
    </row>
    <row r="513" spans="1:12" x14ac:dyDescent="0.25">
      <c r="A513" s="519" t="s">
        <v>181</v>
      </c>
      <c r="B513" s="519" t="s">
        <v>284</v>
      </c>
      <c r="C513" s="519" t="s">
        <v>3</v>
      </c>
      <c r="D513" s="519" t="s">
        <v>16</v>
      </c>
      <c r="E513" s="519" t="s">
        <v>148</v>
      </c>
      <c r="F513" s="881">
        <v>54149.594100000002</v>
      </c>
      <c r="G513" s="881">
        <v>31717.750100000001</v>
      </c>
      <c r="H513" s="880">
        <v>5.4311729467951597</v>
      </c>
      <c r="I513"/>
      <c r="J513"/>
      <c r="K513"/>
      <c r="L513"/>
    </row>
    <row r="514" spans="1:12" x14ac:dyDescent="0.25">
      <c r="A514" s="519" t="s">
        <v>181</v>
      </c>
      <c r="B514" s="519" t="s">
        <v>284</v>
      </c>
      <c r="C514" s="519" t="s">
        <v>3</v>
      </c>
      <c r="D514" s="519" t="s">
        <v>16</v>
      </c>
      <c r="E514" s="519" t="s">
        <v>151</v>
      </c>
      <c r="F514" s="881">
        <v>68847.890700000004</v>
      </c>
      <c r="G514" s="881">
        <v>33790.298800000004</v>
      </c>
      <c r="H514" s="880">
        <v>3.8252243143086502</v>
      </c>
      <c r="I514"/>
      <c r="J514"/>
      <c r="K514"/>
      <c r="L514"/>
    </row>
    <row r="515" spans="1:12" x14ac:dyDescent="0.25">
      <c r="A515" s="519" t="s">
        <v>181</v>
      </c>
      <c r="B515" s="519" t="s">
        <v>284</v>
      </c>
      <c r="C515" s="519" t="s">
        <v>3</v>
      </c>
      <c r="D515" s="519" t="s">
        <v>16</v>
      </c>
      <c r="E515" s="519" t="s">
        <v>150</v>
      </c>
      <c r="F515" s="881">
        <v>74641.195500000002</v>
      </c>
      <c r="G515" s="881">
        <v>86740.65860000001</v>
      </c>
      <c r="H515" s="880">
        <v>14.493503717992601</v>
      </c>
      <c r="I515"/>
      <c r="J515"/>
      <c r="K515"/>
      <c r="L515"/>
    </row>
    <row r="516" spans="1:12" x14ac:dyDescent="0.25">
      <c r="A516" s="519" t="s">
        <v>181</v>
      </c>
      <c r="B516" s="519" t="s">
        <v>284</v>
      </c>
      <c r="C516" s="519" t="s">
        <v>3</v>
      </c>
      <c r="D516" s="519" t="s">
        <v>16</v>
      </c>
      <c r="E516" s="519" t="s">
        <v>155</v>
      </c>
      <c r="F516" s="881">
        <v>95669.276700000002</v>
      </c>
      <c r="G516" s="881">
        <v>14568.658300000001</v>
      </c>
      <c r="H516" s="880">
        <v>12.6404710988177</v>
      </c>
      <c r="I516"/>
      <c r="J516"/>
      <c r="K516"/>
      <c r="L516"/>
    </row>
    <row r="517" spans="1:12" x14ac:dyDescent="0.25">
      <c r="A517" s="519" t="s">
        <v>181</v>
      </c>
      <c r="B517" s="519" t="s">
        <v>284</v>
      </c>
      <c r="C517" s="519" t="s">
        <v>3</v>
      </c>
      <c r="D517" s="519" t="s">
        <v>16</v>
      </c>
      <c r="E517" s="519" t="s">
        <v>154</v>
      </c>
      <c r="F517" s="881">
        <v>107129.769</v>
      </c>
      <c r="G517" s="881">
        <v>22476.231100000001</v>
      </c>
      <c r="H517" s="880">
        <v>9.3647749590697593</v>
      </c>
      <c r="I517"/>
      <c r="J517"/>
      <c r="K517"/>
      <c r="L517"/>
    </row>
    <row r="518" spans="1:12" x14ac:dyDescent="0.25">
      <c r="A518" s="519" t="s">
        <v>181</v>
      </c>
      <c r="B518" s="519" t="s">
        <v>284</v>
      </c>
      <c r="C518" s="519" t="s">
        <v>3</v>
      </c>
      <c r="D518" s="519" t="s">
        <v>16</v>
      </c>
      <c r="E518" s="519" t="s">
        <v>153</v>
      </c>
      <c r="F518" s="881">
        <v>172767.1323</v>
      </c>
      <c r="G518" s="881">
        <v>14415.1484</v>
      </c>
      <c r="H518" s="880">
        <v>7.0946010443053398</v>
      </c>
      <c r="I518"/>
      <c r="J518"/>
      <c r="K518"/>
      <c r="L518"/>
    </row>
    <row r="519" spans="1:12" x14ac:dyDescent="0.25">
      <c r="A519" s="519" t="s">
        <v>181</v>
      </c>
      <c r="B519" s="519" t="s">
        <v>284</v>
      </c>
      <c r="C519" s="519" t="s">
        <v>3</v>
      </c>
      <c r="D519" s="519" t="s">
        <v>17</v>
      </c>
      <c r="E519" s="519" t="s">
        <v>149</v>
      </c>
      <c r="F519" s="881">
        <v>144795.978</v>
      </c>
      <c r="G519" s="881">
        <v>116964.11970000001</v>
      </c>
      <c r="H519" s="880">
        <v>0</v>
      </c>
      <c r="I519"/>
      <c r="J519"/>
      <c r="K519"/>
      <c r="L519"/>
    </row>
    <row r="520" spans="1:12" x14ac:dyDescent="0.25">
      <c r="A520" s="519" t="s">
        <v>181</v>
      </c>
      <c r="B520" s="519" t="s">
        <v>284</v>
      </c>
      <c r="C520" s="519" t="s">
        <v>286</v>
      </c>
      <c r="D520" s="519" t="s">
        <v>70</v>
      </c>
      <c r="E520" s="519" t="s">
        <v>144</v>
      </c>
      <c r="F520" s="881">
        <v>71065.001400000008</v>
      </c>
      <c r="G520" s="881">
        <v>26470.9031</v>
      </c>
      <c r="H520" s="880">
        <v>6.0162677269047098</v>
      </c>
      <c r="I520"/>
      <c r="J520"/>
      <c r="K520"/>
      <c r="L520"/>
    </row>
    <row r="521" spans="1:12" x14ac:dyDescent="0.25">
      <c r="A521" s="519" t="s">
        <v>181</v>
      </c>
      <c r="B521" s="519" t="s">
        <v>284</v>
      </c>
      <c r="C521" s="519" t="s">
        <v>286</v>
      </c>
      <c r="D521" s="519" t="s">
        <v>70</v>
      </c>
      <c r="E521" s="519" t="s">
        <v>146</v>
      </c>
      <c r="F521" s="881">
        <v>61265.145000000004</v>
      </c>
      <c r="G521" s="881">
        <v>46991.389800000004</v>
      </c>
      <c r="H521" s="880">
        <v>4.36958913161933</v>
      </c>
      <c r="I521"/>
      <c r="J521"/>
      <c r="K521"/>
      <c r="L521"/>
    </row>
    <row r="522" spans="1:12" x14ac:dyDescent="0.25">
      <c r="A522" s="519" t="s">
        <v>181</v>
      </c>
      <c r="B522" s="519" t="s">
        <v>284</v>
      </c>
      <c r="C522" s="519" t="s">
        <v>286</v>
      </c>
      <c r="D522" s="519" t="s">
        <v>70</v>
      </c>
      <c r="E522" s="519" t="s">
        <v>145</v>
      </c>
      <c r="F522" s="881">
        <v>50877.965700000001</v>
      </c>
      <c r="G522" s="881">
        <v>60314.907900000006</v>
      </c>
      <c r="H522" s="880">
        <v>3.7259684468444298</v>
      </c>
      <c r="I522"/>
      <c r="J522"/>
      <c r="K522"/>
      <c r="L522"/>
    </row>
    <row r="523" spans="1:12" x14ac:dyDescent="0.25">
      <c r="A523" s="519" t="s">
        <v>181</v>
      </c>
      <c r="B523" s="519" t="s">
        <v>284</v>
      </c>
      <c r="C523" s="519" t="s">
        <v>286</v>
      </c>
      <c r="D523" s="519" t="s">
        <v>70</v>
      </c>
      <c r="E523" s="519" t="s">
        <v>152</v>
      </c>
      <c r="F523" s="881">
        <v>42960.996599999999</v>
      </c>
      <c r="G523" s="881">
        <v>22161.1607</v>
      </c>
      <c r="H523" s="880">
        <v>12.2998639379769</v>
      </c>
      <c r="I523"/>
      <c r="J523"/>
      <c r="K523"/>
      <c r="L523"/>
    </row>
    <row r="524" spans="1:12" x14ac:dyDescent="0.25">
      <c r="A524" s="519" t="s">
        <v>181</v>
      </c>
      <c r="B524" s="519" t="s">
        <v>284</v>
      </c>
      <c r="C524" s="519" t="s">
        <v>286</v>
      </c>
      <c r="D524" s="519" t="s">
        <v>70</v>
      </c>
      <c r="E524" s="519" t="s">
        <v>150</v>
      </c>
      <c r="F524" s="881">
        <v>33363.8802</v>
      </c>
      <c r="G524" s="881">
        <v>20079.863600000001</v>
      </c>
      <c r="H524" s="880">
        <v>11.5891402924336</v>
      </c>
      <c r="I524"/>
      <c r="J524"/>
      <c r="K524"/>
      <c r="L524"/>
    </row>
    <row r="525" spans="1:12" x14ac:dyDescent="0.25">
      <c r="A525" s="519" t="s">
        <v>181</v>
      </c>
      <c r="B525" s="519" t="s">
        <v>284</v>
      </c>
      <c r="C525" s="519" t="s">
        <v>286</v>
      </c>
      <c r="D525" s="519" t="s">
        <v>70</v>
      </c>
      <c r="E525" s="519" t="s">
        <v>155</v>
      </c>
      <c r="F525" s="881">
        <v>48362.139000000003</v>
      </c>
      <c r="G525" s="881">
        <v>15243.966700000001</v>
      </c>
      <c r="H525" s="880">
        <v>15.5791189947233</v>
      </c>
      <c r="I525"/>
      <c r="J525"/>
      <c r="K525"/>
      <c r="L525"/>
    </row>
    <row r="526" spans="1:12" x14ac:dyDescent="0.25">
      <c r="A526" s="519" t="s">
        <v>181</v>
      </c>
      <c r="B526" s="519" t="s">
        <v>284</v>
      </c>
      <c r="C526" s="519" t="s">
        <v>286</v>
      </c>
      <c r="D526" s="519" t="s">
        <v>70</v>
      </c>
      <c r="E526" s="519" t="s">
        <v>154</v>
      </c>
      <c r="F526" s="881">
        <v>50374.138200000001</v>
      </c>
      <c r="G526" s="881">
        <v>8875.9521000000004</v>
      </c>
      <c r="H526" s="880">
        <v>13.150433990527</v>
      </c>
      <c r="I526"/>
      <c r="J526"/>
      <c r="K526"/>
      <c r="L526"/>
    </row>
    <row r="527" spans="1:12" x14ac:dyDescent="0.25">
      <c r="A527" s="519" t="s">
        <v>181</v>
      </c>
      <c r="B527" s="519" t="s">
        <v>284</v>
      </c>
      <c r="C527" s="519" t="s">
        <v>286</v>
      </c>
      <c r="D527" s="519" t="s">
        <v>70</v>
      </c>
      <c r="E527" s="519" t="s">
        <v>153</v>
      </c>
      <c r="F527" s="881">
        <v>52186.540800000002</v>
      </c>
      <c r="G527" s="881">
        <v>13297.8148</v>
      </c>
      <c r="H527" s="880">
        <v>11.1403807388676</v>
      </c>
      <c r="I527"/>
      <c r="J527"/>
      <c r="K527"/>
      <c r="L527"/>
    </row>
    <row r="528" spans="1:12" x14ac:dyDescent="0.25">
      <c r="A528" s="519" t="s">
        <v>181</v>
      </c>
      <c r="B528" s="519" t="s">
        <v>284</v>
      </c>
      <c r="C528" s="519" t="s">
        <v>286</v>
      </c>
      <c r="D528" s="519" t="s">
        <v>16</v>
      </c>
      <c r="E528" s="519" t="s">
        <v>144</v>
      </c>
      <c r="F528" s="881">
        <v>45449.444100000001</v>
      </c>
      <c r="G528" s="881">
        <v>10923.2773</v>
      </c>
      <c r="H528" s="880">
        <v>7.4747945529889197</v>
      </c>
      <c r="I528"/>
      <c r="J528"/>
      <c r="K528"/>
      <c r="L528"/>
    </row>
    <row r="529" spans="1:12" x14ac:dyDescent="0.25">
      <c r="A529" s="519" t="s">
        <v>181</v>
      </c>
      <c r="B529" s="519" t="s">
        <v>284</v>
      </c>
      <c r="C529" s="519" t="s">
        <v>286</v>
      </c>
      <c r="D529" s="519" t="s">
        <v>16</v>
      </c>
      <c r="E529" s="519" t="s">
        <v>147</v>
      </c>
      <c r="F529" s="881">
        <v>55148.200199999999</v>
      </c>
      <c r="G529" s="881">
        <v>25964.3439</v>
      </c>
      <c r="H529" s="880">
        <v>7.5172186833826604</v>
      </c>
      <c r="I529"/>
      <c r="J529"/>
      <c r="K529"/>
      <c r="L529"/>
    </row>
    <row r="530" spans="1:12" x14ac:dyDescent="0.25">
      <c r="A530" s="519" t="s">
        <v>181</v>
      </c>
      <c r="B530" s="519" t="s">
        <v>284</v>
      </c>
      <c r="C530" s="519" t="s">
        <v>286</v>
      </c>
      <c r="D530" s="519" t="s">
        <v>16</v>
      </c>
      <c r="E530" s="519" t="s">
        <v>151</v>
      </c>
      <c r="F530" s="881">
        <v>62282.081400000003</v>
      </c>
      <c r="G530" s="881">
        <v>37297.3488</v>
      </c>
      <c r="H530" s="880">
        <v>4.1652090503886603</v>
      </c>
      <c r="I530"/>
      <c r="J530"/>
      <c r="K530"/>
      <c r="L530"/>
    </row>
    <row r="531" spans="1:12" x14ac:dyDescent="0.25">
      <c r="A531" s="519" t="s">
        <v>181</v>
      </c>
      <c r="B531" s="519" t="s">
        <v>284</v>
      </c>
      <c r="C531" s="519" t="s">
        <v>286</v>
      </c>
      <c r="D531" s="519" t="s">
        <v>16</v>
      </c>
      <c r="E531" s="519" t="s">
        <v>150</v>
      </c>
      <c r="F531" s="881">
        <v>76887.164100000009</v>
      </c>
      <c r="G531" s="881">
        <v>100806.4338</v>
      </c>
      <c r="H531" s="880">
        <v>8.2345707663564198</v>
      </c>
      <c r="I531"/>
      <c r="J531"/>
      <c r="K531"/>
      <c r="L531"/>
    </row>
    <row r="532" spans="1:12" x14ac:dyDescent="0.25">
      <c r="A532" s="519" t="s">
        <v>181</v>
      </c>
      <c r="B532" s="519" t="s">
        <v>284</v>
      </c>
      <c r="C532" s="519" t="s">
        <v>286</v>
      </c>
      <c r="D532" s="519" t="s">
        <v>16</v>
      </c>
      <c r="E532" s="519" t="s">
        <v>155</v>
      </c>
      <c r="F532" s="881">
        <v>83190.081000000006</v>
      </c>
      <c r="G532" s="881">
        <v>46591.9113</v>
      </c>
      <c r="H532" s="880">
        <v>8.9315364316822894</v>
      </c>
      <c r="I532"/>
      <c r="J532"/>
      <c r="K532"/>
      <c r="L532"/>
    </row>
    <row r="533" spans="1:12" x14ac:dyDescent="0.25">
      <c r="A533" s="519" t="s">
        <v>181</v>
      </c>
      <c r="B533" s="519" t="s">
        <v>284</v>
      </c>
      <c r="C533" s="519" t="s">
        <v>286</v>
      </c>
      <c r="D533" s="519" t="s">
        <v>17</v>
      </c>
      <c r="E533" s="519" t="s">
        <v>145</v>
      </c>
      <c r="F533" s="881">
        <v>153456.03570000001</v>
      </c>
      <c r="G533" s="881">
        <v>62929.814300000005</v>
      </c>
      <c r="H533" s="880">
        <v>8.2992327043066307</v>
      </c>
      <c r="I533"/>
      <c r="J533"/>
      <c r="K533"/>
      <c r="L533"/>
    </row>
    <row r="534" spans="1:12" x14ac:dyDescent="0.25">
      <c r="A534" s="519" t="s">
        <v>181</v>
      </c>
      <c r="B534" s="519" t="s">
        <v>284</v>
      </c>
      <c r="C534" s="519" t="s">
        <v>287</v>
      </c>
      <c r="D534" s="519" t="s">
        <v>70</v>
      </c>
      <c r="E534" s="519" t="s">
        <v>146</v>
      </c>
      <c r="F534" s="881">
        <v>14697.2736</v>
      </c>
      <c r="G534" s="881">
        <v>20683.936799999999</v>
      </c>
      <c r="H534" s="880">
        <v>2.5833995196266502</v>
      </c>
      <c r="I534"/>
      <c r="J534"/>
      <c r="K534"/>
      <c r="L534"/>
    </row>
    <row r="535" spans="1:12" x14ac:dyDescent="0.25">
      <c r="A535" s="519" t="s">
        <v>181</v>
      </c>
      <c r="B535" s="519" t="s">
        <v>284</v>
      </c>
      <c r="C535" s="519" t="s">
        <v>287</v>
      </c>
      <c r="D535" s="519" t="s">
        <v>70</v>
      </c>
      <c r="E535" s="519" t="s">
        <v>145</v>
      </c>
      <c r="F535" s="881">
        <v>17363.4627</v>
      </c>
      <c r="G535" s="881">
        <v>24463.2222</v>
      </c>
      <c r="H535" s="880">
        <v>3.4618638780944</v>
      </c>
      <c r="I535"/>
      <c r="J535"/>
      <c r="K535"/>
      <c r="L535"/>
    </row>
    <row r="536" spans="1:12" x14ac:dyDescent="0.25">
      <c r="A536" s="519" t="s">
        <v>181</v>
      </c>
      <c r="B536" s="519" t="s">
        <v>284</v>
      </c>
      <c r="C536" s="519" t="s">
        <v>287</v>
      </c>
      <c r="D536" s="519" t="s">
        <v>70</v>
      </c>
      <c r="E536" s="519" t="s">
        <v>149</v>
      </c>
      <c r="F536" s="881">
        <v>14750.9439</v>
      </c>
      <c r="G536" s="881">
        <v>21567.251700000001</v>
      </c>
      <c r="H536" s="880">
        <v>4.2550986585728197</v>
      </c>
      <c r="I536"/>
      <c r="J536"/>
      <c r="K536"/>
      <c r="L536"/>
    </row>
    <row r="537" spans="1:12" x14ac:dyDescent="0.25">
      <c r="A537" s="519" t="s">
        <v>181</v>
      </c>
      <c r="B537" s="519" t="s">
        <v>284</v>
      </c>
      <c r="C537" s="519" t="s">
        <v>287</v>
      </c>
      <c r="D537" s="519" t="s">
        <v>70</v>
      </c>
      <c r="E537" s="519" t="s">
        <v>152</v>
      </c>
      <c r="F537" s="881">
        <v>19979.0226</v>
      </c>
      <c r="G537" s="881">
        <v>21668.950800000002</v>
      </c>
      <c r="H537" s="880">
        <v>5.7288764637345801</v>
      </c>
      <c r="I537"/>
      <c r="J537"/>
      <c r="K537"/>
      <c r="L537"/>
    </row>
    <row r="538" spans="1:12" x14ac:dyDescent="0.25">
      <c r="A538" s="519" t="s">
        <v>181</v>
      </c>
      <c r="B538" s="519" t="s">
        <v>284</v>
      </c>
      <c r="C538" s="519" t="s">
        <v>287</v>
      </c>
      <c r="D538" s="519" t="s">
        <v>70</v>
      </c>
      <c r="E538" s="519" t="s">
        <v>150</v>
      </c>
      <c r="F538" s="881">
        <v>14753.1108</v>
      </c>
      <c r="G538" s="881">
        <v>14982.5108</v>
      </c>
      <c r="H538" s="880">
        <v>4.21901791345483</v>
      </c>
      <c r="I538"/>
      <c r="J538"/>
      <c r="K538"/>
      <c r="L538"/>
    </row>
    <row r="539" spans="1:12" x14ac:dyDescent="0.25">
      <c r="A539" s="519" t="s">
        <v>181</v>
      </c>
      <c r="B539" s="519" t="s">
        <v>284</v>
      </c>
      <c r="C539" s="519" t="s">
        <v>287</v>
      </c>
      <c r="D539" s="519" t="s">
        <v>70</v>
      </c>
      <c r="E539" s="519" t="s">
        <v>154</v>
      </c>
      <c r="F539" s="881">
        <v>21904.355100000001</v>
      </c>
      <c r="G539" s="881">
        <v>6955.3681000000006</v>
      </c>
      <c r="H539" s="880">
        <v>6.5793056766255704</v>
      </c>
      <c r="I539"/>
      <c r="J539"/>
      <c r="K539"/>
      <c r="L539"/>
    </row>
    <row r="540" spans="1:12" x14ac:dyDescent="0.25">
      <c r="A540" s="519" t="s">
        <v>181</v>
      </c>
      <c r="B540" s="519" t="s">
        <v>284</v>
      </c>
      <c r="C540" s="519" t="s">
        <v>287</v>
      </c>
      <c r="D540" s="519" t="s">
        <v>70</v>
      </c>
      <c r="E540" s="519" t="s">
        <v>153</v>
      </c>
      <c r="F540" s="881">
        <v>31328.984400000001</v>
      </c>
      <c r="G540" s="881">
        <v>13792.0013</v>
      </c>
      <c r="H540" s="880">
        <v>7.8933412112671002</v>
      </c>
      <c r="I540"/>
      <c r="J540"/>
      <c r="K540"/>
      <c r="L540"/>
    </row>
    <row r="541" spans="1:12" x14ac:dyDescent="0.25">
      <c r="A541" s="519" t="s">
        <v>181</v>
      </c>
      <c r="B541" s="519" t="s">
        <v>284</v>
      </c>
      <c r="C541" s="519" t="s">
        <v>287</v>
      </c>
      <c r="D541" s="519" t="s">
        <v>16</v>
      </c>
      <c r="E541" s="519" t="s">
        <v>144</v>
      </c>
      <c r="F541" s="881">
        <v>21140.313600000001</v>
      </c>
      <c r="G541" s="881">
        <v>15304.2752</v>
      </c>
      <c r="H541" s="880">
        <v>4.8610532457923599</v>
      </c>
      <c r="I541"/>
      <c r="J541"/>
      <c r="K541"/>
      <c r="L541"/>
    </row>
    <row r="542" spans="1:12" x14ac:dyDescent="0.25">
      <c r="A542" s="519" t="s">
        <v>181</v>
      </c>
      <c r="B542" s="519" t="s">
        <v>284</v>
      </c>
      <c r="C542" s="519" t="s">
        <v>287</v>
      </c>
      <c r="D542" s="519" t="s">
        <v>16</v>
      </c>
      <c r="E542" s="519" t="s">
        <v>146</v>
      </c>
      <c r="F542" s="881">
        <v>29651.059800000003</v>
      </c>
      <c r="G542" s="881">
        <v>19176.0942</v>
      </c>
      <c r="H542" s="880">
        <v>7.7728003893264006</v>
      </c>
      <c r="I542"/>
      <c r="J542"/>
      <c r="K542"/>
      <c r="L542"/>
    </row>
    <row r="543" spans="1:12" x14ac:dyDescent="0.25">
      <c r="A543" s="519" t="s">
        <v>181</v>
      </c>
      <c r="B543" s="519" t="s">
        <v>284</v>
      </c>
      <c r="C543" s="519" t="s">
        <v>287</v>
      </c>
      <c r="D543" s="519" t="s">
        <v>16</v>
      </c>
      <c r="E543" s="519" t="s">
        <v>151</v>
      </c>
      <c r="F543" s="881">
        <v>23799.7137</v>
      </c>
      <c r="G543" s="881">
        <v>12861.7114</v>
      </c>
      <c r="H543" s="880">
        <v>5.0312489964436997</v>
      </c>
      <c r="I543"/>
      <c r="J543"/>
      <c r="K543"/>
      <c r="L543"/>
    </row>
    <row r="544" spans="1:12" x14ac:dyDescent="0.25">
      <c r="A544" s="519" t="s">
        <v>181</v>
      </c>
      <c r="B544" s="519" t="s">
        <v>284</v>
      </c>
      <c r="C544" s="519" t="s">
        <v>287</v>
      </c>
      <c r="D544" s="519" t="s">
        <v>16</v>
      </c>
      <c r="E544" s="519" t="s">
        <v>152</v>
      </c>
      <c r="F544" s="881">
        <v>20260.691699999999</v>
      </c>
      <c r="G544" s="881">
        <v>19240.5196</v>
      </c>
      <c r="H544" s="880">
        <v>3.2496116962601298</v>
      </c>
      <c r="I544"/>
      <c r="J544"/>
      <c r="K544"/>
      <c r="L544"/>
    </row>
    <row r="545" spans="1:12" x14ac:dyDescent="0.25">
      <c r="A545" s="519" t="s">
        <v>181</v>
      </c>
      <c r="B545" s="519" t="s">
        <v>284</v>
      </c>
      <c r="C545" s="519" t="s">
        <v>287</v>
      </c>
      <c r="D545" s="519" t="s">
        <v>16</v>
      </c>
      <c r="E545" s="519" t="s">
        <v>154</v>
      </c>
      <c r="F545" s="881">
        <v>28784.3184</v>
      </c>
      <c r="G545" s="881">
        <v>10229.6764</v>
      </c>
      <c r="H545" s="880">
        <v>7.0507986092264003</v>
      </c>
      <c r="I545"/>
      <c r="J545"/>
      <c r="K545"/>
      <c r="L545"/>
    </row>
    <row r="546" spans="1:12" x14ac:dyDescent="0.25">
      <c r="A546" s="519" t="s">
        <v>181</v>
      </c>
      <c r="B546" s="519" t="s">
        <v>284</v>
      </c>
      <c r="C546" s="519" t="s">
        <v>287</v>
      </c>
      <c r="D546" s="519" t="s">
        <v>17</v>
      </c>
      <c r="E546" s="519" t="s">
        <v>144</v>
      </c>
      <c r="F546" s="881">
        <v>26979.2628</v>
      </c>
      <c r="G546" s="881">
        <v>19779.035200000002</v>
      </c>
      <c r="H546" s="880">
        <v>6.4781766487766301</v>
      </c>
      <c r="I546"/>
      <c r="J546"/>
      <c r="K546"/>
      <c r="L546"/>
    </row>
    <row r="547" spans="1:12" x14ac:dyDescent="0.25">
      <c r="A547" s="519" t="s">
        <v>181</v>
      </c>
      <c r="B547" s="519" t="s">
        <v>284</v>
      </c>
      <c r="C547" s="519" t="s">
        <v>287</v>
      </c>
      <c r="D547" s="519" t="s">
        <v>17</v>
      </c>
      <c r="E547" s="519" t="s">
        <v>146</v>
      </c>
      <c r="F547" s="881">
        <v>29687.832000000002</v>
      </c>
      <c r="G547" s="881">
        <v>20855.5857</v>
      </c>
      <c r="H547" s="880">
        <v>11.6314788288333</v>
      </c>
      <c r="I547"/>
      <c r="J547"/>
      <c r="K547"/>
      <c r="L547"/>
    </row>
    <row r="548" spans="1:12" x14ac:dyDescent="0.25">
      <c r="A548" s="519" t="s">
        <v>181</v>
      </c>
      <c r="B548" s="519" t="s">
        <v>284</v>
      </c>
      <c r="C548" s="519" t="s">
        <v>287</v>
      </c>
      <c r="D548" s="519" t="s">
        <v>17</v>
      </c>
      <c r="E548" s="519" t="s">
        <v>145</v>
      </c>
      <c r="F548" s="881">
        <v>28263.918300000001</v>
      </c>
      <c r="G548" s="881">
        <v>12088.9238</v>
      </c>
      <c r="H548" s="880">
        <v>11.774384881234999</v>
      </c>
      <c r="I548"/>
      <c r="J548"/>
      <c r="K548"/>
      <c r="L548"/>
    </row>
    <row r="549" spans="1:12" x14ac:dyDescent="0.25">
      <c r="A549" s="519" t="s">
        <v>181</v>
      </c>
      <c r="B549" s="519" t="s">
        <v>284</v>
      </c>
      <c r="C549" s="519" t="s">
        <v>290</v>
      </c>
      <c r="D549" s="519" t="s">
        <v>70</v>
      </c>
      <c r="E549" s="519" t="s">
        <v>146</v>
      </c>
      <c r="F549" s="881">
        <v>1540.7124000000001</v>
      </c>
      <c r="G549" s="881">
        <v>46.468800000000002</v>
      </c>
      <c r="H549" s="880">
        <v>9.8376638013043891</v>
      </c>
      <c r="I549"/>
      <c r="J549"/>
      <c r="K549"/>
      <c r="L549"/>
    </row>
    <row r="550" spans="1:12" x14ac:dyDescent="0.25">
      <c r="A550" s="519" t="s">
        <v>181</v>
      </c>
      <c r="B550" s="519" t="s">
        <v>284</v>
      </c>
      <c r="C550" s="519" t="s">
        <v>290</v>
      </c>
      <c r="D550" s="519" t="s">
        <v>70</v>
      </c>
      <c r="E550" s="519" t="s">
        <v>155</v>
      </c>
      <c r="F550" s="881">
        <v>2728.248</v>
      </c>
      <c r="G550" s="881">
        <v>7523.8735000000006</v>
      </c>
      <c r="H550" s="880">
        <v>1.7117277109732201</v>
      </c>
      <c r="I550"/>
      <c r="J550"/>
      <c r="K550"/>
      <c r="L550"/>
    </row>
    <row r="551" spans="1:12" x14ac:dyDescent="0.25">
      <c r="A551" s="519" t="s">
        <v>181</v>
      </c>
      <c r="B551" s="519" t="s">
        <v>284</v>
      </c>
      <c r="C551" s="519" t="s">
        <v>290</v>
      </c>
      <c r="D551" s="519" t="s">
        <v>70</v>
      </c>
      <c r="E551" s="519" t="s">
        <v>153</v>
      </c>
      <c r="F551" s="881">
        <v>1159.1706000000001</v>
      </c>
      <c r="G551" s="881">
        <v>898.5652</v>
      </c>
      <c r="H551" s="880">
        <v>26.295610064903499</v>
      </c>
      <c r="I551"/>
      <c r="J551"/>
      <c r="K551"/>
      <c r="L551"/>
    </row>
    <row r="552" spans="1:12" x14ac:dyDescent="0.25">
      <c r="A552" s="519" t="s">
        <v>181</v>
      </c>
      <c r="B552" s="519" t="s">
        <v>284</v>
      </c>
      <c r="C552" s="519" t="s">
        <v>290</v>
      </c>
      <c r="D552" s="519" t="s">
        <v>16</v>
      </c>
      <c r="E552" s="519" t="s">
        <v>144</v>
      </c>
      <c r="F552" s="881">
        <v>1030.7934</v>
      </c>
      <c r="G552" s="881">
        <v>8.6440000000000001</v>
      </c>
      <c r="H552" s="880">
        <v>21.9102862040451</v>
      </c>
      <c r="I552"/>
      <c r="J552"/>
      <c r="K552"/>
      <c r="L552"/>
    </row>
    <row r="553" spans="1:12" x14ac:dyDescent="0.25">
      <c r="A553" s="519" t="s">
        <v>181</v>
      </c>
      <c r="B553" s="519" t="s">
        <v>284</v>
      </c>
      <c r="C553" s="519" t="s">
        <v>290</v>
      </c>
      <c r="D553" s="519" t="s">
        <v>16</v>
      </c>
      <c r="E553" s="519" t="s">
        <v>145</v>
      </c>
      <c r="F553" s="881">
        <v>988.89690000000007</v>
      </c>
      <c r="G553" s="881">
        <v>78.557600000000008</v>
      </c>
      <c r="H553" s="880">
        <v>13.3138876256057</v>
      </c>
      <c r="I553"/>
      <c r="J553"/>
      <c r="K553"/>
      <c r="L553"/>
    </row>
    <row r="554" spans="1:12" x14ac:dyDescent="0.25">
      <c r="A554" s="519" t="s">
        <v>181</v>
      </c>
      <c r="B554" s="519" t="s">
        <v>284</v>
      </c>
      <c r="C554" s="519" t="s">
        <v>290</v>
      </c>
      <c r="D554" s="519" t="s">
        <v>16</v>
      </c>
      <c r="E554" s="519" t="s">
        <v>149</v>
      </c>
      <c r="F554" s="881">
        <v>960.67140000000006</v>
      </c>
      <c r="G554" s="881">
        <v>62.715600000000002</v>
      </c>
      <c r="H554" s="880">
        <v>9.0384658419516608</v>
      </c>
      <c r="I554"/>
      <c r="J554"/>
      <c r="K554"/>
      <c r="L554"/>
    </row>
    <row r="555" spans="1:12" x14ac:dyDescent="0.25">
      <c r="A555" s="519" t="s">
        <v>181</v>
      </c>
      <c r="B555" s="519" t="s">
        <v>284</v>
      </c>
      <c r="C555" s="519" t="s">
        <v>290</v>
      </c>
      <c r="D555" s="519" t="s">
        <v>16</v>
      </c>
      <c r="E555" s="519" t="s">
        <v>148</v>
      </c>
      <c r="F555" s="881">
        <v>613.71630000000005</v>
      </c>
      <c r="G555" s="881">
        <v>282.52430000000004</v>
      </c>
      <c r="H555" s="880">
        <v>0.43734439727438401</v>
      </c>
      <c r="I555"/>
      <c r="J555"/>
      <c r="K555"/>
      <c r="L555"/>
    </row>
    <row r="556" spans="1:12" x14ac:dyDescent="0.25">
      <c r="A556" s="519" t="s">
        <v>181</v>
      </c>
      <c r="B556" s="519" t="s">
        <v>284</v>
      </c>
      <c r="C556" s="519" t="s">
        <v>290</v>
      </c>
      <c r="D556" s="519" t="s">
        <v>16</v>
      </c>
      <c r="E556" s="519" t="s">
        <v>152</v>
      </c>
      <c r="F556" s="881">
        <v>21719.6106</v>
      </c>
      <c r="G556" s="881">
        <v>14191.4647</v>
      </c>
      <c r="H556" s="880">
        <v>3.2380676149111398</v>
      </c>
      <c r="I556"/>
      <c r="J556"/>
      <c r="K556"/>
      <c r="L556"/>
    </row>
    <row r="557" spans="1:12" x14ac:dyDescent="0.25">
      <c r="A557" s="519" t="s">
        <v>181</v>
      </c>
      <c r="B557" s="519" t="s">
        <v>284</v>
      </c>
      <c r="C557" s="519" t="s">
        <v>290</v>
      </c>
      <c r="D557" s="519" t="s">
        <v>16</v>
      </c>
      <c r="E557" s="519" t="s">
        <v>150</v>
      </c>
      <c r="F557" s="881">
        <v>19137.009900000001</v>
      </c>
      <c r="G557" s="881">
        <v>28842.6113</v>
      </c>
      <c r="H557" s="880">
        <v>2.8850103955941599</v>
      </c>
      <c r="I557"/>
      <c r="J557"/>
      <c r="K557"/>
      <c r="L557"/>
    </row>
    <row r="558" spans="1:12" x14ac:dyDescent="0.25">
      <c r="A558" s="519" t="s">
        <v>181</v>
      </c>
      <c r="B558" s="519" t="s">
        <v>284</v>
      </c>
      <c r="C558" s="519" t="s">
        <v>290</v>
      </c>
      <c r="D558" s="519" t="s">
        <v>16</v>
      </c>
      <c r="E558" s="519" t="s">
        <v>155</v>
      </c>
      <c r="F558" s="881">
        <v>13291.8948</v>
      </c>
      <c r="G558" s="881">
        <v>28522.996900000002</v>
      </c>
      <c r="H558" s="880">
        <v>4.9267258205885005</v>
      </c>
      <c r="I558"/>
      <c r="J558"/>
      <c r="K558"/>
      <c r="L558"/>
    </row>
    <row r="559" spans="1:12" x14ac:dyDescent="0.25">
      <c r="A559" s="519" t="s">
        <v>181</v>
      </c>
      <c r="B559" s="519" t="s">
        <v>284</v>
      </c>
      <c r="C559" s="519" t="s">
        <v>290</v>
      </c>
      <c r="D559" s="519" t="s">
        <v>16</v>
      </c>
      <c r="E559" s="519" t="s">
        <v>153</v>
      </c>
      <c r="F559" s="881">
        <v>4144.4241000000002</v>
      </c>
      <c r="G559" s="881">
        <v>12786.731800000001</v>
      </c>
      <c r="H559" s="880">
        <v>44.817533087564904</v>
      </c>
      <c r="I559"/>
      <c r="J559"/>
      <c r="K559"/>
      <c r="L559"/>
    </row>
    <row r="560" spans="1:12" x14ac:dyDescent="0.25">
      <c r="A560" s="519" t="s">
        <v>181</v>
      </c>
      <c r="B560" s="519" t="s">
        <v>284</v>
      </c>
      <c r="C560" s="519" t="s">
        <v>290</v>
      </c>
      <c r="D560" s="519" t="s">
        <v>17</v>
      </c>
      <c r="E560" s="519" t="s">
        <v>144</v>
      </c>
      <c r="F560" s="881">
        <v>4553.2335000000003</v>
      </c>
      <c r="G560" s="881">
        <v>-914.52719999999999</v>
      </c>
      <c r="H560" s="880">
        <v>37.237792301203498</v>
      </c>
      <c r="I560"/>
      <c r="J560"/>
      <c r="K560"/>
      <c r="L560"/>
    </row>
    <row r="561" spans="1:12" x14ac:dyDescent="0.25">
      <c r="A561" s="519" t="s">
        <v>181</v>
      </c>
      <c r="B561" s="519" t="s">
        <v>284</v>
      </c>
      <c r="C561" s="519" t="s">
        <v>290</v>
      </c>
      <c r="D561" s="519" t="s">
        <v>17</v>
      </c>
      <c r="E561" s="519" t="s">
        <v>146</v>
      </c>
      <c r="F561" s="881">
        <v>5224.2006000000001</v>
      </c>
      <c r="G561" s="881">
        <v>-41.899799999999999</v>
      </c>
      <c r="H561" s="880">
        <v>37.0174938287674</v>
      </c>
      <c r="I561"/>
      <c r="J561"/>
      <c r="K561"/>
      <c r="L561"/>
    </row>
    <row r="562" spans="1:12" x14ac:dyDescent="0.25">
      <c r="A562" s="519" t="s">
        <v>181</v>
      </c>
      <c r="B562" s="519" t="s">
        <v>284</v>
      </c>
      <c r="C562" s="519" t="s">
        <v>290</v>
      </c>
      <c r="D562" s="519" t="s">
        <v>17</v>
      </c>
      <c r="E562" s="519" t="s">
        <v>145</v>
      </c>
      <c r="F562" s="881">
        <v>4641.7509</v>
      </c>
      <c r="G562" s="881">
        <v>179.3449</v>
      </c>
      <c r="H562" s="880">
        <v>30.103230985462201</v>
      </c>
      <c r="I562"/>
      <c r="J562"/>
      <c r="K562"/>
      <c r="L562"/>
    </row>
    <row r="563" spans="1:12" x14ac:dyDescent="0.25">
      <c r="A563" s="519" t="s">
        <v>181</v>
      </c>
      <c r="B563" s="519" t="s">
        <v>284</v>
      </c>
      <c r="C563" s="519" t="s">
        <v>288</v>
      </c>
      <c r="D563" s="519" t="s">
        <v>70</v>
      </c>
      <c r="E563" s="519" t="s">
        <v>144</v>
      </c>
      <c r="F563" s="881">
        <v>5653.5165000000006</v>
      </c>
      <c r="G563" s="881">
        <v>411.8501</v>
      </c>
      <c r="H563" s="880">
        <v>14.4513028146438</v>
      </c>
      <c r="I563"/>
      <c r="J563"/>
      <c r="K563"/>
      <c r="L563"/>
    </row>
    <row r="564" spans="1:12" x14ac:dyDescent="0.25">
      <c r="A564" s="519" t="s">
        <v>181</v>
      </c>
      <c r="B564" s="519" t="s">
        <v>284</v>
      </c>
      <c r="C564" s="519" t="s">
        <v>288</v>
      </c>
      <c r="D564" s="519" t="s">
        <v>70</v>
      </c>
      <c r="E564" s="519" t="s">
        <v>146</v>
      </c>
      <c r="F564" s="881">
        <v>6328.2314999999999</v>
      </c>
      <c r="G564" s="881">
        <v>3151.6641</v>
      </c>
      <c r="H564" s="880">
        <v>27.8522411673388</v>
      </c>
      <c r="I564"/>
      <c r="J564"/>
      <c r="K564"/>
      <c r="L564"/>
    </row>
    <row r="565" spans="1:12" x14ac:dyDescent="0.25">
      <c r="A565" s="519" t="s">
        <v>181</v>
      </c>
      <c r="B565" s="519" t="s">
        <v>284</v>
      </c>
      <c r="C565" s="519" t="s">
        <v>288</v>
      </c>
      <c r="D565" s="519" t="s">
        <v>70</v>
      </c>
      <c r="E565" s="519" t="s">
        <v>145</v>
      </c>
      <c r="F565" s="881">
        <v>5115.3999000000003</v>
      </c>
      <c r="G565" s="881">
        <v>2133.2584999999999</v>
      </c>
      <c r="H565" s="880">
        <v>24.903768010449102</v>
      </c>
      <c r="I565"/>
      <c r="J565"/>
      <c r="K565"/>
      <c r="L565"/>
    </row>
    <row r="566" spans="1:12" x14ac:dyDescent="0.25">
      <c r="A566" s="519" t="s">
        <v>181</v>
      </c>
      <c r="B566" s="519" t="s">
        <v>284</v>
      </c>
      <c r="C566" s="519" t="s">
        <v>280</v>
      </c>
      <c r="D566" s="519" t="s">
        <v>16</v>
      </c>
      <c r="E566" s="519" t="s">
        <v>144</v>
      </c>
      <c r="F566" s="881">
        <v>142614.58860000002</v>
      </c>
      <c r="G566" s="881">
        <v>47385.124800000005</v>
      </c>
      <c r="H566" s="880">
        <v>5.3842247841836999</v>
      </c>
      <c r="I566"/>
      <c r="J566"/>
      <c r="K566"/>
      <c r="L566"/>
    </row>
    <row r="567" spans="1:12" x14ac:dyDescent="0.25">
      <c r="A567" s="519" t="s">
        <v>181</v>
      </c>
      <c r="B567" s="519" t="s">
        <v>284</v>
      </c>
      <c r="C567" s="519" t="s">
        <v>280</v>
      </c>
      <c r="D567" s="519" t="s">
        <v>16</v>
      </c>
      <c r="E567" s="519" t="s">
        <v>146</v>
      </c>
      <c r="F567" s="881">
        <v>127781.8512</v>
      </c>
      <c r="G567" s="881">
        <v>123507.2537</v>
      </c>
      <c r="H567" s="880">
        <v>5.6339140373414001</v>
      </c>
      <c r="I567"/>
      <c r="J567"/>
      <c r="K567"/>
      <c r="L567"/>
    </row>
    <row r="568" spans="1:12" x14ac:dyDescent="0.25">
      <c r="A568" s="519" t="s">
        <v>181</v>
      </c>
      <c r="B568" s="519" t="s">
        <v>284</v>
      </c>
      <c r="C568" s="519" t="s">
        <v>280</v>
      </c>
      <c r="D568" s="519" t="s">
        <v>16</v>
      </c>
      <c r="E568" s="519" t="s">
        <v>149</v>
      </c>
      <c r="F568" s="881">
        <v>181485.54750000002</v>
      </c>
      <c r="G568" s="881">
        <v>167635.97630000001</v>
      </c>
      <c r="H568" s="880">
        <v>8.0932158191731691</v>
      </c>
      <c r="I568"/>
      <c r="J568"/>
      <c r="K568"/>
      <c r="L568"/>
    </row>
    <row r="569" spans="1:12" x14ac:dyDescent="0.25">
      <c r="A569" s="519" t="s">
        <v>181</v>
      </c>
      <c r="B569" s="519" t="s">
        <v>284</v>
      </c>
      <c r="C569" s="519" t="s">
        <v>280</v>
      </c>
      <c r="D569" s="519" t="s">
        <v>16</v>
      </c>
      <c r="E569" s="519" t="s">
        <v>151</v>
      </c>
      <c r="F569" s="881">
        <v>273679.80480000004</v>
      </c>
      <c r="G569" s="881">
        <v>109954.07920000001</v>
      </c>
      <c r="H569" s="880">
        <v>10.534144313255601</v>
      </c>
      <c r="I569"/>
      <c r="J569"/>
      <c r="K569"/>
      <c r="L569"/>
    </row>
    <row r="570" spans="1:12" x14ac:dyDescent="0.25">
      <c r="A570" s="519" t="s">
        <v>181</v>
      </c>
      <c r="B570" s="519" t="s">
        <v>284</v>
      </c>
      <c r="C570" s="519" t="s">
        <v>280</v>
      </c>
      <c r="D570" s="519" t="s">
        <v>16</v>
      </c>
      <c r="E570" s="519" t="s">
        <v>152</v>
      </c>
      <c r="F570" s="881">
        <v>270706.48320000002</v>
      </c>
      <c r="G570" s="881">
        <v>126957.27750000001</v>
      </c>
      <c r="H570" s="880">
        <v>16.033641119138199</v>
      </c>
      <c r="I570"/>
      <c r="J570"/>
      <c r="K570"/>
      <c r="L570"/>
    </row>
    <row r="571" spans="1:12" x14ac:dyDescent="0.25">
      <c r="A571" s="519" t="s">
        <v>181</v>
      </c>
      <c r="B571" s="519" t="s">
        <v>284</v>
      </c>
      <c r="C571" s="519" t="s">
        <v>280</v>
      </c>
      <c r="D571" s="519" t="s">
        <v>16</v>
      </c>
      <c r="E571" s="519" t="s">
        <v>155</v>
      </c>
      <c r="F571" s="881">
        <v>293375.43780000001</v>
      </c>
      <c r="G571" s="881">
        <v>66497.009999999995</v>
      </c>
      <c r="H571" s="880">
        <v>14.6426959340018</v>
      </c>
      <c r="I571"/>
      <c r="J571"/>
      <c r="K571"/>
      <c r="L571"/>
    </row>
    <row r="572" spans="1:12" x14ac:dyDescent="0.25">
      <c r="A572" s="519" t="s">
        <v>181</v>
      </c>
      <c r="B572" s="519" t="s">
        <v>284</v>
      </c>
      <c r="C572" s="519" t="s">
        <v>280</v>
      </c>
      <c r="D572" s="519" t="s">
        <v>16</v>
      </c>
      <c r="E572" s="519" t="s">
        <v>154</v>
      </c>
      <c r="F572" s="881">
        <v>296456.07209999999</v>
      </c>
      <c r="G572" s="881">
        <v>37814.784599999999</v>
      </c>
      <c r="H572" s="880">
        <v>11.460406632548901</v>
      </c>
      <c r="I572"/>
      <c r="J572"/>
      <c r="K572"/>
      <c r="L572"/>
    </row>
    <row r="573" spans="1:12" x14ac:dyDescent="0.25">
      <c r="A573" s="519" t="s">
        <v>181</v>
      </c>
      <c r="B573" s="519" t="s">
        <v>284</v>
      </c>
      <c r="C573" s="519" t="s">
        <v>280</v>
      </c>
      <c r="D573" s="519" t="s">
        <v>16</v>
      </c>
      <c r="E573" s="519" t="s">
        <v>153</v>
      </c>
      <c r="F573" s="881">
        <v>295993.37849999999</v>
      </c>
      <c r="G573" s="881">
        <v>68037.49990000001</v>
      </c>
      <c r="H573" s="880">
        <v>9.1367403450058298</v>
      </c>
      <c r="I573"/>
      <c r="J573"/>
      <c r="K573"/>
      <c r="L573"/>
    </row>
    <row r="574" spans="1:12" x14ac:dyDescent="0.25">
      <c r="A574" s="519" t="s">
        <v>181</v>
      </c>
      <c r="B574" s="519" t="s">
        <v>284</v>
      </c>
      <c r="C574" s="519" t="s">
        <v>280</v>
      </c>
      <c r="D574" s="519" t="s">
        <v>17</v>
      </c>
      <c r="E574" s="519" t="s">
        <v>144</v>
      </c>
      <c r="F574" s="881">
        <v>252770.30790000001</v>
      </c>
      <c r="G574" s="881">
        <v>123760.428</v>
      </c>
      <c r="H574" s="880">
        <v>7.7375031990021501</v>
      </c>
      <c r="I574"/>
      <c r="J574"/>
      <c r="K574"/>
      <c r="L574"/>
    </row>
    <row r="575" spans="1:12" x14ac:dyDescent="0.25">
      <c r="A575" s="519" t="s">
        <v>181</v>
      </c>
      <c r="B575" s="519" t="s">
        <v>284</v>
      </c>
      <c r="C575" s="519" t="s">
        <v>280</v>
      </c>
      <c r="D575" s="519" t="s">
        <v>17</v>
      </c>
      <c r="E575" s="519" t="s">
        <v>145</v>
      </c>
      <c r="F575" s="881">
        <v>279536.66580000002</v>
      </c>
      <c r="G575" s="881">
        <v>119386.0561</v>
      </c>
      <c r="H575" s="880">
        <v>7.3791966731237704</v>
      </c>
      <c r="I575"/>
      <c r="J575"/>
      <c r="K575"/>
      <c r="L575"/>
    </row>
    <row r="576" spans="1:12" x14ac:dyDescent="0.25">
      <c r="A576" s="519" t="s">
        <v>181</v>
      </c>
      <c r="B576" s="519" t="s">
        <v>284</v>
      </c>
      <c r="C576" s="519" t="s">
        <v>280</v>
      </c>
      <c r="D576" s="519" t="s">
        <v>17</v>
      </c>
      <c r="E576" s="519" t="s">
        <v>149</v>
      </c>
      <c r="F576" s="881">
        <v>242830.2261</v>
      </c>
      <c r="G576" s="881">
        <v>162891.39810000002</v>
      </c>
      <c r="H576" s="880">
        <v>0</v>
      </c>
      <c r="I576"/>
      <c r="J576"/>
      <c r="K576"/>
      <c r="L576"/>
    </row>
    <row r="577" spans="1:12" x14ac:dyDescent="0.25">
      <c r="A577" s="519" t="s">
        <v>181</v>
      </c>
      <c r="B577" s="519" t="s">
        <v>284</v>
      </c>
      <c r="C577" s="519" t="s">
        <v>289</v>
      </c>
      <c r="D577" s="519" t="s">
        <v>70</v>
      </c>
      <c r="E577" s="519" t="s">
        <v>146</v>
      </c>
      <c r="F577" s="881">
        <v>38616.538800000002</v>
      </c>
      <c r="G577" s="881">
        <v>34481.094400000002</v>
      </c>
      <c r="H577" s="880">
        <v>3.8085452400456599</v>
      </c>
      <c r="I577"/>
      <c r="J577"/>
      <c r="K577"/>
      <c r="L577"/>
    </row>
    <row r="578" spans="1:12" x14ac:dyDescent="0.25">
      <c r="A578" s="519" t="s">
        <v>181</v>
      </c>
      <c r="B578" s="519" t="s">
        <v>284</v>
      </c>
      <c r="C578" s="519" t="s">
        <v>289</v>
      </c>
      <c r="D578" s="519" t="s">
        <v>70</v>
      </c>
      <c r="E578" s="519" t="s">
        <v>155</v>
      </c>
      <c r="F578" s="881">
        <v>10889.788500000001</v>
      </c>
      <c r="G578" s="881">
        <v>7605.1066000000001</v>
      </c>
      <c r="H578" s="880">
        <v>6.9862058546774897</v>
      </c>
      <c r="I578"/>
      <c r="J578"/>
      <c r="K578"/>
      <c r="L578"/>
    </row>
    <row r="579" spans="1:12" x14ac:dyDescent="0.25">
      <c r="A579" s="519" t="s">
        <v>181</v>
      </c>
      <c r="B579" s="519" t="s">
        <v>284</v>
      </c>
      <c r="C579" s="519" t="s">
        <v>289</v>
      </c>
      <c r="D579" s="519" t="s">
        <v>70</v>
      </c>
      <c r="E579" s="519" t="s">
        <v>153</v>
      </c>
      <c r="F579" s="881">
        <v>20594.124599999999</v>
      </c>
      <c r="G579" s="881">
        <v>10968.6281</v>
      </c>
      <c r="H579" s="880">
        <v>4.6972314193828497</v>
      </c>
      <c r="I579"/>
      <c r="J579"/>
      <c r="K579"/>
      <c r="L579"/>
    </row>
    <row r="580" spans="1:12" x14ac:dyDescent="0.25">
      <c r="A580" s="519" t="s">
        <v>181</v>
      </c>
      <c r="B580" s="519" t="s">
        <v>284</v>
      </c>
      <c r="C580" s="519" t="s">
        <v>289</v>
      </c>
      <c r="D580" s="519" t="s">
        <v>16</v>
      </c>
      <c r="E580" s="519" t="s">
        <v>144</v>
      </c>
      <c r="F580" s="881">
        <v>34045.505100000002</v>
      </c>
      <c r="G580" s="881">
        <v>16491.628700000001</v>
      </c>
      <c r="H580" s="880">
        <v>3.29651622917627</v>
      </c>
      <c r="I580"/>
      <c r="J580"/>
      <c r="K580"/>
      <c r="L580"/>
    </row>
    <row r="581" spans="1:12" x14ac:dyDescent="0.25">
      <c r="A581" s="519" t="s">
        <v>181</v>
      </c>
      <c r="B581" s="519" t="s">
        <v>284</v>
      </c>
      <c r="C581" s="519" t="s">
        <v>289</v>
      </c>
      <c r="D581" s="519" t="s">
        <v>16</v>
      </c>
      <c r="E581" s="519" t="s">
        <v>146</v>
      </c>
      <c r="F581" s="881">
        <v>46520.2647</v>
      </c>
      <c r="G581" s="881">
        <v>44409.2071</v>
      </c>
      <c r="H581" s="880">
        <v>5.1084671494667697</v>
      </c>
      <c r="I581"/>
      <c r="J581"/>
      <c r="K581"/>
      <c r="L581"/>
    </row>
    <row r="582" spans="1:12" x14ac:dyDescent="0.25">
      <c r="A582" s="519" t="s">
        <v>181</v>
      </c>
      <c r="B582" s="519" t="s">
        <v>284</v>
      </c>
      <c r="C582" s="519" t="s">
        <v>289</v>
      </c>
      <c r="D582" s="519" t="s">
        <v>16</v>
      </c>
      <c r="E582" s="519" t="s">
        <v>145</v>
      </c>
      <c r="F582" s="881">
        <v>55077.39</v>
      </c>
      <c r="G582" s="881">
        <v>33375.584900000002</v>
      </c>
      <c r="H582" s="880">
        <v>3.3875500332362298</v>
      </c>
      <c r="I582"/>
      <c r="J582"/>
      <c r="K582"/>
      <c r="L582"/>
    </row>
    <row r="583" spans="1:12" x14ac:dyDescent="0.25">
      <c r="A583" s="519" t="s">
        <v>181</v>
      </c>
      <c r="B583" s="519" t="s">
        <v>284</v>
      </c>
      <c r="C583" s="519" t="s">
        <v>289</v>
      </c>
      <c r="D583" s="519" t="s">
        <v>16</v>
      </c>
      <c r="E583" s="519" t="s">
        <v>147</v>
      </c>
      <c r="F583" s="881">
        <v>73722.522899999996</v>
      </c>
      <c r="G583" s="881">
        <v>30123.2016</v>
      </c>
      <c r="H583" s="880">
        <v>15.090677366527601</v>
      </c>
      <c r="I583"/>
      <c r="J583"/>
      <c r="K583"/>
      <c r="L583"/>
    </row>
    <row r="584" spans="1:12" x14ac:dyDescent="0.25">
      <c r="A584" s="519" t="s">
        <v>181</v>
      </c>
      <c r="B584" s="519" t="s">
        <v>284</v>
      </c>
      <c r="C584" s="519" t="s">
        <v>289</v>
      </c>
      <c r="D584" s="519" t="s">
        <v>16</v>
      </c>
      <c r="E584" s="519" t="s">
        <v>148</v>
      </c>
      <c r="F584" s="881">
        <v>68885.0628</v>
      </c>
      <c r="G584" s="881">
        <v>31184.9876</v>
      </c>
      <c r="H584" s="880">
        <v>22.460211011372099</v>
      </c>
      <c r="I584"/>
      <c r="J584"/>
      <c r="K584"/>
      <c r="L584"/>
    </row>
    <row r="585" spans="1:12" x14ac:dyDescent="0.25">
      <c r="A585" s="519" t="s">
        <v>181</v>
      </c>
      <c r="B585" s="519" t="s">
        <v>284</v>
      </c>
      <c r="C585" s="519" t="s">
        <v>289</v>
      </c>
      <c r="D585" s="519" t="s">
        <v>16</v>
      </c>
      <c r="E585" s="519" t="s">
        <v>150</v>
      </c>
      <c r="F585" s="881">
        <v>39991.525200000004</v>
      </c>
      <c r="G585" s="881">
        <v>12158.0646</v>
      </c>
      <c r="H585" s="880">
        <v>14.220760687775801</v>
      </c>
      <c r="I585"/>
      <c r="J585"/>
      <c r="K585"/>
      <c r="L585"/>
    </row>
    <row r="586" spans="1:12" x14ac:dyDescent="0.25">
      <c r="A586" s="519" t="s">
        <v>181</v>
      </c>
      <c r="B586" s="519" t="s">
        <v>284</v>
      </c>
      <c r="C586" s="519" t="s">
        <v>289</v>
      </c>
      <c r="D586" s="519" t="s">
        <v>16</v>
      </c>
      <c r="E586" s="519" t="s">
        <v>154</v>
      </c>
      <c r="F586" s="881">
        <v>58576.421999999999</v>
      </c>
      <c r="G586" s="881">
        <v>11505.965100000001</v>
      </c>
      <c r="H586" s="880">
        <v>9.0262196007827509</v>
      </c>
      <c r="I586"/>
      <c r="J586"/>
      <c r="K586"/>
      <c r="L586"/>
    </row>
    <row r="587" spans="1:12" x14ac:dyDescent="0.25">
      <c r="A587" s="519" t="s">
        <v>181</v>
      </c>
      <c r="B587" s="519" t="s">
        <v>284</v>
      </c>
      <c r="C587" s="519" t="s">
        <v>289</v>
      </c>
      <c r="D587" s="519" t="s">
        <v>16</v>
      </c>
      <c r="E587" s="519" t="s">
        <v>153</v>
      </c>
      <c r="F587" s="881">
        <v>89998.183199999999</v>
      </c>
      <c r="G587" s="881">
        <v>11066.323</v>
      </c>
      <c r="H587" s="880">
        <v>6.2799227061229201</v>
      </c>
      <c r="I587"/>
      <c r="J587"/>
      <c r="K587"/>
      <c r="L587"/>
    </row>
    <row r="588" spans="1:12" x14ac:dyDescent="0.25">
      <c r="A588" s="519" t="s">
        <v>181</v>
      </c>
      <c r="B588" s="519" t="s">
        <v>284</v>
      </c>
      <c r="C588" s="519" t="s">
        <v>289</v>
      </c>
      <c r="D588" s="519" t="s">
        <v>17</v>
      </c>
      <c r="E588" s="519" t="s">
        <v>146</v>
      </c>
      <c r="F588" s="881">
        <v>110872.5261</v>
      </c>
      <c r="G588" s="881">
        <v>117589.2366</v>
      </c>
      <c r="H588" s="880">
        <v>6.1031220851058103</v>
      </c>
      <c r="I588"/>
      <c r="J588"/>
      <c r="K588"/>
      <c r="L588"/>
    </row>
    <row r="589" spans="1:12" x14ac:dyDescent="0.25">
      <c r="A589" s="519" t="s">
        <v>181</v>
      </c>
      <c r="B589" s="519" t="s">
        <v>284</v>
      </c>
      <c r="C589" s="519" t="s">
        <v>3</v>
      </c>
      <c r="D589" s="519" t="s">
        <v>70</v>
      </c>
      <c r="E589" s="519" t="s">
        <v>144</v>
      </c>
      <c r="F589" s="881">
        <v>82829.668799999999</v>
      </c>
      <c r="G589" s="881">
        <v>18688.470300000001</v>
      </c>
      <c r="H589" s="880">
        <v>24.818781699938199</v>
      </c>
      <c r="I589"/>
      <c r="J589"/>
      <c r="K589"/>
      <c r="L589"/>
    </row>
    <row r="590" spans="1:12" x14ac:dyDescent="0.25">
      <c r="A590" s="519" t="s">
        <v>181</v>
      </c>
      <c r="B590" s="519" t="s">
        <v>284</v>
      </c>
      <c r="C590" s="519" t="s">
        <v>3</v>
      </c>
      <c r="D590" s="519" t="s">
        <v>70</v>
      </c>
      <c r="E590" s="519" t="s">
        <v>145</v>
      </c>
      <c r="F590" s="881">
        <v>34882.904999999999</v>
      </c>
      <c r="G590" s="881">
        <v>15040.4858</v>
      </c>
      <c r="H590" s="880">
        <v>17.927960918261</v>
      </c>
      <c r="I590"/>
      <c r="J590"/>
      <c r="K590"/>
      <c r="L590"/>
    </row>
    <row r="591" spans="1:12" x14ac:dyDescent="0.25">
      <c r="A591" s="519" t="s">
        <v>181</v>
      </c>
      <c r="B591" s="519" t="s">
        <v>284</v>
      </c>
      <c r="C591" s="519" t="s">
        <v>3</v>
      </c>
      <c r="D591" s="519" t="s">
        <v>70</v>
      </c>
      <c r="E591" s="519" t="s">
        <v>148</v>
      </c>
      <c r="F591" s="881">
        <v>51095.911200000002</v>
      </c>
      <c r="G591" s="881">
        <v>12110.8055</v>
      </c>
      <c r="H591" s="880">
        <v>10.2701940649878</v>
      </c>
      <c r="I591"/>
      <c r="J591"/>
      <c r="K591"/>
      <c r="L591"/>
    </row>
    <row r="592" spans="1:12" x14ac:dyDescent="0.25">
      <c r="A592" s="519" t="s">
        <v>181</v>
      </c>
      <c r="B592" s="519" t="s">
        <v>284</v>
      </c>
      <c r="C592" s="519" t="s">
        <v>3</v>
      </c>
      <c r="D592" s="519" t="s">
        <v>70</v>
      </c>
      <c r="E592" s="519" t="s">
        <v>153</v>
      </c>
      <c r="F592" s="881">
        <v>47477.150999999998</v>
      </c>
      <c r="G592" s="881">
        <v>10402.6217</v>
      </c>
      <c r="H592" s="880">
        <v>4.9785128552040501</v>
      </c>
      <c r="I592"/>
      <c r="J592"/>
      <c r="K592"/>
      <c r="L592"/>
    </row>
    <row r="593" spans="1:12" x14ac:dyDescent="0.25">
      <c r="A593" s="519" t="s">
        <v>181</v>
      </c>
      <c r="B593" s="519" t="s">
        <v>284</v>
      </c>
      <c r="C593" s="519" t="s">
        <v>3</v>
      </c>
      <c r="D593" s="519" t="s">
        <v>16</v>
      </c>
      <c r="E593" s="519" t="s">
        <v>146</v>
      </c>
      <c r="F593" s="881">
        <v>62869.906500000005</v>
      </c>
      <c r="G593" s="881">
        <v>48510.004000000001</v>
      </c>
      <c r="H593" s="880">
        <v>11.201183395987801</v>
      </c>
      <c r="I593"/>
      <c r="J593"/>
      <c r="K593"/>
      <c r="L593"/>
    </row>
    <row r="594" spans="1:12" x14ac:dyDescent="0.25">
      <c r="A594" s="519" t="s">
        <v>181</v>
      </c>
      <c r="B594" s="519" t="s">
        <v>284</v>
      </c>
      <c r="C594" s="519" t="s">
        <v>3</v>
      </c>
      <c r="D594" s="519" t="s">
        <v>16</v>
      </c>
      <c r="E594" s="519" t="s">
        <v>152</v>
      </c>
      <c r="F594" s="881">
        <v>58810.2333</v>
      </c>
      <c r="G594" s="881">
        <v>77393.090100000001</v>
      </c>
      <c r="H594" s="880">
        <v>2.91540330995366</v>
      </c>
      <c r="I594"/>
      <c r="J594"/>
      <c r="K594"/>
      <c r="L594"/>
    </row>
    <row r="595" spans="1:12" x14ac:dyDescent="0.25">
      <c r="A595" s="519" t="s">
        <v>181</v>
      </c>
      <c r="B595" s="519" t="s">
        <v>284</v>
      </c>
      <c r="C595" s="519" t="s">
        <v>3</v>
      </c>
      <c r="D595" s="519" t="s">
        <v>17</v>
      </c>
      <c r="E595" s="519" t="s">
        <v>144</v>
      </c>
      <c r="F595" s="881">
        <v>247646.55660000001</v>
      </c>
      <c r="G595" s="881">
        <v>62553.338900000002</v>
      </c>
      <c r="H595" s="880">
        <v>7.5139550657316203</v>
      </c>
      <c r="I595"/>
      <c r="J595"/>
      <c r="K595"/>
      <c r="L595"/>
    </row>
    <row r="596" spans="1:12" x14ac:dyDescent="0.25">
      <c r="A596" s="519" t="s">
        <v>181</v>
      </c>
      <c r="B596" s="519" t="s">
        <v>284</v>
      </c>
      <c r="C596" s="519" t="s">
        <v>3</v>
      </c>
      <c r="D596" s="519" t="s">
        <v>17</v>
      </c>
      <c r="E596" s="519" t="s">
        <v>146</v>
      </c>
      <c r="F596" s="881">
        <v>221266.43700000001</v>
      </c>
      <c r="G596" s="881">
        <v>169583.8884</v>
      </c>
      <c r="H596" s="880">
        <v>8.5948924887261793</v>
      </c>
      <c r="I596"/>
      <c r="J596"/>
      <c r="K596"/>
      <c r="L596"/>
    </row>
    <row r="597" spans="1:12" x14ac:dyDescent="0.25">
      <c r="A597" s="519" t="s">
        <v>181</v>
      </c>
      <c r="B597" s="519" t="s">
        <v>284</v>
      </c>
      <c r="C597" s="519" t="s">
        <v>3</v>
      </c>
      <c r="D597" s="519" t="s">
        <v>17</v>
      </c>
      <c r="E597" s="519" t="s">
        <v>145</v>
      </c>
      <c r="F597" s="881">
        <v>207485.6784</v>
      </c>
      <c r="G597" s="881">
        <v>104441.24650000001</v>
      </c>
      <c r="H597" s="880">
        <v>7.6278812631460404</v>
      </c>
      <c r="I597"/>
      <c r="J597"/>
      <c r="K597"/>
      <c r="L597"/>
    </row>
    <row r="598" spans="1:12" x14ac:dyDescent="0.25">
      <c r="A598" s="519" t="s">
        <v>181</v>
      </c>
      <c r="B598" s="519" t="s">
        <v>284</v>
      </c>
      <c r="C598" s="519" t="s">
        <v>286</v>
      </c>
      <c r="D598" s="519" t="s">
        <v>70</v>
      </c>
      <c r="E598" s="519" t="s">
        <v>149</v>
      </c>
      <c r="F598" s="881">
        <v>54888.553500000002</v>
      </c>
      <c r="G598" s="881">
        <v>58716.345999999998</v>
      </c>
      <c r="H598" s="880">
        <v>5.4673719567468604</v>
      </c>
      <c r="I598"/>
      <c r="J598"/>
      <c r="K598"/>
      <c r="L598"/>
    </row>
    <row r="599" spans="1:12" x14ac:dyDescent="0.25">
      <c r="A599" s="519" t="s">
        <v>181</v>
      </c>
      <c r="B599" s="519" t="s">
        <v>284</v>
      </c>
      <c r="C599" s="519" t="s">
        <v>286</v>
      </c>
      <c r="D599" s="519" t="s">
        <v>70</v>
      </c>
      <c r="E599" s="519" t="s">
        <v>147</v>
      </c>
      <c r="F599" s="881">
        <v>74787.558900000004</v>
      </c>
      <c r="G599" s="881">
        <v>45202.5815</v>
      </c>
      <c r="H599" s="880">
        <v>9.9671843898501198</v>
      </c>
      <c r="I599"/>
      <c r="J599"/>
      <c r="K599"/>
      <c r="L599"/>
    </row>
    <row r="600" spans="1:12" x14ac:dyDescent="0.25">
      <c r="A600" s="519" t="s">
        <v>181</v>
      </c>
      <c r="B600" s="519" t="s">
        <v>284</v>
      </c>
      <c r="C600" s="519" t="s">
        <v>286</v>
      </c>
      <c r="D600" s="519" t="s">
        <v>70</v>
      </c>
      <c r="E600" s="519" t="s">
        <v>148</v>
      </c>
      <c r="F600" s="881">
        <v>59553.777600000001</v>
      </c>
      <c r="G600" s="881">
        <v>35678.1567</v>
      </c>
      <c r="H600" s="880">
        <v>9.7412535780372504</v>
      </c>
      <c r="I600"/>
      <c r="J600"/>
      <c r="K600"/>
      <c r="L600"/>
    </row>
    <row r="601" spans="1:12" x14ac:dyDescent="0.25">
      <c r="A601" s="519" t="s">
        <v>181</v>
      </c>
      <c r="B601" s="519" t="s">
        <v>284</v>
      </c>
      <c r="C601" s="519" t="s">
        <v>286</v>
      </c>
      <c r="D601" s="519" t="s">
        <v>70</v>
      </c>
      <c r="E601" s="519" t="s">
        <v>151</v>
      </c>
      <c r="F601" s="881">
        <v>44596.940999999999</v>
      </c>
      <c r="G601" s="881">
        <v>32063.264300000003</v>
      </c>
      <c r="H601" s="880">
        <v>9.2645541812945496</v>
      </c>
      <c r="I601"/>
      <c r="J601"/>
      <c r="K601"/>
      <c r="L601"/>
    </row>
    <row r="602" spans="1:12" x14ac:dyDescent="0.25">
      <c r="A602" s="519" t="s">
        <v>181</v>
      </c>
      <c r="B602" s="519" t="s">
        <v>284</v>
      </c>
      <c r="C602" s="519" t="s">
        <v>286</v>
      </c>
      <c r="D602" s="519" t="s">
        <v>16</v>
      </c>
      <c r="E602" s="519" t="s">
        <v>146</v>
      </c>
      <c r="F602" s="881">
        <v>52429.410300000003</v>
      </c>
      <c r="G602" s="881">
        <v>24500.557000000001</v>
      </c>
      <c r="H602" s="880">
        <v>6.2829836691573497</v>
      </c>
      <c r="I602"/>
      <c r="J602"/>
      <c r="K602"/>
      <c r="L602"/>
    </row>
    <row r="603" spans="1:12" x14ac:dyDescent="0.25">
      <c r="A603" s="519" t="s">
        <v>181</v>
      </c>
      <c r="B603" s="519" t="s">
        <v>284</v>
      </c>
      <c r="C603" s="519" t="s">
        <v>286</v>
      </c>
      <c r="D603" s="519" t="s">
        <v>16</v>
      </c>
      <c r="E603" s="519" t="s">
        <v>145</v>
      </c>
      <c r="F603" s="881">
        <v>52221.164700000001</v>
      </c>
      <c r="G603" s="881">
        <v>28373.557100000002</v>
      </c>
      <c r="H603" s="880">
        <v>4.30948312658884</v>
      </c>
      <c r="I603"/>
      <c r="J603"/>
      <c r="K603"/>
      <c r="L603"/>
    </row>
    <row r="604" spans="1:12" x14ac:dyDescent="0.25">
      <c r="A604" s="519" t="s">
        <v>181</v>
      </c>
      <c r="B604" s="519" t="s">
        <v>284</v>
      </c>
      <c r="C604" s="519" t="s">
        <v>286</v>
      </c>
      <c r="D604" s="519" t="s">
        <v>16</v>
      </c>
      <c r="E604" s="519" t="s">
        <v>149</v>
      </c>
      <c r="F604" s="881">
        <v>60682.881300000001</v>
      </c>
      <c r="G604" s="881">
        <v>52163.9035</v>
      </c>
      <c r="H604" s="880">
        <v>9.4618890723943405</v>
      </c>
      <c r="I604"/>
      <c r="J604"/>
      <c r="K604"/>
      <c r="L604"/>
    </row>
    <row r="605" spans="1:12" x14ac:dyDescent="0.25">
      <c r="A605" s="519" t="s">
        <v>181</v>
      </c>
      <c r="B605" s="519" t="s">
        <v>284</v>
      </c>
      <c r="C605" s="519" t="s">
        <v>286</v>
      </c>
      <c r="D605" s="519" t="s">
        <v>16</v>
      </c>
      <c r="E605" s="519" t="s">
        <v>148</v>
      </c>
      <c r="F605" s="881">
        <v>53451.629100000006</v>
      </c>
      <c r="G605" s="881">
        <v>27242.682200000003</v>
      </c>
      <c r="H605" s="880">
        <v>5.3803420983306296</v>
      </c>
      <c r="I605"/>
      <c r="J605"/>
      <c r="K605"/>
      <c r="L605"/>
    </row>
    <row r="606" spans="1:12" x14ac:dyDescent="0.25">
      <c r="A606" s="519" t="s">
        <v>181</v>
      </c>
      <c r="B606" s="519" t="s">
        <v>284</v>
      </c>
      <c r="C606" s="519" t="s">
        <v>286</v>
      </c>
      <c r="D606" s="519" t="s">
        <v>16</v>
      </c>
      <c r="E606" s="519" t="s">
        <v>152</v>
      </c>
      <c r="F606" s="881">
        <v>80281.013100000011</v>
      </c>
      <c r="G606" s="881">
        <v>64297.6011</v>
      </c>
      <c r="H606" s="880">
        <v>3.4244674999107003</v>
      </c>
      <c r="I606"/>
      <c r="J606"/>
      <c r="K606"/>
      <c r="L606"/>
    </row>
    <row r="607" spans="1:12" x14ac:dyDescent="0.25">
      <c r="A607" s="519" t="s">
        <v>181</v>
      </c>
      <c r="B607" s="519" t="s">
        <v>284</v>
      </c>
      <c r="C607" s="519" t="s">
        <v>286</v>
      </c>
      <c r="D607" s="519" t="s">
        <v>16</v>
      </c>
      <c r="E607" s="519" t="s">
        <v>154</v>
      </c>
      <c r="F607" s="881">
        <v>102237.8481</v>
      </c>
      <c r="G607" s="881">
        <v>33108.970399999998</v>
      </c>
      <c r="H607" s="880">
        <v>8.0893753064996403</v>
      </c>
      <c r="I607"/>
      <c r="J607"/>
      <c r="K607"/>
      <c r="L607"/>
    </row>
    <row r="608" spans="1:12" x14ac:dyDescent="0.25">
      <c r="A608" s="519" t="s">
        <v>181</v>
      </c>
      <c r="B608" s="519" t="s">
        <v>284</v>
      </c>
      <c r="C608" s="519" t="s">
        <v>286</v>
      </c>
      <c r="D608" s="519" t="s">
        <v>16</v>
      </c>
      <c r="E608" s="519" t="s">
        <v>153</v>
      </c>
      <c r="F608" s="881">
        <v>101457.48510000001</v>
      </c>
      <c r="G608" s="881">
        <v>45080.340100000001</v>
      </c>
      <c r="H608" s="880">
        <v>5.8535063885947798</v>
      </c>
      <c r="I608"/>
      <c r="J608"/>
      <c r="K608"/>
      <c r="L608"/>
    </row>
    <row r="609" spans="1:12" x14ac:dyDescent="0.25">
      <c r="A609" s="519" t="s">
        <v>181</v>
      </c>
      <c r="B609" s="519" t="s">
        <v>284</v>
      </c>
      <c r="C609" s="519" t="s">
        <v>286</v>
      </c>
      <c r="D609" s="519" t="s">
        <v>17</v>
      </c>
      <c r="E609" s="519" t="s">
        <v>144</v>
      </c>
      <c r="F609" s="881">
        <v>104458.3719</v>
      </c>
      <c r="G609" s="881">
        <v>64859.578300000001</v>
      </c>
      <c r="H609" s="880">
        <v>4.5157765636375</v>
      </c>
      <c r="I609"/>
      <c r="J609"/>
      <c r="K609"/>
      <c r="L609"/>
    </row>
    <row r="610" spans="1:12" x14ac:dyDescent="0.25">
      <c r="A610" s="519" t="s">
        <v>181</v>
      </c>
      <c r="B610" s="519" t="s">
        <v>284</v>
      </c>
      <c r="C610" s="519" t="s">
        <v>286</v>
      </c>
      <c r="D610" s="519" t="s">
        <v>17</v>
      </c>
      <c r="E610" s="519" t="s">
        <v>146</v>
      </c>
      <c r="F610" s="881">
        <v>158740.2585</v>
      </c>
      <c r="G610" s="881">
        <v>101300.5163</v>
      </c>
      <c r="H610" s="880">
        <v>9.4816350415390396</v>
      </c>
      <c r="I610"/>
      <c r="J610"/>
      <c r="K610"/>
      <c r="L610"/>
    </row>
    <row r="611" spans="1:12" x14ac:dyDescent="0.25">
      <c r="A611" s="519" t="s">
        <v>181</v>
      </c>
      <c r="B611" s="519" t="s">
        <v>284</v>
      </c>
      <c r="C611" s="519" t="s">
        <v>286</v>
      </c>
      <c r="D611" s="519" t="s">
        <v>17</v>
      </c>
      <c r="E611" s="519" t="s">
        <v>149</v>
      </c>
      <c r="F611" s="881">
        <v>128728.48890000001</v>
      </c>
      <c r="G611" s="881">
        <v>79508.669900000008</v>
      </c>
      <c r="H611" s="880">
        <v>0</v>
      </c>
      <c r="I611"/>
      <c r="J611"/>
      <c r="K611"/>
      <c r="L611"/>
    </row>
    <row r="612" spans="1:12" x14ac:dyDescent="0.25">
      <c r="A612" s="519" t="s">
        <v>181</v>
      </c>
      <c r="B612" s="519" t="s">
        <v>284</v>
      </c>
      <c r="C612" s="519" t="s">
        <v>287</v>
      </c>
      <c r="D612" s="519" t="s">
        <v>70</v>
      </c>
      <c r="E612" s="519" t="s">
        <v>144</v>
      </c>
      <c r="F612" s="881">
        <v>20659.959300000002</v>
      </c>
      <c r="G612" s="881">
        <v>12611.522700000001</v>
      </c>
      <c r="H612" s="880">
        <v>4.2950152985383303</v>
      </c>
      <c r="I612"/>
      <c r="J612"/>
      <c r="K612"/>
      <c r="L612"/>
    </row>
    <row r="613" spans="1:12" x14ac:dyDescent="0.25">
      <c r="A613" s="519" t="s">
        <v>181</v>
      </c>
      <c r="B613" s="519" t="s">
        <v>284</v>
      </c>
      <c r="C613" s="519" t="s">
        <v>287</v>
      </c>
      <c r="D613" s="519" t="s">
        <v>70</v>
      </c>
      <c r="E613" s="519" t="s">
        <v>147</v>
      </c>
      <c r="F613" s="881">
        <v>26513.249100000001</v>
      </c>
      <c r="G613" s="881">
        <v>14906.601200000001</v>
      </c>
      <c r="H613" s="880">
        <v>5.4469828679773604</v>
      </c>
      <c r="I613"/>
      <c r="J613"/>
      <c r="K613"/>
      <c r="L613"/>
    </row>
    <row r="614" spans="1:12" x14ac:dyDescent="0.25">
      <c r="A614" s="519" t="s">
        <v>181</v>
      </c>
      <c r="B614" s="519" t="s">
        <v>284</v>
      </c>
      <c r="C614" s="519" t="s">
        <v>287</v>
      </c>
      <c r="D614" s="519" t="s">
        <v>70</v>
      </c>
      <c r="E614" s="519" t="s">
        <v>148</v>
      </c>
      <c r="F614" s="881">
        <v>18694.971600000001</v>
      </c>
      <c r="G614" s="881">
        <v>22012.127800000002</v>
      </c>
      <c r="H614" s="880">
        <v>4.6612452708139402</v>
      </c>
      <c r="I614"/>
      <c r="J614"/>
      <c r="K614"/>
      <c r="L614"/>
    </row>
    <row r="615" spans="1:12" x14ac:dyDescent="0.25">
      <c r="A615" s="519" t="s">
        <v>181</v>
      </c>
      <c r="B615" s="519" t="s">
        <v>284</v>
      </c>
      <c r="C615" s="519" t="s">
        <v>287</v>
      </c>
      <c r="D615" s="519" t="s">
        <v>70</v>
      </c>
      <c r="E615" s="519" t="s">
        <v>151</v>
      </c>
      <c r="F615" s="881">
        <v>20128.1109</v>
      </c>
      <c r="G615" s="881">
        <v>16874.551600000003</v>
      </c>
      <c r="H615" s="880">
        <v>3.99423477716328</v>
      </c>
      <c r="I615"/>
      <c r="J615"/>
      <c r="K615"/>
      <c r="L615"/>
    </row>
    <row r="616" spans="1:12" x14ac:dyDescent="0.25">
      <c r="A616" s="519" t="s">
        <v>181</v>
      </c>
      <c r="B616" s="519" t="s">
        <v>284</v>
      </c>
      <c r="C616" s="519" t="s">
        <v>287</v>
      </c>
      <c r="D616" s="519" t="s">
        <v>70</v>
      </c>
      <c r="E616" s="519" t="s">
        <v>155</v>
      </c>
      <c r="F616" s="881">
        <v>15467.443800000001</v>
      </c>
      <c r="G616" s="881">
        <v>15036.289900000002</v>
      </c>
      <c r="H616" s="880">
        <v>6.9538516574820797</v>
      </c>
      <c r="I616"/>
      <c r="J616"/>
      <c r="K616"/>
      <c r="L616"/>
    </row>
    <row r="617" spans="1:12" x14ac:dyDescent="0.25">
      <c r="A617" s="519" t="s">
        <v>181</v>
      </c>
      <c r="B617" s="519" t="s">
        <v>284</v>
      </c>
      <c r="C617" s="519" t="s">
        <v>287</v>
      </c>
      <c r="D617" s="519" t="s">
        <v>16</v>
      </c>
      <c r="E617" s="519" t="s">
        <v>145</v>
      </c>
      <c r="F617" s="881">
        <v>29985.655200000001</v>
      </c>
      <c r="G617" s="881">
        <v>15054.085300000001</v>
      </c>
      <c r="H617" s="880">
        <v>10.2629846635229</v>
      </c>
      <c r="I617"/>
      <c r="J617"/>
      <c r="K617"/>
      <c r="L617"/>
    </row>
    <row r="618" spans="1:12" x14ac:dyDescent="0.25">
      <c r="A618" s="519" t="s">
        <v>181</v>
      </c>
      <c r="B618" s="519" t="s">
        <v>284</v>
      </c>
      <c r="C618" s="519" t="s">
        <v>287</v>
      </c>
      <c r="D618" s="519" t="s">
        <v>16</v>
      </c>
      <c r="E618" s="519" t="s">
        <v>149</v>
      </c>
      <c r="F618" s="881">
        <v>30995.337600000003</v>
      </c>
      <c r="G618" s="881">
        <v>18073.883700000002</v>
      </c>
      <c r="H618" s="880">
        <v>11.9697545639222</v>
      </c>
      <c r="I618"/>
      <c r="J618"/>
      <c r="K618"/>
      <c r="L618"/>
    </row>
    <row r="619" spans="1:12" x14ac:dyDescent="0.25">
      <c r="A619" s="519" t="s">
        <v>181</v>
      </c>
      <c r="B619" s="519" t="s">
        <v>284</v>
      </c>
      <c r="C619" s="519" t="s">
        <v>287</v>
      </c>
      <c r="D619" s="519" t="s">
        <v>16</v>
      </c>
      <c r="E619" s="519" t="s">
        <v>147</v>
      </c>
      <c r="F619" s="881">
        <v>31361.274000000001</v>
      </c>
      <c r="G619" s="881">
        <v>6233.3723</v>
      </c>
      <c r="H619" s="880">
        <v>9.4530164164589401</v>
      </c>
      <c r="I619"/>
      <c r="J619"/>
      <c r="K619"/>
      <c r="L619"/>
    </row>
    <row r="620" spans="1:12" x14ac:dyDescent="0.25">
      <c r="A620" s="519" t="s">
        <v>181</v>
      </c>
      <c r="B620" s="519" t="s">
        <v>284</v>
      </c>
      <c r="C620" s="519" t="s">
        <v>287</v>
      </c>
      <c r="D620" s="519" t="s">
        <v>16</v>
      </c>
      <c r="E620" s="519" t="s">
        <v>148</v>
      </c>
      <c r="F620" s="881">
        <v>27724.6299</v>
      </c>
      <c r="G620" s="881">
        <v>14682.707</v>
      </c>
      <c r="H620" s="880">
        <v>7.6216644289585602</v>
      </c>
      <c r="I620"/>
      <c r="J620"/>
      <c r="K620"/>
      <c r="L620"/>
    </row>
    <row r="621" spans="1:12" x14ac:dyDescent="0.25">
      <c r="A621" s="519" t="s">
        <v>181</v>
      </c>
      <c r="B621" s="519" t="s">
        <v>284</v>
      </c>
      <c r="C621" s="519" t="s">
        <v>287</v>
      </c>
      <c r="D621" s="519" t="s">
        <v>16</v>
      </c>
      <c r="E621" s="519" t="s">
        <v>150</v>
      </c>
      <c r="F621" s="881">
        <v>26902.3053</v>
      </c>
      <c r="G621" s="881">
        <v>26809.656800000001</v>
      </c>
      <c r="H621" s="880">
        <v>6.1707149504748804</v>
      </c>
      <c r="I621"/>
      <c r="J621"/>
      <c r="K621"/>
      <c r="L621"/>
    </row>
    <row r="622" spans="1:12" x14ac:dyDescent="0.25">
      <c r="A622" s="519" t="s">
        <v>181</v>
      </c>
      <c r="B622" s="519" t="s">
        <v>284</v>
      </c>
      <c r="C622" s="519" t="s">
        <v>287</v>
      </c>
      <c r="D622" s="519" t="s">
        <v>16</v>
      </c>
      <c r="E622" s="519" t="s">
        <v>155</v>
      </c>
      <c r="F622" s="881">
        <v>20733.680400000001</v>
      </c>
      <c r="G622" s="881">
        <v>22451.884700000002</v>
      </c>
      <c r="H622" s="880">
        <v>7.0999803859115298</v>
      </c>
      <c r="I622"/>
      <c r="J622"/>
      <c r="K622"/>
      <c r="L622"/>
    </row>
    <row r="623" spans="1:12" x14ac:dyDescent="0.25">
      <c r="A623" s="519" t="s">
        <v>181</v>
      </c>
      <c r="B623" s="519" t="s">
        <v>284</v>
      </c>
      <c r="C623" s="519" t="s">
        <v>287</v>
      </c>
      <c r="D623" s="519" t="s">
        <v>16</v>
      </c>
      <c r="E623" s="519" t="s">
        <v>153</v>
      </c>
      <c r="F623" s="881">
        <v>32177.302500000002</v>
      </c>
      <c r="G623" s="881">
        <v>16131.262000000001</v>
      </c>
      <c r="H623" s="880">
        <v>6.8562719818508899</v>
      </c>
      <c r="I623"/>
      <c r="J623"/>
      <c r="K623"/>
      <c r="L623"/>
    </row>
    <row r="624" spans="1:12" x14ac:dyDescent="0.25">
      <c r="A624" s="519" t="s">
        <v>181</v>
      </c>
      <c r="B624" s="519" t="s">
        <v>284</v>
      </c>
      <c r="C624" s="519" t="s">
        <v>287</v>
      </c>
      <c r="D624" s="519" t="s">
        <v>17</v>
      </c>
      <c r="E624" s="519" t="s">
        <v>149</v>
      </c>
      <c r="F624" s="881">
        <v>24049.3629</v>
      </c>
      <c r="G624" s="881">
        <v>10321.9701</v>
      </c>
      <c r="H624" s="880">
        <v>0</v>
      </c>
      <c r="I624"/>
      <c r="J624"/>
      <c r="K624"/>
      <c r="L624"/>
    </row>
    <row r="625" spans="1:12" x14ac:dyDescent="0.25">
      <c r="A625" s="519" t="s">
        <v>181</v>
      </c>
      <c r="B625" s="519" t="s">
        <v>284</v>
      </c>
      <c r="C625" s="519" t="s">
        <v>290</v>
      </c>
      <c r="D625" s="519" t="s">
        <v>70</v>
      </c>
      <c r="E625" s="519" t="s">
        <v>144</v>
      </c>
      <c r="F625" s="881">
        <v>1596.4008000000001</v>
      </c>
      <c r="G625" s="881">
        <v>97.968600000000009</v>
      </c>
      <c r="H625" s="880">
        <v>14.1591153459329</v>
      </c>
      <c r="I625"/>
      <c r="J625"/>
      <c r="K625"/>
      <c r="L625"/>
    </row>
    <row r="626" spans="1:12" x14ac:dyDescent="0.25">
      <c r="A626" s="519" t="s">
        <v>181</v>
      </c>
      <c r="B626" s="519" t="s">
        <v>284</v>
      </c>
      <c r="C626" s="519" t="s">
        <v>290</v>
      </c>
      <c r="D626" s="519" t="s">
        <v>70</v>
      </c>
      <c r="E626" s="519" t="s">
        <v>145</v>
      </c>
      <c r="F626" s="881">
        <v>1689.2148</v>
      </c>
      <c r="G626" s="881">
        <v>-167.904</v>
      </c>
      <c r="H626" s="880">
        <v>5.4925214645148097</v>
      </c>
      <c r="I626"/>
      <c r="J626"/>
      <c r="K626"/>
      <c r="L626"/>
    </row>
    <row r="627" spans="1:12" x14ac:dyDescent="0.25">
      <c r="A627" s="519" t="s">
        <v>181</v>
      </c>
      <c r="B627" s="519" t="s">
        <v>284</v>
      </c>
      <c r="C627" s="519" t="s">
        <v>290</v>
      </c>
      <c r="D627" s="519" t="s">
        <v>70</v>
      </c>
      <c r="E627" s="519" t="s">
        <v>151</v>
      </c>
      <c r="F627" s="881">
        <v>7192.6944000000003</v>
      </c>
      <c r="G627" s="881">
        <v>1176.6843000000001</v>
      </c>
      <c r="H627" s="880">
        <v>8.0114385131249097</v>
      </c>
      <c r="I627"/>
      <c r="J627"/>
      <c r="K627"/>
      <c r="L627"/>
    </row>
    <row r="628" spans="1:12" x14ac:dyDescent="0.25">
      <c r="A628" s="519" t="s">
        <v>181</v>
      </c>
      <c r="B628" s="519" t="s">
        <v>284</v>
      </c>
      <c r="C628" s="519" t="s">
        <v>290</v>
      </c>
      <c r="D628" s="519" t="s">
        <v>70</v>
      </c>
      <c r="E628" s="519" t="s">
        <v>152</v>
      </c>
      <c r="F628" s="881">
        <v>6867.1014000000005</v>
      </c>
      <c r="G628" s="881">
        <v>1848.0851</v>
      </c>
      <c r="H628" s="880">
        <v>4.6857387168989497</v>
      </c>
      <c r="I628"/>
      <c r="J628"/>
      <c r="K628"/>
      <c r="L628"/>
    </row>
    <row r="629" spans="1:12" x14ac:dyDescent="0.25">
      <c r="A629" s="519" t="s">
        <v>181</v>
      </c>
      <c r="B629" s="519" t="s">
        <v>284</v>
      </c>
      <c r="C629" s="519" t="s">
        <v>290</v>
      </c>
      <c r="D629" s="519" t="s">
        <v>70</v>
      </c>
      <c r="E629" s="519" t="s">
        <v>150</v>
      </c>
      <c r="F629" s="881">
        <v>4255.1778000000004</v>
      </c>
      <c r="G629" s="881">
        <v>6192.1597000000002</v>
      </c>
      <c r="H629" s="880">
        <v>2.43189422841838</v>
      </c>
      <c r="I629"/>
      <c r="J629"/>
      <c r="K629"/>
      <c r="L629"/>
    </row>
    <row r="630" spans="1:12" x14ac:dyDescent="0.25">
      <c r="A630" s="519" t="s">
        <v>181</v>
      </c>
      <c r="B630" s="519" t="s">
        <v>284</v>
      </c>
      <c r="C630" s="519" t="s">
        <v>290</v>
      </c>
      <c r="D630" s="519" t="s">
        <v>70</v>
      </c>
      <c r="E630" s="519" t="s">
        <v>154</v>
      </c>
      <c r="F630" s="881">
        <v>2049.0410999999999</v>
      </c>
      <c r="G630" s="881">
        <v>6853.5821000000005</v>
      </c>
      <c r="H630" s="880">
        <v>30.589414077716899</v>
      </c>
      <c r="I630"/>
      <c r="J630"/>
      <c r="K630"/>
      <c r="L630"/>
    </row>
    <row r="631" spans="1:12" x14ac:dyDescent="0.25">
      <c r="A631" s="519" t="s">
        <v>181</v>
      </c>
      <c r="B631" s="519" t="s">
        <v>284</v>
      </c>
      <c r="C631" s="519" t="s">
        <v>290</v>
      </c>
      <c r="D631" s="519" t="s">
        <v>16</v>
      </c>
      <c r="E631" s="519" t="s">
        <v>146</v>
      </c>
      <c r="F631" s="881">
        <v>1135.6323</v>
      </c>
      <c r="G631" s="881">
        <v>-31.607300000000002</v>
      </c>
      <c r="H631" s="880">
        <v>17.662472254771501</v>
      </c>
      <c r="I631"/>
      <c r="J631"/>
      <c r="K631"/>
      <c r="L631"/>
    </row>
    <row r="632" spans="1:12" x14ac:dyDescent="0.25">
      <c r="A632" s="519" t="s">
        <v>181</v>
      </c>
      <c r="B632" s="519" t="s">
        <v>284</v>
      </c>
      <c r="C632" s="519" t="s">
        <v>290</v>
      </c>
      <c r="D632" s="519" t="s">
        <v>16</v>
      </c>
      <c r="E632" s="519" t="s">
        <v>147</v>
      </c>
      <c r="F632" s="881">
        <v>916.22670000000005</v>
      </c>
      <c r="G632" s="881">
        <v>62.857100000000003</v>
      </c>
      <c r="H632" s="880">
        <v>4.7515868230635698</v>
      </c>
      <c r="I632"/>
      <c r="J632"/>
      <c r="K632"/>
      <c r="L632"/>
    </row>
    <row r="633" spans="1:12" x14ac:dyDescent="0.25">
      <c r="A633" s="519" t="s">
        <v>181</v>
      </c>
      <c r="B633" s="519" t="s">
        <v>284</v>
      </c>
      <c r="C633" s="519" t="s">
        <v>290</v>
      </c>
      <c r="D633" s="519" t="s">
        <v>16</v>
      </c>
      <c r="E633" s="519" t="s">
        <v>151</v>
      </c>
      <c r="F633" s="881">
        <v>10648.0815</v>
      </c>
      <c r="G633" s="881">
        <v>6034.1006000000007</v>
      </c>
      <c r="H633" s="880">
        <v>3.22635833706439</v>
      </c>
      <c r="I633"/>
      <c r="J633"/>
      <c r="K633"/>
      <c r="L633"/>
    </row>
    <row r="634" spans="1:12" x14ac:dyDescent="0.25">
      <c r="A634" s="519" t="s">
        <v>181</v>
      </c>
      <c r="B634" s="519" t="s">
        <v>284</v>
      </c>
      <c r="C634" s="519" t="s">
        <v>290</v>
      </c>
      <c r="D634" s="519" t="s">
        <v>16</v>
      </c>
      <c r="E634" s="519" t="s">
        <v>154</v>
      </c>
      <c r="F634" s="881">
        <v>20370.217800000002</v>
      </c>
      <c r="G634" s="881">
        <v>11428.226200000001</v>
      </c>
      <c r="H634" s="880">
        <v>71.420943369448509</v>
      </c>
      <c r="I634"/>
      <c r="J634"/>
      <c r="K634"/>
      <c r="L634"/>
    </row>
    <row r="635" spans="1:12" x14ac:dyDescent="0.25">
      <c r="A635" s="519" t="s">
        <v>181</v>
      </c>
      <c r="B635" s="519" t="s">
        <v>284</v>
      </c>
      <c r="C635" s="519" t="s">
        <v>290</v>
      </c>
      <c r="D635" s="519" t="s">
        <v>17</v>
      </c>
      <c r="E635" s="519" t="s">
        <v>149</v>
      </c>
      <c r="F635" s="881">
        <v>3922.4889000000003</v>
      </c>
      <c r="G635" s="881">
        <v>663.03610000000003</v>
      </c>
      <c r="H635" s="880">
        <v>0</v>
      </c>
      <c r="I635"/>
      <c r="J635"/>
      <c r="K635"/>
      <c r="L635"/>
    </row>
    <row r="636" spans="1:12" x14ac:dyDescent="0.25">
      <c r="A636" s="519" t="s">
        <v>181</v>
      </c>
      <c r="B636" s="519" t="s">
        <v>284</v>
      </c>
      <c r="C636" s="519" t="s">
        <v>288</v>
      </c>
      <c r="D636" s="519" t="s">
        <v>70</v>
      </c>
      <c r="E636" s="519" t="s">
        <v>149</v>
      </c>
      <c r="F636" s="881">
        <v>4841.8775999999998</v>
      </c>
      <c r="G636" s="881">
        <v>323.57870000000003</v>
      </c>
      <c r="H636" s="880">
        <v>20.6772693045436</v>
      </c>
      <c r="I636"/>
      <c r="J636"/>
      <c r="K636"/>
      <c r="L636"/>
    </row>
    <row r="637" spans="1:12" x14ac:dyDescent="0.25">
      <c r="A637" s="519" t="s">
        <v>181</v>
      </c>
      <c r="B637" s="519" t="s">
        <v>284</v>
      </c>
      <c r="C637" s="519" t="s">
        <v>288</v>
      </c>
      <c r="D637" s="519" t="s">
        <v>70</v>
      </c>
      <c r="E637" s="519" t="s">
        <v>148</v>
      </c>
      <c r="F637" s="881">
        <v>4627.0475999999999</v>
      </c>
      <c r="G637" s="881">
        <v>170.30250000000001</v>
      </c>
      <c r="H637" s="880">
        <v>12.1951037592617</v>
      </c>
      <c r="I637"/>
      <c r="J637"/>
      <c r="K637"/>
      <c r="L637"/>
    </row>
    <row r="638" spans="1:12" x14ac:dyDescent="0.25">
      <c r="A638" s="519" t="s">
        <v>181</v>
      </c>
      <c r="B638" s="519" t="s">
        <v>284</v>
      </c>
      <c r="C638" s="519" t="s">
        <v>288</v>
      </c>
      <c r="D638" s="519" t="s">
        <v>70</v>
      </c>
      <c r="E638" s="519" t="s">
        <v>151</v>
      </c>
      <c r="F638" s="881">
        <v>6317.6574000000001</v>
      </c>
      <c r="G638" s="881">
        <v>384.74170000000004</v>
      </c>
      <c r="H638" s="880">
        <v>9.8502243395228</v>
      </c>
      <c r="I638"/>
      <c r="J638"/>
      <c r="K638"/>
      <c r="L638"/>
    </row>
    <row r="639" spans="1:12" x14ac:dyDescent="0.25">
      <c r="A639" s="519" t="s">
        <v>181</v>
      </c>
      <c r="B639" s="519" t="s">
        <v>284</v>
      </c>
      <c r="C639" s="519" t="s">
        <v>288</v>
      </c>
      <c r="D639" s="519" t="s">
        <v>70</v>
      </c>
      <c r="E639" s="519" t="s">
        <v>152</v>
      </c>
      <c r="F639" s="881">
        <v>6117.54</v>
      </c>
      <c r="G639" s="881">
        <v>1793.9415000000001</v>
      </c>
      <c r="H639" s="880">
        <v>6.7992937500980704</v>
      </c>
      <c r="L639"/>
    </row>
    <row r="640" spans="1:12" x14ac:dyDescent="0.25">
      <c r="A640" s="519" t="s">
        <v>181</v>
      </c>
      <c r="B640" s="519" t="s">
        <v>284</v>
      </c>
      <c r="C640" s="519" t="s">
        <v>288</v>
      </c>
      <c r="D640" s="519" t="s">
        <v>70</v>
      </c>
      <c r="E640" s="519" t="s">
        <v>150</v>
      </c>
      <c r="F640" s="881">
        <v>7064.6892000000007</v>
      </c>
      <c r="G640" s="881">
        <v>2928.4181000000003</v>
      </c>
      <c r="H640" s="880">
        <v>5.3474303220804202</v>
      </c>
      <c r="L640"/>
    </row>
    <row r="641" spans="1:12" x14ac:dyDescent="0.25">
      <c r="A641" s="519" t="s">
        <v>181</v>
      </c>
      <c r="B641" s="519" t="s">
        <v>284</v>
      </c>
      <c r="C641" s="519" t="s">
        <v>288</v>
      </c>
      <c r="D641" s="519" t="s">
        <v>70</v>
      </c>
      <c r="E641" s="519" t="s">
        <v>154</v>
      </c>
      <c r="F641" s="881">
        <v>4337.4549000000006</v>
      </c>
      <c r="G641" s="881">
        <v>6477.5219000000006</v>
      </c>
      <c r="H641" s="880">
        <v>3.6681575791389198</v>
      </c>
      <c r="L641"/>
    </row>
    <row r="642" spans="1:12" x14ac:dyDescent="0.25">
      <c r="A642" s="519" t="s">
        <v>181</v>
      </c>
      <c r="B642" s="519" t="s">
        <v>284</v>
      </c>
      <c r="C642" s="519" t="s">
        <v>288</v>
      </c>
      <c r="D642" s="519" t="s">
        <v>70</v>
      </c>
      <c r="E642" s="519" t="s">
        <v>153</v>
      </c>
      <c r="F642" s="881">
        <v>5401.1981999999998</v>
      </c>
      <c r="G642" s="881">
        <v>5084.5842000000002</v>
      </c>
      <c r="H642" s="880">
        <v>6.0392753358931897</v>
      </c>
      <c r="L642"/>
    </row>
    <row r="643" spans="1:12" x14ac:dyDescent="0.25">
      <c r="A643" s="519" t="s">
        <v>181</v>
      </c>
      <c r="B643" s="519" t="s">
        <v>284</v>
      </c>
      <c r="C643" s="519" t="s">
        <v>288</v>
      </c>
      <c r="D643" s="519" t="s">
        <v>16</v>
      </c>
      <c r="E643" s="519" t="s">
        <v>146</v>
      </c>
      <c r="F643" s="881">
        <v>4493.1741000000002</v>
      </c>
      <c r="G643" s="881">
        <v>6625.0969999999998</v>
      </c>
      <c r="H643" s="880">
        <v>2.0149840772584899</v>
      </c>
      <c r="L643"/>
    </row>
    <row r="644" spans="1:12" x14ac:dyDescent="0.25">
      <c r="A644" s="519" t="s">
        <v>181</v>
      </c>
      <c r="B644" s="519" t="s">
        <v>284</v>
      </c>
      <c r="C644" s="519" t="s">
        <v>288</v>
      </c>
      <c r="D644" s="519" t="s">
        <v>16</v>
      </c>
      <c r="E644" s="519" t="s">
        <v>149</v>
      </c>
      <c r="F644" s="881">
        <v>8064.8205000000007</v>
      </c>
      <c r="G644" s="881">
        <v>15899.9933</v>
      </c>
      <c r="H644" s="880">
        <v>3.6344627396840798</v>
      </c>
      <c r="L644"/>
    </row>
    <row r="645" spans="1:12" x14ac:dyDescent="0.25">
      <c r="A645" s="519" t="s">
        <v>181</v>
      </c>
      <c r="B645" s="519" t="s">
        <v>284</v>
      </c>
      <c r="C645" s="519" t="s">
        <v>288</v>
      </c>
      <c r="D645" s="519" t="s">
        <v>16</v>
      </c>
      <c r="E645" s="519" t="s">
        <v>152</v>
      </c>
      <c r="F645" s="881">
        <v>15717.957900000001</v>
      </c>
      <c r="G645" s="881">
        <v>10039.666999999999</v>
      </c>
      <c r="H645" s="880">
        <v>4.4179488825834499</v>
      </c>
      <c r="L645"/>
    </row>
    <row r="646" spans="1:12" x14ac:dyDescent="0.25">
      <c r="A646" s="519" t="s">
        <v>181</v>
      </c>
      <c r="B646" s="519" t="s">
        <v>284</v>
      </c>
      <c r="C646" s="519" t="s">
        <v>288</v>
      </c>
      <c r="D646" s="519" t="s">
        <v>16</v>
      </c>
      <c r="E646" s="519" t="s">
        <v>150</v>
      </c>
      <c r="F646" s="881">
        <v>16445.3295</v>
      </c>
      <c r="G646" s="881">
        <v>15026.393700000001</v>
      </c>
      <c r="H646" s="880">
        <v>2.8048129707142802</v>
      </c>
      <c r="L646"/>
    </row>
    <row r="647" spans="1:12" x14ac:dyDescent="0.25">
      <c r="A647" s="519" t="s">
        <v>181</v>
      </c>
      <c r="B647" s="519" t="s">
        <v>284</v>
      </c>
      <c r="C647" s="519" t="s">
        <v>288</v>
      </c>
      <c r="D647" s="519" t="s">
        <v>16</v>
      </c>
      <c r="E647" s="519" t="s">
        <v>155</v>
      </c>
      <c r="F647" s="881">
        <v>12841.1517</v>
      </c>
      <c r="G647" s="881">
        <v>25211.990100000003</v>
      </c>
      <c r="H647" s="880">
        <v>3.0611955970237501</v>
      </c>
      <c r="L647"/>
    </row>
    <row r="648" spans="1:12" x14ac:dyDescent="0.25">
      <c r="A648" s="519" t="s">
        <v>181</v>
      </c>
      <c r="B648" s="519" t="s">
        <v>284</v>
      </c>
      <c r="C648" s="519" t="s">
        <v>288</v>
      </c>
      <c r="D648" s="519" t="s">
        <v>16</v>
      </c>
      <c r="E648" s="519" t="s">
        <v>153</v>
      </c>
      <c r="F648" s="881">
        <v>9887.2950000000001</v>
      </c>
      <c r="G648" s="881">
        <v>16761.4198</v>
      </c>
      <c r="H648" s="880">
        <v>2.5760583496910501</v>
      </c>
      <c r="L648"/>
    </row>
    <row r="649" spans="1:12" x14ac:dyDescent="0.25">
      <c r="A649" s="519" t="s">
        <v>181</v>
      </c>
      <c r="B649" s="519" t="s">
        <v>284</v>
      </c>
      <c r="C649" s="519" t="s">
        <v>281</v>
      </c>
      <c r="D649" s="519" t="s">
        <v>70</v>
      </c>
      <c r="E649" s="519" t="s">
        <v>153</v>
      </c>
      <c r="F649" s="881">
        <v>3515.4186</v>
      </c>
      <c r="G649" s="881">
        <v>176.88670000000002</v>
      </c>
      <c r="H649" s="880">
        <v>35.4310669372855</v>
      </c>
      <c r="L649"/>
    </row>
    <row r="650" spans="1:12" x14ac:dyDescent="0.25">
      <c r="A650" s="519" t="s">
        <v>181</v>
      </c>
      <c r="B650" s="519" t="s">
        <v>284</v>
      </c>
      <c r="C650" s="519" t="s">
        <v>281</v>
      </c>
      <c r="D650" s="519" t="s">
        <v>16</v>
      </c>
      <c r="E650" s="519" t="s">
        <v>144</v>
      </c>
      <c r="F650" s="881">
        <v>3387.9714000000004</v>
      </c>
      <c r="G650" s="881">
        <v>113.4773</v>
      </c>
      <c r="H650" s="880">
        <v>30.692657384762601</v>
      </c>
      <c r="L650"/>
    </row>
    <row r="651" spans="1:12" x14ac:dyDescent="0.25">
      <c r="A651" s="519" t="s">
        <v>181</v>
      </c>
      <c r="B651" s="519" t="s">
        <v>284</v>
      </c>
      <c r="C651" s="519" t="s">
        <v>281</v>
      </c>
      <c r="D651" s="519" t="s">
        <v>16</v>
      </c>
      <c r="E651" s="519" t="s">
        <v>146</v>
      </c>
      <c r="F651" s="881">
        <v>2448.0482999999999</v>
      </c>
      <c r="G651" s="881">
        <v>947.05899999999997</v>
      </c>
      <c r="H651" s="880">
        <v>26.616599340384901</v>
      </c>
      <c r="L651"/>
    </row>
    <row r="652" spans="1:12" x14ac:dyDescent="0.25">
      <c r="A652" s="519" t="s">
        <v>181</v>
      </c>
      <c r="B652" s="519" t="s">
        <v>284</v>
      </c>
      <c r="C652" s="519" t="s">
        <v>281</v>
      </c>
      <c r="D652" s="519" t="s">
        <v>16</v>
      </c>
      <c r="E652" s="519" t="s">
        <v>145</v>
      </c>
      <c r="F652" s="881">
        <v>1603.7106000000001</v>
      </c>
      <c r="G652" s="881">
        <v>702.02480000000003</v>
      </c>
      <c r="H652" s="880">
        <v>16.905350479595501</v>
      </c>
      <c r="L652"/>
    </row>
    <row r="653" spans="1:12" x14ac:dyDescent="0.25">
      <c r="A653" s="519" t="s">
        <v>181</v>
      </c>
      <c r="B653" s="519" t="s">
        <v>284</v>
      </c>
      <c r="C653" s="519" t="s">
        <v>281</v>
      </c>
      <c r="D653" s="519" t="s">
        <v>16</v>
      </c>
      <c r="E653" s="519" t="s">
        <v>147</v>
      </c>
      <c r="F653" s="881">
        <v>1226.6793</v>
      </c>
      <c r="G653" s="881">
        <v>112.343</v>
      </c>
      <c r="H653" s="880">
        <v>68.364792445639708</v>
      </c>
      <c r="L653"/>
    </row>
    <row r="654" spans="1:12" x14ac:dyDescent="0.25">
      <c r="A654" s="519" t="s">
        <v>181</v>
      </c>
      <c r="B654" s="519" t="s">
        <v>284</v>
      </c>
      <c r="C654" s="519" t="s">
        <v>281</v>
      </c>
      <c r="D654" s="519" t="s">
        <v>16</v>
      </c>
      <c r="E654" s="519" t="s">
        <v>150</v>
      </c>
      <c r="F654" s="881">
        <v>430.1343</v>
      </c>
      <c r="G654" s="881">
        <v>137.01930000000002</v>
      </c>
      <c r="H654" s="880">
        <v>45.078790690119405</v>
      </c>
      <c r="L654"/>
    </row>
    <row r="655" spans="1:12" x14ac:dyDescent="0.25">
      <c r="A655" s="519" t="s">
        <v>181</v>
      </c>
      <c r="B655" s="519" t="s">
        <v>284</v>
      </c>
      <c r="C655" s="519" t="s">
        <v>281</v>
      </c>
      <c r="D655" s="519" t="s">
        <v>17</v>
      </c>
      <c r="E655" s="519" t="s">
        <v>144</v>
      </c>
      <c r="F655" s="881">
        <v>244.27380000000002</v>
      </c>
      <c r="G655" s="881">
        <v>90.072900000000004</v>
      </c>
      <c r="H655" s="880">
        <v>25.705801963558901</v>
      </c>
      <c r="L655"/>
    </row>
    <row r="656" spans="1:12" x14ac:dyDescent="0.25">
      <c r="A656" s="519" t="s">
        <v>181</v>
      </c>
      <c r="B656" s="519" t="s">
        <v>284</v>
      </c>
      <c r="C656" s="519" t="s">
        <v>1812</v>
      </c>
      <c r="D656" s="519" t="s">
        <v>70</v>
      </c>
      <c r="E656" s="519" t="s">
        <v>146</v>
      </c>
      <c r="F656" s="881">
        <v>24852.2412</v>
      </c>
      <c r="G656" s="881">
        <v>9211.7201999999997</v>
      </c>
      <c r="H656" s="880">
        <v>10.827649248552701</v>
      </c>
      <c r="L656"/>
    </row>
    <row r="657" spans="1:12" x14ac:dyDescent="0.25">
      <c r="A657" s="519" t="s">
        <v>181</v>
      </c>
      <c r="B657" s="519" t="s">
        <v>284</v>
      </c>
      <c r="C657" s="519" t="s">
        <v>1812</v>
      </c>
      <c r="D657" s="519" t="s">
        <v>70</v>
      </c>
      <c r="E657" s="519" t="s">
        <v>149</v>
      </c>
      <c r="F657" s="881">
        <v>30674.636400000003</v>
      </c>
      <c r="G657" s="881">
        <v>9323.8770999999997</v>
      </c>
      <c r="H657" s="880">
        <v>11.946399731774301</v>
      </c>
      <c r="L657"/>
    </row>
    <row r="658" spans="1:12" x14ac:dyDescent="0.25">
      <c r="A658" s="519" t="s">
        <v>181</v>
      </c>
      <c r="B658" s="519" t="s">
        <v>284</v>
      </c>
      <c r="C658" s="519" t="s">
        <v>1812</v>
      </c>
      <c r="D658" s="519" t="s">
        <v>70</v>
      </c>
      <c r="E658" s="519" t="s">
        <v>147</v>
      </c>
      <c r="F658" s="881">
        <v>25924.624200000002</v>
      </c>
      <c r="G658" s="881">
        <v>8208.2672000000002</v>
      </c>
      <c r="H658" s="880">
        <v>8.7877335734243704</v>
      </c>
      <c r="L658"/>
    </row>
    <row r="659" spans="1:12" x14ac:dyDescent="0.25">
      <c r="A659" s="519" t="s">
        <v>181</v>
      </c>
      <c r="B659" s="519" t="s">
        <v>284</v>
      </c>
      <c r="C659" s="519" t="s">
        <v>1812</v>
      </c>
      <c r="D659" s="519" t="s">
        <v>70</v>
      </c>
      <c r="E659" s="519" t="s">
        <v>148</v>
      </c>
      <c r="F659" s="881">
        <v>31513.9614</v>
      </c>
      <c r="G659" s="881">
        <v>12451.864100000001</v>
      </c>
      <c r="H659" s="880">
        <v>10.392942238421</v>
      </c>
      <c r="L659"/>
    </row>
    <row r="660" spans="1:12" x14ac:dyDescent="0.25">
      <c r="A660" s="519" t="s">
        <v>181</v>
      </c>
      <c r="B660" s="519" t="s">
        <v>284</v>
      </c>
      <c r="C660" s="519" t="s">
        <v>1812</v>
      </c>
      <c r="D660" s="519" t="s">
        <v>70</v>
      </c>
      <c r="E660" s="519" t="s">
        <v>153</v>
      </c>
      <c r="F660" s="881">
        <v>33391.129200000003</v>
      </c>
      <c r="G660" s="881">
        <v>12306.438400000001</v>
      </c>
      <c r="H660" s="880">
        <v>10.539765979346999</v>
      </c>
      <c r="L660"/>
    </row>
    <row r="661" spans="1:12" x14ac:dyDescent="0.25">
      <c r="A661" s="519" t="s">
        <v>181</v>
      </c>
      <c r="B661" s="519" t="s">
        <v>284</v>
      </c>
      <c r="C661" s="519" t="s">
        <v>1812</v>
      </c>
      <c r="D661" s="519" t="s">
        <v>16</v>
      </c>
      <c r="E661" s="519" t="s">
        <v>144</v>
      </c>
      <c r="F661" s="881">
        <v>33897.318899999998</v>
      </c>
      <c r="G661" s="881">
        <v>13366.5957</v>
      </c>
      <c r="H661" s="880">
        <v>9.7839659243428194</v>
      </c>
      <c r="L661"/>
    </row>
    <row r="662" spans="1:12" x14ac:dyDescent="0.25">
      <c r="A662" s="519" t="s">
        <v>181</v>
      </c>
      <c r="B662" s="519" t="s">
        <v>284</v>
      </c>
      <c r="C662" s="519" t="s">
        <v>288</v>
      </c>
      <c r="D662" s="519" t="s">
        <v>70</v>
      </c>
      <c r="E662" s="519" t="s">
        <v>147</v>
      </c>
      <c r="F662" s="881">
        <v>4761.9813000000004</v>
      </c>
      <c r="G662" s="881">
        <v>124.776</v>
      </c>
      <c r="H662" s="880">
        <v>16.443169289931699</v>
      </c>
      <c r="L662"/>
    </row>
    <row r="663" spans="1:12" x14ac:dyDescent="0.25">
      <c r="A663" s="519" t="s">
        <v>181</v>
      </c>
      <c r="B663" s="519" t="s">
        <v>284</v>
      </c>
      <c r="C663" s="519" t="s">
        <v>288</v>
      </c>
      <c r="D663" s="519" t="s">
        <v>70</v>
      </c>
      <c r="E663" s="519" t="s">
        <v>155</v>
      </c>
      <c r="F663" s="881">
        <v>3651.1521000000002</v>
      </c>
      <c r="G663" s="881">
        <v>5486.8397000000004</v>
      </c>
      <c r="H663" s="880">
        <v>2.42375931295578</v>
      </c>
      <c r="L663"/>
    </row>
    <row r="664" spans="1:12" x14ac:dyDescent="0.25">
      <c r="A664" s="519" t="s">
        <v>181</v>
      </c>
      <c r="B664" s="519" t="s">
        <v>284</v>
      </c>
      <c r="C664" s="519" t="s">
        <v>288</v>
      </c>
      <c r="D664" s="519" t="s">
        <v>16</v>
      </c>
      <c r="E664" s="519" t="s">
        <v>144</v>
      </c>
      <c r="F664" s="881">
        <v>4552.1639999999998</v>
      </c>
      <c r="G664" s="881">
        <v>2721.4615000000003</v>
      </c>
      <c r="H664" s="880">
        <v>2.95456884631274</v>
      </c>
      <c r="L664"/>
    </row>
    <row r="665" spans="1:12" x14ac:dyDescent="0.25">
      <c r="A665" s="519" t="s">
        <v>181</v>
      </c>
      <c r="B665" s="519" t="s">
        <v>284</v>
      </c>
      <c r="C665" s="519" t="s">
        <v>288</v>
      </c>
      <c r="D665" s="519" t="s">
        <v>16</v>
      </c>
      <c r="E665" s="519" t="s">
        <v>145</v>
      </c>
      <c r="F665" s="881">
        <v>5679.1100999999999</v>
      </c>
      <c r="G665" s="881">
        <v>9588.487000000001</v>
      </c>
      <c r="H665" s="880">
        <v>1.53586061133749</v>
      </c>
      <c r="L665"/>
    </row>
    <row r="666" spans="1:12" x14ac:dyDescent="0.25">
      <c r="A666" s="519" t="s">
        <v>181</v>
      </c>
      <c r="B666" s="519" t="s">
        <v>284</v>
      </c>
      <c r="C666" s="519" t="s">
        <v>288</v>
      </c>
      <c r="D666" s="519" t="s">
        <v>16</v>
      </c>
      <c r="E666" s="519" t="s">
        <v>147</v>
      </c>
      <c r="F666" s="881">
        <v>11170.0905</v>
      </c>
      <c r="G666" s="881">
        <v>9541.6381000000001</v>
      </c>
      <c r="H666" s="880">
        <v>7.1127357895569299</v>
      </c>
      <c r="L666"/>
    </row>
    <row r="667" spans="1:12" x14ac:dyDescent="0.25">
      <c r="A667" s="519" t="s">
        <v>181</v>
      </c>
      <c r="B667" s="519" t="s">
        <v>284</v>
      </c>
      <c r="C667" s="519" t="s">
        <v>288</v>
      </c>
      <c r="D667" s="519" t="s">
        <v>16</v>
      </c>
      <c r="E667" s="519" t="s">
        <v>148</v>
      </c>
      <c r="F667" s="881">
        <v>14876.903100000001</v>
      </c>
      <c r="G667" s="881">
        <v>6312.6153000000004</v>
      </c>
      <c r="H667" s="880">
        <v>7.4912651027170503</v>
      </c>
      <c r="L667"/>
    </row>
    <row r="668" spans="1:12" x14ac:dyDescent="0.25">
      <c r="A668" s="519" t="s">
        <v>181</v>
      </c>
      <c r="B668" s="519" t="s">
        <v>284</v>
      </c>
      <c r="C668" s="519" t="s">
        <v>288</v>
      </c>
      <c r="D668" s="519" t="s">
        <v>16</v>
      </c>
      <c r="E668" s="519" t="s">
        <v>151</v>
      </c>
      <c r="F668" s="881">
        <v>17103.016200000002</v>
      </c>
      <c r="G668" s="881">
        <v>7425.9173000000001</v>
      </c>
      <c r="H668" s="880">
        <v>6.3212701840761696</v>
      </c>
      <c r="L668"/>
    </row>
    <row r="669" spans="1:12" x14ac:dyDescent="0.25">
      <c r="A669" s="519" t="s">
        <v>181</v>
      </c>
      <c r="B669" s="519" t="s">
        <v>284</v>
      </c>
      <c r="C669" s="519" t="s">
        <v>288</v>
      </c>
      <c r="D669" s="519" t="s">
        <v>16</v>
      </c>
      <c r="E669" s="519" t="s">
        <v>154</v>
      </c>
      <c r="F669" s="881">
        <v>12780.618</v>
      </c>
      <c r="G669" s="881">
        <v>18037.707999999999</v>
      </c>
      <c r="H669" s="880">
        <v>3.2787590822109198</v>
      </c>
      <c r="L669"/>
    </row>
    <row r="670" spans="1:12" x14ac:dyDescent="0.25">
      <c r="A670" s="519" t="s">
        <v>181</v>
      </c>
      <c r="B670" s="519" t="s">
        <v>284</v>
      </c>
      <c r="C670" s="519" t="s">
        <v>288</v>
      </c>
      <c r="D670" s="519" t="s">
        <v>17</v>
      </c>
      <c r="E670" s="519" t="s">
        <v>144</v>
      </c>
      <c r="F670" s="881">
        <v>17283.306</v>
      </c>
      <c r="G670" s="881">
        <v>16504.039400000001</v>
      </c>
      <c r="H670" s="880">
        <v>2.8713078482597498</v>
      </c>
      <c r="L670"/>
    </row>
    <row r="671" spans="1:12" x14ac:dyDescent="0.25">
      <c r="A671" s="519" t="s">
        <v>181</v>
      </c>
      <c r="B671" s="519" t="s">
        <v>284</v>
      </c>
      <c r="C671" s="519" t="s">
        <v>288</v>
      </c>
      <c r="D671" s="519" t="s">
        <v>17</v>
      </c>
      <c r="E671" s="519" t="s">
        <v>146</v>
      </c>
      <c r="F671" s="881">
        <v>20350.762200000001</v>
      </c>
      <c r="G671" s="881">
        <v>25883.053900000003</v>
      </c>
      <c r="H671" s="880">
        <v>3.7010846353888498</v>
      </c>
      <c r="L671"/>
    </row>
    <row r="672" spans="1:12" x14ac:dyDescent="0.25">
      <c r="A672" s="519" t="s">
        <v>181</v>
      </c>
      <c r="B672" s="519" t="s">
        <v>284</v>
      </c>
      <c r="C672" s="519" t="s">
        <v>288</v>
      </c>
      <c r="D672" s="519" t="s">
        <v>17</v>
      </c>
      <c r="E672" s="519" t="s">
        <v>145</v>
      </c>
      <c r="F672" s="881">
        <v>23466.531900000002</v>
      </c>
      <c r="G672" s="881">
        <v>23643.954700000002</v>
      </c>
      <c r="H672" s="880">
        <v>2.80778291312894</v>
      </c>
      <c r="L672"/>
    </row>
    <row r="673" spans="1:12" x14ac:dyDescent="0.25">
      <c r="A673" s="519" t="s">
        <v>181</v>
      </c>
      <c r="B673" s="519" t="s">
        <v>284</v>
      </c>
      <c r="C673" s="519" t="s">
        <v>288</v>
      </c>
      <c r="D673" s="519" t="s">
        <v>17</v>
      </c>
      <c r="E673" s="519" t="s">
        <v>149</v>
      </c>
      <c r="F673" s="881">
        <v>27112.922400000003</v>
      </c>
      <c r="G673" s="881">
        <v>35937.994599999998</v>
      </c>
      <c r="H673" s="880">
        <v>0</v>
      </c>
      <c r="L673"/>
    </row>
    <row r="674" spans="1:12" x14ac:dyDescent="0.25">
      <c r="A674" s="519" t="s">
        <v>181</v>
      </c>
      <c r="B674" s="519" t="s">
        <v>284</v>
      </c>
      <c r="C674" s="519" t="s">
        <v>281</v>
      </c>
      <c r="D674" s="519" t="s">
        <v>70</v>
      </c>
      <c r="E674" s="519" t="s">
        <v>154</v>
      </c>
      <c r="F674" s="881">
        <v>3127.7667000000001</v>
      </c>
      <c r="G674" s="881">
        <v>484.86940000000004</v>
      </c>
      <c r="H674" s="880">
        <v>27.064090524724502</v>
      </c>
      <c r="L674"/>
    </row>
    <row r="675" spans="1:12" x14ac:dyDescent="0.25">
      <c r="A675" s="519" t="s">
        <v>181</v>
      </c>
      <c r="B675" s="519" t="s">
        <v>284</v>
      </c>
      <c r="C675" s="519" t="s">
        <v>281</v>
      </c>
      <c r="D675" s="519" t="s">
        <v>16</v>
      </c>
      <c r="E675" s="519" t="s">
        <v>149</v>
      </c>
      <c r="F675" s="881">
        <v>1354.1265000000001</v>
      </c>
      <c r="G675" s="881">
        <v>993.4439000000001</v>
      </c>
      <c r="H675" s="880">
        <v>74.693576107430303</v>
      </c>
      <c r="L675"/>
    </row>
    <row r="676" spans="1:12" x14ac:dyDescent="0.25">
      <c r="A676" s="519" t="s">
        <v>181</v>
      </c>
      <c r="B676" s="519" t="s">
        <v>284</v>
      </c>
      <c r="C676" s="519" t="s">
        <v>281</v>
      </c>
      <c r="D676" s="519" t="s">
        <v>16</v>
      </c>
      <c r="E676" s="519" t="s">
        <v>148</v>
      </c>
      <c r="F676" s="881">
        <v>923.99220000000003</v>
      </c>
      <c r="G676" s="881">
        <v>280.74540000000002</v>
      </c>
      <c r="H676" s="880">
        <v>61.117601434403902</v>
      </c>
      <c r="L676"/>
    </row>
    <row r="677" spans="1:12" x14ac:dyDescent="0.25">
      <c r="A677" s="519" t="s">
        <v>181</v>
      </c>
      <c r="B677" s="519" t="s">
        <v>284</v>
      </c>
      <c r="C677" s="519" t="s">
        <v>281</v>
      </c>
      <c r="D677" s="519" t="s">
        <v>16</v>
      </c>
      <c r="E677" s="519" t="s">
        <v>151</v>
      </c>
      <c r="F677" s="881">
        <v>679.71840000000009</v>
      </c>
      <c r="G677" s="881">
        <v>233.15480000000002</v>
      </c>
      <c r="H677" s="880">
        <v>55.324106543218001</v>
      </c>
    </row>
    <row r="678" spans="1:12" x14ac:dyDescent="0.25">
      <c r="A678" s="519" t="s">
        <v>181</v>
      </c>
      <c r="B678" s="519" t="s">
        <v>284</v>
      </c>
      <c r="C678" s="519" t="s">
        <v>281</v>
      </c>
      <c r="D678" s="519" t="s">
        <v>16</v>
      </c>
      <c r="E678" s="519" t="s">
        <v>152</v>
      </c>
      <c r="F678" s="881">
        <v>562.89179999999999</v>
      </c>
      <c r="G678" s="881">
        <v>100.3155</v>
      </c>
      <c r="H678" s="880">
        <v>48.806349236098704</v>
      </c>
    </row>
    <row r="679" spans="1:12" x14ac:dyDescent="0.25">
      <c r="A679" s="519" t="s">
        <v>181</v>
      </c>
      <c r="B679" s="519" t="s">
        <v>284</v>
      </c>
      <c r="C679" s="519" t="s">
        <v>281</v>
      </c>
      <c r="D679" s="519" t="s">
        <v>16</v>
      </c>
      <c r="E679" s="519" t="s">
        <v>155</v>
      </c>
      <c r="F679" s="881">
        <v>414.20340000000004</v>
      </c>
      <c r="G679" s="881">
        <v>-5.2094000000000005</v>
      </c>
      <c r="H679" s="880">
        <v>37.9392430646013</v>
      </c>
    </row>
    <row r="680" spans="1:12" x14ac:dyDescent="0.25">
      <c r="A680" s="519" t="s">
        <v>181</v>
      </c>
      <c r="B680" s="519" t="s">
        <v>284</v>
      </c>
      <c r="C680" s="519" t="s">
        <v>281</v>
      </c>
      <c r="D680" s="519" t="s">
        <v>16</v>
      </c>
      <c r="E680" s="519" t="s">
        <v>154</v>
      </c>
      <c r="F680" s="881">
        <v>382.34160000000003</v>
      </c>
      <c r="G680" s="881">
        <v>42.488900000000001</v>
      </c>
      <c r="H680" s="880">
        <v>35.066666354296501</v>
      </c>
    </row>
    <row r="681" spans="1:12" x14ac:dyDescent="0.25">
      <c r="A681" s="519" t="s">
        <v>181</v>
      </c>
      <c r="B681" s="519" t="s">
        <v>284</v>
      </c>
      <c r="C681" s="519" t="s">
        <v>281</v>
      </c>
      <c r="D681" s="519" t="s">
        <v>16</v>
      </c>
      <c r="E681" s="519" t="s">
        <v>153</v>
      </c>
      <c r="F681" s="881">
        <v>334.5489</v>
      </c>
      <c r="G681" s="881">
        <v>42.330300000000001</v>
      </c>
      <c r="H681" s="880">
        <v>30.032961300459501</v>
      </c>
    </row>
    <row r="682" spans="1:12" x14ac:dyDescent="0.25">
      <c r="A682" s="519" t="s">
        <v>181</v>
      </c>
      <c r="B682" s="519" t="s">
        <v>284</v>
      </c>
      <c r="C682" s="519" t="s">
        <v>281</v>
      </c>
      <c r="D682" s="519" t="s">
        <v>17</v>
      </c>
      <c r="E682" s="519" t="s">
        <v>146</v>
      </c>
      <c r="F682" s="881">
        <v>180.55020000000002</v>
      </c>
      <c r="G682" s="881">
        <v>63.701300000000003</v>
      </c>
      <c r="H682" s="880">
        <v>21.402806645987802</v>
      </c>
    </row>
    <row r="683" spans="1:12" x14ac:dyDescent="0.25">
      <c r="A683" s="519" t="s">
        <v>181</v>
      </c>
      <c r="B683" s="519" t="s">
        <v>284</v>
      </c>
      <c r="C683" s="519" t="s">
        <v>281</v>
      </c>
      <c r="D683" s="519" t="s">
        <v>17</v>
      </c>
      <c r="E683" s="519" t="s">
        <v>145</v>
      </c>
      <c r="F683" s="881">
        <v>127.44720000000001</v>
      </c>
      <c r="G683" s="881">
        <v>53.220600000000005</v>
      </c>
      <c r="H683" s="880">
        <v>17.118602580802399</v>
      </c>
    </row>
    <row r="684" spans="1:12" x14ac:dyDescent="0.25">
      <c r="A684" s="519" t="s">
        <v>181</v>
      </c>
      <c r="B684" s="519" t="s">
        <v>284</v>
      </c>
      <c r="C684" s="519" t="s">
        <v>281</v>
      </c>
      <c r="D684" s="519" t="s">
        <v>17</v>
      </c>
      <c r="E684" s="519" t="s">
        <v>149</v>
      </c>
      <c r="F684" s="881">
        <v>95.585400000000007</v>
      </c>
      <c r="G684" s="881">
        <v>32.013300000000001</v>
      </c>
      <c r="H684" s="880">
        <v>0</v>
      </c>
    </row>
    <row r="685" spans="1:12" x14ac:dyDescent="0.25">
      <c r="A685" s="519" t="s">
        <v>181</v>
      </c>
      <c r="B685" s="519" t="s">
        <v>284</v>
      </c>
      <c r="C685" s="519" t="s">
        <v>1812</v>
      </c>
      <c r="D685" s="519" t="s">
        <v>70</v>
      </c>
      <c r="E685" s="519" t="s">
        <v>144</v>
      </c>
      <c r="F685" s="881">
        <v>21152.719800000003</v>
      </c>
      <c r="G685" s="881">
        <v>5136.152</v>
      </c>
      <c r="H685" s="880">
        <v>8.90668281867422</v>
      </c>
    </row>
    <row r="686" spans="1:12" x14ac:dyDescent="0.25">
      <c r="A686" s="519" t="s">
        <v>181</v>
      </c>
      <c r="B686" s="519" t="s">
        <v>284</v>
      </c>
      <c r="C686" s="519" t="s">
        <v>1812</v>
      </c>
      <c r="D686" s="519" t="s">
        <v>70</v>
      </c>
      <c r="E686" s="519" t="s">
        <v>145</v>
      </c>
      <c r="F686" s="881">
        <v>22511.2824</v>
      </c>
      <c r="G686" s="881">
        <v>11276.0059</v>
      </c>
      <c r="H686" s="880">
        <v>10.3194448684996</v>
      </c>
    </row>
    <row r="687" spans="1:12" x14ac:dyDescent="0.25">
      <c r="A687" s="519" t="s">
        <v>181</v>
      </c>
      <c r="B687" s="519" t="s">
        <v>284</v>
      </c>
      <c r="C687" s="519" t="s">
        <v>1812</v>
      </c>
      <c r="D687" s="519" t="s">
        <v>70</v>
      </c>
      <c r="E687" s="519" t="s">
        <v>151</v>
      </c>
      <c r="F687" s="881">
        <v>32702.371200000001</v>
      </c>
      <c r="G687" s="881">
        <v>12868.269</v>
      </c>
      <c r="H687" s="880">
        <v>10.258001700781101</v>
      </c>
    </row>
    <row r="688" spans="1:12" x14ac:dyDescent="0.25">
      <c r="A688" s="519" t="s">
        <v>181</v>
      </c>
      <c r="B688" s="519" t="s">
        <v>284</v>
      </c>
      <c r="C688" s="519" t="s">
        <v>1812</v>
      </c>
      <c r="D688" s="519" t="s">
        <v>70</v>
      </c>
      <c r="E688" s="519" t="s">
        <v>152</v>
      </c>
      <c r="F688" s="881">
        <v>28411.5</v>
      </c>
      <c r="G688" s="881">
        <v>13845.7479</v>
      </c>
      <c r="H688" s="880">
        <v>8.1148573736272596</v>
      </c>
    </row>
    <row r="689" spans="1:8" x14ac:dyDescent="0.25">
      <c r="A689" s="519" t="s">
        <v>181</v>
      </c>
      <c r="B689" s="519" t="s">
        <v>284</v>
      </c>
      <c r="C689" s="519" t="s">
        <v>1812</v>
      </c>
      <c r="D689" s="519" t="s">
        <v>70</v>
      </c>
      <c r="E689" s="519" t="s">
        <v>150</v>
      </c>
      <c r="F689" s="881">
        <v>18496.77</v>
      </c>
      <c r="G689" s="881">
        <v>11511.671100000001</v>
      </c>
      <c r="H689" s="880">
        <v>4.1753404629314099</v>
      </c>
    </row>
    <row r="690" spans="1:8" x14ac:dyDescent="0.25">
      <c r="A690" s="519" t="s">
        <v>181</v>
      </c>
      <c r="B690" s="519" t="s">
        <v>284</v>
      </c>
      <c r="C690" s="519" t="s">
        <v>1812</v>
      </c>
      <c r="D690" s="519" t="s">
        <v>70</v>
      </c>
      <c r="E690" s="519" t="s">
        <v>155</v>
      </c>
      <c r="F690" s="881">
        <v>24585.321900000003</v>
      </c>
      <c r="G690" s="881">
        <v>19049.0121</v>
      </c>
      <c r="H690" s="880">
        <v>9.3125080995754193</v>
      </c>
    </row>
    <row r="691" spans="1:8" x14ac:dyDescent="0.25">
      <c r="A691" s="519" t="s">
        <v>181</v>
      </c>
      <c r="B691" s="519" t="s">
        <v>284</v>
      </c>
      <c r="C691" s="519" t="s">
        <v>1812</v>
      </c>
      <c r="D691" s="519" t="s">
        <v>70</v>
      </c>
      <c r="E691" s="519" t="s">
        <v>154</v>
      </c>
      <c r="F691" s="881">
        <v>30809.2353</v>
      </c>
      <c r="G691" s="881">
        <v>10064.0445</v>
      </c>
      <c r="H691" s="880">
        <v>10.092861962851801</v>
      </c>
    </row>
    <row r="692" spans="1:8" x14ac:dyDescent="0.25">
      <c r="A692" s="519" t="s">
        <v>181</v>
      </c>
      <c r="B692" s="519" t="s">
        <v>284</v>
      </c>
      <c r="C692" s="519" t="s">
        <v>1812</v>
      </c>
      <c r="D692" s="519" t="s">
        <v>16</v>
      </c>
      <c r="E692" s="519" t="s">
        <v>147</v>
      </c>
      <c r="F692" s="881">
        <v>51071.759100000003</v>
      </c>
      <c r="G692" s="881">
        <v>17682.2497</v>
      </c>
      <c r="H692" s="880">
        <v>7.3109883999039198</v>
      </c>
    </row>
    <row r="693" spans="1:8" x14ac:dyDescent="0.25">
      <c r="A693" s="519" t="s">
        <v>181</v>
      </c>
      <c r="B693" s="519" t="s">
        <v>284</v>
      </c>
      <c r="C693" s="519" t="s">
        <v>1812</v>
      </c>
      <c r="D693" s="519" t="s">
        <v>16</v>
      </c>
      <c r="E693" s="519" t="s">
        <v>148</v>
      </c>
      <c r="F693" s="881">
        <v>41248.531800000004</v>
      </c>
      <c r="G693" s="881">
        <v>31201.579400000002</v>
      </c>
      <c r="H693" s="880">
        <v>5.8186250017590702</v>
      </c>
    </row>
    <row r="694" spans="1:8" x14ac:dyDescent="0.25">
      <c r="A694" s="519" t="s">
        <v>181</v>
      </c>
      <c r="B694" s="519" t="s">
        <v>284</v>
      </c>
      <c r="C694" s="519" t="s">
        <v>1812</v>
      </c>
      <c r="D694" s="519" t="s">
        <v>16</v>
      </c>
      <c r="E694" s="519" t="s">
        <v>151</v>
      </c>
      <c r="F694" s="881">
        <v>42107.712299999999</v>
      </c>
      <c r="G694" s="881">
        <v>28376.652900000001</v>
      </c>
      <c r="H694" s="880">
        <v>4.9695826465220501</v>
      </c>
    </row>
    <row r="695" spans="1:8" x14ac:dyDescent="0.25">
      <c r="A695" s="519" t="s">
        <v>181</v>
      </c>
      <c r="B695" s="519" t="s">
        <v>284</v>
      </c>
      <c r="C695" s="519" t="s">
        <v>1812</v>
      </c>
      <c r="D695" s="519" t="s">
        <v>16</v>
      </c>
      <c r="E695" s="519" t="s">
        <v>152</v>
      </c>
      <c r="F695" s="881">
        <v>46855.566900000005</v>
      </c>
      <c r="G695" s="881">
        <v>36446.837899999999</v>
      </c>
      <c r="H695" s="880">
        <v>6.75724182728705</v>
      </c>
    </row>
    <row r="696" spans="1:8" x14ac:dyDescent="0.25">
      <c r="A696" s="519" t="s">
        <v>181</v>
      </c>
      <c r="B696" s="519" t="s">
        <v>284</v>
      </c>
      <c r="C696" s="519" t="s">
        <v>1812</v>
      </c>
      <c r="D696" s="519" t="s">
        <v>16</v>
      </c>
      <c r="E696" s="519" t="s">
        <v>155</v>
      </c>
      <c r="F696" s="881">
        <v>41472.940800000004</v>
      </c>
      <c r="G696" s="881">
        <v>18377.649000000001</v>
      </c>
      <c r="H696" s="880">
        <v>7.1455823311559401</v>
      </c>
    </row>
    <row r="697" spans="1:8" x14ac:dyDescent="0.25">
      <c r="A697" s="519" t="s">
        <v>181</v>
      </c>
      <c r="B697" s="519" t="s">
        <v>284</v>
      </c>
      <c r="C697" s="519" t="s">
        <v>1812</v>
      </c>
      <c r="D697" s="519" t="s">
        <v>16</v>
      </c>
      <c r="E697" s="519" t="s">
        <v>153</v>
      </c>
      <c r="F697" s="881">
        <v>68825.710200000001</v>
      </c>
      <c r="G697" s="881">
        <v>28580.527300000002</v>
      </c>
      <c r="H697" s="880">
        <v>9.0852635840145197</v>
      </c>
    </row>
    <row r="698" spans="1:8" x14ac:dyDescent="0.25">
      <c r="A698" s="519" t="s">
        <v>181</v>
      </c>
      <c r="B698" s="519" t="s">
        <v>284</v>
      </c>
      <c r="C698" s="519" t="s">
        <v>1812</v>
      </c>
      <c r="D698" s="519" t="s">
        <v>17</v>
      </c>
      <c r="E698" s="519" t="s">
        <v>146</v>
      </c>
      <c r="F698" s="881">
        <v>59352.823200000006</v>
      </c>
      <c r="G698" s="881">
        <v>37018.435600000004</v>
      </c>
      <c r="H698" s="880">
        <v>8.2291799543825004</v>
      </c>
    </row>
    <row r="699" spans="1:8" x14ac:dyDescent="0.25">
      <c r="A699" s="519" t="s">
        <v>181</v>
      </c>
      <c r="B699" s="519" t="s">
        <v>284</v>
      </c>
      <c r="C699" s="519" t="s">
        <v>282</v>
      </c>
      <c r="D699" s="519" t="s">
        <v>70</v>
      </c>
      <c r="E699" s="519" t="s">
        <v>146</v>
      </c>
      <c r="F699" s="881">
        <v>35245.307400000005</v>
      </c>
      <c r="G699" s="881">
        <v>20119.653700000003</v>
      </c>
      <c r="H699" s="880">
        <v>13.097484332248701</v>
      </c>
    </row>
    <row r="700" spans="1:8" x14ac:dyDescent="0.25">
      <c r="A700" s="519" t="s">
        <v>181</v>
      </c>
      <c r="B700" s="519" t="s">
        <v>284</v>
      </c>
      <c r="C700" s="519" t="s">
        <v>282</v>
      </c>
      <c r="D700" s="519" t="s">
        <v>70</v>
      </c>
      <c r="E700" s="519" t="s">
        <v>148</v>
      </c>
      <c r="F700" s="881">
        <v>36016.909800000001</v>
      </c>
      <c r="G700" s="881">
        <v>26147.6898</v>
      </c>
      <c r="H700" s="880">
        <v>6.5778608348293197</v>
      </c>
    </row>
    <row r="701" spans="1:8" x14ac:dyDescent="0.25">
      <c r="A701" s="519" t="s">
        <v>181</v>
      </c>
      <c r="B701" s="519" t="s">
        <v>284</v>
      </c>
      <c r="C701" s="519" t="s">
        <v>282</v>
      </c>
      <c r="D701" s="519" t="s">
        <v>70</v>
      </c>
      <c r="E701" s="519" t="s">
        <v>151</v>
      </c>
      <c r="F701" s="881">
        <v>34791.458100000003</v>
      </c>
      <c r="G701" s="881">
        <v>23099.508300000001</v>
      </c>
      <c r="H701" s="880">
        <v>7.3100373173793498</v>
      </c>
    </row>
    <row r="702" spans="1:8" x14ac:dyDescent="0.25">
      <c r="A702" s="519" t="s">
        <v>181</v>
      </c>
      <c r="B702" s="519" t="s">
        <v>284</v>
      </c>
      <c r="C702" s="519" t="s">
        <v>282</v>
      </c>
      <c r="D702" s="519" t="s">
        <v>70</v>
      </c>
      <c r="E702" s="519" t="s">
        <v>152</v>
      </c>
      <c r="F702" s="881">
        <v>27901.311300000001</v>
      </c>
      <c r="G702" s="881">
        <v>24384.644400000001</v>
      </c>
      <c r="H702" s="880">
        <v>7.6264927622029397</v>
      </c>
    </row>
    <row r="703" spans="1:8" x14ac:dyDescent="0.25">
      <c r="A703" s="519" t="s">
        <v>181</v>
      </c>
      <c r="B703" s="519" t="s">
        <v>284</v>
      </c>
      <c r="C703" s="519" t="s">
        <v>282</v>
      </c>
      <c r="D703" s="519" t="s">
        <v>70</v>
      </c>
      <c r="E703" s="519" t="s">
        <v>150</v>
      </c>
      <c r="F703" s="881">
        <v>23256.602999999999</v>
      </c>
      <c r="G703" s="881">
        <v>14866.6924</v>
      </c>
      <c r="H703" s="880">
        <v>6.8042287784744504</v>
      </c>
    </row>
    <row r="704" spans="1:8" x14ac:dyDescent="0.25">
      <c r="A704" s="519" t="s">
        <v>181</v>
      </c>
      <c r="B704" s="519" t="s">
        <v>284</v>
      </c>
      <c r="C704" s="519" t="s">
        <v>282</v>
      </c>
      <c r="D704" s="519" t="s">
        <v>70</v>
      </c>
      <c r="E704" s="519" t="s">
        <v>155</v>
      </c>
      <c r="F704" s="881">
        <v>32884.6512</v>
      </c>
      <c r="G704" s="881">
        <v>16849.2359</v>
      </c>
      <c r="H704" s="880">
        <v>11.8748436145098</v>
      </c>
    </row>
    <row r="705" spans="1:8" x14ac:dyDescent="0.25">
      <c r="A705" s="519" t="s">
        <v>181</v>
      </c>
      <c r="B705" s="519" t="s">
        <v>284</v>
      </c>
      <c r="C705" s="519" t="s">
        <v>282</v>
      </c>
      <c r="D705" s="519" t="s">
        <v>70</v>
      </c>
      <c r="E705" s="519" t="s">
        <v>154</v>
      </c>
      <c r="F705" s="881">
        <v>41858.583900000005</v>
      </c>
      <c r="G705" s="881">
        <v>11002.061300000001</v>
      </c>
      <c r="H705" s="880">
        <v>15.1316762934651</v>
      </c>
    </row>
    <row r="706" spans="1:8" x14ac:dyDescent="0.25">
      <c r="A706" s="519" t="s">
        <v>181</v>
      </c>
      <c r="B706" s="519" t="s">
        <v>284</v>
      </c>
      <c r="C706" s="519" t="s">
        <v>282</v>
      </c>
      <c r="D706" s="519" t="s">
        <v>70</v>
      </c>
      <c r="E706" s="519" t="s">
        <v>153</v>
      </c>
      <c r="F706" s="881">
        <v>42925.786800000002</v>
      </c>
      <c r="G706" s="881">
        <v>9908.7025000000012</v>
      </c>
      <c r="H706" s="880">
        <v>14.698353955997501</v>
      </c>
    </row>
    <row r="707" spans="1:8" x14ac:dyDescent="0.25">
      <c r="A707" s="519" t="s">
        <v>181</v>
      </c>
      <c r="B707" s="519" t="s">
        <v>284</v>
      </c>
      <c r="C707" s="519" t="s">
        <v>282</v>
      </c>
      <c r="D707" s="519" t="s">
        <v>16</v>
      </c>
      <c r="E707" s="519" t="s">
        <v>146</v>
      </c>
      <c r="F707" s="881">
        <v>36592.598400000003</v>
      </c>
      <c r="G707" s="881">
        <v>11773.043</v>
      </c>
      <c r="H707" s="880">
        <v>14.6280076391779</v>
      </c>
    </row>
    <row r="708" spans="1:8" x14ac:dyDescent="0.25">
      <c r="A708" s="519" t="s">
        <v>181</v>
      </c>
      <c r="B708" s="519" t="s">
        <v>284</v>
      </c>
      <c r="C708" s="519" t="s">
        <v>282</v>
      </c>
      <c r="D708" s="519" t="s">
        <v>16</v>
      </c>
      <c r="E708" s="519" t="s">
        <v>149</v>
      </c>
      <c r="F708" s="881">
        <v>28395.317999999999</v>
      </c>
      <c r="G708" s="881">
        <v>16372.472400000001</v>
      </c>
      <c r="H708" s="880">
        <v>10.1894999546777</v>
      </c>
    </row>
    <row r="709" spans="1:8" x14ac:dyDescent="0.25">
      <c r="A709" s="519" t="s">
        <v>181</v>
      </c>
      <c r="B709" s="519" t="s">
        <v>284</v>
      </c>
      <c r="C709" s="519" t="s">
        <v>282</v>
      </c>
      <c r="D709" s="519" t="s">
        <v>16</v>
      </c>
      <c r="E709" s="519" t="s">
        <v>147</v>
      </c>
      <c r="F709" s="881">
        <v>49014.217800000006</v>
      </c>
      <c r="G709" s="881">
        <v>4281.9440000000004</v>
      </c>
      <c r="H709" s="880">
        <v>10.5838420080039</v>
      </c>
    </row>
    <row r="710" spans="1:8" x14ac:dyDescent="0.25">
      <c r="A710" s="519" t="s">
        <v>181</v>
      </c>
      <c r="B710" s="519" t="s">
        <v>284</v>
      </c>
      <c r="C710" s="519" t="s">
        <v>282</v>
      </c>
      <c r="D710" s="519" t="s">
        <v>16</v>
      </c>
      <c r="E710" s="519" t="s">
        <v>150</v>
      </c>
      <c r="F710" s="881">
        <v>51480.503400000001</v>
      </c>
      <c r="G710" s="881">
        <v>33239.814600000005</v>
      </c>
      <c r="H710" s="880">
        <v>15.651549195039101</v>
      </c>
    </row>
    <row r="711" spans="1:8" x14ac:dyDescent="0.25">
      <c r="A711" s="519" t="s">
        <v>181</v>
      </c>
      <c r="B711" s="519" t="s">
        <v>284</v>
      </c>
      <c r="C711" s="519" t="s">
        <v>282</v>
      </c>
      <c r="D711" s="519" t="s">
        <v>16</v>
      </c>
      <c r="E711" s="519" t="s">
        <v>155</v>
      </c>
      <c r="F711" s="881">
        <v>44648.714100000005</v>
      </c>
      <c r="G711" s="881">
        <v>19180.761600000002</v>
      </c>
      <c r="H711" s="880">
        <v>16.876350730397601</v>
      </c>
    </row>
    <row r="712" spans="1:8" x14ac:dyDescent="0.25">
      <c r="A712" s="519" t="s">
        <v>181</v>
      </c>
      <c r="B712" s="519" t="s">
        <v>284</v>
      </c>
      <c r="C712" s="519" t="s">
        <v>282</v>
      </c>
      <c r="D712" s="519" t="s">
        <v>16</v>
      </c>
      <c r="E712" s="519" t="s">
        <v>154</v>
      </c>
      <c r="F712" s="881">
        <v>51432.069000000003</v>
      </c>
      <c r="G712" s="881">
        <v>14172.042100000001</v>
      </c>
      <c r="H712" s="880">
        <v>27.453149855726501</v>
      </c>
    </row>
    <row r="713" spans="1:8" x14ac:dyDescent="0.25">
      <c r="A713" s="519" t="s">
        <v>181</v>
      </c>
      <c r="B713" s="519" t="s">
        <v>284</v>
      </c>
      <c r="C713" s="519" t="s">
        <v>282</v>
      </c>
      <c r="D713" s="519" t="s">
        <v>17</v>
      </c>
      <c r="E713" s="519" t="s">
        <v>149</v>
      </c>
      <c r="F713" s="881">
        <v>30795.917700000002</v>
      </c>
      <c r="G713" s="881">
        <v>5640.9535999999998</v>
      </c>
      <c r="H713" s="880">
        <v>0</v>
      </c>
    </row>
    <row r="714" spans="1:8" x14ac:dyDescent="0.25">
      <c r="A714" s="519" t="s">
        <v>181</v>
      </c>
      <c r="B714" s="519" t="s">
        <v>284</v>
      </c>
      <c r="C714" s="519" t="s">
        <v>1</v>
      </c>
      <c r="D714" s="519" t="s">
        <v>70</v>
      </c>
      <c r="E714" s="519" t="s">
        <v>146</v>
      </c>
      <c r="F714" s="881">
        <v>42539.334600000002</v>
      </c>
      <c r="G714" s="881">
        <v>24312.7461</v>
      </c>
      <c r="H714" s="880">
        <v>14.1885223470907</v>
      </c>
    </row>
    <row r="715" spans="1:8" x14ac:dyDescent="0.25">
      <c r="A715" s="519" t="s">
        <v>181</v>
      </c>
      <c r="B715" s="519" t="s">
        <v>284</v>
      </c>
      <c r="C715" s="519" t="s">
        <v>1</v>
      </c>
      <c r="D715" s="519" t="s">
        <v>70</v>
      </c>
      <c r="E715" s="519" t="s">
        <v>145</v>
      </c>
      <c r="F715" s="881">
        <v>35622.989699999998</v>
      </c>
      <c r="G715" s="881">
        <v>16070.4079</v>
      </c>
      <c r="H715" s="880">
        <v>11.738680919369701</v>
      </c>
    </row>
    <row r="716" spans="1:8" x14ac:dyDescent="0.25">
      <c r="A716" s="519" t="s">
        <v>181</v>
      </c>
      <c r="B716" s="519" t="s">
        <v>284</v>
      </c>
      <c r="C716" s="519" t="s">
        <v>1</v>
      </c>
      <c r="D716" s="519" t="s">
        <v>70</v>
      </c>
      <c r="E716" s="519" t="s">
        <v>148</v>
      </c>
      <c r="F716" s="881">
        <v>20021.0586</v>
      </c>
      <c r="G716" s="881">
        <v>21275.187700000002</v>
      </c>
      <c r="H716" s="880">
        <v>3.9985247205777599</v>
      </c>
    </row>
    <row r="717" spans="1:8" x14ac:dyDescent="0.25">
      <c r="A717" s="519" t="s">
        <v>181</v>
      </c>
      <c r="B717" s="519" t="s">
        <v>284</v>
      </c>
      <c r="C717" s="519" t="s">
        <v>1</v>
      </c>
      <c r="D717" s="519" t="s">
        <v>70</v>
      </c>
      <c r="E717" s="519" t="s">
        <v>151</v>
      </c>
      <c r="F717" s="881">
        <v>28318.834800000001</v>
      </c>
      <c r="G717" s="881">
        <v>21530.5789</v>
      </c>
      <c r="H717" s="880">
        <v>4.5319170001239604</v>
      </c>
    </row>
    <row r="718" spans="1:8" x14ac:dyDescent="0.25">
      <c r="A718" s="519" t="s">
        <v>181</v>
      </c>
      <c r="B718" s="519" t="s">
        <v>284</v>
      </c>
      <c r="C718" s="519" t="s">
        <v>1</v>
      </c>
      <c r="D718" s="519" t="s">
        <v>70</v>
      </c>
      <c r="E718" s="519" t="s">
        <v>153</v>
      </c>
      <c r="F718" s="881">
        <v>33733.9179</v>
      </c>
      <c r="G718" s="881">
        <v>7721.4929000000002</v>
      </c>
      <c r="H718" s="880">
        <v>12.2862766077741</v>
      </c>
    </row>
    <row r="719" spans="1:8" x14ac:dyDescent="0.25">
      <c r="A719" s="519" t="s">
        <v>181</v>
      </c>
      <c r="B719" s="519" t="s">
        <v>284</v>
      </c>
      <c r="C719" s="519" t="s">
        <v>1</v>
      </c>
      <c r="D719" s="519" t="s">
        <v>16</v>
      </c>
      <c r="E719" s="519" t="s">
        <v>144</v>
      </c>
      <c r="F719" s="881">
        <v>26923.574400000001</v>
      </c>
      <c r="G719" s="881">
        <v>7177.9589000000005</v>
      </c>
      <c r="H719" s="880">
        <v>8.1695862193238895</v>
      </c>
    </row>
    <row r="720" spans="1:8" x14ac:dyDescent="0.25">
      <c r="A720" s="519" t="s">
        <v>181</v>
      </c>
      <c r="B720" s="519" t="s">
        <v>284</v>
      </c>
      <c r="C720" s="519" t="s">
        <v>1</v>
      </c>
      <c r="D720" s="519" t="s">
        <v>16</v>
      </c>
      <c r="E720" s="519" t="s">
        <v>146</v>
      </c>
      <c r="F720" s="881">
        <v>23587.729500000001</v>
      </c>
      <c r="G720" s="881">
        <v>19163.373100000001</v>
      </c>
      <c r="H720" s="880">
        <v>11.253491395077999</v>
      </c>
    </row>
    <row r="721" spans="1:8" x14ac:dyDescent="0.25">
      <c r="A721" s="519" t="s">
        <v>181</v>
      </c>
      <c r="B721" s="519" t="s">
        <v>284</v>
      </c>
      <c r="C721" s="519" t="s">
        <v>1</v>
      </c>
      <c r="D721" s="519" t="s">
        <v>16</v>
      </c>
      <c r="E721" s="519" t="s">
        <v>147</v>
      </c>
      <c r="F721" s="881">
        <v>35564.157899999998</v>
      </c>
      <c r="G721" s="881">
        <v>4705.1908000000003</v>
      </c>
      <c r="H721" s="880">
        <v>9.9896647462253494</v>
      </c>
    </row>
    <row r="722" spans="1:8" x14ac:dyDescent="0.25">
      <c r="A722" s="519" t="s">
        <v>181</v>
      </c>
      <c r="B722" s="519" t="s">
        <v>284</v>
      </c>
      <c r="C722" s="519" t="s">
        <v>1</v>
      </c>
      <c r="D722" s="519" t="s">
        <v>16</v>
      </c>
      <c r="E722" s="519" t="s">
        <v>152</v>
      </c>
      <c r="F722" s="881">
        <v>24066.8655</v>
      </c>
      <c r="G722" s="881">
        <v>20955.981800000001</v>
      </c>
      <c r="H722" s="880">
        <v>9.6617792831169709</v>
      </c>
    </row>
    <row r="723" spans="1:8" x14ac:dyDescent="0.25">
      <c r="A723" s="519" t="s">
        <v>181</v>
      </c>
      <c r="B723" s="519" t="s">
        <v>284</v>
      </c>
      <c r="C723" s="519" t="s">
        <v>1</v>
      </c>
      <c r="D723" s="519" t="s">
        <v>16</v>
      </c>
      <c r="E723" s="519" t="s">
        <v>153</v>
      </c>
      <c r="F723" s="881">
        <v>22749.929700000001</v>
      </c>
      <c r="G723" s="881">
        <v>2641.0866000000001</v>
      </c>
      <c r="H723" s="880">
        <v>11.697834372799301</v>
      </c>
    </row>
    <row r="724" spans="1:8" x14ac:dyDescent="0.25">
      <c r="A724" s="519" t="s">
        <v>181</v>
      </c>
      <c r="B724" s="519" t="s">
        <v>284</v>
      </c>
      <c r="C724" s="519" t="s">
        <v>1</v>
      </c>
      <c r="D724" s="519" t="s">
        <v>17</v>
      </c>
      <c r="E724" s="519" t="s">
        <v>146</v>
      </c>
      <c r="F724" s="881">
        <v>20427.8685</v>
      </c>
      <c r="G724" s="881">
        <v>10821.812400000001</v>
      </c>
      <c r="H724" s="880">
        <v>9.9601218573219494</v>
      </c>
    </row>
    <row r="725" spans="1:8" x14ac:dyDescent="0.25">
      <c r="A725" s="519" t="s">
        <v>181</v>
      </c>
      <c r="B725" s="519" t="s">
        <v>284</v>
      </c>
      <c r="C725" s="519" t="s">
        <v>1</v>
      </c>
      <c r="D725" s="519" t="s">
        <v>17</v>
      </c>
      <c r="E725" s="519" t="s">
        <v>145</v>
      </c>
      <c r="F725" s="881">
        <v>18079.088400000001</v>
      </c>
      <c r="G725" s="881">
        <v>7267.5297</v>
      </c>
      <c r="H725" s="880">
        <v>7.7756237866228597</v>
      </c>
    </row>
    <row r="726" spans="1:8" x14ac:dyDescent="0.25">
      <c r="A726" s="519" t="s">
        <v>181</v>
      </c>
      <c r="B726" s="519" t="s">
        <v>284</v>
      </c>
      <c r="C726" s="519" t="s">
        <v>1838</v>
      </c>
      <c r="D726" s="519" t="s">
        <v>70</v>
      </c>
      <c r="E726" s="519" t="s">
        <v>147</v>
      </c>
      <c r="F726" s="881">
        <v>338.65020000000004</v>
      </c>
      <c r="G726" s="881">
        <v>2391.7664</v>
      </c>
      <c r="H726" s="880">
        <v>4.1669230868283096</v>
      </c>
    </row>
    <row r="727" spans="1:8" x14ac:dyDescent="0.25">
      <c r="A727" s="519" t="s">
        <v>181</v>
      </c>
      <c r="B727" s="519" t="s">
        <v>284</v>
      </c>
      <c r="C727" s="519" t="s">
        <v>1838</v>
      </c>
      <c r="D727" s="519" t="s">
        <v>70</v>
      </c>
      <c r="E727" s="519" t="s">
        <v>148</v>
      </c>
      <c r="F727" s="881">
        <v>26.5608</v>
      </c>
      <c r="G727" s="881">
        <v>349.46550000000002</v>
      </c>
      <c r="H727" s="880">
        <v>4.3220273392738697</v>
      </c>
    </row>
    <row r="728" spans="1:8" x14ac:dyDescent="0.25">
      <c r="A728" s="519" t="s">
        <v>181</v>
      </c>
      <c r="B728" s="519" t="s">
        <v>284</v>
      </c>
      <c r="C728" s="519" t="s">
        <v>1838</v>
      </c>
      <c r="D728" s="519" t="s">
        <v>70</v>
      </c>
      <c r="E728" s="519" t="s">
        <v>151</v>
      </c>
      <c r="F728" s="881">
        <v>33.201000000000001</v>
      </c>
      <c r="G728" s="881">
        <v>1.7713000000000001</v>
      </c>
      <c r="H728" s="880">
        <v>2.9501591045871401E-2</v>
      </c>
    </row>
    <row r="729" spans="1:8" x14ac:dyDescent="0.25">
      <c r="A729" s="519" t="s">
        <v>181</v>
      </c>
      <c r="B729" s="519" t="s">
        <v>284</v>
      </c>
      <c r="C729" s="519" t="s">
        <v>1838</v>
      </c>
      <c r="D729" s="519" t="s">
        <v>70</v>
      </c>
      <c r="E729" s="519" t="s">
        <v>152</v>
      </c>
      <c r="F729" s="881">
        <v>2456.8740000000003</v>
      </c>
      <c r="G729" s="881">
        <v>4839.2067999999999</v>
      </c>
      <c r="H729" s="880">
        <v>1.24786353639401</v>
      </c>
    </row>
    <row r="730" spans="1:8" x14ac:dyDescent="0.25">
      <c r="A730" s="519" t="s">
        <v>181</v>
      </c>
      <c r="B730" s="519" t="s">
        <v>284</v>
      </c>
      <c r="C730" s="519" t="s">
        <v>1838</v>
      </c>
      <c r="D730" s="519" t="s">
        <v>16</v>
      </c>
      <c r="E730" s="519" t="s">
        <v>147</v>
      </c>
      <c r="F730" s="881">
        <v>20684.5206</v>
      </c>
      <c r="G730" s="881">
        <v>2184.5544</v>
      </c>
      <c r="H730" s="880">
        <v>13.0082056081998</v>
      </c>
    </row>
    <row r="731" spans="1:8" x14ac:dyDescent="0.25">
      <c r="A731" s="519" t="s">
        <v>181</v>
      </c>
      <c r="B731" s="519" t="s">
        <v>284</v>
      </c>
      <c r="C731" s="519" t="s">
        <v>1838</v>
      </c>
      <c r="D731" s="519" t="s">
        <v>16</v>
      </c>
      <c r="E731" s="519" t="s">
        <v>155</v>
      </c>
      <c r="F731" s="881">
        <v>8194.6298999999999</v>
      </c>
      <c r="G731" s="881">
        <v>10438.473400000001</v>
      </c>
      <c r="H731" s="880">
        <v>10.2845289382792</v>
      </c>
    </row>
    <row r="732" spans="1:8" x14ac:dyDescent="0.25">
      <c r="A732" s="519" t="s">
        <v>181</v>
      </c>
      <c r="B732" s="519" t="s">
        <v>284</v>
      </c>
      <c r="C732" s="519" t="s">
        <v>1838</v>
      </c>
      <c r="D732" s="519" t="s">
        <v>16</v>
      </c>
      <c r="E732" s="519" t="s">
        <v>154</v>
      </c>
      <c r="F732" s="881">
        <v>9049.3929000000007</v>
      </c>
      <c r="G732" s="881">
        <v>1967.873</v>
      </c>
      <c r="H732" s="880">
        <v>8.1173932102278599</v>
      </c>
    </row>
    <row r="733" spans="1:8" x14ac:dyDescent="0.25">
      <c r="A733" s="519" t="s">
        <v>181</v>
      </c>
      <c r="B733" s="519" t="s">
        <v>284</v>
      </c>
      <c r="C733" s="519" t="s">
        <v>1838</v>
      </c>
      <c r="D733" s="519" t="s">
        <v>16</v>
      </c>
      <c r="E733" s="519" t="s">
        <v>153</v>
      </c>
      <c r="F733" s="881">
        <v>16709.0589</v>
      </c>
      <c r="G733" s="881">
        <v>3997.4486000000002</v>
      </c>
      <c r="H733" s="880">
        <v>15.3099921113287</v>
      </c>
    </row>
    <row r="734" spans="1:8" x14ac:dyDescent="0.25">
      <c r="A734" s="519" t="s">
        <v>181</v>
      </c>
      <c r="B734" s="519" t="s">
        <v>284</v>
      </c>
      <c r="C734" s="519" t="s">
        <v>1838</v>
      </c>
      <c r="D734" s="519" t="s">
        <v>17</v>
      </c>
      <c r="E734" s="519" t="s">
        <v>145</v>
      </c>
      <c r="F734" s="881">
        <v>7418.1914999999999</v>
      </c>
      <c r="G734" s="881">
        <v>4004.8864000000003</v>
      </c>
      <c r="H734" s="880">
        <v>8.2673916277034394</v>
      </c>
    </row>
    <row r="735" spans="1:8" x14ac:dyDescent="0.25">
      <c r="A735" s="519" t="s">
        <v>181</v>
      </c>
      <c r="B735" s="519" t="s">
        <v>284</v>
      </c>
      <c r="C735" s="519" t="s">
        <v>1838</v>
      </c>
      <c r="D735" s="519" t="s">
        <v>17</v>
      </c>
      <c r="E735" s="519" t="s">
        <v>149</v>
      </c>
      <c r="F735" s="881">
        <v>5948.0196000000005</v>
      </c>
      <c r="G735" s="881">
        <v>3858.3177000000001</v>
      </c>
      <c r="H735" s="880">
        <v>0</v>
      </c>
    </row>
    <row r="736" spans="1:8" x14ac:dyDescent="0.25">
      <c r="A736" s="519" t="s">
        <v>181</v>
      </c>
      <c r="B736" s="519" t="s">
        <v>284</v>
      </c>
      <c r="C736" s="519" t="s">
        <v>1812</v>
      </c>
      <c r="D736" s="519" t="s">
        <v>16</v>
      </c>
      <c r="E736" s="519" t="s">
        <v>146</v>
      </c>
      <c r="F736" s="881">
        <v>25861.5144</v>
      </c>
      <c r="G736" s="881">
        <v>14794.1777</v>
      </c>
      <c r="H736" s="880">
        <v>6.5496229087149702</v>
      </c>
    </row>
    <row r="737" spans="1:8" x14ac:dyDescent="0.25">
      <c r="A737" s="519" t="s">
        <v>181</v>
      </c>
      <c r="B737" s="519" t="s">
        <v>284</v>
      </c>
      <c r="C737" s="519" t="s">
        <v>1812</v>
      </c>
      <c r="D737" s="519" t="s">
        <v>16</v>
      </c>
      <c r="E737" s="519" t="s">
        <v>145</v>
      </c>
      <c r="F737" s="881">
        <v>17550.002100000002</v>
      </c>
      <c r="G737" s="881">
        <v>11594.455300000001</v>
      </c>
      <c r="H737" s="880">
        <v>2.7672757570728699</v>
      </c>
    </row>
    <row r="738" spans="1:8" x14ac:dyDescent="0.25">
      <c r="A738" s="519" t="s">
        <v>181</v>
      </c>
      <c r="B738" s="519" t="s">
        <v>284</v>
      </c>
      <c r="C738" s="519" t="s">
        <v>1812</v>
      </c>
      <c r="D738" s="519" t="s">
        <v>16</v>
      </c>
      <c r="E738" s="519" t="s">
        <v>149</v>
      </c>
      <c r="F738" s="881">
        <v>32245.359900000003</v>
      </c>
      <c r="G738" s="881">
        <v>27270.5056</v>
      </c>
      <c r="H738" s="880">
        <v>6.3069937184013201</v>
      </c>
    </row>
    <row r="739" spans="1:8" x14ac:dyDescent="0.25">
      <c r="A739" s="519" t="s">
        <v>181</v>
      </c>
      <c r="B739" s="519" t="s">
        <v>284</v>
      </c>
      <c r="C739" s="519" t="s">
        <v>1812</v>
      </c>
      <c r="D739" s="519" t="s">
        <v>16</v>
      </c>
      <c r="E739" s="519" t="s">
        <v>150</v>
      </c>
      <c r="F739" s="881">
        <v>25661.1738</v>
      </c>
      <c r="G739" s="881">
        <v>36353.6302</v>
      </c>
      <c r="H739" s="880">
        <v>5.6882976706317603</v>
      </c>
    </row>
    <row r="740" spans="1:8" x14ac:dyDescent="0.25">
      <c r="A740" s="519" t="s">
        <v>181</v>
      </c>
      <c r="B740" s="519" t="s">
        <v>284</v>
      </c>
      <c r="C740" s="519" t="s">
        <v>1812</v>
      </c>
      <c r="D740" s="519" t="s">
        <v>16</v>
      </c>
      <c r="E740" s="519" t="s">
        <v>154</v>
      </c>
      <c r="F740" s="881">
        <v>63778.665300000001</v>
      </c>
      <c r="G740" s="881">
        <v>22559.395800000002</v>
      </c>
      <c r="H740" s="880">
        <v>9.3672906701654295</v>
      </c>
    </row>
    <row r="741" spans="1:8" x14ac:dyDescent="0.25">
      <c r="A741" s="519" t="s">
        <v>181</v>
      </c>
      <c r="B741" s="519" t="s">
        <v>284</v>
      </c>
      <c r="C741" s="519" t="s">
        <v>1812</v>
      </c>
      <c r="D741" s="519" t="s">
        <v>17</v>
      </c>
      <c r="E741" s="519" t="s">
        <v>144</v>
      </c>
      <c r="F741" s="881">
        <v>56633.121900000006</v>
      </c>
      <c r="G741" s="881">
        <v>28592.579800000003</v>
      </c>
      <c r="H741" s="880">
        <v>7.2608698695933702</v>
      </c>
    </row>
    <row r="742" spans="1:8" x14ac:dyDescent="0.25">
      <c r="A742" s="519" t="s">
        <v>181</v>
      </c>
      <c r="B742" s="519" t="s">
        <v>284</v>
      </c>
      <c r="C742" s="519" t="s">
        <v>1812</v>
      </c>
      <c r="D742" s="519" t="s">
        <v>17</v>
      </c>
      <c r="E742" s="519" t="s">
        <v>145</v>
      </c>
      <c r="F742" s="881">
        <v>56870.095200000003</v>
      </c>
      <c r="G742" s="881">
        <v>28485.9365</v>
      </c>
      <c r="H742" s="880">
        <v>7.2392412048366603</v>
      </c>
    </row>
    <row r="743" spans="1:8" x14ac:dyDescent="0.25">
      <c r="A743" s="519" t="s">
        <v>181</v>
      </c>
      <c r="B743" s="519" t="s">
        <v>284</v>
      </c>
      <c r="C743" s="519" t="s">
        <v>1812</v>
      </c>
      <c r="D743" s="519" t="s">
        <v>17</v>
      </c>
      <c r="E743" s="519" t="s">
        <v>149</v>
      </c>
      <c r="F743" s="881">
        <v>34796.907899999998</v>
      </c>
      <c r="G743" s="881">
        <v>33779.9781</v>
      </c>
      <c r="H743" s="880">
        <v>0</v>
      </c>
    </row>
    <row r="744" spans="1:8" x14ac:dyDescent="0.25">
      <c r="A744" s="519" t="s">
        <v>181</v>
      </c>
      <c r="B744" s="519" t="s">
        <v>284</v>
      </c>
      <c r="C744" s="519" t="s">
        <v>282</v>
      </c>
      <c r="D744" s="519" t="s">
        <v>70</v>
      </c>
      <c r="E744" s="519" t="s">
        <v>144</v>
      </c>
      <c r="F744" s="881">
        <v>47134.743600000002</v>
      </c>
      <c r="G744" s="881">
        <v>10925.8634</v>
      </c>
      <c r="H744" s="880">
        <v>14.750724690281201</v>
      </c>
    </row>
    <row r="745" spans="1:8" x14ac:dyDescent="0.25">
      <c r="A745" s="519" t="s">
        <v>181</v>
      </c>
      <c r="B745" s="519" t="s">
        <v>284</v>
      </c>
      <c r="C745" s="519" t="s">
        <v>282</v>
      </c>
      <c r="D745" s="519" t="s">
        <v>70</v>
      </c>
      <c r="E745" s="519" t="s">
        <v>145</v>
      </c>
      <c r="F745" s="881">
        <v>30248.0082</v>
      </c>
      <c r="G745" s="881">
        <v>11406.231400000001</v>
      </c>
      <c r="H745" s="880">
        <v>9.8514362748788606</v>
      </c>
    </row>
    <row r="746" spans="1:8" x14ac:dyDescent="0.25">
      <c r="A746" s="519" t="s">
        <v>181</v>
      </c>
      <c r="B746" s="519" t="s">
        <v>284</v>
      </c>
      <c r="C746" s="519" t="s">
        <v>282</v>
      </c>
      <c r="D746" s="519" t="s">
        <v>70</v>
      </c>
      <c r="E746" s="519" t="s">
        <v>149</v>
      </c>
      <c r="F746" s="881">
        <v>29181.726000000002</v>
      </c>
      <c r="G746" s="881">
        <v>10297.3367</v>
      </c>
      <c r="H746" s="880">
        <v>7.0694875694142603</v>
      </c>
    </row>
    <row r="747" spans="1:8" x14ac:dyDescent="0.25">
      <c r="A747" s="519" t="s">
        <v>181</v>
      </c>
      <c r="B747" s="519" t="s">
        <v>284</v>
      </c>
      <c r="C747" s="519" t="s">
        <v>282</v>
      </c>
      <c r="D747" s="519" t="s">
        <v>70</v>
      </c>
      <c r="E747" s="519" t="s">
        <v>147</v>
      </c>
      <c r="F747" s="881">
        <v>47147.540400000005</v>
      </c>
      <c r="G747" s="881">
        <v>12340.865100000001</v>
      </c>
      <c r="H747" s="880">
        <v>8.2091463076727003</v>
      </c>
    </row>
    <row r="748" spans="1:8" x14ac:dyDescent="0.25">
      <c r="A748" s="519" t="s">
        <v>181</v>
      </c>
      <c r="B748" s="519" t="s">
        <v>284</v>
      </c>
      <c r="C748" s="519" t="s">
        <v>282</v>
      </c>
      <c r="D748" s="519" t="s">
        <v>16</v>
      </c>
      <c r="E748" s="519" t="s">
        <v>144</v>
      </c>
      <c r="F748" s="881">
        <v>39638.3577</v>
      </c>
      <c r="G748" s="881">
        <v>15722.190700000001</v>
      </c>
      <c r="H748" s="880">
        <v>15.821884095168</v>
      </c>
    </row>
    <row r="749" spans="1:8" x14ac:dyDescent="0.25">
      <c r="A749" s="519" t="s">
        <v>181</v>
      </c>
      <c r="B749" s="519" t="s">
        <v>284</v>
      </c>
      <c r="C749" s="519" t="s">
        <v>282</v>
      </c>
      <c r="D749" s="519" t="s">
        <v>16</v>
      </c>
      <c r="E749" s="519" t="s">
        <v>145</v>
      </c>
      <c r="F749" s="881">
        <v>35241.345600000001</v>
      </c>
      <c r="G749" s="881">
        <v>8583.2273999999998</v>
      </c>
      <c r="H749" s="880">
        <v>12.0271217785284</v>
      </c>
    </row>
    <row r="750" spans="1:8" x14ac:dyDescent="0.25">
      <c r="A750" s="519" t="s">
        <v>181</v>
      </c>
      <c r="B750" s="519" t="s">
        <v>284</v>
      </c>
      <c r="C750" s="519" t="s">
        <v>282</v>
      </c>
      <c r="D750" s="519" t="s">
        <v>16</v>
      </c>
      <c r="E750" s="519" t="s">
        <v>148</v>
      </c>
      <c r="F750" s="881">
        <v>54110.9061</v>
      </c>
      <c r="G750" s="881">
        <v>18302.178800000002</v>
      </c>
      <c r="H750" s="880">
        <v>9.3627721732238491</v>
      </c>
    </row>
    <row r="751" spans="1:8" x14ac:dyDescent="0.25">
      <c r="A751" s="519" t="s">
        <v>181</v>
      </c>
      <c r="B751" s="519" t="s">
        <v>284</v>
      </c>
      <c r="C751" s="519" t="s">
        <v>282</v>
      </c>
      <c r="D751" s="519" t="s">
        <v>16</v>
      </c>
      <c r="E751" s="519" t="s">
        <v>151</v>
      </c>
      <c r="F751" s="881">
        <v>71001.640500000009</v>
      </c>
      <c r="G751" s="881">
        <v>15720.755000000001</v>
      </c>
      <c r="H751" s="880">
        <v>9.7810066634684603</v>
      </c>
    </row>
    <row r="752" spans="1:8" x14ac:dyDescent="0.25">
      <c r="A752" s="519" t="s">
        <v>181</v>
      </c>
      <c r="B752" s="519" t="s">
        <v>284</v>
      </c>
      <c r="C752" s="519" t="s">
        <v>282</v>
      </c>
      <c r="D752" s="519" t="s">
        <v>16</v>
      </c>
      <c r="E752" s="519" t="s">
        <v>152</v>
      </c>
      <c r="F752" s="881">
        <v>56738.537400000001</v>
      </c>
      <c r="G752" s="881">
        <v>32493.777700000002</v>
      </c>
      <c r="H752" s="880">
        <v>9.9101311038301301</v>
      </c>
    </row>
    <row r="753" spans="1:8" x14ac:dyDescent="0.25">
      <c r="A753" s="519" t="s">
        <v>181</v>
      </c>
      <c r="B753" s="519" t="s">
        <v>284</v>
      </c>
      <c r="C753" s="519" t="s">
        <v>282</v>
      </c>
      <c r="D753" s="519" t="s">
        <v>16</v>
      </c>
      <c r="E753" s="519" t="s">
        <v>153</v>
      </c>
      <c r="F753" s="881">
        <v>45874.035600000003</v>
      </c>
      <c r="G753" s="881">
        <v>13380.707</v>
      </c>
      <c r="H753" s="880">
        <v>29.116236749403502</v>
      </c>
    </row>
    <row r="754" spans="1:8" x14ac:dyDescent="0.25">
      <c r="A754" s="519" t="s">
        <v>181</v>
      </c>
      <c r="B754" s="519" t="s">
        <v>284</v>
      </c>
      <c r="C754" s="519" t="s">
        <v>282</v>
      </c>
      <c r="D754" s="519" t="s">
        <v>17</v>
      </c>
      <c r="E754" s="519" t="s">
        <v>144</v>
      </c>
      <c r="F754" s="881">
        <v>39162.234900000003</v>
      </c>
      <c r="G754" s="881">
        <v>7418.3913000000002</v>
      </c>
      <c r="H754" s="880">
        <v>25.354858371818601</v>
      </c>
    </row>
    <row r="755" spans="1:8" x14ac:dyDescent="0.25">
      <c r="A755" s="519" t="s">
        <v>181</v>
      </c>
      <c r="B755" s="519" t="s">
        <v>284</v>
      </c>
      <c r="C755" s="519" t="s">
        <v>282</v>
      </c>
      <c r="D755" s="519" t="s">
        <v>17</v>
      </c>
      <c r="E755" s="519" t="s">
        <v>146</v>
      </c>
      <c r="F755" s="881">
        <v>42354.097200000004</v>
      </c>
      <c r="G755" s="881">
        <v>10465.2657</v>
      </c>
      <c r="H755" s="880">
        <v>31.465447531778999</v>
      </c>
    </row>
    <row r="756" spans="1:8" x14ac:dyDescent="0.25">
      <c r="A756" s="519" t="s">
        <v>181</v>
      </c>
      <c r="B756" s="519" t="s">
        <v>284</v>
      </c>
      <c r="C756" s="519" t="s">
        <v>282</v>
      </c>
      <c r="D756" s="519" t="s">
        <v>17</v>
      </c>
      <c r="E756" s="519" t="s">
        <v>145</v>
      </c>
      <c r="F756" s="881">
        <v>35543.707200000004</v>
      </c>
      <c r="G756" s="881">
        <v>6717.1136999999999</v>
      </c>
      <c r="H756" s="880">
        <v>27.0943446441396</v>
      </c>
    </row>
    <row r="757" spans="1:8" x14ac:dyDescent="0.25">
      <c r="A757" s="519" t="s">
        <v>181</v>
      </c>
      <c r="B757" s="519" t="s">
        <v>284</v>
      </c>
      <c r="C757" s="519" t="s">
        <v>1</v>
      </c>
      <c r="D757" s="519" t="s">
        <v>70</v>
      </c>
      <c r="E757" s="519" t="s">
        <v>144</v>
      </c>
      <c r="F757" s="881">
        <v>34843.1103</v>
      </c>
      <c r="G757" s="881">
        <v>14646.9084</v>
      </c>
      <c r="H757" s="880">
        <v>7.1176363874373099</v>
      </c>
    </row>
    <row r="758" spans="1:8" x14ac:dyDescent="0.25">
      <c r="A758" s="519" t="s">
        <v>181</v>
      </c>
      <c r="B758" s="519" t="s">
        <v>284</v>
      </c>
      <c r="C758" s="519" t="s">
        <v>1</v>
      </c>
      <c r="D758" s="519" t="s">
        <v>70</v>
      </c>
      <c r="E758" s="519" t="s">
        <v>149</v>
      </c>
      <c r="F758" s="881">
        <v>32598.276300000001</v>
      </c>
      <c r="G758" s="881">
        <v>6544.3551000000007</v>
      </c>
      <c r="H758" s="880">
        <v>8.1500475838340094</v>
      </c>
    </row>
    <row r="759" spans="1:8" x14ac:dyDescent="0.25">
      <c r="A759" s="519" t="s">
        <v>181</v>
      </c>
      <c r="B759" s="519" t="s">
        <v>284</v>
      </c>
      <c r="C759" s="519" t="s">
        <v>1</v>
      </c>
      <c r="D759" s="519" t="s">
        <v>70</v>
      </c>
      <c r="E759" s="519" t="s">
        <v>147</v>
      </c>
      <c r="F759" s="881">
        <v>33465.6129</v>
      </c>
      <c r="G759" s="881">
        <v>13549.326300000001</v>
      </c>
      <c r="H759" s="880">
        <v>6.7346223389283804</v>
      </c>
    </row>
    <row r="760" spans="1:8" x14ac:dyDescent="0.25">
      <c r="A760" s="519" t="s">
        <v>181</v>
      </c>
      <c r="B760" s="519" t="s">
        <v>284</v>
      </c>
      <c r="C760" s="519" t="s">
        <v>1</v>
      </c>
      <c r="D760" s="519" t="s">
        <v>70</v>
      </c>
      <c r="E760" s="519" t="s">
        <v>152</v>
      </c>
      <c r="F760" s="881">
        <v>27210.981600000003</v>
      </c>
      <c r="G760" s="881">
        <v>26926.374200000002</v>
      </c>
      <c r="H760" s="880">
        <v>6.6931608741747901</v>
      </c>
    </row>
    <row r="761" spans="1:8" x14ac:dyDescent="0.25">
      <c r="A761" s="519" t="s">
        <v>181</v>
      </c>
      <c r="B761" s="519" t="s">
        <v>284</v>
      </c>
      <c r="C761" s="519" t="s">
        <v>1</v>
      </c>
      <c r="D761" s="519" t="s">
        <v>70</v>
      </c>
      <c r="E761" s="519" t="s">
        <v>150</v>
      </c>
      <c r="F761" s="881">
        <v>19744.913700000001</v>
      </c>
      <c r="G761" s="881">
        <v>25817.773500000003</v>
      </c>
      <c r="H761" s="880">
        <v>15.1853846697283</v>
      </c>
    </row>
    <row r="762" spans="1:8" x14ac:dyDescent="0.25">
      <c r="A762" s="519" t="s">
        <v>181</v>
      </c>
      <c r="B762" s="519" t="s">
        <v>284</v>
      </c>
      <c r="C762" s="519" t="s">
        <v>1</v>
      </c>
      <c r="D762" s="519" t="s">
        <v>70</v>
      </c>
      <c r="E762" s="519" t="s">
        <v>155</v>
      </c>
      <c r="F762" s="881">
        <v>30614.772300000001</v>
      </c>
      <c r="G762" s="881">
        <v>2503.2980000000002</v>
      </c>
      <c r="H762" s="880">
        <v>15.146146704726</v>
      </c>
    </row>
    <row r="763" spans="1:8" x14ac:dyDescent="0.25">
      <c r="A763" s="519" t="s">
        <v>181</v>
      </c>
      <c r="B763" s="519" t="s">
        <v>284</v>
      </c>
      <c r="C763" s="519" t="s">
        <v>1</v>
      </c>
      <c r="D763" s="519" t="s">
        <v>70</v>
      </c>
      <c r="E763" s="519" t="s">
        <v>154</v>
      </c>
      <c r="F763" s="881">
        <v>41310.609300000004</v>
      </c>
      <c r="G763" s="881">
        <v>5705.1467000000002</v>
      </c>
      <c r="H763" s="880">
        <v>16.5140720518256</v>
      </c>
    </row>
    <row r="764" spans="1:8" x14ac:dyDescent="0.25">
      <c r="A764" s="519" t="s">
        <v>181</v>
      </c>
      <c r="B764" s="519" t="s">
        <v>284</v>
      </c>
      <c r="C764" s="519" t="s">
        <v>1</v>
      </c>
      <c r="D764" s="519" t="s">
        <v>16</v>
      </c>
      <c r="E764" s="519" t="s">
        <v>145</v>
      </c>
      <c r="F764" s="881">
        <v>23488.266</v>
      </c>
      <c r="G764" s="881">
        <v>8623.3679000000011</v>
      </c>
      <c r="H764" s="880">
        <v>10.605434621235501</v>
      </c>
    </row>
    <row r="765" spans="1:8" x14ac:dyDescent="0.25">
      <c r="A765" s="519" t="s">
        <v>181</v>
      </c>
      <c r="B765" s="519" t="s">
        <v>284</v>
      </c>
      <c r="C765" s="519" t="s">
        <v>1</v>
      </c>
      <c r="D765" s="519" t="s">
        <v>16</v>
      </c>
      <c r="E765" s="519" t="s">
        <v>149</v>
      </c>
      <c r="F765" s="881">
        <v>17139.388500000001</v>
      </c>
      <c r="G765" s="881">
        <v>12060.830600000001</v>
      </c>
      <c r="H765" s="880">
        <v>8.0094708744854106</v>
      </c>
    </row>
    <row r="766" spans="1:8" x14ac:dyDescent="0.25">
      <c r="A766" s="519" t="s">
        <v>181</v>
      </c>
      <c r="B766" s="519" t="s">
        <v>284</v>
      </c>
      <c r="C766" s="519" t="s">
        <v>1</v>
      </c>
      <c r="D766" s="519" t="s">
        <v>16</v>
      </c>
      <c r="E766" s="519" t="s">
        <v>148</v>
      </c>
      <c r="F766" s="881">
        <v>34711.068899999998</v>
      </c>
      <c r="G766" s="881">
        <v>14413.659500000002</v>
      </c>
      <c r="H766" s="880">
        <v>8.4721854463530804</v>
      </c>
    </row>
    <row r="767" spans="1:8" x14ac:dyDescent="0.25">
      <c r="A767" s="519" t="s">
        <v>181</v>
      </c>
      <c r="B767" s="519" t="s">
        <v>284</v>
      </c>
      <c r="C767" s="519" t="s">
        <v>1</v>
      </c>
      <c r="D767" s="519" t="s">
        <v>16</v>
      </c>
      <c r="E767" s="519" t="s">
        <v>151</v>
      </c>
      <c r="F767" s="881">
        <v>26718.723300000001</v>
      </c>
      <c r="G767" s="881">
        <v>14377.989300000001</v>
      </c>
      <c r="H767" s="880">
        <v>5.7345496892135603</v>
      </c>
    </row>
    <row r="768" spans="1:8" x14ac:dyDescent="0.25">
      <c r="A768" s="519" t="s">
        <v>181</v>
      </c>
      <c r="B768" s="519" t="s">
        <v>284</v>
      </c>
      <c r="C768" s="519" t="s">
        <v>1</v>
      </c>
      <c r="D768" s="519" t="s">
        <v>16</v>
      </c>
      <c r="E768" s="519" t="s">
        <v>150</v>
      </c>
      <c r="F768" s="881">
        <v>25897.5798</v>
      </c>
      <c r="G768" s="881">
        <v>17273.5658</v>
      </c>
      <c r="H768" s="880">
        <v>19.2435567049748</v>
      </c>
    </row>
    <row r="769" spans="1:8" x14ac:dyDescent="0.25">
      <c r="A769" s="519" t="s">
        <v>181</v>
      </c>
      <c r="B769" s="519" t="s">
        <v>284</v>
      </c>
      <c r="C769" s="519" t="s">
        <v>1</v>
      </c>
      <c r="D769" s="519" t="s">
        <v>16</v>
      </c>
      <c r="E769" s="519" t="s">
        <v>155</v>
      </c>
      <c r="F769" s="881">
        <v>24222.900900000001</v>
      </c>
      <c r="G769" s="881">
        <v>5275.8990000000003</v>
      </c>
      <c r="H769" s="880">
        <v>16.374485819029701</v>
      </c>
    </row>
    <row r="770" spans="1:8" x14ac:dyDescent="0.25">
      <c r="A770" s="519" t="s">
        <v>181</v>
      </c>
      <c r="B770" s="519" t="s">
        <v>284</v>
      </c>
      <c r="C770" s="519" t="s">
        <v>1</v>
      </c>
      <c r="D770" s="519" t="s">
        <v>16</v>
      </c>
      <c r="E770" s="519" t="s">
        <v>154</v>
      </c>
      <c r="F770" s="881">
        <v>22271.323800000002</v>
      </c>
      <c r="G770" s="881">
        <v>6145.1783000000005</v>
      </c>
      <c r="H770" s="880">
        <v>14.151997024518501</v>
      </c>
    </row>
    <row r="771" spans="1:8" x14ac:dyDescent="0.25">
      <c r="A771" s="519" t="s">
        <v>181</v>
      </c>
      <c r="B771" s="519" t="s">
        <v>284</v>
      </c>
      <c r="C771" s="519" t="s">
        <v>1</v>
      </c>
      <c r="D771" s="519" t="s">
        <v>17</v>
      </c>
      <c r="E771" s="519" t="s">
        <v>144</v>
      </c>
      <c r="F771" s="881">
        <v>20784.876899999999</v>
      </c>
      <c r="G771" s="881">
        <v>6692.3956000000007</v>
      </c>
      <c r="H771" s="880">
        <v>9.7593208708769694</v>
      </c>
    </row>
    <row r="772" spans="1:8" x14ac:dyDescent="0.25">
      <c r="A772" s="519" t="s">
        <v>181</v>
      </c>
      <c r="B772" s="519" t="s">
        <v>284</v>
      </c>
      <c r="C772" s="519" t="s">
        <v>1</v>
      </c>
      <c r="D772" s="519" t="s">
        <v>17</v>
      </c>
      <c r="E772" s="519" t="s">
        <v>149</v>
      </c>
      <c r="F772" s="881">
        <v>20792.9679</v>
      </c>
      <c r="G772" s="881">
        <v>9997.9220000000005</v>
      </c>
      <c r="H772" s="880">
        <v>0</v>
      </c>
    </row>
    <row r="773" spans="1:8" x14ac:dyDescent="0.25">
      <c r="A773" s="519" t="s">
        <v>181</v>
      </c>
      <c r="B773" s="519" t="s">
        <v>284</v>
      </c>
      <c r="C773" s="519" t="s">
        <v>1838</v>
      </c>
      <c r="D773" s="519" t="s">
        <v>70</v>
      </c>
      <c r="E773" s="519" t="s">
        <v>150</v>
      </c>
      <c r="F773" s="881">
        <v>4880.5470000000005</v>
      </c>
      <c r="G773" s="881">
        <v>8466.1166000000012</v>
      </c>
      <c r="H773" s="880">
        <v>3.0479801334169698</v>
      </c>
    </row>
    <row r="774" spans="1:8" x14ac:dyDescent="0.25">
      <c r="A774" s="519" t="s">
        <v>181</v>
      </c>
      <c r="B774" s="519" t="s">
        <v>284</v>
      </c>
      <c r="C774" s="519" t="s">
        <v>1838</v>
      </c>
      <c r="D774" s="519" t="s">
        <v>70</v>
      </c>
      <c r="E774" s="519" t="s">
        <v>155</v>
      </c>
      <c r="F774" s="881">
        <v>4448.9340000000002</v>
      </c>
      <c r="G774" s="881">
        <v>6885.3310000000001</v>
      </c>
      <c r="H774" s="880">
        <v>4.3322403547952</v>
      </c>
    </row>
    <row r="775" spans="1:8" x14ac:dyDescent="0.25">
      <c r="A775" s="519" t="s">
        <v>181</v>
      </c>
      <c r="B775" s="519" t="s">
        <v>284</v>
      </c>
      <c r="C775" s="519" t="s">
        <v>1838</v>
      </c>
      <c r="D775" s="519" t="s">
        <v>70</v>
      </c>
      <c r="E775" s="519" t="s">
        <v>154</v>
      </c>
      <c r="F775" s="881">
        <v>9511.3518000000004</v>
      </c>
      <c r="G775" s="881">
        <v>4393.2299000000003</v>
      </c>
      <c r="H775" s="880">
        <v>5.25164664401946</v>
      </c>
    </row>
    <row r="776" spans="1:8" x14ac:dyDescent="0.25">
      <c r="A776" s="519" t="s">
        <v>181</v>
      </c>
      <c r="B776" s="519" t="s">
        <v>284</v>
      </c>
      <c r="C776" s="519" t="s">
        <v>1838</v>
      </c>
      <c r="D776" s="519" t="s">
        <v>70</v>
      </c>
      <c r="E776" s="519" t="s">
        <v>153</v>
      </c>
      <c r="F776" s="881">
        <v>7800.0681000000004</v>
      </c>
      <c r="G776" s="881">
        <v>7429.4353000000001</v>
      </c>
      <c r="H776" s="880">
        <v>3.56542091408962</v>
      </c>
    </row>
    <row r="777" spans="1:8" x14ac:dyDescent="0.25">
      <c r="A777" s="519" t="s">
        <v>181</v>
      </c>
      <c r="B777" s="519" t="s">
        <v>284</v>
      </c>
      <c r="C777" s="519" t="s">
        <v>1838</v>
      </c>
      <c r="D777" s="519" t="s">
        <v>16</v>
      </c>
      <c r="E777" s="519" t="s">
        <v>144</v>
      </c>
      <c r="F777" s="881">
        <v>9165.0570000000007</v>
      </c>
      <c r="G777" s="881">
        <v>9407.1061000000009</v>
      </c>
      <c r="H777" s="880">
        <v>2.6092006079946799</v>
      </c>
    </row>
    <row r="778" spans="1:8" x14ac:dyDescent="0.25">
      <c r="A778" s="519" t="s">
        <v>181</v>
      </c>
      <c r="B778" s="519" t="s">
        <v>284</v>
      </c>
      <c r="C778" s="519" t="s">
        <v>1838</v>
      </c>
      <c r="D778" s="519" t="s">
        <v>16</v>
      </c>
      <c r="E778" s="519" t="s">
        <v>146</v>
      </c>
      <c r="F778" s="881">
        <v>17125.819800000001</v>
      </c>
      <c r="G778" s="881">
        <v>15104.1453</v>
      </c>
      <c r="H778" s="880">
        <v>6.4284715636732104</v>
      </c>
    </row>
    <row r="779" spans="1:8" x14ac:dyDescent="0.25">
      <c r="A779" s="519" t="s">
        <v>181</v>
      </c>
      <c r="B779" s="519" t="s">
        <v>284</v>
      </c>
      <c r="C779" s="519" t="s">
        <v>1838</v>
      </c>
      <c r="D779" s="519" t="s">
        <v>16</v>
      </c>
      <c r="E779" s="519" t="s">
        <v>145</v>
      </c>
      <c r="F779" s="881">
        <v>14957.478300000001</v>
      </c>
      <c r="G779" s="881">
        <v>8171.4617000000007</v>
      </c>
      <c r="H779" s="880">
        <v>3.5554270747569299</v>
      </c>
    </row>
    <row r="780" spans="1:8" x14ac:dyDescent="0.25">
      <c r="A780" s="519" t="s">
        <v>181</v>
      </c>
      <c r="B780" s="519" t="s">
        <v>284</v>
      </c>
      <c r="C780" s="519" t="s">
        <v>1838</v>
      </c>
      <c r="D780" s="519" t="s">
        <v>16</v>
      </c>
      <c r="E780" s="519" t="s">
        <v>149</v>
      </c>
      <c r="F780" s="881">
        <v>13269.8817</v>
      </c>
      <c r="G780" s="881">
        <v>18089.853999999999</v>
      </c>
      <c r="H780" s="880">
        <v>11.9971664096418</v>
      </c>
    </row>
    <row r="781" spans="1:8" x14ac:dyDescent="0.25">
      <c r="A781" s="519" t="s">
        <v>181</v>
      </c>
      <c r="B781" s="519" t="s">
        <v>284</v>
      </c>
      <c r="C781" s="519" t="s">
        <v>1838</v>
      </c>
      <c r="D781" s="519" t="s">
        <v>16</v>
      </c>
      <c r="E781" s="519" t="s">
        <v>148</v>
      </c>
      <c r="F781" s="881">
        <v>16437.963900000002</v>
      </c>
      <c r="G781" s="881">
        <v>6726.8561</v>
      </c>
      <c r="H781" s="880">
        <v>9.8781830924720104</v>
      </c>
    </row>
    <row r="782" spans="1:8" x14ac:dyDescent="0.25">
      <c r="A782" s="519" t="s">
        <v>181</v>
      </c>
      <c r="B782" s="519" t="s">
        <v>284</v>
      </c>
      <c r="C782" s="519" t="s">
        <v>1838</v>
      </c>
      <c r="D782" s="519" t="s">
        <v>16</v>
      </c>
      <c r="E782" s="519" t="s">
        <v>151</v>
      </c>
      <c r="F782" s="881">
        <v>14406.109200000001</v>
      </c>
      <c r="G782" s="881">
        <v>5516.7819</v>
      </c>
      <c r="H782" s="880">
        <v>7.2220517150776899</v>
      </c>
    </row>
    <row r="783" spans="1:8" x14ac:dyDescent="0.25">
      <c r="A783" s="519" t="s">
        <v>181</v>
      </c>
      <c r="B783" s="519" t="s">
        <v>284</v>
      </c>
      <c r="C783" s="519" t="s">
        <v>1838</v>
      </c>
      <c r="D783" s="519" t="s">
        <v>16</v>
      </c>
      <c r="E783" s="519" t="s">
        <v>152</v>
      </c>
      <c r="F783" s="881">
        <v>10649.532300000001</v>
      </c>
      <c r="G783" s="881">
        <v>8211.4916000000012</v>
      </c>
      <c r="H783" s="880">
        <v>4.9317997016690196</v>
      </c>
    </row>
    <row r="784" spans="1:8" x14ac:dyDescent="0.25">
      <c r="A784" s="519" t="s">
        <v>181</v>
      </c>
      <c r="B784" s="519" t="s">
        <v>284</v>
      </c>
      <c r="C784" s="519" t="s">
        <v>1838</v>
      </c>
      <c r="D784" s="519" t="s">
        <v>16</v>
      </c>
      <c r="E784" s="519" t="s">
        <v>150</v>
      </c>
      <c r="F784" s="881">
        <v>7668.7893000000004</v>
      </c>
      <c r="G784" s="881">
        <v>9115.8057000000008</v>
      </c>
      <c r="H784" s="880">
        <v>3.15906289419677</v>
      </c>
    </row>
    <row r="785" spans="1:8" x14ac:dyDescent="0.25">
      <c r="A785" s="519" t="s">
        <v>181</v>
      </c>
      <c r="B785" s="519" t="s">
        <v>284</v>
      </c>
      <c r="C785" s="519" t="s">
        <v>1838</v>
      </c>
      <c r="D785" s="519" t="s">
        <v>17</v>
      </c>
      <c r="E785" s="519" t="s">
        <v>144</v>
      </c>
      <c r="F785" s="881">
        <v>10768.525800000001</v>
      </c>
      <c r="G785" s="881">
        <v>5690.6269000000002</v>
      </c>
      <c r="H785" s="880">
        <v>10.731477809616401</v>
      </c>
    </row>
    <row r="786" spans="1:8" x14ac:dyDescent="0.25">
      <c r="A786" s="519" t="s">
        <v>181</v>
      </c>
      <c r="B786" s="519" t="s">
        <v>284</v>
      </c>
      <c r="C786" s="519" t="s">
        <v>1838</v>
      </c>
      <c r="D786" s="519" t="s">
        <v>17</v>
      </c>
      <c r="E786" s="519" t="s">
        <v>146</v>
      </c>
      <c r="F786" s="881">
        <v>8569.5501000000004</v>
      </c>
      <c r="G786" s="881">
        <v>4851.1001999999999</v>
      </c>
      <c r="H786" s="880">
        <v>9.3872052112245701</v>
      </c>
    </row>
  </sheetData>
  <sheetProtection pivotTables="0"/>
  <pageMargins left="0.7" right="0.7" top="0.75" bottom="0.75" header="0.3" footer="0.3"/>
  <pageSetup orientation="portrait" r:id="rId7"/>
  <tableParts count="1">
    <tablePart r:id="rId8"/>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F10A3-F174-409E-823D-E5E8CA08F070}">
  <sheetPr codeName="Sheet13"/>
  <dimension ref="A1:E171"/>
  <sheetViews>
    <sheetView workbookViewId="0">
      <selection activeCell="A2" sqref="A2"/>
    </sheetView>
  </sheetViews>
  <sheetFormatPr defaultRowHeight="15" x14ac:dyDescent="0.25"/>
  <cols>
    <col min="1" max="1" width="7.28515625" bestFit="1" customWidth="1"/>
    <col min="2" max="2" width="24.85546875" bestFit="1" customWidth="1"/>
    <col min="3" max="3" width="23.5703125" bestFit="1" customWidth="1"/>
    <col min="4" max="4" width="11.28515625" bestFit="1" customWidth="1"/>
    <col min="5" max="5" width="35.140625" style="373" bestFit="1" customWidth="1"/>
    <col min="6" max="6" width="37.42578125" bestFit="1" customWidth="1"/>
  </cols>
  <sheetData>
    <row r="1" spans="1:5" x14ac:dyDescent="0.25">
      <c r="A1" t="s">
        <v>10</v>
      </c>
      <c r="B1" t="s">
        <v>247</v>
      </c>
      <c r="C1" t="s">
        <v>249</v>
      </c>
      <c r="D1" t="s">
        <v>181</v>
      </c>
      <c r="E1" t="s">
        <v>264</v>
      </c>
    </row>
    <row r="2" spans="1:5" x14ac:dyDescent="0.25">
      <c r="A2" s="519" t="s">
        <v>284</v>
      </c>
      <c r="B2" s="519" t="s">
        <v>1690</v>
      </c>
      <c r="C2" s="519" t="s">
        <v>2089</v>
      </c>
      <c r="D2" s="519" t="s">
        <v>181</v>
      </c>
      <c r="E2" s="373">
        <v>0</v>
      </c>
    </row>
    <row r="3" spans="1:5" x14ac:dyDescent="0.25">
      <c r="A3" s="519" t="s">
        <v>284</v>
      </c>
      <c r="B3" s="519" t="s">
        <v>32</v>
      </c>
      <c r="C3" s="519" t="s">
        <v>318</v>
      </c>
      <c r="D3" s="519" t="s">
        <v>197</v>
      </c>
      <c r="E3" s="373">
        <v>2092</v>
      </c>
    </row>
    <row r="4" spans="1:5" x14ac:dyDescent="0.25">
      <c r="A4" s="519" t="s">
        <v>284</v>
      </c>
      <c r="B4" s="519" t="s">
        <v>34</v>
      </c>
      <c r="C4" s="519" t="s">
        <v>250</v>
      </c>
      <c r="D4" s="519" t="s">
        <v>197</v>
      </c>
      <c r="E4" s="373">
        <v>744</v>
      </c>
    </row>
    <row r="5" spans="1:5" x14ac:dyDescent="0.25">
      <c r="A5" s="519" t="s">
        <v>284</v>
      </c>
      <c r="B5" s="519" t="s">
        <v>34</v>
      </c>
      <c r="C5" s="519" t="s">
        <v>318</v>
      </c>
      <c r="D5" s="519" t="s">
        <v>197</v>
      </c>
      <c r="E5" s="373">
        <v>2437</v>
      </c>
    </row>
    <row r="6" spans="1:5" x14ac:dyDescent="0.25">
      <c r="A6" s="519" t="s">
        <v>284</v>
      </c>
      <c r="B6" s="519" t="s">
        <v>34</v>
      </c>
      <c r="C6" s="519" t="s">
        <v>253</v>
      </c>
      <c r="D6" s="519" t="s">
        <v>197</v>
      </c>
      <c r="E6" s="373">
        <v>5078</v>
      </c>
    </row>
    <row r="7" spans="1:5" x14ac:dyDescent="0.25">
      <c r="A7" s="519" t="s">
        <v>284</v>
      </c>
      <c r="B7" s="519" t="s">
        <v>34</v>
      </c>
      <c r="C7" s="519" t="s">
        <v>319</v>
      </c>
      <c r="D7" s="519" t="s">
        <v>181</v>
      </c>
      <c r="E7" s="373">
        <v>2975</v>
      </c>
    </row>
    <row r="8" spans="1:5" x14ac:dyDescent="0.25">
      <c r="A8" s="519" t="s">
        <v>284</v>
      </c>
      <c r="B8" s="519" t="s">
        <v>34</v>
      </c>
      <c r="C8" s="519" t="s">
        <v>321</v>
      </c>
      <c r="D8" s="519" t="s">
        <v>197</v>
      </c>
      <c r="E8" s="373">
        <v>1394</v>
      </c>
    </row>
    <row r="9" spans="1:5" x14ac:dyDescent="0.25">
      <c r="A9" s="519" t="s">
        <v>284</v>
      </c>
      <c r="B9" s="519" t="s">
        <v>34</v>
      </c>
      <c r="C9" s="519" t="s">
        <v>2089</v>
      </c>
      <c r="D9" s="519" t="s">
        <v>197</v>
      </c>
      <c r="E9" s="373">
        <v>6774</v>
      </c>
    </row>
    <row r="10" spans="1:5" x14ac:dyDescent="0.25">
      <c r="A10" s="519" t="s">
        <v>284</v>
      </c>
      <c r="B10" s="519" t="s">
        <v>35</v>
      </c>
      <c r="C10" s="519" t="s">
        <v>250</v>
      </c>
      <c r="D10" s="519" t="s">
        <v>197</v>
      </c>
      <c r="E10" s="373">
        <v>1900</v>
      </c>
    </row>
    <row r="11" spans="1:5" x14ac:dyDescent="0.25">
      <c r="A11" s="519" t="s">
        <v>284</v>
      </c>
      <c r="B11" s="519" t="s">
        <v>35</v>
      </c>
      <c r="C11" s="519" t="s">
        <v>320</v>
      </c>
      <c r="D11" s="519" t="s">
        <v>197</v>
      </c>
      <c r="E11" s="373">
        <v>20770</v>
      </c>
    </row>
    <row r="12" spans="1:5" x14ac:dyDescent="0.25">
      <c r="A12" s="519" t="s">
        <v>284</v>
      </c>
      <c r="B12" s="519" t="s">
        <v>35</v>
      </c>
      <c r="C12" s="519" t="s">
        <v>320</v>
      </c>
      <c r="D12" s="519" t="s">
        <v>181</v>
      </c>
      <c r="E12" s="373">
        <v>9061</v>
      </c>
    </row>
    <row r="13" spans="1:5" x14ac:dyDescent="0.25">
      <c r="A13" s="519" t="s">
        <v>284</v>
      </c>
      <c r="B13" s="519" t="s">
        <v>35</v>
      </c>
      <c r="C13" s="519" t="s">
        <v>317</v>
      </c>
      <c r="D13" s="519" t="s">
        <v>197</v>
      </c>
      <c r="E13" s="373">
        <v>37368</v>
      </c>
    </row>
    <row r="14" spans="1:5" x14ac:dyDescent="0.25">
      <c r="A14" s="519" t="s">
        <v>284</v>
      </c>
      <c r="B14" s="519" t="s">
        <v>35</v>
      </c>
      <c r="C14" s="519" t="s">
        <v>317</v>
      </c>
      <c r="D14" s="519" t="s">
        <v>181</v>
      </c>
      <c r="E14" s="373">
        <v>12345</v>
      </c>
    </row>
    <row r="15" spans="1:5" x14ac:dyDescent="0.25">
      <c r="A15" s="519" t="s">
        <v>284</v>
      </c>
      <c r="B15" s="519" t="s">
        <v>35</v>
      </c>
      <c r="C15" s="519" t="s">
        <v>318</v>
      </c>
      <c r="D15" s="519" t="s">
        <v>197</v>
      </c>
      <c r="E15" s="373">
        <v>81591</v>
      </c>
    </row>
    <row r="16" spans="1:5" x14ac:dyDescent="0.25">
      <c r="A16" s="519" t="s">
        <v>284</v>
      </c>
      <c r="B16" s="519" t="s">
        <v>35</v>
      </c>
      <c r="C16" s="519" t="s">
        <v>318</v>
      </c>
      <c r="D16" s="519" t="s">
        <v>181</v>
      </c>
      <c r="E16" s="373">
        <v>12446</v>
      </c>
    </row>
    <row r="17" spans="1:5" x14ac:dyDescent="0.25">
      <c r="A17" s="519" t="s">
        <v>284</v>
      </c>
      <c r="B17" s="519" t="s">
        <v>35</v>
      </c>
      <c r="C17" s="519" t="s">
        <v>253</v>
      </c>
      <c r="D17" s="519" t="s">
        <v>197</v>
      </c>
      <c r="E17" s="373">
        <v>51418</v>
      </c>
    </row>
    <row r="18" spans="1:5" x14ac:dyDescent="0.25">
      <c r="A18" s="519" t="s">
        <v>284</v>
      </c>
      <c r="B18" s="519" t="s">
        <v>35</v>
      </c>
      <c r="C18" s="519" t="s">
        <v>253</v>
      </c>
      <c r="D18" s="519" t="s">
        <v>181</v>
      </c>
      <c r="E18" s="373">
        <v>11215</v>
      </c>
    </row>
    <row r="19" spans="1:5" x14ac:dyDescent="0.25">
      <c r="A19" s="519" t="s">
        <v>284</v>
      </c>
      <c r="B19" s="519" t="s">
        <v>35</v>
      </c>
      <c r="C19" s="519" t="s">
        <v>319</v>
      </c>
      <c r="D19" s="519" t="s">
        <v>197</v>
      </c>
      <c r="E19" s="373">
        <v>17876</v>
      </c>
    </row>
    <row r="20" spans="1:5" x14ac:dyDescent="0.25">
      <c r="A20" s="519" t="s">
        <v>284</v>
      </c>
      <c r="B20" s="519" t="s">
        <v>35</v>
      </c>
      <c r="C20" s="519" t="s">
        <v>319</v>
      </c>
      <c r="D20" s="519" t="s">
        <v>181</v>
      </c>
      <c r="E20" s="373">
        <v>18972</v>
      </c>
    </row>
    <row r="21" spans="1:5" x14ac:dyDescent="0.25">
      <c r="A21" s="519" t="s">
        <v>284</v>
      </c>
      <c r="B21" s="519" t="s">
        <v>35</v>
      </c>
      <c r="C21" s="519" t="s">
        <v>321</v>
      </c>
      <c r="D21" s="519" t="s">
        <v>197</v>
      </c>
      <c r="E21" s="373">
        <v>4150</v>
      </c>
    </row>
    <row r="22" spans="1:5" x14ac:dyDescent="0.25">
      <c r="A22" s="519" t="s">
        <v>284</v>
      </c>
      <c r="B22" s="519" t="s">
        <v>35</v>
      </c>
      <c r="C22" s="519" t="s">
        <v>321</v>
      </c>
      <c r="D22" s="519" t="s">
        <v>181</v>
      </c>
      <c r="E22" s="373">
        <v>6438</v>
      </c>
    </row>
    <row r="23" spans="1:5" x14ac:dyDescent="0.25">
      <c r="A23" s="519" t="s">
        <v>284</v>
      </c>
      <c r="B23" s="519" t="s">
        <v>35</v>
      </c>
      <c r="C23" s="519" t="s">
        <v>251</v>
      </c>
      <c r="D23" s="519" t="s">
        <v>197</v>
      </c>
      <c r="E23" s="373">
        <v>6704</v>
      </c>
    </row>
    <row r="24" spans="1:5" x14ac:dyDescent="0.25">
      <c r="A24" s="519" t="s">
        <v>284</v>
      </c>
      <c r="B24" s="519" t="s">
        <v>35</v>
      </c>
      <c r="C24" s="519" t="s">
        <v>322</v>
      </c>
      <c r="D24" s="519" t="s">
        <v>197</v>
      </c>
      <c r="E24" s="373">
        <v>12349</v>
      </c>
    </row>
    <row r="25" spans="1:5" x14ac:dyDescent="0.25">
      <c r="A25" s="519" t="s">
        <v>284</v>
      </c>
      <c r="B25" s="519" t="s">
        <v>35</v>
      </c>
      <c r="C25" s="519" t="s">
        <v>323</v>
      </c>
      <c r="D25" s="519" t="s">
        <v>197</v>
      </c>
      <c r="E25" s="373">
        <v>4782</v>
      </c>
    </row>
    <row r="26" spans="1:5" x14ac:dyDescent="0.25">
      <c r="A26" s="519" t="s">
        <v>284</v>
      </c>
      <c r="B26" s="519" t="s">
        <v>35</v>
      </c>
      <c r="C26" s="519" t="s">
        <v>252</v>
      </c>
      <c r="D26" s="519" t="s">
        <v>197</v>
      </c>
      <c r="E26" s="373">
        <v>14668</v>
      </c>
    </row>
    <row r="27" spans="1:5" x14ac:dyDescent="0.25">
      <c r="A27" s="519" t="s">
        <v>284</v>
      </c>
      <c r="B27" s="519" t="s">
        <v>35</v>
      </c>
      <c r="C27" s="519" t="s">
        <v>252</v>
      </c>
      <c r="D27" s="519" t="s">
        <v>181</v>
      </c>
      <c r="E27" s="373">
        <v>12066</v>
      </c>
    </row>
    <row r="28" spans="1:5" x14ac:dyDescent="0.25">
      <c r="A28" s="519" t="s">
        <v>284</v>
      </c>
      <c r="B28" s="519" t="s">
        <v>35</v>
      </c>
      <c r="C28" s="519" t="s">
        <v>2089</v>
      </c>
      <c r="D28" s="519" t="s">
        <v>197</v>
      </c>
      <c r="E28" s="373">
        <v>18289</v>
      </c>
    </row>
    <row r="29" spans="1:5" x14ac:dyDescent="0.25">
      <c r="A29" s="519" t="s">
        <v>284</v>
      </c>
      <c r="B29" s="519" t="s">
        <v>35</v>
      </c>
      <c r="C29" s="519" t="s">
        <v>2089</v>
      </c>
      <c r="D29" s="519" t="s">
        <v>181</v>
      </c>
      <c r="E29" s="373">
        <v>7368</v>
      </c>
    </row>
    <row r="30" spans="1:5" x14ac:dyDescent="0.25">
      <c r="A30" s="519" t="s">
        <v>284</v>
      </c>
      <c r="B30" s="519" t="s">
        <v>35</v>
      </c>
      <c r="C30" s="519" t="s">
        <v>2090</v>
      </c>
      <c r="D30" s="519" t="s">
        <v>197</v>
      </c>
      <c r="E30" s="373">
        <v>4483</v>
      </c>
    </row>
    <row r="31" spans="1:5" x14ac:dyDescent="0.25">
      <c r="A31" s="519" t="s">
        <v>284</v>
      </c>
      <c r="B31" s="519" t="s">
        <v>35</v>
      </c>
      <c r="C31" s="519" t="s">
        <v>2090</v>
      </c>
      <c r="D31" s="519" t="s">
        <v>181</v>
      </c>
      <c r="E31" s="373">
        <v>42994</v>
      </c>
    </row>
    <row r="32" spans="1:5" x14ac:dyDescent="0.25">
      <c r="A32" s="519" t="s">
        <v>284</v>
      </c>
      <c r="B32" s="519" t="s">
        <v>35</v>
      </c>
      <c r="C32" s="519" t="s">
        <v>324</v>
      </c>
      <c r="D32" s="519" t="s">
        <v>197</v>
      </c>
      <c r="E32" s="373">
        <v>8494</v>
      </c>
    </row>
    <row r="33" spans="1:5" x14ac:dyDescent="0.25">
      <c r="A33" s="519" t="s">
        <v>284</v>
      </c>
      <c r="B33" s="519" t="s">
        <v>36</v>
      </c>
      <c r="C33" s="519" t="s">
        <v>250</v>
      </c>
      <c r="D33" s="519" t="s">
        <v>197</v>
      </c>
      <c r="E33" s="373">
        <v>446</v>
      </c>
    </row>
    <row r="34" spans="1:5" x14ac:dyDescent="0.25">
      <c r="A34" s="519" t="s">
        <v>284</v>
      </c>
      <c r="B34" s="519" t="s">
        <v>36</v>
      </c>
      <c r="C34" s="519" t="s">
        <v>320</v>
      </c>
      <c r="D34" s="519" t="s">
        <v>197</v>
      </c>
      <c r="E34" s="373">
        <v>45476</v>
      </c>
    </row>
    <row r="35" spans="1:5" x14ac:dyDescent="0.25">
      <c r="A35" s="519" t="s">
        <v>284</v>
      </c>
      <c r="B35" s="519" t="s">
        <v>36</v>
      </c>
      <c r="C35" s="519" t="s">
        <v>317</v>
      </c>
      <c r="D35" s="519" t="s">
        <v>197</v>
      </c>
      <c r="E35" s="373">
        <v>33135</v>
      </c>
    </row>
    <row r="36" spans="1:5" x14ac:dyDescent="0.25">
      <c r="A36" s="519" t="s">
        <v>284</v>
      </c>
      <c r="B36" s="519" t="s">
        <v>36</v>
      </c>
      <c r="C36" s="519" t="s">
        <v>317</v>
      </c>
      <c r="D36" s="519" t="s">
        <v>181</v>
      </c>
      <c r="E36" s="373">
        <v>23314</v>
      </c>
    </row>
    <row r="37" spans="1:5" x14ac:dyDescent="0.25">
      <c r="A37" s="519" t="s">
        <v>284</v>
      </c>
      <c r="B37" s="519" t="s">
        <v>36</v>
      </c>
      <c r="C37" s="519" t="s">
        <v>318</v>
      </c>
      <c r="D37" s="519" t="s">
        <v>197</v>
      </c>
      <c r="E37" s="373">
        <v>75618</v>
      </c>
    </row>
    <row r="38" spans="1:5" x14ac:dyDescent="0.25">
      <c r="A38" s="519" t="s">
        <v>284</v>
      </c>
      <c r="B38" s="519" t="s">
        <v>36</v>
      </c>
      <c r="C38" s="519" t="s">
        <v>318</v>
      </c>
      <c r="D38" s="519" t="s">
        <v>181</v>
      </c>
      <c r="E38" s="373">
        <v>3823</v>
      </c>
    </row>
    <row r="39" spans="1:5" x14ac:dyDescent="0.25">
      <c r="A39" s="519" t="s">
        <v>284</v>
      </c>
      <c r="B39" s="519" t="s">
        <v>36</v>
      </c>
      <c r="C39" s="519" t="s">
        <v>253</v>
      </c>
      <c r="D39" s="519" t="s">
        <v>197</v>
      </c>
      <c r="E39" s="373">
        <v>129398</v>
      </c>
    </row>
    <row r="40" spans="1:5" x14ac:dyDescent="0.25">
      <c r="A40" s="519" t="s">
        <v>284</v>
      </c>
      <c r="B40" s="519" t="s">
        <v>36</v>
      </c>
      <c r="C40" s="519" t="s">
        <v>253</v>
      </c>
      <c r="D40" s="519" t="s">
        <v>181</v>
      </c>
      <c r="E40" s="373">
        <v>82130</v>
      </c>
    </row>
    <row r="41" spans="1:5" x14ac:dyDescent="0.25">
      <c r="A41" s="519" t="s">
        <v>284</v>
      </c>
      <c r="B41" s="519" t="s">
        <v>36</v>
      </c>
      <c r="C41" s="519" t="s">
        <v>319</v>
      </c>
      <c r="D41" s="519" t="s">
        <v>197</v>
      </c>
      <c r="E41" s="373">
        <v>78598</v>
      </c>
    </row>
    <row r="42" spans="1:5" x14ac:dyDescent="0.25">
      <c r="A42" s="519" t="s">
        <v>284</v>
      </c>
      <c r="B42" s="519" t="s">
        <v>36</v>
      </c>
      <c r="C42" s="519" t="s">
        <v>319</v>
      </c>
      <c r="D42" s="519" t="s">
        <v>181</v>
      </c>
      <c r="E42" s="373">
        <v>28480</v>
      </c>
    </row>
    <row r="43" spans="1:5" x14ac:dyDescent="0.25">
      <c r="A43" s="519" t="s">
        <v>284</v>
      </c>
      <c r="B43" s="519" t="s">
        <v>36</v>
      </c>
      <c r="C43" s="519" t="s">
        <v>321</v>
      </c>
      <c r="D43" s="519" t="s">
        <v>197</v>
      </c>
      <c r="E43" s="373">
        <v>33683</v>
      </c>
    </row>
    <row r="44" spans="1:5" x14ac:dyDescent="0.25">
      <c r="A44" s="519" t="s">
        <v>284</v>
      </c>
      <c r="B44" s="519" t="s">
        <v>36</v>
      </c>
      <c r="C44" s="519" t="s">
        <v>321</v>
      </c>
      <c r="D44" s="519" t="s">
        <v>181</v>
      </c>
      <c r="E44" s="373">
        <v>6896</v>
      </c>
    </row>
    <row r="45" spans="1:5" x14ac:dyDescent="0.25">
      <c r="A45" s="519" t="s">
        <v>284</v>
      </c>
      <c r="B45" s="519" t="s">
        <v>36</v>
      </c>
      <c r="C45" s="519" t="s">
        <v>251</v>
      </c>
      <c r="D45" s="519" t="s">
        <v>197</v>
      </c>
      <c r="E45" s="373">
        <v>6845</v>
      </c>
    </row>
    <row r="46" spans="1:5" x14ac:dyDescent="0.25">
      <c r="A46" s="519" t="s">
        <v>284</v>
      </c>
      <c r="B46" s="519" t="s">
        <v>36</v>
      </c>
      <c r="C46" s="519" t="s">
        <v>322</v>
      </c>
      <c r="D46" s="519" t="s">
        <v>197</v>
      </c>
      <c r="E46" s="373">
        <v>5870</v>
      </c>
    </row>
    <row r="47" spans="1:5" x14ac:dyDescent="0.25">
      <c r="A47" s="519" t="s">
        <v>284</v>
      </c>
      <c r="B47" s="519" t="s">
        <v>36</v>
      </c>
      <c r="C47" s="519" t="s">
        <v>322</v>
      </c>
      <c r="D47" s="519" t="s">
        <v>181</v>
      </c>
      <c r="E47" s="373">
        <v>5963</v>
      </c>
    </row>
    <row r="48" spans="1:5" x14ac:dyDescent="0.25">
      <c r="A48" s="519" t="s">
        <v>284</v>
      </c>
      <c r="B48" s="519" t="s">
        <v>36</v>
      </c>
      <c r="C48" s="519" t="s">
        <v>323</v>
      </c>
      <c r="D48" s="519" t="s">
        <v>197</v>
      </c>
      <c r="E48" s="373">
        <v>4122</v>
      </c>
    </row>
    <row r="49" spans="1:5" x14ac:dyDescent="0.25">
      <c r="A49" s="519" t="s">
        <v>284</v>
      </c>
      <c r="B49" s="519" t="s">
        <v>36</v>
      </c>
      <c r="C49" s="519" t="s">
        <v>252</v>
      </c>
      <c r="D49" s="519" t="s">
        <v>197</v>
      </c>
      <c r="E49" s="373">
        <v>69492</v>
      </c>
    </row>
    <row r="50" spans="1:5" x14ac:dyDescent="0.25">
      <c r="A50" s="519" t="s">
        <v>284</v>
      </c>
      <c r="B50" s="519" t="s">
        <v>36</v>
      </c>
      <c r="C50" s="519" t="s">
        <v>2089</v>
      </c>
      <c r="D50" s="519" t="s">
        <v>197</v>
      </c>
      <c r="E50" s="373">
        <v>34569</v>
      </c>
    </row>
    <row r="51" spans="1:5" x14ac:dyDescent="0.25">
      <c r="A51" s="519" t="s">
        <v>284</v>
      </c>
      <c r="B51" s="519" t="s">
        <v>36</v>
      </c>
      <c r="C51" s="519" t="s">
        <v>2089</v>
      </c>
      <c r="D51" s="519" t="s">
        <v>181</v>
      </c>
      <c r="E51" s="373">
        <v>9816</v>
      </c>
    </row>
    <row r="52" spans="1:5" x14ac:dyDescent="0.25">
      <c r="A52" s="519" t="s">
        <v>284</v>
      </c>
      <c r="B52" s="519" t="s">
        <v>36</v>
      </c>
      <c r="C52" s="519" t="s">
        <v>2090</v>
      </c>
      <c r="D52" s="519" t="s">
        <v>197</v>
      </c>
      <c r="E52" s="373">
        <v>33183</v>
      </c>
    </row>
    <row r="53" spans="1:5" x14ac:dyDescent="0.25">
      <c r="A53" s="519" t="s">
        <v>284</v>
      </c>
      <c r="B53" s="519" t="s">
        <v>36</v>
      </c>
      <c r="C53" s="519" t="s">
        <v>2090</v>
      </c>
      <c r="D53" s="519" t="s">
        <v>181</v>
      </c>
      <c r="E53" s="373">
        <v>15167</v>
      </c>
    </row>
    <row r="54" spans="1:5" x14ac:dyDescent="0.25">
      <c r="A54" s="519" t="s">
        <v>284</v>
      </c>
      <c r="B54" s="519" t="s">
        <v>36</v>
      </c>
      <c r="C54" s="519" t="s">
        <v>324</v>
      </c>
      <c r="D54" s="519" t="s">
        <v>197</v>
      </c>
      <c r="E54" s="373">
        <v>4346</v>
      </c>
    </row>
    <row r="55" spans="1:5" x14ac:dyDescent="0.25">
      <c r="A55" s="519" t="s">
        <v>284</v>
      </c>
      <c r="B55" s="519" t="s">
        <v>36</v>
      </c>
      <c r="C55" s="519" t="s">
        <v>324</v>
      </c>
      <c r="D55" s="519" t="s">
        <v>181</v>
      </c>
      <c r="E55" s="373">
        <v>1792</v>
      </c>
    </row>
    <row r="56" spans="1:5" x14ac:dyDescent="0.25">
      <c r="A56" s="519" t="s">
        <v>284</v>
      </c>
      <c r="B56" s="519" t="s">
        <v>37</v>
      </c>
      <c r="C56" s="519" t="s">
        <v>250</v>
      </c>
      <c r="D56" s="519" t="s">
        <v>197</v>
      </c>
      <c r="E56" s="373">
        <v>10647</v>
      </c>
    </row>
    <row r="57" spans="1:5" x14ac:dyDescent="0.25">
      <c r="A57" s="519" t="s">
        <v>284</v>
      </c>
      <c r="B57" s="519" t="s">
        <v>37</v>
      </c>
      <c r="C57" s="519" t="s">
        <v>250</v>
      </c>
      <c r="D57" s="519" t="s">
        <v>181</v>
      </c>
      <c r="E57" s="373">
        <v>1299</v>
      </c>
    </row>
    <row r="58" spans="1:5" x14ac:dyDescent="0.25">
      <c r="A58" s="519" t="s">
        <v>284</v>
      </c>
      <c r="B58" s="519" t="s">
        <v>37</v>
      </c>
      <c r="C58" s="519" t="s">
        <v>320</v>
      </c>
      <c r="D58" s="519" t="s">
        <v>197</v>
      </c>
      <c r="E58" s="373">
        <v>157847</v>
      </c>
    </row>
    <row r="59" spans="1:5" x14ac:dyDescent="0.25">
      <c r="A59" s="519" t="s">
        <v>284</v>
      </c>
      <c r="B59" s="519" t="s">
        <v>37</v>
      </c>
      <c r="C59" s="519" t="s">
        <v>320</v>
      </c>
      <c r="D59" s="519" t="s">
        <v>181</v>
      </c>
      <c r="E59" s="373">
        <v>22297</v>
      </c>
    </row>
    <row r="60" spans="1:5" x14ac:dyDescent="0.25">
      <c r="A60" s="519" t="s">
        <v>284</v>
      </c>
      <c r="B60" s="519" t="s">
        <v>37</v>
      </c>
      <c r="C60" s="519" t="s">
        <v>317</v>
      </c>
      <c r="D60" s="519" t="s">
        <v>197</v>
      </c>
      <c r="E60" s="373">
        <v>34533</v>
      </c>
    </row>
    <row r="61" spans="1:5" x14ac:dyDescent="0.25">
      <c r="A61" s="519" t="s">
        <v>284</v>
      </c>
      <c r="B61" s="519" t="s">
        <v>37</v>
      </c>
      <c r="C61" s="519" t="s">
        <v>317</v>
      </c>
      <c r="D61" s="519" t="s">
        <v>181</v>
      </c>
      <c r="E61" s="373">
        <v>22828</v>
      </c>
    </row>
    <row r="62" spans="1:5" x14ac:dyDescent="0.25">
      <c r="A62" s="519" t="s">
        <v>284</v>
      </c>
      <c r="B62" s="519" t="s">
        <v>37</v>
      </c>
      <c r="C62" s="519" t="s">
        <v>318</v>
      </c>
      <c r="D62" s="519" t="s">
        <v>197</v>
      </c>
      <c r="E62" s="373">
        <v>65540</v>
      </c>
    </row>
    <row r="63" spans="1:5" x14ac:dyDescent="0.25">
      <c r="A63" s="519" t="s">
        <v>284</v>
      </c>
      <c r="B63" s="519" t="s">
        <v>37</v>
      </c>
      <c r="C63" s="519" t="s">
        <v>318</v>
      </c>
      <c r="D63" s="519" t="s">
        <v>181</v>
      </c>
      <c r="E63" s="373">
        <v>7458</v>
      </c>
    </row>
    <row r="64" spans="1:5" x14ac:dyDescent="0.25">
      <c r="A64" s="519" t="s">
        <v>284</v>
      </c>
      <c r="B64" s="519" t="s">
        <v>37</v>
      </c>
      <c r="C64" s="519" t="s">
        <v>253</v>
      </c>
      <c r="D64" s="519" t="s">
        <v>197</v>
      </c>
      <c r="E64" s="373">
        <v>264115</v>
      </c>
    </row>
    <row r="65" spans="1:5" x14ac:dyDescent="0.25">
      <c r="A65" s="519" t="s">
        <v>284</v>
      </c>
      <c r="B65" s="519" t="s">
        <v>37</v>
      </c>
      <c r="C65" s="519" t="s">
        <v>253</v>
      </c>
      <c r="D65" s="519" t="s">
        <v>181</v>
      </c>
      <c r="E65" s="373">
        <v>123663</v>
      </c>
    </row>
    <row r="66" spans="1:5" x14ac:dyDescent="0.25">
      <c r="A66" s="519" t="s">
        <v>284</v>
      </c>
      <c r="B66" s="519" t="s">
        <v>37</v>
      </c>
      <c r="C66" s="519" t="s">
        <v>319</v>
      </c>
      <c r="D66" s="519" t="s">
        <v>197</v>
      </c>
      <c r="E66" s="373">
        <v>73730</v>
      </c>
    </row>
    <row r="67" spans="1:5" x14ac:dyDescent="0.25">
      <c r="A67" s="519" t="s">
        <v>284</v>
      </c>
      <c r="B67" s="519" t="s">
        <v>37</v>
      </c>
      <c r="C67" s="519" t="s">
        <v>319</v>
      </c>
      <c r="D67" s="519" t="s">
        <v>181</v>
      </c>
      <c r="E67" s="373">
        <v>32882</v>
      </c>
    </row>
    <row r="68" spans="1:5" x14ac:dyDescent="0.25">
      <c r="A68" s="519" t="s">
        <v>284</v>
      </c>
      <c r="B68" s="519" t="s">
        <v>37</v>
      </c>
      <c r="C68" s="519" t="s">
        <v>321</v>
      </c>
      <c r="D68" s="519" t="s">
        <v>197</v>
      </c>
      <c r="E68" s="373">
        <v>9803</v>
      </c>
    </row>
    <row r="69" spans="1:5" x14ac:dyDescent="0.25">
      <c r="A69" s="519" t="s">
        <v>284</v>
      </c>
      <c r="B69" s="519" t="s">
        <v>37</v>
      </c>
      <c r="C69" s="519" t="s">
        <v>321</v>
      </c>
      <c r="D69" s="519" t="s">
        <v>181</v>
      </c>
      <c r="E69" s="373">
        <v>2394</v>
      </c>
    </row>
    <row r="70" spans="1:5" x14ac:dyDescent="0.25">
      <c r="A70" s="519" t="s">
        <v>284</v>
      </c>
      <c r="B70" s="519" t="s">
        <v>37</v>
      </c>
      <c r="C70" s="519" t="s">
        <v>251</v>
      </c>
      <c r="D70" s="519" t="s">
        <v>197</v>
      </c>
      <c r="E70" s="373">
        <v>1903</v>
      </c>
    </row>
    <row r="71" spans="1:5" x14ac:dyDescent="0.25">
      <c r="A71" s="519" t="s">
        <v>284</v>
      </c>
      <c r="B71" s="519" t="s">
        <v>37</v>
      </c>
      <c r="C71" s="519" t="s">
        <v>325</v>
      </c>
      <c r="D71" s="519" t="s">
        <v>197</v>
      </c>
      <c r="E71" s="373">
        <v>9253</v>
      </c>
    </row>
    <row r="72" spans="1:5" x14ac:dyDescent="0.25">
      <c r="A72" s="519" t="s">
        <v>284</v>
      </c>
      <c r="B72" s="519" t="s">
        <v>37</v>
      </c>
      <c r="C72" s="519" t="s">
        <v>325</v>
      </c>
      <c r="D72" s="519" t="s">
        <v>181</v>
      </c>
      <c r="E72" s="373">
        <v>398</v>
      </c>
    </row>
    <row r="73" spans="1:5" x14ac:dyDescent="0.25">
      <c r="A73" s="519" t="s">
        <v>284</v>
      </c>
      <c r="B73" s="519" t="s">
        <v>37</v>
      </c>
      <c r="C73" s="519" t="s">
        <v>322</v>
      </c>
      <c r="D73" s="519" t="s">
        <v>197</v>
      </c>
      <c r="E73" s="373">
        <v>29889</v>
      </c>
    </row>
    <row r="74" spans="1:5" x14ac:dyDescent="0.25">
      <c r="A74" s="519" t="s">
        <v>284</v>
      </c>
      <c r="B74" s="519" t="s">
        <v>37</v>
      </c>
      <c r="C74" s="519" t="s">
        <v>322</v>
      </c>
      <c r="D74" s="519" t="s">
        <v>181</v>
      </c>
      <c r="E74" s="373">
        <v>10558</v>
      </c>
    </row>
    <row r="75" spans="1:5" x14ac:dyDescent="0.25">
      <c r="A75" s="519" t="s">
        <v>284</v>
      </c>
      <c r="B75" s="519" t="s">
        <v>37</v>
      </c>
      <c r="C75" s="519" t="s">
        <v>323</v>
      </c>
      <c r="D75" s="519" t="s">
        <v>197</v>
      </c>
      <c r="E75" s="373">
        <v>4406</v>
      </c>
    </row>
    <row r="76" spans="1:5" x14ac:dyDescent="0.25">
      <c r="A76" s="519" t="s">
        <v>284</v>
      </c>
      <c r="B76" s="519" t="s">
        <v>37</v>
      </c>
      <c r="C76" s="519" t="s">
        <v>252</v>
      </c>
      <c r="D76" s="519" t="s">
        <v>197</v>
      </c>
      <c r="E76" s="373">
        <v>129248</v>
      </c>
    </row>
    <row r="77" spans="1:5" x14ac:dyDescent="0.25">
      <c r="A77" s="519" t="s">
        <v>284</v>
      </c>
      <c r="B77" s="519" t="s">
        <v>37</v>
      </c>
      <c r="C77" s="519" t="s">
        <v>252</v>
      </c>
      <c r="D77" s="519" t="s">
        <v>181</v>
      </c>
      <c r="E77" s="373">
        <v>12911</v>
      </c>
    </row>
    <row r="78" spans="1:5" x14ac:dyDescent="0.25">
      <c r="A78" s="519" t="s">
        <v>284</v>
      </c>
      <c r="B78" s="519" t="s">
        <v>37</v>
      </c>
      <c r="C78" s="519" t="s">
        <v>2089</v>
      </c>
      <c r="D78" s="519" t="s">
        <v>197</v>
      </c>
      <c r="E78" s="373">
        <v>86078</v>
      </c>
    </row>
    <row r="79" spans="1:5" x14ac:dyDescent="0.25">
      <c r="A79" s="519" t="s">
        <v>284</v>
      </c>
      <c r="B79" s="519" t="s">
        <v>37</v>
      </c>
      <c r="C79" s="519" t="s">
        <v>2089</v>
      </c>
      <c r="D79" s="519" t="s">
        <v>181</v>
      </c>
      <c r="E79" s="373">
        <v>1787</v>
      </c>
    </row>
    <row r="80" spans="1:5" x14ac:dyDescent="0.25">
      <c r="A80" s="519" t="s">
        <v>284</v>
      </c>
      <c r="B80" s="519" t="s">
        <v>37</v>
      </c>
      <c r="C80" s="519" t="s">
        <v>2090</v>
      </c>
      <c r="D80" s="519" t="s">
        <v>197</v>
      </c>
      <c r="E80" s="373">
        <v>17865</v>
      </c>
    </row>
    <row r="81" spans="1:5" x14ac:dyDescent="0.25">
      <c r="A81" s="519" t="s">
        <v>284</v>
      </c>
      <c r="B81" s="519" t="s">
        <v>37</v>
      </c>
      <c r="C81" s="519" t="s">
        <v>2090</v>
      </c>
      <c r="D81" s="519" t="s">
        <v>181</v>
      </c>
      <c r="E81" s="373">
        <v>28118</v>
      </c>
    </row>
    <row r="82" spans="1:5" x14ac:dyDescent="0.25">
      <c r="A82" s="519" t="s">
        <v>284</v>
      </c>
      <c r="B82" s="519" t="s">
        <v>37</v>
      </c>
      <c r="C82" s="519" t="s">
        <v>324</v>
      </c>
      <c r="D82" s="519" t="s">
        <v>197</v>
      </c>
      <c r="E82" s="373">
        <v>8971</v>
      </c>
    </row>
    <row r="83" spans="1:5" x14ac:dyDescent="0.25">
      <c r="A83" s="519" t="s">
        <v>284</v>
      </c>
      <c r="B83" s="519" t="s">
        <v>38</v>
      </c>
      <c r="C83" s="519" t="s">
        <v>250</v>
      </c>
      <c r="D83" s="519" t="s">
        <v>197</v>
      </c>
      <c r="E83" s="373">
        <v>8299</v>
      </c>
    </row>
    <row r="84" spans="1:5" x14ac:dyDescent="0.25">
      <c r="A84" s="519" t="s">
        <v>284</v>
      </c>
      <c r="B84" s="519" t="s">
        <v>38</v>
      </c>
      <c r="C84" s="519" t="s">
        <v>320</v>
      </c>
      <c r="D84" s="519" t="s">
        <v>197</v>
      </c>
      <c r="E84" s="373">
        <v>212757</v>
      </c>
    </row>
    <row r="85" spans="1:5" x14ac:dyDescent="0.25">
      <c r="A85" s="519" t="s">
        <v>284</v>
      </c>
      <c r="B85" s="519" t="s">
        <v>38</v>
      </c>
      <c r="C85" s="519" t="s">
        <v>320</v>
      </c>
      <c r="D85" s="519" t="s">
        <v>181</v>
      </c>
      <c r="E85" s="373">
        <v>123220</v>
      </c>
    </row>
    <row r="86" spans="1:5" x14ac:dyDescent="0.25">
      <c r="A86" s="519" t="s">
        <v>284</v>
      </c>
      <c r="B86" s="519" t="s">
        <v>38</v>
      </c>
      <c r="C86" s="519" t="s">
        <v>317</v>
      </c>
      <c r="D86" s="519" t="s">
        <v>197</v>
      </c>
      <c r="E86" s="373">
        <v>36457</v>
      </c>
    </row>
    <row r="87" spans="1:5" x14ac:dyDescent="0.25">
      <c r="A87" s="519" t="s">
        <v>284</v>
      </c>
      <c r="B87" s="519" t="s">
        <v>38</v>
      </c>
      <c r="C87" s="519" t="s">
        <v>317</v>
      </c>
      <c r="D87" s="519" t="s">
        <v>181</v>
      </c>
      <c r="E87" s="373">
        <v>9487</v>
      </c>
    </row>
    <row r="88" spans="1:5" x14ac:dyDescent="0.25">
      <c r="A88" s="519" t="s">
        <v>284</v>
      </c>
      <c r="B88" s="519" t="s">
        <v>38</v>
      </c>
      <c r="C88" s="519" t="s">
        <v>318</v>
      </c>
      <c r="D88" s="519" t="s">
        <v>197</v>
      </c>
      <c r="E88" s="373">
        <v>7798</v>
      </c>
    </row>
    <row r="89" spans="1:5" x14ac:dyDescent="0.25">
      <c r="A89" s="519" t="s">
        <v>284</v>
      </c>
      <c r="B89" s="519" t="s">
        <v>38</v>
      </c>
      <c r="C89" s="519" t="s">
        <v>318</v>
      </c>
      <c r="D89" s="519" t="s">
        <v>181</v>
      </c>
      <c r="E89" s="373">
        <v>1488</v>
      </c>
    </row>
    <row r="90" spans="1:5" x14ac:dyDescent="0.25">
      <c r="A90" s="519" t="s">
        <v>284</v>
      </c>
      <c r="B90" s="519" t="s">
        <v>38</v>
      </c>
      <c r="C90" s="519" t="s">
        <v>253</v>
      </c>
      <c r="D90" s="519" t="s">
        <v>197</v>
      </c>
      <c r="E90" s="373">
        <v>32515</v>
      </c>
    </row>
    <row r="91" spans="1:5" x14ac:dyDescent="0.25">
      <c r="A91" s="519" t="s">
        <v>284</v>
      </c>
      <c r="B91" s="519" t="s">
        <v>38</v>
      </c>
      <c r="C91" s="519" t="s">
        <v>253</v>
      </c>
      <c r="D91" s="519" t="s">
        <v>181</v>
      </c>
      <c r="E91" s="373">
        <v>8033</v>
      </c>
    </row>
    <row r="92" spans="1:5" x14ac:dyDescent="0.25">
      <c r="A92" s="519" t="s">
        <v>284</v>
      </c>
      <c r="B92" s="519" t="s">
        <v>38</v>
      </c>
      <c r="C92" s="519" t="s">
        <v>319</v>
      </c>
      <c r="D92" s="519" t="s">
        <v>197</v>
      </c>
      <c r="E92" s="373">
        <v>107418</v>
      </c>
    </row>
    <row r="93" spans="1:5" x14ac:dyDescent="0.25">
      <c r="A93" s="519" t="s">
        <v>284</v>
      </c>
      <c r="B93" s="519" t="s">
        <v>38</v>
      </c>
      <c r="C93" s="519" t="s">
        <v>319</v>
      </c>
      <c r="D93" s="519" t="s">
        <v>181</v>
      </c>
      <c r="E93" s="373">
        <v>52512</v>
      </c>
    </row>
    <row r="94" spans="1:5" x14ac:dyDescent="0.25">
      <c r="A94" s="519" t="s">
        <v>284</v>
      </c>
      <c r="B94" s="519" t="s">
        <v>38</v>
      </c>
      <c r="C94" s="519" t="s">
        <v>321</v>
      </c>
      <c r="D94" s="519" t="s">
        <v>197</v>
      </c>
      <c r="E94" s="373">
        <v>15106</v>
      </c>
    </row>
    <row r="95" spans="1:5" x14ac:dyDescent="0.25">
      <c r="A95" s="519" t="s">
        <v>284</v>
      </c>
      <c r="B95" s="519" t="s">
        <v>38</v>
      </c>
      <c r="C95" s="519" t="s">
        <v>321</v>
      </c>
      <c r="D95" s="519" t="s">
        <v>181</v>
      </c>
      <c r="E95" s="373">
        <v>13804</v>
      </c>
    </row>
    <row r="96" spans="1:5" x14ac:dyDescent="0.25">
      <c r="A96" s="519" t="s">
        <v>284</v>
      </c>
      <c r="B96" s="519" t="s">
        <v>38</v>
      </c>
      <c r="C96" s="519" t="s">
        <v>251</v>
      </c>
      <c r="D96" s="519" t="s">
        <v>197</v>
      </c>
      <c r="E96" s="373">
        <v>2973</v>
      </c>
    </row>
    <row r="97" spans="1:5" x14ac:dyDescent="0.25">
      <c r="A97" s="519" t="s">
        <v>284</v>
      </c>
      <c r="B97" s="519" t="s">
        <v>38</v>
      </c>
      <c r="C97" s="519" t="s">
        <v>325</v>
      </c>
      <c r="D97" s="519" t="s">
        <v>197</v>
      </c>
      <c r="E97" s="373">
        <v>60586</v>
      </c>
    </row>
    <row r="98" spans="1:5" x14ac:dyDescent="0.25">
      <c r="A98" s="519" t="s">
        <v>284</v>
      </c>
      <c r="B98" s="519" t="s">
        <v>38</v>
      </c>
      <c r="C98" s="519" t="s">
        <v>325</v>
      </c>
      <c r="D98" s="519" t="s">
        <v>181</v>
      </c>
      <c r="E98" s="373">
        <v>34571</v>
      </c>
    </row>
    <row r="99" spans="1:5" x14ac:dyDescent="0.25">
      <c r="A99" s="519" t="s">
        <v>284</v>
      </c>
      <c r="B99" s="519" t="s">
        <v>38</v>
      </c>
      <c r="C99" s="519" t="s">
        <v>322</v>
      </c>
      <c r="D99" s="519" t="s">
        <v>197</v>
      </c>
      <c r="E99" s="373">
        <v>54761</v>
      </c>
    </row>
    <row r="100" spans="1:5" x14ac:dyDescent="0.25">
      <c r="A100" s="519" t="s">
        <v>284</v>
      </c>
      <c r="B100" s="519" t="s">
        <v>38</v>
      </c>
      <c r="C100" s="519" t="s">
        <v>322</v>
      </c>
      <c r="D100" s="519" t="s">
        <v>181</v>
      </c>
      <c r="E100" s="373">
        <v>32801</v>
      </c>
    </row>
    <row r="101" spans="1:5" x14ac:dyDescent="0.25">
      <c r="A101" s="519" t="s">
        <v>284</v>
      </c>
      <c r="B101" s="519" t="s">
        <v>38</v>
      </c>
      <c r="C101" s="519" t="s">
        <v>323</v>
      </c>
      <c r="D101" s="519" t="s">
        <v>197</v>
      </c>
      <c r="E101" s="373">
        <v>1205</v>
      </c>
    </row>
    <row r="102" spans="1:5" x14ac:dyDescent="0.25">
      <c r="A102" s="519" t="s">
        <v>284</v>
      </c>
      <c r="B102" s="519" t="s">
        <v>38</v>
      </c>
      <c r="C102" s="519" t="s">
        <v>252</v>
      </c>
      <c r="D102" s="519" t="s">
        <v>197</v>
      </c>
      <c r="E102" s="373">
        <v>94519</v>
      </c>
    </row>
    <row r="103" spans="1:5" x14ac:dyDescent="0.25">
      <c r="A103" s="519" t="s">
        <v>284</v>
      </c>
      <c r="B103" s="519" t="s">
        <v>38</v>
      </c>
      <c r="C103" s="519" t="s">
        <v>2089</v>
      </c>
      <c r="D103" s="519" t="s">
        <v>197</v>
      </c>
      <c r="E103" s="373">
        <v>67661</v>
      </c>
    </row>
    <row r="104" spans="1:5" x14ac:dyDescent="0.25">
      <c r="A104" s="519" t="s">
        <v>284</v>
      </c>
      <c r="B104" s="519" t="s">
        <v>38</v>
      </c>
      <c r="C104" s="519" t="s">
        <v>2089</v>
      </c>
      <c r="D104" s="519" t="s">
        <v>181</v>
      </c>
      <c r="E104" s="373">
        <v>10073</v>
      </c>
    </row>
    <row r="105" spans="1:5" x14ac:dyDescent="0.25">
      <c r="A105" s="519" t="s">
        <v>284</v>
      </c>
      <c r="B105" s="519" t="s">
        <v>38</v>
      </c>
      <c r="C105" s="519" t="s">
        <v>2090</v>
      </c>
      <c r="D105" s="519" t="s">
        <v>197</v>
      </c>
      <c r="E105" s="373">
        <v>23031</v>
      </c>
    </row>
    <row r="106" spans="1:5" x14ac:dyDescent="0.25">
      <c r="A106" s="519" t="s">
        <v>284</v>
      </c>
      <c r="B106" s="519" t="s">
        <v>38</v>
      </c>
      <c r="C106" s="519" t="s">
        <v>2090</v>
      </c>
      <c r="D106" s="519" t="s">
        <v>181</v>
      </c>
      <c r="E106" s="373">
        <v>24969</v>
      </c>
    </row>
    <row r="107" spans="1:5" x14ac:dyDescent="0.25">
      <c r="A107" s="519" t="s">
        <v>284</v>
      </c>
      <c r="B107" s="519" t="s">
        <v>38</v>
      </c>
      <c r="C107" s="519" t="s">
        <v>324</v>
      </c>
      <c r="D107" s="519" t="s">
        <v>197</v>
      </c>
      <c r="E107" s="373">
        <v>14207</v>
      </c>
    </row>
    <row r="108" spans="1:5" x14ac:dyDescent="0.25">
      <c r="A108" s="519" t="s">
        <v>284</v>
      </c>
      <c r="B108" s="519" t="s">
        <v>39</v>
      </c>
      <c r="C108" s="519" t="s">
        <v>250</v>
      </c>
      <c r="D108" s="519" t="s">
        <v>197</v>
      </c>
      <c r="E108" s="373">
        <v>2509</v>
      </c>
    </row>
    <row r="109" spans="1:5" x14ac:dyDescent="0.25">
      <c r="A109" s="519" t="s">
        <v>284</v>
      </c>
      <c r="B109" s="519" t="s">
        <v>39</v>
      </c>
      <c r="C109" s="519" t="s">
        <v>320</v>
      </c>
      <c r="D109" s="519" t="s">
        <v>197</v>
      </c>
      <c r="E109" s="373">
        <v>159188</v>
      </c>
    </row>
    <row r="110" spans="1:5" x14ac:dyDescent="0.25">
      <c r="A110" s="519" t="s">
        <v>284</v>
      </c>
      <c r="B110" s="519" t="s">
        <v>39</v>
      </c>
      <c r="C110" s="519" t="s">
        <v>320</v>
      </c>
      <c r="D110" s="519" t="s">
        <v>181</v>
      </c>
      <c r="E110" s="373">
        <v>18427</v>
      </c>
    </row>
    <row r="111" spans="1:5" x14ac:dyDescent="0.25">
      <c r="A111" s="519" t="s">
        <v>284</v>
      </c>
      <c r="B111" s="519" t="s">
        <v>39</v>
      </c>
      <c r="C111" s="519" t="s">
        <v>317</v>
      </c>
      <c r="D111" s="519" t="s">
        <v>197</v>
      </c>
      <c r="E111" s="373">
        <v>4044</v>
      </c>
    </row>
    <row r="112" spans="1:5" x14ac:dyDescent="0.25">
      <c r="A112" s="519" t="s">
        <v>284</v>
      </c>
      <c r="B112" s="519" t="s">
        <v>39</v>
      </c>
      <c r="C112" s="519" t="s">
        <v>318</v>
      </c>
      <c r="D112" s="519" t="s">
        <v>197</v>
      </c>
      <c r="E112" s="373">
        <v>1006</v>
      </c>
    </row>
    <row r="113" spans="1:5" x14ac:dyDescent="0.25">
      <c r="A113" s="519" t="s">
        <v>284</v>
      </c>
      <c r="B113" s="519" t="s">
        <v>39</v>
      </c>
      <c r="C113" s="519" t="s">
        <v>253</v>
      </c>
      <c r="D113" s="519" t="s">
        <v>197</v>
      </c>
      <c r="E113" s="373">
        <v>7903</v>
      </c>
    </row>
    <row r="114" spans="1:5" x14ac:dyDescent="0.25">
      <c r="A114" s="519" t="s">
        <v>284</v>
      </c>
      <c r="B114" s="519" t="s">
        <v>39</v>
      </c>
      <c r="C114" s="519" t="s">
        <v>253</v>
      </c>
      <c r="D114" s="519" t="s">
        <v>181</v>
      </c>
      <c r="E114" s="373">
        <v>8033</v>
      </c>
    </row>
    <row r="115" spans="1:5" x14ac:dyDescent="0.25">
      <c r="A115" s="519" t="s">
        <v>284</v>
      </c>
      <c r="B115" s="519" t="s">
        <v>39</v>
      </c>
      <c r="C115" s="519" t="s">
        <v>319</v>
      </c>
      <c r="D115" s="519" t="s">
        <v>197</v>
      </c>
      <c r="E115" s="373">
        <v>34218</v>
      </c>
    </row>
    <row r="116" spans="1:5" x14ac:dyDescent="0.25">
      <c r="A116" s="519" t="s">
        <v>284</v>
      </c>
      <c r="B116" s="519" t="s">
        <v>39</v>
      </c>
      <c r="C116" s="519" t="s">
        <v>321</v>
      </c>
      <c r="D116" s="519" t="s">
        <v>197</v>
      </c>
      <c r="E116" s="373">
        <v>9496</v>
      </c>
    </row>
    <row r="117" spans="1:5" x14ac:dyDescent="0.25">
      <c r="A117" s="519" t="s">
        <v>284</v>
      </c>
      <c r="B117" s="519" t="s">
        <v>39</v>
      </c>
      <c r="C117" s="519" t="s">
        <v>251</v>
      </c>
      <c r="D117" s="519" t="s">
        <v>197</v>
      </c>
      <c r="E117" s="373">
        <v>7200</v>
      </c>
    </row>
    <row r="118" spans="1:5" x14ac:dyDescent="0.25">
      <c r="A118" s="519" t="s">
        <v>284</v>
      </c>
      <c r="B118" s="519" t="s">
        <v>39</v>
      </c>
      <c r="C118" s="519" t="s">
        <v>325</v>
      </c>
      <c r="D118" s="519" t="s">
        <v>197</v>
      </c>
      <c r="E118" s="373">
        <v>34685</v>
      </c>
    </row>
    <row r="119" spans="1:5" x14ac:dyDescent="0.25">
      <c r="A119" s="519" t="s">
        <v>284</v>
      </c>
      <c r="B119" s="519" t="s">
        <v>39</v>
      </c>
      <c r="C119" s="519" t="s">
        <v>325</v>
      </c>
      <c r="D119" s="519" t="s">
        <v>181</v>
      </c>
      <c r="E119" s="373">
        <v>1162</v>
      </c>
    </row>
    <row r="120" spans="1:5" x14ac:dyDescent="0.25">
      <c r="A120" s="519" t="s">
        <v>284</v>
      </c>
      <c r="B120" s="519" t="s">
        <v>39</v>
      </c>
      <c r="C120" s="519" t="s">
        <v>322</v>
      </c>
      <c r="D120" s="519" t="s">
        <v>197</v>
      </c>
      <c r="E120" s="373">
        <v>43237</v>
      </c>
    </row>
    <row r="121" spans="1:5" x14ac:dyDescent="0.25">
      <c r="A121" s="519" t="s">
        <v>284</v>
      </c>
      <c r="B121" s="519" t="s">
        <v>39</v>
      </c>
      <c r="C121" s="519" t="s">
        <v>322</v>
      </c>
      <c r="D121" s="519" t="s">
        <v>181</v>
      </c>
      <c r="E121" s="373">
        <v>2537</v>
      </c>
    </row>
    <row r="122" spans="1:5" x14ac:dyDescent="0.25">
      <c r="A122" s="519" t="s">
        <v>284</v>
      </c>
      <c r="B122" s="519" t="s">
        <v>39</v>
      </c>
      <c r="C122" s="519" t="s">
        <v>252</v>
      </c>
      <c r="D122" s="519" t="s">
        <v>197</v>
      </c>
      <c r="E122" s="373">
        <v>13743</v>
      </c>
    </row>
    <row r="123" spans="1:5" x14ac:dyDescent="0.25">
      <c r="A123" s="519" t="s">
        <v>284</v>
      </c>
      <c r="B123" s="519" t="s">
        <v>39</v>
      </c>
      <c r="C123" s="519" t="s">
        <v>2089</v>
      </c>
      <c r="D123" s="519" t="s">
        <v>197</v>
      </c>
      <c r="E123" s="373">
        <v>53074</v>
      </c>
    </row>
    <row r="124" spans="1:5" x14ac:dyDescent="0.25">
      <c r="A124" s="519" t="s">
        <v>284</v>
      </c>
      <c r="B124" s="519" t="s">
        <v>39</v>
      </c>
      <c r="C124" s="519" t="s">
        <v>2089</v>
      </c>
      <c r="D124" s="519" t="s">
        <v>181</v>
      </c>
      <c r="E124" s="373">
        <v>1266</v>
      </c>
    </row>
    <row r="125" spans="1:5" x14ac:dyDescent="0.25">
      <c r="A125" s="519" t="s">
        <v>284</v>
      </c>
      <c r="B125" s="519" t="s">
        <v>39</v>
      </c>
      <c r="C125" s="519" t="s">
        <v>2090</v>
      </c>
      <c r="D125" s="519" t="s">
        <v>197</v>
      </c>
      <c r="E125" s="373">
        <v>27707</v>
      </c>
    </row>
    <row r="126" spans="1:5" x14ac:dyDescent="0.25">
      <c r="A126" s="519" t="s">
        <v>284</v>
      </c>
      <c r="B126" s="519" t="s">
        <v>39</v>
      </c>
      <c r="C126" s="519" t="s">
        <v>324</v>
      </c>
      <c r="D126" s="519" t="s">
        <v>197</v>
      </c>
      <c r="E126" s="373">
        <v>12934</v>
      </c>
    </row>
    <row r="127" spans="1:5" x14ac:dyDescent="0.25">
      <c r="A127" s="519" t="s">
        <v>284</v>
      </c>
      <c r="B127" s="519" t="s">
        <v>40</v>
      </c>
      <c r="C127" s="519" t="s">
        <v>250</v>
      </c>
      <c r="D127" s="519" t="s">
        <v>197</v>
      </c>
      <c r="E127" s="373">
        <v>1217</v>
      </c>
    </row>
    <row r="128" spans="1:5" x14ac:dyDescent="0.25">
      <c r="A128" s="519" t="s">
        <v>284</v>
      </c>
      <c r="B128" s="519" t="s">
        <v>40</v>
      </c>
      <c r="C128" s="519" t="s">
        <v>320</v>
      </c>
      <c r="D128" s="519" t="s">
        <v>197</v>
      </c>
      <c r="E128" s="373">
        <v>92806</v>
      </c>
    </row>
    <row r="129" spans="1:5" x14ac:dyDescent="0.25">
      <c r="A129" s="519" t="s">
        <v>284</v>
      </c>
      <c r="B129" s="519" t="s">
        <v>40</v>
      </c>
      <c r="C129" s="519" t="s">
        <v>318</v>
      </c>
      <c r="D129" s="519" t="s">
        <v>197</v>
      </c>
      <c r="E129" s="373">
        <v>3720</v>
      </c>
    </row>
    <row r="130" spans="1:5" x14ac:dyDescent="0.25">
      <c r="A130" s="519" t="s">
        <v>284</v>
      </c>
      <c r="B130" s="519" t="s">
        <v>40</v>
      </c>
      <c r="C130" s="519" t="s">
        <v>253</v>
      </c>
      <c r="D130" s="519" t="s">
        <v>197</v>
      </c>
      <c r="E130" s="373">
        <v>964</v>
      </c>
    </row>
    <row r="131" spans="1:5" x14ac:dyDescent="0.25">
      <c r="A131" s="519" t="s">
        <v>284</v>
      </c>
      <c r="B131" s="519" t="s">
        <v>40</v>
      </c>
      <c r="C131" s="519" t="s">
        <v>319</v>
      </c>
      <c r="D131" s="519" t="s">
        <v>197</v>
      </c>
      <c r="E131" s="373">
        <v>14953</v>
      </c>
    </row>
    <row r="132" spans="1:5" x14ac:dyDescent="0.25">
      <c r="A132" s="519" t="s">
        <v>284</v>
      </c>
      <c r="B132" s="519" t="s">
        <v>40</v>
      </c>
      <c r="C132" s="519" t="s">
        <v>321</v>
      </c>
      <c r="D132" s="519" t="s">
        <v>197</v>
      </c>
      <c r="E132" s="373">
        <v>9947</v>
      </c>
    </row>
    <row r="133" spans="1:5" x14ac:dyDescent="0.25">
      <c r="A133" s="519" t="s">
        <v>284</v>
      </c>
      <c r="B133" s="519" t="s">
        <v>40</v>
      </c>
      <c r="C133" s="519" t="s">
        <v>251</v>
      </c>
      <c r="D133" s="519" t="s">
        <v>197</v>
      </c>
      <c r="E133" s="373">
        <v>2549</v>
      </c>
    </row>
    <row r="134" spans="1:5" x14ac:dyDescent="0.25">
      <c r="A134" s="519" t="s">
        <v>284</v>
      </c>
      <c r="B134" s="519" t="s">
        <v>40</v>
      </c>
      <c r="C134" s="519" t="s">
        <v>325</v>
      </c>
      <c r="D134" s="519" t="s">
        <v>197</v>
      </c>
      <c r="E134" s="373">
        <v>22616</v>
      </c>
    </row>
    <row r="135" spans="1:5" x14ac:dyDescent="0.25">
      <c r="A135" s="519" t="s">
        <v>284</v>
      </c>
      <c r="B135" s="519" t="s">
        <v>40</v>
      </c>
      <c r="C135" s="519" t="s">
        <v>325</v>
      </c>
      <c r="D135" s="519" t="s">
        <v>181</v>
      </c>
      <c r="E135" s="373">
        <v>6070</v>
      </c>
    </row>
    <row r="136" spans="1:5" x14ac:dyDescent="0.25">
      <c r="A136" s="519" t="s">
        <v>284</v>
      </c>
      <c r="B136" s="519" t="s">
        <v>40</v>
      </c>
      <c r="C136" s="519" t="s">
        <v>322</v>
      </c>
      <c r="D136" s="519" t="s">
        <v>197</v>
      </c>
      <c r="E136" s="373">
        <v>17320</v>
      </c>
    </row>
    <row r="137" spans="1:5" x14ac:dyDescent="0.25">
      <c r="A137" s="519" t="s">
        <v>284</v>
      </c>
      <c r="B137" s="519" t="s">
        <v>40</v>
      </c>
      <c r="C137" s="519" t="s">
        <v>252</v>
      </c>
      <c r="D137" s="519" t="s">
        <v>197</v>
      </c>
      <c r="E137" s="373">
        <v>2231</v>
      </c>
    </row>
    <row r="138" spans="1:5" x14ac:dyDescent="0.25">
      <c r="A138" s="519" t="s">
        <v>284</v>
      </c>
      <c r="B138" s="519" t="s">
        <v>40</v>
      </c>
      <c r="C138" s="519" t="s">
        <v>2089</v>
      </c>
      <c r="D138" s="519" t="s">
        <v>197</v>
      </c>
      <c r="E138" s="373">
        <v>44156</v>
      </c>
    </row>
    <row r="139" spans="1:5" x14ac:dyDescent="0.25">
      <c r="A139" s="519" t="s">
        <v>284</v>
      </c>
      <c r="B139" s="519" t="s">
        <v>40</v>
      </c>
      <c r="C139" s="519" t="s">
        <v>2090</v>
      </c>
      <c r="D139" s="519" t="s">
        <v>197</v>
      </c>
      <c r="E139" s="373">
        <v>10808</v>
      </c>
    </row>
    <row r="140" spans="1:5" x14ac:dyDescent="0.25">
      <c r="A140" s="519" t="s">
        <v>284</v>
      </c>
      <c r="B140" s="519" t="s">
        <v>40</v>
      </c>
      <c r="C140" s="519" t="s">
        <v>324</v>
      </c>
      <c r="D140" s="519" t="s">
        <v>197</v>
      </c>
      <c r="E140" s="373">
        <v>3294</v>
      </c>
    </row>
    <row r="141" spans="1:5" x14ac:dyDescent="0.25">
      <c r="A141" s="519" t="s">
        <v>284</v>
      </c>
      <c r="B141" s="519" t="s">
        <v>41</v>
      </c>
      <c r="C141" s="519" t="s">
        <v>320</v>
      </c>
      <c r="D141" s="519" t="s">
        <v>197</v>
      </c>
      <c r="E141" s="373">
        <v>14965</v>
      </c>
    </row>
    <row r="142" spans="1:5" x14ac:dyDescent="0.25">
      <c r="A142" s="519" t="s">
        <v>284</v>
      </c>
      <c r="B142" s="519" t="s">
        <v>41</v>
      </c>
      <c r="C142" s="519" t="s">
        <v>318</v>
      </c>
      <c r="D142" s="519" t="s">
        <v>197</v>
      </c>
      <c r="E142" s="373">
        <v>1434</v>
      </c>
    </row>
    <row r="143" spans="1:5" x14ac:dyDescent="0.25">
      <c r="A143" s="519" t="s">
        <v>284</v>
      </c>
      <c r="B143" s="519" t="s">
        <v>41</v>
      </c>
      <c r="C143" s="519" t="s">
        <v>253</v>
      </c>
      <c r="D143" s="519" t="s">
        <v>197</v>
      </c>
      <c r="E143" s="373">
        <v>29309</v>
      </c>
    </row>
    <row r="144" spans="1:5" x14ac:dyDescent="0.25">
      <c r="A144" s="519" t="s">
        <v>284</v>
      </c>
      <c r="B144" s="519" t="s">
        <v>41</v>
      </c>
      <c r="C144" s="519" t="s">
        <v>319</v>
      </c>
      <c r="D144" s="519" t="s">
        <v>197</v>
      </c>
      <c r="E144" s="373">
        <v>1793</v>
      </c>
    </row>
    <row r="145" spans="1:5" x14ac:dyDescent="0.25">
      <c r="A145" s="519" t="s">
        <v>284</v>
      </c>
      <c r="B145" s="519" t="s">
        <v>41</v>
      </c>
      <c r="C145" s="519" t="s">
        <v>319</v>
      </c>
      <c r="D145" s="519" t="s">
        <v>181</v>
      </c>
      <c r="E145" s="373">
        <v>13571</v>
      </c>
    </row>
    <row r="146" spans="1:5" x14ac:dyDescent="0.25">
      <c r="A146" s="519" t="s">
        <v>284</v>
      </c>
      <c r="B146" s="519" t="s">
        <v>41</v>
      </c>
      <c r="C146" s="519" t="s">
        <v>322</v>
      </c>
      <c r="D146" s="519" t="s">
        <v>197</v>
      </c>
      <c r="E146" s="373">
        <v>1912</v>
      </c>
    </row>
    <row r="147" spans="1:5" x14ac:dyDescent="0.25">
      <c r="A147" s="519" t="s">
        <v>284</v>
      </c>
      <c r="B147" s="519" t="s">
        <v>41</v>
      </c>
      <c r="C147" s="519" t="s">
        <v>2089</v>
      </c>
      <c r="D147" s="519" t="s">
        <v>197</v>
      </c>
      <c r="E147" s="373">
        <v>20874</v>
      </c>
    </row>
    <row r="148" spans="1:5" x14ac:dyDescent="0.25">
      <c r="A148" s="519" t="s">
        <v>284</v>
      </c>
      <c r="B148" s="519" t="s">
        <v>41</v>
      </c>
      <c r="C148" s="519" t="s">
        <v>2090</v>
      </c>
      <c r="D148" s="519" t="s">
        <v>197</v>
      </c>
      <c r="E148" s="373">
        <v>3453</v>
      </c>
    </row>
    <row r="149" spans="1:5" x14ac:dyDescent="0.25">
      <c r="A149" s="519" t="s">
        <v>284</v>
      </c>
      <c r="B149" s="519" t="s">
        <v>41</v>
      </c>
      <c r="C149" s="519" t="s">
        <v>324</v>
      </c>
      <c r="D149" s="519" t="s">
        <v>197</v>
      </c>
      <c r="E149" s="373">
        <v>5563</v>
      </c>
    </row>
    <row r="150" spans="1:5" x14ac:dyDescent="0.25">
      <c r="A150" s="519" t="s">
        <v>284</v>
      </c>
      <c r="B150" s="519" t="s">
        <v>42</v>
      </c>
      <c r="C150" s="519" t="s">
        <v>320</v>
      </c>
      <c r="D150" s="519" t="s">
        <v>197</v>
      </c>
      <c r="E150" s="373">
        <v>3391</v>
      </c>
    </row>
    <row r="151" spans="1:5" x14ac:dyDescent="0.25">
      <c r="A151" s="519" t="s">
        <v>284</v>
      </c>
      <c r="B151" s="519" t="s">
        <v>42</v>
      </c>
      <c r="C151" s="519" t="s">
        <v>253</v>
      </c>
      <c r="D151" s="519" t="s">
        <v>197</v>
      </c>
      <c r="E151" s="373">
        <v>4635</v>
      </c>
    </row>
    <row r="152" spans="1:5" x14ac:dyDescent="0.25">
      <c r="A152" s="519" t="s">
        <v>284</v>
      </c>
      <c r="B152" s="519" t="s">
        <v>42</v>
      </c>
      <c r="C152" s="519" t="s">
        <v>324</v>
      </c>
      <c r="D152" s="519" t="s">
        <v>197</v>
      </c>
      <c r="E152" s="373">
        <v>1579</v>
      </c>
    </row>
    <row r="153" spans="1:5" x14ac:dyDescent="0.25">
      <c r="A153" s="519" t="s">
        <v>284</v>
      </c>
      <c r="B153" s="519" t="s">
        <v>43</v>
      </c>
      <c r="C153" s="519" t="s">
        <v>253</v>
      </c>
      <c r="D153" s="519" t="s">
        <v>197</v>
      </c>
      <c r="E153" s="373">
        <v>283683</v>
      </c>
    </row>
    <row r="154" spans="1:5" x14ac:dyDescent="0.25">
      <c r="A154" s="519" t="s">
        <v>284</v>
      </c>
      <c r="B154" s="519" t="s">
        <v>43</v>
      </c>
      <c r="C154" s="519" t="s">
        <v>319</v>
      </c>
      <c r="D154" s="519" t="s">
        <v>181</v>
      </c>
      <c r="E154" s="373">
        <v>1488</v>
      </c>
    </row>
    <row r="155" spans="1:5" x14ac:dyDescent="0.25">
      <c r="A155" s="519" t="s">
        <v>284</v>
      </c>
      <c r="B155" s="519" t="s">
        <v>44</v>
      </c>
      <c r="C155" s="519" t="s">
        <v>253</v>
      </c>
      <c r="D155" s="519" t="s">
        <v>197</v>
      </c>
      <c r="E155" s="373">
        <v>114241</v>
      </c>
    </row>
    <row r="156" spans="1:5" x14ac:dyDescent="0.25">
      <c r="A156" s="519" t="s">
        <v>284</v>
      </c>
      <c r="B156" s="519" t="s">
        <v>45</v>
      </c>
      <c r="C156" s="519" t="s">
        <v>253</v>
      </c>
      <c r="D156" s="519" t="s">
        <v>197</v>
      </c>
      <c r="E156" s="373">
        <v>2678</v>
      </c>
    </row>
    <row r="157" spans="1:5" x14ac:dyDescent="0.25">
      <c r="A157" s="519" t="s">
        <v>284</v>
      </c>
      <c r="B157" s="519" t="s">
        <v>248</v>
      </c>
      <c r="C157" s="519" t="s">
        <v>250</v>
      </c>
      <c r="D157" s="519" t="s">
        <v>181</v>
      </c>
      <c r="E157" s="373">
        <v>2324</v>
      </c>
    </row>
    <row r="158" spans="1:5" x14ac:dyDescent="0.25">
      <c r="A158" s="519" t="s">
        <v>284</v>
      </c>
      <c r="B158" s="519" t="s">
        <v>248</v>
      </c>
      <c r="C158" s="519" t="s">
        <v>320</v>
      </c>
      <c r="D158" s="519" t="s">
        <v>181</v>
      </c>
      <c r="E158" s="373">
        <v>18467</v>
      </c>
    </row>
    <row r="159" spans="1:5" x14ac:dyDescent="0.25">
      <c r="A159" s="519" t="s">
        <v>284</v>
      </c>
      <c r="B159" s="519" t="s">
        <v>248</v>
      </c>
      <c r="C159" s="519" t="s">
        <v>317</v>
      </c>
      <c r="D159" s="519" t="s">
        <v>181</v>
      </c>
      <c r="E159" s="373">
        <v>49913</v>
      </c>
    </row>
    <row r="160" spans="1:5" x14ac:dyDescent="0.25">
      <c r="A160" s="519" t="s">
        <v>284</v>
      </c>
      <c r="B160" s="519" t="s">
        <v>248</v>
      </c>
      <c r="C160" s="519" t="s">
        <v>318</v>
      </c>
      <c r="D160" s="519" t="s">
        <v>197</v>
      </c>
      <c r="E160" s="373">
        <v>2538</v>
      </c>
    </row>
    <row r="161" spans="1:5" x14ac:dyDescent="0.25">
      <c r="A161" s="519" t="s">
        <v>284</v>
      </c>
      <c r="B161" s="519" t="s">
        <v>248</v>
      </c>
      <c r="C161" s="519" t="s">
        <v>318</v>
      </c>
      <c r="D161" s="519" t="s">
        <v>181</v>
      </c>
      <c r="E161" s="373">
        <v>12014</v>
      </c>
    </row>
    <row r="162" spans="1:5" x14ac:dyDescent="0.25">
      <c r="A162" s="519" t="s">
        <v>284</v>
      </c>
      <c r="B162" s="519" t="s">
        <v>248</v>
      </c>
      <c r="C162" s="519" t="s">
        <v>253</v>
      </c>
      <c r="D162" s="519" t="s">
        <v>197</v>
      </c>
      <c r="E162" s="373">
        <v>268</v>
      </c>
    </row>
    <row r="163" spans="1:5" x14ac:dyDescent="0.25">
      <c r="A163" s="519" t="s">
        <v>284</v>
      </c>
      <c r="B163" s="519" t="s">
        <v>248</v>
      </c>
      <c r="C163" s="519" t="s">
        <v>253</v>
      </c>
      <c r="D163" s="519" t="s">
        <v>181</v>
      </c>
      <c r="E163" s="373">
        <v>22258</v>
      </c>
    </row>
    <row r="164" spans="1:5" x14ac:dyDescent="0.25">
      <c r="A164" s="519" t="s">
        <v>284</v>
      </c>
      <c r="B164" s="519" t="s">
        <v>248</v>
      </c>
      <c r="C164" s="519" t="s">
        <v>319</v>
      </c>
      <c r="D164" s="519" t="s">
        <v>181</v>
      </c>
      <c r="E164" s="373">
        <v>18612</v>
      </c>
    </row>
    <row r="165" spans="1:5" x14ac:dyDescent="0.25">
      <c r="A165" s="519" t="s">
        <v>284</v>
      </c>
      <c r="B165" s="519" t="s">
        <v>248</v>
      </c>
      <c r="C165" s="519" t="s">
        <v>321</v>
      </c>
      <c r="D165" s="519" t="s">
        <v>181</v>
      </c>
      <c r="E165" s="373">
        <v>1059</v>
      </c>
    </row>
    <row r="166" spans="1:5" x14ac:dyDescent="0.25">
      <c r="A166" s="519" t="s">
        <v>284</v>
      </c>
      <c r="B166" s="519" t="s">
        <v>248</v>
      </c>
      <c r="C166" s="519" t="s">
        <v>322</v>
      </c>
      <c r="D166" s="519" t="s">
        <v>181</v>
      </c>
      <c r="E166" s="373">
        <v>4762</v>
      </c>
    </row>
    <row r="167" spans="1:5" x14ac:dyDescent="0.25">
      <c r="A167" s="519" t="s">
        <v>284</v>
      </c>
      <c r="B167" s="519" t="s">
        <v>248</v>
      </c>
      <c r="C167" s="519" t="s">
        <v>252</v>
      </c>
      <c r="D167" s="519" t="s">
        <v>181</v>
      </c>
      <c r="E167" s="373">
        <v>4093</v>
      </c>
    </row>
    <row r="168" spans="1:5" x14ac:dyDescent="0.25">
      <c r="A168" s="519" t="s">
        <v>284</v>
      </c>
      <c r="B168" s="519" t="s">
        <v>248</v>
      </c>
      <c r="C168" s="519" t="s">
        <v>2089</v>
      </c>
      <c r="D168" s="519" t="s">
        <v>197</v>
      </c>
      <c r="E168" s="373">
        <v>261</v>
      </c>
    </row>
    <row r="169" spans="1:5" x14ac:dyDescent="0.25">
      <c r="A169" s="519" t="s">
        <v>284</v>
      </c>
      <c r="B169" s="519" t="s">
        <v>248</v>
      </c>
      <c r="C169" s="519" t="s">
        <v>2089</v>
      </c>
      <c r="D169" s="519" t="s">
        <v>181</v>
      </c>
      <c r="E169" s="373">
        <v>1934</v>
      </c>
    </row>
    <row r="170" spans="1:5" x14ac:dyDescent="0.25">
      <c r="A170" s="519" t="s">
        <v>284</v>
      </c>
      <c r="B170" s="519" t="s">
        <v>248</v>
      </c>
      <c r="C170" s="519" t="s">
        <v>2090</v>
      </c>
      <c r="D170" s="519" t="s">
        <v>197</v>
      </c>
      <c r="E170" s="373">
        <v>1204</v>
      </c>
    </row>
    <row r="171" spans="1:5" x14ac:dyDescent="0.25">
      <c r="A171" s="519" t="s">
        <v>284</v>
      </c>
      <c r="B171" s="519" t="s">
        <v>248</v>
      </c>
      <c r="C171" s="519" t="s">
        <v>2090</v>
      </c>
      <c r="D171" s="519" t="s">
        <v>181</v>
      </c>
      <c r="E171" s="373">
        <v>6418</v>
      </c>
    </row>
  </sheetData>
  <sheetProtection pivotTables="0"/>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4F824-ADC0-4525-8962-68D685F6A29C}">
  <sheetPr codeName="Sheet1"/>
  <dimension ref="E3:E30"/>
  <sheetViews>
    <sheetView workbookViewId="0">
      <selection activeCell="A2" sqref="A2"/>
    </sheetView>
  </sheetViews>
  <sheetFormatPr defaultRowHeight="15" x14ac:dyDescent="0.25"/>
  <cols>
    <col min="5" max="5" width="71.140625" customWidth="1"/>
  </cols>
  <sheetData>
    <row r="3" spans="5:5" x14ac:dyDescent="0.25">
      <c r="E3" s="954" t="s">
        <v>1691</v>
      </c>
    </row>
    <row r="4" spans="5:5" x14ac:dyDescent="0.25">
      <c r="E4" s="954"/>
    </row>
    <row r="5" spans="5:5" x14ac:dyDescent="0.25">
      <c r="E5" s="954"/>
    </row>
    <row r="7" spans="5:5" x14ac:dyDescent="0.25">
      <c r="E7" s="955"/>
    </row>
    <row r="8" spans="5:5" x14ac:dyDescent="0.25">
      <c r="E8" s="955"/>
    </row>
    <row r="9" spans="5:5" x14ac:dyDescent="0.25">
      <c r="E9" s="955"/>
    </row>
    <row r="11" spans="5:5" x14ac:dyDescent="0.25">
      <c r="E11" s="954" t="s">
        <v>1743</v>
      </c>
    </row>
    <row r="12" spans="5:5" x14ac:dyDescent="0.25">
      <c r="E12" s="956"/>
    </row>
    <row r="13" spans="5:5" x14ac:dyDescent="0.25">
      <c r="E13" s="956"/>
    </row>
    <row r="15" spans="5:5" x14ac:dyDescent="0.25">
      <c r="E15" s="956" t="s">
        <v>1692</v>
      </c>
    </row>
    <row r="16" spans="5:5" x14ac:dyDescent="0.25">
      <c r="E16" s="956"/>
    </row>
    <row r="17" spans="5:5" x14ac:dyDescent="0.25">
      <c r="E17" s="956"/>
    </row>
    <row r="19" spans="5:5" x14ac:dyDescent="0.25">
      <c r="E19" s="955"/>
    </row>
    <row r="20" spans="5:5" x14ac:dyDescent="0.25">
      <c r="E20" s="955"/>
    </row>
    <row r="21" spans="5:5" x14ac:dyDescent="0.25">
      <c r="E21" s="955"/>
    </row>
    <row r="24" spans="5:5" x14ac:dyDescent="0.25">
      <c r="E24" s="373" t="s">
        <v>1744</v>
      </c>
    </row>
    <row r="28" spans="5:5" x14ac:dyDescent="0.25">
      <c r="E28" s="952" t="s">
        <v>1785</v>
      </c>
    </row>
    <row r="29" spans="5:5" x14ac:dyDescent="0.25">
      <c r="E29" s="953"/>
    </row>
    <row r="30" spans="5:5" x14ac:dyDescent="0.25">
      <c r="E30" s="953"/>
    </row>
  </sheetData>
  <sheetProtection pivotTables="0"/>
  <mergeCells count="6">
    <mergeCell ref="E28:E30"/>
    <mergeCell ref="E3:E5"/>
    <mergeCell ref="E7:E9"/>
    <mergeCell ref="E11:E13"/>
    <mergeCell ref="E15:E17"/>
    <mergeCell ref="E19:E2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prepare">
                <anchor moveWithCells="1" sizeWithCells="1">
                  <from>
                    <xdr:col>1</xdr:col>
                    <xdr:colOff>0</xdr:colOff>
                    <xdr:row>2</xdr:row>
                    <xdr:rowOff>0</xdr:rowOff>
                  </from>
                  <to>
                    <xdr:col>4</xdr:col>
                    <xdr:colOff>0</xdr:colOff>
                    <xdr:row>5</xdr:row>
                    <xdr:rowOff>0</xdr:rowOff>
                  </to>
                </anchor>
              </controlPr>
            </control>
          </mc:Choice>
        </mc:AlternateContent>
        <mc:AlternateContent xmlns:mc="http://schemas.openxmlformats.org/markup-compatibility/2006">
          <mc:Choice Requires="x14">
            <control shapeId="19458" r:id="rId5" name="Button 2">
              <controlPr defaultSize="0" print="0" autoFill="0" autoPict="0" macro="[0]!UnprotectSheets">
                <anchor moveWithCells="1" sizeWithCells="1">
                  <from>
                    <xdr:col>1</xdr:col>
                    <xdr:colOff>0</xdr:colOff>
                    <xdr:row>6</xdr:row>
                    <xdr:rowOff>0</xdr:rowOff>
                  </from>
                  <to>
                    <xdr:col>4</xdr:col>
                    <xdr:colOff>0</xdr:colOff>
                    <xdr:row>9</xdr:row>
                    <xdr:rowOff>0</xdr:rowOff>
                  </to>
                </anchor>
              </controlPr>
            </control>
          </mc:Choice>
        </mc:AlternateContent>
        <mc:AlternateContent xmlns:mc="http://schemas.openxmlformats.org/markup-compatibility/2006">
          <mc:Choice Requires="x14">
            <control shapeId="19461" r:id="rId6" name="Button 5">
              <controlPr defaultSize="0" print="0" autoFill="0" autoPict="0" macro="[0]!save_lastFC">
                <anchor moveWithCells="1" sizeWithCells="1">
                  <from>
                    <xdr:col>1</xdr:col>
                    <xdr:colOff>0</xdr:colOff>
                    <xdr:row>10</xdr:row>
                    <xdr:rowOff>0</xdr:rowOff>
                  </from>
                  <to>
                    <xdr:col>4</xdr:col>
                    <xdr:colOff>0</xdr:colOff>
                    <xdr:row>13</xdr:row>
                    <xdr:rowOff>0</xdr:rowOff>
                  </to>
                </anchor>
              </controlPr>
            </control>
          </mc:Choice>
        </mc:AlternateContent>
        <mc:AlternateContent xmlns:mc="http://schemas.openxmlformats.org/markup-compatibility/2006">
          <mc:Choice Requires="x14">
            <control shapeId="19462" r:id="rId7" name="Button 6">
              <controlPr defaultSize="0" print="0" autoFill="0" autoPict="0" macro="[0]!PrepareBrand.PrepareBrand">
                <anchor moveWithCells="1" sizeWithCells="1">
                  <from>
                    <xdr:col>1</xdr:col>
                    <xdr:colOff>0</xdr:colOff>
                    <xdr:row>18</xdr:row>
                    <xdr:rowOff>0</xdr:rowOff>
                  </from>
                  <to>
                    <xdr:col>4</xdr:col>
                    <xdr:colOff>0</xdr:colOff>
                    <xdr:row>21</xdr:row>
                    <xdr:rowOff>0</xdr:rowOff>
                  </to>
                </anchor>
              </controlPr>
            </control>
          </mc:Choice>
        </mc:AlternateContent>
        <mc:AlternateContent xmlns:mc="http://schemas.openxmlformats.org/markup-compatibility/2006">
          <mc:Choice Requires="x14">
            <control shapeId="19463" r:id="rId8" name="Button 7">
              <controlPr defaultSize="0" print="0" autoFill="0" autoPict="0" macro="[0]!save_to_allbrand">
                <anchor moveWithCells="1" sizeWithCells="1">
                  <from>
                    <xdr:col>1</xdr:col>
                    <xdr:colOff>0</xdr:colOff>
                    <xdr:row>14</xdr:row>
                    <xdr:rowOff>0</xdr:rowOff>
                  </from>
                  <to>
                    <xdr:col>4</xdr:col>
                    <xdr:colOff>0</xdr:colOff>
                    <xdr:row>17</xdr:row>
                    <xdr:rowOff>0</xdr:rowOff>
                  </to>
                </anchor>
              </controlPr>
            </control>
          </mc:Choice>
        </mc:AlternateContent>
        <mc:AlternateContent xmlns:mc="http://schemas.openxmlformats.org/markup-compatibility/2006">
          <mc:Choice Requires="x14">
            <control shapeId="19464" r:id="rId9" name="Button 8">
              <controlPr defaultSize="0" print="0" autoFill="0" autoPict="0" macro="[0]!save_local_LFC">
                <anchor moveWithCells="1" sizeWithCells="1">
                  <from>
                    <xdr:col>1</xdr:col>
                    <xdr:colOff>0</xdr:colOff>
                    <xdr:row>23</xdr:row>
                    <xdr:rowOff>0</xdr:rowOff>
                  </from>
                  <to>
                    <xdr:col>4</xdr:col>
                    <xdr:colOff>0</xdr:colOff>
                    <xdr:row>26</xdr:row>
                    <xdr:rowOff>0</xdr:rowOff>
                  </to>
                </anchor>
              </controlPr>
            </control>
          </mc:Choice>
        </mc:AlternateContent>
        <mc:AlternateContent xmlns:mc="http://schemas.openxmlformats.org/markup-compatibility/2006">
          <mc:Choice Requires="x14">
            <control shapeId="19465" r:id="rId10" name="Button 9">
              <controlPr defaultSize="0" print="0" autoFill="0" autoPict="0" macro="[0]!save_yyyy_mm">
                <anchor moveWithCells="1" sizeWithCells="1">
                  <from>
                    <xdr:col>1</xdr:col>
                    <xdr:colOff>0</xdr:colOff>
                    <xdr:row>27</xdr:row>
                    <xdr:rowOff>0</xdr:rowOff>
                  </from>
                  <to>
                    <xdr:col>4</xdr:col>
                    <xdr:colOff>0</xdr:colOff>
                    <xdr:row>30</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Q22"/>
  <sheetViews>
    <sheetView workbookViewId="0">
      <selection activeCell="A2" sqref="A2"/>
    </sheetView>
  </sheetViews>
  <sheetFormatPr defaultColWidth="10.7109375" defaultRowHeight="15" x14ac:dyDescent="0.25"/>
  <cols>
    <col min="1" max="1" width="18.85546875" bestFit="1" customWidth="1"/>
    <col min="2" max="2" width="16.5703125" bestFit="1" customWidth="1"/>
    <col min="3" max="3" width="20.42578125" style="373" customWidth="1"/>
    <col min="5" max="5" width="16" bestFit="1" customWidth="1"/>
    <col min="6" max="6" width="13.7109375" bestFit="1" customWidth="1"/>
    <col min="12" max="12" width="16.5703125" bestFit="1" customWidth="1"/>
    <col min="13" max="13" width="14.42578125" bestFit="1" customWidth="1"/>
    <col min="16" max="16" width="13.7109375" bestFit="1" customWidth="1"/>
    <col min="17" max="17" width="13.85546875" bestFit="1" customWidth="1"/>
  </cols>
  <sheetData>
    <row r="1" spans="1:17" x14ac:dyDescent="0.25">
      <c r="A1" s="376" t="s">
        <v>163</v>
      </c>
      <c r="B1" s="373" t="s">
        <v>284</v>
      </c>
      <c r="E1" s="376" t="s">
        <v>163</v>
      </c>
      <c r="F1" s="373" t="s">
        <v>284</v>
      </c>
      <c r="L1" s="376" t="s">
        <v>1723</v>
      </c>
      <c r="M1" s="373" t="s">
        <v>3</v>
      </c>
      <c r="P1" s="376" t="s">
        <v>1722</v>
      </c>
      <c r="Q1" s="373" t="s">
        <v>111</v>
      </c>
    </row>
    <row r="3" spans="1:17" x14ac:dyDescent="0.25">
      <c r="A3" s="376" t="s">
        <v>1723</v>
      </c>
      <c r="B3" s="373" t="str">
        <f t="shared" ref="B3" si="0">A3</f>
        <v>product_category</v>
      </c>
      <c r="E3" s="376" t="s">
        <v>1722</v>
      </c>
      <c r="F3" s="373" t="str">
        <f>IF(E3&lt;&gt;"",E3,"")</f>
        <v>business_area</v>
      </c>
      <c r="G3" s="4"/>
      <c r="H3" s="218"/>
      <c r="I3" s="4"/>
      <c r="J3" s="4"/>
      <c r="K3" s="4"/>
    </row>
    <row r="4" spans="1:17" x14ac:dyDescent="0.25">
      <c r="A4" s="373" t="s">
        <v>2</v>
      </c>
      <c r="B4" s="373" t="str">
        <f>IF(A4&lt;&gt;"",A4,"")</f>
        <v>ACCESSORIES</v>
      </c>
      <c r="C4" s="373" t="str">
        <f>IF(AND(B3&lt;&gt;"",B4=""),"TOTAL",B4)</f>
        <v>ACCESSORIES</v>
      </c>
      <c r="D4" t="str">
        <f>IF(C4="TOTAL","*",C4)</f>
        <v>ACCESSORIES</v>
      </c>
      <c r="E4" s="373" t="s">
        <v>111</v>
      </c>
      <c r="F4" s="373" t="str">
        <f t="shared" ref="F4:F14" si="1">IF(E4&lt;&gt;"",E4,"")</f>
        <v>BRAND.com</v>
      </c>
      <c r="H4" t="s">
        <v>181</v>
      </c>
    </row>
    <row r="5" spans="1:17" x14ac:dyDescent="0.25">
      <c r="A5" s="373" t="s">
        <v>285</v>
      </c>
      <c r="B5" s="373" t="str">
        <f t="shared" ref="B5:B22" si="2">IF(A5&lt;&gt;"",A5,"")</f>
        <v>DRESSES</v>
      </c>
      <c r="C5" s="373" t="str">
        <f t="shared" ref="C5:C22" si="3">IF(AND(B4&lt;&gt;"",B5=""),"TOTAL",B5)</f>
        <v>DRESSES</v>
      </c>
      <c r="D5" s="373" t="str">
        <f t="shared" ref="D5:D22" si="4">IF(C5="TOTAL","*",C5)</f>
        <v>DRESSES</v>
      </c>
      <c r="E5" s="373" t="s">
        <v>110</v>
      </c>
      <c r="F5" s="373" t="str">
        <f t="shared" si="1"/>
        <v>BS.com</v>
      </c>
      <c r="H5" t="s">
        <v>197</v>
      </c>
    </row>
    <row r="6" spans="1:17" x14ac:dyDescent="0.25">
      <c r="A6" s="373" t="s">
        <v>280</v>
      </c>
      <c r="B6" s="373" t="str">
        <f t="shared" si="2"/>
        <v>JEANS</v>
      </c>
      <c r="C6" s="373" t="str">
        <f t="shared" si="3"/>
        <v>JEANS</v>
      </c>
      <c r="D6" s="373" t="str">
        <f t="shared" si="4"/>
        <v>JEANS</v>
      </c>
      <c r="E6" s="373" t="s">
        <v>109</v>
      </c>
      <c r="F6" s="373" t="str">
        <f t="shared" si="1"/>
        <v>PARTNER.com</v>
      </c>
      <c r="H6" t="s">
        <v>80</v>
      </c>
    </row>
    <row r="7" spans="1:17" x14ac:dyDescent="0.25">
      <c r="A7" s="373" t="s">
        <v>289</v>
      </c>
      <c r="B7" s="373" t="str">
        <f t="shared" si="2"/>
        <v>KNIT</v>
      </c>
      <c r="C7" s="373" t="str">
        <f t="shared" si="3"/>
        <v>KNIT</v>
      </c>
      <c r="D7" s="373" t="str">
        <f t="shared" si="4"/>
        <v>KNIT</v>
      </c>
      <c r="F7" s="373" t="s">
        <v>382</v>
      </c>
    </row>
    <row r="8" spans="1:17" x14ac:dyDescent="0.25">
      <c r="A8" s="373" t="s">
        <v>3</v>
      </c>
      <c r="B8" s="373" t="str">
        <f t="shared" si="2"/>
        <v>OUTERWEAR</v>
      </c>
      <c r="C8" s="373" t="str">
        <f t="shared" si="3"/>
        <v>OUTERWEAR</v>
      </c>
      <c r="D8" s="373" t="str">
        <f t="shared" si="4"/>
        <v>OUTERWEAR</v>
      </c>
      <c r="F8" s="373" t="str">
        <f t="shared" si="1"/>
        <v/>
      </c>
    </row>
    <row r="9" spans="1:17" x14ac:dyDescent="0.25">
      <c r="A9" s="373" t="s">
        <v>286</v>
      </c>
      <c r="B9" s="373" t="str">
        <f t="shared" si="2"/>
        <v>PANTS</v>
      </c>
      <c r="C9" s="373" t="str">
        <f t="shared" si="3"/>
        <v>PANTS</v>
      </c>
      <c r="D9" s="373" t="str">
        <f t="shared" si="4"/>
        <v>PANTS</v>
      </c>
      <c r="F9" s="373" t="str">
        <f t="shared" si="1"/>
        <v/>
      </c>
    </row>
    <row r="10" spans="1:17" x14ac:dyDescent="0.25">
      <c r="A10" s="373" t="s">
        <v>287</v>
      </c>
      <c r="B10" s="373" t="str">
        <f t="shared" si="2"/>
        <v>SHIRTS</v>
      </c>
      <c r="C10" s="373" t="str">
        <f t="shared" si="3"/>
        <v>SHIRTS</v>
      </c>
      <c r="D10" s="373" t="str">
        <f t="shared" si="4"/>
        <v>SHIRTS</v>
      </c>
      <c r="F10" s="373" t="str">
        <f t="shared" si="1"/>
        <v/>
      </c>
    </row>
    <row r="11" spans="1:17" x14ac:dyDescent="0.25">
      <c r="A11" s="373" t="s">
        <v>4</v>
      </c>
      <c r="B11" s="373" t="str">
        <f t="shared" si="2"/>
        <v>SHOES</v>
      </c>
      <c r="C11" s="373" t="str">
        <f t="shared" si="3"/>
        <v>SHOES</v>
      </c>
      <c r="D11" s="373" t="str">
        <f t="shared" si="4"/>
        <v>SHOES</v>
      </c>
      <c r="F11" s="373" t="str">
        <f t="shared" si="1"/>
        <v/>
      </c>
    </row>
    <row r="12" spans="1:17" x14ac:dyDescent="0.25">
      <c r="A12" s="373" t="s">
        <v>290</v>
      </c>
      <c r="B12" s="373" t="str">
        <f t="shared" si="2"/>
        <v>SHORTS</v>
      </c>
      <c r="C12" s="373" t="str">
        <f t="shared" si="3"/>
        <v>SHORTS</v>
      </c>
      <c r="D12" s="373" t="str">
        <f t="shared" si="4"/>
        <v>SHORTS</v>
      </c>
      <c r="F12" s="373" t="str">
        <f t="shared" si="1"/>
        <v/>
      </c>
    </row>
    <row r="13" spans="1:17" x14ac:dyDescent="0.25">
      <c r="A13" s="373" t="s">
        <v>288</v>
      </c>
      <c r="B13" s="373" t="str">
        <f t="shared" si="2"/>
        <v>SKIRTS</v>
      </c>
      <c r="C13" s="373" t="str">
        <f t="shared" si="3"/>
        <v>SKIRTS</v>
      </c>
      <c r="D13" s="373" t="str">
        <f t="shared" si="4"/>
        <v>SKIRTS</v>
      </c>
      <c r="F13" s="373" t="str">
        <f t="shared" si="1"/>
        <v/>
      </c>
    </row>
    <row r="14" spans="1:17" x14ac:dyDescent="0.25">
      <c r="A14" s="373" t="s">
        <v>281</v>
      </c>
      <c r="B14" s="373" t="str">
        <f t="shared" si="2"/>
        <v>SWEAT</v>
      </c>
      <c r="C14" s="373" t="str">
        <f t="shared" si="3"/>
        <v>SWEAT</v>
      </c>
      <c r="D14" s="373" t="str">
        <f t="shared" si="4"/>
        <v>SWEAT</v>
      </c>
      <c r="F14" s="373" t="str">
        <f t="shared" si="1"/>
        <v/>
      </c>
    </row>
    <row r="15" spans="1:17" x14ac:dyDescent="0.25">
      <c r="A15" s="373" t="s">
        <v>1</v>
      </c>
      <c r="B15" s="373" t="str">
        <f t="shared" si="2"/>
        <v>TAILORING</v>
      </c>
      <c r="C15" s="373" t="str">
        <f t="shared" si="3"/>
        <v>TAILORING</v>
      </c>
      <c r="D15" s="373" t="str">
        <f t="shared" si="4"/>
        <v>TAILORING</v>
      </c>
    </row>
    <row r="16" spans="1:17" x14ac:dyDescent="0.25">
      <c r="A16" s="373" t="s">
        <v>1838</v>
      </c>
      <c r="B16" s="373" t="str">
        <f t="shared" si="2"/>
        <v>TOPS</v>
      </c>
      <c r="C16" s="373" t="str">
        <f>IF(AND(B15&lt;&gt;"",B16=""),"TOTAL",B16)</f>
        <v>TOPS</v>
      </c>
      <c r="D16" s="373" t="str">
        <f t="shared" si="4"/>
        <v>TOPS</v>
      </c>
    </row>
    <row r="17" spans="1:4" x14ac:dyDescent="0.25">
      <c r="A17" s="373" t="s">
        <v>1812</v>
      </c>
      <c r="B17" s="373" t="str">
        <f t="shared" si="2"/>
        <v>T-SHIRTS</v>
      </c>
      <c r="C17" s="373" t="str">
        <f t="shared" si="3"/>
        <v>T-SHIRTS</v>
      </c>
      <c r="D17" s="373" t="str">
        <f t="shared" si="4"/>
        <v>T-SHIRTS</v>
      </c>
    </row>
    <row r="18" spans="1:4" x14ac:dyDescent="0.25">
      <c r="A18" s="373" t="s">
        <v>282</v>
      </c>
      <c r="B18" s="373" t="str">
        <f t="shared" si="2"/>
        <v>T-SHIRTS &amp; TOPS</v>
      </c>
      <c r="C18" s="373" t="str">
        <f>IF(AND(B17&lt;&gt;"",B18=""),"TOTAL",B18)</f>
        <v>T-SHIRTS &amp; TOPS</v>
      </c>
      <c r="D18" s="373" t="str">
        <f t="shared" si="4"/>
        <v>T-SHIRTS &amp; TOPS</v>
      </c>
    </row>
    <row r="19" spans="1:4" x14ac:dyDescent="0.25">
      <c r="B19" s="373" t="str">
        <f t="shared" si="2"/>
        <v/>
      </c>
      <c r="C19" s="373" t="str">
        <f t="shared" si="3"/>
        <v>TOTAL</v>
      </c>
      <c r="D19" s="373" t="str">
        <f t="shared" si="4"/>
        <v>*</v>
      </c>
    </row>
    <row r="20" spans="1:4" x14ac:dyDescent="0.25">
      <c r="B20" s="373" t="str">
        <f t="shared" si="2"/>
        <v/>
      </c>
      <c r="C20" s="373" t="str">
        <f t="shared" si="3"/>
        <v/>
      </c>
      <c r="D20" s="373" t="str">
        <f t="shared" si="4"/>
        <v/>
      </c>
    </row>
    <row r="21" spans="1:4" x14ac:dyDescent="0.25">
      <c r="B21" s="373" t="str">
        <f t="shared" si="2"/>
        <v/>
      </c>
      <c r="C21" s="373" t="str">
        <f t="shared" si="3"/>
        <v/>
      </c>
      <c r="D21" s="373" t="str">
        <f t="shared" si="4"/>
        <v/>
      </c>
    </row>
    <row r="22" spans="1:4" x14ac:dyDescent="0.25">
      <c r="B22" s="373" t="str">
        <f t="shared" si="2"/>
        <v/>
      </c>
      <c r="C22" s="373" t="str">
        <f t="shared" si="3"/>
        <v/>
      </c>
      <c r="D22" s="373" t="str">
        <f t="shared" si="4"/>
        <v/>
      </c>
    </row>
  </sheetData>
  <sheetProtection pivotTables="0"/>
  <pageMargins left="0.7" right="0.7" top="0.75" bottom="0.75" header="0.3" footer="0.3"/>
  <pageSetup paperSize="9" orientation="portrait" r:id="rId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V74"/>
  <sheetViews>
    <sheetView zoomScaleNormal="100" workbookViewId="0">
      <selection activeCell="A2" sqref="A2"/>
    </sheetView>
  </sheetViews>
  <sheetFormatPr defaultColWidth="9.140625" defaultRowHeight="12.75" x14ac:dyDescent="0.2"/>
  <cols>
    <col min="1" max="1" width="9.140625" style="375"/>
    <col min="2" max="2" width="9.140625" style="3"/>
    <col min="3" max="3" width="14.140625" style="3" bestFit="1" customWidth="1"/>
    <col min="4" max="4" width="12.28515625" style="3" customWidth="1"/>
    <col min="5" max="5" width="10.28515625" style="3" customWidth="1"/>
    <col min="6" max="6" width="10.5703125" style="3" customWidth="1"/>
    <col min="7" max="7" width="14" style="3" customWidth="1"/>
    <col min="8" max="8" width="9.5703125" style="3" customWidth="1"/>
    <col min="9" max="10" width="9.140625" style="3"/>
    <col min="11" max="11" width="12.42578125" style="3" customWidth="1"/>
    <col min="12" max="12" width="10.5703125" style="3" customWidth="1"/>
    <col min="13" max="14" width="9.140625" style="3"/>
    <col min="15" max="15" width="14.5703125" style="3" bestFit="1" customWidth="1"/>
    <col min="16" max="16" width="11.28515625" style="3" bestFit="1" customWidth="1"/>
    <col min="17" max="17" width="8.7109375" style="3" customWidth="1"/>
    <col min="18" max="18" width="14.140625" style="3" bestFit="1" customWidth="1"/>
    <col min="19" max="19" width="10.28515625" style="3" customWidth="1"/>
    <col min="20" max="20" width="12.42578125" style="3" customWidth="1"/>
    <col min="21" max="22" width="13.7109375" style="3" bestFit="1" customWidth="1"/>
    <col min="23" max="16384" width="9.140625" style="3"/>
  </cols>
  <sheetData>
    <row r="1" spans="1:22" x14ac:dyDescent="0.2">
      <c r="D1" s="734" t="s">
        <v>175</v>
      </c>
      <c r="E1" s="733" t="str">
        <f ca="1">VLOOKUP($E$5,$D$12:$K$47,8,FALSE)</f>
        <v>2019-03</v>
      </c>
      <c r="F1" s="3" t="str">
        <f ca="1">VLOOKUP(E6,$L$12:$M$17,2,FALSE)</f>
        <v>17/18</v>
      </c>
      <c r="G1" s="6" t="s">
        <v>95</v>
      </c>
      <c r="H1" s="7" t="s">
        <v>7</v>
      </c>
      <c r="I1" s="8" t="str">
        <f ca="1">_xlfn.CONCAT(TIME!E6&amp;TIME!E7)</f>
        <v>18/19Q3</v>
      </c>
      <c r="K1" s="734" t="s">
        <v>255</v>
      </c>
      <c r="L1" s="3" t="str">
        <f ca="1">TEXT(EDATE(TODAY(),-1),"YYYY-MM")</f>
        <v>YYYY-03</v>
      </c>
      <c r="M1" s="375" t="str">
        <f ca="1">TEXT(EDATE(TODAY(),-1),"JJJJ-MM")</f>
        <v>2019-03</v>
      </c>
    </row>
    <row r="2" spans="1:22" x14ac:dyDescent="0.2">
      <c r="D2" s="2" t="s">
        <v>60</v>
      </c>
      <c r="E2" s="20">
        <f ca="1">TODAY()</f>
        <v>43581</v>
      </c>
      <c r="G2" s="9">
        <f ca="1">YEAR(E2)</f>
        <v>2019</v>
      </c>
      <c r="H2" s="10" t="str">
        <f ca="1">VLOOKUP($E$5,$D$12:$E$47,2,0)</f>
        <v>18/19</v>
      </c>
      <c r="I2" s="11" t="str">
        <f ca="1">VLOOKUP($E$5,$D$12:$F$47,3,0)&amp;"-"&amp;E8</f>
        <v>Q3-3</v>
      </c>
    </row>
    <row r="3" spans="1:22" x14ac:dyDescent="0.2">
      <c r="D3" s="2" t="s">
        <v>0</v>
      </c>
      <c r="E3" s="3">
        <f ca="1">MONTH(E2)</f>
        <v>4</v>
      </c>
      <c r="F3" s="3">
        <f ca="1">IF(E3+1&gt;12,1,E3+1)</f>
        <v>5</v>
      </c>
      <c r="G3" s="3">
        <f t="shared" ref="G3:P3" ca="1" si="0">IF(F3+1&gt;12,1,F3+1)</f>
        <v>6</v>
      </c>
      <c r="H3" s="3">
        <f t="shared" ca="1" si="0"/>
        <v>7</v>
      </c>
      <c r="I3" s="3">
        <f ca="1">IF(H3+1&gt;12,1,H3+1)</f>
        <v>8</v>
      </c>
      <c r="J3" s="3">
        <f t="shared" ca="1" si="0"/>
        <v>9</v>
      </c>
      <c r="K3" s="3">
        <f t="shared" ca="1" si="0"/>
        <v>10</v>
      </c>
      <c r="L3" s="3">
        <f t="shared" ca="1" si="0"/>
        <v>11</v>
      </c>
      <c r="M3" s="3">
        <f t="shared" ca="1" si="0"/>
        <v>12</v>
      </c>
      <c r="N3" s="3">
        <f t="shared" ca="1" si="0"/>
        <v>1</v>
      </c>
      <c r="O3" s="3">
        <f t="shared" ca="1" si="0"/>
        <v>2</v>
      </c>
      <c r="P3" s="3">
        <f t="shared" ca="1" si="0"/>
        <v>3</v>
      </c>
      <c r="Q3" s="3">
        <f t="shared" ref="Q3" ca="1" si="1">IF(P3+1&gt;12,1,P3+1)</f>
        <v>4</v>
      </c>
      <c r="R3" s="3">
        <f t="shared" ref="R3" ca="1" si="2">IF(Q3+1&gt;12,1,Q3+1)</f>
        <v>5</v>
      </c>
      <c r="S3" s="3">
        <f t="shared" ref="S3" ca="1" si="3">IF(R3+1&gt;12,1,R3+1)</f>
        <v>6</v>
      </c>
    </row>
    <row r="4" spans="1:22" x14ac:dyDescent="0.2">
      <c r="D4" s="2" t="s">
        <v>61</v>
      </c>
      <c r="E4" s="5">
        <f ca="1">YEAR(E2)</f>
        <v>2019</v>
      </c>
      <c r="F4" s="3">
        <f ca="1">IF(E3+1&gt;12,E4+1,E4)</f>
        <v>2019</v>
      </c>
      <c r="G4" s="3">
        <f t="shared" ref="G4:J4" ca="1" si="4">IF(F3+1&gt;12,F4+1,F4)</f>
        <v>2019</v>
      </c>
      <c r="H4" s="3">
        <f t="shared" ca="1" si="4"/>
        <v>2019</v>
      </c>
      <c r="I4" s="3">
        <f t="shared" ca="1" si="4"/>
        <v>2019</v>
      </c>
      <c r="J4" s="3">
        <f t="shared" ca="1" si="4"/>
        <v>2019</v>
      </c>
      <c r="K4" s="3">
        <f t="shared" ref="K4:Q4" ca="1" si="5">IF(J3+1&gt;12,J4+1,J4)</f>
        <v>2019</v>
      </c>
      <c r="L4" s="3">
        <f t="shared" ca="1" si="5"/>
        <v>2019</v>
      </c>
      <c r="M4" s="3">
        <f t="shared" ca="1" si="5"/>
        <v>2019</v>
      </c>
      <c r="N4" s="3">
        <f t="shared" ca="1" si="5"/>
        <v>2020</v>
      </c>
      <c r="O4" s="3">
        <f t="shared" ca="1" si="5"/>
        <v>2020</v>
      </c>
      <c r="P4" s="3">
        <f t="shared" ca="1" si="5"/>
        <v>2020</v>
      </c>
      <c r="Q4" s="3">
        <f t="shared" ca="1" si="5"/>
        <v>2020</v>
      </c>
      <c r="R4" s="3">
        <f t="shared" ref="R4" ca="1" si="6">IF(Q3+1&gt;12,Q4+1,Q4)</f>
        <v>2020</v>
      </c>
      <c r="S4" s="3">
        <f t="shared" ref="S4" ca="1" si="7">IF(R3+1&gt;12,R4+1,R4)</f>
        <v>2020</v>
      </c>
    </row>
    <row r="5" spans="1:22" x14ac:dyDescent="0.2">
      <c r="D5" s="2" t="s">
        <v>62</v>
      </c>
      <c r="E5" s="3" t="str">
        <f ca="1">IF(TIME!E$3&lt;10,CONCATENATE(TIME!E$4,"-0",TIME!E$3),CONCATENATE(TIME!E$4,"-",TIME!E$3))</f>
        <v>2019-04</v>
      </c>
      <c r="F5" s="3" t="str">
        <f ca="1">IF(TIME!F$3&lt;10,CONCATENATE(TIME!F$4,"-0",TIME!F$3),CONCATENATE(TIME!F$4,"-",TIME!F$3))</f>
        <v>2019-05</v>
      </c>
      <c r="G5" s="3" t="str">
        <f ca="1">IF(TIME!G$3&lt;10,CONCATENATE(TIME!G$4,"-0",TIME!G$3),CONCATENATE(TIME!G$4,"-",TIME!G$3))</f>
        <v>2019-06</v>
      </c>
      <c r="H5" s="3" t="str">
        <f ca="1">IF(TIME!H$3&lt;10,CONCATENATE(TIME!H$4,"-0",TIME!H$3),CONCATENATE(TIME!H$4,"-",TIME!H$3))</f>
        <v>2019-07</v>
      </c>
      <c r="I5" s="3" t="str">
        <f ca="1">IF(TIME!I$3&lt;10,CONCATENATE(TIME!I$4,"-0",TIME!I$3),CONCATENATE(TIME!I$4,"-",TIME!I$3))</f>
        <v>2019-08</v>
      </c>
      <c r="J5" s="3" t="str">
        <f ca="1">IF(TIME!J$3&lt;10,CONCATENATE(TIME!J$4,"-0",TIME!J$3),CONCATENATE(TIME!J$4,"-",TIME!J$3))</f>
        <v>2019-09</v>
      </c>
      <c r="K5" s="3" t="str">
        <f ca="1">IF(TIME!K$3&lt;10,CONCATENATE(TIME!K$4,"-0",TIME!K$3),CONCATENATE(TIME!K$4,"-",TIME!K$3))</f>
        <v>2019-10</v>
      </c>
      <c r="L5" s="3" t="str">
        <f ca="1">IF(TIME!L$3&lt;10,CONCATENATE(TIME!L$4,"-0",TIME!L$3),CONCATENATE(TIME!L$4,"-",TIME!L$3))</f>
        <v>2019-11</v>
      </c>
      <c r="M5" s="3" t="str">
        <f ca="1">IF(TIME!M$3&lt;10,CONCATENATE(TIME!M$4,"-0",TIME!M$3),CONCATENATE(TIME!M$4,"-",TIME!M$3))</f>
        <v>2019-12</v>
      </c>
      <c r="N5" s="3" t="str">
        <f ca="1">IF(TIME!N$3&lt;10,CONCATENATE(TIME!N$4,"-0",TIME!N$3),CONCATENATE(TIME!N$4,"-",TIME!N$3))</f>
        <v>2020-01</v>
      </c>
      <c r="O5" s="3" t="str">
        <f ca="1">IF(TIME!O$3&lt;10,CONCATENATE(TIME!O$4,"-0",TIME!O$3),CONCATENATE(TIME!O$4,"-",TIME!O$3))</f>
        <v>2020-02</v>
      </c>
      <c r="P5" s="3" t="str">
        <f ca="1">IF(TIME!P$3&lt;10,CONCATENATE(TIME!P$4,"-0",TIME!P$3),CONCATENATE(TIME!P$4,"-",TIME!P$3))</f>
        <v>2020-03</v>
      </c>
      <c r="Q5" s="3" t="str">
        <f ca="1">IF(TIME!Q$3&lt;10,CONCATENATE(TIME!Q$4,"-0",TIME!Q$3),CONCATENATE(TIME!Q$4,"-",TIME!Q$3))</f>
        <v>2020-04</v>
      </c>
      <c r="R5" s="3" t="str">
        <f ca="1">IF(TIME!R$3&lt;10,CONCATENATE(TIME!R$4,"-0",TIME!R$3),CONCATENATE(TIME!R$4,"-",TIME!R$3))</f>
        <v>2020-05</v>
      </c>
      <c r="S5" s="3" t="str">
        <f ca="1">IF(TIME!S$3&lt;10,CONCATENATE(TIME!S$4,"-0",TIME!S$3),CONCATENATE(TIME!S$4,"-",TIME!S$3))</f>
        <v>2020-06</v>
      </c>
    </row>
    <row r="6" spans="1:22" x14ac:dyDescent="0.2">
      <c r="D6" s="2" t="s">
        <v>7</v>
      </c>
      <c r="E6" s="3" t="str">
        <f t="shared" ref="E6:S6" ca="1" si="8">VLOOKUP(E5,$D$12:$E$47,2,FALSE)</f>
        <v>18/19</v>
      </c>
      <c r="F6" s="3" t="str">
        <f t="shared" ca="1" si="8"/>
        <v>18/19</v>
      </c>
      <c r="G6" s="3" t="str">
        <f t="shared" ca="1" si="8"/>
        <v>18/19</v>
      </c>
      <c r="H6" s="3" t="str">
        <f t="shared" ca="1" si="8"/>
        <v>18/19</v>
      </c>
      <c r="I6" s="3" t="str">
        <f t="shared" ca="1" si="8"/>
        <v>19/20</v>
      </c>
      <c r="J6" s="3" t="str">
        <f t="shared" ca="1" si="8"/>
        <v>19/20</v>
      </c>
      <c r="K6" s="3" t="str">
        <f t="shared" ca="1" si="8"/>
        <v>19/20</v>
      </c>
      <c r="L6" s="3" t="str">
        <f t="shared" ca="1" si="8"/>
        <v>19/20</v>
      </c>
      <c r="M6" s="3" t="str">
        <f t="shared" ca="1" si="8"/>
        <v>19/20</v>
      </c>
      <c r="N6" s="3" t="str">
        <f t="shared" ca="1" si="8"/>
        <v>19/20</v>
      </c>
      <c r="O6" s="3" t="str">
        <f t="shared" ca="1" si="8"/>
        <v>19/20</v>
      </c>
      <c r="P6" s="3" t="str">
        <f t="shared" ca="1" si="8"/>
        <v>19/20</v>
      </c>
      <c r="Q6" s="3" t="str">
        <f t="shared" ca="1" si="8"/>
        <v>19/20</v>
      </c>
      <c r="R6" s="3" t="str">
        <f t="shared" ca="1" si="8"/>
        <v>19/20</v>
      </c>
      <c r="S6" s="3" t="str">
        <f t="shared" ca="1" si="8"/>
        <v>19/20</v>
      </c>
    </row>
    <row r="7" spans="1:22" x14ac:dyDescent="0.2">
      <c r="D7" s="2" t="s">
        <v>8</v>
      </c>
      <c r="E7" s="3" t="str">
        <f ca="1">VLOOKUP(E5,$D$12:$F$47,3,0)</f>
        <v>Q3</v>
      </c>
      <c r="F7" s="3" t="str">
        <f t="shared" ref="F7:S7" ca="1" si="9">VLOOKUP(F5,$D$12:$F$47,3,0)</f>
        <v>Q4</v>
      </c>
      <c r="G7" s="3" t="str">
        <f t="shared" ca="1" si="9"/>
        <v>Q4</v>
      </c>
      <c r="H7" s="3" t="str">
        <f t="shared" ca="1" si="9"/>
        <v>Q4</v>
      </c>
      <c r="I7" s="3" t="str">
        <f t="shared" ca="1" si="9"/>
        <v>Q1</v>
      </c>
      <c r="J7" s="3" t="str">
        <f t="shared" ca="1" si="9"/>
        <v>Q1</v>
      </c>
      <c r="K7" s="3" t="str">
        <f t="shared" ca="1" si="9"/>
        <v>Q1</v>
      </c>
      <c r="L7" s="3" t="str">
        <f t="shared" ca="1" si="9"/>
        <v>Q2</v>
      </c>
      <c r="M7" s="3" t="str">
        <f t="shared" ca="1" si="9"/>
        <v>Q2</v>
      </c>
      <c r="N7" s="3" t="str">
        <f t="shared" ca="1" si="9"/>
        <v>Q2</v>
      </c>
      <c r="O7" s="3" t="str">
        <f t="shared" ca="1" si="9"/>
        <v>Q3</v>
      </c>
      <c r="P7" s="3" t="str">
        <f t="shared" ca="1" si="9"/>
        <v>Q3</v>
      </c>
      <c r="Q7" s="3" t="str">
        <f t="shared" ca="1" si="9"/>
        <v>Q3</v>
      </c>
      <c r="R7" s="3" t="str">
        <f t="shared" ca="1" si="9"/>
        <v>Q4</v>
      </c>
      <c r="S7" s="3" t="str">
        <f t="shared" ca="1" si="9"/>
        <v>Q4</v>
      </c>
    </row>
    <row r="8" spans="1:22" x14ac:dyDescent="0.2">
      <c r="D8" s="2" t="s">
        <v>117</v>
      </c>
      <c r="E8" s="3">
        <f ca="1">VLOOKUP(E5,$D$12:$G$47,4,FALSE)</f>
        <v>3</v>
      </c>
      <c r="F8" s="3">
        <f t="shared" ref="F8:S8" ca="1" si="10">VLOOKUP(F5,$D$12:$G$47,4,FALSE)</f>
        <v>1</v>
      </c>
      <c r="G8" s="3">
        <f t="shared" ca="1" si="10"/>
        <v>2</v>
      </c>
      <c r="H8" s="3">
        <f t="shared" ca="1" si="10"/>
        <v>3</v>
      </c>
      <c r="I8" s="3">
        <f t="shared" ca="1" si="10"/>
        <v>1</v>
      </c>
      <c r="J8" s="3">
        <f t="shared" ca="1" si="10"/>
        <v>2</v>
      </c>
      <c r="K8" s="3">
        <f t="shared" ca="1" si="10"/>
        <v>3</v>
      </c>
      <c r="L8" s="3">
        <f t="shared" ca="1" si="10"/>
        <v>1</v>
      </c>
      <c r="M8" s="3">
        <f t="shared" ca="1" si="10"/>
        <v>2</v>
      </c>
      <c r="N8" s="3">
        <f t="shared" ca="1" si="10"/>
        <v>3</v>
      </c>
      <c r="O8" s="3">
        <f t="shared" ca="1" si="10"/>
        <v>1</v>
      </c>
      <c r="P8" s="3">
        <f t="shared" ca="1" si="10"/>
        <v>2</v>
      </c>
      <c r="Q8" s="3">
        <f t="shared" ca="1" si="10"/>
        <v>3</v>
      </c>
      <c r="R8" s="3">
        <f t="shared" ca="1" si="10"/>
        <v>1</v>
      </c>
      <c r="S8" s="3">
        <f t="shared" ca="1" si="10"/>
        <v>2</v>
      </c>
    </row>
    <row r="9" spans="1:22" x14ac:dyDescent="0.2">
      <c r="D9" s="2" t="s">
        <v>156</v>
      </c>
      <c r="E9" s="3" t="str">
        <f ca="1">VLOOKUP(E5,$D$12:$I$47,6,FALSE)</f>
        <v>Apr</v>
      </c>
      <c r="F9" s="3" t="str">
        <f t="shared" ref="F9:S9" ca="1" si="11">VLOOKUP(F5,$D$12:$I$47,6,FALSE)</f>
        <v>May</v>
      </c>
      <c r="G9" s="3" t="str">
        <f t="shared" ca="1" si="11"/>
        <v>Jun</v>
      </c>
      <c r="H9" s="3" t="str">
        <f t="shared" ca="1" si="11"/>
        <v>Jul</v>
      </c>
      <c r="I9" s="3" t="str">
        <f t="shared" ca="1" si="11"/>
        <v>Aug</v>
      </c>
      <c r="J9" s="3" t="str">
        <f t="shared" ca="1" si="11"/>
        <v>Sep</v>
      </c>
      <c r="K9" s="3" t="str">
        <f t="shared" ca="1" si="11"/>
        <v>Oct</v>
      </c>
      <c r="L9" s="3" t="str">
        <f t="shared" ca="1" si="11"/>
        <v>Nov</v>
      </c>
      <c r="M9" s="3" t="str">
        <f t="shared" ca="1" si="11"/>
        <v>Dec</v>
      </c>
      <c r="N9" s="3" t="str">
        <f t="shared" ca="1" si="11"/>
        <v>Jan</v>
      </c>
      <c r="O9" s="3" t="str">
        <f t="shared" ca="1" si="11"/>
        <v>Feb</v>
      </c>
      <c r="P9" s="3" t="str">
        <f t="shared" ca="1" si="11"/>
        <v>Mar</v>
      </c>
      <c r="Q9" s="3" t="str">
        <f t="shared" ca="1" si="11"/>
        <v>Apr</v>
      </c>
      <c r="R9" s="3" t="str">
        <f t="shared" ca="1" si="11"/>
        <v>May</v>
      </c>
      <c r="S9" s="3" t="str">
        <f t="shared" ca="1" si="11"/>
        <v>Jun</v>
      </c>
    </row>
    <row r="11" spans="1:22" ht="15" x14ac:dyDescent="0.25">
      <c r="A11" s="374" t="s">
        <v>81</v>
      </c>
      <c r="B11" s="2" t="s">
        <v>113</v>
      </c>
      <c r="C11" s="2" t="s">
        <v>112</v>
      </c>
      <c r="D11" s="1" t="s">
        <v>63</v>
      </c>
      <c r="E11" s="1" t="s">
        <v>64</v>
      </c>
      <c r="F11" s="1" t="s">
        <v>65</v>
      </c>
      <c r="G11" s="2" t="s">
        <v>117</v>
      </c>
      <c r="H11" s="2" t="s">
        <v>125</v>
      </c>
      <c r="I11" s="2" t="s">
        <v>156</v>
      </c>
      <c r="J11" s="2" t="s">
        <v>206</v>
      </c>
      <c r="K11" s="374" t="s">
        <v>255</v>
      </c>
      <c r="L11" s="2" t="s">
        <v>6</v>
      </c>
      <c r="M11" s="2" t="s">
        <v>66</v>
      </c>
      <c r="N11" s="2" t="s">
        <v>67</v>
      </c>
      <c r="O11" s="2" t="s">
        <v>68</v>
      </c>
      <c r="P11" s="2" t="s">
        <v>69</v>
      </c>
      <c r="R11" s="2" t="s">
        <v>6</v>
      </c>
      <c r="S11" s="2" t="s">
        <v>91</v>
      </c>
      <c r="T11" s="2" t="s">
        <v>92</v>
      </c>
      <c r="U11" s="2" t="s">
        <v>93</v>
      </c>
      <c r="V11" s="2" t="s">
        <v>94</v>
      </c>
    </row>
    <row r="12" spans="1:22" ht="15" x14ac:dyDescent="0.25">
      <c r="A12" s="375" t="str">
        <f>E12&amp;I12</f>
        <v>17/18Aug</v>
      </c>
      <c r="B12" s="3" t="str">
        <f>E12&amp;"-"&amp;F12</f>
        <v>17/18-Q1</v>
      </c>
      <c r="C12" s="3" t="str">
        <f>CONCATENATE(D12,F12)</f>
        <v>2017-08Q1</v>
      </c>
      <c r="D12" t="s">
        <v>19</v>
      </c>
      <c r="E12" t="s">
        <v>16</v>
      </c>
      <c r="F12" t="s">
        <v>56</v>
      </c>
      <c r="G12" s="3">
        <v>1</v>
      </c>
      <c r="H12" s="3">
        <v>1</v>
      </c>
      <c r="I12" s="3" t="s">
        <v>144</v>
      </c>
      <c r="J12" s="3" t="str">
        <f ca="1">IF(D12&lt;$E$5,"ACT","FC")</f>
        <v>ACT</v>
      </c>
      <c r="K12" s="375"/>
      <c r="L12" s="3" t="s">
        <v>16</v>
      </c>
      <c r="M12" s="3" t="s">
        <v>70</v>
      </c>
      <c r="N12" s="3" t="s">
        <v>71</v>
      </c>
      <c r="O12" s="3" t="s">
        <v>72</v>
      </c>
      <c r="P12" s="3" t="str">
        <f>L13</f>
        <v>18/19</v>
      </c>
      <c r="R12" s="3" t="s">
        <v>16</v>
      </c>
      <c r="S12" s="3" t="s">
        <v>17</v>
      </c>
      <c r="T12" s="3" t="s">
        <v>48</v>
      </c>
      <c r="U12" s="3" t="s">
        <v>73</v>
      </c>
      <c r="V12" s="3" t="s">
        <v>74</v>
      </c>
    </row>
    <row r="13" spans="1:22" ht="15" x14ac:dyDescent="0.25">
      <c r="A13" s="375" t="str">
        <f t="shared" ref="A13:A47" si="12">E13&amp;I13</f>
        <v>17/18Sep</v>
      </c>
      <c r="B13" s="3" t="str">
        <f t="shared" ref="B13:B47" si="13">E13&amp;"-"&amp;F13</f>
        <v>17/18-Q1</v>
      </c>
      <c r="C13" s="3" t="str">
        <f t="shared" ref="C13:C47" si="14">CONCATENATE(D13,F13)</f>
        <v>2017-09Q1</v>
      </c>
      <c r="D13" t="s">
        <v>20</v>
      </c>
      <c r="E13" t="s">
        <v>16</v>
      </c>
      <c r="F13" t="s">
        <v>56</v>
      </c>
      <c r="G13" s="3">
        <v>2</v>
      </c>
      <c r="H13" s="3">
        <v>2</v>
      </c>
      <c r="I13" s="3" t="s">
        <v>146</v>
      </c>
      <c r="J13" s="375" t="str">
        <f t="shared" ref="J13:J47" ca="1" si="15">IF(D13&lt;$E$5,"ACT","FC")</f>
        <v>ACT</v>
      </c>
      <c r="K13" s="375" t="str">
        <f>D12</f>
        <v>2017-08</v>
      </c>
      <c r="L13" s="3" t="s">
        <v>17</v>
      </c>
      <c r="M13" s="3" t="s">
        <v>16</v>
      </c>
      <c r="N13" s="3" t="s">
        <v>70</v>
      </c>
      <c r="O13" s="3" t="s">
        <v>71</v>
      </c>
      <c r="P13" s="3" t="str">
        <f t="shared" ref="P13:P16" si="16">L14</f>
        <v>19/20</v>
      </c>
      <c r="R13" s="3" t="s">
        <v>17</v>
      </c>
      <c r="S13" s="3" t="s">
        <v>48</v>
      </c>
      <c r="T13" s="3" t="s">
        <v>73</v>
      </c>
      <c r="U13" s="3" t="s">
        <v>74</v>
      </c>
      <c r="V13" s="3" t="s">
        <v>87</v>
      </c>
    </row>
    <row r="14" spans="1:22" ht="15" x14ac:dyDescent="0.25">
      <c r="A14" s="375" t="str">
        <f t="shared" si="12"/>
        <v>17/18Oct</v>
      </c>
      <c r="B14" s="3" t="str">
        <f t="shared" si="13"/>
        <v>17/18-Q1</v>
      </c>
      <c r="C14" s="3" t="str">
        <f t="shared" si="14"/>
        <v>2017-10Q1</v>
      </c>
      <c r="D14" t="s">
        <v>21</v>
      </c>
      <c r="E14" t="s">
        <v>16</v>
      </c>
      <c r="F14" t="s">
        <v>56</v>
      </c>
      <c r="G14" s="3">
        <v>3</v>
      </c>
      <c r="H14" s="3">
        <v>3</v>
      </c>
      <c r="I14" s="3" t="s">
        <v>145</v>
      </c>
      <c r="J14" s="375" t="str">
        <f t="shared" ca="1" si="15"/>
        <v>ACT</v>
      </c>
      <c r="K14" s="375" t="str">
        <f t="shared" ref="K14:K47" si="17">D13</f>
        <v>2017-09</v>
      </c>
      <c r="L14" s="3" t="s">
        <v>48</v>
      </c>
      <c r="M14" s="3" t="s">
        <v>17</v>
      </c>
      <c r="N14" s="3" t="s">
        <v>16</v>
      </c>
      <c r="O14" s="3" t="s">
        <v>70</v>
      </c>
      <c r="P14" s="3" t="str">
        <f t="shared" si="16"/>
        <v>20/21</v>
      </c>
      <c r="R14" s="3" t="s">
        <v>48</v>
      </c>
      <c r="S14" s="3" t="s">
        <v>73</v>
      </c>
      <c r="T14" s="3" t="s">
        <v>74</v>
      </c>
      <c r="U14" s="3" t="s">
        <v>87</v>
      </c>
      <c r="V14" s="3" t="s">
        <v>88</v>
      </c>
    </row>
    <row r="15" spans="1:22" ht="15" x14ac:dyDescent="0.25">
      <c r="A15" s="375" t="str">
        <f t="shared" si="12"/>
        <v>17/18Nov</v>
      </c>
      <c r="B15" s="3" t="str">
        <f t="shared" si="13"/>
        <v>17/18-Q2</v>
      </c>
      <c r="C15" s="3" t="str">
        <f t="shared" si="14"/>
        <v>2017-11Q2</v>
      </c>
      <c r="D15" t="s">
        <v>22</v>
      </c>
      <c r="E15" t="s">
        <v>16</v>
      </c>
      <c r="F15" t="s">
        <v>57</v>
      </c>
      <c r="G15" s="3">
        <v>1</v>
      </c>
      <c r="H15" s="3">
        <v>4</v>
      </c>
      <c r="I15" s="3" t="s">
        <v>149</v>
      </c>
      <c r="J15" s="375" t="str">
        <f t="shared" ca="1" si="15"/>
        <v>ACT</v>
      </c>
      <c r="K15" s="375" t="str">
        <f t="shared" si="17"/>
        <v>2017-10</v>
      </c>
      <c r="L15" s="3" t="s">
        <v>73</v>
      </c>
      <c r="M15" s="3" t="s">
        <v>48</v>
      </c>
      <c r="N15" s="3" t="s">
        <v>17</v>
      </c>
      <c r="O15" s="3" t="s">
        <v>16</v>
      </c>
      <c r="P15" s="3" t="str">
        <f t="shared" si="16"/>
        <v>21/22</v>
      </c>
      <c r="R15" s="3" t="s">
        <v>73</v>
      </c>
      <c r="S15" s="3" t="s">
        <v>74</v>
      </c>
      <c r="T15" s="3" t="s">
        <v>87</v>
      </c>
      <c r="U15" s="3" t="s">
        <v>88</v>
      </c>
      <c r="V15" s="3" t="s">
        <v>89</v>
      </c>
    </row>
    <row r="16" spans="1:22" ht="15" x14ac:dyDescent="0.25">
      <c r="A16" s="375" t="str">
        <f t="shared" si="12"/>
        <v>17/18Dec</v>
      </c>
      <c r="B16" s="3" t="str">
        <f t="shared" si="13"/>
        <v>17/18-Q2</v>
      </c>
      <c r="C16" s="3" t="str">
        <f t="shared" si="14"/>
        <v>2017-12Q2</v>
      </c>
      <c r="D16" t="s">
        <v>23</v>
      </c>
      <c r="E16" t="s">
        <v>16</v>
      </c>
      <c r="F16" t="s">
        <v>57</v>
      </c>
      <c r="G16" s="3">
        <v>2</v>
      </c>
      <c r="H16" s="3">
        <v>5</v>
      </c>
      <c r="I16" s="3" t="s">
        <v>147</v>
      </c>
      <c r="J16" s="375" t="str">
        <f t="shared" ca="1" si="15"/>
        <v>ACT</v>
      </c>
      <c r="K16" s="375" t="str">
        <f t="shared" si="17"/>
        <v>2017-11</v>
      </c>
      <c r="L16" s="3" t="s">
        <v>74</v>
      </c>
      <c r="M16" s="3" t="s">
        <v>73</v>
      </c>
      <c r="N16" s="3" t="s">
        <v>48</v>
      </c>
      <c r="O16" s="3" t="s">
        <v>17</v>
      </c>
      <c r="P16" s="3" t="str">
        <f t="shared" si="16"/>
        <v>22/23</v>
      </c>
      <c r="R16" s="3" t="s">
        <v>74</v>
      </c>
      <c r="S16" s="3" t="s">
        <v>87</v>
      </c>
      <c r="T16" s="3" t="s">
        <v>88</v>
      </c>
      <c r="U16" s="3" t="s">
        <v>89</v>
      </c>
      <c r="V16" s="3" t="s">
        <v>90</v>
      </c>
    </row>
    <row r="17" spans="1:22" ht="15" x14ac:dyDescent="0.25">
      <c r="A17" s="375" t="str">
        <f t="shared" si="12"/>
        <v>17/18Jan</v>
      </c>
      <c r="B17" s="3" t="str">
        <f t="shared" si="13"/>
        <v>17/18-Q2</v>
      </c>
      <c r="C17" s="3" t="str">
        <f t="shared" si="14"/>
        <v>2018-01Q2</v>
      </c>
      <c r="D17" t="s">
        <v>24</v>
      </c>
      <c r="E17" t="s">
        <v>16</v>
      </c>
      <c r="F17" t="s">
        <v>57</v>
      </c>
      <c r="G17" s="3">
        <v>3</v>
      </c>
      <c r="H17" s="3">
        <v>6</v>
      </c>
      <c r="I17" s="3" t="s">
        <v>148</v>
      </c>
      <c r="J17" s="375" t="str">
        <f t="shared" ca="1" si="15"/>
        <v>ACT</v>
      </c>
      <c r="K17" s="375" t="str">
        <f t="shared" si="17"/>
        <v>2017-12</v>
      </c>
      <c r="L17" s="3" t="s">
        <v>87</v>
      </c>
    </row>
    <row r="18" spans="1:22" ht="15" x14ac:dyDescent="0.25">
      <c r="A18" s="375" t="str">
        <f t="shared" si="12"/>
        <v>17/18Feb</v>
      </c>
      <c r="B18" s="3" t="str">
        <f t="shared" si="13"/>
        <v>17/18-Q3</v>
      </c>
      <c r="C18" s="3" t="str">
        <f t="shared" si="14"/>
        <v>2018-02Q3</v>
      </c>
      <c r="D18" t="s">
        <v>25</v>
      </c>
      <c r="E18" t="s">
        <v>16</v>
      </c>
      <c r="F18" t="s">
        <v>58</v>
      </c>
      <c r="G18" s="3">
        <v>1</v>
      </c>
      <c r="H18" s="3">
        <v>7</v>
      </c>
      <c r="I18" s="3" t="s">
        <v>151</v>
      </c>
      <c r="J18" s="375" t="str">
        <f t="shared" ca="1" si="15"/>
        <v>ACT</v>
      </c>
      <c r="K18" s="375" t="str">
        <f t="shared" si="17"/>
        <v>2018-01</v>
      </c>
    </row>
    <row r="19" spans="1:22" ht="15" x14ac:dyDescent="0.25">
      <c r="A19" s="375" t="str">
        <f t="shared" si="12"/>
        <v>17/18Mar</v>
      </c>
      <c r="B19" s="3" t="str">
        <f t="shared" si="13"/>
        <v>17/18-Q3</v>
      </c>
      <c r="C19" s="3" t="str">
        <f t="shared" si="14"/>
        <v>2018-03Q3</v>
      </c>
      <c r="D19" t="s">
        <v>26</v>
      </c>
      <c r="E19" t="s">
        <v>16</v>
      </c>
      <c r="F19" t="s">
        <v>58</v>
      </c>
      <c r="G19" s="3">
        <v>2</v>
      </c>
      <c r="H19" s="3">
        <v>8</v>
      </c>
      <c r="I19" s="3" t="s">
        <v>152</v>
      </c>
      <c r="J19" s="375" t="str">
        <f t="shared" ca="1" si="15"/>
        <v>ACT</v>
      </c>
      <c r="K19" s="375" t="str">
        <f t="shared" si="17"/>
        <v>2018-02</v>
      </c>
    </row>
    <row r="20" spans="1:22" ht="15" x14ac:dyDescent="0.25">
      <c r="A20" s="375" t="str">
        <f t="shared" si="12"/>
        <v>17/18Apr</v>
      </c>
      <c r="B20" s="3" t="str">
        <f t="shared" si="13"/>
        <v>17/18-Q3</v>
      </c>
      <c r="C20" s="3" t="str">
        <f t="shared" si="14"/>
        <v>2018-04Q3</v>
      </c>
      <c r="D20" t="s">
        <v>27</v>
      </c>
      <c r="E20" t="s">
        <v>16</v>
      </c>
      <c r="F20" t="s">
        <v>58</v>
      </c>
      <c r="G20" s="3">
        <v>3</v>
      </c>
      <c r="H20" s="3">
        <v>9</v>
      </c>
      <c r="I20" s="3" t="s">
        <v>150</v>
      </c>
      <c r="J20" s="375" t="str">
        <f t="shared" ca="1" si="15"/>
        <v>ACT</v>
      </c>
      <c r="K20" s="375" t="str">
        <f t="shared" si="17"/>
        <v>2018-03</v>
      </c>
      <c r="L20" s="2" t="s">
        <v>9</v>
      </c>
      <c r="M20" s="2" t="s">
        <v>83</v>
      </c>
      <c r="N20" s="2" t="s">
        <v>84</v>
      </c>
      <c r="O20" s="2" t="s">
        <v>85</v>
      </c>
      <c r="P20" s="2" t="s">
        <v>86</v>
      </c>
      <c r="R20" s="2" t="s">
        <v>124</v>
      </c>
      <c r="S20" s="2" t="s">
        <v>175</v>
      </c>
      <c r="T20" s="2">
        <v>1</v>
      </c>
      <c r="U20" s="2">
        <v>2</v>
      </c>
      <c r="V20" s="2">
        <v>3</v>
      </c>
    </row>
    <row r="21" spans="1:22" ht="15" x14ac:dyDescent="0.25">
      <c r="A21" s="375" t="str">
        <f t="shared" si="12"/>
        <v>17/18May</v>
      </c>
      <c r="B21" s="3" t="str">
        <f t="shared" si="13"/>
        <v>17/18-Q4</v>
      </c>
      <c r="C21" s="3" t="str">
        <f t="shared" si="14"/>
        <v>2018-05Q4</v>
      </c>
      <c r="D21" t="s">
        <v>28</v>
      </c>
      <c r="E21" t="s">
        <v>16</v>
      </c>
      <c r="F21" t="s">
        <v>59</v>
      </c>
      <c r="G21" s="3">
        <v>1</v>
      </c>
      <c r="H21" s="3">
        <v>10</v>
      </c>
      <c r="I21" s="3" t="s">
        <v>155</v>
      </c>
      <c r="J21" s="375" t="str">
        <f t="shared" ca="1" si="15"/>
        <v>ACT</v>
      </c>
      <c r="K21" s="375" t="str">
        <f t="shared" si="17"/>
        <v>2018-04</v>
      </c>
      <c r="L21" s="3" t="s">
        <v>56</v>
      </c>
      <c r="M21" s="3" t="s">
        <v>57</v>
      </c>
      <c r="N21" s="3" t="s">
        <v>58</v>
      </c>
      <c r="O21" s="3" t="s">
        <v>59</v>
      </c>
      <c r="P21" s="3" t="s">
        <v>56</v>
      </c>
      <c r="R21" s="3" t="s">
        <v>56</v>
      </c>
      <c r="S21" s="3" t="s">
        <v>153</v>
      </c>
      <c r="T21" t="s">
        <v>144</v>
      </c>
      <c r="U21" s="3" t="s">
        <v>146</v>
      </c>
      <c r="V21" s="3" t="s">
        <v>145</v>
      </c>
    </row>
    <row r="22" spans="1:22" ht="15" x14ac:dyDescent="0.25">
      <c r="A22" s="375" t="str">
        <f t="shared" si="12"/>
        <v>17/18Jun</v>
      </c>
      <c r="B22" s="3" t="str">
        <f t="shared" si="13"/>
        <v>17/18-Q4</v>
      </c>
      <c r="C22" s="3" t="str">
        <f t="shared" si="14"/>
        <v>2018-06Q4</v>
      </c>
      <c r="D22" t="s">
        <v>29</v>
      </c>
      <c r="E22" t="s">
        <v>16</v>
      </c>
      <c r="F22" t="s">
        <v>59</v>
      </c>
      <c r="G22" s="3">
        <v>2</v>
      </c>
      <c r="H22" s="3">
        <v>11</v>
      </c>
      <c r="I22" s="3" t="s">
        <v>154</v>
      </c>
      <c r="J22" s="375" t="str">
        <f t="shared" ca="1" si="15"/>
        <v>ACT</v>
      </c>
      <c r="K22" s="375" t="str">
        <f t="shared" si="17"/>
        <v>2018-05</v>
      </c>
      <c r="L22" s="3" t="s">
        <v>57</v>
      </c>
      <c r="M22" s="3" t="s">
        <v>58</v>
      </c>
      <c r="N22" s="3" t="s">
        <v>59</v>
      </c>
      <c r="O22" s="3" t="s">
        <v>56</v>
      </c>
      <c r="P22" s="3" t="s">
        <v>57</v>
      </c>
      <c r="R22" s="3" t="s">
        <v>57</v>
      </c>
      <c r="S22" s="3" t="s">
        <v>145</v>
      </c>
      <c r="T22" s="3" t="s">
        <v>149</v>
      </c>
      <c r="U22" s="3" t="s">
        <v>147</v>
      </c>
      <c r="V22" s="3" t="s">
        <v>148</v>
      </c>
    </row>
    <row r="23" spans="1:22" ht="15" x14ac:dyDescent="0.25">
      <c r="A23" s="375" t="str">
        <f t="shared" si="12"/>
        <v>17/18Jul</v>
      </c>
      <c r="B23" s="3" t="str">
        <f t="shared" si="13"/>
        <v>17/18-Q4</v>
      </c>
      <c r="C23" s="3" t="str">
        <f t="shared" si="14"/>
        <v>2018-07Q4</v>
      </c>
      <c r="D23" t="s">
        <v>30</v>
      </c>
      <c r="E23" t="s">
        <v>16</v>
      </c>
      <c r="F23" t="s">
        <v>59</v>
      </c>
      <c r="G23" s="3">
        <v>3</v>
      </c>
      <c r="H23" s="3">
        <v>12</v>
      </c>
      <c r="I23" s="3" t="s">
        <v>153</v>
      </c>
      <c r="J23" s="375" t="str">
        <f t="shared" ca="1" si="15"/>
        <v>ACT</v>
      </c>
      <c r="K23" s="375" t="str">
        <f t="shared" si="17"/>
        <v>2018-06</v>
      </c>
      <c r="L23" s="3" t="s">
        <v>58</v>
      </c>
      <c r="M23" s="3" t="s">
        <v>59</v>
      </c>
      <c r="N23" s="3" t="s">
        <v>56</v>
      </c>
      <c r="O23" s="3" t="s">
        <v>57</v>
      </c>
      <c r="P23" s="3" t="s">
        <v>58</v>
      </c>
      <c r="R23" s="3" t="s">
        <v>58</v>
      </c>
      <c r="S23" s="3" t="s">
        <v>148</v>
      </c>
      <c r="T23" s="3" t="s">
        <v>151</v>
      </c>
      <c r="U23" s="3" t="s">
        <v>152</v>
      </c>
      <c r="V23" s="3" t="s">
        <v>150</v>
      </c>
    </row>
    <row r="24" spans="1:22" ht="15" x14ac:dyDescent="0.25">
      <c r="A24" s="375" t="str">
        <f t="shared" si="12"/>
        <v>18/19Aug</v>
      </c>
      <c r="B24" s="3" t="str">
        <f t="shared" si="13"/>
        <v>18/19-Q1</v>
      </c>
      <c r="C24" s="3" t="str">
        <f t="shared" si="14"/>
        <v>2018-08Q1</v>
      </c>
      <c r="D24" t="s">
        <v>31</v>
      </c>
      <c r="E24" t="s">
        <v>17</v>
      </c>
      <c r="F24" t="s">
        <v>56</v>
      </c>
      <c r="G24" s="3">
        <v>1</v>
      </c>
      <c r="H24" s="3">
        <v>1</v>
      </c>
      <c r="I24" s="3" t="s">
        <v>144</v>
      </c>
      <c r="J24" s="375" t="str">
        <f t="shared" ca="1" si="15"/>
        <v>ACT</v>
      </c>
      <c r="K24" s="375" t="str">
        <f t="shared" si="17"/>
        <v>2018-07</v>
      </c>
      <c r="L24" s="3" t="s">
        <v>59</v>
      </c>
      <c r="M24" s="3" t="s">
        <v>56</v>
      </c>
      <c r="N24" s="3" t="s">
        <v>57</v>
      </c>
      <c r="O24" s="3" t="s">
        <v>58</v>
      </c>
      <c r="P24" s="3" t="s">
        <v>59</v>
      </c>
      <c r="R24" s="3" t="s">
        <v>59</v>
      </c>
      <c r="S24" s="3" t="s">
        <v>150</v>
      </c>
      <c r="T24" s="3" t="s">
        <v>155</v>
      </c>
      <c r="U24" s="3" t="s">
        <v>154</v>
      </c>
      <c r="V24" s="3" t="s">
        <v>153</v>
      </c>
    </row>
    <row r="25" spans="1:22" ht="15" x14ac:dyDescent="0.25">
      <c r="A25" s="375" t="str">
        <f t="shared" si="12"/>
        <v>18/19Sep</v>
      </c>
      <c r="B25" s="3" t="str">
        <f t="shared" si="13"/>
        <v>18/19-Q1</v>
      </c>
      <c r="C25" s="3" t="str">
        <f t="shared" si="14"/>
        <v>2018-09Q1</v>
      </c>
      <c r="D25" t="s">
        <v>32</v>
      </c>
      <c r="E25" t="s">
        <v>17</v>
      </c>
      <c r="F25" t="s">
        <v>56</v>
      </c>
      <c r="G25" s="3">
        <v>2</v>
      </c>
      <c r="H25" s="3">
        <v>2</v>
      </c>
      <c r="I25" s="3" t="s">
        <v>146</v>
      </c>
      <c r="J25" s="375" t="str">
        <f t="shared" ca="1" si="15"/>
        <v>ACT</v>
      </c>
      <c r="K25" s="375" t="str">
        <f t="shared" si="17"/>
        <v>2018-08</v>
      </c>
    </row>
    <row r="26" spans="1:22" ht="15.75" thickBot="1" x14ac:dyDescent="0.3">
      <c r="A26" s="375" t="str">
        <f t="shared" si="12"/>
        <v>18/19Oct</v>
      </c>
      <c r="B26" s="3" t="str">
        <f t="shared" si="13"/>
        <v>18/19-Q1</v>
      </c>
      <c r="C26" s="3" t="str">
        <f t="shared" si="14"/>
        <v>2018-10Q1</v>
      </c>
      <c r="D26" t="s">
        <v>33</v>
      </c>
      <c r="E26" t="s">
        <v>17</v>
      </c>
      <c r="F26" t="s">
        <v>56</v>
      </c>
      <c r="G26" s="3">
        <v>3</v>
      </c>
      <c r="H26" s="3">
        <v>3</v>
      </c>
      <c r="I26" s="3" t="s">
        <v>145</v>
      </c>
      <c r="J26" s="375" t="str">
        <f t="shared" ca="1" si="15"/>
        <v>ACT</v>
      </c>
      <c r="K26" s="375" t="str">
        <f t="shared" si="17"/>
        <v>2018-09</v>
      </c>
      <c r="L26" s="2" t="s">
        <v>113</v>
      </c>
      <c r="M26" s="2" t="s">
        <v>7</v>
      </c>
      <c r="N26" s="2" t="s">
        <v>8</v>
      </c>
      <c r="O26" s="2" t="s">
        <v>116</v>
      </c>
      <c r="P26" s="2"/>
    </row>
    <row r="27" spans="1:22" ht="15" x14ac:dyDescent="0.25">
      <c r="A27" s="375" t="str">
        <f t="shared" si="12"/>
        <v>18/19Nov</v>
      </c>
      <c r="B27" s="3" t="str">
        <f t="shared" si="13"/>
        <v>18/19-Q2</v>
      </c>
      <c r="C27" s="3" t="str">
        <f t="shared" si="14"/>
        <v>2018-11Q2</v>
      </c>
      <c r="D27" t="s">
        <v>34</v>
      </c>
      <c r="E27" t="s">
        <v>17</v>
      </c>
      <c r="F27" t="s">
        <v>57</v>
      </c>
      <c r="G27" s="3">
        <v>1</v>
      </c>
      <c r="H27" s="3">
        <v>4</v>
      </c>
      <c r="I27" s="3" t="s">
        <v>149</v>
      </c>
      <c r="J27" s="375" t="str">
        <f t="shared" ca="1" si="15"/>
        <v>ACT</v>
      </c>
      <c r="K27" s="375" t="str">
        <f t="shared" si="17"/>
        <v>2018-10</v>
      </c>
      <c r="L27" s="3" t="str">
        <f ca="1">M27&amp;N27</f>
        <v>18/19Q3</v>
      </c>
      <c r="M27" s="12" t="str">
        <f ca="1">VLOOKUP($E$5&amp;N27,$C$12:$F$47,3,FALSE)</f>
        <v>18/19</v>
      </c>
      <c r="N27" s="13" t="str">
        <f ca="1">VLOOKUP($E$5,$D$12:$F$47,3,0)</f>
        <v>Q3</v>
      </c>
      <c r="O27" s="3" t="str">
        <f ca="1">VLOOKUP(M27,$L$12:$M$17,2)</f>
        <v>17/18</v>
      </c>
      <c r="S27" s="374" t="s">
        <v>156</v>
      </c>
      <c r="T27" s="374" t="s">
        <v>179</v>
      </c>
      <c r="U27" s="374" t="s">
        <v>180</v>
      </c>
    </row>
    <row r="28" spans="1:22" ht="15" x14ac:dyDescent="0.25">
      <c r="A28" s="375" t="str">
        <f t="shared" si="12"/>
        <v>18/19Dec</v>
      </c>
      <c r="B28" s="3" t="str">
        <f t="shared" si="13"/>
        <v>18/19-Q2</v>
      </c>
      <c r="C28" s="3" t="str">
        <f t="shared" si="14"/>
        <v>2018-12Q2</v>
      </c>
      <c r="D28" t="s">
        <v>35</v>
      </c>
      <c r="E28" t="s">
        <v>17</v>
      </c>
      <c r="F28" t="s">
        <v>57</v>
      </c>
      <c r="G28" s="3">
        <v>2</v>
      </c>
      <c r="H28" s="3">
        <v>5</v>
      </c>
      <c r="I28" s="3" t="s">
        <v>147</v>
      </c>
      <c r="J28" s="375" t="str">
        <f t="shared" ca="1" si="15"/>
        <v>ACT</v>
      </c>
      <c r="K28" s="375" t="str">
        <f t="shared" si="17"/>
        <v>2018-11</v>
      </c>
      <c r="L28" s="3" t="str">
        <f t="shared" ref="L28:L31" ca="1" si="18">M28&amp;N28</f>
        <v>18/19Q4</v>
      </c>
      <c r="M28" s="14" t="str">
        <f ca="1">VLOOKUP($H$5&amp;N28,$C$12:$F$47,3,FALSE)</f>
        <v>18/19</v>
      </c>
      <c r="N28" s="15" t="str">
        <f ca="1">VLOOKUP($N$27,$L$21:$P$24,2,0)</f>
        <v>Q4</v>
      </c>
      <c r="O28" s="244" t="str">
        <f ca="1">VLOOKUP(M28,$L$12:$M$17,2)</f>
        <v>17/18</v>
      </c>
      <c r="S28" s="373" t="s">
        <v>144</v>
      </c>
      <c r="T28" s="375" t="s">
        <v>153</v>
      </c>
      <c r="U28" s="375" t="s">
        <v>146</v>
      </c>
    </row>
    <row r="29" spans="1:22" ht="15" x14ac:dyDescent="0.25">
      <c r="A29" s="375" t="str">
        <f t="shared" si="12"/>
        <v>18/19Jan</v>
      </c>
      <c r="B29" s="3" t="str">
        <f t="shared" si="13"/>
        <v>18/19-Q2</v>
      </c>
      <c r="C29" s="3" t="str">
        <f t="shared" si="14"/>
        <v>2019-01Q2</v>
      </c>
      <c r="D29" t="s">
        <v>36</v>
      </c>
      <c r="E29" t="s">
        <v>17</v>
      </c>
      <c r="F29" t="s">
        <v>57</v>
      </c>
      <c r="G29" s="3">
        <v>3</v>
      </c>
      <c r="H29" s="3">
        <v>6</v>
      </c>
      <c r="I29" s="3" t="s">
        <v>148</v>
      </c>
      <c r="J29" s="375" t="str">
        <f t="shared" ca="1" si="15"/>
        <v>ACT</v>
      </c>
      <c r="K29" s="375" t="str">
        <f t="shared" si="17"/>
        <v>2018-12</v>
      </c>
      <c r="L29" s="3" t="str">
        <f t="shared" ca="1" si="18"/>
        <v>19/20Q1</v>
      </c>
      <c r="M29" s="14" t="str">
        <f ca="1">VLOOKUP($K$5&amp;N29,$C$12:$F$47,3,0)</f>
        <v>19/20</v>
      </c>
      <c r="N29" s="15" t="str">
        <f ca="1">VLOOKUP($N$27,$L$21:$P$24,3,0)</f>
        <v>Q1</v>
      </c>
      <c r="O29" s="3" t="str">
        <f ca="1">VLOOKUP(M29,$L$12:$M$17,2)</f>
        <v>18/19</v>
      </c>
      <c r="S29" s="373" t="s">
        <v>146</v>
      </c>
      <c r="T29" s="375" t="s">
        <v>144</v>
      </c>
      <c r="U29" s="375" t="s">
        <v>145</v>
      </c>
    </row>
    <row r="30" spans="1:22" ht="15" x14ac:dyDescent="0.25">
      <c r="A30" s="375" t="str">
        <f t="shared" si="12"/>
        <v>18/19Feb</v>
      </c>
      <c r="B30" s="3" t="str">
        <f t="shared" si="13"/>
        <v>18/19-Q3</v>
      </c>
      <c r="C30" s="3" t="str">
        <f t="shared" si="14"/>
        <v>2019-02Q3</v>
      </c>
      <c r="D30" t="s">
        <v>37</v>
      </c>
      <c r="E30" t="s">
        <v>17</v>
      </c>
      <c r="F30" t="s">
        <v>58</v>
      </c>
      <c r="G30" s="3">
        <v>1</v>
      </c>
      <c r="H30" s="3">
        <v>7</v>
      </c>
      <c r="I30" s="3" t="s">
        <v>151</v>
      </c>
      <c r="J30" s="375" t="str">
        <f t="shared" ca="1" si="15"/>
        <v>ACT</v>
      </c>
      <c r="K30" s="375" t="str">
        <f t="shared" si="17"/>
        <v>2019-01</v>
      </c>
      <c r="L30" s="3" t="str">
        <f t="shared" ca="1" si="18"/>
        <v>19/20Q2</v>
      </c>
      <c r="M30" s="14" t="str">
        <f ca="1">VLOOKUP($N$5&amp;N30,$C$12:$F$47,3,0)</f>
        <v>19/20</v>
      </c>
      <c r="N30" s="15" t="str">
        <f ca="1">VLOOKUP($N$27,$L$21:$P$24,4,0)</f>
        <v>Q2</v>
      </c>
      <c r="O30" s="3" t="str">
        <f ca="1">VLOOKUP(M30,$L$12:$M$17,2)</f>
        <v>18/19</v>
      </c>
      <c r="P30" s="734" t="s">
        <v>283</v>
      </c>
      <c r="S30" s="373" t="s">
        <v>145</v>
      </c>
      <c r="T30" s="375" t="s">
        <v>146</v>
      </c>
      <c r="U30" s="375" t="s">
        <v>149</v>
      </c>
    </row>
    <row r="31" spans="1:22" ht="15.75" thickBot="1" x14ac:dyDescent="0.3">
      <c r="A31" s="375" t="str">
        <f t="shared" si="12"/>
        <v>18/19Mar</v>
      </c>
      <c r="B31" s="3" t="str">
        <f t="shared" si="13"/>
        <v>18/19-Q3</v>
      </c>
      <c r="C31" s="3" t="str">
        <f t="shared" si="14"/>
        <v>2019-03Q3</v>
      </c>
      <c r="D31" t="s">
        <v>38</v>
      </c>
      <c r="E31" t="s">
        <v>17</v>
      </c>
      <c r="F31" t="s">
        <v>58</v>
      </c>
      <c r="G31" s="3">
        <v>2</v>
      </c>
      <c r="H31" s="3">
        <v>8</v>
      </c>
      <c r="I31" s="3" t="s">
        <v>152</v>
      </c>
      <c r="J31" s="375" t="str">
        <f t="shared" ca="1" si="15"/>
        <v>ACT</v>
      </c>
      <c r="K31" s="375" t="str">
        <f t="shared" si="17"/>
        <v>2019-02</v>
      </c>
      <c r="L31" s="3" t="str">
        <f t="shared" ca="1" si="18"/>
        <v>19/20Q3</v>
      </c>
      <c r="M31" s="16" t="str">
        <f ca="1">VLOOKUP($Q$5,$D$12:$F$47,2,FALSE)</f>
        <v>19/20</v>
      </c>
      <c r="N31" s="17" t="str">
        <f ca="1">VLOOKUP($N$27,$L$21:$P$24,5,0)</f>
        <v>Q3</v>
      </c>
      <c r="O31" s="661" t="str">
        <f ca="1">O27</f>
        <v>17/18</v>
      </c>
      <c r="P31" s="3" t="str">
        <f ca="1">VLOOKUP(M31,$L$12:$M$17,2)</f>
        <v>18/19</v>
      </c>
      <c r="S31" s="375" t="s">
        <v>149</v>
      </c>
      <c r="T31" s="375" t="s">
        <v>145</v>
      </c>
      <c r="U31" s="375" t="s">
        <v>147</v>
      </c>
    </row>
    <row r="32" spans="1:22" ht="15.75" thickBot="1" x14ac:dyDescent="0.3">
      <c r="A32" s="375" t="str">
        <f t="shared" si="12"/>
        <v>18/19Apr</v>
      </c>
      <c r="B32" s="3" t="str">
        <f t="shared" si="13"/>
        <v>18/19-Q3</v>
      </c>
      <c r="C32" s="3" t="str">
        <f t="shared" si="14"/>
        <v>2019-04Q3</v>
      </c>
      <c r="D32" t="s">
        <v>39</v>
      </c>
      <c r="E32" t="s">
        <v>17</v>
      </c>
      <c r="F32" t="s">
        <v>58</v>
      </c>
      <c r="G32" s="3">
        <v>3</v>
      </c>
      <c r="H32" s="3">
        <v>9</v>
      </c>
      <c r="I32" s="3" t="s">
        <v>150</v>
      </c>
      <c r="J32" s="375" t="str">
        <f t="shared" ca="1" si="15"/>
        <v>FC</v>
      </c>
      <c r="K32" s="375" t="str">
        <f t="shared" si="17"/>
        <v>2019-03</v>
      </c>
      <c r="M32" s="2" t="s">
        <v>130</v>
      </c>
      <c r="S32" s="375" t="s">
        <v>147</v>
      </c>
      <c r="T32" s="375" t="s">
        <v>149</v>
      </c>
      <c r="U32" s="375" t="s">
        <v>148</v>
      </c>
    </row>
    <row r="33" spans="1:21" ht="15" x14ac:dyDescent="0.25">
      <c r="A33" s="375" t="str">
        <f t="shared" si="12"/>
        <v>18/19May</v>
      </c>
      <c r="B33" s="3" t="str">
        <f t="shared" si="13"/>
        <v>18/19-Q4</v>
      </c>
      <c r="C33" s="3" t="str">
        <f t="shared" si="14"/>
        <v>2019-05Q4</v>
      </c>
      <c r="D33" t="s">
        <v>40</v>
      </c>
      <c r="E33" t="s">
        <v>17</v>
      </c>
      <c r="F33" t="s">
        <v>59</v>
      </c>
      <c r="G33" s="3">
        <v>1</v>
      </c>
      <c r="H33" s="3">
        <v>10</v>
      </c>
      <c r="I33" s="3" t="s">
        <v>155</v>
      </c>
      <c r="J33" s="375" t="str">
        <f t="shared" ca="1" si="15"/>
        <v>FC</v>
      </c>
      <c r="K33" s="375" t="str">
        <f t="shared" si="17"/>
        <v>2019-04</v>
      </c>
      <c r="L33" s="3" t="str">
        <f ca="1">CONCATENATE(M33,N33)</f>
        <v>18/19Q3</v>
      </c>
      <c r="M33" s="227" t="str">
        <f ca="1">M27</f>
        <v>18/19</v>
      </c>
      <c r="N33" s="228" t="str">
        <f ca="1">N27</f>
        <v>Q3</v>
      </c>
      <c r="S33" s="375" t="s">
        <v>148</v>
      </c>
      <c r="T33" s="375" t="s">
        <v>147</v>
      </c>
      <c r="U33" s="375" t="s">
        <v>151</v>
      </c>
    </row>
    <row r="34" spans="1:21" ht="15" x14ac:dyDescent="0.25">
      <c r="A34" s="375" t="str">
        <f t="shared" si="12"/>
        <v>18/19Jun</v>
      </c>
      <c r="B34" s="3" t="str">
        <f t="shared" si="13"/>
        <v>18/19-Q4</v>
      </c>
      <c r="C34" s="3" t="str">
        <f t="shared" si="14"/>
        <v>2019-06Q4</v>
      </c>
      <c r="D34" t="s">
        <v>41</v>
      </c>
      <c r="E34" t="s">
        <v>17</v>
      </c>
      <c r="F34" t="s">
        <v>59</v>
      </c>
      <c r="G34" s="3">
        <v>2</v>
      </c>
      <c r="H34" s="3">
        <v>11</v>
      </c>
      <c r="I34" s="3" t="s">
        <v>154</v>
      </c>
      <c r="J34" s="375" t="str">
        <f t="shared" ca="1" si="15"/>
        <v>FC</v>
      </c>
      <c r="K34" s="375" t="str">
        <f t="shared" si="17"/>
        <v>2019-05</v>
      </c>
      <c r="L34" s="3" t="str">
        <f ca="1">CONCATENATE(M34,N34)</f>
        <v>18/19Q2</v>
      </c>
      <c r="M34" s="14" t="str">
        <f ca="1">O30</f>
        <v>18/19</v>
      </c>
      <c r="N34" s="15" t="str">
        <f ca="1">N30</f>
        <v>Q2</v>
      </c>
      <c r="S34" s="375" t="s">
        <v>151</v>
      </c>
      <c r="T34" s="375" t="s">
        <v>148</v>
      </c>
      <c r="U34" s="375" t="s">
        <v>152</v>
      </c>
    </row>
    <row r="35" spans="1:21" ht="15" x14ac:dyDescent="0.25">
      <c r="A35" s="375" t="str">
        <f t="shared" si="12"/>
        <v>18/19Jul</v>
      </c>
      <c r="B35" s="3" t="str">
        <f t="shared" si="13"/>
        <v>18/19-Q4</v>
      </c>
      <c r="C35" s="3" t="str">
        <f t="shared" si="14"/>
        <v>2019-07Q4</v>
      </c>
      <c r="D35" t="s">
        <v>42</v>
      </c>
      <c r="E35" t="s">
        <v>17</v>
      </c>
      <c r="F35" t="s">
        <v>59</v>
      </c>
      <c r="G35" s="3">
        <v>3</v>
      </c>
      <c r="H35" s="3">
        <v>12</v>
      </c>
      <c r="I35" s="3" t="s">
        <v>153</v>
      </c>
      <c r="J35" s="375" t="str">
        <f t="shared" ca="1" si="15"/>
        <v>FC</v>
      </c>
      <c r="K35" s="375" t="str">
        <f t="shared" si="17"/>
        <v>2019-06</v>
      </c>
      <c r="L35" s="3" t="str">
        <f t="shared" ref="L35:L37" ca="1" si="19">CONCATENATE(M35,N35)</f>
        <v>18/19Q1</v>
      </c>
      <c r="M35" s="14" t="str">
        <f ca="1">O29</f>
        <v>18/19</v>
      </c>
      <c r="N35" s="15" t="str">
        <f ca="1">VLOOKUP($N$34,$L$21:$P$24,4)</f>
        <v>Q1</v>
      </c>
      <c r="S35" s="375" t="s">
        <v>152</v>
      </c>
      <c r="T35" s="375" t="s">
        <v>151</v>
      </c>
      <c r="U35" s="375" t="s">
        <v>150</v>
      </c>
    </row>
    <row r="36" spans="1:21" ht="15" x14ac:dyDescent="0.25">
      <c r="A36" s="375" t="str">
        <f t="shared" si="12"/>
        <v>19/20Aug</v>
      </c>
      <c r="B36" s="3" t="str">
        <f t="shared" si="13"/>
        <v>19/20-Q1</v>
      </c>
      <c r="C36" s="3" t="str">
        <f t="shared" si="14"/>
        <v>2019-08Q1</v>
      </c>
      <c r="D36" t="s">
        <v>43</v>
      </c>
      <c r="E36" t="s">
        <v>48</v>
      </c>
      <c r="F36" t="s">
        <v>56</v>
      </c>
      <c r="G36" s="3">
        <v>1</v>
      </c>
      <c r="H36" s="3">
        <v>1</v>
      </c>
      <c r="I36" s="3" t="s">
        <v>144</v>
      </c>
      <c r="J36" s="375" t="str">
        <f t="shared" ca="1" si="15"/>
        <v>FC</v>
      </c>
      <c r="K36" s="375" t="str">
        <f t="shared" si="17"/>
        <v>2019-07</v>
      </c>
      <c r="L36" s="3" t="str">
        <f t="shared" ca="1" si="19"/>
        <v>17/18Q4</v>
      </c>
      <c r="M36" s="14" t="str">
        <f ca="1">O28</f>
        <v>17/18</v>
      </c>
      <c r="N36" s="15" t="str">
        <f ca="1">VLOOKUP($N$34,$L$21:$P$24,3)</f>
        <v>Q4</v>
      </c>
      <c r="S36" s="375" t="s">
        <v>150</v>
      </c>
      <c r="T36" s="375" t="s">
        <v>152</v>
      </c>
      <c r="U36" s="375" t="s">
        <v>155</v>
      </c>
    </row>
    <row r="37" spans="1:21" ht="15.75" thickBot="1" x14ac:dyDescent="0.3">
      <c r="A37" s="375" t="str">
        <f t="shared" si="12"/>
        <v>19/20Sep</v>
      </c>
      <c r="B37" s="3" t="str">
        <f t="shared" si="13"/>
        <v>19/20-Q1</v>
      </c>
      <c r="C37" s="3" t="str">
        <f t="shared" si="14"/>
        <v>2019-09Q1</v>
      </c>
      <c r="D37" t="s">
        <v>44</v>
      </c>
      <c r="E37" t="s">
        <v>48</v>
      </c>
      <c r="F37" t="s">
        <v>56</v>
      </c>
      <c r="G37" s="3">
        <v>2</v>
      </c>
      <c r="H37" s="3">
        <v>2</v>
      </c>
      <c r="I37" s="3" t="s">
        <v>146</v>
      </c>
      <c r="J37" s="375" t="str">
        <f t="shared" ca="1" si="15"/>
        <v>FC</v>
      </c>
      <c r="K37" s="375" t="str">
        <f t="shared" si="17"/>
        <v>2019-08</v>
      </c>
      <c r="L37" s="3" t="str">
        <f t="shared" ca="1" si="19"/>
        <v>17/18Q3</v>
      </c>
      <c r="M37" s="16" t="str">
        <f ca="1">O27</f>
        <v>17/18</v>
      </c>
      <c r="N37" s="17" t="str">
        <f ca="1">VLOOKUP($N$34,$L$21:$P$24,2)</f>
        <v>Q3</v>
      </c>
      <c r="S37" s="375" t="s">
        <v>155</v>
      </c>
      <c r="T37" s="375" t="s">
        <v>150</v>
      </c>
      <c r="U37" s="375" t="s">
        <v>154</v>
      </c>
    </row>
    <row r="38" spans="1:21" ht="15" x14ac:dyDescent="0.25">
      <c r="A38" s="375" t="str">
        <f t="shared" si="12"/>
        <v>19/20Oct</v>
      </c>
      <c r="B38" s="3" t="str">
        <f t="shared" si="13"/>
        <v>19/20-Q1</v>
      </c>
      <c r="C38" s="3" t="str">
        <f t="shared" si="14"/>
        <v>2019-10Q1</v>
      </c>
      <c r="D38" t="s">
        <v>45</v>
      </c>
      <c r="E38" t="s">
        <v>48</v>
      </c>
      <c r="F38" t="s">
        <v>56</v>
      </c>
      <c r="G38" s="3">
        <v>3</v>
      </c>
      <c r="H38" s="3">
        <v>3</v>
      </c>
      <c r="I38" s="3" t="s">
        <v>145</v>
      </c>
      <c r="J38" s="375" t="str">
        <f t="shared" ca="1" si="15"/>
        <v>FC</v>
      </c>
      <c r="K38" s="375" t="str">
        <f t="shared" si="17"/>
        <v>2019-09</v>
      </c>
      <c r="S38" s="375" t="s">
        <v>154</v>
      </c>
      <c r="T38" s="375" t="s">
        <v>155</v>
      </c>
      <c r="U38" s="375" t="s">
        <v>153</v>
      </c>
    </row>
    <row r="39" spans="1:21" ht="15.75" thickBot="1" x14ac:dyDescent="0.3">
      <c r="A39" s="375" t="str">
        <f t="shared" si="12"/>
        <v>19/20Nov</v>
      </c>
      <c r="B39" s="3" t="str">
        <f t="shared" si="13"/>
        <v>19/20-Q2</v>
      </c>
      <c r="C39" s="3" t="str">
        <f t="shared" si="14"/>
        <v>2019-11Q2</v>
      </c>
      <c r="D39" t="s">
        <v>46</v>
      </c>
      <c r="E39" t="s">
        <v>48</v>
      </c>
      <c r="F39" t="s">
        <v>57</v>
      </c>
      <c r="G39" s="3">
        <v>1</v>
      </c>
      <c r="H39" s="3">
        <v>4</v>
      </c>
      <c r="I39" s="3" t="s">
        <v>149</v>
      </c>
      <c r="J39" s="375" t="str">
        <f t="shared" ca="1" si="15"/>
        <v>FC</v>
      </c>
      <c r="K39" s="375" t="str">
        <f t="shared" si="17"/>
        <v>2019-10</v>
      </c>
      <c r="L39" s="250" t="s">
        <v>81</v>
      </c>
      <c r="M39" s="250" t="s">
        <v>81</v>
      </c>
      <c r="N39" s="250" t="s">
        <v>7</v>
      </c>
      <c r="O39" s="250" t="s">
        <v>8</v>
      </c>
      <c r="P39" s="250" t="s">
        <v>117</v>
      </c>
      <c r="Q39" s="250" t="s">
        <v>156</v>
      </c>
      <c r="S39" s="375" t="s">
        <v>153</v>
      </c>
      <c r="T39" s="375" t="s">
        <v>154</v>
      </c>
      <c r="U39" s="375" t="s">
        <v>144</v>
      </c>
    </row>
    <row r="40" spans="1:21" ht="15" x14ac:dyDescent="0.25">
      <c r="A40" s="375" t="str">
        <f t="shared" si="12"/>
        <v>19/20Dec</v>
      </c>
      <c r="B40" s="3" t="str">
        <f t="shared" si="13"/>
        <v>19/20-Q2</v>
      </c>
      <c r="C40" s="3" t="str">
        <f t="shared" si="14"/>
        <v>2019-12Q2</v>
      </c>
      <c r="D40" t="s">
        <v>47</v>
      </c>
      <c r="E40" t="s">
        <v>48</v>
      </c>
      <c r="F40" t="s">
        <v>57</v>
      </c>
      <c r="G40" s="3">
        <v>2</v>
      </c>
      <c r="H40" s="3">
        <v>5</v>
      </c>
      <c r="I40" s="3" t="s">
        <v>147</v>
      </c>
      <c r="J40" s="375" t="str">
        <f t="shared" ca="1" si="15"/>
        <v>FC</v>
      </c>
      <c r="K40" s="375" t="str">
        <f t="shared" si="17"/>
        <v>2019-11</v>
      </c>
      <c r="L40" s="251" t="str">
        <f ca="1">N40&amp;O40&amp;P40</f>
        <v>18/19Q33</v>
      </c>
      <c r="M40" s="251" t="str">
        <f ca="1">_xlfn.CONCAT(N40&amp;Q40)</f>
        <v>18/19Apr</v>
      </c>
      <c r="N40" s="258" t="str">
        <f ca="1">E6</f>
        <v>18/19</v>
      </c>
      <c r="O40" s="259" t="str">
        <f ca="1">E7</f>
        <v>Q3</v>
      </c>
      <c r="P40" s="252">
        <f ca="1">E8</f>
        <v>3</v>
      </c>
      <c r="Q40" s="253" t="str">
        <f ca="1">E9</f>
        <v>Apr</v>
      </c>
    </row>
    <row r="41" spans="1:21" ht="15" x14ac:dyDescent="0.25">
      <c r="A41" s="375" t="str">
        <f t="shared" si="12"/>
        <v>19/20Jan</v>
      </c>
      <c r="B41" s="3" t="str">
        <f t="shared" si="13"/>
        <v>19/20-Q2</v>
      </c>
      <c r="C41" s="3" t="str">
        <f t="shared" si="14"/>
        <v>2020-01Q2</v>
      </c>
      <c r="D41" t="s">
        <v>49</v>
      </c>
      <c r="E41" t="s">
        <v>48</v>
      </c>
      <c r="F41" t="s">
        <v>57</v>
      </c>
      <c r="G41" s="3">
        <v>3</v>
      </c>
      <c r="H41" s="3">
        <v>6</v>
      </c>
      <c r="I41" s="3" t="s">
        <v>148</v>
      </c>
      <c r="J41" s="375" t="str">
        <f t="shared" ca="1" si="15"/>
        <v>FC</v>
      </c>
      <c r="K41" s="375" t="str">
        <f t="shared" si="17"/>
        <v>2019-12</v>
      </c>
      <c r="L41" s="251" t="str">
        <f ca="1">N41&amp;O41&amp;P41</f>
        <v>18/19Q41</v>
      </c>
      <c r="M41" s="251" t="str">
        <f ca="1">_xlfn.CONCAT(N41&amp;Q41)</f>
        <v>18/19May</v>
      </c>
      <c r="N41" s="260" t="str">
        <f ca="1">F6</f>
        <v>18/19</v>
      </c>
      <c r="O41" s="254" t="str">
        <f ca="1">F7</f>
        <v>Q4</v>
      </c>
      <c r="P41" s="254">
        <f ca="1">F8</f>
        <v>1</v>
      </c>
      <c r="Q41" s="255" t="str">
        <f ca="1">F9</f>
        <v>May</v>
      </c>
    </row>
    <row r="42" spans="1:21" ht="15.75" thickBot="1" x14ac:dyDescent="0.3">
      <c r="A42" s="375" t="str">
        <f t="shared" si="12"/>
        <v>19/20Feb</v>
      </c>
      <c r="B42" s="3" t="str">
        <f t="shared" si="13"/>
        <v>19/20-Q3</v>
      </c>
      <c r="C42" s="3" t="str">
        <f t="shared" si="14"/>
        <v>2020-02Q3</v>
      </c>
      <c r="D42" t="s">
        <v>50</v>
      </c>
      <c r="E42" t="s">
        <v>48</v>
      </c>
      <c r="F42" t="s">
        <v>58</v>
      </c>
      <c r="G42" s="3">
        <v>1</v>
      </c>
      <c r="H42" s="3">
        <v>7</v>
      </c>
      <c r="I42" s="3" t="s">
        <v>151</v>
      </c>
      <c r="J42" s="375" t="str">
        <f t="shared" ca="1" si="15"/>
        <v>FC</v>
      </c>
      <c r="K42" s="375" t="str">
        <f t="shared" si="17"/>
        <v>2020-01</v>
      </c>
      <c r="L42" s="251" t="str">
        <f ca="1">N42&amp;O42&amp;P42</f>
        <v>18/19Q42</v>
      </c>
      <c r="M42" s="251" t="str">
        <f ca="1">_xlfn.CONCAT(N42&amp;Q42)</f>
        <v>18/19Jun</v>
      </c>
      <c r="N42" s="261" t="str">
        <f ca="1">G6</f>
        <v>18/19</v>
      </c>
      <c r="O42" s="256" t="str">
        <f ca="1">G7</f>
        <v>Q4</v>
      </c>
      <c r="P42" s="256">
        <f ca="1">G8</f>
        <v>2</v>
      </c>
      <c r="Q42" s="257" t="str">
        <f ca="1">G9</f>
        <v>Jun</v>
      </c>
    </row>
    <row r="43" spans="1:21" ht="15" x14ac:dyDescent="0.25">
      <c r="A43" s="375" t="str">
        <f t="shared" si="12"/>
        <v>19/20Mar</v>
      </c>
      <c r="B43" s="3" t="str">
        <f t="shared" si="13"/>
        <v>19/20-Q3</v>
      </c>
      <c r="C43" s="3" t="str">
        <f t="shared" si="14"/>
        <v>2020-03Q3</v>
      </c>
      <c r="D43" t="s">
        <v>51</v>
      </c>
      <c r="E43" t="s">
        <v>48</v>
      </c>
      <c r="F43" t="s">
        <v>58</v>
      </c>
      <c r="G43" s="3">
        <v>2</v>
      </c>
      <c r="H43" s="3">
        <v>8</v>
      </c>
      <c r="I43" s="3" t="s">
        <v>152</v>
      </c>
      <c r="J43" s="375" t="str">
        <f t="shared" ca="1" si="15"/>
        <v>FC</v>
      </c>
      <c r="K43" s="375" t="str">
        <f t="shared" si="17"/>
        <v>2020-02</v>
      </c>
      <c r="L43" s="244"/>
      <c r="N43" s="247"/>
      <c r="O43" s="247"/>
      <c r="P43" s="248"/>
      <c r="Q43" s="248"/>
    </row>
    <row r="44" spans="1:21" ht="15" x14ac:dyDescent="0.25">
      <c r="A44" s="375" t="str">
        <f t="shared" si="12"/>
        <v>19/20Apr</v>
      </c>
      <c r="B44" s="3" t="str">
        <f t="shared" si="13"/>
        <v>19/20-Q3</v>
      </c>
      <c r="C44" s="3" t="str">
        <f t="shared" si="14"/>
        <v>2020-04Q3</v>
      </c>
      <c r="D44" t="s">
        <v>52</v>
      </c>
      <c r="E44" t="s">
        <v>48</v>
      </c>
      <c r="F44" t="s">
        <v>58</v>
      </c>
      <c r="G44" s="3">
        <v>3</v>
      </c>
      <c r="H44" s="3">
        <v>9</v>
      </c>
      <c r="I44" s="3" t="s">
        <v>150</v>
      </c>
      <c r="J44" s="375" t="str">
        <f t="shared" ca="1" si="15"/>
        <v>FC</v>
      </c>
      <c r="K44" s="375" t="str">
        <f t="shared" si="17"/>
        <v>2020-03</v>
      </c>
      <c r="L44" s="244"/>
      <c r="N44" s="249"/>
      <c r="O44" s="248"/>
      <c r="P44" s="249"/>
      <c r="Q44" s="249"/>
    </row>
    <row r="45" spans="1:21" ht="15" x14ac:dyDescent="0.25">
      <c r="A45" s="375" t="str">
        <f t="shared" si="12"/>
        <v>19/20May</v>
      </c>
      <c r="B45" s="3" t="str">
        <f t="shared" si="13"/>
        <v>19/20-Q4</v>
      </c>
      <c r="C45" s="3" t="str">
        <f t="shared" si="14"/>
        <v>2020-05Q4</v>
      </c>
      <c r="D45" t="s">
        <v>53</v>
      </c>
      <c r="E45" t="s">
        <v>48</v>
      </c>
      <c r="F45" t="s">
        <v>59</v>
      </c>
      <c r="G45" s="3">
        <v>1</v>
      </c>
      <c r="H45" s="3">
        <v>10</v>
      </c>
      <c r="I45" s="3" t="s">
        <v>155</v>
      </c>
      <c r="J45" s="375" t="str">
        <f t="shared" ca="1" si="15"/>
        <v>FC</v>
      </c>
      <c r="K45" s="375" t="str">
        <f t="shared" si="17"/>
        <v>2020-04</v>
      </c>
    </row>
    <row r="46" spans="1:21" ht="15" x14ac:dyDescent="0.25">
      <c r="A46" s="375" t="str">
        <f t="shared" si="12"/>
        <v>19/20Jun</v>
      </c>
      <c r="B46" s="3" t="str">
        <f t="shared" si="13"/>
        <v>19/20-Q4</v>
      </c>
      <c r="C46" s="3" t="str">
        <f t="shared" si="14"/>
        <v>2020-06Q4</v>
      </c>
      <c r="D46" t="s">
        <v>54</v>
      </c>
      <c r="E46" t="s">
        <v>48</v>
      </c>
      <c r="F46" t="s">
        <v>59</v>
      </c>
      <c r="G46" s="3">
        <v>2</v>
      </c>
      <c r="H46" s="3">
        <v>11</v>
      </c>
      <c r="I46" s="3" t="s">
        <v>154</v>
      </c>
      <c r="J46" s="375" t="str">
        <f t="shared" ca="1" si="15"/>
        <v>FC</v>
      </c>
      <c r="K46" s="375" t="str">
        <f t="shared" si="17"/>
        <v>2020-05</v>
      </c>
    </row>
    <row r="47" spans="1:21" ht="15" x14ac:dyDescent="0.25">
      <c r="A47" s="375" t="str">
        <f t="shared" si="12"/>
        <v>19/20Jul</v>
      </c>
      <c r="B47" s="3" t="str">
        <f t="shared" si="13"/>
        <v>19/20-Q4</v>
      </c>
      <c r="C47" s="3" t="str">
        <f t="shared" si="14"/>
        <v>2020-07Q4</v>
      </c>
      <c r="D47" t="s">
        <v>55</v>
      </c>
      <c r="E47" t="s">
        <v>48</v>
      </c>
      <c r="F47" t="s">
        <v>59</v>
      </c>
      <c r="G47" s="3">
        <v>3</v>
      </c>
      <c r="H47" s="3">
        <v>12</v>
      </c>
      <c r="I47" s="3" t="s">
        <v>153</v>
      </c>
      <c r="J47" s="375" t="str">
        <f t="shared" ca="1" si="15"/>
        <v>FC</v>
      </c>
      <c r="K47" s="375" t="str">
        <f t="shared" si="17"/>
        <v>2020-06</v>
      </c>
    </row>
    <row r="48" spans="1:21" ht="15" x14ac:dyDescent="0.25">
      <c r="A48" s="375" t="str">
        <f t="shared" ref="A48:A71" si="20">E48&amp;I48</f>
        <v>20/21Aug</v>
      </c>
      <c r="B48" s="375" t="str">
        <f t="shared" ref="B48:B71" si="21">E48&amp;"-"&amp;F48</f>
        <v>20/21-Q1</v>
      </c>
      <c r="C48" s="375" t="str">
        <f t="shared" ref="C48:C71" si="22">CONCATENATE(D48,F48)</f>
        <v>2020-08Q1</v>
      </c>
      <c r="D48" s="373" t="s">
        <v>1693</v>
      </c>
      <c r="E48" s="846" t="s">
        <v>73</v>
      </c>
      <c r="F48" s="373" t="s">
        <v>56</v>
      </c>
      <c r="G48" s="375">
        <v>1</v>
      </c>
      <c r="H48" s="375">
        <v>1</v>
      </c>
      <c r="I48" s="375" t="s">
        <v>144</v>
      </c>
      <c r="J48" s="375" t="str">
        <f t="shared" ref="J48:J71" ca="1" si="23">IF(D48&lt;$E$5,"ACT","FC")</f>
        <v>FC</v>
      </c>
      <c r="K48" s="375" t="str">
        <f t="shared" ref="K48:K71" si="24">D47</f>
        <v>2020-07</v>
      </c>
    </row>
    <row r="49" spans="1:11" ht="15" x14ac:dyDescent="0.25">
      <c r="A49" s="375" t="str">
        <f t="shared" si="20"/>
        <v>20/21Sep</v>
      </c>
      <c r="B49" s="375" t="str">
        <f t="shared" si="21"/>
        <v>20/21-Q1</v>
      </c>
      <c r="C49" s="375" t="str">
        <f t="shared" si="22"/>
        <v>2020-09Q1</v>
      </c>
      <c r="D49" s="373" t="s">
        <v>1694</v>
      </c>
      <c r="E49" s="3" t="s">
        <v>73</v>
      </c>
      <c r="F49" s="373" t="s">
        <v>56</v>
      </c>
      <c r="G49" s="375">
        <v>2</v>
      </c>
      <c r="H49" s="375">
        <v>2</v>
      </c>
      <c r="I49" s="375" t="s">
        <v>146</v>
      </c>
      <c r="J49" s="375" t="str">
        <f t="shared" ca="1" si="23"/>
        <v>FC</v>
      </c>
      <c r="K49" s="375" t="str">
        <f t="shared" si="24"/>
        <v>2020-08</v>
      </c>
    </row>
    <row r="50" spans="1:11" ht="15" x14ac:dyDescent="0.25">
      <c r="A50" s="375" t="str">
        <f t="shared" si="20"/>
        <v>20/21Oct</v>
      </c>
      <c r="B50" s="375" t="str">
        <f t="shared" si="21"/>
        <v>20/21-Q1</v>
      </c>
      <c r="C50" s="375" t="str">
        <f t="shared" si="22"/>
        <v>2020-10Q1</v>
      </c>
      <c r="D50" s="373" t="s">
        <v>1695</v>
      </c>
      <c r="E50" s="3" t="s">
        <v>73</v>
      </c>
      <c r="F50" s="373" t="s">
        <v>56</v>
      </c>
      <c r="G50" s="375">
        <v>3</v>
      </c>
      <c r="H50" s="375">
        <v>3</v>
      </c>
      <c r="I50" s="375" t="s">
        <v>145</v>
      </c>
      <c r="J50" s="375" t="str">
        <f t="shared" ca="1" si="23"/>
        <v>FC</v>
      </c>
      <c r="K50" s="375" t="str">
        <f t="shared" si="24"/>
        <v>2020-09</v>
      </c>
    </row>
    <row r="51" spans="1:11" ht="15" x14ac:dyDescent="0.25">
      <c r="A51" s="375" t="str">
        <f t="shared" si="20"/>
        <v>20/21Nov</v>
      </c>
      <c r="B51" s="375" t="str">
        <f t="shared" si="21"/>
        <v>20/21-Q2</v>
      </c>
      <c r="C51" s="375" t="str">
        <f t="shared" si="22"/>
        <v>2020-11Q2</v>
      </c>
      <c r="D51" s="373" t="s">
        <v>1696</v>
      </c>
      <c r="E51" s="3" t="s">
        <v>73</v>
      </c>
      <c r="F51" s="373" t="s">
        <v>57</v>
      </c>
      <c r="G51" s="375">
        <v>1</v>
      </c>
      <c r="H51" s="375">
        <v>4</v>
      </c>
      <c r="I51" s="375" t="s">
        <v>149</v>
      </c>
      <c r="J51" s="375" t="str">
        <f t="shared" ca="1" si="23"/>
        <v>FC</v>
      </c>
      <c r="K51" s="375" t="str">
        <f t="shared" si="24"/>
        <v>2020-10</v>
      </c>
    </row>
    <row r="52" spans="1:11" ht="15" x14ac:dyDescent="0.25">
      <c r="A52" s="375" t="str">
        <f t="shared" si="20"/>
        <v>20/21Dec</v>
      </c>
      <c r="B52" s="375" t="str">
        <f t="shared" si="21"/>
        <v>20/21-Q2</v>
      </c>
      <c r="C52" s="375" t="str">
        <f t="shared" si="22"/>
        <v>2020-12Q2</v>
      </c>
      <c r="D52" s="373" t="s">
        <v>1697</v>
      </c>
      <c r="E52" s="3" t="s">
        <v>73</v>
      </c>
      <c r="F52" s="373" t="s">
        <v>57</v>
      </c>
      <c r="G52" s="375">
        <v>2</v>
      </c>
      <c r="H52" s="375">
        <v>5</v>
      </c>
      <c r="I52" s="375" t="s">
        <v>147</v>
      </c>
      <c r="J52" s="375" t="str">
        <f t="shared" ca="1" si="23"/>
        <v>FC</v>
      </c>
      <c r="K52" s="375" t="str">
        <f t="shared" si="24"/>
        <v>2020-11</v>
      </c>
    </row>
    <row r="53" spans="1:11" ht="15" x14ac:dyDescent="0.25">
      <c r="A53" s="375" t="str">
        <f t="shared" si="20"/>
        <v>20/21Jan</v>
      </c>
      <c r="B53" s="375" t="str">
        <f t="shared" si="21"/>
        <v>20/21-Q2</v>
      </c>
      <c r="C53" s="375" t="str">
        <f t="shared" si="22"/>
        <v>2021-01Q2</v>
      </c>
      <c r="D53" s="373" t="s">
        <v>1698</v>
      </c>
      <c r="E53" s="3" t="s">
        <v>73</v>
      </c>
      <c r="F53" s="373" t="s">
        <v>57</v>
      </c>
      <c r="G53" s="375">
        <v>3</v>
      </c>
      <c r="H53" s="375">
        <v>6</v>
      </c>
      <c r="I53" s="375" t="s">
        <v>148</v>
      </c>
      <c r="J53" s="375" t="str">
        <f t="shared" ca="1" si="23"/>
        <v>FC</v>
      </c>
      <c r="K53" s="375" t="str">
        <f t="shared" si="24"/>
        <v>2020-12</v>
      </c>
    </row>
    <row r="54" spans="1:11" ht="15" x14ac:dyDescent="0.25">
      <c r="A54" s="375" t="str">
        <f t="shared" si="20"/>
        <v>20/21Feb</v>
      </c>
      <c r="B54" s="375" t="str">
        <f t="shared" si="21"/>
        <v>20/21-Q3</v>
      </c>
      <c r="C54" s="375" t="str">
        <f t="shared" si="22"/>
        <v>2021-02Q3</v>
      </c>
      <c r="D54" s="373" t="s">
        <v>1699</v>
      </c>
      <c r="E54" s="3" t="s">
        <v>73</v>
      </c>
      <c r="F54" s="373" t="s">
        <v>58</v>
      </c>
      <c r="G54" s="375">
        <v>1</v>
      </c>
      <c r="H54" s="375">
        <v>7</v>
      </c>
      <c r="I54" s="375" t="s">
        <v>151</v>
      </c>
      <c r="J54" s="375" t="str">
        <f t="shared" ca="1" si="23"/>
        <v>FC</v>
      </c>
      <c r="K54" s="375" t="str">
        <f t="shared" si="24"/>
        <v>2021-01</v>
      </c>
    </row>
    <row r="55" spans="1:11" ht="15" x14ac:dyDescent="0.25">
      <c r="A55" s="375" t="str">
        <f t="shared" si="20"/>
        <v>20/21Mar</v>
      </c>
      <c r="B55" s="375" t="str">
        <f t="shared" si="21"/>
        <v>20/21-Q3</v>
      </c>
      <c r="C55" s="375" t="str">
        <f t="shared" si="22"/>
        <v>2021-03Q3</v>
      </c>
      <c r="D55" s="373" t="s">
        <v>1700</v>
      </c>
      <c r="E55" s="3" t="s">
        <v>73</v>
      </c>
      <c r="F55" s="373" t="s">
        <v>58</v>
      </c>
      <c r="G55" s="375">
        <v>2</v>
      </c>
      <c r="H55" s="375">
        <v>8</v>
      </c>
      <c r="I55" s="375" t="s">
        <v>152</v>
      </c>
      <c r="J55" s="375" t="str">
        <f t="shared" ca="1" si="23"/>
        <v>FC</v>
      </c>
      <c r="K55" s="375" t="str">
        <f t="shared" si="24"/>
        <v>2021-02</v>
      </c>
    </row>
    <row r="56" spans="1:11" ht="15" x14ac:dyDescent="0.25">
      <c r="A56" s="375" t="str">
        <f t="shared" si="20"/>
        <v>20/21Apr</v>
      </c>
      <c r="B56" s="375" t="str">
        <f t="shared" si="21"/>
        <v>20/21-Q3</v>
      </c>
      <c r="C56" s="375" t="str">
        <f t="shared" si="22"/>
        <v>2021-04Q3</v>
      </c>
      <c r="D56" s="373" t="s">
        <v>1701</v>
      </c>
      <c r="E56" s="3" t="s">
        <v>73</v>
      </c>
      <c r="F56" s="373" t="s">
        <v>58</v>
      </c>
      <c r="G56" s="375">
        <v>3</v>
      </c>
      <c r="H56" s="375">
        <v>9</v>
      </c>
      <c r="I56" s="375" t="s">
        <v>150</v>
      </c>
      <c r="J56" s="375" t="str">
        <f t="shared" ca="1" si="23"/>
        <v>FC</v>
      </c>
      <c r="K56" s="375" t="str">
        <f t="shared" si="24"/>
        <v>2021-03</v>
      </c>
    </row>
    <row r="57" spans="1:11" ht="15" x14ac:dyDescent="0.25">
      <c r="A57" s="375" t="str">
        <f t="shared" si="20"/>
        <v>20/21May</v>
      </c>
      <c r="B57" s="375" t="str">
        <f t="shared" si="21"/>
        <v>20/21-Q4</v>
      </c>
      <c r="C57" s="375" t="str">
        <f t="shared" si="22"/>
        <v>2021-05Q4</v>
      </c>
      <c r="D57" s="373" t="s">
        <v>1702</v>
      </c>
      <c r="E57" s="3" t="s">
        <v>73</v>
      </c>
      <c r="F57" s="373" t="s">
        <v>59</v>
      </c>
      <c r="G57" s="375">
        <v>1</v>
      </c>
      <c r="H57" s="375">
        <v>10</v>
      </c>
      <c r="I57" s="375" t="s">
        <v>155</v>
      </c>
      <c r="J57" s="375" t="str">
        <f t="shared" ca="1" si="23"/>
        <v>FC</v>
      </c>
      <c r="K57" s="375" t="str">
        <f t="shared" si="24"/>
        <v>2021-04</v>
      </c>
    </row>
    <row r="58" spans="1:11" ht="15" x14ac:dyDescent="0.25">
      <c r="A58" s="375" t="str">
        <f t="shared" si="20"/>
        <v>20/21Jun</v>
      </c>
      <c r="B58" s="375" t="str">
        <f t="shared" si="21"/>
        <v>20/21-Q4</v>
      </c>
      <c r="C58" s="375" t="str">
        <f t="shared" si="22"/>
        <v>2021-06Q4</v>
      </c>
      <c r="D58" s="373" t="s">
        <v>1703</v>
      </c>
      <c r="E58" s="3" t="s">
        <v>73</v>
      </c>
      <c r="F58" s="373" t="s">
        <v>59</v>
      </c>
      <c r="G58" s="375">
        <v>2</v>
      </c>
      <c r="H58" s="375">
        <v>11</v>
      </c>
      <c r="I58" s="375" t="s">
        <v>154</v>
      </c>
      <c r="J58" s="375" t="str">
        <f t="shared" ca="1" si="23"/>
        <v>FC</v>
      </c>
      <c r="K58" s="375" t="str">
        <f t="shared" si="24"/>
        <v>2021-05</v>
      </c>
    </row>
    <row r="59" spans="1:11" ht="15" x14ac:dyDescent="0.25">
      <c r="A59" s="375" t="str">
        <f t="shared" si="20"/>
        <v>20/21Jul</v>
      </c>
      <c r="B59" s="375" t="str">
        <f t="shared" si="21"/>
        <v>20/21-Q4</v>
      </c>
      <c r="C59" s="375" t="str">
        <f t="shared" si="22"/>
        <v>2021-07Q4</v>
      </c>
      <c r="D59" s="373" t="s">
        <v>1704</v>
      </c>
      <c r="E59" s="3" t="s">
        <v>73</v>
      </c>
      <c r="F59" s="373" t="s">
        <v>59</v>
      </c>
      <c r="G59" s="375">
        <v>3</v>
      </c>
      <c r="H59" s="375">
        <v>12</v>
      </c>
      <c r="I59" s="375" t="s">
        <v>153</v>
      </c>
      <c r="J59" s="375" t="str">
        <f t="shared" ca="1" si="23"/>
        <v>FC</v>
      </c>
      <c r="K59" s="375" t="str">
        <f t="shared" si="24"/>
        <v>2021-06</v>
      </c>
    </row>
    <row r="60" spans="1:11" ht="15" x14ac:dyDescent="0.25">
      <c r="A60" s="375" t="str">
        <f t="shared" si="20"/>
        <v>21/22Aug</v>
      </c>
      <c r="B60" s="375" t="str">
        <f t="shared" si="21"/>
        <v>21/22-Q1</v>
      </c>
      <c r="C60" s="375" t="str">
        <f t="shared" si="22"/>
        <v>2021-08Q1</v>
      </c>
      <c r="D60" s="373" t="s">
        <v>1705</v>
      </c>
      <c r="E60" s="846" t="s">
        <v>74</v>
      </c>
      <c r="F60" s="373" t="s">
        <v>56</v>
      </c>
      <c r="G60" s="375">
        <v>1</v>
      </c>
      <c r="H60" s="375">
        <v>1</v>
      </c>
      <c r="I60" s="375" t="s">
        <v>144</v>
      </c>
      <c r="J60" s="375" t="str">
        <f t="shared" ca="1" si="23"/>
        <v>FC</v>
      </c>
      <c r="K60" s="375" t="str">
        <f t="shared" si="24"/>
        <v>2021-07</v>
      </c>
    </row>
    <row r="61" spans="1:11" ht="15" x14ac:dyDescent="0.25">
      <c r="A61" s="375" t="str">
        <f t="shared" si="20"/>
        <v>21/22Sep</v>
      </c>
      <c r="B61" s="375" t="str">
        <f t="shared" si="21"/>
        <v>21/22-Q1</v>
      </c>
      <c r="C61" s="375" t="str">
        <f t="shared" si="22"/>
        <v>2021-09Q1</v>
      </c>
      <c r="D61" s="373" t="s">
        <v>1706</v>
      </c>
      <c r="E61" s="3" t="s">
        <v>74</v>
      </c>
      <c r="F61" s="373" t="s">
        <v>56</v>
      </c>
      <c r="G61" s="375">
        <v>2</v>
      </c>
      <c r="H61" s="375">
        <v>2</v>
      </c>
      <c r="I61" s="375" t="s">
        <v>146</v>
      </c>
      <c r="J61" s="375" t="str">
        <f t="shared" ca="1" si="23"/>
        <v>FC</v>
      </c>
      <c r="K61" s="375" t="str">
        <f t="shared" si="24"/>
        <v>2021-08</v>
      </c>
    </row>
    <row r="62" spans="1:11" ht="15" x14ac:dyDescent="0.25">
      <c r="A62" s="375" t="str">
        <f t="shared" si="20"/>
        <v>21/22Oct</v>
      </c>
      <c r="B62" s="375" t="str">
        <f t="shared" si="21"/>
        <v>21/22-Q1</v>
      </c>
      <c r="C62" s="375" t="str">
        <f t="shared" si="22"/>
        <v>2021-10Q1</v>
      </c>
      <c r="D62" s="373" t="s">
        <v>1707</v>
      </c>
      <c r="E62" s="3" t="s">
        <v>74</v>
      </c>
      <c r="F62" s="373" t="s">
        <v>56</v>
      </c>
      <c r="G62" s="375">
        <v>3</v>
      </c>
      <c r="H62" s="375">
        <v>3</v>
      </c>
      <c r="I62" s="375" t="s">
        <v>145</v>
      </c>
      <c r="J62" s="375" t="str">
        <f t="shared" ca="1" si="23"/>
        <v>FC</v>
      </c>
      <c r="K62" s="375" t="str">
        <f t="shared" si="24"/>
        <v>2021-09</v>
      </c>
    </row>
    <row r="63" spans="1:11" ht="15" x14ac:dyDescent="0.25">
      <c r="A63" s="375" t="str">
        <f t="shared" si="20"/>
        <v>21/22Nov</v>
      </c>
      <c r="B63" s="375" t="str">
        <f t="shared" si="21"/>
        <v>21/22-Q2</v>
      </c>
      <c r="C63" s="375" t="str">
        <f t="shared" si="22"/>
        <v>2021-11Q2</v>
      </c>
      <c r="D63" s="373" t="s">
        <v>1708</v>
      </c>
      <c r="E63" s="3" t="s">
        <v>74</v>
      </c>
      <c r="F63" s="373" t="s">
        <v>57</v>
      </c>
      <c r="G63" s="375">
        <v>1</v>
      </c>
      <c r="H63" s="375">
        <v>4</v>
      </c>
      <c r="I63" s="375" t="s">
        <v>149</v>
      </c>
      <c r="J63" s="375" t="str">
        <f t="shared" ca="1" si="23"/>
        <v>FC</v>
      </c>
      <c r="K63" s="375" t="str">
        <f t="shared" si="24"/>
        <v>2021-10</v>
      </c>
    </row>
    <row r="64" spans="1:11" ht="15" x14ac:dyDescent="0.25">
      <c r="A64" s="375" t="str">
        <f t="shared" si="20"/>
        <v>21/22Dec</v>
      </c>
      <c r="B64" s="375" t="str">
        <f t="shared" si="21"/>
        <v>21/22-Q2</v>
      </c>
      <c r="C64" s="375" t="str">
        <f t="shared" si="22"/>
        <v>2021-12Q2</v>
      </c>
      <c r="D64" s="373" t="s">
        <v>1709</v>
      </c>
      <c r="E64" s="3" t="s">
        <v>74</v>
      </c>
      <c r="F64" s="373" t="s">
        <v>57</v>
      </c>
      <c r="G64" s="375">
        <v>2</v>
      </c>
      <c r="H64" s="375">
        <v>5</v>
      </c>
      <c r="I64" s="375" t="s">
        <v>147</v>
      </c>
      <c r="J64" s="375" t="str">
        <f t="shared" ca="1" si="23"/>
        <v>FC</v>
      </c>
      <c r="K64" s="375" t="str">
        <f t="shared" si="24"/>
        <v>2021-11</v>
      </c>
    </row>
    <row r="65" spans="1:11" ht="15" x14ac:dyDescent="0.25">
      <c r="A65" s="375" t="str">
        <f t="shared" si="20"/>
        <v>21/22Jan</v>
      </c>
      <c r="B65" s="375" t="str">
        <f t="shared" si="21"/>
        <v>21/22-Q2</v>
      </c>
      <c r="C65" s="375" t="str">
        <f t="shared" si="22"/>
        <v>2022-01Q2</v>
      </c>
      <c r="D65" s="846" t="s">
        <v>1710</v>
      </c>
      <c r="E65" s="3" t="s">
        <v>74</v>
      </c>
      <c r="F65" s="373" t="s">
        <v>57</v>
      </c>
      <c r="G65" s="375">
        <v>3</v>
      </c>
      <c r="H65" s="375">
        <v>6</v>
      </c>
      <c r="I65" s="375" t="s">
        <v>148</v>
      </c>
      <c r="J65" s="375" t="str">
        <f t="shared" ca="1" si="23"/>
        <v>FC</v>
      </c>
      <c r="K65" s="375" t="str">
        <f t="shared" si="24"/>
        <v>2021-12</v>
      </c>
    </row>
    <row r="66" spans="1:11" ht="15" x14ac:dyDescent="0.25">
      <c r="A66" s="375" t="str">
        <f t="shared" si="20"/>
        <v>21/22Feb</v>
      </c>
      <c r="B66" s="375" t="str">
        <f t="shared" si="21"/>
        <v>21/22-Q3</v>
      </c>
      <c r="C66" s="375" t="str">
        <f t="shared" si="22"/>
        <v>2022-02Q3</v>
      </c>
      <c r="D66" s="846" t="s">
        <v>1711</v>
      </c>
      <c r="E66" s="3" t="s">
        <v>74</v>
      </c>
      <c r="F66" s="373" t="s">
        <v>58</v>
      </c>
      <c r="G66" s="375">
        <v>1</v>
      </c>
      <c r="H66" s="375">
        <v>7</v>
      </c>
      <c r="I66" s="375" t="s">
        <v>151</v>
      </c>
      <c r="J66" s="375" t="str">
        <f t="shared" ca="1" si="23"/>
        <v>FC</v>
      </c>
      <c r="K66" s="375" t="str">
        <f t="shared" si="24"/>
        <v>2022-01</v>
      </c>
    </row>
    <row r="67" spans="1:11" ht="15" x14ac:dyDescent="0.25">
      <c r="A67" s="375" t="str">
        <f t="shared" si="20"/>
        <v>21/22Mar</v>
      </c>
      <c r="B67" s="375" t="str">
        <f t="shared" si="21"/>
        <v>21/22-Q3</v>
      </c>
      <c r="C67" s="375" t="str">
        <f t="shared" si="22"/>
        <v>2022-03Q3</v>
      </c>
      <c r="D67" s="846" t="s">
        <v>1712</v>
      </c>
      <c r="E67" s="3" t="s">
        <v>74</v>
      </c>
      <c r="F67" s="373" t="s">
        <v>58</v>
      </c>
      <c r="G67" s="375">
        <v>2</v>
      </c>
      <c r="H67" s="375">
        <v>8</v>
      </c>
      <c r="I67" s="375" t="s">
        <v>152</v>
      </c>
      <c r="J67" s="375" t="str">
        <f t="shared" ca="1" si="23"/>
        <v>FC</v>
      </c>
      <c r="K67" s="375" t="str">
        <f t="shared" si="24"/>
        <v>2022-02</v>
      </c>
    </row>
    <row r="68" spans="1:11" ht="15" x14ac:dyDescent="0.25">
      <c r="A68" s="375" t="str">
        <f t="shared" si="20"/>
        <v>21/22Apr</v>
      </c>
      <c r="B68" s="375" t="str">
        <f t="shared" si="21"/>
        <v>21/22-Q3</v>
      </c>
      <c r="C68" s="375" t="str">
        <f t="shared" si="22"/>
        <v>2022-04Q3</v>
      </c>
      <c r="D68" s="846" t="s">
        <v>1713</v>
      </c>
      <c r="E68" s="3" t="s">
        <v>74</v>
      </c>
      <c r="F68" s="373" t="s">
        <v>58</v>
      </c>
      <c r="G68" s="375">
        <v>3</v>
      </c>
      <c r="H68" s="375">
        <v>9</v>
      </c>
      <c r="I68" s="375" t="s">
        <v>150</v>
      </c>
      <c r="J68" s="375" t="str">
        <f t="shared" ca="1" si="23"/>
        <v>FC</v>
      </c>
      <c r="K68" s="375" t="str">
        <f t="shared" si="24"/>
        <v>2022-03</v>
      </c>
    </row>
    <row r="69" spans="1:11" ht="15" x14ac:dyDescent="0.25">
      <c r="A69" s="375" t="str">
        <f t="shared" si="20"/>
        <v>21/22May</v>
      </c>
      <c r="B69" s="375" t="str">
        <f t="shared" si="21"/>
        <v>21/22-Q4</v>
      </c>
      <c r="C69" s="375" t="str">
        <f t="shared" si="22"/>
        <v>2022-05Q4</v>
      </c>
      <c r="D69" s="846" t="s">
        <v>1714</v>
      </c>
      <c r="E69" s="3" t="s">
        <v>74</v>
      </c>
      <c r="F69" s="373" t="s">
        <v>59</v>
      </c>
      <c r="G69" s="375">
        <v>1</v>
      </c>
      <c r="H69" s="375">
        <v>10</v>
      </c>
      <c r="I69" s="375" t="s">
        <v>155</v>
      </c>
      <c r="J69" s="375" t="str">
        <f t="shared" ca="1" si="23"/>
        <v>FC</v>
      </c>
      <c r="K69" s="375" t="str">
        <f t="shared" si="24"/>
        <v>2022-04</v>
      </c>
    </row>
    <row r="70" spans="1:11" ht="15" x14ac:dyDescent="0.25">
      <c r="A70" s="375" t="str">
        <f t="shared" si="20"/>
        <v>21/22Jun</v>
      </c>
      <c r="B70" s="375" t="str">
        <f t="shared" si="21"/>
        <v>21/22-Q4</v>
      </c>
      <c r="C70" s="375" t="str">
        <f t="shared" si="22"/>
        <v>2022-06Q4</v>
      </c>
      <c r="D70" s="846" t="s">
        <v>1715</v>
      </c>
      <c r="E70" s="3" t="s">
        <v>74</v>
      </c>
      <c r="F70" s="373" t="s">
        <v>59</v>
      </c>
      <c r="G70" s="375">
        <v>2</v>
      </c>
      <c r="H70" s="375">
        <v>11</v>
      </c>
      <c r="I70" s="375" t="s">
        <v>154</v>
      </c>
      <c r="J70" s="375" t="str">
        <f t="shared" ca="1" si="23"/>
        <v>FC</v>
      </c>
      <c r="K70" s="375" t="str">
        <f t="shared" si="24"/>
        <v>2022-05</v>
      </c>
    </row>
    <row r="71" spans="1:11" ht="15" x14ac:dyDescent="0.25">
      <c r="A71" s="375" t="str">
        <f t="shared" si="20"/>
        <v>21/22Jul</v>
      </c>
      <c r="B71" s="375" t="str">
        <f t="shared" si="21"/>
        <v>21/22-Q4</v>
      </c>
      <c r="C71" s="375" t="str">
        <f t="shared" si="22"/>
        <v>2022-07Q4</v>
      </c>
      <c r="D71" s="846" t="s">
        <v>1716</v>
      </c>
      <c r="E71" s="3" t="s">
        <v>74</v>
      </c>
      <c r="F71" s="373" t="s">
        <v>59</v>
      </c>
      <c r="G71" s="375">
        <v>3</v>
      </c>
      <c r="H71" s="375">
        <v>12</v>
      </c>
      <c r="I71" s="375" t="s">
        <v>153</v>
      </c>
      <c r="J71" s="375" t="str">
        <f t="shared" ca="1" si="23"/>
        <v>FC</v>
      </c>
      <c r="K71" s="375" t="str">
        <f t="shared" si="24"/>
        <v>2022-06</v>
      </c>
    </row>
    <row r="72" spans="1:11" x14ac:dyDescent="0.2">
      <c r="D72" s="846"/>
    </row>
    <row r="73" spans="1:11" x14ac:dyDescent="0.2">
      <c r="D73" s="846"/>
    </row>
    <row r="74" spans="1:11" x14ac:dyDescent="0.2">
      <c r="D74" s="846"/>
    </row>
  </sheetData>
  <sheetProtection pivotTables="0"/>
  <dataValidations count="1">
    <dataValidation allowBlank="1" showInputMessage="1" showErrorMessage="1" prompt="this cell is used for getting historical transactional return rate. there will not be any realized data for current quarter so we take one more year back_x000a_" sqref="O31" xr:uid="{A6EF17A5-9B8E-49AE-85DA-75E0A8179583}"/>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3A07A6DB-85F4-46EB-8E54-7D807655A023}">
  <ds:schemaRefs/>
</ds:datastoreItem>
</file>

<file path=customXml/itemProps2.xml><?xml version="1.0" encoding="utf-8"?>
<ds:datastoreItem xmlns:ds="http://schemas.openxmlformats.org/officeDocument/2006/customXml" ds:itemID="{E9A54DD4-ED59-44B0-A952-316F87F13FBD}">
  <ds:schemaRefs/>
</ds:datastoreItem>
</file>

<file path=customXml/itemProps3.xml><?xml version="1.0" encoding="utf-8"?>
<ds:datastoreItem xmlns:ds="http://schemas.openxmlformats.org/officeDocument/2006/customXml" ds:itemID="{7EA600D3-D650-4218-9DA6-6268B38EEEDA}">
  <ds:schemaRefs/>
</ds:datastoreItem>
</file>

<file path=customXml/itemProps4.xml><?xml version="1.0" encoding="utf-8"?>
<ds:datastoreItem xmlns:ds="http://schemas.openxmlformats.org/officeDocument/2006/customXml" ds:itemID="{306806D8-DCD1-4BD5-B497-458E3DA4D5A9}">
  <ds:schemaRefs/>
</ds:datastoreItem>
</file>

<file path=customXml/itemProps5.xml><?xml version="1.0" encoding="utf-8"?>
<ds:datastoreItem xmlns:ds="http://schemas.openxmlformats.org/officeDocument/2006/customXml" ds:itemID="{60A35741-DC33-44E0-9C8E-58AD2152E811}">
  <ds:schemaRefs/>
</ds:datastoreItem>
</file>

<file path=customXml/itemProps6.xml><?xml version="1.0" encoding="utf-8"?>
<ds:datastoreItem xmlns:ds="http://schemas.openxmlformats.org/officeDocument/2006/customXml" ds:itemID="{6785D186-DE80-47E2-A755-195367D41D20}">
  <ds:schemaRefs/>
</ds:datastoreItem>
</file>

<file path=customXml/itemProps7.xml><?xml version="1.0" encoding="utf-8"?>
<ds:datastoreItem xmlns:ds="http://schemas.openxmlformats.org/officeDocument/2006/customXml" ds:itemID="{0D3170DF-6199-4A36-931F-F41AC19D0D01}">
  <ds:schemaRefs/>
</ds:datastoreItem>
</file>

<file path=customXml/itemProps8.xml><?xml version="1.0" encoding="utf-8"?>
<ds:datastoreItem xmlns:ds="http://schemas.openxmlformats.org/officeDocument/2006/customXml" ds:itemID="{6EB11340-85E0-4F4E-B1C8-ED4135AC3AFC}">
  <ds:schemaRefs>
    <ds:schemaRef ds:uri="http://schemas.microsoft.com/DataMashup"/>
  </ds:schemaRefs>
</ds:datastoreItem>
</file>

<file path=customXml/itemProps9.xml><?xml version="1.0" encoding="utf-8"?>
<ds:datastoreItem xmlns:ds="http://schemas.openxmlformats.org/officeDocument/2006/customXml" ds:itemID="{6A87C633-3783-4666-B68E-7F1B0C9C1FE5}">
  <ds:schemaRefs/>
</ds:datastoreItem>
</file>

<file path=customXml/itemProps10.xml><?xml version="1.0" encoding="utf-8"?>
<ds:datastoreItem xmlns:ds="http://schemas.openxmlformats.org/officeDocument/2006/customXml" ds:itemID="{B47E7E4A-2823-47D7-9F8A-B1C84B3BA1A8}">
  <ds:schemaRefs/>
</ds:datastoreItem>
</file>

<file path=customXml/itemProps11.xml><?xml version="1.0" encoding="utf-8"?>
<ds:datastoreItem xmlns:ds="http://schemas.openxmlformats.org/officeDocument/2006/customXml" ds:itemID="{1614CEE4-A063-4051-A52B-7A83E5E04AFE}">
  <ds:schemaRefs/>
</ds:datastoreItem>
</file>

<file path=customXml/itemProps12.xml><?xml version="1.0" encoding="utf-8"?>
<ds:datastoreItem xmlns:ds="http://schemas.openxmlformats.org/officeDocument/2006/customXml" ds:itemID="{93DB4B0D-9BA8-4EAF-9585-D0A104A2FE00}">
  <ds:schemaRefs/>
</ds:datastoreItem>
</file>

<file path=customXml/itemProps13.xml><?xml version="1.0" encoding="utf-8"?>
<ds:datastoreItem xmlns:ds="http://schemas.openxmlformats.org/officeDocument/2006/customXml" ds:itemID="{417CBFE6-5A8A-4E47-9CA0-47D2F4EC1B29}">
  <ds:schemaRefs/>
</ds:datastoreItem>
</file>

<file path=customXml/itemProps14.xml><?xml version="1.0" encoding="utf-8"?>
<ds:datastoreItem xmlns:ds="http://schemas.openxmlformats.org/officeDocument/2006/customXml" ds:itemID="{2775E784-699F-4429-ABFC-D9EA37067E54}">
  <ds:schemaRefs/>
</ds:datastoreItem>
</file>

<file path=customXml/itemProps15.xml><?xml version="1.0" encoding="utf-8"?>
<ds:datastoreItem xmlns:ds="http://schemas.openxmlformats.org/officeDocument/2006/customXml" ds:itemID="{F8C7C087-5B02-41B9-9865-427767AB320C}">
  <ds:schemaRefs/>
</ds:datastoreItem>
</file>

<file path=customXml/itemProps16.xml><?xml version="1.0" encoding="utf-8"?>
<ds:datastoreItem xmlns:ds="http://schemas.openxmlformats.org/officeDocument/2006/customXml" ds:itemID="{E07F8747-B461-4FFC-8B49-4E1E53D8DDA7}">
  <ds:schemaRefs/>
</ds:datastoreItem>
</file>

<file path=customXml/itemProps17.xml><?xml version="1.0" encoding="utf-8"?>
<ds:datastoreItem xmlns:ds="http://schemas.openxmlformats.org/officeDocument/2006/customXml" ds:itemID="{B8281EE2-BA13-450C-BD43-B3FFF470FAC4}">
  <ds:schemaRefs/>
</ds:datastoreItem>
</file>

<file path=customXml/itemProps18.xml><?xml version="1.0" encoding="utf-8"?>
<ds:datastoreItem xmlns:ds="http://schemas.openxmlformats.org/officeDocument/2006/customXml" ds:itemID="{9BA64DBF-C41D-48B3-B2BA-090FD4239F3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FRONT_PAGE</vt:lpstr>
      <vt:lpstr>M_BRAND_FC</vt:lpstr>
      <vt:lpstr>Q_BRAND_FC</vt:lpstr>
      <vt:lpstr>M_BUSAREA_FC</vt:lpstr>
      <vt:lpstr>Q_BUSAREA_FC</vt:lpstr>
      <vt:lpstr>ST_OVERVIEW</vt:lpstr>
      <vt:lpstr>LT_OVERVIEW</vt:lpstr>
      <vt:lpstr>DASHBOARD</vt:lpstr>
      <vt:lpstr>NWC_FC_NOOS</vt:lpstr>
      <vt:lpstr>NWC_FC_NON-NOOS</vt:lpstr>
      <vt:lpstr>LAST_FC</vt:lpstr>
      <vt:lpstr>PLANNING_FC</vt:lpstr>
      <vt:lpstr>STOCK_OVERVIEW</vt:lpstr>
      <vt:lpstr>FC_DATA</vt:lpstr>
      <vt:lpstr>HIS_SALES</vt:lpstr>
      <vt:lpstr>HIS_STOCK</vt:lpstr>
      <vt:lpstr>OPEN_ORDERS</vt:lpstr>
      <vt:lpstr>DEV</vt:lpstr>
      <vt:lpstr>PIVOT TABLE</vt:lpstr>
      <vt:lpstr>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lex.zimmermann</dc:creator>
  <cp:lastModifiedBy>hao.zhang</cp:lastModifiedBy>
  <dcterms:created xsi:type="dcterms:W3CDTF">2017-08-03T11:43:58Z</dcterms:created>
  <dcterms:modified xsi:type="dcterms:W3CDTF">2019-04-26T15:19:07Z</dcterms:modified>
</cp:coreProperties>
</file>